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EstaPasta_de_trabalho" hidePivotFieldList="1" autoCompressPictures="0"/>
  <bookViews>
    <workbookView xWindow="-15" yWindow="-15" windowWidth="20520" windowHeight="8160" activeTab="3"/>
  </bookViews>
  <sheets>
    <sheet name="NF" sheetId="15" r:id="rId1"/>
    <sheet name="Mês atual" sheetId="1" r:id="rId2"/>
    <sheet name="CMV" sheetId="22" r:id="rId3"/>
    <sheet name="Compras_Grupo" sheetId="21" r:id="rId4"/>
    <sheet name="Estrategia Compras" sheetId="23" r:id="rId5"/>
  </sheets>
  <definedNames>
    <definedName name="_xlnm._FilterDatabase" localSheetId="1" hidden="1">'Mês atual'!$BR$5:$BS$73</definedName>
    <definedName name="_xlnm._FilterDatabase" localSheetId="0" hidden="1">NF!$B$1:$L$3137</definedName>
    <definedName name="Produtos">OFFSET(NF!$M$1,0,0,COUNTA(NF!$M:$M)-0,1)</definedName>
    <definedName name="SegmentaçãodeDados_GRUPO1">#N/A</definedName>
  </definedNames>
  <calcPr calcId="162913" iterateDelta="1E-4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C3" i="23" l="1"/>
  <c r="G13" i="23" l="1"/>
  <c r="C15" i="23"/>
  <c r="D15" i="23"/>
  <c r="E15" i="23"/>
  <c r="F15" i="23"/>
  <c r="B15" i="23"/>
  <c r="G12" i="23"/>
  <c r="C14" i="23"/>
  <c r="D14" i="23"/>
  <c r="E14" i="23"/>
  <c r="F14" i="23"/>
  <c r="B14" i="23"/>
  <c r="C5" i="23"/>
  <c r="C4" i="23" l="1"/>
  <c r="G19" i="23" s="1"/>
  <c r="C7" i="23"/>
  <c r="C6" i="23"/>
  <c r="G15" i="23"/>
  <c r="G20" i="23"/>
  <c r="G21" i="23" l="1"/>
  <c r="G22" i="23"/>
  <c r="G14" i="23"/>
  <c r="E40" i="22" l="1"/>
  <c r="E39" i="22"/>
  <c r="F32" i="22"/>
  <c r="G32" i="22"/>
  <c r="H32" i="22"/>
  <c r="I32" i="22"/>
  <c r="E32" i="22"/>
  <c r="B27" i="22"/>
  <c r="B47" i="22"/>
  <c r="C46" i="21"/>
  <c r="E35" i="21"/>
  <c r="E36" i="21"/>
  <c r="E37" i="21"/>
  <c r="E38" i="21"/>
  <c r="E39" i="21"/>
  <c r="E40" i="21"/>
  <c r="E41" i="21"/>
  <c r="E42" i="21"/>
  <c r="E43" i="21"/>
  <c r="E44" i="21"/>
  <c r="E34" i="21"/>
  <c r="D46" i="21"/>
  <c r="E46" i="21" s="1"/>
  <c r="J973" i="1" l="1"/>
  <c r="L25" i="21"/>
  <c r="H25" i="21"/>
  <c r="O25" i="21"/>
  <c r="K25" i="21"/>
  <c r="G25" i="21"/>
  <c r="N25" i="21"/>
  <c r="J25" i="21"/>
  <c r="F25" i="21"/>
  <c r="M25" i="21"/>
  <c r="I25" i="21"/>
  <c r="E25" i="21"/>
  <c r="BF570" i="1" l="1"/>
  <c r="BH530" i="1"/>
  <c r="T505" i="1"/>
  <c r="BD495" i="1"/>
  <c r="AT471" i="1"/>
  <c r="AQ471" i="1"/>
  <c r="AV471" i="1"/>
  <c r="BC471" i="1"/>
  <c r="BD471" i="1"/>
  <c r="BH471" i="1"/>
  <c r="BH466" i="1"/>
  <c r="BG466" i="1"/>
  <c r="BF466" i="1"/>
  <c r="BE466" i="1"/>
  <c r="BD466" i="1"/>
  <c r="BC466" i="1"/>
  <c r="AW466" i="1"/>
  <c r="AV466" i="1"/>
  <c r="AU466" i="1"/>
  <c r="AT466" i="1"/>
  <c r="AS466" i="1"/>
  <c r="AR466" i="1"/>
  <c r="AQ466" i="1"/>
  <c r="AK466" i="1"/>
  <c r="AJ466" i="1"/>
  <c r="AI466" i="1"/>
  <c r="AH466" i="1"/>
  <c r="AG466" i="1"/>
  <c r="AF466" i="1"/>
  <c r="AE466" i="1"/>
  <c r="Y466" i="1"/>
  <c r="X466" i="1"/>
  <c r="W466" i="1"/>
  <c r="V466" i="1"/>
  <c r="U466" i="1"/>
  <c r="T466" i="1"/>
  <c r="S466" i="1"/>
  <c r="M466" i="1"/>
  <c r="L466" i="1"/>
  <c r="K466" i="1"/>
  <c r="J466" i="1"/>
  <c r="BE449" i="1"/>
  <c r="BG446" i="1"/>
  <c r="AS443" i="1"/>
  <c r="AQ443" i="1"/>
  <c r="AV443" i="1"/>
  <c r="AT443" i="1"/>
  <c r="BC443" i="1"/>
  <c r="BE443" i="1"/>
  <c r="BG443" i="1"/>
  <c r="BH443" i="1"/>
  <c r="BF442" i="1"/>
  <c r="BE442" i="1"/>
  <c r="BD442" i="1"/>
  <c r="AW442" i="1"/>
  <c r="AV442" i="1"/>
  <c r="AU442" i="1"/>
  <c r="AT442" i="1"/>
  <c r="AS442" i="1"/>
  <c r="AR442" i="1"/>
  <c r="AK442" i="1"/>
  <c r="AH442" i="1"/>
  <c r="AG442" i="1"/>
  <c r="AF442" i="1"/>
  <c r="Y442" i="1"/>
  <c r="X442" i="1"/>
  <c r="W442" i="1"/>
  <c r="V442" i="1"/>
  <c r="U442" i="1"/>
  <c r="T442" i="1"/>
  <c r="BG419" i="1"/>
  <c r="BH410" i="1"/>
  <c r="BG410" i="1"/>
  <c r="BF410" i="1"/>
  <c r="BE410" i="1"/>
  <c r="BC410" i="1"/>
  <c r="AW410" i="1"/>
  <c r="AV410" i="1"/>
  <c r="AT410" i="1"/>
  <c r="AQ410" i="1"/>
  <c r="AK410" i="1"/>
  <c r="AI410" i="1"/>
  <c r="AG410" i="1"/>
  <c r="AF410" i="1"/>
  <c r="AE410" i="1"/>
  <c r="Y410" i="1"/>
  <c r="W410" i="1"/>
  <c r="T410" i="1"/>
  <c r="S410" i="1"/>
  <c r="M410" i="1"/>
  <c r="L410" i="1"/>
  <c r="J410" i="1"/>
  <c r="BF168" i="1"/>
  <c r="BH406" i="1" l="1"/>
  <c r="BC406" i="1"/>
  <c r="AV190" i="1"/>
  <c r="AU190" i="1"/>
  <c r="AT190" i="1"/>
  <c r="AJ190" i="1"/>
  <c r="AI190" i="1"/>
  <c r="AW189" i="1"/>
  <c r="AV187" i="1"/>
  <c r="AU187" i="1"/>
  <c r="AT187" i="1"/>
  <c r="AV181" i="1"/>
  <c r="AU181" i="1"/>
  <c r="AT181" i="1"/>
  <c r="AJ181" i="1"/>
  <c r="AI181" i="1"/>
  <c r="X181" i="1"/>
  <c r="W181" i="1"/>
  <c r="L181" i="1"/>
  <c r="K181" i="1"/>
  <c r="AR175" i="1"/>
  <c r="AG175" i="1"/>
  <c r="U175" i="1"/>
  <c r="I1300" i="15"/>
  <c r="I1104" i="15"/>
  <c r="BC149" i="1"/>
  <c r="BG144" i="1"/>
  <c r="AK116" i="1"/>
  <c r="BD116" i="1"/>
  <c r="AU116" i="1"/>
  <c r="AG116" i="1"/>
  <c r="W116" i="1"/>
  <c r="M116" i="1"/>
  <c r="BE105" i="1" l="1"/>
  <c r="BH99" i="1"/>
  <c r="AV99" i="1"/>
  <c r="AU99" i="1"/>
  <c r="AT99" i="1"/>
  <c r="AS99" i="1"/>
  <c r="AJ99" i="1"/>
  <c r="AI99" i="1"/>
  <c r="BC97" i="1"/>
  <c r="BE596" i="1"/>
  <c r="BH590" i="1"/>
  <c r="BG589" i="1"/>
  <c r="BD589" i="1"/>
  <c r="AU589" i="1"/>
  <c r="AI589" i="1"/>
  <c r="W589" i="1"/>
  <c r="BF588" i="1"/>
  <c r="BD588" i="1"/>
  <c r="BC588" i="1"/>
  <c r="AT588" i="1"/>
  <c r="BE582" i="1"/>
  <c r="BC582" i="1"/>
  <c r="AI582" i="1"/>
  <c r="BF797" i="1"/>
  <c r="BH44" i="1" l="1"/>
  <c r="BH43" i="1"/>
  <c r="BH41" i="1"/>
  <c r="BH39" i="1"/>
  <c r="BH38" i="1"/>
  <c r="BH37" i="1"/>
  <c r="BH35" i="1"/>
  <c r="BH30" i="1"/>
  <c r="BH28" i="1"/>
  <c r="BH23" i="1"/>
  <c r="BH22" i="1"/>
  <c r="BH19" i="1"/>
  <c r="BH18" i="1"/>
  <c r="BH9" i="1"/>
  <c r="BH7" i="1"/>
  <c r="BH6" i="1"/>
  <c r="BH52" i="1" l="1"/>
  <c r="BH47" i="1"/>
  <c r="BG23" i="1"/>
  <c r="BG43" i="1"/>
  <c r="BG44" i="1"/>
  <c r="BG47" i="1"/>
  <c r="BG6" i="1"/>
  <c r="BG7" i="1"/>
  <c r="BG39" i="1"/>
  <c r="BG37" i="1"/>
  <c r="BG35" i="1"/>
  <c r="BG30" i="1"/>
  <c r="BG28" i="1"/>
  <c r="BG71" i="1"/>
  <c r="BG22" i="1"/>
  <c r="BG41" i="1"/>
  <c r="BG8" i="1"/>
  <c r="BG19" i="1"/>
  <c r="I6" i="22" l="1"/>
  <c r="L4" i="22"/>
  <c r="E4" i="22"/>
  <c r="H2" i="22"/>
  <c r="M6" i="22"/>
  <c r="J1664" i="15" l="1"/>
  <c r="BD151" i="1" l="1"/>
  <c r="AU151" i="1"/>
  <c r="AQ151" i="1"/>
  <c r="AF151" i="1"/>
  <c r="Y151" i="1"/>
  <c r="U151" i="1"/>
  <c r="L151" i="1"/>
  <c r="J1746" i="15" l="1"/>
  <c r="J1745" i="15"/>
  <c r="I1746" i="15"/>
  <c r="I1745" i="15"/>
  <c r="J1744" i="15" l="1"/>
  <c r="I1744" i="15"/>
  <c r="J1743" i="15"/>
  <c r="I1743" i="15"/>
  <c r="J300" i="15" l="1"/>
  <c r="J1682" i="15"/>
  <c r="I1682" i="15"/>
  <c r="AR799" i="1"/>
  <c r="J1734" i="15"/>
  <c r="J1732" i="15"/>
  <c r="J1703" i="15"/>
  <c r="J1726" i="15"/>
  <c r="J1723" i="15"/>
  <c r="J1714" i="15"/>
  <c r="J1713" i="15"/>
  <c r="J1712" i="15"/>
  <c r="J1709" i="15"/>
  <c r="J1706" i="15"/>
  <c r="J1705" i="15"/>
  <c r="BG683" i="1"/>
  <c r="AK683" i="1"/>
  <c r="AJ683" i="1"/>
  <c r="AR683" i="1"/>
  <c r="AF683" i="1"/>
  <c r="W683" i="1"/>
  <c r="BH768" i="1"/>
  <c r="I1304" i="15"/>
  <c r="I1117" i="15"/>
  <c r="BG768" i="1"/>
  <c r="AT144" i="1"/>
  <c r="BE123" i="1"/>
  <c r="J1699" i="15"/>
  <c r="J1698" i="15"/>
  <c r="J1697" i="15"/>
  <c r="BF23" i="1"/>
  <c r="BF19" i="1"/>
  <c r="BF43" i="1"/>
  <c r="BF44" i="1"/>
  <c r="BF38" i="1"/>
  <c r="BF6" i="1"/>
  <c r="BF7" i="1"/>
  <c r="BF41" i="1"/>
  <c r="BF37" i="1"/>
  <c r="BF30" i="1"/>
  <c r="BF28" i="1"/>
  <c r="BF47" i="1"/>
  <c r="BF8" i="1"/>
  <c r="BF35" i="1"/>
  <c r="BE19" i="1"/>
  <c r="BE43" i="1"/>
  <c r="BE38" i="1"/>
  <c r="BE6" i="1"/>
  <c r="BE7" i="1"/>
  <c r="BE41" i="1"/>
  <c r="BE37" i="1"/>
  <c r="BE35" i="1"/>
  <c r="BE30" i="1"/>
  <c r="BE28" i="1"/>
  <c r="BE44" i="1"/>
  <c r="J1692" i="15"/>
  <c r="J1685" i="15"/>
  <c r="J1680" i="15"/>
  <c r="J1674" i="15"/>
  <c r="J1673" i="15"/>
  <c r="J1670" i="15"/>
  <c r="J1669" i="15"/>
  <c r="J1665" i="15"/>
  <c r="I1565" i="15"/>
  <c r="J1663" i="15"/>
  <c r="J1662" i="15"/>
  <c r="BF530" i="1" l="1"/>
  <c r="BF446" i="1"/>
  <c r="BF443" i="1"/>
  <c r="BF211" i="1"/>
  <c r="AR168" i="1"/>
  <c r="AV154" i="1"/>
  <c r="AW170" i="1"/>
  <c r="BF82" i="1"/>
  <c r="J1652" i="15"/>
  <c r="J1651" i="15"/>
  <c r="J1650" i="15"/>
  <c r="J1649" i="15"/>
  <c r="J1648" i="15"/>
  <c r="J1647" i="15" l="1"/>
  <c r="J1646" i="15" l="1"/>
  <c r="J1641" i="15" l="1"/>
  <c r="J1635" i="15"/>
  <c r="J1242" i="15"/>
  <c r="J1638" i="15" l="1"/>
  <c r="J1628" i="15"/>
  <c r="J1627" i="15"/>
  <c r="J1622" i="15"/>
  <c r="J1619" i="15"/>
  <c r="J1618" i="15"/>
  <c r="J1613" i="15" l="1"/>
  <c r="I1613" i="15"/>
  <c r="J1612" i="15"/>
  <c r="I1612" i="15"/>
  <c r="J1611" i="15"/>
  <c r="I1611" i="15"/>
  <c r="J1610" i="15"/>
  <c r="J1609" i="15"/>
  <c r="I1609" i="15"/>
  <c r="J1608" i="15"/>
  <c r="J1604" i="15" l="1"/>
  <c r="I1604" i="15"/>
  <c r="J1602" i="15"/>
  <c r="I1602" i="15"/>
  <c r="I1599" i="15"/>
  <c r="J1596" i="15"/>
  <c r="I1596" i="15"/>
  <c r="J1595" i="15"/>
  <c r="I1595" i="15"/>
  <c r="J1591" i="15" l="1"/>
  <c r="J1590" i="15"/>
  <c r="J1589" i="15"/>
  <c r="J1587" i="15"/>
  <c r="I1587" i="15"/>
  <c r="BD23" i="1"/>
  <c r="BD43" i="1"/>
  <c r="BD38" i="1"/>
  <c r="BD6" i="1"/>
  <c r="BD7" i="1"/>
  <c r="BD41" i="1"/>
  <c r="BD9" i="1"/>
  <c r="BD37" i="1"/>
  <c r="BD30" i="1"/>
  <c r="BD28" i="1"/>
  <c r="BD8" i="1"/>
  <c r="BD35" i="1"/>
  <c r="BD19" i="1"/>
  <c r="BD44" i="1"/>
  <c r="BE505" i="1" l="1"/>
  <c r="BE468" i="1"/>
  <c r="E758" i="15"/>
  <c r="I1121" i="15"/>
  <c r="AW746" i="1"/>
  <c r="I1581" i="15" l="1"/>
  <c r="J1583" i="15" l="1"/>
  <c r="J1582" i="15"/>
  <c r="J1572" i="15"/>
  <c r="J1571" i="15"/>
  <c r="J1570" i="15"/>
  <c r="J1565" i="15"/>
  <c r="J1563" i="15"/>
  <c r="J1561" i="15"/>
  <c r="J1560" i="15"/>
  <c r="J1551" i="15"/>
  <c r="J1549" i="15"/>
  <c r="J1540" i="15"/>
  <c r="I1540" i="15"/>
  <c r="J1530" i="15" l="1"/>
  <c r="J1534" i="15"/>
  <c r="I1534" i="15"/>
  <c r="J1529" i="15"/>
  <c r="I1529" i="15"/>
  <c r="J1528" i="15"/>
  <c r="J1527" i="15"/>
  <c r="J1525" i="15"/>
  <c r="J1523" i="15"/>
  <c r="J1522" i="15"/>
  <c r="J1521" i="15"/>
  <c r="BC44" i="1"/>
  <c r="BC47" i="1"/>
  <c r="BC38" i="1"/>
  <c r="BC6" i="1"/>
  <c r="BC7" i="1"/>
  <c r="BC39" i="1"/>
  <c r="BC41" i="1"/>
  <c r="BC8" i="1"/>
  <c r="BC37" i="1"/>
  <c r="BC30" i="1"/>
  <c r="BC28" i="1"/>
  <c r="BC23" i="1"/>
  <c r="BD530" i="1" l="1"/>
  <c r="AF530" i="1"/>
  <c r="T530" i="1"/>
  <c r="AJ530" i="1"/>
  <c r="AR530" i="1"/>
  <c r="AU530" i="1"/>
  <c r="AV530" i="1"/>
  <c r="BD505" i="1"/>
  <c r="BD446" i="1"/>
  <c r="BD443" i="1"/>
  <c r="AS82" i="1"/>
  <c r="AV123" i="1"/>
  <c r="I1018" i="15"/>
  <c r="I1511" i="15"/>
  <c r="J1507" i="15"/>
  <c r="I1507" i="15"/>
  <c r="J1506" i="15"/>
  <c r="J1505" i="15"/>
  <c r="J1501" i="15"/>
  <c r="J1500" i="15"/>
  <c r="J1494" i="15"/>
  <c r="J1489" i="15"/>
  <c r="J1468" i="15"/>
  <c r="J1485" i="15"/>
  <c r="J1482" i="15"/>
  <c r="J1471" i="15"/>
  <c r="J1467" i="15"/>
  <c r="I1467" i="15"/>
  <c r="J1463" i="15"/>
  <c r="I1463" i="15"/>
  <c r="I1459" i="15"/>
  <c r="BC474" i="1" l="1"/>
  <c r="BC549" i="1"/>
  <c r="BC530" i="1"/>
  <c r="BC211" i="1"/>
  <c r="I1356" i="15"/>
  <c r="I1174" i="15"/>
  <c r="AW23" i="1" l="1"/>
  <c r="AW19" i="1"/>
  <c r="AW43" i="1"/>
  <c r="AW44" i="1"/>
  <c r="AW38" i="1"/>
  <c r="AW6" i="1"/>
  <c r="AW7" i="1"/>
  <c r="AW39" i="1"/>
  <c r="AW41" i="1"/>
  <c r="AW9" i="1"/>
  <c r="AW37" i="1"/>
  <c r="AW35" i="1"/>
  <c r="AW30" i="1"/>
  <c r="AW28" i="1"/>
  <c r="AW22" i="1"/>
  <c r="AW18" i="1"/>
  <c r="AW47" i="1"/>
  <c r="AV18" i="1"/>
  <c r="AV19" i="1"/>
  <c r="AV43" i="1"/>
  <c r="AV44" i="1"/>
  <c r="AV6" i="1"/>
  <c r="AV7" i="1"/>
  <c r="AV41" i="1"/>
  <c r="AV37" i="1"/>
  <c r="AV35" i="1"/>
  <c r="AV30" i="1"/>
  <c r="AV28" i="1"/>
  <c r="AV23" i="1"/>
  <c r="AV47" i="1"/>
  <c r="AV38" i="1"/>
  <c r="AV9" i="1"/>
  <c r="AV8" i="1"/>
  <c r="J1455" i="15" l="1"/>
  <c r="J1453" i="15"/>
  <c r="AW105" i="1"/>
  <c r="J1445" i="15"/>
  <c r="J1439" i="15"/>
  <c r="J1437" i="15"/>
  <c r="J1431" i="15"/>
  <c r="J1430" i="15"/>
  <c r="J1429" i="15"/>
  <c r="J1426" i="15"/>
  <c r="J1424" i="15"/>
  <c r="J1423" i="15"/>
  <c r="J1419" i="15"/>
  <c r="AW211" i="1" l="1"/>
  <c r="AW590" i="1"/>
  <c r="AV110" i="1" l="1"/>
  <c r="AW446" i="1" l="1"/>
  <c r="AV478" i="1"/>
  <c r="AT406" i="1"/>
  <c r="AU406" i="1"/>
  <c r="AS406" i="1"/>
  <c r="AR406" i="1"/>
  <c r="J1400" i="15" l="1"/>
  <c r="J1399" i="15"/>
  <c r="J1395" i="15"/>
  <c r="J1392" i="15"/>
  <c r="J1390" i="15"/>
  <c r="J1382" i="15"/>
  <c r="J1381" i="15"/>
  <c r="J1380" i="15"/>
  <c r="J1376" i="15"/>
  <c r="AV762" i="1" l="1"/>
  <c r="AV725" i="1"/>
  <c r="AU54" i="1" l="1"/>
  <c r="AU44" i="1"/>
  <c r="AU41" i="1"/>
  <c r="AU37" i="1"/>
  <c r="AU35" i="1"/>
  <c r="AU30" i="1"/>
  <c r="AU28" i="1"/>
  <c r="AU22" i="1"/>
  <c r="AU19" i="1"/>
  <c r="AU18" i="1"/>
  <c r="AU9" i="1"/>
  <c r="AU8" i="1"/>
  <c r="AU7" i="1"/>
  <c r="AU6" i="1"/>
  <c r="J1369" i="15" l="1"/>
  <c r="I1369" i="15"/>
  <c r="J1368" i="15"/>
  <c r="J1367" i="15"/>
  <c r="J1366" i="15"/>
  <c r="J1365" i="15"/>
  <c r="J1364" i="15"/>
  <c r="J1363" i="15"/>
  <c r="J1362" i="15"/>
  <c r="AU23" i="1"/>
  <c r="AU43" i="1"/>
  <c r="AU38" i="1"/>
  <c r="AT43" i="1"/>
  <c r="AT6" i="1"/>
  <c r="AT7" i="1"/>
  <c r="AT37" i="1"/>
  <c r="AT35" i="1"/>
  <c r="AT30" i="1"/>
  <c r="AT28" i="1"/>
  <c r="AT41" i="1"/>
  <c r="AT8" i="1"/>
  <c r="AT19" i="1"/>
  <c r="AT39" i="1"/>
  <c r="AS71" i="1"/>
  <c r="AS44" i="1"/>
  <c r="AS43" i="1"/>
  <c r="AS41" i="1"/>
  <c r="AS39" i="1"/>
  <c r="AS38" i="1"/>
  <c r="AS35" i="1"/>
  <c r="AS30" i="1"/>
  <c r="AS28" i="1"/>
  <c r="AS23" i="1"/>
  <c r="AS18" i="1"/>
  <c r="AS7" i="1"/>
  <c r="AS6" i="1"/>
  <c r="AU646" i="1" l="1"/>
  <c r="AU471" i="1" l="1"/>
  <c r="AU443" i="1"/>
  <c r="AU79" i="1"/>
  <c r="AT79" i="1"/>
  <c r="I1194" i="15" l="1"/>
  <c r="AU814" i="1"/>
  <c r="J1353" i="15" l="1"/>
  <c r="J1352" i="15"/>
  <c r="J1349" i="15"/>
  <c r="J1345" i="15"/>
  <c r="J1344" i="15"/>
  <c r="I1344" i="15"/>
  <c r="J1332" i="15"/>
  <c r="J1342" i="15"/>
  <c r="J1333" i="15"/>
  <c r="J1331" i="15"/>
  <c r="J1330" i="15"/>
  <c r="J1325" i="15"/>
  <c r="J1324" i="15"/>
  <c r="J1321" i="15"/>
  <c r="J1319" i="15"/>
  <c r="J1318" i="15"/>
  <c r="I1318" i="15"/>
  <c r="J1308" i="15"/>
  <c r="I1308" i="15"/>
  <c r="V441" i="1"/>
  <c r="AT782" i="1"/>
  <c r="J1304" i="15"/>
  <c r="J1301" i="15"/>
  <c r="I1141" i="15"/>
  <c r="AT101" i="1" l="1"/>
  <c r="AJ101" i="1"/>
  <c r="J1299" i="15"/>
  <c r="J1298" i="15"/>
  <c r="I1298" i="15"/>
  <c r="J1297" i="15"/>
  <c r="J1296" i="15"/>
  <c r="J1295" i="15"/>
  <c r="J1282" i="15"/>
  <c r="J1272" i="15"/>
  <c r="J1271" i="15"/>
  <c r="J1269" i="15"/>
  <c r="I1269" i="15"/>
  <c r="J1266" i="15"/>
  <c r="J1265" i="15"/>
  <c r="AS530" i="1" l="1"/>
  <c r="AS421" i="1"/>
  <c r="AR43" i="1"/>
  <c r="AR6" i="1"/>
  <c r="AR7" i="1"/>
  <c r="AR41" i="1"/>
  <c r="AR8" i="1"/>
  <c r="AR37" i="1"/>
  <c r="AR30" i="1"/>
  <c r="AR28" i="1"/>
  <c r="AR23" i="1"/>
  <c r="AR44" i="1"/>
  <c r="J1262" i="15"/>
  <c r="J1259" i="15"/>
  <c r="J1263" i="15"/>
  <c r="I1263" i="15"/>
  <c r="J1261" i="15"/>
  <c r="I1261" i="15"/>
  <c r="J1260" i="15"/>
  <c r="I1260" i="15"/>
  <c r="J1254" i="15" l="1"/>
  <c r="J1253" i="15"/>
  <c r="J1241" i="15"/>
  <c r="J1240" i="15"/>
  <c r="J1234" i="15"/>
  <c r="J1231" i="15"/>
  <c r="J1228" i="15"/>
  <c r="J1224" i="15"/>
  <c r="J1223" i="15"/>
  <c r="J1222" i="15"/>
  <c r="J1221" i="15"/>
  <c r="K1219" i="15"/>
  <c r="J1216" i="15"/>
  <c r="J1203" i="15" l="1"/>
  <c r="J1202" i="15"/>
  <c r="J1201" i="15"/>
  <c r="I1201" i="15"/>
  <c r="J1200" i="15"/>
  <c r="I1200" i="15"/>
  <c r="J1199" i="15"/>
  <c r="J1198" i="15"/>
  <c r="J1197" i="15"/>
  <c r="J1194" i="15" l="1"/>
  <c r="J1193" i="15"/>
  <c r="J1186" i="15"/>
  <c r="J1185" i="15"/>
  <c r="J1184" i="15"/>
  <c r="J1183" i="15"/>
  <c r="J1182" i="15"/>
  <c r="I1182" i="15"/>
  <c r="J1180" i="15"/>
  <c r="I1180" i="15"/>
  <c r="J1178" i="15"/>
  <c r="I1178" i="15"/>
  <c r="J1175" i="15"/>
  <c r="J1158" i="15"/>
  <c r="J1173" i="15" l="1"/>
  <c r="I1173" i="15"/>
  <c r="I1167" i="15"/>
  <c r="J1167" i="15"/>
  <c r="AR505" i="1"/>
  <c r="AR471" i="1"/>
  <c r="AR446" i="1"/>
  <c r="AR440" i="1"/>
  <c r="AR419" i="1"/>
  <c r="AI183" i="1"/>
  <c r="AQ7" i="1"/>
  <c r="AQ28" i="1"/>
  <c r="J1165" i="15"/>
  <c r="J1163" i="15"/>
  <c r="J1161" i="15"/>
  <c r="AK23" i="1"/>
  <c r="AK19" i="1"/>
  <c r="AK43" i="1"/>
  <c r="AK44" i="1"/>
  <c r="AK47" i="1"/>
  <c r="AK38" i="1"/>
  <c r="AK6" i="1"/>
  <c r="AK7" i="1"/>
  <c r="AK39" i="1"/>
  <c r="AK41" i="1"/>
  <c r="AK9" i="1"/>
  <c r="AK8" i="1"/>
  <c r="AK37" i="1"/>
  <c r="AK35" i="1"/>
  <c r="AK30" i="1"/>
  <c r="AK28" i="1"/>
  <c r="AK22" i="1"/>
  <c r="AK71" i="1"/>
  <c r="AJ71" i="1"/>
  <c r="AJ47" i="1"/>
  <c r="AJ44" i="1"/>
  <c r="AJ43" i="1"/>
  <c r="AJ41" i="1"/>
  <c r="AJ39" i="1"/>
  <c r="AJ38" i="1"/>
  <c r="AJ37" i="1"/>
  <c r="AJ35" i="1"/>
  <c r="AJ30" i="1"/>
  <c r="AJ28" i="1"/>
  <c r="AJ23" i="1"/>
  <c r="AJ22" i="1"/>
  <c r="AJ19" i="1"/>
  <c r="AJ18" i="1"/>
  <c r="AJ9" i="1"/>
  <c r="AJ8" i="1"/>
  <c r="AJ7" i="1"/>
  <c r="AJ6" i="1"/>
  <c r="AI43" i="1"/>
  <c r="AI41" i="1"/>
  <c r="AI39" i="1"/>
  <c r="AI38" i="1"/>
  <c r="AI37" i="1"/>
  <c r="AI30" i="1"/>
  <c r="AI23" i="1"/>
  <c r="AI19" i="1"/>
  <c r="AI7" i="1"/>
  <c r="AI6" i="1"/>
  <c r="AK154" i="1" l="1"/>
  <c r="AR211" i="1"/>
  <c r="I1157" i="15"/>
  <c r="I1126" i="15"/>
  <c r="J1155" i="15" l="1"/>
  <c r="J1148" i="15"/>
  <c r="J1147" i="15"/>
  <c r="J1146" i="15"/>
  <c r="J1144" i="15"/>
  <c r="J1141" i="15"/>
  <c r="J1140" i="15"/>
  <c r="J1128" i="15" l="1"/>
  <c r="I1128" i="15"/>
  <c r="J1121" i="15"/>
  <c r="I760" i="15"/>
  <c r="J1119" i="15"/>
  <c r="I1119" i="15"/>
  <c r="J1118" i="15"/>
  <c r="I1118" i="15"/>
  <c r="J1117" i="15"/>
  <c r="AQ506" i="1"/>
  <c r="AR22" i="1"/>
  <c r="AQ105" i="1"/>
  <c r="J1099" i="15"/>
  <c r="I1099" i="15"/>
  <c r="I785" i="15"/>
  <c r="I728" i="15"/>
  <c r="J1094" i="15" l="1"/>
  <c r="J1082" i="15"/>
  <c r="J1081" i="15"/>
  <c r="J1079" i="15"/>
  <c r="J1076" i="15"/>
  <c r="J1075" i="15"/>
  <c r="J1074" i="15"/>
  <c r="J1073" i="15"/>
  <c r="J1071" i="15"/>
  <c r="J1070" i="15"/>
  <c r="J1066" i="15"/>
  <c r="J1062" i="15"/>
  <c r="J1037" i="15"/>
  <c r="J1036" i="15"/>
  <c r="J1035" i="15"/>
  <c r="J1034" i="15" l="1"/>
  <c r="J1024" i="15"/>
  <c r="I1024" i="15"/>
  <c r="K1023" i="15" l="1"/>
  <c r="J1022" i="15"/>
  <c r="J1021" i="15"/>
  <c r="AK407" i="1" l="1"/>
  <c r="AG407" i="1"/>
  <c r="I758" i="15" l="1"/>
  <c r="J1017" i="15"/>
  <c r="AJ479" i="1" l="1"/>
  <c r="AJ149" i="1"/>
  <c r="J191" i="1" l="1"/>
  <c r="C153" i="1"/>
  <c r="AJ449" i="1"/>
  <c r="AJ446" i="1"/>
  <c r="J1010" i="15"/>
  <c r="J1004" i="15"/>
  <c r="J1000" i="15"/>
  <c r="I999" i="15"/>
  <c r="AJ443" i="1"/>
  <c r="AI443" i="1"/>
  <c r="AH443" i="1"/>
  <c r="AG443" i="1"/>
  <c r="AF443" i="1"/>
  <c r="AE443" i="1"/>
  <c r="J996" i="15"/>
  <c r="J988" i="15"/>
  <c r="J987" i="15"/>
  <c r="J986" i="15"/>
  <c r="J985" i="15"/>
  <c r="J983" i="15"/>
  <c r="J981" i="15"/>
  <c r="AI47" i="1" l="1"/>
  <c r="AI8" i="1"/>
  <c r="AI28" i="1"/>
  <c r="AI35" i="1"/>
  <c r="AI44" i="1"/>
  <c r="AH406" i="1" l="1"/>
  <c r="AH18" i="1" l="1"/>
  <c r="AH41" i="1"/>
  <c r="AH43" i="1"/>
  <c r="AH47" i="1"/>
  <c r="AH6" i="1"/>
  <c r="AH7" i="1"/>
  <c r="AH37" i="1"/>
  <c r="AH30" i="1"/>
  <c r="AH28" i="1"/>
  <c r="AH44" i="1"/>
  <c r="AH38" i="1"/>
  <c r="AH39" i="1"/>
  <c r="AH9" i="1"/>
  <c r="AH35" i="1"/>
  <c r="J975" i="15"/>
  <c r="I975" i="15"/>
  <c r="I973" i="15"/>
  <c r="J972" i="15"/>
  <c r="J971" i="15"/>
  <c r="I971" i="15"/>
  <c r="J970" i="15"/>
  <c r="J969" i="15"/>
  <c r="J968" i="15"/>
  <c r="J967" i="15"/>
  <c r="J965" i="15"/>
  <c r="I965" i="15"/>
  <c r="C965" i="1" l="1"/>
  <c r="AI79" i="1" l="1"/>
  <c r="AF79" i="1"/>
  <c r="AI590" i="1"/>
  <c r="J963" i="15"/>
  <c r="J962" i="15"/>
  <c r="I962" i="15"/>
  <c r="J960" i="15"/>
  <c r="J959" i="15" l="1"/>
  <c r="I959" i="15"/>
  <c r="J958" i="15" l="1"/>
  <c r="J956" i="15" l="1"/>
  <c r="J954" i="15"/>
  <c r="J948" i="15"/>
  <c r="J949" i="15"/>
  <c r="I744" i="15" l="1"/>
  <c r="J943" i="15"/>
  <c r="J925" i="15"/>
  <c r="I925" i="15"/>
  <c r="J911" i="15"/>
  <c r="AH446" i="1" l="1"/>
  <c r="AH465" i="1"/>
  <c r="I899" i="15"/>
  <c r="AG19" i="1" l="1"/>
  <c r="AG43" i="1"/>
  <c r="AG47" i="1"/>
  <c r="AG6" i="1"/>
  <c r="AG7" i="1"/>
  <c r="AG39" i="1"/>
  <c r="AG42" i="1"/>
  <c r="AG37" i="1"/>
  <c r="AG35" i="1"/>
  <c r="AG30" i="1"/>
  <c r="AG28" i="1"/>
  <c r="AG22" i="1"/>
  <c r="AG23" i="1"/>
  <c r="AG44" i="1"/>
  <c r="J906" i="15" l="1"/>
  <c r="J904" i="15"/>
  <c r="J898" i="15"/>
  <c r="J897" i="15"/>
  <c r="J895" i="15"/>
  <c r="J893" i="15"/>
  <c r="J890" i="15"/>
  <c r="J835" i="15"/>
  <c r="J834" i="15"/>
  <c r="J889" i="15"/>
  <c r="J877" i="15"/>
  <c r="I877" i="15"/>
  <c r="J876" i="15"/>
  <c r="I876" i="15"/>
  <c r="J873" i="15"/>
  <c r="J869" i="15"/>
  <c r="I867" i="15"/>
  <c r="J867" i="15"/>
  <c r="J866" i="15"/>
  <c r="I866" i="15"/>
  <c r="J865" i="15"/>
  <c r="I865" i="15"/>
  <c r="J864" i="15"/>
  <c r="I864" i="15"/>
  <c r="J863" i="15"/>
  <c r="J862" i="15"/>
  <c r="J856" i="15"/>
  <c r="I856" i="15"/>
  <c r="J855" i="15"/>
  <c r="J853" i="15"/>
  <c r="J851" i="15"/>
  <c r="AE590" i="1"/>
  <c r="AG505" i="1"/>
  <c r="AG465" i="1"/>
  <c r="AF23" i="1"/>
  <c r="AF19" i="1"/>
  <c r="AF44" i="1"/>
  <c r="AF38" i="1"/>
  <c r="AF6" i="1"/>
  <c r="AF7" i="1"/>
  <c r="AF42" i="1"/>
  <c r="AF41" i="1"/>
  <c r="AF37" i="1"/>
  <c r="AF30" i="1"/>
  <c r="AF28" i="1"/>
  <c r="AF39" i="1"/>
  <c r="AE43" i="1"/>
  <c r="AE44" i="1"/>
  <c r="AE38" i="1"/>
  <c r="AE6" i="1"/>
  <c r="AE7" i="1"/>
  <c r="AE42" i="1"/>
  <c r="AE37" i="1"/>
  <c r="AE30" i="1"/>
  <c r="AE28" i="1"/>
  <c r="AE22" i="1"/>
  <c r="AE47" i="1"/>
  <c r="AE39" i="1"/>
  <c r="AE41" i="1"/>
  <c r="AE8" i="1"/>
  <c r="I825" i="15"/>
  <c r="J849" i="15"/>
  <c r="I651" i="15"/>
  <c r="J848" i="15"/>
  <c r="I848" i="15"/>
  <c r="J836" i="15"/>
  <c r="J832" i="15"/>
  <c r="J823" i="15"/>
  <c r="J820" i="15"/>
  <c r="J818" i="15"/>
  <c r="J817" i="15"/>
  <c r="I816" i="15"/>
  <c r="J810" i="15"/>
  <c r="J809" i="15"/>
  <c r="J808" i="15"/>
  <c r="J802" i="15"/>
  <c r="I802" i="15"/>
  <c r="J801" i="15"/>
  <c r="I801" i="15"/>
  <c r="I798" i="15"/>
  <c r="J799" i="15"/>
  <c r="I799" i="15"/>
  <c r="AG646" i="1"/>
  <c r="J788" i="15"/>
  <c r="I788" i="15"/>
  <c r="J787" i="15"/>
  <c r="I787" i="15"/>
  <c r="J785" i="15"/>
  <c r="J781" i="15"/>
  <c r="J778" i="15"/>
  <c r="J777" i="15"/>
  <c r="J775" i="15"/>
  <c r="J772" i="15"/>
  <c r="J764" i="15"/>
  <c r="I764" i="15"/>
  <c r="J763" i="15"/>
  <c r="J756" i="15"/>
  <c r="J754" i="15"/>
  <c r="J752" i="15"/>
  <c r="J750" i="15"/>
  <c r="I750" i="15"/>
  <c r="J749" i="15"/>
  <c r="I749" i="15"/>
  <c r="J748" i="15"/>
  <c r="I748" i="15"/>
  <c r="AF446" i="1"/>
  <c r="X82" i="1"/>
  <c r="V123" i="1"/>
  <c r="W154" i="1"/>
  <c r="I369" i="15"/>
  <c r="AF596" i="1"/>
  <c r="J740" i="15"/>
  <c r="J739" i="15"/>
  <c r="J738" i="15"/>
  <c r="I738" i="15"/>
  <c r="J737" i="15"/>
  <c r="J736" i="15"/>
  <c r="I736" i="15"/>
  <c r="J735" i="15"/>
  <c r="I735" i="15"/>
  <c r="J734" i="15"/>
  <c r="J733" i="15"/>
  <c r="I733" i="15"/>
  <c r="J732" i="15"/>
  <c r="I732" i="15"/>
  <c r="J731" i="15"/>
  <c r="J730" i="15"/>
  <c r="I730" i="15"/>
  <c r="J729" i="15"/>
  <c r="I729" i="15"/>
  <c r="J728" i="15"/>
  <c r="J724" i="15"/>
  <c r="J712" i="15"/>
  <c r="J710" i="15"/>
  <c r="I708" i="15"/>
  <c r="J706" i="15"/>
  <c r="J700" i="15"/>
  <c r="J698" i="15"/>
  <c r="J686" i="15"/>
  <c r="J685" i="15"/>
  <c r="J684" i="15"/>
  <c r="J682" i="15"/>
  <c r="J681" i="15"/>
  <c r="Y498" i="1"/>
  <c r="AE530" i="1"/>
  <c r="AE446" i="1"/>
  <c r="AE419" i="1"/>
  <c r="J680" i="15"/>
  <c r="AE101" i="1"/>
  <c r="S125" i="1"/>
  <c r="J678" i="15"/>
  <c r="I441" i="15"/>
  <c r="I324" i="15"/>
  <c r="AE661" i="1"/>
  <c r="Y22" i="1"/>
  <c r="Y19" i="1"/>
  <c r="Y43" i="1"/>
  <c r="Y44" i="1"/>
  <c r="Y47" i="1"/>
  <c r="Y38" i="1"/>
  <c r="Y6" i="1"/>
  <c r="Y7" i="1"/>
  <c r="Y39" i="1"/>
  <c r="Y42" i="1"/>
  <c r="Y41" i="1"/>
  <c r="Y8" i="1"/>
  <c r="Y37" i="1"/>
  <c r="Y35" i="1"/>
  <c r="Y30" i="1"/>
  <c r="Y28" i="1"/>
  <c r="Y71" i="1"/>
  <c r="Y23" i="1"/>
  <c r="Y9" i="1"/>
  <c r="X71" i="1"/>
  <c r="X19" i="1"/>
  <c r="X43" i="1"/>
  <c r="X44" i="1"/>
  <c r="X47" i="1"/>
  <c r="X38" i="1"/>
  <c r="X6" i="1"/>
  <c r="X7" i="1"/>
  <c r="X39" i="1"/>
  <c r="X41" i="1"/>
  <c r="X9" i="1"/>
  <c r="X8" i="1"/>
  <c r="X37" i="1"/>
  <c r="X35" i="1"/>
  <c r="X30" i="1"/>
  <c r="X28" i="1"/>
  <c r="X22" i="1"/>
  <c r="X23" i="1"/>
  <c r="X42" i="1"/>
  <c r="J677" i="15"/>
  <c r="J676" i="15"/>
  <c r="J675" i="15"/>
  <c r="J674" i="15"/>
  <c r="J664" i="15"/>
  <c r="J663" i="15"/>
  <c r="J661" i="15"/>
  <c r="J654" i="15"/>
  <c r="J652" i="15"/>
  <c r="J651" i="15"/>
  <c r="J650" i="15"/>
  <c r="J649" i="15"/>
  <c r="J648" i="15"/>
  <c r="J643" i="15"/>
  <c r="J640" i="15"/>
  <c r="J638" i="15"/>
  <c r="Y443" i="1"/>
  <c r="Y530" i="1"/>
  <c r="Y446" i="1"/>
  <c r="Y130" i="1"/>
  <c r="J637" i="15"/>
  <c r="J635" i="15"/>
  <c r="I634" i="15"/>
  <c r="J633" i="15"/>
  <c r="S160" i="1"/>
  <c r="X661" i="1"/>
  <c r="J626" i="15"/>
  <c r="J623" i="15"/>
  <c r="J612" i="15"/>
  <c r="J611" i="15"/>
  <c r="J603" i="15"/>
  <c r="J602" i="15"/>
  <c r="J601" i="15"/>
  <c r="J595" i="15"/>
  <c r="W465" i="1"/>
  <c r="J592" i="15"/>
  <c r="I487" i="15"/>
  <c r="I571" i="15"/>
  <c r="W60" i="1"/>
  <c r="W47" i="1"/>
  <c r="W43" i="1"/>
  <c r="W42" i="1"/>
  <c r="W41" i="1"/>
  <c r="W39" i="1"/>
  <c r="W38" i="1"/>
  <c r="W37" i="1"/>
  <c r="W35" i="1"/>
  <c r="W28" i="1"/>
  <c r="W9" i="1"/>
  <c r="W8" i="1"/>
  <c r="W7" i="1"/>
  <c r="W6" i="1"/>
  <c r="W30" i="1"/>
  <c r="W44" i="1"/>
  <c r="W72" i="1"/>
  <c r="W19" i="1"/>
  <c r="V43" i="1"/>
  <c r="V6" i="1"/>
  <c r="V7" i="1"/>
  <c r="V37" i="1"/>
  <c r="V30" i="1"/>
  <c r="V28" i="1"/>
  <c r="V71" i="1"/>
  <c r="V22" i="1"/>
  <c r="V44" i="1"/>
  <c r="V47" i="1"/>
  <c r="V38" i="1"/>
  <c r="V39" i="1"/>
  <c r="V41" i="1"/>
  <c r="V52" i="1"/>
  <c r="J590" i="15"/>
  <c r="J589" i="15"/>
  <c r="W505" i="1"/>
  <c r="W530" i="1"/>
  <c r="I572" i="15"/>
  <c r="W596" i="1"/>
  <c r="W661" i="1"/>
  <c r="I467" i="15"/>
  <c r="J584" i="15"/>
  <c r="J582" i="15"/>
  <c r="K577" i="15"/>
  <c r="J574" i="15"/>
  <c r="J567" i="15"/>
  <c r="J564" i="15"/>
  <c r="J562" i="15"/>
  <c r="J561" i="15"/>
  <c r="J560" i="15"/>
  <c r="J559" i="15"/>
  <c r="J558" i="15"/>
  <c r="J557" i="15"/>
  <c r="J554" i="15"/>
  <c r="J553" i="15"/>
  <c r="J552" i="15"/>
  <c r="J551" i="15"/>
  <c r="J550" i="15"/>
  <c r="J539" i="15"/>
  <c r="J527" i="15"/>
  <c r="I198" i="15"/>
  <c r="I8" i="15"/>
  <c r="V505" i="1"/>
  <c r="V484" i="1"/>
  <c r="U43" i="1"/>
  <c r="U44" i="1"/>
  <c r="U6" i="1"/>
  <c r="U7" i="1"/>
  <c r="U39" i="1"/>
  <c r="U42" i="1"/>
  <c r="U41" i="1"/>
  <c r="U8" i="1"/>
  <c r="U37" i="1"/>
  <c r="U30" i="1"/>
  <c r="U28" i="1"/>
  <c r="U22" i="1"/>
  <c r="U19" i="1"/>
  <c r="U38" i="1"/>
  <c r="U9" i="1"/>
  <c r="J523" i="15"/>
  <c r="J522" i="15"/>
  <c r="I522" i="15"/>
  <c r="J521" i="15"/>
  <c r="J520" i="15"/>
  <c r="K186" i="1"/>
  <c r="V661" i="1"/>
  <c r="V596" i="1"/>
  <c r="M443" i="1"/>
  <c r="W443" i="1"/>
  <c r="J497" i="15"/>
  <c r="J488" i="15"/>
  <c r="J487" i="15"/>
  <c r="J464" i="15"/>
  <c r="J463" i="15"/>
  <c r="J462" i="15"/>
  <c r="U446" i="1"/>
  <c r="U443" i="1"/>
  <c r="U79" i="1"/>
  <c r="U729" i="1"/>
  <c r="J461" i="15"/>
  <c r="I461" i="15"/>
  <c r="J456" i="15"/>
  <c r="T465" i="1"/>
  <c r="J452" i="15"/>
  <c r="I353" i="15"/>
  <c r="I358" i="15"/>
  <c r="I428" i="15"/>
  <c r="J447" i="15"/>
  <c r="J446" i="15"/>
  <c r="J444" i="15"/>
  <c r="J443" i="15"/>
  <c r="I442" i="15"/>
  <c r="J442" i="15"/>
  <c r="T23" i="1"/>
  <c r="T44" i="1"/>
  <c r="T47" i="1"/>
  <c r="T6" i="1"/>
  <c r="T7" i="1"/>
  <c r="T39" i="1"/>
  <c r="T41" i="1"/>
  <c r="T9" i="1"/>
  <c r="T8" i="1"/>
  <c r="T37" i="1"/>
  <c r="T35" i="1"/>
  <c r="T30" i="1"/>
  <c r="T28" i="1"/>
  <c r="J441" i="15"/>
  <c r="U661" i="1"/>
  <c r="U646" i="1"/>
  <c r="J440" i="15"/>
  <c r="J435" i="15"/>
  <c r="J431" i="15"/>
  <c r="J430" i="15"/>
  <c r="J424" i="15"/>
  <c r="J423" i="15"/>
  <c r="J422" i="15"/>
  <c r="J421" i="15"/>
  <c r="J420" i="15"/>
  <c r="J419" i="15"/>
  <c r="J418" i="15"/>
  <c r="J417" i="15"/>
  <c r="J414" i="15"/>
  <c r="J412" i="15"/>
  <c r="J411" i="15"/>
  <c r="J410" i="15"/>
  <c r="I410" i="15"/>
  <c r="J409" i="15"/>
  <c r="I409" i="15"/>
  <c r="J392" i="15"/>
  <c r="I392" i="15"/>
  <c r="J391" i="15"/>
  <c r="I391" i="15"/>
  <c r="J390" i="15"/>
  <c r="I390" i="15"/>
  <c r="J386" i="15"/>
  <c r="J385" i="15"/>
  <c r="K385" i="15"/>
  <c r="J383" i="15"/>
  <c r="I383" i="15"/>
  <c r="J381" i="15"/>
  <c r="I381" i="15"/>
  <c r="J380" i="15"/>
  <c r="J377" i="15"/>
  <c r="J375" i="15"/>
  <c r="J373" i="15"/>
  <c r="T446" i="1"/>
  <c r="T101" i="1"/>
  <c r="S44" i="1"/>
  <c r="S6" i="1"/>
  <c r="S7" i="1"/>
  <c r="S42" i="1"/>
  <c r="S8" i="1"/>
  <c r="S37" i="1"/>
  <c r="S35" i="1"/>
  <c r="S30" i="1"/>
  <c r="S28" i="1"/>
  <c r="S71" i="1"/>
  <c r="S43" i="1"/>
  <c r="S47" i="1"/>
  <c r="S38" i="1"/>
  <c r="S41" i="1"/>
  <c r="M18" i="1"/>
  <c r="M23" i="1"/>
  <c r="M19" i="1"/>
  <c r="M43" i="1"/>
  <c r="M44" i="1"/>
  <c r="M6" i="1"/>
  <c r="M7" i="1"/>
  <c r="M41" i="1"/>
  <c r="M9" i="1"/>
  <c r="M8" i="1"/>
  <c r="M37" i="1"/>
  <c r="M35" i="1"/>
  <c r="M30" i="1"/>
  <c r="M28" i="1"/>
  <c r="M55" i="1"/>
  <c r="M22" i="1"/>
  <c r="M47" i="1"/>
  <c r="M39" i="1"/>
  <c r="M42" i="1"/>
  <c r="L71" i="1"/>
  <c r="L22" i="1"/>
  <c r="L23" i="1"/>
  <c r="L43" i="1"/>
  <c r="L44" i="1"/>
  <c r="L6" i="1"/>
  <c r="L7" i="1"/>
  <c r="L39" i="1"/>
  <c r="L37" i="1"/>
  <c r="L35" i="1"/>
  <c r="L30" i="1"/>
  <c r="L28" i="1"/>
  <c r="L18" i="1"/>
  <c r="L19" i="1"/>
  <c r="L38" i="1"/>
  <c r="L42" i="1"/>
  <c r="L9" i="1"/>
  <c r="L8" i="1"/>
  <c r="J365" i="15"/>
  <c r="J360" i="15"/>
  <c r="J354" i="15"/>
  <c r="J353" i="15"/>
  <c r="J352" i="15"/>
  <c r="J351" i="15"/>
  <c r="J346" i="15"/>
  <c r="J343" i="15"/>
  <c r="J338" i="15"/>
  <c r="J333" i="15"/>
  <c r="J332" i="15"/>
  <c r="J324" i="15"/>
  <c r="S82" i="1"/>
  <c r="J322" i="15"/>
  <c r="T661" i="1"/>
  <c r="I81" i="15"/>
  <c r="I320" i="15"/>
  <c r="I319" i="15"/>
  <c r="S443" i="1"/>
  <c r="S406" i="1"/>
  <c r="C995" i="1"/>
  <c r="C683" i="1"/>
  <c r="S661" i="1"/>
  <c r="J317" i="15"/>
  <c r="T18" i="1"/>
  <c r="J309" i="15"/>
  <c r="J293" i="15"/>
  <c r="J282" i="15"/>
  <c r="J281" i="15"/>
  <c r="J280" i="15"/>
  <c r="J279" i="15"/>
  <c r="J278" i="15"/>
  <c r="J268" i="15"/>
  <c r="J269" i="15"/>
  <c r="J267" i="15"/>
  <c r="J266" i="15"/>
  <c r="J270" i="15"/>
  <c r="I209" i="15"/>
  <c r="J260" i="15"/>
  <c r="J258" i="15"/>
  <c r="J249" i="15"/>
  <c r="I249" i="15"/>
  <c r="J248" i="15"/>
  <c r="I248" i="15"/>
  <c r="J247" i="15"/>
  <c r="I114" i="15"/>
  <c r="J246" i="15"/>
  <c r="M768" i="1"/>
  <c r="M683" i="1"/>
  <c r="M661" i="1"/>
  <c r="M530" i="1"/>
  <c r="J243" i="15"/>
  <c r="M446" i="1"/>
  <c r="L796" i="1"/>
  <c r="J240" i="15"/>
  <c r="J238" i="15"/>
  <c r="J235" i="15"/>
  <c r="J228" i="15"/>
  <c r="J226" i="15"/>
  <c r="J224" i="15"/>
  <c r="J217" i="15"/>
  <c r="J216" i="15"/>
  <c r="J214" i="15"/>
  <c r="J212" i="15"/>
  <c r="J209" i="15"/>
  <c r="J208" i="15"/>
  <c r="J206" i="15"/>
  <c r="J205" i="15"/>
  <c r="C755" i="1"/>
  <c r="L661" i="1"/>
  <c r="C863" i="1"/>
  <c r="K23" i="1"/>
  <c r="K19" i="1"/>
  <c r="K43" i="1"/>
  <c r="K38" i="1"/>
  <c r="K6" i="1"/>
  <c r="K7" i="1"/>
  <c r="K37" i="1"/>
  <c r="K30" i="1"/>
  <c r="K28" i="1"/>
  <c r="K22" i="1"/>
  <c r="K42" i="1"/>
  <c r="K505" i="1"/>
  <c r="K530" i="1"/>
  <c r="K471" i="1"/>
  <c r="K465" i="1"/>
  <c r="L443" i="1"/>
  <c r="K442" i="1"/>
  <c r="K661" i="1"/>
  <c r="J187" i="15"/>
  <c r="K8" i="1"/>
  <c r="J23" i="1"/>
  <c r="J19" i="1"/>
  <c r="J43" i="1"/>
  <c r="J44" i="1"/>
  <c r="J38" i="1"/>
  <c r="J6" i="1"/>
  <c r="J7" i="1"/>
  <c r="J39" i="1"/>
  <c r="J42" i="1"/>
  <c r="J41" i="1"/>
  <c r="J9" i="1"/>
  <c r="J8" i="1"/>
  <c r="J37" i="1"/>
  <c r="J35" i="1"/>
  <c r="J30" i="1"/>
  <c r="J28" i="1"/>
  <c r="J47" i="1"/>
  <c r="J64" i="1"/>
  <c r="J239" i="1"/>
  <c r="J630" i="1"/>
  <c r="J607" i="1"/>
  <c r="J606" i="1"/>
  <c r="J635" i="1"/>
  <c r="C38" i="1"/>
  <c r="J186" i="15"/>
  <c r="I186" i="15"/>
  <c r="J180" i="15"/>
  <c r="J177" i="15"/>
  <c r="J168" i="15"/>
  <c r="J163" i="15"/>
  <c r="J162" i="15"/>
  <c r="J161" i="15"/>
  <c r="J160" i="15"/>
  <c r="J159" i="15"/>
  <c r="J158" i="15"/>
  <c r="I158" i="15"/>
  <c r="J157" i="15"/>
  <c r="I156" i="15"/>
  <c r="J151" i="15"/>
  <c r="I151" i="15"/>
  <c r="J150" i="15"/>
  <c r="I150" i="15"/>
  <c r="J149" i="15"/>
  <c r="J148" i="15"/>
  <c r="I148" i="15"/>
  <c r="J147" i="15"/>
  <c r="I147" i="15"/>
  <c r="J146" i="15"/>
  <c r="J145" i="15"/>
  <c r="J144" i="15"/>
  <c r="I144" i="15"/>
  <c r="J143" i="15"/>
  <c r="I143" i="15"/>
  <c r="I142" i="15"/>
  <c r="J142" i="15"/>
  <c r="J141" i="15"/>
  <c r="I141" i="15"/>
  <c r="J140" i="15"/>
  <c r="I138" i="15"/>
  <c r="J136" i="15"/>
  <c r="J134" i="15"/>
  <c r="J133" i="15"/>
  <c r="J132" i="15"/>
  <c r="J125" i="15"/>
  <c r="I125" i="15"/>
  <c r="J124" i="15"/>
  <c r="I124" i="15"/>
  <c r="J122" i="15"/>
  <c r="I122" i="15"/>
  <c r="J113" i="15"/>
  <c r="I113" i="15"/>
  <c r="J108" i="15"/>
  <c r="J114" i="15"/>
  <c r="J112" i="15"/>
  <c r="I108" i="15"/>
  <c r="J107" i="15"/>
  <c r="J106" i="15"/>
  <c r="J105" i="15"/>
  <c r="J102" i="15"/>
  <c r="C263" i="1"/>
  <c r="C216" i="1"/>
  <c r="C214" i="1"/>
  <c r="C213" i="1"/>
  <c r="J116" i="1"/>
  <c r="J530" i="1"/>
  <c r="J443" i="1"/>
  <c r="J406" i="1"/>
  <c r="I70" i="15"/>
  <c r="I64" i="15"/>
  <c r="J99" i="15"/>
  <c r="I58" i="15"/>
  <c r="J96" i="15"/>
  <c r="I96" i="15"/>
  <c r="J211" i="1"/>
  <c r="J797" i="1"/>
  <c r="J661" i="1"/>
  <c r="J80" i="15"/>
  <c r="J74" i="15"/>
  <c r="J69" i="15"/>
  <c r="J62" i="15"/>
  <c r="J60" i="15"/>
  <c r="J58" i="15"/>
  <c r="J57" i="15"/>
  <c r="J56" i="15"/>
  <c r="J55" i="15"/>
  <c r="J52" i="15"/>
  <c r="J51" i="15"/>
  <c r="J50" i="15"/>
  <c r="I50" i="15"/>
  <c r="J49" i="15"/>
  <c r="I49" i="15"/>
  <c r="J45" i="15"/>
  <c r="J43" i="15"/>
  <c r="I43" i="15"/>
  <c r="J42" i="15"/>
  <c r="I42" i="15"/>
  <c r="J41" i="15"/>
  <c r="I41" i="15"/>
  <c r="J37" i="15"/>
  <c r="J26" i="15"/>
  <c r="J25" i="15"/>
  <c r="J22" i="15"/>
  <c r="BR596" i="1" s="1" a="1"/>
  <c r="BR596" i="1" s="1"/>
  <c r="J20" i="15"/>
  <c r="I20" i="15"/>
  <c r="J18" i="15"/>
  <c r="I18" i="15"/>
  <c r="J16" i="15"/>
  <c r="I16" i="15"/>
  <c r="J12" i="15"/>
  <c r="I12" i="15"/>
  <c r="J11" i="15"/>
  <c r="C796" i="1"/>
  <c r="C596" i="1"/>
  <c r="C591" i="1"/>
  <c r="C590" i="1"/>
  <c r="C258" i="1"/>
  <c r="C257" i="1"/>
  <c r="C254" i="1"/>
  <c r="C223" i="1"/>
  <c r="C220" i="1"/>
  <c r="C209" i="1"/>
  <c r="C862" i="1"/>
  <c r="C789" i="1"/>
  <c r="C788" i="1"/>
  <c r="C787" i="1"/>
  <c r="C782" i="1"/>
  <c r="C780" i="1"/>
  <c r="C778" i="1"/>
  <c r="C763" i="1"/>
  <c r="BS596" i="1"/>
  <c r="BM596" i="1"/>
  <c r="BK596" i="1"/>
  <c r="BZ596" i="1" s="1"/>
  <c r="BA596" i="1"/>
  <c r="AX596" i="1"/>
  <c r="BY596" i="1" s="1"/>
  <c r="AO596" i="1"/>
  <c r="AL596" i="1"/>
  <c r="BX596" i="1" s="1"/>
  <c r="AC596" i="1"/>
  <c r="Z596" i="1"/>
  <c r="BW596" i="1" s="1"/>
  <c r="Q596" i="1"/>
  <c r="N596" i="1"/>
  <c r="E596" i="1"/>
  <c r="Z595" i="1"/>
  <c r="BW595" i="1" s="1"/>
  <c r="BS595" i="1"/>
  <c r="BR595" i="1" a="1"/>
  <c r="BR595" i="1" s="1"/>
  <c r="BM595" i="1"/>
  <c r="BK595" i="1"/>
  <c r="BZ595" i="1" s="1"/>
  <c r="BA595" i="1"/>
  <c r="AX595" i="1"/>
  <c r="BY595" i="1" s="1"/>
  <c r="AO595" i="1"/>
  <c r="AL595" i="1"/>
  <c r="AC595" i="1"/>
  <c r="Q595" i="1"/>
  <c r="N595" i="1"/>
  <c r="BV595" i="1" s="1"/>
  <c r="E595" i="1"/>
  <c r="BS594" i="1"/>
  <c r="BR594" i="1" a="1"/>
  <c r="BR594" i="1" s="1"/>
  <c r="BM594" i="1"/>
  <c r="BK594" i="1"/>
  <c r="BZ594" i="1" s="1"/>
  <c r="BA594" i="1"/>
  <c r="AX594" i="1"/>
  <c r="BY594" i="1" s="1"/>
  <c r="AO594" i="1"/>
  <c r="AL594" i="1"/>
  <c r="BX594" i="1" s="1"/>
  <c r="AC594" i="1"/>
  <c r="Z594" i="1"/>
  <c r="BW594" i="1"/>
  <c r="Q594" i="1"/>
  <c r="N594" i="1"/>
  <c r="E594" i="1"/>
  <c r="BS593" i="1"/>
  <c r="BR593" i="1" a="1"/>
  <c r="BR593" i="1" s="1"/>
  <c r="BM593" i="1"/>
  <c r="BK593" i="1"/>
  <c r="BZ593" i="1" s="1"/>
  <c r="BA593" i="1"/>
  <c r="AX593" i="1"/>
  <c r="BY593" i="1" s="1"/>
  <c r="AO593" i="1"/>
  <c r="AL593" i="1"/>
  <c r="BX593" i="1" s="1"/>
  <c r="AC593" i="1"/>
  <c r="Z593" i="1"/>
  <c r="BW593" i="1" s="1"/>
  <c r="Q593" i="1"/>
  <c r="N593" i="1"/>
  <c r="BV593" i="1" s="1"/>
  <c r="E593" i="1"/>
  <c r="BS592" i="1"/>
  <c r="BR592" i="1" a="1"/>
  <c r="BR592" i="1" s="1"/>
  <c r="BM592" i="1"/>
  <c r="BK592" i="1"/>
  <c r="BZ592" i="1" s="1"/>
  <c r="BA592" i="1"/>
  <c r="AX592" i="1"/>
  <c r="BY592" i="1" s="1"/>
  <c r="AO592" i="1"/>
  <c r="AL592" i="1"/>
  <c r="AC592" i="1"/>
  <c r="Z592" i="1"/>
  <c r="BW592" i="1"/>
  <c r="Q592" i="1"/>
  <c r="N592" i="1"/>
  <c r="BV592" i="1" s="1"/>
  <c r="E592" i="1"/>
  <c r="BS591" i="1"/>
  <c r="BR591" i="1" a="1"/>
  <c r="BR591" i="1" s="1"/>
  <c r="BM591" i="1"/>
  <c r="BK591" i="1"/>
  <c r="BZ591" i="1" s="1"/>
  <c r="BA591" i="1"/>
  <c r="AX591" i="1"/>
  <c r="BY591" i="1" s="1"/>
  <c r="AO591" i="1"/>
  <c r="AL591" i="1"/>
  <c r="AC591" i="1"/>
  <c r="Z591" i="1"/>
  <c r="BW591" i="1" s="1"/>
  <c r="Q591" i="1"/>
  <c r="N591" i="1"/>
  <c r="BV591" i="1" s="1"/>
  <c r="E591" i="1"/>
  <c r="BS590" i="1"/>
  <c r="BR590" i="1" a="1"/>
  <c r="BR590" i="1" s="1"/>
  <c r="BM590" i="1"/>
  <c r="BK590" i="1"/>
  <c r="BZ590" i="1" s="1"/>
  <c r="BA590" i="1"/>
  <c r="AX590" i="1"/>
  <c r="BY590" i="1" s="1"/>
  <c r="AO590" i="1"/>
  <c r="AL590" i="1"/>
  <c r="AC590" i="1"/>
  <c r="Z590" i="1"/>
  <c r="BW590" i="1" s="1"/>
  <c r="Q590" i="1"/>
  <c r="N590" i="1"/>
  <c r="BV590" i="1" s="1"/>
  <c r="E590" i="1"/>
  <c r="BS589" i="1"/>
  <c r="BR589" i="1" a="1"/>
  <c r="BR589" i="1" s="1"/>
  <c r="BM589" i="1"/>
  <c r="BK589" i="1"/>
  <c r="BZ589" i="1" s="1"/>
  <c r="BA589" i="1"/>
  <c r="AX589" i="1"/>
  <c r="BY589" i="1" s="1"/>
  <c r="AO589" i="1"/>
  <c r="AL589" i="1"/>
  <c r="BX589" i="1" s="1"/>
  <c r="AC589" i="1"/>
  <c r="Z589" i="1"/>
  <c r="BW589" i="1" s="1"/>
  <c r="Q589" i="1"/>
  <c r="N589" i="1"/>
  <c r="BV589" i="1"/>
  <c r="E589" i="1"/>
  <c r="BS588" i="1"/>
  <c r="BR588" i="1" a="1"/>
  <c r="BR588" i="1" s="1"/>
  <c r="BM588" i="1"/>
  <c r="BK588" i="1"/>
  <c r="BZ588" i="1" s="1"/>
  <c r="BA588" i="1"/>
  <c r="AX588" i="1"/>
  <c r="BY588" i="1" s="1"/>
  <c r="AO588" i="1"/>
  <c r="AL588" i="1"/>
  <c r="BX588" i="1" s="1"/>
  <c r="AC588" i="1"/>
  <c r="Z588" i="1"/>
  <c r="BW588" i="1"/>
  <c r="Q588" i="1"/>
  <c r="N588" i="1"/>
  <c r="BV588" i="1" s="1"/>
  <c r="E588" i="1"/>
  <c r="BS587" i="1"/>
  <c r="BR587" i="1" a="1"/>
  <c r="BR587" i="1" s="1"/>
  <c r="BM587" i="1"/>
  <c r="BK587" i="1"/>
  <c r="BZ587" i="1" s="1"/>
  <c r="BA587" i="1"/>
  <c r="AX587" i="1"/>
  <c r="BY587" i="1" s="1"/>
  <c r="AO587" i="1"/>
  <c r="AL587" i="1"/>
  <c r="AC587" i="1"/>
  <c r="Z587" i="1"/>
  <c r="BW587" i="1"/>
  <c r="Q587" i="1"/>
  <c r="N587" i="1"/>
  <c r="BV587" i="1" s="1"/>
  <c r="E587" i="1"/>
  <c r="BS586" i="1"/>
  <c r="BR586" i="1" a="1"/>
  <c r="BR586" i="1" s="1"/>
  <c r="BM586" i="1"/>
  <c r="BK586" i="1"/>
  <c r="BZ586" i="1" s="1"/>
  <c r="BA586" i="1"/>
  <c r="AX586" i="1"/>
  <c r="BY586" i="1"/>
  <c r="AO586" i="1"/>
  <c r="AL586" i="1"/>
  <c r="BX586" i="1" s="1"/>
  <c r="AC586" i="1"/>
  <c r="Z586" i="1"/>
  <c r="BW586" i="1" s="1"/>
  <c r="Q586" i="1"/>
  <c r="N586" i="1"/>
  <c r="BV586" i="1" s="1"/>
  <c r="E586" i="1"/>
  <c r="BS585" i="1"/>
  <c r="BR585" i="1" a="1"/>
  <c r="BR585" i="1" s="1"/>
  <c r="BM585" i="1"/>
  <c r="BK585" i="1"/>
  <c r="BZ585" i="1" s="1"/>
  <c r="BA585" i="1"/>
  <c r="AX585" i="1"/>
  <c r="BY585" i="1"/>
  <c r="AO585" i="1"/>
  <c r="AL585" i="1"/>
  <c r="BX585" i="1" s="1"/>
  <c r="AC585" i="1"/>
  <c r="Z585" i="1"/>
  <c r="BW585" i="1"/>
  <c r="Q585" i="1"/>
  <c r="N585" i="1"/>
  <c r="E585" i="1"/>
  <c r="BS584" i="1"/>
  <c r="BR584" i="1" a="1"/>
  <c r="BR584" i="1" s="1"/>
  <c r="BM584" i="1"/>
  <c r="BK584" i="1"/>
  <c r="BZ584" i="1" s="1"/>
  <c r="BA584" i="1"/>
  <c r="AX584" i="1"/>
  <c r="BY584" i="1"/>
  <c r="AO584" i="1"/>
  <c r="AL584" i="1"/>
  <c r="BX584" i="1" s="1"/>
  <c r="AC584" i="1"/>
  <c r="Z584" i="1"/>
  <c r="BW584" i="1"/>
  <c r="Q584" i="1"/>
  <c r="N584" i="1"/>
  <c r="E584" i="1"/>
  <c r="BS583" i="1"/>
  <c r="BR583" i="1" a="1"/>
  <c r="BR583" i="1" s="1"/>
  <c r="BM583" i="1"/>
  <c r="BK583" i="1"/>
  <c r="BZ583" i="1" s="1"/>
  <c r="BA583" i="1"/>
  <c r="AX583" i="1"/>
  <c r="BY583" i="1"/>
  <c r="AO583" i="1"/>
  <c r="AL583" i="1"/>
  <c r="BX583" i="1" s="1"/>
  <c r="AC583" i="1"/>
  <c r="Z583" i="1"/>
  <c r="Q583" i="1"/>
  <c r="N583" i="1"/>
  <c r="BV583" i="1" s="1"/>
  <c r="E583" i="1"/>
  <c r="BS582" i="1"/>
  <c r="BR582" i="1" a="1"/>
  <c r="BR582" i="1" s="1"/>
  <c r="BM582" i="1"/>
  <c r="BK582" i="1"/>
  <c r="BZ582" i="1" s="1"/>
  <c r="BA582" i="1"/>
  <c r="AX582" i="1"/>
  <c r="BY582" i="1" s="1"/>
  <c r="AO582" i="1"/>
  <c r="AL582" i="1"/>
  <c r="BX582" i="1" s="1"/>
  <c r="AC582" i="1"/>
  <c r="Z582" i="1"/>
  <c r="BW582" i="1" s="1"/>
  <c r="Q582" i="1"/>
  <c r="N582" i="1"/>
  <c r="E582" i="1"/>
  <c r="BS581" i="1"/>
  <c r="BR581" i="1" a="1"/>
  <c r="BR581" i="1" s="1"/>
  <c r="BM581" i="1"/>
  <c r="BK581" i="1"/>
  <c r="BZ581" i="1"/>
  <c r="BA581" i="1"/>
  <c r="AX581" i="1"/>
  <c r="BY581" i="1" s="1"/>
  <c r="AO581" i="1"/>
  <c r="AL581" i="1"/>
  <c r="BX581" i="1" s="1"/>
  <c r="AC581" i="1"/>
  <c r="Z581" i="1"/>
  <c r="BW581" i="1"/>
  <c r="Q581" i="1"/>
  <c r="N581" i="1"/>
  <c r="E581" i="1"/>
  <c r="BS580" i="1"/>
  <c r="BR580" i="1" a="1"/>
  <c r="BR580" i="1" s="1"/>
  <c r="BM580" i="1"/>
  <c r="BK580" i="1"/>
  <c r="BZ580" i="1" s="1"/>
  <c r="BA580" i="1"/>
  <c r="AX580" i="1"/>
  <c r="BY580" i="1" s="1"/>
  <c r="AO580" i="1"/>
  <c r="AL580" i="1"/>
  <c r="BX580" i="1" s="1"/>
  <c r="AC580" i="1"/>
  <c r="Z580" i="1"/>
  <c r="BW580" i="1"/>
  <c r="Q580" i="1"/>
  <c r="N580" i="1"/>
  <c r="BV580" i="1" s="1"/>
  <c r="E580" i="1"/>
  <c r="BS579" i="1"/>
  <c r="BR579" i="1" a="1"/>
  <c r="BR579" i="1" s="1"/>
  <c r="BM579" i="1"/>
  <c r="BK579" i="1"/>
  <c r="BZ579" i="1" s="1"/>
  <c r="BA579" i="1"/>
  <c r="AX579" i="1"/>
  <c r="BY579" i="1" s="1"/>
  <c r="AO579" i="1"/>
  <c r="AL579" i="1"/>
  <c r="BX579" i="1" s="1"/>
  <c r="AC579" i="1"/>
  <c r="Z579" i="1"/>
  <c r="Q579" i="1"/>
  <c r="N579" i="1"/>
  <c r="BV579" i="1"/>
  <c r="E579" i="1"/>
  <c r="BS578" i="1"/>
  <c r="BR578" i="1" a="1"/>
  <c r="BR578" i="1" s="1"/>
  <c r="BM578" i="1"/>
  <c r="BK578" i="1"/>
  <c r="BZ578" i="1"/>
  <c r="BA578" i="1"/>
  <c r="AX578" i="1"/>
  <c r="BY578" i="1" s="1"/>
  <c r="AO578" i="1"/>
  <c r="AL578" i="1"/>
  <c r="BX578" i="1"/>
  <c r="AC578" i="1"/>
  <c r="Z578" i="1"/>
  <c r="Q578" i="1"/>
  <c r="N578" i="1"/>
  <c r="E578" i="1"/>
  <c r="AL577" i="1"/>
  <c r="BX577" i="1" s="1"/>
  <c r="BS577" i="1"/>
  <c r="BR577" i="1" a="1"/>
  <c r="BR577" i="1" s="1"/>
  <c r="BM577" i="1"/>
  <c r="BK577" i="1"/>
  <c r="BZ577" i="1" s="1"/>
  <c r="BA577" i="1"/>
  <c r="AX577" i="1"/>
  <c r="BY577" i="1" s="1"/>
  <c r="AO577" i="1"/>
  <c r="AC577" i="1"/>
  <c r="Z577" i="1"/>
  <c r="BW577" i="1" s="1"/>
  <c r="Q577" i="1"/>
  <c r="N577" i="1"/>
  <c r="BV577" i="1" s="1"/>
  <c r="E577" i="1"/>
  <c r="BS576" i="1"/>
  <c r="BR576" i="1" a="1"/>
  <c r="BR576" i="1" s="1"/>
  <c r="BM576" i="1"/>
  <c r="BK576" i="1"/>
  <c r="BZ576" i="1"/>
  <c r="BA576" i="1"/>
  <c r="AX576" i="1"/>
  <c r="BY576" i="1" s="1"/>
  <c r="AO576" i="1"/>
  <c r="AL576" i="1"/>
  <c r="BX576" i="1"/>
  <c r="AC576" i="1"/>
  <c r="Z576" i="1"/>
  <c r="Q576" i="1"/>
  <c r="N576" i="1"/>
  <c r="BV576" i="1" s="1"/>
  <c r="E576" i="1"/>
  <c r="AL575" i="1"/>
  <c r="BX575" i="1"/>
  <c r="BS575" i="1"/>
  <c r="BR575" i="1" a="1"/>
  <c r="BR575" i="1" s="1"/>
  <c r="BM575" i="1"/>
  <c r="BK575" i="1"/>
  <c r="BZ575" i="1" s="1"/>
  <c r="BA575" i="1"/>
  <c r="AX575" i="1"/>
  <c r="BY575" i="1" s="1"/>
  <c r="AO575" i="1"/>
  <c r="AC575" i="1"/>
  <c r="Z575" i="1"/>
  <c r="BW575" i="1" s="1"/>
  <c r="Q575" i="1"/>
  <c r="N575" i="1"/>
  <c r="BV575" i="1"/>
  <c r="E575" i="1"/>
  <c r="BS574" i="1"/>
  <c r="BR574" i="1" a="1"/>
  <c r="BR574" i="1" s="1"/>
  <c r="BM574" i="1"/>
  <c r="BK574" i="1"/>
  <c r="BZ574" i="1" s="1"/>
  <c r="BA574" i="1"/>
  <c r="AX574" i="1"/>
  <c r="BY574" i="1" s="1"/>
  <c r="AO574" i="1"/>
  <c r="AL574" i="1"/>
  <c r="BX574" i="1"/>
  <c r="AC574" i="1"/>
  <c r="Z574" i="1"/>
  <c r="Q574" i="1"/>
  <c r="N574" i="1"/>
  <c r="BV574" i="1"/>
  <c r="E574" i="1"/>
  <c r="BV578" i="1"/>
  <c r="BV582" i="1"/>
  <c r="BX591" i="1"/>
  <c r="BN586" i="1"/>
  <c r="BO586" i="1" s="1" a="1"/>
  <c r="BO586" i="1" s="1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248" i="15"/>
  <c r="E249" i="15"/>
  <c r="E250" i="15"/>
  <c r="E251" i="15"/>
  <c r="E252" i="15"/>
  <c r="E253" i="15"/>
  <c r="E254" i="15"/>
  <c r="E255" i="15"/>
  <c r="E256" i="15"/>
  <c r="E257" i="15"/>
  <c r="E258" i="15"/>
  <c r="E259" i="15"/>
  <c r="E260" i="15"/>
  <c r="E261" i="15"/>
  <c r="E262" i="15"/>
  <c r="E263" i="15"/>
  <c r="E264" i="15"/>
  <c r="E265" i="15"/>
  <c r="E266" i="15"/>
  <c r="E267" i="15"/>
  <c r="E268" i="15"/>
  <c r="E269" i="15"/>
  <c r="E270" i="15"/>
  <c r="E271" i="15"/>
  <c r="E272" i="15"/>
  <c r="E273" i="15"/>
  <c r="E274" i="15"/>
  <c r="E275" i="15"/>
  <c r="E276" i="15"/>
  <c r="E277" i="15"/>
  <c r="E278" i="15"/>
  <c r="E279" i="15"/>
  <c r="E280" i="15"/>
  <c r="E281" i="15"/>
  <c r="E282" i="15"/>
  <c r="E283" i="15"/>
  <c r="E284" i="15"/>
  <c r="E285" i="15"/>
  <c r="E286" i="15"/>
  <c r="E287" i="15"/>
  <c r="E288" i="15"/>
  <c r="E289" i="15"/>
  <c r="E290" i="15"/>
  <c r="E291" i="15"/>
  <c r="E292" i="15"/>
  <c r="E293" i="15"/>
  <c r="E294" i="15"/>
  <c r="E295" i="15"/>
  <c r="E296" i="15"/>
  <c r="E297" i="15"/>
  <c r="E298" i="15"/>
  <c r="E299" i="15"/>
  <c r="E300" i="15"/>
  <c r="E301" i="15"/>
  <c r="E302" i="15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E316" i="15"/>
  <c r="E317" i="15"/>
  <c r="E318" i="15"/>
  <c r="E319" i="15"/>
  <c r="E320" i="15"/>
  <c r="E321" i="15"/>
  <c r="E322" i="15"/>
  <c r="E323" i="15"/>
  <c r="E324" i="15"/>
  <c r="E325" i="15"/>
  <c r="E326" i="15"/>
  <c r="E327" i="15"/>
  <c r="E328" i="15"/>
  <c r="E329" i="15"/>
  <c r="E330" i="15"/>
  <c r="E331" i="15"/>
  <c r="E332" i="15"/>
  <c r="E333" i="15"/>
  <c r="E334" i="15"/>
  <c r="E335" i="15"/>
  <c r="E336" i="15"/>
  <c r="E337" i="15"/>
  <c r="E338" i="15"/>
  <c r="E339" i="15"/>
  <c r="E340" i="15"/>
  <c r="E341" i="15"/>
  <c r="E342" i="15"/>
  <c r="E343" i="15"/>
  <c r="E344" i="15"/>
  <c r="E345" i="15"/>
  <c r="E346" i="15"/>
  <c r="E347" i="15"/>
  <c r="E348" i="15"/>
  <c r="E349" i="15"/>
  <c r="E350" i="15"/>
  <c r="E351" i="15"/>
  <c r="E352" i="15"/>
  <c r="E353" i="15"/>
  <c r="E354" i="15"/>
  <c r="E355" i="15"/>
  <c r="E356" i="15"/>
  <c r="E357" i="15"/>
  <c r="E358" i="15"/>
  <c r="E359" i="15"/>
  <c r="E360" i="15"/>
  <c r="E361" i="15"/>
  <c r="E362" i="15"/>
  <c r="E363" i="15"/>
  <c r="E364" i="15"/>
  <c r="E365" i="15"/>
  <c r="E366" i="15"/>
  <c r="E367" i="15"/>
  <c r="E368" i="15"/>
  <c r="E369" i="15"/>
  <c r="E370" i="15"/>
  <c r="E371" i="15"/>
  <c r="E372" i="15"/>
  <c r="E373" i="15"/>
  <c r="E374" i="15"/>
  <c r="E375" i="15"/>
  <c r="E376" i="15"/>
  <c r="E377" i="15"/>
  <c r="E378" i="15"/>
  <c r="E379" i="15"/>
  <c r="E380" i="15"/>
  <c r="E381" i="15"/>
  <c r="E382" i="15"/>
  <c r="E383" i="15"/>
  <c r="E384" i="15"/>
  <c r="E385" i="15"/>
  <c r="E386" i="15"/>
  <c r="E387" i="15"/>
  <c r="E388" i="15"/>
  <c r="E389" i="15"/>
  <c r="E390" i="15"/>
  <c r="E391" i="15"/>
  <c r="E392" i="15"/>
  <c r="E393" i="15"/>
  <c r="E394" i="15"/>
  <c r="E395" i="15"/>
  <c r="E396" i="15"/>
  <c r="E397" i="15"/>
  <c r="E398" i="15"/>
  <c r="E399" i="15"/>
  <c r="E400" i="15"/>
  <c r="E401" i="15"/>
  <c r="E402" i="15"/>
  <c r="E403" i="15"/>
  <c r="E404" i="15"/>
  <c r="E405" i="15"/>
  <c r="E406" i="15"/>
  <c r="E407" i="15"/>
  <c r="E408" i="15"/>
  <c r="E409" i="15"/>
  <c r="E410" i="15"/>
  <c r="E411" i="15"/>
  <c r="E412" i="15"/>
  <c r="E413" i="15"/>
  <c r="E414" i="15"/>
  <c r="E415" i="15"/>
  <c r="E416" i="15"/>
  <c r="E417" i="15"/>
  <c r="E418" i="15"/>
  <c r="E419" i="15"/>
  <c r="E420" i="15"/>
  <c r="E421" i="15"/>
  <c r="E422" i="15"/>
  <c r="E423" i="15"/>
  <c r="E424" i="15"/>
  <c r="E425" i="15"/>
  <c r="E426" i="15"/>
  <c r="E427" i="15"/>
  <c r="E428" i="15"/>
  <c r="E429" i="15"/>
  <c r="E430" i="15"/>
  <c r="E431" i="15"/>
  <c r="E432" i="15"/>
  <c r="E433" i="15"/>
  <c r="E434" i="15"/>
  <c r="E435" i="15"/>
  <c r="E436" i="15"/>
  <c r="E437" i="15"/>
  <c r="E438" i="15"/>
  <c r="E439" i="15"/>
  <c r="E440" i="15"/>
  <c r="E441" i="15"/>
  <c r="E442" i="15"/>
  <c r="E443" i="15"/>
  <c r="E444" i="15"/>
  <c r="E445" i="15"/>
  <c r="E446" i="15"/>
  <c r="E447" i="15"/>
  <c r="E448" i="15"/>
  <c r="E449" i="15"/>
  <c r="E450" i="15"/>
  <c r="E451" i="15"/>
  <c r="E452" i="15"/>
  <c r="E453" i="15"/>
  <c r="E454" i="15"/>
  <c r="E455" i="15"/>
  <c r="E456" i="15"/>
  <c r="E457" i="15"/>
  <c r="E458" i="15"/>
  <c r="E459" i="15"/>
  <c r="E460" i="15"/>
  <c r="E461" i="15"/>
  <c r="E462" i="15"/>
  <c r="E463" i="15"/>
  <c r="E464" i="15"/>
  <c r="E465" i="15"/>
  <c r="E466" i="15"/>
  <c r="E467" i="15"/>
  <c r="E468" i="15"/>
  <c r="E469" i="15"/>
  <c r="E470" i="15"/>
  <c r="E471" i="15"/>
  <c r="E472" i="15"/>
  <c r="E473" i="15"/>
  <c r="E474" i="15"/>
  <c r="E475" i="15"/>
  <c r="E476" i="15"/>
  <c r="E477" i="15"/>
  <c r="E478" i="15"/>
  <c r="E479" i="15"/>
  <c r="E480" i="15"/>
  <c r="E481" i="15"/>
  <c r="E482" i="15"/>
  <c r="E483" i="15"/>
  <c r="E484" i="15"/>
  <c r="E485" i="15"/>
  <c r="E486" i="15"/>
  <c r="E487" i="15"/>
  <c r="E488" i="15"/>
  <c r="E489" i="15"/>
  <c r="E490" i="15"/>
  <c r="E491" i="15"/>
  <c r="E492" i="15"/>
  <c r="E493" i="15"/>
  <c r="E494" i="15"/>
  <c r="E495" i="15"/>
  <c r="E496" i="15"/>
  <c r="E497" i="15"/>
  <c r="E498" i="15"/>
  <c r="E499" i="15"/>
  <c r="E500" i="15"/>
  <c r="E501" i="15"/>
  <c r="E502" i="15"/>
  <c r="E503" i="15"/>
  <c r="E504" i="15"/>
  <c r="E505" i="15"/>
  <c r="E506" i="15"/>
  <c r="E507" i="15"/>
  <c r="E508" i="15"/>
  <c r="E509" i="15"/>
  <c r="E510" i="15"/>
  <c r="E511" i="15"/>
  <c r="E512" i="15"/>
  <c r="E513" i="15"/>
  <c r="E514" i="15"/>
  <c r="E515" i="15"/>
  <c r="E516" i="15"/>
  <c r="E517" i="15"/>
  <c r="E518" i="15"/>
  <c r="E519" i="15"/>
  <c r="E520" i="15"/>
  <c r="E521" i="15"/>
  <c r="E522" i="15"/>
  <c r="E523" i="15"/>
  <c r="E524" i="15"/>
  <c r="E525" i="15"/>
  <c r="E526" i="15"/>
  <c r="E527" i="15"/>
  <c r="E528" i="15"/>
  <c r="E529" i="15"/>
  <c r="E530" i="15"/>
  <c r="E531" i="15"/>
  <c r="E532" i="15"/>
  <c r="E533" i="15"/>
  <c r="E534" i="15"/>
  <c r="E535" i="15"/>
  <c r="E536" i="15"/>
  <c r="E537" i="15"/>
  <c r="E538" i="15"/>
  <c r="E539" i="15"/>
  <c r="E540" i="15"/>
  <c r="E541" i="15"/>
  <c r="E542" i="15"/>
  <c r="E543" i="15"/>
  <c r="E544" i="15"/>
  <c r="E545" i="15"/>
  <c r="E546" i="15"/>
  <c r="E547" i="15"/>
  <c r="E548" i="15"/>
  <c r="E549" i="15"/>
  <c r="E550" i="15"/>
  <c r="E551" i="15"/>
  <c r="E552" i="15"/>
  <c r="E553" i="15"/>
  <c r="E554" i="15"/>
  <c r="E555" i="15"/>
  <c r="E556" i="15"/>
  <c r="E557" i="15"/>
  <c r="E558" i="15"/>
  <c r="E559" i="15"/>
  <c r="E560" i="15"/>
  <c r="E561" i="15"/>
  <c r="E562" i="15"/>
  <c r="E563" i="15"/>
  <c r="E564" i="15"/>
  <c r="E565" i="15"/>
  <c r="E566" i="15"/>
  <c r="E567" i="15"/>
  <c r="E568" i="15"/>
  <c r="E569" i="15"/>
  <c r="E570" i="15"/>
  <c r="E571" i="15"/>
  <c r="E572" i="15"/>
  <c r="E573" i="15"/>
  <c r="E574" i="15"/>
  <c r="E575" i="15"/>
  <c r="E576" i="15"/>
  <c r="E577" i="15"/>
  <c r="E578" i="15"/>
  <c r="E579" i="15"/>
  <c r="E580" i="15"/>
  <c r="E581" i="15"/>
  <c r="E582" i="15"/>
  <c r="E583" i="15"/>
  <c r="E584" i="15"/>
  <c r="E585" i="15"/>
  <c r="E586" i="15"/>
  <c r="E587" i="15"/>
  <c r="E588" i="15"/>
  <c r="E589" i="15"/>
  <c r="E590" i="15"/>
  <c r="E591" i="15"/>
  <c r="E592" i="15"/>
  <c r="E593" i="15"/>
  <c r="E594" i="15"/>
  <c r="E595" i="15"/>
  <c r="E596" i="15"/>
  <c r="E597" i="15"/>
  <c r="E598" i="15"/>
  <c r="E599" i="15"/>
  <c r="E600" i="15"/>
  <c r="E601" i="15"/>
  <c r="E602" i="15"/>
  <c r="E603" i="15"/>
  <c r="E604" i="15"/>
  <c r="E605" i="15"/>
  <c r="E606" i="15"/>
  <c r="E607" i="15"/>
  <c r="E608" i="15"/>
  <c r="E609" i="15"/>
  <c r="E610" i="15"/>
  <c r="E611" i="15"/>
  <c r="E612" i="15"/>
  <c r="E613" i="15"/>
  <c r="E614" i="15"/>
  <c r="E615" i="15"/>
  <c r="E616" i="15"/>
  <c r="E617" i="15"/>
  <c r="E618" i="15"/>
  <c r="E619" i="15"/>
  <c r="E620" i="15"/>
  <c r="E621" i="15"/>
  <c r="E622" i="15"/>
  <c r="E623" i="15"/>
  <c r="E624" i="15"/>
  <c r="E625" i="15"/>
  <c r="E626" i="15"/>
  <c r="E627" i="15"/>
  <c r="E628" i="15"/>
  <c r="E629" i="15"/>
  <c r="E630" i="15"/>
  <c r="E631" i="15"/>
  <c r="E632" i="15"/>
  <c r="E633" i="15"/>
  <c r="E634" i="15"/>
  <c r="E635" i="15"/>
  <c r="E636" i="15"/>
  <c r="E637" i="15"/>
  <c r="E638" i="15"/>
  <c r="E639" i="15"/>
  <c r="E640" i="15"/>
  <c r="E641" i="15"/>
  <c r="E642" i="15"/>
  <c r="E643" i="15"/>
  <c r="E644" i="15"/>
  <c r="E645" i="15"/>
  <c r="E646" i="15"/>
  <c r="E647" i="15"/>
  <c r="E648" i="15"/>
  <c r="E649" i="15"/>
  <c r="E650" i="15"/>
  <c r="E651" i="15"/>
  <c r="E652" i="15"/>
  <c r="E653" i="15"/>
  <c r="E654" i="15"/>
  <c r="E655" i="15"/>
  <c r="E656" i="15"/>
  <c r="E657" i="15"/>
  <c r="E658" i="15"/>
  <c r="E659" i="15"/>
  <c r="E660" i="15"/>
  <c r="E661" i="15"/>
  <c r="E662" i="15"/>
  <c r="E663" i="15"/>
  <c r="E664" i="15"/>
  <c r="E665" i="15"/>
  <c r="E666" i="15"/>
  <c r="E667" i="15"/>
  <c r="E668" i="15"/>
  <c r="E669" i="15"/>
  <c r="E670" i="15"/>
  <c r="E671" i="15"/>
  <c r="E672" i="15"/>
  <c r="E673" i="15"/>
  <c r="E674" i="15"/>
  <c r="E675" i="15"/>
  <c r="E676" i="15"/>
  <c r="E677" i="15"/>
  <c r="E678" i="15"/>
  <c r="E679" i="15"/>
  <c r="E680" i="15"/>
  <c r="E681" i="15"/>
  <c r="E682" i="15"/>
  <c r="E683" i="15"/>
  <c r="E684" i="15"/>
  <c r="E685" i="15"/>
  <c r="E686" i="15"/>
  <c r="E687" i="15"/>
  <c r="E688" i="15"/>
  <c r="E689" i="15"/>
  <c r="E690" i="15"/>
  <c r="E691" i="15"/>
  <c r="E692" i="15"/>
  <c r="E693" i="15"/>
  <c r="E694" i="15"/>
  <c r="E695" i="15"/>
  <c r="E696" i="15"/>
  <c r="E697" i="15"/>
  <c r="E698" i="15"/>
  <c r="E699" i="15"/>
  <c r="E700" i="15"/>
  <c r="E701" i="15"/>
  <c r="E702" i="15"/>
  <c r="E703" i="15"/>
  <c r="E704" i="15"/>
  <c r="E705" i="15"/>
  <c r="E706" i="15"/>
  <c r="E707" i="15"/>
  <c r="E708" i="15"/>
  <c r="E709" i="15"/>
  <c r="E710" i="15"/>
  <c r="E711" i="15"/>
  <c r="E712" i="15"/>
  <c r="E713" i="15"/>
  <c r="E714" i="15"/>
  <c r="E715" i="15"/>
  <c r="E716" i="15"/>
  <c r="E717" i="15"/>
  <c r="E718" i="15"/>
  <c r="E719" i="15"/>
  <c r="E720" i="15"/>
  <c r="E721" i="15"/>
  <c r="E722" i="15"/>
  <c r="E723" i="15"/>
  <c r="E724" i="15"/>
  <c r="E725" i="15"/>
  <c r="E726" i="15"/>
  <c r="E727" i="15"/>
  <c r="E728" i="15"/>
  <c r="E729" i="15"/>
  <c r="E730" i="15"/>
  <c r="E731" i="15"/>
  <c r="E732" i="15"/>
  <c r="E733" i="15"/>
  <c r="E734" i="15"/>
  <c r="E735" i="15"/>
  <c r="E736" i="15"/>
  <c r="E737" i="15"/>
  <c r="E738" i="15"/>
  <c r="E739" i="15"/>
  <c r="E740" i="15"/>
  <c r="E741" i="15"/>
  <c r="E742" i="15"/>
  <c r="E743" i="15"/>
  <c r="E744" i="15"/>
  <c r="E745" i="15"/>
  <c r="E746" i="15"/>
  <c r="E747" i="15"/>
  <c r="E748" i="15"/>
  <c r="E749" i="15"/>
  <c r="E750" i="15"/>
  <c r="E751" i="15"/>
  <c r="E752" i="15"/>
  <c r="E753" i="15"/>
  <c r="E754" i="15"/>
  <c r="E755" i="15"/>
  <c r="E756" i="15"/>
  <c r="E757" i="15"/>
  <c r="E759" i="15"/>
  <c r="E760" i="15"/>
  <c r="E761" i="15"/>
  <c r="E762" i="15"/>
  <c r="E763" i="15"/>
  <c r="E764" i="15"/>
  <c r="E765" i="15"/>
  <c r="E766" i="15"/>
  <c r="E767" i="15"/>
  <c r="E768" i="15"/>
  <c r="E769" i="15"/>
  <c r="E770" i="15"/>
  <c r="E771" i="15"/>
  <c r="E772" i="15"/>
  <c r="E773" i="15"/>
  <c r="E774" i="15"/>
  <c r="E775" i="15"/>
  <c r="E776" i="15"/>
  <c r="E777" i="15"/>
  <c r="E778" i="15"/>
  <c r="E779" i="15"/>
  <c r="E780" i="15"/>
  <c r="E781" i="15"/>
  <c r="E782" i="15"/>
  <c r="E783" i="15"/>
  <c r="E784" i="15"/>
  <c r="E785" i="15"/>
  <c r="E786" i="15"/>
  <c r="E787" i="15"/>
  <c r="E788" i="15"/>
  <c r="E789" i="15"/>
  <c r="E790" i="15"/>
  <c r="E791" i="15"/>
  <c r="E792" i="15"/>
  <c r="E793" i="15"/>
  <c r="E794" i="15"/>
  <c r="E795" i="15"/>
  <c r="E796" i="15"/>
  <c r="E797" i="15"/>
  <c r="E798" i="15"/>
  <c r="E799" i="15"/>
  <c r="E800" i="15"/>
  <c r="E801" i="15"/>
  <c r="E802" i="15"/>
  <c r="E803" i="15"/>
  <c r="E804" i="15"/>
  <c r="E805" i="15"/>
  <c r="E806" i="15"/>
  <c r="E807" i="15"/>
  <c r="E808" i="15"/>
  <c r="E809" i="15"/>
  <c r="E810" i="15"/>
  <c r="E811" i="15"/>
  <c r="E812" i="15"/>
  <c r="E813" i="15"/>
  <c r="E814" i="15"/>
  <c r="E815" i="15"/>
  <c r="E816" i="15"/>
  <c r="E817" i="15"/>
  <c r="E818" i="15"/>
  <c r="E819" i="15"/>
  <c r="E820" i="15"/>
  <c r="E821" i="15"/>
  <c r="E822" i="15"/>
  <c r="E823" i="15"/>
  <c r="E824" i="15"/>
  <c r="E825" i="15"/>
  <c r="E826" i="15"/>
  <c r="E827" i="15"/>
  <c r="E828" i="15"/>
  <c r="E829" i="15"/>
  <c r="E830" i="15"/>
  <c r="E831" i="15"/>
  <c r="E832" i="15"/>
  <c r="E833" i="15"/>
  <c r="E834" i="15"/>
  <c r="E835" i="15"/>
  <c r="E836" i="15"/>
  <c r="E837" i="15"/>
  <c r="E838" i="15"/>
  <c r="E839" i="15"/>
  <c r="E840" i="15"/>
  <c r="E841" i="15"/>
  <c r="E842" i="15"/>
  <c r="E843" i="15"/>
  <c r="E844" i="15"/>
  <c r="E845" i="15"/>
  <c r="E846" i="15"/>
  <c r="E847" i="15"/>
  <c r="E848" i="15"/>
  <c r="E849" i="15"/>
  <c r="E850" i="15"/>
  <c r="E851" i="15"/>
  <c r="E852" i="15"/>
  <c r="E853" i="15"/>
  <c r="E854" i="15"/>
  <c r="E855" i="15"/>
  <c r="E856" i="15"/>
  <c r="E857" i="15"/>
  <c r="E858" i="15"/>
  <c r="E859" i="15"/>
  <c r="E860" i="15"/>
  <c r="E861" i="15"/>
  <c r="E862" i="15"/>
  <c r="E863" i="15"/>
  <c r="E864" i="15"/>
  <c r="E865" i="15"/>
  <c r="E866" i="15"/>
  <c r="E867" i="15"/>
  <c r="E868" i="15"/>
  <c r="E869" i="15"/>
  <c r="E870" i="15"/>
  <c r="E871" i="15"/>
  <c r="E872" i="15"/>
  <c r="E873" i="15"/>
  <c r="E874" i="15"/>
  <c r="E875" i="15"/>
  <c r="E876" i="15"/>
  <c r="E877" i="15"/>
  <c r="E878" i="15"/>
  <c r="E879" i="15"/>
  <c r="E880" i="15"/>
  <c r="E881" i="15"/>
  <c r="E882" i="15"/>
  <c r="E883" i="15"/>
  <c r="E884" i="15"/>
  <c r="E885" i="15"/>
  <c r="E886" i="15"/>
  <c r="E887" i="15"/>
  <c r="E888" i="15"/>
  <c r="E889" i="15"/>
  <c r="E890" i="15"/>
  <c r="E891" i="15"/>
  <c r="E892" i="15"/>
  <c r="E893" i="15"/>
  <c r="E894" i="15"/>
  <c r="E895" i="15"/>
  <c r="E896" i="15"/>
  <c r="E897" i="15"/>
  <c r="E898" i="15"/>
  <c r="E899" i="15"/>
  <c r="E900" i="15"/>
  <c r="E901" i="15"/>
  <c r="E902" i="15"/>
  <c r="E903" i="15"/>
  <c r="E904" i="15"/>
  <c r="E905" i="15"/>
  <c r="E906" i="15"/>
  <c r="E907" i="15"/>
  <c r="E908" i="15"/>
  <c r="E909" i="15"/>
  <c r="E910" i="15"/>
  <c r="E911" i="15"/>
  <c r="E912" i="15"/>
  <c r="E913" i="15"/>
  <c r="E914" i="15"/>
  <c r="E915" i="15"/>
  <c r="E916" i="15"/>
  <c r="E917" i="15"/>
  <c r="E918" i="15"/>
  <c r="E919" i="15"/>
  <c r="E920" i="15"/>
  <c r="E921" i="15"/>
  <c r="E922" i="15"/>
  <c r="E923" i="15"/>
  <c r="E924" i="15"/>
  <c r="E925" i="15"/>
  <c r="E926" i="15"/>
  <c r="E927" i="15"/>
  <c r="E928" i="15"/>
  <c r="E929" i="15"/>
  <c r="E930" i="15"/>
  <c r="E931" i="15"/>
  <c r="E932" i="15"/>
  <c r="E933" i="15"/>
  <c r="E934" i="15"/>
  <c r="E935" i="15"/>
  <c r="E936" i="15"/>
  <c r="E937" i="15"/>
  <c r="E938" i="15"/>
  <c r="E939" i="15"/>
  <c r="E940" i="15"/>
  <c r="E941" i="15"/>
  <c r="E942" i="15"/>
  <c r="E943" i="15"/>
  <c r="E944" i="15"/>
  <c r="E945" i="15"/>
  <c r="E946" i="15"/>
  <c r="E947" i="15"/>
  <c r="E948" i="15"/>
  <c r="E949" i="15"/>
  <c r="E950" i="15"/>
  <c r="E951" i="15"/>
  <c r="E952" i="15"/>
  <c r="E953" i="15"/>
  <c r="E954" i="15"/>
  <c r="E955" i="15"/>
  <c r="E956" i="15"/>
  <c r="E957" i="15"/>
  <c r="E958" i="15"/>
  <c r="E959" i="15"/>
  <c r="E960" i="15"/>
  <c r="E961" i="15"/>
  <c r="E962" i="15"/>
  <c r="E963" i="15"/>
  <c r="E964" i="15"/>
  <c r="E965" i="15"/>
  <c r="E966" i="15"/>
  <c r="E967" i="15"/>
  <c r="E968" i="15"/>
  <c r="E969" i="15"/>
  <c r="E970" i="15"/>
  <c r="E971" i="15"/>
  <c r="E972" i="15"/>
  <c r="E973" i="15"/>
  <c r="E974" i="15"/>
  <c r="E975" i="15"/>
  <c r="E976" i="15"/>
  <c r="E977" i="15"/>
  <c r="E978" i="15"/>
  <c r="E979" i="15"/>
  <c r="E980" i="15"/>
  <c r="E981" i="15"/>
  <c r="E982" i="15"/>
  <c r="E983" i="15"/>
  <c r="E984" i="15"/>
  <c r="E985" i="15"/>
  <c r="E986" i="15"/>
  <c r="E987" i="15"/>
  <c r="E988" i="15"/>
  <c r="E989" i="15"/>
  <c r="E990" i="15"/>
  <c r="E991" i="15"/>
  <c r="E992" i="15"/>
  <c r="E993" i="15"/>
  <c r="E994" i="15"/>
  <c r="E995" i="15"/>
  <c r="E996" i="15"/>
  <c r="E997" i="15"/>
  <c r="E998" i="15"/>
  <c r="E999" i="15"/>
  <c r="E1000" i="15"/>
  <c r="E1001" i="15"/>
  <c r="E1002" i="15"/>
  <c r="E1003" i="15"/>
  <c r="E1004" i="15"/>
  <c r="E1005" i="15"/>
  <c r="E1006" i="15"/>
  <c r="E1007" i="15"/>
  <c r="E1008" i="15"/>
  <c r="E1009" i="15"/>
  <c r="E1010" i="15"/>
  <c r="E1011" i="15"/>
  <c r="E1012" i="15"/>
  <c r="E1013" i="15"/>
  <c r="E1014" i="15"/>
  <c r="E1015" i="15"/>
  <c r="E1016" i="15"/>
  <c r="E1017" i="15"/>
  <c r="E1018" i="15"/>
  <c r="E1019" i="15"/>
  <c r="E1020" i="15"/>
  <c r="E1021" i="15"/>
  <c r="E1022" i="15"/>
  <c r="E1023" i="15"/>
  <c r="E1024" i="15"/>
  <c r="E1025" i="15"/>
  <c r="E1026" i="15"/>
  <c r="E1027" i="15"/>
  <c r="E1028" i="15"/>
  <c r="E1029" i="15"/>
  <c r="E1030" i="15"/>
  <c r="E1031" i="15"/>
  <c r="E1032" i="15"/>
  <c r="E1033" i="15"/>
  <c r="E1034" i="15"/>
  <c r="E1035" i="15"/>
  <c r="E1036" i="15"/>
  <c r="E1037" i="15"/>
  <c r="E1038" i="15"/>
  <c r="E1039" i="15"/>
  <c r="E1040" i="15"/>
  <c r="E1041" i="15"/>
  <c r="E1042" i="15"/>
  <c r="E1043" i="15"/>
  <c r="E1044" i="15"/>
  <c r="E1045" i="15"/>
  <c r="E1046" i="15"/>
  <c r="E1047" i="15"/>
  <c r="E1048" i="15"/>
  <c r="E1049" i="15"/>
  <c r="E1050" i="15"/>
  <c r="E1051" i="15"/>
  <c r="E1052" i="15"/>
  <c r="E1053" i="15"/>
  <c r="E1054" i="15"/>
  <c r="E1055" i="15"/>
  <c r="E1056" i="15"/>
  <c r="E1057" i="15"/>
  <c r="E1058" i="15"/>
  <c r="E1059" i="15"/>
  <c r="E1060" i="15"/>
  <c r="E1061" i="15"/>
  <c r="E1062" i="15"/>
  <c r="E1063" i="15"/>
  <c r="E1064" i="15"/>
  <c r="E1065" i="15"/>
  <c r="E1066" i="15"/>
  <c r="E1067" i="15"/>
  <c r="E1068" i="15"/>
  <c r="E1069" i="15"/>
  <c r="E1070" i="15"/>
  <c r="E1071" i="15"/>
  <c r="E1072" i="15"/>
  <c r="E1073" i="15"/>
  <c r="E1074" i="15"/>
  <c r="E1075" i="15"/>
  <c r="E1076" i="15"/>
  <c r="E1077" i="15"/>
  <c r="E1078" i="15"/>
  <c r="E1079" i="15"/>
  <c r="E1080" i="15"/>
  <c r="E1081" i="15"/>
  <c r="E1082" i="15"/>
  <c r="E1083" i="15"/>
  <c r="E1084" i="15"/>
  <c r="E1085" i="15"/>
  <c r="E1086" i="15"/>
  <c r="E1087" i="15"/>
  <c r="E1088" i="15"/>
  <c r="E1089" i="15"/>
  <c r="E1090" i="15"/>
  <c r="E1091" i="15"/>
  <c r="E1092" i="15"/>
  <c r="E1093" i="15"/>
  <c r="E1094" i="15"/>
  <c r="E1095" i="15"/>
  <c r="E1096" i="15"/>
  <c r="E1097" i="15"/>
  <c r="E1098" i="15"/>
  <c r="E1099" i="15"/>
  <c r="E1100" i="15"/>
  <c r="E1101" i="15"/>
  <c r="E1102" i="15"/>
  <c r="E1103" i="15"/>
  <c r="E1104" i="15"/>
  <c r="E1105" i="15"/>
  <c r="E1106" i="15"/>
  <c r="E1107" i="15"/>
  <c r="E1108" i="15"/>
  <c r="E1109" i="15"/>
  <c r="E1110" i="15"/>
  <c r="E1111" i="15"/>
  <c r="E1112" i="15"/>
  <c r="E1113" i="15"/>
  <c r="E1114" i="15"/>
  <c r="E1115" i="15"/>
  <c r="E1116" i="15"/>
  <c r="E1117" i="15"/>
  <c r="E1118" i="15"/>
  <c r="E1119" i="15"/>
  <c r="E1120" i="15"/>
  <c r="E1121" i="15"/>
  <c r="E1122" i="15"/>
  <c r="E1123" i="15"/>
  <c r="E1124" i="15"/>
  <c r="E1125" i="15"/>
  <c r="E1126" i="15"/>
  <c r="E1127" i="15"/>
  <c r="E1128" i="15"/>
  <c r="E1129" i="15"/>
  <c r="E1130" i="15"/>
  <c r="E1131" i="15"/>
  <c r="E1132" i="15"/>
  <c r="E1133" i="15"/>
  <c r="E1134" i="15"/>
  <c r="E1135" i="15"/>
  <c r="E1136" i="15"/>
  <c r="E1137" i="15"/>
  <c r="E1138" i="15"/>
  <c r="E1139" i="15"/>
  <c r="E1140" i="15"/>
  <c r="E1141" i="15"/>
  <c r="E1142" i="15"/>
  <c r="E1143" i="15"/>
  <c r="E1144" i="15"/>
  <c r="E1145" i="15"/>
  <c r="E1146" i="15"/>
  <c r="E1147" i="15"/>
  <c r="E1148" i="15"/>
  <c r="E1149" i="15"/>
  <c r="E1150" i="15"/>
  <c r="E1151" i="15"/>
  <c r="E1152" i="15"/>
  <c r="E1153" i="15"/>
  <c r="E1154" i="15"/>
  <c r="E1155" i="15"/>
  <c r="E1156" i="15"/>
  <c r="E1157" i="15"/>
  <c r="E1158" i="15"/>
  <c r="E1159" i="15"/>
  <c r="E1160" i="15"/>
  <c r="E1161" i="15"/>
  <c r="E1162" i="15"/>
  <c r="E1163" i="15"/>
  <c r="E1164" i="15"/>
  <c r="E1165" i="15"/>
  <c r="E1166" i="15"/>
  <c r="E1167" i="15"/>
  <c r="E1168" i="15"/>
  <c r="E1169" i="15"/>
  <c r="E1170" i="15"/>
  <c r="E1171" i="15"/>
  <c r="E1172" i="15"/>
  <c r="E1173" i="15"/>
  <c r="E1174" i="15"/>
  <c r="E1175" i="15"/>
  <c r="E1176" i="15"/>
  <c r="E1177" i="15"/>
  <c r="E1178" i="15"/>
  <c r="E1179" i="15"/>
  <c r="E1180" i="15"/>
  <c r="E1181" i="15"/>
  <c r="E1182" i="15"/>
  <c r="E1183" i="15"/>
  <c r="E1184" i="15"/>
  <c r="E1185" i="15"/>
  <c r="E1186" i="15"/>
  <c r="E1187" i="15"/>
  <c r="E1188" i="15"/>
  <c r="E1189" i="15"/>
  <c r="E1190" i="15"/>
  <c r="E1191" i="15"/>
  <c r="E1192" i="15"/>
  <c r="E1193" i="15"/>
  <c r="E1194" i="15"/>
  <c r="E1195" i="15"/>
  <c r="E1196" i="15"/>
  <c r="E1197" i="15"/>
  <c r="E1198" i="15"/>
  <c r="E1199" i="15"/>
  <c r="E1200" i="15"/>
  <c r="E1201" i="15"/>
  <c r="E1202" i="15"/>
  <c r="E1203" i="15"/>
  <c r="E1204" i="15"/>
  <c r="E1205" i="15"/>
  <c r="E1206" i="15"/>
  <c r="E1207" i="15"/>
  <c r="E1208" i="15"/>
  <c r="E1209" i="15"/>
  <c r="E1210" i="15"/>
  <c r="E1211" i="15"/>
  <c r="E1212" i="15"/>
  <c r="E1213" i="15"/>
  <c r="E1214" i="15"/>
  <c r="E1215" i="15"/>
  <c r="E1216" i="15"/>
  <c r="E1217" i="15"/>
  <c r="E1218" i="15"/>
  <c r="E1219" i="15"/>
  <c r="E1220" i="15"/>
  <c r="E1221" i="15"/>
  <c r="E1222" i="15"/>
  <c r="E1223" i="15"/>
  <c r="E1224" i="15"/>
  <c r="E1225" i="15"/>
  <c r="E1226" i="15"/>
  <c r="E1227" i="15"/>
  <c r="E1228" i="15"/>
  <c r="E1229" i="15"/>
  <c r="E1230" i="15"/>
  <c r="E1231" i="15"/>
  <c r="E1232" i="15"/>
  <c r="E1233" i="15"/>
  <c r="E1234" i="15"/>
  <c r="E1235" i="15"/>
  <c r="E1236" i="15"/>
  <c r="E1237" i="15"/>
  <c r="E1238" i="15"/>
  <c r="E1239" i="15"/>
  <c r="E1240" i="15"/>
  <c r="E1241" i="15"/>
  <c r="E1242" i="15"/>
  <c r="E1243" i="15"/>
  <c r="E1244" i="15"/>
  <c r="E1245" i="15"/>
  <c r="E1246" i="15"/>
  <c r="E1247" i="15"/>
  <c r="E1248" i="15"/>
  <c r="E1249" i="15"/>
  <c r="E1250" i="15"/>
  <c r="E1251" i="15"/>
  <c r="E1252" i="15"/>
  <c r="E1253" i="15"/>
  <c r="E1254" i="15"/>
  <c r="E1255" i="15"/>
  <c r="E1256" i="15"/>
  <c r="E1257" i="15"/>
  <c r="E1258" i="15"/>
  <c r="E1259" i="15"/>
  <c r="E1260" i="15"/>
  <c r="E1261" i="15"/>
  <c r="E1262" i="15"/>
  <c r="E1263" i="15"/>
  <c r="E1264" i="15"/>
  <c r="E1265" i="15"/>
  <c r="E1266" i="15"/>
  <c r="E1267" i="15"/>
  <c r="E1268" i="15"/>
  <c r="E1269" i="15"/>
  <c r="E1270" i="15"/>
  <c r="E1271" i="15"/>
  <c r="E1272" i="15"/>
  <c r="E1273" i="15"/>
  <c r="E1274" i="15"/>
  <c r="E1275" i="15"/>
  <c r="E1276" i="15"/>
  <c r="E1277" i="15"/>
  <c r="E1278" i="15"/>
  <c r="E1279" i="15"/>
  <c r="E1280" i="15"/>
  <c r="E1281" i="15"/>
  <c r="E1282" i="15"/>
  <c r="E1283" i="15"/>
  <c r="E1284" i="15"/>
  <c r="E1285" i="15"/>
  <c r="E1286" i="15"/>
  <c r="E1287" i="15"/>
  <c r="E1288" i="15"/>
  <c r="E1289" i="15"/>
  <c r="E1290" i="15"/>
  <c r="E1291" i="15"/>
  <c r="E1292" i="15"/>
  <c r="E1293" i="15"/>
  <c r="E1294" i="15"/>
  <c r="E1295" i="15"/>
  <c r="E1296" i="15"/>
  <c r="E1297" i="15"/>
  <c r="E1298" i="15"/>
  <c r="E1299" i="15"/>
  <c r="E1300" i="15"/>
  <c r="E1301" i="15"/>
  <c r="E1302" i="15"/>
  <c r="E1303" i="15"/>
  <c r="E1304" i="15"/>
  <c r="E1305" i="15"/>
  <c r="E1306" i="15"/>
  <c r="E1307" i="15"/>
  <c r="E1308" i="15"/>
  <c r="E1309" i="15"/>
  <c r="E1310" i="15"/>
  <c r="E1311" i="15"/>
  <c r="E1312" i="15"/>
  <c r="E1313" i="15"/>
  <c r="E1314" i="15"/>
  <c r="E1315" i="15"/>
  <c r="E1316" i="15"/>
  <c r="E1317" i="15"/>
  <c r="E1318" i="15"/>
  <c r="E1319" i="15"/>
  <c r="E1320" i="15"/>
  <c r="E1321" i="15"/>
  <c r="E1322" i="15"/>
  <c r="E1323" i="15"/>
  <c r="E1324" i="15"/>
  <c r="E1325" i="15"/>
  <c r="E1326" i="15"/>
  <c r="E1327" i="15"/>
  <c r="E1328" i="15"/>
  <c r="E1329" i="15"/>
  <c r="E1330" i="15"/>
  <c r="E1331" i="15"/>
  <c r="E1332" i="15"/>
  <c r="E1333" i="15"/>
  <c r="E1334" i="15"/>
  <c r="E1335" i="15"/>
  <c r="E1336" i="15"/>
  <c r="E1337" i="15"/>
  <c r="E1338" i="15"/>
  <c r="E1339" i="15"/>
  <c r="E1340" i="15"/>
  <c r="E1341" i="15"/>
  <c r="E1342" i="15"/>
  <c r="E1343" i="15"/>
  <c r="E1344" i="15"/>
  <c r="E1345" i="15"/>
  <c r="E1346" i="15"/>
  <c r="E1347" i="15"/>
  <c r="E1348" i="15"/>
  <c r="E1349" i="15"/>
  <c r="E1350" i="15"/>
  <c r="E1351" i="15"/>
  <c r="E1352" i="15"/>
  <c r="E1353" i="15"/>
  <c r="E1354" i="15"/>
  <c r="E1355" i="15"/>
  <c r="E1356" i="15"/>
  <c r="E1357" i="15"/>
  <c r="E1358" i="15"/>
  <c r="E1359" i="15"/>
  <c r="E1360" i="15"/>
  <c r="E1361" i="15"/>
  <c r="E1362" i="15"/>
  <c r="E1363" i="15"/>
  <c r="E1364" i="15"/>
  <c r="E1365" i="15"/>
  <c r="E1366" i="15"/>
  <c r="E1367" i="15"/>
  <c r="E1368" i="15"/>
  <c r="E1369" i="15"/>
  <c r="E1370" i="15"/>
  <c r="E1371" i="15"/>
  <c r="E1372" i="15"/>
  <c r="E1373" i="15"/>
  <c r="E1374" i="15"/>
  <c r="E1375" i="15"/>
  <c r="E1376" i="15"/>
  <c r="E1377" i="15"/>
  <c r="E1378" i="15"/>
  <c r="E1379" i="15"/>
  <c r="E1380" i="15"/>
  <c r="E1381" i="15"/>
  <c r="E1382" i="15"/>
  <c r="E1383" i="15"/>
  <c r="E1384" i="15"/>
  <c r="E1385" i="15"/>
  <c r="E1386" i="15"/>
  <c r="E1387" i="15"/>
  <c r="E1388" i="15"/>
  <c r="E1389" i="15"/>
  <c r="E1390" i="15"/>
  <c r="E1391" i="15"/>
  <c r="E1392" i="15"/>
  <c r="E1393" i="15"/>
  <c r="E1394" i="15"/>
  <c r="E1395" i="15"/>
  <c r="E1396" i="15"/>
  <c r="E1397" i="15"/>
  <c r="E1398" i="15"/>
  <c r="E1399" i="15"/>
  <c r="E1400" i="15"/>
  <c r="E1401" i="15"/>
  <c r="E1402" i="15"/>
  <c r="E1403" i="15"/>
  <c r="E1404" i="15"/>
  <c r="E1405" i="15"/>
  <c r="E1406" i="15"/>
  <c r="E1407" i="15"/>
  <c r="E1408" i="15"/>
  <c r="E1409" i="15"/>
  <c r="E1410" i="15"/>
  <c r="E1411" i="15"/>
  <c r="E1412" i="15"/>
  <c r="E1413" i="15"/>
  <c r="E1414" i="15"/>
  <c r="E1415" i="15"/>
  <c r="E1416" i="15"/>
  <c r="E1417" i="15"/>
  <c r="E1418" i="15"/>
  <c r="E1419" i="15"/>
  <c r="E1420" i="15"/>
  <c r="E1421" i="15"/>
  <c r="E1422" i="15"/>
  <c r="E1423" i="15"/>
  <c r="E1424" i="15"/>
  <c r="E1425" i="15"/>
  <c r="E1426" i="15"/>
  <c r="E1427" i="15"/>
  <c r="E1428" i="15"/>
  <c r="E1429" i="15"/>
  <c r="E1430" i="15"/>
  <c r="E1431" i="15"/>
  <c r="E1432" i="15"/>
  <c r="E1433" i="15"/>
  <c r="E1434" i="15"/>
  <c r="E1435" i="15"/>
  <c r="E1436" i="15"/>
  <c r="E1437" i="15"/>
  <c r="E1438" i="15"/>
  <c r="E1439" i="15"/>
  <c r="E1440" i="15"/>
  <c r="E1441" i="15"/>
  <c r="E1442" i="15"/>
  <c r="E1443" i="15"/>
  <c r="E1444" i="15"/>
  <c r="E1445" i="15"/>
  <c r="E1446" i="15"/>
  <c r="E1447" i="15"/>
  <c r="E1448" i="15"/>
  <c r="E1449" i="15"/>
  <c r="E1450" i="15"/>
  <c r="E1451" i="15"/>
  <c r="E1452" i="15"/>
  <c r="E1453" i="15"/>
  <c r="E1454" i="15"/>
  <c r="E1455" i="15"/>
  <c r="E1456" i="15"/>
  <c r="E1457" i="15"/>
  <c r="E1458" i="15"/>
  <c r="E1459" i="15"/>
  <c r="E1460" i="15"/>
  <c r="E1461" i="15"/>
  <c r="E1462" i="15"/>
  <c r="E1463" i="15"/>
  <c r="E1464" i="15"/>
  <c r="E1465" i="15"/>
  <c r="E1466" i="15"/>
  <c r="E1467" i="15"/>
  <c r="E1468" i="15"/>
  <c r="E1469" i="15"/>
  <c r="E1470" i="15"/>
  <c r="E1471" i="15"/>
  <c r="E1472" i="15"/>
  <c r="E1473" i="15"/>
  <c r="E1474" i="15"/>
  <c r="E1475" i="15"/>
  <c r="E1476" i="15"/>
  <c r="E1477" i="15"/>
  <c r="E1478" i="15"/>
  <c r="E1479" i="15"/>
  <c r="E1480" i="15"/>
  <c r="E1481" i="15"/>
  <c r="E1482" i="15"/>
  <c r="E1483" i="15"/>
  <c r="E1484" i="15"/>
  <c r="E1485" i="15"/>
  <c r="E1486" i="15"/>
  <c r="E1487" i="15"/>
  <c r="E1488" i="15"/>
  <c r="E1489" i="15"/>
  <c r="E1490" i="15"/>
  <c r="E1491" i="15"/>
  <c r="E1492" i="15"/>
  <c r="E1493" i="15"/>
  <c r="E1494" i="15"/>
  <c r="E1495" i="15"/>
  <c r="E1496" i="15"/>
  <c r="E1497" i="15"/>
  <c r="E1498" i="15"/>
  <c r="E1499" i="15"/>
  <c r="E1500" i="15"/>
  <c r="E1501" i="15"/>
  <c r="E1502" i="15"/>
  <c r="E1503" i="15"/>
  <c r="E1504" i="15"/>
  <c r="E1505" i="15"/>
  <c r="E1506" i="15"/>
  <c r="E1507" i="15"/>
  <c r="E1508" i="15"/>
  <c r="E1509" i="15"/>
  <c r="E1510" i="15"/>
  <c r="E1511" i="15"/>
  <c r="E1512" i="15"/>
  <c r="E1513" i="15"/>
  <c r="E1514" i="15"/>
  <c r="E1515" i="15"/>
  <c r="E1516" i="15"/>
  <c r="E1517" i="15"/>
  <c r="E1518" i="15"/>
  <c r="E1519" i="15"/>
  <c r="E1520" i="15"/>
  <c r="E1521" i="15"/>
  <c r="E1522" i="15"/>
  <c r="E1523" i="15"/>
  <c r="E1524" i="15"/>
  <c r="E1525" i="15"/>
  <c r="E1526" i="15"/>
  <c r="E1527" i="15"/>
  <c r="E1528" i="15"/>
  <c r="E1529" i="15"/>
  <c r="E1530" i="15"/>
  <c r="E1531" i="15"/>
  <c r="E1532" i="15"/>
  <c r="E1533" i="15"/>
  <c r="E1534" i="15"/>
  <c r="E1535" i="15"/>
  <c r="E1536" i="15"/>
  <c r="E1537" i="15"/>
  <c r="E1538" i="15"/>
  <c r="E1539" i="15"/>
  <c r="E1540" i="15"/>
  <c r="E1541" i="15"/>
  <c r="E1542" i="15"/>
  <c r="E1543" i="15"/>
  <c r="E1544" i="15"/>
  <c r="E1545" i="15"/>
  <c r="E1546" i="15"/>
  <c r="E1547" i="15"/>
  <c r="E1548" i="15"/>
  <c r="E1549" i="15"/>
  <c r="E1550" i="15"/>
  <c r="E1551" i="15"/>
  <c r="E1552" i="15"/>
  <c r="E1553" i="15"/>
  <c r="E1554" i="15"/>
  <c r="E1555" i="15"/>
  <c r="E1556" i="15"/>
  <c r="E1557" i="15"/>
  <c r="E1558" i="15"/>
  <c r="E1559" i="15"/>
  <c r="E1560" i="15"/>
  <c r="E1561" i="15"/>
  <c r="E1562" i="15"/>
  <c r="E1563" i="15"/>
  <c r="E1564" i="15"/>
  <c r="E1565" i="15"/>
  <c r="E1566" i="15"/>
  <c r="E1567" i="15"/>
  <c r="E1568" i="15"/>
  <c r="E1569" i="15"/>
  <c r="E1570" i="15"/>
  <c r="E1571" i="15"/>
  <c r="E1572" i="15"/>
  <c r="E1573" i="15"/>
  <c r="E1574" i="15"/>
  <c r="E1575" i="15"/>
  <c r="E1576" i="15"/>
  <c r="E1577" i="15"/>
  <c r="E1578" i="15"/>
  <c r="E1579" i="15"/>
  <c r="E1580" i="15"/>
  <c r="E1581" i="15"/>
  <c r="E1582" i="15"/>
  <c r="E1583" i="15"/>
  <c r="E1584" i="15"/>
  <c r="E1585" i="15"/>
  <c r="E1586" i="15"/>
  <c r="E1587" i="15"/>
  <c r="E1588" i="15"/>
  <c r="E1589" i="15"/>
  <c r="E1590" i="15"/>
  <c r="E1591" i="15"/>
  <c r="E1592" i="15"/>
  <c r="E1593" i="15"/>
  <c r="E1594" i="15"/>
  <c r="E1595" i="15"/>
  <c r="E1596" i="15"/>
  <c r="E1597" i="15"/>
  <c r="E1598" i="15"/>
  <c r="E1599" i="15"/>
  <c r="E1600" i="15"/>
  <c r="E1601" i="15"/>
  <c r="E1602" i="15"/>
  <c r="E1603" i="15"/>
  <c r="E1604" i="15"/>
  <c r="E1605" i="15"/>
  <c r="E1606" i="15"/>
  <c r="E1607" i="15"/>
  <c r="E1608" i="15"/>
  <c r="E1609" i="15"/>
  <c r="E1610" i="15"/>
  <c r="E1611" i="15"/>
  <c r="E1612" i="15"/>
  <c r="E1613" i="15"/>
  <c r="E1614" i="15"/>
  <c r="E1615" i="15"/>
  <c r="E1616" i="15"/>
  <c r="E1617" i="15"/>
  <c r="E1618" i="15"/>
  <c r="E1619" i="15"/>
  <c r="E1620" i="15"/>
  <c r="E1621" i="15"/>
  <c r="E1622" i="15"/>
  <c r="E1623" i="15"/>
  <c r="E1624" i="15"/>
  <c r="E1625" i="15"/>
  <c r="E1626" i="15"/>
  <c r="E1627" i="15"/>
  <c r="E1628" i="15"/>
  <c r="E1629" i="15"/>
  <c r="E1630" i="15"/>
  <c r="E1631" i="15"/>
  <c r="E1632" i="15"/>
  <c r="E1633" i="15"/>
  <c r="E1634" i="15"/>
  <c r="E1635" i="15"/>
  <c r="E1636" i="15"/>
  <c r="E1637" i="15"/>
  <c r="E1638" i="15"/>
  <c r="E1639" i="15"/>
  <c r="E1640" i="15"/>
  <c r="E1641" i="15"/>
  <c r="E1642" i="15"/>
  <c r="E1643" i="15"/>
  <c r="E1644" i="15"/>
  <c r="E1645" i="15"/>
  <c r="E1646" i="15"/>
  <c r="E1647" i="15"/>
  <c r="E1648" i="15"/>
  <c r="E1649" i="15"/>
  <c r="E1650" i="15"/>
  <c r="E1651" i="15"/>
  <c r="E1652" i="15"/>
  <c r="E1653" i="15"/>
  <c r="E1654" i="15"/>
  <c r="E1655" i="15"/>
  <c r="E1656" i="15"/>
  <c r="E1657" i="15"/>
  <c r="E1658" i="15"/>
  <c r="E1659" i="15"/>
  <c r="E1660" i="15"/>
  <c r="E1661" i="15"/>
  <c r="E1662" i="15"/>
  <c r="E1663" i="15"/>
  <c r="E1664" i="15"/>
  <c r="E1665" i="15"/>
  <c r="E1666" i="15"/>
  <c r="E1667" i="15"/>
  <c r="E1668" i="15"/>
  <c r="E1669" i="15"/>
  <c r="E1670" i="15"/>
  <c r="E1671" i="15"/>
  <c r="E1672" i="15"/>
  <c r="E1673" i="15"/>
  <c r="E1674" i="15"/>
  <c r="E1675" i="15"/>
  <c r="E1676" i="15"/>
  <c r="E1677" i="15"/>
  <c r="E1678" i="15"/>
  <c r="E1679" i="15"/>
  <c r="E1680" i="15"/>
  <c r="E1681" i="15"/>
  <c r="E1682" i="15"/>
  <c r="E1683" i="15"/>
  <c r="E1684" i="15"/>
  <c r="E1685" i="15"/>
  <c r="E1686" i="15"/>
  <c r="E1687" i="15"/>
  <c r="E1688" i="15"/>
  <c r="E1689" i="15"/>
  <c r="E1690" i="15"/>
  <c r="E1691" i="15"/>
  <c r="E1692" i="15"/>
  <c r="E1693" i="15"/>
  <c r="E1694" i="15"/>
  <c r="E1695" i="15"/>
  <c r="E1696" i="15"/>
  <c r="E1697" i="15"/>
  <c r="E1698" i="15"/>
  <c r="E1699" i="15"/>
  <c r="E1700" i="15"/>
  <c r="E1701" i="15"/>
  <c r="E1702" i="15"/>
  <c r="E1703" i="15"/>
  <c r="E1704" i="15"/>
  <c r="E1705" i="15"/>
  <c r="E1706" i="15"/>
  <c r="E1707" i="15"/>
  <c r="E1708" i="15"/>
  <c r="E1709" i="15"/>
  <c r="E1710" i="15"/>
  <c r="E1711" i="15"/>
  <c r="E1712" i="15"/>
  <c r="E1713" i="15"/>
  <c r="E1714" i="15"/>
  <c r="E1715" i="15"/>
  <c r="E1716" i="15"/>
  <c r="E1717" i="15"/>
  <c r="E1718" i="15"/>
  <c r="E1719" i="15"/>
  <c r="E1720" i="15"/>
  <c r="E1721" i="15"/>
  <c r="E1722" i="15"/>
  <c r="E1723" i="15"/>
  <c r="E1724" i="15"/>
  <c r="E1725" i="15"/>
  <c r="E1726" i="15"/>
  <c r="E1727" i="15"/>
  <c r="E1728" i="15"/>
  <c r="E1729" i="15"/>
  <c r="E1730" i="15"/>
  <c r="E1731" i="15"/>
  <c r="E1732" i="15"/>
  <c r="E1733" i="15"/>
  <c r="E1734" i="15"/>
  <c r="E1735" i="15"/>
  <c r="E1736" i="15"/>
  <c r="E1737" i="15"/>
  <c r="E1738" i="15"/>
  <c r="E1739" i="15"/>
  <c r="E1740" i="15"/>
  <c r="E1741" i="15"/>
  <c r="E1742" i="15"/>
  <c r="E1743" i="15"/>
  <c r="E1744" i="15"/>
  <c r="E1745" i="15"/>
  <c r="E1746" i="15"/>
  <c r="E1747" i="15"/>
  <c r="E1748" i="15"/>
  <c r="E1749" i="15"/>
  <c r="E1750" i="15"/>
  <c r="E1751" i="15"/>
  <c r="E1752" i="15"/>
  <c r="E1753" i="15"/>
  <c r="E1754" i="15"/>
  <c r="E1755" i="15"/>
  <c r="E1756" i="15"/>
  <c r="E1757" i="15"/>
  <c r="E1758" i="15"/>
  <c r="E1759" i="15"/>
  <c r="E1760" i="15"/>
  <c r="E1761" i="15"/>
  <c r="E1762" i="15"/>
  <c r="E1763" i="15"/>
  <c r="E1764" i="15"/>
  <c r="E1765" i="15"/>
  <c r="E1766" i="15"/>
  <c r="E1767" i="15"/>
  <c r="E1768" i="15"/>
  <c r="E1769" i="15"/>
  <c r="E1770" i="15"/>
  <c r="E1771" i="15"/>
  <c r="E1772" i="15"/>
  <c r="E1773" i="15"/>
  <c r="E1774" i="15"/>
  <c r="E1775" i="15"/>
  <c r="E1776" i="15"/>
  <c r="E1777" i="15"/>
  <c r="E1778" i="15"/>
  <c r="E1779" i="15"/>
  <c r="E1780" i="15"/>
  <c r="E1781" i="15"/>
  <c r="E1782" i="15"/>
  <c r="E1783" i="15"/>
  <c r="E1784" i="15"/>
  <c r="E1785" i="15"/>
  <c r="E1786" i="15"/>
  <c r="E1787" i="15"/>
  <c r="E1788" i="15"/>
  <c r="E1789" i="15"/>
  <c r="E1790" i="15"/>
  <c r="E1791" i="15"/>
  <c r="E1792" i="15"/>
  <c r="E1793" i="15"/>
  <c r="E1794" i="15"/>
  <c r="E1795" i="15"/>
  <c r="E1796" i="15"/>
  <c r="E1797" i="15"/>
  <c r="E1798" i="15"/>
  <c r="E1799" i="15"/>
  <c r="E1800" i="15"/>
  <c r="E1801" i="15"/>
  <c r="E1802" i="15"/>
  <c r="E1803" i="15"/>
  <c r="E1804" i="15"/>
  <c r="E1805" i="15"/>
  <c r="E1806" i="15"/>
  <c r="E1807" i="15"/>
  <c r="E1808" i="15"/>
  <c r="E1809" i="15"/>
  <c r="E1810" i="15"/>
  <c r="E1811" i="15"/>
  <c r="E1812" i="15"/>
  <c r="E1813" i="15"/>
  <c r="E1814" i="15"/>
  <c r="E1815" i="15"/>
  <c r="E1816" i="15"/>
  <c r="E1817" i="15"/>
  <c r="E1818" i="15"/>
  <c r="E1819" i="15"/>
  <c r="E1820" i="15"/>
  <c r="E1821" i="15"/>
  <c r="E1822" i="15"/>
  <c r="E1823" i="15"/>
  <c r="E1824" i="15"/>
  <c r="E1825" i="15"/>
  <c r="E1826" i="15"/>
  <c r="E1827" i="15"/>
  <c r="E1828" i="15"/>
  <c r="E1829" i="15"/>
  <c r="E1830" i="15"/>
  <c r="E1831" i="15"/>
  <c r="E1832" i="15"/>
  <c r="E1833" i="15"/>
  <c r="E1834" i="15"/>
  <c r="E1835" i="15"/>
  <c r="E1836" i="15"/>
  <c r="E1837" i="15"/>
  <c r="E1838" i="15"/>
  <c r="E1839" i="15"/>
  <c r="E1840" i="15"/>
  <c r="E1841" i="15"/>
  <c r="E1842" i="15"/>
  <c r="E1843" i="15"/>
  <c r="E1844" i="15"/>
  <c r="E1845" i="15"/>
  <c r="E1846" i="15"/>
  <c r="E1847" i="15"/>
  <c r="E1848" i="15"/>
  <c r="E1849" i="15"/>
  <c r="E1850" i="15"/>
  <c r="E1851" i="15"/>
  <c r="E1852" i="15"/>
  <c r="E1853" i="15"/>
  <c r="E1854" i="15"/>
  <c r="E1855" i="15"/>
  <c r="E1856" i="15"/>
  <c r="E1857" i="15"/>
  <c r="E1858" i="15"/>
  <c r="E1859" i="15"/>
  <c r="E1860" i="15"/>
  <c r="E1861" i="15"/>
  <c r="E1862" i="15"/>
  <c r="E1863" i="15"/>
  <c r="E1864" i="15"/>
  <c r="E1865" i="15"/>
  <c r="E1866" i="15"/>
  <c r="E1867" i="15"/>
  <c r="E1868" i="15"/>
  <c r="E1869" i="15"/>
  <c r="E1870" i="15"/>
  <c r="E1871" i="15"/>
  <c r="E1872" i="15"/>
  <c r="E1873" i="15"/>
  <c r="E1874" i="15"/>
  <c r="E1875" i="15"/>
  <c r="E1876" i="15"/>
  <c r="E1877" i="15"/>
  <c r="E1878" i="15"/>
  <c r="E1879" i="15"/>
  <c r="E1880" i="15"/>
  <c r="E1881" i="15"/>
  <c r="E1882" i="15"/>
  <c r="E1883" i="15"/>
  <c r="E1884" i="15"/>
  <c r="E1885" i="15"/>
  <c r="E1886" i="15"/>
  <c r="E1887" i="15"/>
  <c r="E1888" i="15"/>
  <c r="E1889" i="15"/>
  <c r="E1890" i="15"/>
  <c r="E1891" i="15"/>
  <c r="E1892" i="15"/>
  <c r="E1893" i="15"/>
  <c r="E1894" i="15"/>
  <c r="E1895" i="15"/>
  <c r="E1896" i="15"/>
  <c r="E1897" i="15"/>
  <c r="E1898" i="15"/>
  <c r="E1899" i="15"/>
  <c r="E1900" i="15"/>
  <c r="E1901" i="15"/>
  <c r="E1902" i="15"/>
  <c r="E1903" i="15"/>
  <c r="E1904" i="15"/>
  <c r="E1905" i="15"/>
  <c r="E1906" i="15"/>
  <c r="E1907" i="15"/>
  <c r="E1908" i="15"/>
  <c r="E1909" i="15"/>
  <c r="E1910" i="15"/>
  <c r="E1911" i="15"/>
  <c r="E1912" i="15"/>
  <c r="E1913" i="15"/>
  <c r="E1914" i="15"/>
  <c r="E1915" i="15"/>
  <c r="E1916" i="15"/>
  <c r="E1917" i="15"/>
  <c r="E1918" i="15"/>
  <c r="E1919" i="15"/>
  <c r="E1920" i="15"/>
  <c r="E1921" i="15"/>
  <c r="E1922" i="15"/>
  <c r="E1923" i="15"/>
  <c r="E1924" i="15"/>
  <c r="E1925" i="15"/>
  <c r="E1926" i="15"/>
  <c r="E1927" i="15"/>
  <c r="E1928" i="15"/>
  <c r="E1929" i="15"/>
  <c r="E1930" i="15"/>
  <c r="E1931" i="15"/>
  <c r="E1932" i="15"/>
  <c r="E1933" i="15"/>
  <c r="E1934" i="15"/>
  <c r="E1935" i="15"/>
  <c r="E1936" i="15"/>
  <c r="E1937" i="15"/>
  <c r="E1938" i="15"/>
  <c r="E1939" i="15"/>
  <c r="E1940" i="15"/>
  <c r="E1941" i="15"/>
  <c r="E1942" i="15"/>
  <c r="E1943" i="15"/>
  <c r="E1944" i="15"/>
  <c r="E1945" i="15"/>
  <c r="E1946" i="15"/>
  <c r="E1947" i="15"/>
  <c r="E1948" i="15"/>
  <c r="E1949" i="15"/>
  <c r="E1950" i="15"/>
  <c r="E1951" i="15"/>
  <c r="E1952" i="15"/>
  <c r="E1953" i="15"/>
  <c r="E1954" i="15"/>
  <c r="E1955" i="15"/>
  <c r="E1956" i="15"/>
  <c r="E1957" i="15"/>
  <c r="E1958" i="15"/>
  <c r="E1959" i="15"/>
  <c r="E1960" i="15"/>
  <c r="E1961" i="15"/>
  <c r="E1962" i="15"/>
  <c r="E1963" i="15"/>
  <c r="E1964" i="15"/>
  <c r="E1965" i="15"/>
  <c r="E1966" i="15"/>
  <c r="E1967" i="15"/>
  <c r="E1968" i="15"/>
  <c r="E1969" i="15"/>
  <c r="E1970" i="15"/>
  <c r="E1971" i="15"/>
  <c r="E1972" i="15"/>
  <c r="E1973" i="15"/>
  <c r="E1974" i="15"/>
  <c r="E1975" i="15"/>
  <c r="E1976" i="15"/>
  <c r="E1977" i="15"/>
  <c r="E1978" i="15"/>
  <c r="E1979" i="15"/>
  <c r="E1980" i="15"/>
  <c r="E1981" i="15"/>
  <c r="E1982" i="15"/>
  <c r="E1983" i="15"/>
  <c r="E1984" i="15"/>
  <c r="E1985" i="15"/>
  <c r="E1986" i="15"/>
  <c r="E1987" i="15"/>
  <c r="E1988" i="15"/>
  <c r="E1989" i="15"/>
  <c r="E1990" i="15"/>
  <c r="E1991" i="15"/>
  <c r="E1992" i="15"/>
  <c r="E1993" i="15"/>
  <c r="E1994" i="15"/>
  <c r="E1995" i="15"/>
  <c r="E1996" i="15"/>
  <c r="E1997" i="15"/>
  <c r="E1998" i="15"/>
  <c r="E1999" i="15"/>
  <c r="E2000" i="15"/>
  <c r="E2001" i="15"/>
  <c r="E2002" i="15"/>
  <c r="E2003" i="15"/>
  <c r="E2004" i="15"/>
  <c r="E2005" i="15"/>
  <c r="E2006" i="15"/>
  <c r="E2007" i="15"/>
  <c r="E2008" i="15"/>
  <c r="E2009" i="15"/>
  <c r="E2010" i="15"/>
  <c r="E2011" i="15"/>
  <c r="E2012" i="15"/>
  <c r="E2013" i="15"/>
  <c r="E2014" i="15"/>
  <c r="E2015" i="15"/>
  <c r="E2016" i="15"/>
  <c r="E2017" i="15"/>
  <c r="E2018" i="15"/>
  <c r="E2019" i="15"/>
  <c r="E2020" i="15"/>
  <c r="E2021" i="15"/>
  <c r="E2022" i="15"/>
  <c r="E2023" i="15"/>
  <c r="E2024" i="15"/>
  <c r="E2025" i="15"/>
  <c r="E2026" i="15"/>
  <c r="E2027" i="15"/>
  <c r="E2028" i="15"/>
  <c r="E2029" i="15"/>
  <c r="E2030" i="15"/>
  <c r="E2031" i="15"/>
  <c r="E2032" i="15"/>
  <c r="E2033" i="15"/>
  <c r="E2034" i="15"/>
  <c r="E2035" i="15"/>
  <c r="E2036" i="15"/>
  <c r="E2037" i="15"/>
  <c r="E2038" i="15"/>
  <c r="E2039" i="15"/>
  <c r="E2040" i="15"/>
  <c r="E2041" i="15"/>
  <c r="E2042" i="15"/>
  <c r="E2043" i="15"/>
  <c r="E2044" i="15"/>
  <c r="E2045" i="15"/>
  <c r="E2046" i="15"/>
  <c r="E2047" i="15"/>
  <c r="E2048" i="15"/>
  <c r="E2049" i="15"/>
  <c r="E2050" i="15"/>
  <c r="E2051" i="15"/>
  <c r="E2052" i="15"/>
  <c r="E2053" i="15"/>
  <c r="E2054" i="15"/>
  <c r="E2055" i="15"/>
  <c r="E2056" i="15"/>
  <c r="E2057" i="15"/>
  <c r="E2058" i="15"/>
  <c r="E2059" i="15"/>
  <c r="E2060" i="15"/>
  <c r="E2061" i="15"/>
  <c r="E2062" i="15"/>
  <c r="E2063" i="15"/>
  <c r="E2064" i="15"/>
  <c r="E2065" i="15"/>
  <c r="E2066" i="15"/>
  <c r="E2067" i="15"/>
  <c r="E2068" i="15"/>
  <c r="E2069" i="15"/>
  <c r="E2070" i="15"/>
  <c r="E2071" i="15"/>
  <c r="E2072" i="15"/>
  <c r="E2073" i="15"/>
  <c r="E2074" i="15"/>
  <c r="E2075" i="15"/>
  <c r="E2076" i="15"/>
  <c r="E2077" i="15"/>
  <c r="E2078" i="15"/>
  <c r="E2079" i="15"/>
  <c r="E2080" i="15"/>
  <c r="E2081" i="15"/>
  <c r="E2082" i="15"/>
  <c r="E2083" i="15"/>
  <c r="E2084" i="15"/>
  <c r="E2085" i="15"/>
  <c r="E2086" i="15"/>
  <c r="E2087" i="15"/>
  <c r="E2088" i="15"/>
  <c r="E2089" i="15"/>
  <c r="E2090" i="15"/>
  <c r="E2091" i="15"/>
  <c r="E2092" i="15"/>
  <c r="E2093" i="15"/>
  <c r="E2094" i="15"/>
  <c r="E2095" i="15"/>
  <c r="E2096" i="15"/>
  <c r="E2097" i="15"/>
  <c r="E2098" i="15"/>
  <c r="E2099" i="15"/>
  <c r="E2100" i="15"/>
  <c r="E2101" i="15"/>
  <c r="E2102" i="15"/>
  <c r="E2103" i="15"/>
  <c r="E2104" i="15"/>
  <c r="E2105" i="15"/>
  <c r="E2106" i="15"/>
  <c r="E2107" i="15"/>
  <c r="E2108" i="15"/>
  <c r="E2109" i="15"/>
  <c r="E2110" i="15"/>
  <c r="E2111" i="15"/>
  <c r="E2112" i="15"/>
  <c r="E2113" i="15"/>
  <c r="E2114" i="15"/>
  <c r="E2115" i="15"/>
  <c r="E2116" i="15"/>
  <c r="E2117" i="15"/>
  <c r="E2118" i="15"/>
  <c r="E2119" i="15"/>
  <c r="E2120" i="15"/>
  <c r="E2121" i="15"/>
  <c r="E2122" i="15"/>
  <c r="E2123" i="15"/>
  <c r="E2124" i="15"/>
  <c r="E2125" i="15"/>
  <c r="E2126" i="15"/>
  <c r="E2127" i="15"/>
  <c r="E2128" i="15"/>
  <c r="E2129" i="15"/>
  <c r="E2130" i="15"/>
  <c r="E2131" i="15"/>
  <c r="E2132" i="15"/>
  <c r="E2133" i="15"/>
  <c r="E2134" i="15"/>
  <c r="E2135" i="15"/>
  <c r="E2136" i="15"/>
  <c r="E2137" i="15"/>
  <c r="E2138" i="15"/>
  <c r="E2139" i="15"/>
  <c r="E2140" i="15"/>
  <c r="E2141" i="15"/>
  <c r="E2142" i="15"/>
  <c r="E2143" i="15"/>
  <c r="E2144" i="15"/>
  <c r="E2145" i="15"/>
  <c r="E2146" i="15"/>
  <c r="E2147" i="15"/>
  <c r="E2148" i="15"/>
  <c r="E2149" i="15"/>
  <c r="E2150" i="15"/>
  <c r="E2151" i="15"/>
  <c r="E2152" i="15"/>
  <c r="E2153" i="15"/>
  <c r="E2154" i="15"/>
  <c r="E2155" i="15"/>
  <c r="E2156" i="15"/>
  <c r="E2157" i="15"/>
  <c r="E2158" i="15"/>
  <c r="E2159" i="15"/>
  <c r="E2160" i="15"/>
  <c r="E2161" i="15"/>
  <c r="E2162" i="15"/>
  <c r="E2163" i="15"/>
  <c r="E2164" i="15"/>
  <c r="E2165" i="15"/>
  <c r="E2166" i="15"/>
  <c r="E2167" i="15"/>
  <c r="E2168" i="15"/>
  <c r="E2169" i="15"/>
  <c r="E2170" i="15"/>
  <c r="E2171" i="15"/>
  <c r="E2172" i="15"/>
  <c r="E2173" i="15"/>
  <c r="E2174" i="15"/>
  <c r="E2175" i="15"/>
  <c r="E2176" i="15"/>
  <c r="E2177" i="15"/>
  <c r="E2178" i="15"/>
  <c r="E2179" i="15"/>
  <c r="E2180" i="15"/>
  <c r="E2181" i="15"/>
  <c r="E2182" i="15"/>
  <c r="E2183" i="15"/>
  <c r="E2184" i="15"/>
  <c r="E2185" i="15"/>
  <c r="E2186" i="15"/>
  <c r="E2187" i="15"/>
  <c r="E2188" i="15"/>
  <c r="E2189" i="15"/>
  <c r="E2190" i="15"/>
  <c r="E2191" i="15"/>
  <c r="E2192" i="15"/>
  <c r="E2193" i="15"/>
  <c r="E2194" i="15"/>
  <c r="E2195" i="15"/>
  <c r="E2196" i="15"/>
  <c r="E2197" i="15"/>
  <c r="E2198" i="15"/>
  <c r="E2199" i="15"/>
  <c r="E2200" i="15"/>
  <c r="E2201" i="15"/>
  <c r="E2202" i="15"/>
  <c r="E2203" i="15"/>
  <c r="E2204" i="15"/>
  <c r="E2205" i="15"/>
  <c r="E2206" i="15"/>
  <c r="E2207" i="15"/>
  <c r="E2208" i="15"/>
  <c r="E2209" i="15"/>
  <c r="E2210" i="15"/>
  <c r="E2211" i="15"/>
  <c r="E2212" i="15"/>
  <c r="E2213" i="15"/>
  <c r="E2214" i="15"/>
  <c r="E2215" i="15"/>
  <c r="E2216" i="15"/>
  <c r="E2217" i="15"/>
  <c r="E2218" i="15"/>
  <c r="E2219" i="15"/>
  <c r="E2220" i="15"/>
  <c r="E2221" i="15"/>
  <c r="E2222" i="15"/>
  <c r="E2223" i="15"/>
  <c r="E2224" i="15"/>
  <c r="E2225" i="15"/>
  <c r="E2226" i="15"/>
  <c r="E2227" i="15"/>
  <c r="E2228" i="15"/>
  <c r="E2229" i="15"/>
  <c r="E2230" i="15"/>
  <c r="E2231" i="15"/>
  <c r="E2232" i="15"/>
  <c r="E2233" i="15"/>
  <c r="E2234" i="15"/>
  <c r="E2235" i="15"/>
  <c r="E2236" i="15"/>
  <c r="E2237" i="15"/>
  <c r="E2238" i="15"/>
  <c r="E2239" i="15"/>
  <c r="E2240" i="15"/>
  <c r="E2241" i="15"/>
  <c r="E2242" i="15"/>
  <c r="E2243" i="15"/>
  <c r="E2244" i="15"/>
  <c r="E2245" i="15"/>
  <c r="E2246" i="15"/>
  <c r="E2247" i="15"/>
  <c r="E2248" i="15"/>
  <c r="E2249" i="15"/>
  <c r="E2250" i="15"/>
  <c r="E2251" i="15"/>
  <c r="E2252" i="15"/>
  <c r="E2253" i="15"/>
  <c r="E2254" i="15"/>
  <c r="E2255" i="15"/>
  <c r="E2256" i="15"/>
  <c r="E2257" i="15"/>
  <c r="E2258" i="15"/>
  <c r="E2259" i="15"/>
  <c r="E2260" i="15"/>
  <c r="E2261" i="15"/>
  <c r="E2262" i="15"/>
  <c r="E2263" i="15"/>
  <c r="E2264" i="15"/>
  <c r="E2265" i="15"/>
  <c r="E2266" i="15"/>
  <c r="E2267" i="15"/>
  <c r="E2268" i="15"/>
  <c r="E2269" i="15"/>
  <c r="E2270" i="15"/>
  <c r="E2271" i="15"/>
  <c r="E2272" i="15"/>
  <c r="E2273" i="15"/>
  <c r="E2274" i="15"/>
  <c r="E2275" i="15"/>
  <c r="E2276" i="15"/>
  <c r="E2277" i="15"/>
  <c r="E2278" i="15"/>
  <c r="E2279" i="15"/>
  <c r="E2280" i="15"/>
  <c r="E2281" i="15"/>
  <c r="E2282" i="15"/>
  <c r="E2283" i="15"/>
  <c r="E2284" i="15"/>
  <c r="E2285" i="15"/>
  <c r="E2286" i="15"/>
  <c r="E2287" i="15"/>
  <c r="E2288" i="15"/>
  <c r="E2289" i="15"/>
  <c r="E2290" i="15"/>
  <c r="E2291" i="15"/>
  <c r="E2292" i="15"/>
  <c r="E2293" i="15"/>
  <c r="E2294" i="15"/>
  <c r="E2295" i="15"/>
  <c r="E2296" i="15"/>
  <c r="E2297" i="15"/>
  <c r="E2298" i="15"/>
  <c r="E2299" i="15"/>
  <c r="E2300" i="15"/>
  <c r="E2301" i="15"/>
  <c r="E2302" i="15"/>
  <c r="E2303" i="15"/>
  <c r="E2304" i="15"/>
  <c r="E2305" i="15"/>
  <c r="E2306" i="15"/>
  <c r="E2307" i="15"/>
  <c r="E2308" i="15"/>
  <c r="E2309" i="15"/>
  <c r="E2310" i="15"/>
  <c r="E2311" i="15"/>
  <c r="E2312" i="15"/>
  <c r="E2313" i="15"/>
  <c r="E2314" i="15"/>
  <c r="E2315" i="15"/>
  <c r="E2316" i="15"/>
  <c r="E2317" i="15"/>
  <c r="E2318" i="15"/>
  <c r="E2319" i="15"/>
  <c r="E2320" i="15"/>
  <c r="E2321" i="15"/>
  <c r="E2322" i="15"/>
  <c r="E2323" i="15"/>
  <c r="E2324" i="15"/>
  <c r="E2325" i="15"/>
  <c r="E2326" i="15"/>
  <c r="E2327" i="15"/>
  <c r="E2328" i="15"/>
  <c r="E2329" i="15"/>
  <c r="E2330" i="15"/>
  <c r="E2331" i="15"/>
  <c r="E2332" i="15"/>
  <c r="E2333" i="15"/>
  <c r="E2334" i="15"/>
  <c r="E2335" i="15"/>
  <c r="E2336" i="15"/>
  <c r="E2337" i="15"/>
  <c r="E2338" i="15"/>
  <c r="E2339" i="15"/>
  <c r="E2340" i="15"/>
  <c r="E2341" i="15"/>
  <c r="E2342" i="15"/>
  <c r="E2343" i="15"/>
  <c r="E2344" i="15"/>
  <c r="E2345" i="15"/>
  <c r="E2346" i="15"/>
  <c r="E2347" i="15"/>
  <c r="E2348" i="15"/>
  <c r="E2349" i="15"/>
  <c r="E2350" i="15"/>
  <c r="E2351" i="15"/>
  <c r="E2352" i="15"/>
  <c r="E2353" i="15"/>
  <c r="E2354" i="15"/>
  <c r="E2355" i="15"/>
  <c r="E2356" i="15"/>
  <c r="E2357" i="15"/>
  <c r="E2358" i="15"/>
  <c r="E2359" i="15"/>
  <c r="E2360" i="15"/>
  <c r="E2361" i="15"/>
  <c r="E2362" i="15"/>
  <c r="E2363" i="15"/>
  <c r="E2364" i="15"/>
  <c r="E2365" i="15"/>
  <c r="E2366" i="15"/>
  <c r="E2367" i="15"/>
  <c r="E2368" i="15"/>
  <c r="E2369" i="15"/>
  <c r="E2370" i="15"/>
  <c r="E2371" i="15"/>
  <c r="E2372" i="15"/>
  <c r="E2373" i="15"/>
  <c r="E2374" i="15"/>
  <c r="E2375" i="15"/>
  <c r="E2376" i="15"/>
  <c r="E2377" i="15"/>
  <c r="E2378" i="15"/>
  <c r="E2379" i="15"/>
  <c r="E2380" i="15"/>
  <c r="E2381" i="15"/>
  <c r="E2382" i="15"/>
  <c r="E2383" i="15"/>
  <c r="E2384" i="15"/>
  <c r="E2385" i="15"/>
  <c r="E2386" i="15"/>
  <c r="E2387" i="15"/>
  <c r="E2388" i="15"/>
  <c r="E2389" i="15"/>
  <c r="E2390" i="15"/>
  <c r="E2391" i="15"/>
  <c r="E2392" i="15"/>
  <c r="E2393" i="15"/>
  <c r="E2394" i="15"/>
  <c r="E2395" i="15"/>
  <c r="E2396" i="15"/>
  <c r="E2397" i="15"/>
  <c r="E2398" i="15"/>
  <c r="E2399" i="15"/>
  <c r="E2400" i="15"/>
  <c r="E2401" i="15"/>
  <c r="E2402" i="15"/>
  <c r="E2403" i="15"/>
  <c r="E2404" i="15"/>
  <c r="E2405" i="15"/>
  <c r="E2406" i="15"/>
  <c r="E2407" i="15"/>
  <c r="E2408" i="15"/>
  <c r="E2409" i="15"/>
  <c r="E2410" i="15"/>
  <c r="E2411" i="15"/>
  <c r="E2412" i="15"/>
  <c r="E2413" i="15"/>
  <c r="E2414" i="15"/>
  <c r="E2415" i="15"/>
  <c r="E2416" i="15"/>
  <c r="E2417" i="15"/>
  <c r="E2418" i="15"/>
  <c r="E2419" i="15"/>
  <c r="E2420" i="15"/>
  <c r="E2421" i="15"/>
  <c r="E2422" i="15"/>
  <c r="E2423" i="15"/>
  <c r="E2424" i="15"/>
  <c r="E2425" i="15"/>
  <c r="E2426" i="15"/>
  <c r="E2427" i="15"/>
  <c r="E2428" i="15"/>
  <c r="E2429" i="15"/>
  <c r="E2430" i="15"/>
  <c r="E2431" i="15"/>
  <c r="E2432" i="15"/>
  <c r="E2433" i="15"/>
  <c r="E2434" i="15"/>
  <c r="E2435" i="15"/>
  <c r="E2436" i="15"/>
  <c r="E2437" i="15"/>
  <c r="E2438" i="15"/>
  <c r="E2439" i="15"/>
  <c r="E2440" i="15"/>
  <c r="E2441" i="15"/>
  <c r="E2442" i="15"/>
  <c r="E2443" i="15"/>
  <c r="E2444" i="15"/>
  <c r="E2445" i="15"/>
  <c r="E2446" i="15"/>
  <c r="E2447" i="15"/>
  <c r="E2448" i="15"/>
  <c r="E2449" i="15"/>
  <c r="E2450" i="15"/>
  <c r="E2451" i="15"/>
  <c r="E2452" i="15"/>
  <c r="E2453" i="15"/>
  <c r="E2454" i="15"/>
  <c r="E2455" i="15"/>
  <c r="E2456" i="15"/>
  <c r="E2457" i="15"/>
  <c r="E2458" i="15"/>
  <c r="E2459" i="15"/>
  <c r="E2460" i="15"/>
  <c r="E2461" i="15"/>
  <c r="E2462" i="15"/>
  <c r="E2463" i="15"/>
  <c r="E2464" i="15"/>
  <c r="E2465" i="15"/>
  <c r="E2466" i="15"/>
  <c r="E2467" i="15"/>
  <c r="E2468" i="15"/>
  <c r="E2469" i="15"/>
  <c r="E2470" i="15"/>
  <c r="E2471" i="15"/>
  <c r="E2472" i="15"/>
  <c r="E2473" i="15"/>
  <c r="E2474" i="15"/>
  <c r="E2475" i="15"/>
  <c r="E2476" i="15"/>
  <c r="E2477" i="15"/>
  <c r="E2478" i="15"/>
  <c r="E2479" i="15"/>
  <c r="E2480" i="15"/>
  <c r="E2481" i="15"/>
  <c r="E2482" i="15"/>
  <c r="E2483" i="15"/>
  <c r="E2484" i="15"/>
  <c r="E2485" i="15"/>
  <c r="E2486" i="15"/>
  <c r="E2487" i="15"/>
  <c r="E2488" i="15"/>
  <c r="E2489" i="15"/>
  <c r="E2490" i="15"/>
  <c r="E2491" i="15"/>
  <c r="E2492" i="15"/>
  <c r="E2493" i="15"/>
  <c r="E2494" i="15"/>
  <c r="E2495" i="15"/>
  <c r="E2496" i="15"/>
  <c r="E2497" i="15"/>
  <c r="E2498" i="15"/>
  <c r="E2499" i="15"/>
  <c r="E2500" i="15"/>
  <c r="E2501" i="15"/>
  <c r="E2502" i="15"/>
  <c r="E2503" i="15"/>
  <c r="E2504" i="15"/>
  <c r="E2505" i="15"/>
  <c r="E2506" i="15"/>
  <c r="E2507" i="15"/>
  <c r="E2508" i="15"/>
  <c r="E2509" i="15"/>
  <c r="E2510" i="15"/>
  <c r="E2511" i="15"/>
  <c r="E2512" i="15"/>
  <c r="E2513" i="15"/>
  <c r="E2514" i="15"/>
  <c r="E2515" i="15"/>
  <c r="E2516" i="15"/>
  <c r="E2517" i="15"/>
  <c r="E2518" i="15"/>
  <c r="E2519" i="15"/>
  <c r="E2520" i="15"/>
  <c r="E2521" i="15"/>
  <c r="E2522" i="15"/>
  <c r="E2523" i="15"/>
  <c r="E2524" i="15"/>
  <c r="E2525" i="15"/>
  <c r="E2526" i="15"/>
  <c r="E2527" i="15"/>
  <c r="E2528" i="15"/>
  <c r="E2529" i="15"/>
  <c r="E2530" i="15"/>
  <c r="E2531" i="15"/>
  <c r="E2532" i="15"/>
  <c r="E2533" i="15"/>
  <c r="E2534" i="15"/>
  <c r="E2535" i="15"/>
  <c r="E2536" i="15"/>
  <c r="E2537" i="15"/>
  <c r="E2538" i="15"/>
  <c r="E2539" i="15"/>
  <c r="E2540" i="15"/>
  <c r="E2541" i="15"/>
  <c r="E2542" i="15"/>
  <c r="E2543" i="15"/>
  <c r="E2544" i="15"/>
  <c r="E2545" i="15"/>
  <c r="E2546" i="15"/>
  <c r="E2547" i="15"/>
  <c r="E2548" i="15"/>
  <c r="E2549" i="15"/>
  <c r="E2550" i="15"/>
  <c r="E2551" i="15"/>
  <c r="E2552" i="15"/>
  <c r="E2553" i="15"/>
  <c r="E2554" i="15"/>
  <c r="E2555" i="15"/>
  <c r="E2556" i="15"/>
  <c r="E2557" i="15"/>
  <c r="E2558" i="15"/>
  <c r="E2559" i="15"/>
  <c r="E2560" i="15"/>
  <c r="E2561" i="15"/>
  <c r="E2562" i="15"/>
  <c r="E2563" i="15"/>
  <c r="E2564" i="15"/>
  <c r="E2565" i="15"/>
  <c r="E2566" i="15"/>
  <c r="E2567" i="15"/>
  <c r="E2568" i="15"/>
  <c r="E2569" i="15"/>
  <c r="E2570" i="15"/>
  <c r="E2571" i="15"/>
  <c r="E2572" i="15"/>
  <c r="E2573" i="15"/>
  <c r="E2574" i="15"/>
  <c r="E2575" i="15"/>
  <c r="E2576" i="15"/>
  <c r="E2577" i="15"/>
  <c r="E2578" i="15"/>
  <c r="E2579" i="15"/>
  <c r="E2580" i="15"/>
  <c r="E2581" i="15"/>
  <c r="E2582" i="15"/>
  <c r="E2583" i="15"/>
  <c r="E2584" i="15"/>
  <c r="E2585" i="15"/>
  <c r="E2586" i="15"/>
  <c r="E2587" i="15"/>
  <c r="E2588" i="15"/>
  <c r="E2589" i="15"/>
  <c r="E2590" i="15"/>
  <c r="E2591" i="15"/>
  <c r="E2592" i="15"/>
  <c r="E2593" i="15"/>
  <c r="E2594" i="15"/>
  <c r="E2595" i="15"/>
  <c r="E2596" i="15"/>
  <c r="E2597" i="15"/>
  <c r="E2598" i="15"/>
  <c r="E2599" i="15"/>
  <c r="E2600" i="15"/>
  <c r="E2601" i="15"/>
  <c r="E2602" i="15"/>
  <c r="E2603" i="15"/>
  <c r="E2604" i="15"/>
  <c r="E2605" i="15"/>
  <c r="E2606" i="15"/>
  <c r="E2607" i="15"/>
  <c r="E2608" i="15"/>
  <c r="E2609" i="15"/>
  <c r="E2610" i="15"/>
  <c r="E2611" i="15"/>
  <c r="E2612" i="15"/>
  <c r="E2613" i="15"/>
  <c r="E2614" i="15"/>
  <c r="E2615" i="15"/>
  <c r="E2616" i="15"/>
  <c r="E2617" i="15"/>
  <c r="E2618" i="15"/>
  <c r="E2619" i="15"/>
  <c r="E2620" i="15"/>
  <c r="E2621" i="15"/>
  <c r="E2622" i="15"/>
  <c r="E2623" i="15"/>
  <c r="E2624" i="15"/>
  <c r="E2625" i="15"/>
  <c r="E2626" i="15"/>
  <c r="E2627" i="15"/>
  <c r="E2628" i="15"/>
  <c r="E2629" i="15"/>
  <c r="E2630" i="15"/>
  <c r="E2631" i="15"/>
  <c r="E2632" i="15"/>
  <c r="E2633" i="15"/>
  <c r="E2634" i="15"/>
  <c r="E2635" i="15"/>
  <c r="E2636" i="15"/>
  <c r="E2637" i="15"/>
  <c r="E2638" i="15"/>
  <c r="E2639" i="15"/>
  <c r="E2640" i="15"/>
  <c r="E2641" i="15"/>
  <c r="E2642" i="15"/>
  <c r="E2643" i="15"/>
  <c r="E2644" i="15"/>
  <c r="E2645" i="15"/>
  <c r="E2646" i="15"/>
  <c r="E2647" i="15"/>
  <c r="E2648" i="15"/>
  <c r="E2649" i="15"/>
  <c r="E2650" i="15"/>
  <c r="E2651" i="15"/>
  <c r="E2652" i="15"/>
  <c r="E2653" i="15"/>
  <c r="E2654" i="15"/>
  <c r="E2655" i="15"/>
  <c r="E2656" i="15"/>
  <c r="E2657" i="15"/>
  <c r="E2658" i="15"/>
  <c r="E2659" i="15"/>
  <c r="E2660" i="15"/>
  <c r="E2661" i="15"/>
  <c r="E2662" i="15"/>
  <c r="E2663" i="15"/>
  <c r="E2664" i="15"/>
  <c r="E2665" i="15"/>
  <c r="E2666" i="15"/>
  <c r="E2667" i="15"/>
  <c r="E2668" i="15"/>
  <c r="E2669" i="15"/>
  <c r="E2670" i="15"/>
  <c r="E2671" i="15"/>
  <c r="E2672" i="15"/>
  <c r="E2673" i="15"/>
  <c r="E2674" i="15"/>
  <c r="E2675" i="15"/>
  <c r="E2676" i="15"/>
  <c r="E2677" i="15"/>
  <c r="E2678" i="15"/>
  <c r="E2679" i="15"/>
  <c r="E2680" i="15"/>
  <c r="E2681" i="15"/>
  <c r="E2682" i="15"/>
  <c r="E2683" i="15"/>
  <c r="E2684" i="15"/>
  <c r="E2685" i="15"/>
  <c r="E2686" i="15"/>
  <c r="E2687" i="15"/>
  <c r="E2688" i="15"/>
  <c r="E2689" i="15"/>
  <c r="E2690" i="15"/>
  <c r="E2691" i="15"/>
  <c r="E2692" i="15"/>
  <c r="E2693" i="15"/>
  <c r="E2694" i="15"/>
  <c r="E2695" i="15"/>
  <c r="E2696" i="15"/>
  <c r="E2697" i="15"/>
  <c r="E2698" i="15"/>
  <c r="E2699" i="15"/>
  <c r="E2700" i="15"/>
  <c r="E2701" i="15"/>
  <c r="E2702" i="15"/>
  <c r="E2703" i="15"/>
  <c r="E2704" i="15"/>
  <c r="E2705" i="15"/>
  <c r="E2706" i="15"/>
  <c r="E2707" i="15"/>
  <c r="E2708" i="15"/>
  <c r="E2709" i="15"/>
  <c r="E2710" i="15"/>
  <c r="E2711" i="15"/>
  <c r="E2712" i="15"/>
  <c r="E2713" i="15"/>
  <c r="E2714" i="15"/>
  <c r="E2715" i="15"/>
  <c r="E2716" i="15"/>
  <c r="E2717" i="15"/>
  <c r="E2718" i="15"/>
  <c r="E2719" i="15"/>
  <c r="E2720" i="15"/>
  <c r="E2721" i="15"/>
  <c r="E2722" i="15"/>
  <c r="E2723" i="15"/>
  <c r="E2724" i="15"/>
  <c r="E2725" i="15"/>
  <c r="E2726" i="15"/>
  <c r="E2727" i="15"/>
  <c r="E2728" i="15"/>
  <c r="E2729" i="15"/>
  <c r="E2730" i="15"/>
  <c r="E2731" i="15"/>
  <c r="E2732" i="15"/>
  <c r="E2733" i="15"/>
  <c r="E2734" i="15"/>
  <c r="E2735" i="15"/>
  <c r="E2736" i="15"/>
  <c r="E2737" i="15"/>
  <c r="E2738" i="15"/>
  <c r="E2739" i="15"/>
  <c r="E2740" i="15"/>
  <c r="E2741" i="15"/>
  <c r="E2742" i="15"/>
  <c r="E2743" i="15"/>
  <c r="E2744" i="15"/>
  <c r="E2745" i="15"/>
  <c r="E2746" i="15"/>
  <c r="E2747" i="15"/>
  <c r="E2748" i="15"/>
  <c r="E2749" i="15"/>
  <c r="E2750" i="15"/>
  <c r="E2751" i="15"/>
  <c r="E2752" i="15"/>
  <c r="E2753" i="15"/>
  <c r="E2754" i="15"/>
  <c r="E2755" i="15"/>
  <c r="E2756" i="15"/>
  <c r="E2757" i="15"/>
  <c r="E2758" i="15"/>
  <c r="E2759" i="15"/>
  <c r="E2760" i="15"/>
  <c r="E2761" i="15"/>
  <c r="E2762" i="15"/>
  <c r="E2763" i="15"/>
  <c r="E2764" i="15"/>
  <c r="E2765" i="15"/>
  <c r="E2766" i="15"/>
  <c r="E2767" i="15"/>
  <c r="E2768" i="15"/>
  <c r="E2769" i="15"/>
  <c r="E2770" i="15"/>
  <c r="E2771" i="15"/>
  <c r="E2772" i="15"/>
  <c r="E2773" i="15"/>
  <c r="E2774" i="15"/>
  <c r="E2775" i="15"/>
  <c r="E2776" i="15"/>
  <c r="E2777" i="15"/>
  <c r="E2778" i="15"/>
  <c r="E2779" i="15"/>
  <c r="E2780" i="15"/>
  <c r="E2781" i="15"/>
  <c r="E2782" i="15"/>
  <c r="E2783" i="15"/>
  <c r="E2784" i="15"/>
  <c r="E2785" i="15"/>
  <c r="E2786" i="15"/>
  <c r="E2787" i="15"/>
  <c r="E2788" i="15"/>
  <c r="E2789" i="15"/>
  <c r="E2790" i="15"/>
  <c r="E2791" i="15"/>
  <c r="E2792" i="15"/>
  <c r="E2793" i="15"/>
  <c r="E2794" i="15"/>
  <c r="E2795" i="15"/>
  <c r="E2796" i="15"/>
  <c r="E2797" i="15"/>
  <c r="E2798" i="15"/>
  <c r="E2799" i="15"/>
  <c r="E2800" i="15"/>
  <c r="E2801" i="15"/>
  <c r="E2802" i="15"/>
  <c r="E2803" i="15"/>
  <c r="E2804" i="15"/>
  <c r="E2805" i="15"/>
  <c r="E2806" i="15"/>
  <c r="E2807" i="15"/>
  <c r="E2808" i="15"/>
  <c r="E2809" i="15"/>
  <c r="E2810" i="15"/>
  <c r="E2811" i="15"/>
  <c r="E2812" i="15"/>
  <c r="E2813" i="15"/>
  <c r="E2814" i="15"/>
  <c r="E2815" i="15"/>
  <c r="E2816" i="15"/>
  <c r="E2817" i="15"/>
  <c r="E2818" i="15"/>
  <c r="E2819" i="15"/>
  <c r="E2820" i="15"/>
  <c r="E2821" i="15"/>
  <c r="E2822" i="15"/>
  <c r="E2823" i="15"/>
  <c r="E2824" i="15"/>
  <c r="E2825" i="15"/>
  <c r="E2826" i="15"/>
  <c r="E2827" i="15"/>
  <c r="E2828" i="15"/>
  <c r="E2829" i="15"/>
  <c r="E2830" i="15"/>
  <c r="E2831" i="15"/>
  <c r="E2832" i="15"/>
  <c r="E2833" i="15"/>
  <c r="E2834" i="15"/>
  <c r="E2835" i="15"/>
  <c r="E2836" i="15"/>
  <c r="E2837" i="15"/>
  <c r="E2838" i="15"/>
  <c r="E2839" i="15"/>
  <c r="E2840" i="15"/>
  <c r="E2841" i="15"/>
  <c r="E2842" i="15"/>
  <c r="E2843" i="15"/>
  <c r="E2844" i="15"/>
  <c r="E2845" i="15"/>
  <c r="E2846" i="15"/>
  <c r="E2847" i="15"/>
  <c r="E2848" i="15"/>
  <c r="E2849" i="15"/>
  <c r="E2850" i="15"/>
  <c r="E2851" i="15"/>
  <c r="E2852" i="15"/>
  <c r="E2853" i="15"/>
  <c r="E2854" i="15"/>
  <c r="E2855" i="15"/>
  <c r="E2856" i="15"/>
  <c r="E2857" i="15"/>
  <c r="E2858" i="15"/>
  <c r="E2859" i="15"/>
  <c r="E2860" i="15"/>
  <c r="E2861" i="15"/>
  <c r="E2862" i="15"/>
  <c r="E2863" i="15"/>
  <c r="E2864" i="15"/>
  <c r="E2865" i="15"/>
  <c r="E2866" i="15"/>
  <c r="E2867" i="15"/>
  <c r="E2868" i="15"/>
  <c r="E2869" i="15"/>
  <c r="E2870" i="15"/>
  <c r="E2871" i="15"/>
  <c r="E2872" i="15"/>
  <c r="E2873" i="15"/>
  <c r="E2874" i="15"/>
  <c r="E2875" i="15"/>
  <c r="E2876" i="15"/>
  <c r="E2877" i="15"/>
  <c r="E2878" i="15"/>
  <c r="E2879" i="15"/>
  <c r="E2880" i="15"/>
  <c r="E2881" i="15"/>
  <c r="E2882" i="15"/>
  <c r="E2883" i="15"/>
  <c r="E2884" i="15"/>
  <c r="E2885" i="15"/>
  <c r="E2886" i="15"/>
  <c r="E2887" i="15"/>
  <c r="E2888" i="15"/>
  <c r="E2889" i="15"/>
  <c r="E2890" i="15"/>
  <c r="E2891" i="15"/>
  <c r="E2892" i="15"/>
  <c r="E2893" i="15"/>
  <c r="E2894" i="15"/>
  <c r="E2895" i="15"/>
  <c r="E2896" i="15"/>
  <c r="E2897" i="15"/>
  <c r="E2898" i="15"/>
  <c r="E2899" i="15"/>
  <c r="E2900" i="15"/>
  <c r="E2901" i="15"/>
  <c r="E2902" i="15"/>
  <c r="E2903" i="15"/>
  <c r="E2904" i="15"/>
  <c r="E2905" i="15"/>
  <c r="E2906" i="15"/>
  <c r="E2907" i="15"/>
  <c r="E2908" i="15"/>
  <c r="E2909" i="15"/>
  <c r="E2910" i="15"/>
  <c r="E2911" i="15"/>
  <c r="E2912" i="15"/>
  <c r="E2913" i="15"/>
  <c r="E2914" i="15"/>
  <c r="E2915" i="15"/>
  <c r="E2916" i="15"/>
  <c r="E2917" i="15"/>
  <c r="E2918" i="15"/>
  <c r="E2919" i="15"/>
  <c r="E2920" i="15"/>
  <c r="E2921" i="15"/>
  <c r="E2922" i="15"/>
  <c r="E2923" i="15"/>
  <c r="E2924" i="15"/>
  <c r="E2925" i="15"/>
  <c r="E2926" i="15"/>
  <c r="E2927" i="15"/>
  <c r="E2928" i="15"/>
  <c r="E2929" i="15"/>
  <c r="E2930" i="15"/>
  <c r="E2931" i="15"/>
  <c r="E2932" i="15"/>
  <c r="E2933" i="15"/>
  <c r="E2934" i="15"/>
  <c r="E2935" i="15"/>
  <c r="E2936" i="15"/>
  <c r="E2937" i="15"/>
  <c r="E2938" i="15"/>
  <c r="E2939" i="15"/>
  <c r="E2940" i="15"/>
  <c r="E2941" i="15"/>
  <c r="E2942" i="15"/>
  <c r="E2943" i="15"/>
  <c r="E2944" i="15"/>
  <c r="E2945" i="15"/>
  <c r="E2946" i="15"/>
  <c r="E2947" i="15"/>
  <c r="E2948" i="15"/>
  <c r="E2949" i="15"/>
  <c r="E2950" i="15"/>
  <c r="E2951" i="15"/>
  <c r="E2952" i="15"/>
  <c r="E2953" i="15"/>
  <c r="E2954" i="15"/>
  <c r="E2955" i="15"/>
  <c r="E2956" i="15"/>
  <c r="E2957" i="15"/>
  <c r="E2958" i="15"/>
  <c r="E2959" i="15"/>
  <c r="E2960" i="15"/>
  <c r="E2961" i="15"/>
  <c r="E2962" i="15"/>
  <c r="E2963" i="15"/>
  <c r="E2964" i="15"/>
  <c r="E2965" i="15"/>
  <c r="E2966" i="15"/>
  <c r="E2967" i="15"/>
  <c r="E2968" i="15"/>
  <c r="E2969" i="15"/>
  <c r="E2970" i="15"/>
  <c r="E2971" i="15"/>
  <c r="E2972" i="15"/>
  <c r="E2973" i="15"/>
  <c r="E2974" i="15"/>
  <c r="E2975" i="15"/>
  <c r="E2976" i="15"/>
  <c r="E2977" i="15"/>
  <c r="E2978" i="15"/>
  <c r="E2979" i="15"/>
  <c r="E2980" i="15"/>
  <c r="E2981" i="15"/>
  <c r="E2982" i="15"/>
  <c r="E2983" i="15"/>
  <c r="E2984" i="15"/>
  <c r="E2985" i="15"/>
  <c r="E2986" i="15"/>
  <c r="E2987" i="15"/>
  <c r="E2988" i="15"/>
  <c r="E2989" i="15"/>
  <c r="E2990" i="15"/>
  <c r="E2991" i="15"/>
  <c r="E2992" i="15"/>
  <c r="E2993" i="15"/>
  <c r="E2994" i="15"/>
  <c r="E2995" i="15"/>
  <c r="E2996" i="15"/>
  <c r="E2997" i="15"/>
  <c r="E2998" i="15"/>
  <c r="E2999" i="15"/>
  <c r="E3000" i="15"/>
  <c r="E3001" i="15"/>
  <c r="E3002" i="15"/>
  <c r="E3003" i="15"/>
  <c r="E3004" i="15"/>
  <c r="E3005" i="15"/>
  <c r="E3006" i="15"/>
  <c r="E3007" i="15"/>
  <c r="E3008" i="15"/>
  <c r="E3009" i="15"/>
  <c r="E3010" i="15"/>
  <c r="E3011" i="15"/>
  <c r="E3012" i="15"/>
  <c r="E3013" i="15"/>
  <c r="E3014" i="15"/>
  <c r="E3015" i="15"/>
  <c r="E3016" i="15"/>
  <c r="E3017" i="15"/>
  <c r="E3018" i="15"/>
  <c r="E3019" i="15"/>
  <c r="E3020" i="15"/>
  <c r="E3021" i="15"/>
  <c r="E3022" i="15"/>
  <c r="E3023" i="15"/>
  <c r="E3024" i="15"/>
  <c r="E3025" i="15"/>
  <c r="E3026" i="15"/>
  <c r="E3027" i="15"/>
  <c r="E3028" i="15"/>
  <c r="E3029" i="15"/>
  <c r="E3030" i="15"/>
  <c r="E3031" i="15"/>
  <c r="E3032" i="15"/>
  <c r="E3033" i="15"/>
  <c r="E3034" i="15"/>
  <c r="E3035" i="15"/>
  <c r="E3036" i="15"/>
  <c r="E3037" i="15"/>
  <c r="E3038" i="15"/>
  <c r="E3039" i="15"/>
  <c r="E3040" i="15"/>
  <c r="E3041" i="15"/>
  <c r="E3042" i="15"/>
  <c r="E3043" i="15"/>
  <c r="E3044" i="15"/>
  <c r="E3045" i="15"/>
  <c r="E3046" i="15"/>
  <c r="E3047" i="15"/>
  <c r="E3048" i="15"/>
  <c r="E3049" i="15"/>
  <c r="E3050" i="15"/>
  <c r="E3051" i="15"/>
  <c r="E3052" i="15"/>
  <c r="E3053" i="15"/>
  <c r="E3054" i="15"/>
  <c r="E3055" i="15"/>
  <c r="E3056" i="15"/>
  <c r="E3057" i="15"/>
  <c r="E3058" i="15"/>
  <c r="E3059" i="15"/>
  <c r="E3060" i="15"/>
  <c r="E3061" i="15"/>
  <c r="E3062" i="15"/>
  <c r="E3063" i="15"/>
  <c r="E3064" i="15"/>
  <c r="E3065" i="15"/>
  <c r="E3066" i="15"/>
  <c r="E3067" i="15"/>
  <c r="E3068" i="15"/>
  <c r="E3069" i="15"/>
  <c r="E3070" i="15"/>
  <c r="E3071" i="15"/>
  <c r="E3072" i="15"/>
  <c r="E3073" i="15"/>
  <c r="E3074" i="15"/>
  <c r="E3075" i="15"/>
  <c r="E3076" i="15"/>
  <c r="E3077" i="15"/>
  <c r="E3078" i="15"/>
  <c r="E3079" i="15"/>
  <c r="E3080" i="15"/>
  <c r="E3081" i="15"/>
  <c r="E3082" i="15"/>
  <c r="E3083" i="15"/>
  <c r="E3084" i="15"/>
  <c r="E3085" i="15"/>
  <c r="E3086" i="15"/>
  <c r="E3087" i="15"/>
  <c r="E3088" i="15"/>
  <c r="E3089" i="15"/>
  <c r="E3090" i="15"/>
  <c r="E3091" i="15"/>
  <c r="E3092" i="15"/>
  <c r="E3093" i="15"/>
  <c r="E3094" i="15"/>
  <c r="E3095" i="15"/>
  <c r="E3096" i="15"/>
  <c r="E3097" i="15"/>
  <c r="E3098" i="15"/>
  <c r="E3099" i="15"/>
  <c r="E3100" i="15"/>
  <c r="E3101" i="15"/>
  <c r="E3102" i="15"/>
  <c r="E3103" i="15"/>
  <c r="E3104" i="15"/>
  <c r="E3105" i="15"/>
  <c r="E3106" i="15"/>
  <c r="E3107" i="15"/>
  <c r="E3108" i="15"/>
  <c r="E3109" i="15"/>
  <c r="E3110" i="15"/>
  <c r="E3111" i="15"/>
  <c r="E3112" i="15"/>
  <c r="E3113" i="15"/>
  <c r="E3114" i="15"/>
  <c r="E3115" i="15"/>
  <c r="E3116" i="15"/>
  <c r="E3117" i="15"/>
  <c r="E3118" i="15"/>
  <c r="E3119" i="15"/>
  <c r="E3120" i="15"/>
  <c r="E3121" i="15"/>
  <c r="E3122" i="15"/>
  <c r="E3123" i="15"/>
  <c r="E3124" i="15"/>
  <c r="E3125" i="15"/>
  <c r="E3126" i="15"/>
  <c r="E3127" i="15"/>
  <c r="E3128" i="15"/>
  <c r="E3129" i="15"/>
  <c r="E3130" i="15"/>
  <c r="E3131" i="15"/>
  <c r="E3132" i="15"/>
  <c r="E3133" i="15"/>
  <c r="E3134" i="15"/>
  <c r="E3135" i="15"/>
  <c r="E3136" i="15"/>
  <c r="E3137" i="15"/>
  <c r="BS962" i="1"/>
  <c r="BR962" i="1" a="1"/>
  <c r="BR962" i="1" s="1"/>
  <c r="BM962" i="1"/>
  <c r="BK962" i="1"/>
  <c r="BZ962" i="1" s="1"/>
  <c r="BA962" i="1"/>
  <c r="AX962" i="1"/>
  <c r="BY962" i="1" s="1"/>
  <c r="AO962" i="1"/>
  <c r="AL962" i="1"/>
  <c r="BX962" i="1" s="1"/>
  <c r="AC962" i="1"/>
  <c r="Z962" i="1"/>
  <c r="BW962" i="1"/>
  <c r="Q962" i="1"/>
  <c r="N962" i="1"/>
  <c r="BV962" i="1" s="1"/>
  <c r="E962" i="1"/>
  <c r="BS789" i="1"/>
  <c r="BR789" i="1" a="1"/>
  <c r="BR789" i="1" s="1"/>
  <c r="BM789" i="1"/>
  <c r="BK789" i="1"/>
  <c r="BZ789" i="1" s="1"/>
  <c r="BA789" i="1"/>
  <c r="AX789" i="1"/>
  <c r="BY789" i="1" s="1"/>
  <c r="AO789" i="1"/>
  <c r="AL789" i="1"/>
  <c r="BX789" i="1" s="1"/>
  <c r="AC789" i="1"/>
  <c r="Z789" i="1"/>
  <c r="BW789" i="1" s="1"/>
  <c r="Q789" i="1"/>
  <c r="N789" i="1"/>
  <c r="E789" i="1"/>
  <c r="BS613" i="1"/>
  <c r="BR613" i="1" a="1"/>
  <c r="BR613" i="1" s="1"/>
  <c r="BM613" i="1"/>
  <c r="BK613" i="1"/>
  <c r="BZ613" i="1" s="1"/>
  <c r="BA613" i="1"/>
  <c r="AX613" i="1"/>
  <c r="BY613" i="1"/>
  <c r="AO613" i="1"/>
  <c r="AL613" i="1"/>
  <c r="BX613" i="1" s="1"/>
  <c r="AC613" i="1"/>
  <c r="Z613" i="1"/>
  <c r="BW613" i="1"/>
  <c r="Q613" i="1"/>
  <c r="N613" i="1"/>
  <c r="E613" i="1"/>
  <c r="BS463" i="1"/>
  <c r="BR463" i="1" a="1"/>
  <c r="BR463" i="1" s="1"/>
  <c r="BM463" i="1"/>
  <c r="BK463" i="1"/>
  <c r="BZ463" i="1" s="1"/>
  <c r="BA463" i="1"/>
  <c r="AX463" i="1"/>
  <c r="BY463" i="1" s="1"/>
  <c r="AO463" i="1"/>
  <c r="AL463" i="1"/>
  <c r="AC463" i="1"/>
  <c r="Z463" i="1"/>
  <c r="BW463" i="1"/>
  <c r="Q463" i="1"/>
  <c r="N463" i="1"/>
  <c r="E463" i="1"/>
  <c r="BS252" i="1"/>
  <c r="BR252" i="1" a="1"/>
  <c r="BR252" i="1" s="1"/>
  <c r="BM252" i="1"/>
  <c r="BK252" i="1"/>
  <c r="BZ252" i="1"/>
  <c r="BA252" i="1"/>
  <c r="AX252" i="1"/>
  <c r="BY252" i="1" s="1"/>
  <c r="AO252" i="1"/>
  <c r="AL252" i="1"/>
  <c r="BX252" i="1"/>
  <c r="AC252" i="1"/>
  <c r="Z252" i="1"/>
  <c r="Q252" i="1"/>
  <c r="N252" i="1"/>
  <c r="BV252" i="1" s="1"/>
  <c r="E252" i="1"/>
  <c r="BS217" i="1"/>
  <c r="BR217" i="1" a="1"/>
  <c r="BR217" i="1" s="1"/>
  <c r="BM217" i="1"/>
  <c r="BK217" i="1"/>
  <c r="BZ217" i="1"/>
  <c r="BA217" i="1"/>
  <c r="AX217" i="1"/>
  <c r="BY217" i="1" s="1"/>
  <c r="AO217" i="1"/>
  <c r="AL217" i="1"/>
  <c r="BX217" i="1"/>
  <c r="AC217" i="1"/>
  <c r="Z217" i="1"/>
  <c r="Q217" i="1"/>
  <c r="N217" i="1"/>
  <c r="BV217" i="1" s="1"/>
  <c r="E217" i="1"/>
  <c r="BS262" i="1"/>
  <c r="BR262" i="1" a="1"/>
  <c r="BR262" i="1" s="1"/>
  <c r="BM262" i="1"/>
  <c r="BK262" i="1"/>
  <c r="BZ262" i="1"/>
  <c r="BA262" i="1"/>
  <c r="AX262" i="1"/>
  <c r="BY262" i="1" s="1"/>
  <c r="AO262" i="1"/>
  <c r="AL262" i="1"/>
  <c r="BX262" i="1"/>
  <c r="AC262" i="1"/>
  <c r="Z262" i="1"/>
  <c r="BW262" i="1" s="1"/>
  <c r="Q262" i="1"/>
  <c r="N262" i="1"/>
  <c r="BV262" i="1" s="1"/>
  <c r="E262" i="1"/>
  <c r="BS141" i="1"/>
  <c r="BR141" i="1" a="1"/>
  <c r="BR141" i="1" s="1"/>
  <c r="BM141" i="1"/>
  <c r="BK141" i="1"/>
  <c r="BZ141" i="1"/>
  <c r="BA141" i="1"/>
  <c r="AX141" i="1"/>
  <c r="BY141" i="1" s="1"/>
  <c r="AO141" i="1"/>
  <c r="AL141" i="1"/>
  <c r="BX141" i="1"/>
  <c r="AC141" i="1"/>
  <c r="Z141" i="1"/>
  <c r="Q141" i="1"/>
  <c r="N141" i="1"/>
  <c r="BV141" i="1" s="1"/>
  <c r="E141" i="1"/>
  <c r="BV463" i="1"/>
  <c r="K1295" i="15"/>
  <c r="K620" i="15"/>
  <c r="K598" i="15"/>
  <c r="K304" i="15"/>
  <c r="K161" i="15"/>
  <c r="BR862" i="1" a="1"/>
  <c r="BR862" i="1" s="1"/>
  <c r="BS862" i="1"/>
  <c r="BM862" i="1"/>
  <c r="BK862" i="1"/>
  <c r="BZ862" i="1"/>
  <c r="BA862" i="1"/>
  <c r="AX862" i="1"/>
  <c r="BY862" i="1" s="1"/>
  <c r="AO862" i="1"/>
  <c r="AL862" i="1"/>
  <c r="BX862" i="1" s="1"/>
  <c r="AC862" i="1"/>
  <c r="Z862" i="1"/>
  <c r="BW862" i="1" s="1"/>
  <c r="Q862" i="1"/>
  <c r="N862" i="1"/>
  <c r="E862" i="1"/>
  <c r="BS781" i="1"/>
  <c r="BR781" i="1" a="1"/>
  <c r="BR781" i="1" s="1"/>
  <c r="BM781" i="1"/>
  <c r="BK781" i="1"/>
  <c r="BZ781" i="1" s="1"/>
  <c r="BA781" i="1"/>
  <c r="AX781" i="1"/>
  <c r="BY781" i="1" s="1"/>
  <c r="AO781" i="1"/>
  <c r="AL781" i="1"/>
  <c r="BX781" i="1"/>
  <c r="AC781" i="1"/>
  <c r="Z781" i="1"/>
  <c r="BW781" i="1" s="1"/>
  <c r="Q781" i="1"/>
  <c r="N781" i="1"/>
  <c r="E781" i="1"/>
  <c r="BS303" i="1"/>
  <c r="BR303" i="1" a="1"/>
  <c r="BR303" i="1" s="1"/>
  <c r="BM303" i="1"/>
  <c r="BK303" i="1"/>
  <c r="BZ303" i="1" s="1"/>
  <c r="BA303" i="1"/>
  <c r="AX303" i="1"/>
  <c r="BY303" i="1"/>
  <c r="AO303" i="1"/>
  <c r="AL303" i="1"/>
  <c r="BX303" i="1" s="1"/>
  <c r="AC303" i="1"/>
  <c r="Z303" i="1"/>
  <c r="BW303" i="1"/>
  <c r="Q303" i="1"/>
  <c r="N303" i="1"/>
  <c r="E303" i="1"/>
  <c r="BS301" i="1"/>
  <c r="BR301" i="1" a="1"/>
  <c r="BR301" i="1" s="1"/>
  <c r="BM301" i="1"/>
  <c r="BK301" i="1"/>
  <c r="BZ301" i="1"/>
  <c r="BA301" i="1"/>
  <c r="AX301" i="1"/>
  <c r="BY301" i="1" s="1"/>
  <c r="AO301" i="1"/>
  <c r="AL301" i="1"/>
  <c r="BX301" i="1" s="1"/>
  <c r="AC301" i="1"/>
  <c r="Z301" i="1"/>
  <c r="BW301" i="1" s="1"/>
  <c r="Q301" i="1"/>
  <c r="N301" i="1"/>
  <c r="BV301" i="1" s="1"/>
  <c r="E301" i="1"/>
  <c r="BS34" i="1"/>
  <c r="BR34" i="1" a="1"/>
  <c r="BR34" i="1" s="1"/>
  <c r="BM34" i="1"/>
  <c r="BK34" i="1"/>
  <c r="BZ34" i="1"/>
  <c r="BA34" i="1"/>
  <c r="AX34" i="1"/>
  <c r="BY34" i="1" s="1"/>
  <c r="AO34" i="1"/>
  <c r="AL34" i="1"/>
  <c r="BX34" i="1" s="1"/>
  <c r="AC34" i="1"/>
  <c r="Z34" i="1"/>
  <c r="Q34" i="1"/>
  <c r="N34" i="1"/>
  <c r="BV34" i="1" s="1"/>
  <c r="E34" i="1"/>
  <c r="BS33" i="1"/>
  <c r="BR33" i="1" a="1"/>
  <c r="BR33" i="1" s="1"/>
  <c r="BM33" i="1"/>
  <c r="BK33" i="1"/>
  <c r="BZ33" i="1"/>
  <c r="BA33" i="1"/>
  <c r="AX33" i="1"/>
  <c r="BY33" i="1" s="1"/>
  <c r="AO33" i="1"/>
  <c r="AL33" i="1"/>
  <c r="BX33" i="1" s="1"/>
  <c r="AC33" i="1"/>
  <c r="Z33" i="1"/>
  <c r="Q33" i="1"/>
  <c r="N33" i="1"/>
  <c r="BV33" i="1"/>
  <c r="E33" i="1"/>
  <c r="BS32" i="1"/>
  <c r="BR32" i="1" a="1"/>
  <c r="BR32" i="1" s="1"/>
  <c r="BM32" i="1"/>
  <c r="BK32" i="1"/>
  <c r="BZ32" i="1" s="1"/>
  <c r="BA32" i="1"/>
  <c r="AX32" i="1"/>
  <c r="BY32" i="1" s="1"/>
  <c r="AO32" i="1"/>
  <c r="AL32" i="1"/>
  <c r="BX32" i="1" s="1"/>
  <c r="AC32" i="1"/>
  <c r="Z32" i="1"/>
  <c r="BW32" i="1" s="1"/>
  <c r="Q32" i="1"/>
  <c r="N32" i="1"/>
  <c r="E32" i="1"/>
  <c r="K22" i="15"/>
  <c r="K23" i="15"/>
  <c r="K24" i="15"/>
  <c r="K25" i="15"/>
  <c r="K26" i="15"/>
  <c r="K141" i="15"/>
  <c r="K142" i="15"/>
  <c r="K247" i="15"/>
  <c r="K248" i="15"/>
  <c r="K249" i="15"/>
  <c r="K297" i="15"/>
  <c r="K298" i="15"/>
  <c r="K299" i="15"/>
  <c r="K300" i="15"/>
  <c r="K301" i="15"/>
  <c r="K302" i="15"/>
  <c r="K305" i="15"/>
  <c r="K306" i="15"/>
  <c r="K307" i="15"/>
  <c r="K308" i="15"/>
  <c r="K309" i="15"/>
  <c r="K310" i="15"/>
  <c r="K311" i="15"/>
  <c r="K312" i="15"/>
  <c r="K313" i="15"/>
  <c r="K314" i="15"/>
  <c r="K315" i="15"/>
  <c r="K316" i="15"/>
  <c r="K445" i="15"/>
  <c r="K446" i="15"/>
  <c r="K447" i="15"/>
  <c r="K448" i="15"/>
  <c r="K449" i="15"/>
  <c r="K522" i="15"/>
  <c r="K523" i="15"/>
  <c r="K525" i="15"/>
  <c r="K724" i="15"/>
  <c r="K725" i="15"/>
  <c r="K786" i="15"/>
  <c r="K856" i="15"/>
  <c r="K857" i="15"/>
  <c r="K858" i="15"/>
  <c r="K860" i="15"/>
  <c r="K861" i="15"/>
  <c r="K862" i="15"/>
  <c r="K863" i="15"/>
  <c r="K869" i="15"/>
  <c r="K870" i="15"/>
  <c r="K871" i="15"/>
  <c r="K872" i="15"/>
  <c r="K873" i="15"/>
  <c r="K874" i="15"/>
  <c r="K875" i="15"/>
  <c r="K1096" i="15"/>
  <c r="K983" i="15"/>
  <c r="K903" i="15"/>
  <c r="K405" i="15"/>
  <c r="K354" i="15"/>
  <c r="K3" i="15"/>
  <c r="BS609" i="1"/>
  <c r="BR609" i="1" a="1"/>
  <c r="BR609" i="1" s="1"/>
  <c r="BM609" i="1"/>
  <c r="BK609" i="1"/>
  <c r="BZ609" i="1"/>
  <c r="BA609" i="1"/>
  <c r="AX609" i="1"/>
  <c r="BY609" i="1" s="1"/>
  <c r="AO609" i="1"/>
  <c r="AL609" i="1"/>
  <c r="BX609" i="1" s="1"/>
  <c r="AC609" i="1"/>
  <c r="Z609" i="1"/>
  <c r="BW609" i="1" s="1"/>
  <c r="Q609" i="1"/>
  <c r="N609" i="1"/>
  <c r="E609" i="1"/>
  <c r="BS861" i="1"/>
  <c r="BR861" i="1" a="1"/>
  <c r="BR861" i="1" s="1"/>
  <c r="BM861" i="1"/>
  <c r="BK861" i="1"/>
  <c r="BZ861" i="1" s="1"/>
  <c r="BA861" i="1"/>
  <c r="AX861" i="1"/>
  <c r="BY861" i="1" s="1"/>
  <c r="AO861" i="1"/>
  <c r="AL861" i="1"/>
  <c r="BX861" i="1" s="1"/>
  <c r="AC861" i="1"/>
  <c r="Z861" i="1"/>
  <c r="BW861" i="1" s="1"/>
  <c r="Q861" i="1"/>
  <c r="N861" i="1"/>
  <c r="BV861" i="1" s="1"/>
  <c r="E861" i="1"/>
  <c r="BS835" i="1"/>
  <c r="BR835" i="1" a="1"/>
  <c r="BR835" i="1" s="1"/>
  <c r="BM835" i="1"/>
  <c r="BK835" i="1"/>
  <c r="BZ835" i="1" s="1"/>
  <c r="BA835" i="1"/>
  <c r="AX835" i="1"/>
  <c r="BY835" i="1"/>
  <c r="AO835" i="1"/>
  <c r="AL835" i="1"/>
  <c r="BX835" i="1" s="1"/>
  <c r="AC835" i="1"/>
  <c r="Z835" i="1"/>
  <c r="Q835" i="1"/>
  <c r="N835" i="1"/>
  <c r="BV835" i="1" s="1"/>
  <c r="E835" i="1"/>
  <c r="BS265" i="1"/>
  <c r="BR265" i="1" a="1"/>
  <c r="BR265" i="1" s="1"/>
  <c r="BM265" i="1"/>
  <c r="BK265" i="1"/>
  <c r="BZ265" i="1"/>
  <c r="BA265" i="1"/>
  <c r="AX265" i="1"/>
  <c r="BY265" i="1" s="1"/>
  <c r="AO265" i="1"/>
  <c r="AL265" i="1"/>
  <c r="AC265" i="1"/>
  <c r="Z265" i="1"/>
  <c r="BW265" i="1"/>
  <c r="Q265" i="1"/>
  <c r="N265" i="1"/>
  <c r="BV265" i="1" s="1"/>
  <c r="E265" i="1"/>
  <c r="BS253" i="1"/>
  <c r="BR253" i="1" a="1"/>
  <c r="BR253" i="1" s="1"/>
  <c r="BM253" i="1"/>
  <c r="BK253" i="1"/>
  <c r="BZ253" i="1" s="1"/>
  <c r="BA253" i="1"/>
  <c r="AX253" i="1"/>
  <c r="BY253" i="1" s="1"/>
  <c r="AO253" i="1"/>
  <c r="AL253" i="1"/>
  <c r="BX253" i="1" s="1"/>
  <c r="AC253" i="1"/>
  <c r="Z253" i="1"/>
  <c r="BW253" i="1" s="1"/>
  <c r="Q253" i="1"/>
  <c r="N253" i="1"/>
  <c r="E253" i="1"/>
  <c r="BS251" i="1"/>
  <c r="BR251" i="1" a="1"/>
  <c r="BR251" i="1" s="1"/>
  <c r="BM251" i="1"/>
  <c r="BK251" i="1"/>
  <c r="BZ251" i="1" s="1"/>
  <c r="BA251" i="1"/>
  <c r="AX251" i="1"/>
  <c r="BY251" i="1" s="1"/>
  <c r="AO251" i="1"/>
  <c r="AL251" i="1"/>
  <c r="AC251" i="1"/>
  <c r="Z251" i="1"/>
  <c r="BW251" i="1" s="1"/>
  <c r="Q251" i="1"/>
  <c r="N251" i="1"/>
  <c r="BV251" i="1" s="1"/>
  <c r="E251" i="1"/>
  <c r="BS203" i="1"/>
  <c r="BR203" i="1" a="1"/>
  <c r="BR203" i="1" s="1"/>
  <c r="BM203" i="1"/>
  <c r="BK203" i="1"/>
  <c r="BZ203" i="1" s="1"/>
  <c r="BA203" i="1"/>
  <c r="AX203" i="1"/>
  <c r="BY203" i="1"/>
  <c r="AO203" i="1"/>
  <c r="AL203" i="1"/>
  <c r="AC203" i="1"/>
  <c r="Z203" i="1"/>
  <c r="BW203" i="1" s="1"/>
  <c r="Q203" i="1"/>
  <c r="N203" i="1"/>
  <c r="BV203" i="1" s="1"/>
  <c r="E203" i="1"/>
  <c r="K835" i="15"/>
  <c r="K736" i="15"/>
  <c r="K688" i="15"/>
  <c r="K656" i="15"/>
  <c r="K637" i="15"/>
  <c r="AL530" i="1"/>
  <c r="BX530" i="1" s="1"/>
  <c r="AL413" i="1"/>
  <c r="BX413" i="1" s="1"/>
  <c r="K575" i="15"/>
  <c r="Z646" i="1"/>
  <c r="BW646" i="1" s="1"/>
  <c r="Z422" i="1"/>
  <c r="BW422" i="1"/>
  <c r="Z465" i="1"/>
  <c r="BW465" i="1" s="1"/>
  <c r="Z459" i="1"/>
  <c r="BW459" i="1"/>
  <c r="K407" i="15"/>
  <c r="Z530" i="1"/>
  <c r="BW530" i="1" s="1"/>
  <c r="Z814" i="1"/>
  <c r="BW814" i="1"/>
  <c r="K242" i="15"/>
  <c r="Z768" i="1"/>
  <c r="BW768" i="1" s="1"/>
  <c r="N443" i="1"/>
  <c r="N551" i="1"/>
  <c r="BV551" i="1"/>
  <c r="BR659" i="1" a="1"/>
  <c r="BR659" i="1" s="1"/>
  <c r="BK659" i="1"/>
  <c r="BZ659" i="1" s="1"/>
  <c r="AX659" i="1"/>
  <c r="BY659" i="1" s="1"/>
  <c r="AL659" i="1"/>
  <c r="BX659" i="1" s="1"/>
  <c r="Z659" i="1"/>
  <c r="BW659" i="1" s="1"/>
  <c r="N659" i="1"/>
  <c r="BV659" i="1" s="1"/>
  <c r="BS659" i="1"/>
  <c r="BM659" i="1"/>
  <c r="BA659" i="1"/>
  <c r="A2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A244" i="15"/>
  <c r="A245" i="15"/>
  <c r="A246" i="15"/>
  <c r="A247" i="15"/>
  <c r="A248" i="15"/>
  <c r="A249" i="15"/>
  <c r="A250" i="15"/>
  <c r="A251" i="15"/>
  <c r="A252" i="15"/>
  <c r="A253" i="15"/>
  <c r="A254" i="15"/>
  <c r="A255" i="15"/>
  <c r="A256" i="15"/>
  <c r="A257" i="15"/>
  <c r="A258" i="15"/>
  <c r="A259" i="15"/>
  <c r="A260" i="15"/>
  <c r="A261" i="15"/>
  <c r="A262" i="15"/>
  <c r="A263" i="15"/>
  <c r="A264" i="15"/>
  <c r="A265" i="15"/>
  <c r="A266" i="15"/>
  <c r="A267" i="15"/>
  <c r="A268" i="15"/>
  <c r="A269" i="15"/>
  <c r="A270" i="15"/>
  <c r="A271" i="15"/>
  <c r="A272" i="15"/>
  <c r="A273" i="15"/>
  <c r="A274" i="15"/>
  <c r="A275" i="15"/>
  <c r="A276" i="15"/>
  <c r="A277" i="15"/>
  <c r="A278" i="15"/>
  <c r="A279" i="15"/>
  <c r="A280" i="15"/>
  <c r="A281" i="15"/>
  <c r="A282" i="15"/>
  <c r="A283" i="15"/>
  <c r="A284" i="15"/>
  <c r="A285" i="15"/>
  <c r="A286" i="15"/>
  <c r="A287" i="15"/>
  <c r="A288" i="15"/>
  <c r="A289" i="15"/>
  <c r="A290" i="15"/>
  <c r="A291" i="15"/>
  <c r="A292" i="15"/>
  <c r="A293" i="15"/>
  <c r="A294" i="15"/>
  <c r="A295" i="15"/>
  <c r="A296" i="15"/>
  <c r="A297" i="15"/>
  <c r="A298" i="15"/>
  <c r="A299" i="15"/>
  <c r="A300" i="15"/>
  <c r="A301" i="15"/>
  <c r="A302" i="15"/>
  <c r="A303" i="15"/>
  <c r="A304" i="15"/>
  <c r="A305" i="15"/>
  <c r="A306" i="15"/>
  <c r="A307" i="15"/>
  <c r="A308" i="15"/>
  <c r="A309" i="15"/>
  <c r="A310" i="15"/>
  <c r="A311" i="15"/>
  <c r="A312" i="15"/>
  <c r="A313" i="15"/>
  <c r="A314" i="15"/>
  <c r="A315" i="15"/>
  <c r="A316" i="15"/>
  <c r="A317" i="15"/>
  <c r="A318" i="15"/>
  <c r="A319" i="15"/>
  <c r="A320" i="15"/>
  <c r="A321" i="15"/>
  <c r="A322" i="15"/>
  <c r="A323" i="15"/>
  <c r="A324" i="15"/>
  <c r="A325" i="15"/>
  <c r="A326" i="15"/>
  <c r="A327" i="15"/>
  <c r="A328" i="15"/>
  <c r="A329" i="15"/>
  <c r="A330" i="15"/>
  <c r="A331" i="15"/>
  <c r="A332" i="15"/>
  <c r="A333" i="15"/>
  <c r="A334" i="15"/>
  <c r="A335" i="15"/>
  <c r="A336" i="15"/>
  <c r="A337" i="15"/>
  <c r="A338" i="15"/>
  <c r="A339" i="15"/>
  <c r="A340" i="15"/>
  <c r="A341" i="15"/>
  <c r="A342" i="15"/>
  <c r="A343" i="15"/>
  <c r="A344" i="15"/>
  <c r="A345" i="15"/>
  <c r="A346" i="15"/>
  <c r="A347" i="15"/>
  <c r="A348" i="15"/>
  <c r="A349" i="15"/>
  <c r="A350" i="15"/>
  <c r="A351" i="15"/>
  <c r="A352" i="15"/>
  <c r="A353" i="15"/>
  <c r="A354" i="15"/>
  <c r="A355" i="15"/>
  <c r="A356" i="15"/>
  <c r="A357" i="15"/>
  <c r="A358" i="15"/>
  <c r="A359" i="15"/>
  <c r="A360" i="15"/>
  <c r="A361" i="15"/>
  <c r="A362" i="15"/>
  <c r="A363" i="15"/>
  <c r="A364" i="15"/>
  <c r="A365" i="15"/>
  <c r="A366" i="15"/>
  <c r="A367" i="15"/>
  <c r="A368" i="15"/>
  <c r="A369" i="15"/>
  <c r="A370" i="15"/>
  <c r="A371" i="15"/>
  <c r="A372" i="15"/>
  <c r="A373" i="15"/>
  <c r="A374" i="15"/>
  <c r="A375" i="15"/>
  <c r="A376" i="15"/>
  <c r="A377" i="15"/>
  <c r="A378" i="15"/>
  <c r="A379" i="15"/>
  <c r="A380" i="15"/>
  <c r="A381" i="15"/>
  <c r="A382" i="15"/>
  <c r="A383" i="15"/>
  <c r="A384" i="15"/>
  <c r="A385" i="15"/>
  <c r="A386" i="15"/>
  <c r="A387" i="15"/>
  <c r="A388" i="15"/>
  <c r="A389" i="15"/>
  <c r="A390" i="15"/>
  <c r="A391" i="15"/>
  <c r="A392" i="15"/>
  <c r="A393" i="15"/>
  <c r="A394" i="15"/>
  <c r="A395" i="15"/>
  <c r="A396" i="15"/>
  <c r="A397" i="15"/>
  <c r="A398" i="15"/>
  <c r="A399" i="15"/>
  <c r="A400" i="15"/>
  <c r="A401" i="15"/>
  <c r="A402" i="15"/>
  <c r="A403" i="15"/>
  <c r="A404" i="15"/>
  <c r="A405" i="15"/>
  <c r="A406" i="15"/>
  <c r="A407" i="15"/>
  <c r="A408" i="15"/>
  <c r="A409" i="15"/>
  <c r="A410" i="15"/>
  <c r="A411" i="15"/>
  <c r="A412" i="15"/>
  <c r="A413" i="15"/>
  <c r="A414" i="15"/>
  <c r="A415" i="15"/>
  <c r="A416" i="15"/>
  <c r="A417" i="15"/>
  <c r="A418" i="15"/>
  <c r="A419" i="15"/>
  <c r="A420" i="15"/>
  <c r="A421" i="15"/>
  <c r="A422" i="15"/>
  <c r="A423" i="15"/>
  <c r="A424" i="15"/>
  <c r="A425" i="15"/>
  <c r="A426" i="15"/>
  <c r="A427" i="15"/>
  <c r="A428" i="15"/>
  <c r="A429" i="15"/>
  <c r="A430" i="15"/>
  <c r="A431" i="15"/>
  <c r="A432" i="15"/>
  <c r="A433" i="15"/>
  <c r="A434" i="15"/>
  <c r="A435" i="15"/>
  <c r="A436" i="15"/>
  <c r="A437" i="15"/>
  <c r="A438" i="15"/>
  <c r="A439" i="15"/>
  <c r="A440" i="15"/>
  <c r="A441" i="15"/>
  <c r="A442" i="15"/>
  <c r="A443" i="15"/>
  <c r="A444" i="15"/>
  <c r="A445" i="15"/>
  <c r="A446" i="15"/>
  <c r="A447" i="15"/>
  <c r="A448" i="15"/>
  <c r="A449" i="15"/>
  <c r="A450" i="15"/>
  <c r="A451" i="15"/>
  <c r="A452" i="15"/>
  <c r="A453" i="15"/>
  <c r="A454" i="15"/>
  <c r="A455" i="15"/>
  <c r="A456" i="15"/>
  <c r="A457" i="15"/>
  <c r="A458" i="15"/>
  <c r="A459" i="15"/>
  <c r="A460" i="15"/>
  <c r="A461" i="15"/>
  <c r="A462" i="15"/>
  <c r="A463" i="15"/>
  <c r="A464" i="15"/>
  <c r="A465" i="15"/>
  <c r="A466" i="15"/>
  <c r="A467" i="15"/>
  <c r="A468" i="15"/>
  <c r="A469" i="15"/>
  <c r="A470" i="15"/>
  <c r="A471" i="15"/>
  <c r="A472" i="15"/>
  <c r="A473" i="15"/>
  <c r="A474" i="15"/>
  <c r="A475" i="15"/>
  <c r="A476" i="15"/>
  <c r="A477" i="15"/>
  <c r="A478" i="15"/>
  <c r="A479" i="15"/>
  <c r="A480" i="15"/>
  <c r="A481" i="15"/>
  <c r="A482" i="15"/>
  <c r="A483" i="15"/>
  <c r="A484" i="15"/>
  <c r="A485" i="15"/>
  <c r="A486" i="15"/>
  <c r="A487" i="15"/>
  <c r="A488" i="15"/>
  <c r="A489" i="15"/>
  <c r="A490" i="15"/>
  <c r="A491" i="15"/>
  <c r="A492" i="15"/>
  <c r="A493" i="15"/>
  <c r="A494" i="15"/>
  <c r="A495" i="15"/>
  <c r="A496" i="15"/>
  <c r="A497" i="15"/>
  <c r="A498" i="15"/>
  <c r="A499" i="15"/>
  <c r="A500" i="15"/>
  <c r="A501" i="15"/>
  <c r="A502" i="15"/>
  <c r="A503" i="15"/>
  <c r="A504" i="15"/>
  <c r="A505" i="15"/>
  <c r="A506" i="15"/>
  <c r="A507" i="15"/>
  <c r="A508" i="15"/>
  <c r="A509" i="15"/>
  <c r="A510" i="15"/>
  <c r="A511" i="15"/>
  <c r="A512" i="15"/>
  <c r="A513" i="15"/>
  <c r="A514" i="15"/>
  <c r="A515" i="15"/>
  <c r="A516" i="15"/>
  <c r="A517" i="15"/>
  <c r="A518" i="15"/>
  <c r="A519" i="15"/>
  <c r="A520" i="15"/>
  <c r="A521" i="15"/>
  <c r="A522" i="15"/>
  <c r="A523" i="15"/>
  <c r="A524" i="15"/>
  <c r="A525" i="15"/>
  <c r="A526" i="15"/>
  <c r="A527" i="15"/>
  <c r="A528" i="15"/>
  <c r="A529" i="15"/>
  <c r="A530" i="15"/>
  <c r="A531" i="15"/>
  <c r="A532" i="15"/>
  <c r="A533" i="15"/>
  <c r="A534" i="15"/>
  <c r="A535" i="15"/>
  <c r="A536" i="15"/>
  <c r="A537" i="15"/>
  <c r="A538" i="15"/>
  <c r="A539" i="15"/>
  <c r="A540" i="15"/>
  <c r="A541" i="15"/>
  <c r="A542" i="15"/>
  <c r="A543" i="15"/>
  <c r="A544" i="15"/>
  <c r="A545" i="15"/>
  <c r="A546" i="15"/>
  <c r="A547" i="15"/>
  <c r="A548" i="15"/>
  <c r="A549" i="15"/>
  <c r="A550" i="15"/>
  <c r="A551" i="15"/>
  <c r="A552" i="15"/>
  <c r="A553" i="15"/>
  <c r="A554" i="15"/>
  <c r="A555" i="15"/>
  <c r="A556" i="15"/>
  <c r="A557" i="15"/>
  <c r="A558" i="15"/>
  <c r="A559" i="15"/>
  <c r="A560" i="15"/>
  <c r="A561" i="15"/>
  <c r="A562" i="15"/>
  <c r="A563" i="15"/>
  <c r="A564" i="15"/>
  <c r="A565" i="15"/>
  <c r="A566" i="15"/>
  <c r="A567" i="15"/>
  <c r="A568" i="15"/>
  <c r="A569" i="15"/>
  <c r="A570" i="15"/>
  <c r="A571" i="15"/>
  <c r="A572" i="15"/>
  <c r="A573" i="15"/>
  <c r="A574" i="15"/>
  <c r="A575" i="15"/>
  <c r="A576" i="15"/>
  <c r="A577" i="15"/>
  <c r="A578" i="15"/>
  <c r="A579" i="15"/>
  <c r="A580" i="15"/>
  <c r="A581" i="15"/>
  <c r="A582" i="15"/>
  <c r="A583" i="15"/>
  <c r="A584" i="15"/>
  <c r="A585" i="15"/>
  <c r="A586" i="15"/>
  <c r="A587" i="15"/>
  <c r="A588" i="15"/>
  <c r="A589" i="15"/>
  <c r="A590" i="15"/>
  <c r="A591" i="15"/>
  <c r="A592" i="15"/>
  <c r="A593" i="15"/>
  <c r="A594" i="15"/>
  <c r="A595" i="15"/>
  <c r="A596" i="15"/>
  <c r="A597" i="15"/>
  <c r="A598" i="15"/>
  <c r="A599" i="15"/>
  <c r="A600" i="15"/>
  <c r="A601" i="15"/>
  <c r="A602" i="15"/>
  <c r="A603" i="15"/>
  <c r="A604" i="15"/>
  <c r="A605" i="15"/>
  <c r="A606" i="15"/>
  <c r="A607" i="15"/>
  <c r="A608" i="15"/>
  <c r="A609" i="15"/>
  <c r="A610" i="15"/>
  <c r="A611" i="15"/>
  <c r="A612" i="15"/>
  <c r="A613" i="15"/>
  <c r="A614" i="15"/>
  <c r="A615" i="15"/>
  <c r="A616" i="15"/>
  <c r="A617" i="15"/>
  <c r="A618" i="15"/>
  <c r="A619" i="15"/>
  <c r="A620" i="15"/>
  <c r="A621" i="15"/>
  <c r="A622" i="15"/>
  <c r="A623" i="15"/>
  <c r="A624" i="15"/>
  <c r="A625" i="15"/>
  <c r="A626" i="15"/>
  <c r="A627" i="15"/>
  <c r="A628" i="15"/>
  <c r="A629" i="15"/>
  <c r="A630" i="15"/>
  <c r="A631" i="15"/>
  <c r="A632" i="15"/>
  <c r="A633" i="15"/>
  <c r="A634" i="15"/>
  <c r="A635" i="15"/>
  <c r="A636" i="15"/>
  <c r="A637" i="15"/>
  <c r="A638" i="15"/>
  <c r="A639" i="15"/>
  <c r="A640" i="15"/>
  <c r="A641" i="15"/>
  <c r="A642" i="15"/>
  <c r="A643" i="15"/>
  <c r="A644" i="15"/>
  <c r="A645" i="15"/>
  <c r="A646" i="15"/>
  <c r="A647" i="15"/>
  <c r="A648" i="15"/>
  <c r="A649" i="15"/>
  <c r="A650" i="15"/>
  <c r="A651" i="15"/>
  <c r="A652" i="15"/>
  <c r="A653" i="15"/>
  <c r="A654" i="15"/>
  <c r="A655" i="15"/>
  <c r="A656" i="15"/>
  <c r="A657" i="15"/>
  <c r="A658" i="15"/>
  <c r="A659" i="15"/>
  <c r="A660" i="15"/>
  <c r="A661" i="15"/>
  <c r="A662" i="15"/>
  <c r="A663" i="15"/>
  <c r="A664" i="15"/>
  <c r="A665" i="15"/>
  <c r="A666" i="15"/>
  <c r="A667" i="15"/>
  <c r="A668" i="15"/>
  <c r="A669" i="15"/>
  <c r="A670" i="15"/>
  <c r="A671" i="15"/>
  <c r="A672" i="15"/>
  <c r="A673" i="15"/>
  <c r="A674" i="15"/>
  <c r="A675" i="15"/>
  <c r="A676" i="15"/>
  <c r="A677" i="15"/>
  <c r="A678" i="15"/>
  <c r="A679" i="15"/>
  <c r="A680" i="15"/>
  <c r="A681" i="15"/>
  <c r="A682" i="15"/>
  <c r="A683" i="15"/>
  <c r="A684" i="15"/>
  <c r="A685" i="15"/>
  <c r="A686" i="15"/>
  <c r="A687" i="15"/>
  <c r="A688" i="15"/>
  <c r="A689" i="15"/>
  <c r="A690" i="15"/>
  <c r="A691" i="15"/>
  <c r="A692" i="15"/>
  <c r="A693" i="15"/>
  <c r="A694" i="15"/>
  <c r="A695" i="15"/>
  <c r="A696" i="15"/>
  <c r="A697" i="15"/>
  <c r="A698" i="15"/>
  <c r="A699" i="15"/>
  <c r="A700" i="15"/>
  <c r="A701" i="15"/>
  <c r="A702" i="15"/>
  <c r="A703" i="15"/>
  <c r="A704" i="15"/>
  <c r="A705" i="15"/>
  <c r="A706" i="15"/>
  <c r="A707" i="15"/>
  <c r="A708" i="15"/>
  <c r="A709" i="15"/>
  <c r="A710" i="15"/>
  <c r="A711" i="15"/>
  <c r="A712" i="15"/>
  <c r="A713" i="15"/>
  <c r="A714" i="15"/>
  <c r="A715" i="15"/>
  <c r="A716" i="15"/>
  <c r="A717" i="15"/>
  <c r="A718" i="15"/>
  <c r="A719" i="15"/>
  <c r="A720" i="15"/>
  <c r="A721" i="15"/>
  <c r="A722" i="15"/>
  <c r="A723" i="15"/>
  <c r="A724" i="15"/>
  <c r="A725" i="15"/>
  <c r="A726" i="15"/>
  <c r="A727" i="15"/>
  <c r="A728" i="15"/>
  <c r="A729" i="15"/>
  <c r="A730" i="15"/>
  <c r="A731" i="15"/>
  <c r="A732" i="15"/>
  <c r="A733" i="15"/>
  <c r="A734" i="15"/>
  <c r="A735" i="15"/>
  <c r="A736" i="15"/>
  <c r="A737" i="15"/>
  <c r="A738" i="15"/>
  <c r="A739" i="15"/>
  <c r="A740" i="15"/>
  <c r="A741" i="15"/>
  <c r="A742" i="15"/>
  <c r="A743" i="15"/>
  <c r="A744" i="15"/>
  <c r="A745" i="15"/>
  <c r="A746" i="15"/>
  <c r="A747" i="15"/>
  <c r="A748" i="15"/>
  <c r="A749" i="15"/>
  <c r="A750" i="15"/>
  <c r="A751" i="15"/>
  <c r="A752" i="15"/>
  <c r="A753" i="15"/>
  <c r="A754" i="15"/>
  <c r="A755" i="15"/>
  <c r="A756" i="15"/>
  <c r="A757" i="15"/>
  <c r="A758" i="15"/>
  <c r="A759" i="15"/>
  <c r="A760" i="15"/>
  <c r="A761" i="15"/>
  <c r="A762" i="15"/>
  <c r="A763" i="15"/>
  <c r="A764" i="15"/>
  <c r="A765" i="15"/>
  <c r="A766" i="15"/>
  <c r="A767" i="15"/>
  <c r="A768" i="15"/>
  <c r="A769" i="15"/>
  <c r="A770" i="15"/>
  <c r="A771" i="15"/>
  <c r="A772" i="15"/>
  <c r="A773" i="15"/>
  <c r="A774" i="15"/>
  <c r="A775" i="15"/>
  <c r="A776" i="15"/>
  <c r="A777" i="15"/>
  <c r="A778" i="15"/>
  <c r="A779" i="15"/>
  <c r="A780" i="15"/>
  <c r="A781" i="15"/>
  <c r="A782" i="15"/>
  <c r="A783" i="15"/>
  <c r="A784" i="15"/>
  <c r="A785" i="15"/>
  <c r="A786" i="15"/>
  <c r="A787" i="15"/>
  <c r="A788" i="15"/>
  <c r="A789" i="15"/>
  <c r="A790" i="15"/>
  <c r="A791" i="15"/>
  <c r="A792" i="15"/>
  <c r="A793" i="15"/>
  <c r="A794" i="15"/>
  <c r="A795" i="15"/>
  <c r="A796" i="15"/>
  <c r="A797" i="15"/>
  <c r="A798" i="15"/>
  <c r="A799" i="15"/>
  <c r="A800" i="15"/>
  <c r="A801" i="15"/>
  <c r="A802" i="15"/>
  <c r="A803" i="15"/>
  <c r="A804" i="15"/>
  <c r="A805" i="15"/>
  <c r="A806" i="15"/>
  <c r="A807" i="15"/>
  <c r="A808" i="15"/>
  <c r="A809" i="15"/>
  <c r="A810" i="15"/>
  <c r="A811" i="15"/>
  <c r="A812" i="15"/>
  <c r="A813" i="15"/>
  <c r="A814" i="15"/>
  <c r="A815" i="15"/>
  <c r="A816" i="15"/>
  <c r="A817" i="15"/>
  <c r="A818" i="15"/>
  <c r="A819" i="15"/>
  <c r="A820" i="15"/>
  <c r="A821" i="15"/>
  <c r="A822" i="15"/>
  <c r="A823" i="15"/>
  <c r="A824" i="15"/>
  <c r="A825" i="15"/>
  <c r="A826" i="15"/>
  <c r="A827" i="15"/>
  <c r="A828" i="15"/>
  <c r="A829" i="15"/>
  <c r="A830" i="15"/>
  <c r="A831" i="15"/>
  <c r="A832" i="15"/>
  <c r="A833" i="15"/>
  <c r="A834" i="15"/>
  <c r="A835" i="15"/>
  <c r="A836" i="15"/>
  <c r="A837" i="15"/>
  <c r="A838" i="15"/>
  <c r="A839" i="15"/>
  <c r="A840" i="15"/>
  <c r="A841" i="15"/>
  <c r="A842" i="15"/>
  <c r="A843" i="15"/>
  <c r="A844" i="15"/>
  <c r="A845" i="15"/>
  <c r="A846" i="15"/>
  <c r="A847" i="15"/>
  <c r="A848" i="15"/>
  <c r="A849" i="15"/>
  <c r="A850" i="15"/>
  <c r="A851" i="15"/>
  <c r="A852" i="15"/>
  <c r="A853" i="15"/>
  <c r="A854" i="15"/>
  <c r="A855" i="15"/>
  <c r="A856" i="15"/>
  <c r="A857" i="15"/>
  <c r="A858" i="15"/>
  <c r="A859" i="15"/>
  <c r="A860" i="15"/>
  <c r="A861" i="15"/>
  <c r="A862" i="15"/>
  <c r="A863" i="15"/>
  <c r="A864" i="15"/>
  <c r="A865" i="15"/>
  <c r="A866" i="15"/>
  <c r="A867" i="15"/>
  <c r="A868" i="15"/>
  <c r="A869" i="15"/>
  <c r="A870" i="15"/>
  <c r="A871" i="15"/>
  <c r="A872" i="15"/>
  <c r="A873" i="15"/>
  <c r="A874" i="15"/>
  <c r="A875" i="15"/>
  <c r="A876" i="15"/>
  <c r="A877" i="15"/>
  <c r="A878" i="15"/>
  <c r="A879" i="15"/>
  <c r="A880" i="15"/>
  <c r="A881" i="15"/>
  <c r="A882" i="15"/>
  <c r="A883" i="15"/>
  <c r="A884" i="15"/>
  <c r="A885" i="15"/>
  <c r="A886" i="15"/>
  <c r="A887" i="15"/>
  <c r="A888" i="15"/>
  <c r="A889" i="15"/>
  <c r="A890" i="15"/>
  <c r="A891" i="15"/>
  <c r="A892" i="15"/>
  <c r="A893" i="15"/>
  <c r="A894" i="15"/>
  <c r="A895" i="15"/>
  <c r="A896" i="15"/>
  <c r="A897" i="15"/>
  <c r="A898" i="15"/>
  <c r="A899" i="15"/>
  <c r="A900" i="15"/>
  <c r="A901" i="15"/>
  <c r="A902" i="15"/>
  <c r="A903" i="15"/>
  <c r="A904" i="15"/>
  <c r="A905" i="15"/>
  <c r="A906" i="15"/>
  <c r="A907" i="15"/>
  <c r="A908" i="15"/>
  <c r="A909" i="15"/>
  <c r="A910" i="15"/>
  <c r="A911" i="15"/>
  <c r="A912" i="15"/>
  <c r="A913" i="15"/>
  <c r="A914" i="15"/>
  <c r="A915" i="15"/>
  <c r="A916" i="15"/>
  <c r="A917" i="15"/>
  <c r="A918" i="15"/>
  <c r="A919" i="15"/>
  <c r="A920" i="15"/>
  <c r="A921" i="15"/>
  <c r="A922" i="15"/>
  <c r="A923" i="15"/>
  <c r="A924" i="15"/>
  <c r="A925" i="15"/>
  <c r="A926" i="15"/>
  <c r="A927" i="15"/>
  <c r="A928" i="15"/>
  <c r="A929" i="15"/>
  <c r="A930" i="15"/>
  <c r="A931" i="15"/>
  <c r="A932" i="15"/>
  <c r="A933" i="15"/>
  <c r="A934" i="15"/>
  <c r="A935" i="15"/>
  <c r="A936" i="15"/>
  <c r="A937" i="15"/>
  <c r="A938" i="15"/>
  <c r="A939" i="15"/>
  <c r="A940" i="15"/>
  <c r="A941" i="15"/>
  <c r="A942" i="15"/>
  <c r="A943" i="15"/>
  <c r="A944" i="15"/>
  <c r="A945" i="15"/>
  <c r="A946" i="15"/>
  <c r="A947" i="15"/>
  <c r="A948" i="15"/>
  <c r="A949" i="15"/>
  <c r="A950" i="15"/>
  <c r="A951" i="15"/>
  <c r="A952" i="15"/>
  <c r="A953" i="15"/>
  <c r="A954" i="15"/>
  <c r="A955" i="15"/>
  <c r="A956" i="15"/>
  <c r="A957" i="15"/>
  <c r="A958" i="15"/>
  <c r="A959" i="15"/>
  <c r="A960" i="15"/>
  <c r="A961" i="15"/>
  <c r="A962" i="15"/>
  <c r="A963" i="15"/>
  <c r="A964" i="15"/>
  <c r="A965" i="15"/>
  <c r="A966" i="15"/>
  <c r="A967" i="15"/>
  <c r="A968" i="15"/>
  <c r="A969" i="15"/>
  <c r="A970" i="15"/>
  <c r="A971" i="15"/>
  <c r="A972" i="15"/>
  <c r="A973" i="15"/>
  <c r="A974" i="15"/>
  <c r="A975" i="15"/>
  <c r="A976" i="15"/>
  <c r="A977" i="15"/>
  <c r="A978" i="15"/>
  <c r="A979" i="15"/>
  <c r="A980" i="15"/>
  <c r="A981" i="15"/>
  <c r="A982" i="15"/>
  <c r="A983" i="15"/>
  <c r="A984" i="15"/>
  <c r="A985" i="15"/>
  <c r="A986" i="15"/>
  <c r="A987" i="15"/>
  <c r="A988" i="15"/>
  <c r="A989" i="15"/>
  <c r="A990" i="15"/>
  <c r="A991" i="15"/>
  <c r="A992" i="15"/>
  <c r="A993" i="15"/>
  <c r="A994" i="15"/>
  <c r="A995" i="15"/>
  <c r="A996" i="15"/>
  <c r="A997" i="15"/>
  <c r="A998" i="15"/>
  <c r="A999" i="15"/>
  <c r="A1000" i="15"/>
  <c r="A1001" i="15"/>
  <c r="A1002" i="15"/>
  <c r="A1003" i="15"/>
  <c r="A1004" i="15"/>
  <c r="A1005" i="15"/>
  <c r="A1006" i="15"/>
  <c r="A1007" i="15"/>
  <c r="A1008" i="15"/>
  <c r="A1009" i="15"/>
  <c r="A1010" i="15"/>
  <c r="A1011" i="15"/>
  <c r="A1012" i="15"/>
  <c r="A1013" i="15"/>
  <c r="A1014" i="15"/>
  <c r="A1015" i="15"/>
  <c r="A1016" i="15"/>
  <c r="A1017" i="15"/>
  <c r="A1018" i="15"/>
  <c r="A1019" i="15"/>
  <c r="A1020" i="15"/>
  <c r="A1021" i="15"/>
  <c r="A1022" i="15"/>
  <c r="A1023" i="15"/>
  <c r="A1024" i="15"/>
  <c r="A1025" i="15"/>
  <c r="A1026" i="15"/>
  <c r="A1027" i="15"/>
  <c r="A1028" i="15"/>
  <c r="A1029" i="15"/>
  <c r="A1030" i="15"/>
  <c r="A1031" i="15"/>
  <c r="A1032" i="15"/>
  <c r="A1033" i="15"/>
  <c r="A1034" i="15"/>
  <c r="A1035" i="15"/>
  <c r="A1036" i="15"/>
  <c r="A1037" i="15"/>
  <c r="A1038" i="15"/>
  <c r="A1039" i="15"/>
  <c r="A1040" i="15"/>
  <c r="A1041" i="15"/>
  <c r="A1042" i="15"/>
  <c r="A1043" i="15"/>
  <c r="A1044" i="15"/>
  <c r="A1045" i="15"/>
  <c r="A1046" i="15"/>
  <c r="A1047" i="15"/>
  <c r="A1048" i="15"/>
  <c r="A1049" i="15"/>
  <c r="A1050" i="15"/>
  <c r="A1051" i="15"/>
  <c r="A1052" i="15"/>
  <c r="A1053" i="15"/>
  <c r="A1054" i="15"/>
  <c r="A1055" i="15"/>
  <c r="A1056" i="15"/>
  <c r="A1057" i="15"/>
  <c r="A1058" i="15"/>
  <c r="A1059" i="15"/>
  <c r="A1060" i="15"/>
  <c r="A1061" i="15"/>
  <c r="A1062" i="15"/>
  <c r="A1063" i="15"/>
  <c r="A1064" i="15"/>
  <c r="A1065" i="15"/>
  <c r="A1066" i="15"/>
  <c r="A1067" i="15"/>
  <c r="A1068" i="15"/>
  <c r="A1069" i="15"/>
  <c r="A1070" i="15"/>
  <c r="A1071" i="15"/>
  <c r="A1072" i="15"/>
  <c r="A1073" i="15"/>
  <c r="A1074" i="15"/>
  <c r="A1075" i="15"/>
  <c r="A1076" i="15"/>
  <c r="A1077" i="15"/>
  <c r="A1078" i="15"/>
  <c r="A1079" i="15"/>
  <c r="A1080" i="15"/>
  <c r="A1081" i="15"/>
  <c r="A1082" i="15"/>
  <c r="A1083" i="15"/>
  <c r="A1084" i="15"/>
  <c r="A1085" i="15"/>
  <c r="A1086" i="15"/>
  <c r="A1087" i="15"/>
  <c r="A1088" i="15"/>
  <c r="A1089" i="15"/>
  <c r="A1090" i="15"/>
  <c r="A1091" i="15"/>
  <c r="A1092" i="15"/>
  <c r="A1093" i="15"/>
  <c r="A1094" i="15"/>
  <c r="A1095" i="15"/>
  <c r="A1096" i="15"/>
  <c r="A1097" i="15"/>
  <c r="A1098" i="15"/>
  <c r="A1099" i="15"/>
  <c r="A1100" i="15"/>
  <c r="A1101" i="15"/>
  <c r="A1102" i="15"/>
  <c r="A1103" i="15"/>
  <c r="A1104" i="15"/>
  <c r="A1105" i="15"/>
  <c r="A1106" i="15"/>
  <c r="A1107" i="15"/>
  <c r="A1108" i="15"/>
  <c r="A1109" i="15"/>
  <c r="A1110" i="15"/>
  <c r="A1111" i="15"/>
  <c r="A1112" i="15"/>
  <c r="A1113" i="15"/>
  <c r="A1114" i="15"/>
  <c r="A1115" i="15"/>
  <c r="A1116" i="15"/>
  <c r="A1117" i="15"/>
  <c r="A1118" i="15"/>
  <c r="A1119" i="15"/>
  <c r="A1120" i="15"/>
  <c r="A1121" i="15"/>
  <c r="A1122" i="15"/>
  <c r="A1123" i="15"/>
  <c r="A1124" i="15"/>
  <c r="A1125" i="15"/>
  <c r="A1126" i="15"/>
  <c r="A1127" i="15"/>
  <c r="A1128" i="15"/>
  <c r="A1129" i="15"/>
  <c r="A1130" i="15"/>
  <c r="A1131" i="15"/>
  <c r="A1132" i="15"/>
  <c r="A1133" i="15"/>
  <c r="A1134" i="15"/>
  <c r="A1135" i="15"/>
  <c r="A1136" i="15"/>
  <c r="A1137" i="15"/>
  <c r="A1138" i="15"/>
  <c r="A1139" i="15"/>
  <c r="A1140" i="15"/>
  <c r="A1141" i="15"/>
  <c r="A1142" i="15"/>
  <c r="A1143" i="15"/>
  <c r="A1144" i="15"/>
  <c r="A1145" i="15"/>
  <c r="A1146" i="15"/>
  <c r="A1147" i="15"/>
  <c r="A1148" i="15"/>
  <c r="A1149" i="15"/>
  <c r="A1150" i="15"/>
  <c r="A1151" i="15"/>
  <c r="A1152" i="15"/>
  <c r="A1153" i="15"/>
  <c r="A1154" i="15"/>
  <c r="A1155" i="15"/>
  <c r="A1156" i="15"/>
  <c r="A1157" i="15"/>
  <c r="A1158" i="15"/>
  <c r="A1159" i="15"/>
  <c r="A1160" i="15"/>
  <c r="A1161" i="15"/>
  <c r="A1162" i="15"/>
  <c r="A1163" i="15"/>
  <c r="A1164" i="15"/>
  <c r="A1165" i="15"/>
  <c r="A1166" i="15"/>
  <c r="A1167" i="15"/>
  <c r="A1168" i="15"/>
  <c r="A1169" i="15"/>
  <c r="A1170" i="15"/>
  <c r="A1171" i="15"/>
  <c r="A1172" i="15"/>
  <c r="A1173" i="15"/>
  <c r="A1174" i="15"/>
  <c r="A1175" i="15"/>
  <c r="A1176" i="15"/>
  <c r="A1177" i="15"/>
  <c r="A1178" i="15"/>
  <c r="A1179" i="15"/>
  <c r="A1180" i="15"/>
  <c r="A1181" i="15"/>
  <c r="A1182" i="15"/>
  <c r="A1183" i="15"/>
  <c r="A1184" i="15"/>
  <c r="A1185" i="15"/>
  <c r="A1186" i="15"/>
  <c r="A1187" i="15"/>
  <c r="A1188" i="15"/>
  <c r="A1189" i="15"/>
  <c r="A1190" i="15"/>
  <c r="A1191" i="15"/>
  <c r="A1192" i="15"/>
  <c r="A1193" i="15"/>
  <c r="A1194" i="15"/>
  <c r="A1195" i="15"/>
  <c r="A1196" i="15"/>
  <c r="A1197" i="15"/>
  <c r="A1198" i="15"/>
  <c r="A1199" i="15"/>
  <c r="A1200" i="15"/>
  <c r="A1201" i="15"/>
  <c r="A1202" i="15"/>
  <c r="A1203" i="15"/>
  <c r="A1204" i="15"/>
  <c r="A1205" i="15"/>
  <c r="A1206" i="15"/>
  <c r="A1207" i="15"/>
  <c r="A1208" i="15"/>
  <c r="A1209" i="15"/>
  <c r="A1210" i="15"/>
  <c r="A1211" i="15"/>
  <c r="A1212" i="15"/>
  <c r="A1213" i="15"/>
  <c r="A1214" i="15"/>
  <c r="A1215" i="15"/>
  <c r="A1216" i="15"/>
  <c r="A1217" i="15"/>
  <c r="A1218" i="15"/>
  <c r="A1219" i="15"/>
  <c r="A1220" i="15"/>
  <c r="A1221" i="15"/>
  <c r="A1222" i="15"/>
  <c r="A1223" i="15"/>
  <c r="A1224" i="15"/>
  <c r="A1225" i="15"/>
  <c r="A1226" i="15"/>
  <c r="A1227" i="15"/>
  <c r="A1228" i="15"/>
  <c r="A1229" i="15"/>
  <c r="A1230" i="15"/>
  <c r="A1231" i="15"/>
  <c r="A1232" i="15"/>
  <c r="A1233" i="15"/>
  <c r="A1234" i="15"/>
  <c r="A1235" i="15"/>
  <c r="A1236" i="15"/>
  <c r="A1237" i="15"/>
  <c r="A1238" i="15"/>
  <c r="A1239" i="15"/>
  <c r="A1240" i="15"/>
  <c r="A1241" i="15"/>
  <c r="A1242" i="15"/>
  <c r="A1243" i="15"/>
  <c r="A1244" i="15"/>
  <c r="A1245" i="15"/>
  <c r="A1246" i="15"/>
  <c r="A1247" i="15"/>
  <c r="A1248" i="15"/>
  <c r="A1249" i="15"/>
  <c r="A1250" i="15"/>
  <c r="A1251" i="15"/>
  <c r="A1252" i="15"/>
  <c r="A1253" i="15"/>
  <c r="A1254" i="15"/>
  <c r="A1255" i="15"/>
  <c r="A1256" i="15"/>
  <c r="A1257" i="15"/>
  <c r="A1258" i="15"/>
  <c r="A1259" i="15"/>
  <c r="A1260" i="15"/>
  <c r="A1261" i="15"/>
  <c r="A1262" i="15"/>
  <c r="A1263" i="15"/>
  <c r="A1264" i="15"/>
  <c r="A1265" i="15"/>
  <c r="A1266" i="15"/>
  <c r="A1267" i="15"/>
  <c r="A1268" i="15"/>
  <c r="A1269" i="15"/>
  <c r="A1270" i="15"/>
  <c r="A1271" i="15"/>
  <c r="A1272" i="15"/>
  <c r="A1273" i="15"/>
  <c r="A1274" i="15"/>
  <c r="A1275" i="15"/>
  <c r="A1276" i="15"/>
  <c r="A1277" i="15"/>
  <c r="A1278" i="15"/>
  <c r="A1279" i="15"/>
  <c r="A1280" i="15"/>
  <c r="A1281" i="15"/>
  <c r="A1282" i="15"/>
  <c r="A1283" i="15"/>
  <c r="A1284" i="15"/>
  <c r="A1285" i="15"/>
  <c r="A1286" i="15"/>
  <c r="A1287" i="15"/>
  <c r="A1288" i="15"/>
  <c r="A1289" i="15"/>
  <c r="A1290" i="15"/>
  <c r="A1291" i="15"/>
  <c r="A1292" i="15"/>
  <c r="A1293" i="15"/>
  <c r="A1294" i="15"/>
  <c r="A1295" i="15"/>
  <c r="A1296" i="15"/>
  <c r="A1297" i="15"/>
  <c r="A1298" i="15"/>
  <c r="A1299" i="15"/>
  <c r="A1300" i="15"/>
  <c r="A1301" i="15"/>
  <c r="A1302" i="15"/>
  <c r="A1303" i="15"/>
  <c r="A1304" i="15"/>
  <c r="A1305" i="15"/>
  <c r="A1306" i="15"/>
  <c r="A1307" i="15"/>
  <c r="A1308" i="15"/>
  <c r="A1309" i="15"/>
  <c r="A1310" i="15"/>
  <c r="A1311" i="15"/>
  <c r="A1312" i="15"/>
  <c r="A1313" i="15"/>
  <c r="A1314" i="15"/>
  <c r="A1315" i="15"/>
  <c r="A1316" i="15"/>
  <c r="A1317" i="15"/>
  <c r="A1318" i="15"/>
  <c r="A1319" i="15"/>
  <c r="A1320" i="15"/>
  <c r="A1321" i="15"/>
  <c r="A1322" i="15"/>
  <c r="A1323" i="15"/>
  <c r="A1324" i="15"/>
  <c r="A1325" i="15"/>
  <c r="A1326" i="15"/>
  <c r="A1327" i="15"/>
  <c r="A1328" i="15"/>
  <c r="A1329" i="15"/>
  <c r="A1330" i="15"/>
  <c r="A1331" i="15"/>
  <c r="A1332" i="15"/>
  <c r="A1333" i="15"/>
  <c r="A1334" i="15"/>
  <c r="A1335" i="15"/>
  <c r="A1336" i="15"/>
  <c r="A1337" i="15"/>
  <c r="A1338" i="15"/>
  <c r="A1339" i="15"/>
  <c r="A1340" i="15"/>
  <c r="A1341" i="15"/>
  <c r="A1342" i="15"/>
  <c r="A1343" i="15"/>
  <c r="A1344" i="15"/>
  <c r="A1345" i="15"/>
  <c r="A1346" i="15"/>
  <c r="A1347" i="15"/>
  <c r="A1348" i="15"/>
  <c r="A1349" i="15"/>
  <c r="A1350" i="15"/>
  <c r="A1351" i="15"/>
  <c r="A1352" i="15"/>
  <c r="A1353" i="15"/>
  <c r="A1354" i="15"/>
  <c r="A1355" i="15"/>
  <c r="A1356" i="15"/>
  <c r="A1357" i="15"/>
  <c r="A1358" i="15"/>
  <c r="A1359" i="15"/>
  <c r="A1360" i="15"/>
  <c r="A1361" i="15"/>
  <c r="A1362" i="15"/>
  <c r="A1363" i="15"/>
  <c r="A1364" i="15"/>
  <c r="A1365" i="15"/>
  <c r="A1366" i="15"/>
  <c r="A1367" i="15"/>
  <c r="A1368" i="15"/>
  <c r="A1369" i="15"/>
  <c r="A1370" i="15"/>
  <c r="A1371" i="15"/>
  <c r="A1372" i="15"/>
  <c r="A1373" i="15"/>
  <c r="A1374" i="15"/>
  <c r="A1375" i="15"/>
  <c r="A1376" i="15"/>
  <c r="A1377" i="15"/>
  <c r="A1378" i="15"/>
  <c r="A1379" i="15"/>
  <c r="A1380" i="15"/>
  <c r="A1381" i="15"/>
  <c r="A1382" i="15"/>
  <c r="A1383" i="15"/>
  <c r="A1384" i="15"/>
  <c r="A1385" i="15"/>
  <c r="A1386" i="15"/>
  <c r="A1387" i="15"/>
  <c r="A1388" i="15"/>
  <c r="A1389" i="15"/>
  <c r="A1390" i="15"/>
  <c r="A1391" i="15"/>
  <c r="A1392" i="15"/>
  <c r="A1393" i="15"/>
  <c r="A1394" i="15"/>
  <c r="A1395" i="15"/>
  <c r="A1396" i="15"/>
  <c r="A1397" i="15"/>
  <c r="A1398" i="15"/>
  <c r="A1399" i="15"/>
  <c r="A1400" i="15"/>
  <c r="A1401" i="15"/>
  <c r="A1402" i="15"/>
  <c r="A1403" i="15"/>
  <c r="A1404" i="15"/>
  <c r="A1405" i="15"/>
  <c r="A1406" i="15"/>
  <c r="A1407" i="15"/>
  <c r="A1408" i="15"/>
  <c r="A1409" i="15"/>
  <c r="A1410" i="15"/>
  <c r="A1411" i="15"/>
  <c r="A1412" i="15"/>
  <c r="A1413" i="15"/>
  <c r="A1414" i="15"/>
  <c r="A1415" i="15"/>
  <c r="A1416" i="15"/>
  <c r="A1417" i="15"/>
  <c r="A1418" i="15"/>
  <c r="A1419" i="15"/>
  <c r="A1420" i="15"/>
  <c r="A1421" i="15"/>
  <c r="A1422" i="15"/>
  <c r="A1423" i="15"/>
  <c r="A1424" i="15"/>
  <c r="A1425" i="15"/>
  <c r="A1426" i="15"/>
  <c r="A1427" i="15"/>
  <c r="A1428" i="15"/>
  <c r="A1429" i="15"/>
  <c r="A1430" i="15"/>
  <c r="A1431" i="15"/>
  <c r="A1432" i="15"/>
  <c r="A1433" i="15"/>
  <c r="A1434" i="15"/>
  <c r="A1435" i="15"/>
  <c r="A1436" i="15"/>
  <c r="A1437" i="15"/>
  <c r="A1438" i="15"/>
  <c r="A1439" i="15"/>
  <c r="A1440" i="15"/>
  <c r="A1441" i="15"/>
  <c r="A1442" i="15"/>
  <c r="A1443" i="15"/>
  <c r="A1444" i="15"/>
  <c r="A1445" i="15"/>
  <c r="A1446" i="15"/>
  <c r="A1447" i="15"/>
  <c r="A1448" i="15"/>
  <c r="A1449" i="15"/>
  <c r="A1450" i="15"/>
  <c r="A1451" i="15"/>
  <c r="A1452" i="15"/>
  <c r="A1453" i="15"/>
  <c r="A1454" i="15"/>
  <c r="A1455" i="15"/>
  <c r="A1456" i="15"/>
  <c r="A1457" i="15"/>
  <c r="A1458" i="15"/>
  <c r="A1459" i="15"/>
  <c r="A1460" i="15"/>
  <c r="A1461" i="15"/>
  <c r="A1462" i="15"/>
  <c r="A1463" i="15"/>
  <c r="A1464" i="15"/>
  <c r="A1465" i="15"/>
  <c r="A1466" i="15"/>
  <c r="A1467" i="15"/>
  <c r="A1468" i="15"/>
  <c r="A1469" i="15"/>
  <c r="A1470" i="15"/>
  <c r="A1471" i="15"/>
  <c r="A1472" i="15"/>
  <c r="A1473" i="15"/>
  <c r="A1474" i="15"/>
  <c r="A1475" i="15"/>
  <c r="A1476" i="15"/>
  <c r="A1477" i="15"/>
  <c r="A1478" i="15"/>
  <c r="A1479" i="15"/>
  <c r="A1480" i="15"/>
  <c r="A1481" i="15"/>
  <c r="A1482" i="15"/>
  <c r="A1483" i="15"/>
  <c r="A1484" i="15"/>
  <c r="A1485" i="15"/>
  <c r="A1486" i="15"/>
  <c r="A1487" i="15"/>
  <c r="A1488" i="15"/>
  <c r="A1489" i="15"/>
  <c r="A1490" i="15"/>
  <c r="A1491" i="15"/>
  <c r="A1492" i="15"/>
  <c r="A1493" i="15"/>
  <c r="A1494" i="15"/>
  <c r="A1495" i="15"/>
  <c r="A1496" i="15"/>
  <c r="A1497" i="15"/>
  <c r="A1498" i="15"/>
  <c r="A1499" i="15"/>
  <c r="A1500" i="15"/>
  <c r="A1501" i="15"/>
  <c r="A1502" i="15"/>
  <c r="A1503" i="15"/>
  <c r="A1504" i="15"/>
  <c r="A1505" i="15"/>
  <c r="A1506" i="15"/>
  <c r="A1507" i="15"/>
  <c r="A1508" i="15"/>
  <c r="A1509" i="15"/>
  <c r="A1510" i="15"/>
  <c r="A1511" i="15"/>
  <c r="A1512" i="15"/>
  <c r="A1513" i="15"/>
  <c r="A1514" i="15"/>
  <c r="A1515" i="15"/>
  <c r="A1516" i="15"/>
  <c r="A1517" i="15"/>
  <c r="A1518" i="15"/>
  <c r="A1519" i="15"/>
  <c r="A1520" i="15"/>
  <c r="A1521" i="15"/>
  <c r="A1522" i="15"/>
  <c r="A1523" i="15"/>
  <c r="A1524" i="15"/>
  <c r="A1525" i="15"/>
  <c r="A1526" i="15"/>
  <c r="A1527" i="15"/>
  <c r="A1528" i="15"/>
  <c r="A1529" i="15"/>
  <c r="A1530" i="15"/>
  <c r="A1531" i="15"/>
  <c r="A1532" i="15"/>
  <c r="A1533" i="15"/>
  <c r="A1534" i="15"/>
  <c r="A1535" i="15"/>
  <c r="A1536" i="15"/>
  <c r="A1537" i="15"/>
  <c r="A1538" i="15"/>
  <c r="A1539" i="15"/>
  <c r="A1540" i="15"/>
  <c r="A1541" i="15"/>
  <c r="A1542" i="15"/>
  <c r="A1543" i="15"/>
  <c r="A1544" i="15"/>
  <c r="A1545" i="15"/>
  <c r="A1546" i="15"/>
  <c r="A1547" i="15"/>
  <c r="A1548" i="15"/>
  <c r="A1549" i="15"/>
  <c r="A1550" i="15"/>
  <c r="A1551" i="15"/>
  <c r="A1552" i="15"/>
  <c r="A1553" i="15"/>
  <c r="A1554" i="15"/>
  <c r="A1555" i="15"/>
  <c r="A1556" i="15"/>
  <c r="A1557" i="15"/>
  <c r="A1558" i="15"/>
  <c r="A1559" i="15"/>
  <c r="A1560" i="15"/>
  <c r="A1561" i="15"/>
  <c r="A1562" i="15"/>
  <c r="A1563" i="15"/>
  <c r="A1564" i="15"/>
  <c r="A1565" i="15"/>
  <c r="A1566" i="15"/>
  <c r="A1567" i="15"/>
  <c r="A1568" i="15"/>
  <c r="A1569" i="15"/>
  <c r="A1570" i="15"/>
  <c r="A1571" i="15"/>
  <c r="A1572" i="15"/>
  <c r="A1573" i="15"/>
  <c r="A1574" i="15"/>
  <c r="A1575" i="15"/>
  <c r="A1576" i="15"/>
  <c r="A1577" i="15"/>
  <c r="A1578" i="15"/>
  <c r="A1579" i="15"/>
  <c r="A1580" i="15"/>
  <c r="A1581" i="15"/>
  <c r="A1582" i="15"/>
  <c r="A1583" i="15"/>
  <c r="A1584" i="15"/>
  <c r="A1585" i="15"/>
  <c r="A1586" i="15"/>
  <c r="A1587" i="15"/>
  <c r="A1588" i="15"/>
  <c r="A1589" i="15"/>
  <c r="A1590" i="15"/>
  <c r="A1591" i="15"/>
  <c r="A1592" i="15"/>
  <c r="A1593" i="15"/>
  <c r="A1594" i="15"/>
  <c r="A1595" i="15"/>
  <c r="A1596" i="15"/>
  <c r="A1597" i="15"/>
  <c r="A1598" i="15"/>
  <c r="A1599" i="15"/>
  <c r="A1600" i="15"/>
  <c r="A1601" i="15"/>
  <c r="A1602" i="15"/>
  <c r="A1603" i="15"/>
  <c r="A1604" i="15"/>
  <c r="A1605" i="15"/>
  <c r="A1606" i="15"/>
  <c r="A1607" i="15"/>
  <c r="A1608" i="15"/>
  <c r="A1609" i="15"/>
  <c r="A1610" i="15"/>
  <c r="A1611" i="15"/>
  <c r="A1612" i="15"/>
  <c r="A1613" i="15"/>
  <c r="A1614" i="15"/>
  <c r="A1615" i="15"/>
  <c r="A1616" i="15"/>
  <c r="A1617" i="15"/>
  <c r="A1618" i="15"/>
  <c r="A1619" i="15"/>
  <c r="A1620" i="15"/>
  <c r="A1621" i="15"/>
  <c r="A1622" i="15"/>
  <c r="A1623" i="15"/>
  <c r="A1624" i="15"/>
  <c r="A1625" i="15"/>
  <c r="A1626" i="15"/>
  <c r="A1627" i="15"/>
  <c r="A1628" i="15"/>
  <c r="A1629" i="15"/>
  <c r="A1630" i="15"/>
  <c r="A1631" i="15"/>
  <c r="A1632" i="15"/>
  <c r="A1633" i="15"/>
  <c r="A1634" i="15"/>
  <c r="A1635" i="15"/>
  <c r="A1636" i="15"/>
  <c r="A1637" i="15"/>
  <c r="A1638" i="15"/>
  <c r="A1639" i="15"/>
  <c r="A1640" i="15"/>
  <c r="A1641" i="15"/>
  <c r="A1642" i="15"/>
  <c r="A1643" i="15"/>
  <c r="A1644" i="15"/>
  <c r="A1645" i="15"/>
  <c r="A1646" i="15"/>
  <c r="A1647" i="15"/>
  <c r="A1648" i="15"/>
  <c r="A1649" i="15"/>
  <c r="A1650" i="15"/>
  <c r="A1651" i="15"/>
  <c r="A1652" i="15"/>
  <c r="A1653" i="15"/>
  <c r="A1654" i="15"/>
  <c r="A1655" i="15"/>
  <c r="A1656" i="15"/>
  <c r="A1657" i="15"/>
  <c r="A1658" i="15"/>
  <c r="A1659" i="15"/>
  <c r="A1660" i="15"/>
  <c r="A1661" i="15"/>
  <c r="A1662" i="15"/>
  <c r="A1663" i="15"/>
  <c r="A1664" i="15"/>
  <c r="A1665" i="15"/>
  <c r="A1666" i="15"/>
  <c r="A1667" i="15"/>
  <c r="A1668" i="15"/>
  <c r="A1669" i="15"/>
  <c r="A1670" i="15"/>
  <c r="A1671" i="15"/>
  <c r="A1672" i="15"/>
  <c r="A1673" i="15"/>
  <c r="A1674" i="15"/>
  <c r="A1675" i="15"/>
  <c r="A1676" i="15"/>
  <c r="A1677" i="15"/>
  <c r="A1678" i="15"/>
  <c r="A1679" i="15"/>
  <c r="A1680" i="15"/>
  <c r="A1681" i="15"/>
  <c r="A1682" i="15"/>
  <c r="A1683" i="15"/>
  <c r="A1684" i="15"/>
  <c r="A1685" i="15"/>
  <c r="A1686" i="15"/>
  <c r="A1687" i="15"/>
  <c r="A1688" i="15"/>
  <c r="A1689" i="15"/>
  <c r="A1690" i="15"/>
  <c r="A1691" i="15"/>
  <c r="A1692" i="15"/>
  <c r="A1693" i="15"/>
  <c r="A1694" i="15"/>
  <c r="A1695" i="15"/>
  <c r="A1696" i="15"/>
  <c r="A1697" i="15"/>
  <c r="A1698" i="15"/>
  <c r="A1699" i="15"/>
  <c r="A1700" i="15"/>
  <c r="A1701" i="15"/>
  <c r="A1702" i="15"/>
  <c r="A1703" i="15"/>
  <c r="A1704" i="15"/>
  <c r="A1705" i="15"/>
  <c r="A1706" i="15"/>
  <c r="A1707" i="15"/>
  <c r="A1708" i="15"/>
  <c r="A1709" i="15"/>
  <c r="A1710" i="15"/>
  <c r="A1711" i="15"/>
  <c r="A1712" i="15"/>
  <c r="A1713" i="15"/>
  <c r="A1714" i="15"/>
  <c r="A1715" i="15"/>
  <c r="A1716" i="15"/>
  <c r="A1717" i="15"/>
  <c r="A1718" i="15"/>
  <c r="A1719" i="15"/>
  <c r="A1720" i="15"/>
  <c r="A1721" i="15"/>
  <c r="A1722" i="15"/>
  <c r="A1723" i="15"/>
  <c r="A1724" i="15"/>
  <c r="A1725" i="15"/>
  <c r="A1726" i="15"/>
  <c r="A1727" i="15"/>
  <c r="A1728" i="15"/>
  <c r="A1729" i="15"/>
  <c r="A1730" i="15"/>
  <c r="A1731" i="15"/>
  <c r="A1732" i="15"/>
  <c r="A1733" i="15"/>
  <c r="A1734" i="15"/>
  <c r="A1735" i="15"/>
  <c r="A1736" i="15"/>
  <c r="A1737" i="15"/>
  <c r="A1738" i="15"/>
  <c r="A1739" i="15"/>
  <c r="A1740" i="15"/>
  <c r="A1741" i="15"/>
  <c r="A1742" i="15"/>
  <c r="A1743" i="15"/>
  <c r="A1744" i="15"/>
  <c r="A1745" i="15"/>
  <c r="A1746" i="15"/>
  <c r="A1747" i="15"/>
  <c r="A1748" i="15"/>
  <c r="A1749" i="15"/>
  <c r="A1750" i="15"/>
  <c r="A1751" i="15"/>
  <c r="A1752" i="15"/>
  <c r="A1753" i="15"/>
  <c r="A1754" i="15"/>
  <c r="A1755" i="15"/>
  <c r="A1756" i="15"/>
  <c r="A1757" i="15"/>
  <c r="A1758" i="15"/>
  <c r="A1759" i="15"/>
  <c r="A1760" i="15"/>
  <c r="A1761" i="15"/>
  <c r="A1762" i="15"/>
  <c r="A1763" i="15"/>
  <c r="A1764" i="15"/>
  <c r="A1765" i="15"/>
  <c r="A1766" i="15"/>
  <c r="A1767" i="15"/>
  <c r="A1768" i="15"/>
  <c r="A1769" i="15"/>
  <c r="A1770" i="15"/>
  <c r="A1771" i="15"/>
  <c r="A1772" i="15"/>
  <c r="A1773" i="15"/>
  <c r="A1774" i="15"/>
  <c r="A1775" i="15"/>
  <c r="A1776" i="15"/>
  <c r="A1777" i="15"/>
  <c r="A1778" i="15"/>
  <c r="A1779" i="15"/>
  <c r="A1780" i="15"/>
  <c r="A1781" i="15"/>
  <c r="A1782" i="15"/>
  <c r="A1783" i="15"/>
  <c r="A1784" i="15"/>
  <c r="A1785" i="15"/>
  <c r="A1786" i="15"/>
  <c r="A1787" i="15"/>
  <c r="A1788" i="15"/>
  <c r="A1789" i="15"/>
  <c r="A1790" i="15"/>
  <c r="A1791" i="15"/>
  <c r="A1792" i="15"/>
  <c r="A1793" i="15"/>
  <c r="A1794" i="15"/>
  <c r="A1795" i="15"/>
  <c r="A1796" i="15"/>
  <c r="A1797" i="15"/>
  <c r="A1798" i="15"/>
  <c r="A1799" i="15"/>
  <c r="A1800" i="15"/>
  <c r="A1801" i="15"/>
  <c r="A1802" i="15"/>
  <c r="A1803" i="15"/>
  <c r="A1804" i="15"/>
  <c r="A1805" i="15"/>
  <c r="A1806" i="15"/>
  <c r="A1807" i="15"/>
  <c r="A1808" i="15"/>
  <c r="A1809" i="15"/>
  <c r="A1810" i="15"/>
  <c r="A1811" i="15"/>
  <c r="A1812" i="15"/>
  <c r="A1813" i="15"/>
  <c r="A1814" i="15"/>
  <c r="A1815" i="15"/>
  <c r="A1816" i="15"/>
  <c r="A1817" i="15"/>
  <c r="A1818" i="15"/>
  <c r="A1819" i="15"/>
  <c r="A1820" i="15"/>
  <c r="A1821" i="15"/>
  <c r="A1822" i="15"/>
  <c r="A1823" i="15"/>
  <c r="A1824" i="15"/>
  <c r="A1825" i="15"/>
  <c r="A1826" i="15"/>
  <c r="A1827" i="15"/>
  <c r="A1828" i="15"/>
  <c r="A1829" i="15"/>
  <c r="A1830" i="15"/>
  <c r="A1831" i="15"/>
  <c r="A1832" i="15"/>
  <c r="A1833" i="15"/>
  <c r="A1834" i="15"/>
  <c r="A1835" i="15"/>
  <c r="A1836" i="15"/>
  <c r="A1837" i="15"/>
  <c r="A1838" i="15"/>
  <c r="A1839" i="15"/>
  <c r="A1840" i="15"/>
  <c r="A1841" i="15"/>
  <c r="A1842" i="15"/>
  <c r="A1843" i="15"/>
  <c r="A1844" i="15"/>
  <c r="A1845" i="15"/>
  <c r="A1846" i="15"/>
  <c r="A1847" i="15"/>
  <c r="A1848" i="15"/>
  <c r="A1849" i="15"/>
  <c r="A1850" i="15"/>
  <c r="A1851" i="15"/>
  <c r="A1852" i="15"/>
  <c r="A1853" i="15"/>
  <c r="A1854" i="15"/>
  <c r="A1855" i="15"/>
  <c r="A1856" i="15"/>
  <c r="A1857" i="15"/>
  <c r="A1858" i="15"/>
  <c r="A1859" i="15"/>
  <c r="A1860" i="15"/>
  <c r="A1861" i="15"/>
  <c r="A1862" i="15"/>
  <c r="A1863" i="15"/>
  <c r="A1864" i="15"/>
  <c r="A1865" i="15"/>
  <c r="A1866" i="15"/>
  <c r="A1867" i="15"/>
  <c r="A1868" i="15"/>
  <c r="A1869" i="15"/>
  <c r="A1870" i="15"/>
  <c r="A1871" i="15"/>
  <c r="A1872" i="15"/>
  <c r="A1873" i="15"/>
  <c r="A1874" i="15"/>
  <c r="A1875" i="15"/>
  <c r="A1876" i="15"/>
  <c r="A1877" i="15"/>
  <c r="A1878" i="15"/>
  <c r="A1879" i="15"/>
  <c r="A1880" i="15"/>
  <c r="A1881" i="15"/>
  <c r="A1882" i="15"/>
  <c r="A1883" i="15"/>
  <c r="A1884" i="15"/>
  <c r="A1885" i="15"/>
  <c r="A1886" i="15"/>
  <c r="A1887" i="15"/>
  <c r="A1888" i="15"/>
  <c r="A1889" i="15"/>
  <c r="A1890" i="15"/>
  <c r="A1891" i="15"/>
  <c r="A1892" i="15"/>
  <c r="A1893" i="15"/>
  <c r="A1894" i="15"/>
  <c r="A1895" i="15"/>
  <c r="A1896" i="15"/>
  <c r="A1897" i="15"/>
  <c r="A1898" i="15"/>
  <c r="A1899" i="15"/>
  <c r="A1900" i="15"/>
  <c r="A1901" i="15"/>
  <c r="A1902" i="15"/>
  <c r="A1903" i="15"/>
  <c r="A1904" i="15"/>
  <c r="A1905" i="15"/>
  <c r="A1906" i="15"/>
  <c r="A1907" i="15"/>
  <c r="A1908" i="15"/>
  <c r="A1909" i="15"/>
  <c r="A1910" i="15"/>
  <c r="A1911" i="15"/>
  <c r="A1912" i="15"/>
  <c r="A1913" i="15"/>
  <c r="A1914" i="15"/>
  <c r="A1915" i="15"/>
  <c r="A1916" i="15"/>
  <c r="A1917" i="15"/>
  <c r="A1918" i="15"/>
  <c r="A1919" i="15"/>
  <c r="A1920" i="15"/>
  <c r="A1921" i="15"/>
  <c r="A1922" i="15"/>
  <c r="A1923" i="15"/>
  <c r="A1924" i="15"/>
  <c r="A1925" i="15"/>
  <c r="A1926" i="15"/>
  <c r="A1927" i="15"/>
  <c r="A1928" i="15"/>
  <c r="A1929" i="15"/>
  <c r="A1930" i="15"/>
  <c r="A1931" i="15"/>
  <c r="A1932" i="15"/>
  <c r="A1933" i="15"/>
  <c r="A1934" i="15"/>
  <c r="A1935" i="15"/>
  <c r="A1936" i="15"/>
  <c r="A1937" i="15"/>
  <c r="A1938" i="15"/>
  <c r="A1939" i="15"/>
  <c r="A1940" i="15"/>
  <c r="A1941" i="15"/>
  <c r="A1942" i="15"/>
  <c r="A1943" i="15"/>
  <c r="A1944" i="15"/>
  <c r="A1945" i="15"/>
  <c r="A1946" i="15"/>
  <c r="A1947" i="15"/>
  <c r="A1948" i="15"/>
  <c r="A1949" i="15"/>
  <c r="A1950" i="15"/>
  <c r="A1951" i="15"/>
  <c r="A1952" i="15"/>
  <c r="A1953" i="15"/>
  <c r="A1954" i="15"/>
  <c r="A1955" i="15"/>
  <c r="A1956" i="15"/>
  <c r="A1957" i="15"/>
  <c r="A1958" i="15"/>
  <c r="A1959" i="15"/>
  <c r="A1960" i="15"/>
  <c r="A1961" i="15"/>
  <c r="A1962" i="15"/>
  <c r="A1963" i="15"/>
  <c r="A1964" i="15"/>
  <c r="A1965" i="15"/>
  <c r="A1966" i="15"/>
  <c r="A1967" i="15"/>
  <c r="A1968" i="15"/>
  <c r="A1969" i="15"/>
  <c r="A1970" i="15"/>
  <c r="A1971" i="15"/>
  <c r="A1972" i="15"/>
  <c r="A1973" i="15"/>
  <c r="A1974" i="15"/>
  <c r="A1975" i="15"/>
  <c r="A1976" i="15"/>
  <c r="A1977" i="15"/>
  <c r="A1978" i="15"/>
  <c r="A1979" i="15"/>
  <c r="A1980" i="15"/>
  <c r="A1981" i="15"/>
  <c r="A1982" i="15"/>
  <c r="A1983" i="15"/>
  <c r="A1984" i="15"/>
  <c r="A1985" i="15"/>
  <c r="A1986" i="15"/>
  <c r="A1987" i="15"/>
  <c r="A1988" i="15"/>
  <c r="A1989" i="15"/>
  <c r="A1990" i="15"/>
  <c r="A1991" i="15"/>
  <c r="A1992" i="15"/>
  <c r="A1993" i="15"/>
  <c r="A1994" i="15"/>
  <c r="A1995" i="15"/>
  <c r="A1996" i="15"/>
  <c r="A1997" i="15"/>
  <c r="A1998" i="15"/>
  <c r="A1999" i="15"/>
  <c r="A2000" i="15"/>
  <c r="A2001" i="15"/>
  <c r="A2002" i="15"/>
  <c r="A2003" i="15"/>
  <c r="A2004" i="15"/>
  <c r="A2005" i="15"/>
  <c r="A2006" i="15"/>
  <c r="A2007" i="15"/>
  <c r="A2008" i="15"/>
  <c r="A2009" i="15"/>
  <c r="A2010" i="15"/>
  <c r="A2011" i="15"/>
  <c r="A2012" i="15"/>
  <c r="A2013" i="15"/>
  <c r="A2014" i="15"/>
  <c r="A2015" i="15"/>
  <c r="A2016" i="15"/>
  <c r="A2017" i="15"/>
  <c r="A2018" i="15"/>
  <c r="A2019" i="15"/>
  <c r="A2020" i="15"/>
  <c r="A2021" i="15"/>
  <c r="A2022" i="15"/>
  <c r="A2023" i="15"/>
  <c r="A2024" i="15"/>
  <c r="A2025" i="15"/>
  <c r="A2026" i="15"/>
  <c r="A2027" i="15"/>
  <c r="A2028" i="15"/>
  <c r="A2029" i="15"/>
  <c r="A2030" i="15"/>
  <c r="A2031" i="15"/>
  <c r="A2032" i="15"/>
  <c r="A2033" i="15"/>
  <c r="A2034" i="15"/>
  <c r="A2035" i="15"/>
  <c r="A2036" i="15"/>
  <c r="A2037" i="15"/>
  <c r="A2038" i="15"/>
  <c r="A2039" i="15"/>
  <c r="A2040" i="15"/>
  <c r="A2041" i="15"/>
  <c r="A2042" i="15"/>
  <c r="A2043" i="15"/>
  <c r="A2044" i="15"/>
  <c r="A2045" i="15"/>
  <c r="A2046" i="15"/>
  <c r="A2047" i="15"/>
  <c r="A2048" i="15"/>
  <c r="A2049" i="15"/>
  <c r="A2050" i="15"/>
  <c r="A2051" i="15"/>
  <c r="A2052" i="15"/>
  <c r="A2053" i="15"/>
  <c r="A2054" i="15"/>
  <c r="A2055" i="15"/>
  <c r="A2056" i="15"/>
  <c r="A2057" i="15"/>
  <c r="A2058" i="15"/>
  <c r="A2059" i="15"/>
  <c r="A2060" i="15"/>
  <c r="A2061" i="15"/>
  <c r="A2062" i="15"/>
  <c r="A2063" i="15"/>
  <c r="A2064" i="15"/>
  <c r="A2065" i="15"/>
  <c r="A2066" i="15"/>
  <c r="A2067" i="15"/>
  <c r="A2068" i="15"/>
  <c r="A2069" i="15"/>
  <c r="A2070" i="15"/>
  <c r="A2071" i="15"/>
  <c r="A2072" i="15"/>
  <c r="A2073" i="15"/>
  <c r="A2074" i="15"/>
  <c r="A2075" i="15"/>
  <c r="A2076" i="15"/>
  <c r="A2077" i="15"/>
  <c r="A2078" i="15"/>
  <c r="A2079" i="15"/>
  <c r="A2080" i="15"/>
  <c r="A2081" i="15"/>
  <c r="A2082" i="15"/>
  <c r="A2083" i="15"/>
  <c r="A2084" i="15"/>
  <c r="A2085" i="15"/>
  <c r="A2086" i="15"/>
  <c r="A2087" i="15"/>
  <c r="A2088" i="15"/>
  <c r="A2089" i="15"/>
  <c r="A2090" i="15"/>
  <c r="A2091" i="15"/>
  <c r="A2092" i="15"/>
  <c r="A2093" i="15"/>
  <c r="A2094" i="15"/>
  <c r="A2095" i="15"/>
  <c r="A2096" i="15"/>
  <c r="A2097" i="15"/>
  <c r="A2098" i="15"/>
  <c r="A2099" i="15"/>
  <c r="A2100" i="15"/>
  <c r="A2101" i="15"/>
  <c r="A2102" i="15"/>
  <c r="A2103" i="15"/>
  <c r="A2104" i="15"/>
  <c r="A2105" i="15"/>
  <c r="A2106" i="15"/>
  <c r="A2107" i="15"/>
  <c r="A2108" i="15"/>
  <c r="A2109" i="15"/>
  <c r="A2110" i="15"/>
  <c r="A2111" i="15"/>
  <c r="A2112" i="15"/>
  <c r="A2113" i="15"/>
  <c r="A2114" i="15"/>
  <c r="A2115" i="15"/>
  <c r="A2116" i="15"/>
  <c r="A2117" i="15"/>
  <c r="A2118" i="15"/>
  <c r="A2119" i="15"/>
  <c r="A2120" i="15"/>
  <c r="A2121" i="15"/>
  <c r="A2122" i="15"/>
  <c r="A2123" i="15"/>
  <c r="A2124" i="15"/>
  <c r="A2125" i="15"/>
  <c r="A2126" i="15"/>
  <c r="A2127" i="15"/>
  <c r="A2128" i="15"/>
  <c r="A2129" i="15"/>
  <c r="A2130" i="15"/>
  <c r="A2131" i="15"/>
  <c r="A2132" i="15"/>
  <c r="A2133" i="15"/>
  <c r="A2134" i="15"/>
  <c r="A2135" i="15"/>
  <c r="A2136" i="15"/>
  <c r="A2137" i="15"/>
  <c r="A2138" i="15"/>
  <c r="A2139" i="15"/>
  <c r="A2140" i="15"/>
  <c r="A2141" i="15"/>
  <c r="A2142" i="15"/>
  <c r="A2143" i="15"/>
  <c r="A2144" i="15"/>
  <c r="A2145" i="15"/>
  <c r="A2146" i="15"/>
  <c r="A2147" i="15"/>
  <c r="A2148" i="15"/>
  <c r="A2149" i="15"/>
  <c r="A2150" i="15"/>
  <c r="A2151" i="15"/>
  <c r="A2152" i="15"/>
  <c r="A2153" i="15"/>
  <c r="A2154" i="15"/>
  <c r="A2155" i="15"/>
  <c r="A2156" i="15"/>
  <c r="A2157" i="15"/>
  <c r="A2158" i="15"/>
  <c r="A2159" i="15"/>
  <c r="A2160" i="15"/>
  <c r="A2161" i="15"/>
  <c r="A2162" i="15"/>
  <c r="A2163" i="15"/>
  <c r="A2164" i="15"/>
  <c r="A2165" i="15"/>
  <c r="A2166" i="15"/>
  <c r="A2167" i="15"/>
  <c r="A2168" i="15"/>
  <c r="A2169" i="15"/>
  <c r="A2170" i="15"/>
  <c r="A2171" i="15"/>
  <c r="A2172" i="15"/>
  <c r="A2173" i="15"/>
  <c r="A2174" i="15"/>
  <c r="A2175" i="15"/>
  <c r="A2176" i="15"/>
  <c r="A2177" i="15"/>
  <c r="A2178" i="15"/>
  <c r="A2179" i="15"/>
  <c r="A2180" i="15"/>
  <c r="A2181" i="15"/>
  <c r="A2182" i="15"/>
  <c r="A2183" i="15"/>
  <c r="A2184" i="15"/>
  <c r="A2185" i="15"/>
  <c r="A2186" i="15"/>
  <c r="A2187" i="15"/>
  <c r="A2188" i="15"/>
  <c r="A2189" i="15"/>
  <c r="A2190" i="15"/>
  <c r="A2191" i="15"/>
  <c r="A2192" i="15"/>
  <c r="A2193" i="15"/>
  <c r="A2194" i="15"/>
  <c r="A2195" i="15"/>
  <c r="A2196" i="15"/>
  <c r="A2197" i="15"/>
  <c r="A2198" i="15"/>
  <c r="A2199" i="15"/>
  <c r="A2200" i="15"/>
  <c r="A2201" i="15"/>
  <c r="A2202" i="15"/>
  <c r="A2203" i="15"/>
  <c r="A2204" i="15"/>
  <c r="A2205" i="15"/>
  <c r="A2206" i="15"/>
  <c r="A2207" i="15"/>
  <c r="A2208" i="15"/>
  <c r="A2209" i="15"/>
  <c r="A2210" i="15"/>
  <c r="A2211" i="15"/>
  <c r="A2212" i="15"/>
  <c r="A2213" i="15"/>
  <c r="A2214" i="15"/>
  <c r="A2215" i="15"/>
  <c r="A2216" i="15"/>
  <c r="A2217" i="15"/>
  <c r="A2218" i="15"/>
  <c r="A2219" i="15"/>
  <c r="A2220" i="15"/>
  <c r="A2221" i="15"/>
  <c r="A2222" i="15"/>
  <c r="A2223" i="15"/>
  <c r="A2224" i="15"/>
  <c r="A2225" i="15"/>
  <c r="A2226" i="15"/>
  <c r="A2227" i="15"/>
  <c r="A2228" i="15"/>
  <c r="A2229" i="15"/>
  <c r="A2230" i="15"/>
  <c r="A2231" i="15"/>
  <c r="A2232" i="15"/>
  <c r="A2233" i="15"/>
  <c r="A2234" i="15"/>
  <c r="A2235" i="15"/>
  <c r="A2236" i="15"/>
  <c r="A2237" i="15"/>
  <c r="A2238" i="15"/>
  <c r="A2239" i="15"/>
  <c r="A2240" i="15"/>
  <c r="A2241" i="15"/>
  <c r="A2242" i="15"/>
  <c r="A2243" i="15"/>
  <c r="A2244" i="15"/>
  <c r="A2245" i="15"/>
  <c r="A2246" i="15"/>
  <c r="A2247" i="15"/>
  <c r="A2248" i="15"/>
  <c r="A2249" i="15"/>
  <c r="A2250" i="15"/>
  <c r="A2251" i="15"/>
  <c r="A2252" i="15"/>
  <c r="A2253" i="15"/>
  <c r="A2254" i="15"/>
  <c r="A2255" i="15"/>
  <c r="A2256" i="15"/>
  <c r="A2257" i="15"/>
  <c r="A2258" i="15"/>
  <c r="A2259" i="15"/>
  <c r="A2260" i="15"/>
  <c r="A2261" i="15"/>
  <c r="A2262" i="15"/>
  <c r="A2263" i="15"/>
  <c r="A2264" i="15"/>
  <c r="A2265" i="15"/>
  <c r="A2266" i="15"/>
  <c r="A2267" i="15"/>
  <c r="A2268" i="15"/>
  <c r="A2269" i="15"/>
  <c r="A2270" i="15"/>
  <c r="A2271" i="15"/>
  <c r="A2272" i="15"/>
  <c r="A2273" i="15"/>
  <c r="A2274" i="15"/>
  <c r="A2275" i="15"/>
  <c r="A2276" i="15"/>
  <c r="A2277" i="15"/>
  <c r="A2278" i="15"/>
  <c r="A2279" i="15"/>
  <c r="A2280" i="15"/>
  <c r="A2281" i="15"/>
  <c r="A2282" i="15"/>
  <c r="A2283" i="15"/>
  <c r="A2284" i="15"/>
  <c r="A2285" i="15"/>
  <c r="A2286" i="15"/>
  <c r="A2287" i="15"/>
  <c r="A2288" i="15"/>
  <c r="A2289" i="15"/>
  <c r="A2290" i="15"/>
  <c r="A2291" i="15"/>
  <c r="A2292" i="15"/>
  <c r="A2293" i="15"/>
  <c r="A2294" i="15"/>
  <c r="A2295" i="15"/>
  <c r="A2296" i="15"/>
  <c r="A2297" i="15"/>
  <c r="A2298" i="15"/>
  <c r="A2299" i="15"/>
  <c r="A2300" i="15"/>
  <c r="A2301" i="15"/>
  <c r="A2302" i="15"/>
  <c r="A2303" i="15"/>
  <c r="A2304" i="15"/>
  <c r="A2305" i="15"/>
  <c r="A2306" i="15"/>
  <c r="A2307" i="15"/>
  <c r="A2308" i="15"/>
  <c r="A2309" i="15"/>
  <c r="A2310" i="15"/>
  <c r="A2311" i="15"/>
  <c r="A2312" i="15"/>
  <c r="A2313" i="15"/>
  <c r="A2314" i="15"/>
  <c r="A2315" i="15"/>
  <c r="A2316" i="15"/>
  <c r="A2317" i="15"/>
  <c r="A2318" i="15"/>
  <c r="A2319" i="15"/>
  <c r="A2320" i="15"/>
  <c r="A2321" i="15"/>
  <c r="A2322" i="15"/>
  <c r="A2323" i="15"/>
  <c r="A2324" i="15"/>
  <c r="A2325" i="15"/>
  <c r="A2326" i="15"/>
  <c r="A2327" i="15"/>
  <c r="A2328" i="15"/>
  <c r="A2329" i="15"/>
  <c r="A2330" i="15"/>
  <c r="A2331" i="15"/>
  <c r="A2332" i="15"/>
  <c r="A2333" i="15"/>
  <c r="A2334" i="15"/>
  <c r="A2335" i="15"/>
  <c r="A2336" i="15"/>
  <c r="A2337" i="15"/>
  <c r="A2338" i="15"/>
  <c r="A2339" i="15"/>
  <c r="A2340" i="15"/>
  <c r="A2341" i="15"/>
  <c r="A2342" i="15"/>
  <c r="A2343" i="15"/>
  <c r="A2344" i="15"/>
  <c r="A2345" i="15"/>
  <c r="A2346" i="15"/>
  <c r="A2347" i="15"/>
  <c r="A2348" i="15"/>
  <c r="A2349" i="15"/>
  <c r="A2350" i="15"/>
  <c r="A2351" i="15"/>
  <c r="A2352" i="15"/>
  <c r="A2353" i="15"/>
  <c r="A2354" i="15"/>
  <c r="A2355" i="15"/>
  <c r="A2356" i="15"/>
  <c r="A2357" i="15"/>
  <c r="A2358" i="15"/>
  <c r="A2359" i="15"/>
  <c r="A2360" i="15"/>
  <c r="A2361" i="15"/>
  <c r="A2362" i="15"/>
  <c r="A2363" i="15"/>
  <c r="A2364" i="15"/>
  <c r="A2365" i="15"/>
  <c r="A2366" i="15"/>
  <c r="A2367" i="15"/>
  <c r="A2368" i="15"/>
  <c r="A2369" i="15"/>
  <c r="A2370" i="15"/>
  <c r="A2371" i="15"/>
  <c r="A2372" i="15"/>
  <c r="A2373" i="15"/>
  <c r="A2374" i="15"/>
  <c r="A2375" i="15"/>
  <c r="A2376" i="15"/>
  <c r="A2377" i="15"/>
  <c r="A2378" i="15"/>
  <c r="A2379" i="15"/>
  <c r="A2380" i="15"/>
  <c r="A2381" i="15"/>
  <c r="A2382" i="15"/>
  <c r="A2383" i="15"/>
  <c r="A2384" i="15"/>
  <c r="A2385" i="15"/>
  <c r="A2386" i="15"/>
  <c r="A2387" i="15"/>
  <c r="A2388" i="15"/>
  <c r="A2389" i="15"/>
  <c r="A2390" i="15"/>
  <c r="A2391" i="15"/>
  <c r="A2392" i="15"/>
  <c r="A2393" i="15"/>
  <c r="A2394" i="15"/>
  <c r="A2395" i="15"/>
  <c r="A2396" i="15"/>
  <c r="A2397" i="15"/>
  <c r="A2398" i="15"/>
  <c r="A2399" i="15"/>
  <c r="A2400" i="15"/>
  <c r="A2401" i="15"/>
  <c r="A2402" i="15"/>
  <c r="A2403" i="15"/>
  <c r="A2404" i="15"/>
  <c r="A2405" i="15"/>
  <c r="A2406" i="15"/>
  <c r="A2407" i="15"/>
  <c r="A2408" i="15"/>
  <c r="A2409" i="15"/>
  <c r="A2410" i="15"/>
  <c r="A2411" i="15"/>
  <c r="A2412" i="15"/>
  <c r="A2413" i="15"/>
  <c r="A2414" i="15"/>
  <c r="A2415" i="15"/>
  <c r="A2416" i="15"/>
  <c r="A2417" i="15"/>
  <c r="A2418" i="15"/>
  <c r="A2419" i="15"/>
  <c r="A2420" i="15"/>
  <c r="A2421" i="15"/>
  <c r="A2422" i="15"/>
  <c r="A2423" i="15"/>
  <c r="A2424" i="15"/>
  <c r="A2425" i="15"/>
  <c r="A2426" i="15"/>
  <c r="A2427" i="15"/>
  <c r="A2428" i="15"/>
  <c r="A2429" i="15"/>
  <c r="A2430" i="15"/>
  <c r="A2431" i="15"/>
  <c r="A2432" i="15"/>
  <c r="A2433" i="15"/>
  <c r="A2434" i="15"/>
  <c r="A2435" i="15"/>
  <c r="A2436" i="15"/>
  <c r="A2437" i="15"/>
  <c r="A2438" i="15"/>
  <c r="A2439" i="15"/>
  <c r="A2440" i="15"/>
  <c r="A2441" i="15"/>
  <c r="A2442" i="15"/>
  <c r="A2443" i="15"/>
  <c r="A2444" i="15"/>
  <c r="A2445" i="15"/>
  <c r="A2446" i="15"/>
  <c r="A2447" i="15"/>
  <c r="A2448" i="15"/>
  <c r="A2449" i="15"/>
  <c r="A2450" i="15"/>
  <c r="A2451" i="15"/>
  <c r="A2452" i="15"/>
  <c r="A2453" i="15"/>
  <c r="A2454" i="15"/>
  <c r="A2455" i="15"/>
  <c r="A2456" i="15"/>
  <c r="A2457" i="15"/>
  <c r="A2458" i="15"/>
  <c r="A2459" i="15"/>
  <c r="A2460" i="15"/>
  <c r="A2461" i="15"/>
  <c r="A2462" i="15"/>
  <c r="A2463" i="15"/>
  <c r="A2464" i="15"/>
  <c r="A2465" i="15"/>
  <c r="A2466" i="15"/>
  <c r="A2467" i="15"/>
  <c r="A2468" i="15"/>
  <c r="A2469" i="15"/>
  <c r="A2470" i="15"/>
  <c r="A2471" i="15"/>
  <c r="A2472" i="15"/>
  <c r="A2473" i="15"/>
  <c r="A2474" i="15"/>
  <c r="A2475" i="15"/>
  <c r="A2476" i="15"/>
  <c r="A2477" i="15"/>
  <c r="A2478" i="15"/>
  <c r="A2479" i="15"/>
  <c r="A2480" i="15"/>
  <c r="A2481" i="15"/>
  <c r="A2482" i="15"/>
  <c r="A2483" i="15"/>
  <c r="A2484" i="15"/>
  <c r="A2485" i="15"/>
  <c r="A2486" i="15"/>
  <c r="A2487" i="15"/>
  <c r="A2488" i="15"/>
  <c r="A2489" i="15"/>
  <c r="A2490" i="15"/>
  <c r="A2491" i="15"/>
  <c r="A2492" i="15"/>
  <c r="A2493" i="15"/>
  <c r="A2494" i="15"/>
  <c r="A2495" i="15"/>
  <c r="A2496" i="15"/>
  <c r="A2497" i="15"/>
  <c r="A2498" i="15"/>
  <c r="A2499" i="15"/>
  <c r="A2500" i="15"/>
  <c r="A2501" i="15"/>
  <c r="A2502" i="15"/>
  <c r="A2503" i="15"/>
  <c r="A2504" i="15"/>
  <c r="A2505" i="15"/>
  <c r="A2506" i="15"/>
  <c r="A2507" i="15"/>
  <c r="A2508" i="15"/>
  <c r="A2509" i="15"/>
  <c r="A2510" i="15"/>
  <c r="A2511" i="15"/>
  <c r="A2512" i="15"/>
  <c r="A2513" i="15"/>
  <c r="A2514" i="15"/>
  <c r="A2515" i="15"/>
  <c r="A2516" i="15"/>
  <c r="A2517" i="15"/>
  <c r="A2518" i="15"/>
  <c r="A2519" i="15"/>
  <c r="A2520" i="15"/>
  <c r="A2521" i="15"/>
  <c r="A2522" i="15"/>
  <c r="A2523" i="15"/>
  <c r="A2524" i="15"/>
  <c r="A2525" i="15"/>
  <c r="A2526" i="15"/>
  <c r="A2527" i="15"/>
  <c r="A2528" i="15"/>
  <c r="A2529" i="15"/>
  <c r="A2530" i="15"/>
  <c r="A2531" i="15"/>
  <c r="A2532" i="15"/>
  <c r="A2533" i="15"/>
  <c r="A2534" i="15"/>
  <c r="A2535" i="15"/>
  <c r="A2536" i="15"/>
  <c r="A2537" i="15"/>
  <c r="A2538" i="15"/>
  <c r="A2539" i="15"/>
  <c r="A2540" i="15"/>
  <c r="A2541" i="15"/>
  <c r="A2542" i="15"/>
  <c r="A2543" i="15"/>
  <c r="A2544" i="15"/>
  <c r="A2545" i="15"/>
  <c r="A2546" i="15"/>
  <c r="A2547" i="15"/>
  <c r="A2548" i="15"/>
  <c r="A2549" i="15"/>
  <c r="A2550" i="15"/>
  <c r="A2551" i="15"/>
  <c r="A2552" i="15"/>
  <c r="A2553" i="15"/>
  <c r="A2554" i="15"/>
  <c r="A2555" i="15"/>
  <c r="A2556" i="15"/>
  <c r="A2557" i="15"/>
  <c r="A2558" i="15"/>
  <c r="A2559" i="15"/>
  <c r="A2560" i="15"/>
  <c r="A2561" i="15"/>
  <c r="A2562" i="15"/>
  <c r="A2563" i="15"/>
  <c r="A2564" i="15"/>
  <c r="A2565" i="15"/>
  <c r="A2566" i="15"/>
  <c r="A2567" i="15"/>
  <c r="A2568" i="15"/>
  <c r="A2569" i="15"/>
  <c r="A2570" i="15"/>
  <c r="A2571" i="15"/>
  <c r="A2572" i="15"/>
  <c r="A2573" i="15"/>
  <c r="A2574" i="15"/>
  <c r="A2575" i="15"/>
  <c r="A2576" i="15"/>
  <c r="A2577" i="15"/>
  <c r="A2578" i="15"/>
  <c r="A2579" i="15"/>
  <c r="A2580" i="15"/>
  <c r="A2581" i="15"/>
  <c r="A2582" i="15"/>
  <c r="A2583" i="15"/>
  <c r="A2584" i="15"/>
  <c r="A2585" i="15"/>
  <c r="A2586" i="15"/>
  <c r="A2587" i="15"/>
  <c r="A2588" i="15"/>
  <c r="A2589" i="15"/>
  <c r="A2590" i="15"/>
  <c r="A2591" i="15"/>
  <c r="A2592" i="15"/>
  <c r="A2593" i="15"/>
  <c r="A2594" i="15"/>
  <c r="A2595" i="15"/>
  <c r="A2596" i="15"/>
  <c r="A2597" i="15"/>
  <c r="A2598" i="15"/>
  <c r="A2599" i="15"/>
  <c r="A2600" i="15"/>
  <c r="A2601" i="15"/>
  <c r="A2602" i="15"/>
  <c r="A2603" i="15"/>
  <c r="A2604" i="15"/>
  <c r="A2605" i="15"/>
  <c r="A2606" i="15"/>
  <c r="A2607" i="15"/>
  <c r="A2608" i="15"/>
  <c r="A2609" i="15"/>
  <c r="A2610" i="15"/>
  <c r="A2611" i="15"/>
  <c r="A2612" i="15"/>
  <c r="A2613" i="15"/>
  <c r="A2614" i="15"/>
  <c r="A2615" i="15"/>
  <c r="A2616" i="15"/>
  <c r="A2617" i="15"/>
  <c r="A2618" i="15"/>
  <c r="A2619" i="15"/>
  <c r="A2620" i="15"/>
  <c r="A2621" i="15"/>
  <c r="A2622" i="15"/>
  <c r="A2623" i="15"/>
  <c r="A2624" i="15"/>
  <c r="A2625" i="15"/>
  <c r="A2626" i="15"/>
  <c r="A2627" i="15"/>
  <c r="A2628" i="15"/>
  <c r="A2629" i="15"/>
  <c r="A2630" i="15"/>
  <c r="A2631" i="15"/>
  <c r="A2632" i="15"/>
  <c r="A2633" i="15"/>
  <c r="A2634" i="15"/>
  <c r="A2635" i="15"/>
  <c r="A2636" i="15"/>
  <c r="A2637" i="15"/>
  <c r="A2638" i="15"/>
  <c r="A2639" i="15"/>
  <c r="A2640" i="15"/>
  <c r="A2641" i="15"/>
  <c r="A2642" i="15"/>
  <c r="A2643" i="15"/>
  <c r="A2644" i="15"/>
  <c r="A2645" i="15"/>
  <c r="A2646" i="15"/>
  <c r="A2647" i="15"/>
  <c r="A2648" i="15"/>
  <c r="A2649" i="15"/>
  <c r="A2650" i="15"/>
  <c r="A2651" i="15"/>
  <c r="A2652" i="15"/>
  <c r="A2653" i="15"/>
  <c r="A2654" i="15"/>
  <c r="A2655" i="15"/>
  <c r="A2656" i="15"/>
  <c r="A2657" i="15"/>
  <c r="A2658" i="15"/>
  <c r="A2659" i="15"/>
  <c r="A2660" i="15"/>
  <c r="A2661" i="15"/>
  <c r="A2662" i="15"/>
  <c r="A2663" i="15"/>
  <c r="A2664" i="15"/>
  <c r="A2665" i="15"/>
  <c r="A2666" i="15"/>
  <c r="A2667" i="15"/>
  <c r="A2668" i="15"/>
  <c r="A2669" i="15"/>
  <c r="A2670" i="15"/>
  <c r="A2671" i="15"/>
  <c r="A2672" i="15"/>
  <c r="A2673" i="15"/>
  <c r="A2674" i="15"/>
  <c r="A2675" i="15"/>
  <c r="A2676" i="15"/>
  <c r="A2677" i="15"/>
  <c r="A2678" i="15"/>
  <c r="A2679" i="15"/>
  <c r="A2680" i="15"/>
  <c r="A2681" i="15"/>
  <c r="A2682" i="15"/>
  <c r="A2683" i="15"/>
  <c r="A2684" i="15"/>
  <c r="A2685" i="15"/>
  <c r="A2686" i="15"/>
  <c r="A2687" i="15"/>
  <c r="A2688" i="15"/>
  <c r="A2689" i="15"/>
  <c r="A2690" i="15"/>
  <c r="A2691" i="15"/>
  <c r="A2692" i="15"/>
  <c r="A2693" i="15"/>
  <c r="A2694" i="15"/>
  <c r="A2695" i="15"/>
  <c r="A2696" i="15"/>
  <c r="A2697" i="15"/>
  <c r="A2698" i="15"/>
  <c r="A2699" i="15"/>
  <c r="A2700" i="15"/>
  <c r="A2701" i="15"/>
  <c r="A2702" i="15"/>
  <c r="A2703" i="15"/>
  <c r="A2704" i="15"/>
  <c r="A2705" i="15"/>
  <c r="A2706" i="15"/>
  <c r="A2707" i="15"/>
  <c r="A2708" i="15"/>
  <c r="A2709" i="15"/>
  <c r="A2710" i="15"/>
  <c r="A2711" i="15"/>
  <c r="A2712" i="15"/>
  <c r="A2713" i="15"/>
  <c r="A2714" i="15"/>
  <c r="A2715" i="15"/>
  <c r="A2716" i="15"/>
  <c r="A2717" i="15"/>
  <c r="A2718" i="15"/>
  <c r="A2719" i="15"/>
  <c r="A2720" i="15"/>
  <c r="A2721" i="15"/>
  <c r="A2722" i="15"/>
  <c r="A2723" i="15"/>
  <c r="A2724" i="15"/>
  <c r="A2725" i="15"/>
  <c r="A2726" i="15"/>
  <c r="A2727" i="15"/>
  <c r="A2728" i="15"/>
  <c r="A2729" i="15"/>
  <c r="A2730" i="15"/>
  <c r="A2731" i="15"/>
  <c r="A2732" i="15"/>
  <c r="A2733" i="15"/>
  <c r="A2734" i="15"/>
  <c r="A2735" i="15"/>
  <c r="A2736" i="15"/>
  <c r="A2737" i="15"/>
  <c r="A2738" i="15"/>
  <c r="A2739" i="15"/>
  <c r="A2740" i="15"/>
  <c r="A2741" i="15"/>
  <c r="A2742" i="15"/>
  <c r="A2743" i="15"/>
  <c r="A2744" i="15"/>
  <c r="A2745" i="15"/>
  <c r="A2746" i="15"/>
  <c r="A2747" i="15"/>
  <c r="A2748" i="15"/>
  <c r="A2749" i="15"/>
  <c r="A2750" i="15"/>
  <c r="A2751" i="15"/>
  <c r="A2752" i="15"/>
  <c r="A2753" i="15"/>
  <c r="A2754" i="15"/>
  <c r="A2755" i="15"/>
  <c r="A2756" i="15"/>
  <c r="A2757" i="15"/>
  <c r="A2758" i="15"/>
  <c r="A2759" i="15"/>
  <c r="A2760" i="15"/>
  <c r="A2761" i="15"/>
  <c r="A2762" i="15"/>
  <c r="A2763" i="15"/>
  <c r="A2764" i="15"/>
  <c r="A2765" i="15"/>
  <c r="A2766" i="15"/>
  <c r="A2767" i="15"/>
  <c r="A2768" i="15"/>
  <c r="A2769" i="15"/>
  <c r="A2770" i="15"/>
  <c r="A2771" i="15"/>
  <c r="A2772" i="15"/>
  <c r="A2773" i="15"/>
  <c r="A2774" i="15"/>
  <c r="A2775" i="15"/>
  <c r="A2776" i="15"/>
  <c r="A2777" i="15"/>
  <c r="A2778" i="15"/>
  <c r="A2779" i="15"/>
  <c r="A2780" i="15"/>
  <c r="A2781" i="15"/>
  <c r="A2782" i="15"/>
  <c r="A2783" i="15"/>
  <c r="A2784" i="15"/>
  <c r="A2785" i="15"/>
  <c r="A2786" i="15"/>
  <c r="A2787" i="15"/>
  <c r="A2788" i="15"/>
  <c r="A2789" i="15"/>
  <c r="A2790" i="15"/>
  <c r="A2791" i="15"/>
  <c r="A2792" i="15"/>
  <c r="A2793" i="15"/>
  <c r="A2794" i="15"/>
  <c r="A2795" i="15"/>
  <c r="A2796" i="15"/>
  <c r="A2797" i="15"/>
  <c r="A2798" i="15"/>
  <c r="A2799" i="15"/>
  <c r="A2800" i="15"/>
  <c r="A2801" i="15"/>
  <c r="A2802" i="15"/>
  <c r="A2803" i="15"/>
  <c r="A2804" i="15"/>
  <c r="A2805" i="15"/>
  <c r="A2806" i="15"/>
  <c r="A2807" i="15"/>
  <c r="A2808" i="15"/>
  <c r="A2809" i="15"/>
  <c r="A2810" i="15"/>
  <c r="A2811" i="15"/>
  <c r="A2812" i="15"/>
  <c r="A2813" i="15"/>
  <c r="A2814" i="15"/>
  <c r="A2815" i="15"/>
  <c r="A2816" i="15"/>
  <c r="A2817" i="15"/>
  <c r="A2818" i="15"/>
  <c r="A2819" i="15"/>
  <c r="A2820" i="15"/>
  <c r="A2821" i="15"/>
  <c r="A2822" i="15"/>
  <c r="A2823" i="15"/>
  <c r="A2824" i="15"/>
  <c r="A2825" i="15"/>
  <c r="A2826" i="15"/>
  <c r="A2827" i="15"/>
  <c r="A2828" i="15"/>
  <c r="A2829" i="15"/>
  <c r="A2830" i="15"/>
  <c r="A2831" i="15"/>
  <c r="A2832" i="15"/>
  <c r="A2833" i="15"/>
  <c r="A2834" i="15"/>
  <c r="A2835" i="15"/>
  <c r="A2836" i="15"/>
  <c r="A2837" i="15"/>
  <c r="A2838" i="15"/>
  <c r="A2839" i="15"/>
  <c r="A2840" i="15"/>
  <c r="A2841" i="15"/>
  <c r="A2842" i="15"/>
  <c r="A2843" i="15"/>
  <c r="A2844" i="15"/>
  <c r="A2845" i="15"/>
  <c r="A2846" i="15"/>
  <c r="A2847" i="15"/>
  <c r="A2848" i="15"/>
  <c r="A2849" i="15"/>
  <c r="A2850" i="15"/>
  <c r="A2851" i="15"/>
  <c r="A2852" i="15"/>
  <c r="A2853" i="15"/>
  <c r="A2854" i="15"/>
  <c r="A2855" i="15"/>
  <c r="A2856" i="15"/>
  <c r="A2857" i="15"/>
  <c r="A2858" i="15"/>
  <c r="A2859" i="15"/>
  <c r="A2860" i="15"/>
  <c r="A2861" i="15"/>
  <c r="A2862" i="15"/>
  <c r="A2863" i="15"/>
  <c r="A2864" i="15"/>
  <c r="A2865" i="15"/>
  <c r="A2866" i="15"/>
  <c r="A2867" i="15"/>
  <c r="A2868" i="15"/>
  <c r="A2869" i="15"/>
  <c r="A2870" i="15"/>
  <c r="A2871" i="15"/>
  <c r="A2872" i="15"/>
  <c r="A2873" i="15"/>
  <c r="A2874" i="15"/>
  <c r="A2875" i="15"/>
  <c r="A2876" i="15"/>
  <c r="A2877" i="15"/>
  <c r="A2878" i="15"/>
  <c r="A2879" i="15"/>
  <c r="A2880" i="15"/>
  <c r="A2881" i="15"/>
  <c r="A2882" i="15"/>
  <c r="A2883" i="15"/>
  <c r="A2884" i="15"/>
  <c r="A2885" i="15"/>
  <c r="A2886" i="15"/>
  <c r="A2887" i="15"/>
  <c r="A2888" i="15"/>
  <c r="A2889" i="15"/>
  <c r="A2890" i="15"/>
  <c r="A2891" i="15"/>
  <c r="A2892" i="15"/>
  <c r="A2893" i="15"/>
  <c r="A2894" i="15"/>
  <c r="A2895" i="15"/>
  <c r="A2896" i="15"/>
  <c r="A2897" i="15"/>
  <c r="A2898" i="15"/>
  <c r="A2899" i="15"/>
  <c r="A2900" i="15"/>
  <c r="A2901" i="15"/>
  <c r="A2902" i="15"/>
  <c r="A2903" i="15"/>
  <c r="A2904" i="15"/>
  <c r="A2905" i="15"/>
  <c r="A2906" i="15"/>
  <c r="A2907" i="15"/>
  <c r="A2908" i="15"/>
  <c r="A2909" i="15"/>
  <c r="A2910" i="15"/>
  <c r="A2911" i="15"/>
  <c r="A2912" i="15"/>
  <c r="A2913" i="15"/>
  <c r="A2914" i="15"/>
  <c r="A2915" i="15"/>
  <c r="A2916" i="15"/>
  <c r="A2917" i="15"/>
  <c r="A2918" i="15"/>
  <c r="A2919" i="15"/>
  <c r="A2920" i="15"/>
  <c r="A2921" i="15"/>
  <c r="A2922" i="15"/>
  <c r="A2923" i="15"/>
  <c r="A2924" i="15"/>
  <c r="A2925" i="15"/>
  <c r="A2926" i="15"/>
  <c r="A2927" i="15"/>
  <c r="A2928" i="15"/>
  <c r="A2929" i="15"/>
  <c r="A2930" i="15"/>
  <c r="A2931" i="15"/>
  <c r="A2932" i="15"/>
  <c r="A2933" i="15"/>
  <c r="A2934" i="15"/>
  <c r="A2935" i="15"/>
  <c r="A2936" i="15"/>
  <c r="A2937" i="15"/>
  <c r="A2938" i="15"/>
  <c r="A2939" i="15"/>
  <c r="A2940" i="15"/>
  <c r="A2941" i="15"/>
  <c r="A2942" i="15"/>
  <c r="A2943" i="15"/>
  <c r="A2944" i="15"/>
  <c r="A2945" i="15"/>
  <c r="A2946" i="15"/>
  <c r="A2947" i="15"/>
  <c r="A2948" i="15"/>
  <c r="A2949" i="15"/>
  <c r="A2950" i="15"/>
  <c r="A2951" i="15"/>
  <c r="A2952" i="15"/>
  <c r="A2953" i="15"/>
  <c r="A2954" i="15"/>
  <c r="A2955" i="15"/>
  <c r="A2956" i="15"/>
  <c r="A2957" i="15"/>
  <c r="A2958" i="15"/>
  <c r="A2959" i="15"/>
  <c r="A2960" i="15"/>
  <c r="A2961" i="15"/>
  <c r="A2962" i="15"/>
  <c r="A2963" i="15"/>
  <c r="A2964" i="15"/>
  <c r="A2965" i="15"/>
  <c r="A2966" i="15"/>
  <c r="A2967" i="15"/>
  <c r="A2968" i="15"/>
  <c r="A2969" i="15"/>
  <c r="A2970" i="15"/>
  <c r="A2971" i="15"/>
  <c r="A2972" i="15"/>
  <c r="A2973" i="15"/>
  <c r="A2974" i="15"/>
  <c r="A2975" i="15"/>
  <c r="A2976" i="15"/>
  <c r="A2977" i="15"/>
  <c r="A2978" i="15"/>
  <c r="A2979" i="15"/>
  <c r="A2980" i="15"/>
  <c r="A2981" i="15"/>
  <c r="A2982" i="15"/>
  <c r="A2983" i="15"/>
  <c r="A2984" i="15"/>
  <c r="A2985" i="15"/>
  <c r="A2986" i="15"/>
  <c r="A2987" i="15"/>
  <c r="A2988" i="15"/>
  <c r="A2989" i="15"/>
  <c r="A2990" i="15"/>
  <c r="A2991" i="15"/>
  <c r="A2992" i="15"/>
  <c r="A2993" i="15"/>
  <c r="A2994" i="15"/>
  <c r="A2995" i="15"/>
  <c r="A2996" i="15"/>
  <c r="A2997" i="15"/>
  <c r="A2998" i="15"/>
  <c r="A2999" i="15"/>
  <c r="A3000" i="15"/>
  <c r="A3001" i="15"/>
  <c r="A3002" i="15"/>
  <c r="A3003" i="15"/>
  <c r="A3004" i="15"/>
  <c r="A3005" i="15"/>
  <c r="A3006" i="15"/>
  <c r="A3007" i="15"/>
  <c r="A3008" i="15"/>
  <c r="A3009" i="15"/>
  <c r="A3010" i="15"/>
  <c r="A3011" i="15"/>
  <c r="A3012" i="15"/>
  <c r="A3013" i="15"/>
  <c r="A3014" i="15"/>
  <c r="A3015" i="15"/>
  <c r="A3016" i="15"/>
  <c r="A3017" i="15"/>
  <c r="A3018" i="15"/>
  <c r="A3019" i="15"/>
  <c r="A3020" i="15"/>
  <c r="A3021" i="15"/>
  <c r="A3022" i="15"/>
  <c r="A3023" i="15"/>
  <c r="A3024" i="15"/>
  <c r="A3025" i="15"/>
  <c r="A3026" i="15"/>
  <c r="A3027" i="15"/>
  <c r="A3028" i="15"/>
  <c r="A3029" i="15"/>
  <c r="A3030" i="15"/>
  <c r="A3031" i="15"/>
  <c r="A3032" i="15"/>
  <c r="A3033" i="15"/>
  <c r="A3034" i="15"/>
  <c r="A3035" i="15"/>
  <c r="A3036" i="15"/>
  <c r="A3037" i="15"/>
  <c r="A3038" i="15"/>
  <c r="A3039" i="15"/>
  <c r="A3040" i="15"/>
  <c r="A3041" i="15"/>
  <c r="A3042" i="15"/>
  <c r="A3043" i="15"/>
  <c r="A3044" i="15"/>
  <c r="A3045" i="15"/>
  <c r="A3046" i="15"/>
  <c r="A3047" i="15"/>
  <c r="A3048" i="15"/>
  <c r="A3049" i="15"/>
  <c r="A3050" i="15"/>
  <c r="A3051" i="15"/>
  <c r="A3052" i="15"/>
  <c r="A3053" i="15"/>
  <c r="A3054" i="15"/>
  <c r="A3055" i="15"/>
  <c r="A3056" i="15"/>
  <c r="A3057" i="15"/>
  <c r="A3058" i="15"/>
  <c r="A3059" i="15"/>
  <c r="A3060" i="15"/>
  <c r="A3061" i="15"/>
  <c r="A3062" i="15"/>
  <c r="A3063" i="15"/>
  <c r="A3064" i="15"/>
  <c r="A3065" i="15"/>
  <c r="A3066" i="15"/>
  <c r="A3067" i="15"/>
  <c r="A3068" i="15"/>
  <c r="A3069" i="15"/>
  <c r="A3070" i="15"/>
  <c r="A3071" i="15"/>
  <c r="A3072" i="15"/>
  <c r="A3073" i="15"/>
  <c r="A3074" i="15"/>
  <c r="A3075" i="15"/>
  <c r="A3076" i="15"/>
  <c r="A3077" i="15"/>
  <c r="A3078" i="15"/>
  <c r="A3079" i="15"/>
  <c r="A3080" i="15"/>
  <c r="A3081" i="15"/>
  <c r="A3082" i="15"/>
  <c r="A3083" i="15"/>
  <c r="A3084" i="15"/>
  <c r="A3085" i="15"/>
  <c r="A3086" i="15"/>
  <c r="A3087" i="15"/>
  <c r="A3088" i="15"/>
  <c r="A3089" i="15"/>
  <c r="A3090" i="15"/>
  <c r="A3091" i="15"/>
  <c r="A3092" i="15"/>
  <c r="A3093" i="15"/>
  <c r="A3094" i="15"/>
  <c r="A3095" i="15"/>
  <c r="A3096" i="15"/>
  <c r="A3097" i="15"/>
  <c r="A3098" i="15"/>
  <c r="A3099" i="15"/>
  <c r="A3100" i="15"/>
  <c r="A3101" i="15"/>
  <c r="A3102" i="15"/>
  <c r="A3103" i="15"/>
  <c r="A3104" i="15"/>
  <c r="A3105" i="15"/>
  <c r="A3106" i="15"/>
  <c r="A3107" i="15"/>
  <c r="A3108" i="15"/>
  <c r="A3109" i="15"/>
  <c r="A3110" i="15"/>
  <c r="A3111" i="15"/>
  <c r="A3112" i="15"/>
  <c r="A3113" i="15"/>
  <c r="A3114" i="15"/>
  <c r="A3115" i="15"/>
  <c r="A3116" i="15"/>
  <c r="A3117" i="15"/>
  <c r="A3118" i="15"/>
  <c r="A3119" i="15"/>
  <c r="A3120" i="15"/>
  <c r="A3121" i="15"/>
  <c r="A3122" i="15"/>
  <c r="A3123" i="15"/>
  <c r="A3124" i="15"/>
  <c r="A3125" i="15"/>
  <c r="A3126" i="15"/>
  <c r="A3127" i="15"/>
  <c r="A3128" i="15"/>
  <c r="A3129" i="15"/>
  <c r="A3130" i="15"/>
  <c r="A3131" i="15"/>
  <c r="A3132" i="15"/>
  <c r="A3133" i="15"/>
  <c r="A3134" i="15"/>
  <c r="A3135" i="15"/>
  <c r="A3136" i="15"/>
  <c r="A3137" i="15"/>
  <c r="AO659" i="1"/>
  <c r="AC659" i="1"/>
  <c r="Q659" i="1"/>
  <c r="E659" i="1"/>
  <c r="BK636" i="1"/>
  <c r="BZ636" i="1"/>
  <c r="AX636" i="1"/>
  <c r="BY636" i="1" s="1"/>
  <c r="AL636" i="1"/>
  <c r="BX636" i="1"/>
  <c r="Z636" i="1"/>
  <c r="BW636" i="1" s="1"/>
  <c r="N636" i="1"/>
  <c r="BS636" i="1"/>
  <c r="BR636" i="1" a="1"/>
  <c r="BR636" i="1" s="1"/>
  <c r="BM636" i="1"/>
  <c r="BA636" i="1"/>
  <c r="AO636" i="1"/>
  <c r="AC636" i="1"/>
  <c r="Q636" i="1"/>
  <c r="E636" i="1"/>
  <c r="BK291" i="1"/>
  <c r="BZ291" i="1" s="1"/>
  <c r="AX291" i="1"/>
  <c r="BY291" i="1" s="1"/>
  <c r="AL291" i="1"/>
  <c r="BX291" i="1" s="1"/>
  <c r="Z291" i="1"/>
  <c r="BW291" i="1" s="1"/>
  <c r="N291" i="1"/>
  <c r="BS291" i="1"/>
  <c r="BR291" i="1" a="1"/>
  <c r="BR291" i="1" s="1"/>
  <c r="BM291" i="1"/>
  <c r="BA291" i="1"/>
  <c r="AO291" i="1"/>
  <c r="AC291" i="1"/>
  <c r="Q291" i="1"/>
  <c r="E291" i="1"/>
  <c r="BK219" i="1"/>
  <c r="BZ219" i="1" s="1"/>
  <c r="AX219" i="1"/>
  <c r="BY219" i="1"/>
  <c r="AL219" i="1"/>
  <c r="BX219" i="1" s="1"/>
  <c r="Z219" i="1"/>
  <c r="BW219" i="1"/>
  <c r="N219" i="1"/>
  <c r="BS219" i="1"/>
  <c r="BR219" i="1" a="1"/>
  <c r="BR219" i="1" s="1"/>
  <c r="BM219" i="1"/>
  <c r="BA219" i="1"/>
  <c r="AO219" i="1"/>
  <c r="AC219" i="1"/>
  <c r="Q219" i="1"/>
  <c r="E219" i="1"/>
  <c r="BK94" i="1"/>
  <c r="BZ94" i="1" s="1"/>
  <c r="AX94" i="1"/>
  <c r="BY94" i="1" s="1"/>
  <c r="AL94" i="1"/>
  <c r="BX94" i="1" s="1"/>
  <c r="Z94" i="1"/>
  <c r="BW94" i="1" s="1"/>
  <c r="N94" i="1"/>
  <c r="BS94" i="1"/>
  <c r="BR94" i="1" a="1"/>
  <c r="BR94" i="1" s="1"/>
  <c r="BM94" i="1"/>
  <c r="BA94" i="1"/>
  <c r="AO94" i="1"/>
  <c r="AC94" i="1"/>
  <c r="Q94" i="1"/>
  <c r="E94" i="1"/>
  <c r="BK31" i="1"/>
  <c r="BZ31" i="1"/>
  <c r="AX31" i="1"/>
  <c r="BY31" i="1" s="1"/>
  <c r="AL31" i="1"/>
  <c r="BX31" i="1" s="1"/>
  <c r="Z31" i="1"/>
  <c r="BW31" i="1"/>
  <c r="N31" i="1"/>
  <c r="BS31" i="1"/>
  <c r="BR31" i="1" a="1"/>
  <c r="BR31" i="1" s="1"/>
  <c r="BM31" i="1"/>
  <c r="BA31" i="1"/>
  <c r="AO31" i="1"/>
  <c r="AC31" i="1"/>
  <c r="Q31" i="1"/>
  <c r="E31" i="1"/>
  <c r="K1272" i="15"/>
  <c r="K933" i="15"/>
  <c r="K626" i="15"/>
  <c r="K369" i="15"/>
  <c r="BK753" i="1"/>
  <c r="BZ753" i="1" s="1"/>
  <c r="BK769" i="1"/>
  <c r="BZ769" i="1" s="1"/>
  <c r="BK786" i="1"/>
  <c r="BZ786" i="1" s="1"/>
  <c r="BK900" i="1"/>
  <c r="BZ900" i="1" s="1"/>
  <c r="BK917" i="1"/>
  <c r="BZ917" i="1" s="1"/>
  <c r="BK996" i="1"/>
  <c r="BZ996" i="1" s="1"/>
  <c r="BK1004" i="1"/>
  <c r="BZ1004" i="1" s="1"/>
  <c r="BZ1007" i="1"/>
  <c r="AX765" i="1"/>
  <c r="BY765" i="1" s="1"/>
  <c r="AX791" i="1"/>
  <c r="BY791" i="1" s="1"/>
  <c r="AX799" i="1"/>
  <c r="BY799" i="1" s="1"/>
  <c r="AX807" i="1"/>
  <c r="BY807" i="1" s="1"/>
  <c r="AX815" i="1"/>
  <c r="BY815" i="1"/>
  <c r="AX823" i="1"/>
  <c r="BY823" i="1" s="1"/>
  <c r="AX831" i="1"/>
  <c r="BY831" i="1" s="1"/>
  <c r="AX840" i="1"/>
  <c r="BY840" i="1" s="1"/>
  <c r="AX845" i="1"/>
  <c r="BY845" i="1" s="1"/>
  <c r="AX853" i="1"/>
  <c r="BY853" i="1" s="1"/>
  <c r="AX863" i="1"/>
  <c r="BY863" i="1" s="1"/>
  <c r="AX879" i="1"/>
  <c r="BY879" i="1" s="1"/>
  <c r="AX887" i="1"/>
  <c r="BY887" i="1" s="1"/>
  <c r="AX921" i="1"/>
  <c r="BY921" i="1" s="1"/>
  <c r="AX929" i="1"/>
  <c r="BY929" i="1"/>
  <c r="AX937" i="1"/>
  <c r="BY937" i="1" s="1"/>
  <c r="AX945" i="1"/>
  <c r="BY945" i="1"/>
  <c r="AX961" i="1"/>
  <c r="BY961" i="1" s="1"/>
  <c r="AX970" i="1"/>
  <c r="BY970" i="1" s="1"/>
  <c r="AX978" i="1"/>
  <c r="BY978" i="1" s="1"/>
  <c r="AX986" i="1"/>
  <c r="BY986" i="1" s="1"/>
  <c r="BY1007" i="1"/>
  <c r="AL286" i="1"/>
  <c r="BX286" i="1" s="1"/>
  <c r="AL295" i="1"/>
  <c r="BX295" i="1"/>
  <c r="AL601" i="1"/>
  <c r="BX601" i="1" s="1"/>
  <c r="AL742" i="1"/>
  <c r="BX742" i="1"/>
  <c r="AL750" i="1"/>
  <c r="BX750" i="1" s="1"/>
  <c r="AL754" i="1"/>
  <c r="BX754" i="1" s="1"/>
  <c r="AL762" i="1"/>
  <c r="BX762" i="1" s="1"/>
  <c r="AL770" i="1"/>
  <c r="BX770" i="1" s="1"/>
  <c r="AL774" i="1"/>
  <c r="BX774" i="1"/>
  <c r="AL778" i="1"/>
  <c r="BX778" i="1" s="1"/>
  <c r="AL783" i="1"/>
  <c r="BX783" i="1"/>
  <c r="AL897" i="1"/>
  <c r="BX897" i="1" s="1"/>
  <c r="AL901" i="1"/>
  <c r="BX901" i="1" s="1"/>
  <c r="AL905" i="1"/>
  <c r="BX905" i="1" s="1"/>
  <c r="AL909" i="1"/>
  <c r="BX909" i="1" s="1"/>
  <c r="AL913" i="1"/>
  <c r="BX913" i="1" s="1"/>
  <c r="AL918" i="1"/>
  <c r="BX918" i="1"/>
  <c r="AL996" i="1"/>
  <c r="BX996" i="1" s="1"/>
  <c r="AL1000" i="1"/>
  <c r="BX1000" i="1"/>
  <c r="AL1004" i="1"/>
  <c r="BX1004" i="1" s="1"/>
  <c r="BX1007" i="1"/>
  <c r="Z535" i="1"/>
  <c r="BW535" i="1" s="1"/>
  <c r="Z765" i="1"/>
  <c r="BW765" i="1" s="1"/>
  <c r="Z777" i="1"/>
  <c r="BW777" i="1" s="1"/>
  <c r="Z807" i="1"/>
  <c r="BW807" i="1" s="1"/>
  <c r="Z811" i="1"/>
  <c r="BW811" i="1" s="1"/>
  <c r="Z815" i="1"/>
  <c r="BW815" i="1" s="1"/>
  <c r="Z823" i="1"/>
  <c r="Z831" i="1"/>
  <c r="BW831" i="1"/>
  <c r="Z836" i="1"/>
  <c r="BW836" i="1" s="1"/>
  <c r="Z840" i="1"/>
  <c r="BW840" i="1"/>
  <c r="Z845" i="1"/>
  <c r="BW845" i="1" s="1"/>
  <c r="Z849" i="1"/>
  <c r="BW849" i="1"/>
  <c r="Z853" i="1"/>
  <c r="BW853" i="1" s="1"/>
  <c r="Z857" i="1"/>
  <c r="BW857" i="1"/>
  <c r="Z863" i="1"/>
  <c r="BW863" i="1" s="1"/>
  <c r="Z867" i="1"/>
  <c r="BW867" i="1"/>
  <c r="Z875" i="1"/>
  <c r="BW875" i="1" s="1"/>
  <c r="Z879" i="1"/>
  <c r="BW879" i="1"/>
  <c r="Z887" i="1"/>
  <c r="BW887" i="1" s="1"/>
  <c r="Z891" i="1"/>
  <c r="BW891" i="1"/>
  <c r="Z925" i="1"/>
  <c r="Z941" i="1"/>
  <c r="BW941" i="1" s="1"/>
  <c r="Z945" i="1"/>
  <c r="BW945" i="1" s="1"/>
  <c r="Z949" i="1"/>
  <c r="BW949" i="1" s="1"/>
  <c r="Z961" i="1"/>
  <c r="BW961" i="1" s="1"/>
  <c r="Z966" i="1"/>
  <c r="BW966" i="1" s="1"/>
  <c r="Z970" i="1"/>
  <c r="BW970" i="1" s="1"/>
  <c r="Z974" i="1"/>
  <c r="BW974" i="1" s="1"/>
  <c r="Z978" i="1"/>
  <c r="BW978" i="1" s="1"/>
  <c r="Z982" i="1"/>
  <c r="BW982" i="1" s="1"/>
  <c r="Z986" i="1"/>
  <c r="BW986" i="1" s="1"/>
  <c r="BW1007" i="1"/>
  <c r="N990" i="1"/>
  <c r="BV990" i="1" s="1"/>
  <c r="N286" i="1"/>
  <c r="BV286" i="1"/>
  <c r="N295" i="1"/>
  <c r="N388" i="1"/>
  <c r="BV388" i="1" s="1"/>
  <c r="N534" i="1"/>
  <c r="N601" i="1"/>
  <c r="N676" i="1"/>
  <c r="N744" i="1"/>
  <c r="BV744" i="1" s="1"/>
  <c r="N748" i="1"/>
  <c r="BV748" i="1"/>
  <c r="N750" i="1"/>
  <c r="BV750" i="1" s="1"/>
  <c r="N752" i="1"/>
  <c r="BV752" i="1"/>
  <c r="N756" i="1"/>
  <c r="BV756" i="1" s="1"/>
  <c r="N770" i="1"/>
  <c r="BV770" i="1"/>
  <c r="N772" i="1"/>
  <c r="N774" i="1"/>
  <c r="BV774" i="1" s="1"/>
  <c r="N776" i="1"/>
  <c r="BV776" i="1" s="1"/>
  <c r="N778" i="1"/>
  <c r="BV778" i="1" s="1"/>
  <c r="N785" i="1"/>
  <c r="BV785" i="1" s="1"/>
  <c r="N810" i="1"/>
  <c r="BV810" i="1"/>
  <c r="N839" i="1"/>
  <c r="BV839" i="1" s="1"/>
  <c r="N860" i="1"/>
  <c r="BV860" i="1"/>
  <c r="N882" i="1"/>
  <c r="N899" i="1"/>
  <c r="BV899" i="1" s="1"/>
  <c r="N903" i="1"/>
  <c r="BV903" i="1" s="1"/>
  <c r="N905" i="1"/>
  <c r="BV905" i="1" s="1"/>
  <c r="N911" i="1"/>
  <c r="BV911" i="1" s="1"/>
  <c r="N918" i="1"/>
  <c r="BV918" i="1" s="1"/>
  <c r="N928" i="1"/>
  <c r="N997" i="1"/>
  <c r="BV997" i="1"/>
  <c r="N999" i="1"/>
  <c r="BV999" i="1" s="1"/>
  <c r="N1001" i="1"/>
  <c r="BV1001" i="1"/>
  <c r="N1003" i="1"/>
  <c r="BV1003" i="1" s="1"/>
  <c r="BS537" i="1"/>
  <c r="BR537" i="1" a="1"/>
  <c r="BR537" i="1" s="1"/>
  <c r="N537" i="1"/>
  <c r="BV537" i="1" s="1"/>
  <c r="Z537" i="1"/>
  <c r="BW537" i="1"/>
  <c r="AL537" i="1"/>
  <c r="AX537" i="1"/>
  <c r="BY537" i="1" s="1"/>
  <c r="BK537" i="1"/>
  <c r="BZ537" i="1" s="1"/>
  <c r="BM537" i="1"/>
  <c r="BA537" i="1"/>
  <c r="AO537" i="1"/>
  <c r="AC537" i="1"/>
  <c r="Q537" i="1"/>
  <c r="E537" i="1"/>
  <c r="BS535" i="1"/>
  <c r="BR535" i="1" a="1"/>
  <c r="BR535" i="1" s="1"/>
  <c r="N535" i="1"/>
  <c r="BV535" i="1" s="1"/>
  <c r="AL535" i="1"/>
  <c r="BX535" i="1" s="1"/>
  <c r="AX535" i="1"/>
  <c r="BY535" i="1" s="1"/>
  <c r="BK535" i="1"/>
  <c r="BZ535" i="1"/>
  <c r="BM535" i="1"/>
  <c r="BA535" i="1"/>
  <c r="AO535" i="1"/>
  <c r="AC535" i="1"/>
  <c r="Q535" i="1"/>
  <c r="E535" i="1"/>
  <c r="BS534" i="1"/>
  <c r="BR534" i="1" a="1"/>
  <c r="BR534" i="1" s="1"/>
  <c r="Z534" i="1"/>
  <c r="BW534" i="1" s="1"/>
  <c r="AL534" i="1"/>
  <c r="BX534" i="1"/>
  <c r="AX534" i="1"/>
  <c r="BY534" i="1" s="1"/>
  <c r="BK534" i="1"/>
  <c r="BZ534" i="1" s="1"/>
  <c r="BM534" i="1"/>
  <c r="BA534" i="1"/>
  <c r="AO534" i="1"/>
  <c r="AC534" i="1"/>
  <c r="Q534" i="1"/>
  <c r="E534" i="1"/>
  <c r="BS490" i="1"/>
  <c r="BR490" i="1" a="1"/>
  <c r="BR490" i="1" s="1"/>
  <c r="N490" i="1"/>
  <c r="Z490" i="1"/>
  <c r="BW490" i="1" s="1"/>
  <c r="AL490" i="1"/>
  <c r="BX490" i="1"/>
  <c r="AX490" i="1"/>
  <c r="BY490" i="1" s="1"/>
  <c r="BK490" i="1"/>
  <c r="BZ490" i="1"/>
  <c r="BM490" i="1"/>
  <c r="BA490" i="1"/>
  <c r="AO490" i="1"/>
  <c r="AC490" i="1"/>
  <c r="Q490" i="1"/>
  <c r="E490" i="1"/>
  <c r="BS953" i="1"/>
  <c r="BR953" i="1" a="1"/>
  <c r="BR953" i="1" s="1"/>
  <c r="N953" i="1"/>
  <c r="BV953" i="1" s="1"/>
  <c r="Z953" i="1"/>
  <c r="BW953" i="1"/>
  <c r="AL953" i="1"/>
  <c r="AX953" i="1"/>
  <c r="BY953" i="1" s="1"/>
  <c r="BK953" i="1"/>
  <c r="BZ953" i="1" s="1"/>
  <c r="BM953" i="1"/>
  <c r="BA953" i="1"/>
  <c r="AO953" i="1"/>
  <c r="AC953" i="1"/>
  <c r="Q953" i="1"/>
  <c r="E953" i="1"/>
  <c r="BS951" i="1"/>
  <c r="BR951" i="1" a="1"/>
  <c r="BR951" i="1" s="1"/>
  <c r="N951" i="1"/>
  <c r="BV951" i="1" s="1"/>
  <c r="Z951" i="1"/>
  <c r="AL951" i="1"/>
  <c r="BX951" i="1" s="1"/>
  <c r="AX951" i="1"/>
  <c r="BY951" i="1"/>
  <c r="BK951" i="1"/>
  <c r="BZ951" i="1" s="1"/>
  <c r="BM951" i="1"/>
  <c r="BA951" i="1"/>
  <c r="AO951" i="1"/>
  <c r="AC951" i="1"/>
  <c r="Q951" i="1"/>
  <c r="E951" i="1"/>
  <c r="BS928" i="1"/>
  <c r="BR928" i="1" a="1"/>
  <c r="BR928" i="1" s="1"/>
  <c r="Z928" i="1"/>
  <c r="BW928" i="1"/>
  <c r="AL928" i="1"/>
  <c r="BX928" i="1" s="1"/>
  <c r="AX928" i="1"/>
  <c r="BY928" i="1"/>
  <c r="BK928" i="1"/>
  <c r="BZ928" i="1" s="1"/>
  <c r="BM928" i="1"/>
  <c r="BA928" i="1"/>
  <c r="AO928" i="1"/>
  <c r="AC928" i="1"/>
  <c r="Q928" i="1"/>
  <c r="E928" i="1"/>
  <c r="BS935" i="1"/>
  <c r="BR935" i="1" a="1"/>
  <c r="BR935" i="1" s="1"/>
  <c r="N935" i="1"/>
  <c r="BV935" i="1"/>
  <c r="Z935" i="1"/>
  <c r="BW935" i="1" s="1"/>
  <c r="AL935" i="1"/>
  <c r="AX935" i="1"/>
  <c r="BY935" i="1" s="1"/>
  <c r="BK935" i="1"/>
  <c r="BZ935" i="1" s="1"/>
  <c r="BM935" i="1"/>
  <c r="BA935" i="1"/>
  <c r="AO935" i="1"/>
  <c r="AC935" i="1"/>
  <c r="Q935" i="1"/>
  <c r="E935" i="1"/>
  <c r="BS936" i="1"/>
  <c r="BR936" i="1" a="1"/>
  <c r="BR936" i="1" s="1"/>
  <c r="N936" i="1"/>
  <c r="BV936" i="1" s="1"/>
  <c r="Z936" i="1"/>
  <c r="BW936" i="1" s="1"/>
  <c r="AL936" i="1"/>
  <c r="BX936" i="1" s="1"/>
  <c r="AX936" i="1"/>
  <c r="BK936" i="1"/>
  <c r="BZ936" i="1" s="1"/>
  <c r="BM936" i="1"/>
  <c r="BA936" i="1"/>
  <c r="AO936" i="1"/>
  <c r="AC936" i="1"/>
  <c r="Q936" i="1"/>
  <c r="E936" i="1"/>
  <c r="BS743" i="1"/>
  <c r="BR743" i="1" a="1"/>
  <c r="BR743" i="1" s="1"/>
  <c r="N743" i="1"/>
  <c r="Z743" i="1"/>
  <c r="BW743" i="1" s="1"/>
  <c r="AL743" i="1"/>
  <c r="BX743" i="1" s="1"/>
  <c r="AX743" i="1"/>
  <c r="BY743" i="1" s="1"/>
  <c r="BK743" i="1"/>
  <c r="BZ743" i="1" s="1"/>
  <c r="BM743" i="1"/>
  <c r="BA743" i="1"/>
  <c r="AO743" i="1"/>
  <c r="AC743" i="1"/>
  <c r="Q743" i="1"/>
  <c r="E743" i="1"/>
  <c r="BS676" i="1"/>
  <c r="BR676" i="1" a="1"/>
  <c r="BR676" i="1" s="1"/>
  <c r="Z676" i="1"/>
  <c r="BW676" i="1" s="1"/>
  <c r="AL676" i="1"/>
  <c r="BX676" i="1" s="1"/>
  <c r="AX676" i="1"/>
  <c r="BY676" i="1" s="1"/>
  <c r="BK676" i="1"/>
  <c r="BZ676" i="1" s="1"/>
  <c r="BM676" i="1"/>
  <c r="BA676" i="1"/>
  <c r="AO676" i="1"/>
  <c r="AC676" i="1"/>
  <c r="Q676" i="1"/>
  <c r="E676" i="1"/>
  <c r="BS300" i="1"/>
  <c r="BR300" i="1" a="1"/>
  <c r="BR300" i="1" s="1"/>
  <c r="N300" i="1"/>
  <c r="Z300" i="1"/>
  <c r="BW300" i="1" s="1"/>
  <c r="AL300" i="1"/>
  <c r="BX300" i="1" s="1"/>
  <c r="AX300" i="1"/>
  <c r="BY300" i="1" s="1"/>
  <c r="BK300" i="1"/>
  <c r="BZ300" i="1" s="1"/>
  <c r="BM300" i="1"/>
  <c r="BA300" i="1"/>
  <c r="AO300" i="1"/>
  <c r="AC300" i="1"/>
  <c r="Q300" i="1"/>
  <c r="E300" i="1"/>
  <c r="BS295" i="1"/>
  <c r="BR295" i="1" a="1"/>
  <c r="BR295" i="1" s="1"/>
  <c r="Z295" i="1"/>
  <c r="BW295" i="1" s="1"/>
  <c r="AX295" i="1"/>
  <c r="BY295" i="1" s="1"/>
  <c r="BK295" i="1"/>
  <c r="BZ295" i="1" s="1"/>
  <c r="BM295" i="1"/>
  <c r="BA295" i="1"/>
  <c r="AO295" i="1"/>
  <c r="AC295" i="1"/>
  <c r="Q295" i="1"/>
  <c r="E295" i="1"/>
  <c r="K216" i="15"/>
  <c r="BS473" i="1"/>
  <c r="BR473" i="1" a="1"/>
  <c r="BR473" i="1" s="1"/>
  <c r="BM473" i="1"/>
  <c r="BK473" i="1"/>
  <c r="BZ473" i="1" s="1"/>
  <c r="BA473" i="1"/>
  <c r="AX473" i="1"/>
  <c r="BY473" i="1" s="1"/>
  <c r="AO473" i="1"/>
  <c r="AL473" i="1"/>
  <c r="BX473" i="1" s="1"/>
  <c r="AC473" i="1"/>
  <c r="Z473" i="1"/>
  <c r="BW473" i="1" s="1"/>
  <c r="Q473" i="1"/>
  <c r="N473" i="1"/>
  <c r="BV473" i="1" s="1"/>
  <c r="E473" i="1"/>
  <c r="BS746" i="1"/>
  <c r="BR746" i="1" a="1"/>
  <c r="BR746" i="1" s="1"/>
  <c r="BM746" i="1"/>
  <c r="BK746" i="1"/>
  <c r="BZ746" i="1" s="1"/>
  <c r="BA746" i="1"/>
  <c r="AX746" i="1"/>
  <c r="BY746" i="1" s="1"/>
  <c r="AO746" i="1"/>
  <c r="AL746" i="1"/>
  <c r="BX746" i="1" s="1"/>
  <c r="AC746" i="1"/>
  <c r="Z746" i="1"/>
  <c r="BW746" i="1" s="1"/>
  <c r="Q746" i="1"/>
  <c r="N746" i="1"/>
  <c r="BV746" i="1" s="1"/>
  <c r="E746" i="1"/>
  <c r="BS841" i="1"/>
  <c r="BR841" i="1" a="1"/>
  <c r="BR841" i="1" s="1"/>
  <c r="BM841" i="1"/>
  <c r="BK841" i="1"/>
  <c r="BZ841" i="1"/>
  <c r="BA841" i="1"/>
  <c r="AX841" i="1"/>
  <c r="BY841" i="1" s="1"/>
  <c r="AO841" i="1"/>
  <c r="AL841" i="1"/>
  <c r="BX841" i="1" s="1"/>
  <c r="AC841" i="1"/>
  <c r="Z841" i="1"/>
  <c r="BW841" i="1" s="1"/>
  <c r="Q841" i="1"/>
  <c r="N841" i="1"/>
  <c r="E841" i="1"/>
  <c r="BS883" i="1"/>
  <c r="BR883" i="1" a="1"/>
  <c r="BR883" i="1" s="1"/>
  <c r="BM883" i="1"/>
  <c r="BK883" i="1"/>
  <c r="BZ883" i="1" s="1"/>
  <c r="BA883" i="1"/>
  <c r="AX883" i="1"/>
  <c r="BY883" i="1" s="1"/>
  <c r="AO883" i="1"/>
  <c r="AL883" i="1"/>
  <c r="BX883" i="1" s="1"/>
  <c r="AC883" i="1"/>
  <c r="Z883" i="1"/>
  <c r="BW883" i="1" s="1"/>
  <c r="Q883" i="1"/>
  <c r="N883" i="1"/>
  <c r="E883" i="1"/>
  <c r="BS757" i="1"/>
  <c r="BR757" i="1" a="1"/>
  <c r="BR757" i="1" s="1"/>
  <c r="BM757" i="1"/>
  <c r="BK757" i="1"/>
  <c r="BZ757" i="1" s="1"/>
  <c r="BA757" i="1"/>
  <c r="AX757" i="1"/>
  <c r="BY757" i="1"/>
  <c r="AO757" i="1"/>
  <c r="AL757" i="1"/>
  <c r="AC757" i="1"/>
  <c r="Z757" i="1"/>
  <c r="BW757" i="1" s="1"/>
  <c r="Q757" i="1"/>
  <c r="N757" i="1"/>
  <c r="BV757" i="1" s="1"/>
  <c r="E757" i="1"/>
  <c r="BS697" i="1"/>
  <c r="BR697" i="1" a="1"/>
  <c r="BR697" i="1" s="1"/>
  <c r="BM697" i="1"/>
  <c r="BK697" i="1"/>
  <c r="BZ697" i="1" s="1"/>
  <c r="BA697" i="1"/>
  <c r="AX697" i="1"/>
  <c r="BY697" i="1" s="1"/>
  <c r="AO697" i="1"/>
  <c r="AL697" i="1"/>
  <c r="BX697" i="1"/>
  <c r="AC697" i="1"/>
  <c r="Z697" i="1"/>
  <c r="Q697" i="1"/>
  <c r="N697" i="1"/>
  <c r="E697" i="1"/>
  <c r="BS871" i="1"/>
  <c r="BR871" i="1" a="1"/>
  <c r="BR871" i="1" s="1"/>
  <c r="BM871" i="1"/>
  <c r="BK871" i="1"/>
  <c r="BZ871" i="1"/>
  <c r="BA871" i="1"/>
  <c r="AX871" i="1"/>
  <c r="BY871" i="1" s="1"/>
  <c r="AO871" i="1"/>
  <c r="AL871" i="1"/>
  <c r="BX871" i="1" s="1"/>
  <c r="AC871" i="1"/>
  <c r="Z871" i="1"/>
  <c r="BW871" i="1" s="1"/>
  <c r="Q871" i="1"/>
  <c r="N871" i="1"/>
  <c r="BV871" i="1" s="1"/>
  <c r="E871" i="1"/>
  <c r="BS647" i="1"/>
  <c r="BR647" i="1" a="1"/>
  <c r="BR647" i="1" s="1"/>
  <c r="BM647" i="1"/>
  <c r="BK647" i="1"/>
  <c r="BZ647" i="1" s="1"/>
  <c r="BA647" i="1"/>
  <c r="AX647" i="1"/>
  <c r="BY647" i="1" s="1"/>
  <c r="AO647" i="1"/>
  <c r="AL647" i="1"/>
  <c r="BX647" i="1" s="1"/>
  <c r="AC647" i="1"/>
  <c r="Z647" i="1"/>
  <c r="BW647" i="1"/>
  <c r="Q647" i="1"/>
  <c r="N647" i="1"/>
  <c r="BV647" i="1" s="1"/>
  <c r="E647" i="1"/>
  <c r="BS556" i="1"/>
  <c r="BR556" i="1" a="1"/>
  <c r="BR556" i="1" s="1"/>
  <c r="BM556" i="1"/>
  <c r="BK556" i="1"/>
  <c r="BZ556" i="1" s="1"/>
  <c r="BA556" i="1"/>
  <c r="AX556" i="1"/>
  <c r="AO556" i="1"/>
  <c r="AL556" i="1"/>
  <c r="AC556" i="1"/>
  <c r="Z556" i="1"/>
  <c r="BW556" i="1"/>
  <c r="Q556" i="1"/>
  <c r="N556" i="1"/>
  <c r="BV556" i="1" s="1"/>
  <c r="E556" i="1"/>
  <c r="BS525" i="1"/>
  <c r="BR525" i="1" a="1"/>
  <c r="BR525" i="1" s="1"/>
  <c r="BM525" i="1"/>
  <c r="BK525" i="1"/>
  <c r="BZ525" i="1" s="1"/>
  <c r="BA525" i="1"/>
  <c r="AX525" i="1"/>
  <c r="BY525" i="1" s="1"/>
  <c r="AO525" i="1"/>
  <c r="AL525" i="1"/>
  <c r="BX525" i="1" s="1"/>
  <c r="AC525" i="1"/>
  <c r="Z525" i="1"/>
  <c r="BW525" i="1" s="1"/>
  <c r="Q525" i="1"/>
  <c r="N525" i="1"/>
  <c r="E525" i="1"/>
  <c r="BS341" i="1"/>
  <c r="BR341" i="1" a="1"/>
  <c r="BR341" i="1" s="1"/>
  <c r="BM341" i="1"/>
  <c r="BK341" i="1"/>
  <c r="BZ341" i="1" s="1"/>
  <c r="BA341" i="1"/>
  <c r="AX341" i="1"/>
  <c r="BY341" i="1" s="1"/>
  <c r="AO341" i="1"/>
  <c r="AL341" i="1"/>
  <c r="AC341" i="1"/>
  <c r="Z341" i="1"/>
  <c r="BW341" i="1" s="1"/>
  <c r="Q341" i="1"/>
  <c r="N341" i="1"/>
  <c r="BV341" i="1" s="1"/>
  <c r="E341" i="1"/>
  <c r="BS380" i="1"/>
  <c r="BR380" i="1" a="1"/>
  <c r="BR380" i="1" s="1"/>
  <c r="BM380" i="1"/>
  <c r="BK380" i="1"/>
  <c r="BZ380" i="1" s="1"/>
  <c r="BA380" i="1"/>
  <c r="AX380" i="1"/>
  <c r="BY380" i="1"/>
  <c r="AO380" i="1"/>
  <c r="AL380" i="1"/>
  <c r="BX380" i="1" s="1"/>
  <c r="AC380" i="1"/>
  <c r="Z380" i="1"/>
  <c r="BW380" i="1" s="1"/>
  <c r="Q380" i="1"/>
  <c r="N380" i="1"/>
  <c r="E380" i="1"/>
  <c r="BS377" i="1"/>
  <c r="BR377" i="1" a="1"/>
  <c r="BR377" i="1" s="1"/>
  <c r="BM377" i="1"/>
  <c r="BK377" i="1"/>
  <c r="BZ377" i="1" s="1"/>
  <c r="BA377" i="1"/>
  <c r="AX377" i="1"/>
  <c r="BY377" i="1" s="1"/>
  <c r="AO377" i="1"/>
  <c r="AL377" i="1"/>
  <c r="BX377" i="1"/>
  <c r="AC377" i="1"/>
  <c r="Z377" i="1"/>
  <c r="BW377" i="1" s="1"/>
  <c r="Q377" i="1"/>
  <c r="N377" i="1"/>
  <c r="E377" i="1"/>
  <c r="BS355" i="1"/>
  <c r="BR355" i="1" a="1"/>
  <c r="BR355" i="1" s="1"/>
  <c r="BM355" i="1"/>
  <c r="BK355" i="1"/>
  <c r="BZ355" i="1" s="1"/>
  <c r="BA355" i="1"/>
  <c r="AX355" i="1"/>
  <c r="BY355" i="1" s="1"/>
  <c r="AO355" i="1"/>
  <c r="AL355" i="1"/>
  <c r="BX355" i="1" s="1"/>
  <c r="AC355" i="1"/>
  <c r="Z355" i="1"/>
  <c r="BW355" i="1" s="1"/>
  <c r="Q355" i="1"/>
  <c r="N355" i="1"/>
  <c r="E355" i="1"/>
  <c r="BS395" i="1"/>
  <c r="BR395" i="1" a="1"/>
  <c r="BR395" i="1" s="1"/>
  <c r="BM395" i="1"/>
  <c r="BK395" i="1"/>
  <c r="BZ395" i="1" s="1"/>
  <c r="BA395" i="1"/>
  <c r="AX395" i="1"/>
  <c r="BY395" i="1" s="1"/>
  <c r="AO395" i="1"/>
  <c r="AL395" i="1"/>
  <c r="BX395" i="1"/>
  <c r="AC395" i="1"/>
  <c r="Z395" i="1"/>
  <c r="BW395" i="1" s="1"/>
  <c r="Q395" i="1"/>
  <c r="N395" i="1"/>
  <c r="BV395" i="1" s="1"/>
  <c r="E395" i="1"/>
  <c r="BS394" i="1"/>
  <c r="BR394" i="1" a="1"/>
  <c r="BR394" i="1" s="1"/>
  <c r="BM394" i="1"/>
  <c r="BK394" i="1"/>
  <c r="BZ394" i="1" s="1"/>
  <c r="BA394" i="1"/>
  <c r="AX394" i="1"/>
  <c r="BY394" i="1" s="1"/>
  <c r="AO394" i="1"/>
  <c r="AL394" i="1"/>
  <c r="BX394" i="1"/>
  <c r="AC394" i="1"/>
  <c r="Z394" i="1"/>
  <c r="BW394" i="1" s="1"/>
  <c r="Q394" i="1"/>
  <c r="N394" i="1"/>
  <c r="E394" i="1"/>
  <c r="BS382" i="1"/>
  <c r="BR382" i="1" a="1"/>
  <c r="BR382" i="1" s="1"/>
  <c r="BM382" i="1"/>
  <c r="BK382" i="1"/>
  <c r="BZ382" i="1" s="1"/>
  <c r="BA382" i="1"/>
  <c r="AX382" i="1"/>
  <c r="BY382" i="1"/>
  <c r="AO382" i="1"/>
  <c r="AL382" i="1"/>
  <c r="BX382" i="1" s="1"/>
  <c r="AC382" i="1"/>
  <c r="Z382" i="1"/>
  <c r="BW382" i="1" s="1"/>
  <c r="Q382" i="1"/>
  <c r="N382" i="1"/>
  <c r="BV382" i="1" s="1"/>
  <c r="E382" i="1"/>
  <c r="BS381" i="1"/>
  <c r="BR381" i="1" a="1"/>
  <c r="BR381" i="1" s="1"/>
  <c r="BM381" i="1"/>
  <c r="BK381" i="1"/>
  <c r="BZ381" i="1" s="1"/>
  <c r="BA381" i="1"/>
  <c r="AX381" i="1"/>
  <c r="BY381" i="1" s="1"/>
  <c r="AO381" i="1"/>
  <c r="AL381" i="1"/>
  <c r="AC381" i="1"/>
  <c r="Z381" i="1"/>
  <c r="Q381" i="1"/>
  <c r="N381" i="1"/>
  <c r="BV381" i="1" s="1"/>
  <c r="E381" i="1"/>
  <c r="BS328" i="1"/>
  <c r="BR328" i="1" a="1"/>
  <c r="BR328" i="1" s="1"/>
  <c r="BM328" i="1"/>
  <c r="BK328" i="1"/>
  <c r="BZ328" i="1" s="1"/>
  <c r="BA328" i="1"/>
  <c r="AX328" i="1"/>
  <c r="BY328" i="1" s="1"/>
  <c r="AO328" i="1"/>
  <c r="AL328" i="1"/>
  <c r="BX328" i="1" s="1"/>
  <c r="AC328" i="1"/>
  <c r="Z328" i="1"/>
  <c r="BW328" i="1"/>
  <c r="Q328" i="1"/>
  <c r="N328" i="1"/>
  <c r="BV328" i="1" s="1"/>
  <c r="E328" i="1"/>
  <c r="BS324" i="1"/>
  <c r="BR324" i="1" a="1"/>
  <c r="BR324" i="1" s="1"/>
  <c r="BM324" i="1"/>
  <c r="BK324" i="1"/>
  <c r="BZ324" i="1" s="1"/>
  <c r="BA324" i="1"/>
  <c r="AX324" i="1"/>
  <c r="BY324" i="1"/>
  <c r="AO324" i="1"/>
  <c r="AL324" i="1"/>
  <c r="BX324" i="1" s="1"/>
  <c r="AC324" i="1"/>
  <c r="Z324" i="1"/>
  <c r="Q324" i="1"/>
  <c r="N324" i="1"/>
  <c r="BV324" i="1" s="1"/>
  <c r="E324" i="1"/>
  <c r="BS314" i="1"/>
  <c r="BR314" i="1" a="1"/>
  <c r="BR314" i="1" s="1"/>
  <c r="BM314" i="1"/>
  <c r="BK314" i="1"/>
  <c r="BZ314" i="1" s="1"/>
  <c r="BA314" i="1"/>
  <c r="AX314" i="1"/>
  <c r="BY314" i="1" s="1"/>
  <c r="AO314" i="1"/>
  <c r="AL314" i="1"/>
  <c r="BX314" i="1"/>
  <c r="AC314" i="1"/>
  <c r="Z314" i="1"/>
  <c r="BW314" i="1" s="1"/>
  <c r="Q314" i="1"/>
  <c r="N314" i="1"/>
  <c r="E314" i="1"/>
  <c r="BS309" i="1"/>
  <c r="BR309" i="1" a="1"/>
  <c r="BR309" i="1" s="1"/>
  <c r="BM309" i="1"/>
  <c r="BK309" i="1"/>
  <c r="BZ309" i="1" s="1"/>
  <c r="BA309" i="1"/>
  <c r="AX309" i="1"/>
  <c r="BY309" i="1" s="1"/>
  <c r="AO309" i="1"/>
  <c r="AL309" i="1"/>
  <c r="BX309" i="1" s="1"/>
  <c r="AC309" i="1"/>
  <c r="Z309" i="1"/>
  <c r="Q309" i="1"/>
  <c r="N309" i="1"/>
  <c r="BV309" i="1" s="1"/>
  <c r="E309" i="1"/>
  <c r="BS387" i="1"/>
  <c r="BR387" i="1" a="1"/>
  <c r="BR387" i="1" s="1"/>
  <c r="BM387" i="1"/>
  <c r="BK387" i="1"/>
  <c r="BZ387" i="1" s="1"/>
  <c r="BA387" i="1"/>
  <c r="AX387" i="1"/>
  <c r="BY387" i="1" s="1"/>
  <c r="AO387" i="1"/>
  <c r="AL387" i="1"/>
  <c r="BX387" i="1"/>
  <c r="AC387" i="1"/>
  <c r="Z387" i="1"/>
  <c r="BW387" i="1" s="1"/>
  <c r="Q387" i="1"/>
  <c r="N387" i="1"/>
  <c r="E387" i="1"/>
  <c r="BS244" i="1"/>
  <c r="BR244" i="1" a="1"/>
  <c r="BR244" i="1" s="1"/>
  <c r="BM244" i="1"/>
  <c r="BK244" i="1"/>
  <c r="BZ244" i="1" s="1"/>
  <c r="BA244" i="1"/>
  <c r="AX244" i="1"/>
  <c r="BY244" i="1"/>
  <c r="AO244" i="1"/>
  <c r="AL244" i="1"/>
  <c r="BX244" i="1" s="1"/>
  <c r="AC244" i="1"/>
  <c r="Z244" i="1"/>
  <c r="BW244" i="1" s="1"/>
  <c r="Q244" i="1"/>
  <c r="N244" i="1"/>
  <c r="BV244" i="1" s="1"/>
  <c r="E244" i="1"/>
  <c r="BS208" i="1"/>
  <c r="BR208" i="1" a="1"/>
  <c r="BR208" i="1" s="1"/>
  <c r="BM208" i="1"/>
  <c r="BK208" i="1"/>
  <c r="BZ208" i="1" s="1"/>
  <c r="BA208" i="1"/>
  <c r="AX208" i="1"/>
  <c r="BY208" i="1" s="1"/>
  <c r="AO208" i="1"/>
  <c r="AL208" i="1"/>
  <c r="BX208" i="1" s="1"/>
  <c r="AC208" i="1"/>
  <c r="Z208" i="1"/>
  <c r="BW208" i="1"/>
  <c r="Q208" i="1"/>
  <c r="N208" i="1"/>
  <c r="E208" i="1"/>
  <c r="K1315" i="15"/>
  <c r="K822" i="15"/>
  <c r="K780" i="15"/>
  <c r="K771" i="15"/>
  <c r="K713" i="15"/>
  <c r="K4" i="15"/>
  <c r="K5" i="15"/>
  <c r="K6" i="15"/>
  <c r="K7" i="15"/>
  <c r="K8" i="15"/>
  <c r="K9" i="15"/>
  <c r="K10" i="15"/>
  <c r="K11" i="15"/>
  <c r="K12" i="15"/>
  <c r="K13" i="15"/>
  <c r="K14" i="15"/>
  <c r="K15" i="15"/>
  <c r="K16" i="15"/>
  <c r="K17" i="15"/>
  <c r="K18" i="15"/>
  <c r="K19" i="15"/>
  <c r="K20" i="15"/>
  <c r="K21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K42" i="15"/>
  <c r="K43" i="15"/>
  <c r="K44" i="15"/>
  <c r="K45" i="15"/>
  <c r="K46" i="15"/>
  <c r="K47" i="15"/>
  <c r="K48" i="15"/>
  <c r="K49" i="15"/>
  <c r="K50" i="15"/>
  <c r="K51" i="15"/>
  <c r="K52" i="15"/>
  <c r="K53" i="15"/>
  <c r="K54" i="15"/>
  <c r="K55" i="15"/>
  <c r="K56" i="15"/>
  <c r="K57" i="15"/>
  <c r="K58" i="15"/>
  <c r="K59" i="15"/>
  <c r="K60" i="15"/>
  <c r="K61" i="15"/>
  <c r="K62" i="15"/>
  <c r="K63" i="15"/>
  <c r="K64" i="15"/>
  <c r="K65" i="15"/>
  <c r="K66" i="15"/>
  <c r="K67" i="15"/>
  <c r="K68" i="15"/>
  <c r="K69" i="15"/>
  <c r="K70" i="15"/>
  <c r="K71" i="15"/>
  <c r="K72" i="15"/>
  <c r="K73" i="15"/>
  <c r="K74" i="15"/>
  <c r="K75" i="15"/>
  <c r="K76" i="15"/>
  <c r="K77" i="15"/>
  <c r="K78" i="15"/>
  <c r="K79" i="15"/>
  <c r="K80" i="15"/>
  <c r="K81" i="15"/>
  <c r="K82" i="15"/>
  <c r="K83" i="15"/>
  <c r="K84" i="15"/>
  <c r="K85" i="15"/>
  <c r="K86" i="15"/>
  <c r="K87" i="15"/>
  <c r="K88" i="15"/>
  <c r="K89" i="15"/>
  <c r="K90" i="15"/>
  <c r="K91" i="15"/>
  <c r="K92" i="15"/>
  <c r="K93" i="15"/>
  <c r="K94" i="15"/>
  <c r="K95" i="15"/>
  <c r="K96" i="15"/>
  <c r="K97" i="15"/>
  <c r="K98" i="15"/>
  <c r="K99" i="15"/>
  <c r="K100" i="15"/>
  <c r="K101" i="15"/>
  <c r="K102" i="15"/>
  <c r="K103" i="15"/>
  <c r="K104" i="15"/>
  <c r="K105" i="15"/>
  <c r="K106" i="15"/>
  <c r="K107" i="15"/>
  <c r="K108" i="15"/>
  <c r="K109" i="15"/>
  <c r="K110" i="15"/>
  <c r="K111" i="15"/>
  <c r="K112" i="15"/>
  <c r="K113" i="15"/>
  <c r="K114" i="15"/>
  <c r="K115" i="15"/>
  <c r="K116" i="15"/>
  <c r="K117" i="15"/>
  <c r="K118" i="15"/>
  <c r="K119" i="15"/>
  <c r="K120" i="15"/>
  <c r="K121" i="15"/>
  <c r="K122" i="15"/>
  <c r="K123" i="15"/>
  <c r="K124" i="15"/>
  <c r="K125" i="15"/>
  <c r="K126" i="15"/>
  <c r="K127" i="15"/>
  <c r="K128" i="15"/>
  <c r="K129" i="15"/>
  <c r="K130" i="15"/>
  <c r="K131" i="15"/>
  <c r="K132" i="15"/>
  <c r="K133" i="15"/>
  <c r="K134" i="15"/>
  <c r="K135" i="15"/>
  <c r="K136" i="15"/>
  <c r="K137" i="15"/>
  <c r="K138" i="15"/>
  <c r="K139" i="15"/>
  <c r="K140" i="15"/>
  <c r="K143" i="15"/>
  <c r="K144" i="15"/>
  <c r="K145" i="15"/>
  <c r="K146" i="15"/>
  <c r="K147" i="15"/>
  <c r="K148" i="15"/>
  <c r="K149" i="15"/>
  <c r="K150" i="15"/>
  <c r="K151" i="15"/>
  <c r="K152" i="15"/>
  <c r="K153" i="15"/>
  <c r="K154" i="15"/>
  <c r="K155" i="15"/>
  <c r="K156" i="15"/>
  <c r="K157" i="15"/>
  <c r="K158" i="15"/>
  <c r="K159" i="15"/>
  <c r="K160" i="15"/>
  <c r="K162" i="15"/>
  <c r="K163" i="15"/>
  <c r="K164" i="15"/>
  <c r="K165" i="15"/>
  <c r="K166" i="15"/>
  <c r="K167" i="15"/>
  <c r="K168" i="15"/>
  <c r="K169" i="15"/>
  <c r="K170" i="15"/>
  <c r="K171" i="15"/>
  <c r="K172" i="15"/>
  <c r="K173" i="15"/>
  <c r="K174" i="15"/>
  <c r="K175" i="15"/>
  <c r="K176" i="15"/>
  <c r="K177" i="15"/>
  <c r="K178" i="15"/>
  <c r="K179" i="15"/>
  <c r="K180" i="15"/>
  <c r="K181" i="15"/>
  <c r="K182" i="15"/>
  <c r="K183" i="15"/>
  <c r="K184" i="15"/>
  <c r="K185" i="15"/>
  <c r="K186" i="15"/>
  <c r="K187" i="15"/>
  <c r="K188" i="15"/>
  <c r="K189" i="15"/>
  <c r="K190" i="15"/>
  <c r="K191" i="15"/>
  <c r="K192" i="15"/>
  <c r="K193" i="15"/>
  <c r="K194" i="15"/>
  <c r="K195" i="15"/>
  <c r="K196" i="15"/>
  <c r="K197" i="15"/>
  <c r="K198" i="15"/>
  <c r="K199" i="15"/>
  <c r="K200" i="15"/>
  <c r="K201" i="15"/>
  <c r="K202" i="15"/>
  <c r="K203" i="15"/>
  <c r="K204" i="15"/>
  <c r="K205" i="15"/>
  <c r="K206" i="15"/>
  <c r="K207" i="15"/>
  <c r="K208" i="15"/>
  <c r="K209" i="15"/>
  <c r="K210" i="15"/>
  <c r="K211" i="15"/>
  <c r="K212" i="15"/>
  <c r="K213" i="15"/>
  <c r="K214" i="15"/>
  <c r="K215" i="15"/>
  <c r="K217" i="15"/>
  <c r="K218" i="15"/>
  <c r="K219" i="15"/>
  <c r="K220" i="15"/>
  <c r="K221" i="15"/>
  <c r="K222" i="15"/>
  <c r="K223" i="15"/>
  <c r="K224" i="15"/>
  <c r="K225" i="15"/>
  <c r="K226" i="15"/>
  <c r="K227" i="15"/>
  <c r="K228" i="15"/>
  <c r="K229" i="15"/>
  <c r="K230" i="15"/>
  <c r="K231" i="15"/>
  <c r="K232" i="15"/>
  <c r="K233" i="15"/>
  <c r="K234" i="15"/>
  <c r="K235" i="15"/>
  <c r="K236" i="15"/>
  <c r="K237" i="15"/>
  <c r="K238" i="15"/>
  <c r="K239" i="15"/>
  <c r="K240" i="15"/>
  <c r="K241" i="15"/>
  <c r="K243" i="15"/>
  <c r="K244" i="15"/>
  <c r="K245" i="15"/>
  <c r="K246" i="15"/>
  <c r="K250" i="15"/>
  <c r="K251" i="15"/>
  <c r="K252" i="15"/>
  <c r="K253" i="15"/>
  <c r="K254" i="15"/>
  <c r="K255" i="15"/>
  <c r="K256" i="15"/>
  <c r="K257" i="15"/>
  <c r="K258" i="15"/>
  <c r="K259" i="15"/>
  <c r="K260" i="15"/>
  <c r="K261" i="15"/>
  <c r="K262" i="15"/>
  <c r="K263" i="15"/>
  <c r="K264" i="15"/>
  <c r="K265" i="15"/>
  <c r="K266" i="15"/>
  <c r="K267" i="15"/>
  <c r="K268" i="15"/>
  <c r="K269" i="15"/>
  <c r="K270" i="15"/>
  <c r="K271" i="15"/>
  <c r="K272" i="15"/>
  <c r="K273" i="15"/>
  <c r="K274" i="15"/>
  <c r="K275" i="15"/>
  <c r="K276" i="15"/>
  <c r="K277" i="15"/>
  <c r="K278" i="15"/>
  <c r="K279" i="15"/>
  <c r="K280" i="15"/>
  <c r="K281" i="15"/>
  <c r="K282" i="15"/>
  <c r="K283" i="15"/>
  <c r="K284" i="15"/>
  <c r="K285" i="15"/>
  <c r="K286" i="15"/>
  <c r="K287" i="15"/>
  <c r="K288" i="15"/>
  <c r="K289" i="15"/>
  <c r="K290" i="15"/>
  <c r="K291" i="15"/>
  <c r="K292" i="15"/>
  <c r="K293" i="15"/>
  <c r="K294" i="15"/>
  <c r="K295" i="15"/>
  <c r="K296" i="15"/>
  <c r="K303" i="15"/>
  <c r="K317" i="15"/>
  <c r="K318" i="15"/>
  <c r="K319" i="15"/>
  <c r="K320" i="15"/>
  <c r="K321" i="15"/>
  <c r="K322" i="15"/>
  <c r="K323" i="15"/>
  <c r="K324" i="15"/>
  <c r="K325" i="15"/>
  <c r="K326" i="15"/>
  <c r="K327" i="15"/>
  <c r="K328" i="15"/>
  <c r="K329" i="15"/>
  <c r="K330" i="15"/>
  <c r="K331" i="15"/>
  <c r="K332" i="15"/>
  <c r="K333" i="15"/>
  <c r="K334" i="15"/>
  <c r="K335" i="15"/>
  <c r="K336" i="15"/>
  <c r="K337" i="15"/>
  <c r="K338" i="15"/>
  <c r="K339" i="15"/>
  <c r="K340" i="15"/>
  <c r="K341" i="15"/>
  <c r="K342" i="15"/>
  <c r="K343" i="15"/>
  <c r="K344" i="15"/>
  <c r="K345" i="15"/>
  <c r="K346" i="15"/>
  <c r="K347" i="15"/>
  <c r="K348" i="15"/>
  <c r="K349" i="15"/>
  <c r="K350" i="15"/>
  <c r="K351" i="15"/>
  <c r="K352" i="15"/>
  <c r="K353" i="15"/>
  <c r="K355" i="15"/>
  <c r="K356" i="15"/>
  <c r="K357" i="15"/>
  <c r="K358" i="15"/>
  <c r="K359" i="15"/>
  <c r="K360" i="15"/>
  <c r="K361" i="15"/>
  <c r="K362" i="15"/>
  <c r="K363" i="15"/>
  <c r="K364" i="15"/>
  <c r="K365" i="15"/>
  <c r="K366" i="15"/>
  <c r="K367" i="15"/>
  <c r="K368" i="15"/>
  <c r="K370" i="15"/>
  <c r="K371" i="15"/>
  <c r="K372" i="15"/>
  <c r="K373" i="15"/>
  <c r="K374" i="15"/>
  <c r="K375" i="15"/>
  <c r="K376" i="15"/>
  <c r="K377" i="15"/>
  <c r="K378" i="15"/>
  <c r="K379" i="15"/>
  <c r="K380" i="15"/>
  <c r="K381" i="15"/>
  <c r="K382" i="15"/>
  <c r="K383" i="15"/>
  <c r="K384" i="15"/>
  <c r="K386" i="15"/>
  <c r="K387" i="15"/>
  <c r="K388" i="15"/>
  <c r="K389" i="15"/>
  <c r="K390" i="15"/>
  <c r="K391" i="15"/>
  <c r="K392" i="15"/>
  <c r="K393" i="15"/>
  <c r="K394" i="15"/>
  <c r="K395" i="15"/>
  <c r="K396" i="15"/>
  <c r="K397" i="15"/>
  <c r="K398" i="15"/>
  <c r="K399" i="15"/>
  <c r="K400" i="15"/>
  <c r="K401" i="15"/>
  <c r="K402" i="15"/>
  <c r="K403" i="15"/>
  <c r="K404" i="15"/>
  <c r="K406" i="15"/>
  <c r="K408" i="15"/>
  <c r="K409" i="15"/>
  <c r="K410" i="15"/>
  <c r="K411" i="15"/>
  <c r="K412" i="15"/>
  <c r="K413" i="15"/>
  <c r="K414" i="15"/>
  <c r="K415" i="15"/>
  <c r="K416" i="15"/>
  <c r="K417" i="15"/>
  <c r="K418" i="15"/>
  <c r="K419" i="15"/>
  <c r="K420" i="15"/>
  <c r="K421" i="15"/>
  <c r="K422" i="15"/>
  <c r="K423" i="15"/>
  <c r="K424" i="15"/>
  <c r="K425" i="15"/>
  <c r="K426" i="15"/>
  <c r="K427" i="15"/>
  <c r="K428" i="15"/>
  <c r="K429" i="15"/>
  <c r="K430" i="15"/>
  <c r="K431" i="15"/>
  <c r="K432" i="15"/>
  <c r="K433" i="15"/>
  <c r="K434" i="15"/>
  <c r="K435" i="15"/>
  <c r="K436" i="15"/>
  <c r="K437" i="15"/>
  <c r="K438" i="15"/>
  <c r="K439" i="15"/>
  <c r="K440" i="15"/>
  <c r="K441" i="15"/>
  <c r="K442" i="15"/>
  <c r="K443" i="15"/>
  <c r="K444" i="15"/>
  <c r="K450" i="15"/>
  <c r="K451" i="15"/>
  <c r="K452" i="15"/>
  <c r="K453" i="15"/>
  <c r="K454" i="15"/>
  <c r="K455" i="15"/>
  <c r="K456" i="15"/>
  <c r="K457" i="15"/>
  <c r="K458" i="15"/>
  <c r="K459" i="15"/>
  <c r="K460" i="15"/>
  <c r="K461" i="15"/>
  <c r="K462" i="15"/>
  <c r="K463" i="15"/>
  <c r="K464" i="15"/>
  <c r="K465" i="15"/>
  <c r="K466" i="15"/>
  <c r="K467" i="15"/>
  <c r="K468" i="15"/>
  <c r="K469" i="15"/>
  <c r="K470" i="15"/>
  <c r="K471" i="15"/>
  <c r="K472" i="15"/>
  <c r="K473" i="15"/>
  <c r="K474" i="15"/>
  <c r="K475" i="15"/>
  <c r="K476" i="15"/>
  <c r="K477" i="15"/>
  <c r="K478" i="15"/>
  <c r="K479" i="15"/>
  <c r="K480" i="15"/>
  <c r="K481" i="15"/>
  <c r="K482" i="15"/>
  <c r="K483" i="15"/>
  <c r="K484" i="15"/>
  <c r="K485" i="15"/>
  <c r="K486" i="15"/>
  <c r="K487" i="15"/>
  <c r="K488" i="15"/>
  <c r="K489" i="15"/>
  <c r="K490" i="15"/>
  <c r="K491" i="15"/>
  <c r="K492" i="15"/>
  <c r="K493" i="15"/>
  <c r="K494" i="15"/>
  <c r="K495" i="15"/>
  <c r="K496" i="15"/>
  <c r="K497" i="15"/>
  <c r="K498" i="15"/>
  <c r="K499" i="15"/>
  <c r="K500" i="15"/>
  <c r="K501" i="15"/>
  <c r="K502" i="15"/>
  <c r="K503" i="15"/>
  <c r="K504" i="15"/>
  <c r="K505" i="15"/>
  <c r="K506" i="15"/>
  <c r="K507" i="15"/>
  <c r="K508" i="15"/>
  <c r="K509" i="15"/>
  <c r="K510" i="15"/>
  <c r="K511" i="15"/>
  <c r="K512" i="15"/>
  <c r="K513" i="15"/>
  <c r="K514" i="15"/>
  <c r="K515" i="15"/>
  <c r="K516" i="15"/>
  <c r="K517" i="15"/>
  <c r="K518" i="15"/>
  <c r="K519" i="15"/>
  <c r="K520" i="15"/>
  <c r="K521" i="15"/>
  <c r="K524" i="15"/>
  <c r="K526" i="15"/>
  <c r="K527" i="15"/>
  <c r="K528" i="15"/>
  <c r="K529" i="15"/>
  <c r="K530" i="15"/>
  <c r="K531" i="15"/>
  <c r="K532" i="15"/>
  <c r="K533" i="15"/>
  <c r="K534" i="15"/>
  <c r="K535" i="15"/>
  <c r="K536" i="15"/>
  <c r="K537" i="15"/>
  <c r="K538" i="15"/>
  <c r="K539" i="15"/>
  <c r="K540" i="15"/>
  <c r="K541" i="15"/>
  <c r="K542" i="15"/>
  <c r="K543" i="15"/>
  <c r="K544" i="15"/>
  <c r="K545" i="15"/>
  <c r="K546" i="15"/>
  <c r="K547" i="15"/>
  <c r="K548" i="15"/>
  <c r="K549" i="15"/>
  <c r="K550" i="15"/>
  <c r="K551" i="15"/>
  <c r="K552" i="15"/>
  <c r="K553" i="15"/>
  <c r="K554" i="15"/>
  <c r="K555" i="15"/>
  <c r="K556" i="15"/>
  <c r="K557" i="15"/>
  <c r="K558" i="15"/>
  <c r="K559" i="15"/>
  <c r="K560" i="15"/>
  <c r="K561" i="15"/>
  <c r="K562" i="15"/>
  <c r="K563" i="15"/>
  <c r="K564" i="15"/>
  <c r="K565" i="15"/>
  <c r="K566" i="15"/>
  <c r="K567" i="15"/>
  <c r="K568" i="15"/>
  <c r="K569" i="15"/>
  <c r="K570" i="15"/>
  <c r="K571" i="15"/>
  <c r="K572" i="15"/>
  <c r="K573" i="15"/>
  <c r="K574" i="15"/>
  <c r="K576" i="15"/>
  <c r="K578" i="15"/>
  <c r="K579" i="15"/>
  <c r="K580" i="15"/>
  <c r="K581" i="15"/>
  <c r="K582" i="15"/>
  <c r="K583" i="15"/>
  <c r="K584" i="15"/>
  <c r="K585" i="15"/>
  <c r="K586" i="15"/>
  <c r="K587" i="15"/>
  <c r="K588" i="15"/>
  <c r="K589" i="15"/>
  <c r="K590" i="15"/>
  <c r="K591" i="15"/>
  <c r="K592" i="15"/>
  <c r="K593" i="15"/>
  <c r="K594" i="15"/>
  <c r="K595" i="15"/>
  <c r="K596" i="15"/>
  <c r="K597" i="15"/>
  <c r="K599" i="15"/>
  <c r="K600" i="15"/>
  <c r="K601" i="15"/>
  <c r="K602" i="15"/>
  <c r="K603" i="15"/>
  <c r="K604" i="15"/>
  <c r="K605" i="15"/>
  <c r="K606" i="15"/>
  <c r="K607" i="15"/>
  <c r="K608" i="15"/>
  <c r="K609" i="15"/>
  <c r="K610" i="15"/>
  <c r="K611" i="15"/>
  <c r="K612" i="15"/>
  <c r="K613" i="15"/>
  <c r="K614" i="15"/>
  <c r="K615" i="15"/>
  <c r="K616" i="15"/>
  <c r="K617" i="15"/>
  <c r="K618" i="15"/>
  <c r="K619" i="15"/>
  <c r="K621" i="15"/>
  <c r="K622" i="15"/>
  <c r="K623" i="15"/>
  <c r="K624" i="15"/>
  <c r="K625" i="15"/>
  <c r="K627" i="15"/>
  <c r="K628" i="15"/>
  <c r="K629" i="15"/>
  <c r="K630" i="15"/>
  <c r="K631" i="15"/>
  <c r="K632" i="15"/>
  <c r="K633" i="15"/>
  <c r="K634" i="15"/>
  <c r="K635" i="15"/>
  <c r="K636" i="15"/>
  <c r="K638" i="15"/>
  <c r="K639" i="15"/>
  <c r="K640" i="15"/>
  <c r="K641" i="15"/>
  <c r="K642" i="15"/>
  <c r="K643" i="15"/>
  <c r="K644" i="15"/>
  <c r="K645" i="15"/>
  <c r="K646" i="15"/>
  <c r="K647" i="15"/>
  <c r="K648" i="15"/>
  <c r="K649" i="15"/>
  <c r="K650" i="15"/>
  <c r="K651" i="15"/>
  <c r="K652" i="15"/>
  <c r="K653" i="15"/>
  <c r="K654" i="15"/>
  <c r="K655" i="15"/>
  <c r="K657" i="15"/>
  <c r="K658" i="15"/>
  <c r="K659" i="15"/>
  <c r="K660" i="15"/>
  <c r="K661" i="15"/>
  <c r="K662" i="15"/>
  <c r="K663" i="15"/>
  <c r="K664" i="15"/>
  <c r="K665" i="15"/>
  <c r="K666" i="15"/>
  <c r="K667" i="15"/>
  <c r="K668" i="15"/>
  <c r="K669" i="15"/>
  <c r="K670" i="15"/>
  <c r="K671" i="15"/>
  <c r="K672" i="15"/>
  <c r="K673" i="15"/>
  <c r="K674" i="15"/>
  <c r="K675" i="15"/>
  <c r="K676" i="15"/>
  <c r="K677" i="15"/>
  <c r="K678" i="15"/>
  <c r="K679" i="15"/>
  <c r="K680" i="15"/>
  <c r="K681" i="15"/>
  <c r="K682" i="15"/>
  <c r="K683" i="15"/>
  <c r="K684" i="15"/>
  <c r="K685" i="15"/>
  <c r="K686" i="15"/>
  <c r="K687" i="15"/>
  <c r="K689" i="15"/>
  <c r="K690" i="15"/>
  <c r="K691" i="15"/>
  <c r="K692" i="15"/>
  <c r="K693" i="15"/>
  <c r="K694" i="15"/>
  <c r="K695" i="15"/>
  <c r="K696" i="15"/>
  <c r="K697" i="15"/>
  <c r="K698" i="15"/>
  <c r="K699" i="15"/>
  <c r="K700" i="15"/>
  <c r="K701" i="15"/>
  <c r="K702" i="15"/>
  <c r="K703" i="15"/>
  <c r="K704" i="15"/>
  <c r="K705" i="15"/>
  <c r="K706" i="15"/>
  <c r="K707" i="15"/>
  <c r="K708" i="15"/>
  <c r="K709" i="15"/>
  <c r="K710" i="15"/>
  <c r="K711" i="15"/>
  <c r="K712" i="15"/>
  <c r="K714" i="15"/>
  <c r="K715" i="15"/>
  <c r="K716" i="15"/>
  <c r="K717" i="15"/>
  <c r="K718" i="15"/>
  <c r="K719" i="15"/>
  <c r="K720" i="15"/>
  <c r="K721" i="15"/>
  <c r="K722" i="15"/>
  <c r="K723" i="15"/>
  <c r="K726" i="15"/>
  <c r="K727" i="15"/>
  <c r="K728" i="15"/>
  <c r="K729" i="15"/>
  <c r="K730" i="15"/>
  <c r="K731" i="15"/>
  <c r="K732" i="15"/>
  <c r="K733" i="15"/>
  <c r="K734" i="15"/>
  <c r="K735" i="15"/>
  <c r="K737" i="15"/>
  <c r="K738" i="15"/>
  <c r="K739" i="15"/>
  <c r="K740" i="15"/>
  <c r="K741" i="15"/>
  <c r="K742" i="15"/>
  <c r="K743" i="15"/>
  <c r="K744" i="15"/>
  <c r="K745" i="15"/>
  <c r="K746" i="15"/>
  <c r="K747" i="15"/>
  <c r="K748" i="15"/>
  <c r="K749" i="15"/>
  <c r="K750" i="15"/>
  <c r="K751" i="15"/>
  <c r="K752" i="15"/>
  <c r="K753" i="15"/>
  <c r="K754" i="15"/>
  <c r="K755" i="15"/>
  <c r="K756" i="15"/>
  <c r="K757" i="15"/>
  <c r="K758" i="15"/>
  <c r="K759" i="15"/>
  <c r="K760" i="15"/>
  <c r="K761" i="15"/>
  <c r="K762" i="15"/>
  <c r="K763" i="15"/>
  <c r="K764" i="15"/>
  <c r="K765" i="15"/>
  <c r="K766" i="15"/>
  <c r="K767" i="15"/>
  <c r="K768" i="15"/>
  <c r="K769" i="15"/>
  <c r="K770" i="15"/>
  <c r="K772" i="15"/>
  <c r="K773" i="15"/>
  <c r="K774" i="15"/>
  <c r="K775" i="15"/>
  <c r="K776" i="15"/>
  <c r="K777" i="15"/>
  <c r="K778" i="15"/>
  <c r="K779" i="15"/>
  <c r="K781" i="15"/>
  <c r="K782" i="15"/>
  <c r="K783" i="15"/>
  <c r="K784" i="15"/>
  <c r="K785" i="15"/>
  <c r="K787" i="15"/>
  <c r="K788" i="15"/>
  <c r="K789" i="15"/>
  <c r="K790" i="15"/>
  <c r="K791" i="15"/>
  <c r="K792" i="15"/>
  <c r="K793" i="15"/>
  <c r="K794" i="15"/>
  <c r="K795" i="15"/>
  <c r="K796" i="15"/>
  <c r="K797" i="15"/>
  <c r="K798" i="15"/>
  <c r="K799" i="15"/>
  <c r="K800" i="15"/>
  <c r="K801" i="15"/>
  <c r="K802" i="15"/>
  <c r="K803" i="15"/>
  <c r="K804" i="15"/>
  <c r="K805" i="15"/>
  <c r="K806" i="15"/>
  <c r="K807" i="15"/>
  <c r="K808" i="15"/>
  <c r="K809" i="15"/>
  <c r="K810" i="15"/>
  <c r="K811" i="15"/>
  <c r="K812" i="15"/>
  <c r="K813" i="15"/>
  <c r="K814" i="15"/>
  <c r="K815" i="15"/>
  <c r="K816" i="15"/>
  <c r="K817" i="15"/>
  <c r="K818" i="15"/>
  <c r="K819" i="15"/>
  <c r="K820" i="15"/>
  <c r="K821" i="15"/>
  <c r="K823" i="15"/>
  <c r="K824" i="15"/>
  <c r="K825" i="15"/>
  <c r="K826" i="15"/>
  <c r="K827" i="15"/>
  <c r="K828" i="15"/>
  <c r="K829" i="15"/>
  <c r="K830" i="15"/>
  <c r="K831" i="15"/>
  <c r="K832" i="15"/>
  <c r="K833" i="15"/>
  <c r="K834" i="15"/>
  <c r="K836" i="15"/>
  <c r="K837" i="15"/>
  <c r="K838" i="15"/>
  <c r="K839" i="15"/>
  <c r="K840" i="15"/>
  <c r="K841" i="15"/>
  <c r="K842" i="15"/>
  <c r="K843" i="15"/>
  <c r="K844" i="15"/>
  <c r="K845" i="15"/>
  <c r="K846" i="15"/>
  <c r="K847" i="15"/>
  <c r="K848" i="15"/>
  <c r="K849" i="15"/>
  <c r="K850" i="15"/>
  <c r="K851" i="15"/>
  <c r="K852" i="15"/>
  <c r="K853" i="15"/>
  <c r="K854" i="15"/>
  <c r="K855" i="15"/>
  <c r="K859" i="15"/>
  <c r="K864" i="15"/>
  <c r="K865" i="15"/>
  <c r="K866" i="15"/>
  <c r="K867" i="15"/>
  <c r="K868" i="15"/>
  <c r="K876" i="15"/>
  <c r="K877" i="15"/>
  <c r="K878" i="15"/>
  <c r="K879" i="15"/>
  <c r="K880" i="15"/>
  <c r="K881" i="15"/>
  <c r="K882" i="15"/>
  <c r="K883" i="15"/>
  <c r="K884" i="15"/>
  <c r="K885" i="15"/>
  <c r="K886" i="15"/>
  <c r="K887" i="15"/>
  <c r="K888" i="15"/>
  <c r="K889" i="15"/>
  <c r="K890" i="15"/>
  <c r="K891" i="15"/>
  <c r="K892" i="15"/>
  <c r="K893" i="15"/>
  <c r="K894" i="15"/>
  <c r="K895" i="15"/>
  <c r="K896" i="15"/>
  <c r="K897" i="15"/>
  <c r="K898" i="15"/>
  <c r="K899" i="15"/>
  <c r="K900" i="15"/>
  <c r="K901" i="15"/>
  <c r="K902" i="15"/>
  <c r="K904" i="15"/>
  <c r="K905" i="15"/>
  <c r="K906" i="15"/>
  <c r="K907" i="15"/>
  <c r="K908" i="15"/>
  <c r="K909" i="15"/>
  <c r="K910" i="15"/>
  <c r="K911" i="15"/>
  <c r="K912" i="15"/>
  <c r="K913" i="15"/>
  <c r="K914" i="15"/>
  <c r="K915" i="15"/>
  <c r="K916" i="15"/>
  <c r="K917" i="15"/>
  <c r="K918" i="15"/>
  <c r="K919" i="15"/>
  <c r="K920" i="15"/>
  <c r="K921" i="15"/>
  <c r="K922" i="15"/>
  <c r="K923" i="15"/>
  <c r="K924" i="15"/>
  <c r="K925" i="15"/>
  <c r="K926" i="15"/>
  <c r="K927" i="15"/>
  <c r="K928" i="15"/>
  <c r="K929" i="15"/>
  <c r="K930" i="15"/>
  <c r="K931" i="15"/>
  <c r="K932" i="15"/>
  <c r="K934" i="15"/>
  <c r="K935" i="15"/>
  <c r="K936" i="15"/>
  <c r="K937" i="15"/>
  <c r="K938" i="15"/>
  <c r="K939" i="15"/>
  <c r="K940" i="15"/>
  <c r="K941" i="15"/>
  <c r="K942" i="15"/>
  <c r="K943" i="15"/>
  <c r="K944" i="15"/>
  <c r="K945" i="15"/>
  <c r="K946" i="15"/>
  <c r="K947" i="15"/>
  <c r="K948" i="15"/>
  <c r="K949" i="15"/>
  <c r="K950" i="15"/>
  <c r="K951" i="15"/>
  <c r="K952" i="15"/>
  <c r="K953" i="15"/>
  <c r="K954" i="15"/>
  <c r="K955" i="15"/>
  <c r="K956" i="15"/>
  <c r="K957" i="15"/>
  <c r="K958" i="15"/>
  <c r="K959" i="15"/>
  <c r="K960" i="15"/>
  <c r="K961" i="15"/>
  <c r="K962" i="15"/>
  <c r="K963" i="15"/>
  <c r="K964" i="15"/>
  <c r="K965" i="15"/>
  <c r="K966" i="15"/>
  <c r="K967" i="15"/>
  <c r="K968" i="15"/>
  <c r="K969" i="15"/>
  <c r="K970" i="15"/>
  <c r="K971" i="15"/>
  <c r="K972" i="15"/>
  <c r="K973" i="15"/>
  <c r="K974" i="15"/>
  <c r="K975" i="15"/>
  <c r="K976" i="15"/>
  <c r="K977" i="15"/>
  <c r="K978" i="15"/>
  <c r="K979" i="15"/>
  <c r="K980" i="15"/>
  <c r="K981" i="15"/>
  <c r="K982" i="15"/>
  <c r="K984" i="15"/>
  <c r="K985" i="15"/>
  <c r="K986" i="15"/>
  <c r="K987" i="15"/>
  <c r="K988" i="15"/>
  <c r="K989" i="15"/>
  <c r="K990" i="15"/>
  <c r="K991" i="15"/>
  <c r="K992" i="15"/>
  <c r="K993" i="15"/>
  <c r="K994" i="15"/>
  <c r="K995" i="15"/>
  <c r="K996" i="15"/>
  <c r="K997" i="15"/>
  <c r="K998" i="15"/>
  <c r="K999" i="15"/>
  <c r="K1000" i="15"/>
  <c r="K1001" i="15"/>
  <c r="K1002" i="15"/>
  <c r="K1003" i="15"/>
  <c r="K1004" i="15"/>
  <c r="K1005" i="15"/>
  <c r="K1006" i="15"/>
  <c r="K1007" i="15"/>
  <c r="K1008" i="15"/>
  <c r="K1009" i="15"/>
  <c r="K1010" i="15"/>
  <c r="K1011" i="15"/>
  <c r="K1012" i="15"/>
  <c r="K1013" i="15"/>
  <c r="K1014" i="15"/>
  <c r="K1015" i="15"/>
  <c r="K1016" i="15"/>
  <c r="K1017" i="15"/>
  <c r="K1018" i="15"/>
  <c r="K1019" i="15"/>
  <c r="K1020" i="15"/>
  <c r="K1021" i="15"/>
  <c r="K1022" i="15"/>
  <c r="K1024" i="15"/>
  <c r="K1025" i="15"/>
  <c r="K1026" i="15"/>
  <c r="K1027" i="15"/>
  <c r="K1028" i="15"/>
  <c r="K1029" i="15"/>
  <c r="K1030" i="15"/>
  <c r="K1031" i="15"/>
  <c r="K1032" i="15"/>
  <c r="K1033" i="15"/>
  <c r="K1034" i="15"/>
  <c r="K1035" i="15"/>
  <c r="K1036" i="15"/>
  <c r="K1037" i="15"/>
  <c r="K1038" i="15"/>
  <c r="K1039" i="15"/>
  <c r="K1040" i="15"/>
  <c r="K1041" i="15"/>
  <c r="K1042" i="15"/>
  <c r="K1043" i="15"/>
  <c r="K1044" i="15"/>
  <c r="K1045" i="15"/>
  <c r="K1046" i="15"/>
  <c r="K1047" i="15"/>
  <c r="K1048" i="15"/>
  <c r="K1049" i="15"/>
  <c r="K1050" i="15"/>
  <c r="K1051" i="15"/>
  <c r="K1052" i="15"/>
  <c r="K1053" i="15"/>
  <c r="K1054" i="15"/>
  <c r="K1055" i="15"/>
  <c r="K1056" i="15"/>
  <c r="K1057" i="15"/>
  <c r="K1058" i="15"/>
  <c r="K1059" i="15"/>
  <c r="K1060" i="15"/>
  <c r="K1061" i="15"/>
  <c r="K1062" i="15"/>
  <c r="K1063" i="15"/>
  <c r="K1064" i="15"/>
  <c r="K1065" i="15"/>
  <c r="K1066" i="15"/>
  <c r="K1067" i="15"/>
  <c r="K1068" i="15"/>
  <c r="K1069" i="15"/>
  <c r="K1070" i="15"/>
  <c r="K1071" i="15"/>
  <c r="K1072" i="15"/>
  <c r="K1073" i="15"/>
  <c r="K1074" i="15"/>
  <c r="K1075" i="15"/>
  <c r="K1076" i="15"/>
  <c r="K1077" i="15"/>
  <c r="K1078" i="15"/>
  <c r="K1079" i="15"/>
  <c r="K1080" i="15"/>
  <c r="K1081" i="15"/>
  <c r="K1082" i="15"/>
  <c r="K1083" i="15"/>
  <c r="K1084" i="15"/>
  <c r="K1085" i="15"/>
  <c r="K1086" i="15"/>
  <c r="K1087" i="15"/>
  <c r="K1088" i="15"/>
  <c r="K1089" i="15"/>
  <c r="K1090" i="15"/>
  <c r="K1091" i="15"/>
  <c r="K1092" i="15"/>
  <c r="K1093" i="15"/>
  <c r="K1094" i="15"/>
  <c r="K1095" i="15"/>
  <c r="K1097" i="15"/>
  <c r="K1098" i="15"/>
  <c r="K1099" i="15"/>
  <c r="K1100" i="15"/>
  <c r="K1101" i="15"/>
  <c r="K1102" i="15"/>
  <c r="K1103" i="15"/>
  <c r="K1104" i="15"/>
  <c r="K1105" i="15"/>
  <c r="K1106" i="15"/>
  <c r="K1107" i="15"/>
  <c r="K1108" i="15"/>
  <c r="K1109" i="15"/>
  <c r="K1110" i="15"/>
  <c r="K1111" i="15"/>
  <c r="K1112" i="15"/>
  <c r="K1113" i="15"/>
  <c r="K1114" i="15"/>
  <c r="K1115" i="15"/>
  <c r="K1116" i="15"/>
  <c r="K1117" i="15"/>
  <c r="K1118" i="15"/>
  <c r="K1119" i="15"/>
  <c r="K1120" i="15"/>
  <c r="K1121" i="15"/>
  <c r="K1122" i="15"/>
  <c r="K1123" i="15"/>
  <c r="K1124" i="15"/>
  <c r="K1125" i="15"/>
  <c r="K1126" i="15"/>
  <c r="K1127" i="15"/>
  <c r="K1128" i="15"/>
  <c r="K1129" i="15"/>
  <c r="K1130" i="15"/>
  <c r="K1131" i="15"/>
  <c r="K1132" i="15"/>
  <c r="K1133" i="15"/>
  <c r="K1134" i="15"/>
  <c r="K1135" i="15"/>
  <c r="K1136" i="15"/>
  <c r="K1137" i="15"/>
  <c r="K1138" i="15"/>
  <c r="K1139" i="15"/>
  <c r="K1140" i="15"/>
  <c r="K1141" i="15"/>
  <c r="K1142" i="15"/>
  <c r="K1143" i="15"/>
  <c r="K1144" i="15"/>
  <c r="K1145" i="15"/>
  <c r="K1146" i="15"/>
  <c r="K1147" i="15"/>
  <c r="K1148" i="15"/>
  <c r="K1149" i="15"/>
  <c r="K1150" i="15"/>
  <c r="K1151" i="15"/>
  <c r="K1152" i="15"/>
  <c r="K1153" i="15"/>
  <c r="K1154" i="15"/>
  <c r="K1155" i="15"/>
  <c r="K1156" i="15"/>
  <c r="K1157" i="15"/>
  <c r="K1158" i="15"/>
  <c r="K1159" i="15"/>
  <c r="K1160" i="15"/>
  <c r="K1161" i="15"/>
  <c r="K1162" i="15"/>
  <c r="K1163" i="15"/>
  <c r="K1164" i="15"/>
  <c r="K1165" i="15"/>
  <c r="K1166" i="15"/>
  <c r="K1167" i="15"/>
  <c r="K1168" i="15"/>
  <c r="K1169" i="15"/>
  <c r="K1170" i="15"/>
  <c r="K1171" i="15"/>
  <c r="K1172" i="15"/>
  <c r="K1173" i="15"/>
  <c r="K1174" i="15"/>
  <c r="K1175" i="15"/>
  <c r="K1176" i="15"/>
  <c r="K1177" i="15"/>
  <c r="K1178" i="15"/>
  <c r="K1179" i="15"/>
  <c r="K1180" i="15"/>
  <c r="K1181" i="15"/>
  <c r="K1182" i="15"/>
  <c r="K1183" i="15"/>
  <c r="K1184" i="15"/>
  <c r="K1185" i="15"/>
  <c r="K1186" i="15"/>
  <c r="K1187" i="15"/>
  <c r="K1188" i="15"/>
  <c r="K1189" i="15"/>
  <c r="K1190" i="15"/>
  <c r="K1191" i="15"/>
  <c r="K1192" i="15"/>
  <c r="K1193" i="15"/>
  <c r="K1194" i="15"/>
  <c r="K1195" i="15"/>
  <c r="K1196" i="15"/>
  <c r="K1197" i="15"/>
  <c r="K1198" i="15"/>
  <c r="K1199" i="15"/>
  <c r="K1200" i="15"/>
  <c r="K1201" i="15"/>
  <c r="K1202" i="15"/>
  <c r="K1203" i="15"/>
  <c r="K1204" i="15"/>
  <c r="K1205" i="15"/>
  <c r="K1206" i="15"/>
  <c r="K1207" i="15"/>
  <c r="K1208" i="15"/>
  <c r="K1209" i="15"/>
  <c r="K1210" i="15"/>
  <c r="K1211" i="15"/>
  <c r="K1212" i="15"/>
  <c r="K1213" i="15"/>
  <c r="K1214" i="15"/>
  <c r="K1215" i="15"/>
  <c r="K1216" i="15"/>
  <c r="K1217" i="15"/>
  <c r="K1218" i="15"/>
  <c r="K1220" i="15"/>
  <c r="K1221" i="15"/>
  <c r="K1222" i="15"/>
  <c r="K1223" i="15"/>
  <c r="K1224" i="15"/>
  <c r="K1225" i="15"/>
  <c r="K1226" i="15"/>
  <c r="K1227" i="15"/>
  <c r="K1228" i="15"/>
  <c r="K1229" i="15"/>
  <c r="K1230" i="15"/>
  <c r="K1231" i="15"/>
  <c r="K1232" i="15"/>
  <c r="K1233" i="15"/>
  <c r="K1234" i="15"/>
  <c r="K1235" i="15"/>
  <c r="K1236" i="15"/>
  <c r="K1237" i="15"/>
  <c r="K1238" i="15"/>
  <c r="K1239" i="15"/>
  <c r="K1240" i="15"/>
  <c r="K1241" i="15"/>
  <c r="K1242" i="15"/>
  <c r="K1243" i="15"/>
  <c r="K1244" i="15"/>
  <c r="K1245" i="15"/>
  <c r="K1246" i="15"/>
  <c r="K1247" i="15"/>
  <c r="K1248" i="15"/>
  <c r="K1249" i="15"/>
  <c r="K1250" i="15"/>
  <c r="K1251" i="15"/>
  <c r="K1252" i="15"/>
  <c r="K1253" i="15"/>
  <c r="K1254" i="15"/>
  <c r="K1255" i="15"/>
  <c r="K1256" i="15"/>
  <c r="K1257" i="15"/>
  <c r="K1258" i="15"/>
  <c r="K1259" i="15"/>
  <c r="K1260" i="15"/>
  <c r="K1261" i="15"/>
  <c r="K1262" i="15"/>
  <c r="K1263" i="15"/>
  <c r="K1264" i="15"/>
  <c r="K1265" i="15"/>
  <c r="K1266" i="15"/>
  <c r="K1267" i="15"/>
  <c r="K1268" i="15"/>
  <c r="K1269" i="15"/>
  <c r="K1270" i="15"/>
  <c r="K1271" i="15"/>
  <c r="K1273" i="15"/>
  <c r="K1274" i="15"/>
  <c r="K1275" i="15"/>
  <c r="K1276" i="15"/>
  <c r="K1277" i="15"/>
  <c r="K1278" i="15"/>
  <c r="K1279" i="15"/>
  <c r="K1280" i="15"/>
  <c r="K1281" i="15"/>
  <c r="K1282" i="15"/>
  <c r="K1283" i="15"/>
  <c r="K1284" i="15"/>
  <c r="K1285" i="15"/>
  <c r="K1286" i="15"/>
  <c r="K1287" i="15"/>
  <c r="K1288" i="15"/>
  <c r="K1289" i="15"/>
  <c r="K1290" i="15"/>
  <c r="K1291" i="15"/>
  <c r="K1292" i="15"/>
  <c r="K1293" i="15"/>
  <c r="K1294" i="15"/>
  <c r="K1296" i="15"/>
  <c r="K1297" i="15"/>
  <c r="K1298" i="15"/>
  <c r="K1299" i="15"/>
  <c r="K1300" i="15"/>
  <c r="K1301" i="15"/>
  <c r="K1302" i="15"/>
  <c r="K1303" i="15"/>
  <c r="K1304" i="15"/>
  <c r="K1305" i="15"/>
  <c r="K1306" i="15"/>
  <c r="K1307" i="15"/>
  <c r="K1308" i="15"/>
  <c r="K1309" i="15"/>
  <c r="K1310" i="15"/>
  <c r="K1311" i="15"/>
  <c r="K1312" i="15"/>
  <c r="K1313" i="15"/>
  <c r="K1314" i="15"/>
  <c r="K1316" i="15"/>
  <c r="K1317" i="15"/>
  <c r="K1318" i="15"/>
  <c r="K1319" i="15"/>
  <c r="K1320" i="15"/>
  <c r="K1321" i="15"/>
  <c r="K1322" i="15"/>
  <c r="K1323" i="15"/>
  <c r="K1324" i="15"/>
  <c r="K1325" i="15"/>
  <c r="K1326" i="15"/>
  <c r="K1327" i="15"/>
  <c r="K1328" i="15"/>
  <c r="K1329" i="15"/>
  <c r="K1330" i="15"/>
  <c r="K1331" i="15"/>
  <c r="K1332" i="15"/>
  <c r="K1333" i="15"/>
  <c r="K1334" i="15"/>
  <c r="K1335" i="15"/>
  <c r="K1336" i="15"/>
  <c r="K1337" i="15"/>
  <c r="K1338" i="15"/>
  <c r="K1339" i="15"/>
  <c r="K1340" i="15"/>
  <c r="K1341" i="15"/>
  <c r="K1342" i="15"/>
  <c r="K1343" i="15"/>
  <c r="K1344" i="15"/>
  <c r="K1345" i="15"/>
  <c r="K1346" i="15"/>
  <c r="K1347" i="15"/>
  <c r="K1348" i="15"/>
  <c r="K1349" i="15"/>
  <c r="K1350" i="15"/>
  <c r="K1351" i="15"/>
  <c r="K1352" i="15"/>
  <c r="K1353" i="15"/>
  <c r="K1354" i="15"/>
  <c r="K1355" i="15"/>
  <c r="K1356" i="15"/>
  <c r="K1357" i="15"/>
  <c r="K1358" i="15"/>
  <c r="K1359" i="15"/>
  <c r="K1360" i="15"/>
  <c r="K1361" i="15"/>
  <c r="K1362" i="15"/>
  <c r="K1363" i="15"/>
  <c r="K1364" i="15"/>
  <c r="K1365" i="15"/>
  <c r="K1366" i="15"/>
  <c r="K1367" i="15"/>
  <c r="K1368" i="15"/>
  <c r="K1369" i="15"/>
  <c r="K1370" i="15"/>
  <c r="K1371" i="15"/>
  <c r="K1372" i="15"/>
  <c r="K1373" i="15"/>
  <c r="K1374" i="15"/>
  <c r="K1375" i="15"/>
  <c r="K1376" i="15"/>
  <c r="K1377" i="15"/>
  <c r="K1378" i="15"/>
  <c r="K1379" i="15"/>
  <c r="K1380" i="15"/>
  <c r="K1381" i="15"/>
  <c r="K1382" i="15"/>
  <c r="K1383" i="15"/>
  <c r="K1384" i="15"/>
  <c r="K1385" i="15"/>
  <c r="K1386" i="15"/>
  <c r="K1387" i="15"/>
  <c r="K1388" i="15"/>
  <c r="K1389" i="15"/>
  <c r="K1390" i="15"/>
  <c r="K1391" i="15"/>
  <c r="K1392" i="15"/>
  <c r="K1393" i="15"/>
  <c r="K1394" i="15"/>
  <c r="K1395" i="15"/>
  <c r="K1396" i="15"/>
  <c r="K1397" i="15"/>
  <c r="K1398" i="15"/>
  <c r="K1399" i="15"/>
  <c r="K1400" i="15"/>
  <c r="K1401" i="15"/>
  <c r="K1402" i="15"/>
  <c r="K1403" i="15"/>
  <c r="K1404" i="15"/>
  <c r="K1405" i="15"/>
  <c r="K1406" i="15"/>
  <c r="K1407" i="15"/>
  <c r="K1408" i="15"/>
  <c r="K1409" i="15"/>
  <c r="K1410" i="15"/>
  <c r="K1411" i="15"/>
  <c r="K1412" i="15"/>
  <c r="K1413" i="15"/>
  <c r="K1414" i="15"/>
  <c r="K1415" i="15"/>
  <c r="K1416" i="15"/>
  <c r="K1417" i="15"/>
  <c r="K1418" i="15"/>
  <c r="K1419" i="15"/>
  <c r="K1420" i="15"/>
  <c r="K1421" i="15"/>
  <c r="K1422" i="15"/>
  <c r="K1423" i="15"/>
  <c r="K1424" i="15"/>
  <c r="K1425" i="15"/>
  <c r="K1426" i="15"/>
  <c r="K1427" i="15"/>
  <c r="K1428" i="15"/>
  <c r="K1429" i="15"/>
  <c r="K1430" i="15"/>
  <c r="K1431" i="15"/>
  <c r="K1432" i="15"/>
  <c r="K1433" i="15"/>
  <c r="K1434" i="15"/>
  <c r="K1435" i="15"/>
  <c r="K1436" i="15"/>
  <c r="K1437" i="15"/>
  <c r="K1438" i="15"/>
  <c r="K1439" i="15"/>
  <c r="K1440" i="15"/>
  <c r="K1441" i="15"/>
  <c r="K1442" i="15"/>
  <c r="K1443" i="15"/>
  <c r="K1444" i="15"/>
  <c r="K1445" i="15"/>
  <c r="K1446" i="15"/>
  <c r="K1447" i="15"/>
  <c r="K1448" i="15"/>
  <c r="K1449" i="15"/>
  <c r="K1450" i="15"/>
  <c r="K1451" i="15"/>
  <c r="K1452" i="15"/>
  <c r="K1453" i="15"/>
  <c r="K1454" i="15"/>
  <c r="K1455" i="15"/>
  <c r="K1456" i="15"/>
  <c r="K1457" i="15"/>
  <c r="K1458" i="15"/>
  <c r="K1459" i="15"/>
  <c r="K1460" i="15"/>
  <c r="K1461" i="15"/>
  <c r="K1462" i="15"/>
  <c r="K1463" i="15"/>
  <c r="K1464" i="15"/>
  <c r="K1465" i="15"/>
  <c r="K1466" i="15"/>
  <c r="K1467" i="15"/>
  <c r="K1468" i="15"/>
  <c r="K1469" i="15"/>
  <c r="K1470" i="15"/>
  <c r="K1471" i="15"/>
  <c r="K1472" i="15"/>
  <c r="K1473" i="15"/>
  <c r="K1474" i="15"/>
  <c r="K1475" i="15"/>
  <c r="K1476" i="15"/>
  <c r="K1477" i="15"/>
  <c r="K1478" i="15"/>
  <c r="K1479" i="15"/>
  <c r="K1480" i="15"/>
  <c r="K1481" i="15"/>
  <c r="K1482" i="15"/>
  <c r="K1483" i="15"/>
  <c r="K1484" i="15"/>
  <c r="K1485" i="15"/>
  <c r="K1486" i="15"/>
  <c r="K1487" i="15"/>
  <c r="K1488" i="15"/>
  <c r="K1489" i="15"/>
  <c r="K1490" i="15"/>
  <c r="K1491" i="15"/>
  <c r="K1492" i="15"/>
  <c r="K1493" i="15"/>
  <c r="K1494" i="15"/>
  <c r="K1495" i="15"/>
  <c r="K1496" i="15"/>
  <c r="K1497" i="15"/>
  <c r="K1498" i="15"/>
  <c r="K1499" i="15"/>
  <c r="K1500" i="15"/>
  <c r="K1501" i="15"/>
  <c r="K1502" i="15"/>
  <c r="K1503" i="15"/>
  <c r="K1504" i="15"/>
  <c r="K1505" i="15"/>
  <c r="K1506" i="15"/>
  <c r="K1507" i="15"/>
  <c r="K1508" i="15"/>
  <c r="K1509" i="15"/>
  <c r="K1510" i="15"/>
  <c r="K1511" i="15"/>
  <c r="K1512" i="15"/>
  <c r="K1513" i="15"/>
  <c r="K1514" i="15"/>
  <c r="K1515" i="15"/>
  <c r="K1517" i="15"/>
  <c r="K1518" i="15"/>
  <c r="K1519" i="15"/>
  <c r="K1520" i="15"/>
  <c r="K1521" i="15"/>
  <c r="K1522" i="15"/>
  <c r="K1523" i="15"/>
  <c r="K1524" i="15"/>
  <c r="K1525" i="15"/>
  <c r="K1526" i="15"/>
  <c r="K1527" i="15"/>
  <c r="K1528" i="15"/>
  <c r="K1529" i="15"/>
  <c r="K1530" i="15"/>
  <c r="K1531" i="15"/>
  <c r="K1532" i="15"/>
  <c r="K1533" i="15"/>
  <c r="K1534" i="15"/>
  <c r="K1535" i="15"/>
  <c r="K1536" i="15"/>
  <c r="K1537" i="15"/>
  <c r="K1538" i="15"/>
  <c r="K1539" i="15"/>
  <c r="K1540" i="15"/>
  <c r="K1541" i="15"/>
  <c r="K1542" i="15"/>
  <c r="K1543" i="15"/>
  <c r="K1544" i="15"/>
  <c r="K1545" i="15"/>
  <c r="K1546" i="15"/>
  <c r="K1547" i="15"/>
  <c r="K1548" i="15"/>
  <c r="K1549" i="15"/>
  <c r="K1550" i="15"/>
  <c r="K1551" i="15"/>
  <c r="K1552" i="15"/>
  <c r="K1553" i="15"/>
  <c r="K1554" i="15"/>
  <c r="K1555" i="15"/>
  <c r="K1556" i="15"/>
  <c r="K1557" i="15"/>
  <c r="K1558" i="15"/>
  <c r="K1559" i="15"/>
  <c r="K1560" i="15"/>
  <c r="K1561" i="15"/>
  <c r="K1562" i="15"/>
  <c r="K1563" i="15"/>
  <c r="K1564" i="15"/>
  <c r="K1565" i="15"/>
  <c r="K1566" i="15"/>
  <c r="K1567" i="15"/>
  <c r="K1568" i="15"/>
  <c r="K1569" i="15"/>
  <c r="K1570" i="15"/>
  <c r="K1571" i="15"/>
  <c r="K1572" i="15"/>
  <c r="K1573" i="15"/>
  <c r="K1574" i="15"/>
  <c r="K1575" i="15"/>
  <c r="K1576" i="15"/>
  <c r="K1577" i="15"/>
  <c r="K1578" i="15"/>
  <c r="K1579" i="15"/>
  <c r="K1580" i="15"/>
  <c r="K1581" i="15"/>
  <c r="K1582" i="15"/>
  <c r="K1583" i="15"/>
  <c r="K1584" i="15"/>
  <c r="K1585" i="15"/>
  <c r="K1586" i="15"/>
  <c r="K1587" i="15"/>
  <c r="K1588" i="15"/>
  <c r="K1589" i="15"/>
  <c r="K1590" i="15"/>
  <c r="K1591" i="15"/>
  <c r="K1592" i="15"/>
  <c r="K1593" i="15"/>
  <c r="K1594" i="15"/>
  <c r="K1595" i="15"/>
  <c r="K1596" i="15"/>
  <c r="K1597" i="15"/>
  <c r="K1598" i="15"/>
  <c r="K1599" i="15"/>
  <c r="K1600" i="15"/>
  <c r="K1601" i="15"/>
  <c r="K1602" i="15"/>
  <c r="K1603" i="15"/>
  <c r="K1604" i="15"/>
  <c r="K1605" i="15"/>
  <c r="K1606" i="15"/>
  <c r="K1607" i="15"/>
  <c r="K1608" i="15"/>
  <c r="K1609" i="15"/>
  <c r="K1610" i="15"/>
  <c r="K1611" i="15"/>
  <c r="K1612" i="15"/>
  <c r="K1613" i="15"/>
  <c r="K1614" i="15"/>
  <c r="K1615" i="15"/>
  <c r="K1616" i="15"/>
  <c r="K1617" i="15"/>
  <c r="K1618" i="15"/>
  <c r="K1619" i="15"/>
  <c r="K1620" i="15"/>
  <c r="K1621" i="15"/>
  <c r="K1622" i="15"/>
  <c r="K1623" i="15"/>
  <c r="K1624" i="15"/>
  <c r="K1625" i="15"/>
  <c r="K1626" i="15"/>
  <c r="K1627" i="15"/>
  <c r="K1628" i="15"/>
  <c r="K1629" i="15"/>
  <c r="K1630" i="15"/>
  <c r="K1631" i="15"/>
  <c r="K1632" i="15"/>
  <c r="K1633" i="15"/>
  <c r="K1634" i="15"/>
  <c r="K1635" i="15"/>
  <c r="K1636" i="15"/>
  <c r="K1637" i="15"/>
  <c r="K1638" i="15"/>
  <c r="K1639" i="15"/>
  <c r="K1640" i="15"/>
  <c r="K1641" i="15"/>
  <c r="K1642" i="15"/>
  <c r="K1643" i="15"/>
  <c r="K1644" i="15"/>
  <c r="K1645" i="15"/>
  <c r="K1646" i="15"/>
  <c r="K1647" i="15"/>
  <c r="K1648" i="15"/>
  <c r="K1649" i="15"/>
  <c r="K1650" i="15"/>
  <c r="K1651" i="15"/>
  <c r="K1652" i="15"/>
  <c r="K1653" i="15"/>
  <c r="K1654" i="15"/>
  <c r="K1655" i="15"/>
  <c r="K1656" i="15"/>
  <c r="K1657" i="15"/>
  <c r="K1658" i="15"/>
  <c r="K1659" i="15"/>
  <c r="K1660" i="15"/>
  <c r="K1661" i="15"/>
  <c r="K1662" i="15"/>
  <c r="K1663" i="15"/>
  <c r="K1664" i="15"/>
  <c r="K1665" i="15"/>
  <c r="K1666" i="15"/>
  <c r="K1667" i="15"/>
  <c r="K1668" i="15"/>
  <c r="K1669" i="15"/>
  <c r="K1670" i="15"/>
  <c r="K1671" i="15"/>
  <c r="K1672" i="15"/>
  <c r="K1673" i="15"/>
  <c r="K1674" i="15"/>
  <c r="K1675" i="15"/>
  <c r="K1676" i="15"/>
  <c r="K1677" i="15"/>
  <c r="K1678" i="15"/>
  <c r="K1679" i="15"/>
  <c r="K1680" i="15"/>
  <c r="K1681" i="15"/>
  <c r="K1682" i="15"/>
  <c r="K1683" i="15"/>
  <c r="K1684" i="15"/>
  <c r="K1685" i="15"/>
  <c r="K1686" i="15"/>
  <c r="K1687" i="15"/>
  <c r="K1688" i="15"/>
  <c r="K1689" i="15"/>
  <c r="K1690" i="15"/>
  <c r="K1691" i="15"/>
  <c r="K1692" i="15"/>
  <c r="K1693" i="15"/>
  <c r="K1694" i="15"/>
  <c r="K1695" i="15"/>
  <c r="K1696" i="15"/>
  <c r="K1697" i="15"/>
  <c r="K1698" i="15"/>
  <c r="K1699" i="15"/>
  <c r="K1700" i="15"/>
  <c r="K1701" i="15"/>
  <c r="K1702" i="15"/>
  <c r="K1703" i="15"/>
  <c r="K1704" i="15"/>
  <c r="K1705" i="15"/>
  <c r="K1706" i="15"/>
  <c r="K1707" i="15"/>
  <c r="K1708" i="15"/>
  <c r="K1709" i="15"/>
  <c r="K1710" i="15"/>
  <c r="K1711" i="15"/>
  <c r="K1712" i="15"/>
  <c r="K1713" i="15"/>
  <c r="K1714" i="15"/>
  <c r="K1715" i="15"/>
  <c r="K1716" i="15"/>
  <c r="K1717" i="15"/>
  <c r="K1718" i="15"/>
  <c r="K1719" i="15"/>
  <c r="K1720" i="15"/>
  <c r="K1721" i="15"/>
  <c r="K1722" i="15"/>
  <c r="K1723" i="15"/>
  <c r="K1724" i="15"/>
  <c r="K1725" i="15"/>
  <c r="K1726" i="15"/>
  <c r="K1727" i="15"/>
  <c r="K1728" i="15"/>
  <c r="K1729" i="15"/>
  <c r="K1730" i="15"/>
  <c r="K1731" i="15"/>
  <c r="K1732" i="15"/>
  <c r="K1733" i="15"/>
  <c r="K1734" i="15"/>
  <c r="K1735" i="15"/>
  <c r="K1736" i="15"/>
  <c r="K1737" i="15"/>
  <c r="K1738" i="15"/>
  <c r="K1739" i="15"/>
  <c r="K1740" i="15"/>
  <c r="K1741" i="15"/>
  <c r="K1742" i="15"/>
  <c r="K1743" i="15"/>
  <c r="K1744" i="15"/>
  <c r="K1745" i="15"/>
  <c r="K1746" i="15"/>
  <c r="K1747" i="15"/>
  <c r="K1748" i="15"/>
  <c r="K1749" i="15"/>
  <c r="K1750" i="15"/>
  <c r="K1751" i="15"/>
  <c r="K1752" i="15"/>
  <c r="K1753" i="15"/>
  <c r="K1754" i="15"/>
  <c r="K1755" i="15"/>
  <c r="K1756" i="15"/>
  <c r="K1757" i="15"/>
  <c r="K1758" i="15"/>
  <c r="K1759" i="15"/>
  <c r="K1760" i="15"/>
  <c r="K1761" i="15"/>
  <c r="K1762" i="15"/>
  <c r="K1763" i="15"/>
  <c r="K1764" i="15"/>
  <c r="K1765" i="15"/>
  <c r="K1766" i="15"/>
  <c r="K1767" i="15"/>
  <c r="K1768" i="15"/>
  <c r="K1769" i="15"/>
  <c r="K1770" i="15"/>
  <c r="K1771" i="15"/>
  <c r="K1772" i="15"/>
  <c r="K1773" i="15"/>
  <c r="K1774" i="15"/>
  <c r="K1775" i="15"/>
  <c r="K1776" i="15"/>
  <c r="K1777" i="15"/>
  <c r="K1778" i="15"/>
  <c r="K1779" i="15"/>
  <c r="K1780" i="15"/>
  <c r="K1781" i="15"/>
  <c r="K1782" i="15"/>
  <c r="K1783" i="15"/>
  <c r="K1784" i="15"/>
  <c r="K1785" i="15"/>
  <c r="K1786" i="15"/>
  <c r="K1787" i="15"/>
  <c r="K1788" i="15"/>
  <c r="K1789" i="15"/>
  <c r="K1790" i="15"/>
  <c r="K1791" i="15"/>
  <c r="K1792" i="15"/>
  <c r="K1793" i="15"/>
  <c r="K1794" i="15"/>
  <c r="K1795" i="15"/>
  <c r="K1796" i="15"/>
  <c r="K1797" i="15"/>
  <c r="K1798" i="15"/>
  <c r="K1799" i="15"/>
  <c r="K1800" i="15"/>
  <c r="K1801" i="15"/>
  <c r="K1802" i="15"/>
  <c r="K1803" i="15"/>
  <c r="K1804" i="15"/>
  <c r="K1805" i="15"/>
  <c r="K1806" i="15"/>
  <c r="K1807" i="15"/>
  <c r="K1808" i="15"/>
  <c r="K1809" i="15"/>
  <c r="K1810" i="15"/>
  <c r="K1811" i="15"/>
  <c r="K1812" i="15"/>
  <c r="K1813" i="15"/>
  <c r="K1814" i="15"/>
  <c r="K1815" i="15"/>
  <c r="K1816" i="15"/>
  <c r="K1817" i="15"/>
  <c r="K1818" i="15"/>
  <c r="K1819" i="15"/>
  <c r="K1820" i="15"/>
  <c r="K1821" i="15"/>
  <c r="K1822" i="15"/>
  <c r="K1823" i="15"/>
  <c r="K1824" i="15"/>
  <c r="K1825" i="15"/>
  <c r="K1826" i="15"/>
  <c r="K1827" i="15"/>
  <c r="K1828" i="15"/>
  <c r="K1829" i="15"/>
  <c r="K1830" i="15"/>
  <c r="K1831" i="15"/>
  <c r="K1832" i="15"/>
  <c r="K1833" i="15"/>
  <c r="K1834" i="15"/>
  <c r="K1835" i="15"/>
  <c r="K1836" i="15"/>
  <c r="K1837" i="15"/>
  <c r="K1838" i="15"/>
  <c r="K1839" i="15"/>
  <c r="K1840" i="15"/>
  <c r="K1841" i="15"/>
  <c r="K1842" i="15"/>
  <c r="K1843" i="15"/>
  <c r="K1844" i="15"/>
  <c r="K1845" i="15"/>
  <c r="K1846" i="15"/>
  <c r="K1847" i="15"/>
  <c r="K1848" i="15"/>
  <c r="K1849" i="15"/>
  <c r="K1850" i="15"/>
  <c r="K1851" i="15"/>
  <c r="K1852" i="15"/>
  <c r="K1853" i="15"/>
  <c r="K1854" i="15"/>
  <c r="K1855" i="15"/>
  <c r="K1856" i="15"/>
  <c r="K1857" i="15"/>
  <c r="K1858" i="15"/>
  <c r="K1859" i="15"/>
  <c r="K1860" i="15"/>
  <c r="K1861" i="15"/>
  <c r="K1862" i="15"/>
  <c r="K1863" i="15"/>
  <c r="K1864" i="15"/>
  <c r="K1865" i="15"/>
  <c r="K1866" i="15"/>
  <c r="K1867" i="15"/>
  <c r="K1868" i="15"/>
  <c r="K1869" i="15"/>
  <c r="K1870" i="15"/>
  <c r="K1871" i="15"/>
  <c r="K1872" i="15"/>
  <c r="K1873" i="15"/>
  <c r="K1874" i="15"/>
  <c r="K1875" i="15"/>
  <c r="K1876" i="15"/>
  <c r="K1877" i="15"/>
  <c r="K1878" i="15"/>
  <c r="K1879" i="15"/>
  <c r="K1880" i="15"/>
  <c r="K1881" i="15"/>
  <c r="K1882" i="15"/>
  <c r="K1883" i="15"/>
  <c r="K1884" i="15"/>
  <c r="K1885" i="15"/>
  <c r="K1886" i="15"/>
  <c r="K1887" i="15"/>
  <c r="K1888" i="15"/>
  <c r="K1889" i="15"/>
  <c r="K1890" i="15"/>
  <c r="K1891" i="15"/>
  <c r="K1892" i="15"/>
  <c r="K1893" i="15"/>
  <c r="K1894" i="15"/>
  <c r="K1895" i="15"/>
  <c r="K1896" i="15"/>
  <c r="K1897" i="15"/>
  <c r="K1898" i="15"/>
  <c r="K1899" i="15"/>
  <c r="K1900" i="15"/>
  <c r="K1901" i="15"/>
  <c r="K1902" i="15"/>
  <c r="K1903" i="15"/>
  <c r="K1904" i="15"/>
  <c r="K1905" i="15"/>
  <c r="K1906" i="15"/>
  <c r="K1907" i="15"/>
  <c r="K1908" i="15"/>
  <c r="K1909" i="15"/>
  <c r="K1910" i="15"/>
  <c r="K1911" i="15"/>
  <c r="K1912" i="15"/>
  <c r="K1913" i="15"/>
  <c r="K1914" i="15"/>
  <c r="K1915" i="15"/>
  <c r="K1916" i="15"/>
  <c r="K1917" i="15"/>
  <c r="K1918" i="15"/>
  <c r="K1919" i="15"/>
  <c r="K1920" i="15"/>
  <c r="K1921" i="15"/>
  <c r="K1922" i="15"/>
  <c r="K1923" i="15"/>
  <c r="K1924" i="15"/>
  <c r="K1925" i="15"/>
  <c r="K1926" i="15"/>
  <c r="K1927" i="15"/>
  <c r="K1928" i="15"/>
  <c r="K1929" i="15"/>
  <c r="K1930" i="15"/>
  <c r="K1931" i="15"/>
  <c r="K1932" i="15"/>
  <c r="K1933" i="15"/>
  <c r="K1934" i="15"/>
  <c r="K1935" i="15"/>
  <c r="K1936" i="15"/>
  <c r="K1937" i="15"/>
  <c r="K1938" i="15"/>
  <c r="K1939" i="15"/>
  <c r="K1940" i="15"/>
  <c r="K1941" i="15"/>
  <c r="K1942" i="15"/>
  <c r="K1943" i="15"/>
  <c r="K1944" i="15"/>
  <c r="K1945" i="15"/>
  <c r="K1946" i="15"/>
  <c r="K1947" i="15"/>
  <c r="K1948" i="15"/>
  <c r="K1949" i="15"/>
  <c r="K1950" i="15"/>
  <c r="K1951" i="15"/>
  <c r="K1952" i="15"/>
  <c r="K1953" i="15"/>
  <c r="K1954" i="15"/>
  <c r="K1955" i="15"/>
  <c r="K1956" i="15"/>
  <c r="K1957" i="15"/>
  <c r="K1958" i="15"/>
  <c r="K1959" i="15"/>
  <c r="K1960" i="15"/>
  <c r="K1961" i="15"/>
  <c r="K1962" i="15"/>
  <c r="K1963" i="15"/>
  <c r="K1964" i="15"/>
  <c r="K1965" i="15"/>
  <c r="K1966" i="15"/>
  <c r="K1967" i="15"/>
  <c r="K1968" i="15"/>
  <c r="K1969" i="15"/>
  <c r="K1970" i="15"/>
  <c r="K1971" i="15"/>
  <c r="K1972" i="15"/>
  <c r="K1973" i="15"/>
  <c r="K1974" i="15"/>
  <c r="K1975" i="15"/>
  <c r="K1976" i="15"/>
  <c r="K1977" i="15"/>
  <c r="K1978" i="15"/>
  <c r="K1979" i="15"/>
  <c r="K1980" i="15"/>
  <c r="K1981" i="15"/>
  <c r="K1982" i="15"/>
  <c r="K1983" i="15"/>
  <c r="K1984" i="15"/>
  <c r="K1985" i="15"/>
  <c r="K1986" i="15"/>
  <c r="K1987" i="15"/>
  <c r="K1988" i="15"/>
  <c r="K1989" i="15"/>
  <c r="K1990" i="15"/>
  <c r="K1991" i="15"/>
  <c r="K1992" i="15"/>
  <c r="K1993" i="15"/>
  <c r="K1994" i="15"/>
  <c r="K1995" i="15"/>
  <c r="K1996" i="15"/>
  <c r="K1997" i="15"/>
  <c r="K1998" i="15"/>
  <c r="K1999" i="15"/>
  <c r="K2000" i="15"/>
  <c r="K2001" i="15"/>
  <c r="K2002" i="15"/>
  <c r="K2003" i="15"/>
  <c r="K2004" i="15"/>
  <c r="K2005" i="15"/>
  <c r="K2006" i="15"/>
  <c r="K2007" i="15"/>
  <c r="K2008" i="15"/>
  <c r="K2009" i="15"/>
  <c r="K2010" i="15"/>
  <c r="K2011" i="15"/>
  <c r="K2012" i="15"/>
  <c r="K2013" i="15"/>
  <c r="K2014" i="15"/>
  <c r="K2015" i="15"/>
  <c r="K2016" i="15"/>
  <c r="K2017" i="15"/>
  <c r="K2018" i="15"/>
  <c r="K2019" i="15"/>
  <c r="K2020" i="15"/>
  <c r="K2021" i="15"/>
  <c r="K2022" i="15"/>
  <c r="K2023" i="15"/>
  <c r="K2024" i="15"/>
  <c r="K2025" i="15"/>
  <c r="K2026" i="15"/>
  <c r="K2027" i="15"/>
  <c r="K2028" i="15"/>
  <c r="K2029" i="15"/>
  <c r="K2030" i="15"/>
  <c r="K2031" i="15"/>
  <c r="K2032" i="15"/>
  <c r="K2033" i="15"/>
  <c r="K2034" i="15"/>
  <c r="K2035" i="15"/>
  <c r="K2036" i="15"/>
  <c r="K2037" i="15"/>
  <c r="K2038" i="15"/>
  <c r="K2039" i="15"/>
  <c r="K2040" i="15"/>
  <c r="K2041" i="15"/>
  <c r="K2042" i="15"/>
  <c r="K2043" i="15"/>
  <c r="K2044" i="15"/>
  <c r="K2045" i="15"/>
  <c r="K2046" i="15"/>
  <c r="K2047" i="15"/>
  <c r="K2048" i="15"/>
  <c r="K2049" i="15"/>
  <c r="K2050" i="15"/>
  <c r="K2051" i="15"/>
  <c r="K2052" i="15"/>
  <c r="K2053" i="15"/>
  <c r="K2054" i="15"/>
  <c r="K2055" i="15"/>
  <c r="K2056" i="15"/>
  <c r="K2057" i="15"/>
  <c r="K2058" i="15"/>
  <c r="K2059" i="15"/>
  <c r="K2060" i="15"/>
  <c r="K2061" i="15"/>
  <c r="K2062" i="15"/>
  <c r="K2063" i="15"/>
  <c r="K2064" i="15"/>
  <c r="K2065" i="15"/>
  <c r="K2066" i="15"/>
  <c r="K2067" i="15"/>
  <c r="K2068" i="15"/>
  <c r="K2069" i="15"/>
  <c r="K2070" i="15"/>
  <c r="K2071" i="15"/>
  <c r="K2072" i="15"/>
  <c r="K2073" i="15"/>
  <c r="K2074" i="15"/>
  <c r="K2075" i="15"/>
  <c r="K2076" i="15"/>
  <c r="K2077" i="15"/>
  <c r="K2078" i="15"/>
  <c r="K2079" i="15"/>
  <c r="K2080" i="15"/>
  <c r="K2081" i="15"/>
  <c r="K2082" i="15"/>
  <c r="K2083" i="15"/>
  <c r="K2084" i="15"/>
  <c r="K2085" i="15"/>
  <c r="K2086" i="15"/>
  <c r="K2087" i="15"/>
  <c r="K2088" i="15"/>
  <c r="K2089" i="15"/>
  <c r="K2090" i="15"/>
  <c r="K2091" i="15"/>
  <c r="K2092" i="15"/>
  <c r="K2093" i="15"/>
  <c r="K2094" i="15"/>
  <c r="K2095" i="15"/>
  <c r="K2096" i="15"/>
  <c r="K2097" i="15"/>
  <c r="K2098" i="15"/>
  <c r="K2099" i="15"/>
  <c r="K2100" i="15"/>
  <c r="K2101" i="15"/>
  <c r="K2102" i="15"/>
  <c r="K2103" i="15"/>
  <c r="K2104" i="15"/>
  <c r="K2105" i="15"/>
  <c r="K2106" i="15"/>
  <c r="K2107" i="15"/>
  <c r="K2108" i="15"/>
  <c r="K2109" i="15"/>
  <c r="K2110" i="15"/>
  <c r="K2111" i="15"/>
  <c r="K2112" i="15"/>
  <c r="K2113" i="15"/>
  <c r="K2114" i="15"/>
  <c r="K2115" i="15"/>
  <c r="K2116" i="15"/>
  <c r="K2117" i="15"/>
  <c r="K2118" i="15"/>
  <c r="K2119" i="15"/>
  <c r="K2120" i="15"/>
  <c r="K2121" i="15"/>
  <c r="K2122" i="15"/>
  <c r="K2123" i="15"/>
  <c r="K2124" i="15"/>
  <c r="K2125" i="15"/>
  <c r="K2126" i="15"/>
  <c r="K2127" i="15"/>
  <c r="K2128" i="15"/>
  <c r="K2129" i="15"/>
  <c r="K2130" i="15"/>
  <c r="K2131" i="15"/>
  <c r="K2132" i="15"/>
  <c r="K2133" i="15"/>
  <c r="K2134" i="15"/>
  <c r="K2135" i="15"/>
  <c r="K2136" i="15"/>
  <c r="K2137" i="15"/>
  <c r="K2138" i="15"/>
  <c r="K2139" i="15"/>
  <c r="K2140" i="15"/>
  <c r="K2141" i="15"/>
  <c r="K2142" i="15"/>
  <c r="K2143" i="15"/>
  <c r="K2144" i="15"/>
  <c r="K2145" i="15"/>
  <c r="K2146" i="15"/>
  <c r="K2147" i="15"/>
  <c r="K2148" i="15"/>
  <c r="K2149" i="15"/>
  <c r="K2150" i="15"/>
  <c r="K2151" i="15"/>
  <c r="K2152" i="15"/>
  <c r="K2153" i="15"/>
  <c r="K2154" i="15"/>
  <c r="K2155" i="15"/>
  <c r="K2156" i="15"/>
  <c r="K2157" i="15"/>
  <c r="K2158" i="15"/>
  <c r="K2159" i="15"/>
  <c r="K2160" i="15"/>
  <c r="K2161" i="15"/>
  <c r="K2162" i="15"/>
  <c r="K2163" i="15"/>
  <c r="K2164" i="15"/>
  <c r="K2165" i="15"/>
  <c r="K2166" i="15"/>
  <c r="K2167" i="15"/>
  <c r="K2168" i="15"/>
  <c r="K2169" i="15"/>
  <c r="K2170" i="15"/>
  <c r="K2171" i="15"/>
  <c r="K2172" i="15"/>
  <c r="K2173" i="15"/>
  <c r="K2174" i="15"/>
  <c r="K2175" i="15"/>
  <c r="K2176" i="15"/>
  <c r="K2177" i="15"/>
  <c r="K2178" i="15"/>
  <c r="K2179" i="15"/>
  <c r="K2180" i="15"/>
  <c r="K2181" i="15"/>
  <c r="K2182" i="15"/>
  <c r="K2183" i="15"/>
  <c r="K2184" i="15"/>
  <c r="K2185" i="15"/>
  <c r="K2186" i="15"/>
  <c r="K2187" i="15"/>
  <c r="K2188" i="15"/>
  <c r="K2189" i="15"/>
  <c r="K2190" i="15"/>
  <c r="K2191" i="15"/>
  <c r="K2192" i="15"/>
  <c r="K2193" i="15"/>
  <c r="K2194" i="15"/>
  <c r="K2195" i="15"/>
  <c r="K2196" i="15"/>
  <c r="K2197" i="15"/>
  <c r="K2198" i="15"/>
  <c r="K2199" i="15"/>
  <c r="K2200" i="15"/>
  <c r="K2201" i="15"/>
  <c r="K2202" i="15"/>
  <c r="K2203" i="15"/>
  <c r="K2204" i="15"/>
  <c r="K2205" i="15"/>
  <c r="K2206" i="15"/>
  <c r="K2207" i="15"/>
  <c r="K2208" i="15"/>
  <c r="K2209" i="15"/>
  <c r="K2210" i="15"/>
  <c r="K2211" i="15"/>
  <c r="K2212" i="15"/>
  <c r="K2213" i="15"/>
  <c r="K2214" i="15"/>
  <c r="K2215" i="15"/>
  <c r="K2216" i="15"/>
  <c r="K2217" i="15"/>
  <c r="K2218" i="15"/>
  <c r="K2219" i="15"/>
  <c r="K2220" i="15"/>
  <c r="K2221" i="15"/>
  <c r="K2222" i="15"/>
  <c r="K2223" i="15"/>
  <c r="K2224" i="15"/>
  <c r="K2225" i="15"/>
  <c r="K2226" i="15"/>
  <c r="K2227" i="15"/>
  <c r="K2228" i="15"/>
  <c r="K2229" i="15"/>
  <c r="K2230" i="15"/>
  <c r="K2231" i="15"/>
  <c r="K2232" i="15"/>
  <c r="K2233" i="15"/>
  <c r="K2234" i="15"/>
  <c r="K2235" i="15"/>
  <c r="K2236" i="15"/>
  <c r="K2237" i="15"/>
  <c r="K2238" i="15"/>
  <c r="K2239" i="15"/>
  <c r="K2240" i="15"/>
  <c r="K2241" i="15"/>
  <c r="K2242" i="15"/>
  <c r="K2243" i="15"/>
  <c r="K2244" i="15"/>
  <c r="K2245" i="15"/>
  <c r="K2246" i="15"/>
  <c r="K2247" i="15"/>
  <c r="K2248" i="15"/>
  <c r="K2249" i="15"/>
  <c r="K2250" i="15"/>
  <c r="K2251" i="15"/>
  <c r="K2252" i="15"/>
  <c r="K2253" i="15"/>
  <c r="K2254" i="15"/>
  <c r="K2255" i="15"/>
  <c r="K2256" i="15"/>
  <c r="K2257" i="15"/>
  <c r="K2258" i="15"/>
  <c r="K2259" i="15"/>
  <c r="K2260" i="15"/>
  <c r="K2261" i="15"/>
  <c r="K2262" i="15"/>
  <c r="K2263" i="15"/>
  <c r="K2264" i="15"/>
  <c r="K2265" i="15"/>
  <c r="K2266" i="15"/>
  <c r="K2267" i="15"/>
  <c r="K2268" i="15"/>
  <c r="K2269" i="15"/>
  <c r="K2270" i="15"/>
  <c r="K2271" i="15"/>
  <c r="K2272" i="15"/>
  <c r="K2273" i="15"/>
  <c r="K2274" i="15"/>
  <c r="K2275" i="15"/>
  <c r="K2276" i="15"/>
  <c r="K2277" i="15"/>
  <c r="K2278" i="15"/>
  <c r="K2279" i="15"/>
  <c r="K2280" i="15"/>
  <c r="K2281" i="15"/>
  <c r="K2282" i="15"/>
  <c r="K2283" i="15"/>
  <c r="K2284" i="15"/>
  <c r="K2285" i="15"/>
  <c r="K2286" i="15"/>
  <c r="K2287" i="15"/>
  <c r="K2288" i="15"/>
  <c r="K2289" i="15"/>
  <c r="K2290" i="15"/>
  <c r="K2291" i="15"/>
  <c r="K2292" i="15"/>
  <c r="K2293" i="15"/>
  <c r="K2294" i="15"/>
  <c r="K2295" i="15"/>
  <c r="K2296" i="15"/>
  <c r="K2297" i="15"/>
  <c r="K2298" i="15"/>
  <c r="K2299" i="15"/>
  <c r="K2300" i="15"/>
  <c r="K2301" i="15"/>
  <c r="K2302" i="15"/>
  <c r="K2303" i="15"/>
  <c r="K2304" i="15"/>
  <c r="K2305" i="15"/>
  <c r="K2306" i="15"/>
  <c r="K2307" i="15"/>
  <c r="K2308" i="15"/>
  <c r="K2309" i="15"/>
  <c r="K2310" i="15"/>
  <c r="K2311" i="15"/>
  <c r="K2312" i="15"/>
  <c r="K2313" i="15"/>
  <c r="K2314" i="15"/>
  <c r="K2315" i="15"/>
  <c r="K2316" i="15"/>
  <c r="K2317" i="15"/>
  <c r="K2318" i="15"/>
  <c r="K2319" i="15"/>
  <c r="K2320" i="15"/>
  <c r="K2321" i="15"/>
  <c r="K2322" i="15"/>
  <c r="K2323" i="15"/>
  <c r="K2324" i="15"/>
  <c r="K2325" i="15"/>
  <c r="K2326" i="15"/>
  <c r="K2327" i="15"/>
  <c r="K2328" i="15"/>
  <c r="K2329" i="15"/>
  <c r="K2330" i="15"/>
  <c r="K2331" i="15"/>
  <c r="K2332" i="15"/>
  <c r="K2333" i="15"/>
  <c r="K2334" i="15"/>
  <c r="K2335" i="15"/>
  <c r="K2336" i="15"/>
  <c r="K2337" i="15"/>
  <c r="K2338" i="15"/>
  <c r="K2339" i="15"/>
  <c r="K2340" i="15"/>
  <c r="K2341" i="15"/>
  <c r="K2342" i="15"/>
  <c r="K2343" i="15"/>
  <c r="K2344" i="15"/>
  <c r="K2345" i="15"/>
  <c r="K2346" i="15"/>
  <c r="K2347" i="15"/>
  <c r="K2348" i="15"/>
  <c r="K2349" i="15"/>
  <c r="K2350" i="15"/>
  <c r="K2351" i="15"/>
  <c r="K2352" i="15"/>
  <c r="K2353" i="15"/>
  <c r="K2354" i="15"/>
  <c r="K2355" i="15"/>
  <c r="K2356" i="15"/>
  <c r="K2357" i="15"/>
  <c r="K2358" i="15"/>
  <c r="K2359" i="15"/>
  <c r="K2360" i="15"/>
  <c r="K2361" i="15"/>
  <c r="K2362" i="15"/>
  <c r="K2363" i="15"/>
  <c r="K2364" i="15"/>
  <c r="K2365" i="15"/>
  <c r="K2366" i="15"/>
  <c r="K2367" i="15"/>
  <c r="K2368" i="15"/>
  <c r="K2369" i="15"/>
  <c r="K2370" i="15"/>
  <c r="K2371" i="15"/>
  <c r="K2372" i="15"/>
  <c r="K2373" i="15"/>
  <c r="K2374" i="15"/>
  <c r="K2375" i="15"/>
  <c r="K2376" i="15"/>
  <c r="K2377" i="15"/>
  <c r="K2378" i="15"/>
  <c r="K2379" i="15"/>
  <c r="K2380" i="15"/>
  <c r="K2381" i="15"/>
  <c r="K2382" i="15"/>
  <c r="K2383" i="15"/>
  <c r="K2384" i="15"/>
  <c r="K2385" i="15"/>
  <c r="K2386" i="15"/>
  <c r="K2387" i="15"/>
  <c r="K2388" i="15"/>
  <c r="K2389" i="15"/>
  <c r="K2390" i="15"/>
  <c r="K2391" i="15"/>
  <c r="K2392" i="15"/>
  <c r="K2393" i="15"/>
  <c r="K2394" i="15"/>
  <c r="K2395" i="15"/>
  <c r="K2396" i="15"/>
  <c r="K2397" i="15"/>
  <c r="K2398" i="15"/>
  <c r="K2399" i="15"/>
  <c r="K2400" i="15"/>
  <c r="K2401" i="15"/>
  <c r="K2402" i="15"/>
  <c r="K2403" i="15"/>
  <c r="K2404" i="15"/>
  <c r="K2405" i="15"/>
  <c r="K2406" i="15"/>
  <c r="K2407" i="15"/>
  <c r="K2408" i="15"/>
  <c r="K2409" i="15"/>
  <c r="K2410" i="15"/>
  <c r="K2411" i="15"/>
  <c r="K2412" i="15"/>
  <c r="K2413" i="15"/>
  <c r="K2414" i="15"/>
  <c r="K2415" i="15"/>
  <c r="K2416" i="15"/>
  <c r="K2417" i="15"/>
  <c r="K2418" i="15"/>
  <c r="K2419" i="15"/>
  <c r="K2420" i="15"/>
  <c r="K2421" i="15"/>
  <c r="K2422" i="15"/>
  <c r="K2423" i="15"/>
  <c r="K2424" i="15"/>
  <c r="K2425" i="15"/>
  <c r="K2426" i="15"/>
  <c r="K2427" i="15"/>
  <c r="K2428" i="15"/>
  <c r="K2429" i="15"/>
  <c r="K2430" i="15"/>
  <c r="K2431" i="15"/>
  <c r="K2432" i="15"/>
  <c r="K2433" i="15"/>
  <c r="K2434" i="15"/>
  <c r="K2435" i="15"/>
  <c r="K2436" i="15"/>
  <c r="K2437" i="15"/>
  <c r="K2438" i="15"/>
  <c r="K2439" i="15"/>
  <c r="K2440" i="15"/>
  <c r="K2441" i="15"/>
  <c r="K2442" i="15"/>
  <c r="K2443" i="15"/>
  <c r="K2444" i="15"/>
  <c r="K2445" i="15"/>
  <c r="K2446" i="15"/>
  <c r="K2447" i="15"/>
  <c r="K2448" i="15"/>
  <c r="K2449" i="15"/>
  <c r="K2450" i="15"/>
  <c r="K2451" i="15"/>
  <c r="K2452" i="15"/>
  <c r="K2453" i="15"/>
  <c r="K2454" i="15"/>
  <c r="K2455" i="15"/>
  <c r="K2456" i="15"/>
  <c r="K2457" i="15"/>
  <c r="K2458" i="15"/>
  <c r="K2459" i="15"/>
  <c r="K2460" i="15"/>
  <c r="K2461" i="15"/>
  <c r="K2462" i="15"/>
  <c r="K2463" i="15"/>
  <c r="K2464" i="15"/>
  <c r="K2465" i="15"/>
  <c r="K2466" i="15"/>
  <c r="K2467" i="15"/>
  <c r="K2468" i="15"/>
  <c r="K2469" i="15"/>
  <c r="K2470" i="15"/>
  <c r="K2471" i="15"/>
  <c r="K2472" i="15"/>
  <c r="K2473" i="15"/>
  <c r="K2474" i="15"/>
  <c r="K2475" i="15"/>
  <c r="K2476" i="15"/>
  <c r="K2477" i="15"/>
  <c r="K2478" i="15"/>
  <c r="K2479" i="15"/>
  <c r="K2480" i="15"/>
  <c r="K2481" i="15"/>
  <c r="K2482" i="15"/>
  <c r="K2483" i="15"/>
  <c r="K2484" i="15"/>
  <c r="K2485" i="15"/>
  <c r="K2486" i="15"/>
  <c r="K2487" i="15"/>
  <c r="K2488" i="15"/>
  <c r="K2489" i="15"/>
  <c r="K2490" i="15"/>
  <c r="K2491" i="15"/>
  <c r="K2492" i="15"/>
  <c r="K2493" i="15"/>
  <c r="K2494" i="15"/>
  <c r="K2495" i="15"/>
  <c r="K2496" i="15"/>
  <c r="K2497" i="15"/>
  <c r="K2498" i="15"/>
  <c r="K2499" i="15"/>
  <c r="K2500" i="15"/>
  <c r="K2501" i="15"/>
  <c r="K2502" i="15"/>
  <c r="K2503" i="15"/>
  <c r="K2504" i="15"/>
  <c r="K2505" i="15"/>
  <c r="K2506" i="15"/>
  <c r="K2507" i="15"/>
  <c r="K2508" i="15"/>
  <c r="K2509" i="15"/>
  <c r="K2510" i="15"/>
  <c r="K2511" i="15"/>
  <c r="K2512" i="15"/>
  <c r="K2513" i="15"/>
  <c r="K2514" i="15"/>
  <c r="K2515" i="15"/>
  <c r="K2516" i="15"/>
  <c r="K2517" i="15"/>
  <c r="K2518" i="15"/>
  <c r="K2519" i="15"/>
  <c r="K2520" i="15"/>
  <c r="K2521" i="15"/>
  <c r="K2522" i="15"/>
  <c r="K2523" i="15"/>
  <c r="K2524" i="15"/>
  <c r="K2525" i="15"/>
  <c r="K2526" i="15"/>
  <c r="K2527" i="15"/>
  <c r="K2528" i="15"/>
  <c r="K2529" i="15"/>
  <c r="K2530" i="15"/>
  <c r="K2531" i="15"/>
  <c r="K2532" i="15"/>
  <c r="K2533" i="15"/>
  <c r="K2534" i="15"/>
  <c r="K2535" i="15"/>
  <c r="K2536" i="15"/>
  <c r="K2537" i="15"/>
  <c r="K2538" i="15"/>
  <c r="K2539" i="15"/>
  <c r="K2540" i="15"/>
  <c r="K2541" i="15"/>
  <c r="K2542" i="15"/>
  <c r="K2543" i="15"/>
  <c r="K2544" i="15"/>
  <c r="K2545" i="15"/>
  <c r="K2546" i="15"/>
  <c r="K2547" i="15"/>
  <c r="K2548" i="15"/>
  <c r="K2549" i="15"/>
  <c r="K2550" i="15"/>
  <c r="K2551" i="15"/>
  <c r="K2552" i="15"/>
  <c r="K2553" i="15"/>
  <c r="K2554" i="15"/>
  <c r="K2555" i="15"/>
  <c r="K2556" i="15"/>
  <c r="K2557" i="15"/>
  <c r="K2558" i="15"/>
  <c r="K2559" i="15"/>
  <c r="K2560" i="15"/>
  <c r="K2561" i="15"/>
  <c r="K2562" i="15"/>
  <c r="K2563" i="15"/>
  <c r="K2564" i="15"/>
  <c r="K2565" i="15"/>
  <c r="K2566" i="15"/>
  <c r="K2567" i="15"/>
  <c r="K2568" i="15"/>
  <c r="K2569" i="15"/>
  <c r="K2570" i="15"/>
  <c r="K2571" i="15"/>
  <c r="K2572" i="15"/>
  <c r="K2573" i="15"/>
  <c r="K2574" i="15"/>
  <c r="K2575" i="15"/>
  <c r="K2576" i="15"/>
  <c r="K2577" i="15"/>
  <c r="K2578" i="15"/>
  <c r="K2579" i="15"/>
  <c r="K2580" i="15"/>
  <c r="K2581" i="15"/>
  <c r="K2582" i="15"/>
  <c r="K2583" i="15"/>
  <c r="K2584" i="15"/>
  <c r="K2585" i="15"/>
  <c r="K2586" i="15"/>
  <c r="K2587" i="15"/>
  <c r="K2588" i="15"/>
  <c r="K2589" i="15"/>
  <c r="K2590" i="15"/>
  <c r="K2591" i="15"/>
  <c r="K2592" i="15"/>
  <c r="K2593" i="15"/>
  <c r="K2594" i="15"/>
  <c r="K2595" i="15"/>
  <c r="K2596" i="15"/>
  <c r="K2597" i="15"/>
  <c r="K2598" i="15"/>
  <c r="K2599" i="15"/>
  <c r="K2600" i="15"/>
  <c r="K2601" i="15"/>
  <c r="K2602" i="15"/>
  <c r="K2603" i="15"/>
  <c r="K2604" i="15"/>
  <c r="K2605" i="15"/>
  <c r="K2606" i="15"/>
  <c r="K2607" i="15"/>
  <c r="K2608" i="15"/>
  <c r="K2609" i="15"/>
  <c r="K2610" i="15"/>
  <c r="K2611" i="15"/>
  <c r="K2612" i="15"/>
  <c r="K2613" i="15"/>
  <c r="K2614" i="15"/>
  <c r="K2615" i="15"/>
  <c r="K2616" i="15"/>
  <c r="K2617" i="15"/>
  <c r="K2618" i="15"/>
  <c r="K2619" i="15"/>
  <c r="K2620" i="15"/>
  <c r="K2621" i="15"/>
  <c r="K2622" i="15"/>
  <c r="K2623" i="15"/>
  <c r="K2624" i="15"/>
  <c r="K2625" i="15"/>
  <c r="K2626" i="15"/>
  <c r="K2627" i="15"/>
  <c r="K2628" i="15"/>
  <c r="K2629" i="15"/>
  <c r="K2630" i="15"/>
  <c r="K2631" i="15"/>
  <c r="K2632" i="15"/>
  <c r="K2633" i="15"/>
  <c r="K2634" i="15"/>
  <c r="K2635" i="15"/>
  <c r="K2636" i="15"/>
  <c r="K2637" i="15"/>
  <c r="K2638" i="15"/>
  <c r="K2639" i="15"/>
  <c r="K2640" i="15"/>
  <c r="K2641" i="15"/>
  <c r="K2642" i="15"/>
  <c r="K2643" i="15"/>
  <c r="K2644" i="15"/>
  <c r="K2645" i="15"/>
  <c r="K2646" i="15"/>
  <c r="K2647" i="15"/>
  <c r="K2648" i="15"/>
  <c r="K2649" i="15"/>
  <c r="K2650" i="15"/>
  <c r="K2651" i="15"/>
  <c r="K2652" i="15"/>
  <c r="K2653" i="15"/>
  <c r="K2654" i="15"/>
  <c r="K2655" i="15"/>
  <c r="K2656" i="15"/>
  <c r="K2657" i="15"/>
  <c r="K2658" i="15"/>
  <c r="K2659" i="15"/>
  <c r="K2660" i="15"/>
  <c r="K2661" i="15"/>
  <c r="K2662" i="15"/>
  <c r="K2663" i="15"/>
  <c r="K2664" i="15"/>
  <c r="K2665" i="15"/>
  <c r="K2666" i="15"/>
  <c r="K2667" i="15"/>
  <c r="K2668" i="15"/>
  <c r="K2669" i="15"/>
  <c r="K2670" i="15"/>
  <c r="K2671" i="15"/>
  <c r="K2672" i="15"/>
  <c r="K2673" i="15"/>
  <c r="K2674" i="15"/>
  <c r="K2675" i="15"/>
  <c r="K2676" i="15"/>
  <c r="K2677" i="15"/>
  <c r="K2678" i="15"/>
  <c r="K2679" i="15"/>
  <c r="K2680" i="15"/>
  <c r="K2681" i="15"/>
  <c r="K2682" i="15"/>
  <c r="K2683" i="15"/>
  <c r="K2684" i="15"/>
  <c r="K2685" i="15"/>
  <c r="K2686" i="15"/>
  <c r="K2687" i="15"/>
  <c r="K2688" i="15"/>
  <c r="K2689" i="15"/>
  <c r="K2690" i="15"/>
  <c r="K2691" i="15"/>
  <c r="K2692" i="15"/>
  <c r="K2693" i="15"/>
  <c r="K2694" i="15"/>
  <c r="K2695" i="15"/>
  <c r="K2696" i="15"/>
  <c r="K2697" i="15"/>
  <c r="K2698" i="15"/>
  <c r="K2699" i="15"/>
  <c r="K2700" i="15"/>
  <c r="K2701" i="15"/>
  <c r="K2702" i="15"/>
  <c r="K2703" i="15"/>
  <c r="K2704" i="15"/>
  <c r="K2705" i="15"/>
  <c r="K2706" i="15"/>
  <c r="K2707" i="15"/>
  <c r="K2708" i="15"/>
  <c r="K2709" i="15"/>
  <c r="K2710" i="15"/>
  <c r="K2711" i="15"/>
  <c r="K2712" i="15"/>
  <c r="K2713" i="15"/>
  <c r="K2714" i="15"/>
  <c r="K2715" i="15"/>
  <c r="K2716" i="15"/>
  <c r="K2717" i="15"/>
  <c r="K2718" i="15"/>
  <c r="K2719" i="15"/>
  <c r="K2720" i="15"/>
  <c r="K2721" i="15"/>
  <c r="K2722" i="15"/>
  <c r="K2723" i="15"/>
  <c r="K2724" i="15"/>
  <c r="K2725" i="15"/>
  <c r="K2726" i="15"/>
  <c r="K2727" i="15"/>
  <c r="K2728" i="15"/>
  <c r="K2729" i="15"/>
  <c r="K2730" i="15"/>
  <c r="K2731" i="15"/>
  <c r="K2732" i="15"/>
  <c r="K2733" i="15"/>
  <c r="K2734" i="15"/>
  <c r="K2735" i="15"/>
  <c r="K2736" i="15"/>
  <c r="K2737" i="15"/>
  <c r="K2738" i="15"/>
  <c r="K2739" i="15"/>
  <c r="K2740" i="15"/>
  <c r="K2741" i="15"/>
  <c r="K2742" i="15"/>
  <c r="K2743" i="15"/>
  <c r="K2744" i="15"/>
  <c r="K2745" i="15"/>
  <c r="K2746" i="15"/>
  <c r="K2747" i="15"/>
  <c r="K2748" i="15"/>
  <c r="K2749" i="15"/>
  <c r="K2750" i="15"/>
  <c r="K2751" i="15"/>
  <c r="K2752" i="15"/>
  <c r="K2753" i="15"/>
  <c r="K2754" i="15"/>
  <c r="K2755" i="15"/>
  <c r="K2756" i="15"/>
  <c r="K2757" i="15"/>
  <c r="K2758" i="15"/>
  <c r="K2759" i="15"/>
  <c r="K2760" i="15"/>
  <c r="K2761" i="15"/>
  <c r="K2762" i="15"/>
  <c r="K2763" i="15"/>
  <c r="K2764" i="15"/>
  <c r="K2765" i="15"/>
  <c r="K2766" i="15"/>
  <c r="K2767" i="15"/>
  <c r="K2768" i="15"/>
  <c r="K2769" i="15"/>
  <c r="K2770" i="15"/>
  <c r="K2771" i="15"/>
  <c r="K2772" i="15"/>
  <c r="K2773" i="15"/>
  <c r="K2774" i="15"/>
  <c r="K2775" i="15"/>
  <c r="K2776" i="15"/>
  <c r="K2777" i="15"/>
  <c r="K2778" i="15"/>
  <c r="K2779" i="15"/>
  <c r="K2780" i="15"/>
  <c r="K2781" i="15"/>
  <c r="K2782" i="15"/>
  <c r="K2783" i="15"/>
  <c r="K2784" i="15"/>
  <c r="K2785" i="15"/>
  <c r="K2786" i="15"/>
  <c r="K2787" i="15"/>
  <c r="K2788" i="15"/>
  <c r="K2789" i="15"/>
  <c r="K2790" i="15"/>
  <c r="K2791" i="15"/>
  <c r="K2792" i="15"/>
  <c r="K2793" i="15"/>
  <c r="K2794" i="15"/>
  <c r="K2795" i="15"/>
  <c r="K2796" i="15"/>
  <c r="K2797" i="15"/>
  <c r="K2798" i="15"/>
  <c r="K2799" i="15"/>
  <c r="K2800" i="15"/>
  <c r="K2801" i="15"/>
  <c r="K2802" i="15"/>
  <c r="K2803" i="15"/>
  <c r="K2804" i="15"/>
  <c r="K2805" i="15"/>
  <c r="K2806" i="15"/>
  <c r="K2807" i="15"/>
  <c r="K2808" i="15"/>
  <c r="K2809" i="15"/>
  <c r="K2810" i="15"/>
  <c r="K2811" i="15"/>
  <c r="K2812" i="15"/>
  <c r="K2813" i="15"/>
  <c r="K2814" i="15"/>
  <c r="K2815" i="15"/>
  <c r="K2816" i="15"/>
  <c r="K2817" i="15"/>
  <c r="K2818" i="15"/>
  <c r="K2819" i="15"/>
  <c r="K2820" i="15"/>
  <c r="K2821" i="15"/>
  <c r="K2822" i="15"/>
  <c r="K2823" i="15"/>
  <c r="K2824" i="15"/>
  <c r="K2825" i="15"/>
  <c r="K2826" i="15"/>
  <c r="K2827" i="15"/>
  <c r="K2828" i="15"/>
  <c r="K2829" i="15"/>
  <c r="K2830" i="15"/>
  <c r="K2831" i="15"/>
  <c r="K2832" i="15"/>
  <c r="K2833" i="15"/>
  <c r="K2834" i="15"/>
  <c r="K2835" i="15"/>
  <c r="K2836" i="15"/>
  <c r="K2837" i="15"/>
  <c r="K2838" i="15"/>
  <c r="K2839" i="15"/>
  <c r="K2840" i="15"/>
  <c r="K2841" i="15"/>
  <c r="K2842" i="15"/>
  <c r="K2843" i="15"/>
  <c r="K2844" i="15"/>
  <c r="K2845" i="15"/>
  <c r="K2846" i="15"/>
  <c r="K2847" i="15"/>
  <c r="K2848" i="15"/>
  <c r="K2849" i="15"/>
  <c r="K2850" i="15"/>
  <c r="K2851" i="15"/>
  <c r="K2852" i="15"/>
  <c r="K2853" i="15"/>
  <c r="K2854" i="15"/>
  <c r="K2855" i="15"/>
  <c r="K2856" i="15"/>
  <c r="K2857" i="15"/>
  <c r="K2858" i="15"/>
  <c r="K2859" i="15"/>
  <c r="K2860" i="15"/>
  <c r="K2861" i="15"/>
  <c r="K2862" i="15"/>
  <c r="K2863" i="15"/>
  <c r="K2864" i="15"/>
  <c r="K2865" i="15"/>
  <c r="K2866" i="15"/>
  <c r="K2867" i="15"/>
  <c r="K2868" i="15"/>
  <c r="K2869" i="15"/>
  <c r="K2870" i="15"/>
  <c r="K2871" i="15"/>
  <c r="K2872" i="15"/>
  <c r="K2873" i="15"/>
  <c r="K2874" i="15"/>
  <c r="K2875" i="15"/>
  <c r="K2876" i="15"/>
  <c r="K2877" i="15"/>
  <c r="K2878" i="15"/>
  <c r="K2879" i="15"/>
  <c r="K2880" i="15"/>
  <c r="K2881" i="15"/>
  <c r="K2882" i="15"/>
  <c r="K2883" i="15"/>
  <c r="K2884" i="15"/>
  <c r="K2885" i="15"/>
  <c r="K2886" i="15"/>
  <c r="K2887" i="15"/>
  <c r="K2888" i="15"/>
  <c r="K2889" i="15"/>
  <c r="K2890" i="15"/>
  <c r="K2891" i="15"/>
  <c r="K2892" i="15"/>
  <c r="K2893" i="15"/>
  <c r="K2894" i="15"/>
  <c r="K2895" i="15"/>
  <c r="K2896" i="15"/>
  <c r="K2897" i="15"/>
  <c r="K2898" i="15"/>
  <c r="K2899" i="15"/>
  <c r="K2900" i="15"/>
  <c r="K2901" i="15"/>
  <c r="K2902" i="15"/>
  <c r="K2903" i="15"/>
  <c r="K2904" i="15"/>
  <c r="K2905" i="15"/>
  <c r="K2906" i="15"/>
  <c r="K2907" i="15"/>
  <c r="K2908" i="15"/>
  <c r="K2909" i="15"/>
  <c r="K2910" i="15"/>
  <c r="K2911" i="15"/>
  <c r="K2912" i="15"/>
  <c r="K2913" i="15"/>
  <c r="K2914" i="15"/>
  <c r="K2915" i="15"/>
  <c r="K2916" i="15"/>
  <c r="K2917" i="15"/>
  <c r="K2918" i="15"/>
  <c r="K2919" i="15"/>
  <c r="K2920" i="15"/>
  <c r="K2921" i="15"/>
  <c r="K2922" i="15"/>
  <c r="K2923" i="15"/>
  <c r="K2924" i="15"/>
  <c r="K2925" i="15"/>
  <c r="K2926" i="15"/>
  <c r="K2927" i="15"/>
  <c r="K2928" i="15"/>
  <c r="K2929" i="15"/>
  <c r="K2930" i="15"/>
  <c r="K2931" i="15"/>
  <c r="K2932" i="15"/>
  <c r="K2933" i="15"/>
  <c r="K2934" i="15"/>
  <c r="K2935" i="15"/>
  <c r="K2936" i="15"/>
  <c r="K2937" i="15"/>
  <c r="K2938" i="15"/>
  <c r="K2939" i="15"/>
  <c r="K2940" i="15"/>
  <c r="K2941" i="15"/>
  <c r="K2942" i="15"/>
  <c r="K2943" i="15"/>
  <c r="K2944" i="15"/>
  <c r="K2945" i="15"/>
  <c r="K2946" i="15"/>
  <c r="K2947" i="15"/>
  <c r="K2948" i="15"/>
  <c r="K2949" i="15"/>
  <c r="K2950" i="15"/>
  <c r="K2951" i="15"/>
  <c r="K2952" i="15"/>
  <c r="K2953" i="15"/>
  <c r="K2954" i="15"/>
  <c r="K2955" i="15"/>
  <c r="K2956" i="15"/>
  <c r="K2957" i="15"/>
  <c r="K2958" i="15"/>
  <c r="K2959" i="15"/>
  <c r="K2960" i="15"/>
  <c r="K2961" i="15"/>
  <c r="K2962" i="15"/>
  <c r="K2963" i="15"/>
  <c r="K2964" i="15"/>
  <c r="K2965" i="15"/>
  <c r="K2966" i="15"/>
  <c r="K2967" i="15"/>
  <c r="K2968" i="15"/>
  <c r="K2969" i="15"/>
  <c r="K2970" i="15"/>
  <c r="K2971" i="15"/>
  <c r="K2972" i="15"/>
  <c r="K2973" i="15"/>
  <c r="K2974" i="15"/>
  <c r="K2975" i="15"/>
  <c r="K2976" i="15"/>
  <c r="K2977" i="15"/>
  <c r="K2978" i="15"/>
  <c r="K2979" i="15"/>
  <c r="K2980" i="15"/>
  <c r="K2981" i="15"/>
  <c r="K2982" i="15"/>
  <c r="K2983" i="15"/>
  <c r="K2984" i="15"/>
  <c r="K2985" i="15"/>
  <c r="K2986" i="15"/>
  <c r="K2987" i="15"/>
  <c r="K2988" i="15"/>
  <c r="K2989" i="15"/>
  <c r="K2990" i="15"/>
  <c r="K2991" i="15"/>
  <c r="K2992" i="15"/>
  <c r="K2993" i="15"/>
  <c r="K2994" i="15"/>
  <c r="K2995" i="15"/>
  <c r="K2996" i="15"/>
  <c r="K2997" i="15"/>
  <c r="K2998" i="15"/>
  <c r="K2999" i="15"/>
  <c r="K3000" i="15"/>
  <c r="K3001" i="15"/>
  <c r="K3002" i="15"/>
  <c r="K3003" i="15"/>
  <c r="K3004" i="15"/>
  <c r="K3005" i="15"/>
  <c r="K3006" i="15"/>
  <c r="K3007" i="15"/>
  <c r="K3008" i="15"/>
  <c r="K3009" i="15"/>
  <c r="K3010" i="15"/>
  <c r="K3011" i="15"/>
  <c r="K3012" i="15"/>
  <c r="K3013" i="15"/>
  <c r="K3014" i="15"/>
  <c r="K3015" i="15"/>
  <c r="K3016" i="15"/>
  <c r="K3017" i="15"/>
  <c r="K3018" i="15"/>
  <c r="K3019" i="15"/>
  <c r="K3020" i="15"/>
  <c r="K3021" i="15"/>
  <c r="K3022" i="15"/>
  <c r="K3023" i="15"/>
  <c r="K3024" i="15"/>
  <c r="K3025" i="15"/>
  <c r="K3026" i="15"/>
  <c r="K3027" i="15"/>
  <c r="K3028" i="15"/>
  <c r="K3029" i="15"/>
  <c r="K3030" i="15"/>
  <c r="K3031" i="15"/>
  <c r="K3032" i="15"/>
  <c r="K3033" i="15"/>
  <c r="K3034" i="15"/>
  <c r="K3035" i="15"/>
  <c r="K3036" i="15"/>
  <c r="K3037" i="15"/>
  <c r="K3038" i="15"/>
  <c r="K3039" i="15"/>
  <c r="K3040" i="15"/>
  <c r="K3041" i="15"/>
  <c r="K3042" i="15"/>
  <c r="K3043" i="15"/>
  <c r="K3044" i="15"/>
  <c r="K3045" i="15"/>
  <c r="K3046" i="15"/>
  <c r="K3047" i="15"/>
  <c r="K3048" i="15"/>
  <c r="K3049" i="15"/>
  <c r="K3050" i="15"/>
  <c r="K3051" i="15"/>
  <c r="K3052" i="15"/>
  <c r="K3053" i="15"/>
  <c r="K3054" i="15"/>
  <c r="K3055" i="15"/>
  <c r="K3056" i="15"/>
  <c r="K3057" i="15"/>
  <c r="K3058" i="15"/>
  <c r="K3059" i="15"/>
  <c r="K3060" i="15"/>
  <c r="K3061" i="15"/>
  <c r="K3062" i="15"/>
  <c r="K3063" i="15"/>
  <c r="K3064" i="15"/>
  <c r="K3065" i="15"/>
  <c r="K3066" i="15"/>
  <c r="K3067" i="15"/>
  <c r="K3068" i="15"/>
  <c r="K3069" i="15"/>
  <c r="K3070" i="15"/>
  <c r="K3071" i="15"/>
  <c r="K3072" i="15"/>
  <c r="K3073" i="15"/>
  <c r="K3074" i="15"/>
  <c r="K3075" i="15"/>
  <c r="K3076" i="15"/>
  <c r="K3077" i="15"/>
  <c r="K3078" i="15"/>
  <c r="K3079" i="15"/>
  <c r="K3080" i="15"/>
  <c r="K3081" i="15"/>
  <c r="K3082" i="15"/>
  <c r="K3083" i="15"/>
  <c r="K3084" i="15"/>
  <c r="K3085" i="15"/>
  <c r="K3086" i="15"/>
  <c r="K3087" i="15"/>
  <c r="K3088" i="15"/>
  <c r="K3089" i="15"/>
  <c r="K3090" i="15"/>
  <c r="K3091" i="15"/>
  <c r="K3092" i="15"/>
  <c r="K3093" i="15"/>
  <c r="K3094" i="15"/>
  <c r="K3095" i="15"/>
  <c r="K3096" i="15"/>
  <c r="K3097" i="15"/>
  <c r="K3098" i="15"/>
  <c r="K3099" i="15"/>
  <c r="K3100" i="15"/>
  <c r="K3101" i="15"/>
  <c r="K3102" i="15"/>
  <c r="K3103" i="15"/>
  <c r="K3104" i="15"/>
  <c r="K3105" i="15"/>
  <c r="K3106" i="15"/>
  <c r="K3107" i="15"/>
  <c r="K3108" i="15"/>
  <c r="K3109" i="15"/>
  <c r="K3110" i="15"/>
  <c r="K3111" i="15"/>
  <c r="K3112" i="15"/>
  <c r="K3113" i="15"/>
  <c r="K3114" i="15"/>
  <c r="K3115" i="15"/>
  <c r="K3116" i="15"/>
  <c r="K3117" i="15"/>
  <c r="K3118" i="15"/>
  <c r="K3119" i="15"/>
  <c r="K3120" i="15"/>
  <c r="K3121" i="15"/>
  <c r="K3122" i="15"/>
  <c r="K3123" i="15"/>
  <c r="K3124" i="15"/>
  <c r="K3125" i="15"/>
  <c r="K3126" i="15"/>
  <c r="K3127" i="15"/>
  <c r="K3128" i="15"/>
  <c r="K3129" i="15"/>
  <c r="K3130" i="15"/>
  <c r="K3131" i="15"/>
  <c r="K3132" i="15"/>
  <c r="K3133" i="15"/>
  <c r="K3134" i="15"/>
  <c r="K3135" i="15"/>
  <c r="K3136" i="15"/>
  <c r="K3137" i="15"/>
  <c r="BS994" i="1"/>
  <c r="BS995" i="1"/>
  <c r="BS996" i="1"/>
  <c r="BS997" i="1"/>
  <c r="BS998" i="1"/>
  <c r="BS999" i="1"/>
  <c r="BS1000" i="1"/>
  <c r="BS1001" i="1"/>
  <c r="BS1002" i="1"/>
  <c r="BS1003" i="1"/>
  <c r="BS1004" i="1"/>
  <c r="BS1005" i="1"/>
  <c r="BS1006" i="1"/>
  <c r="BS918" i="1"/>
  <c r="BS919" i="1"/>
  <c r="BS920" i="1"/>
  <c r="BS921" i="1"/>
  <c r="BS922" i="1"/>
  <c r="BS923" i="1"/>
  <c r="BS924" i="1"/>
  <c r="BS925" i="1"/>
  <c r="BS926" i="1"/>
  <c r="BS927" i="1"/>
  <c r="BS929" i="1"/>
  <c r="BS930" i="1"/>
  <c r="BS931" i="1"/>
  <c r="BS932" i="1"/>
  <c r="BS933" i="1"/>
  <c r="BS934" i="1"/>
  <c r="BS937" i="1"/>
  <c r="BS938" i="1"/>
  <c r="BS939" i="1"/>
  <c r="BS940" i="1"/>
  <c r="BS941" i="1"/>
  <c r="BS942" i="1"/>
  <c r="BS943" i="1"/>
  <c r="BS944" i="1"/>
  <c r="BS945" i="1"/>
  <c r="BS946" i="1"/>
  <c r="BS947" i="1"/>
  <c r="BS948" i="1"/>
  <c r="BS949" i="1"/>
  <c r="BS950" i="1"/>
  <c r="BS952" i="1"/>
  <c r="BS954" i="1"/>
  <c r="BS955" i="1"/>
  <c r="BS956" i="1"/>
  <c r="BS957" i="1"/>
  <c r="BS958" i="1"/>
  <c r="BS959" i="1"/>
  <c r="BS960" i="1"/>
  <c r="BS961" i="1"/>
  <c r="BS963" i="1"/>
  <c r="BS964" i="1"/>
  <c r="BS965" i="1"/>
  <c r="BS966" i="1"/>
  <c r="BS967" i="1"/>
  <c r="BS968" i="1"/>
  <c r="BS969" i="1"/>
  <c r="BS970" i="1"/>
  <c r="BS971" i="1"/>
  <c r="BS972" i="1"/>
  <c r="BS973" i="1"/>
  <c r="BS974" i="1"/>
  <c r="BS975" i="1"/>
  <c r="BS976" i="1"/>
  <c r="BS977" i="1"/>
  <c r="BS978" i="1"/>
  <c r="BS979" i="1"/>
  <c r="BS980" i="1"/>
  <c r="BS981" i="1"/>
  <c r="BS982" i="1"/>
  <c r="BS983" i="1"/>
  <c r="BS984" i="1"/>
  <c r="BS985" i="1"/>
  <c r="BS986" i="1"/>
  <c r="BS987" i="1"/>
  <c r="BS988" i="1"/>
  <c r="BS989" i="1"/>
  <c r="BS990" i="1"/>
  <c r="BS991" i="1"/>
  <c r="BS894" i="1"/>
  <c r="BS895" i="1"/>
  <c r="BS896" i="1"/>
  <c r="BS897" i="1"/>
  <c r="BS898" i="1"/>
  <c r="BS899" i="1"/>
  <c r="BS900" i="1"/>
  <c r="BS901" i="1"/>
  <c r="BS902" i="1"/>
  <c r="BS903" i="1"/>
  <c r="BS904" i="1"/>
  <c r="BS905" i="1"/>
  <c r="BS906" i="1"/>
  <c r="BS907" i="1"/>
  <c r="BS908" i="1"/>
  <c r="BS909" i="1"/>
  <c r="BS910" i="1"/>
  <c r="BS911" i="1"/>
  <c r="BS912" i="1"/>
  <c r="BS913" i="1"/>
  <c r="BS914" i="1"/>
  <c r="BS915" i="1"/>
  <c r="BS642" i="1"/>
  <c r="BS643" i="1"/>
  <c r="BS644" i="1"/>
  <c r="BS645" i="1"/>
  <c r="BS646" i="1"/>
  <c r="BS648" i="1"/>
  <c r="BS649" i="1"/>
  <c r="BS650" i="1"/>
  <c r="BS651" i="1"/>
  <c r="BS652" i="1"/>
  <c r="BS653" i="1"/>
  <c r="BS654" i="1"/>
  <c r="BS655" i="1"/>
  <c r="BS656" i="1"/>
  <c r="BS657" i="1"/>
  <c r="BS658" i="1"/>
  <c r="BS660" i="1"/>
  <c r="BS661" i="1"/>
  <c r="BS662" i="1"/>
  <c r="BS663" i="1"/>
  <c r="BS664" i="1"/>
  <c r="BS665" i="1"/>
  <c r="BS666" i="1"/>
  <c r="BS667" i="1"/>
  <c r="BS668" i="1"/>
  <c r="BS669" i="1"/>
  <c r="BS670" i="1"/>
  <c r="BS671" i="1"/>
  <c r="BS672" i="1"/>
  <c r="BS673" i="1"/>
  <c r="BS674" i="1"/>
  <c r="BS675" i="1"/>
  <c r="BS677" i="1"/>
  <c r="BS678" i="1"/>
  <c r="BS679" i="1"/>
  <c r="BS680" i="1"/>
  <c r="BS681" i="1"/>
  <c r="BS682" i="1"/>
  <c r="BS683" i="1"/>
  <c r="BS684" i="1"/>
  <c r="BS685" i="1"/>
  <c r="BS686" i="1"/>
  <c r="BS687" i="1"/>
  <c r="BS688" i="1"/>
  <c r="BS689" i="1"/>
  <c r="BS690" i="1"/>
  <c r="BS691" i="1"/>
  <c r="BS692" i="1"/>
  <c r="BS693" i="1"/>
  <c r="BS694" i="1"/>
  <c r="BS695" i="1"/>
  <c r="BS696" i="1"/>
  <c r="BS698" i="1"/>
  <c r="BS699" i="1"/>
  <c r="BS700" i="1"/>
  <c r="BS701" i="1"/>
  <c r="BS702" i="1"/>
  <c r="BS703" i="1"/>
  <c r="BS704" i="1"/>
  <c r="BS705" i="1"/>
  <c r="BS706" i="1"/>
  <c r="BS707" i="1"/>
  <c r="BS708" i="1"/>
  <c r="BS709" i="1"/>
  <c r="BS710" i="1"/>
  <c r="BS711" i="1"/>
  <c r="BS712" i="1"/>
  <c r="BS713" i="1"/>
  <c r="BS714" i="1"/>
  <c r="BS715" i="1"/>
  <c r="BS716" i="1"/>
  <c r="BS717" i="1"/>
  <c r="BS718" i="1"/>
  <c r="BS719" i="1"/>
  <c r="BS720" i="1"/>
  <c r="BS721" i="1"/>
  <c r="BS722" i="1"/>
  <c r="BS723" i="1"/>
  <c r="BS724" i="1"/>
  <c r="BS725" i="1"/>
  <c r="BS726" i="1"/>
  <c r="BS727" i="1"/>
  <c r="BS728" i="1"/>
  <c r="BS729" i="1"/>
  <c r="BS730" i="1"/>
  <c r="BS731" i="1"/>
  <c r="BS732" i="1"/>
  <c r="BS733" i="1"/>
  <c r="BS734" i="1"/>
  <c r="BS735" i="1"/>
  <c r="BS736" i="1"/>
  <c r="BS737" i="1"/>
  <c r="BS738" i="1"/>
  <c r="BS739" i="1"/>
  <c r="BS740" i="1"/>
  <c r="BS741" i="1"/>
  <c r="BS742" i="1"/>
  <c r="BS744" i="1"/>
  <c r="BS745" i="1"/>
  <c r="BS747" i="1"/>
  <c r="BS748" i="1"/>
  <c r="BS749" i="1"/>
  <c r="BS750" i="1"/>
  <c r="BS751" i="1"/>
  <c r="BS752" i="1"/>
  <c r="BS753" i="1"/>
  <c r="BS754" i="1"/>
  <c r="BS755" i="1"/>
  <c r="BS756" i="1"/>
  <c r="BS758" i="1"/>
  <c r="BS759" i="1"/>
  <c r="BS760" i="1"/>
  <c r="BS761" i="1"/>
  <c r="BS762" i="1"/>
  <c r="BS763" i="1"/>
  <c r="BS764" i="1"/>
  <c r="BS765" i="1"/>
  <c r="BS766" i="1"/>
  <c r="BS767" i="1"/>
  <c r="BS768" i="1"/>
  <c r="BS769" i="1"/>
  <c r="BS770" i="1"/>
  <c r="BS771" i="1"/>
  <c r="BS772" i="1"/>
  <c r="BS773" i="1"/>
  <c r="BS774" i="1"/>
  <c r="BS775" i="1"/>
  <c r="BS776" i="1"/>
  <c r="BS777" i="1"/>
  <c r="BS778" i="1"/>
  <c r="BS779" i="1"/>
  <c r="BS780" i="1"/>
  <c r="BS782" i="1"/>
  <c r="BS783" i="1"/>
  <c r="BS784" i="1"/>
  <c r="BS785" i="1"/>
  <c r="BS786" i="1"/>
  <c r="BS787" i="1"/>
  <c r="BS788" i="1"/>
  <c r="BS790" i="1"/>
  <c r="BS791" i="1"/>
  <c r="BS792" i="1"/>
  <c r="BS793" i="1"/>
  <c r="BS794" i="1"/>
  <c r="BS795" i="1"/>
  <c r="BS796" i="1"/>
  <c r="BS797" i="1"/>
  <c r="BS798" i="1"/>
  <c r="BS799" i="1"/>
  <c r="BS800" i="1"/>
  <c r="BS801" i="1"/>
  <c r="BS802" i="1"/>
  <c r="BS803" i="1"/>
  <c r="BS804" i="1"/>
  <c r="BS805" i="1"/>
  <c r="BS806" i="1"/>
  <c r="BS807" i="1"/>
  <c r="BS808" i="1"/>
  <c r="BS809" i="1"/>
  <c r="BS810" i="1"/>
  <c r="BS811" i="1"/>
  <c r="BS812" i="1"/>
  <c r="BS813" i="1"/>
  <c r="BS814" i="1"/>
  <c r="BS815" i="1"/>
  <c r="BS816" i="1"/>
  <c r="BS817" i="1"/>
  <c r="BS818" i="1"/>
  <c r="BS819" i="1"/>
  <c r="BS820" i="1"/>
  <c r="BS821" i="1"/>
  <c r="BS822" i="1"/>
  <c r="BS823" i="1"/>
  <c r="BS824" i="1"/>
  <c r="BS825" i="1"/>
  <c r="BS826" i="1"/>
  <c r="BS827" i="1"/>
  <c r="BS828" i="1"/>
  <c r="BS829" i="1"/>
  <c r="BS830" i="1"/>
  <c r="BS831" i="1"/>
  <c r="BS832" i="1"/>
  <c r="BS833" i="1"/>
  <c r="BS834" i="1"/>
  <c r="BS836" i="1"/>
  <c r="BS837" i="1"/>
  <c r="BS838" i="1"/>
  <c r="BS839" i="1"/>
  <c r="BS840" i="1"/>
  <c r="BS842" i="1"/>
  <c r="BS843" i="1"/>
  <c r="BS844" i="1"/>
  <c r="BS845" i="1"/>
  <c r="BS846" i="1"/>
  <c r="BS847" i="1"/>
  <c r="BS848" i="1"/>
  <c r="BS849" i="1"/>
  <c r="BS850" i="1"/>
  <c r="BS851" i="1"/>
  <c r="BS852" i="1"/>
  <c r="BS853" i="1"/>
  <c r="BS854" i="1"/>
  <c r="BS855" i="1"/>
  <c r="BS856" i="1"/>
  <c r="BS857" i="1"/>
  <c r="BS858" i="1"/>
  <c r="BS859" i="1"/>
  <c r="BS860" i="1"/>
  <c r="BS863" i="1"/>
  <c r="BS864" i="1"/>
  <c r="BS865" i="1"/>
  <c r="BS866" i="1"/>
  <c r="BS867" i="1"/>
  <c r="BS868" i="1"/>
  <c r="BS869" i="1"/>
  <c r="BS870" i="1"/>
  <c r="BS872" i="1"/>
  <c r="BS873" i="1"/>
  <c r="BS874" i="1"/>
  <c r="BS875" i="1"/>
  <c r="BS876" i="1"/>
  <c r="BS877" i="1"/>
  <c r="BS878" i="1"/>
  <c r="BS879" i="1"/>
  <c r="BS880" i="1"/>
  <c r="BS881" i="1"/>
  <c r="BS882" i="1"/>
  <c r="BS884" i="1"/>
  <c r="BS885" i="1"/>
  <c r="BS886" i="1"/>
  <c r="BS887" i="1"/>
  <c r="BS888" i="1"/>
  <c r="BS889" i="1"/>
  <c r="BS890" i="1"/>
  <c r="BS891" i="1"/>
  <c r="BS599" i="1"/>
  <c r="BS600" i="1"/>
  <c r="BS601" i="1"/>
  <c r="BS602" i="1"/>
  <c r="BS603" i="1"/>
  <c r="BS604" i="1"/>
  <c r="BS605" i="1"/>
  <c r="BS606" i="1"/>
  <c r="BS607" i="1"/>
  <c r="BS608" i="1"/>
  <c r="BS610" i="1"/>
  <c r="BS611" i="1"/>
  <c r="BS612" i="1"/>
  <c r="BS614" i="1"/>
  <c r="BS615" i="1"/>
  <c r="BS616" i="1"/>
  <c r="BS617" i="1"/>
  <c r="BS618" i="1"/>
  <c r="BS619" i="1"/>
  <c r="BS620" i="1"/>
  <c r="BS621" i="1"/>
  <c r="BS622" i="1"/>
  <c r="BS623" i="1"/>
  <c r="BS624" i="1"/>
  <c r="BS625" i="1"/>
  <c r="BS626" i="1"/>
  <c r="BS627" i="1"/>
  <c r="BS628" i="1"/>
  <c r="BS629" i="1"/>
  <c r="BS630" i="1"/>
  <c r="BS631" i="1"/>
  <c r="BS632" i="1"/>
  <c r="BS633" i="1"/>
  <c r="BS634" i="1"/>
  <c r="BS635" i="1"/>
  <c r="BS637" i="1"/>
  <c r="BS638" i="1"/>
  <c r="BS639" i="1"/>
  <c r="BS404" i="1"/>
  <c r="BS405" i="1"/>
  <c r="BS406" i="1"/>
  <c r="BS407" i="1"/>
  <c r="BS408" i="1"/>
  <c r="BS409" i="1"/>
  <c r="BS410" i="1"/>
  <c r="BS411" i="1"/>
  <c r="BS412" i="1"/>
  <c r="BS413" i="1"/>
  <c r="BS414" i="1"/>
  <c r="BS415" i="1"/>
  <c r="BS416" i="1"/>
  <c r="BS417" i="1"/>
  <c r="BS418" i="1"/>
  <c r="BS419" i="1"/>
  <c r="BS420" i="1"/>
  <c r="BS421" i="1"/>
  <c r="BS422" i="1"/>
  <c r="BS423" i="1"/>
  <c r="BS424" i="1"/>
  <c r="BS425" i="1"/>
  <c r="BS426" i="1"/>
  <c r="BS427" i="1"/>
  <c r="BS428" i="1"/>
  <c r="BS429" i="1"/>
  <c r="BS430" i="1"/>
  <c r="BS431" i="1"/>
  <c r="BS432" i="1"/>
  <c r="BS433" i="1"/>
  <c r="BS434" i="1"/>
  <c r="BS435" i="1"/>
  <c r="BS436" i="1"/>
  <c r="BS437" i="1"/>
  <c r="BS438" i="1"/>
  <c r="BS439" i="1"/>
  <c r="BS440" i="1"/>
  <c r="BS441" i="1"/>
  <c r="BS442" i="1"/>
  <c r="BS443" i="1"/>
  <c r="BS444" i="1"/>
  <c r="BS445" i="1"/>
  <c r="BS446" i="1"/>
  <c r="BS447" i="1"/>
  <c r="BS448" i="1"/>
  <c r="BS449" i="1"/>
  <c r="BS450" i="1"/>
  <c r="BS451" i="1"/>
  <c r="BS452" i="1"/>
  <c r="BS453" i="1"/>
  <c r="BS454" i="1"/>
  <c r="BS455" i="1"/>
  <c r="BS456" i="1"/>
  <c r="BS457" i="1"/>
  <c r="BS458" i="1"/>
  <c r="BS459" i="1"/>
  <c r="BS460" i="1"/>
  <c r="BS461" i="1"/>
  <c r="BS462" i="1"/>
  <c r="BS464" i="1"/>
  <c r="BS465" i="1"/>
  <c r="BS466" i="1"/>
  <c r="BS467" i="1"/>
  <c r="BS468" i="1"/>
  <c r="BS469" i="1"/>
  <c r="BS470" i="1"/>
  <c r="BS471" i="1"/>
  <c r="BS472" i="1"/>
  <c r="BS474" i="1"/>
  <c r="BS475" i="1"/>
  <c r="BS476" i="1"/>
  <c r="BS477" i="1"/>
  <c r="BS478" i="1"/>
  <c r="BS479" i="1"/>
  <c r="BS480" i="1"/>
  <c r="BS481" i="1"/>
  <c r="BS482" i="1"/>
  <c r="BS483" i="1"/>
  <c r="BS484" i="1"/>
  <c r="BS485" i="1"/>
  <c r="BS486" i="1"/>
  <c r="BS487" i="1"/>
  <c r="BS488" i="1"/>
  <c r="BS489" i="1"/>
  <c r="BS491" i="1"/>
  <c r="BS492" i="1"/>
  <c r="BS493" i="1"/>
  <c r="BS494" i="1"/>
  <c r="BS495" i="1"/>
  <c r="BS496" i="1"/>
  <c r="BS497" i="1"/>
  <c r="BS498" i="1"/>
  <c r="BS499" i="1"/>
  <c r="BS500" i="1"/>
  <c r="BS501" i="1"/>
  <c r="BS502" i="1"/>
  <c r="BS503" i="1"/>
  <c r="BS504" i="1"/>
  <c r="BS505" i="1"/>
  <c r="BS506" i="1"/>
  <c r="BS507" i="1"/>
  <c r="BS508" i="1"/>
  <c r="BS509" i="1"/>
  <c r="BS510" i="1"/>
  <c r="BS511" i="1"/>
  <c r="BS512" i="1"/>
  <c r="BS513" i="1"/>
  <c r="BS514" i="1"/>
  <c r="BS515" i="1"/>
  <c r="BS516" i="1"/>
  <c r="BS517" i="1"/>
  <c r="BS518" i="1"/>
  <c r="BS519" i="1"/>
  <c r="BS520" i="1"/>
  <c r="BS521" i="1"/>
  <c r="BS522" i="1"/>
  <c r="BS523" i="1"/>
  <c r="BS524" i="1"/>
  <c r="BS526" i="1"/>
  <c r="BS527" i="1"/>
  <c r="BS528" i="1"/>
  <c r="BS529" i="1"/>
  <c r="BS530" i="1"/>
  <c r="BS531" i="1"/>
  <c r="BS532" i="1"/>
  <c r="BS533" i="1"/>
  <c r="BS536" i="1"/>
  <c r="BS538" i="1"/>
  <c r="BS539" i="1"/>
  <c r="BS540" i="1"/>
  <c r="BS541" i="1"/>
  <c r="BS542" i="1"/>
  <c r="BS543" i="1"/>
  <c r="BS544" i="1"/>
  <c r="BS545" i="1"/>
  <c r="BS546" i="1"/>
  <c r="BS547" i="1"/>
  <c r="BS548" i="1"/>
  <c r="BS549" i="1"/>
  <c r="BS550" i="1"/>
  <c r="BS551" i="1"/>
  <c r="BS552" i="1"/>
  <c r="BS553" i="1"/>
  <c r="BS554" i="1"/>
  <c r="BS555" i="1"/>
  <c r="BS557" i="1"/>
  <c r="BS558" i="1"/>
  <c r="BS559" i="1"/>
  <c r="BS560" i="1"/>
  <c r="BS561" i="1"/>
  <c r="BS562" i="1"/>
  <c r="BS563" i="1"/>
  <c r="BS564" i="1"/>
  <c r="BS565" i="1"/>
  <c r="BS566" i="1"/>
  <c r="BS567" i="1"/>
  <c r="BS568" i="1"/>
  <c r="BS569" i="1"/>
  <c r="BS570" i="1"/>
  <c r="BS571" i="1"/>
  <c r="BS572" i="1"/>
  <c r="BS311" i="1"/>
  <c r="BS312" i="1"/>
  <c r="BS313" i="1"/>
  <c r="BS315" i="1"/>
  <c r="BS316" i="1"/>
  <c r="BS317" i="1"/>
  <c r="BS318" i="1"/>
  <c r="BS319" i="1"/>
  <c r="BS320" i="1"/>
  <c r="BS321" i="1"/>
  <c r="BS322" i="1"/>
  <c r="BS323" i="1"/>
  <c r="BS325" i="1"/>
  <c r="BS326" i="1"/>
  <c r="BS327" i="1"/>
  <c r="BS329" i="1"/>
  <c r="BS330" i="1"/>
  <c r="BS331" i="1"/>
  <c r="BS332" i="1"/>
  <c r="BS333" i="1"/>
  <c r="BS334" i="1"/>
  <c r="BS335" i="1"/>
  <c r="BS336" i="1"/>
  <c r="BS337" i="1"/>
  <c r="BS338" i="1"/>
  <c r="BS339" i="1"/>
  <c r="BS340" i="1"/>
  <c r="BS342" i="1"/>
  <c r="BS343" i="1"/>
  <c r="BS344" i="1"/>
  <c r="BS345" i="1"/>
  <c r="BS346" i="1"/>
  <c r="BS347" i="1"/>
  <c r="BS348" i="1"/>
  <c r="BS349" i="1"/>
  <c r="BS350" i="1"/>
  <c r="BS351" i="1"/>
  <c r="BS352" i="1"/>
  <c r="BS353" i="1"/>
  <c r="BS354" i="1"/>
  <c r="BS356" i="1"/>
  <c r="BS357" i="1"/>
  <c r="BS358" i="1"/>
  <c r="BS359" i="1"/>
  <c r="BS360" i="1"/>
  <c r="BS361" i="1"/>
  <c r="BS362" i="1"/>
  <c r="BS363" i="1"/>
  <c r="BS364" i="1"/>
  <c r="BS365" i="1"/>
  <c r="BS366" i="1"/>
  <c r="BS367" i="1"/>
  <c r="BS368" i="1"/>
  <c r="BS369" i="1"/>
  <c r="BS370" i="1"/>
  <c r="BS371" i="1"/>
  <c r="BS372" i="1"/>
  <c r="BS373" i="1"/>
  <c r="BS374" i="1"/>
  <c r="BS375" i="1"/>
  <c r="BS376" i="1"/>
  <c r="BS378" i="1"/>
  <c r="BS379" i="1"/>
  <c r="BS383" i="1"/>
  <c r="BS384" i="1"/>
  <c r="BS385" i="1"/>
  <c r="BS386" i="1"/>
  <c r="BS388" i="1"/>
  <c r="BS389" i="1"/>
  <c r="BS390" i="1"/>
  <c r="BS391" i="1"/>
  <c r="BS392" i="1"/>
  <c r="BS393" i="1"/>
  <c r="BS396" i="1"/>
  <c r="BS397" i="1"/>
  <c r="BS398" i="1"/>
  <c r="BS399" i="1"/>
  <c r="BS400" i="1"/>
  <c r="BS401" i="1"/>
  <c r="BS271" i="1"/>
  <c r="BS272" i="1"/>
  <c r="BS273" i="1"/>
  <c r="BS274" i="1"/>
  <c r="BS275" i="1"/>
  <c r="BS276" i="1"/>
  <c r="BS277" i="1"/>
  <c r="BS278" i="1"/>
  <c r="BS279" i="1"/>
  <c r="BS280" i="1"/>
  <c r="BS281" i="1"/>
  <c r="BS282" i="1"/>
  <c r="BS283" i="1"/>
  <c r="BS284" i="1"/>
  <c r="BS285" i="1"/>
  <c r="BS286" i="1"/>
  <c r="BS287" i="1"/>
  <c r="BS288" i="1"/>
  <c r="BS289" i="1"/>
  <c r="BS290" i="1"/>
  <c r="BS292" i="1"/>
  <c r="BS293" i="1"/>
  <c r="BS294" i="1"/>
  <c r="BS296" i="1"/>
  <c r="BS297" i="1"/>
  <c r="BS298" i="1"/>
  <c r="BS299" i="1"/>
  <c r="BS302" i="1"/>
  <c r="BS304" i="1"/>
  <c r="BS305" i="1"/>
  <c r="BS306" i="1"/>
  <c r="BS307" i="1"/>
  <c r="BS201" i="1"/>
  <c r="BS202" i="1"/>
  <c r="BS204" i="1"/>
  <c r="BS205" i="1"/>
  <c r="BS206" i="1"/>
  <c r="BS207" i="1"/>
  <c r="BS209" i="1"/>
  <c r="BS210" i="1"/>
  <c r="BS211" i="1"/>
  <c r="BS212" i="1"/>
  <c r="BS213" i="1"/>
  <c r="BS214" i="1"/>
  <c r="BS215" i="1"/>
  <c r="BS216" i="1"/>
  <c r="BS218" i="1"/>
  <c r="BS220" i="1"/>
  <c r="BS221" i="1"/>
  <c r="BS222" i="1"/>
  <c r="BS223" i="1"/>
  <c r="BS224" i="1"/>
  <c r="BS225" i="1"/>
  <c r="BS226" i="1"/>
  <c r="BS227" i="1"/>
  <c r="BS228" i="1"/>
  <c r="BS229" i="1"/>
  <c r="BS230" i="1"/>
  <c r="BS231" i="1"/>
  <c r="BS232" i="1"/>
  <c r="BS233" i="1"/>
  <c r="BS234" i="1"/>
  <c r="BS235" i="1"/>
  <c r="BS236" i="1"/>
  <c r="BS237" i="1"/>
  <c r="BS238" i="1"/>
  <c r="BS239" i="1"/>
  <c r="BS240" i="1"/>
  <c r="BS241" i="1"/>
  <c r="BS242" i="1"/>
  <c r="BS243" i="1"/>
  <c r="BS245" i="1"/>
  <c r="BS246" i="1"/>
  <c r="BS247" i="1"/>
  <c r="BS248" i="1"/>
  <c r="BS249" i="1"/>
  <c r="BS250" i="1"/>
  <c r="BS254" i="1"/>
  <c r="BS255" i="1"/>
  <c r="BS256" i="1"/>
  <c r="BS257" i="1"/>
  <c r="BS258" i="1"/>
  <c r="BS259" i="1"/>
  <c r="BS260" i="1"/>
  <c r="BS261" i="1"/>
  <c r="BS263" i="1"/>
  <c r="BS264" i="1"/>
  <c r="BS266" i="1"/>
  <c r="BS267" i="1"/>
  <c r="BS268" i="1"/>
  <c r="BS76" i="1"/>
  <c r="BS77" i="1"/>
  <c r="BS78" i="1"/>
  <c r="BS79" i="1"/>
  <c r="BS80" i="1"/>
  <c r="BS81" i="1"/>
  <c r="BS82" i="1"/>
  <c r="BS83" i="1"/>
  <c r="BS84" i="1"/>
  <c r="BS85" i="1"/>
  <c r="BS86" i="1"/>
  <c r="BS87" i="1"/>
  <c r="BS88" i="1"/>
  <c r="BS89" i="1"/>
  <c r="BS90" i="1"/>
  <c r="BS91" i="1"/>
  <c r="BS92" i="1"/>
  <c r="BS93" i="1"/>
  <c r="BS95" i="1"/>
  <c r="BS96" i="1"/>
  <c r="BS97" i="1"/>
  <c r="BS98" i="1"/>
  <c r="BS99" i="1"/>
  <c r="BS100" i="1"/>
  <c r="BS101" i="1"/>
  <c r="BS102" i="1"/>
  <c r="BS103" i="1"/>
  <c r="BS104" i="1"/>
  <c r="BS105" i="1"/>
  <c r="BS106" i="1"/>
  <c r="BS107" i="1"/>
  <c r="BS108" i="1"/>
  <c r="BS109" i="1"/>
  <c r="BS110" i="1"/>
  <c r="BS111" i="1"/>
  <c r="BS112" i="1"/>
  <c r="BS113" i="1"/>
  <c r="BS114" i="1"/>
  <c r="BS115" i="1"/>
  <c r="BS116" i="1"/>
  <c r="BS117" i="1"/>
  <c r="BS118" i="1"/>
  <c r="BS119" i="1"/>
  <c r="BS120" i="1"/>
  <c r="BS121" i="1"/>
  <c r="BS122" i="1"/>
  <c r="BS123" i="1"/>
  <c r="BS124" i="1"/>
  <c r="BS125" i="1"/>
  <c r="BS126" i="1"/>
  <c r="BS127" i="1"/>
  <c r="BS128" i="1"/>
  <c r="BS129" i="1"/>
  <c r="BS130" i="1"/>
  <c r="BS131" i="1"/>
  <c r="BS132" i="1"/>
  <c r="BS133" i="1"/>
  <c r="BS134" i="1"/>
  <c r="BS135" i="1"/>
  <c r="BS136" i="1"/>
  <c r="BS137" i="1"/>
  <c r="BS138" i="1"/>
  <c r="BS139" i="1"/>
  <c r="BS140" i="1"/>
  <c r="BS142" i="1"/>
  <c r="BS143" i="1"/>
  <c r="BS144" i="1"/>
  <c r="BS145" i="1"/>
  <c r="BS146" i="1"/>
  <c r="BS147" i="1"/>
  <c r="BS148" i="1"/>
  <c r="BS149" i="1"/>
  <c r="BS150" i="1"/>
  <c r="BS151" i="1"/>
  <c r="BS152" i="1"/>
  <c r="BS153" i="1"/>
  <c r="BS154" i="1"/>
  <c r="BS155" i="1"/>
  <c r="BS156" i="1"/>
  <c r="BS157" i="1"/>
  <c r="BS158" i="1"/>
  <c r="BS159" i="1"/>
  <c r="BS160" i="1"/>
  <c r="BS161" i="1"/>
  <c r="BS162" i="1"/>
  <c r="BS163" i="1"/>
  <c r="BS164" i="1"/>
  <c r="BS165" i="1"/>
  <c r="BS166" i="1"/>
  <c r="BS167" i="1"/>
  <c r="BS168" i="1"/>
  <c r="BS169" i="1"/>
  <c r="BS170" i="1"/>
  <c r="BS171" i="1"/>
  <c r="BS172" i="1"/>
  <c r="BS173" i="1"/>
  <c r="BS174" i="1"/>
  <c r="BS175" i="1"/>
  <c r="BS176" i="1"/>
  <c r="BS177" i="1"/>
  <c r="BS178" i="1"/>
  <c r="BS179" i="1"/>
  <c r="BS180" i="1"/>
  <c r="BS181" i="1"/>
  <c r="BS182" i="1"/>
  <c r="BS183" i="1"/>
  <c r="BS184" i="1"/>
  <c r="BS185" i="1"/>
  <c r="BS186" i="1"/>
  <c r="BS187" i="1"/>
  <c r="BS188" i="1"/>
  <c r="BS189" i="1"/>
  <c r="BS190" i="1"/>
  <c r="BS191" i="1"/>
  <c r="BS192" i="1"/>
  <c r="BS193" i="1"/>
  <c r="BS194" i="1"/>
  <c r="BS195" i="1"/>
  <c r="BS196" i="1"/>
  <c r="BS197" i="1"/>
  <c r="BS198" i="1"/>
  <c r="BS6" i="1"/>
  <c r="BS7" i="1"/>
  <c r="BS8" i="1"/>
  <c r="BS9" i="1"/>
  <c r="BS10" i="1"/>
  <c r="BS11" i="1"/>
  <c r="BS12" i="1"/>
  <c r="BS13" i="1"/>
  <c r="BS14" i="1"/>
  <c r="BS15" i="1"/>
  <c r="BS16" i="1"/>
  <c r="BS17" i="1"/>
  <c r="BS18" i="1"/>
  <c r="BS19" i="1"/>
  <c r="BS20" i="1"/>
  <c r="BS21" i="1"/>
  <c r="BS22" i="1"/>
  <c r="BS23" i="1"/>
  <c r="BS24" i="1"/>
  <c r="BS25" i="1"/>
  <c r="BS26" i="1"/>
  <c r="BS27" i="1"/>
  <c r="BS28" i="1"/>
  <c r="BS29" i="1"/>
  <c r="BS30" i="1"/>
  <c r="BS35" i="1"/>
  <c r="BS36" i="1"/>
  <c r="BS37" i="1"/>
  <c r="BS38" i="1"/>
  <c r="BS39" i="1"/>
  <c r="BS40" i="1"/>
  <c r="BS41" i="1"/>
  <c r="BS42" i="1"/>
  <c r="BS43" i="1"/>
  <c r="BS44" i="1"/>
  <c r="BS45" i="1"/>
  <c r="BS46" i="1"/>
  <c r="BS47" i="1"/>
  <c r="BS48" i="1"/>
  <c r="BS49" i="1"/>
  <c r="BS50" i="1"/>
  <c r="BS51" i="1"/>
  <c r="BS52" i="1"/>
  <c r="BS53" i="1"/>
  <c r="BS54" i="1"/>
  <c r="BS55" i="1"/>
  <c r="BS56" i="1"/>
  <c r="BS57" i="1"/>
  <c r="BS58" i="1"/>
  <c r="BS59" i="1"/>
  <c r="BS60" i="1"/>
  <c r="BS61" i="1"/>
  <c r="BS62" i="1"/>
  <c r="BS63" i="1"/>
  <c r="BS64" i="1"/>
  <c r="BS65" i="1"/>
  <c r="BS66" i="1"/>
  <c r="BS67" i="1"/>
  <c r="BS68" i="1"/>
  <c r="BS69" i="1"/>
  <c r="BS70" i="1"/>
  <c r="BS71" i="1"/>
  <c r="BS72" i="1"/>
  <c r="BS73" i="1"/>
  <c r="BR894" i="1" a="1"/>
  <c r="BR894" i="1" s="1"/>
  <c r="BM894" i="1"/>
  <c r="BK894" i="1"/>
  <c r="BZ894" i="1" s="1"/>
  <c r="BA894" i="1"/>
  <c r="AX894" i="1"/>
  <c r="BY894" i="1" s="1"/>
  <c r="AO894" i="1"/>
  <c r="AL894" i="1"/>
  <c r="BX894" i="1"/>
  <c r="AC894" i="1"/>
  <c r="Z894" i="1"/>
  <c r="BW894" i="1" s="1"/>
  <c r="Q894" i="1"/>
  <c r="N894" i="1"/>
  <c r="E894" i="1"/>
  <c r="BR931" i="1" a="1"/>
  <c r="BR931" i="1" s="1"/>
  <c r="BM931" i="1"/>
  <c r="BK931" i="1"/>
  <c r="BZ931" i="1"/>
  <c r="BA931" i="1"/>
  <c r="AX931" i="1"/>
  <c r="BY931" i="1" s="1"/>
  <c r="AO931" i="1"/>
  <c r="AL931" i="1"/>
  <c r="BX931" i="1" s="1"/>
  <c r="AC931" i="1"/>
  <c r="Z931" i="1"/>
  <c r="Q931" i="1"/>
  <c r="N931" i="1"/>
  <c r="BV931" i="1" s="1"/>
  <c r="E931" i="1"/>
  <c r="BR918" i="1" a="1"/>
  <c r="BR918" i="1" s="1"/>
  <c r="BM918" i="1"/>
  <c r="BK918" i="1"/>
  <c r="BZ918" i="1" s="1"/>
  <c r="BA918" i="1"/>
  <c r="AX918" i="1"/>
  <c r="BY918" i="1"/>
  <c r="AO918" i="1"/>
  <c r="AC918" i="1"/>
  <c r="Z918" i="1"/>
  <c r="Q918" i="1"/>
  <c r="E918" i="1"/>
  <c r="BR907" i="1" a="1"/>
  <c r="BR907" i="1" s="1"/>
  <c r="BM907" i="1"/>
  <c r="BK907" i="1"/>
  <c r="BZ907" i="1" s="1"/>
  <c r="BA907" i="1"/>
  <c r="AX907" i="1"/>
  <c r="BY907" i="1" s="1"/>
  <c r="AO907" i="1"/>
  <c r="AL907" i="1"/>
  <c r="BX907" i="1" s="1"/>
  <c r="AC907" i="1"/>
  <c r="Z907" i="1"/>
  <c r="Q907" i="1"/>
  <c r="N907" i="1"/>
  <c r="BV907" i="1" s="1"/>
  <c r="E907" i="1"/>
  <c r="BR839" i="1" a="1"/>
  <c r="BR839" i="1" s="1"/>
  <c r="BM839" i="1"/>
  <c r="BK839" i="1"/>
  <c r="BZ839" i="1" s="1"/>
  <c r="BA839" i="1"/>
  <c r="AX839" i="1"/>
  <c r="BY839" i="1" s="1"/>
  <c r="AO839" i="1"/>
  <c r="AL839" i="1"/>
  <c r="BX839" i="1"/>
  <c r="AC839" i="1"/>
  <c r="Z839" i="1"/>
  <c r="BW839" i="1" s="1"/>
  <c r="Q839" i="1"/>
  <c r="E839" i="1"/>
  <c r="BR758" i="1" a="1"/>
  <c r="BR758" i="1" s="1"/>
  <c r="BM758" i="1"/>
  <c r="BK758" i="1"/>
  <c r="BZ758" i="1" s="1"/>
  <c r="BA758" i="1"/>
  <c r="AX758" i="1"/>
  <c r="AO758" i="1"/>
  <c r="AL758" i="1"/>
  <c r="BX758" i="1"/>
  <c r="AC758" i="1"/>
  <c r="Z758" i="1"/>
  <c r="BW758" i="1" s="1"/>
  <c r="Q758" i="1"/>
  <c r="N758" i="1"/>
  <c r="BV758" i="1" s="1"/>
  <c r="E758" i="1"/>
  <c r="BR601" i="1" a="1"/>
  <c r="BR601" i="1" s="1"/>
  <c r="BM601" i="1"/>
  <c r="BK601" i="1"/>
  <c r="BZ601" i="1" s="1"/>
  <c r="BA601" i="1"/>
  <c r="AX601" i="1"/>
  <c r="BY601" i="1" s="1"/>
  <c r="AO601" i="1"/>
  <c r="AC601" i="1"/>
  <c r="Z601" i="1"/>
  <c r="BW601" i="1" s="1"/>
  <c r="Q601" i="1"/>
  <c r="E601" i="1"/>
  <c r="BR389" i="1" a="1"/>
  <c r="BR389" i="1" s="1"/>
  <c r="BM389" i="1"/>
  <c r="BK389" i="1"/>
  <c r="BZ389" i="1" s="1"/>
  <c r="BA389" i="1"/>
  <c r="AX389" i="1"/>
  <c r="BY389" i="1"/>
  <c r="AO389" i="1"/>
  <c r="AL389" i="1"/>
  <c r="BX389" i="1" s="1"/>
  <c r="AC389" i="1"/>
  <c r="Z389" i="1"/>
  <c r="BW389" i="1" s="1"/>
  <c r="Q389" i="1"/>
  <c r="N389" i="1"/>
  <c r="BV389" i="1" s="1"/>
  <c r="E389" i="1"/>
  <c r="BR388" i="1" a="1"/>
  <c r="BR388" i="1" s="1"/>
  <c r="BM388" i="1"/>
  <c r="BK388" i="1"/>
  <c r="BZ388" i="1"/>
  <c r="BA388" i="1"/>
  <c r="AX388" i="1"/>
  <c r="BY388" i="1" s="1"/>
  <c r="AO388" i="1"/>
  <c r="AL388" i="1"/>
  <c r="BX388" i="1"/>
  <c r="AC388" i="1"/>
  <c r="Z388" i="1"/>
  <c r="Q388" i="1"/>
  <c r="E388" i="1"/>
  <c r="BR326" i="1" a="1"/>
  <c r="BR326" i="1" s="1"/>
  <c r="BM326" i="1"/>
  <c r="BK326" i="1"/>
  <c r="BZ326" i="1"/>
  <c r="BA326" i="1"/>
  <c r="AX326" i="1"/>
  <c r="BY326" i="1" s="1"/>
  <c r="AO326" i="1"/>
  <c r="AL326" i="1"/>
  <c r="BX326" i="1" s="1"/>
  <c r="AC326" i="1"/>
  <c r="Z326" i="1"/>
  <c r="Q326" i="1"/>
  <c r="N326" i="1"/>
  <c r="BV326" i="1" s="1"/>
  <c r="E326" i="1"/>
  <c r="BR319" i="1" a="1"/>
  <c r="BR319" i="1" s="1"/>
  <c r="BM319" i="1"/>
  <c r="BK319" i="1"/>
  <c r="BZ319" i="1" s="1"/>
  <c r="BA319" i="1"/>
  <c r="AX319" i="1"/>
  <c r="BY319" i="1" s="1"/>
  <c r="AO319" i="1"/>
  <c r="AL319" i="1"/>
  <c r="BX319" i="1"/>
  <c r="AC319" i="1"/>
  <c r="Z319" i="1"/>
  <c r="Q319" i="1"/>
  <c r="N319" i="1"/>
  <c r="BV319" i="1" s="1"/>
  <c r="E319" i="1"/>
  <c r="BR296" i="1" a="1"/>
  <c r="BR296" i="1" s="1"/>
  <c r="BM296" i="1"/>
  <c r="BK296" i="1"/>
  <c r="BZ296" i="1" s="1"/>
  <c r="BA296" i="1"/>
  <c r="AX296" i="1"/>
  <c r="BY296" i="1" s="1"/>
  <c r="AO296" i="1"/>
  <c r="AL296" i="1"/>
  <c r="BX296" i="1" s="1"/>
  <c r="AC296" i="1"/>
  <c r="Z296" i="1"/>
  <c r="Q296" i="1"/>
  <c r="N296" i="1"/>
  <c r="BV296" i="1" s="1"/>
  <c r="E296" i="1"/>
  <c r="BR286" i="1" a="1"/>
  <c r="BR286" i="1" s="1"/>
  <c r="BM286" i="1"/>
  <c r="BK286" i="1"/>
  <c r="BZ286" i="1" s="1"/>
  <c r="BA286" i="1"/>
  <c r="AX286" i="1"/>
  <c r="BY286" i="1"/>
  <c r="AO286" i="1"/>
  <c r="AC286" i="1"/>
  <c r="Z286" i="1"/>
  <c r="BW286" i="1"/>
  <c r="Q286" i="1"/>
  <c r="E286" i="1"/>
  <c r="BR179" i="1" a="1"/>
  <c r="BR179" i="1" s="1"/>
  <c r="BM179" i="1"/>
  <c r="BK179" i="1"/>
  <c r="BZ179" i="1" s="1"/>
  <c r="BA179" i="1"/>
  <c r="AX179" i="1"/>
  <c r="BY179" i="1" s="1"/>
  <c r="AO179" i="1"/>
  <c r="AL179" i="1"/>
  <c r="BX179" i="1"/>
  <c r="AC179" i="1"/>
  <c r="Z179" i="1"/>
  <c r="BW179" i="1" s="1"/>
  <c r="Q179" i="1"/>
  <c r="N179" i="1"/>
  <c r="BV179" i="1" s="1"/>
  <c r="E179" i="1"/>
  <c r="AL796" i="1"/>
  <c r="BX796" i="1" s="1"/>
  <c r="AL505" i="1"/>
  <c r="BX505" i="1" s="1"/>
  <c r="AL768" i="1"/>
  <c r="BX768" i="1" s="1"/>
  <c r="Z786" i="1"/>
  <c r="Z990" i="1"/>
  <c r="BW990" i="1"/>
  <c r="Z443" i="1"/>
  <c r="BW443" i="1" s="1"/>
  <c r="N762" i="1"/>
  <c r="BV762" i="1"/>
  <c r="N768" i="1"/>
  <c r="BV768" i="1" s="1"/>
  <c r="N442" i="1"/>
  <c r="BV442" i="1"/>
  <c r="N465" i="1"/>
  <c r="BV465" i="1" s="1"/>
  <c r="N466" i="1"/>
  <c r="BV466" i="1" s="1"/>
  <c r="N410" i="1"/>
  <c r="BV410" i="1" s="1"/>
  <c r="N796" i="1"/>
  <c r="BV796" i="1" s="1"/>
  <c r="N1006" i="1"/>
  <c r="BV1006" i="1"/>
  <c r="Z1006" i="1"/>
  <c r="BW1006" i="1" s="1"/>
  <c r="AL1006" i="1"/>
  <c r="BX1006" i="1"/>
  <c r="AX1006" i="1"/>
  <c r="BY1006" i="1" s="1"/>
  <c r="BK1006" i="1"/>
  <c r="BZ1006" i="1"/>
  <c r="BM1006" i="1"/>
  <c r="N1005" i="1"/>
  <c r="BV1005" i="1" s="1"/>
  <c r="Z1005" i="1"/>
  <c r="BW1005" i="1" s="1"/>
  <c r="AL1005" i="1"/>
  <c r="BX1005" i="1" s="1"/>
  <c r="AX1005" i="1"/>
  <c r="BY1005" i="1" s="1"/>
  <c r="BK1005" i="1"/>
  <c r="BZ1005" i="1" s="1"/>
  <c r="BM1005" i="1"/>
  <c r="N1004" i="1"/>
  <c r="BV1004" i="1" s="1"/>
  <c r="Z1004" i="1"/>
  <c r="BW1004" i="1" s="1"/>
  <c r="AX1004" i="1"/>
  <c r="BY1004" i="1" s="1"/>
  <c r="BM1004" i="1"/>
  <c r="Z1003" i="1"/>
  <c r="BW1003" i="1" s="1"/>
  <c r="AL1003" i="1"/>
  <c r="AX1003" i="1"/>
  <c r="BY1003" i="1" s="1"/>
  <c r="BK1003" i="1"/>
  <c r="BZ1003" i="1" s="1"/>
  <c r="BM1003" i="1"/>
  <c r="N1002" i="1"/>
  <c r="BV1002" i="1"/>
  <c r="Z1002" i="1"/>
  <c r="BW1002" i="1" s="1"/>
  <c r="AL1002" i="1"/>
  <c r="BX1002" i="1"/>
  <c r="AX1002" i="1"/>
  <c r="BY1002" i="1" s="1"/>
  <c r="BK1002" i="1"/>
  <c r="BZ1002" i="1"/>
  <c r="BM1002" i="1"/>
  <c r="Z1001" i="1"/>
  <c r="BW1001" i="1" s="1"/>
  <c r="AL1001" i="1"/>
  <c r="BX1001" i="1" s="1"/>
  <c r="AX1001" i="1"/>
  <c r="BY1001" i="1" s="1"/>
  <c r="BK1001" i="1"/>
  <c r="BZ1001" i="1" s="1"/>
  <c r="BM1001" i="1"/>
  <c r="N1000" i="1"/>
  <c r="BV1000" i="1"/>
  <c r="Z1000" i="1"/>
  <c r="BW1000" i="1" s="1"/>
  <c r="AX1000" i="1"/>
  <c r="BY1000" i="1"/>
  <c r="BK1000" i="1"/>
  <c r="BZ1000" i="1" s="1"/>
  <c r="BM1000" i="1"/>
  <c r="Z999" i="1"/>
  <c r="BW999" i="1" s="1"/>
  <c r="AL999" i="1"/>
  <c r="BX999" i="1" s="1"/>
  <c r="AX999" i="1"/>
  <c r="BY999" i="1" s="1"/>
  <c r="BK999" i="1"/>
  <c r="BZ999" i="1" s="1"/>
  <c r="BM999" i="1"/>
  <c r="N998" i="1"/>
  <c r="BV998" i="1" s="1"/>
  <c r="Z998" i="1"/>
  <c r="BW998" i="1"/>
  <c r="AL998" i="1"/>
  <c r="BX998" i="1" s="1"/>
  <c r="AX998" i="1"/>
  <c r="BY998" i="1"/>
  <c r="BK998" i="1"/>
  <c r="BZ998" i="1" s="1"/>
  <c r="BM998" i="1"/>
  <c r="Z997" i="1"/>
  <c r="BW997" i="1" s="1"/>
  <c r="AL997" i="1"/>
  <c r="BX997" i="1" s="1"/>
  <c r="AX997" i="1"/>
  <c r="BY997" i="1" s="1"/>
  <c r="BK997" i="1"/>
  <c r="BZ997" i="1" s="1"/>
  <c r="BM997" i="1"/>
  <c r="N996" i="1"/>
  <c r="BV996" i="1" s="1"/>
  <c r="Z996" i="1"/>
  <c r="BW996" i="1"/>
  <c r="AX996" i="1"/>
  <c r="BY996" i="1" s="1"/>
  <c r="BM996" i="1"/>
  <c r="N995" i="1"/>
  <c r="BV995" i="1" s="1"/>
  <c r="Z995" i="1"/>
  <c r="BW995" i="1" s="1"/>
  <c r="AL995" i="1"/>
  <c r="BX995" i="1" s="1"/>
  <c r="AX995" i="1"/>
  <c r="BY995" i="1" s="1"/>
  <c r="BK995" i="1"/>
  <c r="BZ995" i="1" s="1"/>
  <c r="BM995" i="1"/>
  <c r="N994" i="1"/>
  <c r="BV994" i="1" s="1"/>
  <c r="Z994" i="1"/>
  <c r="AL994" i="1"/>
  <c r="BX994" i="1" s="1"/>
  <c r="AX994" i="1"/>
  <c r="BY994" i="1" s="1"/>
  <c r="BK994" i="1"/>
  <c r="BZ994" i="1" s="1"/>
  <c r="BM994" i="1"/>
  <c r="BS993" i="1"/>
  <c r="N993" i="1"/>
  <c r="BV993" i="1" s="1"/>
  <c r="Z993" i="1"/>
  <c r="BW993" i="1" s="1"/>
  <c r="AL993" i="1"/>
  <c r="BX993" i="1" s="1"/>
  <c r="AX993" i="1"/>
  <c r="BY993" i="1" s="1"/>
  <c r="BK993" i="1"/>
  <c r="BZ993" i="1" s="1"/>
  <c r="BM993" i="1"/>
  <c r="N991" i="1"/>
  <c r="Z991" i="1"/>
  <c r="BW991" i="1" s="1"/>
  <c r="AL991" i="1"/>
  <c r="BX991" i="1" s="1"/>
  <c r="AX991" i="1"/>
  <c r="BY991" i="1" s="1"/>
  <c r="BK991" i="1"/>
  <c r="BZ991" i="1"/>
  <c r="BM991" i="1"/>
  <c r="AL990" i="1"/>
  <c r="BX990" i="1" s="1"/>
  <c r="AX990" i="1"/>
  <c r="BY990" i="1" s="1"/>
  <c r="BK990" i="1"/>
  <c r="BZ990" i="1" s="1"/>
  <c r="BM990" i="1"/>
  <c r="N989" i="1"/>
  <c r="BV989" i="1"/>
  <c r="Z989" i="1"/>
  <c r="BW989" i="1" s="1"/>
  <c r="AL989" i="1"/>
  <c r="BX989" i="1"/>
  <c r="AX989" i="1"/>
  <c r="BY989" i="1" s="1"/>
  <c r="BK989" i="1"/>
  <c r="BZ989" i="1"/>
  <c r="BM989" i="1"/>
  <c r="N988" i="1"/>
  <c r="BV988" i="1" s="1"/>
  <c r="Z988" i="1"/>
  <c r="BW988" i="1" s="1"/>
  <c r="AL988" i="1"/>
  <c r="BX988" i="1" s="1"/>
  <c r="AX988" i="1"/>
  <c r="BY988" i="1" s="1"/>
  <c r="BK988" i="1"/>
  <c r="BZ988" i="1" s="1"/>
  <c r="BM988" i="1"/>
  <c r="N987" i="1"/>
  <c r="BV987" i="1"/>
  <c r="Z987" i="1"/>
  <c r="BW987" i="1" s="1"/>
  <c r="AL987" i="1"/>
  <c r="AX987" i="1"/>
  <c r="BY987" i="1" s="1"/>
  <c r="BK987" i="1"/>
  <c r="BZ987" i="1" s="1"/>
  <c r="BM987" i="1"/>
  <c r="N986" i="1"/>
  <c r="BV986" i="1" s="1"/>
  <c r="AL986" i="1"/>
  <c r="BX986" i="1" s="1"/>
  <c r="BK986" i="1"/>
  <c r="BZ986" i="1" s="1"/>
  <c r="BM986" i="1"/>
  <c r="N985" i="1"/>
  <c r="Z985" i="1"/>
  <c r="BW985" i="1" s="1"/>
  <c r="AL985" i="1"/>
  <c r="BX985" i="1" s="1"/>
  <c r="AX985" i="1"/>
  <c r="BY985" i="1" s="1"/>
  <c r="BK985" i="1"/>
  <c r="BZ985" i="1" s="1"/>
  <c r="BM985" i="1"/>
  <c r="N984" i="1"/>
  <c r="BV984" i="1" s="1"/>
  <c r="Z984" i="1"/>
  <c r="BW984" i="1" s="1"/>
  <c r="AL984" i="1"/>
  <c r="AX984" i="1"/>
  <c r="BY984" i="1"/>
  <c r="BK984" i="1"/>
  <c r="BZ984" i="1" s="1"/>
  <c r="BM984" i="1"/>
  <c r="N983" i="1"/>
  <c r="Z983" i="1"/>
  <c r="BW983" i="1" s="1"/>
  <c r="AL983" i="1"/>
  <c r="BX983" i="1" s="1"/>
  <c r="AX983" i="1"/>
  <c r="BY983" i="1" s="1"/>
  <c r="BK983" i="1"/>
  <c r="BZ983" i="1" s="1"/>
  <c r="BM983" i="1"/>
  <c r="N982" i="1"/>
  <c r="BV982" i="1" s="1"/>
  <c r="AL982" i="1"/>
  <c r="BX982" i="1" s="1"/>
  <c r="AX982" i="1"/>
  <c r="BY982" i="1" s="1"/>
  <c r="BK982" i="1"/>
  <c r="BZ982" i="1" s="1"/>
  <c r="BM982" i="1"/>
  <c r="N981" i="1"/>
  <c r="BV981" i="1" s="1"/>
  <c r="Z981" i="1"/>
  <c r="BW981" i="1" s="1"/>
  <c r="AL981" i="1"/>
  <c r="BX981" i="1" s="1"/>
  <c r="AX981" i="1"/>
  <c r="BY981" i="1" s="1"/>
  <c r="BK981" i="1"/>
  <c r="BZ981" i="1" s="1"/>
  <c r="BM981" i="1"/>
  <c r="N980" i="1"/>
  <c r="BV980" i="1"/>
  <c r="Z980" i="1"/>
  <c r="BW980" i="1" s="1"/>
  <c r="AL980" i="1"/>
  <c r="BX980" i="1" s="1"/>
  <c r="AX980" i="1"/>
  <c r="BY980" i="1" s="1"/>
  <c r="BK980" i="1"/>
  <c r="BZ980" i="1" s="1"/>
  <c r="BM980" i="1"/>
  <c r="N979" i="1"/>
  <c r="BV979" i="1" s="1"/>
  <c r="Z979" i="1"/>
  <c r="BW979" i="1" s="1"/>
  <c r="AL979" i="1"/>
  <c r="BX979" i="1" s="1"/>
  <c r="AX979" i="1"/>
  <c r="BY979" i="1" s="1"/>
  <c r="BK979" i="1"/>
  <c r="BZ979" i="1" s="1"/>
  <c r="BM979" i="1"/>
  <c r="N978" i="1"/>
  <c r="AL978" i="1"/>
  <c r="BX978" i="1" s="1"/>
  <c r="BK978" i="1"/>
  <c r="BZ978" i="1" s="1"/>
  <c r="BM978" i="1"/>
  <c r="N977" i="1"/>
  <c r="BV977" i="1" s="1"/>
  <c r="Z977" i="1"/>
  <c r="BW977" i="1" s="1"/>
  <c r="AL977" i="1"/>
  <c r="AX977" i="1"/>
  <c r="BY977" i="1" s="1"/>
  <c r="BK977" i="1"/>
  <c r="BZ977" i="1" s="1"/>
  <c r="BM977" i="1"/>
  <c r="N976" i="1"/>
  <c r="BV976" i="1" s="1"/>
  <c r="Z976" i="1"/>
  <c r="BW976" i="1" s="1"/>
  <c r="AL976" i="1"/>
  <c r="BX976" i="1" s="1"/>
  <c r="AX976" i="1"/>
  <c r="BY976" i="1" s="1"/>
  <c r="BK976" i="1"/>
  <c r="BZ976" i="1" s="1"/>
  <c r="BM976" i="1"/>
  <c r="N975" i="1"/>
  <c r="BV975" i="1" s="1"/>
  <c r="Z975" i="1"/>
  <c r="BW975" i="1" s="1"/>
  <c r="AL975" i="1"/>
  <c r="BX975" i="1" s="1"/>
  <c r="AX975" i="1"/>
  <c r="BY975" i="1" s="1"/>
  <c r="BK975" i="1"/>
  <c r="BZ975" i="1" s="1"/>
  <c r="BM975" i="1"/>
  <c r="N974" i="1"/>
  <c r="BV974" i="1"/>
  <c r="AL974" i="1"/>
  <c r="AX974" i="1"/>
  <c r="BY974" i="1" s="1"/>
  <c r="BK974" i="1"/>
  <c r="BZ974" i="1" s="1"/>
  <c r="BM974" i="1"/>
  <c r="N973" i="1"/>
  <c r="BV973" i="1" s="1"/>
  <c r="Z973" i="1"/>
  <c r="BW973" i="1"/>
  <c r="AL973" i="1"/>
  <c r="BX973" i="1" s="1"/>
  <c r="AX973" i="1"/>
  <c r="BY973" i="1" s="1"/>
  <c r="BK973" i="1"/>
  <c r="BZ973" i="1" s="1"/>
  <c r="BM973" i="1"/>
  <c r="N972" i="1"/>
  <c r="BV972" i="1" s="1"/>
  <c r="Z972" i="1"/>
  <c r="BW972" i="1"/>
  <c r="AL972" i="1"/>
  <c r="BX972" i="1" s="1"/>
  <c r="AX972" i="1"/>
  <c r="BY972" i="1"/>
  <c r="BK972" i="1"/>
  <c r="BZ972" i="1" s="1"/>
  <c r="BM972" i="1"/>
  <c r="N971" i="1"/>
  <c r="BV971" i="1" s="1"/>
  <c r="Z971" i="1"/>
  <c r="BW971" i="1" s="1"/>
  <c r="AL971" i="1"/>
  <c r="BX971" i="1" s="1"/>
  <c r="AX971" i="1"/>
  <c r="BY971" i="1" s="1"/>
  <c r="BK971" i="1"/>
  <c r="BZ971" i="1" s="1"/>
  <c r="BM971" i="1"/>
  <c r="N970" i="1"/>
  <c r="BV970" i="1" s="1"/>
  <c r="AL970" i="1"/>
  <c r="BX970" i="1" s="1"/>
  <c r="BK970" i="1"/>
  <c r="BZ970" i="1" s="1"/>
  <c r="BM970" i="1"/>
  <c r="N969" i="1"/>
  <c r="BV969" i="1" s="1"/>
  <c r="Z969" i="1"/>
  <c r="BW969" i="1" s="1"/>
  <c r="AL969" i="1"/>
  <c r="BX969" i="1" s="1"/>
  <c r="AX969" i="1"/>
  <c r="BY969" i="1" s="1"/>
  <c r="BK969" i="1"/>
  <c r="BZ969" i="1" s="1"/>
  <c r="BM969" i="1"/>
  <c r="N968" i="1"/>
  <c r="BV968" i="1" s="1"/>
  <c r="Z968" i="1"/>
  <c r="BW968" i="1" s="1"/>
  <c r="AL968" i="1"/>
  <c r="BX968" i="1" s="1"/>
  <c r="AX968" i="1"/>
  <c r="BY968" i="1" s="1"/>
  <c r="BK968" i="1"/>
  <c r="BZ968" i="1" s="1"/>
  <c r="BM968" i="1"/>
  <c r="N967" i="1"/>
  <c r="BV967" i="1" s="1"/>
  <c r="Z967" i="1"/>
  <c r="BW967" i="1"/>
  <c r="AL967" i="1"/>
  <c r="BX967" i="1" s="1"/>
  <c r="AX967" i="1"/>
  <c r="BY967" i="1"/>
  <c r="BK967" i="1"/>
  <c r="BZ967" i="1" s="1"/>
  <c r="BM967" i="1"/>
  <c r="N966" i="1"/>
  <c r="BV966" i="1" s="1"/>
  <c r="AL966" i="1"/>
  <c r="BX966" i="1" s="1"/>
  <c r="AX966" i="1"/>
  <c r="BY966" i="1" s="1"/>
  <c r="BK966" i="1"/>
  <c r="BZ966" i="1" s="1"/>
  <c r="BM966" i="1"/>
  <c r="N965" i="1"/>
  <c r="BV965" i="1" s="1"/>
  <c r="Z965" i="1"/>
  <c r="BW965" i="1"/>
  <c r="AL965" i="1"/>
  <c r="AX965" i="1"/>
  <c r="BY965" i="1" s="1"/>
  <c r="BK965" i="1"/>
  <c r="BZ965" i="1"/>
  <c r="BM965" i="1"/>
  <c r="N964" i="1"/>
  <c r="Z964" i="1"/>
  <c r="BW964" i="1"/>
  <c r="AL964" i="1"/>
  <c r="BX964" i="1" s="1"/>
  <c r="AX964" i="1"/>
  <c r="BY964" i="1"/>
  <c r="BK964" i="1"/>
  <c r="BZ964" i="1" s="1"/>
  <c r="BM964" i="1"/>
  <c r="N963" i="1"/>
  <c r="BV963" i="1" s="1"/>
  <c r="Z963" i="1"/>
  <c r="BW963" i="1" s="1"/>
  <c r="AL963" i="1"/>
  <c r="AX963" i="1"/>
  <c r="BY963" i="1"/>
  <c r="BK963" i="1"/>
  <c r="BZ963" i="1" s="1"/>
  <c r="BM963" i="1"/>
  <c r="N961" i="1"/>
  <c r="AL961" i="1"/>
  <c r="BX961" i="1" s="1"/>
  <c r="BK961" i="1"/>
  <c r="BZ961" i="1" s="1"/>
  <c r="BM961" i="1"/>
  <c r="N960" i="1"/>
  <c r="BV960" i="1" s="1"/>
  <c r="Z960" i="1"/>
  <c r="BW960" i="1" s="1"/>
  <c r="AL960" i="1"/>
  <c r="BX960" i="1" s="1"/>
  <c r="AX960" i="1"/>
  <c r="BY960" i="1" s="1"/>
  <c r="BK960" i="1"/>
  <c r="BZ960" i="1" s="1"/>
  <c r="BM960" i="1"/>
  <c r="N959" i="1"/>
  <c r="BV959" i="1" s="1"/>
  <c r="Z959" i="1"/>
  <c r="BW959" i="1" s="1"/>
  <c r="AL959" i="1"/>
  <c r="BX959" i="1"/>
  <c r="AX959" i="1"/>
  <c r="BY959" i="1" s="1"/>
  <c r="BK959" i="1"/>
  <c r="BZ959" i="1" s="1"/>
  <c r="BM959" i="1"/>
  <c r="N958" i="1"/>
  <c r="BV958" i="1" s="1"/>
  <c r="Z958" i="1"/>
  <c r="BW958" i="1" s="1"/>
  <c r="AL958" i="1"/>
  <c r="BX958" i="1" s="1"/>
  <c r="AX958" i="1"/>
  <c r="BY958" i="1" s="1"/>
  <c r="BK958" i="1"/>
  <c r="BZ958" i="1" s="1"/>
  <c r="BM958" i="1"/>
  <c r="N957" i="1"/>
  <c r="BV957" i="1"/>
  <c r="Z957" i="1"/>
  <c r="BW957" i="1"/>
  <c r="AL957" i="1"/>
  <c r="BX957" i="1"/>
  <c r="AX957" i="1"/>
  <c r="BY957" i="1"/>
  <c r="BK957" i="1"/>
  <c r="BZ957" i="1"/>
  <c r="BM957" i="1"/>
  <c r="N956" i="1"/>
  <c r="BV956" i="1" s="1"/>
  <c r="Z956" i="1"/>
  <c r="BW956" i="1" s="1"/>
  <c r="AL956" i="1"/>
  <c r="BX956" i="1" s="1"/>
  <c r="AX956" i="1"/>
  <c r="BY956" i="1" s="1"/>
  <c r="BK956" i="1"/>
  <c r="BZ956" i="1" s="1"/>
  <c r="BM956" i="1"/>
  <c r="N955" i="1"/>
  <c r="BV955" i="1" s="1"/>
  <c r="Z955" i="1"/>
  <c r="BW955" i="1" s="1"/>
  <c r="AL955" i="1"/>
  <c r="AX955" i="1"/>
  <c r="BY955" i="1" s="1"/>
  <c r="BK955" i="1"/>
  <c r="BZ955" i="1" s="1"/>
  <c r="BM955" i="1"/>
  <c r="N954" i="1"/>
  <c r="BV954" i="1" s="1"/>
  <c r="Z954" i="1"/>
  <c r="BW954" i="1" s="1"/>
  <c r="AL954" i="1"/>
  <c r="BX954" i="1" s="1"/>
  <c r="AX954" i="1"/>
  <c r="BY954" i="1"/>
  <c r="BK954" i="1"/>
  <c r="BZ954" i="1" s="1"/>
  <c r="BM954" i="1"/>
  <c r="N952" i="1"/>
  <c r="BV952" i="1" s="1"/>
  <c r="Z952" i="1"/>
  <c r="BW952" i="1" s="1"/>
  <c r="AL952" i="1"/>
  <c r="BX952" i="1" s="1"/>
  <c r="AX952" i="1"/>
  <c r="BY952" i="1" s="1"/>
  <c r="BK952" i="1"/>
  <c r="BZ952" i="1" s="1"/>
  <c r="BM952" i="1"/>
  <c r="N950" i="1"/>
  <c r="BV950" i="1" s="1"/>
  <c r="Z950" i="1"/>
  <c r="BW950" i="1" s="1"/>
  <c r="AL950" i="1"/>
  <c r="BX950" i="1" s="1"/>
  <c r="AX950" i="1"/>
  <c r="BY950" i="1" s="1"/>
  <c r="BK950" i="1"/>
  <c r="BZ950" i="1" s="1"/>
  <c r="BM950" i="1"/>
  <c r="N949" i="1"/>
  <c r="BV949" i="1"/>
  <c r="AL949" i="1"/>
  <c r="BX949" i="1" s="1"/>
  <c r="AX949" i="1"/>
  <c r="BY949" i="1"/>
  <c r="BK949" i="1"/>
  <c r="BZ949" i="1" s="1"/>
  <c r="BM949" i="1"/>
  <c r="N948" i="1"/>
  <c r="BV948" i="1" s="1"/>
  <c r="Z948" i="1"/>
  <c r="BW948" i="1" s="1"/>
  <c r="AL948" i="1"/>
  <c r="BX948" i="1" s="1"/>
  <c r="AX948" i="1"/>
  <c r="BY948" i="1" s="1"/>
  <c r="BK948" i="1"/>
  <c r="BZ948" i="1" s="1"/>
  <c r="BM948" i="1"/>
  <c r="N947" i="1"/>
  <c r="BV947" i="1" s="1"/>
  <c r="Z947" i="1"/>
  <c r="BW947" i="1" s="1"/>
  <c r="AL947" i="1"/>
  <c r="BX947" i="1" s="1"/>
  <c r="AX947" i="1"/>
  <c r="BY947" i="1"/>
  <c r="BK947" i="1"/>
  <c r="BZ947" i="1" s="1"/>
  <c r="BM947" i="1"/>
  <c r="Z946" i="1"/>
  <c r="BW946" i="1" s="1"/>
  <c r="N946" i="1"/>
  <c r="AL946" i="1"/>
  <c r="BX946" i="1" s="1"/>
  <c r="AX946" i="1"/>
  <c r="BY946" i="1" s="1"/>
  <c r="BK946" i="1"/>
  <c r="BZ946" i="1" s="1"/>
  <c r="BM946" i="1"/>
  <c r="N945" i="1"/>
  <c r="BV945" i="1"/>
  <c r="AL945" i="1"/>
  <c r="BX945" i="1" s="1"/>
  <c r="BK945" i="1"/>
  <c r="BZ945" i="1" s="1"/>
  <c r="BM945" i="1"/>
  <c r="N944" i="1"/>
  <c r="BV944" i="1" s="1"/>
  <c r="Z944" i="1"/>
  <c r="BW944" i="1" s="1"/>
  <c r="AL944" i="1"/>
  <c r="BX944" i="1" s="1"/>
  <c r="AX944" i="1"/>
  <c r="BY944" i="1" s="1"/>
  <c r="BK944" i="1"/>
  <c r="BZ944" i="1" s="1"/>
  <c r="BM944" i="1"/>
  <c r="N943" i="1"/>
  <c r="BV943" i="1" s="1"/>
  <c r="Z943" i="1"/>
  <c r="BW943" i="1" s="1"/>
  <c r="AL943" i="1"/>
  <c r="AX943" i="1"/>
  <c r="BY943" i="1" s="1"/>
  <c r="BK943" i="1"/>
  <c r="BZ943" i="1" s="1"/>
  <c r="BM943" i="1"/>
  <c r="N942" i="1"/>
  <c r="BV942" i="1" s="1"/>
  <c r="Z942" i="1"/>
  <c r="BW942" i="1" s="1"/>
  <c r="AL942" i="1"/>
  <c r="BX942" i="1" s="1"/>
  <c r="AX942" i="1"/>
  <c r="BY942" i="1"/>
  <c r="BK942" i="1"/>
  <c r="BZ942" i="1" s="1"/>
  <c r="BM942" i="1"/>
  <c r="N941" i="1"/>
  <c r="BV941" i="1" s="1"/>
  <c r="AL941" i="1"/>
  <c r="BX941" i="1" s="1"/>
  <c r="AX941" i="1"/>
  <c r="BY941" i="1" s="1"/>
  <c r="BK941" i="1"/>
  <c r="BZ941" i="1" s="1"/>
  <c r="BM941" i="1"/>
  <c r="N940" i="1"/>
  <c r="BV940" i="1" s="1"/>
  <c r="Z940" i="1"/>
  <c r="BW940" i="1" s="1"/>
  <c r="AL940" i="1"/>
  <c r="BX940" i="1" s="1"/>
  <c r="AX940" i="1"/>
  <c r="BY940" i="1" s="1"/>
  <c r="BK940" i="1"/>
  <c r="BZ940" i="1" s="1"/>
  <c r="BM940" i="1"/>
  <c r="N939" i="1"/>
  <c r="BV939" i="1" s="1"/>
  <c r="Z939" i="1"/>
  <c r="BW939" i="1" s="1"/>
  <c r="AL939" i="1"/>
  <c r="BX939" i="1" s="1"/>
  <c r="AX939" i="1"/>
  <c r="BY939" i="1" s="1"/>
  <c r="BK939" i="1"/>
  <c r="BZ939" i="1" s="1"/>
  <c r="BM939" i="1"/>
  <c r="N938" i="1"/>
  <c r="BV938" i="1" s="1"/>
  <c r="Z938" i="1"/>
  <c r="BW938" i="1" s="1"/>
  <c r="AL938" i="1"/>
  <c r="BX938" i="1" s="1"/>
  <c r="AX938" i="1"/>
  <c r="BY938" i="1" s="1"/>
  <c r="BK938" i="1"/>
  <c r="BZ938" i="1" s="1"/>
  <c r="BM938" i="1"/>
  <c r="Z937" i="1"/>
  <c r="BW937" i="1" s="1"/>
  <c r="N937" i="1"/>
  <c r="BV937" i="1"/>
  <c r="AL937" i="1"/>
  <c r="BX937" i="1" s="1"/>
  <c r="BK937" i="1"/>
  <c r="BZ937" i="1" s="1"/>
  <c r="BM937" i="1"/>
  <c r="N934" i="1"/>
  <c r="BV934" i="1" s="1"/>
  <c r="Z934" i="1"/>
  <c r="BW934" i="1"/>
  <c r="AL934" i="1"/>
  <c r="BX934" i="1" s="1"/>
  <c r="AX934" i="1"/>
  <c r="BY934" i="1"/>
  <c r="BK934" i="1"/>
  <c r="BZ934" i="1" s="1"/>
  <c r="BM934" i="1"/>
  <c r="N933" i="1"/>
  <c r="BV933" i="1" s="1"/>
  <c r="Z933" i="1"/>
  <c r="BW933" i="1" s="1"/>
  <c r="AL933" i="1"/>
  <c r="BX933" i="1" s="1"/>
  <c r="AX933" i="1"/>
  <c r="BY933" i="1" s="1"/>
  <c r="BK933" i="1"/>
  <c r="BZ933" i="1" s="1"/>
  <c r="BM933" i="1"/>
  <c r="N932" i="1"/>
  <c r="BV932" i="1" s="1"/>
  <c r="Z932" i="1"/>
  <c r="BW932" i="1" s="1"/>
  <c r="AL932" i="1"/>
  <c r="BX932" i="1" s="1"/>
  <c r="AX932" i="1"/>
  <c r="BY932" i="1" s="1"/>
  <c r="BK932" i="1"/>
  <c r="BZ932" i="1" s="1"/>
  <c r="BM932" i="1"/>
  <c r="N930" i="1"/>
  <c r="BV930" i="1"/>
  <c r="Z930" i="1"/>
  <c r="BW930" i="1" s="1"/>
  <c r="AL930" i="1"/>
  <c r="BX930" i="1" s="1"/>
  <c r="AX930" i="1"/>
  <c r="BY930" i="1" s="1"/>
  <c r="BK930" i="1"/>
  <c r="BZ930" i="1" s="1"/>
  <c r="BM930" i="1"/>
  <c r="N929" i="1"/>
  <c r="BV929" i="1" s="1"/>
  <c r="Z929" i="1"/>
  <c r="BW929" i="1" s="1"/>
  <c r="AL929" i="1"/>
  <c r="BX929" i="1" s="1"/>
  <c r="BK929" i="1"/>
  <c r="BZ929" i="1" s="1"/>
  <c r="BM929" i="1"/>
  <c r="N927" i="1"/>
  <c r="BV927" i="1" s="1"/>
  <c r="Z927" i="1"/>
  <c r="BW927" i="1" s="1"/>
  <c r="AL927" i="1"/>
  <c r="BX927" i="1" s="1"/>
  <c r="AX927" i="1"/>
  <c r="BY927" i="1" s="1"/>
  <c r="BK927" i="1"/>
  <c r="BZ927" i="1"/>
  <c r="BM927" i="1"/>
  <c r="N926" i="1"/>
  <c r="BV926" i="1" s="1"/>
  <c r="Z926" i="1"/>
  <c r="BW926" i="1" s="1"/>
  <c r="AL926" i="1"/>
  <c r="BX926" i="1" s="1"/>
  <c r="AX926" i="1"/>
  <c r="BY926" i="1" s="1"/>
  <c r="BK926" i="1"/>
  <c r="BZ926" i="1" s="1"/>
  <c r="BM926" i="1"/>
  <c r="N925" i="1"/>
  <c r="BV925" i="1" s="1"/>
  <c r="AL925" i="1"/>
  <c r="BX925" i="1" s="1"/>
  <c r="AX925" i="1"/>
  <c r="BY925" i="1" s="1"/>
  <c r="BK925" i="1"/>
  <c r="BZ925" i="1" s="1"/>
  <c r="BM925" i="1"/>
  <c r="N924" i="1"/>
  <c r="BV924" i="1" s="1"/>
  <c r="Z924" i="1"/>
  <c r="BW924" i="1" s="1"/>
  <c r="AL924" i="1"/>
  <c r="BX924" i="1" s="1"/>
  <c r="AX924" i="1"/>
  <c r="BY924" i="1" s="1"/>
  <c r="BK924" i="1"/>
  <c r="BZ924" i="1" s="1"/>
  <c r="BM924" i="1"/>
  <c r="N923" i="1"/>
  <c r="BV923" i="1" s="1"/>
  <c r="Z923" i="1"/>
  <c r="BW923" i="1" s="1"/>
  <c r="AL923" i="1"/>
  <c r="BX923" i="1" s="1"/>
  <c r="AX923" i="1"/>
  <c r="BY923" i="1" s="1"/>
  <c r="BK923" i="1"/>
  <c r="BZ923" i="1" s="1"/>
  <c r="BM923" i="1"/>
  <c r="N922" i="1"/>
  <c r="BV922" i="1"/>
  <c r="Z922" i="1"/>
  <c r="BW922" i="1" s="1"/>
  <c r="AL922" i="1"/>
  <c r="BX922" i="1"/>
  <c r="AX922" i="1"/>
  <c r="BY922" i="1" s="1"/>
  <c r="BK922" i="1"/>
  <c r="BZ922" i="1"/>
  <c r="BM922" i="1"/>
  <c r="Z921" i="1"/>
  <c r="BW921" i="1" s="1"/>
  <c r="N921" i="1"/>
  <c r="BV921" i="1" s="1"/>
  <c r="AL921" i="1"/>
  <c r="BX921" i="1" s="1"/>
  <c r="BK921" i="1"/>
  <c r="BZ921" i="1" s="1"/>
  <c r="BM921" i="1"/>
  <c r="N920" i="1"/>
  <c r="BV920" i="1"/>
  <c r="Z920" i="1"/>
  <c r="BW920" i="1" s="1"/>
  <c r="AL920" i="1"/>
  <c r="BX920" i="1"/>
  <c r="AX920" i="1"/>
  <c r="BY920" i="1" s="1"/>
  <c r="BK920" i="1"/>
  <c r="BZ920" i="1"/>
  <c r="BM920" i="1"/>
  <c r="N919" i="1"/>
  <c r="BV919" i="1" s="1"/>
  <c r="Z919" i="1"/>
  <c r="BW919" i="1" s="1"/>
  <c r="AL919" i="1"/>
  <c r="AX919" i="1"/>
  <c r="BY919" i="1" s="1"/>
  <c r="BK919" i="1"/>
  <c r="BZ919" i="1"/>
  <c r="BM919" i="1"/>
  <c r="BS917" i="1"/>
  <c r="N917" i="1"/>
  <c r="BV917" i="1"/>
  <c r="Z917" i="1"/>
  <c r="BW917" i="1" s="1"/>
  <c r="AL917" i="1"/>
  <c r="AX917" i="1"/>
  <c r="BY917" i="1" s="1"/>
  <c r="BM917" i="1"/>
  <c r="N915" i="1"/>
  <c r="BV915" i="1" s="1"/>
  <c r="Z915" i="1"/>
  <c r="BW915" i="1" s="1"/>
  <c r="AL915" i="1"/>
  <c r="BX915" i="1" s="1"/>
  <c r="AX915" i="1"/>
  <c r="BY915" i="1" s="1"/>
  <c r="BK915" i="1"/>
  <c r="BZ915" i="1" s="1"/>
  <c r="BM915" i="1"/>
  <c r="N914" i="1"/>
  <c r="Z914" i="1"/>
  <c r="BW914" i="1" s="1"/>
  <c r="AL914" i="1"/>
  <c r="BX914" i="1"/>
  <c r="AX914" i="1"/>
  <c r="BY914" i="1" s="1"/>
  <c r="BK914" i="1"/>
  <c r="BZ914" i="1"/>
  <c r="BM914" i="1"/>
  <c r="N913" i="1"/>
  <c r="BV913" i="1" s="1"/>
  <c r="Z913" i="1"/>
  <c r="BW913" i="1" s="1"/>
  <c r="AX913" i="1"/>
  <c r="BY913" i="1" s="1"/>
  <c r="BK913" i="1"/>
  <c r="BZ913" i="1" s="1"/>
  <c r="BM913" i="1"/>
  <c r="N912" i="1"/>
  <c r="BV912" i="1"/>
  <c r="Z912" i="1"/>
  <c r="BW912" i="1" s="1"/>
  <c r="AL912" i="1"/>
  <c r="BX912" i="1"/>
  <c r="AX912" i="1"/>
  <c r="BY912" i="1" s="1"/>
  <c r="BK912" i="1"/>
  <c r="BZ912" i="1" s="1"/>
  <c r="BM912" i="1"/>
  <c r="Z911" i="1"/>
  <c r="BW911" i="1" s="1"/>
  <c r="AL911" i="1"/>
  <c r="AX911" i="1"/>
  <c r="BY911" i="1" s="1"/>
  <c r="BK911" i="1"/>
  <c r="BZ911" i="1"/>
  <c r="BM911" i="1"/>
  <c r="N910" i="1"/>
  <c r="BV910" i="1" s="1"/>
  <c r="Z910" i="1"/>
  <c r="BW910" i="1" s="1"/>
  <c r="AL910" i="1"/>
  <c r="BX910" i="1" s="1"/>
  <c r="AX910" i="1"/>
  <c r="BY910" i="1" s="1"/>
  <c r="BK910" i="1"/>
  <c r="BZ910" i="1" s="1"/>
  <c r="BM910" i="1"/>
  <c r="N909" i="1"/>
  <c r="BV909" i="1" s="1"/>
  <c r="Z909" i="1"/>
  <c r="BW909" i="1"/>
  <c r="AX909" i="1"/>
  <c r="BY909" i="1" s="1"/>
  <c r="BK909" i="1"/>
  <c r="BZ909" i="1"/>
  <c r="BM909" i="1"/>
  <c r="N908" i="1"/>
  <c r="BV908" i="1" s="1"/>
  <c r="Z908" i="1"/>
  <c r="BW908" i="1" s="1"/>
  <c r="AL908" i="1"/>
  <c r="BX908" i="1" s="1"/>
  <c r="AX908" i="1"/>
  <c r="BY908" i="1" s="1"/>
  <c r="BK908" i="1"/>
  <c r="BZ908" i="1" s="1"/>
  <c r="BM908" i="1"/>
  <c r="N906" i="1"/>
  <c r="BV906" i="1" s="1"/>
  <c r="Z906" i="1"/>
  <c r="BW906" i="1" s="1"/>
  <c r="AL906" i="1"/>
  <c r="BX906" i="1" s="1"/>
  <c r="AX906" i="1"/>
  <c r="BY906" i="1" s="1"/>
  <c r="BK906" i="1"/>
  <c r="BZ906" i="1" s="1"/>
  <c r="BM906" i="1"/>
  <c r="Z905" i="1"/>
  <c r="BW905" i="1" s="1"/>
  <c r="AX905" i="1"/>
  <c r="BY905" i="1" s="1"/>
  <c r="BK905" i="1"/>
  <c r="BZ905" i="1" s="1"/>
  <c r="BM905" i="1"/>
  <c r="N904" i="1"/>
  <c r="BV904" i="1" s="1"/>
  <c r="Z904" i="1"/>
  <c r="BW904" i="1" s="1"/>
  <c r="AL904" i="1"/>
  <c r="BX904" i="1" s="1"/>
  <c r="AX904" i="1"/>
  <c r="BY904" i="1" s="1"/>
  <c r="BK904" i="1"/>
  <c r="BZ904" i="1" s="1"/>
  <c r="BM904" i="1"/>
  <c r="Z903" i="1"/>
  <c r="BW903" i="1"/>
  <c r="AL903" i="1"/>
  <c r="AX903" i="1"/>
  <c r="BY903" i="1" s="1"/>
  <c r="BK903" i="1"/>
  <c r="BZ903" i="1" s="1"/>
  <c r="BM903" i="1"/>
  <c r="N902" i="1"/>
  <c r="BV902" i="1" s="1"/>
  <c r="Z902" i="1"/>
  <c r="BW902" i="1"/>
  <c r="AL902" i="1"/>
  <c r="BX902" i="1" s="1"/>
  <c r="AX902" i="1"/>
  <c r="BY902" i="1" s="1"/>
  <c r="BK902" i="1"/>
  <c r="BZ902" i="1" s="1"/>
  <c r="BM902" i="1"/>
  <c r="N901" i="1"/>
  <c r="BV901" i="1" s="1"/>
  <c r="Z901" i="1"/>
  <c r="BW901" i="1"/>
  <c r="AX901" i="1"/>
  <c r="BY901" i="1" s="1"/>
  <c r="BK901" i="1"/>
  <c r="BZ901" i="1" s="1"/>
  <c r="BM901" i="1"/>
  <c r="N900" i="1"/>
  <c r="BV900" i="1" s="1"/>
  <c r="Z900" i="1"/>
  <c r="BW900" i="1" s="1"/>
  <c r="AL900" i="1"/>
  <c r="BX900" i="1" s="1"/>
  <c r="AX900" i="1"/>
  <c r="BY900" i="1" s="1"/>
  <c r="BM900" i="1"/>
  <c r="Z899" i="1"/>
  <c r="BW899" i="1" s="1"/>
  <c r="AL899" i="1"/>
  <c r="BX899" i="1" s="1"/>
  <c r="AX899" i="1"/>
  <c r="BY899" i="1" s="1"/>
  <c r="BK899" i="1"/>
  <c r="BZ899" i="1" s="1"/>
  <c r="BM899" i="1"/>
  <c r="N898" i="1"/>
  <c r="BV898" i="1" s="1"/>
  <c r="Z898" i="1"/>
  <c r="BW898" i="1" s="1"/>
  <c r="AL898" i="1"/>
  <c r="BX898" i="1" s="1"/>
  <c r="AX898" i="1"/>
  <c r="BY898" i="1" s="1"/>
  <c r="BK898" i="1"/>
  <c r="BZ898" i="1" s="1"/>
  <c r="BM898" i="1"/>
  <c r="N897" i="1"/>
  <c r="BV897" i="1"/>
  <c r="Z897" i="1"/>
  <c r="BW897" i="1" s="1"/>
  <c r="AX897" i="1"/>
  <c r="BY897" i="1" s="1"/>
  <c r="BK897" i="1"/>
  <c r="BZ897" i="1" s="1"/>
  <c r="BM897" i="1"/>
  <c r="N896" i="1"/>
  <c r="BV896" i="1" s="1"/>
  <c r="Z896" i="1"/>
  <c r="BW896" i="1" s="1"/>
  <c r="AL896" i="1"/>
  <c r="BX896" i="1" s="1"/>
  <c r="AX896" i="1"/>
  <c r="BY896" i="1" s="1"/>
  <c r="BK896" i="1"/>
  <c r="BZ896" i="1" s="1"/>
  <c r="BM896" i="1"/>
  <c r="N895" i="1"/>
  <c r="BV895" i="1"/>
  <c r="Z895" i="1"/>
  <c r="BW895" i="1"/>
  <c r="AL895" i="1"/>
  <c r="BX895" i="1" s="1"/>
  <c r="AX895" i="1"/>
  <c r="BY895" i="1" s="1"/>
  <c r="BK895" i="1"/>
  <c r="BZ895" i="1" s="1"/>
  <c r="BM895" i="1"/>
  <c r="BS893" i="1"/>
  <c r="N893" i="1"/>
  <c r="BV893" i="1" s="1"/>
  <c r="Z893" i="1"/>
  <c r="BW893" i="1" s="1"/>
  <c r="AL893" i="1"/>
  <c r="BX893" i="1" s="1"/>
  <c r="AX893" i="1"/>
  <c r="BK893" i="1"/>
  <c r="BZ893" i="1" s="1"/>
  <c r="BM893" i="1"/>
  <c r="N891" i="1"/>
  <c r="BV891" i="1" s="1"/>
  <c r="AL891" i="1"/>
  <c r="BX891" i="1" s="1"/>
  <c r="AX891" i="1"/>
  <c r="BY891" i="1" s="1"/>
  <c r="BK891" i="1"/>
  <c r="BZ891" i="1" s="1"/>
  <c r="BM891" i="1"/>
  <c r="N890" i="1"/>
  <c r="BV890" i="1" s="1"/>
  <c r="Z890" i="1"/>
  <c r="BW890" i="1" s="1"/>
  <c r="AL890" i="1"/>
  <c r="BX890" i="1" s="1"/>
  <c r="AX890" i="1"/>
  <c r="BY890" i="1"/>
  <c r="BK890" i="1"/>
  <c r="BZ890" i="1" s="1"/>
  <c r="BM890" i="1"/>
  <c r="Z889" i="1"/>
  <c r="N889" i="1"/>
  <c r="BV889" i="1" s="1"/>
  <c r="AL889" i="1"/>
  <c r="BX889" i="1" s="1"/>
  <c r="AX889" i="1"/>
  <c r="BY889" i="1" s="1"/>
  <c r="BK889" i="1"/>
  <c r="BZ889" i="1" s="1"/>
  <c r="BM889" i="1"/>
  <c r="N888" i="1"/>
  <c r="BV888" i="1" s="1"/>
  <c r="Z888" i="1"/>
  <c r="BW888" i="1" s="1"/>
  <c r="AL888" i="1"/>
  <c r="AX888" i="1"/>
  <c r="BY888" i="1" s="1"/>
  <c r="BK888" i="1"/>
  <c r="BZ888" i="1"/>
  <c r="BM888" i="1"/>
  <c r="N887" i="1"/>
  <c r="BV887" i="1" s="1"/>
  <c r="AL887" i="1"/>
  <c r="BX887" i="1" s="1"/>
  <c r="BK887" i="1"/>
  <c r="BZ887" i="1" s="1"/>
  <c r="BM887" i="1"/>
  <c r="N886" i="1"/>
  <c r="BV886" i="1"/>
  <c r="Z886" i="1"/>
  <c r="BW886" i="1" s="1"/>
  <c r="AL886" i="1"/>
  <c r="BX886" i="1"/>
  <c r="AX886" i="1"/>
  <c r="BY886" i="1" s="1"/>
  <c r="BK886" i="1"/>
  <c r="BZ886" i="1" s="1"/>
  <c r="BM886" i="1"/>
  <c r="N885" i="1"/>
  <c r="BV885" i="1" s="1"/>
  <c r="Z885" i="1"/>
  <c r="BW885" i="1" s="1"/>
  <c r="AL885" i="1"/>
  <c r="BX885" i="1" s="1"/>
  <c r="AX885" i="1"/>
  <c r="BY885" i="1" s="1"/>
  <c r="BK885" i="1"/>
  <c r="BZ885" i="1"/>
  <c r="BM885" i="1"/>
  <c r="Z884" i="1"/>
  <c r="BW884" i="1" s="1"/>
  <c r="N884" i="1"/>
  <c r="BV884" i="1" s="1"/>
  <c r="AL884" i="1"/>
  <c r="BX884" i="1" s="1"/>
  <c r="AX884" i="1"/>
  <c r="BY884" i="1" s="1"/>
  <c r="BK884" i="1"/>
  <c r="BZ884" i="1" s="1"/>
  <c r="BM884" i="1"/>
  <c r="Z882" i="1"/>
  <c r="BW882" i="1" s="1"/>
  <c r="AL882" i="1"/>
  <c r="BX882" i="1"/>
  <c r="AX882" i="1"/>
  <c r="BY882" i="1" s="1"/>
  <c r="BK882" i="1"/>
  <c r="BZ882" i="1" s="1"/>
  <c r="BM882" i="1"/>
  <c r="BR881" i="1" a="1"/>
  <c r="BR881" i="1" s="1"/>
  <c r="N881" i="1"/>
  <c r="BV881" i="1" s="1"/>
  <c r="Z881" i="1"/>
  <c r="BW881" i="1" s="1"/>
  <c r="AL881" i="1"/>
  <c r="BX881" i="1" s="1"/>
  <c r="AX881" i="1"/>
  <c r="BY881" i="1" s="1"/>
  <c r="BK881" i="1"/>
  <c r="BZ881" i="1" s="1"/>
  <c r="BM881" i="1"/>
  <c r="BR880" i="1" a="1"/>
  <c r="BR880" i="1" s="1"/>
  <c r="N880" i="1"/>
  <c r="BV880" i="1" s="1"/>
  <c r="Z880" i="1"/>
  <c r="BW880" i="1" s="1"/>
  <c r="AL880" i="1"/>
  <c r="BX880" i="1" s="1"/>
  <c r="AX880" i="1"/>
  <c r="BY880" i="1" s="1"/>
  <c r="BK880" i="1"/>
  <c r="BZ880" i="1" s="1"/>
  <c r="BM880" i="1"/>
  <c r="N879" i="1"/>
  <c r="BV879" i="1"/>
  <c r="AL879" i="1"/>
  <c r="BX879" i="1" s="1"/>
  <c r="BK879" i="1"/>
  <c r="BZ879" i="1"/>
  <c r="BM879" i="1"/>
  <c r="N878" i="1"/>
  <c r="BV878" i="1" s="1"/>
  <c r="Z878" i="1"/>
  <c r="BW878" i="1" s="1"/>
  <c r="AL878" i="1"/>
  <c r="BX878" i="1" s="1"/>
  <c r="AX878" i="1"/>
  <c r="BY878" i="1" s="1"/>
  <c r="BK878" i="1"/>
  <c r="BZ878" i="1" s="1"/>
  <c r="BM878" i="1"/>
  <c r="N877" i="1"/>
  <c r="BV877" i="1" s="1"/>
  <c r="Z877" i="1"/>
  <c r="BW877" i="1" s="1"/>
  <c r="AL877" i="1"/>
  <c r="BX877" i="1" s="1"/>
  <c r="AX877" i="1"/>
  <c r="BY877" i="1" s="1"/>
  <c r="BK877" i="1"/>
  <c r="BZ877" i="1"/>
  <c r="BM877" i="1"/>
  <c r="N876" i="1"/>
  <c r="BV876" i="1" s="1"/>
  <c r="Z876" i="1"/>
  <c r="BW876" i="1" s="1"/>
  <c r="AL876" i="1"/>
  <c r="BX876" i="1" s="1"/>
  <c r="AX876" i="1"/>
  <c r="BY876" i="1" s="1"/>
  <c r="BK876" i="1"/>
  <c r="BZ876" i="1" s="1"/>
  <c r="BM876" i="1"/>
  <c r="N875" i="1"/>
  <c r="BV875" i="1" s="1"/>
  <c r="AL875" i="1"/>
  <c r="BX875" i="1" s="1"/>
  <c r="AX875" i="1"/>
  <c r="BY875" i="1" s="1"/>
  <c r="BK875" i="1"/>
  <c r="BZ875" i="1"/>
  <c r="BM875" i="1"/>
  <c r="N874" i="1"/>
  <c r="BV874" i="1" s="1"/>
  <c r="Z874" i="1"/>
  <c r="BW874" i="1" s="1"/>
  <c r="AL874" i="1"/>
  <c r="BX874" i="1" s="1"/>
  <c r="AX874" i="1"/>
  <c r="BY874" i="1" s="1"/>
  <c r="BK874" i="1"/>
  <c r="BZ874" i="1" s="1"/>
  <c r="BM874" i="1"/>
  <c r="N873" i="1"/>
  <c r="BV873" i="1" s="1"/>
  <c r="Z873" i="1"/>
  <c r="BW873" i="1" s="1"/>
  <c r="AL873" i="1"/>
  <c r="AX873" i="1"/>
  <c r="BY873" i="1" s="1"/>
  <c r="BK873" i="1"/>
  <c r="BZ873" i="1" s="1"/>
  <c r="BM873" i="1"/>
  <c r="N872" i="1"/>
  <c r="BV872" i="1" s="1"/>
  <c r="Z872" i="1"/>
  <c r="BW872" i="1" s="1"/>
  <c r="AL872" i="1"/>
  <c r="BX872" i="1" s="1"/>
  <c r="AX872" i="1"/>
  <c r="BY872" i="1" s="1"/>
  <c r="BK872" i="1"/>
  <c r="BZ872" i="1" s="1"/>
  <c r="BM872" i="1"/>
  <c r="N870" i="1"/>
  <c r="BV870" i="1" s="1"/>
  <c r="Z870" i="1"/>
  <c r="BW870" i="1" s="1"/>
  <c r="AL870" i="1"/>
  <c r="BX870" i="1" s="1"/>
  <c r="AX870" i="1"/>
  <c r="BY870" i="1" s="1"/>
  <c r="BK870" i="1"/>
  <c r="BZ870" i="1" s="1"/>
  <c r="BM870" i="1"/>
  <c r="N869" i="1"/>
  <c r="BV869" i="1" s="1"/>
  <c r="Z869" i="1"/>
  <c r="BW869" i="1" s="1"/>
  <c r="AL869" i="1"/>
  <c r="BX869" i="1" s="1"/>
  <c r="AX869" i="1"/>
  <c r="BY869" i="1" s="1"/>
  <c r="BK869" i="1"/>
  <c r="BZ869" i="1" s="1"/>
  <c r="BM869" i="1"/>
  <c r="N868" i="1"/>
  <c r="BV868" i="1" s="1"/>
  <c r="Z868" i="1"/>
  <c r="BW868" i="1" s="1"/>
  <c r="AL868" i="1"/>
  <c r="BX868" i="1" s="1"/>
  <c r="AX868" i="1"/>
  <c r="BY868" i="1" s="1"/>
  <c r="BK868" i="1"/>
  <c r="BZ868" i="1" s="1"/>
  <c r="BM868" i="1"/>
  <c r="N867" i="1"/>
  <c r="BV867" i="1"/>
  <c r="AL867" i="1"/>
  <c r="BX867" i="1"/>
  <c r="AX867" i="1"/>
  <c r="BY867" i="1" s="1"/>
  <c r="BK867" i="1"/>
  <c r="BZ867" i="1" s="1"/>
  <c r="BM867" i="1"/>
  <c r="N866" i="1"/>
  <c r="BV866" i="1" s="1"/>
  <c r="Z866" i="1"/>
  <c r="BW866" i="1" s="1"/>
  <c r="AL866" i="1"/>
  <c r="AX866" i="1"/>
  <c r="BY866" i="1"/>
  <c r="BK866" i="1"/>
  <c r="BZ866" i="1"/>
  <c r="BM866" i="1"/>
  <c r="N865" i="1"/>
  <c r="BV865" i="1" s="1"/>
  <c r="Z865" i="1"/>
  <c r="BW865" i="1" s="1"/>
  <c r="AL865" i="1"/>
  <c r="BX865" i="1" s="1"/>
  <c r="AX865" i="1"/>
  <c r="BY865" i="1" s="1"/>
  <c r="BK865" i="1"/>
  <c r="BZ865" i="1" s="1"/>
  <c r="BM865" i="1"/>
  <c r="N864" i="1"/>
  <c r="BV864" i="1" s="1"/>
  <c r="Z864" i="1"/>
  <c r="BW864" i="1" s="1"/>
  <c r="AL864" i="1"/>
  <c r="BX864" i="1" s="1"/>
  <c r="AX864" i="1"/>
  <c r="BY864" i="1" s="1"/>
  <c r="BK864" i="1"/>
  <c r="BZ864" i="1" s="1"/>
  <c r="BM864" i="1"/>
  <c r="N863" i="1"/>
  <c r="BV863" i="1" s="1"/>
  <c r="AL863" i="1"/>
  <c r="BX863" i="1" s="1"/>
  <c r="BK863" i="1"/>
  <c r="BZ863" i="1" s="1"/>
  <c r="BM863" i="1"/>
  <c r="Z860" i="1"/>
  <c r="BW860" i="1" s="1"/>
  <c r="AL860" i="1"/>
  <c r="BX860" i="1"/>
  <c r="AX860" i="1"/>
  <c r="BY860" i="1" s="1"/>
  <c r="BK860" i="1"/>
  <c r="BZ860" i="1"/>
  <c r="BM860" i="1"/>
  <c r="N859" i="1"/>
  <c r="BV859" i="1" s="1"/>
  <c r="Z859" i="1"/>
  <c r="BW859" i="1" s="1"/>
  <c r="AL859" i="1"/>
  <c r="BX859" i="1" s="1"/>
  <c r="AX859" i="1"/>
  <c r="BY859" i="1" s="1"/>
  <c r="BK859" i="1"/>
  <c r="BZ859" i="1" s="1"/>
  <c r="BM859" i="1"/>
  <c r="N858" i="1"/>
  <c r="BV858" i="1"/>
  <c r="Z858" i="1"/>
  <c r="BW858" i="1" s="1"/>
  <c r="AL858" i="1"/>
  <c r="BX858" i="1" s="1"/>
  <c r="AX858" i="1"/>
  <c r="BY858" i="1" s="1"/>
  <c r="BK858" i="1"/>
  <c r="BZ858" i="1" s="1"/>
  <c r="BM858" i="1"/>
  <c r="N857" i="1"/>
  <c r="BV857" i="1" s="1"/>
  <c r="AL857" i="1"/>
  <c r="BX857" i="1" s="1"/>
  <c r="AX857" i="1"/>
  <c r="BY857" i="1" s="1"/>
  <c r="BK857" i="1"/>
  <c r="BZ857" i="1" s="1"/>
  <c r="BM857" i="1"/>
  <c r="N856" i="1"/>
  <c r="BV856" i="1" s="1"/>
  <c r="Z856" i="1"/>
  <c r="BW856" i="1"/>
  <c r="AL856" i="1"/>
  <c r="BX856" i="1" s="1"/>
  <c r="AX856" i="1"/>
  <c r="BY856" i="1"/>
  <c r="BK856" i="1"/>
  <c r="BZ856" i="1" s="1"/>
  <c r="BM856" i="1"/>
  <c r="Z855" i="1"/>
  <c r="BW855" i="1" s="1"/>
  <c r="N855" i="1"/>
  <c r="BV855" i="1" s="1"/>
  <c r="AL855" i="1"/>
  <c r="BX855" i="1" s="1"/>
  <c r="AX855" i="1"/>
  <c r="BY855" i="1" s="1"/>
  <c r="BK855" i="1"/>
  <c r="BZ855" i="1" s="1"/>
  <c r="BM855" i="1"/>
  <c r="N854" i="1"/>
  <c r="BV854" i="1" s="1"/>
  <c r="Z854" i="1"/>
  <c r="BW854" i="1" s="1"/>
  <c r="AL854" i="1"/>
  <c r="AX854" i="1"/>
  <c r="BY854" i="1" s="1"/>
  <c r="BK854" i="1"/>
  <c r="BZ854" i="1" s="1"/>
  <c r="BM854" i="1"/>
  <c r="N853" i="1"/>
  <c r="BV853" i="1" s="1"/>
  <c r="AL853" i="1"/>
  <c r="BX853" i="1" s="1"/>
  <c r="BK853" i="1"/>
  <c r="BZ853" i="1" s="1"/>
  <c r="BM853" i="1"/>
  <c r="N852" i="1"/>
  <c r="BV852" i="1" s="1"/>
  <c r="Z852" i="1"/>
  <c r="BW852" i="1" s="1"/>
  <c r="AL852" i="1"/>
  <c r="BX852" i="1" s="1"/>
  <c r="AX852" i="1"/>
  <c r="BY852" i="1" s="1"/>
  <c r="BK852" i="1"/>
  <c r="BZ852" i="1" s="1"/>
  <c r="BM852" i="1"/>
  <c r="N851" i="1"/>
  <c r="BV851" i="1"/>
  <c r="Z851" i="1"/>
  <c r="BW851" i="1" s="1"/>
  <c r="AL851" i="1"/>
  <c r="BX851" i="1"/>
  <c r="AX851" i="1"/>
  <c r="BY851" i="1" s="1"/>
  <c r="BK851" i="1"/>
  <c r="BZ851" i="1" s="1"/>
  <c r="BM851" i="1"/>
  <c r="N850" i="1"/>
  <c r="BV850" i="1" s="1"/>
  <c r="Z850" i="1"/>
  <c r="BW850" i="1" s="1"/>
  <c r="AL850" i="1"/>
  <c r="BX850" i="1" s="1"/>
  <c r="AX850" i="1"/>
  <c r="BY850" i="1" s="1"/>
  <c r="BK850" i="1"/>
  <c r="BZ850" i="1" s="1"/>
  <c r="BM850" i="1"/>
  <c r="N849" i="1"/>
  <c r="BV849" i="1" s="1"/>
  <c r="AL849" i="1"/>
  <c r="AX849" i="1"/>
  <c r="BY849" i="1" s="1"/>
  <c r="BK849" i="1"/>
  <c r="BZ849" i="1" s="1"/>
  <c r="BM849" i="1"/>
  <c r="N848" i="1"/>
  <c r="BV848" i="1" s="1"/>
  <c r="Z848" i="1"/>
  <c r="BW848" i="1" s="1"/>
  <c r="AL848" i="1"/>
  <c r="BX848" i="1" s="1"/>
  <c r="AX848" i="1"/>
  <c r="BY848" i="1" s="1"/>
  <c r="BK848" i="1"/>
  <c r="BZ848" i="1" s="1"/>
  <c r="BM848" i="1"/>
  <c r="N847" i="1"/>
  <c r="BV847" i="1" s="1"/>
  <c r="Z847" i="1"/>
  <c r="BW847" i="1" s="1"/>
  <c r="AL847" i="1"/>
  <c r="BX847" i="1" s="1"/>
  <c r="AX847" i="1"/>
  <c r="BY847" i="1" s="1"/>
  <c r="BK847" i="1"/>
  <c r="BZ847" i="1" s="1"/>
  <c r="BM847" i="1"/>
  <c r="N846" i="1"/>
  <c r="BV846" i="1" s="1"/>
  <c r="Z846" i="1"/>
  <c r="BW846" i="1" s="1"/>
  <c r="AL846" i="1"/>
  <c r="BX846" i="1" s="1"/>
  <c r="AX846" i="1"/>
  <c r="BY846" i="1" s="1"/>
  <c r="BK846" i="1"/>
  <c r="BZ846" i="1" s="1"/>
  <c r="BM846" i="1"/>
  <c r="N845" i="1"/>
  <c r="BV845" i="1"/>
  <c r="AL845" i="1"/>
  <c r="BX845" i="1" s="1"/>
  <c r="BK845" i="1"/>
  <c r="BZ845" i="1"/>
  <c r="BM845" i="1"/>
  <c r="N844" i="1"/>
  <c r="BV844" i="1" s="1"/>
  <c r="Z844" i="1"/>
  <c r="BW844" i="1" s="1"/>
  <c r="AL844" i="1"/>
  <c r="BX844" i="1" s="1"/>
  <c r="AX844" i="1"/>
  <c r="BK844" i="1"/>
  <c r="BZ844" i="1" s="1"/>
  <c r="BM844" i="1"/>
  <c r="N843" i="1"/>
  <c r="BV843" i="1" s="1"/>
  <c r="Z843" i="1"/>
  <c r="BW843" i="1" s="1"/>
  <c r="AL843" i="1"/>
  <c r="BX843" i="1" s="1"/>
  <c r="AX843" i="1"/>
  <c r="BY843" i="1" s="1"/>
  <c r="BK843" i="1"/>
  <c r="BZ843" i="1" s="1"/>
  <c r="BM843" i="1"/>
  <c r="N842" i="1"/>
  <c r="BV842" i="1"/>
  <c r="Z842" i="1"/>
  <c r="BW842" i="1" s="1"/>
  <c r="AL842" i="1"/>
  <c r="BX842" i="1"/>
  <c r="AX842" i="1"/>
  <c r="BY842" i="1" s="1"/>
  <c r="BK842" i="1"/>
  <c r="BZ842" i="1" s="1"/>
  <c r="BM842" i="1"/>
  <c r="N840" i="1"/>
  <c r="BV840" i="1" s="1"/>
  <c r="AL840" i="1"/>
  <c r="BX840" i="1"/>
  <c r="BK840" i="1"/>
  <c r="BZ840" i="1" s="1"/>
  <c r="BM840" i="1"/>
  <c r="N838" i="1"/>
  <c r="BV838" i="1" s="1"/>
  <c r="Z838" i="1"/>
  <c r="BW838" i="1" s="1"/>
  <c r="AL838" i="1"/>
  <c r="BX838" i="1" s="1"/>
  <c r="AX838" i="1"/>
  <c r="BY838" i="1" s="1"/>
  <c r="BK838" i="1"/>
  <c r="BZ838" i="1" s="1"/>
  <c r="BM838" i="1"/>
  <c r="N837" i="1"/>
  <c r="Z837" i="1"/>
  <c r="BW837" i="1" s="1"/>
  <c r="AL837" i="1"/>
  <c r="BX837" i="1" s="1"/>
  <c r="AX837" i="1"/>
  <c r="BY837" i="1" s="1"/>
  <c r="BK837" i="1"/>
  <c r="BZ837" i="1" s="1"/>
  <c r="BM837" i="1"/>
  <c r="N836" i="1"/>
  <c r="BV836" i="1" s="1"/>
  <c r="AL836" i="1"/>
  <c r="AX836" i="1"/>
  <c r="BY836" i="1" s="1"/>
  <c r="BK836" i="1"/>
  <c r="BZ836" i="1" s="1"/>
  <c r="BM836" i="1"/>
  <c r="N834" i="1"/>
  <c r="BV834" i="1" s="1"/>
  <c r="Z834" i="1"/>
  <c r="BW834" i="1" s="1"/>
  <c r="AL834" i="1"/>
  <c r="BX834" i="1" s="1"/>
  <c r="AX834" i="1"/>
  <c r="BY834" i="1" s="1"/>
  <c r="BK834" i="1"/>
  <c r="BZ834" i="1" s="1"/>
  <c r="BM834" i="1"/>
  <c r="N833" i="1"/>
  <c r="Z833" i="1"/>
  <c r="BW833" i="1" s="1"/>
  <c r="AL833" i="1"/>
  <c r="BX833" i="1" s="1"/>
  <c r="AX833" i="1"/>
  <c r="BY833" i="1" s="1"/>
  <c r="BK833" i="1"/>
  <c r="BZ833" i="1" s="1"/>
  <c r="BM833" i="1"/>
  <c r="N832" i="1"/>
  <c r="BV832" i="1" s="1"/>
  <c r="Z832" i="1"/>
  <c r="BW832" i="1" s="1"/>
  <c r="AL832" i="1"/>
  <c r="BX832" i="1" s="1"/>
  <c r="AX832" i="1"/>
  <c r="BY832" i="1" s="1"/>
  <c r="BK832" i="1"/>
  <c r="BZ832" i="1" s="1"/>
  <c r="BM832" i="1"/>
  <c r="N831" i="1"/>
  <c r="BV831" i="1" s="1"/>
  <c r="AL831" i="1"/>
  <c r="BK831" i="1"/>
  <c r="BZ831" i="1" s="1"/>
  <c r="BM831" i="1"/>
  <c r="N830" i="1"/>
  <c r="BV830" i="1" s="1"/>
  <c r="Z830" i="1"/>
  <c r="BW830" i="1" s="1"/>
  <c r="AL830" i="1"/>
  <c r="BX830" i="1" s="1"/>
  <c r="AX830" i="1"/>
  <c r="BY830" i="1" s="1"/>
  <c r="BK830" i="1"/>
  <c r="BZ830" i="1" s="1"/>
  <c r="BM830" i="1"/>
  <c r="N829" i="1"/>
  <c r="BV829" i="1" s="1"/>
  <c r="Z829" i="1"/>
  <c r="BW829" i="1" s="1"/>
  <c r="AL829" i="1"/>
  <c r="AX829" i="1"/>
  <c r="BY829" i="1" s="1"/>
  <c r="BK829" i="1"/>
  <c r="BZ829" i="1" s="1"/>
  <c r="BM829" i="1"/>
  <c r="N828" i="1"/>
  <c r="BV828" i="1"/>
  <c r="Z828" i="1"/>
  <c r="BW828" i="1" s="1"/>
  <c r="AL828" i="1"/>
  <c r="BX828" i="1"/>
  <c r="AX828" i="1"/>
  <c r="BY828" i="1" s="1"/>
  <c r="BK828" i="1"/>
  <c r="BZ828" i="1"/>
  <c r="BM828" i="1"/>
  <c r="N827" i="1"/>
  <c r="BV827" i="1" s="1"/>
  <c r="Z827" i="1"/>
  <c r="BW827" i="1" s="1"/>
  <c r="AL827" i="1"/>
  <c r="BX827" i="1" s="1"/>
  <c r="AX827" i="1"/>
  <c r="BY827" i="1" s="1"/>
  <c r="BK827" i="1"/>
  <c r="BZ827" i="1" s="1"/>
  <c r="BM827" i="1"/>
  <c r="N826" i="1"/>
  <c r="BV826" i="1" s="1"/>
  <c r="Z826" i="1"/>
  <c r="BW826" i="1" s="1"/>
  <c r="AL826" i="1"/>
  <c r="BX826" i="1" s="1"/>
  <c r="AX826" i="1"/>
  <c r="BY826" i="1" s="1"/>
  <c r="BK826" i="1"/>
  <c r="BZ826" i="1" s="1"/>
  <c r="BM826" i="1"/>
  <c r="N825" i="1"/>
  <c r="BV825" i="1" s="1"/>
  <c r="Z825" i="1"/>
  <c r="BW825" i="1" s="1"/>
  <c r="AL825" i="1"/>
  <c r="BX825" i="1" s="1"/>
  <c r="AX825" i="1"/>
  <c r="BY825" i="1" s="1"/>
  <c r="BK825" i="1"/>
  <c r="BZ825" i="1" s="1"/>
  <c r="BM825" i="1"/>
  <c r="N824" i="1"/>
  <c r="BV824" i="1"/>
  <c r="Z824" i="1"/>
  <c r="BW824" i="1" s="1"/>
  <c r="AL824" i="1"/>
  <c r="AX824" i="1"/>
  <c r="BY824" i="1" s="1"/>
  <c r="BK824" i="1"/>
  <c r="BZ824" i="1" s="1"/>
  <c r="BM824" i="1"/>
  <c r="N823" i="1"/>
  <c r="BV823" i="1"/>
  <c r="AL823" i="1"/>
  <c r="BX823" i="1" s="1"/>
  <c r="BK823" i="1"/>
  <c r="BZ823" i="1" s="1"/>
  <c r="BM823" i="1"/>
  <c r="N822" i="1"/>
  <c r="BV822" i="1" s="1"/>
  <c r="Z822" i="1"/>
  <c r="BW822" i="1"/>
  <c r="AL822" i="1"/>
  <c r="BX822" i="1" s="1"/>
  <c r="AX822" i="1"/>
  <c r="BY822" i="1" s="1"/>
  <c r="BK822" i="1"/>
  <c r="BZ822" i="1" s="1"/>
  <c r="BM822" i="1"/>
  <c r="N821" i="1"/>
  <c r="BV821" i="1" s="1"/>
  <c r="Z821" i="1"/>
  <c r="BW821" i="1"/>
  <c r="AL821" i="1"/>
  <c r="BX821" i="1" s="1"/>
  <c r="AX821" i="1"/>
  <c r="BY821" i="1"/>
  <c r="BK821" i="1"/>
  <c r="BZ821" i="1" s="1"/>
  <c r="BM821" i="1"/>
  <c r="N820" i="1"/>
  <c r="BV820" i="1" s="1"/>
  <c r="Z820" i="1"/>
  <c r="BW820" i="1" s="1"/>
  <c r="AL820" i="1"/>
  <c r="BX820" i="1" s="1"/>
  <c r="AX820" i="1"/>
  <c r="BY820" i="1" s="1"/>
  <c r="BK820" i="1"/>
  <c r="BZ820" i="1" s="1"/>
  <c r="BM820" i="1"/>
  <c r="Z819" i="1"/>
  <c r="BW819" i="1" s="1"/>
  <c r="N819" i="1"/>
  <c r="BV819" i="1" s="1"/>
  <c r="AL819" i="1"/>
  <c r="AX819" i="1"/>
  <c r="BY819" i="1" s="1"/>
  <c r="BK819" i="1"/>
  <c r="BZ819" i="1" s="1"/>
  <c r="BM819" i="1"/>
  <c r="N818" i="1"/>
  <c r="BV818" i="1" s="1"/>
  <c r="Z818" i="1"/>
  <c r="BW818" i="1" s="1"/>
  <c r="AL818" i="1"/>
  <c r="BX818" i="1" s="1"/>
  <c r="AX818" i="1"/>
  <c r="BY818" i="1" s="1"/>
  <c r="BK818" i="1"/>
  <c r="BZ818" i="1" s="1"/>
  <c r="BM818" i="1"/>
  <c r="N817" i="1"/>
  <c r="BV817" i="1" s="1"/>
  <c r="Z817" i="1"/>
  <c r="BW817" i="1"/>
  <c r="AL817" i="1"/>
  <c r="BX817" i="1" s="1"/>
  <c r="AX817" i="1"/>
  <c r="BY817" i="1" s="1"/>
  <c r="BK817" i="1"/>
  <c r="BZ817" i="1" s="1"/>
  <c r="BM817" i="1"/>
  <c r="N816" i="1"/>
  <c r="Z816" i="1"/>
  <c r="BW816" i="1" s="1"/>
  <c r="AL816" i="1"/>
  <c r="BX816" i="1" s="1"/>
  <c r="AX816" i="1"/>
  <c r="BY816" i="1" s="1"/>
  <c r="BK816" i="1"/>
  <c r="BZ816" i="1" s="1"/>
  <c r="BM816" i="1"/>
  <c r="BR815" i="1" a="1"/>
  <c r="BR815" i="1" s="1"/>
  <c r="N815" i="1"/>
  <c r="BV815" i="1" s="1"/>
  <c r="AL815" i="1"/>
  <c r="BX815" i="1" s="1"/>
  <c r="BK815" i="1"/>
  <c r="BZ815" i="1" s="1"/>
  <c r="BM815" i="1"/>
  <c r="N814" i="1"/>
  <c r="BV814" i="1" s="1"/>
  <c r="AL814" i="1"/>
  <c r="BX814" i="1" s="1"/>
  <c r="AX814" i="1"/>
  <c r="BY814" i="1" s="1"/>
  <c r="BK814" i="1"/>
  <c r="BZ814" i="1" s="1"/>
  <c r="BM814" i="1"/>
  <c r="N813" i="1"/>
  <c r="BV813" i="1"/>
  <c r="Z813" i="1"/>
  <c r="BW813" i="1" s="1"/>
  <c r="AL813" i="1"/>
  <c r="BX813" i="1"/>
  <c r="AX813" i="1"/>
  <c r="BY813" i="1" s="1"/>
  <c r="BK813" i="1"/>
  <c r="BZ813" i="1"/>
  <c r="BM813" i="1"/>
  <c r="N812" i="1"/>
  <c r="Z812" i="1"/>
  <c r="BW812" i="1"/>
  <c r="AL812" i="1"/>
  <c r="BX812" i="1" s="1"/>
  <c r="AX812" i="1"/>
  <c r="BY812" i="1"/>
  <c r="BK812" i="1"/>
  <c r="BZ812" i="1" s="1"/>
  <c r="BM812" i="1"/>
  <c r="N811" i="1"/>
  <c r="AL811" i="1"/>
  <c r="BX811" i="1" s="1"/>
  <c r="AX811" i="1"/>
  <c r="BY811" i="1"/>
  <c r="BK811" i="1"/>
  <c r="BZ811" i="1" s="1"/>
  <c r="BM811" i="1"/>
  <c r="Z810" i="1"/>
  <c r="BW810" i="1" s="1"/>
  <c r="AL810" i="1"/>
  <c r="BX810" i="1" s="1"/>
  <c r="AX810" i="1"/>
  <c r="BY810" i="1" s="1"/>
  <c r="BK810" i="1"/>
  <c r="BZ810" i="1"/>
  <c r="BM810" i="1"/>
  <c r="BR809" i="1" a="1"/>
  <c r="BR809" i="1" s="1"/>
  <c r="N809" i="1"/>
  <c r="BV809" i="1"/>
  <c r="Z809" i="1"/>
  <c r="BW809" i="1"/>
  <c r="AL809" i="1"/>
  <c r="BX809" i="1"/>
  <c r="AX809" i="1"/>
  <c r="BY809" i="1" s="1"/>
  <c r="BK809" i="1"/>
  <c r="BZ809" i="1" s="1"/>
  <c r="BM809" i="1"/>
  <c r="Z808" i="1"/>
  <c r="N808" i="1"/>
  <c r="BV808" i="1" s="1"/>
  <c r="AL808" i="1"/>
  <c r="BX808" i="1" s="1"/>
  <c r="AX808" i="1"/>
  <c r="BY808" i="1" s="1"/>
  <c r="BK808" i="1"/>
  <c r="BZ808" i="1" s="1"/>
  <c r="BM808" i="1"/>
  <c r="N807" i="1"/>
  <c r="BV807" i="1"/>
  <c r="AL807" i="1"/>
  <c r="BX807" i="1" s="1"/>
  <c r="BK807" i="1"/>
  <c r="BM807" i="1"/>
  <c r="N806" i="1"/>
  <c r="BV806" i="1" s="1"/>
  <c r="Z806" i="1"/>
  <c r="BW806" i="1"/>
  <c r="AL806" i="1"/>
  <c r="BX806" i="1" s="1"/>
  <c r="AX806" i="1"/>
  <c r="BY806" i="1"/>
  <c r="BK806" i="1"/>
  <c r="BZ806" i="1" s="1"/>
  <c r="BM806" i="1"/>
  <c r="N805" i="1"/>
  <c r="BV805" i="1"/>
  <c r="Z805" i="1"/>
  <c r="BW805" i="1" s="1"/>
  <c r="AL805" i="1"/>
  <c r="BX805" i="1"/>
  <c r="AX805" i="1"/>
  <c r="BY805" i="1" s="1"/>
  <c r="BK805" i="1"/>
  <c r="BZ805" i="1"/>
  <c r="BM805" i="1"/>
  <c r="N804" i="1"/>
  <c r="BV804" i="1" s="1"/>
  <c r="Z804" i="1"/>
  <c r="BW804" i="1" s="1"/>
  <c r="AL804" i="1"/>
  <c r="BX804" i="1" s="1"/>
  <c r="AX804" i="1"/>
  <c r="BY804" i="1" s="1"/>
  <c r="BK804" i="1"/>
  <c r="BZ804" i="1" s="1"/>
  <c r="BM804" i="1"/>
  <c r="BR803" i="1" a="1"/>
  <c r="BR803" i="1" s="1"/>
  <c r="N803" i="1"/>
  <c r="BV803" i="1" s="1"/>
  <c r="Z803" i="1"/>
  <c r="BW803" i="1" s="1"/>
  <c r="AL803" i="1"/>
  <c r="BX803" i="1" s="1"/>
  <c r="AX803" i="1"/>
  <c r="BY803" i="1" s="1"/>
  <c r="BK803" i="1"/>
  <c r="BZ803" i="1" s="1"/>
  <c r="BM803" i="1"/>
  <c r="BR802" i="1" a="1"/>
  <c r="BR802" i="1" s="1"/>
  <c r="N802" i="1"/>
  <c r="BV802" i="1" s="1"/>
  <c r="Z802" i="1"/>
  <c r="BW802" i="1" s="1"/>
  <c r="AL802" i="1"/>
  <c r="BX802" i="1" s="1"/>
  <c r="AX802" i="1"/>
  <c r="BY802" i="1" s="1"/>
  <c r="BK802" i="1"/>
  <c r="BZ802" i="1" s="1"/>
  <c r="BM802" i="1"/>
  <c r="BR801" i="1" a="1"/>
  <c r="BR801" i="1" s="1"/>
  <c r="N801" i="1"/>
  <c r="BV801" i="1" s="1"/>
  <c r="Z801" i="1"/>
  <c r="AL801" i="1"/>
  <c r="BX801" i="1" s="1"/>
  <c r="AX801" i="1"/>
  <c r="BY801" i="1" s="1"/>
  <c r="BK801" i="1"/>
  <c r="BZ801" i="1" s="1"/>
  <c r="BM801" i="1"/>
  <c r="N800" i="1"/>
  <c r="BV800" i="1"/>
  <c r="Z800" i="1"/>
  <c r="BW800" i="1"/>
  <c r="AL800" i="1"/>
  <c r="BX800" i="1"/>
  <c r="AX800" i="1"/>
  <c r="BY800" i="1"/>
  <c r="BK800" i="1"/>
  <c r="BZ800" i="1"/>
  <c r="BM800" i="1"/>
  <c r="N799" i="1"/>
  <c r="BV799" i="1" s="1"/>
  <c r="Z799" i="1"/>
  <c r="BW799" i="1" s="1"/>
  <c r="AL799" i="1"/>
  <c r="BX799" i="1" s="1"/>
  <c r="BK799" i="1"/>
  <c r="BZ799" i="1" s="1"/>
  <c r="BM799" i="1"/>
  <c r="N798" i="1"/>
  <c r="BV798" i="1" s="1"/>
  <c r="Z798" i="1"/>
  <c r="BW798" i="1" s="1"/>
  <c r="AL798" i="1"/>
  <c r="AX798" i="1"/>
  <c r="BY798" i="1" s="1"/>
  <c r="BK798" i="1"/>
  <c r="BZ798" i="1"/>
  <c r="BM798" i="1"/>
  <c r="N797" i="1"/>
  <c r="BV797" i="1" s="1"/>
  <c r="Z797" i="1"/>
  <c r="BW797" i="1" s="1"/>
  <c r="AL797" i="1"/>
  <c r="BX797" i="1" s="1"/>
  <c r="AX797" i="1"/>
  <c r="BY797" i="1" s="1"/>
  <c r="BK797" i="1"/>
  <c r="BZ797" i="1" s="1"/>
  <c r="BM797" i="1"/>
  <c r="Z796" i="1"/>
  <c r="BW796" i="1" s="1"/>
  <c r="AX796" i="1"/>
  <c r="BY796" i="1" s="1"/>
  <c r="BK796" i="1"/>
  <c r="BZ796" i="1"/>
  <c r="BM796" i="1"/>
  <c r="N795" i="1"/>
  <c r="BV795" i="1" s="1"/>
  <c r="Z795" i="1"/>
  <c r="BW795" i="1" s="1"/>
  <c r="AL795" i="1"/>
  <c r="BX795" i="1" s="1"/>
  <c r="AX795" i="1"/>
  <c r="BY795" i="1" s="1"/>
  <c r="BK795" i="1"/>
  <c r="BZ795" i="1" s="1"/>
  <c r="BM795" i="1"/>
  <c r="N794" i="1"/>
  <c r="BV794" i="1" s="1"/>
  <c r="Z794" i="1"/>
  <c r="BW794" i="1" s="1"/>
  <c r="AL794" i="1"/>
  <c r="BX794" i="1" s="1"/>
  <c r="AX794" i="1"/>
  <c r="BY794" i="1" s="1"/>
  <c r="BK794" i="1"/>
  <c r="BZ794" i="1"/>
  <c r="BM794" i="1"/>
  <c r="N793" i="1"/>
  <c r="BV793" i="1" s="1"/>
  <c r="Z793" i="1"/>
  <c r="BW793" i="1" s="1"/>
  <c r="AL793" i="1"/>
  <c r="BX793" i="1" s="1"/>
  <c r="AX793" i="1"/>
  <c r="BY793" i="1" s="1"/>
  <c r="BK793" i="1"/>
  <c r="BZ793" i="1" s="1"/>
  <c r="BM793" i="1"/>
  <c r="BR792" i="1" a="1"/>
  <c r="BR792" i="1" s="1"/>
  <c r="N792" i="1"/>
  <c r="BV792" i="1" s="1"/>
  <c r="Z792" i="1"/>
  <c r="BW792" i="1" s="1"/>
  <c r="AL792" i="1"/>
  <c r="BX792" i="1" s="1"/>
  <c r="AX792" i="1"/>
  <c r="BY792" i="1" s="1"/>
  <c r="BK792" i="1"/>
  <c r="BZ792" i="1" s="1"/>
  <c r="BM792" i="1"/>
  <c r="BR791" i="1" a="1"/>
  <c r="BR791" i="1" s="1"/>
  <c r="N791" i="1"/>
  <c r="BV791" i="1" s="1"/>
  <c r="Z791" i="1"/>
  <c r="BW791" i="1" s="1"/>
  <c r="AL791" i="1"/>
  <c r="BX791" i="1" s="1"/>
  <c r="BK791" i="1"/>
  <c r="BZ791" i="1" s="1"/>
  <c r="BM791" i="1"/>
  <c r="BR790" i="1" a="1"/>
  <c r="BR790" i="1" s="1"/>
  <c r="N790" i="1"/>
  <c r="BV790" i="1" s="1"/>
  <c r="Z790" i="1"/>
  <c r="BW790" i="1" s="1"/>
  <c r="AL790" i="1"/>
  <c r="BX790" i="1" s="1"/>
  <c r="AX790" i="1"/>
  <c r="BY790" i="1" s="1"/>
  <c r="BK790" i="1"/>
  <c r="BZ790" i="1" s="1"/>
  <c r="BM790" i="1"/>
  <c r="N788" i="1"/>
  <c r="BV788" i="1"/>
  <c r="Z788" i="1"/>
  <c r="BW788" i="1"/>
  <c r="AL788" i="1"/>
  <c r="BX788" i="1"/>
  <c r="AX788" i="1"/>
  <c r="BY788" i="1"/>
  <c r="BK788" i="1"/>
  <c r="BZ788" i="1"/>
  <c r="BM788" i="1"/>
  <c r="N787" i="1"/>
  <c r="BV787" i="1" s="1"/>
  <c r="Z787" i="1"/>
  <c r="BW787" i="1" s="1"/>
  <c r="AL787" i="1"/>
  <c r="BX787" i="1" s="1"/>
  <c r="AX787" i="1"/>
  <c r="BY787" i="1" s="1"/>
  <c r="BK787" i="1"/>
  <c r="BZ787" i="1" s="1"/>
  <c r="BM787" i="1"/>
  <c r="N786" i="1"/>
  <c r="BV786" i="1" s="1"/>
  <c r="AL786" i="1"/>
  <c r="BX786" i="1" s="1"/>
  <c r="AX786" i="1"/>
  <c r="BY786" i="1"/>
  <c r="BM786" i="1"/>
  <c r="Z785" i="1"/>
  <c r="BW785" i="1" s="1"/>
  <c r="AL785" i="1"/>
  <c r="BX785" i="1" s="1"/>
  <c r="AX785" i="1"/>
  <c r="BY785" i="1" s="1"/>
  <c r="BK785" i="1"/>
  <c r="BZ785" i="1" s="1"/>
  <c r="BM785" i="1"/>
  <c r="N784" i="1"/>
  <c r="BV784" i="1"/>
  <c r="Z784" i="1"/>
  <c r="BW784" i="1" s="1"/>
  <c r="AL784" i="1"/>
  <c r="BX784" i="1" s="1"/>
  <c r="AX784" i="1"/>
  <c r="BY784" i="1" s="1"/>
  <c r="BK784" i="1"/>
  <c r="BZ784" i="1"/>
  <c r="BM784" i="1"/>
  <c r="Z783" i="1"/>
  <c r="BW783" i="1" s="1"/>
  <c r="N783" i="1"/>
  <c r="BV783" i="1" s="1"/>
  <c r="AX783" i="1"/>
  <c r="BY783" i="1" s="1"/>
  <c r="BK783" i="1"/>
  <c r="BZ783" i="1" s="1"/>
  <c r="BM783" i="1"/>
  <c r="Z782" i="1"/>
  <c r="BW782" i="1"/>
  <c r="AX782" i="1"/>
  <c r="BY782" i="1" s="1"/>
  <c r="N782" i="1"/>
  <c r="AL782" i="1"/>
  <c r="BX782" i="1" s="1"/>
  <c r="BK782" i="1"/>
  <c r="BZ782" i="1" s="1"/>
  <c r="BM782" i="1"/>
  <c r="N780" i="1"/>
  <c r="BV780" i="1" s="1"/>
  <c r="Z780" i="1"/>
  <c r="BW780" i="1" s="1"/>
  <c r="AL780" i="1"/>
  <c r="AX780" i="1"/>
  <c r="BY780" i="1" s="1"/>
  <c r="BK780" i="1"/>
  <c r="BZ780" i="1" s="1"/>
  <c r="BM780" i="1"/>
  <c r="N779" i="1"/>
  <c r="BV779" i="1"/>
  <c r="Z779" i="1"/>
  <c r="BW779" i="1" s="1"/>
  <c r="AL779" i="1"/>
  <c r="BX779" i="1" s="1"/>
  <c r="AX779" i="1"/>
  <c r="BY779" i="1" s="1"/>
  <c r="BK779" i="1"/>
  <c r="BZ779" i="1" s="1"/>
  <c r="BM779" i="1"/>
  <c r="Z778" i="1"/>
  <c r="BW778" i="1" s="1"/>
  <c r="AX778" i="1"/>
  <c r="BY778" i="1" s="1"/>
  <c r="BK778" i="1"/>
  <c r="BZ778" i="1"/>
  <c r="BM778" i="1"/>
  <c r="BR777" i="1" a="1"/>
  <c r="BR777" i="1" s="1"/>
  <c r="N777" i="1"/>
  <c r="BV777" i="1"/>
  <c r="AL777" i="1"/>
  <c r="BX777" i="1"/>
  <c r="AX777" i="1"/>
  <c r="BY777" i="1" s="1"/>
  <c r="BK777" i="1"/>
  <c r="BZ777" i="1" s="1"/>
  <c r="BM777" i="1"/>
  <c r="Z776" i="1"/>
  <c r="BW776" i="1" s="1"/>
  <c r="AL776" i="1"/>
  <c r="BX776" i="1" s="1"/>
  <c r="AX776" i="1"/>
  <c r="BY776" i="1" s="1"/>
  <c r="BK776" i="1"/>
  <c r="BZ776" i="1" s="1"/>
  <c r="BM776" i="1"/>
  <c r="N775" i="1"/>
  <c r="BV775" i="1"/>
  <c r="Z775" i="1"/>
  <c r="BW775" i="1"/>
  <c r="AL775" i="1"/>
  <c r="BX775" i="1"/>
  <c r="AX775" i="1"/>
  <c r="BY775" i="1"/>
  <c r="BK775" i="1"/>
  <c r="BZ775" i="1"/>
  <c r="BM775" i="1"/>
  <c r="Z774" i="1"/>
  <c r="BW774" i="1" s="1"/>
  <c r="AX774" i="1"/>
  <c r="BY774" i="1" s="1"/>
  <c r="BK774" i="1"/>
  <c r="BZ774" i="1" s="1"/>
  <c r="BM774" i="1"/>
  <c r="N773" i="1"/>
  <c r="BV773" i="1" s="1"/>
  <c r="Z773" i="1"/>
  <c r="BW773" i="1" s="1"/>
  <c r="AL773" i="1"/>
  <c r="BX773" i="1" s="1"/>
  <c r="AX773" i="1"/>
  <c r="BY773" i="1" s="1"/>
  <c r="BK773" i="1"/>
  <c r="BZ773" i="1" s="1"/>
  <c r="BM773" i="1"/>
  <c r="Z772" i="1"/>
  <c r="BW772" i="1"/>
  <c r="AL772" i="1"/>
  <c r="BX772" i="1"/>
  <c r="AX772" i="1"/>
  <c r="BY772" i="1"/>
  <c r="BK772" i="1"/>
  <c r="BZ772" i="1"/>
  <c r="BM772" i="1"/>
  <c r="N771" i="1"/>
  <c r="BV771" i="1" s="1"/>
  <c r="Z771" i="1"/>
  <c r="BW771" i="1" s="1"/>
  <c r="AL771" i="1"/>
  <c r="BX771" i="1" s="1"/>
  <c r="AX771" i="1"/>
  <c r="BY771" i="1" s="1"/>
  <c r="BK771" i="1"/>
  <c r="BZ771" i="1" s="1"/>
  <c r="BM771" i="1"/>
  <c r="Z770" i="1"/>
  <c r="BW770" i="1" s="1"/>
  <c r="AX770" i="1"/>
  <c r="BY770" i="1" s="1"/>
  <c r="BK770" i="1"/>
  <c r="BZ770" i="1" s="1"/>
  <c r="BM770" i="1"/>
  <c r="N769" i="1"/>
  <c r="BV769" i="1"/>
  <c r="Z769" i="1"/>
  <c r="BW769" i="1"/>
  <c r="AL769" i="1"/>
  <c r="BX769" i="1" s="1"/>
  <c r="AX769" i="1"/>
  <c r="BY769" i="1" s="1"/>
  <c r="BM769" i="1"/>
  <c r="AX768" i="1"/>
  <c r="BY768" i="1" s="1"/>
  <c r="BK768" i="1"/>
  <c r="BZ768" i="1" s="1"/>
  <c r="BM768" i="1"/>
  <c r="N767" i="1"/>
  <c r="BV767" i="1"/>
  <c r="Z767" i="1"/>
  <c r="BW767" i="1"/>
  <c r="AL767" i="1"/>
  <c r="BX767" i="1"/>
  <c r="AX767" i="1"/>
  <c r="BY767" i="1" s="1"/>
  <c r="BK767" i="1"/>
  <c r="BZ767" i="1" s="1"/>
  <c r="BM767" i="1"/>
  <c r="N766" i="1"/>
  <c r="BV766" i="1" s="1"/>
  <c r="Z766" i="1"/>
  <c r="BW766" i="1" s="1"/>
  <c r="AL766" i="1"/>
  <c r="BX766" i="1" s="1"/>
  <c r="AX766" i="1"/>
  <c r="BY766" i="1" s="1"/>
  <c r="BK766" i="1"/>
  <c r="BZ766" i="1" s="1"/>
  <c r="BM766" i="1"/>
  <c r="N765" i="1"/>
  <c r="BV765" i="1"/>
  <c r="AL765" i="1"/>
  <c r="BK765" i="1"/>
  <c r="BZ765" i="1" s="1"/>
  <c r="BM765" i="1"/>
  <c r="BR764" i="1" a="1"/>
  <c r="BR764" i="1" s="1"/>
  <c r="N764" i="1"/>
  <c r="BV764" i="1" s="1"/>
  <c r="Z764" i="1"/>
  <c r="BW764" i="1" s="1"/>
  <c r="AL764" i="1"/>
  <c r="BX764" i="1"/>
  <c r="AX764" i="1"/>
  <c r="BY764" i="1" s="1"/>
  <c r="BK764" i="1"/>
  <c r="BZ764" i="1" s="1"/>
  <c r="BM764" i="1"/>
  <c r="BR763" i="1" a="1"/>
  <c r="BR763" i="1" s="1"/>
  <c r="N763" i="1"/>
  <c r="BV763" i="1" s="1"/>
  <c r="Z763" i="1"/>
  <c r="BW763" i="1" s="1"/>
  <c r="AL763" i="1"/>
  <c r="BX763" i="1" s="1"/>
  <c r="AX763" i="1"/>
  <c r="BY763" i="1" s="1"/>
  <c r="BK763" i="1"/>
  <c r="BZ763" i="1" s="1"/>
  <c r="BM763" i="1"/>
  <c r="Z762" i="1"/>
  <c r="BW762" i="1" s="1"/>
  <c r="AX762" i="1"/>
  <c r="BY762" i="1" s="1"/>
  <c r="BK762" i="1"/>
  <c r="BZ762" i="1" s="1"/>
  <c r="BM762" i="1"/>
  <c r="N761" i="1"/>
  <c r="BV761" i="1" s="1"/>
  <c r="Z761" i="1"/>
  <c r="BW761" i="1" s="1"/>
  <c r="AL761" i="1"/>
  <c r="BX761" i="1" s="1"/>
  <c r="AX761" i="1"/>
  <c r="BY761" i="1" s="1"/>
  <c r="BK761" i="1"/>
  <c r="BZ761" i="1" s="1"/>
  <c r="BM761" i="1"/>
  <c r="BR760" i="1" a="1"/>
  <c r="BR760" i="1" s="1"/>
  <c r="Z760" i="1"/>
  <c r="BW760" i="1" s="1"/>
  <c r="N760" i="1"/>
  <c r="AL760" i="1"/>
  <c r="BX760" i="1" s="1"/>
  <c r="AX760" i="1"/>
  <c r="BY760" i="1" s="1"/>
  <c r="BK760" i="1"/>
  <c r="BZ760" i="1" s="1"/>
  <c r="BM760" i="1"/>
  <c r="N759" i="1"/>
  <c r="BV759" i="1"/>
  <c r="Z759" i="1"/>
  <c r="AL759" i="1"/>
  <c r="BX759" i="1" s="1"/>
  <c r="AX759" i="1"/>
  <c r="BY759" i="1" s="1"/>
  <c r="BK759" i="1"/>
  <c r="BZ759" i="1" s="1"/>
  <c r="BM759" i="1"/>
  <c r="Z756" i="1"/>
  <c r="BW756" i="1" s="1"/>
  <c r="AL756" i="1"/>
  <c r="BX756" i="1" s="1"/>
  <c r="AX756" i="1"/>
  <c r="BY756" i="1" s="1"/>
  <c r="BK756" i="1"/>
  <c r="BZ756" i="1" s="1"/>
  <c r="BM756" i="1"/>
  <c r="N755" i="1"/>
  <c r="BV755" i="1" s="1"/>
  <c r="Z755" i="1"/>
  <c r="BW755" i="1"/>
  <c r="AL755" i="1"/>
  <c r="BX755" i="1" s="1"/>
  <c r="AX755" i="1"/>
  <c r="BY755" i="1" s="1"/>
  <c r="BK755" i="1"/>
  <c r="BZ755" i="1" s="1"/>
  <c r="BM755" i="1"/>
  <c r="N754" i="1"/>
  <c r="BV754" i="1" s="1"/>
  <c r="Z754" i="1"/>
  <c r="BW754" i="1" s="1"/>
  <c r="AX754" i="1"/>
  <c r="BY754" i="1" s="1"/>
  <c r="BK754" i="1"/>
  <c r="BZ754" i="1" s="1"/>
  <c r="BM754" i="1"/>
  <c r="N753" i="1"/>
  <c r="BV753" i="1" s="1"/>
  <c r="Z753" i="1"/>
  <c r="BW753" i="1" s="1"/>
  <c r="AL753" i="1"/>
  <c r="BX753" i="1" s="1"/>
  <c r="AX753" i="1"/>
  <c r="BY753" i="1" s="1"/>
  <c r="BM753" i="1"/>
  <c r="Z752" i="1"/>
  <c r="BW752" i="1" s="1"/>
  <c r="AL752" i="1"/>
  <c r="BX752" i="1" s="1"/>
  <c r="AX752" i="1"/>
  <c r="BY752" i="1" s="1"/>
  <c r="BK752" i="1"/>
  <c r="BZ752" i="1" s="1"/>
  <c r="BM752" i="1"/>
  <c r="N751" i="1"/>
  <c r="BV751" i="1" s="1"/>
  <c r="Z751" i="1"/>
  <c r="BW751" i="1"/>
  <c r="AL751" i="1"/>
  <c r="BX751" i="1" s="1"/>
  <c r="AX751" i="1"/>
  <c r="BY751" i="1" s="1"/>
  <c r="BK751" i="1"/>
  <c r="BZ751" i="1" s="1"/>
  <c r="BM751" i="1"/>
  <c r="Z750" i="1"/>
  <c r="BW750" i="1" s="1"/>
  <c r="AX750" i="1"/>
  <c r="BY750" i="1" s="1"/>
  <c r="BK750" i="1"/>
  <c r="BZ750" i="1" s="1"/>
  <c r="BM750" i="1"/>
  <c r="Z749" i="1"/>
  <c r="N749" i="1"/>
  <c r="BV749" i="1" s="1"/>
  <c r="AL749" i="1"/>
  <c r="BX749" i="1" s="1"/>
  <c r="AX749" i="1"/>
  <c r="BY749" i="1" s="1"/>
  <c r="BK749" i="1"/>
  <c r="BZ749" i="1"/>
  <c r="BM749" i="1"/>
  <c r="Z748" i="1"/>
  <c r="BW748" i="1" s="1"/>
  <c r="AL748" i="1"/>
  <c r="BX748" i="1" s="1"/>
  <c r="AX748" i="1"/>
  <c r="BY748" i="1" s="1"/>
  <c r="BK748" i="1"/>
  <c r="BZ748" i="1" s="1"/>
  <c r="BM748" i="1"/>
  <c r="BR747" i="1" a="1"/>
  <c r="BR747" i="1" s="1"/>
  <c r="N747" i="1"/>
  <c r="BV747" i="1" s="1"/>
  <c r="Z747" i="1"/>
  <c r="BW747" i="1" s="1"/>
  <c r="AL747" i="1"/>
  <c r="AX747" i="1"/>
  <c r="BY747" i="1"/>
  <c r="BK747" i="1"/>
  <c r="BZ747" i="1"/>
  <c r="BM747" i="1"/>
  <c r="N745" i="1"/>
  <c r="Z745" i="1"/>
  <c r="BW745" i="1"/>
  <c r="AL745" i="1"/>
  <c r="BX745" i="1"/>
  <c r="AX745" i="1"/>
  <c r="BY745" i="1"/>
  <c r="BK745" i="1"/>
  <c r="BZ745" i="1"/>
  <c r="BM745" i="1"/>
  <c r="Z744" i="1"/>
  <c r="BW744" i="1" s="1"/>
  <c r="AL744" i="1"/>
  <c r="BX744" i="1" s="1"/>
  <c r="AX744" i="1"/>
  <c r="BY744" i="1" s="1"/>
  <c r="BK744" i="1"/>
  <c r="BZ744" i="1" s="1"/>
  <c r="BM744" i="1"/>
  <c r="N742" i="1"/>
  <c r="Z742" i="1"/>
  <c r="BW742" i="1" s="1"/>
  <c r="AX742" i="1"/>
  <c r="BY742" i="1" s="1"/>
  <c r="BK742" i="1"/>
  <c r="BZ742" i="1" s="1"/>
  <c r="BM742" i="1"/>
  <c r="BR741" i="1" a="1"/>
  <c r="BR741" i="1" s="1"/>
  <c r="N741" i="1"/>
  <c r="BV741" i="1" s="1"/>
  <c r="Z741" i="1"/>
  <c r="BW741" i="1" s="1"/>
  <c r="AL741" i="1"/>
  <c r="AX741" i="1"/>
  <c r="BY741" i="1" s="1"/>
  <c r="BK741" i="1"/>
  <c r="BZ741" i="1" s="1"/>
  <c r="BM741" i="1"/>
  <c r="N740" i="1"/>
  <c r="BV740" i="1" s="1"/>
  <c r="Z740" i="1"/>
  <c r="BW740" i="1" s="1"/>
  <c r="AL740" i="1"/>
  <c r="BX740" i="1" s="1"/>
  <c r="AX740" i="1"/>
  <c r="BY740" i="1" s="1"/>
  <c r="BK740" i="1"/>
  <c r="BZ740" i="1" s="1"/>
  <c r="BM740" i="1"/>
  <c r="N739" i="1"/>
  <c r="BV739" i="1"/>
  <c r="Z739" i="1"/>
  <c r="AL739" i="1"/>
  <c r="BX739" i="1" s="1"/>
  <c r="AX739" i="1"/>
  <c r="BY739" i="1" s="1"/>
  <c r="BK739" i="1"/>
  <c r="BZ739" i="1" s="1"/>
  <c r="BM739" i="1"/>
  <c r="N738" i="1"/>
  <c r="BV738" i="1" s="1"/>
  <c r="Z738" i="1"/>
  <c r="BW738" i="1" s="1"/>
  <c r="AL738" i="1"/>
  <c r="BX738" i="1" s="1"/>
  <c r="AX738" i="1"/>
  <c r="BY738" i="1" s="1"/>
  <c r="BK738" i="1"/>
  <c r="BZ738" i="1" s="1"/>
  <c r="BM738" i="1"/>
  <c r="N737" i="1"/>
  <c r="BV737" i="1" s="1"/>
  <c r="Z737" i="1"/>
  <c r="BW737" i="1" s="1"/>
  <c r="AL737" i="1"/>
  <c r="BX737" i="1" s="1"/>
  <c r="AX737" i="1"/>
  <c r="BY737" i="1" s="1"/>
  <c r="BK737" i="1"/>
  <c r="BZ737" i="1" s="1"/>
  <c r="BM737" i="1"/>
  <c r="BR736" i="1" a="1"/>
  <c r="BR736" i="1" s="1"/>
  <c r="N736" i="1"/>
  <c r="BV736" i="1" s="1"/>
  <c r="Z736" i="1"/>
  <c r="BW736" i="1" s="1"/>
  <c r="AL736" i="1"/>
  <c r="BX736" i="1" s="1"/>
  <c r="AX736" i="1"/>
  <c r="BY736" i="1" s="1"/>
  <c r="BK736" i="1"/>
  <c r="BZ736" i="1" s="1"/>
  <c r="BM736" i="1"/>
  <c r="BR735" i="1" a="1"/>
  <c r="BR735" i="1" s="1"/>
  <c r="N735" i="1"/>
  <c r="BV735" i="1"/>
  <c r="Z735" i="1"/>
  <c r="BW735" i="1"/>
  <c r="AL735" i="1"/>
  <c r="BX735" i="1" s="1"/>
  <c r="AX735" i="1"/>
  <c r="BY735" i="1" s="1"/>
  <c r="BK735" i="1"/>
  <c r="BZ735" i="1" s="1"/>
  <c r="BM735" i="1"/>
  <c r="BR734" i="1" a="1"/>
  <c r="BR734" i="1" s="1"/>
  <c r="N734" i="1"/>
  <c r="BV734" i="1" s="1"/>
  <c r="Z734" i="1"/>
  <c r="BW734" i="1" s="1"/>
  <c r="AL734" i="1"/>
  <c r="BX734" i="1" s="1"/>
  <c r="AX734" i="1"/>
  <c r="BY734" i="1" s="1"/>
  <c r="BK734" i="1"/>
  <c r="BZ734" i="1" s="1"/>
  <c r="BM734" i="1"/>
  <c r="N733" i="1"/>
  <c r="BV733" i="1" s="1"/>
  <c r="Z733" i="1"/>
  <c r="BW733" i="1" s="1"/>
  <c r="AL733" i="1"/>
  <c r="AX733" i="1"/>
  <c r="BY733" i="1"/>
  <c r="BK733" i="1"/>
  <c r="BZ733" i="1"/>
  <c r="BM733" i="1"/>
  <c r="N732" i="1"/>
  <c r="BV732" i="1" s="1"/>
  <c r="Z732" i="1"/>
  <c r="BW732" i="1" s="1"/>
  <c r="AL732" i="1"/>
  <c r="BX732" i="1" s="1"/>
  <c r="AX732" i="1"/>
  <c r="BY732" i="1" s="1"/>
  <c r="BK732" i="1"/>
  <c r="BZ732" i="1" s="1"/>
  <c r="BM732" i="1"/>
  <c r="BR731" i="1" a="1"/>
  <c r="BR731" i="1" s="1"/>
  <c r="N731" i="1"/>
  <c r="BV731" i="1"/>
  <c r="Z731" i="1"/>
  <c r="BW731" i="1"/>
  <c r="AL731" i="1"/>
  <c r="BX731" i="1"/>
  <c r="AX731" i="1"/>
  <c r="BY731" i="1"/>
  <c r="BK731" i="1"/>
  <c r="BZ731" i="1" s="1"/>
  <c r="BM731" i="1"/>
  <c r="BR730" i="1" a="1"/>
  <c r="BR730" i="1" s="1"/>
  <c r="Z730" i="1"/>
  <c r="N730" i="1"/>
  <c r="BV730" i="1"/>
  <c r="AL730" i="1"/>
  <c r="BX730" i="1"/>
  <c r="AX730" i="1"/>
  <c r="BY730" i="1"/>
  <c r="BK730" i="1"/>
  <c r="BZ730" i="1"/>
  <c r="BM730" i="1"/>
  <c r="N729" i="1"/>
  <c r="Z729" i="1"/>
  <c r="BW729" i="1"/>
  <c r="AL729" i="1"/>
  <c r="BX729" i="1" s="1"/>
  <c r="AX729" i="1"/>
  <c r="BY729" i="1" s="1"/>
  <c r="BK729" i="1"/>
  <c r="BZ729" i="1"/>
  <c r="BM729" i="1"/>
  <c r="BR728" i="1" a="1"/>
  <c r="BR728" i="1" s="1"/>
  <c r="N728" i="1"/>
  <c r="Z728" i="1"/>
  <c r="BW728" i="1" s="1"/>
  <c r="AL728" i="1"/>
  <c r="BX728" i="1" s="1"/>
  <c r="AX728" i="1"/>
  <c r="BY728" i="1" s="1"/>
  <c r="BK728" i="1"/>
  <c r="BZ728" i="1" s="1"/>
  <c r="BM728" i="1"/>
  <c r="N727" i="1"/>
  <c r="BV727" i="1"/>
  <c r="Z727" i="1"/>
  <c r="BW727" i="1"/>
  <c r="AL727" i="1"/>
  <c r="BX727" i="1" s="1"/>
  <c r="AX727" i="1"/>
  <c r="BY727" i="1" s="1"/>
  <c r="BK727" i="1"/>
  <c r="BZ727" i="1" s="1"/>
  <c r="BM727" i="1"/>
  <c r="N726" i="1"/>
  <c r="BV726" i="1"/>
  <c r="Z726" i="1"/>
  <c r="BW726" i="1"/>
  <c r="AL726" i="1"/>
  <c r="BX726" i="1"/>
  <c r="AX726" i="1"/>
  <c r="BY726" i="1"/>
  <c r="BK726" i="1"/>
  <c r="BZ726" i="1"/>
  <c r="BM726" i="1"/>
  <c r="BR725" i="1" a="1"/>
  <c r="BR725" i="1" s="1"/>
  <c r="N725" i="1"/>
  <c r="BV725" i="1"/>
  <c r="Z725" i="1"/>
  <c r="BW725" i="1"/>
  <c r="AL725" i="1"/>
  <c r="BX725" i="1" s="1"/>
  <c r="AX725" i="1"/>
  <c r="BY725" i="1" s="1"/>
  <c r="BK725" i="1"/>
  <c r="BZ725" i="1" s="1"/>
  <c r="BM725" i="1"/>
  <c r="N724" i="1"/>
  <c r="Z724" i="1"/>
  <c r="BW724" i="1" s="1"/>
  <c r="AL724" i="1"/>
  <c r="BX724" i="1" s="1"/>
  <c r="AX724" i="1"/>
  <c r="BY724" i="1" s="1"/>
  <c r="BK724" i="1"/>
  <c r="BZ724" i="1" s="1"/>
  <c r="BM724" i="1"/>
  <c r="N723" i="1"/>
  <c r="BV723" i="1"/>
  <c r="Z723" i="1"/>
  <c r="BW723" i="1"/>
  <c r="AL723" i="1"/>
  <c r="BX723" i="1"/>
  <c r="AX723" i="1"/>
  <c r="BY723" i="1" s="1"/>
  <c r="BK723" i="1"/>
  <c r="BZ723" i="1" s="1"/>
  <c r="BM723" i="1"/>
  <c r="Z722" i="1"/>
  <c r="BW722" i="1" s="1"/>
  <c r="N722" i="1"/>
  <c r="BV722" i="1" s="1"/>
  <c r="AL722" i="1"/>
  <c r="BX722" i="1" s="1"/>
  <c r="AX722" i="1"/>
  <c r="BY722" i="1" s="1"/>
  <c r="BK722" i="1"/>
  <c r="BZ722" i="1" s="1"/>
  <c r="BM722" i="1"/>
  <c r="N721" i="1"/>
  <c r="BV721" i="1" s="1"/>
  <c r="Z721" i="1"/>
  <c r="BW721" i="1" s="1"/>
  <c r="AL721" i="1"/>
  <c r="BX721" i="1" s="1"/>
  <c r="AX721" i="1"/>
  <c r="BY721" i="1" s="1"/>
  <c r="BK721" i="1"/>
  <c r="BZ721" i="1" s="1"/>
  <c r="BM721" i="1"/>
  <c r="N720" i="1"/>
  <c r="Z720" i="1"/>
  <c r="BW720" i="1" s="1"/>
  <c r="AL720" i="1"/>
  <c r="BX720" i="1" s="1"/>
  <c r="AX720" i="1"/>
  <c r="BY720" i="1" s="1"/>
  <c r="BK720" i="1"/>
  <c r="BZ720" i="1" s="1"/>
  <c r="BM720" i="1"/>
  <c r="N719" i="1"/>
  <c r="BV719" i="1"/>
  <c r="Z719" i="1"/>
  <c r="BW719" i="1"/>
  <c r="AL719" i="1"/>
  <c r="AX719" i="1"/>
  <c r="BY719" i="1" s="1"/>
  <c r="BK719" i="1"/>
  <c r="BZ719" i="1" s="1"/>
  <c r="BM719" i="1"/>
  <c r="N718" i="1"/>
  <c r="BV718" i="1"/>
  <c r="Z718" i="1"/>
  <c r="BW718" i="1"/>
  <c r="AL718" i="1"/>
  <c r="BX718" i="1"/>
  <c r="AX718" i="1"/>
  <c r="BY718" i="1"/>
  <c r="BK718" i="1"/>
  <c r="BZ718" i="1"/>
  <c r="BM718" i="1"/>
  <c r="BR717" i="1" a="1"/>
  <c r="BR717" i="1" s="1"/>
  <c r="N717" i="1"/>
  <c r="BV717" i="1"/>
  <c r="Z717" i="1"/>
  <c r="BW717" i="1"/>
  <c r="AL717" i="1"/>
  <c r="BX717" i="1"/>
  <c r="AX717" i="1"/>
  <c r="BY717" i="1"/>
  <c r="BK717" i="1"/>
  <c r="BZ717" i="1"/>
  <c r="BM717" i="1"/>
  <c r="N716" i="1"/>
  <c r="BV716" i="1" s="1"/>
  <c r="Z716" i="1"/>
  <c r="BW716" i="1" s="1"/>
  <c r="AL716" i="1"/>
  <c r="BX716" i="1" s="1"/>
  <c r="AX716" i="1"/>
  <c r="BY716" i="1" s="1"/>
  <c r="BK716" i="1"/>
  <c r="BZ716" i="1" s="1"/>
  <c r="BM716" i="1"/>
  <c r="BR715" i="1" a="1"/>
  <c r="BR715" i="1" s="1"/>
  <c r="N715" i="1"/>
  <c r="BV715" i="1" s="1"/>
  <c r="Z715" i="1"/>
  <c r="BW715" i="1" s="1"/>
  <c r="AL715" i="1"/>
  <c r="BX715" i="1" s="1"/>
  <c r="AX715" i="1"/>
  <c r="BY715" i="1" s="1"/>
  <c r="BK715" i="1"/>
  <c r="BZ715" i="1"/>
  <c r="BM715" i="1"/>
  <c r="N714" i="1"/>
  <c r="BV714" i="1" s="1"/>
  <c r="Z714" i="1"/>
  <c r="BW714" i="1" s="1"/>
  <c r="AL714" i="1"/>
  <c r="BX714" i="1" s="1"/>
  <c r="AX714" i="1"/>
  <c r="BY714" i="1" s="1"/>
  <c r="BK714" i="1"/>
  <c r="BZ714" i="1" s="1"/>
  <c r="BM714" i="1"/>
  <c r="BR713" i="1" a="1"/>
  <c r="BR713" i="1" s="1"/>
  <c r="N713" i="1"/>
  <c r="BV713" i="1" s="1"/>
  <c r="Z713" i="1"/>
  <c r="BW713" i="1" s="1"/>
  <c r="AL713" i="1"/>
  <c r="BX713" i="1" s="1"/>
  <c r="AX713" i="1"/>
  <c r="BY713" i="1" s="1"/>
  <c r="BK713" i="1"/>
  <c r="BZ713" i="1" s="1"/>
  <c r="BM713" i="1"/>
  <c r="N712" i="1"/>
  <c r="BV712" i="1" s="1"/>
  <c r="Z712" i="1"/>
  <c r="BW712" i="1" s="1"/>
  <c r="AL712" i="1"/>
  <c r="BX712" i="1" s="1"/>
  <c r="AX712" i="1"/>
  <c r="BY712" i="1" s="1"/>
  <c r="BK712" i="1"/>
  <c r="BZ712" i="1"/>
  <c r="BM712" i="1"/>
  <c r="BR711" i="1" a="1"/>
  <c r="BR711" i="1" s="1"/>
  <c r="Z711" i="1"/>
  <c r="BW711" i="1"/>
  <c r="N711" i="1"/>
  <c r="BV711" i="1"/>
  <c r="AL711" i="1"/>
  <c r="BX711" i="1"/>
  <c r="AX711" i="1"/>
  <c r="BY711" i="1"/>
  <c r="BK711" i="1"/>
  <c r="BZ711" i="1" s="1"/>
  <c r="BM711" i="1"/>
  <c r="BR710" i="1" a="1"/>
  <c r="BR710" i="1" s="1"/>
  <c r="N710" i="1"/>
  <c r="Z710" i="1"/>
  <c r="BW710" i="1"/>
  <c r="AL710" i="1"/>
  <c r="BX710" i="1"/>
  <c r="AX710" i="1"/>
  <c r="BY710" i="1"/>
  <c r="BK710" i="1"/>
  <c r="BZ710" i="1"/>
  <c r="BM710" i="1"/>
  <c r="N709" i="1"/>
  <c r="BV709" i="1" s="1"/>
  <c r="Z709" i="1"/>
  <c r="BW709" i="1" s="1"/>
  <c r="AL709" i="1"/>
  <c r="BX709" i="1" s="1"/>
  <c r="AX709" i="1"/>
  <c r="BY709" i="1" s="1"/>
  <c r="BK709" i="1"/>
  <c r="BZ709" i="1" s="1"/>
  <c r="BM709" i="1"/>
  <c r="N708" i="1"/>
  <c r="BV708" i="1" s="1"/>
  <c r="Z708" i="1"/>
  <c r="BW708" i="1" s="1"/>
  <c r="AL708" i="1"/>
  <c r="BX708" i="1" s="1"/>
  <c r="AX708" i="1"/>
  <c r="BY708" i="1" s="1"/>
  <c r="BK708" i="1"/>
  <c r="BZ708" i="1" s="1"/>
  <c r="BM708" i="1"/>
  <c r="N707" i="1"/>
  <c r="Z707" i="1"/>
  <c r="BW707" i="1" s="1"/>
  <c r="AL707" i="1"/>
  <c r="BX707" i="1" s="1"/>
  <c r="AX707" i="1"/>
  <c r="BY707" i="1" s="1"/>
  <c r="BK707" i="1"/>
  <c r="BZ707" i="1" s="1"/>
  <c r="BM707" i="1"/>
  <c r="BR706" i="1" a="1"/>
  <c r="BR706" i="1" s="1"/>
  <c r="Z706" i="1"/>
  <c r="BW706" i="1" s="1"/>
  <c r="N706" i="1"/>
  <c r="BV706" i="1" s="1"/>
  <c r="AL706" i="1"/>
  <c r="BX706" i="1" s="1"/>
  <c r="AX706" i="1"/>
  <c r="BY706" i="1" s="1"/>
  <c r="BK706" i="1"/>
  <c r="BZ706" i="1" s="1"/>
  <c r="BM706" i="1"/>
  <c r="N705" i="1"/>
  <c r="BV705" i="1" s="1"/>
  <c r="Z705" i="1"/>
  <c r="BW705" i="1" s="1"/>
  <c r="AL705" i="1"/>
  <c r="BX705" i="1" s="1"/>
  <c r="AX705" i="1"/>
  <c r="BY705" i="1" s="1"/>
  <c r="BK705" i="1"/>
  <c r="BZ705" i="1" s="1"/>
  <c r="BM705" i="1"/>
  <c r="Z704" i="1"/>
  <c r="BW704" i="1" s="1"/>
  <c r="N704" i="1"/>
  <c r="BV704" i="1" s="1"/>
  <c r="AL704" i="1"/>
  <c r="BX704" i="1" s="1"/>
  <c r="AX704" i="1"/>
  <c r="BY704" i="1" s="1"/>
  <c r="BK704" i="1"/>
  <c r="BZ704" i="1" s="1"/>
  <c r="BM704" i="1"/>
  <c r="N703" i="1"/>
  <c r="Z703" i="1"/>
  <c r="BW703" i="1" s="1"/>
  <c r="AL703" i="1"/>
  <c r="BX703" i="1" s="1"/>
  <c r="AX703" i="1"/>
  <c r="BY703" i="1" s="1"/>
  <c r="BK703" i="1"/>
  <c r="BZ703" i="1" s="1"/>
  <c r="BM703" i="1"/>
  <c r="BR702" i="1" a="1"/>
  <c r="BR702" i="1" s="1"/>
  <c r="N702" i="1"/>
  <c r="Z702" i="1"/>
  <c r="BW702" i="1"/>
  <c r="AL702" i="1"/>
  <c r="BX702" i="1"/>
  <c r="AX702" i="1"/>
  <c r="BY702" i="1"/>
  <c r="BK702" i="1"/>
  <c r="BZ702" i="1"/>
  <c r="BM702" i="1"/>
  <c r="N701" i="1"/>
  <c r="BV701" i="1" s="1"/>
  <c r="Z701" i="1"/>
  <c r="BW701" i="1" s="1"/>
  <c r="AL701" i="1"/>
  <c r="AX701" i="1"/>
  <c r="BY701" i="1"/>
  <c r="BK701" i="1"/>
  <c r="BZ701" i="1"/>
  <c r="BM701" i="1"/>
  <c r="Z700" i="1"/>
  <c r="BW700" i="1" s="1"/>
  <c r="N700" i="1"/>
  <c r="BV700" i="1" s="1"/>
  <c r="AL700" i="1"/>
  <c r="BX700" i="1" s="1"/>
  <c r="AX700" i="1"/>
  <c r="BY700" i="1" s="1"/>
  <c r="BK700" i="1"/>
  <c r="BZ700" i="1" s="1"/>
  <c r="BM700" i="1"/>
  <c r="BR699" i="1" a="1"/>
  <c r="BR699" i="1" s="1"/>
  <c r="N699" i="1"/>
  <c r="BV699" i="1" s="1"/>
  <c r="Z699" i="1"/>
  <c r="AL699" i="1"/>
  <c r="BX699" i="1"/>
  <c r="AX699" i="1"/>
  <c r="BY699" i="1"/>
  <c r="BK699" i="1"/>
  <c r="BZ699" i="1"/>
  <c r="BM699" i="1"/>
  <c r="N698" i="1"/>
  <c r="BV698" i="1" s="1"/>
  <c r="Z698" i="1"/>
  <c r="BW698" i="1" s="1"/>
  <c r="AL698" i="1"/>
  <c r="AX698" i="1"/>
  <c r="BY698" i="1"/>
  <c r="BK698" i="1"/>
  <c r="BZ698" i="1" s="1"/>
  <c r="BM698" i="1"/>
  <c r="BR696" i="1" a="1"/>
  <c r="BR696" i="1" s="1"/>
  <c r="N696" i="1"/>
  <c r="Z696" i="1"/>
  <c r="BW696" i="1"/>
  <c r="AL696" i="1"/>
  <c r="BX696" i="1"/>
  <c r="AX696" i="1"/>
  <c r="BY696" i="1"/>
  <c r="BK696" i="1"/>
  <c r="BZ696" i="1"/>
  <c r="BM696" i="1"/>
  <c r="N695" i="1"/>
  <c r="BV695" i="1" s="1"/>
  <c r="Z695" i="1"/>
  <c r="BW695" i="1" s="1"/>
  <c r="AL695" i="1"/>
  <c r="AX695" i="1"/>
  <c r="BY695" i="1"/>
  <c r="BK695" i="1"/>
  <c r="BZ695" i="1"/>
  <c r="BM695" i="1"/>
  <c r="BR694" i="1" a="1"/>
  <c r="BR694" i="1" s="1"/>
  <c r="Z694" i="1"/>
  <c r="BW694" i="1"/>
  <c r="N694" i="1"/>
  <c r="BV694" i="1"/>
  <c r="AL694" i="1"/>
  <c r="AX694" i="1"/>
  <c r="BY694" i="1" s="1"/>
  <c r="BK694" i="1"/>
  <c r="BZ694" i="1" s="1"/>
  <c r="BM694" i="1"/>
  <c r="N693" i="1"/>
  <c r="BV693" i="1"/>
  <c r="Z693" i="1"/>
  <c r="BW693" i="1"/>
  <c r="AL693" i="1"/>
  <c r="BX693" i="1"/>
  <c r="AX693" i="1"/>
  <c r="BY693" i="1"/>
  <c r="BK693" i="1"/>
  <c r="BZ693" i="1"/>
  <c r="BM693" i="1"/>
  <c r="N692" i="1"/>
  <c r="BV692" i="1" s="1"/>
  <c r="Z692" i="1"/>
  <c r="BW692" i="1" s="1"/>
  <c r="AL692" i="1"/>
  <c r="AX692" i="1"/>
  <c r="BY692" i="1"/>
  <c r="BK692" i="1"/>
  <c r="BZ692" i="1"/>
  <c r="BM692" i="1"/>
  <c r="BR691" i="1" a="1"/>
  <c r="BR691" i="1" s="1"/>
  <c r="N691" i="1"/>
  <c r="BV691" i="1"/>
  <c r="Z691" i="1"/>
  <c r="BW691" i="1"/>
  <c r="AL691" i="1"/>
  <c r="BX691" i="1"/>
  <c r="AX691" i="1"/>
  <c r="BY691" i="1"/>
  <c r="BK691" i="1"/>
  <c r="BZ691" i="1"/>
  <c r="BM691" i="1"/>
  <c r="N690" i="1"/>
  <c r="BV690" i="1" s="1"/>
  <c r="Z690" i="1"/>
  <c r="BW690" i="1" s="1"/>
  <c r="AL690" i="1"/>
  <c r="AX690" i="1"/>
  <c r="BY690" i="1"/>
  <c r="BK690" i="1"/>
  <c r="BZ690" i="1"/>
  <c r="BM690" i="1"/>
  <c r="N689" i="1"/>
  <c r="BV689" i="1" s="1"/>
  <c r="Z689" i="1"/>
  <c r="BW689" i="1" s="1"/>
  <c r="AL689" i="1"/>
  <c r="BX689" i="1" s="1"/>
  <c r="AX689" i="1"/>
  <c r="BY689" i="1" s="1"/>
  <c r="BK689" i="1"/>
  <c r="BZ689" i="1" s="1"/>
  <c r="BM689" i="1"/>
  <c r="N688" i="1"/>
  <c r="BV688" i="1" s="1"/>
  <c r="Z688" i="1"/>
  <c r="BW688" i="1" s="1"/>
  <c r="AL688" i="1"/>
  <c r="BX688" i="1" s="1"/>
  <c r="AX688" i="1"/>
  <c r="BY688" i="1" s="1"/>
  <c r="BK688" i="1"/>
  <c r="BZ688" i="1" s="1"/>
  <c r="BM688" i="1"/>
  <c r="BR687" i="1" a="1"/>
  <c r="BR687" i="1" s="1"/>
  <c r="N687" i="1"/>
  <c r="BV687" i="1" s="1"/>
  <c r="Z687" i="1"/>
  <c r="AL687" i="1"/>
  <c r="BX687" i="1" s="1"/>
  <c r="AX687" i="1"/>
  <c r="BY687" i="1" s="1"/>
  <c r="BK687" i="1"/>
  <c r="BZ687" i="1" s="1"/>
  <c r="BM687" i="1"/>
  <c r="N686" i="1"/>
  <c r="BV686" i="1" s="1"/>
  <c r="Z686" i="1"/>
  <c r="BW686" i="1" s="1"/>
  <c r="AL686" i="1"/>
  <c r="AX686" i="1"/>
  <c r="BY686" i="1" s="1"/>
  <c r="BK686" i="1"/>
  <c r="BZ686" i="1" s="1"/>
  <c r="BM686" i="1"/>
  <c r="N685" i="1"/>
  <c r="BV685" i="1" s="1"/>
  <c r="Z685" i="1"/>
  <c r="BW685" i="1" s="1"/>
  <c r="AL685" i="1"/>
  <c r="BX685" i="1" s="1"/>
  <c r="AX685" i="1"/>
  <c r="BY685" i="1" s="1"/>
  <c r="BK685" i="1"/>
  <c r="BZ685" i="1" s="1"/>
  <c r="BM685" i="1"/>
  <c r="N684" i="1"/>
  <c r="BV684" i="1" s="1"/>
  <c r="Z684" i="1"/>
  <c r="BW684" i="1" s="1"/>
  <c r="AL684" i="1"/>
  <c r="BX684" i="1" s="1"/>
  <c r="AX684" i="1"/>
  <c r="BY684" i="1" s="1"/>
  <c r="BK684" i="1"/>
  <c r="BZ684" i="1" s="1"/>
  <c r="BM684" i="1"/>
  <c r="BR683" i="1" a="1"/>
  <c r="BR683" i="1" s="1"/>
  <c r="N683" i="1"/>
  <c r="BV683" i="1" s="1"/>
  <c r="Z683" i="1"/>
  <c r="BW683" i="1" s="1"/>
  <c r="AL683" i="1"/>
  <c r="BX683" i="1" s="1"/>
  <c r="AX683" i="1"/>
  <c r="BY683" i="1" s="1"/>
  <c r="BK683" i="1"/>
  <c r="BZ683" i="1" s="1"/>
  <c r="BM683" i="1"/>
  <c r="BR682" i="1" a="1"/>
  <c r="BR682" i="1" s="1"/>
  <c r="N682" i="1"/>
  <c r="BV682" i="1"/>
  <c r="Z682" i="1"/>
  <c r="BW682" i="1"/>
  <c r="AL682" i="1"/>
  <c r="BX682" i="1"/>
  <c r="AX682" i="1"/>
  <c r="BY682" i="1"/>
  <c r="BK682" i="1"/>
  <c r="BZ682" i="1"/>
  <c r="BM682" i="1"/>
  <c r="BR681" i="1" a="1"/>
  <c r="BR681" i="1" s="1"/>
  <c r="N681" i="1"/>
  <c r="BV681" i="1"/>
  <c r="Z681" i="1"/>
  <c r="BW681" i="1"/>
  <c r="AL681" i="1"/>
  <c r="BX681" i="1" s="1"/>
  <c r="AX681" i="1"/>
  <c r="BY681" i="1" s="1"/>
  <c r="BK681" i="1"/>
  <c r="BZ681" i="1" s="1"/>
  <c r="BM681" i="1"/>
  <c r="Z680" i="1"/>
  <c r="BW680" i="1"/>
  <c r="N680" i="1"/>
  <c r="BV680" i="1"/>
  <c r="AL680" i="1"/>
  <c r="BX680" i="1"/>
  <c r="AX680" i="1"/>
  <c r="BY680" i="1"/>
  <c r="BK680" i="1"/>
  <c r="BZ680" i="1"/>
  <c r="BM680" i="1"/>
  <c r="N679" i="1"/>
  <c r="BV679" i="1" s="1"/>
  <c r="Z679" i="1"/>
  <c r="BW679" i="1" s="1"/>
  <c r="AL679" i="1"/>
  <c r="BX679" i="1" s="1"/>
  <c r="AX679" i="1"/>
  <c r="BY679" i="1" s="1"/>
  <c r="BK679" i="1"/>
  <c r="BZ679" i="1" s="1"/>
  <c r="BM679" i="1"/>
  <c r="BR678" i="1" a="1"/>
  <c r="BR678" i="1" s="1"/>
  <c r="N678" i="1"/>
  <c r="BV678" i="1" s="1"/>
  <c r="Z678" i="1"/>
  <c r="BW678" i="1" s="1"/>
  <c r="AL678" i="1"/>
  <c r="BX678" i="1" s="1"/>
  <c r="AX678" i="1"/>
  <c r="BY678" i="1" s="1"/>
  <c r="BK678" i="1"/>
  <c r="BZ678" i="1" s="1"/>
  <c r="BM678" i="1"/>
  <c r="BR677" i="1" a="1"/>
  <c r="BR677" i="1" s="1"/>
  <c r="N677" i="1"/>
  <c r="BV677" i="1" s="1"/>
  <c r="Z677" i="1"/>
  <c r="BW677" i="1" s="1"/>
  <c r="AL677" i="1"/>
  <c r="AX677" i="1"/>
  <c r="BY677" i="1"/>
  <c r="BK677" i="1"/>
  <c r="BZ677" i="1"/>
  <c r="BM677" i="1"/>
  <c r="BR675" i="1" a="1"/>
  <c r="BR675" i="1" s="1"/>
  <c r="N675" i="1"/>
  <c r="Z675" i="1"/>
  <c r="BW675" i="1" s="1"/>
  <c r="AL675" i="1"/>
  <c r="BX675" i="1" s="1"/>
  <c r="AX675" i="1"/>
  <c r="BY675" i="1" s="1"/>
  <c r="BK675" i="1"/>
  <c r="BZ675" i="1" s="1"/>
  <c r="BM675" i="1"/>
  <c r="BR674" i="1" a="1"/>
  <c r="BR674" i="1" s="1"/>
  <c r="N674" i="1"/>
  <c r="BV674" i="1" s="1"/>
  <c r="Z674" i="1"/>
  <c r="BW674" i="1" s="1"/>
  <c r="AL674" i="1"/>
  <c r="BX674" i="1" s="1"/>
  <c r="AX674" i="1"/>
  <c r="BY674" i="1" s="1"/>
  <c r="BK674" i="1"/>
  <c r="BZ674" i="1" s="1"/>
  <c r="BM674" i="1"/>
  <c r="BR673" i="1" a="1"/>
  <c r="BR673" i="1" s="1"/>
  <c r="N673" i="1"/>
  <c r="BV673" i="1" s="1"/>
  <c r="Z673" i="1"/>
  <c r="BW673" i="1" s="1"/>
  <c r="AL673" i="1"/>
  <c r="BX673" i="1" s="1"/>
  <c r="AX673" i="1"/>
  <c r="BY673" i="1" s="1"/>
  <c r="BK673" i="1"/>
  <c r="BZ673" i="1" s="1"/>
  <c r="BM673" i="1"/>
  <c r="BR672" i="1" a="1"/>
  <c r="BR672" i="1" s="1"/>
  <c r="N672" i="1"/>
  <c r="Z672" i="1"/>
  <c r="BW672" i="1"/>
  <c r="AL672" i="1"/>
  <c r="BX672" i="1"/>
  <c r="AX672" i="1"/>
  <c r="BY672" i="1"/>
  <c r="BK672" i="1"/>
  <c r="BZ672" i="1"/>
  <c r="BM672" i="1"/>
  <c r="BR671" i="1" a="1"/>
  <c r="BR671" i="1" s="1"/>
  <c r="N671" i="1"/>
  <c r="BV671" i="1"/>
  <c r="Z671" i="1"/>
  <c r="BW671" i="1"/>
  <c r="AL671" i="1"/>
  <c r="BX671" i="1"/>
  <c r="AX671" i="1"/>
  <c r="BY671" i="1"/>
  <c r="BK671" i="1"/>
  <c r="BZ671" i="1" s="1"/>
  <c r="BM671" i="1"/>
  <c r="BR670" i="1" a="1"/>
  <c r="BR670" i="1" s="1"/>
  <c r="N670" i="1"/>
  <c r="BV670" i="1" s="1"/>
  <c r="Z670" i="1"/>
  <c r="BW670" i="1" s="1"/>
  <c r="AL670" i="1"/>
  <c r="BX670" i="1" s="1"/>
  <c r="AX670" i="1"/>
  <c r="BY670" i="1" s="1"/>
  <c r="BK670" i="1"/>
  <c r="BZ670" i="1" s="1"/>
  <c r="BM670" i="1"/>
  <c r="BR669" i="1" a="1"/>
  <c r="BR669" i="1" s="1"/>
  <c r="N669" i="1"/>
  <c r="BV669" i="1"/>
  <c r="Z669" i="1"/>
  <c r="BW669" i="1"/>
  <c r="AL669" i="1"/>
  <c r="BX669" i="1"/>
  <c r="AX669" i="1"/>
  <c r="BY669" i="1" s="1"/>
  <c r="BK669" i="1"/>
  <c r="BZ669" i="1" s="1"/>
  <c r="BM669" i="1"/>
  <c r="BR668" i="1" a="1"/>
  <c r="BR668" i="1" s="1"/>
  <c r="N668" i="1"/>
  <c r="BV668" i="1"/>
  <c r="Z668" i="1"/>
  <c r="BW668" i="1"/>
  <c r="AL668" i="1"/>
  <c r="BX668" i="1" s="1"/>
  <c r="AX668" i="1"/>
  <c r="BY668" i="1" s="1"/>
  <c r="BK668" i="1"/>
  <c r="BZ668" i="1" s="1"/>
  <c r="BM668" i="1"/>
  <c r="BR667" i="1" a="1"/>
  <c r="BR667" i="1" s="1"/>
  <c r="N667" i="1"/>
  <c r="BV667" i="1" s="1"/>
  <c r="Z667" i="1"/>
  <c r="BW667" i="1" s="1"/>
  <c r="AL667" i="1"/>
  <c r="BX667" i="1" s="1"/>
  <c r="AX667" i="1"/>
  <c r="BY667" i="1" s="1"/>
  <c r="BK667" i="1"/>
  <c r="BZ667" i="1" s="1"/>
  <c r="BM667" i="1"/>
  <c r="BR666" i="1" a="1"/>
  <c r="BR666" i="1" s="1"/>
  <c r="N666" i="1"/>
  <c r="BV666" i="1"/>
  <c r="Z666" i="1"/>
  <c r="BW666" i="1"/>
  <c r="AL666" i="1"/>
  <c r="BX666" i="1"/>
  <c r="AX666" i="1"/>
  <c r="BY666" i="1"/>
  <c r="BK666" i="1"/>
  <c r="BZ666" i="1"/>
  <c r="BM666" i="1"/>
  <c r="BR665" i="1" a="1"/>
  <c r="BR665" i="1" s="1"/>
  <c r="N665" i="1"/>
  <c r="BV665" i="1"/>
  <c r="Z665" i="1"/>
  <c r="BW665" i="1"/>
  <c r="AL665" i="1"/>
  <c r="BX665" i="1"/>
  <c r="AX665" i="1"/>
  <c r="BY665" i="1"/>
  <c r="BK665" i="1"/>
  <c r="BZ665" i="1"/>
  <c r="BM665" i="1"/>
  <c r="BR664" i="1" a="1"/>
  <c r="BR664" i="1" s="1"/>
  <c r="N664" i="1"/>
  <c r="Z664" i="1"/>
  <c r="BW664" i="1" s="1"/>
  <c r="AL664" i="1"/>
  <c r="BX664" i="1" s="1"/>
  <c r="AX664" i="1"/>
  <c r="BY664" i="1" s="1"/>
  <c r="BK664" i="1"/>
  <c r="BZ664" i="1" s="1"/>
  <c r="BM664" i="1"/>
  <c r="BR663" i="1" a="1"/>
  <c r="BR663" i="1" s="1"/>
  <c r="N663" i="1"/>
  <c r="BV663" i="1" s="1"/>
  <c r="Z663" i="1"/>
  <c r="BW663" i="1" s="1"/>
  <c r="AL663" i="1"/>
  <c r="BX663" i="1" s="1"/>
  <c r="AX663" i="1"/>
  <c r="BY663" i="1" s="1"/>
  <c r="BK663" i="1"/>
  <c r="BZ663" i="1" s="1"/>
  <c r="BM663" i="1"/>
  <c r="BR662" i="1" a="1"/>
  <c r="BR662" i="1" s="1"/>
  <c r="N662" i="1"/>
  <c r="BV662" i="1" s="1"/>
  <c r="Z662" i="1"/>
  <c r="BW662" i="1" s="1"/>
  <c r="AL662" i="1"/>
  <c r="AX662" i="1"/>
  <c r="BY662" i="1" s="1"/>
  <c r="BK662" i="1"/>
  <c r="BZ662" i="1" s="1"/>
  <c r="BM662" i="1"/>
  <c r="BR661" i="1" a="1"/>
  <c r="BR661" i="1" s="1"/>
  <c r="N661" i="1"/>
  <c r="BV661" i="1" s="1"/>
  <c r="Z661" i="1"/>
  <c r="BW661" i="1" s="1"/>
  <c r="AL661" i="1"/>
  <c r="AX661" i="1"/>
  <c r="BY661" i="1" s="1"/>
  <c r="BK661" i="1"/>
  <c r="BZ661" i="1" s="1"/>
  <c r="BM661" i="1"/>
  <c r="BR660" i="1" a="1"/>
  <c r="BR660" i="1" s="1"/>
  <c r="N660" i="1"/>
  <c r="BV660" i="1" s="1"/>
  <c r="Z660" i="1"/>
  <c r="BW660" i="1" s="1"/>
  <c r="AL660" i="1"/>
  <c r="BX660" i="1" s="1"/>
  <c r="AX660" i="1"/>
  <c r="BY660" i="1" s="1"/>
  <c r="BK660" i="1"/>
  <c r="BZ660" i="1" s="1"/>
  <c r="BM660" i="1"/>
  <c r="BR658" i="1" a="1"/>
  <c r="BR658" i="1" s="1"/>
  <c r="N658" i="1"/>
  <c r="BV658" i="1" s="1"/>
  <c r="Z658" i="1"/>
  <c r="BW658" i="1" s="1"/>
  <c r="AL658" i="1"/>
  <c r="BX658" i="1" s="1"/>
  <c r="AX658" i="1"/>
  <c r="BY658" i="1" s="1"/>
  <c r="BK658" i="1"/>
  <c r="BZ658" i="1" s="1"/>
  <c r="BM658" i="1"/>
  <c r="BR657" i="1" a="1"/>
  <c r="BR657" i="1" s="1"/>
  <c r="N657" i="1"/>
  <c r="BV657" i="1" s="1"/>
  <c r="Z657" i="1"/>
  <c r="AL657" i="1"/>
  <c r="BX657" i="1" s="1"/>
  <c r="AX657" i="1"/>
  <c r="BY657" i="1" s="1"/>
  <c r="BK657" i="1"/>
  <c r="BZ657" i="1" s="1"/>
  <c r="BM657" i="1"/>
  <c r="BR656" i="1" a="1"/>
  <c r="BR656" i="1" s="1"/>
  <c r="N656" i="1"/>
  <c r="BV656" i="1" s="1"/>
  <c r="Z656" i="1"/>
  <c r="AL656" i="1"/>
  <c r="BX656" i="1" s="1"/>
  <c r="AX656" i="1"/>
  <c r="BY656" i="1" s="1"/>
  <c r="BK656" i="1"/>
  <c r="BZ656" i="1" s="1"/>
  <c r="BM656" i="1"/>
  <c r="BR655" i="1" a="1"/>
  <c r="BR655" i="1" s="1"/>
  <c r="N655" i="1"/>
  <c r="BV655" i="1" s="1"/>
  <c r="Z655" i="1"/>
  <c r="BW655" i="1" s="1"/>
  <c r="AL655" i="1"/>
  <c r="BX655" i="1" s="1"/>
  <c r="AX655" i="1"/>
  <c r="BY655" i="1" s="1"/>
  <c r="BK655" i="1"/>
  <c r="BZ655" i="1" s="1"/>
  <c r="BM655" i="1"/>
  <c r="BR654" i="1" a="1"/>
  <c r="BR654" i="1" s="1"/>
  <c r="N654" i="1"/>
  <c r="BV654" i="1" s="1"/>
  <c r="Z654" i="1"/>
  <c r="BW654" i="1" s="1"/>
  <c r="AL654" i="1"/>
  <c r="BX654" i="1" s="1"/>
  <c r="AX654" i="1"/>
  <c r="BY654" i="1" s="1"/>
  <c r="BK654" i="1"/>
  <c r="BZ654" i="1" s="1"/>
  <c r="BM654" i="1"/>
  <c r="BR653" i="1" a="1"/>
  <c r="BR653" i="1" s="1"/>
  <c r="N653" i="1"/>
  <c r="BV653" i="1" s="1"/>
  <c r="Z653" i="1"/>
  <c r="BW653" i="1" s="1"/>
  <c r="AL653" i="1"/>
  <c r="BX653" i="1" s="1"/>
  <c r="AX653" i="1"/>
  <c r="BY653" i="1" s="1"/>
  <c r="BK653" i="1"/>
  <c r="BZ653" i="1" s="1"/>
  <c r="BM653" i="1"/>
  <c r="BR652" i="1" a="1"/>
  <c r="BR652" i="1" s="1"/>
  <c r="N652" i="1"/>
  <c r="BV652" i="1" s="1"/>
  <c r="Z652" i="1"/>
  <c r="BW652" i="1" s="1"/>
  <c r="AL652" i="1"/>
  <c r="BX652" i="1" s="1"/>
  <c r="AX652" i="1"/>
  <c r="BY652" i="1" s="1"/>
  <c r="BK652" i="1"/>
  <c r="BZ652" i="1" s="1"/>
  <c r="BM652" i="1"/>
  <c r="BR651" i="1" a="1"/>
  <c r="BR651" i="1" s="1"/>
  <c r="N651" i="1"/>
  <c r="BV651" i="1" s="1"/>
  <c r="Z651" i="1"/>
  <c r="BW651" i="1" s="1"/>
  <c r="AL651" i="1"/>
  <c r="AX651" i="1"/>
  <c r="BY651" i="1"/>
  <c r="BK651" i="1"/>
  <c r="BZ651" i="1"/>
  <c r="BM651" i="1"/>
  <c r="BR650" i="1" a="1"/>
  <c r="BR650" i="1" s="1"/>
  <c r="N650" i="1"/>
  <c r="BV650" i="1"/>
  <c r="Z650" i="1"/>
  <c r="BW650" i="1"/>
  <c r="AL650" i="1"/>
  <c r="BX650" i="1"/>
  <c r="AX650" i="1"/>
  <c r="BY650" i="1"/>
  <c r="BK650" i="1"/>
  <c r="BZ650" i="1"/>
  <c r="BM650" i="1"/>
  <c r="BR649" i="1" a="1"/>
  <c r="BR649" i="1" s="1"/>
  <c r="N649" i="1"/>
  <c r="BV649" i="1"/>
  <c r="Z649" i="1"/>
  <c r="BW649" i="1"/>
  <c r="AL649" i="1"/>
  <c r="BX649" i="1"/>
  <c r="AX649" i="1"/>
  <c r="BY649" i="1"/>
  <c r="BK649" i="1"/>
  <c r="BZ649" i="1"/>
  <c r="BM649" i="1"/>
  <c r="BR648" i="1" a="1"/>
  <c r="BR648" i="1" s="1"/>
  <c r="N648" i="1"/>
  <c r="Z648" i="1"/>
  <c r="BW648" i="1" s="1"/>
  <c r="AL648" i="1"/>
  <c r="BX648" i="1" s="1"/>
  <c r="AX648" i="1"/>
  <c r="BY648" i="1" s="1"/>
  <c r="BK648" i="1"/>
  <c r="BZ648" i="1" s="1"/>
  <c r="BM648" i="1"/>
  <c r="BR646" i="1" a="1"/>
  <c r="BR646" i="1" s="1"/>
  <c r="N646" i="1"/>
  <c r="BV646" i="1" s="1"/>
  <c r="AL646" i="1"/>
  <c r="BX646" i="1" s="1"/>
  <c r="AX646" i="1"/>
  <c r="BY646" i="1" s="1"/>
  <c r="BK646" i="1"/>
  <c r="BZ646" i="1" s="1"/>
  <c r="BM646" i="1"/>
  <c r="BR645" i="1" a="1"/>
  <c r="BR645" i="1" s="1"/>
  <c r="Z645" i="1"/>
  <c r="BW645" i="1" s="1"/>
  <c r="N645" i="1"/>
  <c r="BV645" i="1" s="1"/>
  <c r="AL645" i="1"/>
  <c r="BX645" i="1" s="1"/>
  <c r="AX645" i="1"/>
  <c r="BY645" i="1" s="1"/>
  <c r="BK645" i="1"/>
  <c r="BZ645" i="1" s="1"/>
  <c r="BM645" i="1"/>
  <c r="BR644" i="1" a="1"/>
  <c r="BR644" i="1" s="1"/>
  <c r="Z644" i="1"/>
  <c r="BW644" i="1" s="1"/>
  <c r="N644" i="1"/>
  <c r="AL644" i="1"/>
  <c r="BX644" i="1"/>
  <c r="AX644" i="1"/>
  <c r="BY644" i="1" s="1"/>
  <c r="BK644" i="1"/>
  <c r="BZ644" i="1" s="1"/>
  <c r="BM644" i="1"/>
  <c r="BR643" i="1" a="1"/>
  <c r="BR643" i="1" s="1"/>
  <c r="N643" i="1"/>
  <c r="BV643" i="1" s="1"/>
  <c r="Z643" i="1"/>
  <c r="BW643" i="1" s="1"/>
  <c r="AL643" i="1"/>
  <c r="BX643" i="1" s="1"/>
  <c r="AX643" i="1"/>
  <c r="BY643" i="1" s="1"/>
  <c r="BK643" i="1"/>
  <c r="BZ643" i="1" s="1"/>
  <c r="BM643" i="1"/>
  <c r="BR642" i="1" a="1"/>
  <c r="BR642" i="1" s="1"/>
  <c r="N642" i="1"/>
  <c r="BV642" i="1" s="1"/>
  <c r="Z642" i="1"/>
  <c r="BW642" i="1" s="1"/>
  <c r="AL642" i="1"/>
  <c r="BX642" i="1" s="1"/>
  <c r="AX642" i="1"/>
  <c r="BY642" i="1" s="1"/>
  <c r="BK642" i="1"/>
  <c r="BZ642" i="1" s="1"/>
  <c r="BM642" i="1"/>
  <c r="BS641" i="1"/>
  <c r="BR641" i="1" a="1"/>
  <c r="BR641" i="1" s="1"/>
  <c r="N641" i="1"/>
  <c r="BV641" i="1" s="1"/>
  <c r="Z641" i="1"/>
  <c r="BW641" i="1"/>
  <c r="AL641" i="1"/>
  <c r="BX641" i="1" s="1"/>
  <c r="AX641" i="1"/>
  <c r="BY641" i="1" s="1"/>
  <c r="BK641" i="1"/>
  <c r="BZ641" i="1" s="1"/>
  <c r="BM641" i="1"/>
  <c r="BR639" i="1" a="1"/>
  <c r="BR639" i="1" s="1"/>
  <c r="N639" i="1"/>
  <c r="BV639" i="1" s="1"/>
  <c r="Z639" i="1"/>
  <c r="BW639" i="1" s="1"/>
  <c r="AL639" i="1"/>
  <c r="BX639" i="1" s="1"/>
  <c r="AX639" i="1"/>
  <c r="BY639" i="1" s="1"/>
  <c r="BK639" i="1"/>
  <c r="BZ639" i="1" s="1"/>
  <c r="BM639" i="1"/>
  <c r="BR638" i="1" a="1"/>
  <c r="BR638" i="1" s="1"/>
  <c r="N638" i="1"/>
  <c r="BV638" i="1" s="1"/>
  <c r="Z638" i="1"/>
  <c r="BW638" i="1" s="1"/>
  <c r="AL638" i="1"/>
  <c r="BX638" i="1" s="1"/>
  <c r="AX638" i="1"/>
  <c r="BY638" i="1" s="1"/>
  <c r="BK638" i="1"/>
  <c r="BZ638" i="1" s="1"/>
  <c r="BM638" i="1"/>
  <c r="BR637" i="1" a="1"/>
  <c r="BR637" i="1" s="1"/>
  <c r="N637" i="1"/>
  <c r="Z637" i="1"/>
  <c r="BW637" i="1" s="1"/>
  <c r="AL637" i="1"/>
  <c r="BX637" i="1" s="1"/>
  <c r="AX637" i="1"/>
  <c r="BY637" i="1" s="1"/>
  <c r="BK637" i="1"/>
  <c r="BZ637" i="1" s="1"/>
  <c r="BM637" i="1"/>
  <c r="BR635" i="1" a="1"/>
  <c r="BR635" i="1" s="1"/>
  <c r="Z635" i="1"/>
  <c r="BW635" i="1" s="1"/>
  <c r="N635" i="1"/>
  <c r="BV635" i="1" s="1"/>
  <c r="AL635" i="1"/>
  <c r="BX635" i="1" s="1"/>
  <c r="AX635" i="1"/>
  <c r="BY635" i="1" s="1"/>
  <c r="BK635" i="1"/>
  <c r="BZ635" i="1" s="1"/>
  <c r="BM635" i="1"/>
  <c r="BR634" i="1" a="1"/>
  <c r="BR634" i="1" s="1"/>
  <c r="N634" i="1"/>
  <c r="BV634" i="1" s="1"/>
  <c r="Z634" i="1"/>
  <c r="BW634" i="1" s="1"/>
  <c r="AL634" i="1"/>
  <c r="BX634" i="1" s="1"/>
  <c r="AX634" i="1"/>
  <c r="BY634" i="1" s="1"/>
  <c r="BK634" i="1"/>
  <c r="BZ634" i="1" s="1"/>
  <c r="BM634" i="1"/>
  <c r="BR633" i="1" a="1"/>
  <c r="BR633" i="1" s="1"/>
  <c r="N633" i="1"/>
  <c r="Z633" i="1"/>
  <c r="BW633" i="1"/>
  <c r="AL633" i="1"/>
  <c r="BX633" i="1" s="1"/>
  <c r="AX633" i="1"/>
  <c r="BY633" i="1"/>
  <c r="BK633" i="1"/>
  <c r="BZ633" i="1" s="1"/>
  <c r="BM633" i="1"/>
  <c r="BR632" i="1" a="1"/>
  <c r="BR632" i="1" s="1"/>
  <c r="N632" i="1"/>
  <c r="BV632" i="1" s="1"/>
  <c r="Z632" i="1"/>
  <c r="BW632" i="1"/>
  <c r="AL632" i="1"/>
  <c r="AX632" i="1"/>
  <c r="BY632" i="1" s="1"/>
  <c r="BK632" i="1"/>
  <c r="BZ632" i="1" s="1"/>
  <c r="BM632" i="1"/>
  <c r="BR631" i="1" a="1"/>
  <c r="BR631" i="1" s="1"/>
  <c r="N631" i="1"/>
  <c r="BV631" i="1" s="1"/>
  <c r="Z631" i="1"/>
  <c r="BW631" i="1" s="1"/>
  <c r="AL631" i="1"/>
  <c r="AX631" i="1"/>
  <c r="BY631" i="1" s="1"/>
  <c r="BK631" i="1"/>
  <c r="BZ631" i="1" s="1"/>
  <c r="BM631" i="1"/>
  <c r="BR630" i="1" a="1"/>
  <c r="BR630" i="1" s="1"/>
  <c r="N630" i="1"/>
  <c r="BV630" i="1" s="1"/>
  <c r="Z630" i="1"/>
  <c r="BW630" i="1" s="1"/>
  <c r="AL630" i="1"/>
  <c r="BX630" i="1" s="1"/>
  <c r="AX630" i="1"/>
  <c r="BY630" i="1" s="1"/>
  <c r="BK630" i="1"/>
  <c r="BZ630" i="1" s="1"/>
  <c r="BM630" i="1"/>
  <c r="BR629" i="1" a="1"/>
  <c r="BR629" i="1" s="1"/>
  <c r="N629" i="1"/>
  <c r="BV629" i="1" s="1"/>
  <c r="Z629" i="1"/>
  <c r="BW629" i="1" s="1"/>
  <c r="AL629" i="1"/>
  <c r="BX629" i="1" s="1"/>
  <c r="AX629" i="1"/>
  <c r="BY629" i="1" s="1"/>
  <c r="BK629" i="1"/>
  <c r="BZ629" i="1" s="1"/>
  <c r="BM629" i="1"/>
  <c r="BR628" i="1" a="1"/>
  <c r="BR628" i="1" s="1"/>
  <c r="N628" i="1"/>
  <c r="BV628" i="1" s="1"/>
  <c r="Z628" i="1"/>
  <c r="BW628" i="1" s="1"/>
  <c r="AL628" i="1"/>
  <c r="BX628" i="1" s="1"/>
  <c r="AX628" i="1"/>
  <c r="BY628" i="1" s="1"/>
  <c r="BK628" i="1"/>
  <c r="BZ628" i="1" s="1"/>
  <c r="BM628" i="1"/>
  <c r="BR627" i="1" a="1"/>
  <c r="BR627" i="1" s="1"/>
  <c r="N627" i="1"/>
  <c r="BV627" i="1" s="1"/>
  <c r="Z627" i="1"/>
  <c r="BW627" i="1" s="1"/>
  <c r="AL627" i="1"/>
  <c r="BX627" i="1" s="1"/>
  <c r="AX627" i="1"/>
  <c r="BY627" i="1" s="1"/>
  <c r="BK627" i="1"/>
  <c r="BZ627" i="1" s="1"/>
  <c r="BM627" i="1"/>
  <c r="BR626" i="1" a="1"/>
  <c r="BR626" i="1" s="1"/>
  <c r="N626" i="1"/>
  <c r="BV626" i="1" s="1"/>
  <c r="Z626" i="1"/>
  <c r="BW626" i="1" s="1"/>
  <c r="AL626" i="1"/>
  <c r="BX626" i="1" s="1"/>
  <c r="AX626" i="1"/>
  <c r="BY626" i="1" s="1"/>
  <c r="BK626" i="1"/>
  <c r="BZ626" i="1" s="1"/>
  <c r="BM626" i="1"/>
  <c r="BR625" i="1" a="1"/>
  <c r="BR625" i="1" s="1"/>
  <c r="Z625" i="1"/>
  <c r="BW625" i="1" s="1"/>
  <c r="N625" i="1"/>
  <c r="BV625" i="1" s="1"/>
  <c r="AL625" i="1"/>
  <c r="BX625" i="1" s="1"/>
  <c r="AX625" i="1"/>
  <c r="BY625" i="1" s="1"/>
  <c r="BK625" i="1"/>
  <c r="BZ625" i="1" s="1"/>
  <c r="BM625" i="1"/>
  <c r="BR624" i="1" a="1"/>
  <c r="BR624" i="1" s="1"/>
  <c r="N624" i="1"/>
  <c r="BV624" i="1" s="1"/>
  <c r="Z624" i="1"/>
  <c r="BW624" i="1" s="1"/>
  <c r="AL624" i="1"/>
  <c r="AX624" i="1"/>
  <c r="BY624" i="1"/>
  <c r="BK624" i="1"/>
  <c r="BZ624" i="1" s="1"/>
  <c r="BM624" i="1"/>
  <c r="BR623" i="1" a="1"/>
  <c r="BR623" i="1" s="1"/>
  <c r="N623" i="1"/>
  <c r="BV623" i="1" s="1"/>
  <c r="Z623" i="1"/>
  <c r="BW623" i="1"/>
  <c r="AL623" i="1"/>
  <c r="BX623" i="1" s="1"/>
  <c r="AX623" i="1"/>
  <c r="BY623" i="1"/>
  <c r="BK623" i="1"/>
  <c r="BZ623" i="1" s="1"/>
  <c r="BM623" i="1"/>
  <c r="BR622" i="1" a="1"/>
  <c r="BR622" i="1" s="1"/>
  <c r="N622" i="1"/>
  <c r="BV622" i="1" s="1"/>
  <c r="Z622" i="1"/>
  <c r="BW622" i="1"/>
  <c r="AL622" i="1"/>
  <c r="BX622" i="1" s="1"/>
  <c r="AX622" i="1"/>
  <c r="BY622" i="1"/>
  <c r="BK622" i="1"/>
  <c r="BZ622" i="1" s="1"/>
  <c r="BM622" i="1"/>
  <c r="BR621" i="1" a="1"/>
  <c r="BR621" i="1" s="1"/>
  <c r="N621" i="1"/>
  <c r="BV621" i="1" s="1"/>
  <c r="Z621" i="1"/>
  <c r="BW621" i="1"/>
  <c r="AL621" i="1"/>
  <c r="AX621" i="1"/>
  <c r="BY621" i="1" s="1"/>
  <c r="BK621" i="1"/>
  <c r="BZ621" i="1" s="1"/>
  <c r="BM621" i="1"/>
  <c r="BR620" i="1" a="1"/>
  <c r="BR620" i="1" s="1"/>
  <c r="N620" i="1"/>
  <c r="BV620" i="1" s="1"/>
  <c r="Z620" i="1"/>
  <c r="BW620" i="1" s="1"/>
  <c r="AL620" i="1"/>
  <c r="BX620" i="1" s="1"/>
  <c r="AX620" i="1"/>
  <c r="BY620" i="1" s="1"/>
  <c r="BK620" i="1"/>
  <c r="BZ620" i="1" s="1"/>
  <c r="BM620" i="1"/>
  <c r="BR619" i="1" a="1"/>
  <c r="BR619" i="1" s="1"/>
  <c r="N619" i="1"/>
  <c r="Z619" i="1"/>
  <c r="BW619" i="1" s="1"/>
  <c r="AL619" i="1"/>
  <c r="BX619" i="1" s="1"/>
  <c r="AX619" i="1"/>
  <c r="BY619" i="1" s="1"/>
  <c r="BK619" i="1"/>
  <c r="BZ619" i="1" s="1"/>
  <c r="BM619" i="1"/>
  <c r="BR618" i="1" a="1"/>
  <c r="BR618" i="1" s="1"/>
  <c r="N618" i="1"/>
  <c r="BV618" i="1" s="1"/>
  <c r="Z618" i="1"/>
  <c r="BW618" i="1" s="1"/>
  <c r="AL618" i="1"/>
  <c r="BX618" i="1" s="1"/>
  <c r="AX618" i="1"/>
  <c r="BY618" i="1" s="1"/>
  <c r="BK618" i="1"/>
  <c r="BZ618" i="1" s="1"/>
  <c r="BM618" i="1"/>
  <c r="BR617" i="1" a="1"/>
  <c r="BR617" i="1" s="1"/>
  <c r="N617" i="1"/>
  <c r="BV617" i="1" s="1"/>
  <c r="Z617" i="1"/>
  <c r="BW617" i="1" s="1"/>
  <c r="AL617" i="1"/>
  <c r="AX617" i="1"/>
  <c r="BY617" i="1"/>
  <c r="BK617" i="1"/>
  <c r="BZ617" i="1" s="1"/>
  <c r="BM617" i="1"/>
  <c r="BR616" i="1" a="1"/>
  <c r="BR616" i="1" s="1"/>
  <c r="N616" i="1"/>
  <c r="Z616" i="1"/>
  <c r="BW616" i="1" s="1"/>
  <c r="AL616" i="1"/>
  <c r="BX616" i="1" s="1"/>
  <c r="AX616" i="1"/>
  <c r="BY616" i="1" s="1"/>
  <c r="BK616" i="1"/>
  <c r="BZ616" i="1" s="1"/>
  <c r="BM616" i="1"/>
  <c r="BR615" i="1" a="1"/>
  <c r="BR615" i="1" s="1"/>
  <c r="N615" i="1"/>
  <c r="BV615" i="1" s="1"/>
  <c r="Z615" i="1"/>
  <c r="BW615" i="1" s="1"/>
  <c r="AL615" i="1"/>
  <c r="BX615" i="1" s="1"/>
  <c r="AX615" i="1"/>
  <c r="BY615" i="1" s="1"/>
  <c r="BK615" i="1"/>
  <c r="BZ615" i="1" s="1"/>
  <c r="BM615" i="1"/>
  <c r="BR614" i="1" a="1"/>
  <c r="BR614" i="1" s="1"/>
  <c r="N614" i="1"/>
  <c r="BV614" i="1" s="1"/>
  <c r="Z614" i="1"/>
  <c r="BW614" i="1" s="1"/>
  <c r="AL614" i="1"/>
  <c r="BX614" i="1" s="1"/>
  <c r="AX614" i="1"/>
  <c r="BY614" i="1" s="1"/>
  <c r="BK614" i="1"/>
  <c r="BZ614" i="1" s="1"/>
  <c r="BM614" i="1"/>
  <c r="BR612" i="1" a="1"/>
  <c r="BR612" i="1" s="1"/>
  <c r="N612" i="1"/>
  <c r="BV612" i="1" s="1"/>
  <c r="Z612" i="1"/>
  <c r="BW612" i="1" s="1"/>
  <c r="AL612" i="1"/>
  <c r="BX612" i="1" s="1"/>
  <c r="AX612" i="1"/>
  <c r="BY612" i="1" s="1"/>
  <c r="BK612" i="1"/>
  <c r="BZ612" i="1" s="1"/>
  <c r="BM612" i="1"/>
  <c r="BR611" i="1" a="1"/>
  <c r="BR611" i="1" s="1"/>
  <c r="N611" i="1"/>
  <c r="BV611" i="1" s="1"/>
  <c r="Z611" i="1"/>
  <c r="BW611" i="1" s="1"/>
  <c r="AL611" i="1"/>
  <c r="BX611" i="1" s="1"/>
  <c r="AX611" i="1"/>
  <c r="BY611" i="1" s="1"/>
  <c r="BK611" i="1"/>
  <c r="BZ611" i="1" s="1"/>
  <c r="BM611" i="1"/>
  <c r="BR610" i="1" a="1"/>
  <c r="BR610" i="1" s="1"/>
  <c r="Z610" i="1"/>
  <c r="BW610" i="1" s="1"/>
  <c r="N610" i="1"/>
  <c r="BV610" i="1" s="1"/>
  <c r="AL610" i="1"/>
  <c r="BX610" i="1" s="1"/>
  <c r="AX610" i="1"/>
  <c r="BY610" i="1" s="1"/>
  <c r="BK610" i="1"/>
  <c r="BZ610" i="1" s="1"/>
  <c r="BM610" i="1"/>
  <c r="BR608" i="1" a="1"/>
  <c r="BR608" i="1" s="1"/>
  <c r="N608" i="1"/>
  <c r="BV608" i="1" s="1"/>
  <c r="Z608" i="1"/>
  <c r="BW608" i="1" s="1"/>
  <c r="AL608" i="1"/>
  <c r="BX608" i="1" s="1"/>
  <c r="AX608" i="1"/>
  <c r="BY608" i="1" s="1"/>
  <c r="BK608" i="1"/>
  <c r="BZ608" i="1" s="1"/>
  <c r="BM608" i="1"/>
  <c r="BR607" i="1" a="1"/>
  <c r="BR607" i="1" s="1"/>
  <c r="N607" i="1"/>
  <c r="BV607" i="1" s="1"/>
  <c r="Z607" i="1"/>
  <c r="BW607" i="1" s="1"/>
  <c r="AL607" i="1"/>
  <c r="BX607" i="1" s="1"/>
  <c r="AX607" i="1"/>
  <c r="BY607" i="1" s="1"/>
  <c r="BK607" i="1"/>
  <c r="BZ607" i="1" s="1"/>
  <c r="BM607" i="1"/>
  <c r="BR606" i="1" a="1"/>
  <c r="BR606" i="1" s="1"/>
  <c r="N606" i="1"/>
  <c r="BV606" i="1"/>
  <c r="Z606" i="1"/>
  <c r="BW606" i="1" s="1"/>
  <c r="AL606" i="1"/>
  <c r="BX606" i="1"/>
  <c r="AX606" i="1"/>
  <c r="BY606" i="1" s="1"/>
  <c r="BK606" i="1"/>
  <c r="BZ606" i="1" s="1"/>
  <c r="BM606" i="1"/>
  <c r="BR605" i="1" a="1"/>
  <c r="BR605" i="1" s="1"/>
  <c r="N605" i="1"/>
  <c r="BV605" i="1" s="1"/>
  <c r="Z605" i="1"/>
  <c r="BW605" i="1"/>
  <c r="AL605" i="1"/>
  <c r="BX605" i="1" s="1"/>
  <c r="AX605" i="1"/>
  <c r="BY605" i="1"/>
  <c r="BK605" i="1"/>
  <c r="BZ605" i="1" s="1"/>
  <c r="BM605" i="1"/>
  <c r="BR604" i="1" a="1"/>
  <c r="BR604" i="1" s="1"/>
  <c r="N604" i="1"/>
  <c r="BV604" i="1" s="1"/>
  <c r="Z604" i="1"/>
  <c r="BW604" i="1" s="1"/>
  <c r="AL604" i="1"/>
  <c r="BX604" i="1" s="1"/>
  <c r="AX604" i="1"/>
  <c r="BY604" i="1" s="1"/>
  <c r="BK604" i="1"/>
  <c r="BZ604" i="1" s="1"/>
  <c r="BM604" i="1"/>
  <c r="BR603" i="1" a="1"/>
  <c r="BR603" i="1" s="1"/>
  <c r="N603" i="1"/>
  <c r="BV603" i="1" s="1"/>
  <c r="Z603" i="1"/>
  <c r="BW603" i="1" s="1"/>
  <c r="AL603" i="1"/>
  <c r="BX603" i="1" s="1"/>
  <c r="AX603" i="1"/>
  <c r="BY603" i="1" s="1"/>
  <c r="BK603" i="1"/>
  <c r="BZ603" i="1" s="1"/>
  <c r="BM603" i="1"/>
  <c r="BR602" i="1" a="1"/>
  <c r="BR602" i="1" s="1"/>
  <c r="Z602" i="1"/>
  <c r="BW602" i="1" s="1"/>
  <c r="N602" i="1"/>
  <c r="BV602" i="1"/>
  <c r="AL602" i="1"/>
  <c r="BX602" i="1" s="1"/>
  <c r="AX602" i="1"/>
  <c r="BY602" i="1"/>
  <c r="BK602" i="1"/>
  <c r="BZ602" i="1" s="1"/>
  <c r="BM602" i="1"/>
  <c r="BR600" i="1" a="1"/>
  <c r="BR600" i="1" s="1"/>
  <c r="N600" i="1"/>
  <c r="BV600" i="1" s="1"/>
  <c r="Z600" i="1"/>
  <c r="BW600" i="1"/>
  <c r="AL600" i="1"/>
  <c r="BX600" i="1" s="1"/>
  <c r="AX600" i="1"/>
  <c r="BY600" i="1"/>
  <c r="BK600" i="1"/>
  <c r="BZ600" i="1" s="1"/>
  <c r="BM600" i="1"/>
  <c r="BR599" i="1" a="1"/>
  <c r="BR599" i="1" s="1"/>
  <c r="N599" i="1"/>
  <c r="BV599" i="1" s="1"/>
  <c r="Z599" i="1"/>
  <c r="BW599" i="1"/>
  <c r="AL599" i="1"/>
  <c r="BX599" i="1" s="1"/>
  <c r="AX599" i="1"/>
  <c r="BY599" i="1" s="1"/>
  <c r="BK599" i="1"/>
  <c r="BZ599" i="1" s="1"/>
  <c r="BM599" i="1"/>
  <c r="BS598" i="1"/>
  <c r="BR598" i="1" a="1"/>
  <c r="BR598" i="1" s="1"/>
  <c r="Z598" i="1"/>
  <c r="BW598" i="1"/>
  <c r="N598" i="1"/>
  <c r="BV598" i="1" s="1"/>
  <c r="AL598" i="1"/>
  <c r="BX598" i="1"/>
  <c r="AX598" i="1"/>
  <c r="BY598" i="1" s="1"/>
  <c r="BK598" i="1"/>
  <c r="BZ598" i="1"/>
  <c r="BM598" i="1"/>
  <c r="BR572" i="1" a="1"/>
  <c r="BR572" i="1" s="1"/>
  <c r="N572" i="1"/>
  <c r="BV572" i="1"/>
  <c r="Z572" i="1"/>
  <c r="AL572" i="1"/>
  <c r="BX572" i="1" s="1"/>
  <c r="AX572" i="1"/>
  <c r="BY572" i="1" s="1"/>
  <c r="BK572" i="1"/>
  <c r="BZ572" i="1" s="1"/>
  <c r="BM572" i="1"/>
  <c r="BR571" i="1" a="1"/>
  <c r="BR571" i="1" s="1"/>
  <c r="N571" i="1"/>
  <c r="BV571" i="1" s="1"/>
  <c r="Z571" i="1"/>
  <c r="BW571" i="1" s="1"/>
  <c r="AL571" i="1"/>
  <c r="BX571" i="1" s="1"/>
  <c r="AX571" i="1"/>
  <c r="BY571" i="1" s="1"/>
  <c r="BK571" i="1"/>
  <c r="BZ571" i="1" s="1"/>
  <c r="BM571" i="1"/>
  <c r="BR570" i="1" a="1"/>
  <c r="BR570" i="1" s="1"/>
  <c r="N570" i="1"/>
  <c r="BV570" i="1" s="1"/>
  <c r="Z570" i="1"/>
  <c r="BW570" i="1" s="1"/>
  <c r="AL570" i="1"/>
  <c r="BX570" i="1" s="1"/>
  <c r="AX570" i="1"/>
  <c r="BY570" i="1" s="1"/>
  <c r="BK570" i="1"/>
  <c r="BZ570" i="1" s="1"/>
  <c r="BM570" i="1"/>
  <c r="BR569" i="1" a="1"/>
  <c r="BR569" i="1" s="1"/>
  <c r="N569" i="1"/>
  <c r="BV569" i="1" s="1"/>
  <c r="Z569" i="1"/>
  <c r="BW569" i="1" s="1"/>
  <c r="AL569" i="1"/>
  <c r="AX569" i="1"/>
  <c r="BY569" i="1" s="1"/>
  <c r="BK569" i="1"/>
  <c r="BZ569" i="1" s="1"/>
  <c r="BM569" i="1"/>
  <c r="BR568" i="1" a="1"/>
  <c r="BR568" i="1" s="1"/>
  <c r="Z568" i="1"/>
  <c r="BW568" i="1" s="1"/>
  <c r="N568" i="1"/>
  <c r="BV568" i="1" s="1"/>
  <c r="AL568" i="1"/>
  <c r="BX568" i="1" s="1"/>
  <c r="AX568" i="1"/>
  <c r="BY568" i="1" s="1"/>
  <c r="BK568" i="1"/>
  <c r="BZ568" i="1" s="1"/>
  <c r="BM568" i="1"/>
  <c r="BR567" i="1" a="1"/>
  <c r="BR567" i="1" s="1"/>
  <c r="N567" i="1"/>
  <c r="BV567" i="1" s="1"/>
  <c r="Z567" i="1"/>
  <c r="BW567" i="1" s="1"/>
  <c r="AL567" i="1"/>
  <c r="BX567" i="1" s="1"/>
  <c r="AX567" i="1"/>
  <c r="BY567" i="1" s="1"/>
  <c r="BK567" i="1"/>
  <c r="BZ567" i="1" s="1"/>
  <c r="BM567" i="1"/>
  <c r="BR566" i="1" a="1"/>
  <c r="BR566" i="1" s="1"/>
  <c r="N566" i="1"/>
  <c r="BV566" i="1" s="1"/>
  <c r="Z566" i="1"/>
  <c r="BW566" i="1" s="1"/>
  <c r="AL566" i="1"/>
  <c r="BX566" i="1" s="1"/>
  <c r="AX566" i="1"/>
  <c r="BY566" i="1" s="1"/>
  <c r="BK566" i="1"/>
  <c r="BZ566" i="1" s="1"/>
  <c r="BM566" i="1"/>
  <c r="BR565" i="1" a="1"/>
  <c r="BR565" i="1" s="1"/>
  <c r="N565" i="1"/>
  <c r="BV565" i="1" s="1"/>
  <c r="Z565" i="1"/>
  <c r="BW565" i="1" s="1"/>
  <c r="AL565" i="1"/>
  <c r="BX565" i="1" s="1"/>
  <c r="AX565" i="1"/>
  <c r="BY565" i="1" s="1"/>
  <c r="BK565" i="1"/>
  <c r="BZ565" i="1" s="1"/>
  <c r="BM565" i="1"/>
  <c r="BR564" i="1" a="1"/>
  <c r="BR564" i="1" s="1"/>
  <c r="N564" i="1"/>
  <c r="BV564" i="1" s="1"/>
  <c r="Z564" i="1"/>
  <c r="BW564" i="1" s="1"/>
  <c r="AL564" i="1"/>
  <c r="BX564" i="1" s="1"/>
  <c r="AX564" i="1"/>
  <c r="BY564" i="1" s="1"/>
  <c r="BK564" i="1"/>
  <c r="BZ564" i="1" s="1"/>
  <c r="BM564" i="1"/>
  <c r="BR563" i="1" a="1"/>
  <c r="BR563" i="1" s="1"/>
  <c r="N563" i="1"/>
  <c r="Z563" i="1"/>
  <c r="BW563" i="1" s="1"/>
  <c r="AL563" i="1"/>
  <c r="BX563" i="1" s="1"/>
  <c r="AX563" i="1"/>
  <c r="BY563" i="1" s="1"/>
  <c r="BK563" i="1"/>
  <c r="BZ563" i="1" s="1"/>
  <c r="BM563" i="1"/>
  <c r="BR562" i="1" a="1"/>
  <c r="BR562" i="1" s="1"/>
  <c r="Z562" i="1"/>
  <c r="BW562" i="1" s="1"/>
  <c r="N562" i="1"/>
  <c r="BV562" i="1" s="1"/>
  <c r="AL562" i="1"/>
  <c r="BX562" i="1" s="1"/>
  <c r="AX562" i="1"/>
  <c r="BY562" i="1" s="1"/>
  <c r="BK562" i="1"/>
  <c r="BZ562" i="1" s="1"/>
  <c r="BM562" i="1"/>
  <c r="BR561" i="1" a="1"/>
  <c r="BR561" i="1" s="1"/>
  <c r="N561" i="1"/>
  <c r="BV561" i="1" s="1"/>
  <c r="Z561" i="1"/>
  <c r="BW561" i="1" s="1"/>
  <c r="AL561" i="1"/>
  <c r="AX561" i="1"/>
  <c r="BY561" i="1" s="1"/>
  <c r="BK561" i="1"/>
  <c r="BZ561" i="1" s="1"/>
  <c r="BM561" i="1"/>
  <c r="BR560" i="1" a="1"/>
  <c r="BR560" i="1" s="1"/>
  <c r="N560" i="1"/>
  <c r="BV560" i="1" s="1"/>
  <c r="Z560" i="1"/>
  <c r="BW560" i="1" s="1"/>
  <c r="AL560" i="1"/>
  <c r="BX560" i="1" s="1"/>
  <c r="AX560" i="1"/>
  <c r="BY560" i="1" s="1"/>
  <c r="BK560" i="1"/>
  <c r="BZ560" i="1" s="1"/>
  <c r="BM560" i="1"/>
  <c r="BR559" i="1" a="1"/>
  <c r="BR559" i="1" s="1"/>
  <c r="N559" i="1"/>
  <c r="BV559" i="1" s="1"/>
  <c r="Z559" i="1"/>
  <c r="BW559" i="1" s="1"/>
  <c r="AL559" i="1"/>
  <c r="BX559" i="1" s="1"/>
  <c r="AX559" i="1"/>
  <c r="BY559" i="1" s="1"/>
  <c r="BK559" i="1"/>
  <c r="BZ559" i="1" s="1"/>
  <c r="BM559" i="1"/>
  <c r="BR558" i="1" a="1"/>
  <c r="BR558" i="1" s="1"/>
  <c r="N558" i="1"/>
  <c r="BV558" i="1" s="1"/>
  <c r="Z558" i="1"/>
  <c r="BW558" i="1" s="1"/>
  <c r="AL558" i="1"/>
  <c r="BX558" i="1" s="1"/>
  <c r="AX558" i="1"/>
  <c r="BY558" i="1" s="1"/>
  <c r="BK558" i="1"/>
  <c r="BZ558" i="1" s="1"/>
  <c r="BM558" i="1"/>
  <c r="BR557" i="1" a="1"/>
  <c r="BR557" i="1" s="1"/>
  <c r="N557" i="1"/>
  <c r="BV557" i="1" s="1"/>
  <c r="Z557" i="1"/>
  <c r="BW557" i="1" s="1"/>
  <c r="AL557" i="1"/>
  <c r="BX557" i="1" s="1"/>
  <c r="AX557" i="1"/>
  <c r="BY557" i="1" s="1"/>
  <c r="BK557" i="1"/>
  <c r="BZ557" i="1" s="1"/>
  <c r="BM557" i="1"/>
  <c r="BR555" i="1" a="1"/>
  <c r="BR555" i="1" s="1"/>
  <c r="N555" i="1"/>
  <c r="BV555" i="1" s="1"/>
  <c r="Z555" i="1"/>
  <c r="BW555" i="1"/>
  <c r="AL555" i="1"/>
  <c r="AX555" i="1"/>
  <c r="BY555" i="1" s="1"/>
  <c r="BK555" i="1"/>
  <c r="BZ555" i="1" s="1"/>
  <c r="BM555" i="1"/>
  <c r="BR554" i="1" a="1"/>
  <c r="BR554" i="1" s="1"/>
  <c r="N554" i="1"/>
  <c r="BV554" i="1" s="1"/>
  <c r="Z554" i="1"/>
  <c r="BW554" i="1" s="1"/>
  <c r="AL554" i="1"/>
  <c r="BX554" i="1" s="1"/>
  <c r="AX554" i="1"/>
  <c r="BY554" i="1" s="1"/>
  <c r="BK554" i="1"/>
  <c r="BZ554" i="1" s="1"/>
  <c r="BM554" i="1"/>
  <c r="BR553" i="1" a="1"/>
  <c r="BR553" i="1" s="1"/>
  <c r="N553" i="1"/>
  <c r="Z553" i="1"/>
  <c r="BW553" i="1" s="1"/>
  <c r="AL553" i="1"/>
  <c r="BX553" i="1"/>
  <c r="AX553" i="1"/>
  <c r="BY553" i="1" s="1"/>
  <c r="BK553" i="1"/>
  <c r="BZ553" i="1"/>
  <c r="BM553" i="1"/>
  <c r="BR552" i="1" a="1"/>
  <c r="BR552" i="1" s="1"/>
  <c r="N552" i="1"/>
  <c r="BV552" i="1"/>
  <c r="Z552" i="1"/>
  <c r="BW552" i="1" s="1"/>
  <c r="AL552" i="1"/>
  <c r="BX552" i="1" s="1"/>
  <c r="AX552" i="1"/>
  <c r="BY552" i="1" s="1"/>
  <c r="BK552" i="1"/>
  <c r="BZ552" i="1" s="1"/>
  <c r="BM552" i="1"/>
  <c r="BR551" i="1" a="1"/>
  <c r="BR551" i="1" s="1"/>
  <c r="Z551" i="1"/>
  <c r="BW551" i="1" s="1"/>
  <c r="AL551" i="1"/>
  <c r="BX551" i="1" s="1"/>
  <c r="AX551" i="1"/>
  <c r="BY551" i="1" s="1"/>
  <c r="BK551" i="1"/>
  <c r="BZ551" i="1" s="1"/>
  <c r="BM551" i="1"/>
  <c r="BR550" i="1" a="1"/>
  <c r="BR550" i="1" s="1"/>
  <c r="N550" i="1"/>
  <c r="BV550" i="1" s="1"/>
  <c r="Z550" i="1"/>
  <c r="BW550" i="1" s="1"/>
  <c r="AL550" i="1"/>
  <c r="BX550" i="1" s="1"/>
  <c r="AX550" i="1"/>
  <c r="BY550" i="1" s="1"/>
  <c r="BK550" i="1"/>
  <c r="BZ550" i="1" s="1"/>
  <c r="BM550" i="1"/>
  <c r="BR549" i="1" a="1"/>
  <c r="BR549" i="1" s="1"/>
  <c r="N549" i="1"/>
  <c r="Z549" i="1"/>
  <c r="BW549" i="1" s="1"/>
  <c r="AL549" i="1"/>
  <c r="BX549" i="1" s="1"/>
  <c r="AX549" i="1"/>
  <c r="BY549" i="1" s="1"/>
  <c r="BK549" i="1"/>
  <c r="BZ549" i="1" s="1"/>
  <c r="BM549" i="1"/>
  <c r="BR548" i="1" a="1"/>
  <c r="BR548" i="1" s="1"/>
  <c r="N548" i="1"/>
  <c r="BV548" i="1" s="1"/>
  <c r="Z548" i="1"/>
  <c r="BW548" i="1" s="1"/>
  <c r="AL548" i="1"/>
  <c r="BX548" i="1" s="1"/>
  <c r="AX548" i="1"/>
  <c r="BY548" i="1" s="1"/>
  <c r="BK548" i="1"/>
  <c r="BZ548" i="1" s="1"/>
  <c r="BM548" i="1"/>
  <c r="BR547" i="1" a="1"/>
  <c r="BR547" i="1" s="1"/>
  <c r="N547" i="1"/>
  <c r="BV547" i="1" s="1"/>
  <c r="Z547" i="1"/>
  <c r="BW547" i="1" s="1"/>
  <c r="AL547" i="1"/>
  <c r="AX547" i="1"/>
  <c r="BY547" i="1" s="1"/>
  <c r="BK547" i="1"/>
  <c r="BZ547" i="1" s="1"/>
  <c r="BM547" i="1"/>
  <c r="BR546" i="1" a="1"/>
  <c r="BR546" i="1" s="1"/>
  <c r="N546" i="1"/>
  <c r="BV546" i="1"/>
  <c r="Z546" i="1"/>
  <c r="BW546" i="1" s="1"/>
  <c r="AL546" i="1"/>
  <c r="BX546" i="1"/>
  <c r="AX546" i="1"/>
  <c r="BY546" i="1" s="1"/>
  <c r="BK546" i="1"/>
  <c r="BZ546" i="1"/>
  <c r="BM546" i="1"/>
  <c r="BR545" i="1" a="1"/>
  <c r="BR545" i="1" s="1"/>
  <c r="N545" i="1"/>
  <c r="BV545" i="1"/>
  <c r="Z545" i="1"/>
  <c r="BW545" i="1" s="1"/>
  <c r="AL545" i="1"/>
  <c r="BX545" i="1"/>
  <c r="AX545" i="1"/>
  <c r="BY545" i="1" s="1"/>
  <c r="BK545" i="1"/>
  <c r="BZ545" i="1"/>
  <c r="BM545" i="1"/>
  <c r="BR544" i="1" a="1"/>
  <c r="BR544" i="1" s="1"/>
  <c r="N544" i="1"/>
  <c r="BV544" i="1"/>
  <c r="Z544" i="1"/>
  <c r="BW544" i="1" s="1"/>
  <c r="AL544" i="1"/>
  <c r="AX544" i="1"/>
  <c r="BY544" i="1" s="1"/>
  <c r="BK544" i="1"/>
  <c r="BZ544" i="1" s="1"/>
  <c r="BM544" i="1"/>
  <c r="BR543" i="1" a="1"/>
  <c r="BR543" i="1" s="1"/>
  <c r="N543" i="1"/>
  <c r="BV543" i="1" s="1"/>
  <c r="Z543" i="1"/>
  <c r="BW543" i="1"/>
  <c r="AL543" i="1"/>
  <c r="BX543" i="1" s="1"/>
  <c r="AX543" i="1"/>
  <c r="BY543" i="1"/>
  <c r="BK543" i="1"/>
  <c r="BZ543" i="1" s="1"/>
  <c r="BM543" i="1"/>
  <c r="BR542" i="1" a="1"/>
  <c r="BR542" i="1" s="1"/>
  <c r="N542" i="1"/>
  <c r="BV542" i="1" s="1"/>
  <c r="Z542" i="1"/>
  <c r="BW542" i="1"/>
  <c r="AL542" i="1"/>
  <c r="BX542" i="1" s="1"/>
  <c r="AX542" i="1"/>
  <c r="BY542" i="1" s="1"/>
  <c r="BK542" i="1"/>
  <c r="BZ542" i="1"/>
  <c r="BM542" i="1"/>
  <c r="BR541" i="1" a="1"/>
  <c r="BR541" i="1" s="1"/>
  <c r="N541" i="1"/>
  <c r="Z541" i="1"/>
  <c r="BW541" i="1" s="1"/>
  <c r="AL541" i="1"/>
  <c r="BX541" i="1" s="1"/>
  <c r="AX541" i="1"/>
  <c r="BY541" i="1" s="1"/>
  <c r="BK541" i="1"/>
  <c r="BZ541" i="1" s="1"/>
  <c r="BM541" i="1"/>
  <c r="BR540" i="1" a="1"/>
  <c r="BR540" i="1" s="1"/>
  <c r="N540" i="1"/>
  <c r="BV540" i="1" s="1"/>
  <c r="Z540" i="1"/>
  <c r="BW540" i="1" s="1"/>
  <c r="AL540" i="1"/>
  <c r="BX540" i="1" s="1"/>
  <c r="AX540" i="1"/>
  <c r="BY540" i="1" s="1"/>
  <c r="BK540" i="1"/>
  <c r="BZ540" i="1" s="1"/>
  <c r="BM540" i="1"/>
  <c r="BR539" i="1" a="1"/>
  <c r="BR539" i="1" s="1"/>
  <c r="N539" i="1"/>
  <c r="BV539" i="1" s="1"/>
  <c r="Z539" i="1"/>
  <c r="BW539" i="1"/>
  <c r="AL539" i="1"/>
  <c r="BX539" i="1" s="1"/>
  <c r="AX539" i="1"/>
  <c r="BY539" i="1"/>
  <c r="BK539" i="1"/>
  <c r="BZ539" i="1" s="1"/>
  <c r="BM539" i="1"/>
  <c r="BR538" i="1" a="1"/>
  <c r="BR538" i="1" s="1"/>
  <c r="N538" i="1"/>
  <c r="BV538" i="1" s="1"/>
  <c r="Z538" i="1"/>
  <c r="BW538" i="1"/>
  <c r="AL538" i="1"/>
  <c r="BX538" i="1" s="1"/>
  <c r="AX538" i="1"/>
  <c r="BY538" i="1" s="1"/>
  <c r="BK538" i="1"/>
  <c r="BZ538" i="1" s="1"/>
  <c r="BM538" i="1"/>
  <c r="BR536" i="1" a="1"/>
  <c r="BR536" i="1" s="1"/>
  <c r="Z536" i="1"/>
  <c r="BW536" i="1" s="1"/>
  <c r="N536" i="1"/>
  <c r="BV536" i="1"/>
  <c r="AL536" i="1"/>
  <c r="BX536" i="1" s="1"/>
  <c r="AX536" i="1"/>
  <c r="BY536" i="1"/>
  <c r="BK536" i="1"/>
  <c r="BZ536" i="1" s="1"/>
  <c r="BM536" i="1"/>
  <c r="BR533" i="1" a="1"/>
  <c r="BR533" i="1" s="1"/>
  <c r="N533" i="1"/>
  <c r="BV533" i="1" s="1"/>
  <c r="Z533" i="1"/>
  <c r="BW533" i="1"/>
  <c r="AL533" i="1"/>
  <c r="BX533" i="1" s="1"/>
  <c r="AX533" i="1"/>
  <c r="BY533" i="1"/>
  <c r="BK533" i="1"/>
  <c r="BZ533" i="1" s="1"/>
  <c r="BM533" i="1"/>
  <c r="BR532" i="1" a="1"/>
  <c r="BR532" i="1" s="1"/>
  <c r="N532" i="1"/>
  <c r="BV532" i="1" s="1"/>
  <c r="Z532" i="1"/>
  <c r="BW532" i="1"/>
  <c r="AL532" i="1"/>
  <c r="BX532" i="1" s="1"/>
  <c r="AX532" i="1"/>
  <c r="BY532" i="1" s="1"/>
  <c r="BK532" i="1"/>
  <c r="BZ532" i="1" s="1"/>
  <c r="BM532" i="1"/>
  <c r="BR531" i="1" a="1"/>
  <c r="BR531" i="1" s="1"/>
  <c r="N531" i="1"/>
  <c r="BV531" i="1" s="1"/>
  <c r="Z531" i="1"/>
  <c r="BW531" i="1" s="1"/>
  <c r="AL531" i="1"/>
  <c r="BX531" i="1" s="1"/>
  <c r="AX531" i="1"/>
  <c r="BY531" i="1" s="1"/>
  <c r="BK531" i="1"/>
  <c r="BZ531" i="1" s="1"/>
  <c r="BM531" i="1"/>
  <c r="BR530" i="1" a="1"/>
  <c r="BR530" i="1" s="1"/>
  <c r="N530" i="1"/>
  <c r="BV530" i="1" s="1"/>
  <c r="AX530" i="1"/>
  <c r="BY530" i="1" s="1"/>
  <c r="BK530" i="1"/>
  <c r="BZ530" i="1" s="1"/>
  <c r="BM530" i="1"/>
  <c r="BR529" i="1" a="1"/>
  <c r="BR529" i="1" s="1"/>
  <c r="N529" i="1"/>
  <c r="BV529" i="1" s="1"/>
  <c r="Z529" i="1"/>
  <c r="BW529" i="1" s="1"/>
  <c r="AL529" i="1"/>
  <c r="AX529" i="1"/>
  <c r="BY529" i="1"/>
  <c r="BK529" i="1"/>
  <c r="BZ529" i="1" s="1"/>
  <c r="BM529" i="1"/>
  <c r="BR528" i="1" a="1"/>
  <c r="BR528" i="1" s="1"/>
  <c r="N528" i="1"/>
  <c r="BV528" i="1" s="1"/>
  <c r="Z528" i="1"/>
  <c r="BW528" i="1"/>
  <c r="AL528" i="1"/>
  <c r="BX528" i="1" s="1"/>
  <c r="AX528" i="1"/>
  <c r="BY528" i="1" s="1"/>
  <c r="BK528" i="1"/>
  <c r="BZ528" i="1" s="1"/>
  <c r="BM528" i="1"/>
  <c r="BR527" i="1" a="1"/>
  <c r="BR527" i="1" s="1"/>
  <c r="N527" i="1"/>
  <c r="BV527" i="1" s="1"/>
  <c r="Z527" i="1"/>
  <c r="BW527" i="1" s="1"/>
  <c r="AL527" i="1"/>
  <c r="BX527" i="1" s="1"/>
  <c r="AX527" i="1"/>
  <c r="BY527" i="1" s="1"/>
  <c r="BK527" i="1"/>
  <c r="BZ527" i="1" s="1"/>
  <c r="BM527" i="1"/>
  <c r="BR526" i="1" a="1"/>
  <c r="BR526" i="1" s="1"/>
  <c r="N526" i="1"/>
  <c r="Z526" i="1"/>
  <c r="BW526" i="1" s="1"/>
  <c r="AL526" i="1"/>
  <c r="BX526" i="1" s="1"/>
  <c r="AX526" i="1"/>
  <c r="BY526" i="1" s="1"/>
  <c r="BK526" i="1"/>
  <c r="BZ526" i="1" s="1"/>
  <c r="BM526" i="1"/>
  <c r="BR524" i="1" a="1"/>
  <c r="BR524" i="1" s="1"/>
  <c r="N524" i="1"/>
  <c r="BV524" i="1" s="1"/>
  <c r="Z524" i="1"/>
  <c r="BW524" i="1" s="1"/>
  <c r="AL524" i="1"/>
  <c r="BX524" i="1" s="1"/>
  <c r="AX524" i="1"/>
  <c r="BY524" i="1" s="1"/>
  <c r="BK524" i="1"/>
  <c r="BZ524" i="1" s="1"/>
  <c r="BM524" i="1"/>
  <c r="BR523" i="1" a="1"/>
  <c r="BR523" i="1" s="1"/>
  <c r="Z523" i="1"/>
  <c r="BW523" i="1" s="1"/>
  <c r="N523" i="1"/>
  <c r="AL523" i="1"/>
  <c r="BX523" i="1" s="1"/>
  <c r="AX523" i="1"/>
  <c r="BY523" i="1" s="1"/>
  <c r="BK523" i="1"/>
  <c r="BZ523" i="1" s="1"/>
  <c r="BM523" i="1"/>
  <c r="BR522" i="1" a="1"/>
  <c r="BR522" i="1" s="1"/>
  <c r="N522" i="1"/>
  <c r="Z522" i="1"/>
  <c r="BW522" i="1"/>
  <c r="AL522" i="1"/>
  <c r="BX522" i="1" s="1"/>
  <c r="AX522" i="1"/>
  <c r="BY522" i="1"/>
  <c r="BK522" i="1"/>
  <c r="BZ522" i="1" s="1"/>
  <c r="BM522" i="1"/>
  <c r="BR521" i="1" a="1"/>
  <c r="BR521" i="1" s="1"/>
  <c r="N521" i="1"/>
  <c r="Z521" i="1"/>
  <c r="BW521" i="1" s="1"/>
  <c r="AL521" i="1"/>
  <c r="BX521" i="1" s="1"/>
  <c r="AX521" i="1"/>
  <c r="BY521" i="1" s="1"/>
  <c r="BK521" i="1"/>
  <c r="BZ521" i="1" s="1"/>
  <c r="BM521" i="1"/>
  <c r="BR520" i="1" a="1"/>
  <c r="BR520" i="1" s="1"/>
  <c r="N520" i="1"/>
  <c r="Z520" i="1"/>
  <c r="BW520" i="1" s="1"/>
  <c r="AL520" i="1"/>
  <c r="BX520" i="1"/>
  <c r="AX520" i="1"/>
  <c r="BY520" i="1" s="1"/>
  <c r="BK520" i="1"/>
  <c r="BZ520" i="1"/>
  <c r="BM520" i="1"/>
  <c r="BR519" i="1" a="1"/>
  <c r="BR519" i="1" s="1"/>
  <c r="N519" i="1"/>
  <c r="BV519" i="1"/>
  <c r="Z519" i="1"/>
  <c r="BW519" i="1" s="1"/>
  <c r="AL519" i="1"/>
  <c r="AX519" i="1"/>
  <c r="BY519" i="1" s="1"/>
  <c r="BK519" i="1"/>
  <c r="BZ519" i="1" s="1"/>
  <c r="BM519" i="1"/>
  <c r="BR518" i="1" a="1"/>
  <c r="BR518" i="1" s="1"/>
  <c r="N518" i="1"/>
  <c r="BV518" i="1" s="1"/>
  <c r="Z518" i="1"/>
  <c r="BW518" i="1" s="1"/>
  <c r="AL518" i="1"/>
  <c r="BX518" i="1" s="1"/>
  <c r="AX518" i="1"/>
  <c r="BY518" i="1" s="1"/>
  <c r="BK518" i="1"/>
  <c r="BZ518" i="1" s="1"/>
  <c r="BM518" i="1"/>
  <c r="BR517" i="1" a="1"/>
  <c r="BR517" i="1" s="1"/>
  <c r="N517" i="1"/>
  <c r="BV517" i="1" s="1"/>
  <c r="Z517" i="1"/>
  <c r="BW517" i="1" s="1"/>
  <c r="AL517" i="1"/>
  <c r="BX517" i="1" s="1"/>
  <c r="AX517" i="1"/>
  <c r="BY517" i="1" s="1"/>
  <c r="BK517" i="1"/>
  <c r="BZ517" i="1" s="1"/>
  <c r="BM517" i="1"/>
  <c r="BR516" i="1" a="1"/>
  <c r="BR516" i="1" s="1"/>
  <c r="N516" i="1"/>
  <c r="BV516" i="1" s="1"/>
  <c r="Z516" i="1"/>
  <c r="BW516" i="1" s="1"/>
  <c r="AL516" i="1"/>
  <c r="BX516" i="1" s="1"/>
  <c r="AX516" i="1"/>
  <c r="BY516" i="1" s="1"/>
  <c r="BK516" i="1"/>
  <c r="BZ516" i="1" s="1"/>
  <c r="BM516" i="1"/>
  <c r="BR515" i="1" a="1"/>
  <c r="BR515" i="1" s="1"/>
  <c r="N515" i="1"/>
  <c r="BV515" i="1" s="1"/>
  <c r="Z515" i="1"/>
  <c r="BW515" i="1"/>
  <c r="AL515" i="1"/>
  <c r="BX515" i="1" s="1"/>
  <c r="AX515" i="1"/>
  <c r="BY515" i="1" s="1"/>
  <c r="BK515" i="1"/>
  <c r="BZ515" i="1" s="1"/>
  <c r="BM515" i="1"/>
  <c r="BR514" i="1" a="1"/>
  <c r="BR514" i="1" s="1"/>
  <c r="N514" i="1"/>
  <c r="Z514" i="1"/>
  <c r="BW514" i="1" s="1"/>
  <c r="AL514" i="1"/>
  <c r="BX514" i="1"/>
  <c r="AX514" i="1"/>
  <c r="BY514" i="1" s="1"/>
  <c r="BK514" i="1"/>
  <c r="BZ514" i="1" s="1"/>
  <c r="BM514" i="1"/>
  <c r="BR513" i="1" a="1"/>
  <c r="BR513" i="1" s="1"/>
  <c r="N513" i="1"/>
  <c r="BV513" i="1" s="1"/>
  <c r="Z513" i="1"/>
  <c r="BW513" i="1" s="1"/>
  <c r="AL513" i="1"/>
  <c r="BX513" i="1" s="1"/>
  <c r="AX513" i="1"/>
  <c r="BY513" i="1" s="1"/>
  <c r="BK513" i="1"/>
  <c r="BZ513" i="1" s="1"/>
  <c r="BM513" i="1"/>
  <c r="BR512" i="1" a="1"/>
  <c r="BR512" i="1" s="1"/>
  <c r="N512" i="1"/>
  <c r="Z512" i="1"/>
  <c r="BW512" i="1" s="1"/>
  <c r="AL512" i="1"/>
  <c r="BX512" i="1"/>
  <c r="AX512" i="1"/>
  <c r="BY512" i="1" s="1"/>
  <c r="BK512" i="1"/>
  <c r="BZ512" i="1"/>
  <c r="BM512" i="1"/>
  <c r="BR511" i="1" a="1"/>
  <c r="BR511" i="1" s="1"/>
  <c r="N511" i="1"/>
  <c r="BV511" i="1"/>
  <c r="Z511" i="1"/>
  <c r="BW511" i="1" s="1"/>
  <c r="AL511" i="1"/>
  <c r="AX511" i="1"/>
  <c r="BY511" i="1" s="1"/>
  <c r="BK511" i="1"/>
  <c r="BZ511" i="1" s="1"/>
  <c r="BM511" i="1"/>
  <c r="BR510" i="1" a="1"/>
  <c r="BR510" i="1" s="1"/>
  <c r="N510" i="1"/>
  <c r="BV510" i="1" s="1"/>
  <c r="Z510" i="1"/>
  <c r="BW510" i="1" s="1"/>
  <c r="AL510" i="1"/>
  <c r="BX510" i="1" s="1"/>
  <c r="AX510" i="1"/>
  <c r="BY510" i="1" s="1"/>
  <c r="BK510" i="1"/>
  <c r="BZ510" i="1" s="1"/>
  <c r="BM510" i="1"/>
  <c r="BR509" i="1" a="1"/>
  <c r="BR509" i="1" s="1"/>
  <c r="N509" i="1"/>
  <c r="BV509" i="1" s="1"/>
  <c r="Z509" i="1"/>
  <c r="BW509" i="1" s="1"/>
  <c r="AL509" i="1"/>
  <c r="BX509" i="1" s="1"/>
  <c r="AX509" i="1"/>
  <c r="BY509" i="1" s="1"/>
  <c r="BK509" i="1"/>
  <c r="BZ509" i="1"/>
  <c r="BM509" i="1"/>
  <c r="BR508" i="1" a="1"/>
  <c r="BR508" i="1" s="1"/>
  <c r="N508" i="1"/>
  <c r="BV508" i="1"/>
  <c r="Z508" i="1"/>
  <c r="BW508" i="1" s="1"/>
  <c r="AL508" i="1"/>
  <c r="BX508" i="1" s="1"/>
  <c r="AX508" i="1"/>
  <c r="BY508" i="1" s="1"/>
  <c r="BK508" i="1"/>
  <c r="BZ508" i="1" s="1"/>
  <c r="BM508" i="1"/>
  <c r="BR507" i="1" a="1"/>
  <c r="BR507" i="1" s="1"/>
  <c r="N507" i="1"/>
  <c r="BV507" i="1" s="1"/>
  <c r="Z507" i="1"/>
  <c r="BW507" i="1" s="1"/>
  <c r="AL507" i="1"/>
  <c r="BX507" i="1" s="1"/>
  <c r="AX507" i="1"/>
  <c r="BY507" i="1" s="1"/>
  <c r="BK507" i="1"/>
  <c r="BZ507" i="1" s="1"/>
  <c r="BM507" i="1"/>
  <c r="BR506" i="1" a="1"/>
  <c r="BR506" i="1" s="1"/>
  <c r="N506" i="1"/>
  <c r="BV506" i="1" s="1"/>
  <c r="Z506" i="1"/>
  <c r="BW506" i="1" s="1"/>
  <c r="AL506" i="1"/>
  <c r="BX506" i="1" s="1"/>
  <c r="AX506" i="1"/>
  <c r="BY506" i="1" s="1"/>
  <c r="BK506" i="1"/>
  <c r="BZ506" i="1" s="1"/>
  <c r="BM506" i="1"/>
  <c r="BR505" i="1" a="1"/>
  <c r="BR505" i="1" s="1"/>
  <c r="N505" i="1"/>
  <c r="BV505" i="1" s="1"/>
  <c r="AX505" i="1"/>
  <c r="BY505" i="1" s="1"/>
  <c r="BK505" i="1"/>
  <c r="BZ505" i="1" s="1"/>
  <c r="BM505" i="1"/>
  <c r="BR504" i="1" a="1"/>
  <c r="BR504" i="1" s="1"/>
  <c r="Z504" i="1"/>
  <c r="BW504" i="1"/>
  <c r="N504" i="1"/>
  <c r="AL504" i="1"/>
  <c r="BX504" i="1" s="1"/>
  <c r="AX504" i="1"/>
  <c r="BY504" i="1" s="1"/>
  <c r="BK504" i="1"/>
  <c r="BZ504" i="1" s="1"/>
  <c r="BM504" i="1"/>
  <c r="BR503" i="1" a="1"/>
  <c r="BR503" i="1" s="1"/>
  <c r="Z503" i="1"/>
  <c r="BW503" i="1" s="1"/>
  <c r="N503" i="1"/>
  <c r="BV503" i="1" s="1"/>
  <c r="AL503" i="1"/>
  <c r="BX503" i="1" s="1"/>
  <c r="AX503" i="1"/>
  <c r="BY503" i="1" s="1"/>
  <c r="BK503" i="1"/>
  <c r="BZ503" i="1" s="1"/>
  <c r="BM503" i="1"/>
  <c r="BR502" i="1" a="1"/>
  <c r="BR502" i="1" s="1"/>
  <c r="N502" i="1"/>
  <c r="BV502" i="1" s="1"/>
  <c r="Z502" i="1"/>
  <c r="BW502" i="1" s="1"/>
  <c r="AL502" i="1"/>
  <c r="BX502" i="1" s="1"/>
  <c r="AX502" i="1"/>
  <c r="BY502" i="1" s="1"/>
  <c r="BK502" i="1"/>
  <c r="BZ502" i="1" s="1"/>
  <c r="BM502" i="1"/>
  <c r="BR501" i="1" a="1"/>
  <c r="BR501" i="1" s="1"/>
  <c r="N501" i="1"/>
  <c r="BV501" i="1" s="1"/>
  <c r="Z501" i="1"/>
  <c r="BW501" i="1" s="1"/>
  <c r="AL501" i="1"/>
  <c r="BX501" i="1" s="1"/>
  <c r="AX501" i="1"/>
  <c r="BY501" i="1" s="1"/>
  <c r="BK501" i="1"/>
  <c r="BZ501" i="1" s="1"/>
  <c r="BM501" i="1"/>
  <c r="BR500" i="1" a="1"/>
  <c r="BR500" i="1" s="1"/>
  <c r="N500" i="1"/>
  <c r="BV500" i="1" s="1"/>
  <c r="Z500" i="1"/>
  <c r="BW500" i="1" s="1"/>
  <c r="AL500" i="1"/>
  <c r="BX500" i="1" s="1"/>
  <c r="AX500" i="1"/>
  <c r="BY500" i="1" s="1"/>
  <c r="BK500" i="1"/>
  <c r="BZ500" i="1" s="1"/>
  <c r="BM500" i="1"/>
  <c r="BR499" i="1" a="1"/>
  <c r="BR499" i="1" s="1"/>
  <c r="N499" i="1"/>
  <c r="BV499" i="1"/>
  <c r="Z499" i="1"/>
  <c r="BW499" i="1" s="1"/>
  <c r="AL499" i="1"/>
  <c r="BX499" i="1"/>
  <c r="AX499" i="1"/>
  <c r="BY499" i="1" s="1"/>
  <c r="BK499" i="1"/>
  <c r="BZ499" i="1"/>
  <c r="BM499" i="1"/>
  <c r="BR498" i="1" a="1"/>
  <c r="BR498" i="1" s="1"/>
  <c r="N498" i="1"/>
  <c r="BV498" i="1"/>
  <c r="Z498" i="1"/>
  <c r="BW498" i="1" s="1"/>
  <c r="AL498" i="1"/>
  <c r="BX498" i="1" s="1"/>
  <c r="AX498" i="1"/>
  <c r="BY498" i="1" s="1"/>
  <c r="BK498" i="1"/>
  <c r="BZ498" i="1" s="1"/>
  <c r="BM498" i="1"/>
  <c r="BR497" i="1" a="1"/>
  <c r="BR497" i="1" s="1"/>
  <c r="N497" i="1"/>
  <c r="BV497" i="1" s="1"/>
  <c r="Z497" i="1"/>
  <c r="BW497" i="1" s="1"/>
  <c r="AL497" i="1"/>
  <c r="BX497" i="1" s="1"/>
  <c r="AX497" i="1"/>
  <c r="BY497" i="1" s="1"/>
  <c r="BK497" i="1"/>
  <c r="BZ497" i="1" s="1"/>
  <c r="BM497" i="1"/>
  <c r="BR496" i="1" a="1"/>
  <c r="BR496" i="1" s="1"/>
  <c r="N496" i="1"/>
  <c r="BV496" i="1"/>
  <c r="Z496" i="1"/>
  <c r="BW496" i="1" s="1"/>
  <c r="AL496" i="1"/>
  <c r="BX496" i="1"/>
  <c r="AX496" i="1"/>
  <c r="BY496" i="1" s="1"/>
  <c r="BK496" i="1"/>
  <c r="BZ496" i="1" s="1"/>
  <c r="BM496" i="1"/>
  <c r="BR495" i="1" a="1"/>
  <c r="BR495" i="1" s="1"/>
  <c r="N495" i="1"/>
  <c r="Z495" i="1"/>
  <c r="BW495" i="1" s="1"/>
  <c r="AL495" i="1"/>
  <c r="BX495" i="1"/>
  <c r="AX495" i="1"/>
  <c r="BY495" i="1" s="1"/>
  <c r="BK495" i="1"/>
  <c r="BZ495" i="1" s="1"/>
  <c r="BM495" i="1"/>
  <c r="BR494" i="1" a="1"/>
  <c r="BR494" i="1" s="1"/>
  <c r="N494" i="1"/>
  <c r="BV494" i="1" s="1"/>
  <c r="Z494" i="1"/>
  <c r="AL494" i="1"/>
  <c r="BX494" i="1"/>
  <c r="AX494" i="1"/>
  <c r="BY494" i="1" s="1"/>
  <c r="BK494" i="1"/>
  <c r="BZ494" i="1" s="1"/>
  <c r="BM494" i="1"/>
  <c r="BR493" i="1" a="1"/>
  <c r="BR493" i="1" s="1"/>
  <c r="N493" i="1"/>
  <c r="BV493" i="1" s="1"/>
  <c r="Z493" i="1"/>
  <c r="BW493" i="1"/>
  <c r="AL493" i="1"/>
  <c r="BX493" i="1" s="1"/>
  <c r="AX493" i="1"/>
  <c r="BY493" i="1" s="1"/>
  <c r="BK493" i="1"/>
  <c r="BZ493" i="1" s="1"/>
  <c r="BM493" i="1"/>
  <c r="BR492" i="1" a="1"/>
  <c r="BR492" i="1" s="1"/>
  <c r="Z492" i="1"/>
  <c r="BW492" i="1" s="1"/>
  <c r="N492" i="1"/>
  <c r="BV492" i="1" s="1"/>
  <c r="AL492" i="1"/>
  <c r="AX492" i="1"/>
  <c r="BY492" i="1" s="1"/>
  <c r="BK492" i="1"/>
  <c r="BZ492" i="1" s="1"/>
  <c r="BM492" i="1"/>
  <c r="BR491" i="1" a="1"/>
  <c r="BR491" i="1" s="1"/>
  <c r="N491" i="1"/>
  <c r="Z491" i="1"/>
  <c r="BW491" i="1"/>
  <c r="AL491" i="1"/>
  <c r="BX491" i="1" s="1"/>
  <c r="AX491" i="1"/>
  <c r="BY491" i="1"/>
  <c r="BK491" i="1"/>
  <c r="BZ491" i="1" s="1"/>
  <c r="BM491" i="1"/>
  <c r="BR489" i="1" a="1"/>
  <c r="BR489" i="1" s="1"/>
  <c r="N489" i="1"/>
  <c r="BV489" i="1" s="1"/>
  <c r="Z489" i="1"/>
  <c r="BW489" i="1"/>
  <c r="AL489" i="1"/>
  <c r="BX489" i="1" s="1"/>
  <c r="AX489" i="1"/>
  <c r="BY489" i="1"/>
  <c r="BK489" i="1"/>
  <c r="BZ489" i="1" s="1"/>
  <c r="BM489" i="1"/>
  <c r="BR488" i="1" a="1"/>
  <c r="BR488" i="1" s="1"/>
  <c r="N488" i="1"/>
  <c r="BV488" i="1" s="1"/>
  <c r="Z488" i="1"/>
  <c r="BW488" i="1"/>
  <c r="AL488" i="1"/>
  <c r="BX488" i="1" s="1"/>
  <c r="AX488" i="1"/>
  <c r="BY488" i="1"/>
  <c r="BK488" i="1"/>
  <c r="BZ488" i="1" s="1"/>
  <c r="BM488" i="1"/>
  <c r="BR487" i="1" a="1"/>
  <c r="BR487" i="1" s="1"/>
  <c r="N487" i="1"/>
  <c r="Z487" i="1"/>
  <c r="BW487" i="1" s="1"/>
  <c r="AL487" i="1"/>
  <c r="AX487" i="1"/>
  <c r="BY487" i="1" s="1"/>
  <c r="BK487" i="1"/>
  <c r="BZ487" i="1" s="1"/>
  <c r="BM487" i="1"/>
  <c r="BR486" i="1" a="1"/>
  <c r="BR486" i="1" s="1"/>
  <c r="N486" i="1"/>
  <c r="BV486" i="1" s="1"/>
  <c r="Z486" i="1"/>
  <c r="BW486" i="1"/>
  <c r="AL486" i="1"/>
  <c r="BX486" i="1" s="1"/>
  <c r="AX486" i="1"/>
  <c r="BY486" i="1"/>
  <c r="BK486" i="1"/>
  <c r="BZ486" i="1" s="1"/>
  <c r="BM486" i="1"/>
  <c r="BR485" i="1" a="1"/>
  <c r="BR485" i="1" s="1"/>
  <c r="N485" i="1"/>
  <c r="BV485" i="1" s="1"/>
  <c r="Z485" i="1"/>
  <c r="BW485" i="1"/>
  <c r="AL485" i="1"/>
  <c r="BX485" i="1" s="1"/>
  <c r="AX485" i="1"/>
  <c r="BY485" i="1"/>
  <c r="BK485" i="1"/>
  <c r="BZ485" i="1" s="1"/>
  <c r="BM485" i="1"/>
  <c r="BR484" i="1" a="1"/>
  <c r="BR484" i="1" s="1"/>
  <c r="N484" i="1"/>
  <c r="BV484" i="1" s="1"/>
  <c r="Z484" i="1"/>
  <c r="AL484" i="1"/>
  <c r="BX484" i="1" s="1"/>
  <c r="AX484" i="1"/>
  <c r="BY484" i="1" s="1"/>
  <c r="BK484" i="1"/>
  <c r="BZ484" i="1" s="1"/>
  <c r="BM484" i="1"/>
  <c r="BR483" i="1" a="1"/>
  <c r="BR483" i="1" s="1"/>
  <c r="N483" i="1"/>
  <c r="BV483" i="1" s="1"/>
  <c r="Z483" i="1"/>
  <c r="BW483" i="1" s="1"/>
  <c r="AL483" i="1"/>
  <c r="BX483" i="1" s="1"/>
  <c r="AX483" i="1"/>
  <c r="BY483" i="1" s="1"/>
  <c r="BK483" i="1"/>
  <c r="BZ483" i="1" s="1"/>
  <c r="BM483" i="1"/>
  <c r="BR482" i="1" a="1"/>
  <c r="BR482" i="1" s="1"/>
  <c r="N482" i="1"/>
  <c r="BV482" i="1" s="1"/>
  <c r="Z482" i="1"/>
  <c r="BW482" i="1" s="1"/>
  <c r="AL482" i="1"/>
  <c r="BX482" i="1" s="1"/>
  <c r="AX482" i="1"/>
  <c r="BY482" i="1" s="1"/>
  <c r="BK482" i="1"/>
  <c r="BZ482" i="1" s="1"/>
  <c r="BM482" i="1"/>
  <c r="BR481" i="1" a="1"/>
  <c r="BR481" i="1" s="1"/>
  <c r="N481" i="1"/>
  <c r="Z481" i="1"/>
  <c r="BW481" i="1" s="1"/>
  <c r="AL481" i="1"/>
  <c r="BX481" i="1"/>
  <c r="AX481" i="1"/>
  <c r="BY481" i="1" s="1"/>
  <c r="BK481" i="1"/>
  <c r="BZ481" i="1" s="1"/>
  <c r="BM481" i="1"/>
  <c r="BR480" i="1" a="1"/>
  <c r="BR480" i="1" s="1"/>
  <c r="N480" i="1"/>
  <c r="BV480" i="1" s="1"/>
  <c r="Z480" i="1"/>
  <c r="BW480" i="1" s="1"/>
  <c r="AL480" i="1"/>
  <c r="AX480" i="1"/>
  <c r="BY480" i="1" s="1"/>
  <c r="BK480" i="1"/>
  <c r="BZ480" i="1"/>
  <c r="BM480" i="1"/>
  <c r="BR479" i="1" a="1"/>
  <c r="BR479" i="1" s="1"/>
  <c r="N479" i="1"/>
  <c r="BV479" i="1"/>
  <c r="Z479" i="1"/>
  <c r="BW479" i="1" s="1"/>
  <c r="AL479" i="1"/>
  <c r="BX479" i="1" s="1"/>
  <c r="AX479" i="1"/>
  <c r="BY479" i="1" s="1"/>
  <c r="BK479" i="1"/>
  <c r="BZ479" i="1" s="1"/>
  <c r="BM479" i="1"/>
  <c r="BR478" i="1" a="1"/>
  <c r="BR478" i="1" s="1"/>
  <c r="N478" i="1"/>
  <c r="BV478" i="1" s="1"/>
  <c r="Z478" i="1"/>
  <c r="BW478" i="1" s="1"/>
  <c r="AL478" i="1"/>
  <c r="BX478" i="1" s="1"/>
  <c r="AX478" i="1"/>
  <c r="BY478" i="1" s="1"/>
  <c r="BK478" i="1"/>
  <c r="BZ478" i="1" s="1"/>
  <c r="BM478" i="1"/>
  <c r="BR477" i="1" a="1"/>
  <c r="BR477" i="1" s="1"/>
  <c r="N477" i="1"/>
  <c r="BV477" i="1"/>
  <c r="Z477" i="1"/>
  <c r="BW477" i="1" s="1"/>
  <c r="AL477" i="1"/>
  <c r="BX477" i="1"/>
  <c r="AX477" i="1"/>
  <c r="BY477" i="1" s="1"/>
  <c r="BK477" i="1"/>
  <c r="BZ477" i="1"/>
  <c r="BM477" i="1"/>
  <c r="BR476" i="1" a="1"/>
  <c r="BR476" i="1" s="1"/>
  <c r="N476" i="1"/>
  <c r="Z476" i="1"/>
  <c r="BW476" i="1" s="1"/>
  <c r="AL476" i="1"/>
  <c r="BX476" i="1" s="1"/>
  <c r="AX476" i="1"/>
  <c r="BY476" i="1" s="1"/>
  <c r="BK476" i="1"/>
  <c r="BZ476" i="1" s="1"/>
  <c r="BM476" i="1"/>
  <c r="BR475" i="1" a="1"/>
  <c r="BR475" i="1" s="1"/>
  <c r="N475" i="1"/>
  <c r="BV475" i="1" s="1"/>
  <c r="Z475" i="1"/>
  <c r="BW475" i="1" s="1"/>
  <c r="AL475" i="1"/>
  <c r="BX475" i="1" s="1"/>
  <c r="AX475" i="1"/>
  <c r="BY475" i="1" s="1"/>
  <c r="BK475" i="1"/>
  <c r="BZ475" i="1" s="1"/>
  <c r="BM475" i="1"/>
  <c r="BR474" i="1" a="1"/>
  <c r="BR474" i="1" s="1"/>
  <c r="N474" i="1"/>
  <c r="BV474" i="1" s="1"/>
  <c r="Z474" i="1"/>
  <c r="BW474" i="1" s="1"/>
  <c r="AL474" i="1"/>
  <c r="BX474" i="1" s="1"/>
  <c r="AX474" i="1"/>
  <c r="BY474" i="1" s="1"/>
  <c r="BK474" i="1"/>
  <c r="BZ474" i="1" s="1"/>
  <c r="BM474" i="1"/>
  <c r="BR472" i="1" a="1"/>
  <c r="BR472" i="1" s="1"/>
  <c r="N472" i="1"/>
  <c r="BV472" i="1" s="1"/>
  <c r="Z472" i="1"/>
  <c r="AL472" i="1"/>
  <c r="BX472" i="1" s="1"/>
  <c r="AX472" i="1"/>
  <c r="BY472" i="1" s="1"/>
  <c r="BK472" i="1"/>
  <c r="BZ472" i="1" s="1"/>
  <c r="BM472" i="1"/>
  <c r="BR471" i="1" a="1"/>
  <c r="BR471" i="1" s="1"/>
  <c r="N471" i="1"/>
  <c r="BV471" i="1" s="1"/>
  <c r="Z471" i="1"/>
  <c r="BW471" i="1" s="1"/>
  <c r="AL471" i="1"/>
  <c r="BX471" i="1" s="1"/>
  <c r="AX471" i="1"/>
  <c r="BY471" i="1" s="1"/>
  <c r="BK471" i="1"/>
  <c r="BZ471" i="1" s="1"/>
  <c r="BM471" i="1"/>
  <c r="BR470" i="1" a="1"/>
  <c r="BR470" i="1" s="1"/>
  <c r="N470" i="1"/>
  <c r="Z470" i="1"/>
  <c r="BW470" i="1" s="1"/>
  <c r="AL470" i="1"/>
  <c r="BX470" i="1"/>
  <c r="AX470" i="1"/>
  <c r="BY470" i="1" s="1"/>
  <c r="BK470" i="1"/>
  <c r="BZ470" i="1"/>
  <c r="BM470" i="1"/>
  <c r="BR469" i="1" a="1"/>
  <c r="BR469" i="1" s="1"/>
  <c r="N469" i="1"/>
  <c r="BV469" i="1"/>
  <c r="Z469" i="1"/>
  <c r="BW469" i="1" s="1"/>
  <c r="AL469" i="1"/>
  <c r="AX469" i="1"/>
  <c r="BY469" i="1" s="1"/>
  <c r="BK469" i="1"/>
  <c r="BZ469" i="1" s="1"/>
  <c r="BM469" i="1"/>
  <c r="BR468" i="1" a="1"/>
  <c r="BR468" i="1" s="1"/>
  <c r="N468" i="1"/>
  <c r="BV468" i="1" s="1"/>
  <c r="Z468" i="1"/>
  <c r="BW468" i="1" s="1"/>
  <c r="AL468" i="1"/>
  <c r="BX468" i="1" s="1"/>
  <c r="AX468" i="1"/>
  <c r="BY468" i="1" s="1"/>
  <c r="BK468" i="1"/>
  <c r="BZ468" i="1" s="1"/>
  <c r="BM468" i="1"/>
  <c r="BR467" i="1" a="1"/>
  <c r="BR467" i="1" s="1"/>
  <c r="N467" i="1"/>
  <c r="BV467" i="1"/>
  <c r="Z467" i="1"/>
  <c r="BW467" i="1" s="1"/>
  <c r="AL467" i="1"/>
  <c r="BX467" i="1"/>
  <c r="AX467" i="1"/>
  <c r="BY467" i="1" s="1"/>
  <c r="BK467" i="1"/>
  <c r="BZ467" i="1"/>
  <c r="BM467" i="1"/>
  <c r="BR466" i="1" a="1"/>
  <c r="BR466" i="1" s="1"/>
  <c r="AL466" i="1"/>
  <c r="BX466" i="1" s="1"/>
  <c r="AX466" i="1"/>
  <c r="BY466" i="1" s="1"/>
  <c r="BK466" i="1"/>
  <c r="BZ466" i="1" s="1"/>
  <c r="BM466" i="1"/>
  <c r="BR465" i="1" a="1"/>
  <c r="BR465" i="1" s="1"/>
  <c r="AL465" i="1"/>
  <c r="BX465" i="1" s="1"/>
  <c r="AX465" i="1"/>
  <c r="BY465" i="1" s="1"/>
  <c r="BK465" i="1"/>
  <c r="BZ465" i="1" s="1"/>
  <c r="BM465" i="1"/>
  <c r="BR464" i="1" a="1"/>
  <c r="BR464" i="1" s="1"/>
  <c r="N464" i="1"/>
  <c r="Z464" i="1"/>
  <c r="BW464" i="1" s="1"/>
  <c r="AL464" i="1"/>
  <c r="BX464" i="1"/>
  <c r="AX464" i="1"/>
  <c r="BY464" i="1" s="1"/>
  <c r="BK464" i="1"/>
  <c r="BZ464" i="1"/>
  <c r="BM464" i="1"/>
  <c r="BR462" i="1" a="1"/>
  <c r="BR462" i="1" s="1"/>
  <c r="N462" i="1"/>
  <c r="Z462" i="1"/>
  <c r="BW462" i="1" s="1"/>
  <c r="AL462" i="1"/>
  <c r="BX462" i="1" s="1"/>
  <c r="AX462" i="1"/>
  <c r="BY462" i="1" s="1"/>
  <c r="BK462" i="1"/>
  <c r="BZ462" i="1" s="1"/>
  <c r="BM462" i="1"/>
  <c r="BR461" i="1" a="1"/>
  <c r="BR461" i="1" s="1"/>
  <c r="N461" i="1"/>
  <c r="BV461" i="1" s="1"/>
  <c r="Z461" i="1"/>
  <c r="BW461" i="1" s="1"/>
  <c r="AL461" i="1"/>
  <c r="BX461" i="1" s="1"/>
  <c r="AX461" i="1"/>
  <c r="BK461" i="1"/>
  <c r="BZ461" i="1"/>
  <c r="BM461" i="1"/>
  <c r="BR460" i="1" a="1"/>
  <c r="BR460" i="1" s="1"/>
  <c r="N460" i="1"/>
  <c r="BV460" i="1"/>
  <c r="Z460" i="1"/>
  <c r="BW460" i="1" s="1"/>
  <c r="AL460" i="1"/>
  <c r="BX460" i="1"/>
  <c r="AX460" i="1"/>
  <c r="BY460" i="1" s="1"/>
  <c r="BK460" i="1"/>
  <c r="BZ460" i="1" s="1"/>
  <c r="BM460" i="1"/>
  <c r="BR459" i="1" a="1"/>
  <c r="BR459" i="1" s="1"/>
  <c r="N459" i="1"/>
  <c r="BV459" i="1" s="1"/>
  <c r="AL459" i="1"/>
  <c r="BX459" i="1" s="1"/>
  <c r="AX459" i="1"/>
  <c r="BY459" i="1" s="1"/>
  <c r="BK459" i="1"/>
  <c r="BZ459" i="1" s="1"/>
  <c r="BM459" i="1"/>
  <c r="BR458" i="1" a="1"/>
  <c r="BR458" i="1" s="1"/>
  <c r="N458" i="1"/>
  <c r="BV458" i="1"/>
  <c r="Z458" i="1"/>
  <c r="AL458" i="1"/>
  <c r="BX458" i="1" s="1"/>
  <c r="AX458" i="1"/>
  <c r="BY458" i="1"/>
  <c r="BK458" i="1"/>
  <c r="BZ458" i="1" s="1"/>
  <c r="BM458" i="1"/>
  <c r="BR457" i="1" a="1"/>
  <c r="BR457" i="1" s="1"/>
  <c r="N457" i="1"/>
  <c r="BV457" i="1" s="1"/>
  <c r="Z457" i="1"/>
  <c r="BW457" i="1"/>
  <c r="AL457" i="1"/>
  <c r="BX457" i="1" s="1"/>
  <c r="AX457" i="1"/>
  <c r="BY457" i="1"/>
  <c r="BK457" i="1"/>
  <c r="BZ457" i="1" s="1"/>
  <c r="BM457" i="1"/>
  <c r="BR456" i="1" a="1"/>
  <c r="BR456" i="1" s="1"/>
  <c r="N456" i="1"/>
  <c r="Z456" i="1"/>
  <c r="BW456" i="1" s="1"/>
  <c r="AL456" i="1"/>
  <c r="BX456" i="1" s="1"/>
  <c r="AX456" i="1"/>
  <c r="BY456" i="1" s="1"/>
  <c r="BK456" i="1"/>
  <c r="BZ456" i="1" s="1"/>
  <c r="BM456" i="1"/>
  <c r="BR455" i="1" a="1"/>
  <c r="BR455" i="1" s="1"/>
  <c r="N455" i="1"/>
  <c r="BV455" i="1" s="1"/>
  <c r="Z455" i="1"/>
  <c r="BW455" i="1"/>
  <c r="AL455" i="1"/>
  <c r="BX455" i="1" s="1"/>
  <c r="AX455" i="1"/>
  <c r="BY455" i="1"/>
  <c r="BK455" i="1"/>
  <c r="BZ455" i="1" s="1"/>
  <c r="BM455" i="1"/>
  <c r="BR454" i="1" a="1"/>
  <c r="BR454" i="1" s="1"/>
  <c r="N454" i="1"/>
  <c r="BV454" i="1" s="1"/>
  <c r="Z454" i="1"/>
  <c r="BW454" i="1"/>
  <c r="AL454" i="1"/>
  <c r="BX454" i="1" s="1"/>
  <c r="AX454" i="1"/>
  <c r="BY454" i="1" s="1"/>
  <c r="BK454" i="1"/>
  <c r="BZ454" i="1" s="1"/>
  <c r="BM454" i="1"/>
  <c r="BR453" i="1" a="1"/>
  <c r="BR453" i="1" s="1"/>
  <c r="N453" i="1"/>
  <c r="BV453" i="1" s="1"/>
  <c r="Z453" i="1"/>
  <c r="BW453" i="1" s="1"/>
  <c r="AL453" i="1"/>
  <c r="AX453" i="1"/>
  <c r="BY453" i="1" s="1"/>
  <c r="BK453" i="1"/>
  <c r="BZ453" i="1"/>
  <c r="BM453" i="1"/>
  <c r="BR452" i="1" a="1"/>
  <c r="BR452" i="1" s="1"/>
  <c r="N452" i="1"/>
  <c r="BV452" i="1"/>
  <c r="Z452" i="1"/>
  <c r="BW452" i="1" s="1"/>
  <c r="AL452" i="1"/>
  <c r="BX452" i="1"/>
  <c r="AX452" i="1"/>
  <c r="BY452" i="1" s="1"/>
  <c r="BK452" i="1"/>
  <c r="BZ452" i="1" s="1"/>
  <c r="BM452" i="1"/>
  <c r="BR451" i="1" a="1"/>
  <c r="BR451" i="1" s="1"/>
  <c r="N451" i="1"/>
  <c r="BV451" i="1" s="1"/>
  <c r="Z451" i="1"/>
  <c r="AL451" i="1"/>
  <c r="BX451" i="1" s="1"/>
  <c r="AX451" i="1"/>
  <c r="BY451" i="1" s="1"/>
  <c r="BK451" i="1"/>
  <c r="BZ451" i="1" s="1"/>
  <c r="BM451" i="1"/>
  <c r="BR450" i="1" a="1"/>
  <c r="BR450" i="1" s="1"/>
  <c r="N450" i="1"/>
  <c r="BV450" i="1" s="1"/>
  <c r="Z450" i="1"/>
  <c r="BW450" i="1" s="1"/>
  <c r="AL450" i="1"/>
  <c r="BX450" i="1" s="1"/>
  <c r="AX450" i="1"/>
  <c r="BY450" i="1" s="1"/>
  <c r="BK450" i="1"/>
  <c r="BZ450" i="1" s="1"/>
  <c r="BM450" i="1"/>
  <c r="BR449" i="1" a="1"/>
  <c r="BR449" i="1" s="1"/>
  <c r="N449" i="1"/>
  <c r="BV449" i="1" s="1"/>
  <c r="Z449" i="1"/>
  <c r="BW449" i="1" s="1"/>
  <c r="AL449" i="1"/>
  <c r="BX449" i="1" s="1"/>
  <c r="AX449" i="1"/>
  <c r="BY449" i="1" s="1"/>
  <c r="BK449" i="1"/>
  <c r="BZ449" i="1" s="1"/>
  <c r="BM449" i="1"/>
  <c r="BR448" i="1" a="1"/>
  <c r="BR448" i="1" s="1"/>
  <c r="N448" i="1"/>
  <c r="Z448" i="1"/>
  <c r="BW448" i="1" s="1"/>
  <c r="AL448" i="1"/>
  <c r="BX448" i="1" s="1"/>
  <c r="AX448" i="1"/>
  <c r="BY448" i="1" s="1"/>
  <c r="BK448" i="1"/>
  <c r="BZ448" i="1" s="1"/>
  <c r="BM448" i="1"/>
  <c r="BR447" i="1" a="1"/>
  <c r="BR447" i="1" s="1"/>
  <c r="N447" i="1"/>
  <c r="BV447" i="1" s="1"/>
  <c r="Z447" i="1"/>
  <c r="BW447" i="1" s="1"/>
  <c r="AL447" i="1"/>
  <c r="BX447" i="1" s="1"/>
  <c r="AX447" i="1"/>
  <c r="BY447" i="1" s="1"/>
  <c r="BK447" i="1"/>
  <c r="BZ447" i="1" s="1"/>
  <c r="BM447" i="1"/>
  <c r="BR446" i="1" a="1"/>
  <c r="BR446" i="1" s="1"/>
  <c r="N446" i="1"/>
  <c r="BV446" i="1" s="1"/>
  <c r="AL446" i="1"/>
  <c r="BX446" i="1" s="1"/>
  <c r="AX446" i="1"/>
  <c r="BY446" i="1" s="1"/>
  <c r="BK446" i="1"/>
  <c r="BZ446" i="1" s="1"/>
  <c r="BM446" i="1"/>
  <c r="BR445" i="1" a="1"/>
  <c r="BR445" i="1" s="1"/>
  <c r="N445" i="1"/>
  <c r="BV445" i="1"/>
  <c r="Z445" i="1"/>
  <c r="BW445" i="1" s="1"/>
  <c r="AL445" i="1"/>
  <c r="BX445" i="1"/>
  <c r="AX445" i="1"/>
  <c r="BY445" i="1" s="1"/>
  <c r="BK445" i="1"/>
  <c r="BZ445" i="1"/>
  <c r="BM445" i="1"/>
  <c r="BR444" i="1" a="1"/>
  <c r="BR444" i="1" s="1"/>
  <c r="Z444" i="1"/>
  <c r="BW444" i="1"/>
  <c r="N444" i="1"/>
  <c r="BV444" i="1" s="1"/>
  <c r="AL444" i="1"/>
  <c r="BX444" i="1"/>
  <c r="AX444" i="1"/>
  <c r="BY444" i="1" s="1"/>
  <c r="BK444" i="1"/>
  <c r="BZ444" i="1"/>
  <c r="BM444" i="1"/>
  <c r="BR443" i="1" a="1"/>
  <c r="BR443" i="1" s="1"/>
  <c r="AL443" i="1"/>
  <c r="BX443" i="1" s="1"/>
  <c r="AX443" i="1"/>
  <c r="BY443" i="1" s="1"/>
  <c r="BK443" i="1"/>
  <c r="BZ443" i="1" s="1"/>
  <c r="BM443" i="1"/>
  <c r="BR442" i="1" a="1"/>
  <c r="BR442" i="1" s="1"/>
  <c r="Z442" i="1"/>
  <c r="BW442" i="1" s="1"/>
  <c r="AL442" i="1"/>
  <c r="BX442" i="1" s="1"/>
  <c r="AX442" i="1"/>
  <c r="BY442" i="1" s="1"/>
  <c r="BK442" i="1"/>
  <c r="BZ442" i="1" s="1"/>
  <c r="BM442" i="1"/>
  <c r="BR441" i="1" a="1"/>
  <c r="BR441" i="1" s="1"/>
  <c r="Z441" i="1"/>
  <c r="BW441" i="1" s="1"/>
  <c r="N441" i="1"/>
  <c r="BV441" i="1" s="1"/>
  <c r="AL441" i="1"/>
  <c r="BX441" i="1" s="1"/>
  <c r="AX441" i="1"/>
  <c r="BY441" i="1" s="1"/>
  <c r="BK441" i="1"/>
  <c r="BZ441" i="1" s="1"/>
  <c r="BM441" i="1"/>
  <c r="BR440" i="1" a="1"/>
  <c r="BR440" i="1" s="1"/>
  <c r="N440" i="1"/>
  <c r="BV440" i="1" s="1"/>
  <c r="Z440" i="1"/>
  <c r="BW440" i="1"/>
  <c r="AL440" i="1"/>
  <c r="BX440" i="1" s="1"/>
  <c r="AX440" i="1"/>
  <c r="BY440" i="1" s="1"/>
  <c r="BK440" i="1"/>
  <c r="BZ440" i="1"/>
  <c r="BM440" i="1"/>
  <c r="BR439" i="1" a="1"/>
  <c r="BR439" i="1" s="1"/>
  <c r="N439" i="1"/>
  <c r="BV439" i="1"/>
  <c r="Z439" i="1"/>
  <c r="BW439" i="1" s="1"/>
  <c r="AL439" i="1"/>
  <c r="AX439" i="1"/>
  <c r="BY439" i="1" s="1"/>
  <c r="BK439" i="1"/>
  <c r="BZ439" i="1" s="1"/>
  <c r="BM439" i="1"/>
  <c r="BR438" i="1" a="1"/>
  <c r="BR438" i="1" s="1"/>
  <c r="N438" i="1"/>
  <c r="BV438" i="1" s="1"/>
  <c r="Z438" i="1"/>
  <c r="BW438" i="1" s="1"/>
  <c r="AL438" i="1"/>
  <c r="BX438" i="1" s="1"/>
  <c r="AX438" i="1"/>
  <c r="BK438" i="1"/>
  <c r="BZ438" i="1"/>
  <c r="BM438" i="1"/>
  <c r="BR437" i="1" a="1"/>
  <c r="BR437" i="1" s="1"/>
  <c r="N437" i="1"/>
  <c r="BV437" i="1"/>
  <c r="Z437" i="1"/>
  <c r="BW437" i="1" s="1"/>
  <c r="AL437" i="1"/>
  <c r="BX437" i="1"/>
  <c r="AX437" i="1"/>
  <c r="BY437" i="1" s="1"/>
  <c r="BK437" i="1"/>
  <c r="BZ437" i="1"/>
  <c r="BM437" i="1"/>
  <c r="BR436" i="1" a="1"/>
  <c r="BR436" i="1" s="1"/>
  <c r="Z436" i="1"/>
  <c r="BW436" i="1"/>
  <c r="N436" i="1"/>
  <c r="BV436" i="1" s="1"/>
  <c r="AL436" i="1"/>
  <c r="AX436" i="1"/>
  <c r="BY436" i="1" s="1"/>
  <c r="BK436" i="1"/>
  <c r="BZ436" i="1" s="1"/>
  <c r="BM436" i="1"/>
  <c r="BR435" i="1" a="1"/>
  <c r="BR435" i="1" s="1"/>
  <c r="Z435" i="1"/>
  <c r="BW435" i="1" s="1"/>
  <c r="N435" i="1"/>
  <c r="BV435" i="1" s="1"/>
  <c r="AL435" i="1"/>
  <c r="BX435" i="1" s="1"/>
  <c r="AX435" i="1"/>
  <c r="BY435" i="1" s="1"/>
  <c r="BK435" i="1"/>
  <c r="BZ435" i="1" s="1"/>
  <c r="BM435" i="1"/>
  <c r="BR434" i="1" a="1"/>
  <c r="BR434" i="1" s="1"/>
  <c r="Z434" i="1"/>
  <c r="BW434" i="1" s="1"/>
  <c r="N434" i="1"/>
  <c r="BV434" i="1"/>
  <c r="AL434" i="1"/>
  <c r="BX434" i="1" s="1"/>
  <c r="AX434" i="1"/>
  <c r="BY434" i="1" s="1"/>
  <c r="BK434" i="1"/>
  <c r="BZ434" i="1" s="1"/>
  <c r="BM434" i="1"/>
  <c r="BR433" i="1" a="1"/>
  <c r="BR433" i="1" s="1"/>
  <c r="N433" i="1"/>
  <c r="BV433" i="1" s="1"/>
  <c r="Z433" i="1"/>
  <c r="BW433" i="1" s="1"/>
  <c r="AL433" i="1"/>
  <c r="BX433" i="1" s="1"/>
  <c r="AX433" i="1"/>
  <c r="BY433" i="1" s="1"/>
  <c r="BK433" i="1"/>
  <c r="BZ433" i="1" s="1"/>
  <c r="BM433" i="1"/>
  <c r="BR432" i="1" a="1"/>
  <c r="BR432" i="1" s="1"/>
  <c r="N432" i="1"/>
  <c r="Z432" i="1"/>
  <c r="BW432" i="1"/>
  <c r="AL432" i="1"/>
  <c r="BX432" i="1" s="1"/>
  <c r="AX432" i="1"/>
  <c r="BY432" i="1"/>
  <c r="BK432" i="1"/>
  <c r="BZ432" i="1" s="1"/>
  <c r="BM432" i="1"/>
  <c r="BR431" i="1" a="1"/>
  <c r="BR431" i="1" s="1"/>
  <c r="N431" i="1"/>
  <c r="BV431" i="1" s="1"/>
  <c r="Z431" i="1"/>
  <c r="BW431" i="1"/>
  <c r="AL431" i="1"/>
  <c r="BX431" i="1" s="1"/>
  <c r="AX431" i="1"/>
  <c r="BY431" i="1"/>
  <c r="BK431" i="1"/>
  <c r="BZ431" i="1" s="1"/>
  <c r="BM431" i="1"/>
  <c r="BR430" i="1" a="1"/>
  <c r="BR430" i="1" s="1"/>
  <c r="Z430" i="1"/>
  <c r="BW430" i="1" s="1"/>
  <c r="N430" i="1"/>
  <c r="BV430" i="1"/>
  <c r="AL430" i="1"/>
  <c r="BX430" i="1" s="1"/>
  <c r="AX430" i="1"/>
  <c r="BY430" i="1" s="1"/>
  <c r="BK430" i="1"/>
  <c r="BZ430" i="1" s="1"/>
  <c r="BM430" i="1"/>
  <c r="BR429" i="1" a="1"/>
  <c r="BR429" i="1" s="1"/>
  <c r="N429" i="1"/>
  <c r="BV429" i="1"/>
  <c r="Z429" i="1"/>
  <c r="BW429" i="1" s="1"/>
  <c r="AL429" i="1"/>
  <c r="BX429" i="1"/>
  <c r="AX429" i="1"/>
  <c r="BY429" i="1" s="1"/>
  <c r="BK429" i="1"/>
  <c r="BZ429" i="1" s="1"/>
  <c r="BM429" i="1"/>
  <c r="BR428" i="1" a="1"/>
  <c r="BR428" i="1" s="1"/>
  <c r="N428" i="1"/>
  <c r="BV428" i="1" s="1"/>
  <c r="Z428" i="1"/>
  <c r="BW428" i="1"/>
  <c r="AL428" i="1"/>
  <c r="BX428" i="1" s="1"/>
  <c r="AX428" i="1"/>
  <c r="BY428" i="1"/>
  <c r="BK428" i="1"/>
  <c r="BZ428" i="1" s="1"/>
  <c r="BM428" i="1"/>
  <c r="BR427" i="1" a="1"/>
  <c r="BR427" i="1" s="1"/>
  <c r="N427" i="1"/>
  <c r="BV427" i="1" s="1"/>
  <c r="Z427" i="1"/>
  <c r="BW427" i="1"/>
  <c r="AL427" i="1"/>
  <c r="BX427" i="1" s="1"/>
  <c r="AX427" i="1"/>
  <c r="BY427" i="1"/>
  <c r="BK427" i="1"/>
  <c r="BZ427" i="1" s="1"/>
  <c r="BM427" i="1"/>
  <c r="BR426" i="1" a="1"/>
  <c r="BR426" i="1" s="1"/>
  <c r="N426" i="1"/>
  <c r="BV426" i="1" s="1"/>
  <c r="Z426" i="1"/>
  <c r="BW426" i="1"/>
  <c r="AL426" i="1"/>
  <c r="BX426" i="1" s="1"/>
  <c r="AX426" i="1"/>
  <c r="BY426" i="1" s="1"/>
  <c r="BK426" i="1"/>
  <c r="BZ426" i="1"/>
  <c r="BM426" i="1"/>
  <c r="BR425" i="1" a="1"/>
  <c r="BR425" i="1" s="1"/>
  <c r="N425" i="1"/>
  <c r="BV425" i="1"/>
  <c r="Z425" i="1"/>
  <c r="AL425" i="1"/>
  <c r="BX425" i="1" s="1"/>
  <c r="AX425" i="1"/>
  <c r="BY425" i="1" s="1"/>
  <c r="BK425" i="1"/>
  <c r="BZ425" i="1" s="1"/>
  <c r="BM425" i="1"/>
  <c r="BR424" i="1" a="1"/>
  <c r="BR424" i="1" s="1"/>
  <c r="N424" i="1"/>
  <c r="BV424" i="1" s="1"/>
  <c r="Z424" i="1"/>
  <c r="BW424" i="1" s="1"/>
  <c r="AL424" i="1"/>
  <c r="BX424" i="1" s="1"/>
  <c r="AX424" i="1"/>
  <c r="BY424" i="1" s="1"/>
  <c r="BK424" i="1"/>
  <c r="BZ424" i="1" s="1"/>
  <c r="BM424" i="1"/>
  <c r="BR423" i="1" a="1"/>
  <c r="BR423" i="1" s="1"/>
  <c r="N423" i="1"/>
  <c r="BV423" i="1" s="1"/>
  <c r="Z423" i="1"/>
  <c r="BW423" i="1" s="1"/>
  <c r="AL423" i="1"/>
  <c r="AX423" i="1"/>
  <c r="BY423" i="1" s="1"/>
  <c r="BK423" i="1"/>
  <c r="BZ423" i="1"/>
  <c r="BM423" i="1"/>
  <c r="BR422" i="1" a="1"/>
  <c r="BR422" i="1" s="1"/>
  <c r="N422" i="1"/>
  <c r="BV422" i="1"/>
  <c r="AL422" i="1"/>
  <c r="BX422" i="1" s="1"/>
  <c r="AX422" i="1"/>
  <c r="BY422" i="1"/>
  <c r="BK422" i="1"/>
  <c r="BZ422" i="1" s="1"/>
  <c r="BM422" i="1"/>
  <c r="BR421" i="1" a="1"/>
  <c r="BR421" i="1" s="1"/>
  <c r="N421" i="1"/>
  <c r="BV421" i="1" s="1"/>
  <c r="Z421" i="1"/>
  <c r="BW421" i="1"/>
  <c r="AL421" i="1"/>
  <c r="BX421" i="1" s="1"/>
  <c r="AX421" i="1"/>
  <c r="BY421" i="1" s="1"/>
  <c r="BK421" i="1"/>
  <c r="BZ421" i="1" s="1"/>
  <c r="BM421" i="1"/>
  <c r="BR420" i="1" a="1"/>
  <c r="BR420" i="1" s="1"/>
  <c r="Z420" i="1"/>
  <c r="BW420" i="1" s="1"/>
  <c r="N420" i="1"/>
  <c r="BV420" i="1" s="1"/>
  <c r="AL420" i="1"/>
  <c r="BX420" i="1" s="1"/>
  <c r="AX420" i="1"/>
  <c r="BY420" i="1" s="1"/>
  <c r="BK420" i="1"/>
  <c r="BZ420" i="1" s="1"/>
  <c r="BM420" i="1"/>
  <c r="BR419" i="1" a="1"/>
  <c r="BR419" i="1" s="1"/>
  <c r="N419" i="1"/>
  <c r="BV419" i="1" s="1"/>
  <c r="Z419" i="1"/>
  <c r="BW419" i="1" s="1"/>
  <c r="AL419" i="1"/>
  <c r="BX419" i="1" s="1"/>
  <c r="AX419" i="1"/>
  <c r="BY419" i="1" s="1"/>
  <c r="BK419" i="1"/>
  <c r="BZ419" i="1" s="1"/>
  <c r="BM419" i="1"/>
  <c r="BR418" i="1" a="1"/>
  <c r="BR418" i="1" s="1"/>
  <c r="N418" i="1"/>
  <c r="BV418" i="1" s="1"/>
  <c r="Z418" i="1"/>
  <c r="BW418" i="1" s="1"/>
  <c r="AL418" i="1"/>
  <c r="BX418" i="1" s="1"/>
  <c r="AX418" i="1"/>
  <c r="BY418" i="1" s="1"/>
  <c r="BK418" i="1"/>
  <c r="BZ418" i="1" s="1"/>
  <c r="BM418" i="1"/>
  <c r="BR417" i="1" a="1"/>
  <c r="BR417" i="1" s="1"/>
  <c r="N417" i="1"/>
  <c r="BV417" i="1" s="1"/>
  <c r="Z417" i="1"/>
  <c r="BW417" i="1" s="1"/>
  <c r="AL417" i="1"/>
  <c r="AX417" i="1"/>
  <c r="BY417" i="1" s="1"/>
  <c r="BK417" i="1"/>
  <c r="BZ417" i="1" s="1"/>
  <c r="BM417" i="1"/>
  <c r="BR416" i="1" a="1"/>
  <c r="BR416" i="1" s="1"/>
  <c r="N416" i="1"/>
  <c r="BV416" i="1" s="1"/>
  <c r="Z416" i="1"/>
  <c r="BW416" i="1" s="1"/>
  <c r="AL416" i="1"/>
  <c r="BX416" i="1" s="1"/>
  <c r="AX416" i="1"/>
  <c r="BY416" i="1" s="1"/>
  <c r="BK416" i="1"/>
  <c r="BZ416" i="1" s="1"/>
  <c r="BM416" i="1"/>
  <c r="BR415" i="1" a="1"/>
  <c r="BR415" i="1" s="1"/>
  <c r="N415" i="1"/>
  <c r="BV415" i="1" s="1"/>
  <c r="Z415" i="1"/>
  <c r="BW415" i="1"/>
  <c r="AL415" i="1"/>
  <c r="BX415" i="1" s="1"/>
  <c r="AX415" i="1"/>
  <c r="BY415" i="1"/>
  <c r="BK415" i="1"/>
  <c r="BZ415" i="1" s="1"/>
  <c r="BM415" i="1"/>
  <c r="BR414" i="1" a="1"/>
  <c r="BR414" i="1" s="1"/>
  <c r="N414" i="1"/>
  <c r="Z414" i="1"/>
  <c r="BW414" i="1" s="1"/>
  <c r="AL414" i="1"/>
  <c r="BX414" i="1" s="1"/>
  <c r="AX414" i="1"/>
  <c r="BY414" i="1" s="1"/>
  <c r="BK414" i="1"/>
  <c r="BZ414" i="1" s="1"/>
  <c r="BM414" i="1"/>
  <c r="BR413" i="1" a="1"/>
  <c r="BR413" i="1" s="1"/>
  <c r="Z413" i="1"/>
  <c r="BW413" i="1" s="1"/>
  <c r="N413" i="1"/>
  <c r="BV413" i="1" s="1"/>
  <c r="AX413" i="1"/>
  <c r="BY413" i="1" s="1"/>
  <c r="BK413" i="1"/>
  <c r="BZ413" i="1" s="1"/>
  <c r="BM413" i="1"/>
  <c r="BR412" i="1" a="1"/>
  <c r="BR412" i="1" s="1"/>
  <c r="N412" i="1"/>
  <c r="BV412" i="1" s="1"/>
  <c r="Z412" i="1"/>
  <c r="BW412" i="1" s="1"/>
  <c r="AL412" i="1"/>
  <c r="BX412" i="1" s="1"/>
  <c r="AX412" i="1"/>
  <c r="BY412" i="1" s="1"/>
  <c r="BK412" i="1"/>
  <c r="BZ412" i="1" s="1"/>
  <c r="BM412" i="1"/>
  <c r="BR411" i="1" a="1"/>
  <c r="BR411" i="1" s="1"/>
  <c r="N411" i="1"/>
  <c r="BV411" i="1" s="1"/>
  <c r="Z411" i="1"/>
  <c r="BW411" i="1"/>
  <c r="AL411" i="1"/>
  <c r="BX411" i="1" s="1"/>
  <c r="AX411" i="1"/>
  <c r="BY411" i="1"/>
  <c r="BK411" i="1"/>
  <c r="BZ411" i="1" s="1"/>
  <c r="BM411" i="1"/>
  <c r="BR410" i="1" a="1"/>
  <c r="BR410" i="1" s="1"/>
  <c r="Z410" i="1"/>
  <c r="BW410" i="1" s="1"/>
  <c r="AL410" i="1"/>
  <c r="BX410" i="1" s="1"/>
  <c r="AX410" i="1"/>
  <c r="BY410" i="1" s="1"/>
  <c r="BK410" i="1"/>
  <c r="BZ410" i="1" s="1"/>
  <c r="BM410" i="1"/>
  <c r="BR409" i="1" a="1"/>
  <c r="BR409" i="1" s="1"/>
  <c r="N409" i="1"/>
  <c r="BV409" i="1" s="1"/>
  <c r="Z409" i="1"/>
  <c r="BW409" i="1" s="1"/>
  <c r="AL409" i="1"/>
  <c r="BX409" i="1" s="1"/>
  <c r="AX409" i="1"/>
  <c r="BY409" i="1" s="1"/>
  <c r="BK409" i="1"/>
  <c r="BZ409" i="1" s="1"/>
  <c r="BM409" i="1"/>
  <c r="BR408" i="1" a="1"/>
  <c r="BR408" i="1" s="1"/>
  <c r="N408" i="1"/>
  <c r="BV408" i="1" s="1"/>
  <c r="Z408" i="1"/>
  <c r="BW408" i="1" s="1"/>
  <c r="AL408" i="1"/>
  <c r="BX408" i="1" s="1"/>
  <c r="AX408" i="1"/>
  <c r="BY408" i="1" s="1"/>
  <c r="BK408" i="1"/>
  <c r="BZ408" i="1" s="1"/>
  <c r="BM408" i="1"/>
  <c r="BR407" i="1" a="1"/>
  <c r="BR407" i="1" s="1"/>
  <c r="N407" i="1"/>
  <c r="BV407" i="1" s="1"/>
  <c r="Z407" i="1"/>
  <c r="BW407" i="1" s="1"/>
  <c r="AL407" i="1"/>
  <c r="BX407" i="1" s="1"/>
  <c r="AX407" i="1"/>
  <c r="BY407" i="1"/>
  <c r="BK407" i="1"/>
  <c r="BZ407" i="1" s="1"/>
  <c r="BM407" i="1"/>
  <c r="BR406" i="1" a="1"/>
  <c r="BR406" i="1" s="1"/>
  <c r="N406" i="1"/>
  <c r="BV406" i="1" s="1"/>
  <c r="Z406" i="1"/>
  <c r="BW406" i="1" s="1"/>
  <c r="AL406" i="1"/>
  <c r="BX406" i="1" s="1"/>
  <c r="AX406" i="1"/>
  <c r="BY406" i="1" s="1"/>
  <c r="BK406" i="1"/>
  <c r="BZ406" i="1" s="1"/>
  <c r="BM406" i="1"/>
  <c r="BR405" i="1" a="1"/>
  <c r="BR405" i="1" s="1"/>
  <c r="N405" i="1"/>
  <c r="BV405" i="1" s="1"/>
  <c r="Z405" i="1"/>
  <c r="BW405" i="1" s="1"/>
  <c r="AL405" i="1"/>
  <c r="BX405" i="1" s="1"/>
  <c r="AX405" i="1"/>
  <c r="BY405" i="1" s="1"/>
  <c r="BK405" i="1"/>
  <c r="BZ405" i="1" s="1"/>
  <c r="BM405" i="1"/>
  <c r="BR404" i="1" a="1"/>
  <c r="BR404" i="1" s="1"/>
  <c r="N404" i="1"/>
  <c r="BV404" i="1"/>
  <c r="Z404" i="1"/>
  <c r="AL404" i="1"/>
  <c r="BX404" i="1" s="1"/>
  <c r="AX404" i="1"/>
  <c r="BY404" i="1" s="1"/>
  <c r="BK404" i="1"/>
  <c r="BZ404" i="1" s="1"/>
  <c r="BM404" i="1"/>
  <c r="BS403" i="1"/>
  <c r="BR403" i="1" a="1"/>
  <c r="BR403" i="1" s="1"/>
  <c r="N403" i="1"/>
  <c r="BV403" i="1"/>
  <c r="Z403" i="1"/>
  <c r="AL403" i="1"/>
  <c r="BX403" i="1" s="1"/>
  <c r="AX403" i="1"/>
  <c r="BY403" i="1" s="1"/>
  <c r="BK403" i="1"/>
  <c r="BZ403" i="1" s="1"/>
  <c r="BM403" i="1"/>
  <c r="BR401" i="1" a="1"/>
  <c r="BR401" i="1" s="1"/>
  <c r="N401" i="1"/>
  <c r="BV401" i="1" s="1"/>
  <c r="Z401" i="1"/>
  <c r="BW401" i="1" s="1"/>
  <c r="AL401" i="1"/>
  <c r="BX401" i="1" s="1"/>
  <c r="AX401" i="1"/>
  <c r="BY401" i="1" s="1"/>
  <c r="BK401" i="1"/>
  <c r="BZ401" i="1" s="1"/>
  <c r="BM401" i="1"/>
  <c r="BR400" i="1" a="1"/>
  <c r="BR400" i="1" s="1"/>
  <c r="N400" i="1"/>
  <c r="BV400" i="1" s="1"/>
  <c r="Z400" i="1"/>
  <c r="BW400" i="1" s="1"/>
  <c r="AL400" i="1"/>
  <c r="AX400" i="1"/>
  <c r="BY400" i="1" s="1"/>
  <c r="BK400" i="1"/>
  <c r="BZ400" i="1"/>
  <c r="BM400" i="1"/>
  <c r="BR399" i="1" a="1"/>
  <c r="BR399" i="1" s="1"/>
  <c r="N399" i="1"/>
  <c r="BV399" i="1"/>
  <c r="Z399" i="1"/>
  <c r="BW399" i="1" s="1"/>
  <c r="AL399" i="1"/>
  <c r="BX399" i="1"/>
  <c r="AX399" i="1"/>
  <c r="BY399" i="1" s="1"/>
  <c r="BK399" i="1"/>
  <c r="BZ399" i="1"/>
  <c r="BM399" i="1"/>
  <c r="BR398" i="1" a="1"/>
  <c r="BR398" i="1" s="1"/>
  <c r="N398" i="1"/>
  <c r="BV398" i="1"/>
  <c r="Z398" i="1"/>
  <c r="BW398" i="1"/>
  <c r="AL398" i="1"/>
  <c r="BX398" i="1"/>
  <c r="AX398" i="1"/>
  <c r="BY398" i="1"/>
  <c r="BK398" i="1"/>
  <c r="BZ398" i="1"/>
  <c r="BM398" i="1"/>
  <c r="BR397" i="1" a="1"/>
  <c r="BR397" i="1" s="1"/>
  <c r="N397" i="1"/>
  <c r="Z397" i="1"/>
  <c r="BW397" i="1" s="1"/>
  <c r="AL397" i="1"/>
  <c r="BX397" i="1" s="1"/>
  <c r="AX397" i="1"/>
  <c r="BY397" i="1" s="1"/>
  <c r="BK397" i="1"/>
  <c r="BZ397" i="1" s="1"/>
  <c r="BM397" i="1"/>
  <c r="BR396" i="1" a="1"/>
  <c r="BR396" i="1" s="1"/>
  <c r="N396" i="1"/>
  <c r="BV396" i="1" s="1"/>
  <c r="Z396" i="1"/>
  <c r="AL396" i="1"/>
  <c r="BX396" i="1" s="1"/>
  <c r="AX396" i="1"/>
  <c r="BY396" i="1"/>
  <c r="BK396" i="1"/>
  <c r="BZ396" i="1" s="1"/>
  <c r="BM396" i="1"/>
  <c r="BR393" i="1" a="1"/>
  <c r="BR393" i="1" s="1"/>
  <c r="N393" i="1"/>
  <c r="BV393" i="1" s="1"/>
  <c r="Z393" i="1"/>
  <c r="BW393" i="1"/>
  <c r="AL393" i="1"/>
  <c r="BX393" i="1" s="1"/>
  <c r="AX393" i="1"/>
  <c r="BY393" i="1"/>
  <c r="BK393" i="1"/>
  <c r="BZ393" i="1" s="1"/>
  <c r="BM393" i="1"/>
  <c r="BR392" i="1" a="1"/>
  <c r="BR392" i="1" s="1"/>
  <c r="N392" i="1"/>
  <c r="BV392" i="1" s="1"/>
  <c r="Z392" i="1"/>
  <c r="AL392" i="1"/>
  <c r="BX392" i="1" s="1"/>
  <c r="AX392" i="1"/>
  <c r="BY392" i="1" s="1"/>
  <c r="BK392" i="1"/>
  <c r="BZ392" i="1" s="1"/>
  <c r="BM392" i="1"/>
  <c r="BR391" i="1" a="1"/>
  <c r="BR391" i="1" s="1"/>
  <c r="N391" i="1"/>
  <c r="BV391" i="1" s="1"/>
  <c r="Z391" i="1"/>
  <c r="AL391" i="1"/>
  <c r="BX391" i="1"/>
  <c r="AX391" i="1"/>
  <c r="BY391" i="1" s="1"/>
  <c r="BK391" i="1"/>
  <c r="BZ391" i="1"/>
  <c r="BM391" i="1"/>
  <c r="BR390" i="1" a="1"/>
  <c r="BR390" i="1" s="1"/>
  <c r="N390" i="1"/>
  <c r="BV390" i="1"/>
  <c r="Z390" i="1"/>
  <c r="AL390" i="1"/>
  <c r="BX390" i="1" s="1"/>
  <c r="AX390" i="1"/>
  <c r="BY390" i="1" s="1"/>
  <c r="BK390" i="1"/>
  <c r="BZ390" i="1" s="1"/>
  <c r="BM390" i="1"/>
  <c r="BR386" i="1" a="1"/>
  <c r="BR386" i="1" s="1"/>
  <c r="N386" i="1"/>
  <c r="BV386" i="1" s="1"/>
  <c r="Z386" i="1"/>
  <c r="BW386" i="1" s="1"/>
  <c r="AL386" i="1"/>
  <c r="BX386" i="1" s="1"/>
  <c r="AX386" i="1"/>
  <c r="BY386" i="1" s="1"/>
  <c r="BK386" i="1"/>
  <c r="BZ386" i="1" s="1"/>
  <c r="BM386" i="1"/>
  <c r="BR385" i="1" a="1"/>
  <c r="BR385" i="1" s="1"/>
  <c r="N385" i="1"/>
  <c r="BV385" i="1" s="1"/>
  <c r="Z385" i="1"/>
  <c r="BW385" i="1" s="1"/>
  <c r="AL385" i="1"/>
  <c r="AX385" i="1"/>
  <c r="BY385" i="1" s="1"/>
  <c r="BK385" i="1"/>
  <c r="BZ385" i="1"/>
  <c r="BM385" i="1"/>
  <c r="BR384" i="1" a="1"/>
  <c r="BR384" i="1" s="1"/>
  <c r="N384" i="1"/>
  <c r="BV384" i="1"/>
  <c r="Z384" i="1"/>
  <c r="BW384" i="1" s="1"/>
  <c r="AL384" i="1"/>
  <c r="AX384" i="1"/>
  <c r="BY384" i="1" s="1"/>
  <c r="BK384" i="1"/>
  <c r="BZ384" i="1" s="1"/>
  <c r="BM384" i="1"/>
  <c r="BR383" i="1" a="1"/>
  <c r="BR383" i="1" s="1"/>
  <c r="N383" i="1"/>
  <c r="BV383" i="1" s="1"/>
  <c r="Z383" i="1"/>
  <c r="BW383" i="1" s="1"/>
  <c r="AL383" i="1"/>
  <c r="BX383" i="1" s="1"/>
  <c r="AX383" i="1"/>
  <c r="BK383" i="1"/>
  <c r="BZ383" i="1" s="1"/>
  <c r="BM383" i="1"/>
  <c r="BR379" i="1" a="1"/>
  <c r="BR379" i="1" s="1"/>
  <c r="N379" i="1"/>
  <c r="BV379" i="1" s="1"/>
  <c r="Z379" i="1"/>
  <c r="BW379" i="1" s="1"/>
  <c r="AL379" i="1"/>
  <c r="BX379" i="1" s="1"/>
  <c r="AX379" i="1"/>
  <c r="BY379" i="1" s="1"/>
  <c r="BK379" i="1"/>
  <c r="BZ379" i="1" s="1"/>
  <c r="BM379" i="1"/>
  <c r="BR378" i="1" a="1"/>
  <c r="BR378" i="1" s="1"/>
  <c r="N378" i="1"/>
  <c r="Z378" i="1"/>
  <c r="BW378" i="1" s="1"/>
  <c r="AL378" i="1"/>
  <c r="BX378" i="1" s="1"/>
  <c r="AX378" i="1"/>
  <c r="BY378" i="1" s="1"/>
  <c r="BK378" i="1"/>
  <c r="BZ378" i="1" s="1"/>
  <c r="BM378" i="1"/>
  <c r="BR376" i="1" a="1"/>
  <c r="BR376" i="1" s="1"/>
  <c r="N376" i="1"/>
  <c r="BV376" i="1" s="1"/>
  <c r="Z376" i="1"/>
  <c r="BW376" i="1" s="1"/>
  <c r="AL376" i="1"/>
  <c r="BX376" i="1" s="1"/>
  <c r="AX376" i="1"/>
  <c r="BY376" i="1" s="1"/>
  <c r="BK376" i="1"/>
  <c r="BZ376" i="1" s="1"/>
  <c r="BM376" i="1"/>
  <c r="BR375" i="1" a="1"/>
  <c r="BR375" i="1" s="1"/>
  <c r="N375" i="1"/>
  <c r="BV375" i="1" s="1"/>
  <c r="Z375" i="1"/>
  <c r="BW375" i="1" s="1"/>
  <c r="AL375" i="1"/>
  <c r="BX375" i="1" s="1"/>
  <c r="AX375" i="1"/>
  <c r="BY375" i="1" s="1"/>
  <c r="BK375" i="1"/>
  <c r="BM375" i="1"/>
  <c r="BR374" i="1" a="1"/>
  <c r="BR374" i="1" s="1"/>
  <c r="N374" i="1"/>
  <c r="BV374" i="1" s="1"/>
  <c r="Z374" i="1"/>
  <c r="BW374" i="1"/>
  <c r="AL374" i="1"/>
  <c r="BX374" i="1" s="1"/>
  <c r="AX374" i="1"/>
  <c r="BY374" i="1"/>
  <c r="BK374" i="1"/>
  <c r="BZ374" i="1" s="1"/>
  <c r="BM374" i="1"/>
  <c r="BR373" i="1" a="1"/>
  <c r="BR373" i="1" s="1"/>
  <c r="N373" i="1"/>
  <c r="BV373" i="1" s="1"/>
  <c r="Z373" i="1"/>
  <c r="AL373" i="1"/>
  <c r="BX373" i="1" s="1"/>
  <c r="AX373" i="1"/>
  <c r="BY373" i="1" s="1"/>
  <c r="BK373" i="1"/>
  <c r="BZ373" i="1" s="1"/>
  <c r="BM373" i="1"/>
  <c r="BR372" i="1" a="1"/>
  <c r="BR372" i="1" s="1"/>
  <c r="N372" i="1"/>
  <c r="BV372" i="1" s="1"/>
  <c r="Z372" i="1"/>
  <c r="AL372" i="1"/>
  <c r="BX372" i="1"/>
  <c r="AX372" i="1"/>
  <c r="BY372" i="1" s="1"/>
  <c r="BK372" i="1"/>
  <c r="BZ372" i="1"/>
  <c r="BM372" i="1"/>
  <c r="BR371" i="1" a="1"/>
  <c r="BR371" i="1" s="1"/>
  <c r="N371" i="1"/>
  <c r="BV371" i="1"/>
  <c r="Z371" i="1"/>
  <c r="BW371" i="1"/>
  <c r="AL371" i="1"/>
  <c r="AX371" i="1"/>
  <c r="BY371" i="1" s="1"/>
  <c r="BK371" i="1"/>
  <c r="BZ371" i="1" s="1"/>
  <c r="BM371" i="1"/>
  <c r="BR370" i="1" a="1"/>
  <c r="BR370" i="1" s="1"/>
  <c r="N370" i="1"/>
  <c r="Z370" i="1"/>
  <c r="BW370" i="1"/>
  <c r="AL370" i="1"/>
  <c r="BX370" i="1"/>
  <c r="AX370" i="1"/>
  <c r="BY370" i="1"/>
  <c r="BK370" i="1"/>
  <c r="BZ370" i="1"/>
  <c r="BM370" i="1"/>
  <c r="BR369" i="1" a="1"/>
  <c r="BR369" i="1" s="1"/>
  <c r="N369" i="1"/>
  <c r="BV369" i="1"/>
  <c r="Z369" i="1"/>
  <c r="BW369" i="1"/>
  <c r="AL369" i="1"/>
  <c r="AX369" i="1"/>
  <c r="BY369" i="1" s="1"/>
  <c r="BK369" i="1"/>
  <c r="BZ369" i="1" s="1"/>
  <c r="BM369" i="1"/>
  <c r="BR368" i="1" a="1"/>
  <c r="BR368" i="1" s="1"/>
  <c r="N368" i="1"/>
  <c r="BV368" i="1" s="1"/>
  <c r="Z368" i="1"/>
  <c r="BW368" i="1" s="1"/>
  <c r="AL368" i="1"/>
  <c r="BX368" i="1" s="1"/>
  <c r="AX368" i="1"/>
  <c r="BY368" i="1" s="1"/>
  <c r="BK368" i="1"/>
  <c r="BZ368" i="1" s="1"/>
  <c r="BM368" i="1"/>
  <c r="BR367" i="1" a="1"/>
  <c r="BR367" i="1" s="1"/>
  <c r="N367" i="1"/>
  <c r="Z367" i="1"/>
  <c r="BW367" i="1" s="1"/>
  <c r="AL367" i="1"/>
  <c r="BX367" i="1" s="1"/>
  <c r="AX367" i="1"/>
  <c r="BY367" i="1" s="1"/>
  <c r="BK367" i="1"/>
  <c r="BZ367" i="1" s="1"/>
  <c r="BM367" i="1"/>
  <c r="BR366" i="1" a="1"/>
  <c r="BR366" i="1" s="1"/>
  <c r="N366" i="1"/>
  <c r="BV366" i="1" s="1"/>
  <c r="Z366" i="1"/>
  <c r="BW366" i="1" s="1"/>
  <c r="AL366" i="1"/>
  <c r="BX366" i="1" s="1"/>
  <c r="AX366" i="1"/>
  <c r="BY366" i="1" s="1"/>
  <c r="BK366" i="1"/>
  <c r="BZ366" i="1" s="1"/>
  <c r="BM366" i="1"/>
  <c r="BR365" i="1" a="1"/>
  <c r="BR365" i="1" s="1"/>
  <c r="N365" i="1"/>
  <c r="BV365" i="1" s="1"/>
  <c r="Z365" i="1"/>
  <c r="BW365" i="1" s="1"/>
  <c r="AL365" i="1"/>
  <c r="BX365" i="1" s="1"/>
  <c r="AX365" i="1"/>
  <c r="BY365" i="1" s="1"/>
  <c r="BK365" i="1"/>
  <c r="BZ365" i="1" s="1"/>
  <c r="BM365" i="1"/>
  <c r="BR364" i="1" a="1"/>
  <c r="BR364" i="1" s="1"/>
  <c r="N364" i="1"/>
  <c r="BV364" i="1" s="1"/>
  <c r="Z364" i="1"/>
  <c r="BW364" i="1"/>
  <c r="AL364" i="1"/>
  <c r="BX364" i="1" s="1"/>
  <c r="AX364" i="1"/>
  <c r="BY364" i="1"/>
  <c r="BK364" i="1"/>
  <c r="BZ364" i="1" s="1"/>
  <c r="BM364" i="1"/>
  <c r="BR363" i="1" a="1"/>
  <c r="BR363" i="1" s="1"/>
  <c r="N363" i="1"/>
  <c r="BV363" i="1" s="1"/>
  <c r="Z363" i="1"/>
  <c r="BW363" i="1"/>
  <c r="AL363" i="1"/>
  <c r="BX363" i="1" s="1"/>
  <c r="AX363" i="1"/>
  <c r="BY363" i="1"/>
  <c r="BK363" i="1"/>
  <c r="BZ363" i="1" s="1"/>
  <c r="BM363" i="1"/>
  <c r="BR362" i="1" a="1"/>
  <c r="BR362" i="1" s="1"/>
  <c r="N362" i="1"/>
  <c r="BV362" i="1" s="1"/>
  <c r="Z362" i="1"/>
  <c r="BW362" i="1"/>
  <c r="AL362" i="1"/>
  <c r="AX362" i="1"/>
  <c r="BY362" i="1" s="1"/>
  <c r="BK362" i="1"/>
  <c r="BZ362" i="1" s="1"/>
  <c r="BM362" i="1"/>
  <c r="BR361" i="1" a="1"/>
  <c r="BR361" i="1" s="1"/>
  <c r="N361" i="1"/>
  <c r="Z361" i="1"/>
  <c r="BW361" i="1"/>
  <c r="AL361" i="1"/>
  <c r="BX361" i="1" s="1"/>
  <c r="AX361" i="1"/>
  <c r="BY361" i="1"/>
  <c r="BK361" i="1"/>
  <c r="BZ361" i="1" s="1"/>
  <c r="BM361" i="1"/>
  <c r="BR360" i="1" a="1"/>
  <c r="BR360" i="1" s="1"/>
  <c r="N360" i="1"/>
  <c r="Z360" i="1"/>
  <c r="BW360" i="1" s="1"/>
  <c r="AL360" i="1"/>
  <c r="BX360" i="1" s="1"/>
  <c r="AX360" i="1"/>
  <c r="BY360" i="1" s="1"/>
  <c r="BK360" i="1"/>
  <c r="BZ360" i="1" s="1"/>
  <c r="BM360" i="1"/>
  <c r="BR359" i="1" a="1"/>
  <c r="BR359" i="1" s="1"/>
  <c r="N359" i="1"/>
  <c r="BV359" i="1" s="1"/>
  <c r="Z359" i="1"/>
  <c r="BW359" i="1" s="1"/>
  <c r="AL359" i="1"/>
  <c r="BX359" i="1" s="1"/>
  <c r="AX359" i="1"/>
  <c r="BY359" i="1" s="1"/>
  <c r="BK359" i="1"/>
  <c r="BZ359" i="1" s="1"/>
  <c r="BM359" i="1"/>
  <c r="BR358" i="1" a="1"/>
  <c r="BR358" i="1" s="1"/>
  <c r="N358" i="1"/>
  <c r="BV358" i="1" s="1"/>
  <c r="Z358" i="1"/>
  <c r="BW358" i="1" s="1"/>
  <c r="AL358" i="1"/>
  <c r="AX358" i="1"/>
  <c r="BY358" i="1"/>
  <c r="BK358" i="1"/>
  <c r="BZ358" i="1" s="1"/>
  <c r="BM358" i="1"/>
  <c r="BR357" i="1" a="1"/>
  <c r="BR357" i="1" s="1"/>
  <c r="N357" i="1"/>
  <c r="BV357" i="1" s="1"/>
  <c r="Z357" i="1"/>
  <c r="AL357" i="1"/>
  <c r="BX357" i="1" s="1"/>
  <c r="AX357" i="1"/>
  <c r="BY357" i="1" s="1"/>
  <c r="BK357" i="1"/>
  <c r="BZ357" i="1" s="1"/>
  <c r="BM357" i="1"/>
  <c r="BR356" i="1" a="1"/>
  <c r="BR356" i="1" s="1"/>
  <c r="N356" i="1"/>
  <c r="BV356" i="1" s="1"/>
  <c r="Z356" i="1"/>
  <c r="AL356" i="1"/>
  <c r="BX356" i="1"/>
  <c r="AX356" i="1"/>
  <c r="BY356" i="1" s="1"/>
  <c r="BK356" i="1"/>
  <c r="BZ356" i="1"/>
  <c r="BM356" i="1"/>
  <c r="BR354" i="1" a="1"/>
  <c r="BR354" i="1" s="1"/>
  <c r="Z354" i="1"/>
  <c r="BW354" i="1"/>
  <c r="N354" i="1"/>
  <c r="AL354" i="1"/>
  <c r="BX354" i="1" s="1"/>
  <c r="AX354" i="1"/>
  <c r="BY354" i="1" s="1"/>
  <c r="BK354" i="1"/>
  <c r="BZ354" i="1" s="1"/>
  <c r="BM354" i="1"/>
  <c r="BR353" i="1" a="1"/>
  <c r="BR353" i="1" s="1"/>
  <c r="N353" i="1"/>
  <c r="BV353" i="1" s="1"/>
  <c r="Z353" i="1"/>
  <c r="BW353" i="1" s="1"/>
  <c r="AL353" i="1"/>
  <c r="BX353" i="1" s="1"/>
  <c r="AX353" i="1"/>
  <c r="BY353" i="1" s="1"/>
  <c r="BK353" i="1"/>
  <c r="BZ353" i="1" s="1"/>
  <c r="BM353" i="1"/>
  <c r="BR352" i="1" a="1"/>
  <c r="BR352" i="1" s="1"/>
  <c r="Z352" i="1"/>
  <c r="BW352" i="1" s="1"/>
  <c r="N352" i="1"/>
  <c r="BV352" i="1" s="1"/>
  <c r="AL352" i="1"/>
  <c r="BX352" i="1" s="1"/>
  <c r="AX352" i="1"/>
  <c r="BY352" i="1" s="1"/>
  <c r="BK352" i="1"/>
  <c r="BZ352" i="1" s="1"/>
  <c r="BM352" i="1"/>
  <c r="BR351" i="1" a="1"/>
  <c r="BR351" i="1" s="1"/>
  <c r="N351" i="1"/>
  <c r="Z351" i="1"/>
  <c r="BW351" i="1" s="1"/>
  <c r="AL351" i="1"/>
  <c r="BX351" i="1" s="1"/>
  <c r="AX351" i="1"/>
  <c r="BY351" i="1" s="1"/>
  <c r="BK351" i="1"/>
  <c r="BZ351" i="1" s="1"/>
  <c r="BM351" i="1"/>
  <c r="BR350" i="1" a="1"/>
  <c r="BR350" i="1" s="1"/>
  <c r="N350" i="1"/>
  <c r="Z350" i="1"/>
  <c r="BW350" i="1" s="1"/>
  <c r="AL350" i="1"/>
  <c r="BX350" i="1" s="1"/>
  <c r="AX350" i="1"/>
  <c r="BY350" i="1" s="1"/>
  <c r="BK350" i="1"/>
  <c r="BZ350" i="1" s="1"/>
  <c r="BM350" i="1"/>
  <c r="BR349" i="1" a="1"/>
  <c r="BR349" i="1" s="1"/>
  <c r="N349" i="1"/>
  <c r="BV349" i="1" s="1"/>
  <c r="Z349" i="1"/>
  <c r="AL349" i="1"/>
  <c r="BX349" i="1" s="1"/>
  <c r="AX349" i="1"/>
  <c r="BY349" i="1"/>
  <c r="BK349" i="1"/>
  <c r="BZ349" i="1" s="1"/>
  <c r="BM349" i="1"/>
  <c r="BR348" i="1" a="1"/>
  <c r="BR348" i="1" s="1"/>
  <c r="N348" i="1"/>
  <c r="BV348" i="1" s="1"/>
  <c r="Z348" i="1"/>
  <c r="BW348" i="1"/>
  <c r="AL348" i="1"/>
  <c r="AX348" i="1"/>
  <c r="BY348" i="1" s="1"/>
  <c r="BK348" i="1"/>
  <c r="BZ348" i="1" s="1"/>
  <c r="BM348" i="1"/>
  <c r="BR347" i="1" a="1"/>
  <c r="BR347" i="1" s="1"/>
  <c r="N347" i="1"/>
  <c r="BV347" i="1" s="1"/>
  <c r="Z347" i="1"/>
  <c r="BW347" i="1" s="1"/>
  <c r="AL347" i="1"/>
  <c r="BX347" i="1" s="1"/>
  <c r="AX347" i="1"/>
  <c r="BY347" i="1" s="1"/>
  <c r="BK347" i="1"/>
  <c r="BZ347" i="1" s="1"/>
  <c r="BM347" i="1"/>
  <c r="BR346" i="1" a="1"/>
  <c r="BR346" i="1" s="1"/>
  <c r="N346" i="1"/>
  <c r="Z346" i="1"/>
  <c r="BW346" i="1" s="1"/>
  <c r="AL346" i="1"/>
  <c r="BX346" i="1" s="1"/>
  <c r="AX346" i="1"/>
  <c r="BY346" i="1" s="1"/>
  <c r="BK346" i="1"/>
  <c r="BZ346" i="1" s="1"/>
  <c r="BM346" i="1"/>
  <c r="BR345" i="1" a="1"/>
  <c r="BR345" i="1" s="1"/>
  <c r="N345" i="1"/>
  <c r="BV345" i="1" s="1"/>
  <c r="Z345" i="1"/>
  <c r="BW345" i="1" s="1"/>
  <c r="AL345" i="1"/>
  <c r="BX345" i="1" s="1"/>
  <c r="AX345" i="1"/>
  <c r="BY345" i="1" s="1"/>
  <c r="BK345" i="1"/>
  <c r="BZ345" i="1" s="1"/>
  <c r="BM345" i="1"/>
  <c r="BR344" i="1" a="1"/>
  <c r="BR344" i="1" s="1"/>
  <c r="N344" i="1"/>
  <c r="BV344" i="1" s="1"/>
  <c r="Z344" i="1"/>
  <c r="BW344" i="1" s="1"/>
  <c r="AL344" i="1"/>
  <c r="BX344" i="1" s="1"/>
  <c r="AX344" i="1"/>
  <c r="BK344" i="1"/>
  <c r="BZ344" i="1" s="1"/>
  <c r="BM344" i="1"/>
  <c r="BR343" i="1" a="1"/>
  <c r="BR343" i="1" s="1"/>
  <c r="N343" i="1"/>
  <c r="BV343" i="1" s="1"/>
  <c r="Z343" i="1"/>
  <c r="BW343" i="1" s="1"/>
  <c r="AL343" i="1"/>
  <c r="BX343" i="1" s="1"/>
  <c r="AX343" i="1"/>
  <c r="BY343" i="1" s="1"/>
  <c r="BK343" i="1"/>
  <c r="BZ343" i="1" s="1"/>
  <c r="BM343" i="1"/>
  <c r="BR342" i="1" a="1"/>
  <c r="BR342" i="1" s="1"/>
  <c r="N342" i="1"/>
  <c r="BV342" i="1" s="1"/>
  <c r="Z342" i="1"/>
  <c r="AL342" i="1"/>
  <c r="BX342" i="1"/>
  <c r="AX342" i="1"/>
  <c r="BY342" i="1" s="1"/>
  <c r="BK342" i="1"/>
  <c r="BZ342" i="1"/>
  <c r="BM342" i="1"/>
  <c r="BR340" i="1" a="1"/>
  <c r="BR340" i="1" s="1"/>
  <c r="N340" i="1"/>
  <c r="BV340" i="1"/>
  <c r="Z340" i="1"/>
  <c r="BW340" i="1" s="1"/>
  <c r="AL340" i="1"/>
  <c r="BX340" i="1"/>
  <c r="AX340" i="1"/>
  <c r="BY340" i="1" s="1"/>
  <c r="BK340" i="1"/>
  <c r="BZ340" i="1"/>
  <c r="BM340" i="1"/>
  <c r="BR339" i="1" a="1"/>
  <c r="BR339" i="1" s="1"/>
  <c r="N339" i="1"/>
  <c r="BV339" i="1"/>
  <c r="Z339" i="1"/>
  <c r="BW339" i="1" s="1"/>
  <c r="AL339" i="1"/>
  <c r="BX339" i="1"/>
  <c r="AX339" i="1"/>
  <c r="BY339" i="1" s="1"/>
  <c r="BK339" i="1"/>
  <c r="BZ339" i="1"/>
  <c r="BM339" i="1"/>
  <c r="BR338" i="1" a="1"/>
  <c r="BR338" i="1" s="1"/>
  <c r="N338" i="1"/>
  <c r="BV338" i="1"/>
  <c r="Z338" i="1"/>
  <c r="BW338" i="1"/>
  <c r="AL338" i="1"/>
  <c r="BX338" i="1"/>
  <c r="AX338" i="1"/>
  <c r="BY338" i="1"/>
  <c r="BK338" i="1"/>
  <c r="BZ338" i="1"/>
  <c r="BM338" i="1"/>
  <c r="BR337" i="1" a="1"/>
  <c r="BR337" i="1" s="1"/>
  <c r="N337" i="1"/>
  <c r="BV337" i="1"/>
  <c r="Z337" i="1"/>
  <c r="BW337" i="1"/>
  <c r="AL337" i="1"/>
  <c r="AX337" i="1"/>
  <c r="BY337" i="1" s="1"/>
  <c r="BK337" i="1"/>
  <c r="BZ337" i="1" s="1"/>
  <c r="BM337" i="1"/>
  <c r="BR336" i="1" a="1"/>
  <c r="BR336" i="1" s="1"/>
  <c r="N336" i="1"/>
  <c r="BV336" i="1" s="1"/>
  <c r="Z336" i="1"/>
  <c r="AL336" i="1"/>
  <c r="BX336" i="1" s="1"/>
  <c r="AX336" i="1"/>
  <c r="BY336" i="1" s="1"/>
  <c r="BK336" i="1"/>
  <c r="BZ336" i="1" s="1"/>
  <c r="BM336" i="1"/>
  <c r="BR335" i="1" a="1"/>
  <c r="BR335" i="1" s="1"/>
  <c r="N335" i="1"/>
  <c r="Z335" i="1"/>
  <c r="BW335" i="1" s="1"/>
  <c r="AL335" i="1"/>
  <c r="BX335" i="1" s="1"/>
  <c r="AX335" i="1"/>
  <c r="BY335" i="1" s="1"/>
  <c r="BK335" i="1"/>
  <c r="BZ335" i="1" s="1"/>
  <c r="BM335" i="1"/>
  <c r="BR334" i="1" a="1"/>
  <c r="BR334" i="1" s="1"/>
  <c r="N334" i="1"/>
  <c r="BV334" i="1" s="1"/>
  <c r="Z334" i="1"/>
  <c r="BW334" i="1" s="1"/>
  <c r="AL334" i="1"/>
  <c r="BX334" i="1" s="1"/>
  <c r="AX334" i="1"/>
  <c r="BY334" i="1" s="1"/>
  <c r="BK334" i="1"/>
  <c r="BZ334" i="1" s="1"/>
  <c r="BM334" i="1"/>
  <c r="BR333" i="1" a="1"/>
  <c r="BR333" i="1" s="1"/>
  <c r="N333" i="1"/>
  <c r="BV333" i="1" s="1"/>
  <c r="Z333" i="1"/>
  <c r="BW333" i="1" s="1"/>
  <c r="AL333" i="1"/>
  <c r="AX333" i="1"/>
  <c r="BY333" i="1"/>
  <c r="BK333" i="1"/>
  <c r="BZ333" i="1"/>
  <c r="BM333" i="1"/>
  <c r="BR332" i="1" a="1"/>
  <c r="BR332" i="1" s="1"/>
  <c r="N332" i="1"/>
  <c r="Z332" i="1"/>
  <c r="BW332" i="1" s="1"/>
  <c r="AL332" i="1"/>
  <c r="BX332" i="1" s="1"/>
  <c r="AX332" i="1"/>
  <c r="BY332" i="1" s="1"/>
  <c r="BK332" i="1"/>
  <c r="BZ332" i="1" s="1"/>
  <c r="BM332" i="1"/>
  <c r="BR331" i="1" a="1"/>
  <c r="BR331" i="1" s="1"/>
  <c r="N331" i="1"/>
  <c r="Z331" i="1"/>
  <c r="BW331" i="1"/>
  <c r="AL331" i="1"/>
  <c r="BX331" i="1"/>
  <c r="AX331" i="1"/>
  <c r="BY331" i="1"/>
  <c r="BK331" i="1"/>
  <c r="BZ331" i="1"/>
  <c r="BM331" i="1"/>
  <c r="BR330" i="1" a="1"/>
  <c r="BR330" i="1" s="1"/>
  <c r="N330" i="1"/>
  <c r="BV330" i="1"/>
  <c r="Z330" i="1"/>
  <c r="BW330" i="1"/>
  <c r="AL330" i="1"/>
  <c r="BX330" i="1"/>
  <c r="AX330" i="1"/>
  <c r="BY330" i="1"/>
  <c r="BK330" i="1"/>
  <c r="BZ330" i="1"/>
  <c r="BM330" i="1"/>
  <c r="BR329" i="1" a="1"/>
  <c r="BR329" i="1" s="1"/>
  <c r="Z329" i="1"/>
  <c r="N329" i="1"/>
  <c r="BV329" i="1" s="1"/>
  <c r="AL329" i="1"/>
  <c r="BX329" i="1" s="1"/>
  <c r="AX329" i="1"/>
  <c r="BY329" i="1" s="1"/>
  <c r="BK329" i="1"/>
  <c r="BZ329" i="1" s="1"/>
  <c r="BM329" i="1"/>
  <c r="BR327" i="1" a="1"/>
  <c r="BR327" i="1" s="1"/>
  <c r="N327" i="1"/>
  <c r="BV327" i="1" s="1"/>
  <c r="Z327" i="1"/>
  <c r="BW327" i="1" s="1"/>
  <c r="AL327" i="1"/>
  <c r="AX327" i="1"/>
  <c r="BY327" i="1"/>
  <c r="BK327" i="1"/>
  <c r="BZ327" i="1"/>
  <c r="BM327" i="1"/>
  <c r="BR325" i="1" a="1"/>
  <c r="BR325" i="1" s="1"/>
  <c r="N325" i="1"/>
  <c r="BV325" i="1"/>
  <c r="Z325" i="1"/>
  <c r="BW325" i="1"/>
  <c r="AL325" i="1"/>
  <c r="BX325" i="1"/>
  <c r="AX325" i="1"/>
  <c r="BY325" i="1"/>
  <c r="BK325" i="1"/>
  <c r="BZ325" i="1"/>
  <c r="BM325" i="1"/>
  <c r="BR323" i="1" a="1"/>
  <c r="BR323" i="1" s="1"/>
  <c r="N323" i="1"/>
  <c r="Z323" i="1"/>
  <c r="BW323" i="1" s="1"/>
  <c r="AL323" i="1"/>
  <c r="BX323" i="1" s="1"/>
  <c r="AX323" i="1"/>
  <c r="BY323" i="1" s="1"/>
  <c r="BK323" i="1"/>
  <c r="BZ323" i="1" s="1"/>
  <c r="BM323" i="1"/>
  <c r="BR322" i="1" a="1"/>
  <c r="BR322" i="1" s="1"/>
  <c r="N322" i="1"/>
  <c r="Z322" i="1"/>
  <c r="BW322" i="1"/>
  <c r="AL322" i="1"/>
  <c r="BX322" i="1"/>
  <c r="AX322" i="1"/>
  <c r="BY322" i="1"/>
  <c r="BK322" i="1"/>
  <c r="BZ322" i="1"/>
  <c r="BM322" i="1"/>
  <c r="BR321" i="1" a="1"/>
  <c r="BR321" i="1" s="1"/>
  <c r="N321" i="1"/>
  <c r="BV321" i="1"/>
  <c r="Z321" i="1"/>
  <c r="BW321" i="1"/>
  <c r="AL321" i="1"/>
  <c r="AX321" i="1"/>
  <c r="BY321" i="1" s="1"/>
  <c r="BK321" i="1"/>
  <c r="BZ321" i="1" s="1"/>
  <c r="BM321" i="1"/>
  <c r="BR320" i="1" a="1"/>
  <c r="BR320" i="1" s="1"/>
  <c r="N320" i="1"/>
  <c r="BV320" i="1" s="1"/>
  <c r="Z320" i="1"/>
  <c r="BW320" i="1" s="1"/>
  <c r="AL320" i="1"/>
  <c r="BX320" i="1" s="1"/>
  <c r="AX320" i="1"/>
  <c r="BK320" i="1"/>
  <c r="BZ320" i="1" s="1"/>
  <c r="BM320" i="1"/>
  <c r="BR318" i="1" a="1"/>
  <c r="BR318" i="1" s="1"/>
  <c r="N318" i="1"/>
  <c r="BV318" i="1" s="1"/>
  <c r="Z318" i="1"/>
  <c r="BW318" i="1" s="1"/>
  <c r="AL318" i="1"/>
  <c r="BX318" i="1" s="1"/>
  <c r="AX318" i="1"/>
  <c r="BY318" i="1" s="1"/>
  <c r="BK318" i="1"/>
  <c r="BZ318" i="1" s="1"/>
  <c r="BM318" i="1"/>
  <c r="BR317" i="1" a="1"/>
  <c r="BR317" i="1" s="1"/>
  <c r="N317" i="1"/>
  <c r="BV317" i="1" s="1"/>
  <c r="Z317" i="1"/>
  <c r="BW317" i="1" s="1"/>
  <c r="AL317" i="1"/>
  <c r="AX317" i="1"/>
  <c r="BY317" i="1" s="1"/>
  <c r="BK317" i="1"/>
  <c r="BZ317" i="1" s="1"/>
  <c r="BM317" i="1"/>
  <c r="BR316" i="1" a="1"/>
  <c r="BR316" i="1" s="1"/>
  <c r="N316" i="1"/>
  <c r="BV316" i="1" s="1"/>
  <c r="Z316" i="1"/>
  <c r="BW316" i="1" s="1"/>
  <c r="AL316" i="1"/>
  <c r="BX316" i="1" s="1"/>
  <c r="AX316" i="1"/>
  <c r="BK316" i="1"/>
  <c r="BZ316" i="1"/>
  <c r="BM316" i="1"/>
  <c r="BR315" i="1" a="1"/>
  <c r="BR315" i="1" s="1"/>
  <c r="N315" i="1"/>
  <c r="BV315" i="1"/>
  <c r="Z315" i="1"/>
  <c r="BW315" i="1"/>
  <c r="AL315" i="1"/>
  <c r="BX315" i="1"/>
  <c r="AX315" i="1"/>
  <c r="BK315" i="1"/>
  <c r="BZ315" i="1" s="1"/>
  <c r="BM315" i="1"/>
  <c r="BR313" i="1" a="1"/>
  <c r="BR313" i="1" s="1"/>
  <c r="N313" i="1"/>
  <c r="BV313" i="1" s="1"/>
  <c r="Z313" i="1"/>
  <c r="BW313" i="1" s="1"/>
  <c r="AL313" i="1"/>
  <c r="BX313" i="1" s="1"/>
  <c r="AX313" i="1"/>
  <c r="BY313" i="1" s="1"/>
  <c r="BK313" i="1"/>
  <c r="BZ313" i="1" s="1"/>
  <c r="BM313" i="1"/>
  <c r="BR312" i="1" a="1"/>
  <c r="BR312" i="1" s="1"/>
  <c r="Z312" i="1"/>
  <c r="N312" i="1"/>
  <c r="BV312" i="1"/>
  <c r="AL312" i="1"/>
  <c r="BX312" i="1"/>
  <c r="AX312" i="1"/>
  <c r="BY312" i="1"/>
  <c r="BK312" i="1"/>
  <c r="BZ312" i="1"/>
  <c r="BM312" i="1"/>
  <c r="BR311" i="1" a="1"/>
  <c r="BR311" i="1" s="1"/>
  <c r="N311" i="1"/>
  <c r="BV311" i="1"/>
  <c r="Z311" i="1"/>
  <c r="BW311" i="1"/>
  <c r="AL311" i="1"/>
  <c r="BX311" i="1"/>
  <c r="AX311" i="1"/>
  <c r="BY311" i="1"/>
  <c r="BK311" i="1"/>
  <c r="BZ311" i="1"/>
  <c r="BM311" i="1"/>
  <c r="BS310" i="1"/>
  <c r="BR310" i="1" a="1"/>
  <c r="BR310" i="1" s="1"/>
  <c r="N310" i="1"/>
  <c r="BV310" i="1" s="1"/>
  <c r="Z310" i="1"/>
  <c r="BW310" i="1" s="1"/>
  <c r="AL310" i="1"/>
  <c r="AX310" i="1"/>
  <c r="BY310" i="1"/>
  <c r="BK310" i="1"/>
  <c r="BZ310" i="1"/>
  <c r="BM310" i="1"/>
  <c r="BR307" i="1" a="1"/>
  <c r="BR307" i="1" s="1"/>
  <c r="N307" i="1"/>
  <c r="Z307" i="1"/>
  <c r="BW307" i="1" s="1"/>
  <c r="AL307" i="1"/>
  <c r="BX307" i="1" s="1"/>
  <c r="AX307" i="1"/>
  <c r="BY307" i="1" s="1"/>
  <c r="BK307" i="1"/>
  <c r="BZ307" i="1"/>
  <c r="BM307" i="1"/>
  <c r="BR306" i="1" a="1"/>
  <c r="BR306" i="1" s="1"/>
  <c r="N306" i="1"/>
  <c r="BV306" i="1"/>
  <c r="Z306" i="1"/>
  <c r="BW306" i="1"/>
  <c r="AL306" i="1"/>
  <c r="BX306" i="1"/>
  <c r="AX306" i="1"/>
  <c r="BY306" i="1"/>
  <c r="BK306" i="1"/>
  <c r="BZ306" i="1"/>
  <c r="BM306" i="1"/>
  <c r="BR305" i="1" a="1"/>
  <c r="BR305" i="1" s="1"/>
  <c r="N305" i="1"/>
  <c r="BV305" i="1"/>
  <c r="Z305" i="1"/>
  <c r="BW305" i="1"/>
  <c r="AL305" i="1"/>
  <c r="BX305" i="1"/>
  <c r="AX305" i="1"/>
  <c r="BY305" i="1"/>
  <c r="BK305" i="1"/>
  <c r="BZ305" i="1"/>
  <c r="BM305" i="1"/>
  <c r="BR304" i="1" a="1"/>
  <c r="BR304" i="1" s="1"/>
  <c r="N304" i="1"/>
  <c r="Z304" i="1"/>
  <c r="BW304" i="1" s="1"/>
  <c r="AL304" i="1"/>
  <c r="BX304" i="1" s="1"/>
  <c r="AX304" i="1"/>
  <c r="BY304" i="1" s="1"/>
  <c r="BK304" i="1"/>
  <c r="BZ304" i="1" s="1"/>
  <c r="BM304" i="1"/>
  <c r="BR302" i="1" a="1"/>
  <c r="BR302" i="1" s="1"/>
  <c r="N302" i="1"/>
  <c r="BV302" i="1" s="1"/>
  <c r="Z302" i="1"/>
  <c r="AL302" i="1"/>
  <c r="BX302" i="1"/>
  <c r="AX302" i="1"/>
  <c r="BY302" i="1" s="1"/>
  <c r="BK302" i="1"/>
  <c r="BZ302" i="1"/>
  <c r="BM302" i="1"/>
  <c r="BR299" i="1" a="1"/>
  <c r="BR299" i="1" s="1"/>
  <c r="N299" i="1"/>
  <c r="BV299" i="1"/>
  <c r="Z299" i="1"/>
  <c r="BW299" i="1" s="1"/>
  <c r="AL299" i="1"/>
  <c r="AX299" i="1"/>
  <c r="BY299" i="1" s="1"/>
  <c r="BK299" i="1"/>
  <c r="BZ299" i="1" s="1"/>
  <c r="BM299" i="1"/>
  <c r="BR298" i="1" a="1"/>
  <c r="BR298" i="1" s="1"/>
  <c r="N298" i="1"/>
  <c r="BV298" i="1" s="1"/>
  <c r="Z298" i="1"/>
  <c r="BW298" i="1" s="1"/>
  <c r="AL298" i="1"/>
  <c r="BX298" i="1" s="1"/>
  <c r="AX298" i="1"/>
  <c r="BY298" i="1" s="1"/>
  <c r="BK298" i="1"/>
  <c r="BZ298" i="1" s="1"/>
  <c r="BM298" i="1"/>
  <c r="BR297" i="1" a="1"/>
  <c r="BR297" i="1" s="1"/>
  <c r="N297" i="1"/>
  <c r="BV297" i="1" s="1"/>
  <c r="Z297" i="1"/>
  <c r="BW297" i="1" s="1"/>
  <c r="AL297" i="1"/>
  <c r="AX297" i="1"/>
  <c r="BY297" i="1"/>
  <c r="BK297" i="1"/>
  <c r="BZ297" i="1"/>
  <c r="BM297" i="1"/>
  <c r="BR294" i="1" a="1"/>
  <c r="BR294" i="1" s="1"/>
  <c r="N294" i="1"/>
  <c r="BV294" i="1"/>
  <c r="Z294" i="1"/>
  <c r="BW294" i="1"/>
  <c r="AL294" i="1"/>
  <c r="BX294" i="1"/>
  <c r="AX294" i="1"/>
  <c r="BY294" i="1"/>
  <c r="BK294" i="1"/>
  <c r="BZ294" i="1"/>
  <c r="BM294" i="1"/>
  <c r="BR293" i="1" a="1"/>
  <c r="BR293" i="1" s="1"/>
  <c r="N293" i="1"/>
  <c r="BV293" i="1"/>
  <c r="Z293" i="1"/>
  <c r="BW293" i="1"/>
  <c r="AL293" i="1"/>
  <c r="AX293" i="1"/>
  <c r="BY293" i="1" s="1"/>
  <c r="BK293" i="1"/>
  <c r="BZ293" i="1" s="1"/>
  <c r="BM293" i="1"/>
  <c r="BR292" i="1" a="1"/>
  <c r="BR292" i="1" s="1"/>
  <c r="N292" i="1"/>
  <c r="BV292" i="1" s="1"/>
  <c r="Z292" i="1"/>
  <c r="AL292" i="1"/>
  <c r="BX292" i="1" s="1"/>
  <c r="AX292" i="1"/>
  <c r="BY292" i="1" s="1"/>
  <c r="BK292" i="1"/>
  <c r="BZ292" i="1" s="1"/>
  <c r="BM292" i="1"/>
  <c r="BR290" i="1" a="1"/>
  <c r="BR290" i="1" s="1"/>
  <c r="N290" i="1"/>
  <c r="BV290" i="1" s="1"/>
  <c r="Z290" i="1"/>
  <c r="AL290" i="1"/>
  <c r="BX290" i="1" s="1"/>
  <c r="AX290" i="1"/>
  <c r="BY290" i="1" s="1"/>
  <c r="BK290" i="1"/>
  <c r="BZ290" i="1" s="1"/>
  <c r="BM290" i="1"/>
  <c r="BR289" i="1" a="1"/>
  <c r="BR289" i="1" s="1"/>
  <c r="N289" i="1"/>
  <c r="Z289" i="1"/>
  <c r="BW289" i="1"/>
  <c r="AL289" i="1"/>
  <c r="BX289" i="1"/>
  <c r="AX289" i="1"/>
  <c r="BY289" i="1"/>
  <c r="BK289" i="1"/>
  <c r="BZ289" i="1"/>
  <c r="BM289" i="1"/>
  <c r="BR288" i="1" a="1"/>
  <c r="BR288" i="1" s="1"/>
  <c r="N288" i="1"/>
  <c r="Z288" i="1"/>
  <c r="BW288" i="1" s="1"/>
  <c r="AL288" i="1"/>
  <c r="BX288" i="1" s="1"/>
  <c r="AX288" i="1"/>
  <c r="BY288" i="1" s="1"/>
  <c r="BK288" i="1"/>
  <c r="BZ288" i="1" s="1"/>
  <c r="BM288" i="1"/>
  <c r="BR287" i="1" a="1"/>
  <c r="BR287" i="1" s="1"/>
  <c r="N287" i="1"/>
  <c r="BV287" i="1" s="1"/>
  <c r="Z287" i="1"/>
  <c r="BW287" i="1" s="1"/>
  <c r="AL287" i="1"/>
  <c r="BX287" i="1" s="1"/>
  <c r="AX287" i="1"/>
  <c r="BY287" i="1" s="1"/>
  <c r="BK287" i="1"/>
  <c r="BZ287" i="1" s="1"/>
  <c r="BM287" i="1"/>
  <c r="BR285" i="1" a="1"/>
  <c r="BR285" i="1" s="1"/>
  <c r="N285" i="1"/>
  <c r="BV285" i="1" s="1"/>
  <c r="Z285" i="1"/>
  <c r="AL285" i="1"/>
  <c r="BX285" i="1"/>
  <c r="AX285" i="1"/>
  <c r="BY285" i="1"/>
  <c r="BK285" i="1"/>
  <c r="BZ285" i="1"/>
  <c r="BM285" i="1"/>
  <c r="BR284" i="1" a="1"/>
  <c r="BR284" i="1" s="1"/>
  <c r="N284" i="1"/>
  <c r="BV284" i="1"/>
  <c r="Z284" i="1"/>
  <c r="BW284" i="1"/>
  <c r="AL284" i="1"/>
  <c r="BX284" i="1"/>
  <c r="AX284" i="1"/>
  <c r="BY284" i="1"/>
  <c r="BK284" i="1"/>
  <c r="BZ284" i="1"/>
  <c r="BM284" i="1"/>
  <c r="BR283" i="1" a="1"/>
  <c r="BR283" i="1" s="1"/>
  <c r="N283" i="1"/>
  <c r="Z283" i="1"/>
  <c r="BW283" i="1" s="1"/>
  <c r="AL283" i="1"/>
  <c r="BX283" i="1" s="1"/>
  <c r="AX283" i="1"/>
  <c r="BY283" i="1" s="1"/>
  <c r="BK283" i="1"/>
  <c r="BZ283" i="1" s="1"/>
  <c r="BM283" i="1"/>
  <c r="BR282" i="1" a="1"/>
  <c r="BR282" i="1" s="1"/>
  <c r="N282" i="1"/>
  <c r="BV282" i="1" s="1"/>
  <c r="Z282" i="1"/>
  <c r="BW282" i="1" s="1"/>
  <c r="AL282" i="1"/>
  <c r="AX282" i="1"/>
  <c r="BY282" i="1"/>
  <c r="BK282" i="1"/>
  <c r="BZ282" i="1"/>
  <c r="BM282" i="1"/>
  <c r="BR281" i="1" a="1"/>
  <c r="BR281" i="1" s="1"/>
  <c r="N281" i="1"/>
  <c r="BV281" i="1"/>
  <c r="Z281" i="1"/>
  <c r="BW281" i="1"/>
  <c r="AL281" i="1"/>
  <c r="AX281" i="1"/>
  <c r="BY281" i="1" s="1"/>
  <c r="BK281" i="1"/>
  <c r="BZ281" i="1" s="1"/>
  <c r="BM281" i="1"/>
  <c r="BR280" i="1" a="1"/>
  <c r="BR280" i="1" s="1"/>
  <c r="N280" i="1"/>
  <c r="BV280" i="1" s="1"/>
  <c r="Z280" i="1"/>
  <c r="AL280" i="1"/>
  <c r="BX280" i="1" s="1"/>
  <c r="AX280" i="1"/>
  <c r="BY280" i="1" s="1"/>
  <c r="BK280" i="1"/>
  <c r="BZ280" i="1" s="1"/>
  <c r="BM280" i="1"/>
  <c r="BR279" i="1" a="1"/>
  <c r="BR279" i="1" s="1"/>
  <c r="N279" i="1"/>
  <c r="BV279" i="1" s="1"/>
  <c r="Z279" i="1"/>
  <c r="BW279" i="1" s="1"/>
  <c r="AL279" i="1"/>
  <c r="BX279" i="1" s="1"/>
  <c r="AX279" i="1"/>
  <c r="BY279" i="1" s="1"/>
  <c r="BK279" i="1"/>
  <c r="BZ279" i="1" s="1"/>
  <c r="BM279" i="1"/>
  <c r="BR278" i="1" a="1"/>
  <c r="BR278" i="1" s="1"/>
  <c r="N278" i="1"/>
  <c r="BV278" i="1" s="1"/>
  <c r="Z278" i="1"/>
  <c r="BW278" i="1"/>
  <c r="AL278" i="1"/>
  <c r="BX278" i="1" s="1"/>
  <c r="AX278" i="1"/>
  <c r="BY278" i="1"/>
  <c r="BK278" i="1"/>
  <c r="BZ278" i="1" s="1"/>
  <c r="BM278" i="1"/>
  <c r="BR277" i="1" a="1"/>
  <c r="BR277" i="1" s="1"/>
  <c r="N277" i="1"/>
  <c r="Z277" i="1"/>
  <c r="BW277" i="1" s="1"/>
  <c r="AL277" i="1"/>
  <c r="BX277" i="1" s="1"/>
  <c r="AX277" i="1"/>
  <c r="BY277" i="1" s="1"/>
  <c r="BK277" i="1"/>
  <c r="BZ277" i="1" s="1"/>
  <c r="BM277" i="1"/>
  <c r="BR276" i="1" a="1"/>
  <c r="BR276" i="1" s="1"/>
  <c r="N276" i="1"/>
  <c r="BV276" i="1" s="1"/>
  <c r="Z276" i="1"/>
  <c r="BW276" i="1" s="1"/>
  <c r="AL276" i="1"/>
  <c r="BX276" i="1" s="1"/>
  <c r="AX276" i="1"/>
  <c r="BY276" i="1" s="1"/>
  <c r="BK276" i="1"/>
  <c r="BZ276" i="1" s="1"/>
  <c r="BM276" i="1"/>
  <c r="BR275" i="1" a="1"/>
  <c r="BR275" i="1" s="1"/>
  <c r="N275" i="1"/>
  <c r="BV275" i="1" s="1"/>
  <c r="Z275" i="1"/>
  <c r="AL275" i="1"/>
  <c r="BX275" i="1" s="1"/>
  <c r="AX275" i="1"/>
  <c r="BY275" i="1"/>
  <c r="BK275" i="1"/>
  <c r="BZ275" i="1" s="1"/>
  <c r="BM275" i="1"/>
  <c r="BR274" i="1" a="1"/>
  <c r="BR274" i="1" s="1"/>
  <c r="N274" i="1"/>
  <c r="BV274" i="1" s="1"/>
  <c r="Z274" i="1"/>
  <c r="BW274" i="1"/>
  <c r="AL274" i="1"/>
  <c r="BX274" i="1" s="1"/>
  <c r="AX274" i="1"/>
  <c r="BY274" i="1"/>
  <c r="BK274" i="1"/>
  <c r="BZ274" i="1" s="1"/>
  <c r="BM274" i="1"/>
  <c r="BR273" i="1" a="1"/>
  <c r="BR273" i="1" s="1"/>
  <c r="N273" i="1"/>
  <c r="BV273" i="1" s="1"/>
  <c r="Z273" i="1"/>
  <c r="BW273" i="1"/>
  <c r="AL273" i="1"/>
  <c r="AX273" i="1"/>
  <c r="BY273" i="1" s="1"/>
  <c r="BK273" i="1"/>
  <c r="BZ273" i="1" s="1"/>
  <c r="BM273" i="1"/>
  <c r="BR272" i="1" a="1"/>
  <c r="BR272" i="1" s="1"/>
  <c r="N272" i="1"/>
  <c r="BV272" i="1" s="1"/>
  <c r="Z272" i="1"/>
  <c r="BW272" i="1" s="1"/>
  <c r="AL272" i="1"/>
  <c r="AX272" i="1"/>
  <c r="BY272" i="1" s="1"/>
  <c r="BK272" i="1"/>
  <c r="BZ272" i="1"/>
  <c r="BM272" i="1"/>
  <c r="BR271" i="1" a="1"/>
  <c r="BR271" i="1" s="1"/>
  <c r="N271" i="1"/>
  <c r="BV271" i="1"/>
  <c r="Z271" i="1"/>
  <c r="AL271" i="1"/>
  <c r="BX271" i="1" s="1"/>
  <c r="AX271" i="1"/>
  <c r="BY271" i="1" s="1"/>
  <c r="BK271" i="1"/>
  <c r="BZ271" i="1" s="1"/>
  <c r="BM271" i="1"/>
  <c r="BS270" i="1"/>
  <c r="BR270" i="1" a="1"/>
  <c r="BR270" i="1" s="1"/>
  <c r="N270" i="1"/>
  <c r="BV270" i="1"/>
  <c r="Z270" i="1"/>
  <c r="BW270" i="1"/>
  <c r="AL270" i="1"/>
  <c r="BX270" i="1"/>
  <c r="AX270" i="1"/>
  <c r="BY270" i="1"/>
  <c r="BK270" i="1"/>
  <c r="BZ270" i="1"/>
  <c r="BM270" i="1"/>
  <c r="BR268" i="1" a="1"/>
  <c r="BR268" i="1" s="1"/>
  <c r="N268" i="1"/>
  <c r="BV268" i="1"/>
  <c r="Z268" i="1"/>
  <c r="BW268" i="1"/>
  <c r="AL268" i="1"/>
  <c r="BX268" i="1"/>
  <c r="AX268" i="1"/>
  <c r="BY268" i="1" s="1"/>
  <c r="BK268" i="1"/>
  <c r="BZ268" i="1" s="1"/>
  <c r="BM268" i="1"/>
  <c r="BR267" i="1" a="1"/>
  <c r="BR267" i="1" s="1"/>
  <c r="N267" i="1"/>
  <c r="BV267" i="1" s="1"/>
  <c r="Z267" i="1"/>
  <c r="BW267" i="1" s="1"/>
  <c r="AL267" i="1"/>
  <c r="BX267" i="1" s="1"/>
  <c r="AX267" i="1"/>
  <c r="BY267" i="1" s="1"/>
  <c r="BK267" i="1"/>
  <c r="BZ267" i="1" s="1"/>
  <c r="BM267" i="1"/>
  <c r="BR266" i="1" a="1"/>
  <c r="BR266" i="1" s="1"/>
  <c r="N266" i="1"/>
  <c r="BV266" i="1" s="1"/>
  <c r="Z266" i="1"/>
  <c r="BW266" i="1"/>
  <c r="AL266" i="1"/>
  <c r="AX266" i="1"/>
  <c r="BY266" i="1" s="1"/>
  <c r="BK266" i="1"/>
  <c r="BZ266" i="1" s="1"/>
  <c r="BM266" i="1"/>
  <c r="BR264" i="1" a="1"/>
  <c r="BR264" i="1" s="1"/>
  <c r="N264" i="1"/>
  <c r="BV264" i="1" s="1"/>
  <c r="Z264" i="1"/>
  <c r="BW264" i="1" s="1"/>
  <c r="AL264" i="1"/>
  <c r="AX264" i="1"/>
  <c r="BY264" i="1" s="1"/>
  <c r="BK264" i="1"/>
  <c r="BZ264" i="1"/>
  <c r="BM264" i="1"/>
  <c r="BR263" i="1" a="1"/>
  <c r="BR263" i="1" s="1"/>
  <c r="N263" i="1"/>
  <c r="BV263" i="1"/>
  <c r="Z263" i="1"/>
  <c r="BW263" i="1" s="1"/>
  <c r="AL263" i="1"/>
  <c r="BX263" i="1"/>
  <c r="AX263" i="1"/>
  <c r="BY263" i="1" s="1"/>
  <c r="BK263" i="1"/>
  <c r="BZ263" i="1" s="1"/>
  <c r="BM263" i="1"/>
  <c r="BR261" i="1" a="1"/>
  <c r="BR261" i="1" s="1"/>
  <c r="N261" i="1"/>
  <c r="BV261" i="1" s="1"/>
  <c r="Z261" i="1"/>
  <c r="BW261" i="1" s="1"/>
  <c r="AL261" i="1"/>
  <c r="BX261" i="1" s="1"/>
  <c r="AX261" i="1"/>
  <c r="BY261" i="1" s="1"/>
  <c r="BK261" i="1"/>
  <c r="BZ261" i="1" s="1"/>
  <c r="BM261" i="1"/>
  <c r="BR260" i="1" a="1"/>
  <c r="BR260" i="1" s="1"/>
  <c r="N260" i="1"/>
  <c r="BV260" i="1" s="1"/>
  <c r="Z260" i="1"/>
  <c r="BW260" i="1"/>
  <c r="AL260" i="1"/>
  <c r="AX260" i="1"/>
  <c r="BY260" i="1" s="1"/>
  <c r="BK260" i="1"/>
  <c r="BZ260" i="1" s="1"/>
  <c r="BM260" i="1"/>
  <c r="BR259" i="1" a="1"/>
  <c r="BR259" i="1" s="1"/>
  <c r="N259" i="1"/>
  <c r="BV259" i="1" s="1"/>
  <c r="Z259" i="1"/>
  <c r="BW259" i="1" s="1"/>
  <c r="AL259" i="1"/>
  <c r="BX259" i="1" s="1"/>
  <c r="AX259" i="1"/>
  <c r="BY259" i="1" s="1"/>
  <c r="BK259" i="1"/>
  <c r="BZ259" i="1" s="1"/>
  <c r="BM259" i="1"/>
  <c r="BR258" i="1" a="1"/>
  <c r="BR258" i="1" s="1"/>
  <c r="Z258" i="1"/>
  <c r="BW258" i="1" s="1"/>
  <c r="N258" i="1"/>
  <c r="BV258" i="1" s="1"/>
  <c r="AL258" i="1"/>
  <c r="BX258" i="1" s="1"/>
  <c r="AX258" i="1"/>
  <c r="BY258" i="1" s="1"/>
  <c r="BK258" i="1"/>
  <c r="BZ258" i="1" s="1"/>
  <c r="BM258" i="1"/>
  <c r="BR257" i="1" a="1"/>
  <c r="BR257" i="1" s="1"/>
  <c r="N257" i="1"/>
  <c r="BV257" i="1" s="1"/>
  <c r="Z257" i="1"/>
  <c r="AL257" i="1"/>
  <c r="BX257" i="1"/>
  <c r="AX257" i="1"/>
  <c r="BY257" i="1"/>
  <c r="BK257" i="1"/>
  <c r="BZ257" i="1"/>
  <c r="BM257" i="1"/>
  <c r="BR256" i="1" a="1"/>
  <c r="BR256" i="1" s="1"/>
  <c r="N256" i="1"/>
  <c r="BV256" i="1"/>
  <c r="Z256" i="1"/>
  <c r="BW256" i="1"/>
  <c r="AL256" i="1"/>
  <c r="BX256" i="1"/>
  <c r="AX256" i="1"/>
  <c r="BY256" i="1"/>
  <c r="BK256" i="1"/>
  <c r="BZ256" i="1" s="1"/>
  <c r="BM256" i="1"/>
  <c r="BR255" i="1" a="1"/>
  <c r="BR255" i="1" s="1"/>
  <c r="N255" i="1"/>
  <c r="BV255" i="1" s="1"/>
  <c r="Z255" i="1"/>
  <c r="BW255" i="1" s="1"/>
  <c r="AL255" i="1"/>
  <c r="BX255" i="1" s="1"/>
  <c r="AX255" i="1"/>
  <c r="BY255" i="1" s="1"/>
  <c r="BK255" i="1"/>
  <c r="BZ255" i="1" s="1"/>
  <c r="BM255" i="1"/>
  <c r="BR254" i="1" a="1"/>
  <c r="BR254" i="1" s="1"/>
  <c r="N254" i="1"/>
  <c r="BV254" i="1"/>
  <c r="Z254" i="1"/>
  <c r="AL254" i="1"/>
  <c r="BX254" i="1" s="1"/>
  <c r="AX254" i="1"/>
  <c r="BY254" i="1" s="1"/>
  <c r="BK254" i="1"/>
  <c r="BZ254" i="1" s="1"/>
  <c r="BM254" i="1"/>
  <c r="BR250" i="1" a="1"/>
  <c r="BR250" i="1" s="1"/>
  <c r="N250" i="1"/>
  <c r="BV250" i="1" s="1"/>
  <c r="Z250" i="1"/>
  <c r="AL250" i="1"/>
  <c r="BX250" i="1"/>
  <c r="AX250" i="1"/>
  <c r="BY250" i="1"/>
  <c r="BK250" i="1"/>
  <c r="BZ250" i="1"/>
  <c r="BM250" i="1"/>
  <c r="BR249" i="1" a="1"/>
  <c r="BR249" i="1" s="1"/>
  <c r="N249" i="1"/>
  <c r="BV249" i="1"/>
  <c r="Z249" i="1"/>
  <c r="BW249" i="1"/>
  <c r="AL249" i="1"/>
  <c r="BX249" i="1" s="1"/>
  <c r="AX249" i="1"/>
  <c r="BY249" i="1" s="1"/>
  <c r="BK249" i="1"/>
  <c r="BZ249" i="1" s="1"/>
  <c r="BM249" i="1"/>
  <c r="BR248" i="1" a="1"/>
  <c r="BR248" i="1" s="1"/>
  <c r="N248" i="1"/>
  <c r="BV248" i="1" s="1"/>
  <c r="Z248" i="1"/>
  <c r="BW248" i="1" s="1"/>
  <c r="AL248" i="1"/>
  <c r="BX248" i="1" s="1"/>
  <c r="AX248" i="1"/>
  <c r="BY248" i="1" s="1"/>
  <c r="BK248" i="1"/>
  <c r="BZ248" i="1" s="1"/>
  <c r="BM248" i="1"/>
  <c r="BR247" i="1" a="1"/>
  <c r="BR247" i="1" s="1"/>
  <c r="N247" i="1"/>
  <c r="BV247" i="1"/>
  <c r="Z247" i="1"/>
  <c r="BW247" i="1"/>
  <c r="AL247" i="1"/>
  <c r="BX247" i="1"/>
  <c r="AX247" i="1"/>
  <c r="BY247" i="1"/>
  <c r="BK247" i="1"/>
  <c r="BZ247" i="1"/>
  <c r="BM247" i="1"/>
  <c r="BR246" i="1" a="1"/>
  <c r="BR246" i="1" s="1"/>
  <c r="N246" i="1"/>
  <c r="BV246" i="1"/>
  <c r="Z246" i="1"/>
  <c r="BW246" i="1"/>
  <c r="AL246" i="1"/>
  <c r="BX246" i="1"/>
  <c r="AX246" i="1"/>
  <c r="BY246" i="1"/>
  <c r="BK246" i="1"/>
  <c r="BZ246" i="1"/>
  <c r="BM246" i="1"/>
  <c r="BR245" i="1" a="1"/>
  <c r="BR245" i="1" s="1"/>
  <c r="N245" i="1"/>
  <c r="BV245" i="1"/>
  <c r="Z245" i="1"/>
  <c r="BW245" i="1"/>
  <c r="AL245" i="1"/>
  <c r="BX245" i="1"/>
  <c r="AX245" i="1"/>
  <c r="BY245" i="1" s="1"/>
  <c r="BK245" i="1"/>
  <c r="BZ245" i="1" s="1"/>
  <c r="BM245" i="1"/>
  <c r="BR243" i="1" a="1"/>
  <c r="BR243" i="1" s="1"/>
  <c r="Z243" i="1"/>
  <c r="BW243" i="1" s="1"/>
  <c r="N243" i="1"/>
  <c r="BV243" i="1" s="1"/>
  <c r="AL243" i="1"/>
  <c r="BX243" i="1" s="1"/>
  <c r="AX243" i="1"/>
  <c r="BY243" i="1" s="1"/>
  <c r="BK243" i="1"/>
  <c r="BZ243" i="1" s="1"/>
  <c r="BM243" i="1"/>
  <c r="BR242" i="1" a="1"/>
  <c r="BR242" i="1" s="1"/>
  <c r="N242" i="1"/>
  <c r="BV242" i="1" s="1"/>
  <c r="Z242" i="1"/>
  <c r="BW242" i="1" s="1"/>
  <c r="AL242" i="1"/>
  <c r="BX242" i="1" s="1"/>
  <c r="AX242" i="1"/>
  <c r="BY242" i="1" s="1"/>
  <c r="BK242" i="1"/>
  <c r="BZ242" i="1" s="1"/>
  <c r="BM242" i="1"/>
  <c r="BR241" i="1" a="1"/>
  <c r="BR241" i="1" s="1"/>
  <c r="N241" i="1"/>
  <c r="BV241" i="1" s="1"/>
  <c r="Z241" i="1"/>
  <c r="BW241" i="1" s="1"/>
  <c r="AL241" i="1"/>
  <c r="AX241" i="1"/>
  <c r="BY241" i="1" s="1"/>
  <c r="BK241" i="1"/>
  <c r="BZ241" i="1"/>
  <c r="BM241" i="1"/>
  <c r="BR240" i="1" a="1"/>
  <c r="BR240" i="1" s="1"/>
  <c r="Z240" i="1"/>
  <c r="BW240" i="1"/>
  <c r="N240" i="1"/>
  <c r="BV240" i="1" s="1"/>
  <c r="AL240" i="1"/>
  <c r="BX240" i="1"/>
  <c r="AX240" i="1"/>
  <c r="BY240" i="1" s="1"/>
  <c r="BK240" i="1"/>
  <c r="BZ240" i="1" s="1"/>
  <c r="BM240" i="1"/>
  <c r="BR239" i="1" a="1"/>
  <c r="BR239" i="1" s="1"/>
  <c r="N239" i="1"/>
  <c r="BV239" i="1" s="1"/>
  <c r="Z239" i="1"/>
  <c r="BW239" i="1" s="1"/>
  <c r="AL239" i="1"/>
  <c r="BX239" i="1" s="1"/>
  <c r="AX239" i="1"/>
  <c r="BY239" i="1" s="1"/>
  <c r="BK239" i="1"/>
  <c r="BZ239" i="1" s="1"/>
  <c r="BM239" i="1"/>
  <c r="BR238" i="1" a="1"/>
  <c r="BR238" i="1" s="1"/>
  <c r="N238" i="1"/>
  <c r="BV238" i="1"/>
  <c r="Z238" i="1"/>
  <c r="BW238" i="1"/>
  <c r="AL238" i="1"/>
  <c r="BX238" i="1"/>
  <c r="AX238" i="1"/>
  <c r="BY238" i="1"/>
  <c r="BK238" i="1"/>
  <c r="BZ238" i="1"/>
  <c r="BM238" i="1"/>
  <c r="BR237" i="1" a="1"/>
  <c r="BR237" i="1" s="1"/>
  <c r="N237" i="1"/>
  <c r="BV237" i="1"/>
  <c r="Z237" i="1"/>
  <c r="BW237" i="1" s="1"/>
  <c r="AL237" i="1"/>
  <c r="BX237" i="1" s="1"/>
  <c r="AX237" i="1"/>
  <c r="BY237" i="1" s="1"/>
  <c r="BK237" i="1"/>
  <c r="BZ237" i="1" s="1"/>
  <c r="BM237" i="1"/>
  <c r="BR236" i="1" a="1"/>
  <c r="BR236" i="1" s="1"/>
  <c r="N236" i="1"/>
  <c r="BV236" i="1"/>
  <c r="Z236" i="1"/>
  <c r="BW236" i="1"/>
  <c r="AL236" i="1"/>
  <c r="BX236" i="1"/>
  <c r="AX236" i="1"/>
  <c r="BY236" i="1"/>
  <c r="BK236" i="1"/>
  <c r="BZ236" i="1"/>
  <c r="BM236" i="1"/>
  <c r="BR235" i="1" a="1"/>
  <c r="BR235" i="1" s="1"/>
  <c r="Z235" i="1"/>
  <c r="BW235" i="1"/>
  <c r="N235" i="1"/>
  <c r="BV235" i="1"/>
  <c r="AL235" i="1"/>
  <c r="BX235" i="1"/>
  <c r="AX235" i="1"/>
  <c r="BY235" i="1"/>
  <c r="BK235" i="1"/>
  <c r="BZ235" i="1"/>
  <c r="BM235" i="1"/>
  <c r="BR234" i="1" a="1"/>
  <c r="BR234" i="1" s="1"/>
  <c r="N234" i="1"/>
  <c r="BV234" i="1"/>
  <c r="Z234" i="1"/>
  <c r="BW234" i="1"/>
  <c r="AL234" i="1"/>
  <c r="BX234" i="1"/>
  <c r="AX234" i="1"/>
  <c r="BY234" i="1"/>
  <c r="BK234" i="1"/>
  <c r="BZ234" i="1"/>
  <c r="BM234" i="1"/>
  <c r="BR233" i="1" a="1"/>
  <c r="BR233" i="1" s="1"/>
  <c r="N233" i="1"/>
  <c r="BV233" i="1"/>
  <c r="Z233" i="1"/>
  <c r="BW233" i="1"/>
  <c r="AL233" i="1"/>
  <c r="BX233" i="1"/>
  <c r="AX233" i="1"/>
  <c r="BY233" i="1"/>
  <c r="BK233" i="1"/>
  <c r="BZ233" i="1"/>
  <c r="BM233" i="1"/>
  <c r="BR232" i="1" a="1"/>
  <c r="BR232" i="1" s="1"/>
  <c r="N232" i="1"/>
  <c r="BV232" i="1"/>
  <c r="Z232" i="1"/>
  <c r="BW232" i="1"/>
  <c r="AL232" i="1"/>
  <c r="BX232" i="1"/>
  <c r="AX232" i="1"/>
  <c r="BK232" i="1"/>
  <c r="BZ232" i="1" s="1"/>
  <c r="BM232" i="1"/>
  <c r="BR231" i="1" a="1"/>
  <c r="BR231" i="1" s="1"/>
  <c r="N231" i="1"/>
  <c r="BV231" i="1" s="1"/>
  <c r="Z231" i="1"/>
  <c r="BW231" i="1" s="1"/>
  <c r="AL231" i="1"/>
  <c r="BX231" i="1" s="1"/>
  <c r="AX231" i="1"/>
  <c r="BY231" i="1" s="1"/>
  <c r="BK231" i="1"/>
  <c r="BZ231" i="1" s="1"/>
  <c r="BM231" i="1"/>
  <c r="BR230" i="1" a="1"/>
  <c r="BR230" i="1" s="1"/>
  <c r="N230" i="1"/>
  <c r="BV230" i="1" s="1"/>
  <c r="Z230" i="1"/>
  <c r="BW230" i="1" s="1"/>
  <c r="AL230" i="1"/>
  <c r="AX230" i="1"/>
  <c r="BY230" i="1"/>
  <c r="BK230" i="1"/>
  <c r="BZ230" i="1"/>
  <c r="BM230" i="1"/>
  <c r="BR229" i="1" a="1"/>
  <c r="BR229" i="1" s="1"/>
  <c r="N229" i="1"/>
  <c r="BV229" i="1"/>
  <c r="Z229" i="1"/>
  <c r="BW229" i="1"/>
  <c r="AL229" i="1"/>
  <c r="BX229" i="1"/>
  <c r="AX229" i="1"/>
  <c r="BY229" i="1"/>
  <c r="BK229" i="1"/>
  <c r="BZ229" i="1"/>
  <c r="BM229" i="1"/>
  <c r="BR228" i="1" a="1"/>
  <c r="BR228" i="1" s="1"/>
  <c r="N228" i="1"/>
  <c r="BV228" i="1"/>
  <c r="Z228" i="1"/>
  <c r="BW228" i="1"/>
  <c r="AL228" i="1"/>
  <c r="BX228" i="1"/>
  <c r="AX228" i="1"/>
  <c r="BY228" i="1"/>
  <c r="BK228" i="1"/>
  <c r="BZ228" i="1"/>
  <c r="BM228" i="1"/>
  <c r="BR227" i="1" a="1"/>
  <c r="BR227" i="1" s="1"/>
  <c r="Z227" i="1"/>
  <c r="BW227" i="1"/>
  <c r="N227" i="1"/>
  <c r="BV227" i="1"/>
  <c r="AL227" i="1"/>
  <c r="BX227" i="1"/>
  <c r="AX227" i="1"/>
  <c r="BY227" i="1"/>
  <c r="BK227" i="1"/>
  <c r="BZ227" i="1"/>
  <c r="BM227" i="1"/>
  <c r="BR226" i="1" a="1"/>
  <c r="BR226" i="1" s="1"/>
  <c r="N226" i="1"/>
  <c r="BV226" i="1"/>
  <c r="Z226" i="1"/>
  <c r="BW226" i="1"/>
  <c r="AL226" i="1"/>
  <c r="BX226" i="1"/>
  <c r="AX226" i="1"/>
  <c r="BY226" i="1" s="1"/>
  <c r="BK226" i="1"/>
  <c r="BZ226" i="1" s="1"/>
  <c r="BM226" i="1"/>
  <c r="BR225" i="1" a="1"/>
  <c r="BR225" i="1" s="1"/>
  <c r="N225" i="1"/>
  <c r="BV225" i="1" s="1"/>
  <c r="Z225" i="1"/>
  <c r="BW225" i="1" s="1"/>
  <c r="AL225" i="1"/>
  <c r="BX225" i="1" s="1"/>
  <c r="AX225" i="1"/>
  <c r="BY225" i="1" s="1"/>
  <c r="BK225" i="1"/>
  <c r="BZ225" i="1"/>
  <c r="BM225" i="1"/>
  <c r="BR224" i="1" a="1"/>
  <c r="BR224" i="1" s="1"/>
  <c r="Z224" i="1"/>
  <c r="N224" i="1"/>
  <c r="BV224" i="1" s="1"/>
  <c r="AL224" i="1"/>
  <c r="BX224" i="1" s="1"/>
  <c r="AX224" i="1"/>
  <c r="BY224" i="1" s="1"/>
  <c r="BK224" i="1"/>
  <c r="BZ224" i="1" s="1"/>
  <c r="BM224" i="1"/>
  <c r="BR223" i="1" a="1"/>
  <c r="BR223" i="1" s="1"/>
  <c r="N223" i="1"/>
  <c r="BV223" i="1" s="1"/>
  <c r="Z223" i="1"/>
  <c r="BW223" i="1" s="1"/>
  <c r="AL223" i="1"/>
  <c r="BX223" i="1" s="1"/>
  <c r="AX223" i="1"/>
  <c r="BY223" i="1" s="1"/>
  <c r="BK223" i="1"/>
  <c r="BZ223" i="1" s="1"/>
  <c r="BM223" i="1"/>
  <c r="BR222" i="1" a="1"/>
  <c r="BR222" i="1" s="1"/>
  <c r="N222" i="1"/>
  <c r="BV222" i="1" s="1"/>
  <c r="Z222" i="1"/>
  <c r="BW222" i="1" s="1"/>
  <c r="AL222" i="1"/>
  <c r="AX222" i="1"/>
  <c r="BY222" i="1" s="1"/>
  <c r="BK222" i="1"/>
  <c r="BZ222" i="1" s="1"/>
  <c r="BM222" i="1"/>
  <c r="BR221" i="1" a="1"/>
  <c r="BR221" i="1" s="1"/>
  <c r="N221" i="1"/>
  <c r="BV221" i="1" s="1"/>
  <c r="Z221" i="1"/>
  <c r="BW221" i="1" s="1"/>
  <c r="AL221" i="1"/>
  <c r="BX221" i="1" s="1"/>
  <c r="AX221" i="1"/>
  <c r="BY221" i="1" s="1"/>
  <c r="BK221" i="1"/>
  <c r="BZ221" i="1" s="1"/>
  <c r="BM221" i="1"/>
  <c r="BR220" i="1" a="1"/>
  <c r="BR220" i="1" s="1"/>
  <c r="N220" i="1"/>
  <c r="BV220" i="1" s="1"/>
  <c r="Z220" i="1"/>
  <c r="BW220" i="1" s="1"/>
  <c r="AL220" i="1"/>
  <c r="BX220" i="1" s="1"/>
  <c r="AX220" i="1"/>
  <c r="BY220" i="1" s="1"/>
  <c r="BK220" i="1"/>
  <c r="BZ220" i="1" s="1"/>
  <c r="BM220" i="1"/>
  <c r="BR218" i="1" a="1"/>
  <c r="BR218" i="1" s="1"/>
  <c r="N218" i="1"/>
  <c r="Z218" i="1"/>
  <c r="BW218" i="1" s="1"/>
  <c r="AL218" i="1"/>
  <c r="BX218" i="1" s="1"/>
  <c r="AX218" i="1"/>
  <c r="BY218" i="1" s="1"/>
  <c r="BK218" i="1"/>
  <c r="BZ218" i="1" s="1"/>
  <c r="BM218" i="1"/>
  <c r="BR216" i="1" a="1"/>
  <c r="BR216" i="1" s="1"/>
  <c r="N216" i="1"/>
  <c r="Z216" i="1"/>
  <c r="BW216" i="1" s="1"/>
  <c r="AL216" i="1"/>
  <c r="BX216" i="1" s="1"/>
  <c r="AX216" i="1"/>
  <c r="BY216" i="1" s="1"/>
  <c r="BK216" i="1"/>
  <c r="BZ216" i="1" s="1"/>
  <c r="BM216" i="1"/>
  <c r="BR215" i="1" a="1"/>
  <c r="BR215" i="1" s="1"/>
  <c r="N215" i="1"/>
  <c r="BV215" i="1" s="1"/>
  <c r="Z215" i="1"/>
  <c r="BW215" i="1" s="1"/>
  <c r="AL215" i="1"/>
  <c r="AX215" i="1"/>
  <c r="BY215" i="1" s="1"/>
  <c r="BK215" i="1"/>
  <c r="BZ215" i="1" s="1"/>
  <c r="BM215" i="1"/>
  <c r="BR214" i="1" a="1"/>
  <c r="BR214" i="1" s="1"/>
  <c r="N214" i="1"/>
  <c r="BV214" i="1" s="1"/>
  <c r="Z214" i="1"/>
  <c r="BW214" i="1" s="1"/>
  <c r="AL214" i="1"/>
  <c r="BX214" i="1" s="1"/>
  <c r="AX214" i="1"/>
  <c r="BY214" i="1" s="1"/>
  <c r="BK214" i="1"/>
  <c r="BZ214" i="1" s="1"/>
  <c r="BM214" i="1"/>
  <c r="BR213" i="1" a="1"/>
  <c r="BR213" i="1" s="1"/>
  <c r="N213" i="1"/>
  <c r="BV213" i="1" s="1"/>
  <c r="Z213" i="1"/>
  <c r="AL213" i="1"/>
  <c r="BX213" i="1"/>
  <c r="AX213" i="1"/>
  <c r="BY213" i="1" s="1"/>
  <c r="BK213" i="1"/>
  <c r="BZ213" i="1" s="1"/>
  <c r="BM213" i="1"/>
  <c r="BR212" i="1" a="1"/>
  <c r="BR212" i="1" s="1"/>
  <c r="N212" i="1"/>
  <c r="BV212" i="1" s="1"/>
  <c r="Z212" i="1"/>
  <c r="BW212" i="1" s="1"/>
  <c r="AL212" i="1"/>
  <c r="BX212" i="1" s="1"/>
  <c r="AX212" i="1"/>
  <c r="BY212" i="1" s="1"/>
  <c r="BK212" i="1"/>
  <c r="BZ212" i="1" s="1"/>
  <c r="BM212" i="1"/>
  <c r="BR211" i="1" a="1"/>
  <c r="BR211" i="1" s="1"/>
  <c r="N211" i="1"/>
  <c r="BV211" i="1" s="1"/>
  <c r="Z211" i="1"/>
  <c r="BW211" i="1" s="1"/>
  <c r="AL211" i="1"/>
  <c r="BX211" i="1" s="1"/>
  <c r="AX211" i="1"/>
  <c r="BY211" i="1" s="1"/>
  <c r="BK211" i="1"/>
  <c r="BZ211" i="1" s="1"/>
  <c r="BM211" i="1"/>
  <c r="BR210" i="1" a="1"/>
  <c r="BR210" i="1" s="1"/>
  <c r="N210" i="1"/>
  <c r="BV210" i="1" s="1"/>
  <c r="Z210" i="1"/>
  <c r="BW210" i="1" s="1"/>
  <c r="AL210" i="1"/>
  <c r="BX210" i="1" s="1"/>
  <c r="AX210" i="1"/>
  <c r="BY210" i="1" s="1"/>
  <c r="BK210" i="1"/>
  <c r="BZ210" i="1" s="1"/>
  <c r="BM210" i="1"/>
  <c r="BR209" i="1" a="1"/>
  <c r="BR209" i="1" s="1"/>
  <c r="Z209" i="1"/>
  <c r="BW209" i="1" s="1"/>
  <c r="N209" i="1"/>
  <c r="BV209" i="1" s="1"/>
  <c r="AL209" i="1"/>
  <c r="BX209" i="1" s="1"/>
  <c r="AX209" i="1"/>
  <c r="BY209" i="1" s="1"/>
  <c r="BK209" i="1"/>
  <c r="BZ209" i="1" s="1"/>
  <c r="BM209" i="1"/>
  <c r="BR207" i="1" a="1"/>
  <c r="BR207" i="1" s="1"/>
  <c r="N207" i="1"/>
  <c r="BV207" i="1" s="1"/>
  <c r="Z207" i="1"/>
  <c r="AL207" i="1"/>
  <c r="BX207" i="1" s="1"/>
  <c r="AX207" i="1"/>
  <c r="BY207" i="1" s="1"/>
  <c r="BK207" i="1"/>
  <c r="BZ207" i="1" s="1"/>
  <c r="BM207" i="1"/>
  <c r="BR206" i="1" a="1"/>
  <c r="BR206" i="1" s="1"/>
  <c r="N206" i="1"/>
  <c r="BV206" i="1" s="1"/>
  <c r="Z206" i="1"/>
  <c r="BW206" i="1" s="1"/>
  <c r="AL206" i="1"/>
  <c r="BX206" i="1" s="1"/>
  <c r="AX206" i="1"/>
  <c r="BY206" i="1" s="1"/>
  <c r="BK206" i="1"/>
  <c r="BZ206" i="1" s="1"/>
  <c r="BM206" i="1"/>
  <c r="BR205" i="1" a="1"/>
  <c r="BR205" i="1" s="1"/>
  <c r="N205" i="1"/>
  <c r="BV205" i="1" s="1"/>
  <c r="Z205" i="1"/>
  <c r="BW205" i="1" s="1"/>
  <c r="AL205" i="1"/>
  <c r="BX205" i="1" s="1"/>
  <c r="AX205" i="1"/>
  <c r="BY205" i="1" s="1"/>
  <c r="BK205" i="1"/>
  <c r="BZ205" i="1" s="1"/>
  <c r="BM205" i="1"/>
  <c r="BR204" i="1" a="1"/>
  <c r="BR204" i="1" s="1"/>
  <c r="N204" i="1"/>
  <c r="BV204" i="1" s="1"/>
  <c r="Z204" i="1"/>
  <c r="BW204" i="1" s="1"/>
  <c r="AL204" i="1"/>
  <c r="BX204" i="1" s="1"/>
  <c r="AX204" i="1"/>
  <c r="BK204" i="1"/>
  <c r="BZ204" i="1"/>
  <c r="BM204" i="1"/>
  <c r="BR202" i="1" a="1"/>
  <c r="BR202" i="1" s="1"/>
  <c r="N202" i="1"/>
  <c r="Z202" i="1"/>
  <c r="BW202" i="1" s="1"/>
  <c r="AL202" i="1"/>
  <c r="BX202" i="1" s="1"/>
  <c r="AX202" i="1"/>
  <c r="BY202" i="1" s="1"/>
  <c r="BK202" i="1"/>
  <c r="BZ202" i="1" s="1"/>
  <c r="BM202" i="1"/>
  <c r="BR201" i="1" a="1"/>
  <c r="BR201" i="1" s="1"/>
  <c r="N201" i="1"/>
  <c r="BV201" i="1" s="1"/>
  <c r="Z201" i="1"/>
  <c r="BW201" i="1"/>
  <c r="AL201" i="1"/>
  <c r="BX201" i="1" s="1"/>
  <c r="AX201" i="1"/>
  <c r="BY201" i="1" s="1"/>
  <c r="BK201" i="1"/>
  <c r="BZ201" i="1" s="1"/>
  <c r="BM201" i="1"/>
  <c r="BS200" i="1"/>
  <c r="BR200" i="1" a="1"/>
  <c r="BR200" i="1" s="1"/>
  <c r="N200" i="1"/>
  <c r="BV200" i="1" s="1"/>
  <c r="Z200" i="1"/>
  <c r="BW200" i="1" s="1"/>
  <c r="AL200" i="1"/>
  <c r="BX200" i="1" s="1"/>
  <c r="AX200" i="1"/>
  <c r="BY200" i="1" s="1"/>
  <c r="BK200" i="1"/>
  <c r="BZ200" i="1" s="1"/>
  <c r="BM200" i="1"/>
  <c r="BR198" i="1" a="1"/>
  <c r="BR198" i="1" s="1"/>
  <c r="N198" i="1"/>
  <c r="BV198" i="1" s="1"/>
  <c r="Z198" i="1"/>
  <c r="BW198" i="1" s="1"/>
  <c r="AL198" i="1"/>
  <c r="BX198" i="1" s="1"/>
  <c r="AX198" i="1"/>
  <c r="BY198" i="1"/>
  <c r="BK198" i="1"/>
  <c r="BZ198" i="1" s="1"/>
  <c r="BM198" i="1"/>
  <c r="BR197" i="1" a="1"/>
  <c r="BR197" i="1" s="1"/>
  <c r="N197" i="1"/>
  <c r="BV197" i="1" s="1"/>
  <c r="Z197" i="1"/>
  <c r="BW197" i="1"/>
  <c r="AL197" i="1"/>
  <c r="AX197" i="1"/>
  <c r="BY197" i="1" s="1"/>
  <c r="BK197" i="1"/>
  <c r="BZ197" i="1" s="1"/>
  <c r="BM197" i="1"/>
  <c r="BR196" i="1" a="1"/>
  <c r="BR196" i="1" s="1"/>
  <c r="N196" i="1"/>
  <c r="BV196" i="1" s="1"/>
  <c r="Z196" i="1"/>
  <c r="BW196" i="1" s="1"/>
  <c r="AL196" i="1"/>
  <c r="BX196" i="1" s="1"/>
  <c r="AX196" i="1"/>
  <c r="BY196" i="1" s="1"/>
  <c r="BK196" i="1"/>
  <c r="BZ196" i="1" s="1"/>
  <c r="BM196" i="1"/>
  <c r="BR195" i="1" a="1"/>
  <c r="BR195" i="1" s="1"/>
  <c r="N195" i="1"/>
  <c r="BV195" i="1" s="1"/>
  <c r="Z195" i="1"/>
  <c r="AL195" i="1"/>
  <c r="BX195" i="1"/>
  <c r="AX195" i="1"/>
  <c r="BY195" i="1" s="1"/>
  <c r="BK195" i="1"/>
  <c r="BZ195" i="1" s="1"/>
  <c r="BM195" i="1"/>
  <c r="BR194" i="1" a="1"/>
  <c r="BR194" i="1" s="1"/>
  <c r="N194" i="1"/>
  <c r="BV194" i="1" s="1"/>
  <c r="Z194" i="1"/>
  <c r="BW194" i="1" s="1"/>
  <c r="AL194" i="1"/>
  <c r="AX194" i="1"/>
  <c r="BY194" i="1" s="1"/>
  <c r="BK194" i="1"/>
  <c r="BZ194" i="1" s="1"/>
  <c r="BM194" i="1"/>
  <c r="BR193" i="1" a="1"/>
  <c r="BR193" i="1" s="1"/>
  <c r="N193" i="1"/>
  <c r="BV193" i="1" s="1"/>
  <c r="Z193" i="1"/>
  <c r="BW193" i="1" s="1"/>
  <c r="AL193" i="1"/>
  <c r="AX193" i="1"/>
  <c r="BY193" i="1" s="1"/>
  <c r="BK193" i="1"/>
  <c r="BZ193" i="1" s="1"/>
  <c r="BM193" i="1"/>
  <c r="BR192" i="1" a="1"/>
  <c r="BR192" i="1" s="1"/>
  <c r="N192" i="1"/>
  <c r="BV192" i="1" s="1"/>
  <c r="Z192" i="1"/>
  <c r="BW192" i="1" s="1"/>
  <c r="AL192" i="1"/>
  <c r="BX192" i="1" s="1"/>
  <c r="AX192" i="1"/>
  <c r="BY192" i="1" s="1"/>
  <c r="BK192" i="1"/>
  <c r="BZ192" i="1" s="1"/>
  <c r="BM192" i="1"/>
  <c r="BR191" i="1" a="1"/>
  <c r="BR191" i="1" s="1"/>
  <c r="N191" i="1"/>
  <c r="BV191" i="1" s="1"/>
  <c r="Z191" i="1"/>
  <c r="AL191" i="1"/>
  <c r="BX191" i="1" s="1"/>
  <c r="AX191" i="1"/>
  <c r="BY191" i="1"/>
  <c r="BK191" i="1"/>
  <c r="BZ191" i="1" s="1"/>
  <c r="BM191" i="1"/>
  <c r="BR190" i="1" a="1"/>
  <c r="BR190" i="1" s="1"/>
  <c r="N190" i="1"/>
  <c r="BV190" i="1" s="1"/>
  <c r="Z190" i="1"/>
  <c r="AL190" i="1"/>
  <c r="BX190" i="1" s="1"/>
  <c r="AX190" i="1"/>
  <c r="BY190" i="1" s="1"/>
  <c r="BK190" i="1"/>
  <c r="BZ190" i="1" s="1"/>
  <c r="BM190" i="1"/>
  <c r="BR189" i="1" a="1"/>
  <c r="BR189" i="1" s="1"/>
  <c r="N189" i="1"/>
  <c r="BV189" i="1" s="1"/>
  <c r="Z189" i="1"/>
  <c r="BW189" i="1" s="1"/>
  <c r="AL189" i="1"/>
  <c r="BX189" i="1" s="1"/>
  <c r="AX189" i="1"/>
  <c r="BY189" i="1" s="1"/>
  <c r="BK189" i="1"/>
  <c r="BZ189" i="1" s="1"/>
  <c r="BM189" i="1"/>
  <c r="BR188" i="1" a="1"/>
  <c r="BR188" i="1" s="1"/>
  <c r="N188" i="1"/>
  <c r="BV188" i="1" s="1"/>
  <c r="Z188" i="1"/>
  <c r="AL188" i="1"/>
  <c r="BX188" i="1" s="1"/>
  <c r="AX188" i="1"/>
  <c r="BY188" i="1"/>
  <c r="BK188" i="1"/>
  <c r="BZ188" i="1" s="1"/>
  <c r="BM188" i="1"/>
  <c r="BR187" i="1" a="1"/>
  <c r="BR187" i="1" s="1"/>
  <c r="N187" i="1"/>
  <c r="BV187" i="1" s="1"/>
  <c r="Z187" i="1"/>
  <c r="BW187" i="1" s="1"/>
  <c r="AL187" i="1"/>
  <c r="BX187" i="1" s="1"/>
  <c r="AX187" i="1"/>
  <c r="BY187" i="1" s="1"/>
  <c r="BK187" i="1"/>
  <c r="BZ187" i="1" s="1"/>
  <c r="BM187" i="1"/>
  <c r="BR186" i="1" a="1"/>
  <c r="BR186" i="1" s="1"/>
  <c r="N186" i="1"/>
  <c r="BV186" i="1" s="1"/>
  <c r="Z186" i="1"/>
  <c r="BW186" i="1" s="1"/>
  <c r="AL186" i="1"/>
  <c r="AX186" i="1"/>
  <c r="BY186" i="1" s="1"/>
  <c r="BK186" i="1"/>
  <c r="BZ186" i="1" s="1"/>
  <c r="BM186" i="1"/>
  <c r="BR185" i="1" a="1"/>
  <c r="BR185" i="1" s="1"/>
  <c r="N185" i="1"/>
  <c r="BV185" i="1" s="1"/>
  <c r="Z185" i="1"/>
  <c r="BW185" i="1"/>
  <c r="AL185" i="1"/>
  <c r="BX185" i="1" s="1"/>
  <c r="AX185" i="1"/>
  <c r="BY185" i="1" s="1"/>
  <c r="BK185" i="1"/>
  <c r="BZ185" i="1" s="1"/>
  <c r="BM185" i="1"/>
  <c r="BR184" i="1" a="1"/>
  <c r="BR184" i="1" s="1"/>
  <c r="N184" i="1"/>
  <c r="BV184" i="1" s="1"/>
  <c r="Z184" i="1"/>
  <c r="BW184" i="1" s="1"/>
  <c r="AL184" i="1"/>
  <c r="BX184" i="1" s="1"/>
  <c r="AX184" i="1"/>
  <c r="BY184" i="1" s="1"/>
  <c r="BK184" i="1"/>
  <c r="BZ184" i="1" s="1"/>
  <c r="BM184" i="1"/>
  <c r="BR183" i="1" a="1"/>
  <c r="BR183" i="1" s="1"/>
  <c r="Z183" i="1"/>
  <c r="BW183" i="1" s="1"/>
  <c r="N183" i="1"/>
  <c r="BV183" i="1" s="1"/>
  <c r="AL183" i="1"/>
  <c r="BX183" i="1" s="1"/>
  <c r="AX183" i="1"/>
  <c r="BY183" i="1" s="1"/>
  <c r="BK183" i="1"/>
  <c r="BZ183" i="1" s="1"/>
  <c r="BM183" i="1"/>
  <c r="BR182" i="1" a="1"/>
  <c r="BR182" i="1" s="1"/>
  <c r="N182" i="1"/>
  <c r="BV182" i="1" s="1"/>
  <c r="Z182" i="1"/>
  <c r="AL182" i="1"/>
  <c r="BX182" i="1"/>
  <c r="AX182" i="1"/>
  <c r="BY182" i="1"/>
  <c r="BK182" i="1"/>
  <c r="BZ182" i="1"/>
  <c r="BM182" i="1"/>
  <c r="BR181" i="1" a="1"/>
  <c r="BR181" i="1" s="1"/>
  <c r="N181" i="1"/>
  <c r="BV181" i="1" s="1"/>
  <c r="Z181" i="1"/>
  <c r="BW181" i="1" s="1"/>
  <c r="AL181" i="1"/>
  <c r="BX181" i="1" s="1"/>
  <c r="AX181" i="1"/>
  <c r="BY181" i="1" s="1"/>
  <c r="BK181" i="1"/>
  <c r="BZ181" i="1"/>
  <c r="BM181" i="1"/>
  <c r="BR180" i="1" a="1"/>
  <c r="BR180" i="1" s="1"/>
  <c r="Z180" i="1"/>
  <c r="BW180" i="1"/>
  <c r="N180" i="1"/>
  <c r="BV180" i="1"/>
  <c r="AL180" i="1"/>
  <c r="BX180" i="1"/>
  <c r="AX180" i="1"/>
  <c r="BY180" i="1" s="1"/>
  <c r="BK180" i="1"/>
  <c r="BZ180" i="1" s="1"/>
  <c r="BM180" i="1"/>
  <c r="BR178" i="1" a="1"/>
  <c r="BR178" i="1" s="1"/>
  <c r="N178" i="1"/>
  <c r="BV178" i="1" s="1"/>
  <c r="Z178" i="1"/>
  <c r="AL178" i="1"/>
  <c r="BX178" i="1"/>
  <c r="AX178" i="1"/>
  <c r="BY178" i="1"/>
  <c r="BK178" i="1"/>
  <c r="BZ178" i="1" s="1"/>
  <c r="BM178" i="1"/>
  <c r="BR177" i="1" a="1"/>
  <c r="BR177" i="1" s="1"/>
  <c r="N177" i="1"/>
  <c r="BV177" i="1" s="1"/>
  <c r="Z177" i="1"/>
  <c r="BW177" i="1" s="1"/>
  <c r="AL177" i="1"/>
  <c r="BX177" i="1" s="1"/>
  <c r="AX177" i="1"/>
  <c r="BY177" i="1" s="1"/>
  <c r="BK177" i="1"/>
  <c r="BZ177" i="1" s="1"/>
  <c r="BM177" i="1"/>
  <c r="BR176" i="1" a="1"/>
  <c r="BR176" i="1" s="1"/>
  <c r="N176" i="1"/>
  <c r="BV176" i="1" s="1"/>
  <c r="Z176" i="1"/>
  <c r="BW176" i="1" s="1"/>
  <c r="AL176" i="1"/>
  <c r="BX176" i="1" s="1"/>
  <c r="AX176" i="1"/>
  <c r="BY176" i="1" s="1"/>
  <c r="BK176" i="1"/>
  <c r="BZ176" i="1" s="1"/>
  <c r="BM176" i="1"/>
  <c r="BR175" i="1" a="1"/>
  <c r="BR175" i="1" s="1"/>
  <c r="Z175" i="1"/>
  <c r="BW175" i="1" s="1"/>
  <c r="N175" i="1"/>
  <c r="BV175" i="1" s="1"/>
  <c r="AL175" i="1"/>
  <c r="BX175" i="1" s="1"/>
  <c r="AX175" i="1"/>
  <c r="BY175" i="1" s="1"/>
  <c r="BK175" i="1"/>
  <c r="BZ175" i="1" s="1"/>
  <c r="BM175" i="1"/>
  <c r="BR174" i="1" a="1"/>
  <c r="BR174" i="1" s="1"/>
  <c r="N174" i="1"/>
  <c r="BV174" i="1" s="1"/>
  <c r="Z174" i="1"/>
  <c r="BW174" i="1" s="1"/>
  <c r="AL174" i="1"/>
  <c r="BX174" i="1" s="1"/>
  <c r="AX174" i="1"/>
  <c r="BY174" i="1" s="1"/>
  <c r="BK174" i="1"/>
  <c r="BZ174" i="1" s="1"/>
  <c r="BM174" i="1"/>
  <c r="BR173" i="1" a="1"/>
  <c r="BR173" i="1" s="1"/>
  <c r="N173" i="1"/>
  <c r="BV173" i="1" s="1"/>
  <c r="Z173" i="1"/>
  <c r="BW173" i="1" s="1"/>
  <c r="AL173" i="1"/>
  <c r="BX173" i="1" s="1"/>
  <c r="AX173" i="1"/>
  <c r="BY173" i="1" s="1"/>
  <c r="BK173" i="1"/>
  <c r="BZ173" i="1" s="1"/>
  <c r="BM173" i="1"/>
  <c r="BR172" i="1" a="1"/>
  <c r="BR172" i="1" s="1"/>
  <c r="N172" i="1"/>
  <c r="BV172" i="1" s="1"/>
  <c r="Z172" i="1"/>
  <c r="BW172" i="1" s="1"/>
  <c r="AL172" i="1"/>
  <c r="BX172" i="1" s="1"/>
  <c r="AX172" i="1"/>
  <c r="BY172" i="1" s="1"/>
  <c r="BK172" i="1"/>
  <c r="BZ172" i="1" s="1"/>
  <c r="BM172" i="1"/>
  <c r="BR171" i="1" a="1"/>
  <c r="BR171" i="1" s="1"/>
  <c r="N171" i="1"/>
  <c r="Z171" i="1"/>
  <c r="BW171" i="1"/>
  <c r="AL171" i="1"/>
  <c r="BX171" i="1"/>
  <c r="AX171" i="1"/>
  <c r="BY171" i="1"/>
  <c r="BK171" i="1"/>
  <c r="BZ171" i="1"/>
  <c r="BM171" i="1"/>
  <c r="BR170" i="1" a="1"/>
  <c r="BR170" i="1" s="1"/>
  <c r="N170" i="1"/>
  <c r="BV170" i="1"/>
  <c r="Z170" i="1"/>
  <c r="BW170" i="1"/>
  <c r="AL170" i="1"/>
  <c r="BX170" i="1" s="1"/>
  <c r="AX170" i="1"/>
  <c r="BY170" i="1" s="1"/>
  <c r="BK170" i="1"/>
  <c r="BZ170" i="1" s="1"/>
  <c r="BM170" i="1"/>
  <c r="BR169" i="1" a="1"/>
  <c r="BR169" i="1" s="1"/>
  <c r="N169" i="1"/>
  <c r="BV169" i="1" s="1"/>
  <c r="Z169" i="1"/>
  <c r="AL169" i="1"/>
  <c r="BX169" i="1" s="1"/>
  <c r="AX169" i="1"/>
  <c r="BY169" i="1" s="1"/>
  <c r="BK169" i="1"/>
  <c r="BZ169" i="1" s="1"/>
  <c r="BM169" i="1"/>
  <c r="BR168" i="1" a="1"/>
  <c r="BR168" i="1" s="1"/>
  <c r="N168" i="1"/>
  <c r="BV168" i="1" s="1"/>
  <c r="Z168" i="1"/>
  <c r="BW168" i="1"/>
  <c r="AL168" i="1"/>
  <c r="AX168" i="1"/>
  <c r="BY168" i="1" s="1"/>
  <c r="BK168" i="1"/>
  <c r="BZ168" i="1" s="1"/>
  <c r="BM168" i="1"/>
  <c r="BR167" i="1" a="1"/>
  <c r="BR167" i="1" s="1"/>
  <c r="N167" i="1"/>
  <c r="BV167" i="1"/>
  <c r="Z167" i="1"/>
  <c r="BW167" i="1"/>
  <c r="AL167" i="1"/>
  <c r="BX167" i="1"/>
  <c r="AX167" i="1"/>
  <c r="BY167" i="1"/>
  <c r="BK167" i="1"/>
  <c r="BZ167" i="1"/>
  <c r="BM167" i="1"/>
  <c r="BR166" i="1" a="1"/>
  <c r="BR166" i="1" s="1"/>
  <c r="N166" i="1"/>
  <c r="BV166" i="1"/>
  <c r="Z166" i="1"/>
  <c r="BW166" i="1"/>
  <c r="AL166" i="1"/>
  <c r="BX166" i="1"/>
  <c r="AX166" i="1"/>
  <c r="BK166" i="1"/>
  <c r="BZ166" i="1" s="1"/>
  <c r="BM166" i="1"/>
  <c r="BR165" i="1" a="1"/>
  <c r="BR165" i="1" s="1"/>
  <c r="N165" i="1"/>
  <c r="BV165" i="1" s="1"/>
  <c r="Z165" i="1"/>
  <c r="BW165" i="1" s="1"/>
  <c r="AL165" i="1"/>
  <c r="BX165" i="1" s="1"/>
  <c r="AX165" i="1"/>
  <c r="BY165" i="1" s="1"/>
  <c r="BK165" i="1"/>
  <c r="BZ165" i="1" s="1"/>
  <c r="BM165" i="1"/>
  <c r="BR164" i="1" a="1"/>
  <c r="BR164" i="1" s="1"/>
  <c r="N164" i="1"/>
  <c r="BV164" i="1" s="1"/>
  <c r="Z164" i="1"/>
  <c r="BW164" i="1" s="1"/>
  <c r="AL164" i="1"/>
  <c r="BX164" i="1" s="1"/>
  <c r="AX164" i="1"/>
  <c r="BY164" i="1" s="1"/>
  <c r="BK164" i="1"/>
  <c r="BZ164" i="1" s="1"/>
  <c r="BM164" i="1"/>
  <c r="BR163" i="1" a="1"/>
  <c r="BR163" i="1" s="1"/>
  <c r="N163" i="1"/>
  <c r="BV163" i="1" s="1"/>
  <c r="Z163" i="1"/>
  <c r="BW163" i="1" s="1"/>
  <c r="AL163" i="1"/>
  <c r="AX163" i="1"/>
  <c r="BY163" i="1" s="1"/>
  <c r="BK163" i="1"/>
  <c r="BZ163" i="1" s="1"/>
  <c r="BM163" i="1"/>
  <c r="BR162" i="1" a="1"/>
  <c r="BR162" i="1" s="1"/>
  <c r="N162" i="1"/>
  <c r="Z162" i="1"/>
  <c r="BW162" i="1" s="1"/>
  <c r="AL162" i="1"/>
  <c r="BX162" i="1" s="1"/>
  <c r="AX162" i="1"/>
  <c r="BY162" i="1" s="1"/>
  <c r="BK162" i="1"/>
  <c r="BZ162" i="1" s="1"/>
  <c r="BM162" i="1"/>
  <c r="BR161" i="1" a="1"/>
  <c r="BR161" i="1" s="1"/>
  <c r="N161" i="1"/>
  <c r="BV161" i="1" s="1"/>
  <c r="Z161" i="1"/>
  <c r="BW161" i="1" s="1"/>
  <c r="AL161" i="1"/>
  <c r="BX161" i="1" s="1"/>
  <c r="AX161" i="1"/>
  <c r="BY161" i="1" s="1"/>
  <c r="BK161" i="1"/>
  <c r="BZ161" i="1" s="1"/>
  <c r="BM161" i="1"/>
  <c r="BR160" i="1" a="1"/>
  <c r="BR160" i="1" s="1"/>
  <c r="N160" i="1"/>
  <c r="Z160" i="1"/>
  <c r="BW160" i="1" s="1"/>
  <c r="AL160" i="1"/>
  <c r="BX160" i="1"/>
  <c r="AX160" i="1"/>
  <c r="BY160" i="1" s="1"/>
  <c r="BK160" i="1"/>
  <c r="BZ160" i="1"/>
  <c r="BM160" i="1"/>
  <c r="BR159" i="1" a="1"/>
  <c r="BR159" i="1" s="1"/>
  <c r="N159" i="1"/>
  <c r="BV159" i="1"/>
  <c r="Z159" i="1"/>
  <c r="BW159" i="1"/>
  <c r="AL159" i="1"/>
  <c r="BX159" i="1"/>
  <c r="AX159" i="1"/>
  <c r="BK159" i="1"/>
  <c r="BZ159" i="1" s="1"/>
  <c r="BM159" i="1"/>
  <c r="BR158" i="1" a="1"/>
  <c r="BR158" i="1" s="1"/>
  <c r="N158" i="1"/>
  <c r="BV158" i="1" s="1"/>
  <c r="Z158" i="1"/>
  <c r="BW158" i="1" s="1"/>
  <c r="AL158" i="1"/>
  <c r="BX158" i="1" s="1"/>
  <c r="AX158" i="1"/>
  <c r="BK158" i="1"/>
  <c r="BZ158" i="1"/>
  <c r="BM158" i="1"/>
  <c r="BR157" i="1" a="1"/>
  <c r="BR157" i="1" s="1"/>
  <c r="N157" i="1"/>
  <c r="BV157" i="1"/>
  <c r="Z157" i="1"/>
  <c r="BW157" i="1"/>
  <c r="AL157" i="1"/>
  <c r="AX157" i="1"/>
  <c r="BY157" i="1" s="1"/>
  <c r="BK157" i="1"/>
  <c r="BZ157" i="1" s="1"/>
  <c r="BM157" i="1"/>
  <c r="BR156" i="1" a="1"/>
  <c r="BR156" i="1" s="1"/>
  <c r="N156" i="1"/>
  <c r="BV156" i="1" s="1"/>
  <c r="Z156" i="1"/>
  <c r="BW156" i="1" s="1"/>
  <c r="AL156" i="1"/>
  <c r="BX156" i="1" s="1"/>
  <c r="AX156" i="1"/>
  <c r="BY156" i="1" s="1"/>
  <c r="BK156" i="1"/>
  <c r="BZ156" i="1" s="1"/>
  <c r="BM156" i="1"/>
  <c r="BR155" i="1" a="1"/>
  <c r="BR155" i="1" s="1"/>
  <c r="N155" i="1"/>
  <c r="BV155" i="1" s="1"/>
  <c r="Z155" i="1"/>
  <c r="BW155" i="1" s="1"/>
  <c r="AL155" i="1"/>
  <c r="BX155" i="1" s="1"/>
  <c r="AX155" i="1"/>
  <c r="BY155" i="1" s="1"/>
  <c r="BK155" i="1"/>
  <c r="BZ155" i="1" s="1"/>
  <c r="BM155" i="1"/>
  <c r="BR154" i="1" a="1"/>
  <c r="BR154" i="1" s="1"/>
  <c r="N154" i="1"/>
  <c r="BV154" i="1" s="1"/>
  <c r="Z154" i="1"/>
  <c r="BW154" i="1" s="1"/>
  <c r="AL154" i="1"/>
  <c r="BX154" i="1" s="1"/>
  <c r="AX154" i="1"/>
  <c r="BY154" i="1" s="1"/>
  <c r="BK154" i="1"/>
  <c r="BZ154" i="1" s="1"/>
  <c r="BM154" i="1"/>
  <c r="BR153" i="1" a="1"/>
  <c r="BR153" i="1" s="1"/>
  <c r="N153" i="1"/>
  <c r="BV153" i="1" s="1"/>
  <c r="Z153" i="1"/>
  <c r="BW153" i="1" s="1"/>
  <c r="AL153" i="1"/>
  <c r="BX153" i="1" s="1"/>
  <c r="AX153" i="1"/>
  <c r="BY153" i="1" s="1"/>
  <c r="BK153" i="1"/>
  <c r="BZ153" i="1" s="1"/>
  <c r="BM153" i="1"/>
  <c r="BR152" i="1" a="1"/>
  <c r="BR152" i="1" s="1"/>
  <c r="N152" i="1"/>
  <c r="BV152" i="1" s="1"/>
  <c r="Z152" i="1"/>
  <c r="BW152" i="1" s="1"/>
  <c r="AL152" i="1"/>
  <c r="AX152" i="1"/>
  <c r="BY152" i="1" s="1"/>
  <c r="BK152" i="1"/>
  <c r="BZ152" i="1"/>
  <c r="BM152" i="1"/>
  <c r="BR151" i="1" a="1"/>
  <c r="BR151" i="1" s="1"/>
  <c r="N151" i="1"/>
  <c r="BV151" i="1"/>
  <c r="Z151" i="1"/>
  <c r="BW151" i="1" s="1"/>
  <c r="AL151" i="1"/>
  <c r="BX151" i="1" s="1"/>
  <c r="AX151" i="1"/>
  <c r="BY151" i="1" s="1"/>
  <c r="BK151" i="1"/>
  <c r="BZ151" i="1" s="1"/>
  <c r="BM151" i="1"/>
  <c r="BR150" i="1" a="1"/>
  <c r="BR150" i="1" s="1"/>
  <c r="N150" i="1"/>
  <c r="BV150" i="1" s="1"/>
  <c r="Z150" i="1"/>
  <c r="BW150" i="1" s="1"/>
  <c r="AL150" i="1"/>
  <c r="BX150" i="1" s="1"/>
  <c r="AX150" i="1"/>
  <c r="BY150" i="1" s="1"/>
  <c r="BK150" i="1"/>
  <c r="BZ150" i="1" s="1"/>
  <c r="BM150" i="1"/>
  <c r="BR149" i="1" a="1"/>
  <c r="BR149" i="1" s="1"/>
  <c r="N149" i="1"/>
  <c r="BV149" i="1" s="1"/>
  <c r="Z149" i="1"/>
  <c r="BW149" i="1" s="1"/>
  <c r="AL149" i="1"/>
  <c r="BX149" i="1" s="1"/>
  <c r="AX149" i="1"/>
  <c r="BY149" i="1" s="1"/>
  <c r="BK149" i="1"/>
  <c r="BZ149" i="1" s="1"/>
  <c r="BM149" i="1"/>
  <c r="BR148" i="1" a="1"/>
  <c r="BR148" i="1" s="1"/>
  <c r="N148" i="1"/>
  <c r="BV148" i="1" s="1"/>
  <c r="Z148" i="1"/>
  <c r="BW148" i="1" s="1"/>
  <c r="AL148" i="1"/>
  <c r="BX148" i="1" s="1"/>
  <c r="AX148" i="1"/>
  <c r="BK148" i="1"/>
  <c r="BZ148" i="1"/>
  <c r="BM148" i="1"/>
  <c r="BR147" i="1" a="1"/>
  <c r="BR147" i="1" s="1"/>
  <c r="N147" i="1"/>
  <c r="Z147" i="1"/>
  <c r="BW147" i="1" s="1"/>
  <c r="AL147" i="1"/>
  <c r="BX147" i="1" s="1"/>
  <c r="AX147" i="1"/>
  <c r="BY147" i="1" s="1"/>
  <c r="BK147" i="1"/>
  <c r="BZ147" i="1" s="1"/>
  <c r="BM147" i="1"/>
  <c r="BR146" i="1" a="1"/>
  <c r="BR146" i="1" s="1"/>
  <c r="N146" i="1"/>
  <c r="Z146" i="1"/>
  <c r="BW146" i="1"/>
  <c r="AL146" i="1"/>
  <c r="BX146" i="1"/>
  <c r="AX146" i="1"/>
  <c r="BY146" i="1"/>
  <c r="BK146" i="1"/>
  <c r="BZ146" i="1"/>
  <c r="BM146" i="1"/>
  <c r="BR145" i="1" a="1"/>
  <c r="BR145" i="1" s="1"/>
  <c r="N145" i="1"/>
  <c r="Z145" i="1"/>
  <c r="BW145" i="1" s="1"/>
  <c r="AL145" i="1"/>
  <c r="BX145" i="1" s="1"/>
  <c r="AX145" i="1"/>
  <c r="BY145" i="1" s="1"/>
  <c r="BK145" i="1"/>
  <c r="BZ145" i="1" s="1"/>
  <c r="BM145" i="1"/>
  <c r="BR144" i="1" a="1"/>
  <c r="BR144" i="1" s="1"/>
  <c r="Z144" i="1"/>
  <c r="BW144" i="1" s="1"/>
  <c r="N144" i="1"/>
  <c r="BV144" i="1" s="1"/>
  <c r="AL144" i="1"/>
  <c r="BX144" i="1" s="1"/>
  <c r="AX144" i="1"/>
  <c r="BY144" i="1" s="1"/>
  <c r="BK144" i="1"/>
  <c r="BZ144" i="1" s="1"/>
  <c r="BM144" i="1"/>
  <c r="BR143" i="1" a="1"/>
  <c r="BR143" i="1" s="1"/>
  <c r="N143" i="1"/>
  <c r="BV143" i="1"/>
  <c r="Z143" i="1"/>
  <c r="BW143" i="1"/>
  <c r="AL143" i="1"/>
  <c r="BX143" i="1"/>
  <c r="AX143" i="1"/>
  <c r="BY143" i="1"/>
  <c r="BK143" i="1"/>
  <c r="BM143" i="1"/>
  <c r="BR142" i="1" a="1"/>
  <c r="BR142" i="1" s="1"/>
  <c r="N142" i="1"/>
  <c r="BV142" i="1" s="1"/>
  <c r="Z142" i="1"/>
  <c r="BW142" i="1" s="1"/>
  <c r="AL142" i="1"/>
  <c r="BX142" i="1" s="1"/>
  <c r="AX142" i="1"/>
  <c r="BY142" i="1" s="1"/>
  <c r="BK142" i="1"/>
  <c r="BZ142" i="1" s="1"/>
  <c r="BM142" i="1"/>
  <c r="BR140" i="1" a="1"/>
  <c r="BR140" i="1" s="1"/>
  <c r="N140" i="1"/>
  <c r="BV140" i="1" s="1"/>
  <c r="Z140" i="1"/>
  <c r="BW140" i="1" s="1"/>
  <c r="AL140" i="1"/>
  <c r="BX140" i="1" s="1"/>
  <c r="AX140" i="1"/>
  <c r="BK140" i="1"/>
  <c r="BZ140" i="1" s="1"/>
  <c r="BM140" i="1"/>
  <c r="BR139" i="1" a="1"/>
  <c r="BR139" i="1" s="1"/>
  <c r="N139" i="1"/>
  <c r="BV139" i="1" s="1"/>
  <c r="Z139" i="1"/>
  <c r="BW139" i="1" s="1"/>
  <c r="AL139" i="1"/>
  <c r="BX139" i="1" s="1"/>
  <c r="AX139" i="1"/>
  <c r="BY139" i="1" s="1"/>
  <c r="BK139" i="1"/>
  <c r="BZ139" i="1" s="1"/>
  <c r="BM139" i="1"/>
  <c r="BR138" i="1" a="1"/>
  <c r="BR138" i="1" s="1"/>
  <c r="N138" i="1"/>
  <c r="BV138" i="1" s="1"/>
  <c r="Z138" i="1"/>
  <c r="BW138" i="1" s="1"/>
  <c r="AL138" i="1"/>
  <c r="BX138" i="1" s="1"/>
  <c r="AX138" i="1"/>
  <c r="BY138" i="1" s="1"/>
  <c r="BK138" i="1"/>
  <c r="BZ138" i="1" s="1"/>
  <c r="BM138" i="1"/>
  <c r="BR137" i="1" a="1"/>
  <c r="BR137" i="1" s="1"/>
  <c r="N137" i="1"/>
  <c r="BV137" i="1" s="1"/>
  <c r="Z137" i="1"/>
  <c r="BW137" i="1" s="1"/>
  <c r="AL137" i="1"/>
  <c r="BX137" i="1" s="1"/>
  <c r="AX137" i="1"/>
  <c r="BY137" i="1" s="1"/>
  <c r="BK137" i="1"/>
  <c r="BZ137" i="1" s="1"/>
  <c r="BM137" i="1"/>
  <c r="BR136" i="1" a="1"/>
  <c r="BR136" i="1" s="1"/>
  <c r="N136" i="1"/>
  <c r="BV136" i="1" s="1"/>
  <c r="Z136" i="1"/>
  <c r="BW136" i="1" s="1"/>
  <c r="AL136" i="1"/>
  <c r="BX136" i="1" s="1"/>
  <c r="AX136" i="1"/>
  <c r="BY136" i="1" s="1"/>
  <c r="BK136" i="1"/>
  <c r="BZ136" i="1" s="1"/>
  <c r="BM136" i="1"/>
  <c r="BR135" i="1" a="1"/>
  <c r="BR135" i="1" s="1"/>
  <c r="N135" i="1"/>
  <c r="Z135" i="1"/>
  <c r="BW135" i="1"/>
  <c r="AL135" i="1"/>
  <c r="BX135" i="1"/>
  <c r="AX135" i="1"/>
  <c r="BY135" i="1"/>
  <c r="BK135" i="1"/>
  <c r="BZ135" i="1"/>
  <c r="BM135" i="1"/>
  <c r="BR134" i="1" a="1"/>
  <c r="BR134" i="1" s="1"/>
  <c r="N134" i="1"/>
  <c r="BV134" i="1"/>
  <c r="Z134" i="1"/>
  <c r="AL134" i="1"/>
  <c r="BX134" i="1" s="1"/>
  <c r="AX134" i="1"/>
  <c r="BY134" i="1" s="1"/>
  <c r="BK134" i="1"/>
  <c r="BZ134" i="1" s="1"/>
  <c r="BM134" i="1"/>
  <c r="BR133" i="1" a="1"/>
  <c r="BR133" i="1" s="1"/>
  <c r="N133" i="1"/>
  <c r="BV133" i="1" s="1"/>
  <c r="Z133" i="1"/>
  <c r="BW133" i="1" s="1"/>
  <c r="AL133" i="1"/>
  <c r="BX133" i="1" s="1"/>
  <c r="AX133" i="1"/>
  <c r="BK133" i="1"/>
  <c r="BZ133" i="1"/>
  <c r="BM133" i="1"/>
  <c r="BR132" i="1" a="1"/>
  <c r="BR132" i="1" s="1"/>
  <c r="N132" i="1"/>
  <c r="BV132" i="1"/>
  <c r="Z132" i="1"/>
  <c r="BW132" i="1"/>
  <c r="AL132" i="1"/>
  <c r="BX132" i="1"/>
  <c r="AX132" i="1"/>
  <c r="BY132" i="1"/>
  <c r="BK132" i="1"/>
  <c r="BZ132" i="1"/>
  <c r="BM132" i="1"/>
  <c r="BR131" i="1" a="1"/>
  <c r="BR131" i="1" s="1"/>
  <c r="N131" i="1"/>
  <c r="BV131" i="1"/>
  <c r="Z131" i="1"/>
  <c r="BW131" i="1"/>
  <c r="AL131" i="1"/>
  <c r="BX131" i="1"/>
  <c r="AX131" i="1"/>
  <c r="BY131" i="1"/>
  <c r="BK131" i="1"/>
  <c r="BZ131" i="1"/>
  <c r="BM131" i="1"/>
  <c r="BR130" i="1" a="1"/>
  <c r="BR130" i="1" s="1"/>
  <c r="N130" i="1"/>
  <c r="BV130" i="1"/>
  <c r="Z130" i="1"/>
  <c r="BW130" i="1"/>
  <c r="AL130" i="1"/>
  <c r="BX130" i="1" s="1"/>
  <c r="AX130" i="1"/>
  <c r="BY130" i="1" s="1"/>
  <c r="BK130" i="1"/>
  <c r="BZ130" i="1" s="1"/>
  <c r="BM130" i="1"/>
  <c r="BR129" i="1" a="1"/>
  <c r="BR129" i="1" s="1"/>
  <c r="N129" i="1"/>
  <c r="BV129" i="1" s="1"/>
  <c r="Z129" i="1"/>
  <c r="BW129" i="1" s="1"/>
  <c r="AL129" i="1"/>
  <c r="AX129" i="1"/>
  <c r="BY129" i="1" s="1"/>
  <c r="BK129" i="1"/>
  <c r="BZ129" i="1" s="1"/>
  <c r="BM129" i="1"/>
  <c r="BR128" i="1" a="1"/>
  <c r="BR128" i="1" s="1"/>
  <c r="N128" i="1"/>
  <c r="BV128" i="1" s="1"/>
  <c r="Z128" i="1"/>
  <c r="BW128" i="1" s="1"/>
  <c r="AL128" i="1"/>
  <c r="BX128" i="1" s="1"/>
  <c r="AX128" i="1"/>
  <c r="BY128" i="1" s="1"/>
  <c r="BK128" i="1"/>
  <c r="BZ128" i="1" s="1"/>
  <c r="BM128" i="1"/>
  <c r="BR127" i="1" a="1"/>
  <c r="BR127" i="1" s="1"/>
  <c r="N127" i="1"/>
  <c r="BV127" i="1" s="1"/>
  <c r="Z127" i="1"/>
  <c r="BW127" i="1" s="1"/>
  <c r="AL127" i="1"/>
  <c r="BX127" i="1" s="1"/>
  <c r="AX127" i="1"/>
  <c r="BY127" i="1" s="1"/>
  <c r="BK127" i="1"/>
  <c r="BZ127" i="1" s="1"/>
  <c r="BM127" i="1"/>
  <c r="BR126" i="1" a="1"/>
  <c r="BR126" i="1" s="1"/>
  <c r="N126" i="1"/>
  <c r="Z126" i="1"/>
  <c r="BW126" i="1" s="1"/>
  <c r="AL126" i="1"/>
  <c r="BX126" i="1" s="1"/>
  <c r="AX126" i="1"/>
  <c r="BY126" i="1" s="1"/>
  <c r="BK126" i="1"/>
  <c r="BZ126" i="1" s="1"/>
  <c r="BM126" i="1"/>
  <c r="BR125" i="1" a="1"/>
  <c r="BR125" i="1" s="1"/>
  <c r="N125" i="1"/>
  <c r="BV125" i="1" s="1"/>
  <c r="Z125" i="1"/>
  <c r="BW125" i="1" s="1"/>
  <c r="AL125" i="1"/>
  <c r="BX125" i="1" s="1"/>
  <c r="AX125" i="1"/>
  <c r="BY125" i="1" s="1"/>
  <c r="BK125" i="1"/>
  <c r="BZ125" i="1" s="1"/>
  <c r="BM125" i="1"/>
  <c r="BR124" i="1" a="1"/>
  <c r="BR124" i="1" s="1"/>
  <c r="N124" i="1"/>
  <c r="BV124" i="1" s="1"/>
  <c r="Z124" i="1"/>
  <c r="BW124" i="1" s="1"/>
  <c r="AL124" i="1"/>
  <c r="BX124" i="1" s="1"/>
  <c r="AX124" i="1"/>
  <c r="BY124" i="1" s="1"/>
  <c r="BK124" i="1"/>
  <c r="BZ124" i="1" s="1"/>
  <c r="BM124" i="1"/>
  <c r="BR123" i="1" a="1"/>
  <c r="BR123" i="1" s="1"/>
  <c r="N123" i="1"/>
  <c r="BV123" i="1" s="1"/>
  <c r="Z123" i="1"/>
  <c r="BW123" i="1" s="1"/>
  <c r="AL123" i="1"/>
  <c r="AX123" i="1"/>
  <c r="BY123" i="1" s="1"/>
  <c r="BK123" i="1"/>
  <c r="BZ123" i="1" s="1"/>
  <c r="BM123" i="1"/>
  <c r="BR122" i="1" a="1"/>
  <c r="BR122" i="1" s="1"/>
  <c r="N122" i="1"/>
  <c r="BV122" i="1"/>
  <c r="Z122" i="1"/>
  <c r="AL122" i="1"/>
  <c r="BX122" i="1" s="1"/>
  <c r="AX122" i="1"/>
  <c r="BY122" i="1" s="1"/>
  <c r="BK122" i="1"/>
  <c r="BZ122" i="1" s="1"/>
  <c r="BM122" i="1"/>
  <c r="BR121" i="1" a="1"/>
  <c r="BR121" i="1" s="1"/>
  <c r="N121" i="1"/>
  <c r="BV121" i="1" s="1"/>
  <c r="Z121" i="1"/>
  <c r="BW121" i="1" s="1"/>
  <c r="AL121" i="1"/>
  <c r="BX121" i="1" s="1"/>
  <c r="AX121" i="1"/>
  <c r="BY121" i="1" s="1"/>
  <c r="BK121" i="1"/>
  <c r="BZ121" i="1" s="1"/>
  <c r="BM121" i="1"/>
  <c r="BR120" i="1" a="1"/>
  <c r="BR120" i="1" s="1"/>
  <c r="N120" i="1"/>
  <c r="BV120" i="1" s="1"/>
  <c r="Z120" i="1"/>
  <c r="BW120" i="1" s="1"/>
  <c r="AL120" i="1"/>
  <c r="AX120" i="1"/>
  <c r="BY120" i="1"/>
  <c r="BK120" i="1"/>
  <c r="BZ120" i="1"/>
  <c r="BM120" i="1"/>
  <c r="BR119" i="1" a="1"/>
  <c r="BR119" i="1" s="1"/>
  <c r="N119" i="1"/>
  <c r="BV119" i="1"/>
  <c r="Z119" i="1"/>
  <c r="AL119" i="1"/>
  <c r="BX119" i="1" s="1"/>
  <c r="AX119" i="1"/>
  <c r="BY119" i="1" s="1"/>
  <c r="BK119" i="1"/>
  <c r="BZ119" i="1" s="1"/>
  <c r="BM119" i="1"/>
  <c r="BR118" i="1" a="1"/>
  <c r="BR118" i="1" s="1"/>
  <c r="N118" i="1"/>
  <c r="BV118" i="1" s="1"/>
  <c r="Z118" i="1"/>
  <c r="AL118" i="1"/>
  <c r="BX118" i="1"/>
  <c r="AX118" i="1"/>
  <c r="BY118" i="1"/>
  <c r="BK118" i="1"/>
  <c r="BZ118" i="1"/>
  <c r="BM118" i="1"/>
  <c r="BR117" i="1" a="1"/>
  <c r="BR117" i="1" s="1"/>
  <c r="N117" i="1"/>
  <c r="BV117" i="1"/>
  <c r="Z117" i="1"/>
  <c r="BW117" i="1"/>
  <c r="AL117" i="1"/>
  <c r="AX117" i="1"/>
  <c r="BY117" i="1" s="1"/>
  <c r="BK117" i="1"/>
  <c r="BZ117" i="1"/>
  <c r="BM117" i="1"/>
  <c r="BR116" i="1" a="1"/>
  <c r="BR116" i="1" s="1"/>
  <c r="N116" i="1"/>
  <c r="BV116" i="1" s="1"/>
  <c r="Z116" i="1"/>
  <c r="BW116" i="1" s="1"/>
  <c r="AL116" i="1"/>
  <c r="BX116" i="1" s="1"/>
  <c r="AX116" i="1"/>
  <c r="BY116" i="1" s="1"/>
  <c r="BK116" i="1"/>
  <c r="BZ116" i="1" s="1"/>
  <c r="BM116" i="1"/>
  <c r="BR115" i="1" a="1"/>
  <c r="BR115" i="1" s="1"/>
  <c r="N115" i="1"/>
  <c r="BV115" i="1" s="1"/>
  <c r="Z115" i="1"/>
  <c r="BW115" i="1" s="1"/>
  <c r="AL115" i="1"/>
  <c r="BX115" i="1" s="1"/>
  <c r="AX115" i="1"/>
  <c r="BY115" i="1" s="1"/>
  <c r="BK115" i="1"/>
  <c r="BZ115" i="1" s="1"/>
  <c r="BM115" i="1"/>
  <c r="BR114" i="1" a="1"/>
  <c r="BR114" i="1" s="1"/>
  <c r="N114" i="1"/>
  <c r="BV114" i="1" s="1"/>
  <c r="Z114" i="1"/>
  <c r="BW114" i="1" s="1"/>
  <c r="AL114" i="1"/>
  <c r="BX114" i="1" s="1"/>
  <c r="AX114" i="1"/>
  <c r="BY114" i="1" s="1"/>
  <c r="BK114" i="1"/>
  <c r="BZ114" i="1" s="1"/>
  <c r="BM114" i="1"/>
  <c r="BR113" i="1" a="1"/>
  <c r="BR113" i="1" s="1"/>
  <c r="Z113" i="1"/>
  <c r="N113" i="1"/>
  <c r="BV113" i="1" s="1"/>
  <c r="AL113" i="1"/>
  <c r="BX113" i="1" s="1"/>
  <c r="AX113" i="1"/>
  <c r="BY113" i="1" s="1"/>
  <c r="BK113" i="1"/>
  <c r="BZ113" i="1" s="1"/>
  <c r="BM113" i="1"/>
  <c r="BR112" i="1" a="1"/>
  <c r="BR112" i="1" s="1"/>
  <c r="N112" i="1"/>
  <c r="BV112" i="1" s="1"/>
  <c r="Z112" i="1"/>
  <c r="BW112" i="1" s="1"/>
  <c r="AL112" i="1"/>
  <c r="BX112" i="1" s="1"/>
  <c r="AX112" i="1"/>
  <c r="BY112" i="1" s="1"/>
  <c r="BK112" i="1"/>
  <c r="BZ112" i="1" s="1"/>
  <c r="BM112" i="1"/>
  <c r="BR111" i="1" a="1"/>
  <c r="BR111" i="1" s="1"/>
  <c r="N111" i="1"/>
  <c r="BV111" i="1" s="1"/>
  <c r="Z111" i="1"/>
  <c r="BW111" i="1" s="1"/>
  <c r="AL111" i="1"/>
  <c r="BX111" i="1" s="1"/>
  <c r="AX111" i="1"/>
  <c r="BY111" i="1" s="1"/>
  <c r="BK111" i="1"/>
  <c r="BZ111" i="1" s="1"/>
  <c r="BM111" i="1"/>
  <c r="BR110" i="1" a="1"/>
  <c r="BR110" i="1" s="1"/>
  <c r="N110" i="1"/>
  <c r="BV110" i="1" s="1"/>
  <c r="Z110" i="1"/>
  <c r="AL110" i="1"/>
  <c r="BX110" i="1" s="1"/>
  <c r="AX110" i="1"/>
  <c r="BY110" i="1" s="1"/>
  <c r="BK110" i="1"/>
  <c r="BZ110" i="1" s="1"/>
  <c r="BM110" i="1"/>
  <c r="BR109" i="1" a="1"/>
  <c r="BR109" i="1" s="1"/>
  <c r="N109" i="1"/>
  <c r="BV109" i="1" s="1"/>
  <c r="Z109" i="1"/>
  <c r="BW109" i="1" s="1"/>
  <c r="AL109" i="1"/>
  <c r="BX109" i="1" s="1"/>
  <c r="AX109" i="1"/>
  <c r="BY109" i="1" s="1"/>
  <c r="BK109" i="1"/>
  <c r="BZ109" i="1" s="1"/>
  <c r="BM109" i="1"/>
  <c r="BR108" i="1" a="1"/>
  <c r="BR108" i="1" s="1"/>
  <c r="Z108" i="1"/>
  <c r="BW108" i="1" s="1"/>
  <c r="N108" i="1"/>
  <c r="BV108" i="1" s="1"/>
  <c r="AL108" i="1"/>
  <c r="BX108" i="1" s="1"/>
  <c r="AX108" i="1"/>
  <c r="BY108" i="1" s="1"/>
  <c r="BK108" i="1"/>
  <c r="BZ108" i="1" s="1"/>
  <c r="BM108" i="1"/>
  <c r="BR107" i="1" a="1"/>
  <c r="BR107" i="1" s="1"/>
  <c r="N107" i="1"/>
  <c r="BV107" i="1" s="1"/>
  <c r="Z107" i="1"/>
  <c r="BW107" i="1" s="1"/>
  <c r="AL107" i="1"/>
  <c r="BX107" i="1" s="1"/>
  <c r="AX107" i="1"/>
  <c r="BY107" i="1" s="1"/>
  <c r="BK107" i="1"/>
  <c r="BZ107" i="1" s="1"/>
  <c r="BM107" i="1"/>
  <c r="BR106" i="1" a="1"/>
  <c r="BR106" i="1" s="1"/>
  <c r="N106" i="1"/>
  <c r="BV106" i="1" s="1"/>
  <c r="Z106" i="1"/>
  <c r="BW106" i="1" s="1"/>
  <c r="AL106" i="1"/>
  <c r="BX106" i="1" s="1"/>
  <c r="AX106" i="1"/>
  <c r="BY106" i="1" s="1"/>
  <c r="BK106" i="1"/>
  <c r="BZ106" i="1" s="1"/>
  <c r="BM106" i="1"/>
  <c r="BR105" i="1" a="1"/>
  <c r="BR105" i="1" s="1"/>
  <c r="N105" i="1"/>
  <c r="BV105" i="1" s="1"/>
  <c r="Z105" i="1"/>
  <c r="BW105" i="1" s="1"/>
  <c r="AL105" i="1"/>
  <c r="BX105" i="1" s="1"/>
  <c r="AX105" i="1"/>
  <c r="BY105" i="1" s="1"/>
  <c r="BK105" i="1"/>
  <c r="BZ105" i="1" s="1"/>
  <c r="BM105" i="1"/>
  <c r="BR104" i="1" a="1"/>
  <c r="BR104" i="1" s="1"/>
  <c r="N104" i="1"/>
  <c r="BV104" i="1" s="1"/>
  <c r="Z104" i="1"/>
  <c r="BW104" i="1" s="1"/>
  <c r="AL104" i="1"/>
  <c r="AX104" i="1"/>
  <c r="BY104" i="1" s="1"/>
  <c r="BK104" i="1"/>
  <c r="BZ104" i="1" s="1"/>
  <c r="BM104" i="1"/>
  <c r="BR103" i="1" a="1"/>
  <c r="BR103" i="1" s="1"/>
  <c r="N103" i="1"/>
  <c r="BV103" i="1" s="1"/>
  <c r="Z103" i="1"/>
  <c r="BW103" i="1" s="1"/>
  <c r="AL103" i="1"/>
  <c r="BX103" i="1" s="1"/>
  <c r="AX103" i="1"/>
  <c r="BY103" i="1" s="1"/>
  <c r="BK103" i="1"/>
  <c r="BZ103" i="1" s="1"/>
  <c r="BM103" i="1"/>
  <c r="BR102" i="1" a="1"/>
  <c r="BR102" i="1" s="1"/>
  <c r="N102" i="1"/>
  <c r="BV102" i="1" s="1"/>
  <c r="Z102" i="1"/>
  <c r="BW102" i="1" s="1"/>
  <c r="AL102" i="1"/>
  <c r="BX102" i="1" s="1"/>
  <c r="AX102" i="1"/>
  <c r="BY102" i="1" s="1"/>
  <c r="BK102" i="1"/>
  <c r="BZ102" i="1" s="1"/>
  <c r="BM102" i="1"/>
  <c r="BR101" i="1" a="1"/>
  <c r="BR101" i="1" s="1"/>
  <c r="N101" i="1"/>
  <c r="BV101" i="1" s="1"/>
  <c r="Z101" i="1"/>
  <c r="AL101" i="1"/>
  <c r="BX101" i="1" s="1"/>
  <c r="AX101" i="1"/>
  <c r="BY101" i="1" s="1"/>
  <c r="BK101" i="1"/>
  <c r="BZ101" i="1" s="1"/>
  <c r="BM101" i="1"/>
  <c r="BR100" i="1" a="1"/>
  <c r="BR100" i="1" s="1"/>
  <c r="N100" i="1"/>
  <c r="BV100" i="1" s="1"/>
  <c r="Z100" i="1"/>
  <c r="BW100" i="1" s="1"/>
  <c r="AL100" i="1"/>
  <c r="BX100" i="1" s="1"/>
  <c r="AX100" i="1"/>
  <c r="BY100" i="1" s="1"/>
  <c r="BK100" i="1"/>
  <c r="BZ100" i="1" s="1"/>
  <c r="BM100" i="1"/>
  <c r="BR99" i="1" a="1"/>
  <c r="BR99" i="1" s="1"/>
  <c r="N99" i="1"/>
  <c r="BV99" i="1" s="1"/>
  <c r="Z99" i="1"/>
  <c r="BW99" i="1" s="1"/>
  <c r="AL99" i="1"/>
  <c r="BX99" i="1" s="1"/>
  <c r="AX99" i="1"/>
  <c r="BY99" i="1" s="1"/>
  <c r="BK99" i="1"/>
  <c r="BZ99" i="1" s="1"/>
  <c r="BM99" i="1"/>
  <c r="BR98" i="1" a="1"/>
  <c r="BR98" i="1" s="1"/>
  <c r="Z98" i="1"/>
  <c r="BW98" i="1" s="1"/>
  <c r="N98" i="1"/>
  <c r="BV98" i="1" s="1"/>
  <c r="AL98" i="1"/>
  <c r="BX98" i="1" s="1"/>
  <c r="AX98" i="1"/>
  <c r="BY98" i="1" s="1"/>
  <c r="BK98" i="1"/>
  <c r="BZ98" i="1" s="1"/>
  <c r="BM98" i="1"/>
  <c r="BR97" i="1" a="1"/>
  <c r="BR97" i="1" s="1"/>
  <c r="N97" i="1"/>
  <c r="BV97" i="1" s="1"/>
  <c r="Z97" i="1"/>
  <c r="BW97" i="1" s="1"/>
  <c r="AL97" i="1"/>
  <c r="BX97" i="1" s="1"/>
  <c r="AX97" i="1"/>
  <c r="BY97" i="1" s="1"/>
  <c r="BK97" i="1"/>
  <c r="BZ97" i="1" s="1"/>
  <c r="BM97" i="1"/>
  <c r="BR96" i="1" a="1"/>
  <c r="BR96" i="1" s="1"/>
  <c r="N96" i="1"/>
  <c r="BV96" i="1"/>
  <c r="Z96" i="1"/>
  <c r="BW96" i="1"/>
  <c r="AL96" i="1"/>
  <c r="BX96" i="1"/>
  <c r="AX96" i="1"/>
  <c r="BY96" i="1"/>
  <c r="BK96" i="1"/>
  <c r="BZ96" i="1"/>
  <c r="BM96" i="1"/>
  <c r="BR95" i="1" a="1"/>
  <c r="BR95" i="1" s="1"/>
  <c r="N95" i="1"/>
  <c r="BV95" i="1"/>
  <c r="Z95" i="1"/>
  <c r="BW95" i="1"/>
  <c r="AL95" i="1"/>
  <c r="BX95" i="1" s="1"/>
  <c r="AX95" i="1"/>
  <c r="BY95" i="1" s="1"/>
  <c r="BK95" i="1"/>
  <c r="BZ95" i="1" s="1"/>
  <c r="BM95" i="1"/>
  <c r="BR93" i="1" a="1"/>
  <c r="BR93" i="1" s="1"/>
  <c r="N93" i="1"/>
  <c r="BV93" i="1" s="1"/>
  <c r="Z93" i="1"/>
  <c r="BW93" i="1" s="1"/>
  <c r="AL93" i="1"/>
  <c r="BX93" i="1" s="1"/>
  <c r="AX93" i="1"/>
  <c r="BY93" i="1" s="1"/>
  <c r="BK93" i="1"/>
  <c r="BZ93" i="1" s="1"/>
  <c r="BM93" i="1"/>
  <c r="BR92" i="1" a="1"/>
  <c r="BR92" i="1" s="1"/>
  <c r="N92" i="1"/>
  <c r="BV92" i="1" s="1"/>
  <c r="Z92" i="1"/>
  <c r="BW92" i="1" s="1"/>
  <c r="AL92" i="1"/>
  <c r="BX92" i="1" s="1"/>
  <c r="AX92" i="1"/>
  <c r="BY92" i="1" s="1"/>
  <c r="BK92" i="1"/>
  <c r="BZ92" i="1" s="1"/>
  <c r="BM92" i="1"/>
  <c r="BR91" i="1" a="1"/>
  <c r="BR91" i="1" s="1"/>
  <c r="N91" i="1"/>
  <c r="Z91" i="1"/>
  <c r="BW91" i="1" s="1"/>
  <c r="AL91" i="1"/>
  <c r="BX91" i="1" s="1"/>
  <c r="AX91" i="1"/>
  <c r="BY91" i="1" s="1"/>
  <c r="BK91" i="1"/>
  <c r="BZ91" i="1" s="1"/>
  <c r="BM91" i="1"/>
  <c r="BR90" i="1" a="1"/>
  <c r="BR90" i="1" s="1"/>
  <c r="N90" i="1"/>
  <c r="BV90" i="1" s="1"/>
  <c r="Z90" i="1"/>
  <c r="BW90" i="1" s="1"/>
  <c r="AL90" i="1"/>
  <c r="AX90" i="1"/>
  <c r="BY90" i="1" s="1"/>
  <c r="BK90" i="1"/>
  <c r="BZ90" i="1" s="1"/>
  <c r="BM90" i="1"/>
  <c r="BR89" i="1" a="1"/>
  <c r="BR89" i="1" s="1"/>
  <c r="N89" i="1"/>
  <c r="BV89" i="1" s="1"/>
  <c r="Z89" i="1"/>
  <c r="BW89" i="1" s="1"/>
  <c r="AL89" i="1"/>
  <c r="BX89" i="1" s="1"/>
  <c r="AX89" i="1"/>
  <c r="BY89" i="1" s="1"/>
  <c r="BK89" i="1"/>
  <c r="BZ89" i="1" s="1"/>
  <c r="BM89" i="1"/>
  <c r="BR88" i="1" a="1"/>
  <c r="BR88" i="1" s="1"/>
  <c r="N88" i="1"/>
  <c r="BV88" i="1" s="1"/>
  <c r="Z88" i="1"/>
  <c r="BW88" i="1" s="1"/>
  <c r="AL88" i="1"/>
  <c r="BX88" i="1" s="1"/>
  <c r="AX88" i="1"/>
  <c r="BY88" i="1" s="1"/>
  <c r="BK88" i="1"/>
  <c r="BZ88" i="1" s="1"/>
  <c r="BM88" i="1"/>
  <c r="BR87" i="1" a="1"/>
  <c r="BR87" i="1" s="1"/>
  <c r="N87" i="1"/>
  <c r="Z87" i="1"/>
  <c r="BW87" i="1" s="1"/>
  <c r="AL87" i="1"/>
  <c r="BX87" i="1" s="1"/>
  <c r="AX87" i="1"/>
  <c r="BY87" i="1" s="1"/>
  <c r="BK87" i="1"/>
  <c r="BZ87" i="1" s="1"/>
  <c r="BM87" i="1"/>
  <c r="BR86" i="1" a="1"/>
  <c r="BR86" i="1" s="1"/>
  <c r="N86" i="1"/>
  <c r="BV86" i="1" s="1"/>
  <c r="Z86" i="1"/>
  <c r="BW86" i="1" s="1"/>
  <c r="AL86" i="1"/>
  <c r="BX86" i="1" s="1"/>
  <c r="AX86" i="1"/>
  <c r="BY86" i="1" s="1"/>
  <c r="BK86" i="1"/>
  <c r="BZ86" i="1" s="1"/>
  <c r="BM86" i="1"/>
  <c r="BR85" i="1" a="1"/>
  <c r="BR85" i="1" s="1"/>
  <c r="N85" i="1"/>
  <c r="BV85" i="1"/>
  <c r="Z85" i="1"/>
  <c r="BW85" i="1"/>
  <c r="AL85" i="1"/>
  <c r="AX85" i="1"/>
  <c r="BY85" i="1" s="1"/>
  <c r="BK85" i="1"/>
  <c r="BZ85" i="1" s="1"/>
  <c r="BM85" i="1"/>
  <c r="BR84" i="1" a="1"/>
  <c r="BR84" i="1" s="1"/>
  <c r="N84" i="1"/>
  <c r="BV84" i="1" s="1"/>
  <c r="Z84" i="1"/>
  <c r="BW84" i="1" s="1"/>
  <c r="AL84" i="1"/>
  <c r="BX84" i="1" s="1"/>
  <c r="AX84" i="1"/>
  <c r="BY84" i="1" s="1"/>
  <c r="BK84" i="1"/>
  <c r="BZ84" i="1" s="1"/>
  <c r="BM84" i="1"/>
  <c r="BR83" i="1" a="1"/>
  <c r="BR83" i="1" s="1"/>
  <c r="N83" i="1"/>
  <c r="BV83" i="1"/>
  <c r="Z83" i="1"/>
  <c r="BW83" i="1"/>
  <c r="AL83" i="1"/>
  <c r="BX83" i="1"/>
  <c r="AX83" i="1"/>
  <c r="BY83" i="1"/>
  <c r="BK83" i="1"/>
  <c r="BZ83" i="1"/>
  <c r="BM83" i="1"/>
  <c r="BR82" i="1" a="1"/>
  <c r="BR82" i="1" s="1"/>
  <c r="N82" i="1"/>
  <c r="BV82" i="1"/>
  <c r="Z82" i="1"/>
  <c r="BW82" i="1"/>
  <c r="AL82" i="1"/>
  <c r="BX82" i="1" s="1"/>
  <c r="AX82" i="1"/>
  <c r="BY82" i="1" s="1"/>
  <c r="BK82" i="1"/>
  <c r="BZ82" i="1" s="1"/>
  <c r="BM82" i="1"/>
  <c r="BR81" i="1" a="1"/>
  <c r="BR81" i="1" s="1"/>
  <c r="N81" i="1"/>
  <c r="BV81" i="1" s="1"/>
  <c r="Z81" i="1"/>
  <c r="BW81" i="1" s="1"/>
  <c r="AL81" i="1"/>
  <c r="BX81" i="1" s="1"/>
  <c r="AX81" i="1"/>
  <c r="BY81" i="1" s="1"/>
  <c r="BK81" i="1"/>
  <c r="BZ81" i="1" s="1"/>
  <c r="BM81" i="1"/>
  <c r="BR80" i="1" a="1"/>
  <c r="BR80" i="1" s="1"/>
  <c r="N80" i="1"/>
  <c r="Z80" i="1"/>
  <c r="BW80" i="1" s="1"/>
  <c r="AL80" i="1"/>
  <c r="BX80" i="1" s="1"/>
  <c r="AX80" i="1"/>
  <c r="BY80" i="1" s="1"/>
  <c r="BK80" i="1"/>
  <c r="BZ80" i="1" s="1"/>
  <c r="BM80" i="1"/>
  <c r="BR79" i="1" a="1"/>
  <c r="BR79" i="1" s="1"/>
  <c r="N79" i="1"/>
  <c r="BV79" i="1" s="1"/>
  <c r="Z79" i="1"/>
  <c r="BW79" i="1" s="1"/>
  <c r="AL79" i="1"/>
  <c r="BX79" i="1" s="1"/>
  <c r="AX79" i="1"/>
  <c r="BY79" i="1" s="1"/>
  <c r="BK79" i="1"/>
  <c r="BZ79" i="1" s="1"/>
  <c r="BM79" i="1"/>
  <c r="BR78" i="1" a="1"/>
  <c r="BR78" i="1" s="1"/>
  <c r="N78" i="1"/>
  <c r="BV78" i="1" s="1"/>
  <c r="Z78" i="1"/>
  <c r="BW78" i="1" s="1"/>
  <c r="AL78" i="1"/>
  <c r="BX78" i="1" s="1"/>
  <c r="AX78" i="1"/>
  <c r="BY78" i="1" s="1"/>
  <c r="BK78" i="1"/>
  <c r="BZ78" i="1" s="1"/>
  <c r="BM78" i="1"/>
  <c r="BR77" i="1" a="1"/>
  <c r="BR77" i="1" s="1"/>
  <c r="N77" i="1"/>
  <c r="BV77" i="1"/>
  <c r="Z77" i="1"/>
  <c r="AL77" i="1"/>
  <c r="BX77" i="1" s="1"/>
  <c r="AX77" i="1"/>
  <c r="BY77" i="1" s="1"/>
  <c r="BK77" i="1"/>
  <c r="BZ77" i="1" s="1"/>
  <c r="BM77" i="1"/>
  <c r="BR76" i="1" a="1"/>
  <c r="BR76" i="1" s="1"/>
  <c r="N76" i="1"/>
  <c r="BV76" i="1" s="1"/>
  <c r="Z76" i="1"/>
  <c r="BW76" i="1" s="1"/>
  <c r="AL76" i="1"/>
  <c r="BX76" i="1" s="1"/>
  <c r="AX76" i="1"/>
  <c r="BY76" i="1" s="1"/>
  <c r="BK76" i="1"/>
  <c r="BZ76" i="1" s="1"/>
  <c r="BM76" i="1"/>
  <c r="BS75" i="1"/>
  <c r="BR75" i="1" a="1"/>
  <c r="BR75" i="1" s="1"/>
  <c r="N75" i="1"/>
  <c r="Z75" i="1"/>
  <c r="BW75" i="1" s="1"/>
  <c r="AL75" i="1"/>
  <c r="BX75" i="1" s="1"/>
  <c r="AX75" i="1"/>
  <c r="BY75" i="1" s="1"/>
  <c r="BK75" i="1"/>
  <c r="BZ75" i="1" s="1"/>
  <c r="BM75" i="1"/>
  <c r="BR73" i="1" a="1"/>
  <c r="BR73" i="1" s="1"/>
  <c r="N73" i="1"/>
  <c r="BV73" i="1" s="1"/>
  <c r="Z73" i="1"/>
  <c r="BW73" i="1" s="1"/>
  <c r="AL73" i="1"/>
  <c r="AX73" i="1"/>
  <c r="BY73" i="1" s="1"/>
  <c r="BK73" i="1"/>
  <c r="BZ73" i="1" s="1"/>
  <c r="BM73" i="1"/>
  <c r="BR72" i="1" a="1"/>
  <c r="BR72" i="1" s="1"/>
  <c r="N72" i="1"/>
  <c r="BV72" i="1"/>
  <c r="Z72" i="1"/>
  <c r="BW72" i="1"/>
  <c r="AL72" i="1"/>
  <c r="BX72" i="1" s="1"/>
  <c r="AX72" i="1"/>
  <c r="BY72" i="1" s="1"/>
  <c r="BK72" i="1"/>
  <c r="BZ72" i="1"/>
  <c r="BM72" i="1"/>
  <c r="BR71" i="1" a="1"/>
  <c r="BR71" i="1" s="1"/>
  <c r="N71" i="1"/>
  <c r="BV71" i="1"/>
  <c r="Z71" i="1"/>
  <c r="BW71" i="1"/>
  <c r="AL71" i="1"/>
  <c r="BX71" i="1" s="1"/>
  <c r="AX71" i="1"/>
  <c r="BY71" i="1" s="1"/>
  <c r="BK71" i="1"/>
  <c r="BZ71" i="1" s="1"/>
  <c r="BM71" i="1"/>
  <c r="BR70" i="1" a="1"/>
  <c r="BR70" i="1" s="1"/>
  <c r="N70" i="1"/>
  <c r="BV70" i="1" s="1"/>
  <c r="Z70" i="1"/>
  <c r="BW70" i="1" s="1"/>
  <c r="AL70" i="1"/>
  <c r="BX70" i="1" s="1"/>
  <c r="AX70" i="1"/>
  <c r="BY70" i="1" s="1"/>
  <c r="BK70" i="1"/>
  <c r="BZ70" i="1" s="1"/>
  <c r="BM70" i="1"/>
  <c r="BR69" i="1" a="1"/>
  <c r="BR69" i="1" s="1"/>
  <c r="N69" i="1"/>
  <c r="BV69" i="1" s="1"/>
  <c r="Z69" i="1"/>
  <c r="BW69" i="1" s="1"/>
  <c r="AL69" i="1"/>
  <c r="BX69" i="1" s="1"/>
  <c r="AX69" i="1"/>
  <c r="BY69" i="1" s="1"/>
  <c r="BK69" i="1"/>
  <c r="BZ69" i="1" s="1"/>
  <c r="BM69" i="1"/>
  <c r="BR68" i="1" a="1"/>
  <c r="BR68" i="1" s="1"/>
  <c r="N68" i="1"/>
  <c r="BV68" i="1" s="1"/>
  <c r="Z68" i="1"/>
  <c r="AL68" i="1"/>
  <c r="BX68" i="1" s="1"/>
  <c r="AX68" i="1"/>
  <c r="BY68" i="1" s="1"/>
  <c r="BK68" i="1"/>
  <c r="BZ68" i="1" s="1"/>
  <c r="BM68" i="1"/>
  <c r="BR67" i="1" a="1"/>
  <c r="BR67" i="1" s="1"/>
  <c r="N67" i="1"/>
  <c r="BV67" i="1" s="1"/>
  <c r="Z67" i="1"/>
  <c r="BW67" i="1" s="1"/>
  <c r="AL67" i="1"/>
  <c r="AX67" i="1"/>
  <c r="BY67" i="1" s="1"/>
  <c r="BK67" i="1"/>
  <c r="BZ67" i="1" s="1"/>
  <c r="BM67" i="1"/>
  <c r="BR66" i="1" a="1"/>
  <c r="BR66" i="1" s="1"/>
  <c r="N66" i="1"/>
  <c r="BV66" i="1" s="1"/>
  <c r="Z66" i="1"/>
  <c r="BW66" i="1" s="1"/>
  <c r="AL66" i="1"/>
  <c r="BX66" i="1" s="1"/>
  <c r="AX66" i="1"/>
  <c r="BY66" i="1" s="1"/>
  <c r="BK66" i="1"/>
  <c r="BZ66" i="1" s="1"/>
  <c r="BM66" i="1"/>
  <c r="BR65" i="1" a="1"/>
  <c r="BR65" i="1" s="1"/>
  <c r="N65" i="1"/>
  <c r="BV65" i="1" s="1"/>
  <c r="Z65" i="1"/>
  <c r="BW65" i="1" s="1"/>
  <c r="AL65" i="1"/>
  <c r="BX65" i="1" s="1"/>
  <c r="AX65" i="1"/>
  <c r="BY65" i="1" s="1"/>
  <c r="BK65" i="1"/>
  <c r="BZ65" i="1" s="1"/>
  <c r="BM65" i="1"/>
  <c r="BR64" i="1" a="1"/>
  <c r="BR64" i="1" s="1"/>
  <c r="N64" i="1"/>
  <c r="BV64" i="1" s="1"/>
  <c r="Z64" i="1"/>
  <c r="BW64" i="1" s="1"/>
  <c r="AL64" i="1"/>
  <c r="BX64" i="1" s="1"/>
  <c r="AX64" i="1"/>
  <c r="BY64" i="1" s="1"/>
  <c r="BK64" i="1"/>
  <c r="BZ64" i="1" s="1"/>
  <c r="BM64" i="1"/>
  <c r="BR63" i="1" a="1"/>
  <c r="BR63" i="1" s="1"/>
  <c r="N63" i="1"/>
  <c r="BV63" i="1" s="1"/>
  <c r="Z63" i="1"/>
  <c r="AL63" i="1"/>
  <c r="BX63" i="1" s="1"/>
  <c r="AX63" i="1"/>
  <c r="BY63" i="1" s="1"/>
  <c r="BK63" i="1"/>
  <c r="BZ63" i="1" s="1"/>
  <c r="BM63" i="1"/>
  <c r="BR62" i="1" a="1"/>
  <c r="BR62" i="1" s="1"/>
  <c r="N62" i="1"/>
  <c r="BV62" i="1" s="1"/>
  <c r="Z62" i="1"/>
  <c r="BW62" i="1" s="1"/>
  <c r="AL62" i="1"/>
  <c r="AX62" i="1"/>
  <c r="BY62" i="1" s="1"/>
  <c r="BK62" i="1"/>
  <c r="BZ62" i="1" s="1"/>
  <c r="BM62" i="1"/>
  <c r="BR61" i="1" a="1"/>
  <c r="BR61" i="1" s="1"/>
  <c r="N61" i="1"/>
  <c r="BV61" i="1" s="1"/>
  <c r="Z61" i="1"/>
  <c r="BW61" i="1" s="1"/>
  <c r="AL61" i="1"/>
  <c r="BX61" i="1" s="1"/>
  <c r="AX61" i="1"/>
  <c r="BY61" i="1" s="1"/>
  <c r="BK61" i="1"/>
  <c r="BZ61" i="1" s="1"/>
  <c r="BM61" i="1"/>
  <c r="BR60" i="1" a="1"/>
  <c r="BR60" i="1" s="1"/>
  <c r="N60" i="1"/>
  <c r="BV60" i="1" s="1"/>
  <c r="Z60" i="1"/>
  <c r="BW60" i="1"/>
  <c r="AL60" i="1"/>
  <c r="BX60" i="1" s="1"/>
  <c r="AX60" i="1"/>
  <c r="BY60" i="1" s="1"/>
  <c r="BK60" i="1"/>
  <c r="BZ60" i="1" s="1"/>
  <c r="BM60" i="1"/>
  <c r="BR59" i="1" a="1"/>
  <c r="BR59" i="1" s="1"/>
  <c r="N59" i="1"/>
  <c r="Z59" i="1"/>
  <c r="BW59" i="1" s="1"/>
  <c r="AL59" i="1"/>
  <c r="BX59" i="1" s="1"/>
  <c r="AX59" i="1"/>
  <c r="BY59" i="1" s="1"/>
  <c r="BK59" i="1"/>
  <c r="BZ59" i="1" s="1"/>
  <c r="BM59" i="1"/>
  <c r="BR58" i="1" a="1"/>
  <c r="BR58" i="1" s="1"/>
  <c r="N58" i="1"/>
  <c r="Z58" i="1"/>
  <c r="BW58" i="1" s="1"/>
  <c r="AL58" i="1"/>
  <c r="BX58" i="1" s="1"/>
  <c r="AX58" i="1"/>
  <c r="BY58" i="1" s="1"/>
  <c r="BK58" i="1"/>
  <c r="BZ58" i="1" s="1"/>
  <c r="BM58" i="1"/>
  <c r="BR57" i="1" a="1"/>
  <c r="BR57" i="1" s="1"/>
  <c r="N57" i="1"/>
  <c r="BV57" i="1" s="1"/>
  <c r="Z57" i="1"/>
  <c r="BW57" i="1" s="1"/>
  <c r="AL57" i="1"/>
  <c r="BX57" i="1" s="1"/>
  <c r="AX57" i="1"/>
  <c r="BY57" i="1" s="1"/>
  <c r="BK57" i="1"/>
  <c r="BZ57" i="1" s="1"/>
  <c r="BM57" i="1"/>
  <c r="BR56" i="1" a="1"/>
  <c r="BR56" i="1" s="1"/>
  <c r="N56" i="1"/>
  <c r="BV56" i="1" s="1"/>
  <c r="Z56" i="1"/>
  <c r="AL56" i="1"/>
  <c r="BX56" i="1" s="1"/>
  <c r="AX56" i="1"/>
  <c r="BY56" i="1" s="1"/>
  <c r="BK56" i="1"/>
  <c r="BZ56" i="1" s="1"/>
  <c r="BM56" i="1"/>
  <c r="BR55" i="1" a="1"/>
  <c r="BR55" i="1" s="1"/>
  <c r="N55" i="1"/>
  <c r="BV55" i="1" s="1"/>
  <c r="Z55" i="1"/>
  <c r="BW55" i="1" s="1"/>
  <c r="AL55" i="1"/>
  <c r="BX55" i="1" s="1"/>
  <c r="AX55" i="1"/>
  <c r="BY55" i="1" s="1"/>
  <c r="BK55" i="1"/>
  <c r="BZ55" i="1" s="1"/>
  <c r="BM55" i="1"/>
  <c r="BR54" i="1" a="1"/>
  <c r="BR54" i="1" s="1"/>
  <c r="N54" i="1"/>
  <c r="BV54" i="1" s="1"/>
  <c r="Z54" i="1"/>
  <c r="BW54" i="1" s="1"/>
  <c r="AL54" i="1"/>
  <c r="BX54" i="1" s="1"/>
  <c r="AX54" i="1"/>
  <c r="BY54" i="1" s="1"/>
  <c r="BK54" i="1"/>
  <c r="BZ54" i="1" s="1"/>
  <c r="BM54" i="1"/>
  <c r="BR53" i="1" a="1"/>
  <c r="BR53" i="1" s="1"/>
  <c r="N53" i="1"/>
  <c r="Z53" i="1"/>
  <c r="BW53" i="1" s="1"/>
  <c r="AL53" i="1"/>
  <c r="BX53" i="1" s="1"/>
  <c r="AX53" i="1"/>
  <c r="BY53" i="1" s="1"/>
  <c r="BK53" i="1"/>
  <c r="BZ53" i="1" s="1"/>
  <c r="BM53" i="1"/>
  <c r="BR52" i="1" a="1"/>
  <c r="BR52" i="1" s="1"/>
  <c r="N52" i="1"/>
  <c r="BV52" i="1" s="1"/>
  <c r="Z52" i="1"/>
  <c r="BW52" i="1" s="1"/>
  <c r="AL52" i="1"/>
  <c r="AX52" i="1"/>
  <c r="BY52" i="1" s="1"/>
  <c r="BK52" i="1"/>
  <c r="BZ52" i="1" s="1"/>
  <c r="BM52" i="1"/>
  <c r="BR51" i="1" a="1"/>
  <c r="BR51" i="1" s="1"/>
  <c r="N51" i="1"/>
  <c r="BV51" i="1" s="1"/>
  <c r="Z51" i="1"/>
  <c r="BW51" i="1" s="1"/>
  <c r="AL51" i="1"/>
  <c r="BX51" i="1" s="1"/>
  <c r="AX51" i="1"/>
  <c r="BY51" i="1" s="1"/>
  <c r="BK51" i="1"/>
  <c r="BZ51" i="1" s="1"/>
  <c r="BM51" i="1"/>
  <c r="BR50" i="1" a="1"/>
  <c r="BR50" i="1" s="1"/>
  <c r="N50" i="1"/>
  <c r="BV50" i="1" s="1"/>
  <c r="Z50" i="1"/>
  <c r="BW50" i="1" s="1"/>
  <c r="AL50" i="1"/>
  <c r="BX50" i="1" s="1"/>
  <c r="AX50" i="1"/>
  <c r="BY50" i="1" s="1"/>
  <c r="BK50" i="1"/>
  <c r="BZ50" i="1" s="1"/>
  <c r="BM50" i="1"/>
  <c r="BR49" i="1" a="1"/>
  <c r="BR49" i="1" s="1"/>
  <c r="N49" i="1"/>
  <c r="BV49" i="1" s="1"/>
  <c r="Z49" i="1"/>
  <c r="BW49" i="1" s="1"/>
  <c r="AL49" i="1"/>
  <c r="BX49" i="1" s="1"/>
  <c r="AX49" i="1"/>
  <c r="BY49" i="1" s="1"/>
  <c r="BK49" i="1"/>
  <c r="BZ49" i="1" s="1"/>
  <c r="BM49" i="1"/>
  <c r="BR48" i="1" a="1"/>
  <c r="BR48" i="1" s="1"/>
  <c r="N48" i="1"/>
  <c r="BV48" i="1" s="1"/>
  <c r="Z48" i="1"/>
  <c r="BW48" i="1" s="1"/>
  <c r="AL48" i="1"/>
  <c r="BX48" i="1" s="1"/>
  <c r="AX48" i="1"/>
  <c r="BY48" i="1" s="1"/>
  <c r="BK48" i="1"/>
  <c r="BZ48" i="1" s="1"/>
  <c r="BM48" i="1"/>
  <c r="BR47" i="1" a="1"/>
  <c r="BR47" i="1" s="1"/>
  <c r="N47" i="1"/>
  <c r="BV47" i="1" s="1"/>
  <c r="Z47" i="1"/>
  <c r="BW47" i="1" s="1"/>
  <c r="AL47" i="1"/>
  <c r="BX47" i="1" s="1"/>
  <c r="AX47" i="1"/>
  <c r="BY47" i="1" s="1"/>
  <c r="BK47" i="1"/>
  <c r="BZ47" i="1" s="1"/>
  <c r="BM47" i="1"/>
  <c r="BR46" i="1" a="1"/>
  <c r="BR46" i="1" s="1"/>
  <c r="N46" i="1"/>
  <c r="BV46" i="1" s="1"/>
  <c r="Z46" i="1"/>
  <c r="BW46" i="1"/>
  <c r="AL46" i="1"/>
  <c r="BX46" i="1" s="1"/>
  <c r="AX46" i="1"/>
  <c r="BK46" i="1"/>
  <c r="BZ46" i="1"/>
  <c r="BM46" i="1"/>
  <c r="BR45" i="1" a="1"/>
  <c r="BR45" i="1" s="1"/>
  <c r="N45" i="1"/>
  <c r="BV45" i="1"/>
  <c r="Z45" i="1"/>
  <c r="BW45" i="1" s="1"/>
  <c r="AL45" i="1"/>
  <c r="BX45" i="1" s="1"/>
  <c r="AX45" i="1"/>
  <c r="BY45" i="1" s="1"/>
  <c r="BK45" i="1"/>
  <c r="BZ45" i="1" s="1"/>
  <c r="BM45" i="1"/>
  <c r="BR44" i="1" a="1"/>
  <c r="BR44" i="1" s="1"/>
  <c r="N44" i="1"/>
  <c r="BV44" i="1" s="1"/>
  <c r="Z44" i="1"/>
  <c r="BW44" i="1"/>
  <c r="AL44" i="1"/>
  <c r="BX44" i="1" s="1"/>
  <c r="AX44" i="1"/>
  <c r="BY44" i="1" s="1"/>
  <c r="BK44" i="1"/>
  <c r="BZ44" i="1" s="1"/>
  <c r="BM44" i="1"/>
  <c r="BR43" i="1" a="1"/>
  <c r="BR43" i="1" s="1"/>
  <c r="N43" i="1"/>
  <c r="BV43" i="1" s="1"/>
  <c r="Z43" i="1"/>
  <c r="BW43" i="1" s="1"/>
  <c r="AL43" i="1"/>
  <c r="BX43" i="1" s="1"/>
  <c r="AX43" i="1"/>
  <c r="BY43" i="1" s="1"/>
  <c r="BK43" i="1"/>
  <c r="BZ43" i="1" s="1"/>
  <c r="BM43" i="1"/>
  <c r="BR42" i="1" a="1"/>
  <c r="BR42" i="1" s="1"/>
  <c r="N42" i="1"/>
  <c r="BV42" i="1" s="1"/>
  <c r="Z42" i="1"/>
  <c r="BW42" i="1"/>
  <c r="AL42" i="1"/>
  <c r="BX42" i="1" s="1"/>
  <c r="AX42" i="1"/>
  <c r="BY42" i="1" s="1"/>
  <c r="BK42" i="1"/>
  <c r="BZ42" i="1" s="1"/>
  <c r="BM42" i="1"/>
  <c r="BR41" i="1" a="1"/>
  <c r="BR41" i="1" s="1"/>
  <c r="N41" i="1"/>
  <c r="BV41" i="1" s="1"/>
  <c r="Z41" i="1"/>
  <c r="BW41" i="1" s="1"/>
  <c r="AL41" i="1"/>
  <c r="BX41" i="1" s="1"/>
  <c r="AX41" i="1"/>
  <c r="BY41" i="1" s="1"/>
  <c r="BK41" i="1"/>
  <c r="BZ41" i="1" s="1"/>
  <c r="BM41" i="1"/>
  <c r="BR40" i="1" a="1"/>
  <c r="BR40" i="1" s="1"/>
  <c r="N40" i="1"/>
  <c r="BV40" i="1" s="1"/>
  <c r="Z40" i="1"/>
  <c r="AL40" i="1"/>
  <c r="BX40" i="1" s="1"/>
  <c r="AX40" i="1"/>
  <c r="BY40" i="1" s="1"/>
  <c r="BK40" i="1"/>
  <c r="BZ40" i="1" s="1"/>
  <c r="BM40" i="1"/>
  <c r="BR39" i="1" a="1"/>
  <c r="BR39" i="1" s="1"/>
  <c r="N39" i="1"/>
  <c r="BV39" i="1" s="1"/>
  <c r="Z39" i="1"/>
  <c r="BW39" i="1" s="1"/>
  <c r="AL39" i="1"/>
  <c r="BX39" i="1" s="1"/>
  <c r="AX39" i="1"/>
  <c r="BY39" i="1" s="1"/>
  <c r="BK39" i="1"/>
  <c r="BZ39" i="1" s="1"/>
  <c r="BM39" i="1"/>
  <c r="BR38" i="1" a="1"/>
  <c r="BR38" i="1" s="1"/>
  <c r="N38" i="1"/>
  <c r="BV38" i="1" s="1"/>
  <c r="Z38" i="1"/>
  <c r="BW38" i="1" s="1"/>
  <c r="AL38" i="1"/>
  <c r="BX38" i="1" s="1"/>
  <c r="AX38" i="1"/>
  <c r="BY38" i="1" s="1"/>
  <c r="BK38" i="1"/>
  <c r="BZ38" i="1" s="1"/>
  <c r="BM38" i="1"/>
  <c r="BR37" i="1" a="1"/>
  <c r="BR37" i="1" s="1"/>
  <c r="N37" i="1"/>
  <c r="BV37" i="1" s="1"/>
  <c r="Z37" i="1"/>
  <c r="BW37" i="1" s="1"/>
  <c r="AL37" i="1"/>
  <c r="BX37" i="1" s="1"/>
  <c r="AX37" i="1"/>
  <c r="BY37" i="1" s="1"/>
  <c r="BK37" i="1"/>
  <c r="BZ37" i="1" s="1"/>
  <c r="BM37" i="1"/>
  <c r="BR36" i="1" a="1"/>
  <c r="BR36" i="1" s="1"/>
  <c r="N36" i="1"/>
  <c r="BV36" i="1" s="1"/>
  <c r="Z36" i="1"/>
  <c r="AL36" i="1"/>
  <c r="BX36" i="1" s="1"/>
  <c r="AX36" i="1"/>
  <c r="BY36" i="1" s="1"/>
  <c r="BK36" i="1"/>
  <c r="BZ36" i="1" s="1"/>
  <c r="BM36" i="1"/>
  <c r="BR35" i="1" a="1"/>
  <c r="BR35" i="1" s="1"/>
  <c r="N35" i="1"/>
  <c r="BV35" i="1" s="1"/>
  <c r="Z35" i="1"/>
  <c r="BW35" i="1" s="1"/>
  <c r="AL35" i="1"/>
  <c r="BX35" i="1" s="1"/>
  <c r="AX35" i="1"/>
  <c r="BY35" i="1" s="1"/>
  <c r="BK35" i="1"/>
  <c r="BZ35" i="1" s="1"/>
  <c r="BM35" i="1"/>
  <c r="BR30" i="1" a="1"/>
  <c r="BR30" i="1" s="1"/>
  <c r="N30" i="1"/>
  <c r="BV30" i="1"/>
  <c r="Z30" i="1"/>
  <c r="BW30" i="1" s="1"/>
  <c r="AL30" i="1"/>
  <c r="BX30" i="1" s="1"/>
  <c r="AX30" i="1"/>
  <c r="BY30" i="1" s="1"/>
  <c r="BK30" i="1"/>
  <c r="BZ30" i="1" s="1"/>
  <c r="BM30" i="1"/>
  <c r="BR29" i="1" a="1"/>
  <c r="BR29" i="1" s="1"/>
  <c r="N29" i="1"/>
  <c r="BV29" i="1" s="1"/>
  <c r="Z29" i="1"/>
  <c r="BW29" i="1" s="1"/>
  <c r="AL29" i="1"/>
  <c r="BX29" i="1" s="1"/>
  <c r="AX29" i="1"/>
  <c r="BY29" i="1" s="1"/>
  <c r="BK29" i="1"/>
  <c r="BZ29" i="1" s="1"/>
  <c r="BM29" i="1"/>
  <c r="BR28" i="1" a="1"/>
  <c r="BR28" i="1" s="1"/>
  <c r="N28" i="1"/>
  <c r="BV28" i="1" s="1"/>
  <c r="Z28" i="1"/>
  <c r="BW28" i="1" s="1"/>
  <c r="AL28" i="1"/>
  <c r="BX28" i="1" s="1"/>
  <c r="AX28" i="1"/>
  <c r="BY28" i="1" s="1"/>
  <c r="BK28" i="1"/>
  <c r="BZ28" i="1" s="1"/>
  <c r="BM28" i="1"/>
  <c r="BR27" i="1" a="1"/>
  <c r="BR27" i="1" s="1"/>
  <c r="N27" i="1"/>
  <c r="BV27" i="1" s="1"/>
  <c r="Z27" i="1"/>
  <c r="BW27" i="1" s="1"/>
  <c r="AL27" i="1"/>
  <c r="BX27" i="1" s="1"/>
  <c r="AX27" i="1"/>
  <c r="BY27" i="1" s="1"/>
  <c r="BK27" i="1"/>
  <c r="BZ27" i="1" s="1"/>
  <c r="BM27" i="1"/>
  <c r="BR26" i="1" a="1"/>
  <c r="BR26" i="1" s="1"/>
  <c r="Z26" i="1"/>
  <c r="BW26" i="1" s="1"/>
  <c r="N26" i="1"/>
  <c r="BV26" i="1" s="1"/>
  <c r="AL26" i="1"/>
  <c r="BX26" i="1" s="1"/>
  <c r="AX26" i="1"/>
  <c r="BY26" i="1" s="1"/>
  <c r="BK26" i="1"/>
  <c r="BZ26" i="1" s="1"/>
  <c r="BM26" i="1"/>
  <c r="BR25" i="1" a="1"/>
  <c r="BR25" i="1" s="1"/>
  <c r="Z25" i="1"/>
  <c r="N25" i="1"/>
  <c r="BV25" i="1" s="1"/>
  <c r="AL25" i="1"/>
  <c r="BX25" i="1" s="1"/>
  <c r="AX25" i="1"/>
  <c r="BY25" i="1" s="1"/>
  <c r="BK25" i="1"/>
  <c r="BZ25" i="1" s="1"/>
  <c r="BM25" i="1"/>
  <c r="BR24" i="1" a="1"/>
  <c r="BR24" i="1" s="1"/>
  <c r="Z24" i="1"/>
  <c r="BW24" i="1" s="1"/>
  <c r="N24" i="1"/>
  <c r="BV24" i="1" s="1"/>
  <c r="AL24" i="1"/>
  <c r="AX24" i="1"/>
  <c r="BY24" i="1" s="1"/>
  <c r="BK24" i="1"/>
  <c r="BZ24" i="1" s="1"/>
  <c r="BM24" i="1"/>
  <c r="BR23" i="1" a="1"/>
  <c r="BR23" i="1" s="1"/>
  <c r="N23" i="1"/>
  <c r="BV23" i="1" s="1"/>
  <c r="Z23" i="1"/>
  <c r="BW23" i="1" s="1"/>
  <c r="AL23" i="1"/>
  <c r="BX23" i="1" s="1"/>
  <c r="AX23" i="1"/>
  <c r="BY23" i="1" s="1"/>
  <c r="BK23" i="1"/>
  <c r="BZ23" i="1" s="1"/>
  <c r="BM23" i="1"/>
  <c r="BR22" i="1" a="1"/>
  <c r="BR22" i="1" s="1"/>
  <c r="N22" i="1"/>
  <c r="BV22" i="1"/>
  <c r="Z22" i="1"/>
  <c r="BW22" i="1" s="1"/>
  <c r="AL22" i="1"/>
  <c r="BX22" i="1" s="1"/>
  <c r="AX22" i="1"/>
  <c r="BY22" i="1" s="1"/>
  <c r="BK22" i="1"/>
  <c r="BZ22" i="1" s="1"/>
  <c r="BM22" i="1"/>
  <c r="BR21" i="1" a="1"/>
  <c r="BR21" i="1" s="1"/>
  <c r="Z21" i="1"/>
  <c r="BW21" i="1" s="1"/>
  <c r="N21" i="1"/>
  <c r="BV21" i="1" s="1"/>
  <c r="AL21" i="1"/>
  <c r="BX21" i="1" s="1"/>
  <c r="AX21" i="1"/>
  <c r="BY21" i="1" s="1"/>
  <c r="BK21" i="1"/>
  <c r="BZ21" i="1" s="1"/>
  <c r="BM21" i="1"/>
  <c r="BR20" i="1" a="1"/>
  <c r="BR20" i="1" s="1"/>
  <c r="N20" i="1"/>
  <c r="BV20" i="1" s="1"/>
  <c r="Z20" i="1"/>
  <c r="AL20" i="1"/>
  <c r="BX20" i="1" s="1"/>
  <c r="AX20" i="1"/>
  <c r="BY20" i="1" s="1"/>
  <c r="BK20" i="1"/>
  <c r="BZ20" i="1" s="1"/>
  <c r="BM20" i="1"/>
  <c r="BR19" i="1" a="1"/>
  <c r="BR19" i="1" s="1"/>
  <c r="N19" i="1"/>
  <c r="BV19" i="1" s="1"/>
  <c r="Z19" i="1"/>
  <c r="BW19" i="1" s="1"/>
  <c r="AL19" i="1"/>
  <c r="BX19" i="1" s="1"/>
  <c r="AX19" i="1"/>
  <c r="BY19" i="1" s="1"/>
  <c r="BK19" i="1"/>
  <c r="BZ19" i="1" s="1"/>
  <c r="BM19" i="1"/>
  <c r="BR18" i="1" a="1"/>
  <c r="BR18" i="1" s="1"/>
  <c r="N18" i="1"/>
  <c r="BV18" i="1" s="1"/>
  <c r="Z18" i="1"/>
  <c r="BW18" i="1"/>
  <c r="AL18" i="1"/>
  <c r="BX18" i="1" s="1"/>
  <c r="AX18" i="1"/>
  <c r="BY18" i="1" s="1"/>
  <c r="BK18" i="1"/>
  <c r="BZ18" i="1" s="1"/>
  <c r="BM18" i="1"/>
  <c r="BR17" i="1" a="1"/>
  <c r="BR17" i="1" s="1"/>
  <c r="N17" i="1"/>
  <c r="Z17" i="1"/>
  <c r="BW17" i="1" s="1"/>
  <c r="AL17" i="1"/>
  <c r="BX17" i="1" s="1"/>
  <c r="AX17" i="1"/>
  <c r="BY17" i="1" s="1"/>
  <c r="BK17" i="1"/>
  <c r="BZ17" i="1" s="1"/>
  <c r="BM17" i="1"/>
  <c r="BR16" i="1" a="1"/>
  <c r="BR16" i="1" s="1"/>
  <c r="N16" i="1"/>
  <c r="BV16" i="1" s="1"/>
  <c r="Z16" i="1"/>
  <c r="AL16" i="1"/>
  <c r="BX16" i="1" s="1"/>
  <c r="AX16" i="1"/>
  <c r="BY16" i="1" s="1"/>
  <c r="BK16" i="1"/>
  <c r="BZ16" i="1"/>
  <c r="BM16" i="1"/>
  <c r="BR15" i="1" a="1"/>
  <c r="BR15" i="1" s="1"/>
  <c r="N15" i="1"/>
  <c r="BV15" i="1"/>
  <c r="Z15" i="1"/>
  <c r="BW15" i="1" s="1"/>
  <c r="AL15" i="1"/>
  <c r="AX15" i="1"/>
  <c r="BY15" i="1" s="1"/>
  <c r="BK15" i="1"/>
  <c r="BZ15" i="1" s="1"/>
  <c r="BM15" i="1"/>
  <c r="BR14" i="1" a="1"/>
  <c r="BR14" i="1" s="1"/>
  <c r="N14" i="1"/>
  <c r="BV14" i="1" s="1"/>
  <c r="Z14" i="1"/>
  <c r="BW14" i="1"/>
  <c r="AL14" i="1"/>
  <c r="BX14" i="1" s="1"/>
  <c r="AX14" i="1"/>
  <c r="BY14" i="1" s="1"/>
  <c r="BK14" i="1"/>
  <c r="BZ14" i="1" s="1"/>
  <c r="BM14" i="1"/>
  <c r="BR13" i="1" a="1"/>
  <c r="BR13" i="1" s="1"/>
  <c r="N13" i="1"/>
  <c r="BV13" i="1" s="1"/>
  <c r="Z13" i="1"/>
  <c r="BW13" i="1" s="1"/>
  <c r="AL13" i="1"/>
  <c r="BX13" i="1" s="1"/>
  <c r="AX13" i="1"/>
  <c r="BY13" i="1" s="1"/>
  <c r="BK13" i="1"/>
  <c r="BZ13" i="1" s="1"/>
  <c r="BM13" i="1"/>
  <c r="BR12" i="1" a="1"/>
  <c r="BR12" i="1" s="1"/>
  <c r="N12" i="1"/>
  <c r="BV12" i="1" s="1"/>
  <c r="Z12" i="1"/>
  <c r="BW12" i="1" s="1"/>
  <c r="AL12" i="1"/>
  <c r="BX12" i="1" s="1"/>
  <c r="AX12" i="1"/>
  <c r="BY12" i="1" s="1"/>
  <c r="BK12" i="1"/>
  <c r="BZ12" i="1" s="1"/>
  <c r="BM12" i="1"/>
  <c r="BR11" i="1" a="1"/>
  <c r="BR11" i="1" s="1"/>
  <c r="N11" i="1"/>
  <c r="BV11" i="1" s="1"/>
  <c r="Z11" i="1"/>
  <c r="BW11" i="1" s="1"/>
  <c r="AL11" i="1"/>
  <c r="BX11" i="1" s="1"/>
  <c r="AX11" i="1"/>
  <c r="BY11" i="1" s="1"/>
  <c r="BK11" i="1"/>
  <c r="BZ11" i="1" s="1"/>
  <c r="BM11" i="1"/>
  <c r="BR10" i="1" a="1"/>
  <c r="BR10" i="1" s="1"/>
  <c r="N10" i="1"/>
  <c r="BV10" i="1" s="1"/>
  <c r="Z10" i="1"/>
  <c r="AL10" i="1"/>
  <c r="BX10" i="1" s="1"/>
  <c r="AX10" i="1"/>
  <c r="BY10" i="1" s="1"/>
  <c r="BK10" i="1"/>
  <c r="BZ10" i="1" s="1"/>
  <c r="BM10" i="1"/>
  <c r="BR9" i="1" a="1"/>
  <c r="BR9" i="1" s="1"/>
  <c r="N9" i="1"/>
  <c r="BV9" i="1" s="1"/>
  <c r="Z9" i="1"/>
  <c r="BW9" i="1"/>
  <c r="AL9" i="1"/>
  <c r="BX9" i="1" s="1"/>
  <c r="AX9" i="1"/>
  <c r="BY9" i="1" s="1"/>
  <c r="BK9" i="1"/>
  <c r="BZ9" i="1" s="1"/>
  <c r="BM9" i="1"/>
  <c r="BR8" i="1" a="1"/>
  <c r="BR8" i="1" s="1"/>
  <c r="Z8" i="1"/>
  <c r="BW8" i="1" s="1"/>
  <c r="AL8" i="1"/>
  <c r="BX8" i="1" s="1"/>
  <c r="N8" i="1"/>
  <c r="BV8" i="1"/>
  <c r="AX8" i="1"/>
  <c r="BY8" i="1" s="1"/>
  <c r="BK8" i="1"/>
  <c r="BZ8" i="1" s="1"/>
  <c r="BM8" i="1"/>
  <c r="BR7" i="1" a="1"/>
  <c r="BR7" i="1" s="1"/>
  <c r="N7" i="1"/>
  <c r="BV7" i="1" s="1"/>
  <c r="Z7" i="1"/>
  <c r="BW7" i="1"/>
  <c r="AL7" i="1"/>
  <c r="BX7" i="1" s="1"/>
  <c r="AX7" i="1"/>
  <c r="BY7" i="1" s="1"/>
  <c r="BK7" i="1"/>
  <c r="BZ7" i="1" s="1"/>
  <c r="BM7" i="1"/>
  <c r="BR6" i="1" a="1"/>
  <c r="BR6" i="1" s="1"/>
  <c r="N6" i="1"/>
  <c r="BV6" i="1" s="1"/>
  <c r="Z6" i="1"/>
  <c r="BW6" i="1" s="1"/>
  <c r="AL6" i="1"/>
  <c r="BX6" i="1" s="1"/>
  <c r="AX6" i="1"/>
  <c r="BY6" i="1" s="1"/>
  <c r="BK6" i="1"/>
  <c r="BZ6" i="1" s="1"/>
  <c r="BM6" i="1"/>
  <c r="BS5" i="1"/>
  <c r="BR5" i="1" a="1"/>
  <c r="BR5" i="1" s="1"/>
  <c r="N5" i="1"/>
  <c r="Z5" i="1"/>
  <c r="BW5" i="1"/>
  <c r="AL5" i="1"/>
  <c r="BX5" i="1" s="1"/>
  <c r="AX5" i="1"/>
  <c r="BY5" i="1"/>
  <c r="BK5" i="1"/>
  <c r="BZ5" i="1" s="1"/>
  <c r="BM5" i="1"/>
  <c r="BA1006" i="1"/>
  <c r="AO1006" i="1"/>
  <c r="AC1006" i="1"/>
  <c r="Q1006" i="1"/>
  <c r="E1006" i="1"/>
  <c r="BA1005" i="1"/>
  <c r="AO1005" i="1"/>
  <c r="AC1005" i="1"/>
  <c r="Q1005" i="1"/>
  <c r="E1005" i="1"/>
  <c r="BA1004" i="1"/>
  <c r="AO1004" i="1"/>
  <c r="AC1004" i="1"/>
  <c r="Q1004" i="1"/>
  <c r="E1004" i="1"/>
  <c r="BA1003" i="1"/>
  <c r="AO1003" i="1"/>
  <c r="AC1003" i="1"/>
  <c r="Q1003" i="1"/>
  <c r="E1003" i="1"/>
  <c r="BA1002" i="1"/>
  <c r="AO1002" i="1"/>
  <c r="AC1002" i="1"/>
  <c r="Q1002" i="1"/>
  <c r="E1002" i="1"/>
  <c r="BA1001" i="1"/>
  <c r="AO1001" i="1"/>
  <c r="AC1001" i="1"/>
  <c r="Q1001" i="1"/>
  <c r="E1001" i="1"/>
  <c r="BA1000" i="1"/>
  <c r="AO1000" i="1"/>
  <c r="AC1000" i="1"/>
  <c r="Q1000" i="1"/>
  <c r="E1000" i="1"/>
  <c r="BA999" i="1"/>
  <c r="AO999" i="1"/>
  <c r="AC999" i="1"/>
  <c r="Q999" i="1"/>
  <c r="E999" i="1"/>
  <c r="BA998" i="1"/>
  <c r="AO998" i="1"/>
  <c r="AC998" i="1"/>
  <c r="Q998" i="1"/>
  <c r="E998" i="1"/>
  <c r="BA997" i="1"/>
  <c r="AO997" i="1"/>
  <c r="AC997" i="1"/>
  <c r="Q997" i="1"/>
  <c r="E997" i="1"/>
  <c r="BA996" i="1"/>
  <c r="AO996" i="1"/>
  <c r="AC996" i="1"/>
  <c r="Q996" i="1"/>
  <c r="E996" i="1"/>
  <c r="BA995" i="1"/>
  <c r="AO995" i="1"/>
  <c r="AC995" i="1"/>
  <c r="Q995" i="1"/>
  <c r="E995" i="1"/>
  <c r="BA994" i="1"/>
  <c r="AO994" i="1"/>
  <c r="AC994" i="1"/>
  <c r="Q994" i="1"/>
  <c r="E994" i="1"/>
  <c r="BA993" i="1"/>
  <c r="AO993" i="1"/>
  <c r="AC993" i="1"/>
  <c r="Q993" i="1"/>
  <c r="E993" i="1"/>
  <c r="BA991" i="1"/>
  <c r="AO991" i="1"/>
  <c r="AC991" i="1"/>
  <c r="Q991" i="1"/>
  <c r="E991" i="1"/>
  <c r="BA990" i="1"/>
  <c r="AO990" i="1"/>
  <c r="AC990" i="1"/>
  <c r="Q990" i="1"/>
  <c r="E990" i="1"/>
  <c r="BA989" i="1"/>
  <c r="AO989" i="1"/>
  <c r="AC989" i="1"/>
  <c r="Q989" i="1"/>
  <c r="E989" i="1"/>
  <c r="BA988" i="1"/>
  <c r="AO988" i="1"/>
  <c r="AC988" i="1"/>
  <c r="Q988" i="1"/>
  <c r="E988" i="1"/>
  <c r="BA987" i="1"/>
  <c r="AO987" i="1"/>
  <c r="AC987" i="1"/>
  <c r="Q987" i="1"/>
  <c r="E987" i="1"/>
  <c r="BA986" i="1"/>
  <c r="AO986" i="1"/>
  <c r="AC986" i="1"/>
  <c r="Q986" i="1"/>
  <c r="E986" i="1"/>
  <c r="BA985" i="1"/>
  <c r="AO985" i="1"/>
  <c r="AC985" i="1"/>
  <c r="Q985" i="1"/>
  <c r="E985" i="1"/>
  <c r="BA984" i="1"/>
  <c r="AO984" i="1"/>
  <c r="AC984" i="1"/>
  <c r="Q984" i="1"/>
  <c r="E984" i="1"/>
  <c r="BA983" i="1"/>
  <c r="AO983" i="1"/>
  <c r="AC983" i="1"/>
  <c r="Q983" i="1"/>
  <c r="E983" i="1"/>
  <c r="BA982" i="1"/>
  <c r="AO982" i="1"/>
  <c r="AC982" i="1"/>
  <c r="Q982" i="1"/>
  <c r="E982" i="1"/>
  <c r="BA981" i="1"/>
  <c r="AO981" i="1"/>
  <c r="AC981" i="1"/>
  <c r="Q981" i="1"/>
  <c r="E981" i="1"/>
  <c r="BA980" i="1"/>
  <c r="AO980" i="1"/>
  <c r="AC980" i="1"/>
  <c r="Q980" i="1"/>
  <c r="E980" i="1"/>
  <c r="BA979" i="1"/>
  <c r="AO979" i="1"/>
  <c r="AC979" i="1"/>
  <c r="Q979" i="1"/>
  <c r="E979" i="1"/>
  <c r="BA978" i="1"/>
  <c r="AO978" i="1"/>
  <c r="AC978" i="1"/>
  <c r="Q978" i="1"/>
  <c r="E978" i="1"/>
  <c r="BA977" i="1"/>
  <c r="AO977" i="1"/>
  <c r="AC977" i="1"/>
  <c r="Q977" i="1"/>
  <c r="E977" i="1"/>
  <c r="BA976" i="1"/>
  <c r="AO976" i="1"/>
  <c r="AC976" i="1"/>
  <c r="Q976" i="1"/>
  <c r="E976" i="1"/>
  <c r="BA975" i="1"/>
  <c r="AO975" i="1"/>
  <c r="AC975" i="1"/>
  <c r="Q975" i="1"/>
  <c r="E975" i="1"/>
  <c r="BA974" i="1"/>
  <c r="AO974" i="1"/>
  <c r="AC974" i="1"/>
  <c r="Q974" i="1"/>
  <c r="E974" i="1"/>
  <c r="BA973" i="1"/>
  <c r="AO973" i="1"/>
  <c r="AC973" i="1"/>
  <c r="Q973" i="1"/>
  <c r="E973" i="1"/>
  <c r="BA972" i="1"/>
  <c r="AO972" i="1"/>
  <c r="AC972" i="1"/>
  <c r="Q972" i="1"/>
  <c r="E972" i="1"/>
  <c r="BA971" i="1"/>
  <c r="AO971" i="1"/>
  <c r="AC971" i="1"/>
  <c r="Q971" i="1"/>
  <c r="E971" i="1"/>
  <c r="BA970" i="1"/>
  <c r="AO970" i="1"/>
  <c r="AC970" i="1"/>
  <c r="Q970" i="1"/>
  <c r="E970" i="1"/>
  <c r="BA969" i="1"/>
  <c r="AO969" i="1"/>
  <c r="AC969" i="1"/>
  <c r="Q969" i="1"/>
  <c r="E969" i="1"/>
  <c r="BA968" i="1"/>
  <c r="AO968" i="1"/>
  <c r="AC968" i="1"/>
  <c r="Q968" i="1"/>
  <c r="E968" i="1"/>
  <c r="BA967" i="1"/>
  <c r="AO967" i="1"/>
  <c r="AC967" i="1"/>
  <c r="Q967" i="1"/>
  <c r="E967" i="1"/>
  <c r="BA966" i="1"/>
  <c r="AO966" i="1"/>
  <c r="AC966" i="1"/>
  <c r="Q966" i="1"/>
  <c r="E966" i="1"/>
  <c r="BA965" i="1"/>
  <c r="AO965" i="1"/>
  <c r="AC965" i="1"/>
  <c r="Q965" i="1"/>
  <c r="E965" i="1"/>
  <c r="BA964" i="1"/>
  <c r="AO964" i="1"/>
  <c r="AC964" i="1"/>
  <c r="Q964" i="1"/>
  <c r="E964" i="1"/>
  <c r="BA963" i="1"/>
  <c r="AO963" i="1"/>
  <c r="AC963" i="1"/>
  <c r="Q963" i="1"/>
  <c r="E963" i="1"/>
  <c r="BA961" i="1"/>
  <c r="AO961" i="1"/>
  <c r="AC961" i="1"/>
  <c r="Q961" i="1"/>
  <c r="E961" i="1"/>
  <c r="BA960" i="1"/>
  <c r="AO960" i="1"/>
  <c r="AC960" i="1"/>
  <c r="Q960" i="1"/>
  <c r="E960" i="1"/>
  <c r="BA959" i="1"/>
  <c r="AO959" i="1"/>
  <c r="AC959" i="1"/>
  <c r="Q959" i="1"/>
  <c r="E959" i="1"/>
  <c r="BA958" i="1"/>
  <c r="AO958" i="1"/>
  <c r="AC958" i="1"/>
  <c r="Q958" i="1"/>
  <c r="E958" i="1"/>
  <c r="BA957" i="1"/>
  <c r="AO957" i="1"/>
  <c r="AC957" i="1"/>
  <c r="Q957" i="1"/>
  <c r="E957" i="1"/>
  <c r="BA956" i="1"/>
  <c r="AO956" i="1"/>
  <c r="AC956" i="1"/>
  <c r="Q956" i="1"/>
  <c r="E956" i="1"/>
  <c r="BA955" i="1"/>
  <c r="AO955" i="1"/>
  <c r="AC955" i="1"/>
  <c r="Q955" i="1"/>
  <c r="E955" i="1"/>
  <c r="BA954" i="1"/>
  <c r="AO954" i="1"/>
  <c r="AC954" i="1"/>
  <c r="Q954" i="1"/>
  <c r="E954" i="1"/>
  <c r="BA952" i="1"/>
  <c r="AO952" i="1"/>
  <c r="AC952" i="1"/>
  <c r="Q952" i="1"/>
  <c r="E952" i="1"/>
  <c r="BA950" i="1"/>
  <c r="AO950" i="1"/>
  <c r="AC950" i="1"/>
  <c r="Q950" i="1"/>
  <c r="E950" i="1"/>
  <c r="BA949" i="1"/>
  <c r="AO949" i="1"/>
  <c r="AC949" i="1"/>
  <c r="Q949" i="1"/>
  <c r="E949" i="1"/>
  <c r="BA948" i="1"/>
  <c r="AO948" i="1"/>
  <c r="AC948" i="1"/>
  <c r="Q948" i="1"/>
  <c r="E948" i="1"/>
  <c r="BA947" i="1"/>
  <c r="AO947" i="1"/>
  <c r="AC947" i="1"/>
  <c r="Q947" i="1"/>
  <c r="E947" i="1"/>
  <c r="BA946" i="1"/>
  <c r="AO946" i="1"/>
  <c r="AC946" i="1"/>
  <c r="Q946" i="1"/>
  <c r="E946" i="1"/>
  <c r="BA945" i="1"/>
  <c r="AO945" i="1"/>
  <c r="AC945" i="1"/>
  <c r="Q945" i="1"/>
  <c r="E945" i="1"/>
  <c r="BA944" i="1"/>
  <c r="AO944" i="1"/>
  <c r="AC944" i="1"/>
  <c r="Q944" i="1"/>
  <c r="E944" i="1"/>
  <c r="BA943" i="1"/>
  <c r="AO943" i="1"/>
  <c r="AC943" i="1"/>
  <c r="Q943" i="1"/>
  <c r="E943" i="1"/>
  <c r="BA942" i="1"/>
  <c r="AO942" i="1"/>
  <c r="AC942" i="1"/>
  <c r="Q942" i="1"/>
  <c r="E942" i="1"/>
  <c r="BA941" i="1"/>
  <c r="AO941" i="1"/>
  <c r="AC941" i="1"/>
  <c r="Q941" i="1"/>
  <c r="E941" i="1"/>
  <c r="BA940" i="1"/>
  <c r="AO940" i="1"/>
  <c r="AC940" i="1"/>
  <c r="Q940" i="1"/>
  <c r="E940" i="1"/>
  <c r="BA939" i="1"/>
  <c r="AO939" i="1"/>
  <c r="AC939" i="1"/>
  <c r="Q939" i="1"/>
  <c r="E939" i="1"/>
  <c r="BA938" i="1"/>
  <c r="AO938" i="1"/>
  <c r="AC938" i="1"/>
  <c r="Q938" i="1"/>
  <c r="E938" i="1"/>
  <c r="BA937" i="1"/>
  <c r="AO937" i="1"/>
  <c r="AC937" i="1"/>
  <c r="Q937" i="1"/>
  <c r="E937" i="1"/>
  <c r="BA934" i="1"/>
  <c r="AO934" i="1"/>
  <c r="AC934" i="1"/>
  <c r="Q934" i="1"/>
  <c r="E934" i="1"/>
  <c r="BA933" i="1"/>
  <c r="AO933" i="1"/>
  <c r="AC933" i="1"/>
  <c r="Q933" i="1"/>
  <c r="E933" i="1"/>
  <c r="BA932" i="1"/>
  <c r="AO932" i="1"/>
  <c r="AC932" i="1"/>
  <c r="Q932" i="1"/>
  <c r="E932" i="1"/>
  <c r="BA930" i="1"/>
  <c r="AO930" i="1"/>
  <c r="AC930" i="1"/>
  <c r="Q930" i="1"/>
  <c r="E930" i="1"/>
  <c r="BA929" i="1"/>
  <c r="AO929" i="1"/>
  <c r="AC929" i="1"/>
  <c r="Q929" i="1"/>
  <c r="E929" i="1"/>
  <c r="BA927" i="1"/>
  <c r="AO927" i="1"/>
  <c r="AC927" i="1"/>
  <c r="Q927" i="1"/>
  <c r="E927" i="1"/>
  <c r="BA926" i="1"/>
  <c r="AO926" i="1"/>
  <c r="AC926" i="1"/>
  <c r="Q926" i="1"/>
  <c r="E926" i="1"/>
  <c r="BA925" i="1"/>
  <c r="AO925" i="1"/>
  <c r="AC925" i="1"/>
  <c r="Q925" i="1"/>
  <c r="E925" i="1"/>
  <c r="BA924" i="1"/>
  <c r="AO924" i="1"/>
  <c r="AC924" i="1"/>
  <c r="Q924" i="1"/>
  <c r="E924" i="1"/>
  <c r="BA923" i="1"/>
  <c r="AO923" i="1"/>
  <c r="AC923" i="1"/>
  <c r="Q923" i="1"/>
  <c r="E923" i="1"/>
  <c r="BA922" i="1"/>
  <c r="AO922" i="1"/>
  <c r="AC922" i="1"/>
  <c r="Q922" i="1"/>
  <c r="E922" i="1"/>
  <c r="BA921" i="1"/>
  <c r="AO921" i="1"/>
  <c r="AC921" i="1"/>
  <c r="Q921" i="1"/>
  <c r="E921" i="1"/>
  <c r="BA920" i="1"/>
  <c r="AO920" i="1"/>
  <c r="AC920" i="1"/>
  <c r="Q920" i="1"/>
  <c r="E920" i="1"/>
  <c r="BA919" i="1"/>
  <c r="AO919" i="1"/>
  <c r="AC919" i="1"/>
  <c r="Q919" i="1"/>
  <c r="E919" i="1"/>
  <c r="BA917" i="1"/>
  <c r="AO917" i="1"/>
  <c r="AC917" i="1"/>
  <c r="Q917" i="1"/>
  <c r="E917" i="1"/>
  <c r="BA915" i="1"/>
  <c r="AO915" i="1"/>
  <c r="AC915" i="1"/>
  <c r="Q915" i="1"/>
  <c r="E915" i="1"/>
  <c r="BA914" i="1"/>
  <c r="AO914" i="1"/>
  <c r="AC914" i="1"/>
  <c r="Q914" i="1"/>
  <c r="E914" i="1"/>
  <c r="BA913" i="1"/>
  <c r="AO913" i="1"/>
  <c r="AC913" i="1"/>
  <c r="Q913" i="1"/>
  <c r="E913" i="1"/>
  <c r="BA912" i="1"/>
  <c r="AO912" i="1"/>
  <c r="AC912" i="1"/>
  <c r="Q912" i="1"/>
  <c r="E912" i="1"/>
  <c r="BA911" i="1"/>
  <c r="AO911" i="1"/>
  <c r="AC911" i="1"/>
  <c r="Q911" i="1"/>
  <c r="E911" i="1"/>
  <c r="BA910" i="1"/>
  <c r="AO910" i="1"/>
  <c r="AC910" i="1"/>
  <c r="Q910" i="1"/>
  <c r="E910" i="1"/>
  <c r="BA909" i="1"/>
  <c r="AO909" i="1"/>
  <c r="AC909" i="1"/>
  <c r="Q909" i="1"/>
  <c r="E909" i="1"/>
  <c r="BA908" i="1"/>
  <c r="AO908" i="1"/>
  <c r="AC908" i="1"/>
  <c r="Q908" i="1"/>
  <c r="E908" i="1"/>
  <c r="BA906" i="1"/>
  <c r="AO906" i="1"/>
  <c r="AC906" i="1"/>
  <c r="Q906" i="1"/>
  <c r="E906" i="1"/>
  <c r="BA905" i="1"/>
  <c r="AO905" i="1"/>
  <c r="AC905" i="1"/>
  <c r="Q905" i="1"/>
  <c r="E905" i="1"/>
  <c r="BA904" i="1"/>
  <c r="AO904" i="1"/>
  <c r="AC904" i="1"/>
  <c r="Q904" i="1"/>
  <c r="E904" i="1"/>
  <c r="BA903" i="1"/>
  <c r="AO903" i="1"/>
  <c r="AC903" i="1"/>
  <c r="Q903" i="1"/>
  <c r="E903" i="1"/>
  <c r="BA902" i="1"/>
  <c r="AO902" i="1"/>
  <c r="AC902" i="1"/>
  <c r="Q902" i="1"/>
  <c r="E902" i="1"/>
  <c r="BA901" i="1"/>
  <c r="AO901" i="1"/>
  <c r="AC901" i="1"/>
  <c r="Q901" i="1"/>
  <c r="E901" i="1"/>
  <c r="BA900" i="1"/>
  <c r="AO900" i="1"/>
  <c r="AC900" i="1"/>
  <c r="Q900" i="1"/>
  <c r="E900" i="1"/>
  <c r="BA899" i="1"/>
  <c r="AO899" i="1"/>
  <c r="AC899" i="1"/>
  <c r="Q899" i="1"/>
  <c r="E899" i="1"/>
  <c r="BA898" i="1"/>
  <c r="AO898" i="1"/>
  <c r="AC898" i="1"/>
  <c r="Q898" i="1"/>
  <c r="E898" i="1"/>
  <c r="BA897" i="1"/>
  <c r="AO897" i="1"/>
  <c r="AC897" i="1"/>
  <c r="Q897" i="1"/>
  <c r="E897" i="1"/>
  <c r="BA896" i="1"/>
  <c r="AO896" i="1"/>
  <c r="AC896" i="1"/>
  <c r="Q896" i="1"/>
  <c r="E896" i="1"/>
  <c r="BA895" i="1"/>
  <c r="AO895" i="1"/>
  <c r="AC895" i="1"/>
  <c r="Q895" i="1"/>
  <c r="E895" i="1"/>
  <c r="BA893" i="1"/>
  <c r="AO893" i="1"/>
  <c r="AC893" i="1"/>
  <c r="Q893" i="1"/>
  <c r="E893" i="1"/>
  <c r="BA891" i="1"/>
  <c r="AO891" i="1"/>
  <c r="AC891" i="1"/>
  <c r="Q891" i="1"/>
  <c r="E891" i="1"/>
  <c r="BA890" i="1"/>
  <c r="AO890" i="1"/>
  <c r="AC890" i="1"/>
  <c r="Q890" i="1"/>
  <c r="E890" i="1"/>
  <c r="BA889" i="1"/>
  <c r="AO889" i="1"/>
  <c r="AC889" i="1"/>
  <c r="Q889" i="1"/>
  <c r="E889" i="1"/>
  <c r="BA888" i="1"/>
  <c r="BB888" i="1" s="1"/>
  <c r="AO888" i="1"/>
  <c r="AC888" i="1"/>
  <c r="Q888" i="1"/>
  <c r="E888" i="1"/>
  <c r="BA887" i="1"/>
  <c r="AO887" i="1"/>
  <c r="AC887" i="1"/>
  <c r="Q887" i="1"/>
  <c r="E887" i="1"/>
  <c r="BA886" i="1"/>
  <c r="AO886" i="1"/>
  <c r="AC886" i="1"/>
  <c r="Q886" i="1"/>
  <c r="E886" i="1"/>
  <c r="BA885" i="1"/>
  <c r="AO885" i="1"/>
  <c r="AC885" i="1"/>
  <c r="Q885" i="1"/>
  <c r="E885" i="1"/>
  <c r="BA884" i="1"/>
  <c r="AO884" i="1"/>
  <c r="AC884" i="1"/>
  <c r="Q884" i="1"/>
  <c r="E884" i="1"/>
  <c r="BA882" i="1"/>
  <c r="AO882" i="1"/>
  <c r="AC882" i="1"/>
  <c r="Q882" i="1"/>
  <c r="E882" i="1"/>
  <c r="BA881" i="1"/>
  <c r="AO881" i="1"/>
  <c r="AC881" i="1"/>
  <c r="Q881" i="1"/>
  <c r="E881" i="1"/>
  <c r="BA880" i="1"/>
  <c r="AO880" i="1"/>
  <c r="AC880" i="1"/>
  <c r="Q880" i="1"/>
  <c r="E880" i="1"/>
  <c r="BA879" i="1"/>
  <c r="AO879" i="1"/>
  <c r="AC879" i="1"/>
  <c r="Q879" i="1"/>
  <c r="E879" i="1"/>
  <c r="BA878" i="1"/>
  <c r="AO878" i="1"/>
  <c r="AC878" i="1"/>
  <c r="Q878" i="1"/>
  <c r="E878" i="1"/>
  <c r="BA877" i="1"/>
  <c r="AO877" i="1"/>
  <c r="AC877" i="1"/>
  <c r="Q877" i="1"/>
  <c r="E877" i="1"/>
  <c r="BA876" i="1"/>
  <c r="AO876" i="1"/>
  <c r="AC876" i="1"/>
  <c r="Q876" i="1"/>
  <c r="E876" i="1"/>
  <c r="BA875" i="1"/>
  <c r="AO875" i="1"/>
  <c r="AC875" i="1"/>
  <c r="Q875" i="1"/>
  <c r="E875" i="1"/>
  <c r="BA874" i="1"/>
  <c r="AO874" i="1"/>
  <c r="AC874" i="1"/>
  <c r="Q874" i="1"/>
  <c r="E874" i="1"/>
  <c r="BA873" i="1"/>
  <c r="AO873" i="1"/>
  <c r="AC873" i="1"/>
  <c r="Q873" i="1"/>
  <c r="E873" i="1"/>
  <c r="BA872" i="1"/>
  <c r="AO872" i="1"/>
  <c r="AC872" i="1"/>
  <c r="Q872" i="1"/>
  <c r="E872" i="1"/>
  <c r="BA870" i="1"/>
  <c r="AO870" i="1"/>
  <c r="AC870" i="1"/>
  <c r="Q870" i="1"/>
  <c r="E870" i="1"/>
  <c r="BA869" i="1"/>
  <c r="AO869" i="1"/>
  <c r="AC869" i="1"/>
  <c r="Q869" i="1"/>
  <c r="E869" i="1"/>
  <c r="BA868" i="1"/>
  <c r="AO868" i="1"/>
  <c r="AC868" i="1"/>
  <c r="Q868" i="1"/>
  <c r="E868" i="1"/>
  <c r="BA867" i="1"/>
  <c r="AO867" i="1"/>
  <c r="AC867" i="1"/>
  <c r="Q867" i="1"/>
  <c r="E867" i="1"/>
  <c r="BA866" i="1"/>
  <c r="AO866" i="1"/>
  <c r="AC866" i="1"/>
  <c r="Q866" i="1"/>
  <c r="E866" i="1"/>
  <c r="BA865" i="1"/>
  <c r="AO865" i="1"/>
  <c r="AC865" i="1"/>
  <c r="Q865" i="1"/>
  <c r="E865" i="1"/>
  <c r="BA864" i="1"/>
  <c r="AO864" i="1"/>
  <c r="AC864" i="1"/>
  <c r="Q864" i="1"/>
  <c r="E864" i="1"/>
  <c r="BA863" i="1"/>
  <c r="AO863" i="1"/>
  <c r="AC863" i="1"/>
  <c r="Q863" i="1"/>
  <c r="E863" i="1"/>
  <c r="BA860" i="1"/>
  <c r="AO860" i="1"/>
  <c r="AC860" i="1"/>
  <c r="Q860" i="1"/>
  <c r="E860" i="1"/>
  <c r="BA859" i="1"/>
  <c r="AO859" i="1"/>
  <c r="AC859" i="1"/>
  <c r="Q859" i="1"/>
  <c r="E859" i="1"/>
  <c r="BA858" i="1"/>
  <c r="AO858" i="1"/>
  <c r="AC858" i="1"/>
  <c r="Q858" i="1"/>
  <c r="E858" i="1"/>
  <c r="BA857" i="1"/>
  <c r="AO857" i="1"/>
  <c r="AC857" i="1"/>
  <c r="Q857" i="1"/>
  <c r="E857" i="1"/>
  <c r="BA856" i="1"/>
  <c r="AO856" i="1"/>
  <c r="AC856" i="1"/>
  <c r="Q856" i="1"/>
  <c r="E856" i="1"/>
  <c r="BA855" i="1"/>
  <c r="AO855" i="1"/>
  <c r="AC855" i="1"/>
  <c r="Q855" i="1"/>
  <c r="E855" i="1"/>
  <c r="BA854" i="1"/>
  <c r="AO854" i="1"/>
  <c r="AC854" i="1"/>
  <c r="Q854" i="1"/>
  <c r="E854" i="1"/>
  <c r="BA853" i="1"/>
  <c r="AO853" i="1"/>
  <c r="AC853" i="1"/>
  <c r="Q853" i="1"/>
  <c r="E853" i="1"/>
  <c r="BA852" i="1"/>
  <c r="AO852" i="1"/>
  <c r="AC852" i="1"/>
  <c r="Q852" i="1"/>
  <c r="E852" i="1"/>
  <c r="BA851" i="1"/>
  <c r="AO851" i="1"/>
  <c r="AC851" i="1"/>
  <c r="Q851" i="1"/>
  <c r="E851" i="1"/>
  <c r="BA850" i="1"/>
  <c r="AO850" i="1"/>
  <c r="AC850" i="1"/>
  <c r="Q850" i="1"/>
  <c r="E850" i="1"/>
  <c r="BA849" i="1"/>
  <c r="AO849" i="1"/>
  <c r="AC849" i="1"/>
  <c r="Q849" i="1"/>
  <c r="E849" i="1"/>
  <c r="BA848" i="1"/>
  <c r="AO848" i="1"/>
  <c r="AC848" i="1"/>
  <c r="Q848" i="1"/>
  <c r="E848" i="1"/>
  <c r="BA847" i="1"/>
  <c r="AO847" i="1"/>
  <c r="AC847" i="1"/>
  <c r="Q847" i="1"/>
  <c r="E847" i="1"/>
  <c r="BA846" i="1"/>
  <c r="AO846" i="1"/>
  <c r="AC846" i="1"/>
  <c r="Q846" i="1"/>
  <c r="E846" i="1"/>
  <c r="BA845" i="1"/>
  <c r="AO845" i="1"/>
  <c r="AC845" i="1"/>
  <c r="Q845" i="1"/>
  <c r="E845" i="1"/>
  <c r="BA844" i="1"/>
  <c r="AO844" i="1"/>
  <c r="AC844" i="1"/>
  <c r="Q844" i="1"/>
  <c r="E844" i="1"/>
  <c r="BA843" i="1"/>
  <c r="AO843" i="1"/>
  <c r="AC843" i="1"/>
  <c r="Q843" i="1"/>
  <c r="E843" i="1"/>
  <c r="BA842" i="1"/>
  <c r="AO842" i="1"/>
  <c r="AC842" i="1"/>
  <c r="Q842" i="1"/>
  <c r="E842" i="1"/>
  <c r="BA840" i="1"/>
  <c r="AO840" i="1"/>
  <c r="AC840" i="1"/>
  <c r="Q840" i="1"/>
  <c r="E840" i="1"/>
  <c r="BA838" i="1"/>
  <c r="AO838" i="1"/>
  <c r="AC838" i="1"/>
  <c r="Q838" i="1"/>
  <c r="E838" i="1"/>
  <c r="BA837" i="1"/>
  <c r="AO837" i="1"/>
  <c r="AC837" i="1"/>
  <c r="Q837" i="1"/>
  <c r="E837" i="1"/>
  <c r="BA836" i="1"/>
  <c r="AO836" i="1"/>
  <c r="AC836" i="1"/>
  <c r="Q836" i="1"/>
  <c r="E836" i="1"/>
  <c r="BA834" i="1"/>
  <c r="AO834" i="1"/>
  <c r="AC834" i="1"/>
  <c r="Q834" i="1"/>
  <c r="E834" i="1"/>
  <c r="BA833" i="1"/>
  <c r="AO833" i="1"/>
  <c r="AC833" i="1"/>
  <c r="Q833" i="1"/>
  <c r="E833" i="1"/>
  <c r="BA832" i="1"/>
  <c r="AO832" i="1"/>
  <c r="AC832" i="1"/>
  <c r="Q832" i="1"/>
  <c r="E832" i="1"/>
  <c r="BA831" i="1"/>
  <c r="AO831" i="1"/>
  <c r="AC831" i="1"/>
  <c r="Q831" i="1"/>
  <c r="E831" i="1"/>
  <c r="BA830" i="1"/>
  <c r="AO830" i="1"/>
  <c r="AC830" i="1"/>
  <c r="Q830" i="1"/>
  <c r="E830" i="1"/>
  <c r="BA829" i="1"/>
  <c r="AO829" i="1"/>
  <c r="AC829" i="1"/>
  <c r="Q829" i="1"/>
  <c r="E829" i="1"/>
  <c r="BA828" i="1"/>
  <c r="AO828" i="1"/>
  <c r="AC828" i="1"/>
  <c r="Q828" i="1"/>
  <c r="E828" i="1"/>
  <c r="BA827" i="1"/>
  <c r="AO827" i="1"/>
  <c r="AC827" i="1"/>
  <c r="Q827" i="1"/>
  <c r="E827" i="1"/>
  <c r="BA826" i="1"/>
  <c r="AO826" i="1"/>
  <c r="AC826" i="1"/>
  <c r="Q826" i="1"/>
  <c r="E826" i="1"/>
  <c r="BA825" i="1"/>
  <c r="AO825" i="1"/>
  <c r="AC825" i="1"/>
  <c r="Q825" i="1"/>
  <c r="E825" i="1"/>
  <c r="BA824" i="1"/>
  <c r="AO824" i="1"/>
  <c r="AC824" i="1"/>
  <c r="Q824" i="1"/>
  <c r="E824" i="1"/>
  <c r="BA823" i="1"/>
  <c r="AO823" i="1"/>
  <c r="AC823" i="1"/>
  <c r="Q823" i="1"/>
  <c r="E823" i="1"/>
  <c r="BA822" i="1"/>
  <c r="AO822" i="1"/>
  <c r="AC822" i="1"/>
  <c r="Q822" i="1"/>
  <c r="E822" i="1"/>
  <c r="BA821" i="1"/>
  <c r="AO821" i="1"/>
  <c r="AC821" i="1"/>
  <c r="Q821" i="1"/>
  <c r="E821" i="1"/>
  <c r="BA820" i="1"/>
  <c r="AO820" i="1"/>
  <c r="AC820" i="1"/>
  <c r="Q820" i="1"/>
  <c r="E820" i="1"/>
  <c r="BA819" i="1"/>
  <c r="AO819" i="1"/>
  <c r="AC819" i="1"/>
  <c r="Q819" i="1"/>
  <c r="E819" i="1"/>
  <c r="BA818" i="1"/>
  <c r="AO818" i="1"/>
  <c r="AC818" i="1"/>
  <c r="Q818" i="1"/>
  <c r="E818" i="1"/>
  <c r="BA817" i="1"/>
  <c r="AO817" i="1"/>
  <c r="AC817" i="1"/>
  <c r="Q817" i="1"/>
  <c r="E817" i="1"/>
  <c r="BA816" i="1"/>
  <c r="AO816" i="1"/>
  <c r="AC816" i="1"/>
  <c r="Q816" i="1"/>
  <c r="E816" i="1"/>
  <c r="BA815" i="1"/>
  <c r="AO815" i="1"/>
  <c r="AC815" i="1"/>
  <c r="Q815" i="1"/>
  <c r="E815" i="1"/>
  <c r="BA814" i="1"/>
  <c r="AO814" i="1"/>
  <c r="AC814" i="1"/>
  <c r="Q814" i="1"/>
  <c r="E814" i="1"/>
  <c r="BA813" i="1"/>
  <c r="AO813" i="1"/>
  <c r="AC813" i="1"/>
  <c r="Q813" i="1"/>
  <c r="E813" i="1"/>
  <c r="BA812" i="1"/>
  <c r="AO812" i="1"/>
  <c r="AC812" i="1"/>
  <c r="Q812" i="1"/>
  <c r="E812" i="1"/>
  <c r="BA811" i="1"/>
  <c r="AO811" i="1"/>
  <c r="AC811" i="1"/>
  <c r="Q811" i="1"/>
  <c r="E811" i="1"/>
  <c r="BA810" i="1"/>
  <c r="AO810" i="1"/>
  <c r="AC810" i="1"/>
  <c r="Q810" i="1"/>
  <c r="E810" i="1"/>
  <c r="BA809" i="1"/>
  <c r="AO809" i="1"/>
  <c r="AC809" i="1"/>
  <c r="Q809" i="1"/>
  <c r="E809" i="1"/>
  <c r="BA808" i="1"/>
  <c r="AO808" i="1"/>
  <c r="AC808" i="1"/>
  <c r="Q808" i="1"/>
  <c r="E808" i="1"/>
  <c r="BA807" i="1"/>
  <c r="AO807" i="1"/>
  <c r="AC807" i="1"/>
  <c r="Q807" i="1"/>
  <c r="E807" i="1"/>
  <c r="BA806" i="1"/>
  <c r="AO806" i="1"/>
  <c r="AC806" i="1"/>
  <c r="Q806" i="1"/>
  <c r="E806" i="1"/>
  <c r="BA805" i="1"/>
  <c r="AO805" i="1"/>
  <c r="AC805" i="1"/>
  <c r="Q805" i="1"/>
  <c r="E805" i="1"/>
  <c r="BA804" i="1"/>
  <c r="AO804" i="1"/>
  <c r="AC804" i="1"/>
  <c r="Q804" i="1"/>
  <c r="E804" i="1"/>
  <c r="BA803" i="1"/>
  <c r="AO803" i="1"/>
  <c r="AC803" i="1"/>
  <c r="Q803" i="1"/>
  <c r="E803" i="1"/>
  <c r="BA802" i="1"/>
  <c r="AO802" i="1"/>
  <c r="AC802" i="1"/>
  <c r="Q802" i="1"/>
  <c r="E802" i="1"/>
  <c r="BA801" i="1"/>
  <c r="AO801" i="1"/>
  <c r="AC801" i="1"/>
  <c r="Q801" i="1"/>
  <c r="E801" i="1"/>
  <c r="BA800" i="1"/>
  <c r="AO800" i="1"/>
  <c r="AC800" i="1"/>
  <c r="Q800" i="1"/>
  <c r="E800" i="1"/>
  <c r="BA799" i="1"/>
  <c r="AO799" i="1"/>
  <c r="AC799" i="1"/>
  <c r="Q799" i="1"/>
  <c r="E799" i="1"/>
  <c r="BA798" i="1"/>
  <c r="AO798" i="1"/>
  <c r="AC798" i="1"/>
  <c r="Q798" i="1"/>
  <c r="E798" i="1"/>
  <c r="BA797" i="1"/>
  <c r="AO797" i="1"/>
  <c r="AC797" i="1"/>
  <c r="Q797" i="1"/>
  <c r="E797" i="1"/>
  <c r="BA796" i="1"/>
  <c r="AO796" i="1"/>
  <c r="AC796" i="1"/>
  <c r="Q796" i="1"/>
  <c r="E796" i="1"/>
  <c r="BA795" i="1"/>
  <c r="AO795" i="1"/>
  <c r="AC795" i="1"/>
  <c r="Q795" i="1"/>
  <c r="E795" i="1"/>
  <c r="BA794" i="1"/>
  <c r="AO794" i="1"/>
  <c r="AC794" i="1"/>
  <c r="Q794" i="1"/>
  <c r="E794" i="1"/>
  <c r="BA793" i="1"/>
  <c r="AO793" i="1"/>
  <c r="AC793" i="1"/>
  <c r="Q793" i="1"/>
  <c r="E793" i="1"/>
  <c r="BA792" i="1"/>
  <c r="AO792" i="1"/>
  <c r="AC792" i="1"/>
  <c r="Q792" i="1"/>
  <c r="E792" i="1"/>
  <c r="BA791" i="1"/>
  <c r="AO791" i="1"/>
  <c r="AC791" i="1"/>
  <c r="Q791" i="1"/>
  <c r="E791" i="1"/>
  <c r="BA790" i="1"/>
  <c r="AO790" i="1"/>
  <c r="AC790" i="1"/>
  <c r="Q790" i="1"/>
  <c r="E790" i="1"/>
  <c r="BA788" i="1"/>
  <c r="AO788" i="1"/>
  <c r="AC788" i="1"/>
  <c r="Q788" i="1"/>
  <c r="E788" i="1"/>
  <c r="BA787" i="1"/>
  <c r="AO787" i="1"/>
  <c r="AC787" i="1"/>
  <c r="Q787" i="1"/>
  <c r="E787" i="1"/>
  <c r="BA786" i="1"/>
  <c r="AO786" i="1"/>
  <c r="AC786" i="1"/>
  <c r="Q786" i="1"/>
  <c r="E786" i="1"/>
  <c r="BA785" i="1"/>
  <c r="AO785" i="1"/>
  <c r="AC785" i="1"/>
  <c r="Q785" i="1"/>
  <c r="E785" i="1"/>
  <c r="BA784" i="1"/>
  <c r="AO784" i="1"/>
  <c r="AC784" i="1"/>
  <c r="Q784" i="1"/>
  <c r="E784" i="1"/>
  <c r="BA783" i="1"/>
  <c r="AO783" i="1"/>
  <c r="AC783" i="1"/>
  <c r="Q783" i="1"/>
  <c r="E783" i="1"/>
  <c r="BA782" i="1"/>
  <c r="AO782" i="1"/>
  <c r="AC782" i="1"/>
  <c r="Q782" i="1"/>
  <c r="E782" i="1"/>
  <c r="BA780" i="1"/>
  <c r="AO780" i="1"/>
  <c r="AC780" i="1"/>
  <c r="Q780" i="1"/>
  <c r="E780" i="1"/>
  <c r="BA779" i="1"/>
  <c r="AO779" i="1"/>
  <c r="AC779" i="1"/>
  <c r="Q779" i="1"/>
  <c r="E779" i="1"/>
  <c r="BA778" i="1"/>
  <c r="AO778" i="1"/>
  <c r="AC778" i="1"/>
  <c r="Q778" i="1"/>
  <c r="E778" i="1"/>
  <c r="BA777" i="1"/>
  <c r="AO777" i="1"/>
  <c r="AC777" i="1"/>
  <c r="Q777" i="1"/>
  <c r="E777" i="1"/>
  <c r="BA776" i="1"/>
  <c r="AO776" i="1"/>
  <c r="AC776" i="1"/>
  <c r="Q776" i="1"/>
  <c r="E776" i="1"/>
  <c r="BA775" i="1"/>
  <c r="AO775" i="1"/>
  <c r="AC775" i="1"/>
  <c r="Q775" i="1"/>
  <c r="E775" i="1"/>
  <c r="BA774" i="1"/>
  <c r="AO774" i="1"/>
  <c r="AC774" i="1"/>
  <c r="Q774" i="1"/>
  <c r="E774" i="1"/>
  <c r="BA773" i="1"/>
  <c r="AO773" i="1"/>
  <c r="AC773" i="1"/>
  <c r="Q773" i="1"/>
  <c r="E773" i="1"/>
  <c r="BA772" i="1"/>
  <c r="AO772" i="1"/>
  <c r="AC772" i="1"/>
  <c r="Q772" i="1"/>
  <c r="E772" i="1"/>
  <c r="BA771" i="1"/>
  <c r="AO771" i="1"/>
  <c r="AC771" i="1"/>
  <c r="Q771" i="1"/>
  <c r="E771" i="1"/>
  <c r="BA770" i="1"/>
  <c r="AO770" i="1"/>
  <c r="AC770" i="1"/>
  <c r="Q770" i="1"/>
  <c r="E770" i="1"/>
  <c r="BA769" i="1"/>
  <c r="AO769" i="1"/>
  <c r="AC769" i="1"/>
  <c r="Q769" i="1"/>
  <c r="E769" i="1"/>
  <c r="BA768" i="1"/>
  <c r="AO768" i="1"/>
  <c r="AC768" i="1"/>
  <c r="Q768" i="1"/>
  <c r="E768" i="1"/>
  <c r="BA767" i="1"/>
  <c r="AO767" i="1"/>
  <c r="AC767" i="1"/>
  <c r="Q767" i="1"/>
  <c r="E767" i="1"/>
  <c r="BA766" i="1"/>
  <c r="AO766" i="1"/>
  <c r="AC766" i="1"/>
  <c r="Q766" i="1"/>
  <c r="E766" i="1"/>
  <c r="BA765" i="1"/>
  <c r="AO765" i="1"/>
  <c r="AC765" i="1"/>
  <c r="Q765" i="1"/>
  <c r="E765" i="1"/>
  <c r="BA764" i="1"/>
  <c r="AO764" i="1"/>
  <c r="AC764" i="1"/>
  <c r="Q764" i="1"/>
  <c r="E764" i="1"/>
  <c r="BA763" i="1"/>
  <c r="AO763" i="1"/>
  <c r="AC763" i="1"/>
  <c r="Q763" i="1"/>
  <c r="E763" i="1"/>
  <c r="BA762" i="1"/>
  <c r="AO762" i="1"/>
  <c r="AC762" i="1"/>
  <c r="Q762" i="1"/>
  <c r="E762" i="1"/>
  <c r="BA761" i="1"/>
  <c r="AO761" i="1"/>
  <c r="AC761" i="1"/>
  <c r="Q761" i="1"/>
  <c r="E761" i="1"/>
  <c r="BA760" i="1"/>
  <c r="AO760" i="1"/>
  <c r="AC760" i="1"/>
  <c r="Q760" i="1"/>
  <c r="E760" i="1"/>
  <c r="BA759" i="1"/>
  <c r="AO759" i="1"/>
  <c r="AC759" i="1"/>
  <c r="Q759" i="1"/>
  <c r="E759" i="1"/>
  <c r="BA756" i="1"/>
  <c r="AO756" i="1"/>
  <c r="AC756" i="1"/>
  <c r="Q756" i="1"/>
  <c r="E756" i="1"/>
  <c r="BA755" i="1"/>
  <c r="AO755" i="1"/>
  <c r="AC755" i="1"/>
  <c r="Q755" i="1"/>
  <c r="E755" i="1"/>
  <c r="BA754" i="1"/>
  <c r="AO754" i="1"/>
  <c r="AC754" i="1"/>
  <c r="Q754" i="1"/>
  <c r="E754" i="1"/>
  <c r="BA753" i="1"/>
  <c r="AO753" i="1"/>
  <c r="AC753" i="1"/>
  <c r="Q753" i="1"/>
  <c r="E753" i="1"/>
  <c r="BA752" i="1"/>
  <c r="AO752" i="1"/>
  <c r="AC752" i="1"/>
  <c r="Q752" i="1"/>
  <c r="E752" i="1"/>
  <c r="BA751" i="1"/>
  <c r="AO751" i="1"/>
  <c r="AC751" i="1"/>
  <c r="Q751" i="1"/>
  <c r="E751" i="1"/>
  <c r="BA750" i="1"/>
  <c r="AO750" i="1"/>
  <c r="AC750" i="1"/>
  <c r="Q750" i="1"/>
  <c r="E750" i="1"/>
  <c r="BA749" i="1"/>
  <c r="AO749" i="1"/>
  <c r="AC749" i="1"/>
  <c r="Q749" i="1"/>
  <c r="E749" i="1"/>
  <c r="BA748" i="1"/>
  <c r="AO748" i="1"/>
  <c r="AC748" i="1"/>
  <c r="Q748" i="1"/>
  <c r="E748" i="1"/>
  <c r="BA747" i="1"/>
  <c r="AO747" i="1"/>
  <c r="AC747" i="1"/>
  <c r="Q747" i="1"/>
  <c r="E747" i="1"/>
  <c r="BA745" i="1"/>
  <c r="AO745" i="1"/>
  <c r="AC745" i="1"/>
  <c r="Q745" i="1"/>
  <c r="E745" i="1"/>
  <c r="BA744" i="1"/>
  <c r="AO744" i="1"/>
  <c r="AC744" i="1"/>
  <c r="Q744" i="1"/>
  <c r="E744" i="1"/>
  <c r="BA742" i="1"/>
  <c r="AO742" i="1"/>
  <c r="AC742" i="1"/>
  <c r="Q742" i="1"/>
  <c r="E742" i="1"/>
  <c r="BA741" i="1"/>
  <c r="AO741" i="1"/>
  <c r="AC741" i="1"/>
  <c r="Q741" i="1"/>
  <c r="E741" i="1"/>
  <c r="BA740" i="1"/>
  <c r="AO740" i="1"/>
  <c r="AC740" i="1"/>
  <c r="Q740" i="1"/>
  <c r="E740" i="1"/>
  <c r="BA739" i="1"/>
  <c r="AO739" i="1"/>
  <c r="AC739" i="1"/>
  <c r="Q739" i="1"/>
  <c r="E739" i="1"/>
  <c r="BA738" i="1"/>
  <c r="AO738" i="1"/>
  <c r="AC738" i="1"/>
  <c r="Q738" i="1"/>
  <c r="E738" i="1"/>
  <c r="BA737" i="1"/>
  <c r="AO737" i="1"/>
  <c r="AC737" i="1"/>
  <c r="Q737" i="1"/>
  <c r="E737" i="1"/>
  <c r="BA736" i="1"/>
  <c r="AO736" i="1"/>
  <c r="AC736" i="1"/>
  <c r="Q736" i="1"/>
  <c r="E736" i="1"/>
  <c r="BA735" i="1"/>
  <c r="AO735" i="1"/>
  <c r="AC735" i="1"/>
  <c r="Q735" i="1"/>
  <c r="E735" i="1"/>
  <c r="BA734" i="1"/>
  <c r="AO734" i="1"/>
  <c r="AC734" i="1"/>
  <c r="Q734" i="1"/>
  <c r="E734" i="1"/>
  <c r="BA733" i="1"/>
  <c r="AO733" i="1"/>
  <c r="AC733" i="1"/>
  <c r="Q733" i="1"/>
  <c r="E733" i="1"/>
  <c r="BA732" i="1"/>
  <c r="AO732" i="1"/>
  <c r="AC732" i="1"/>
  <c r="Q732" i="1"/>
  <c r="E732" i="1"/>
  <c r="BA731" i="1"/>
  <c r="AO731" i="1"/>
  <c r="AC731" i="1"/>
  <c r="Q731" i="1"/>
  <c r="E731" i="1"/>
  <c r="BA730" i="1"/>
  <c r="AO730" i="1"/>
  <c r="AC730" i="1"/>
  <c r="Q730" i="1"/>
  <c r="E730" i="1"/>
  <c r="BA729" i="1"/>
  <c r="AO729" i="1"/>
  <c r="AC729" i="1"/>
  <c r="Q729" i="1"/>
  <c r="E729" i="1"/>
  <c r="BA728" i="1"/>
  <c r="AO728" i="1"/>
  <c r="AC728" i="1"/>
  <c r="Q728" i="1"/>
  <c r="E728" i="1"/>
  <c r="BA727" i="1"/>
  <c r="AO727" i="1"/>
  <c r="AC727" i="1"/>
  <c r="Q727" i="1"/>
  <c r="E727" i="1"/>
  <c r="BA726" i="1"/>
  <c r="AO726" i="1"/>
  <c r="AC726" i="1"/>
  <c r="Q726" i="1"/>
  <c r="E726" i="1"/>
  <c r="BA725" i="1"/>
  <c r="AO725" i="1"/>
  <c r="AC725" i="1"/>
  <c r="Q725" i="1"/>
  <c r="E725" i="1"/>
  <c r="BA724" i="1"/>
  <c r="AO724" i="1"/>
  <c r="AC724" i="1"/>
  <c r="Q724" i="1"/>
  <c r="E724" i="1"/>
  <c r="BA723" i="1"/>
  <c r="AO723" i="1"/>
  <c r="AC723" i="1"/>
  <c r="Q723" i="1"/>
  <c r="E723" i="1"/>
  <c r="BA722" i="1"/>
  <c r="AO722" i="1"/>
  <c r="AC722" i="1"/>
  <c r="Q722" i="1"/>
  <c r="E722" i="1"/>
  <c r="BA721" i="1"/>
  <c r="AO721" i="1"/>
  <c r="AC721" i="1"/>
  <c r="Q721" i="1"/>
  <c r="E721" i="1"/>
  <c r="BA720" i="1"/>
  <c r="AO720" i="1"/>
  <c r="AC720" i="1"/>
  <c r="Q720" i="1"/>
  <c r="E720" i="1"/>
  <c r="BA719" i="1"/>
  <c r="AO719" i="1"/>
  <c r="AC719" i="1"/>
  <c r="Q719" i="1"/>
  <c r="E719" i="1"/>
  <c r="BA718" i="1"/>
  <c r="AO718" i="1"/>
  <c r="AC718" i="1"/>
  <c r="Q718" i="1"/>
  <c r="E718" i="1"/>
  <c r="BA717" i="1"/>
  <c r="AO717" i="1"/>
  <c r="AC717" i="1"/>
  <c r="Q717" i="1"/>
  <c r="E717" i="1"/>
  <c r="BA716" i="1"/>
  <c r="AO716" i="1"/>
  <c r="AC716" i="1"/>
  <c r="Q716" i="1"/>
  <c r="E716" i="1"/>
  <c r="BA715" i="1"/>
  <c r="AO715" i="1"/>
  <c r="AC715" i="1"/>
  <c r="Q715" i="1"/>
  <c r="E715" i="1"/>
  <c r="BA714" i="1"/>
  <c r="AO714" i="1"/>
  <c r="AC714" i="1"/>
  <c r="Q714" i="1"/>
  <c r="E714" i="1"/>
  <c r="BA713" i="1"/>
  <c r="AO713" i="1"/>
  <c r="AC713" i="1"/>
  <c r="Q713" i="1"/>
  <c r="E713" i="1"/>
  <c r="BA712" i="1"/>
  <c r="AO712" i="1"/>
  <c r="AC712" i="1"/>
  <c r="Q712" i="1"/>
  <c r="E712" i="1"/>
  <c r="BA711" i="1"/>
  <c r="AO711" i="1"/>
  <c r="AC711" i="1"/>
  <c r="Q711" i="1"/>
  <c r="E711" i="1"/>
  <c r="BA710" i="1"/>
  <c r="AO710" i="1"/>
  <c r="AC710" i="1"/>
  <c r="Q710" i="1"/>
  <c r="E710" i="1"/>
  <c r="BA709" i="1"/>
  <c r="AO709" i="1"/>
  <c r="AC709" i="1"/>
  <c r="Q709" i="1"/>
  <c r="E709" i="1"/>
  <c r="BA708" i="1"/>
  <c r="AO708" i="1"/>
  <c r="AC708" i="1"/>
  <c r="Q708" i="1"/>
  <c r="E708" i="1"/>
  <c r="BA707" i="1"/>
  <c r="AO707" i="1"/>
  <c r="AC707" i="1"/>
  <c r="Q707" i="1"/>
  <c r="E707" i="1"/>
  <c r="BA706" i="1"/>
  <c r="AO706" i="1"/>
  <c r="AC706" i="1"/>
  <c r="Q706" i="1"/>
  <c r="E706" i="1"/>
  <c r="BA705" i="1"/>
  <c r="AO705" i="1"/>
  <c r="AC705" i="1"/>
  <c r="Q705" i="1"/>
  <c r="E705" i="1"/>
  <c r="BA704" i="1"/>
  <c r="AO704" i="1"/>
  <c r="AC704" i="1"/>
  <c r="Q704" i="1"/>
  <c r="E704" i="1"/>
  <c r="BA703" i="1"/>
  <c r="AO703" i="1"/>
  <c r="AC703" i="1"/>
  <c r="Q703" i="1"/>
  <c r="E703" i="1"/>
  <c r="BA702" i="1"/>
  <c r="AO702" i="1"/>
  <c r="AC702" i="1"/>
  <c r="Q702" i="1"/>
  <c r="E702" i="1"/>
  <c r="BA701" i="1"/>
  <c r="AO701" i="1"/>
  <c r="AC701" i="1"/>
  <c r="Q701" i="1"/>
  <c r="E701" i="1"/>
  <c r="BA700" i="1"/>
  <c r="AO700" i="1"/>
  <c r="AC700" i="1"/>
  <c r="Q700" i="1"/>
  <c r="E700" i="1"/>
  <c r="BA699" i="1"/>
  <c r="AO699" i="1"/>
  <c r="AC699" i="1"/>
  <c r="Q699" i="1"/>
  <c r="E699" i="1"/>
  <c r="BA698" i="1"/>
  <c r="AO698" i="1"/>
  <c r="AC698" i="1"/>
  <c r="Q698" i="1"/>
  <c r="E698" i="1"/>
  <c r="BA696" i="1"/>
  <c r="AO696" i="1"/>
  <c r="AC696" i="1"/>
  <c r="Q696" i="1"/>
  <c r="E696" i="1"/>
  <c r="BA695" i="1"/>
  <c r="AO695" i="1"/>
  <c r="AC695" i="1"/>
  <c r="Q695" i="1"/>
  <c r="E695" i="1"/>
  <c r="BA694" i="1"/>
  <c r="AO694" i="1"/>
  <c r="AC694" i="1"/>
  <c r="Q694" i="1"/>
  <c r="E694" i="1"/>
  <c r="BA693" i="1"/>
  <c r="AO693" i="1"/>
  <c r="AC693" i="1"/>
  <c r="Q693" i="1"/>
  <c r="E693" i="1"/>
  <c r="BA692" i="1"/>
  <c r="AO692" i="1"/>
  <c r="AC692" i="1"/>
  <c r="Q692" i="1"/>
  <c r="E692" i="1"/>
  <c r="BA691" i="1"/>
  <c r="AO691" i="1"/>
  <c r="AC691" i="1"/>
  <c r="Q691" i="1"/>
  <c r="E691" i="1"/>
  <c r="BA690" i="1"/>
  <c r="AO690" i="1"/>
  <c r="AC690" i="1"/>
  <c r="Q690" i="1"/>
  <c r="E690" i="1"/>
  <c r="BA689" i="1"/>
  <c r="AO689" i="1"/>
  <c r="AC689" i="1"/>
  <c r="Q689" i="1"/>
  <c r="E689" i="1"/>
  <c r="BA688" i="1"/>
  <c r="AO688" i="1"/>
  <c r="AC688" i="1"/>
  <c r="Q688" i="1"/>
  <c r="E688" i="1"/>
  <c r="BA687" i="1"/>
  <c r="AO687" i="1"/>
  <c r="AC687" i="1"/>
  <c r="Q687" i="1"/>
  <c r="E687" i="1"/>
  <c r="BA686" i="1"/>
  <c r="AO686" i="1"/>
  <c r="AC686" i="1"/>
  <c r="Q686" i="1"/>
  <c r="E686" i="1"/>
  <c r="BA685" i="1"/>
  <c r="AO685" i="1"/>
  <c r="AC685" i="1"/>
  <c r="Q685" i="1"/>
  <c r="E685" i="1"/>
  <c r="BA684" i="1"/>
  <c r="AO684" i="1"/>
  <c r="AC684" i="1"/>
  <c r="Q684" i="1"/>
  <c r="E684" i="1"/>
  <c r="BA683" i="1"/>
  <c r="AO683" i="1"/>
  <c r="AC683" i="1"/>
  <c r="Q683" i="1"/>
  <c r="E683" i="1"/>
  <c r="BA682" i="1"/>
  <c r="AO682" i="1"/>
  <c r="AC682" i="1"/>
  <c r="Q682" i="1"/>
  <c r="E682" i="1"/>
  <c r="BA681" i="1"/>
  <c r="AO681" i="1"/>
  <c r="AC681" i="1"/>
  <c r="Q681" i="1"/>
  <c r="E681" i="1"/>
  <c r="BA680" i="1"/>
  <c r="AO680" i="1"/>
  <c r="AC680" i="1"/>
  <c r="Q680" i="1"/>
  <c r="E680" i="1"/>
  <c r="BA679" i="1"/>
  <c r="AO679" i="1"/>
  <c r="AC679" i="1"/>
  <c r="Q679" i="1"/>
  <c r="E679" i="1"/>
  <c r="BA678" i="1"/>
  <c r="AO678" i="1"/>
  <c r="AC678" i="1"/>
  <c r="Q678" i="1"/>
  <c r="E678" i="1"/>
  <c r="BA677" i="1"/>
  <c r="AO677" i="1"/>
  <c r="AC677" i="1"/>
  <c r="Q677" i="1"/>
  <c r="E677" i="1"/>
  <c r="BA675" i="1"/>
  <c r="AO675" i="1"/>
  <c r="AC675" i="1"/>
  <c r="Q675" i="1"/>
  <c r="E675" i="1"/>
  <c r="BA674" i="1"/>
  <c r="AO674" i="1"/>
  <c r="AC674" i="1"/>
  <c r="Q674" i="1"/>
  <c r="E674" i="1"/>
  <c r="BA673" i="1"/>
  <c r="AO673" i="1"/>
  <c r="AC673" i="1"/>
  <c r="Q673" i="1"/>
  <c r="E673" i="1"/>
  <c r="BA672" i="1"/>
  <c r="AO672" i="1"/>
  <c r="AC672" i="1"/>
  <c r="Q672" i="1"/>
  <c r="E672" i="1"/>
  <c r="BA671" i="1"/>
  <c r="AO671" i="1"/>
  <c r="AC671" i="1"/>
  <c r="Q671" i="1"/>
  <c r="E671" i="1"/>
  <c r="BA670" i="1"/>
  <c r="AO670" i="1"/>
  <c r="AC670" i="1"/>
  <c r="Q670" i="1"/>
  <c r="E670" i="1"/>
  <c r="BA669" i="1"/>
  <c r="AO669" i="1"/>
  <c r="AC669" i="1"/>
  <c r="Q669" i="1"/>
  <c r="E669" i="1"/>
  <c r="BA668" i="1"/>
  <c r="AO668" i="1"/>
  <c r="AC668" i="1"/>
  <c r="Q668" i="1"/>
  <c r="E668" i="1"/>
  <c r="BA667" i="1"/>
  <c r="AO667" i="1"/>
  <c r="AC667" i="1"/>
  <c r="Q667" i="1"/>
  <c r="E667" i="1"/>
  <c r="BA666" i="1"/>
  <c r="AO666" i="1"/>
  <c r="AC666" i="1"/>
  <c r="Q666" i="1"/>
  <c r="E666" i="1"/>
  <c r="BA665" i="1"/>
  <c r="AO665" i="1"/>
  <c r="AC665" i="1"/>
  <c r="Q665" i="1"/>
  <c r="E665" i="1"/>
  <c r="BA664" i="1"/>
  <c r="AO664" i="1"/>
  <c r="AC664" i="1"/>
  <c r="Q664" i="1"/>
  <c r="E664" i="1"/>
  <c r="BA663" i="1"/>
  <c r="AO663" i="1"/>
  <c r="AC663" i="1"/>
  <c r="Q663" i="1"/>
  <c r="E663" i="1"/>
  <c r="BA662" i="1"/>
  <c r="AO662" i="1"/>
  <c r="AC662" i="1"/>
  <c r="Q662" i="1"/>
  <c r="E662" i="1"/>
  <c r="BA661" i="1"/>
  <c r="AO661" i="1"/>
  <c r="AC661" i="1"/>
  <c r="Q661" i="1"/>
  <c r="E661" i="1"/>
  <c r="BA660" i="1"/>
  <c r="AO660" i="1"/>
  <c r="AC660" i="1"/>
  <c r="Q660" i="1"/>
  <c r="E660" i="1"/>
  <c r="BA658" i="1"/>
  <c r="AO658" i="1"/>
  <c r="AC658" i="1"/>
  <c r="Q658" i="1"/>
  <c r="E658" i="1"/>
  <c r="BA657" i="1"/>
  <c r="AO657" i="1"/>
  <c r="AC657" i="1"/>
  <c r="Q657" i="1"/>
  <c r="E657" i="1"/>
  <c r="BA656" i="1"/>
  <c r="AO656" i="1"/>
  <c r="AC656" i="1"/>
  <c r="Q656" i="1"/>
  <c r="E656" i="1"/>
  <c r="BA655" i="1"/>
  <c r="AO655" i="1"/>
  <c r="AC655" i="1"/>
  <c r="Q655" i="1"/>
  <c r="E655" i="1"/>
  <c r="BA654" i="1"/>
  <c r="AO654" i="1"/>
  <c r="AC654" i="1"/>
  <c r="Q654" i="1"/>
  <c r="E654" i="1"/>
  <c r="BA653" i="1"/>
  <c r="AO653" i="1"/>
  <c r="AC653" i="1"/>
  <c r="Q653" i="1"/>
  <c r="E653" i="1"/>
  <c r="BA652" i="1"/>
  <c r="AO652" i="1"/>
  <c r="AC652" i="1"/>
  <c r="Q652" i="1"/>
  <c r="E652" i="1"/>
  <c r="BA651" i="1"/>
  <c r="AO651" i="1"/>
  <c r="AC651" i="1"/>
  <c r="Q651" i="1"/>
  <c r="E651" i="1"/>
  <c r="BA650" i="1"/>
  <c r="AO650" i="1"/>
  <c r="AC650" i="1"/>
  <c r="Q650" i="1"/>
  <c r="E650" i="1"/>
  <c r="BA649" i="1"/>
  <c r="AO649" i="1"/>
  <c r="AC649" i="1"/>
  <c r="Q649" i="1"/>
  <c r="E649" i="1"/>
  <c r="BA648" i="1"/>
  <c r="AO648" i="1"/>
  <c r="AC648" i="1"/>
  <c r="Q648" i="1"/>
  <c r="E648" i="1"/>
  <c r="BA646" i="1"/>
  <c r="AO646" i="1"/>
  <c r="AC646" i="1"/>
  <c r="Q646" i="1"/>
  <c r="E646" i="1"/>
  <c r="BA645" i="1"/>
  <c r="AO645" i="1"/>
  <c r="AC645" i="1"/>
  <c r="Q645" i="1"/>
  <c r="E645" i="1"/>
  <c r="BA644" i="1"/>
  <c r="AO644" i="1"/>
  <c r="AC644" i="1"/>
  <c r="Q644" i="1"/>
  <c r="E644" i="1"/>
  <c r="BA643" i="1"/>
  <c r="AO643" i="1"/>
  <c r="AC643" i="1"/>
  <c r="Q643" i="1"/>
  <c r="E643" i="1"/>
  <c r="BA642" i="1"/>
  <c r="AO642" i="1"/>
  <c r="AC642" i="1"/>
  <c r="Q642" i="1"/>
  <c r="E642" i="1"/>
  <c r="BA641" i="1"/>
  <c r="AO641" i="1"/>
  <c r="AC641" i="1"/>
  <c r="Q641" i="1"/>
  <c r="E641" i="1"/>
  <c r="BA639" i="1"/>
  <c r="AO639" i="1"/>
  <c r="AC639" i="1"/>
  <c r="Q639" i="1"/>
  <c r="E639" i="1"/>
  <c r="BA638" i="1"/>
  <c r="AO638" i="1"/>
  <c r="AC638" i="1"/>
  <c r="Q638" i="1"/>
  <c r="E638" i="1"/>
  <c r="BA637" i="1"/>
  <c r="AO637" i="1"/>
  <c r="AC637" i="1"/>
  <c r="Q637" i="1"/>
  <c r="E637" i="1"/>
  <c r="BA635" i="1"/>
  <c r="AO635" i="1"/>
  <c r="AC635" i="1"/>
  <c r="Q635" i="1"/>
  <c r="E635" i="1"/>
  <c r="BA634" i="1"/>
  <c r="AO634" i="1"/>
  <c r="AC634" i="1"/>
  <c r="Q634" i="1"/>
  <c r="E634" i="1"/>
  <c r="BA633" i="1"/>
  <c r="AO633" i="1"/>
  <c r="AC633" i="1"/>
  <c r="Q633" i="1"/>
  <c r="E633" i="1"/>
  <c r="BA632" i="1"/>
  <c r="AO632" i="1"/>
  <c r="AC632" i="1"/>
  <c r="Q632" i="1"/>
  <c r="E632" i="1"/>
  <c r="BA631" i="1"/>
  <c r="AO631" i="1"/>
  <c r="AC631" i="1"/>
  <c r="Q631" i="1"/>
  <c r="E631" i="1"/>
  <c r="BA630" i="1"/>
  <c r="AO630" i="1"/>
  <c r="AC630" i="1"/>
  <c r="Q630" i="1"/>
  <c r="E630" i="1"/>
  <c r="BA629" i="1"/>
  <c r="AO629" i="1"/>
  <c r="AC629" i="1"/>
  <c r="Q629" i="1"/>
  <c r="E629" i="1"/>
  <c r="BA628" i="1"/>
  <c r="AO628" i="1"/>
  <c r="AC628" i="1"/>
  <c r="Q628" i="1"/>
  <c r="E628" i="1"/>
  <c r="BA627" i="1"/>
  <c r="AO627" i="1"/>
  <c r="AC627" i="1"/>
  <c r="Q627" i="1"/>
  <c r="E627" i="1"/>
  <c r="BA626" i="1"/>
  <c r="AO626" i="1"/>
  <c r="AC626" i="1"/>
  <c r="Q626" i="1"/>
  <c r="E626" i="1"/>
  <c r="BA625" i="1"/>
  <c r="AO625" i="1"/>
  <c r="AC625" i="1"/>
  <c r="Q625" i="1"/>
  <c r="E625" i="1"/>
  <c r="BA624" i="1"/>
  <c r="AO624" i="1"/>
  <c r="AC624" i="1"/>
  <c r="Q624" i="1"/>
  <c r="E624" i="1"/>
  <c r="BA623" i="1"/>
  <c r="AO623" i="1"/>
  <c r="AC623" i="1"/>
  <c r="Q623" i="1"/>
  <c r="E623" i="1"/>
  <c r="BA622" i="1"/>
  <c r="AO622" i="1"/>
  <c r="AC622" i="1"/>
  <c r="Q622" i="1"/>
  <c r="E622" i="1"/>
  <c r="BA621" i="1"/>
  <c r="AO621" i="1"/>
  <c r="AC621" i="1"/>
  <c r="Q621" i="1"/>
  <c r="E621" i="1"/>
  <c r="BA620" i="1"/>
  <c r="AO620" i="1"/>
  <c r="AC620" i="1"/>
  <c r="Q620" i="1"/>
  <c r="E620" i="1"/>
  <c r="BA619" i="1"/>
  <c r="AO619" i="1"/>
  <c r="AC619" i="1"/>
  <c r="Q619" i="1"/>
  <c r="E619" i="1"/>
  <c r="BA618" i="1"/>
  <c r="AO618" i="1"/>
  <c r="AC618" i="1"/>
  <c r="Q618" i="1"/>
  <c r="E618" i="1"/>
  <c r="BA617" i="1"/>
  <c r="AO617" i="1"/>
  <c r="AC617" i="1"/>
  <c r="Q617" i="1"/>
  <c r="E617" i="1"/>
  <c r="BA616" i="1"/>
  <c r="AO616" i="1"/>
  <c r="AC616" i="1"/>
  <c r="Q616" i="1"/>
  <c r="E616" i="1"/>
  <c r="BA615" i="1"/>
  <c r="AO615" i="1"/>
  <c r="AC615" i="1"/>
  <c r="Q615" i="1"/>
  <c r="E615" i="1"/>
  <c r="BA614" i="1"/>
  <c r="AO614" i="1"/>
  <c r="AC614" i="1"/>
  <c r="Q614" i="1"/>
  <c r="E614" i="1"/>
  <c r="BA612" i="1"/>
  <c r="AO612" i="1"/>
  <c r="AC612" i="1"/>
  <c r="Q612" i="1"/>
  <c r="E612" i="1"/>
  <c r="BA611" i="1"/>
  <c r="AO611" i="1"/>
  <c r="AC611" i="1"/>
  <c r="Q611" i="1"/>
  <c r="E611" i="1"/>
  <c r="BA610" i="1"/>
  <c r="AO610" i="1"/>
  <c r="AC610" i="1"/>
  <c r="Q610" i="1"/>
  <c r="E610" i="1"/>
  <c r="BA608" i="1"/>
  <c r="AO608" i="1"/>
  <c r="AC608" i="1"/>
  <c r="Q608" i="1"/>
  <c r="E608" i="1"/>
  <c r="BA607" i="1"/>
  <c r="AO607" i="1"/>
  <c r="AC607" i="1"/>
  <c r="Q607" i="1"/>
  <c r="E607" i="1"/>
  <c r="BA606" i="1"/>
  <c r="AO606" i="1"/>
  <c r="AC606" i="1"/>
  <c r="Q606" i="1"/>
  <c r="E606" i="1"/>
  <c r="BA605" i="1"/>
  <c r="AO605" i="1"/>
  <c r="AC605" i="1"/>
  <c r="Q605" i="1"/>
  <c r="E605" i="1"/>
  <c r="BA604" i="1"/>
  <c r="AO604" i="1"/>
  <c r="AC604" i="1"/>
  <c r="Q604" i="1"/>
  <c r="E604" i="1"/>
  <c r="BA603" i="1"/>
  <c r="AO603" i="1"/>
  <c r="AC603" i="1"/>
  <c r="Q603" i="1"/>
  <c r="E603" i="1"/>
  <c r="BA602" i="1"/>
  <c r="AO602" i="1"/>
  <c r="AC602" i="1"/>
  <c r="Q602" i="1"/>
  <c r="E602" i="1"/>
  <c r="BA600" i="1"/>
  <c r="AO600" i="1"/>
  <c r="AC600" i="1"/>
  <c r="Q600" i="1"/>
  <c r="E600" i="1"/>
  <c r="BA599" i="1"/>
  <c r="AO599" i="1"/>
  <c r="AC599" i="1"/>
  <c r="Q599" i="1"/>
  <c r="E599" i="1"/>
  <c r="BA598" i="1"/>
  <c r="AO598" i="1"/>
  <c r="AC598" i="1"/>
  <c r="Q598" i="1"/>
  <c r="E598" i="1"/>
  <c r="BA572" i="1"/>
  <c r="AO572" i="1"/>
  <c r="AC572" i="1"/>
  <c r="Q572" i="1"/>
  <c r="E572" i="1"/>
  <c r="BA571" i="1"/>
  <c r="AO571" i="1"/>
  <c r="AC571" i="1"/>
  <c r="Q571" i="1"/>
  <c r="E571" i="1"/>
  <c r="BA570" i="1"/>
  <c r="AO570" i="1"/>
  <c r="AC570" i="1"/>
  <c r="Q570" i="1"/>
  <c r="E570" i="1"/>
  <c r="BA569" i="1"/>
  <c r="AO569" i="1"/>
  <c r="AC569" i="1"/>
  <c r="Q569" i="1"/>
  <c r="E569" i="1"/>
  <c r="BA568" i="1"/>
  <c r="AO568" i="1"/>
  <c r="AC568" i="1"/>
  <c r="Q568" i="1"/>
  <c r="E568" i="1"/>
  <c r="BA567" i="1"/>
  <c r="AO567" i="1"/>
  <c r="AC567" i="1"/>
  <c r="Q567" i="1"/>
  <c r="E567" i="1"/>
  <c r="BA566" i="1"/>
  <c r="AO566" i="1"/>
  <c r="AC566" i="1"/>
  <c r="Q566" i="1"/>
  <c r="E566" i="1"/>
  <c r="BA565" i="1"/>
  <c r="AO565" i="1"/>
  <c r="AC565" i="1"/>
  <c r="Q565" i="1"/>
  <c r="E565" i="1"/>
  <c r="BA564" i="1"/>
  <c r="AO564" i="1"/>
  <c r="AC564" i="1"/>
  <c r="Q564" i="1"/>
  <c r="E564" i="1"/>
  <c r="BA563" i="1"/>
  <c r="AO563" i="1"/>
  <c r="AC563" i="1"/>
  <c r="Q563" i="1"/>
  <c r="E563" i="1"/>
  <c r="BA562" i="1"/>
  <c r="AO562" i="1"/>
  <c r="AC562" i="1"/>
  <c r="Q562" i="1"/>
  <c r="E562" i="1"/>
  <c r="BA561" i="1"/>
  <c r="AO561" i="1"/>
  <c r="AC561" i="1"/>
  <c r="Q561" i="1"/>
  <c r="E561" i="1"/>
  <c r="BA560" i="1"/>
  <c r="AO560" i="1"/>
  <c r="AC560" i="1"/>
  <c r="Q560" i="1"/>
  <c r="E560" i="1"/>
  <c r="BA559" i="1"/>
  <c r="AO559" i="1"/>
  <c r="AC559" i="1"/>
  <c r="Q559" i="1"/>
  <c r="E559" i="1"/>
  <c r="BA558" i="1"/>
  <c r="AO558" i="1"/>
  <c r="AC558" i="1"/>
  <c r="Q558" i="1"/>
  <c r="E558" i="1"/>
  <c r="BA557" i="1"/>
  <c r="AO557" i="1"/>
  <c r="AC557" i="1"/>
  <c r="Q557" i="1"/>
  <c r="E557" i="1"/>
  <c r="BA555" i="1"/>
  <c r="AO555" i="1"/>
  <c r="AC555" i="1"/>
  <c r="Q555" i="1"/>
  <c r="E555" i="1"/>
  <c r="BA554" i="1"/>
  <c r="AO554" i="1"/>
  <c r="AC554" i="1"/>
  <c r="Q554" i="1"/>
  <c r="E554" i="1"/>
  <c r="BA553" i="1"/>
  <c r="AO553" i="1"/>
  <c r="AC553" i="1"/>
  <c r="Q553" i="1"/>
  <c r="E553" i="1"/>
  <c r="BA552" i="1"/>
  <c r="AO552" i="1"/>
  <c r="AC552" i="1"/>
  <c r="Q552" i="1"/>
  <c r="E552" i="1"/>
  <c r="BA551" i="1"/>
  <c r="AO551" i="1"/>
  <c r="AC551" i="1"/>
  <c r="Q551" i="1"/>
  <c r="E551" i="1"/>
  <c r="BA550" i="1"/>
  <c r="AO550" i="1"/>
  <c r="AC550" i="1"/>
  <c r="Q550" i="1"/>
  <c r="E550" i="1"/>
  <c r="BA549" i="1"/>
  <c r="AO549" i="1"/>
  <c r="AC549" i="1"/>
  <c r="Q549" i="1"/>
  <c r="E549" i="1"/>
  <c r="BA548" i="1"/>
  <c r="AO548" i="1"/>
  <c r="AC548" i="1"/>
  <c r="Q548" i="1"/>
  <c r="E548" i="1"/>
  <c r="BA547" i="1"/>
  <c r="AO547" i="1"/>
  <c r="AC547" i="1"/>
  <c r="Q547" i="1"/>
  <c r="E547" i="1"/>
  <c r="BA546" i="1"/>
  <c r="AO546" i="1"/>
  <c r="AC546" i="1"/>
  <c r="Q546" i="1"/>
  <c r="E546" i="1"/>
  <c r="BA545" i="1"/>
  <c r="AO545" i="1"/>
  <c r="AC545" i="1"/>
  <c r="Q545" i="1"/>
  <c r="E545" i="1"/>
  <c r="BA544" i="1"/>
  <c r="AO544" i="1"/>
  <c r="AC544" i="1"/>
  <c r="Q544" i="1"/>
  <c r="E544" i="1"/>
  <c r="BA543" i="1"/>
  <c r="AO543" i="1"/>
  <c r="AC543" i="1"/>
  <c r="Q543" i="1"/>
  <c r="E543" i="1"/>
  <c r="BA542" i="1"/>
  <c r="AO542" i="1"/>
  <c r="AC542" i="1"/>
  <c r="Q542" i="1"/>
  <c r="E542" i="1"/>
  <c r="BA541" i="1"/>
  <c r="AO541" i="1"/>
  <c r="AC541" i="1"/>
  <c r="Q541" i="1"/>
  <c r="E541" i="1"/>
  <c r="BA540" i="1"/>
  <c r="AO540" i="1"/>
  <c r="AC540" i="1"/>
  <c r="Q540" i="1"/>
  <c r="E540" i="1"/>
  <c r="BA539" i="1"/>
  <c r="AO539" i="1"/>
  <c r="AC539" i="1"/>
  <c r="Q539" i="1"/>
  <c r="E539" i="1"/>
  <c r="BA538" i="1"/>
  <c r="AO538" i="1"/>
  <c r="AC538" i="1"/>
  <c r="Q538" i="1"/>
  <c r="E538" i="1"/>
  <c r="BA536" i="1"/>
  <c r="AO536" i="1"/>
  <c r="AC536" i="1"/>
  <c r="Q536" i="1"/>
  <c r="E536" i="1"/>
  <c r="BA533" i="1"/>
  <c r="AO533" i="1"/>
  <c r="AC533" i="1"/>
  <c r="Q533" i="1"/>
  <c r="E533" i="1"/>
  <c r="BA532" i="1"/>
  <c r="AO532" i="1"/>
  <c r="AC532" i="1"/>
  <c r="Q532" i="1"/>
  <c r="E532" i="1"/>
  <c r="BA531" i="1"/>
  <c r="AO531" i="1"/>
  <c r="AC531" i="1"/>
  <c r="Q531" i="1"/>
  <c r="E531" i="1"/>
  <c r="BA530" i="1"/>
  <c r="AO530" i="1"/>
  <c r="AC530" i="1"/>
  <c r="Q530" i="1"/>
  <c r="E530" i="1"/>
  <c r="BA529" i="1"/>
  <c r="AO529" i="1"/>
  <c r="AC529" i="1"/>
  <c r="Q529" i="1"/>
  <c r="E529" i="1"/>
  <c r="BA528" i="1"/>
  <c r="AO528" i="1"/>
  <c r="AC528" i="1"/>
  <c r="Q528" i="1"/>
  <c r="E528" i="1"/>
  <c r="BA527" i="1"/>
  <c r="AO527" i="1"/>
  <c r="AC527" i="1"/>
  <c r="Q527" i="1"/>
  <c r="E527" i="1"/>
  <c r="BA526" i="1"/>
  <c r="AO526" i="1"/>
  <c r="AC526" i="1"/>
  <c r="Q526" i="1"/>
  <c r="E526" i="1"/>
  <c r="BA524" i="1"/>
  <c r="AO524" i="1"/>
  <c r="AC524" i="1"/>
  <c r="Q524" i="1"/>
  <c r="E524" i="1"/>
  <c r="BA523" i="1"/>
  <c r="AO523" i="1"/>
  <c r="AC523" i="1"/>
  <c r="Q523" i="1"/>
  <c r="E523" i="1"/>
  <c r="BA522" i="1"/>
  <c r="AO522" i="1"/>
  <c r="AC522" i="1"/>
  <c r="Q522" i="1"/>
  <c r="E522" i="1"/>
  <c r="BA521" i="1"/>
  <c r="AO521" i="1"/>
  <c r="AC521" i="1"/>
  <c r="Q521" i="1"/>
  <c r="E521" i="1"/>
  <c r="BA520" i="1"/>
  <c r="AO520" i="1"/>
  <c r="AC520" i="1"/>
  <c r="Q520" i="1"/>
  <c r="E520" i="1"/>
  <c r="BA519" i="1"/>
  <c r="AO519" i="1"/>
  <c r="AC519" i="1"/>
  <c r="Q519" i="1"/>
  <c r="E519" i="1"/>
  <c r="BA518" i="1"/>
  <c r="AO518" i="1"/>
  <c r="AC518" i="1"/>
  <c r="Q518" i="1"/>
  <c r="E518" i="1"/>
  <c r="BA517" i="1"/>
  <c r="AO517" i="1"/>
  <c r="AC517" i="1"/>
  <c r="Q517" i="1"/>
  <c r="E517" i="1"/>
  <c r="BA516" i="1"/>
  <c r="AO516" i="1"/>
  <c r="AC516" i="1"/>
  <c r="Q516" i="1"/>
  <c r="E516" i="1"/>
  <c r="BA515" i="1"/>
  <c r="AO515" i="1"/>
  <c r="AC515" i="1"/>
  <c r="Q515" i="1"/>
  <c r="E515" i="1"/>
  <c r="BA514" i="1"/>
  <c r="AO514" i="1"/>
  <c r="AC514" i="1"/>
  <c r="Q514" i="1"/>
  <c r="E514" i="1"/>
  <c r="BA513" i="1"/>
  <c r="AO513" i="1"/>
  <c r="AC513" i="1"/>
  <c r="Q513" i="1"/>
  <c r="E513" i="1"/>
  <c r="BA512" i="1"/>
  <c r="AO512" i="1"/>
  <c r="AC512" i="1"/>
  <c r="Q512" i="1"/>
  <c r="E512" i="1"/>
  <c r="BA511" i="1"/>
  <c r="AO511" i="1"/>
  <c r="AC511" i="1"/>
  <c r="Q511" i="1"/>
  <c r="E511" i="1"/>
  <c r="BA510" i="1"/>
  <c r="AO510" i="1"/>
  <c r="AC510" i="1"/>
  <c r="Q510" i="1"/>
  <c r="E510" i="1"/>
  <c r="BA509" i="1"/>
  <c r="AO509" i="1"/>
  <c r="AC509" i="1"/>
  <c r="Q509" i="1"/>
  <c r="E509" i="1"/>
  <c r="BA508" i="1"/>
  <c r="AO508" i="1"/>
  <c r="AC508" i="1"/>
  <c r="Q508" i="1"/>
  <c r="E508" i="1"/>
  <c r="BA507" i="1"/>
  <c r="AO507" i="1"/>
  <c r="AC507" i="1"/>
  <c r="Q507" i="1"/>
  <c r="E507" i="1"/>
  <c r="BA506" i="1"/>
  <c r="AO506" i="1"/>
  <c r="AC506" i="1"/>
  <c r="Q506" i="1"/>
  <c r="E506" i="1"/>
  <c r="BA505" i="1"/>
  <c r="AO505" i="1"/>
  <c r="AC505" i="1"/>
  <c r="Q505" i="1"/>
  <c r="E505" i="1"/>
  <c r="BA504" i="1"/>
  <c r="AO504" i="1"/>
  <c r="AC504" i="1"/>
  <c r="Q504" i="1"/>
  <c r="E504" i="1"/>
  <c r="BA503" i="1"/>
  <c r="AO503" i="1"/>
  <c r="AC503" i="1"/>
  <c r="Q503" i="1"/>
  <c r="E503" i="1"/>
  <c r="BA502" i="1"/>
  <c r="AO502" i="1"/>
  <c r="AC502" i="1"/>
  <c r="Q502" i="1"/>
  <c r="E502" i="1"/>
  <c r="BA501" i="1"/>
  <c r="AO501" i="1"/>
  <c r="AC501" i="1"/>
  <c r="Q501" i="1"/>
  <c r="E501" i="1"/>
  <c r="BA500" i="1"/>
  <c r="AO500" i="1"/>
  <c r="AC500" i="1"/>
  <c r="Q500" i="1"/>
  <c r="E500" i="1"/>
  <c r="BA499" i="1"/>
  <c r="AO499" i="1"/>
  <c r="AC499" i="1"/>
  <c r="Q499" i="1"/>
  <c r="E499" i="1"/>
  <c r="BA498" i="1"/>
  <c r="AO498" i="1"/>
  <c r="AC498" i="1"/>
  <c r="Q498" i="1"/>
  <c r="E498" i="1"/>
  <c r="BA497" i="1"/>
  <c r="AO497" i="1"/>
  <c r="AC497" i="1"/>
  <c r="Q497" i="1"/>
  <c r="E497" i="1"/>
  <c r="BA496" i="1"/>
  <c r="AO496" i="1"/>
  <c r="AC496" i="1"/>
  <c r="Q496" i="1"/>
  <c r="E496" i="1"/>
  <c r="BA495" i="1"/>
  <c r="AO495" i="1"/>
  <c r="AC495" i="1"/>
  <c r="Q495" i="1"/>
  <c r="E495" i="1"/>
  <c r="BA494" i="1"/>
  <c r="AO494" i="1"/>
  <c r="AC494" i="1"/>
  <c r="Q494" i="1"/>
  <c r="E494" i="1"/>
  <c r="BA493" i="1"/>
  <c r="AO493" i="1"/>
  <c r="AC493" i="1"/>
  <c r="Q493" i="1"/>
  <c r="E493" i="1"/>
  <c r="BA492" i="1"/>
  <c r="AO492" i="1"/>
  <c r="AC492" i="1"/>
  <c r="Q492" i="1"/>
  <c r="E492" i="1"/>
  <c r="BA491" i="1"/>
  <c r="AO491" i="1"/>
  <c r="AC491" i="1"/>
  <c r="Q491" i="1"/>
  <c r="E491" i="1"/>
  <c r="BA489" i="1"/>
  <c r="AO489" i="1"/>
  <c r="AC489" i="1"/>
  <c r="Q489" i="1"/>
  <c r="E489" i="1"/>
  <c r="BA488" i="1"/>
  <c r="AO488" i="1"/>
  <c r="AC488" i="1"/>
  <c r="Q488" i="1"/>
  <c r="E488" i="1"/>
  <c r="BA487" i="1"/>
  <c r="AO487" i="1"/>
  <c r="AC487" i="1"/>
  <c r="Q487" i="1"/>
  <c r="E487" i="1"/>
  <c r="BA486" i="1"/>
  <c r="AO486" i="1"/>
  <c r="AC486" i="1"/>
  <c r="Q486" i="1"/>
  <c r="E486" i="1"/>
  <c r="BA485" i="1"/>
  <c r="AO485" i="1"/>
  <c r="AC485" i="1"/>
  <c r="Q485" i="1"/>
  <c r="E485" i="1"/>
  <c r="BA484" i="1"/>
  <c r="AO484" i="1"/>
  <c r="AC484" i="1"/>
  <c r="Q484" i="1"/>
  <c r="E484" i="1"/>
  <c r="BA483" i="1"/>
  <c r="AO483" i="1"/>
  <c r="AC483" i="1"/>
  <c r="Q483" i="1"/>
  <c r="E483" i="1"/>
  <c r="BA482" i="1"/>
  <c r="AO482" i="1"/>
  <c r="AC482" i="1"/>
  <c r="Q482" i="1"/>
  <c r="E482" i="1"/>
  <c r="BA481" i="1"/>
  <c r="AO481" i="1"/>
  <c r="AC481" i="1"/>
  <c r="Q481" i="1"/>
  <c r="E481" i="1"/>
  <c r="BA480" i="1"/>
  <c r="AO480" i="1"/>
  <c r="AC480" i="1"/>
  <c r="Q480" i="1"/>
  <c r="E480" i="1"/>
  <c r="BA479" i="1"/>
  <c r="AO479" i="1"/>
  <c r="AC479" i="1"/>
  <c r="Q479" i="1"/>
  <c r="E479" i="1"/>
  <c r="BA478" i="1"/>
  <c r="AO478" i="1"/>
  <c r="AC478" i="1"/>
  <c r="Q478" i="1"/>
  <c r="E478" i="1"/>
  <c r="BA477" i="1"/>
  <c r="AO477" i="1"/>
  <c r="AC477" i="1"/>
  <c r="Q477" i="1"/>
  <c r="E477" i="1"/>
  <c r="BA476" i="1"/>
  <c r="AO476" i="1"/>
  <c r="AC476" i="1"/>
  <c r="Q476" i="1"/>
  <c r="E476" i="1"/>
  <c r="BA475" i="1"/>
  <c r="AO475" i="1"/>
  <c r="AC475" i="1"/>
  <c r="Q475" i="1"/>
  <c r="E475" i="1"/>
  <c r="BA474" i="1"/>
  <c r="AO474" i="1"/>
  <c r="AC474" i="1"/>
  <c r="Q474" i="1"/>
  <c r="E474" i="1"/>
  <c r="BA472" i="1"/>
  <c r="AO472" i="1"/>
  <c r="AC472" i="1"/>
  <c r="Q472" i="1"/>
  <c r="E472" i="1"/>
  <c r="BA471" i="1"/>
  <c r="AO471" i="1"/>
  <c r="AC471" i="1"/>
  <c r="Q471" i="1"/>
  <c r="E471" i="1"/>
  <c r="BA470" i="1"/>
  <c r="AO470" i="1"/>
  <c r="AC470" i="1"/>
  <c r="Q470" i="1"/>
  <c r="E470" i="1"/>
  <c r="BA469" i="1"/>
  <c r="AO469" i="1"/>
  <c r="AC469" i="1"/>
  <c r="Q469" i="1"/>
  <c r="E469" i="1"/>
  <c r="BA468" i="1"/>
  <c r="AO468" i="1"/>
  <c r="AC468" i="1"/>
  <c r="Q468" i="1"/>
  <c r="E468" i="1"/>
  <c r="BA467" i="1"/>
  <c r="AO467" i="1"/>
  <c r="AC467" i="1"/>
  <c r="Q467" i="1"/>
  <c r="E467" i="1"/>
  <c r="BA466" i="1"/>
  <c r="AO466" i="1"/>
  <c r="AC466" i="1"/>
  <c r="Q466" i="1"/>
  <c r="E466" i="1"/>
  <c r="BA465" i="1"/>
  <c r="AO465" i="1"/>
  <c r="AC465" i="1"/>
  <c r="Q465" i="1"/>
  <c r="E465" i="1"/>
  <c r="BA464" i="1"/>
  <c r="AO464" i="1"/>
  <c r="AC464" i="1"/>
  <c r="Q464" i="1"/>
  <c r="E464" i="1"/>
  <c r="BA462" i="1"/>
  <c r="AO462" i="1"/>
  <c r="AC462" i="1"/>
  <c r="Q462" i="1"/>
  <c r="E462" i="1"/>
  <c r="BA461" i="1"/>
  <c r="AO461" i="1"/>
  <c r="AC461" i="1"/>
  <c r="Q461" i="1"/>
  <c r="E461" i="1"/>
  <c r="BA460" i="1"/>
  <c r="AO460" i="1"/>
  <c r="AC460" i="1"/>
  <c r="Q460" i="1"/>
  <c r="E460" i="1"/>
  <c r="BA459" i="1"/>
  <c r="AO459" i="1"/>
  <c r="AC459" i="1"/>
  <c r="Q459" i="1"/>
  <c r="E459" i="1"/>
  <c r="BA458" i="1"/>
  <c r="AO458" i="1"/>
  <c r="AC458" i="1"/>
  <c r="Q458" i="1"/>
  <c r="E458" i="1"/>
  <c r="BA457" i="1"/>
  <c r="AO457" i="1"/>
  <c r="AC457" i="1"/>
  <c r="Q457" i="1"/>
  <c r="E457" i="1"/>
  <c r="BA456" i="1"/>
  <c r="AO456" i="1"/>
  <c r="AC456" i="1"/>
  <c r="Q456" i="1"/>
  <c r="E456" i="1"/>
  <c r="BA455" i="1"/>
  <c r="AO455" i="1"/>
  <c r="AC455" i="1"/>
  <c r="Q455" i="1"/>
  <c r="E455" i="1"/>
  <c r="BA454" i="1"/>
  <c r="AO454" i="1"/>
  <c r="AC454" i="1"/>
  <c r="Q454" i="1"/>
  <c r="E454" i="1"/>
  <c r="BA453" i="1"/>
  <c r="AO453" i="1"/>
  <c r="AC453" i="1"/>
  <c r="Q453" i="1"/>
  <c r="E453" i="1"/>
  <c r="BA452" i="1"/>
  <c r="AO452" i="1"/>
  <c r="AC452" i="1"/>
  <c r="Q452" i="1"/>
  <c r="E452" i="1"/>
  <c r="BA451" i="1"/>
  <c r="AO451" i="1"/>
  <c r="AC451" i="1"/>
  <c r="Q451" i="1"/>
  <c r="E451" i="1"/>
  <c r="BA450" i="1"/>
  <c r="AO450" i="1"/>
  <c r="AC450" i="1"/>
  <c r="Q450" i="1"/>
  <c r="E450" i="1"/>
  <c r="BA449" i="1"/>
  <c r="AO449" i="1"/>
  <c r="AC449" i="1"/>
  <c r="Q449" i="1"/>
  <c r="E449" i="1"/>
  <c r="BA448" i="1"/>
  <c r="AO448" i="1"/>
  <c r="AC448" i="1"/>
  <c r="Q448" i="1"/>
  <c r="E448" i="1"/>
  <c r="BA447" i="1"/>
  <c r="AO447" i="1"/>
  <c r="AC447" i="1"/>
  <c r="Q447" i="1"/>
  <c r="E447" i="1"/>
  <c r="BA446" i="1"/>
  <c r="AO446" i="1"/>
  <c r="AC446" i="1"/>
  <c r="Q446" i="1"/>
  <c r="E446" i="1"/>
  <c r="BA445" i="1"/>
  <c r="AO445" i="1"/>
  <c r="AC445" i="1"/>
  <c r="Q445" i="1"/>
  <c r="E445" i="1"/>
  <c r="BA444" i="1"/>
  <c r="AO444" i="1"/>
  <c r="AC444" i="1"/>
  <c r="Q444" i="1"/>
  <c r="E444" i="1"/>
  <c r="BA443" i="1"/>
  <c r="AO443" i="1"/>
  <c r="AC443" i="1"/>
  <c r="Q443" i="1"/>
  <c r="E443" i="1"/>
  <c r="BA442" i="1"/>
  <c r="AO442" i="1"/>
  <c r="AC442" i="1"/>
  <c r="Q442" i="1"/>
  <c r="E442" i="1"/>
  <c r="BA441" i="1"/>
  <c r="AO441" i="1"/>
  <c r="AC441" i="1"/>
  <c r="Q441" i="1"/>
  <c r="E441" i="1"/>
  <c r="BA440" i="1"/>
  <c r="AO440" i="1"/>
  <c r="AC440" i="1"/>
  <c r="Q440" i="1"/>
  <c r="E440" i="1"/>
  <c r="BA439" i="1"/>
  <c r="AO439" i="1"/>
  <c r="AC439" i="1"/>
  <c r="Q439" i="1"/>
  <c r="E439" i="1"/>
  <c r="BA438" i="1"/>
  <c r="AO438" i="1"/>
  <c r="AC438" i="1"/>
  <c r="Q438" i="1"/>
  <c r="E438" i="1"/>
  <c r="BA437" i="1"/>
  <c r="AO437" i="1"/>
  <c r="AC437" i="1"/>
  <c r="Q437" i="1"/>
  <c r="E437" i="1"/>
  <c r="BA436" i="1"/>
  <c r="AO436" i="1"/>
  <c r="AC436" i="1"/>
  <c r="Q436" i="1"/>
  <c r="E436" i="1"/>
  <c r="BA435" i="1"/>
  <c r="AO435" i="1"/>
  <c r="AC435" i="1"/>
  <c r="Q435" i="1"/>
  <c r="E435" i="1"/>
  <c r="BA434" i="1"/>
  <c r="AO434" i="1"/>
  <c r="AC434" i="1"/>
  <c r="Q434" i="1"/>
  <c r="E434" i="1"/>
  <c r="BA433" i="1"/>
  <c r="AO433" i="1"/>
  <c r="AC433" i="1"/>
  <c r="Q433" i="1"/>
  <c r="E433" i="1"/>
  <c r="BA432" i="1"/>
  <c r="AO432" i="1"/>
  <c r="AC432" i="1"/>
  <c r="Q432" i="1"/>
  <c r="E432" i="1"/>
  <c r="BA431" i="1"/>
  <c r="AO431" i="1"/>
  <c r="AC431" i="1"/>
  <c r="Q431" i="1"/>
  <c r="E431" i="1"/>
  <c r="BA430" i="1"/>
  <c r="AO430" i="1"/>
  <c r="AC430" i="1"/>
  <c r="Q430" i="1"/>
  <c r="E430" i="1"/>
  <c r="BA429" i="1"/>
  <c r="AO429" i="1"/>
  <c r="AC429" i="1"/>
  <c r="Q429" i="1"/>
  <c r="E429" i="1"/>
  <c r="BA428" i="1"/>
  <c r="AO428" i="1"/>
  <c r="AC428" i="1"/>
  <c r="Q428" i="1"/>
  <c r="E428" i="1"/>
  <c r="BA427" i="1"/>
  <c r="AO427" i="1"/>
  <c r="AC427" i="1"/>
  <c r="Q427" i="1"/>
  <c r="E427" i="1"/>
  <c r="BA426" i="1"/>
  <c r="AO426" i="1"/>
  <c r="AC426" i="1"/>
  <c r="Q426" i="1"/>
  <c r="E426" i="1"/>
  <c r="BA425" i="1"/>
  <c r="AO425" i="1"/>
  <c r="AC425" i="1"/>
  <c r="Q425" i="1"/>
  <c r="E425" i="1"/>
  <c r="BA424" i="1"/>
  <c r="AO424" i="1"/>
  <c r="AC424" i="1"/>
  <c r="Q424" i="1"/>
  <c r="E424" i="1"/>
  <c r="BA423" i="1"/>
  <c r="AO423" i="1"/>
  <c r="AC423" i="1"/>
  <c r="Q423" i="1"/>
  <c r="E423" i="1"/>
  <c r="BA422" i="1"/>
  <c r="AO422" i="1"/>
  <c r="AC422" i="1"/>
  <c r="Q422" i="1"/>
  <c r="E422" i="1"/>
  <c r="BA421" i="1"/>
  <c r="AO421" i="1"/>
  <c r="AC421" i="1"/>
  <c r="Q421" i="1"/>
  <c r="E421" i="1"/>
  <c r="BA420" i="1"/>
  <c r="AO420" i="1"/>
  <c r="AC420" i="1"/>
  <c r="Q420" i="1"/>
  <c r="E420" i="1"/>
  <c r="BA419" i="1"/>
  <c r="AO419" i="1"/>
  <c r="AC419" i="1"/>
  <c r="Q419" i="1"/>
  <c r="E419" i="1"/>
  <c r="BA418" i="1"/>
  <c r="AO418" i="1"/>
  <c r="AC418" i="1"/>
  <c r="Q418" i="1"/>
  <c r="E418" i="1"/>
  <c r="BA417" i="1"/>
  <c r="AO417" i="1"/>
  <c r="AC417" i="1"/>
  <c r="Q417" i="1"/>
  <c r="E417" i="1"/>
  <c r="BA416" i="1"/>
  <c r="AO416" i="1"/>
  <c r="AC416" i="1"/>
  <c r="Q416" i="1"/>
  <c r="E416" i="1"/>
  <c r="BA415" i="1"/>
  <c r="AO415" i="1"/>
  <c r="AC415" i="1"/>
  <c r="Q415" i="1"/>
  <c r="E415" i="1"/>
  <c r="BA414" i="1"/>
  <c r="AO414" i="1"/>
  <c r="AC414" i="1"/>
  <c r="Q414" i="1"/>
  <c r="E414" i="1"/>
  <c r="BA413" i="1"/>
  <c r="AO413" i="1"/>
  <c r="AC413" i="1"/>
  <c r="Q413" i="1"/>
  <c r="E413" i="1"/>
  <c r="BA412" i="1"/>
  <c r="AO412" i="1"/>
  <c r="AC412" i="1"/>
  <c r="Q412" i="1"/>
  <c r="E412" i="1"/>
  <c r="BA411" i="1"/>
  <c r="AO411" i="1"/>
  <c r="AC411" i="1"/>
  <c r="Q411" i="1"/>
  <c r="E411" i="1"/>
  <c r="BA410" i="1"/>
  <c r="AO410" i="1"/>
  <c r="AC410" i="1"/>
  <c r="Q410" i="1"/>
  <c r="E410" i="1"/>
  <c r="BA409" i="1"/>
  <c r="AO409" i="1"/>
  <c r="AC409" i="1"/>
  <c r="Q409" i="1"/>
  <c r="E409" i="1"/>
  <c r="BA408" i="1"/>
  <c r="AO408" i="1"/>
  <c r="AC408" i="1"/>
  <c r="Q408" i="1"/>
  <c r="E408" i="1"/>
  <c r="BA407" i="1"/>
  <c r="AO407" i="1"/>
  <c r="AC407" i="1"/>
  <c r="Q407" i="1"/>
  <c r="E407" i="1"/>
  <c r="BA406" i="1"/>
  <c r="AO406" i="1"/>
  <c r="AC406" i="1"/>
  <c r="Q406" i="1"/>
  <c r="E406" i="1"/>
  <c r="BA405" i="1"/>
  <c r="AO405" i="1"/>
  <c r="AC405" i="1"/>
  <c r="Q405" i="1"/>
  <c r="E405" i="1"/>
  <c r="BA404" i="1"/>
  <c r="AO404" i="1"/>
  <c r="AC404" i="1"/>
  <c r="Q404" i="1"/>
  <c r="E404" i="1"/>
  <c r="BA403" i="1"/>
  <c r="AO403" i="1"/>
  <c r="AC403" i="1"/>
  <c r="Q403" i="1"/>
  <c r="E403" i="1"/>
  <c r="BA401" i="1"/>
  <c r="AO401" i="1"/>
  <c r="AC401" i="1"/>
  <c r="Q401" i="1"/>
  <c r="E401" i="1"/>
  <c r="BA400" i="1"/>
  <c r="AO400" i="1"/>
  <c r="AC400" i="1"/>
  <c r="Q400" i="1"/>
  <c r="E400" i="1"/>
  <c r="BA399" i="1"/>
  <c r="AO399" i="1"/>
  <c r="AC399" i="1"/>
  <c r="Q399" i="1"/>
  <c r="E399" i="1"/>
  <c r="BA398" i="1"/>
  <c r="AO398" i="1"/>
  <c r="AC398" i="1"/>
  <c r="Q398" i="1"/>
  <c r="E398" i="1"/>
  <c r="BA397" i="1"/>
  <c r="AO397" i="1"/>
  <c r="AC397" i="1"/>
  <c r="Q397" i="1"/>
  <c r="E397" i="1"/>
  <c r="BA396" i="1"/>
  <c r="AO396" i="1"/>
  <c r="AC396" i="1"/>
  <c r="Q396" i="1"/>
  <c r="E396" i="1"/>
  <c r="BA393" i="1"/>
  <c r="AO393" i="1"/>
  <c r="AC393" i="1"/>
  <c r="Q393" i="1"/>
  <c r="E393" i="1"/>
  <c r="BA392" i="1"/>
  <c r="AO392" i="1"/>
  <c r="AC392" i="1"/>
  <c r="Q392" i="1"/>
  <c r="E392" i="1"/>
  <c r="BA391" i="1"/>
  <c r="AO391" i="1"/>
  <c r="AC391" i="1"/>
  <c r="Q391" i="1"/>
  <c r="E391" i="1"/>
  <c r="BA390" i="1"/>
  <c r="AO390" i="1"/>
  <c r="AC390" i="1"/>
  <c r="Q390" i="1"/>
  <c r="E390" i="1"/>
  <c r="BA386" i="1"/>
  <c r="AO386" i="1"/>
  <c r="AC386" i="1"/>
  <c r="Q386" i="1"/>
  <c r="E386" i="1"/>
  <c r="BA385" i="1"/>
  <c r="AO385" i="1"/>
  <c r="AC385" i="1"/>
  <c r="Q385" i="1"/>
  <c r="E385" i="1"/>
  <c r="BA384" i="1"/>
  <c r="AO384" i="1"/>
  <c r="AC384" i="1"/>
  <c r="Q384" i="1"/>
  <c r="E384" i="1"/>
  <c r="BA383" i="1"/>
  <c r="AO383" i="1"/>
  <c r="AC383" i="1"/>
  <c r="Q383" i="1"/>
  <c r="E383" i="1"/>
  <c r="BA379" i="1"/>
  <c r="AO379" i="1"/>
  <c r="AC379" i="1"/>
  <c r="Q379" i="1"/>
  <c r="E379" i="1"/>
  <c r="BA378" i="1"/>
  <c r="AO378" i="1"/>
  <c r="AC378" i="1"/>
  <c r="Q378" i="1"/>
  <c r="E378" i="1"/>
  <c r="BA376" i="1"/>
  <c r="AO376" i="1"/>
  <c r="AC376" i="1"/>
  <c r="Q376" i="1"/>
  <c r="E376" i="1"/>
  <c r="BA375" i="1"/>
  <c r="AO375" i="1"/>
  <c r="AC375" i="1"/>
  <c r="Q375" i="1"/>
  <c r="E375" i="1"/>
  <c r="BA374" i="1"/>
  <c r="AO374" i="1"/>
  <c r="AC374" i="1"/>
  <c r="Q374" i="1"/>
  <c r="E374" i="1"/>
  <c r="BA373" i="1"/>
  <c r="AO373" i="1"/>
  <c r="AC373" i="1"/>
  <c r="Q373" i="1"/>
  <c r="E373" i="1"/>
  <c r="BA372" i="1"/>
  <c r="AO372" i="1"/>
  <c r="AC372" i="1"/>
  <c r="Q372" i="1"/>
  <c r="E372" i="1"/>
  <c r="BA371" i="1"/>
  <c r="AO371" i="1"/>
  <c r="AC371" i="1"/>
  <c r="Q371" i="1"/>
  <c r="E371" i="1"/>
  <c r="BA370" i="1"/>
  <c r="AO370" i="1"/>
  <c r="AC370" i="1"/>
  <c r="Q370" i="1"/>
  <c r="E370" i="1"/>
  <c r="BA369" i="1"/>
  <c r="AO369" i="1"/>
  <c r="AC369" i="1"/>
  <c r="Q369" i="1"/>
  <c r="E369" i="1"/>
  <c r="BA368" i="1"/>
  <c r="AO368" i="1"/>
  <c r="AC368" i="1"/>
  <c r="Q368" i="1"/>
  <c r="E368" i="1"/>
  <c r="BA367" i="1"/>
  <c r="AO367" i="1"/>
  <c r="AC367" i="1"/>
  <c r="Q367" i="1"/>
  <c r="E367" i="1"/>
  <c r="BA366" i="1"/>
  <c r="AO366" i="1"/>
  <c r="AC366" i="1"/>
  <c r="Q366" i="1"/>
  <c r="E366" i="1"/>
  <c r="BA365" i="1"/>
  <c r="AO365" i="1"/>
  <c r="AC365" i="1"/>
  <c r="Q365" i="1"/>
  <c r="E365" i="1"/>
  <c r="BA364" i="1"/>
  <c r="AO364" i="1"/>
  <c r="AC364" i="1"/>
  <c r="Q364" i="1"/>
  <c r="E364" i="1"/>
  <c r="BA363" i="1"/>
  <c r="AO363" i="1"/>
  <c r="AC363" i="1"/>
  <c r="Q363" i="1"/>
  <c r="E363" i="1"/>
  <c r="BA362" i="1"/>
  <c r="AO362" i="1"/>
  <c r="AC362" i="1"/>
  <c r="Q362" i="1"/>
  <c r="E362" i="1"/>
  <c r="BA361" i="1"/>
  <c r="AO361" i="1"/>
  <c r="AC361" i="1"/>
  <c r="Q361" i="1"/>
  <c r="E361" i="1"/>
  <c r="BA360" i="1"/>
  <c r="AO360" i="1"/>
  <c r="AC360" i="1"/>
  <c r="Q360" i="1"/>
  <c r="E360" i="1"/>
  <c r="BA359" i="1"/>
  <c r="AO359" i="1"/>
  <c r="AC359" i="1"/>
  <c r="Q359" i="1"/>
  <c r="E359" i="1"/>
  <c r="BA358" i="1"/>
  <c r="AO358" i="1"/>
  <c r="AC358" i="1"/>
  <c r="Q358" i="1"/>
  <c r="E358" i="1"/>
  <c r="BA357" i="1"/>
  <c r="AO357" i="1"/>
  <c r="AC357" i="1"/>
  <c r="Q357" i="1"/>
  <c r="E357" i="1"/>
  <c r="BA356" i="1"/>
  <c r="AO356" i="1"/>
  <c r="AC356" i="1"/>
  <c r="Q356" i="1"/>
  <c r="E356" i="1"/>
  <c r="BA354" i="1"/>
  <c r="AO354" i="1"/>
  <c r="AC354" i="1"/>
  <c r="Q354" i="1"/>
  <c r="E354" i="1"/>
  <c r="BA353" i="1"/>
  <c r="AO353" i="1"/>
  <c r="AC353" i="1"/>
  <c r="Q353" i="1"/>
  <c r="E353" i="1"/>
  <c r="BA352" i="1"/>
  <c r="AO352" i="1"/>
  <c r="AC352" i="1"/>
  <c r="Q352" i="1"/>
  <c r="E352" i="1"/>
  <c r="BA351" i="1"/>
  <c r="AO351" i="1"/>
  <c r="AC351" i="1"/>
  <c r="Q351" i="1"/>
  <c r="E351" i="1"/>
  <c r="BA350" i="1"/>
  <c r="AO350" i="1"/>
  <c r="AC350" i="1"/>
  <c r="Q350" i="1"/>
  <c r="E350" i="1"/>
  <c r="BA349" i="1"/>
  <c r="AO349" i="1"/>
  <c r="AC349" i="1"/>
  <c r="Q349" i="1"/>
  <c r="E349" i="1"/>
  <c r="BA348" i="1"/>
  <c r="AO348" i="1"/>
  <c r="AC348" i="1"/>
  <c r="Q348" i="1"/>
  <c r="E348" i="1"/>
  <c r="BA347" i="1"/>
  <c r="AO347" i="1"/>
  <c r="AC347" i="1"/>
  <c r="Q347" i="1"/>
  <c r="E347" i="1"/>
  <c r="BA346" i="1"/>
  <c r="AO346" i="1"/>
  <c r="AC346" i="1"/>
  <c r="Q346" i="1"/>
  <c r="E346" i="1"/>
  <c r="BA345" i="1"/>
  <c r="AO345" i="1"/>
  <c r="AC345" i="1"/>
  <c r="Q345" i="1"/>
  <c r="E345" i="1"/>
  <c r="BA344" i="1"/>
  <c r="AO344" i="1"/>
  <c r="AC344" i="1"/>
  <c r="Q344" i="1"/>
  <c r="E344" i="1"/>
  <c r="BA343" i="1"/>
  <c r="AO343" i="1"/>
  <c r="AC343" i="1"/>
  <c r="Q343" i="1"/>
  <c r="E343" i="1"/>
  <c r="BA342" i="1"/>
  <c r="AO342" i="1"/>
  <c r="AC342" i="1"/>
  <c r="Q342" i="1"/>
  <c r="E342" i="1"/>
  <c r="BA340" i="1"/>
  <c r="AO340" i="1"/>
  <c r="AC340" i="1"/>
  <c r="Q340" i="1"/>
  <c r="E340" i="1"/>
  <c r="BA339" i="1"/>
  <c r="AO339" i="1"/>
  <c r="AC339" i="1"/>
  <c r="Q339" i="1"/>
  <c r="E339" i="1"/>
  <c r="BA338" i="1"/>
  <c r="AO338" i="1"/>
  <c r="AC338" i="1"/>
  <c r="Q338" i="1"/>
  <c r="E338" i="1"/>
  <c r="BA337" i="1"/>
  <c r="AO337" i="1"/>
  <c r="AC337" i="1"/>
  <c r="Q337" i="1"/>
  <c r="E337" i="1"/>
  <c r="BA336" i="1"/>
  <c r="AO336" i="1"/>
  <c r="AC336" i="1"/>
  <c r="Q336" i="1"/>
  <c r="E336" i="1"/>
  <c r="BA335" i="1"/>
  <c r="AO335" i="1"/>
  <c r="AC335" i="1"/>
  <c r="Q335" i="1"/>
  <c r="E335" i="1"/>
  <c r="BA334" i="1"/>
  <c r="AO334" i="1"/>
  <c r="AC334" i="1"/>
  <c r="Q334" i="1"/>
  <c r="E334" i="1"/>
  <c r="BA333" i="1"/>
  <c r="AO333" i="1"/>
  <c r="AC333" i="1"/>
  <c r="Q333" i="1"/>
  <c r="E333" i="1"/>
  <c r="BA332" i="1"/>
  <c r="AO332" i="1"/>
  <c r="AC332" i="1"/>
  <c r="Q332" i="1"/>
  <c r="E332" i="1"/>
  <c r="BA331" i="1"/>
  <c r="AO331" i="1"/>
  <c r="AC331" i="1"/>
  <c r="Q331" i="1"/>
  <c r="E331" i="1"/>
  <c r="BA330" i="1"/>
  <c r="AO330" i="1"/>
  <c r="AC330" i="1"/>
  <c r="Q330" i="1"/>
  <c r="E330" i="1"/>
  <c r="BA329" i="1"/>
  <c r="AO329" i="1"/>
  <c r="AC329" i="1"/>
  <c r="Q329" i="1"/>
  <c r="E329" i="1"/>
  <c r="BA327" i="1"/>
  <c r="AO327" i="1"/>
  <c r="AC327" i="1"/>
  <c r="Q327" i="1"/>
  <c r="E327" i="1"/>
  <c r="BA325" i="1"/>
  <c r="AO325" i="1"/>
  <c r="AC325" i="1"/>
  <c r="Q325" i="1"/>
  <c r="E325" i="1"/>
  <c r="BA323" i="1"/>
  <c r="AO323" i="1"/>
  <c r="AC323" i="1"/>
  <c r="Q323" i="1"/>
  <c r="E323" i="1"/>
  <c r="BA322" i="1"/>
  <c r="AO322" i="1"/>
  <c r="AC322" i="1"/>
  <c r="Q322" i="1"/>
  <c r="E322" i="1"/>
  <c r="BA321" i="1"/>
  <c r="AO321" i="1"/>
  <c r="AC321" i="1"/>
  <c r="Q321" i="1"/>
  <c r="E321" i="1"/>
  <c r="BA320" i="1"/>
  <c r="AO320" i="1"/>
  <c r="AC320" i="1"/>
  <c r="Q320" i="1"/>
  <c r="E320" i="1"/>
  <c r="BA318" i="1"/>
  <c r="AO318" i="1"/>
  <c r="AC318" i="1"/>
  <c r="Q318" i="1"/>
  <c r="E318" i="1"/>
  <c r="BA317" i="1"/>
  <c r="AO317" i="1"/>
  <c r="AC317" i="1"/>
  <c r="Q317" i="1"/>
  <c r="E317" i="1"/>
  <c r="BA316" i="1"/>
  <c r="AO316" i="1"/>
  <c r="AC316" i="1"/>
  <c r="Q316" i="1"/>
  <c r="E316" i="1"/>
  <c r="BA315" i="1"/>
  <c r="AO315" i="1"/>
  <c r="AC315" i="1"/>
  <c r="Q315" i="1"/>
  <c r="E315" i="1"/>
  <c r="BA313" i="1"/>
  <c r="AO313" i="1"/>
  <c r="AC313" i="1"/>
  <c r="Q313" i="1"/>
  <c r="E313" i="1"/>
  <c r="BA312" i="1"/>
  <c r="AO312" i="1"/>
  <c r="AC312" i="1"/>
  <c r="Q312" i="1"/>
  <c r="E312" i="1"/>
  <c r="BA311" i="1"/>
  <c r="AO311" i="1"/>
  <c r="AC311" i="1"/>
  <c r="Q311" i="1"/>
  <c r="E311" i="1"/>
  <c r="BA310" i="1"/>
  <c r="AO310" i="1"/>
  <c r="AC310" i="1"/>
  <c r="Q310" i="1"/>
  <c r="E310" i="1"/>
  <c r="BA307" i="1"/>
  <c r="AO307" i="1"/>
  <c r="AC307" i="1"/>
  <c r="Q307" i="1"/>
  <c r="E307" i="1"/>
  <c r="BA306" i="1"/>
  <c r="AO306" i="1"/>
  <c r="AC306" i="1"/>
  <c r="Q306" i="1"/>
  <c r="E306" i="1"/>
  <c r="BA305" i="1"/>
  <c r="AO305" i="1"/>
  <c r="AC305" i="1"/>
  <c r="Q305" i="1"/>
  <c r="E305" i="1"/>
  <c r="BA304" i="1"/>
  <c r="AO304" i="1"/>
  <c r="AC304" i="1"/>
  <c r="Q304" i="1"/>
  <c r="E304" i="1"/>
  <c r="BA302" i="1"/>
  <c r="AO302" i="1"/>
  <c r="AC302" i="1"/>
  <c r="Q302" i="1"/>
  <c r="E302" i="1"/>
  <c r="BA299" i="1"/>
  <c r="AO299" i="1"/>
  <c r="AC299" i="1"/>
  <c r="Q299" i="1"/>
  <c r="E299" i="1"/>
  <c r="BA298" i="1"/>
  <c r="AO298" i="1"/>
  <c r="AC298" i="1"/>
  <c r="Q298" i="1"/>
  <c r="E298" i="1"/>
  <c r="BA297" i="1"/>
  <c r="AO297" i="1"/>
  <c r="AC297" i="1"/>
  <c r="Q297" i="1"/>
  <c r="E297" i="1"/>
  <c r="BA294" i="1"/>
  <c r="AO294" i="1"/>
  <c r="AC294" i="1"/>
  <c r="Q294" i="1"/>
  <c r="E294" i="1"/>
  <c r="BA293" i="1"/>
  <c r="AO293" i="1"/>
  <c r="AC293" i="1"/>
  <c r="Q293" i="1"/>
  <c r="E293" i="1"/>
  <c r="BA292" i="1"/>
  <c r="AO292" i="1"/>
  <c r="AC292" i="1"/>
  <c r="Q292" i="1"/>
  <c r="E292" i="1"/>
  <c r="BA290" i="1"/>
  <c r="AO290" i="1"/>
  <c r="AC290" i="1"/>
  <c r="Q290" i="1"/>
  <c r="E290" i="1"/>
  <c r="BA289" i="1"/>
  <c r="AO289" i="1"/>
  <c r="AC289" i="1"/>
  <c r="Q289" i="1"/>
  <c r="E289" i="1"/>
  <c r="BA288" i="1"/>
  <c r="AO288" i="1"/>
  <c r="AC288" i="1"/>
  <c r="Q288" i="1"/>
  <c r="E288" i="1"/>
  <c r="BA287" i="1"/>
  <c r="AO287" i="1"/>
  <c r="AC287" i="1"/>
  <c r="Q287" i="1"/>
  <c r="E287" i="1"/>
  <c r="BA285" i="1"/>
  <c r="AO285" i="1"/>
  <c r="AC285" i="1"/>
  <c r="Q285" i="1"/>
  <c r="E285" i="1"/>
  <c r="BA284" i="1"/>
  <c r="AO284" i="1"/>
  <c r="AC284" i="1"/>
  <c r="Q284" i="1"/>
  <c r="E284" i="1"/>
  <c r="BA283" i="1"/>
  <c r="AO283" i="1"/>
  <c r="AC283" i="1"/>
  <c r="Q283" i="1"/>
  <c r="E283" i="1"/>
  <c r="BA282" i="1"/>
  <c r="AO282" i="1"/>
  <c r="AC282" i="1"/>
  <c r="Q282" i="1"/>
  <c r="E282" i="1"/>
  <c r="BA281" i="1"/>
  <c r="AO281" i="1"/>
  <c r="AC281" i="1"/>
  <c r="Q281" i="1"/>
  <c r="E281" i="1"/>
  <c r="BA280" i="1"/>
  <c r="AO280" i="1"/>
  <c r="AC280" i="1"/>
  <c r="Q280" i="1"/>
  <c r="E280" i="1"/>
  <c r="BA279" i="1"/>
  <c r="AO279" i="1"/>
  <c r="AC279" i="1"/>
  <c r="Q279" i="1"/>
  <c r="E279" i="1"/>
  <c r="BA278" i="1"/>
  <c r="AO278" i="1"/>
  <c r="AC278" i="1"/>
  <c r="Q278" i="1"/>
  <c r="E278" i="1"/>
  <c r="BA277" i="1"/>
  <c r="AO277" i="1"/>
  <c r="AC277" i="1"/>
  <c r="Q277" i="1"/>
  <c r="E277" i="1"/>
  <c r="BA276" i="1"/>
  <c r="AO276" i="1"/>
  <c r="AC276" i="1"/>
  <c r="Q276" i="1"/>
  <c r="E276" i="1"/>
  <c r="BA275" i="1"/>
  <c r="AO275" i="1"/>
  <c r="AC275" i="1"/>
  <c r="Q275" i="1"/>
  <c r="E275" i="1"/>
  <c r="BA274" i="1"/>
  <c r="AO274" i="1"/>
  <c r="AC274" i="1"/>
  <c r="Q274" i="1"/>
  <c r="E274" i="1"/>
  <c r="BA273" i="1"/>
  <c r="AO273" i="1"/>
  <c r="AC273" i="1"/>
  <c r="Q273" i="1"/>
  <c r="E273" i="1"/>
  <c r="BA272" i="1"/>
  <c r="AO272" i="1"/>
  <c r="AC272" i="1"/>
  <c r="Q272" i="1"/>
  <c r="E272" i="1"/>
  <c r="BA271" i="1"/>
  <c r="AO271" i="1"/>
  <c r="AC271" i="1"/>
  <c r="Q271" i="1"/>
  <c r="E271" i="1"/>
  <c r="BA270" i="1"/>
  <c r="AO270" i="1"/>
  <c r="AC270" i="1"/>
  <c r="Q270" i="1"/>
  <c r="E270" i="1"/>
  <c r="BA268" i="1"/>
  <c r="AO268" i="1"/>
  <c r="AC268" i="1"/>
  <c r="Q268" i="1"/>
  <c r="E268" i="1"/>
  <c r="BA267" i="1"/>
  <c r="AO267" i="1"/>
  <c r="AC267" i="1"/>
  <c r="Q267" i="1"/>
  <c r="E267" i="1"/>
  <c r="BA266" i="1"/>
  <c r="AO266" i="1"/>
  <c r="AC266" i="1"/>
  <c r="Q266" i="1"/>
  <c r="E266" i="1"/>
  <c r="BA264" i="1"/>
  <c r="AO264" i="1"/>
  <c r="AC264" i="1"/>
  <c r="Q264" i="1"/>
  <c r="E264" i="1"/>
  <c r="BA263" i="1"/>
  <c r="AO263" i="1"/>
  <c r="AC263" i="1"/>
  <c r="Q263" i="1"/>
  <c r="E263" i="1"/>
  <c r="BA261" i="1"/>
  <c r="AO261" i="1"/>
  <c r="AC261" i="1"/>
  <c r="Q261" i="1"/>
  <c r="E261" i="1"/>
  <c r="BA260" i="1"/>
  <c r="AO260" i="1"/>
  <c r="AC260" i="1"/>
  <c r="Q260" i="1"/>
  <c r="E260" i="1"/>
  <c r="BA259" i="1"/>
  <c r="AO259" i="1"/>
  <c r="AC259" i="1"/>
  <c r="Q259" i="1"/>
  <c r="E259" i="1"/>
  <c r="BA258" i="1"/>
  <c r="AO258" i="1"/>
  <c r="AC258" i="1"/>
  <c r="Q258" i="1"/>
  <c r="E258" i="1"/>
  <c r="BA257" i="1"/>
  <c r="AO257" i="1"/>
  <c r="AC257" i="1"/>
  <c r="Q257" i="1"/>
  <c r="E257" i="1"/>
  <c r="BA256" i="1"/>
  <c r="AO256" i="1"/>
  <c r="AC256" i="1"/>
  <c r="Q256" i="1"/>
  <c r="E256" i="1"/>
  <c r="BA255" i="1"/>
  <c r="AO255" i="1"/>
  <c r="AC255" i="1"/>
  <c r="Q255" i="1"/>
  <c r="E255" i="1"/>
  <c r="BA254" i="1"/>
  <c r="AO254" i="1"/>
  <c r="AC254" i="1"/>
  <c r="Q254" i="1"/>
  <c r="E254" i="1"/>
  <c r="BA250" i="1"/>
  <c r="AO250" i="1"/>
  <c r="AC250" i="1"/>
  <c r="Q250" i="1"/>
  <c r="E250" i="1"/>
  <c r="BA249" i="1"/>
  <c r="AO249" i="1"/>
  <c r="AC249" i="1"/>
  <c r="Q249" i="1"/>
  <c r="E249" i="1"/>
  <c r="BA248" i="1"/>
  <c r="AO248" i="1"/>
  <c r="AC248" i="1"/>
  <c r="Q248" i="1"/>
  <c r="E248" i="1"/>
  <c r="BA247" i="1"/>
  <c r="AO247" i="1"/>
  <c r="AC247" i="1"/>
  <c r="Q247" i="1"/>
  <c r="E247" i="1"/>
  <c r="BA246" i="1"/>
  <c r="AO246" i="1"/>
  <c r="AC246" i="1"/>
  <c r="Q246" i="1"/>
  <c r="E246" i="1"/>
  <c r="BA245" i="1"/>
  <c r="AO245" i="1"/>
  <c r="AC245" i="1"/>
  <c r="Q245" i="1"/>
  <c r="E245" i="1"/>
  <c r="BA243" i="1"/>
  <c r="AO243" i="1"/>
  <c r="AC243" i="1"/>
  <c r="Q243" i="1"/>
  <c r="E243" i="1"/>
  <c r="BA242" i="1"/>
  <c r="AO242" i="1"/>
  <c r="AC242" i="1"/>
  <c r="Q242" i="1"/>
  <c r="E242" i="1"/>
  <c r="BA241" i="1"/>
  <c r="AO241" i="1"/>
  <c r="AC241" i="1"/>
  <c r="Q241" i="1"/>
  <c r="E241" i="1"/>
  <c r="BA240" i="1"/>
  <c r="AO240" i="1"/>
  <c r="AC240" i="1"/>
  <c r="Q240" i="1"/>
  <c r="E240" i="1"/>
  <c r="BA239" i="1"/>
  <c r="AO239" i="1"/>
  <c r="AC239" i="1"/>
  <c r="Q239" i="1"/>
  <c r="E239" i="1"/>
  <c r="BA238" i="1"/>
  <c r="AO238" i="1"/>
  <c r="AC238" i="1"/>
  <c r="Q238" i="1"/>
  <c r="E238" i="1"/>
  <c r="BA237" i="1"/>
  <c r="AO237" i="1"/>
  <c r="AC237" i="1"/>
  <c r="Q237" i="1"/>
  <c r="E237" i="1"/>
  <c r="BA236" i="1"/>
  <c r="AO236" i="1"/>
  <c r="AC236" i="1"/>
  <c r="Q236" i="1"/>
  <c r="E236" i="1"/>
  <c r="BA235" i="1"/>
  <c r="AO235" i="1"/>
  <c r="AC235" i="1"/>
  <c r="Q235" i="1"/>
  <c r="E235" i="1"/>
  <c r="BA234" i="1"/>
  <c r="AO234" i="1"/>
  <c r="AC234" i="1"/>
  <c r="Q234" i="1"/>
  <c r="E234" i="1"/>
  <c r="BA233" i="1"/>
  <c r="AO233" i="1"/>
  <c r="AC233" i="1"/>
  <c r="Q233" i="1"/>
  <c r="E233" i="1"/>
  <c r="BA232" i="1"/>
  <c r="AO232" i="1"/>
  <c r="AC232" i="1"/>
  <c r="Q232" i="1"/>
  <c r="E232" i="1"/>
  <c r="BA231" i="1"/>
  <c r="AO231" i="1"/>
  <c r="AC231" i="1"/>
  <c r="Q231" i="1"/>
  <c r="E231" i="1"/>
  <c r="BA230" i="1"/>
  <c r="AO230" i="1"/>
  <c r="AC230" i="1"/>
  <c r="Q230" i="1"/>
  <c r="E230" i="1"/>
  <c r="BA229" i="1"/>
  <c r="AO229" i="1"/>
  <c r="AC229" i="1"/>
  <c r="Q229" i="1"/>
  <c r="E229" i="1"/>
  <c r="BA228" i="1"/>
  <c r="AO228" i="1"/>
  <c r="AC228" i="1"/>
  <c r="Q228" i="1"/>
  <c r="E228" i="1"/>
  <c r="BA227" i="1"/>
  <c r="AO227" i="1"/>
  <c r="AC227" i="1"/>
  <c r="Q227" i="1"/>
  <c r="E227" i="1"/>
  <c r="BA226" i="1"/>
  <c r="AO226" i="1"/>
  <c r="AC226" i="1"/>
  <c r="Q226" i="1"/>
  <c r="E226" i="1"/>
  <c r="BA225" i="1"/>
  <c r="AO225" i="1"/>
  <c r="AC225" i="1"/>
  <c r="Q225" i="1"/>
  <c r="E225" i="1"/>
  <c r="BA224" i="1"/>
  <c r="AO224" i="1"/>
  <c r="AC224" i="1"/>
  <c r="Q224" i="1"/>
  <c r="E224" i="1"/>
  <c r="BA223" i="1"/>
  <c r="AO223" i="1"/>
  <c r="AC223" i="1"/>
  <c r="Q223" i="1"/>
  <c r="E223" i="1"/>
  <c r="BA222" i="1"/>
  <c r="AO222" i="1"/>
  <c r="AC222" i="1"/>
  <c r="Q222" i="1"/>
  <c r="E222" i="1"/>
  <c r="BA221" i="1"/>
  <c r="AO221" i="1"/>
  <c r="AC221" i="1"/>
  <c r="Q221" i="1"/>
  <c r="E221" i="1"/>
  <c r="BA220" i="1"/>
  <c r="AO220" i="1"/>
  <c r="AC220" i="1"/>
  <c r="Q220" i="1"/>
  <c r="E220" i="1"/>
  <c r="BA218" i="1"/>
  <c r="AO218" i="1"/>
  <c r="AC218" i="1"/>
  <c r="Q218" i="1"/>
  <c r="E218" i="1"/>
  <c r="BA216" i="1"/>
  <c r="AO216" i="1"/>
  <c r="AC216" i="1"/>
  <c r="Q216" i="1"/>
  <c r="E216" i="1"/>
  <c r="BA215" i="1"/>
  <c r="AO215" i="1"/>
  <c r="AC215" i="1"/>
  <c r="Q215" i="1"/>
  <c r="E215" i="1"/>
  <c r="BA214" i="1"/>
  <c r="AO214" i="1"/>
  <c r="AC214" i="1"/>
  <c r="Q214" i="1"/>
  <c r="E214" i="1"/>
  <c r="BA213" i="1"/>
  <c r="AO213" i="1"/>
  <c r="AC213" i="1"/>
  <c r="Q213" i="1"/>
  <c r="E213" i="1"/>
  <c r="BA212" i="1"/>
  <c r="AO212" i="1"/>
  <c r="AC212" i="1"/>
  <c r="Q212" i="1"/>
  <c r="E212" i="1"/>
  <c r="BA211" i="1"/>
  <c r="AO211" i="1"/>
  <c r="AC211" i="1"/>
  <c r="Q211" i="1"/>
  <c r="E211" i="1"/>
  <c r="BA210" i="1"/>
  <c r="AO210" i="1"/>
  <c r="AC210" i="1"/>
  <c r="Q210" i="1"/>
  <c r="E210" i="1"/>
  <c r="BA209" i="1"/>
  <c r="AO209" i="1"/>
  <c r="AC209" i="1"/>
  <c r="Q209" i="1"/>
  <c r="E209" i="1"/>
  <c r="BA207" i="1"/>
  <c r="AO207" i="1"/>
  <c r="AC207" i="1"/>
  <c r="Q207" i="1"/>
  <c r="E207" i="1"/>
  <c r="BA206" i="1"/>
  <c r="AO206" i="1"/>
  <c r="AC206" i="1"/>
  <c r="Q206" i="1"/>
  <c r="E206" i="1"/>
  <c r="BA205" i="1"/>
  <c r="AO205" i="1"/>
  <c r="AC205" i="1"/>
  <c r="Q205" i="1"/>
  <c r="E205" i="1"/>
  <c r="BA204" i="1"/>
  <c r="AO204" i="1"/>
  <c r="AC204" i="1"/>
  <c r="Q204" i="1"/>
  <c r="E204" i="1"/>
  <c r="BA202" i="1"/>
  <c r="AO202" i="1"/>
  <c r="AC202" i="1"/>
  <c r="Q202" i="1"/>
  <c r="E202" i="1"/>
  <c r="BA201" i="1"/>
  <c r="AO201" i="1"/>
  <c r="AC201" i="1"/>
  <c r="Q201" i="1"/>
  <c r="E201" i="1"/>
  <c r="BA200" i="1"/>
  <c r="AO200" i="1"/>
  <c r="AC200" i="1"/>
  <c r="Q200" i="1"/>
  <c r="E200" i="1"/>
  <c r="BA198" i="1"/>
  <c r="AO198" i="1"/>
  <c r="AC198" i="1"/>
  <c r="Q198" i="1"/>
  <c r="E198" i="1"/>
  <c r="BA197" i="1"/>
  <c r="AO197" i="1"/>
  <c r="AC197" i="1"/>
  <c r="Q197" i="1"/>
  <c r="E197" i="1"/>
  <c r="BA196" i="1"/>
  <c r="AO196" i="1"/>
  <c r="AC196" i="1"/>
  <c r="Q196" i="1"/>
  <c r="E196" i="1"/>
  <c r="BA195" i="1"/>
  <c r="AO195" i="1"/>
  <c r="AC195" i="1"/>
  <c r="Q195" i="1"/>
  <c r="E195" i="1"/>
  <c r="BA194" i="1"/>
  <c r="AO194" i="1"/>
  <c r="AC194" i="1"/>
  <c r="Q194" i="1"/>
  <c r="E194" i="1"/>
  <c r="BA193" i="1"/>
  <c r="AO193" i="1"/>
  <c r="AC193" i="1"/>
  <c r="Q193" i="1"/>
  <c r="E193" i="1"/>
  <c r="BA192" i="1"/>
  <c r="AO192" i="1"/>
  <c r="AC192" i="1"/>
  <c r="Q192" i="1"/>
  <c r="E192" i="1"/>
  <c r="BA191" i="1"/>
  <c r="AO191" i="1"/>
  <c r="AC191" i="1"/>
  <c r="Q191" i="1"/>
  <c r="E191" i="1"/>
  <c r="BA190" i="1"/>
  <c r="AO190" i="1"/>
  <c r="AC190" i="1"/>
  <c r="Q190" i="1"/>
  <c r="E190" i="1"/>
  <c r="BA189" i="1"/>
  <c r="AO189" i="1"/>
  <c r="AC189" i="1"/>
  <c r="Q189" i="1"/>
  <c r="E189" i="1"/>
  <c r="BA188" i="1"/>
  <c r="AO188" i="1"/>
  <c r="AC188" i="1"/>
  <c r="Q188" i="1"/>
  <c r="E188" i="1"/>
  <c r="BA187" i="1"/>
  <c r="AO187" i="1"/>
  <c r="AC187" i="1"/>
  <c r="Q187" i="1"/>
  <c r="E187" i="1"/>
  <c r="BA186" i="1"/>
  <c r="AO186" i="1"/>
  <c r="AC186" i="1"/>
  <c r="Q186" i="1"/>
  <c r="E186" i="1"/>
  <c r="BA185" i="1"/>
  <c r="AO185" i="1"/>
  <c r="AC185" i="1"/>
  <c r="Q185" i="1"/>
  <c r="E185" i="1"/>
  <c r="BA184" i="1"/>
  <c r="AO184" i="1"/>
  <c r="AC184" i="1"/>
  <c r="Q184" i="1"/>
  <c r="E184" i="1"/>
  <c r="BA183" i="1"/>
  <c r="AO183" i="1"/>
  <c r="AC183" i="1"/>
  <c r="Q183" i="1"/>
  <c r="E183" i="1"/>
  <c r="BA182" i="1"/>
  <c r="AO182" i="1"/>
  <c r="AC182" i="1"/>
  <c r="Q182" i="1"/>
  <c r="E182" i="1"/>
  <c r="BA181" i="1"/>
  <c r="AO181" i="1"/>
  <c r="AC181" i="1"/>
  <c r="Q181" i="1"/>
  <c r="E181" i="1"/>
  <c r="BA180" i="1"/>
  <c r="AO180" i="1"/>
  <c r="AC180" i="1"/>
  <c r="Q180" i="1"/>
  <c r="E180" i="1"/>
  <c r="BA178" i="1"/>
  <c r="AO178" i="1"/>
  <c r="AC178" i="1"/>
  <c r="Q178" i="1"/>
  <c r="E178" i="1"/>
  <c r="BA177" i="1"/>
  <c r="AO177" i="1"/>
  <c r="AC177" i="1"/>
  <c r="Q177" i="1"/>
  <c r="E177" i="1"/>
  <c r="BA176" i="1"/>
  <c r="AO176" i="1"/>
  <c r="AC176" i="1"/>
  <c r="Q176" i="1"/>
  <c r="E176" i="1"/>
  <c r="BA175" i="1"/>
  <c r="AO175" i="1"/>
  <c r="AC175" i="1"/>
  <c r="Q175" i="1"/>
  <c r="E175" i="1"/>
  <c r="BA174" i="1"/>
  <c r="AO174" i="1"/>
  <c r="AC174" i="1"/>
  <c r="Q174" i="1"/>
  <c r="E174" i="1"/>
  <c r="BA173" i="1"/>
  <c r="AO173" i="1"/>
  <c r="AC173" i="1"/>
  <c r="Q173" i="1"/>
  <c r="E173" i="1"/>
  <c r="BA172" i="1"/>
  <c r="AO172" i="1"/>
  <c r="AC172" i="1"/>
  <c r="Q172" i="1"/>
  <c r="E172" i="1"/>
  <c r="BA171" i="1"/>
  <c r="AO171" i="1"/>
  <c r="AC171" i="1"/>
  <c r="Q171" i="1"/>
  <c r="E171" i="1"/>
  <c r="BA170" i="1"/>
  <c r="AO170" i="1"/>
  <c r="AC170" i="1"/>
  <c r="Q170" i="1"/>
  <c r="E170" i="1"/>
  <c r="BA169" i="1"/>
  <c r="AO169" i="1"/>
  <c r="AC169" i="1"/>
  <c r="Q169" i="1"/>
  <c r="E169" i="1"/>
  <c r="BA168" i="1"/>
  <c r="AO168" i="1"/>
  <c r="AC168" i="1"/>
  <c r="Q168" i="1"/>
  <c r="E168" i="1"/>
  <c r="BA167" i="1"/>
  <c r="AO167" i="1"/>
  <c r="AC167" i="1"/>
  <c r="Q167" i="1"/>
  <c r="E167" i="1"/>
  <c r="BA166" i="1"/>
  <c r="AO166" i="1"/>
  <c r="AC166" i="1"/>
  <c r="Q166" i="1"/>
  <c r="E166" i="1"/>
  <c r="BA165" i="1"/>
  <c r="AO165" i="1"/>
  <c r="AC165" i="1"/>
  <c r="Q165" i="1"/>
  <c r="E165" i="1"/>
  <c r="BA164" i="1"/>
  <c r="AO164" i="1"/>
  <c r="AC164" i="1"/>
  <c r="Q164" i="1"/>
  <c r="E164" i="1"/>
  <c r="BA163" i="1"/>
  <c r="AO163" i="1"/>
  <c r="AC163" i="1"/>
  <c r="Q163" i="1"/>
  <c r="E163" i="1"/>
  <c r="BA162" i="1"/>
  <c r="AO162" i="1"/>
  <c r="AC162" i="1"/>
  <c r="Q162" i="1"/>
  <c r="E162" i="1"/>
  <c r="BA161" i="1"/>
  <c r="AO161" i="1"/>
  <c r="AC161" i="1"/>
  <c r="Q161" i="1"/>
  <c r="E161" i="1"/>
  <c r="BA160" i="1"/>
  <c r="AO160" i="1"/>
  <c r="AC160" i="1"/>
  <c r="Q160" i="1"/>
  <c r="E160" i="1"/>
  <c r="BA159" i="1"/>
  <c r="AO159" i="1"/>
  <c r="AC159" i="1"/>
  <c r="Q159" i="1"/>
  <c r="E159" i="1"/>
  <c r="BA158" i="1"/>
  <c r="AO158" i="1"/>
  <c r="AC158" i="1"/>
  <c r="Q158" i="1"/>
  <c r="E158" i="1"/>
  <c r="BA157" i="1"/>
  <c r="AO157" i="1"/>
  <c r="AC157" i="1"/>
  <c r="Q157" i="1"/>
  <c r="E157" i="1"/>
  <c r="BA156" i="1"/>
  <c r="AO156" i="1"/>
  <c r="AC156" i="1"/>
  <c r="Q156" i="1"/>
  <c r="E156" i="1"/>
  <c r="BA155" i="1"/>
  <c r="AO155" i="1"/>
  <c r="AC155" i="1"/>
  <c r="Q155" i="1"/>
  <c r="E155" i="1"/>
  <c r="BA154" i="1"/>
  <c r="AO154" i="1"/>
  <c r="AC154" i="1"/>
  <c r="Q154" i="1"/>
  <c r="E154" i="1"/>
  <c r="BA153" i="1"/>
  <c r="AO153" i="1"/>
  <c r="AC153" i="1"/>
  <c r="Q153" i="1"/>
  <c r="E153" i="1"/>
  <c r="BA152" i="1"/>
  <c r="AO152" i="1"/>
  <c r="AC152" i="1"/>
  <c r="Q152" i="1"/>
  <c r="E152" i="1"/>
  <c r="BA151" i="1"/>
  <c r="AO151" i="1"/>
  <c r="AC151" i="1"/>
  <c r="Q151" i="1"/>
  <c r="E151" i="1"/>
  <c r="BA150" i="1"/>
  <c r="AO150" i="1"/>
  <c r="AC150" i="1"/>
  <c r="Q150" i="1"/>
  <c r="E150" i="1"/>
  <c r="BA149" i="1"/>
  <c r="AO149" i="1"/>
  <c r="AC149" i="1"/>
  <c r="Q149" i="1"/>
  <c r="E149" i="1"/>
  <c r="BA148" i="1"/>
  <c r="AO148" i="1"/>
  <c r="AC148" i="1"/>
  <c r="Q148" i="1"/>
  <c r="E148" i="1"/>
  <c r="BA147" i="1"/>
  <c r="AO147" i="1"/>
  <c r="AC147" i="1"/>
  <c r="Q147" i="1"/>
  <c r="E147" i="1"/>
  <c r="BA146" i="1"/>
  <c r="AO146" i="1"/>
  <c r="AC146" i="1"/>
  <c r="Q146" i="1"/>
  <c r="E146" i="1"/>
  <c r="BA145" i="1"/>
  <c r="AO145" i="1"/>
  <c r="AC145" i="1"/>
  <c r="Q145" i="1"/>
  <c r="E145" i="1"/>
  <c r="BA144" i="1"/>
  <c r="AO144" i="1"/>
  <c r="AC144" i="1"/>
  <c r="Q144" i="1"/>
  <c r="E144" i="1"/>
  <c r="BA143" i="1"/>
  <c r="AO143" i="1"/>
  <c r="AC143" i="1"/>
  <c r="Q143" i="1"/>
  <c r="E143" i="1"/>
  <c r="BA142" i="1"/>
  <c r="AO142" i="1"/>
  <c r="AC142" i="1"/>
  <c r="Q142" i="1"/>
  <c r="E142" i="1"/>
  <c r="BA140" i="1"/>
  <c r="AO140" i="1"/>
  <c r="AC140" i="1"/>
  <c r="Q140" i="1"/>
  <c r="E140" i="1"/>
  <c r="BA139" i="1"/>
  <c r="AO139" i="1"/>
  <c r="AC139" i="1"/>
  <c r="Q139" i="1"/>
  <c r="E139" i="1"/>
  <c r="BA138" i="1"/>
  <c r="AO138" i="1"/>
  <c r="AC138" i="1"/>
  <c r="Q138" i="1"/>
  <c r="E138" i="1"/>
  <c r="BA137" i="1"/>
  <c r="AO137" i="1"/>
  <c r="AC137" i="1"/>
  <c r="Q137" i="1"/>
  <c r="E137" i="1"/>
  <c r="BA136" i="1"/>
  <c r="AO136" i="1"/>
  <c r="AC136" i="1"/>
  <c r="Q136" i="1"/>
  <c r="E136" i="1"/>
  <c r="BA135" i="1"/>
  <c r="AO135" i="1"/>
  <c r="AC135" i="1"/>
  <c r="Q135" i="1"/>
  <c r="E135" i="1"/>
  <c r="BA134" i="1"/>
  <c r="AO134" i="1"/>
  <c r="AC134" i="1"/>
  <c r="Q134" i="1"/>
  <c r="E134" i="1"/>
  <c r="BA133" i="1"/>
  <c r="AO133" i="1"/>
  <c r="AC133" i="1"/>
  <c r="Q133" i="1"/>
  <c r="E133" i="1"/>
  <c r="BA132" i="1"/>
  <c r="AO132" i="1"/>
  <c r="AC132" i="1"/>
  <c r="Q132" i="1"/>
  <c r="E132" i="1"/>
  <c r="BA131" i="1"/>
  <c r="AO131" i="1"/>
  <c r="AC131" i="1"/>
  <c r="Q131" i="1"/>
  <c r="E131" i="1"/>
  <c r="BA130" i="1"/>
  <c r="AO130" i="1"/>
  <c r="AC130" i="1"/>
  <c r="Q130" i="1"/>
  <c r="E130" i="1"/>
  <c r="BA129" i="1"/>
  <c r="AO129" i="1"/>
  <c r="AC129" i="1"/>
  <c r="Q129" i="1"/>
  <c r="E129" i="1"/>
  <c r="BA128" i="1"/>
  <c r="AO128" i="1"/>
  <c r="AC128" i="1"/>
  <c r="Q128" i="1"/>
  <c r="E128" i="1"/>
  <c r="BA127" i="1"/>
  <c r="AO127" i="1"/>
  <c r="AC127" i="1"/>
  <c r="Q127" i="1"/>
  <c r="E127" i="1"/>
  <c r="BA126" i="1"/>
  <c r="AO126" i="1"/>
  <c r="AC126" i="1"/>
  <c r="Q126" i="1"/>
  <c r="E126" i="1"/>
  <c r="BA125" i="1"/>
  <c r="AO125" i="1"/>
  <c r="AC125" i="1"/>
  <c r="Q125" i="1"/>
  <c r="E125" i="1"/>
  <c r="BA124" i="1"/>
  <c r="AO124" i="1"/>
  <c r="AC124" i="1"/>
  <c r="Q124" i="1"/>
  <c r="E124" i="1"/>
  <c r="BA123" i="1"/>
  <c r="AO123" i="1"/>
  <c r="AC123" i="1"/>
  <c r="Q123" i="1"/>
  <c r="E123" i="1"/>
  <c r="BA122" i="1"/>
  <c r="AO122" i="1"/>
  <c r="AC122" i="1"/>
  <c r="Q122" i="1"/>
  <c r="E122" i="1"/>
  <c r="BA121" i="1"/>
  <c r="AO121" i="1"/>
  <c r="AC121" i="1"/>
  <c r="Q121" i="1"/>
  <c r="E121" i="1"/>
  <c r="BA120" i="1"/>
  <c r="AO120" i="1"/>
  <c r="AC120" i="1"/>
  <c r="Q120" i="1"/>
  <c r="E120" i="1"/>
  <c r="BA119" i="1"/>
  <c r="AO119" i="1"/>
  <c r="AC119" i="1"/>
  <c r="Q119" i="1"/>
  <c r="E119" i="1"/>
  <c r="BA118" i="1"/>
  <c r="AO118" i="1"/>
  <c r="AC118" i="1"/>
  <c r="Q118" i="1"/>
  <c r="E118" i="1"/>
  <c r="BA117" i="1"/>
  <c r="AO117" i="1"/>
  <c r="AC117" i="1"/>
  <c r="Q117" i="1"/>
  <c r="E117" i="1"/>
  <c r="BA116" i="1"/>
  <c r="AO116" i="1"/>
  <c r="AC116" i="1"/>
  <c r="Q116" i="1"/>
  <c r="E116" i="1"/>
  <c r="BA115" i="1"/>
  <c r="AO115" i="1"/>
  <c r="AC115" i="1"/>
  <c r="Q115" i="1"/>
  <c r="E115" i="1"/>
  <c r="BA114" i="1"/>
  <c r="AO114" i="1"/>
  <c r="AC114" i="1"/>
  <c r="Q114" i="1"/>
  <c r="E114" i="1"/>
  <c r="BA113" i="1"/>
  <c r="AO113" i="1"/>
  <c r="AC113" i="1"/>
  <c r="Q113" i="1"/>
  <c r="E113" i="1"/>
  <c r="BA112" i="1"/>
  <c r="AO112" i="1"/>
  <c r="AC112" i="1"/>
  <c r="Q112" i="1"/>
  <c r="E112" i="1"/>
  <c r="BA111" i="1"/>
  <c r="AO111" i="1"/>
  <c r="AC111" i="1"/>
  <c r="Q111" i="1"/>
  <c r="E111" i="1"/>
  <c r="BA110" i="1"/>
  <c r="AO110" i="1"/>
  <c r="AC110" i="1"/>
  <c r="Q110" i="1"/>
  <c r="E110" i="1"/>
  <c r="BA109" i="1"/>
  <c r="AO109" i="1"/>
  <c r="AC109" i="1"/>
  <c r="Q109" i="1"/>
  <c r="E109" i="1"/>
  <c r="BA108" i="1"/>
  <c r="AO108" i="1"/>
  <c r="AC108" i="1"/>
  <c r="Q108" i="1"/>
  <c r="E108" i="1"/>
  <c r="BA107" i="1"/>
  <c r="AO107" i="1"/>
  <c r="AC107" i="1"/>
  <c r="Q107" i="1"/>
  <c r="E107" i="1"/>
  <c r="BA106" i="1"/>
  <c r="AO106" i="1"/>
  <c r="AC106" i="1"/>
  <c r="Q106" i="1"/>
  <c r="E106" i="1"/>
  <c r="BA105" i="1"/>
  <c r="AO105" i="1"/>
  <c r="AC105" i="1"/>
  <c r="Q105" i="1"/>
  <c r="E105" i="1"/>
  <c r="BA104" i="1"/>
  <c r="AO104" i="1"/>
  <c r="AC104" i="1"/>
  <c r="Q104" i="1"/>
  <c r="E104" i="1"/>
  <c r="BA103" i="1"/>
  <c r="AO103" i="1"/>
  <c r="AC103" i="1"/>
  <c r="Q103" i="1"/>
  <c r="E103" i="1"/>
  <c r="BA102" i="1"/>
  <c r="AO102" i="1"/>
  <c r="AC102" i="1"/>
  <c r="Q102" i="1"/>
  <c r="E102" i="1"/>
  <c r="BA101" i="1"/>
  <c r="AO101" i="1"/>
  <c r="AC101" i="1"/>
  <c r="Q101" i="1"/>
  <c r="E101" i="1"/>
  <c r="BA100" i="1"/>
  <c r="AO100" i="1"/>
  <c r="AC100" i="1"/>
  <c r="Q100" i="1"/>
  <c r="E100" i="1"/>
  <c r="BA99" i="1"/>
  <c r="AO99" i="1"/>
  <c r="AC99" i="1"/>
  <c r="Q99" i="1"/>
  <c r="E99" i="1"/>
  <c r="BA98" i="1"/>
  <c r="AO98" i="1"/>
  <c r="AC98" i="1"/>
  <c r="Q98" i="1"/>
  <c r="E98" i="1"/>
  <c r="BA97" i="1"/>
  <c r="AO97" i="1"/>
  <c r="AC97" i="1"/>
  <c r="Q97" i="1"/>
  <c r="E97" i="1"/>
  <c r="BA96" i="1"/>
  <c r="AO96" i="1"/>
  <c r="AC96" i="1"/>
  <c r="Q96" i="1"/>
  <c r="E96" i="1"/>
  <c r="BA95" i="1"/>
  <c r="AO95" i="1"/>
  <c r="AC95" i="1"/>
  <c r="Q95" i="1"/>
  <c r="E95" i="1"/>
  <c r="BA93" i="1"/>
  <c r="AO93" i="1"/>
  <c r="AC93" i="1"/>
  <c r="Q93" i="1"/>
  <c r="E93" i="1"/>
  <c r="BA92" i="1"/>
  <c r="AO92" i="1"/>
  <c r="AC92" i="1"/>
  <c r="Q92" i="1"/>
  <c r="E92" i="1"/>
  <c r="BA91" i="1"/>
  <c r="AO91" i="1"/>
  <c r="AC91" i="1"/>
  <c r="Q91" i="1"/>
  <c r="E91" i="1"/>
  <c r="BA90" i="1"/>
  <c r="AO90" i="1"/>
  <c r="AC90" i="1"/>
  <c r="Q90" i="1"/>
  <c r="E90" i="1"/>
  <c r="BA89" i="1"/>
  <c r="AO89" i="1"/>
  <c r="AC89" i="1"/>
  <c r="Q89" i="1"/>
  <c r="E89" i="1"/>
  <c r="BA88" i="1"/>
  <c r="AO88" i="1"/>
  <c r="AC88" i="1"/>
  <c r="Q88" i="1"/>
  <c r="E88" i="1"/>
  <c r="BA87" i="1"/>
  <c r="AO87" i="1"/>
  <c r="AC87" i="1"/>
  <c r="Q87" i="1"/>
  <c r="E87" i="1"/>
  <c r="BA86" i="1"/>
  <c r="AO86" i="1"/>
  <c r="AC86" i="1"/>
  <c r="Q86" i="1"/>
  <c r="E86" i="1"/>
  <c r="BA85" i="1"/>
  <c r="AO85" i="1"/>
  <c r="AC85" i="1"/>
  <c r="Q85" i="1"/>
  <c r="E85" i="1"/>
  <c r="BA84" i="1"/>
  <c r="AO84" i="1"/>
  <c r="AC84" i="1"/>
  <c r="Q84" i="1"/>
  <c r="E84" i="1"/>
  <c r="BA83" i="1"/>
  <c r="AO83" i="1"/>
  <c r="AC83" i="1"/>
  <c r="Q83" i="1"/>
  <c r="E83" i="1"/>
  <c r="BA82" i="1"/>
  <c r="AO82" i="1"/>
  <c r="AC82" i="1"/>
  <c r="Q82" i="1"/>
  <c r="E82" i="1"/>
  <c r="BA81" i="1"/>
  <c r="AO81" i="1"/>
  <c r="AC81" i="1"/>
  <c r="Q81" i="1"/>
  <c r="E81" i="1"/>
  <c r="BA80" i="1"/>
  <c r="AO80" i="1"/>
  <c r="AC80" i="1"/>
  <c r="Q80" i="1"/>
  <c r="E80" i="1"/>
  <c r="BA79" i="1"/>
  <c r="AO79" i="1"/>
  <c r="AC79" i="1"/>
  <c r="Q79" i="1"/>
  <c r="E79" i="1"/>
  <c r="BA78" i="1"/>
  <c r="AO78" i="1"/>
  <c r="AC78" i="1"/>
  <c r="Q78" i="1"/>
  <c r="E78" i="1"/>
  <c r="BA77" i="1"/>
  <c r="AO77" i="1"/>
  <c r="AC77" i="1"/>
  <c r="Q77" i="1"/>
  <c r="E77" i="1"/>
  <c r="BA76" i="1"/>
  <c r="AO76" i="1"/>
  <c r="AC76" i="1"/>
  <c r="Q76" i="1"/>
  <c r="E76" i="1"/>
  <c r="BA75" i="1"/>
  <c r="AO75" i="1"/>
  <c r="AC75" i="1"/>
  <c r="Q75" i="1"/>
  <c r="E75" i="1"/>
  <c r="BA73" i="1"/>
  <c r="AO73" i="1"/>
  <c r="AC73" i="1"/>
  <c r="Q73" i="1"/>
  <c r="E73" i="1"/>
  <c r="BA72" i="1"/>
  <c r="AO72" i="1"/>
  <c r="AC72" i="1"/>
  <c r="Q72" i="1"/>
  <c r="E72" i="1"/>
  <c r="BA71" i="1"/>
  <c r="AO71" i="1"/>
  <c r="AC71" i="1"/>
  <c r="Q71" i="1"/>
  <c r="E71" i="1"/>
  <c r="BA70" i="1"/>
  <c r="AO70" i="1"/>
  <c r="AC70" i="1"/>
  <c r="Q70" i="1"/>
  <c r="E70" i="1"/>
  <c r="BA69" i="1"/>
  <c r="AO69" i="1"/>
  <c r="AC69" i="1"/>
  <c r="Q69" i="1"/>
  <c r="E69" i="1"/>
  <c r="BA68" i="1"/>
  <c r="AO68" i="1"/>
  <c r="AC68" i="1"/>
  <c r="Q68" i="1"/>
  <c r="E68" i="1"/>
  <c r="BA67" i="1"/>
  <c r="AO67" i="1"/>
  <c r="AC67" i="1"/>
  <c r="Q67" i="1"/>
  <c r="E67" i="1"/>
  <c r="BA66" i="1"/>
  <c r="AO66" i="1"/>
  <c r="AC66" i="1"/>
  <c r="Q66" i="1"/>
  <c r="E66" i="1"/>
  <c r="BA65" i="1"/>
  <c r="AO65" i="1"/>
  <c r="AC65" i="1"/>
  <c r="Q65" i="1"/>
  <c r="E65" i="1"/>
  <c r="BA64" i="1"/>
  <c r="AO64" i="1"/>
  <c r="AC64" i="1"/>
  <c r="Q64" i="1"/>
  <c r="E64" i="1"/>
  <c r="BA63" i="1"/>
  <c r="AO63" i="1"/>
  <c r="AC63" i="1"/>
  <c r="Q63" i="1"/>
  <c r="E63" i="1"/>
  <c r="BA62" i="1"/>
  <c r="AO62" i="1"/>
  <c r="AC62" i="1"/>
  <c r="Q62" i="1"/>
  <c r="E62" i="1"/>
  <c r="BA61" i="1"/>
  <c r="AO61" i="1"/>
  <c r="AC61" i="1"/>
  <c r="Q61" i="1"/>
  <c r="E61" i="1"/>
  <c r="BA60" i="1"/>
  <c r="AO60" i="1"/>
  <c r="AC60" i="1"/>
  <c r="Q60" i="1"/>
  <c r="E60" i="1"/>
  <c r="BA59" i="1"/>
  <c r="AO59" i="1"/>
  <c r="AC59" i="1"/>
  <c r="Q59" i="1"/>
  <c r="E59" i="1"/>
  <c r="BA58" i="1"/>
  <c r="AO58" i="1"/>
  <c r="AC58" i="1"/>
  <c r="Q58" i="1"/>
  <c r="E58" i="1"/>
  <c r="BA57" i="1"/>
  <c r="AO57" i="1"/>
  <c r="AC57" i="1"/>
  <c r="Q57" i="1"/>
  <c r="E57" i="1"/>
  <c r="BA56" i="1"/>
  <c r="AO56" i="1"/>
  <c r="AC56" i="1"/>
  <c r="Q56" i="1"/>
  <c r="E56" i="1"/>
  <c r="BA55" i="1"/>
  <c r="AO55" i="1"/>
  <c r="AC55" i="1"/>
  <c r="Q55" i="1"/>
  <c r="E55" i="1"/>
  <c r="BA54" i="1"/>
  <c r="AO54" i="1"/>
  <c r="AC54" i="1"/>
  <c r="Q54" i="1"/>
  <c r="E54" i="1"/>
  <c r="BA53" i="1"/>
  <c r="AO53" i="1"/>
  <c r="AC53" i="1"/>
  <c r="Q53" i="1"/>
  <c r="E53" i="1"/>
  <c r="BA52" i="1"/>
  <c r="AO52" i="1"/>
  <c r="AC52" i="1"/>
  <c r="Q52" i="1"/>
  <c r="E52" i="1"/>
  <c r="BA51" i="1"/>
  <c r="AO51" i="1"/>
  <c r="AC51" i="1"/>
  <c r="Q51" i="1"/>
  <c r="E51" i="1"/>
  <c r="BA50" i="1"/>
  <c r="AO50" i="1"/>
  <c r="AC50" i="1"/>
  <c r="Q50" i="1"/>
  <c r="E50" i="1"/>
  <c r="BA49" i="1"/>
  <c r="AO49" i="1"/>
  <c r="AC49" i="1"/>
  <c r="Q49" i="1"/>
  <c r="E49" i="1"/>
  <c r="BA48" i="1"/>
  <c r="AO48" i="1"/>
  <c r="AC48" i="1"/>
  <c r="Q48" i="1"/>
  <c r="E48" i="1"/>
  <c r="BA47" i="1"/>
  <c r="AO47" i="1"/>
  <c r="AC47" i="1"/>
  <c r="Q47" i="1"/>
  <c r="E47" i="1"/>
  <c r="BA46" i="1"/>
  <c r="AO46" i="1"/>
  <c r="AC46" i="1"/>
  <c r="Q46" i="1"/>
  <c r="E46" i="1"/>
  <c r="BA45" i="1"/>
  <c r="AO45" i="1"/>
  <c r="AC45" i="1"/>
  <c r="Q45" i="1"/>
  <c r="E45" i="1"/>
  <c r="BA44" i="1"/>
  <c r="AO44" i="1"/>
  <c r="AC44" i="1"/>
  <c r="Q44" i="1"/>
  <c r="E44" i="1"/>
  <c r="BA43" i="1"/>
  <c r="AO43" i="1"/>
  <c r="AC43" i="1"/>
  <c r="Q43" i="1"/>
  <c r="E43" i="1"/>
  <c r="BA42" i="1"/>
  <c r="AO42" i="1"/>
  <c r="AC42" i="1"/>
  <c r="Q42" i="1"/>
  <c r="E42" i="1"/>
  <c r="BA41" i="1"/>
  <c r="AO41" i="1"/>
  <c r="AC41" i="1"/>
  <c r="Q41" i="1"/>
  <c r="E41" i="1"/>
  <c r="BA40" i="1"/>
  <c r="AO40" i="1"/>
  <c r="AC40" i="1"/>
  <c r="Q40" i="1"/>
  <c r="E40" i="1"/>
  <c r="BA39" i="1"/>
  <c r="AO39" i="1"/>
  <c r="AC39" i="1"/>
  <c r="Q39" i="1"/>
  <c r="E39" i="1"/>
  <c r="BA38" i="1"/>
  <c r="AO38" i="1"/>
  <c r="AC38" i="1"/>
  <c r="Q38" i="1"/>
  <c r="E38" i="1"/>
  <c r="BA37" i="1"/>
  <c r="AO37" i="1"/>
  <c r="AC37" i="1"/>
  <c r="Q37" i="1"/>
  <c r="E37" i="1"/>
  <c r="BA36" i="1"/>
  <c r="AO36" i="1"/>
  <c r="AC36" i="1"/>
  <c r="Q36" i="1"/>
  <c r="E36" i="1"/>
  <c r="BA35" i="1"/>
  <c r="AO35" i="1"/>
  <c r="AC35" i="1"/>
  <c r="Q35" i="1"/>
  <c r="E35" i="1"/>
  <c r="BA30" i="1"/>
  <c r="AO30" i="1"/>
  <c r="AC30" i="1"/>
  <c r="Q30" i="1"/>
  <c r="E30" i="1"/>
  <c r="BA29" i="1"/>
  <c r="AO29" i="1"/>
  <c r="AC29" i="1"/>
  <c r="Q29" i="1"/>
  <c r="E29" i="1"/>
  <c r="BA28" i="1"/>
  <c r="AO28" i="1"/>
  <c r="AC28" i="1"/>
  <c r="Q28" i="1"/>
  <c r="E28" i="1"/>
  <c r="BA27" i="1"/>
  <c r="AO27" i="1"/>
  <c r="AC27" i="1"/>
  <c r="Q27" i="1"/>
  <c r="E27" i="1"/>
  <c r="BA26" i="1"/>
  <c r="AO26" i="1"/>
  <c r="AC26" i="1"/>
  <c r="Q26" i="1"/>
  <c r="E26" i="1"/>
  <c r="BA25" i="1"/>
  <c r="AO25" i="1"/>
  <c r="AC25" i="1"/>
  <c r="Q25" i="1"/>
  <c r="E25" i="1"/>
  <c r="BA24" i="1"/>
  <c r="AO24" i="1"/>
  <c r="AC24" i="1"/>
  <c r="Q24" i="1"/>
  <c r="E24" i="1"/>
  <c r="BA23" i="1"/>
  <c r="AO23" i="1"/>
  <c r="AC23" i="1"/>
  <c r="Q23" i="1"/>
  <c r="E23" i="1"/>
  <c r="BA22" i="1"/>
  <c r="AO22" i="1"/>
  <c r="AC22" i="1"/>
  <c r="Q22" i="1"/>
  <c r="E22" i="1"/>
  <c r="BA21" i="1"/>
  <c r="AO21" i="1"/>
  <c r="AC21" i="1"/>
  <c r="Q21" i="1"/>
  <c r="E21" i="1"/>
  <c r="BA20" i="1"/>
  <c r="AO20" i="1"/>
  <c r="AC20" i="1"/>
  <c r="Q20" i="1"/>
  <c r="E20" i="1"/>
  <c r="BA19" i="1"/>
  <c r="AO19" i="1"/>
  <c r="AC19" i="1"/>
  <c r="Q19" i="1"/>
  <c r="E19" i="1"/>
  <c r="BA18" i="1"/>
  <c r="AO18" i="1"/>
  <c r="AC18" i="1"/>
  <c r="Q18" i="1"/>
  <c r="E18" i="1"/>
  <c r="BA17" i="1"/>
  <c r="AO17" i="1"/>
  <c r="AC17" i="1"/>
  <c r="Q17" i="1"/>
  <c r="E17" i="1"/>
  <c r="BA16" i="1"/>
  <c r="AO16" i="1"/>
  <c r="AC16" i="1"/>
  <c r="Q16" i="1"/>
  <c r="E16" i="1"/>
  <c r="BA15" i="1"/>
  <c r="AO15" i="1"/>
  <c r="AC15" i="1"/>
  <c r="Q15" i="1"/>
  <c r="E15" i="1"/>
  <c r="BA14" i="1"/>
  <c r="AO14" i="1"/>
  <c r="AC14" i="1"/>
  <c r="Q14" i="1"/>
  <c r="E14" i="1"/>
  <c r="BA13" i="1"/>
  <c r="AO13" i="1"/>
  <c r="AC13" i="1"/>
  <c r="Q13" i="1"/>
  <c r="E13" i="1"/>
  <c r="BA12" i="1"/>
  <c r="AO12" i="1"/>
  <c r="AC12" i="1"/>
  <c r="Q12" i="1"/>
  <c r="E12" i="1"/>
  <c r="BA11" i="1"/>
  <c r="AO11" i="1"/>
  <c r="AC11" i="1"/>
  <c r="Q11" i="1"/>
  <c r="E11" i="1"/>
  <c r="BA10" i="1"/>
  <c r="AO10" i="1"/>
  <c r="AC10" i="1"/>
  <c r="Q10" i="1"/>
  <c r="E10" i="1"/>
  <c r="BA9" i="1"/>
  <c r="AO9" i="1"/>
  <c r="AC9" i="1"/>
  <c r="Q9" i="1"/>
  <c r="E9" i="1"/>
  <c r="BA8" i="1"/>
  <c r="AO8" i="1"/>
  <c r="AC8" i="1"/>
  <c r="Q8" i="1"/>
  <c r="E8" i="1"/>
  <c r="BA7" i="1"/>
  <c r="AO7" i="1"/>
  <c r="AC7" i="1"/>
  <c r="Q7" i="1"/>
  <c r="E7" i="1"/>
  <c r="BA6" i="1"/>
  <c r="AO6" i="1"/>
  <c r="AC6" i="1"/>
  <c r="Q6" i="1"/>
  <c r="E6" i="1"/>
  <c r="BA5" i="1"/>
  <c r="AO5" i="1"/>
  <c r="AC5" i="1"/>
  <c r="Q5" i="1"/>
  <c r="E5" i="1"/>
  <c r="K2" i="15"/>
  <c r="B4" i="22"/>
  <c r="Z446" i="1"/>
  <c r="BW446" i="1" s="1"/>
  <c r="Z466" i="1"/>
  <c r="BW466" i="1" s="1"/>
  <c r="BR689" i="1" a="1"/>
  <c r="BR689" i="1" s="1"/>
  <c r="BR693" i="1" a="1"/>
  <c r="BR693" i="1" s="1"/>
  <c r="BR704" i="1" a="1"/>
  <c r="BR704" i="1" s="1"/>
  <c r="BR708" i="1" a="1"/>
  <c r="BR708" i="1" s="1"/>
  <c r="BR712" i="1" a="1"/>
  <c r="BR712" i="1" s="1"/>
  <c r="BR722" i="1" a="1"/>
  <c r="BR722" i="1" s="1"/>
  <c r="BR723" i="1" a="1"/>
  <c r="BR723" i="1" s="1"/>
  <c r="BR739" i="1" a="1"/>
  <c r="BR739" i="1" s="1"/>
  <c r="BR744" i="1" a="1"/>
  <c r="BR744" i="1" s="1"/>
  <c r="BR745" i="1" a="1"/>
  <c r="BR745" i="1" s="1"/>
  <c r="BR749" i="1" a="1"/>
  <c r="BR749" i="1" s="1"/>
  <c r="BR752" i="1" a="1"/>
  <c r="BR752" i="1" s="1"/>
  <c r="BR753" i="1" a="1"/>
  <c r="BR753" i="1" s="1"/>
  <c r="BR754" i="1" a="1"/>
  <c r="BR754" i="1" s="1"/>
  <c r="BR774" i="1" a="1"/>
  <c r="BR774" i="1" s="1"/>
  <c r="BR756" i="1" a="1"/>
  <c r="BR756" i="1" s="1"/>
  <c r="BR785" i="1" a="1"/>
  <c r="BR785" i="1" s="1"/>
  <c r="BR798" i="1" a="1"/>
  <c r="BR798" i="1" s="1"/>
  <c r="BR821" i="1" a="1"/>
  <c r="BR821" i="1" s="1"/>
  <c r="BR822" i="1" a="1"/>
  <c r="BR822" i="1" s="1"/>
  <c r="BR943" i="1" a="1"/>
  <c r="BR943" i="1" s="1"/>
  <c r="BR688" i="1" a="1"/>
  <c r="BR688" i="1" s="1"/>
  <c r="BR690" i="1" a="1"/>
  <c r="BR690" i="1" s="1"/>
  <c r="BR692" i="1" a="1"/>
  <c r="BR692" i="1" s="1"/>
  <c r="BR698" i="1" a="1"/>
  <c r="BR698" i="1" s="1"/>
  <c r="BR700" i="1" a="1"/>
  <c r="BR700" i="1" s="1"/>
  <c r="BR716" i="1" a="1"/>
  <c r="BR716" i="1" s="1"/>
  <c r="BR718" i="1" a="1"/>
  <c r="BR718" i="1" s="1"/>
  <c r="BR719" i="1" a="1"/>
  <c r="BR719" i="1" s="1"/>
  <c r="BR729" i="1" a="1"/>
  <c r="BR729" i="1" s="1"/>
  <c r="BR732" i="1" a="1"/>
  <c r="BR732" i="1" s="1"/>
  <c r="BR733" i="1" a="1"/>
  <c r="BR733" i="1" s="1"/>
  <c r="BR748" i="1" a="1"/>
  <c r="BR748" i="1" s="1"/>
  <c r="BR750" i="1" a="1"/>
  <c r="BR750" i="1" s="1"/>
  <c r="BR751" i="1" a="1"/>
  <c r="BR751" i="1" s="1"/>
  <c r="BR765" i="1" a="1"/>
  <c r="BR765" i="1" s="1"/>
  <c r="BR766" i="1" a="1"/>
  <c r="BR766" i="1" s="1"/>
  <c r="BR767" i="1" a="1"/>
  <c r="BR767" i="1" s="1"/>
  <c r="BR768" i="1" a="1"/>
  <c r="BR768" i="1" s="1"/>
  <c r="BR772" i="1" a="1"/>
  <c r="BR772" i="1" s="1"/>
  <c r="BR783" i="1" a="1"/>
  <c r="BR783" i="1" s="1"/>
  <c r="BR786" i="1" a="1"/>
  <c r="BR786" i="1" s="1"/>
  <c r="BR799" i="1" a="1"/>
  <c r="BR799" i="1" s="1"/>
  <c r="BR806" i="1" a="1"/>
  <c r="BR806" i="1" s="1"/>
  <c r="BR810" i="1" a="1"/>
  <c r="BR810" i="1" s="1"/>
  <c r="BR818" i="1" a="1"/>
  <c r="BR818" i="1" s="1"/>
  <c r="BR819" i="1" a="1"/>
  <c r="BR819" i="1" s="1"/>
  <c r="BR823" i="1" a="1"/>
  <c r="BR823" i="1" s="1"/>
  <c r="BR838" i="1" a="1"/>
  <c r="BR838" i="1" s="1"/>
  <c r="BR849" i="1" a="1"/>
  <c r="BR849" i="1" s="1"/>
  <c r="BR860" i="1" a="1"/>
  <c r="BR860" i="1" s="1"/>
  <c r="BR952" i="1" a="1"/>
  <c r="BR952" i="1" s="1"/>
  <c r="BR978" i="1" a="1"/>
  <c r="BR978" i="1" s="1"/>
  <c r="BR679" i="1" a="1"/>
  <c r="BR679" i="1" s="1"/>
  <c r="BR680" i="1" a="1"/>
  <c r="BR680" i="1" s="1"/>
  <c r="BR684" i="1" a="1"/>
  <c r="BR684" i="1" s="1"/>
  <c r="BR685" i="1" a="1"/>
  <c r="BR685" i="1" s="1"/>
  <c r="BR686" i="1" a="1"/>
  <c r="BR686" i="1" s="1"/>
  <c r="BR695" i="1" a="1"/>
  <c r="BR695" i="1" s="1"/>
  <c r="BR701" i="1" a="1"/>
  <c r="BR701" i="1" s="1"/>
  <c r="BR703" i="1" a="1"/>
  <c r="BR703" i="1" s="1"/>
  <c r="BR705" i="1" a="1"/>
  <c r="BR705" i="1" s="1"/>
  <c r="BR707" i="1" a="1"/>
  <c r="BR707" i="1" s="1"/>
  <c r="BR709" i="1" a="1"/>
  <c r="BR709" i="1" s="1"/>
  <c r="BR714" i="1" a="1"/>
  <c r="BR714" i="1" s="1"/>
  <c r="BR720" i="1" a="1"/>
  <c r="BR720" i="1" s="1"/>
  <c r="BR721" i="1" a="1"/>
  <c r="BR721" i="1" s="1"/>
  <c r="BR724" i="1" a="1"/>
  <c r="BR724" i="1" s="1"/>
  <c r="BR726" i="1" a="1"/>
  <c r="BR726" i="1" s="1"/>
  <c r="BR727" i="1" a="1"/>
  <c r="BR727" i="1" s="1"/>
  <c r="BR737" i="1" a="1"/>
  <c r="BR737" i="1" s="1"/>
  <c r="BR738" i="1" a="1"/>
  <c r="BR738" i="1" s="1"/>
  <c r="BR740" i="1" a="1"/>
  <c r="BR740" i="1" s="1"/>
  <c r="BR742" i="1" a="1"/>
  <c r="BR742" i="1" s="1"/>
  <c r="BR755" i="1" a="1"/>
  <c r="BR755" i="1" s="1"/>
  <c r="BR759" i="1" a="1"/>
  <c r="BR759" i="1" s="1"/>
  <c r="BR761" i="1" a="1"/>
  <c r="BR761" i="1" s="1"/>
  <c r="BR762" i="1" a="1"/>
  <c r="BR762" i="1" s="1"/>
  <c r="BR770" i="1" a="1"/>
  <c r="BR770" i="1" s="1"/>
  <c r="BR778" i="1" a="1"/>
  <c r="BR778" i="1" s="1"/>
  <c r="BR779" i="1" a="1"/>
  <c r="BR779" i="1" s="1"/>
  <c r="BR780" i="1" a="1"/>
  <c r="BR780" i="1" s="1"/>
  <c r="BR784" i="1" a="1"/>
  <c r="BR784" i="1" s="1"/>
  <c r="BR793" i="1" a="1"/>
  <c r="BR793" i="1" s="1"/>
  <c r="BR804" i="1" a="1"/>
  <c r="BR804" i="1" s="1"/>
  <c r="BR807" i="1" a="1"/>
  <c r="BR807" i="1" s="1"/>
  <c r="BR808" i="1" a="1"/>
  <c r="BR808" i="1" s="1"/>
  <c r="BR820" i="1" a="1"/>
  <c r="BR820" i="1" s="1"/>
  <c r="BR853" i="1" a="1"/>
  <c r="BR853" i="1" s="1"/>
  <c r="BR911" i="1" a="1"/>
  <c r="BR911" i="1" s="1"/>
  <c r="BR776" i="1" a="1"/>
  <c r="BR776" i="1" s="1"/>
  <c r="BR782" i="1" a="1"/>
  <c r="BR782" i="1" s="1"/>
  <c r="BR787" i="1" a="1"/>
  <c r="BR787" i="1" s="1"/>
  <c r="BR788" i="1" a="1"/>
  <c r="BR788" i="1" s="1"/>
  <c r="BR794" i="1" a="1"/>
  <c r="BR794" i="1" s="1"/>
  <c r="BR795" i="1" a="1"/>
  <c r="BR795" i="1" s="1"/>
  <c r="BR800" i="1" a="1"/>
  <c r="BR800" i="1" s="1"/>
  <c r="BR805" i="1" a="1"/>
  <c r="BR805" i="1" s="1"/>
  <c r="BR811" i="1" a="1"/>
  <c r="BR811" i="1" s="1"/>
  <c r="BR812" i="1" a="1"/>
  <c r="BR812" i="1" s="1"/>
  <c r="BR813" i="1" a="1"/>
  <c r="BR813" i="1" s="1"/>
  <c r="BR814" i="1" a="1"/>
  <c r="BR814" i="1" s="1"/>
  <c r="BR824" i="1" a="1"/>
  <c r="BR824" i="1" s="1"/>
  <c r="BR831" i="1" a="1"/>
  <c r="BR831" i="1" s="1"/>
  <c r="BR843" i="1" a="1"/>
  <c r="BR843" i="1" s="1"/>
  <c r="BR865" i="1" a="1"/>
  <c r="BR865" i="1" s="1"/>
  <c r="BR873" i="1" a="1"/>
  <c r="BR873" i="1" s="1"/>
  <c r="BR893" i="1" a="1"/>
  <c r="BR893" i="1" s="1"/>
  <c r="BR895" i="1" a="1"/>
  <c r="BR895" i="1" s="1"/>
  <c r="BR899" i="1" a="1"/>
  <c r="BR899" i="1" s="1"/>
  <c r="BR1006" i="1" a="1"/>
  <c r="BR1006" i="1" s="1"/>
  <c r="BR1003" i="1" a="1"/>
  <c r="BR1003" i="1" s="1"/>
  <c r="BR1001" i="1" a="1"/>
  <c r="BR1001" i="1" s="1"/>
  <c r="BR999" i="1" a="1"/>
  <c r="BR999" i="1" s="1"/>
  <c r="BR998" i="1" a="1"/>
  <c r="BR998" i="1" s="1"/>
  <c r="BR997" i="1" a="1"/>
  <c r="BR997" i="1" s="1"/>
  <c r="BR995" i="1" a="1"/>
  <c r="BR995" i="1" s="1"/>
  <c r="BR991" i="1" a="1"/>
  <c r="BR991" i="1" s="1"/>
  <c r="BR989" i="1" a="1"/>
  <c r="BR989" i="1" s="1"/>
  <c r="BR987" i="1" a="1"/>
  <c r="BR987" i="1" s="1"/>
  <c r="BR985" i="1" a="1"/>
  <c r="BR985" i="1" s="1"/>
  <c r="BR982" i="1" a="1"/>
  <c r="BR982" i="1" s="1"/>
  <c r="BR980" i="1" a="1"/>
  <c r="BR980" i="1" s="1"/>
  <c r="BR971" i="1" a="1"/>
  <c r="BR971" i="1" s="1"/>
  <c r="BR969" i="1" a="1"/>
  <c r="BR969" i="1" s="1"/>
  <c r="BR967" i="1" a="1"/>
  <c r="BR967" i="1" s="1"/>
  <c r="BR957" i="1" a="1"/>
  <c r="BR957" i="1" s="1"/>
  <c r="BR955" i="1" a="1"/>
  <c r="BR955" i="1" s="1"/>
  <c r="BR933" i="1" a="1"/>
  <c r="BR933" i="1" s="1"/>
  <c r="BR932" i="1" a="1"/>
  <c r="BR932" i="1" s="1"/>
  <c r="BR929" i="1" a="1"/>
  <c r="BR929" i="1" s="1"/>
  <c r="BR926" i="1" a="1"/>
  <c r="BR926" i="1" s="1"/>
  <c r="BR925" i="1" a="1"/>
  <c r="BR925" i="1" s="1"/>
  <c r="BR923" i="1" a="1"/>
  <c r="BR923" i="1" s="1"/>
  <c r="BR921" i="1" a="1"/>
  <c r="BR921" i="1" s="1"/>
  <c r="BR917" i="1" a="1"/>
  <c r="BR917" i="1" s="1"/>
  <c r="BR915" i="1" a="1"/>
  <c r="BR915" i="1" s="1"/>
  <c r="BR914" i="1" a="1"/>
  <c r="BR914" i="1" s="1"/>
  <c r="BR903" i="1" a="1"/>
  <c r="BR903" i="1" s="1"/>
  <c r="BR898" i="1" a="1"/>
  <c r="BR898" i="1" s="1"/>
  <c r="BR897" i="1" a="1"/>
  <c r="BR897" i="1" s="1"/>
  <c r="BR887" i="1" a="1"/>
  <c r="BR887" i="1" s="1"/>
  <c r="BR879" i="1" a="1"/>
  <c r="BR879" i="1" s="1"/>
  <c r="BR876" i="1" a="1"/>
  <c r="BR876" i="1" s="1"/>
  <c r="BR874" i="1" a="1"/>
  <c r="BR874" i="1" s="1"/>
  <c r="BR872" i="1" a="1"/>
  <c r="BR872" i="1" s="1"/>
  <c r="BR848" i="1" a="1"/>
  <c r="BR848" i="1" s="1"/>
  <c r="BR846" i="1" a="1"/>
  <c r="BR846" i="1" s="1"/>
  <c r="BR844" i="1" a="1"/>
  <c r="BR844" i="1" s="1"/>
  <c r="BR842" i="1" a="1"/>
  <c r="BR842" i="1" s="1"/>
  <c r="BR994" i="1" a="1"/>
  <c r="BR994" i="1" s="1"/>
  <c r="BR984" i="1" a="1"/>
  <c r="BR984" i="1" s="1"/>
  <c r="BR979" i="1" a="1"/>
  <c r="BR979" i="1" s="1"/>
  <c r="BR977" i="1" a="1"/>
  <c r="BR977" i="1" s="1"/>
  <c r="BR975" i="1" a="1"/>
  <c r="BR975" i="1" s="1"/>
  <c r="BR973" i="1" a="1"/>
  <c r="BR973" i="1" s="1"/>
  <c r="BR966" i="1" a="1"/>
  <c r="BR966" i="1" s="1"/>
  <c r="BR963" i="1" a="1"/>
  <c r="BR963" i="1" s="1"/>
  <c r="BR960" i="1" a="1"/>
  <c r="BR960" i="1" s="1"/>
  <c r="BR950" i="1" a="1"/>
  <c r="BR950" i="1" s="1"/>
  <c r="BR948" i="1" a="1"/>
  <c r="BR948" i="1" s="1"/>
  <c r="BR946" i="1" a="1"/>
  <c r="BR946" i="1" s="1"/>
  <c r="BR944" i="1" a="1"/>
  <c r="BR944" i="1" s="1"/>
  <c r="BR942" i="1" a="1"/>
  <c r="BR942" i="1" s="1"/>
  <c r="BR940" i="1" a="1"/>
  <c r="BR940" i="1" s="1"/>
  <c r="BR939" i="1" a="1"/>
  <c r="BR939" i="1" s="1"/>
  <c r="BR938" i="1" a="1"/>
  <c r="BR938" i="1" s="1"/>
  <c r="BR937" i="1" a="1"/>
  <c r="BR937" i="1" s="1"/>
  <c r="BR920" i="1" a="1"/>
  <c r="BR920" i="1" s="1"/>
  <c r="BR910" i="1" a="1"/>
  <c r="BR910" i="1" s="1"/>
  <c r="BR909" i="1" a="1"/>
  <c r="BR909" i="1" s="1"/>
  <c r="BR908" i="1" a="1"/>
  <c r="BR908" i="1" s="1"/>
  <c r="BR906" i="1" a="1"/>
  <c r="BR906" i="1" s="1"/>
  <c r="BR905" i="1" a="1"/>
  <c r="BR905" i="1" s="1"/>
  <c r="BR896" i="1" a="1"/>
  <c r="BR896" i="1" s="1"/>
  <c r="BR891" i="1" a="1"/>
  <c r="BR891" i="1" s="1"/>
  <c r="BR882" i="1" a="1"/>
  <c r="BR882" i="1" s="1"/>
  <c r="BR1005" i="1" a="1"/>
  <c r="BR1005" i="1" s="1"/>
  <c r="BR1004" i="1" a="1"/>
  <c r="BR1004" i="1" s="1"/>
  <c r="BR1002" i="1" a="1"/>
  <c r="BR1002" i="1" s="1"/>
  <c r="BR1000" i="1" a="1"/>
  <c r="BR1000" i="1" s="1"/>
  <c r="BR996" i="1" a="1"/>
  <c r="BR996" i="1" s="1"/>
  <c r="BR990" i="1" a="1"/>
  <c r="BR990" i="1" s="1"/>
  <c r="BR988" i="1" a="1"/>
  <c r="BR988" i="1" s="1"/>
  <c r="BR986" i="1" a="1"/>
  <c r="BR986" i="1" s="1"/>
  <c r="BR981" i="1" a="1"/>
  <c r="BR981" i="1" s="1"/>
  <c r="BR972" i="1" a="1"/>
  <c r="BR972" i="1" s="1"/>
  <c r="BR970" i="1" a="1"/>
  <c r="BR970" i="1" s="1"/>
  <c r="BR968" i="1" a="1"/>
  <c r="BR968" i="1" s="1"/>
  <c r="BR959" i="1" a="1"/>
  <c r="BR959" i="1" s="1"/>
  <c r="BR958" i="1" a="1"/>
  <c r="BR958" i="1" s="1"/>
  <c r="BR956" i="1" a="1"/>
  <c r="BR956" i="1" s="1"/>
  <c r="BR954" i="1" a="1"/>
  <c r="BR954" i="1" s="1"/>
  <c r="BR934" i="1" a="1"/>
  <c r="BR934" i="1" s="1"/>
  <c r="BR930" i="1" a="1"/>
  <c r="BR930" i="1" s="1"/>
  <c r="BR927" i="1" a="1"/>
  <c r="BR927" i="1" s="1"/>
  <c r="BR924" i="1" a="1"/>
  <c r="BR924" i="1" s="1"/>
  <c r="BR922" i="1" a="1"/>
  <c r="BR922" i="1" s="1"/>
  <c r="BR913" i="1" a="1"/>
  <c r="BR913" i="1" s="1"/>
  <c r="BR912" i="1" a="1"/>
  <c r="BR912" i="1" s="1"/>
  <c r="BR902" i="1" a="1"/>
  <c r="BR902" i="1" s="1"/>
  <c r="BR901" i="1" a="1"/>
  <c r="BR901" i="1" s="1"/>
  <c r="BR900" i="1" a="1"/>
  <c r="BR900" i="1" s="1"/>
  <c r="BR825" i="1" a="1"/>
  <c r="BR825" i="1" s="1"/>
  <c r="BR826" i="1" a="1"/>
  <c r="BR826" i="1" s="1"/>
  <c r="BR827" i="1" a="1"/>
  <c r="BR827" i="1" s="1"/>
  <c r="BR829" i="1" a="1"/>
  <c r="BR829" i="1" s="1"/>
  <c r="BR832" i="1" a="1"/>
  <c r="BR832" i="1" s="1"/>
  <c r="BR836" i="1" a="1"/>
  <c r="BR836" i="1" s="1"/>
  <c r="BR840" i="1" a="1"/>
  <c r="BR840" i="1" s="1"/>
  <c r="BR850" i="1" a="1"/>
  <c r="BR850" i="1" s="1"/>
  <c r="BR851" i="1" a="1"/>
  <c r="BR851" i="1" s="1"/>
  <c r="BR856" i="1" a="1"/>
  <c r="BR856" i="1" s="1"/>
  <c r="BR863" i="1" a="1"/>
  <c r="BR863" i="1" s="1"/>
  <c r="BR868" i="1" a="1"/>
  <c r="BR868" i="1" s="1"/>
  <c r="BR869" i="1" a="1"/>
  <c r="BR869" i="1" s="1"/>
  <c r="BR888" i="1" a="1"/>
  <c r="BR888" i="1" s="1"/>
  <c r="BR945" i="1" a="1"/>
  <c r="BR945" i="1" s="1"/>
  <c r="BR769" i="1" a="1"/>
  <c r="BR769" i="1" s="1"/>
  <c r="BR771" i="1" a="1"/>
  <c r="BR771" i="1" s="1"/>
  <c r="BR773" i="1" a="1"/>
  <c r="BR773" i="1" s="1"/>
  <c r="BR775" i="1" a="1"/>
  <c r="BR775" i="1" s="1"/>
  <c r="BR796" i="1" a="1"/>
  <c r="BR796" i="1" s="1"/>
  <c r="BR797" i="1" a="1"/>
  <c r="BR797" i="1" s="1"/>
  <c r="BR816" i="1" a="1"/>
  <c r="BR816" i="1" s="1"/>
  <c r="BR817" i="1" a="1"/>
  <c r="BR817" i="1" s="1"/>
  <c r="BR830" i="1" a="1"/>
  <c r="BR830" i="1" s="1"/>
  <c r="BR834" i="1" a="1"/>
  <c r="BR834" i="1" s="1"/>
  <c r="BR837" i="1" a="1"/>
  <c r="BR837" i="1" s="1"/>
  <c r="BR847" i="1" a="1"/>
  <c r="BR847" i="1" s="1"/>
  <c r="BR854" i="1" a="1"/>
  <c r="BR854" i="1" s="1"/>
  <c r="BR857" i="1" a="1"/>
  <c r="BR857" i="1" s="1"/>
  <c r="BR858" i="1" a="1"/>
  <c r="BR858" i="1" s="1"/>
  <c r="BR859" i="1" a="1"/>
  <c r="BR859" i="1" s="1"/>
  <c r="BR866" i="1" a="1"/>
  <c r="BR866" i="1" s="1"/>
  <c r="BR870" i="1" a="1"/>
  <c r="BR870" i="1" s="1"/>
  <c r="BR877" i="1" a="1"/>
  <c r="BR877" i="1" s="1"/>
  <c r="BR878" i="1" a="1"/>
  <c r="BR878" i="1" s="1"/>
  <c r="BR884" i="1" a="1"/>
  <c r="BR884" i="1" s="1"/>
  <c r="BR889" i="1" a="1"/>
  <c r="BR889" i="1" s="1"/>
  <c r="BR890" i="1" a="1"/>
  <c r="BR890" i="1" s="1"/>
  <c r="BR947" i="1" a="1"/>
  <c r="BR947" i="1" s="1"/>
  <c r="BR961" i="1" a="1"/>
  <c r="BR961" i="1" s="1"/>
  <c r="BR974" i="1" a="1"/>
  <c r="BR974" i="1" s="1"/>
  <c r="BR983" i="1" a="1"/>
  <c r="BR983" i="1" s="1"/>
  <c r="BR993" i="1" a="1"/>
  <c r="BR993" i="1" s="1"/>
  <c r="BR828" i="1" a="1"/>
  <c r="BR828" i="1" s="1"/>
  <c r="BR833" i="1" a="1"/>
  <c r="BR833" i="1" s="1"/>
  <c r="BR845" i="1" a="1"/>
  <c r="BR845" i="1" s="1"/>
  <c r="BR852" i="1" a="1"/>
  <c r="BR852" i="1" s="1"/>
  <c r="BR855" i="1" a="1"/>
  <c r="BR855" i="1" s="1"/>
  <c r="BR864" i="1" a="1"/>
  <c r="BR864" i="1" s="1"/>
  <c r="BR867" i="1" a="1"/>
  <c r="BR867" i="1" s="1"/>
  <c r="BR875" i="1" a="1"/>
  <c r="BR875" i="1" s="1"/>
  <c r="BR885" i="1" a="1"/>
  <c r="BR885" i="1" s="1"/>
  <c r="BR886" i="1" a="1"/>
  <c r="BR886" i="1" s="1"/>
  <c r="BR904" i="1" a="1"/>
  <c r="BR904" i="1" s="1"/>
  <c r="BR919" i="1" a="1"/>
  <c r="BR919" i="1" s="1"/>
  <c r="BR941" i="1" a="1"/>
  <c r="BR941" i="1" s="1"/>
  <c r="BR949" i="1" a="1"/>
  <c r="BR949" i="1" s="1"/>
  <c r="BR964" i="1" a="1"/>
  <c r="BR964" i="1" s="1"/>
  <c r="BR965" i="1" a="1"/>
  <c r="BR965" i="1" s="1"/>
  <c r="BR976" i="1" a="1"/>
  <c r="BR976" i="1" s="1"/>
  <c r="BV443" i="1"/>
  <c r="BV300" i="1"/>
  <c r="BV743" i="1"/>
  <c r="BV841" i="1"/>
  <c r="BV394" i="1"/>
  <c r="BV355" i="1"/>
  <c r="BV525" i="1"/>
  <c r="BV697" i="1"/>
  <c r="BN76" i="1"/>
  <c r="BO76" i="1" a="1"/>
  <c r="BO76" i="1" s="1"/>
  <c r="BV490" i="1"/>
  <c r="BN639" i="1"/>
  <c r="BO639" i="1" s="1" a="1"/>
  <c r="BO639" i="1" s="1"/>
  <c r="BN359" i="1"/>
  <c r="BO359" i="1" s="1" a="1"/>
  <c r="BO359" i="1" s="1"/>
  <c r="BN818" i="1"/>
  <c r="BO818" i="1" s="1" a="1"/>
  <c r="BO818" i="1" s="1"/>
  <c r="BN468" i="1"/>
  <c r="BO468" i="1" s="1" a="1"/>
  <c r="BO468" i="1" s="1"/>
  <c r="BN625" i="1"/>
  <c r="BO625" i="1" s="1" a="1"/>
  <c r="BO625" i="1" s="1"/>
  <c r="BN334" i="1"/>
  <c r="BO334" i="1" a="1"/>
  <c r="BO334" i="1" s="1"/>
  <c r="BN629" i="1"/>
  <c r="BO629" i="1" s="1" a="1"/>
  <c r="BO629" i="1" s="1"/>
  <c r="BN347" i="1"/>
  <c r="BO347" i="1" a="1"/>
  <c r="BO347" i="1" s="1"/>
  <c r="BN855" i="1"/>
  <c r="BO855" i="1" s="1" a="1"/>
  <c r="BO855" i="1" s="1"/>
  <c r="BN857" i="1"/>
  <c r="BO857" i="1" a="1"/>
  <c r="BO857" i="1" s="1"/>
  <c r="BN967" i="1"/>
  <c r="BO967" i="1" s="1" a="1"/>
  <c r="BO967" i="1" s="1"/>
  <c r="BN865" i="1"/>
  <c r="BO865" i="1" a="1"/>
  <c r="BO865" i="1" s="1"/>
  <c r="BN744" i="1"/>
  <c r="BO744" i="1" s="1" a="1"/>
  <c r="BO744" i="1" s="1"/>
  <c r="BN704" i="1"/>
  <c r="BO704" i="1" a="1"/>
  <c r="BO704" i="1" s="1"/>
  <c r="BN539" i="1"/>
  <c r="BO539" i="1" s="1" a="1"/>
  <c r="BO539" i="1" s="1"/>
  <c r="BN771" i="1"/>
  <c r="BO771" i="1" s="1" a="1"/>
  <c r="BO771" i="1" s="1"/>
  <c r="BN852" i="1"/>
  <c r="BO852" i="1" s="1" a="1"/>
  <c r="BO852" i="1" s="1"/>
  <c r="BN850" i="1"/>
  <c r="BO850" i="1" s="1" a="1"/>
  <c r="BO850" i="1" s="1"/>
  <c r="BN618" i="1"/>
  <c r="BO618" i="1" a="1"/>
  <c r="BO618" i="1" s="1"/>
  <c r="BN804" i="1"/>
  <c r="BO804" i="1" s="1" a="1"/>
  <c r="BO804" i="1" s="1"/>
  <c r="BN874" i="1"/>
  <c r="BO874" i="1" a="1"/>
  <c r="BO874" i="1" s="1"/>
  <c r="BN847" i="1"/>
  <c r="BO847" i="1" s="1" a="1"/>
  <c r="BO847" i="1" s="1"/>
  <c r="BN896" i="1"/>
  <c r="BO896" i="1" a="1"/>
  <c r="BO896" i="1" s="1"/>
  <c r="BN999" i="1"/>
  <c r="BO999" i="1" s="1" a="1"/>
  <c r="BO999" i="1" s="1"/>
  <c r="BN938" i="1"/>
  <c r="BO938" i="1" a="1"/>
  <c r="BO938" i="1" s="1"/>
  <c r="BN944" i="1"/>
  <c r="BO944" i="1" s="1" a="1"/>
  <c r="BO944" i="1" s="1"/>
  <c r="BN972" i="1"/>
  <c r="BO972" i="1" a="1"/>
  <c r="BO972" i="1" s="1"/>
  <c r="BN947" i="1"/>
  <c r="BO947" i="1" s="1" a="1"/>
  <c r="BO947" i="1" s="1"/>
  <c r="BN885" i="1"/>
  <c r="BO885" i="1" s="1" a="1"/>
  <c r="BO885" i="1" s="1"/>
  <c r="BN483" i="1"/>
  <c r="BO483" i="1" s="1" a="1"/>
  <c r="BO483" i="1" s="1"/>
  <c r="BN603" i="1"/>
  <c r="BO603" i="1" s="1" a="1"/>
  <c r="BO603" i="1" s="1"/>
  <c r="BN806" i="1"/>
  <c r="BO806" i="1" s="1" a="1"/>
  <c r="BO806" i="1" s="1"/>
  <c r="BN920" i="1"/>
  <c r="BO920" i="1" a="1"/>
  <c r="BO920" i="1" s="1"/>
  <c r="BN942" i="1"/>
  <c r="BO942" i="1" s="1" a="1"/>
  <c r="BO942" i="1" s="1"/>
  <c r="BN614" i="1"/>
  <c r="BO614" i="1" a="1"/>
  <c r="BO614" i="1" s="1"/>
  <c r="BN868" i="1"/>
  <c r="BO868" i="1" s="1" a="1"/>
  <c r="BO868" i="1" s="1"/>
  <c r="BN567" i="1"/>
  <c r="BO567" i="1" a="1"/>
  <c r="BO567" i="1" s="1"/>
  <c r="BN1005" i="1"/>
  <c r="BO1005" i="1" s="1" a="1"/>
  <c r="BO1005" i="1" s="1"/>
  <c r="BN986" i="1"/>
  <c r="BO986" i="1" a="1"/>
  <c r="BO986" i="1" s="1"/>
  <c r="BN971" i="1"/>
  <c r="BO971" i="1" s="1" a="1"/>
  <c r="BO971" i="1" s="1"/>
  <c r="BN945" i="1"/>
  <c r="BO945" i="1" s="1" a="1"/>
  <c r="BO945" i="1" s="1"/>
  <c r="BN998" i="1"/>
  <c r="BO998" i="1" s="1" a="1"/>
  <c r="BO998" i="1" s="1"/>
  <c r="BN937" i="1"/>
  <c r="BO937" i="1" s="1" a="1"/>
  <c r="BO937" i="1" s="1"/>
  <c r="BN941" i="1"/>
  <c r="BO941" i="1" s="1" a="1"/>
  <c r="BO941" i="1" s="1"/>
  <c r="BN401" i="1"/>
  <c r="BO401" i="1" s="1" a="1"/>
  <c r="BO401" i="1" s="1"/>
  <c r="BN969" i="1"/>
  <c r="BO969" i="1" s="1" a="1"/>
  <c r="BO969" i="1" s="1"/>
  <c r="BV432" i="1"/>
  <c r="BN975" i="1"/>
  <c r="BO975" i="1" a="1"/>
  <c r="BO975" i="1" s="1"/>
  <c r="BN950" i="1"/>
  <c r="BO950" i="1" s="1" a="1"/>
  <c r="BO950" i="1" s="1"/>
  <c r="BN659" i="1"/>
  <c r="BO659" i="1" a="1"/>
  <c r="BO659" i="1" s="1"/>
  <c r="Z505" i="1"/>
  <c r="BW505" i="1" s="1"/>
  <c r="BW118" i="1"/>
  <c r="BW275" i="1"/>
  <c r="BN275" i="1"/>
  <c r="BO275" i="1" a="1"/>
  <c r="BO275" i="1" s="1"/>
  <c r="BX348" i="1"/>
  <c r="BN348" i="1"/>
  <c r="BO348" i="1" s="1" a="1"/>
  <c r="BO348" i="1" s="1"/>
  <c r="BY556" i="1"/>
  <c r="BN233" i="1"/>
  <c r="BO233" i="1" s="1" a="1"/>
  <c r="BO233" i="1" s="1"/>
  <c r="BW396" i="1"/>
  <c r="BV487" i="1"/>
  <c r="BN287" i="1"/>
  <c r="BO287" i="1" s="1" a="1"/>
  <c r="BO287" i="1" s="1"/>
  <c r="BN966" i="1"/>
  <c r="BO966" i="1" a="1"/>
  <c r="BO966" i="1" s="1"/>
  <c r="BN435" i="1"/>
  <c r="BO435" i="1" s="1" a="1"/>
  <c r="BO435" i="1" s="1"/>
  <c r="BN810" i="1"/>
  <c r="BO810" i="1" s="1" a="1"/>
  <c r="BO810" i="1" s="1"/>
  <c r="BN666" i="1"/>
  <c r="BO666" i="1" s="1" a="1"/>
  <c r="BO666" i="1" s="1"/>
  <c r="BN859" i="1"/>
  <c r="BO859" i="1" s="1" a="1"/>
  <c r="BO859" i="1" s="1"/>
  <c r="BN638" i="1"/>
  <c r="BO638" i="1" s="1" a="1"/>
  <c r="BO638" i="1" s="1"/>
  <c r="BN881" i="1"/>
  <c r="BO881" i="1" s="1" a="1"/>
  <c r="BO881" i="1" s="1"/>
  <c r="BN717" i="1"/>
  <c r="BO717" i="1" s="1" a="1"/>
  <c r="BO717" i="1" s="1"/>
  <c r="BX341" i="1"/>
  <c r="BV782" i="1"/>
  <c r="BV601" i="1"/>
  <c r="BN286" i="1"/>
  <c r="BO286" i="1" a="1"/>
  <c r="BO286" i="1" s="1"/>
  <c r="BX381" i="1"/>
  <c r="BN796" i="1"/>
  <c r="BO796" i="1" s="1" a="1"/>
  <c r="BO796" i="1" s="1"/>
  <c r="BN611" i="1"/>
  <c r="BO611" i="1" a="1"/>
  <c r="BO611" i="1" s="1"/>
  <c r="BN209" i="1"/>
  <c r="BO209" i="1" s="1" a="1"/>
  <c r="BO209" i="1" s="1"/>
  <c r="BN562" i="1"/>
  <c r="BO562" i="1" a="1"/>
  <c r="BO562" i="1" s="1"/>
  <c r="BN842" i="1"/>
  <c r="BO842" i="1" s="1" a="1"/>
  <c r="BO842" i="1" s="1"/>
  <c r="BN533" i="1"/>
  <c r="BO533" i="1" a="1"/>
  <c r="BO533" i="1" s="1"/>
  <c r="BN175" i="1"/>
  <c r="BO175" i="1" s="1" a="1"/>
  <c r="BO175" i="1" s="1"/>
  <c r="BN790" i="1"/>
  <c r="BO790" i="1" s="1" a="1"/>
  <c r="BO790" i="1" s="1"/>
  <c r="BN711" i="1"/>
  <c r="BO711" i="1" s="1" a="1"/>
  <c r="BO711" i="1" s="1"/>
  <c r="BN214" i="1"/>
  <c r="BO214" i="1" s="1" a="1"/>
  <c r="BO214" i="1" s="1"/>
  <c r="BN78" i="1"/>
  <c r="BO78" i="1" s="1" a="1"/>
  <c r="BO78" i="1" s="1"/>
  <c r="BN732" i="1"/>
  <c r="BO732" i="1" s="1" a="1"/>
  <c r="BO732" i="1" s="1"/>
  <c r="BN437" i="1"/>
  <c r="BO437" i="1" a="1"/>
  <c r="BO437" i="1" s="1"/>
  <c r="BN777" i="1"/>
  <c r="BO777" i="1" s="1" a="1"/>
  <c r="BO777" i="1" s="1"/>
  <c r="BN878" i="1"/>
  <c r="BO878" i="1" s="1" a="1"/>
  <c r="BO878" i="1" s="1"/>
  <c r="BW907" i="1"/>
  <c r="BV894" i="1"/>
  <c r="BN894" i="1"/>
  <c r="BO894" i="1" s="1" a="1"/>
  <c r="BO894" i="1" s="1"/>
  <c r="BW319" i="1"/>
  <c r="BN319" i="1"/>
  <c r="BO319" i="1" a="1"/>
  <c r="BO319" i="1" s="1"/>
  <c r="BW388" i="1"/>
  <c r="BN388" i="1"/>
  <c r="BO388" i="1" s="1" a="1"/>
  <c r="BO388" i="1" s="1"/>
  <c r="BY758" i="1"/>
  <c r="BW309" i="1"/>
  <c r="BW324" i="1"/>
  <c r="BN324" i="1"/>
  <c r="BO324" i="1" s="1" a="1"/>
  <c r="BO324" i="1" s="1"/>
  <c r="BV380" i="1"/>
  <c r="BN380" i="1"/>
  <c r="BO380" i="1" s="1" a="1"/>
  <c r="BO380" i="1" s="1"/>
  <c r="BN179" i="1"/>
  <c r="BO179" i="1" s="1" a="1"/>
  <c r="BO179" i="1" s="1"/>
  <c r="BW326" i="1"/>
  <c r="BN326" i="1"/>
  <c r="BO326" i="1" a="1"/>
  <c r="BO326" i="1" s="1"/>
  <c r="BW918" i="1"/>
  <c r="BN918" i="1"/>
  <c r="BO918" i="1" s="1" a="1"/>
  <c r="BO918" i="1" s="1"/>
  <c r="BN871" i="1"/>
  <c r="BO871" i="1" s="1" a="1"/>
  <c r="BO871" i="1" s="1"/>
  <c r="BV208" i="1"/>
  <c r="BN208" i="1"/>
  <c r="BO208" i="1" s="1" a="1"/>
  <c r="BO208" i="1" s="1"/>
  <c r="BN244" i="1"/>
  <c r="BO244" i="1" s="1" a="1"/>
  <c r="BO244" i="1" s="1"/>
  <c r="BV387" i="1"/>
  <c r="BN387" i="1"/>
  <c r="BO387" i="1" s="1" a="1"/>
  <c r="BO387" i="1" s="1"/>
  <c r="BV314" i="1"/>
  <c r="BN314" i="1"/>
  <c r="BO314" i="1" s="1" a="1"/>
  <c r="BO314" i="1" s="1"/>
  <c r="BN328" i="1"/>
  <c r="BO328" i="1" s="1" a="1"/>
  <c r="BO328" i="1" s="1"/>
  <c r="BN382" i="1"/>
  <c r="BO382" i="1" s="1" a="1"/>
  <c r="BO382" i="1" s="1"/>
  <c r="BV928" i="1"/>
  <c r="BN928" i="1"/>
  <c r="BO928" i="1" a="1"/>
  <c r="BO928" i="1" s="1"/>
  <c r="BV94" i="1"/>
  <c r="BV676" i="1"/>
  <c r="BN676" i="1"/>
  <c r="BO676" i="1" a="1"/>
  <c r="BO676" i="1" s="1"/>
  <c r="BV534" i="1"/>
  <c r="BN534" i="1"/>
  <c r="BO534" i="1" s="1" a="1"/>
  <c r="BO534" i="1" s="1"/>
  <c r="BV295" i="1"/>
  <c r="BN295" i="1"/>
  <c r="BO295" i="1" s="1" a="1"/>
  <c r="BO295" i="1" s="1"/>
  <c r="BV291" i="1"/>
  <c r="BN291" i="1"/>
  <c r="BO291" i="1" a="1"/>
  <c r="BO291" i="1" s="1"/>
  <c r="BV31" i="1"/>
  <c r="BV219" i="1"/>
  <c r="BN219" i="1"/>
  <c r="BO219" i="1" a="1"/>
  <c r="BO219" i="1" s="1"/>
  <c r="BV636" i="1"/>
  <c r="BN636" i="1"/>
  <c r="BO636" i="1" s="1" a="1"/>
  <c r="BO636" i="1" s="1"/>
  <c r="AP887" i="1"/>
  <c r="R879" i="1"/>
  <c r="F726" i="1"/>
  <c r="O726" i="1" s="1"/>
  <c r="AD147" i="1"/>
  <c r="F924" i="1"/>
  <c r="O924" i="1" s="1"/>
  <c r="R582" i="1"/>
  <c r="AP583" i="1"/>
  <c r="AP575" i="1"/>
  <c r="R579" i="1"/>
  <c r="R593" i="1"/>
  <c r="R576" i="1"/>
  <c r="F578" i="1"/>
  <c r="O578" i="1" s="1"/>
  <c r="F588" i="1"/>
  <c r="O588" i="1" s="1"/>
  <c r="BB592" i="1"/>
  <c r="AD586" i="1"/>
  <c r="BB853" i="1"/>
  <c r="R941" i="1"/>
  <c r="AD1004" i="1"/>
  <c r="BW356" i="1"/>
  <c r="BN356" i="1"/>
  <c r="BO356" i="1" s="1" a="1"/>
  <c r="BO356" i="1" s="1"/>
  <c r="BX369" i="1"/>
  <c r="BN369" i="1"/>
  <c r="BO369" i="1" s="1" a="1"/>
  <c r="BO369" i="1" s="1"/>
  <c r="BX385" i="1"/>
  <c r="BN385" i="1"/>
  <c r="BO385" i="1" a="1"/>
  <c r="BO385" i="1" s="1"/>
  <c r="BX384" i="1"/>
  <c r="BN384" i="1"/>
  <c r="BO384" i="1" s="1" a="1"/>
  <c r="BO384" i="1" s="1"/>
  <c r="BN375" i="1"/>
  <c r="BO375" i="1" s="1" a="1"/>
  <c r="BO375" i="1" s="1"/>
  <c r="BN827" i="1"/>
  <c r="BO827" i="1" s="1" a="1"/>
  <c r="BO827" i="1" s="1"/>
  <c r="BN807" i="1"/>
  <c r="BO807" i="1" s="1" a="1"/>
  <c r="BO807" i="1" s="1"/>
  <c r="BN173" i="1"/>
  <c r="BO173" i="1" a="1"/>
  <c r="BO173" i="1" s="1"/>
  <c r="BN189" i="1"/>
  <c r="BO189" i="1" s="1" a="1"/>
  <c r="BO189" i="1" s="1"/>
  <c r="BN368" i="1"/>
  <c r="BO368" i="1" a="1"/>
  <c r="BO368" i="1" s="1"/>
  <c r="BN338" i="1"/>
  <c r="BO338" i="1" a="1"/>
  <c r="BO338" i="1" s="1"/>
  <c r="BN279" i="1"/>
  <c r="BO279" i="1" a="1"/>
  <c r="BO279" i="1" s="1"/>
  <c r="BN313" i="1"/>
  <c r="BO313" i="1" a="1"/>
  <c r="BO313" i="1" s="1"/>
  <c r="BN223" i="1"/>
  <c r="BO223" i="1" a="1"/>
  <c r="BO223" i="1" s="1"/>
  <c r="BN258" i="1"/>
  <c r="BO258" i="1" s="1" a="1"/>
  <c r="BO258" i="1" s="1"/>
  <c r="BN177" i="1"/>
  <c r="BO177" i="1" s="1" a="1"/>
  <c r="BO177" i="1" s="1"/>
  <c r="BN482" i="1"/>
  <c r="BO482" i="1" a="1"/>
  <c r="BO482" i="1" s="1"/>
  <c r="BN415" i="1"/>
  <c r="BO415" i="1" a="1"/>
  <c r="BO415" i="1" s="1"/>
  <c r="BN554" i="1"/>
  <c r="BO554" i="1" a="1"/>
  <c r="BO554" i="1" s="1"/>
  <c r="BN343" i="1"/>
  <c r="BO343" i="1" a="1"/>
  <c r="BO343" i="1" s="1"/>
  <c r="BN124" i="1"/>
  <c r="BO124" i="1" a="1"/>
  <c r="BO124" i="1" s="1"/>
  <c r="BN143" i="1"/>
  <c r="BO143" i="1" a="1"/>
  <c r="BO143" i="1" s="1"/>
  <c r="BN60" i="1"/>
  <c r="BO60" i="1" s="1" a="1"/>
  <c r="BO60" i="1" s="1"/>
  <c r="BN274" i="1"/>
  <c r="BO274" i="1" s="1" a="1"/>
  <c r="BO274" i="1" s="1"/>
  <c r="BN430" i="1"/>
  <c r="BO430" i="1" s="1" a="1"/>
  <c r="BO430" i="1" s="1"/>
  <c r="BZ143" i="1"/>
  <c r="BN598" i="1"/>
  <c r="BO598" i="1" s="1" a="1"/>
  <c r="BO598" i="1" s="1"/>
  <c r="BN834" i="1"/>
  <c r="BO834" i="1" s="1" a="1"/>
  <c r="BO834" i="1" s="1"/>
  <c r="BN431" i="1"/>
  <c r="BO431" i="1" s="1" a="1"/>
  <c r="BO431" i="1" s="1"/>
  <c r="BN227" i="1"/>
  <c r="BO227" i="1" s="1" a="1"/>
  <c r="BO227" i="1" s="1"/>
  <c r="BN608" i="1"/>
  <c r="BO608" i="1" s="1" a="1"/>
  <c r="BO608" i="1" s="1"/>
  <c r="BN525" i="1"/>
  <c r="BO525" i="1" s="1" a="1"/>
  <c r="BO525" i="1" s="1"/>
  <c r="BZ375" i="1"/>
  <c r="BN325" i="1"/>
  <c r="BO325" i="1" s="1" a="1"/>
  <c r="BO325" i="1" s="1"/>
  <c r="BN845" i="1"/>
  <c r="BO845" i="1" s="1" a="1"/>
  <c r="BO845" i="1" s="1"/>
  <c r="BN853" i="1"/>
  <c r="BO853" i="1" s="1" a="1"/>
  <c r="BO853" i="1" s="1"/>
  <c r="BN832" i="1"/>
  <c r="BO832" i="1" s="1" a="1"/>
  <c r="BO832" i="1" s="1"/>
  <c r="BN485" i="1"/>
  <c r="BO485" i="1" s="1" a="1"/>
  <c r="BO485" i="1" s="1"/>
  <c r="BN86" i="1"/>
  <c r="BO86" i="1" s="1" a="1"/>
  <c r="BO86" i="1" s="1"/>
  <c r="BN235" i="1"/>
  <c r="BO235" i="1" s="1" a="1"/>
  <c r="BO235" i="1" s="1"/>
  <c r="BN714" i="1"/>
  <c r="BO714" i="1" s="1" a="1"/>
  <c r="BO714" i="1" s="1"/>
  <c r="BN988" i="1"/>
  <c r="BO988" i="1" s="1" a="1"/>
  <c r="BO988" i="1" s="1"/>
  <c r="BN893" i="1"/>
  <c r="BO893" i="1" s="1" a="1"/>
  <c r="BO893" i="1" s="1"/>
  <c r="BN634" i="1"/>
  <c r="BO634" i="1" s="1" a="1"/>
  <c r="BO634" i="1" s="1"/>
  <c r="BN667" i="1"/>
  <c r="BO667" i="1" s="1" a="1"/>
  <c r="BO667" i="1" s="1"/>
  <c r="BN740" i="1"/>
  <c r="BO740" i="1" a="1"/>
  <c r="BO740" i="1" s="1"/>
  <c r="BN159" i="1"/>
  <c r="BO159" i="1" a="1"/>
  <c r="BO159" i="1" s="1"/>
  <c r="BZ807" i="1"/>
  <c r="BN748" i="1"/>
  <c r="BO748" i="1" s="1" a="1"/>
  <c r="BO748" i="1" s="1"/>
  <c r="BN395" i="1"/>
  <c r="BO395" i="1" s="1" a="1"/>
  <c r="BO395" i="1" s="1"/>
  <c r="BN1001" i="1"/>
  <c r="BO1001" i="1" s="1" a="1"/>
  <c r="BO1001" i="1" s="1"/>
  <c r="BN1004" i="1"/>
  <c r="BO1004" i="1" s="1" a="1"/>
  <c r="BO1004" i="1" s="1"/>
  <c r="BN890" i="1"/>
  <c r="BO890" i="1" s="1" a="1"/>
  <c r="BO890" i="1" s="1"/>
  <c r="BN775" i="1"/>
  <c r="BO775" i="1" s="1" a="1"/>
  <c r="BO775" i="1" s="1"/>
  <c r="BN689" i="1"/>
  <c r="BO689" i="1" s="1" a="1"/>
  <c r="BO689" i="1" s="1"/>
  <c r="BN14" i="1"/>
  <c r="BO14" i="1" s="1" a="1"/>
  <c r="BO14" i="1" s="1"/>
  <c r="BN118" i="1"/>
  <c r="BO118" i="1" s="1" a="1"/>
  <c r="BO118" i="1" s="1"/>
  <c r="BN232" i="1"/>
  <c r="BO232" i="1" s="1" a="1"/>
  <c r="BO232" i="1" s="1"/>
  <c r="BN300" i="1"/>
  <c r="BO300" i="1" s="1" a="1"/>
  <c r="BO300" i="1" s="1"/>
  <c r="BN758" i="1"/>
  <c r="BO758" i="1" s="1" a="1"/>
  <c r="BO758" i="1" s="1"/>
  <c r="BN394" i="1"/>
  <c r="BO394" i="1" s="1" a="1"/>
  <c r="BO394" i="1" s="1"/>
  <c r="BN309" i="1"/>
  <c r="BO309" i="1" s="1" a="1"/>
  <c r="BO309" i="1" s="1"/>
  <c r="BN612" i="1"/>
  <c r="BO612" i="1" s="1" a="1"/>
  <c r="BO612" i="1" s="1"/>
  <c r="BN968" i="1"/>
  <c r="BO968" i="1" a="1"/>
  <c r="BO968" i="1" s="1"/>
  <c r="BN242" i="1"/>
  <c r="BO242" i="1" a="1"/>
  <c r="BO242" i="1" s="1"/>
  <c r="BN654" i="1"/>
  <c r="BO654" i="1" a="1"/>
  <c r="BO654" i="1" s="1"/>
  <c r="BN839" i="1"/>
  <c r="BO839" i="1" a="1"/>
  <c r="BO839" i="1" s="1"/>
  <c r="BN270" i="1"/>
  <c r="BO270" i="1" a="1"/>
  <c r="BO270" i="1" s="1"/>
  <c r="BN546" i="1"/>
  <c r="BO546" i="1" a="1"/>
  <c r="BO546" i="1" s="1"/>
  <c r="BN718" i="1"/>
  <c r="BO718" i="1" a="1"/>
  <c r="BO718" i="1" s="1"/>
  <c r="BN455" i="1"/>
  <c r="BO455" i="1" a="1"/>
  <c r="BO455" i="1" s="1"/>
  <c r="BN856" i="1"/>
  <c r="BO856" i="1" a="1"/>
  <c r="BO856" i="1" s="1"/>
  <c r="BN891" i="1"/>
  <c r="BO891" i="1" a="1"/>
  <c r="BO891" i="1" s="1"/>
  <c r="BN565" i="1"/>
  <c r="BO565" i="1" s="1" a="1"/>
  <c r="BO565" i="1" s="1"/>
  <c r="BN489" i="1"/>
  <c r="BO489" i="1" s="1" a="1"/>
  <c r="BO489" i="1" s="1"/>
  <c r="BN330" i="1"/>
  <c r="BO330" i="1" s="1" a="1"/>
  <c r="BO330" i="1" s="1"/>
  <c r="BN678" i="1"/>
  <c r="BO678" i="1" s="1" a="1"/>
  <c r="BO678" i="1" s="1"/>
  <c r="BN691" i="1"/>
  <c r="BO691" i="1" s="1" a="1"/>
  <c r="BO691" i="1" s="1"/>
  <c r="BN294" i="1"/>
  <c r="BO294" i="1" s="1" a="1"/>
  <c r="BO294" i="1" s="1"/>
  <c r="BN318" i="1"/>
  <c r="BO318" i="1" s="1" a="1"/>
  <c r="BO318" i="1" s="1"/>
  <c r="BN665" i="1"/>
  <c r="BO665" i="1" s="1" a="1"/>
  <c r="BO665" i="1" s="1"/>
  <c r="BN81" i="1"/>
  <c r="BO81" i="1" s="1" a="1"/>
  <c r="BO81" i="1" s="1"/>
  <c r="BN231" i="1"/>
  <c r="BO231" i="1" s="1" a="1"/>
  <c r="BO231" i="1" s="1"/>
  <c r="BN221" i="1"/>
  <c r="BO221" i="1" s="1" a="1"/>
  <c r="BO221" i="1" s="1"/>
  <c r="BN680" i="1"/>
  <c r="BO680" i="1" s="1" a="1"/>
  <c r="BO680" i="1" s="1"/>
  <c r="BN830" i="1"/>
  <c r="BO830" i="1" s="1" a="1"/>
  <c r="BO830" i="1" s="1"/>
  <c r="BN899" i="1"/>
  <c r="BO899" i="1" s="1" a="1"/>
  <c r="BO899" i="1" s="1"/>
  <c r="BN844" i="1"/>
  <c r="BO844" i="1" s="1" a="1"/>
  <c r="BO844" i="1" s="1"/>
  <c r="BN936" i="1"/>
  <c r="BO936" i="1" s="1" a="1"/>
  <c r="BO936" i="1" s="1"/>
  <c r="BN622" i="1"/>
  <c r="BO622" i="1" a="1"/>
  <c r="BO622" i="1" s="1"/>
  <c r="BN997" i="1"/>
  <c r="BO997" i="1" a="1"/>
  <c r="BO997" i="1" s="1"/>
  <c r="BN571" i="1"/>
  <c r="BO571" i="1" a="1"/>
  <c r="BO571" i="1" s="1"/>
  <c r="BN709" i="1"/>
  <c r="BO709" i="1" a="1"/>
  <c r="BO709" i="1" s="1"/>
  <c r="BN444" i="1"/>
  <c r="BO444" i="1" a="1"/>
  <c r="BO444" i="1" s="1"/>
  <c r="BN121" i="1"/>
  <c r="BO121" i="1" a="1"/>
  <c r="BO121" i="1" s="1"/>
  <c r="BN499" i="1"/>
  <c r="BO499" i="1" a="1"/>
  <c r="BO499" i="1" s="1"/>
  <c r="BN605" i="1"/>
  <c r="BO605" i="1" a="1"/>
  <c r="BO605" i="1" s="1"/>
  <c r="BN236" i="1"/>
  <c r="BO236" i="1" a="1"/>
  <c r="BO236" i="1" s="1"/>
  <c r="BN649" i="1"/>
  <c r="BO649" i="1" a="1"/>
  <c r="BO649" i="1" s="1"/>
  <c r="BN502" i="1"/>
  <c r="BO502" i="1" s="1" a="1"/>
  <c r="BO502" i="1" s="1"/>
  <c r="BN985" i="1"/>
  <c r="BO985" i="1" s="1" a="1"/>
  <c r="BO985" i="1" s="1"/>
  <c r="BN490" i="1"/>
  <c r="BO490" i="1" s="1" a="1"/>
  <c r="BO490" i="1" s="1"/>
  <c r="BN958" i="1"/>
  <c r="BO958" i="1" s="1" a="1"/>
  <c r="BO958" i="1" s="1"/>
  <c r="BN825" i="1"/>
  <c r="BO825" i="1" s="1" a="1"/>
  <c r="BO825" i="1" s="1"/>
  <c r="BN932" i="1"/>
  <c r="BO932" i="1" s="1" a="1"/>
  <c r="BO932" i="1" s="1"/>
  <c r="BN115" i="1"/>
  <c r="BO115" i="1" s="1" a="1"/>
  <c r="BO115" i="1" s="1"/>
  <c r="BN843" i="1"/>
  <c r="BO843" i="1" s="1" a="1"/>
  <c r="BO843" i="1" s="1"/>
  <c r="BN652" i="1"/>
  <c r="BO652" i="1" a="1"/>
  <c r="BO652" i="1" s="1"/>
  <c r="BN161" i="1"/>
  <c r="BO161" i="1" a="1"/>
  <c r="BO161" i="1" s="1"/>
  <c r="BN408" i="1"/>
  <c r="BO408" i="1" a="1"/>
  <c r="BO408" i="1" s="1"/>
  <c r="BN828" i="1"/>
  <c r="BO828" i="1" a="1"/>
  <c r="BO828" i="1" s="1"/>
  <c r="BN623" i="1"/>
  <c r="BO623" i="1" a="1"/>
  <c r="BO623" i="1" s="1"/>
  <c r="BY159" i="1"/>
  <c r="BY232" i="1"/>
  <c r="BN298" i="1"/>
  <c r="BO298" i="1" a="1"/>
  <c r="BO298" i="1" s="1"/>
  <c r="BN370" i="1"/>
  <c r="BO370" i="1" a="1"/>
  <c r="BO370" i="1" s="1"/>
  <c r="BN393" i="1"/>
  <c r="BO393" i="1" a="1"/>
  <c r="BO393" i="1" s="1"/>
  <c r="BN469" i="1"/>
  <c r="BO469" i="1" a="1"/>
  <c r="BO469" i="1" s="1"/>
  <c r="BN673" i="1"/>
  <c r="BO673" i="1" a="1"/>
  <c r="BO673" i="1" s="1"/>
  <c r="BN784" i="1"/>
  <c r="BO784" i="1" a="1"/>
  <c r="BO784" i="1" s="1"/>
  <c r="BN819" i="1"/>
  <c r="BO819" i="1" s="1" a="1"/>
  <c r="BO819" i="1" s="1"/>
  <c r="BY844" i="1"/>
  <c r="BN848" i="1"/>
  <c r="BO848" i="1" a="1"/>
  <c r="BO848" i="1" s="1"/>
  <c r="BY893" i="1"/>
  <c r="BN927" i="1"/>
  <c r="BO927" i="1" s="1" a="1"/>
  <c r="BO927" i="1" s="1"/>
  <c r="BN970" i="1"/>
  <c r="BO970" i="1" s="1" a="1"/>
  <c r="BO970" i="1" s="1"/>
  <c r="BY936" i="1"/>
  <c r="BN791" i="1"/>
  <c r="BO791" i="1" s="1" a="1"/>
  <c r="BO791" i="1" s="1"/>
  <c r="BN610" i="1"/>
  <c r="BO610" i="1" s="1" a="1"/>
  <c r="BO610" i="1" s="1"/>
  <c r="BN268" i="1"/>
  <c r="BO268" i="1" s="1" a="1"/>
  <c r="BO268" i="1" s="1"/>
  <c r="BN418" i="1"/>
  <c r="BO418" i="1" s="1" a="1"/>
  <c r="BO418" i="1" s="1"/>
  <c r="BN84" i="1"/>
  <c r="BO84" i="1" a="1"/>
  <c r="BO84" i="1" s="1"/>
  <c r="BN800" i="1"/>
  <c r="BO800" i="1" a="1"/>
  <c r="BO800" i="1" s="1"/>
  <c r="BN846" i="1"/>
  <c r="BO846" i="1" a="1"/>
  <c r="BO846" i="1" s="1"/>
  <c r="BN682" i="1"/>
  <c r="BO682" i="1" a="1"/>
  <c r="BO682" i="1" s="1"/>
  <c r="BN663" i="1"/>
  <c r="BO663" i="1" a="1"/>
  <c r="BO663" i="1" s="1"/>
  <c r="BN524" i="1"/>
  <c r="BO524" i="1" s="1" a="1"/>
  <c r="BO524" i="1" s="1"/>
  <c r="BN979" i="1"/>
  <c r="BO979" i="1" s="1" a="1"/>
  <c r="BO979" i="1" s="1"/>
  <c r="BN117" i="1"/>
  <c r="BO117" i="1" s="1" a="1"/>
  <c r="BO117" i="1" s="1"/>
  <c r="BN439" i="1"/>
  <c r="BO439" i="1" s="1" a="1"/>
  <c r="BO439" i="1" s="1"/>
  <c r="BN537" i="1"/>
  <c r="BO537" i="1" s="1" a="1"/>
  <c r="BO537" i="1" s="1"/>
  <c r="BN246" i="1"/>
  <c r="BO246" i="1" s="1" a="1"/>
  <c r="BO246" i="1" s="1"/>
  <c r="BN734" i="1"/>
  <c r="BO734" i="1" s="1" a="1"/>
  <c r="BO734" i="1" s="1"/>
  <c r="BN604" i="1"/>
  <c r="BO604" i="1" s="1" a="1"/>
  <c r="BO604" i="1" s="1"/>
  <c r="BN864" i="1"/>
  <c r="BO864" i="1" s="1" a="1"/>
  <c r="BO864" i="1" s="1"/>
  <c r="BN398" i="1"/>
  <c r="BO398" i="1" s="1" a="1"/>
  <c r="BO398" i="1" s="1"/>
  <c r="BN424" i="1"/>
  <c r="BO424" i="1" s="1" a="1"/>
  <c r="BO424" i="1" s="1"/>
  <c r="BN787" i="1"/>
  <c r="BO787" i="1" s="1" a="1"/>
  <c r="BO787" i="1" s="1"/>
  <c r="BN245" i="1"/>
  <c r="BO245" i="1" s="1" a="1"/>
  <c r="BO245" i="1" s="1"/>
  <c r="BN97" i="1"/>
  <c r="BO97" i="1" s="1" a="1"/>
  <c r="BO97" i="1" s="1"/>
  <c r="BN306" i="1"/>
  <c r="BO306" i="1" s="1" a="1"/>
  <c r="BO306" i="1" s="1"/>
  <c r="BN557" i="1"/>
  <c r="BO557" i="1" s="1" a="1"/>
  <c r="BO557" i="1" s="1"/>
  <c r="BN755" i="1"/>
  <c r="BO755" i="1" s="1" a="1"/>
  <c r="BO755" i="1" s="1"/>
  <c r="BN924" i="1"/>
  <c r="BO924" i="1" s="1" a="1"/>
  <c r="BO924" i="1" s="1"/>
  <c r="BN658" i="1"/>
  <c r="BO658" i="1" s="1" a="1"/>
  <c r="BO658" i="1" s="1"/>
  <c r="BN310" i="1"/>
  <c r="BO310" i="1" s="1" a="1"/>
  <c r="BO310" i="1" s="1"/>
  <c r="BN996" i="1"/>
  <c r="BO996" i="1" s="1" a="1"/>
  <c r="BO996" i="1" s="1"/>
  <c r="BN934" i="1"/>
  <c r="BO934" i="1" s="1" a="1"/>
  <c r="BO934" i="1" s="1"/>
  <c r="BN628" i="1"/>
  <c r="BO628" i="1" s="1" a="1"/>
  <c r="BO628" i="1" s="1"/>
  <c r="BN278" i="1"/>
  <c r="BO278" i="1" s="1" a="1"/>
  <c r="BO278" i="1" s="1"/>
  <c r="BN176" i="1"/>
  <c r="BO176" i="1" s="1" a="1"/>
  <c r="BO176" i="1" s="1"/>
  <c r="BN69" i="1"/>
  <c r="BO69" i="1" s="1" a="1"/>
  <c r="BO69" i="1" s="1"/>
  <c r="BX73" i="1"/>
  <c r="BN73" i="1"/>
  <c r="BO73" i="1" s="1" a="1"/>
  <c r="BO73" i="1" s="1"/>
  <c r="BX90" i="1"/>
  <c r="BN90" i="1"/>
  <c r="BO90" i="1" s="1" a="1"/>
  <c r="BO90" i="1" s="1"/>
  <c r="BX299" i="1"/>
  <c r="BN299" i="1"/>
  <c r="BO299" i="1" a="1"/>
  <c r="BO299" i="1" s="1"/>
  <c r="BX310" i="1"/>
  <c r="BX317" i="1"/>
  <c r="BN317" i="1"/>
  <c r="BO317" i="1" a="1"/>
  <c r="BO317" i="1" s="1"/>
  <c r="BX358" i="1"/>
  <c r="BN358" i="1"/>
  <c r="BO358" i="1" s="1" a="1"/>
  <c r="BO358" i="1" s="1"/>
  <c r="BX423" i="1"/>
  <c r="BN423" i="1"/>
  <c r="BO423" i="1" s="1" a="1"/>
  <c r="BO423" i="1" s="1"/>
  <c r="BX439" i="1"/>
  <c r="BX469" i="1"/>
  <c r="BX511" i="1"/>
  <c r="BN511" i="1"/>
  <c r="BO511" i="1" s="1" a="1"/>
  <c r="BO511" i="1" s="1"/>
  <c r="BX519" i="1"/>
  <c r="BN519" i="1"/>
  <c r="BO519" i="1" a="1"/>
  <c r="BO519" i="1" s="1"/>
  <c r="BX547" i="1"/>
  <c r="BX555" i="1"/>
  <c r="BN555" i="1"/>
  <c r="BO555" i="1" a="1"/>
  <c r="BO555" i="1" s="1"/>
  <c r="BX561" i="1"/>
  <c r="BN561" i="1"/>
  <c r="BO561" i="1" s="1" a="1"/>
  <c r="BO561" i="1" s="1"/>
  <c r="BX569" i="1"/>
  <c r="BN569" i="1"/>
  <c r="BO569" i="1" s="1" a="1"/>
  <c r="BO569" i="1" s="1"/>
  <c r="BX651" i="1"/>
  <c r="BN651" i="1"/>
  <c r="BO651" i="1" s="1" a="1"/>
  <c r="BO651" i="1" s="1"/>
  <c r="BX662" i="1"/>
  <c r="BN662" i="1"/>
  <c r="BO662" i="1" a="1"/>
  <c r="BO662" i="1" s="1"/>
  <c r="BN670" i="1"/>
  <c r="BO670" i="1" s="1" a="1"/>
  <c r="BO670" i="1" s="1"/>
  <c r="BX798" i="1"/>
  <c r="BN798" i="1"/>
  <c r="BO798" i="1" a="1"/>
  <c r="BO798" i="1" s="1"/>
  <c r="BX854" i="1"/>
  <c r="BN854" i="1"/>
  <c r="BO854" i="1" s="1" a="1"/>
  <c r="BO854" i="1" s="1"/>
  <c r="BX953" i="1"/>
  <c r="BN953" i="1"/>
  <c r="BO953" i="1" s="1" a="1"/>
  <c r="BO953" i="1" s="1"/>
  <c r="BX537" i="1"/>
  <c r="BX52" i="1"/>
  <c r="BN52" i="1"/>
  <c r="BO52" i="1" s="1" a="1"/>
  <c r="BO52" i="1" s="1"/>
  <c r="BX186" i="1"/>
  <c r="BN186" i="1"/>
  <c r="BO186" i="1" s="1" a="1"/>
  <c r="BO186" i="1" s="1"/>
  <c r="BX194" i="1"/>
  <c r="BN194" i="1"/>
  <c r="BO194" i="1" s="1" a="1"/>
  <c r="BO194" i="1" s="1"/>
  <c r="BX260" i="1"/>
  <c r="BN260" i="1"/>
  <c r="BO260" i="1" a="1"/>
  <c r="BO260" i="1" s="1"/>
  <c r="BX266" i="1"/>
  <c r="BN266" i="1"/>
  <c r="BO266" i="1" s="1" a="1"/>
  <c r="BO266" i="1" s="1"/>
  <c r="BX297" i="1"/>
  <c r="BN297" i="1"/>
  <c r="BO297" i="1" s="1" a="1"/>
  <c r="BO297" i="1" s="1"/>
  <c r="BX362" i="1"/>
  <c r="BN362" i="1"/>
  <c r="BO362" i="1" s="1" a="1"/>
  <c r="BO362" i="1" s="1"/>
  <c r="BX417" i="1"/>
  <c r="BX436" i="1"/>
  <c r="BN436" i="1"/>
  <c r="BO436" i="1" s="1" a="1"/>
  <c r="BO436" i="1" s="1"/>
  <c r="BX453" i="1"/>
  <c r="BN453" i="1"/>
  <c r="BO453" i="1" s="1" a="1"/>
  <c r="BO453" i="1" s="1"/>
  <c r="BX617" i="1"/>
  <c r="BN617" i="1"/>
  <c r="BO617" i="1" s="1" a="1"/>
  <c r="BO617" i="1" s="1"/>
  <c r="BX621" i="1"/>
  <c r="BN621" i="1"/>
  <c r="BO621" i="1" a="1"/>
  <c r="BO621" i="1" s="1"/>
  <c r="BX624" i="1"/>
  <c r="BN624" i="1"/>
  <c r="BO624" i="1" s="1" a="1"/>
  <c r="BO624" i="1" s="1"/>
  <c r="BX631" i="1"/>
  <c r="BN631" i="1"/>
  <c r="BO631" i="1" s="1" a="1"/>
  <c r="BO631" i="1" s="1"/>
  <c r="BX632" i="1"/>
  <c r="BN632" i="1"/>
  <c r="BO632" i="1" s="1" a="1"/>
  <c r="BO632" i="1" s="1"/>
  <c r="BX661" i="1"/>
  <c r="BX677" i="1"/>
  <c r="BN677" i="1"/>
  <c r="BO677" i="1" s="1" a="1"/>
  <c r="BO677" i="1" s="1"/>
  <c r="BX686" i="1"/>
  <c r="BX765" i="1"/>
  <c r="BN765" i="1"/>
  <c r="BO765" i="1" s="1" a="1"/>
  <c r="BO765" i="1" s="1"/>
  <c r="BX943" i="1"/>
  <c r="BN943" i="1"/>
  <c r="BO943" i="1" s="1" a="1"/>
  <c r="BO943" i="1" s="1"/>
  <c r="BX955" i="1"/>
  <c r="BN955" i="1"/>
  <c r="BO955" i="1" s="1" a="1"/>
  <c r="BO955" i="1" s="1"/>
  <c r="BX984" i="1"/>
  <c r="BN984" i="1"/>
  <c r="BO984" i="1" s="1" a="1"/>
  <c r="BO984" i="1" s="1"/>
  <c r="BN94" i="1"/>
  <c r="BO94" i="1" s="1" a="1"/>
  <c r="BO94" i="1" s="1"/>
  <c r="BN72" i="1"/>
  <c r="BO72" i="1" s="1" a="1"/>
  <c r="BO72" i="1" s="1"/>
  <c r="BN422" i="1"/>
  <c r="BO422" i="1" s="1" a="1"/>
  <c r="BO422" i="1" s="1"/>
  <c r="BN773" i="1"/>
  <c r="BO773" i="1" s="1" a="1"/>
  <c r="BO773" i="1" s="1"/>
  <c r="BN776" i="1"/>
  <c r="BO776" i="1" s="1" a="1"/>
  <c r="BO776" i="1" s="1"/>
  <c r="BN243" i="1"/>
  <c r="BO243" i="1" s="1" a="1"/>
  <c r="BO243" i="1" s="1"/>
  <c r="BN305" i="1"/>
  <c r="BO305" i="1" s="1" a="1"/>
  <c r="BO305" i="1" s="1"/>
  <c r="BN228" i="1"/>
  <c r="BO228" i="1" s="1" a="1"/>
  <c r="BO228" i="1" s="1"/>
  <c r="BX117" i="1"/>
  <c r="BX123" i="1"/>
  <c r="BN123" i="1"/>
  <c r="BO123" i="1" s="1" a="1"/>
  <c r="BO123" i="1" s="1"/>
  <c r="BX163" i="1"/>
  <c r="BN163" i="1"/>
  <c r="BO163" i="1" s="1" a="1"/>
  <c r="BO163" i="1" s="1"/>
  <c r="BX197" i="1"/>
  <c r="BN197" i="1"/>
  <c r="BO197" i="1" a="1"/>
  <c r="BO197" i="1" s="1"/>
  <c r="BX241" i="1"/>
  <c r="BN241" i="1"/>
  <c r="BO241" i="1" s="1" a="1"/>
  <c r="BO241" i="1" s="1"/>
  <c r="BX272" i="1"/>
  <c r="BN272" i="1"/>
  <c r="BO272" i="1" s="1" a="1"/>
  <c r="BO272" i="1" s="1"/>
  <c r="BX281" i="1"/>
  <c r="BN281" i="1"/>
  <c r="BO281" i="1" s="1" a="1"/>
  <c r="BO281" i="1" s="1"/>
  <c r="BX293" i="1"/>
  <c r="BN293" i="1"/>
  <c r="BO293" i="1" a="1"/>
  <c r="BO293" i="1" s="1"/>
  <c r="BX400" i="1"/>
  <c r="BN400" i="1"/>
  <c r="BO400" i="1" s="1" a="1"/>
  <c r="BO400" i="1" s="1"/>
  <c r="BX690" i="1"/>
  <c r="BN690" i="1"/>
  <c r="BO690" i="1" s="1" a="1"/>
  <c r="BO690" i="1" s="1"/>
  <c r="BX695" i="1"/>
  <c r="BN695" i="1"/>
  <c r="BO695" i="1" s="1" a="1"/>
  <c r="BO695" i="1" s="1"/>
  <c r="BX701" i="1"/>
  <c r="BN701" i="1"/>
  <c r="BO701" i="1" a="1"/>
  <c r="BO701" i="1" s="1"/>
  <c r="BX733" i="1"/>
  <c r="BN733" i="1"/>
  <c r="BO733" i="1" s="1" a="1"/>
  <c r="BO733" i="1" s="1"/>
  <c r="BX747" i="1"/>
  <c r="BN747" i="1"/>
  <c r="BO747" i="1" s="1" a="1"/>
  <c r="BO747" i="1" s="1"/>
  <c r="BX780" i="1"/>
  <c r="BX819" i="1"/>
  <c r="BX831" i="1"/>
  <c r="BN831" i="1"/>
  <c r="BO831" i="1" s="1" a="1"/>
  <c r="BO831" i="1" s="1"/>
  <c r="BX866" i="1"/>
  <c r="BN866" i="1"/>
  <c r="BO866" i="1" s="1" a="1"/>
  <c r="BO866" i="1" s="1"/>
  <c r="BX873" i="1"/>
  <c r="BN873" i="1"/>
  <c r="BO873" i="1" s="1" a="1"/>
  <c r="BO873" i="1" s="1"/>
  <c r="BN884" i="1"/>
  <c r="BO884" i="1" s="1" a="1"/>
  <c r="BO884" i="1" s="1"/>
  <c r="BX888" i="1"/>
  <c r="BN888" i="1"/>
  <c r="BO888" i="1" s="1" a="1"/>
  <c r="BO888" i="1" s="1"/>
  <c r="BX903" i="1"/>
  <c r="BN903" i="1"/>
  <c r="BO903" i="1" s="1" a="1"/>
  <c r="BO903" i="1" s="1"/>
  <c r="BX911" i="1"/>
  <c r="BN911" i="1"/>
  <c r="BO911" i="1" s="1" a="1"/>
  <c r="BO911" i="1" s="1"/>
  <c r="BX919" i="1"/>
  <c r="BN919" i="1"/>
  <c r="BO919" i="1" a="1"/>
  <c r="BO919" i="1" s="1"/>
  <c r="BX974" i="1"/>
  <c r="BN974" i="1"/>
  <c r="BO974" i="1" s="1" a="1"/>
  <c r="BO974" i="1" s="1"/>
  <c r="BN978" i="1"/>
  <c r="BO978" i="1" s="1" a="1"/>
  <c r="BO978" i="1" s="1"/>
  <c r="BX556" i="1"/>
  <c r="BN556" i="1"/>
  <c r="BO556" i="1" a="1"/>
  <c r="BO556" i="1" s="1"/>
  <c r="BX935" i="1"/>
  <c r="BN935" i="1"/>
  <c r="BO935" i="1" s="1" a="1"/>
  <c r="BO935" i="1" s="1"/>
  <c r="BN240" i="1"/>
  <c r="BO240" i="1" s="1" a="1"/>
  <c r="BO240" i="1" s="1"/>
  <c r="BN602" i="1"/>
  <c r="BO602" i="1" s="1" a="1"/>
  <c r="BO602" i="1" s="1"/>
  <c r="BN198" i="1"/>
  <c r="BO198" i="1" s="1" a="1"/>
  <c r="BO198" i="1" s="1"/>
  <c r="BN376" i="1"/>
  <c r="BO376" i="1" s="1" a="1"/>
  <c r="BO376" i="1" s="1"/>
  <c r="BN374" i="1"/>
  <c r="BO374" i="1" s="1" a="1"/>
  <c r="BO374" i="1" s="1"/>
  <c r="BX487" i="1"/>
  <c r="BN487" i="1"/>
  <c r="BO487" i="1" s="1" a="1"/>
  <c r="BO487" i="1" s="1"/>
  <c r="BX492" i="1"/>
  <c r="BN492" i="1"/>
  <c r="BO492" i="1" s="1" a="1"/>
  <c r="BO492" i="1" s="1"/>
  <c r="BX529" i="1"/>
  <c r="BN529" i="1"/>
  <c r="BO529" i="1" a="1"/>
  <c r="BO529" i="1" s="1"/>
  <c r="BX544" i="1"/>
  <c r="BN544" i="1"/>
  <c r="BO544" i="1" s="1" a="1"/>
  <c r="BO544" i="1" s="1"/>
  <c r="BX692" i="1"/>
  <c r="BN692" i="1"/>
  <c r="BO692" i="1" s="1" a="1"/>
  <c r="BO692" i="1" s="1"/>
  <c r="BX694" i="1"/>
  <c r="BN694" i="1"/>
  <c r="BO694" i="1" s="1" a="1"/>
  <c r="BO694" i="1" s="1"/>
  <c r="BX698" i="1"/>
  <c r="BN698" i="1"/>
  <c r="BO698" i="1" s="1" a="1"/>
  <c r="BO698" i="1" s="1"/>
  <c r="BX719" i="1"/>
  <c r="BN719" i="1"/>
  <c r="BO719" i="1" s="1" a="1"/>
  <c r="BO719" i="1" s="1"/>
  <c r="BX741" i="1"/>
  <c r="BN741" i="1"/>
  <c r="BO741" i="1" s="1" a="1"/>
  <c r="BO741" i="1" s="1"/>
  <c r="BX824" i="1"/>
  <c r="BN824" i="1"/>
  <c r="BO824" i="1" a="1"/>
  <c r="BO824" i="1" s="1"/>
  <c r="BX829" i="1"/>
  <c r="BX836" i="1"/>
  <c r="BN836" i="1"/>
  <c r="BO836" i="1" a="1"/>
  <c r="BO836" i="1" s="1"/>
  <c r="BX849" i="1"/>
  <c r="BX917" i="1"/>
  <c r="BX963" i="1"/>
  <c r="BN963" i="1"/>
  <c r="BO963" i="1" s="1" a="1"/>
  <c r="BO963" i="1" s="1"/>
  <c r="BX965" i="1"/>
  <c r="BN965" i="1"/>
  <c r="BO965" i="1" s="1" a="1"/>
  <c r="BO965" i="1" s="1"/>
  <c r="BX977" i="1"/>
  <c r="BN977" i="1"/>
  <c r="BO977" i="1" s="1" a="1"/>
  <c r="BO977" i="1" s="1"/>
  <c r="BX987" i="1"/>
  <c r="BN987" i="1"/>
  <c r="BO987" i="1" s="1" a="1"/>
  <c r="BO987" i="1" s="1"/>
  <c r="BX1003" i="1"/>
  <c r="BN1003" i="1"/>
  <c r="BO1003" i="1" a="1"/>
  <c r="BO1003" i="1" s="1"/>
  <c r="BX757" i="1"/>
  <c r="BN757" i="1"/>
  <c r="BO757" i="1" s="1" a="1"/>
  <c r="BO757" i="1" s="1"/>
  <c r="BX203" i="1"/>
  <c r="BN203" i="1"/>
  <c r="BO203" i="1" s="1" a="1"/>
  <c r="BO203" i="1" s="1"/>
  <c r="BN1002" i="1"/>
  <c r="BO1002" i="1" s="1" a="1"/>
  <c r="BO1002" i="1" s="1"/>
  <c r="BN355" i="1"/>
  <c r="BO355" i="1" s="1" a="1"/>
  <c r="BO355" i="1" s="1"/>
  <c r="BN535" i="1"/>
  <c r="BO535" i="1" s="1" a="1"/>
  <c r="BO535" i="1" s="1"/>
  <c r="BN949" i="1"/>
  <c r="BO949" i="1" s="1" a="1"/>
  <c r="BO949" i="1" s="1"/>
  <c r="BN114" i="1"/>
  <c r="BO114" i="1" s="1" a="1"/>
  <c r="BO114" i="1" s="1"/>
  <c r="BN288" i="1"/>
  <c r="BO288" i="1" s="1" a="1"/>
  <c r="BO288" i="1" s="1"/>
  <c r="BN396" i="1"/>
  <c r="BO396" i="1" s="1" a="1"/>
  <c r="BO396" i="1" s="1"/>
  <c r="BN858" i="1"/>
  <c r="BO858" i="1" s="1" a="1"/>
  <c r="BO858" i="1" s="1"/>
  <c r="BW451" i="1"/>
  <c r="BW484" i="1"/>
  <c r="BN484" i="1"/>
  <c r="BO484" i="1" s="1" a="1"/>
  <c r="BO484" i="1" s="1"/>
  <c r="BW699" i="1"/>
  <c r="BN699" i="1"/>
  <c r="BO699" i="1" s="1" a="1"/>
  <c r="BO699" i="1" s="1"/>
  <c r="BW889" i="1"/>
  <c r="BN889" i="1"/>
  <c r="BO889" i="1" s="1" a="1"/>
  <c r="BO889" i="1" s="1"/>
  <c r="BN951" i="1"/>
  <c r="BO951" i="1" s="1" a="1"/>
  <c r="BO951" i="1" s="1"/>
  <c r="BW951" i="1"/>
  <c r="BN700" i="1"/>
  <c r="BO700" i="1" s="1" a="1"/>
  <c r="BO700" i="1" s="1"/>
  <c r="BN688" i="1"/>
  <c r="BO688" i="1" s="1" a="1"/>
  <c r="BO688" i="1" s="1"/>
  <c r="BN532" i="1"/>
  <c r="BO532" i="1" s="1" a="1"/>
  <c r="BO532" i="1" s="1"/>
  <c r="BN568" i="1"/>
  <c r="BO568" i="1" a="1"/>
  <c r="BO568" i="1" s="1"/>
  <c r="BN1006" i="1"/>
  <c r="BO1006" i="1" a="1"/>
  <c r="BO1006" i="1" s="1"/>
  <c r="BN693" i="1"/>
  <c r="BO693" i="1" a="1"/>
  <c r="BO693" i="1" s="1"/>
  <c r="BN488" i="1"/>
  <c r="BO488" i="1" a="1"/>
  <c r="BO488" i="1" s="1"/>
  <c r="BW10" i="1"/>
  <c r="BW63" i="1"/>
  <c r="BW178" i="1"/>
  <c r="BW257" i="1"/>
  <c r="BN257" i="1"/>
  <c r="BO257" i="1" a="1"/>
  <c r="BO257" i="1" s="1"/>
  <c r="BW280" i="1"/>
  <c r="BN280" i="1"/>
  <c r="BO280" i="1" s="1" a="1"/>
  <c r="BO280" i="1" s="1"/>
  <c r="BN572" i="1"/>
  <c r="BO572" i="1" s="1" a="1"/>
  <c r="BO572" i="1" s="1"/>
  <c r="BW572" i="1"/>
  <c r="BW994" i="1"/>
  <c r="BN994" i="1"/>
  <c r="BO994" i="1" s="1" a="1"/>
  <c r="BO994" i="1" s="1"/>
  <c r="BW296" i="1"/>
  <c r="BN296" i="1"/>
  <c r="BO296" i="1" s="1" a="1"/>
  <c r="BO296" i="1" s="1"/>
  <c r="BW931" i="1"/>
  <c r="BN931" i="1"/>
  <c r="BO931" i="1" s="1" a="1"/>
  <c r="BO931" i="1" s="1"/>
  <c r="BW101" i="1"/>
  <c r="BW472" i="1"/>
  <c r="BN472" i="1"/>
  <c r="BO472" i="1" s="1" a="1"/>
  <c r="BO472" i="1" s="1"/>
  <c r="BW656" i="1"/>
  <c r="BN656" i="1"/>
  <c r="BO656" i="1" s="1" a="1"/>
  <c r="BO656" i="1" s="1"/>
  <c r="BW657" i="1"/>
  <c r="BN657" i="1"/>
  <c r="BO657" i="1" s="1" a="1"/>
  <c r="BO657" i="1" s="1"/>
  <c r="BW687" i="1"/>
  <c r="BW801" i="1"/>
  <c r="BW808" i="1"/>
  <c r="BN808" i="1"/>
  <c r="BO808" i="1" a="1"/>
  <c r="BO808" i="1" s="1"/>
  <c r="BN697" i="1"/>
  <c r="BO697" i="1" a="1"/>
  <c r="BO697" i="1" s="1"/>
  <c r="BW697" i="1"/>
  <c r="BW786" i="1"/>
  <c r="BN786" i="1"/>
  <c r="BO786" i="1" a="1"/>
  <c r="BO786" i="1" s="1"/>
  <c r="BN841" i="1"/>
  <c r="BO841" i="1" a="1"/>
  <c r="BO841" i="1" s="1"/>
  <c r="BN876" i="1"/>
  <c r="BO876" i="1" a="1"/>
  <c r="BO876" i="1" s="1"/>
  <c r="BN473" i="1"/>
  <c r="BO473" i="1" s="1" a="1"/>
  <c r="BO473" i="1" s="1"/>
  <c r="BN989" i="1"/>
  <c r="BO989" i="1" s="1" a="1"/>
  <c r="BO989" i="1" s="1"/>
  <c r="BN501" i="1"/>
  <c r="BO501" i="1" s="1" a="1"/>
  <c r="BO501" i="1" s="1"/>
  <c r="BN635" i="1"/>
  <c r="BO635" i="1" s="1" a="1"/>
  <c r="BO635" i="1" s="1"/>
  <c r="BN433" i="1"/>
  <c r="BO433" i="1" s="1" a="1"/>
  <c r="BO433" i="1" s="1"/>
  <c r="BW312" i="1"/>
  <c r="BN312" i="1"/>
  <c r="BO312" i="1" a="1"/>
  <c r="BO312" i="1" s="1"/>
  <c r="BW329" i="1"/>
  <c r="BN329" i="1"/>
  <c r="BO329" i="1" s="1" a="1"/>
  <c r="BO329" i="1" s="1"/>
  <c r="BW336" i="1"/>
  <c r="BN336" i="1"/>
  <c r="BO336" i="1" s="1" a="1"/>
  <c r="BO336" i="1" s="1"/>
  <c r="BW390" i="1"/>
  <c r="BN390" i="1"/>
  <c r="BO390" i="1" s="1" a="1"/>
  <c r="BO390" i="1" s="1"/>
  <c r="BW391" i="1"/>
  <c r="BN391" i="1"/>
  <c r="BO391" i="1" a="1"/>
  <c r="BO391" i="1" s="1"/>
  <c r="BW392" i="1"/>
  <c r="BN392" i="1"/>
  <c r="BO392" i="1" s="1" a="1"/>
  <c r="BO392" i="1" s="1"/>
  <c r="BW458" i="1"/>
  <c r="BW730" i="1"/>
  <c r="BN730" i="1"/>
  <c r="BO730" i="1" s="1" a="1"/>
  <c r="BO730" i="1" s="1"/>
  <c r="BW739" i="1"/>
  <c r="BN739" i="1"/>
  <c r="BO739" i="1" a="1"/>
  <c r="BO739" i="1" s="1"/>
  <c r="BW749" i="1"/>
  <c r="BN749" i="1"/>
  <c r="BO749" i="1" s="1" a="1"/>
  <c r="BO749" i="1" s="1"/>
  <c r="BW759" i="1"/>
  <c r="BN759" i="1"/>
  <c r="BO759" i="1" s="1" a="1"/>
  <c r="BO759" i="1" s="1"/>
  <c r="BW381" i="1"/>
  <c r="BN381" i="1"/>
  <c r="BO381" i="1" s="1" a="1"/>
  <c r="BO381" i="1" s="1"/>
  <c r="BW925" i="1"/>
  <c r="BN925" i="1"/>
  <c r="BO925" i="1" s="1" a="1"/>
  <c r="BO925" i="1" s="1"/>
  <c r="BW823" i="1"/>
  <c r="BN823" i="1"/>
  <c r="BO823" i="1" s="1" a="1"/>
  <c r="BO823" i="1" s="1"/>
  <c r="BN684" i="1"/>
  <c r="BO684" i="1" s="1" a="1"/>
  <c r="BO684" i="1" s="1"/>
  <c r="BN548" i="1"/>
  <c r="BO548" i="1" s="1" a="1"/>
  <c r="BO548" i="1" s="1"/>
  <c r="BN399" i="1"/>
  <c r="BO399" i="1" s="1" a="1"/>
  <c r="BO399" i="1" s="1"/>
  <c r="BN427" i="1"/>
  <c r="BO427" i="1" s="1" a="1"/>
  <c r="BO427" i="1" s="1"/>
  <c r="BN339" i="1"/>
  <c r="BO339" i="1" s="1" a="1"/>
  <c r="BO339" i="1" s="1"/>
  <c r="BN642" i="1"/>
  <c r="BO642" i="1" s="1" a="1"/>
  <c r="BO642" i="1" s="1"/>
  <c r="BN558" i="1"/>
  <c r="BO558" i="1" s="1" a="1"/>
  <c r="BO558" i="1" s="1"/>
  <c r="BN566" i="1"/>
  <c r="BO566" i="1" s="1" a="1"/>
  <c r="BO566" i="1" s="1"/>
  <c r="BN743" i="1"/>
  <c r="BO743" i="1" s="1" a="1"/>
  <c r="BO743" i="1" s="1"/>
  <c r="BN531" i="1"/>
  <c r="BO531" i="1" s="1" a="1"/>
  <c r="BO531" i="1" s="1"/>
  <c r="BN840" i="1"/>
  <c r="BO840" i="1" s="1" a="1"/>
  <c r="BO840" i="1" s="1"/>
  <c r="BN601" i="1"/>
  <c r="BO601" i="1" s="1" a="1"/>
  <c r="BO601" i="1" s="1"/>
  <c r="BN432" i="1"/>
  <c r="BO432" i="1" s="1" a="1"/>
  <c r="BO432" i="1" s="1"/>
  <c r="BN870" i="1"/>
  <c r="BO870" i="1" s="1" a="1"/>
  <c r="BO870" i="1" s="1"/>
  <c r="BN669" i="1"/>
  <c r="BO669" i="1" s="1" a="1"/>
  <c r="BO669" i="1" s="1"/>
  <c r="BN805" i="1"/>
  <c r="BO805" i="1" s="1" a="1"/>
  <c r="BO805" i="1" s="1"/>
  <c r="BN756" i="1"/>
  <c r="BO756" i="1" s="1" a="1"/>
  <c r="BO756" i="1" s="1"/>
  <c r="BN353" i="1"/>
  <c r="BO353" i="1" a="1"/>
  <c r="BO353" i="1" s="1"/>
  <c r="BN409" i="1"/>
  <c r="BO409" i="1" a="1"/>
  <c r="BO409" i="1" s="1"/>
  <c r="BN457" i="1"/>
  <c r="BO457" i="1" a="1"/>
  <c r="BO457" i="1" s="1"/>
  <c r="BN225" i="1"/>
  <c r="BO225" i="1" s="1" a="1"/>
  <c r="BO225" i="1" s="1"/>
  <c r="BN229" i="1"/>
  <c r="BO229" i="1" s="1" a="1"/>
  <c r="BO229" i="1" s="1"/>
  <c r="BN201" i="1"/>
  <c r="BO201" i="1" s="1" a="1"/>
  <c r="BO201" i="1" s="1"/>
  <c r="BN716" i="1"/>
  <c r="BO716" i="1" s="1" a="1"/>
  <c r="BO716" i="1" s="1"/>
  <c r="BN706" i="1"/>
  <c r="BO706" i="1" s="1" a="1"/>
  <c r="BO706" i="1" s="1"/>
  <c r="BN460" i="1"/>
  <c r="BO460" i="1" s="1" a="1"/>
  <c r="BO460" i="1" s="1"/>
  <c r="BN752" i="1"/>
  <c r="BO752" i="1" s="1" a="1"/>
  <c r="BO752" i="1" s="1"/>
  <c r="BN708" i="1"/>
  <c r="BO708" i="1" s="1" a="1"/>
  <c r="BO708" i="1" s="1"/>
  <c r="BN389" i="1"/>
  <c r="BO389" i="1" s="1" a="1"/>
  <c r="BO389" i="1" s="1"/>
  <c r="BN289" i="1"/>
  <c r="BO289" i="1" s="1" a="1"/>
  <c r="BO289" i="1" s="1"/>
  <c r="BN301" i="1"/>
  <c r="BO301" i="1" s="1" a="1"/>
  <c r="BO301" i="1" s="1"/>
  <c r="BN647" i="1"/>
  <c r="BO647" i="1" s="1" a="1"/>
  <c r="BO647" i="1" s="1"/>
  <c r="BN517" i="1"/>
  <c r="BO517" i="1" s="1" a="1"/>
  <c r="BO517" i="1" s="1"/>
  <c r="BN1000" i="1"/>
  <c r="BO1000" i="1" s="1" a="1"/>
  <c r="BO1000" i="1" s="1"/>
  <c r="BN923" i="1"/>
  <c r="BO923" i="1" s="1" a="1"/>
  <c r="BO923" i="1" s="1"/>
  <c r="BN940" i="1"/>
  <c r="BO940" i="1" s="1" a="1"/>
  <c r="BO940" i="1" s="1"/>
  <c r="BN821" i="1"/>
  <c r="BO821" i="1" s="1" a="1"/>
  <c r="BO821" i="1" s="1"/>
  <c r="BN705" i="1"/>
  <c r="BO705" i="1" s="1" a="1"/>
  <c r="BO705" i="1" s="1"/>
  <c r="BN340" i="1"/>
  <c r="BO340" i="1" s="1" a="1"/>
  <c r="BO340" i="1" s="1"/>
  <c r="BN737" i="1"/>
  <c r="BO737" i="1" s="1" a="1"/>
  <c r="BO737" i="1" s="1"/>
  <c r="BN284" i="1"/>
  <c r="BO284" i="1" s="1" a="1"/>
  <c r="BO284" i="1" s="1"/>
  <c r="BN364" i="1"/>
  <c r="BO364" i="1" s="1" a="1"/>
  <c r="BO364" i="1" s="1"/>
  <c r="BN352" i="1"/>
  <c r="BO352" i="1" s="1" a="1"/>
  <c r="BO352" i="1" s="1"/>
  <c r="BN545" i="1"/>
  <c r="BO545" i="1" s="1" a="1"/>
  <c r="BO545" i="1" s="1"/>
  <c r="BN366" i="1"/>
  <c r="BO366" i="1" s="1" a="1"/>
  <c r="BO366" i="1" s="1"/>
  <c r="BN981" i="1"/>
  <c r="BO981" i="1" s="1" a="1"/>
  <c r="BO981" i="1" s="1"/>
  <c r="BN922" i="1"/>
  <c r="BO922" i="1" s="1" a="1"/>
  <c r="BO922" i="1" s="1"/>
  <c r="BN785" i="1"/>
  <c r="BO785" i="1" s="1" a="1"/>
  <c r="BO785" i="1" s="1"/>
  <c r="BV75" i="1"/>
  <c r="BN75" i="1"/>
  <c r="BO75" i="1" s="1" a="1"/>
  <c r="BO75" i="1" s="1"/>
  <c r="BV504" i="1"/>
  <c r="BV514" i="1"/>
  <c r="BN514" i="1"/>
  <c r="BO514" i="1" s="1" a="1"/>
  <c r="BO514" i="1" s="1"/>
  <c r="BV522" i="1"/>
  <c r="BN522" i="1"/>
  <c r="BO522" i="1" s="1" a="1"/>
  <c r="BO522" i="1" s="1"/>
  <c r="BV553" i="1"/>
  <c r="BN553" i="1"/>
  <c r="BO553" i="1" s="1" a="1"/>
  <c r="BO553" i="1" s="1"/>
  <c r="BV637" i="1"/>
  <c r="BN637" i="1"/>
  <c r="BO637" i="1" s="1" a="1"/>
  <c r="BO637" i="1" s="1"/>
  <c r="BV648" i="1"/>
  <c r="BN648" i="1"/>
  <c r="BO648" i="1" a="1"/>
  <c r="BO648" i="1" s="1"/>
  <c r="BV696" i="1"/>
  <c r="BN696" i="1"/>
  <c r="BO696" i="1" s="1" a="1"/>
  <c r="BO696" i="1" s="1"/>
  <c r="BV702" i="1"/>
  <c r="BN702" i="1"/>
  <c r="BO702" i="1" s="1" a="1"/>
  <c r="BO702" i="1" s="1"/>
  <c r="BV707" i="1"/>
  <c r="BN707" i="1"/>
  <c r="BO707" i="1" s="1" a="1"/>
  <c r="BO707" i="1" s="1"/>
  <c r="BV720" i="1"/>
  <c r="BN720" i="1"/>
  <c r="BO720" i="1" s="1" a="1"/>
  <c r="BO720" i="1" s="1"/>
  <c r="BV724" i="1"/>
  <c r="BN724" i="1"/>
  <c r="BO724" i="1" s="1" a="1"/>
  <c r="BO724" i="1" s="1"/>
  <c r="BV811" i="1"/>
  <c r="BN811" i="1"/>
  <c r="BO811" i="1" s="1" a="1"/>
  <c r="BO811" i="1" s="1"/>
  <c r="BV812" i="1"/>
  <c r="BN812" i="1"/>
  <c r="BO812" i="1" s="1" a="1"/>
  <c r="BO812" i="1" s="1"/>
  <c r="BV816" i="1"/>
  <c r="BN816" i="1"/>
  <c r="BO816" i="1" s="1" a="1"/>
  <c r="BO816" i="1" s="1"/>
  <c r="BV946" i="1"/>
  <c r="BV961" i="1"/>
  <c r="BV983" i="1"/>
  <c r="BN983" i="1"/>
  <c r="BO983" i="1" s="1" a="1"/>
  <c r="BO983" i="1" s="1"/>
  <c r="BV985" i="1"/>
  <c r="BV609" i="1"/>
  <c r="BN609" i="1"/>
  <c r="BO609" i="1" s="1" a="1"/>
  <c r="BO609" i="1" s="1"/>
  <c r="BV160" i="1"/>
  <c r="BN160" i="1"/>
  <c r="BO160" i="1" a="1"/>
  <c r="BO160" i="1" s="1"/>
  <c r="BV448" i="1"/>
  <c r="BN448" i="1"/>
  <c r="BO448" i="1" s="1" a="1"/>
  <c r="BO448" i="1" s="1"/>
  <c r="BV456" i="1"/>
  <c r="BV464" i="1"/>
  <c r="BN464" i="1"/>
  <c r="BO464" i="1" s="1" a="1"/>
  <c r="BO464" i="1" s="1"/>
  <c r="BV470" i="1"/>
  <c r="BN470" i="1"/>
  <c r="BO470" i="1" a="1"/>
  <c r="BO470" i="1" s="1"/>
  <c r="BV476" i="1"/>
  <c r="BN476" i="1"/>
  <c r="BO476" i="1" s="1" a="1"/>
  <c r="BO476" i="1" s="1"/>
  <c r="BV481" i="1"/>
  <c r="BN481" i="1"/>
  <c r="BO481" i="1" s="1" a="1"/>
  <c r="BO481" i="1" s="1"/>
  <c r="BV491" i="1"/>
  <c r="BN491" i="1"/>
  <c r="BO491" i="1" a="1"/>
  <c r="BO491" i="1" s="1"/>
  <c r="BV495" i="1"/>
  <c r="BV521" i="1"/>
  <c r="BN521" i="1"/>
  <c r="BO521" i="1" a="1"/>
  <c r="BO521" i="1" s="1"/>
  <c r="BV526" i="1"/>
  <c r="BN526" i="1"/>
  <c r="BO526" i="1" s="1" a="1"/>
  <c r="BO526" i="1" s="1"/>
  <c r="BV541" i="1"/>
  <c r="BV549" i="1"/>
  <c r="BV563" i="1"/>
  <c r="BN563" i="1"/>
  <c r="BO563" i="1" s="1" a="1"/>
  <c r="BO563" i="1" s="1"/>
  <c r="BV616" i="1"/>
  <c r="BN616" i="1"/>
  <c r="BO616" i="1" s="1" a="1"/>
  <c r="BO616" i="1" s="1"/>
  <c r="BV964" i="1"/>
  <c r="BN964" i="1"/>
  <c r="BO964" i="1" s="1" a="1"/>
  <c r="BO964" i="1" s="1"/>
  <c r="BV883" i="1"/>
  <c r="BN883" i="1"/>
  <c r="BO883" i="1" s="1" a="1"/>
  <c r="BO883" i="1" s="1"/>
  <c r="BV882" i="1"/>
  <c r="BV772" i="1"/>
  <c r="BN772" i="1"/>
  <c r="BO772" i="1" s="1" a="1"/>
  <c r="BO772" i="1" s="1"/>
  <c r="BN341" i="1"/>
  <c r="BO341" i="1" s="1" a="1"/>
  <c r="BO341" i="1" s="1"/>
  <c r="BN887" i="1"/>
  <c r="BO887" i="1" s="1" a="1"/>
  <c r="BO887" i="1" s="1"/>
  <c r="BN513" i="1"/>
  <c r="BO513" i="1" s="1" a="1"/>
  <c r="BO513" i="1" s="1"/>
  <c r="BN630" i="1"/>
  <c r="BO630" i="1" s="1" a="1"/>
  <c r="BO630" i="1" s="1"/>
  <c r="BN948" i="1"/>
  <c r="BO948" i="1" s="1" a="1"/>
  <c r="BO948" i="1" s="1"/>
  <c r="BN783" i="1"/>
  <c r="BO783" i="1" s="1" a="1"/>
  <c r="BO783" i="1" s="1"/>
  <c r="BN815" i="1"/>
  <c r="BO815" i="1" s="1" a="1"/>
  <c r="BO815" i="1" s="1"/>
  <c r="BN477" i="1"/>
  <c r="BO477" i="1" s="1" a="1"/>
  <c r="BO477" i="1" s="1"/>
  <c r="BN486" i="1"/>
  <c r="BO486" i="1" s="1" a="1"/>
  <c r="BO486" i="1" s="1"/>
  <c r="BN192" i="1"/>
  <c r="BO192" i="1" s="1" a="1"/>
  <c r="BO192" i="1" s="1"/>
  <c r="BN127" i="1"/>
  <c r="BO127" i="1" s="1" a="1"/>
  <c r="BO127" i="1" s="1"/>
  <c r="BN131" i="1"/>
  <c r="BO131" i="1" s="1" a="1"/>
  <c r="BO131" i="1" s="1"/>
  <c r="BN620" i="1"/>
  <c r="BO620" i="1" s="1" a="1"/>
  <c r="BO620" i="1" s="1"/>
  <c r="BN379" i="1"/>
  <c r="BO379" i="1" s="1" a="1"/>
  <c r="BO379" i="1" s="1"/>
  <c r="BN345" i="1"/>
  <c r="BO345" i="1" s="1" a="1"/>
  <c r="BO345" i="1" s="1"/>
  <c r="BN750" i="1"/>
  <c r="BO750" i="1" s="1" a="1"/>
  <c r="BO750" i="1" s="1"/>
  <c r="BN196" i="1"/>
  <c r="BO196" i="1" s="1" a="1"/>
  <c r="BO196" i="1" s="1"/>
  <c r="BN653" i="1"/>
  <c r="BO653" i="1" s="1" a="1"/>
  <c r="BO653" i="1" s="1"/>
  <c r="BN363" i="1"/>
  <c r="BO363" i="1" s="1" a="1"/>
  <c r="BO363" i="1" s="1"/>
  <c r="BN365" i="1"/>
  <c r="BO365" i="1" s="1" a="1"/>
  <c r="BO365" i="1" s="1"/>
  <c r="BN386" i="1"/>
  <c r="BO386" i="1" s="1" a="1"/>
  <c r="BO386" i="1" s="1"/>
  <c r="BN956" i="1"/>
  <c r="BO956" i="1" s="1" a="1"/>
  <c r="BO956" i="1" s="1"/>
  <c r="BV218" i="1"/>
  <c r="BN218" i="1"/>
  <c r="BO218" i="1" a="1"/>
  <c r="BO218" i="1" s="1"/>
  <c r="BV277" i="1"/>
  <c r="BN277" i="1"/>
  <c r="BO277" i="1" s="1" a="1"/>
  <c r="BO277" i="1" s="1"/>
  <c r="BV288" i="1"/>
  <c r="BV289" i="1"/>
  <c r="BV304" i="1"/>
  <c r="BN304" i="1"/>
  <c r="BO304" i="1" a="1"/>
  <c r="BO304" i="1" s="1"/>
  <c r="BV322" i="1"/>
  <c r="BN322" i="1"/>
  <c r="BO322" i="1" s="1" a="1"/>
  <c r="BO322" i="1" s="1"/>
  <c r="BV346" i="1"/>
  <c r="BN346" i="1"/>
  <c r="BO346" i="1" a="1"/>
  <c r="BO346" i="1" s="1"/>
  <c r="BV360" i="1"/>
  <c r="BN360" i="1"/>
  <c r="BO360" i="1" s="1" a="1"/>
  <c r="BO360" i="1" s="1"/>
  <c r="BV370" i="1"/>
  <c r="BV397" i="1"/>
  <c r="BN397" i="1"/>
  <c r="BO397" i="1" s="1" a="1"/>
  <c r="BO397" i="1" s="1"/>
  <c r="BV462" i="1"/>
  <c r="BN462" i="1"/>
  <c r="BO462" i="1" s="1" a="1"/>
  <c r="BO462" i="1" s="1"/>
  <c r="BV619" i="1"/>
  <c r="BN619" i="1"/>
  <c r="BO619" i="1" s="1" a="1"/>
  <c r="BO619" i="1" s="1"/>
  <c r="BV729" i="1"/>
  <c r="BV745" i="1"/>
  <c r="BN745" i="1"/>
  <c r="BO745" i="1" s="1" a="1"/>
  <c r="BO745" i="1" s="1"/>
  <c r="BV760" i="1"/>
  <c r="BN760" i="1"/>
  <c r="BO760" i="1" s="1" a="1"/>
  <c r="BO760" i="1" s="1"/>
  <c r="BV833" i="1"/>
  <c r="BN833" i="1"/>
  <c r="BO833" i="1" a="1"/>
  <c r="BO833" i="1" s="1"/>
  <c r="BV914" i="1"/>
  <c r="BN914" i="1"/>
  <c r="BO914" i="1" s="1" a="1"/>
  <c r="BO914" i="1" s="1"/>
  <c r="BV978" i="1"/>
  <c r="BV991" i="1"/>
  <c r="BN991" i="1"/>
  <c r="BO991" i="1" s="1" a="1"/>
  <c r="BO991" i="1" s="1"/>
  <c r="BV5" i="1"/>
  <c r="BN5" i="1"/>
  <c r="BO5" i="1" s="1" a="1"/>
  <c r="BO5" i="1" s="1"/>
  <c r="BV135" i="1"/>
  <c r="BN135" i="1"/>
  <c r="BO135" i="1" s="1" a="1"/>
  <c r="BO135" i="1" s="1"/>
  <c r="BV162" i="1"/>
  <c r="BN162" i="1"/>
  <c r="BO162" i="1" s="1" a="1"/>
  <c r="BO162" i="1" s="1"/>
  <c r="BV216" i="1"/>
  <c r="BN216" i="1"/>
  <c r="BO216" i="1" s="1" a="1"/>
  <c r="BO216" i="1" s="1"/>
  <c r="BV307" i="1"/>
  <c r="BV332" i="1"/>
  <c r="BN332" i="1"/>
  <c r="BO332" i="1" s="1" a="1"/>
  <c r="BO332" i="1" s="1"/>
  <c r="BV378" i="1"/>
  <c r="BN378" i="1"/>
  <c r="BO378" i="1" s="1" a="1"/>
  <c r="BO378" i="1" s="1"/>
  <c r="BV633" i="1"/>
  <c r="BN633" i="1"/>
  <c r="BO633" i="1" a="1"/>
  <c r="BO633" i="1" s="1"/>
  <c r="BV644" i="1"/>
  <c r="BV664" i="1"/>
  <c r="BN664" i="1"/>
  <c r="BO664" i="1" a="1"/>
  <c r="BO664" i="1" s="1"/>
  <c r="BV672" i="1"/>
  <c r="BN672" i="1"/>
  <c r="BO672" i="1" s="1" a="1"/>
  <c r="BO672" i="1" s="1"/>
  <c r="BV675" i="1"/>
  <c r="BV703" i="1"/>
  <c r="BN703" i="1"/>
  <c r="BO703" i="1" s="1" a="1"/>
  <c r="BO703" i="1" s="1"/>
  <c r="BV710" i="1"/>
  <c r="BN710" i="1"/>
  <c r="BO710" i="1" a="1"/>
  <c r="BO710" i="1" s="1"/>
  <c r="BV728" i="1"/>
  <c r="BN728" i="1"/>
  <c r="BO728" i="1" s="1" a="1"/>
  <c r="BO728" i="1" s="1"/>
  <c r="BV742" i="1"/>
  <c r="BN742" i="1"/>
  <c r="BO742" i="1" a="1"/>
  <c r="BO742" i="1" s="1"/>
  <c r="BV837" i="1"/>
  <c r="BN837" i="1"/>
  <c r="BO837" i="1" s="1" a="1"/>
  <c r="BO837" i="1" s="1"/>
  <c r="BV377" i="1"/>
  <c r="BN377" i="1"/>
  <c r="BO377" i="1" s="1" a="1"/>
  <c r="BO377" i="1" s="1"/>
  <c r="AJ1012" i="1"/>
  <c r="R408" i="1"/>
  <c r="R383" i="1"/>
  <c r="R889" i="1"/>
  <c r="R460" i="1"/>
  <c r="F623" i="1"/>
  <c r="O623" i="1" s="1"/>
  <c r="AP317" i="1"/>
  <c r="AD538" i="1"/>
  <c r="BB432" i="1"/>
  <c r="F940" i="1"/>
  <c r="O940" i="1" s="1"/>
  <c r="R932" i="1"/>
  <c r="AP715" i="1"/>
  <c r="R414" i="1"/>
  <c r="F921" i="1"/>
  <c r="O921" i="1" s="1"/>
  <c r="F848" i="1"/>
  <c r="O848" i="1" s="1"/>
  <c r="R405" i="1"/>
  <c r="AD1001" i="1"/>
  <c r="AD744" i="1"/>
  <c r="F939" i="1"/>
  <c r="O939" i="1" s="1"/>
  <c r="AP730" i="1"/>
  <c r="AD436" i="1"/>
  <c r="BB652" i="1"/>
  <c r="BB856" i="1"/>
  <c r="R605" i="1"/>
  <c r="AD491" i="1"/>
  <c r="AP470" i="1"/>
  <c r="AP1003" i="1"/>
  <c r="AD852" i="1"/>
  <c r="BB930" i="1"/>
  <c r="F908" i="1"/>
  <c r="O908" i="1" s="1"/>
  <c r="AD368" i="1"/>
  <c r="AD745" i="1"/>
  <c r="AP329" i="1"/>
  <c r="BB821" i="1"/>
  <c r="F872" i="1"/>
  <c r="O872" i="1" s="1"/>
  <c r="AD933" i="1"/>
  <c r="BB344" i="1"/>
  <c r="AD954" i="1"/>
  <c r="BB693" i="1"/>
  <c r="F713" i="1"/>
  <c r="O713" i="1" s="1"/>
  <c r="AD796" i="1"/>
  <c r="AP682" i="1"/>
  <c r="BB774" i="1"/>
  <c r="AD998" i="1"/>
  <c r="BB898" i="1"/>
  <c r="R846" i="1"/>
  <c r="AD897" i="1"/>
  <c r="AD812" i="1"/>
  <c r="F927" i="1"/>
  <c r="O927" i="1" s="1"/>
  <c r="BB949" i="1"/>
  <c r="F447" i="1"/>
  <c r="O447" i="1" s="1"/>
  <c r="F620" i="1"/>
  <c r="O620" i="1" s="1"/>
  <c r="BB956" i="1"/>
  <c r="AD563" i="1"/>
  <c r="BB997" i="1"/>
  <c r="AP54" i="1"/>
  <c r="AD706" i="1"/>
  <c r="R688" i="1"/>
  <c r="BB311" i="1"/>
  <c r="F648" i="1"/>
  <c r="O648" i="1" s="1"/>
  <c r="R820" i="1"/>
  <c r="F212" i="1"/>
  <c r="O212" i="1" s="1"/>
  <c r="AP723" i="1"/>
  <c r="F268" i="1"/>
  <c r="O268" i="1" s="1"/>
  <c r="AP551" i="1"/>
  <c r="AP478" i="1"/>
  <c r="BB453" i="1"/>
  <c r="R470" i="1"/>
  <c r="R742" i="1"/>
  <c r="AD809" i="1"/>
  <c r="AD945" i="1"/>
  <c r="R977" i="1"/>
  <c r="AP443" i="1"/>
  <c r="AD838" i="1"/>
  <c r="AD866" i="1"/>
  <c r="F379" i="1"/>
  <c r="O379" i="1" s="1"/>
  <c r="AP844" i="1"/>
  <c r="BB692" i="1"/>
  <c r="R783" i="1"/>
  <c r="BB168" i="1"/>
  <c r="AP283" i="1"/>
  <c r="BB238" i="1"/>
  <c r="R971" i="1"/>
  <c r="F973" i="1"/>
  <c r="O973" i="1" s="1"/>
  <c r="AD777" i="1"/>
  <c r="R830" i="1"/>
  <c r="AP867" i="1"/>
  <c r="AD977" i="1"/>
  <c r="R868" i="1"/>
  <c r="AP83" i="1"/>
  <c r="AP850" i="1"/>
  <c r="AD855" i="1"/>
  <c r="AD983" i="1"/>
  <c r="AD826" i="1"/>
  <c r="R254" i="1"/>
  <c r="BB667" i="1"/>
  <c r="BB826" i="1"/>
  <c r="AD863" i="1"/>
  <c r="AD490" i="1"/>
  <c r="F978" i="1"/>
  <c r="O978" i="1" s="1"/>
  <c r="AP816" i="1"/>
  <c r="BB450" i="1"/>
  <c r="AP782" i="1"/>
  <c r="AP957" i="1"/>
  <c r="AP998" i="1"/>
  <c r="AD898" i="1"/>
  <c r="R845" i="1"/>
  <c r="F987" i="1"/>
  <c r="O987" i="1" s="1"/>
  <c r="BB978" i="1"/>
  <c r="F543" i="1"/>
  <c r="O543" i="1" s="1"/>
  <c r="R939" i="1"/>
  <c r="R947" i="1"/>
  <c r="R636" i="1"/>
  <c r="R948" i="1"/>
  <c r="R988" i="1"/>
  <c r="AD948" i="1"/>
  <c r="AP801" i="1"/>
  <c r="BB945" i="1"/>
  <c r="R926" i="1"/>
  <c r="BB840" i="1"/>
  <c r="AD829" i="1"/>
  <c r="AP429" i="1"/>
  <c r="BB890" i="1"/>
  <c r="AD975" i="1"/>
  <c r="R960" i="1"/>
  <c r="AP636" i="1"/>
  <c r="BB15" i="1"/>
  <c r="AD138" i="1"/>
  <c r="F271" i="1"/>
  <c r="O271" i="1" s="1"/>
  <c r="AD676" i="1"/>
  <c r="R915" i="1"/>
  <c r="R900" i="1"/>
  <c r="AP993" i="1"/>
  <c r="BB636" i="1"/>
  <c r="AP994" i="1"/>
  <c r="R968" i="1"/>
  <c r="AP1005" i="1"/>
  <c r="AP1001" i="1"/>
  <c r="AD746" i="1"/>
  <c r="AD476" i="1"/>
  <c r="AD807" i="1"/>
  <c r="AP908" i="1"/>
  <c r="BB969" i="1"/>
  <c r="F733" i="1"/>
  <c r="O733" i="1" s="1"/>
  <c r="AD872" i="1"/>
  <c r="AD94" i="1"/>
  <c r="AD813" i="1"/>
  <c r="R876" i="1"/>
  <c r="R219" i="1"/>
  <c r="AP286" i="1"/>
  <c r="F94" i="1"/>
  <c r="O94" i="1" s="1"/>
  <c r="AP944" i="1"/>
  <c r="BB988" i="1"/>
  <c r="AP999" i="1"/>
  <c r="BB991" i="1"/>
  <c r="R929" i="1"/>
  <c r="AD960" i="1"/>
  <c r="BB843" i="1"/>
  <c r="R808" i="1"/>
  <c r="AP947" i="1"/>
  <c r="AP980" i="1"/>
  <c r="AD984" i="1"/>
  <c r="AD677" i="1"/>
  <c r="BB11" i="1"/>
  <c r="AP619" i="1"/>
  <c r="BB974" i="1"/>
  <c r="F876" i="1"/>
  <c r="O876" i="1" s="1"/>
  <c r="BB750" i="1"/>
  <c r="AP933" i="1"/>
  <c r="AD1005" i="1"/>
  <c r="AD979" i="1"/>
  <c r="F810" i="1"/>
  <c r="O810" i="1" s="1"/>
  <c r="AP920" i="1"/>
  <c r="AD949" i="1"/>
  <c r="AP975" i="1"/>
  <c r="AP932" i="1"/>
  <c r="F682" i="1"/>
  <c r="O682" i="1" s="1"/>
  <c r="AD878" i="1"/>
  <c r="F772" i="1"/>
  <c r="O772" i="1" s="1"/>
  <c r="AD888" i="1"/>
  <c r="F988" i="1"/>
  <c r="O988" i="1" s="1"/>
  <c r="AA988" i="1" s="1"/>
  <c r="F875" i="1"/>
  <c r="O875" i="1" s="1"/>
  <c r="AP602" i="1"/>
  <c r="R910" i="1"/>
  <c r="AD955" i="1"/>
  <c r="AD642" i="1"/>
  <c r="F960" i="1"/>
  <c r="O960" i="1" s="1"/>
  <c r="AA960" i="1" s="1"/>
  <c r="AM960" i="1" s="1"/>
  <c r="F866" i="1"/>
  <c r="O866" i="1" s="1"/>
  <c r="R681" i="1"/>
  <c r="AP910" i="1"/>
  <c r="BB780" i="1"/>
  <c r="AP142" i="1"/>
  <c r="AP913" i="1"/>
  <c r="AP763" i="1"/>
  <c r="F980" i="1"/>
  <c r="O980" i="1" s="1"/>
  <c r="R238" i="1"/>
  <c r="AP661" i="1"/>
  <c r="F712" i="1"/>
  <c r="O712" i="1" s="1"/>
  <c r="BB915" i="1"/>
  <c r="F905" i="1"/>
  <c r="O905" i="1" s="1"/>
  <c r="F967" i="1"/>
  <c r="O967" i="1" s="1"/>
  <c r="AP696" i="1"/>
  <c r="AD814" i="1"/>
  <c r="AD800" i="1"/>
  <c r="AP306" i="1"/>
  <c r="F570" i="1"/>
  <c r="O570" i="1" s="1"/>
  <c r="AP872" i="1"/>
  <c r="BB529" i="1"/>
  <c r="F555" i="1"/>
  <c r="O555" i="1" s="1"/>
  <c r="F548" i="1"/>
  <c r="O548" i="1" s="1"/>
  <c r="F797" i="1"/>
  <c r="O797" i="1" s="1"/>
  <c r="R672" i="1"/>
  <c r="R114" i="1"/>
  <c r="BB302" i="1"/>
  <c r="AP704" i="1"/>
  <c r="BB306" i="1"/>
  <c r="AP550" i="1"/>
  <c r="AP218" i="1"/>
  <c r="BB659" i="1"/>
  <c r="R990" i="1"/>
  <c r="BB854" i="1"/>
  <c r="R991" i="1"/>
  <c r="AP984" i="1"/>
  <c r="F1002" i="1"/>
  <c r="O1002" i="1" s="1"/>
  <c r="AP386" i="1"/>
  <c r="BB389" i="1"/>
  <c r="AD220" i="1"/>
  <c r="AD165" i="1"/>
  <c r="F539" i="1"/>
  <c r="O539" i="1" s="1"/>
  <c r="BB797" i="1"/>
  <c r="BB986" i="1"/>
  <c r="F974" i="1"/>
  <c r="O974" i="1" s="1"/>
  <c r="BB923" i="1"/>
  <c r="AD832" i="1"/>
  <c r="F995" i="1"/>
  <c r="O995" i="1" s="1"/>
  <c r="AD620" i="1"/>
  <c r="R975" i="1"/>
  <c r="R659" i="1"/>
  <c r="R388" i="1"/>
  <c r="F89" i="1"/>
  <c r="O89" i="1" s="1"/>
  <c r="AP832" i="1"/>
  <c r="R726" i="1"/>
  <c r="AD914" i="1"/>
  <c r="R877" i="1"/>
  <c r="F652" i="1"/>
  <c r="O652" i="1" s="1"/>
  <c r="R993" i="1"/>
  <c r="R972" i="1"/>
  <c r="AP991" i="1"/>
  <c r="AD535" i="1"/>
  <c r="AP143" i="1"/>
  <c r="R924" i="1"/>
  <c r="R919" i="1"/>
  <c r="R978" i="1"/>
  <c r="F780" i="1"/>
  <c r="O780" i="1" s="1"/>
  <c r="AD942" i="1"/>
  <c r="F943" i="1"/>
  <c r="O943" i="1" s="1"/>
  <c r="BB943" i="1"/>
  <c r="R896" i="1"/>
  <c r="F643" i="1"/>
  <c r="O643" i="1" s="1"/>
  <c r="BB815" i="1"/>
  <c r="F964" i="1"/>
  <c r="O964" i="1" s="1"/>
  <c r="AD991" i="1"/>
  <c r="AD842" i="1"/>
  <c r="AD849" i="1"/>
  <c r="BB471" i="1"/>
  <c r="BB54" i="1"/>
  <c r="BB993" i="1"/>
  <c r="R795" i="1"/>
  <c r="R843" i="1"/>
  <c r="AP938" i="1"/>
  <c r="AP995" i="1"/>
  <c r="R887" i="1"/>
  <c r="R807" i="1"/>
  <c r="AD943" i="1"/>
  <c r="BB939" i="1"/>
  <c r="AD805" i="1"/>
  <c r="R619" i="1"/>
  <c r="BB258" i="1"/>
  <c r="BB688" i="1"/>
  <c r="AD929" i="1"/>
  <c r="F975" i="1"/>
  <c r="O975" i="1" s="1"/>
  <c r="R998" i="1"/>
  <c r="F886" i="1"/>
  <c r="O886" i="1" s="1"/>
  <c r="AD696" i="1"/>
  <c r="AP960" i="1"/>
  <c r="AD926" i="1"/>
  <c r="F944" i="1"/>
  <c r="O944" i="1" s="1"/>
  <c r="R555" i="1"/>
  <c r="F920" i="1"/>
  <c r="O920" i="1" s="1"/>
  <c r="F816" i="1"/>
  <c r="O816" i="1" s="1"/>
  <c r="R521" i="1"/>
  <c r="AP917" i="1"/>
  <c r="BB766" i="1"/>
  <c r="R373" i="1"/>
  <c r="BB924" i="1"/>
  <c r="F731" i="1"/>
  <c r="O731" i="1" s="1"/>
  <c r="AD972" i="1"/>
  <c r="BB899" i="1"/>
  <c r="AD287" i="1"/>
  <c r="R505" i="1"/>
  <c r="BB225" i="1"/>
  <c r="AD944" i="1"/>
  <c r="R29" i="1"/>
  <c r="F911" i="1"/>
  <c r="O911" i="1" s="1"/>
  <c r="BB842" i="1"/>
  <c r="BB759" i="1"/>
  <c r="BB430" i="1"/>
  <c r="AP846" i="1"/>
  <c r="BB631" i="1"/>
  <c r="BB457" i="1"/>
  <c r="F774" i="1"/>
  <c r="O774" i="1" s="1"/>
  <c r="F756" i="1"/>
  <c r="O756" i="1" s="1"/>
  <c r="F878" i="1"/>
  <c r="O878" i="1" s="1"/>
  <c r="AP510" i="1"/>
  <c r="AP646" i="1"/>
  <c r="AD769" i="1"/>
  <c r="AP506" i="1"/>
  <c r="AP540" i="1"/>
  <c r="AP375" i="1"/>
  <c r="BB351" i="1"/>
  <c r="F491" i="1"/>
  <c r="O491" i="1" s="1"/>
  <c r="AP989" i="1"/>
  <c r="F513" i="1"/>
  <c r="O513" i="1" s="1"/>
  <c r="R850" i="1"/>
  <c r="AD968" i="1"/>
  <c r="AD30" i="1"/>
  <c r="R169" i="1"/>
  <c r="AP634" i="1"/>
  <c r="BB304" i="1"/>
  <c r="R465" i="1"/>
  <c r="AP628" i="1"/>
  <c r="AD767" i="1"/>
  <c r="BB651" i="1"/>
  <c r="F696" i="1"/>
  <c r="O696" i="1" s="1"/>
  <c r="AP331" i="1"/>
  <c r="R643" i="1"/>
  <c r="BB444" i="1"/>
  <c r="F545" i="1"/>
  <c r="O545" i="1" s="1"/>
  <c r="BB482" i="1"/>
  <c r="BB517" i="1"/>
  <c r="R753" i="1"/>
  <c r="AP459" i="1"/>
  <c r="BB129" i="1"/>
  <c r="BB626" i="1"/>
  <c r="R635" i="1"/>
  <c r="R858" i="1"/>
  <c r="BB770" i="1"/>
  <c r="R363" i="1"/>
  <c r="BB313" i="1"/>
  <c r="F812" i="1"/>
  <c r="O812" i="1" s="1"/>
  <c r="F614" i="1"/>
  <c r="O614" i="1" s="1"/>
  <c r="F476" i="1"/>
  <c r="O476" i="1" s="1"/>
  <c r="BB679" i="1"/>
  <c r="F530" i="1"/>
  <c r="O530" i="1" s="1"/>
  <c r="F541" i="1"/>
  <c r="O541" i="1" s="1"/>
  <c r="BB610" i="1"/>
  <c r="AD615" i="1"/>
  <c r="AD723" i="1"/>
  <c r="F687" i="1"/>
  <c r="O687" i="1" s="1"/>
  <c r="R530" i="1"/>
  <c r="R292" i="1"/>
  <c r="R188" i="1"/>
  <c r="F266" i="1"/>
  <c r="O266" i="1" s="1"/>
  <c r="AP474" i="1"/>
  <c r="AP472" i="1"/>
  <c r="AD480" i="1"/>
  <c r="AP294" i="1"/>
  <c r="AD550" i="1"/>
  <c r="AP149" i="1"/>
  <c r="BB562" i="1"/>
  <c r="R558" i="1"/>
  <c r="AD766" i="1"/>
  <c r="AP848" i="1"/>
  <c r="AD864" i="1"/>
  <c r="BB819" i="1"/>
  <c r="AP310" i="1"/>
  <c r="AP524" i="1"/>
  <c r="F820" i="1"/>
  <c r="O820" i="1" s="1"/>
  <c r="R765" i="1"/>
  <c r="AP881" i="1"/>
  <c r="AD633" i="1"/>
  <c r="R825" i="1"/>
  <c r="F228" i="1"/>
  <c r="O228" i="1" s="1"/>
  <c r="AP278" i="1"/>
  <c r="AD460" i="1"/>
  <c r="F786" i="1"/>
  <c r="O786" i="1" s="1"/>
  <c r="R751" i="1"/>
  <c r="F919" i="1"/>
  <c r="O919" i="1" s="1"/>
  <c r="AA919" i="1" s="1"/>
  <c r="BB831" i="1"/>
  <c r="BB870" i="1"/>
  <c r="R264" i="1"/>
  <c r="F238" i="1"/>
  <c r="O238" i="1" s="1"/>
  <c r="AP410" i="1"/>
  <c r="R546" i="1"/>
  <c r="R716" i="1"/>
  <c r="AP1002" i="1"/>
  <c r="AD1006" i="1"/>
  <c r="AD219" i="1"/>
  <c r="AP285" i="1"/>
  <c r="AP377" i="1"/>
  <c r="AD743" i="1"/>
  <c r="R38" i="1"/>
  <c r="AP534" i="1"/>
  <c r="R160" i="1"/>
  <c r="BB429" i="1"/>
  <c r="AD95" i="1"/>
  <c r="AD202" i="1"/>
  <c r="BB26" i="1"/>
  <c r="F161" i="1"/>
  <c r="O161" i="1" s="1"/>
  <c r="BB723" i="1"/>
  <c r="R454" i="1"/>
  <c r="R183" i="1"/>
  <c r="AD612" i="1"/>
  <c r="AD255" i="1"/>
  <c r="R233" i="1"/>
  <c r="BB203" i="1"/>
  <c r="AD251" i="1"/>
  <c r="AP251" i="1"/>
  <c r="BB265" i="1"/>
  <c r="AD861" i="1"/>
  <c r="R861" i="1"/>
  <c r="R835" i="1"/>
  <c r="AP861" i="1"/>
  <c r="F253" i="1"/>
  <c r="O253" i="1" s="1"/>
  <c r="AP426" i="1"/>
  <c r="AD811" i="1"/>
  <c r="F754" i="1"/>
  <c r="O754" i="1" s="1"/>
  <c r="F664" i="1"/>
  <c r="O664" i="1" s="1"/>
  <c r="AD442" i="1"/>
  <c r="R841" i="1"/>
  <c r="F143" i="1"/>
  <c r="O143" i="1" s="1"/>
  <c r="F145" i="1"/>
  <c r="O145" i="1" s="1"/>
  <c r="AD124" i="1"/>
  <c r="F449" i="1"/>
  <c r="O449" i="1" s="1"/>
  <c r="BB456" i="1"/>
  <c r="BB548" i="1"/>
  <c r="BB567" i="1"/>
  <c r="AD754" i="1"/>
  <c r="F632" i="1"/>
  <c r="O632" i="1" s="1"/>
  <c r="BB728" i="1"/>
  <c r="F725" i="1"/>
  <c r="O725" i="1" s="1"/>
  <c r="R686" i="1"/>
  <c r="AP798" i="1"/>
  <c r="F617" i="1"/>
  <c r="O617" i="1" s="1"/>
  <c r="BB621" i="1"/>
  <c r="BB769" i="1"/>
  <c r="AP71" i="1"/>
  <c r="BB261" i="1"/>
  <c r="AP121" i="1"/>
  <c r="BB339" i="1"/>
  <c r="AP156" i="1"/>
  <c r="AD212" i="1"/>
  <c r="F206" i="1"/>
  <c r="O206" i="1" s="1"/>
  <c r="BB84" i="1"/>
  <c r="F428" i="1"/>
  <c r="O428" i="1" s="1"/>
  <c r="R626" i="1"/>
  <c r="F611" i="1"/>
  <c r="O611" i="1" s="1"/>
  <c r="F855" i="1"/>
  <c r="O855" i="1" s="1"/>
  <c r="AD616" i="1"/>
  <c r="BB216" i="1"/>
  <c r="BB121" i="1"/>
  <c r="BB536" i="1"/>
  <c r="R95" i="1"/>
  <c r="F558" i="1"/>
  <c r="O558" i="1" s="1"/>
  <c r="AP530" i="1"/>
  <c r="AP735" i="1"/>
  <c r="BB816" i="1"/>
  <c r="BB830" i="1"/>
  <c r="F727" i="1"/>
  <c r="O727" i="1" s="1"/>
  <c r="AD733" i="1"/>
  <c r="R699" i="1"/>
  <c r="AP532" i="1"/>
  <c r="AD843" i="1"/>
  <c r="AD453" i="1"/>
  <c r="BB725" i="1"/>
  <c r="AD421" i="1"/>
  <c r="R625" i="1"/>
  <c r="AD648" i="1"/>
  <c r="AP515" i="1"/>
  <c r="AD753" i="1"/>
  <c r="AP477" i="1"/>
  <c r="AD768" i="1"/>
  <c r="R729" i="1"/>
  <c r="AP107" i="1"/>
  <c r="F7" i="1"/>
  <c r="O7" i="1" s="1"/>
  <c r="AP16" i="1"/>
  <c r="F209" i="1"/>
  <c r="O209" i="1" s="1"/>
  <c r="F111" i="1"/>
  <c r="O111" i="1" s="1"/>
  <c r="R194" i="1"/>
  <c r="F321" i="1"/>
  <c r="O321" i="1" s="1"/>
  <c r="AP707" i="1"/>
  <c r="AD282" i="1"/>
  <c r="F612" i="1"/>
  <c r="O612" i="1" s="1"/>
  <c r="R240" i="1"/>
  <c r="R237" i="1"/>
  <c r="R253" i="1"/>
  <c r="F609" i="1"/>
  <c r="O609" i="1" s="1"/>
  <c r="AP253" i="1"/>
  <c r="AD609" i="1"/>
  <c r="BB861" i="1"/>
  <c r="AD835" i="1"/>
  <c r="F323" i="1"/>
  <c r="O323" i="1" s="1"/>
  <c r="AP663" i="1"/>
  <c r="AD668" i="1"/>
  <c r="AD189" i="1"/>
  <c r="AD70" i="1"/>
  <c r="F186" i="1"/>
  <c r="O186" i="1" s="1"/>
  <c r="BB163" i="1"/>
  <c r="AP498" i="1"/>
  <c r="AD686" i="1"/>
  <c r="R750" i="1"/>
  <c r="BB790" i="1"/>
  <c r="AP777" i="1"/>
  <c r="AP727" i="1"/>
  <c r="AP658" i="1"/>
  <c r="AP398" i="1"/>
  <c r="F281" i="1"/>
  <c r="O281" i="1" s="1"/>
  <c r="AP154" i="1"/>
  <c r="AD274" i="1"/>
  <c r="F213" i="1"/>
  <c r="O213" i="1" s="1"/>
  <c r="AD221" i="1"/>
  <c r="R374" i="1"/>
  <c r="BB521" i="1"/>
  <c r="F662" i="1"/>
  <c r="O662" i="1" s="1"/>
  <c r="BB737" i="1"/>
  <c r="F621" i="1"/>
  <c r="O621" i="1" s="1"/>
  <c r="R458" i="1"/>
  <c r="BB460" i="1"/>
  <c r="BB386" i="1"/>
  <c r="AD356" i="1"/>
  <c r="AP504" i="1"/>
  <c r="AD736" i="1"/>
  <c r="F646" i="1"/>
  <c r="O646" i="1" s="1"/>
  <c r="BB768" i="1"/>
  <c r="AP749" i="1"/>
  <c r="R622" i="1"/>
  <c r="F549" i="1"/>
  <c r="O549" i="1" s="1"/>
  <c r="BB454" i="1"/>
  <c r="AD483" i="1"/>
  <c r="AP853" i="1"/>
  <c r="AD785" i="1"/>
  <c r="BB828" i="1"/>
  <c r="AP645" i="1"/>
  <c r="F706" i="1"/>
  <c r="O706" i="1" s="1"/>
  <c r="R492" i="1"/>
  <c r="AD411" i="1"/>
  <c r="BB557" i="1"/>
  <c r="R631" i="1"/>
  <c r="AP600" i="1"/>
  <c r="BB119" i="1"/>
  <c r="F27" i="1"/>
  <c r="O27" i="1" s="1"/>
  <c r="F676" i="1"/>
  <c r="O676" i="1" s="1"/>
  <c r="AD106" i="1"/>
  <c r="AP883" i="1"/>
  <c r="R936" i="1"/>
  <c r="R346" i="1"/>
  <c r="R369" i="1"/>
  <c r="F88" i="1"/>
  <c r="O88" i="1" s="1"/>
  <c r="F665" i="1"/>
  <c r="O665" i="1" s="1"/>
  <c r="R39" i="1"/>
  <c r="R612" i="1"/>
  <c r="R256" i="1"/>
  <c r="AD245" i="1"/>
  <c r="BB835" i="1"/>
  <c r="F835" i="1"/>
  <c r="O835" i="1" s="1"/>
  <c r="AP609" i="1"/>
  <c r="F203" i="1"/>
  <c r="O203" i="1" s="1"/>
  <c r="BB609" i="1"/>
  <c r="F251" i="1"/>
  <c r="O251" i="1" s="1"/>
  <c r="BB289" i="1"/>
  <c r="AD543" i="1"/>
  <c r="F78" i="1"/>
  <c r="O78" i="1" s="1"/>
  <c r="R307" i="1"/>
  <c r="F20" i="1"/>
  <c r="O20" i="1" s="1"/>
  <c r="R440" i="1"/>
  <c r="AD603" i="1"/>
  <c r="AD665" i="1"/>
  <c r="F751" i="1"/>
  <c r="O751" i="1" s="1"/>
  <c r="F736" i="1"/>
  <c r="O736" i="1" s="1"/>
  <c r="F724" i="1"/>
  <c r="O724" i="1" s="1"/>
  <c r="AP825" i="1"/>
  <c r="R564" i="1"/>
  <c r="F603" i="1"/>
  <c r="O603" i="1" s="1"/>
  <c r="R84" i="1"/>
  <c r="R116" i="1"/>
  <c r="R49" i="1"/>
  <c r="BB385" i="1"/>
  <c r="R97" i="1"/>
  <c r="AD273" i="1"/>
  <c r="AD621" i="1"/>
  <c r="AP775" i="1"/>
  <c r="R855" i="1"/>
  <c r="R621" i="1"/>
  <c r="AD504" i="1"/>
  <c r="AP831" i="1"/>
  <c r="AD798" i="1"/>
  <c r="AD447" i="1"/>
  <c r="F550" i="1"/>
  <c r="O550" i="1" s="1"/>
  <c r="AD700" i="1"/>
  <c r="BB624" i="1"/>
  <c r="AP865" i="1"/>
  <c r="R603" i="1"/>
  <c r="BB668" i="1"/>
  <c r="BB571" i="1"/>
  <c r="BB228" i="1"/>
  <c r="AP521" i="1"/>
  <c r="BB976" i="1"/>
  <c r="AD658" i="1"/>
  <c r="BB459" i="1"/>
  <c r="R679" i="1"/>
  <c r="AD571" i="1"/>
  <c r="R851" i="1"/>
  <c r="R495" i="1"/>
  <c r="BB424" i="1"/>
  <c r="AD600" i="1"/>
  <c r="AP685" i="1"/>
  <c r="AD285" i="1"/>
  <c r="R171" i="1"/>
  <c r="F372" i="1"/>
  <c r="O372" i="1" s="1"/>
  <c r="AP614" i="1"/>
  <c r="AP809" i="1"/>
  <c r="R247" i="1"/>
  <c r="F397" i="1"/>
  <c r="O397" i="1" s="1"/>
  <c r="AD474" i="1"/>
  <c r="F363" i="1"/>
  <c r="O363" i="1" s="1"/>
  <c r="AP716" i="1"/>
  <c r="AD652" i="1"/>
  <c r="AD685" i="1"/>
  <c r="F795" i="1"/>
  <c r="O795" i="1" s="1"/>
  <c r="F622" i="1"/>
  <c r="O622" i="1" s="1"/>
  <c r="AP548" i="1"/>
  <c r="AP711" i="1"/>
  <c r="R75" i="1"/>
  <c r="BB254" i="1"/>
  <c r="AP399" i="1"/>
  <c r="AD81" i="1"/>
  <c r="R356" i="1"/>
  <c r="BB612" i="1"/>
  <c r="R609" i="1"/>
  <c r="AP203" i="1"/>
  <c r="R203" i="1"/>
  <c r="AP265" i="1"/>
  <c r="BB712" i="1"/>
  <c r="BB859" i="1"/>
  <c r="BB257" i="1"/>
  <c r="BB893" i="1"/>
  <c r="AD555" i="1"/>
  <c r="F679" i="1"/>
  <c r="O679" i="1" s="1"/>
  <c r="BB744" i="1"/>
  <c r="R680" i="1"/>
  <c r="BB946" i="1"/>
  <c r="AD12" i="1"/>
  <c r="AD278" i="1"/>
  <c r="R214" i="1"/>
  <c r="R822" i="1"/>
  <c r="F869" i="1"/>
  <c r="O869" i="1" s="1"/>
  <c r="R670" i="1"/>
  <c r="AD643" i="1"/>
  <c r="F750" i="1"/>
  <c r="O750" i="1" s="1"/>
  <c r="BB788" i="1"/>
  <c r="R562" i="1"/>
  <c r="BB614" i="1"/>
  <c r="BB663" i="1"/>
  <c r="F480" i="1"/>
  <c r="O480" i="1" s="1"/>
  <c r="AP455" i="1"/>
  <c r="AD660" i="1"/>
  <c r="AP903" i="1"/>
  <c r="F484" i="1"/>
  <c r="O484" i="1" s="1"/>
  <c r="F881" i="1"/>
  <c r="O881" i="1" s="1"/>
  <c r="AD860" i="1"/>
  <c r="F465" i="1"/>
  <c r="O465" i="1" s="1"/>
  <c r="F158" i="1"/>
  <c r="O158" i="1" s="1"/>
  <c r="R545" i="1"/>
  <c r="BB538" i="1"/>
  <c r="AP740" i="1"/>
  <c r="BB653" i="1"/>
  <c r="F605" i="1"/>
  <c r="O605" i="1" s="1"/>
  <c r="R641" i="1"/>
  <c r="BB909" i="1"/>
  <c r="BB249" i="1"/>
  <c r="F564" i="1"/>
  <c r="O564" i="1" s="1"/>
  <c r="AP617" i="1"/>
  <c r="AP854" i="1"/>
  <c r="R627" i="1"/>
  <c r="R812" i="1"/>
  <c r="BB604" i="1"/>
  <c r="AP687" i="1"/>
  <c r="AP736" i="1"/>
  <c r="AD619" i="1"/>
  <c r="AD566" i="1"/>
  <c r="BB554" i="1"/>
  <c r="AD568" i="1"/>
  <c r="R620" i="1"/>
  <c r="AD507" i="1"/>
  <c r="R496" i="1"/>
  <c r="F672" i="1"/>
  <c r="O672" i="1" s="1"/>
  <c r="AA672" i="1" s="1"/>
  <c r="AD127" i="1"/>
  <c r="BB231" i="1"/>
  <c r="F386" i="1"/>
  <c r="O386" i="1" s="1"/>
  <c r="AP497" i="1"/>
  <c r="AP103" i="1"/>
  <c r="R533" i="1"/>
  <c r="BB476" i="1"/>
  <c r="BB247" i="1"/>
  <c r="F346" i="1"/>
  <c r="O346" i="1" s="1"/>
  <c r="AD822" i="1"/>
  <c r="AP720" i="1"/>
  <c r="AD958" i="1"/>
  <c r="AD520" i="1"/>
  <c r="R475" i="1"/>
  <c r="F432" i="1"/>
  <c r="O432" i="1" s="1"/>
  <c r="AD360" i="1"/>
  <c r="F354" i="1"/>
  <c r="O354" i="1" s="1"/>
  <c r="F802" i="1"/>
  <c r="O802" i="1" s="1"/>
  <c r="R735" i="1"/>
  <c r="R996" i="1"/>
  <c r="BB600" i="1"/>
  <c r="R611" i="1"/>
  <c r="R560" i="1"/>
  <c r="BB505" i="1"/>
  <c r="AP414" i="1"/>
  <c r="BB572" i="1"/>
  <c r="R157" i="1"/>
  <c r="R762" i="1"/>
  <c r="BB472" i="1"/>
  <c r="AD469" i="1"/>
  <c r="BB544" i="1"/>
  <c r="BB665" i="1"/>
  <c r="AD742" i="1"/>
  <c r="F817" i="1"/>
  <c r="O817" i="1" s="1"/>
  <c r="AP807" i="1"/>
  <c r="AD663" i="1"/>
  <c r="F775" i="1"/>
  <c r="O775" i="1" s="1"/>
  <c r="F571" i="1"/>
  <c r="O571" i="1" s="1"/>
  <c r="AP607" i="1"/>
  <c r="R616" i="1"/>
  <c r="BB515" i="1"/>
  <c r="AP104" i="1"/>
  <c r="BB230" i="1"/>
  <c r="AD28" i="1"/>
  <c r="R662" i="1"/>
  <c r="R61" i="1"/>
  <c r="BB539" i="1"/>
  <c r="AP649" i="1"/>
  <c r="AD465" i="1"/>
  <c r="R551" i="1"/>
  <c r="AP675" i="1"/>
  <c r="AD703" i="1"/>
  <c r="AD657" i="1"/>
  <c r="F565" i="1"/>
  <c r="O565" i="1" s="1"/>
  <c r="BB721" i="1"/>
  <c r="BB752" i="1"/>
  <c r="AD741" i="1"/>
  <c r="R656" i="1"/>
  <c r="F604" i="1"/>
  <c r="O604" i="1" s="1"/>
  <c r="AP738" i="1"/>
  <c r="R770" i="1"/>
  <c r="R863" i="1"/>
  <c r="AD751" i="1"/>
  <c r="AP838" i="1"/>
  <c r="AD515" i="1"/>
  <c r="AD530" i="1"/>
  <c r="R167" i="1"/>
  <c r="R479" i="1"/>
  <c r="F522" i="1"/>
  <c r="O522" i="1" s="1"/>
  <c r="AD332" i="1"/>
  <c r="R342" i="1"/>
  <c r="R698" i="1"/>
  <c r="BB108" i="1"/>
  <c r="AP273" i="1"/>
  <c r="BB655" i="1"/>
  <c r="BB569" i="1"/>
  <c r="R271" i="1"/>
  <c r="R13" i="1"/>
  <c r="AD265" i="1"/>
  <c r="R251" i="1"/>
  <c r="R265" i="1"/>
  <c r="AP835" i="1"/>
  <c r="R774" i="1"/>
  <c r="AD118" i="1"/>
  <c r="F47" i="1"/>
  <c r="O47" i="1" s="1"/>
  <c r="R519" i="1"/>
  <c r="AP760" i="1"/>
  <c r="BB822" i="1"/>
  <c r="BB779" i="1"/>
  <c r="BB546" i="1"/>
  <c r="BB140" i="1"/>
  <c r="AD86" i="1"/>
  <c r="AD304" i="1"/>
  <c r="AD680" i="1"/>
  <c r="AD708" i="1"/>
  <c r="AP610" i="1"/>
  <c r="F879" i="1"/>
  <c r="O879" i="1" s="1"/>
  <c r="R568" i="1"/>
  <c r="AD604" i="1"/>
  <c r="BB690" i="1"/>
  <c r="F414" i="1"/>
  <c r="O414" i="1" s="1"/>
  <c r="BB283" i="1"/>
  <c r="F456" i="1"/>
  <c r="O456" i="1" s="1"/>
  <c r="AP829" i="1"/>
  <c r="F499" i="1"/>
  <c r="O499" i="1" s="1"/>
  <c r="AP662" i="1"/>
  <c r="F904" i="1"/>
  <c r="O904" i="1" s="1"/>
  <c r="AD479" i="1"/>
  <c r="BB489" i="1"/>
  <c r="F97" i="1"/>
  <c r="O97" i="1" s="1"/>
  <c r="F418" i="1"/>
  <c r="O418" i="1" s="1"/>
  <c r="BB391" i="1"/>
  <c r="AP507" i="1"/>
  <c r="BB617" i="1"/>
  <c r="F644" i="1"/>
  <c r="O644" i="1" s="1"/>
  <c r="AP772" i="1"/>
  <c r="AP660" i="1"/>
  <c r="AD678" i="1"/>
  <c r="AD551" i="1"/>
  <c r="BB72" i="1"/>
  <c r="R536" i="1"/>
  <c r="AD674" i="1"/>
  <c r="AD776" i="1"/>
  <c r="R708" i="1"/>
  <c r="AP714" i="1"/>
  <c r="BB729" i="1"/>
  <c r="R687" i="1"/>
  <c r="BB682" i="1"/>
  <c r="AP767" i="1"/>
  <c r="AP553" i="1"/>
  <c r="R561" i="1"/>
  <c r="BB607" i="1"/>
  <c r="AP568" i="1"/>
  <c r="AD608" i="1"/>
  <c r="R427" i="1"/>
  <c r="F374" i="1"/>
  <c r="O374" i="1" s="1"/>
  <c r="R818" i="1"/>
  <c r="AD122" i="1"/>
  <c r="BB502" i="1"/>
  <c r="AP453" i="1"/>
  <c r="R529" i="1"/>
  <c r="F450" i="1"/>
  <c r="O450" i="1" s="1"/>
  <c r="BB549" i="1"/>
  <c r="AD468" i="1"/>
  <c r="F461" i="1"/>
  <c r="O461" i="1" s="1"/>
  <c r="R895" i="1"/>
  <c r="AD690" i="1"/>
  <c r="F683" i="1"/>
  <c r="O683" i="1" s="1"/>
  <c r="R769" i="1"/>
  <c r="BB438" i="1"/>
  <c r="AP615" i="1"/>
  <c r="BB405" i="1"/>
  <c r="F340" i="1"/>
  <c r="O340" i="1" s="1"/>
  <c r="AP9" i="1"/>
  <c r="AP851" i="1"/>
  <c r="F454" i="1"/>
  <c r="O454" i="1" s="1"/>
  <c r="AD770" i="1"/>
  <c r="BB700" i="1"/>
  <c r="AD634" i="1"/>
  <c r="F538" i="1"/>
  <c r="O538" i="1" s="1"/>
  <c r="AP514" i="1"/>
  <c r="F376" i="1"/>
  <c r="O376" i="1" s="1"/>
  <c r="BB499" i="1"/>
  <c r="R441" i="1"/>
  <c r="AP475" i="1"/>
  <c r="R800" i="1"/>
  <c r="BB418" i="1"/>
  <c r="R677" i="1"/>
  <c r="R569" i="1"/>
  <c r="AP686" i="1"/>
  <c r="BB639" i="1"/>
  <c r="R273" i="1"/>
  <c r="AP718" i="1"/>
  <c r="R644" i="1"/>
  <c r="R632" i="1"/>
  <c r="AD475" i="1"/>
  <c r="BB374" i="1"/>
  <c r="AD867" i="1"/>
  <c r="BB220" i="1"/>
  <c r="F523" i="1"/>
  <c r="O523" i="1" s="1"/>
  <c r="F466" i="1"/>
  <c r="F516" i="1"/>
  <c r="O516" i="1" s="1"/>
  <c r="F607" i="1"/>
  <c r="O607" i="1" s="1"/>
  <c r="AP522" i="1"/>
  <c r="AP667" i="1"/>
  <c r="F635" i="1"/>
  <c r="O635" i="1" s="1"/>
  <c r="AD624" i="1"/>
  <c r="AD717" i="1"/>
  <c r="AP672" i="1"/>
  <c r="AD730" i="1"/>
  <c r="F762" i="1"/>
  <c r="O762" i="1" s="1"/>
  <c r="R629" i="1"/>
  <c r="AP765" i="1"/>
  <c r="R692" i="1"/>
  <c r="F719" i="1"/>
  <c r="O719" i="1" s="1"/>
  <c r="AP745" i="1"/>
  <c r="AP790" i="1"/>
  <c r="R549" i="1"/>
  <c r="F401" i="1"/>
  <c r="O401" i="1" s="1"/>
  <c r="F399" i="1"/>
  <c r="O399" i="1" s="1"/>
  <c r="F468" i="1"/>
  <c r="O468" i="1" s="1"/>
  <c r="BB625" i="1"/>
  <c r="BB541" i="1"/>
  <c r="BB245" i="1"/>
  <c r="R96" i="1"/>
  <c r="AD569" i="1"/>
  <c r="BB375" i="1"/>
  <c r="F121" i="1"/>
  <c r="O121" i="1" s="1"/>
  <c r="AP131" i="1"/>
  <c r="AP674" i="1"/>
  <c r="AP503" i="1"/>
  <c r="BB399" i="1"/>
  <c r="R504" i="1"/>
  <c r="AD412" i="1"/>
  <c r="AD306" i="1"/>
  <c r="F256" i="1"/>
  <c r="O256" i="1" s="1"/>
  <c r="AP64" i="1"/>
  <c r="AP877" i="1"/>
  <c r="R472" i="1"/>
  <c r="R712" i="1"/>
  <c r="BB256" i="1"/>
  <c r="R390" i="1"/>
  <c r="F222" i="1"/>
  <c r="O222" i="1" s="1"/>
  <c r="BB105" i="1"/>
  <c r="AP150" i="1"/>
  <c r="F175" i="1"/>
  <c r="O175" i="1" s="1"/>
  <c r="R599" i="1"/>
  <c r="F482" i="1"/>
  <c r="O482" i="1" s="1"/>
  <c r="AP695" i="1"/>
  <c r="R541" i="1"/>
  <c r="AD250" i="1"/>
  <c r="F192" i="1"/>
  <c r="O192" i="1" s="1"/>
  <c r="R106" i="1"/>
  <c r="F14" i="1"/>
  <c r="O14" i="1" s="1"/>
  <c r="BB147" i="1"/>
  <c r="R151" i="1"/>
  <c r="F234" i="1"/>
  <c r="O234" i="1" s="1"/>
  <c r="AP99" i="1"/>
  <c r="AP78" i="1"/>
  <c r="AD66" i="1"/>
  <c r="F861" i="1"/>
  <c r="O861" i="1" s="1"/>
  <c r="AD203" i="1"/>
  <c r="F572" i="1"/>
  <c r="O572" i="1" s="1"/>
  <c r="AP284" i="1"/>
  <c r="F801" i="1"/>
  <c r="O801" i="1" s="1"/>
  <c r="BB838" i="1"/>
  <c r="AP193" i="1"/>
  <c r="AD234" i="1"/>
  <c r="BB634" i="1"/>
  <c r="BB448" i="1"/>
  <c r="F856" i="1"/>
  <c r="O856" i="1" s="1"/>
  <c r="AP884" i="1"/>
  <c r="BB748" i="1"/>
  <c r="BB660" i="1"/>
  <c r="AD614" i="1"/>
  <c r="AD544" i="1"/>
  <c r="F768" i="1"/>
  <c r="O768" i="1" s="1"/>
  <c r="AD499" i="1"/>
  <c r="AD557" i="1"/>
  <c r="R623" i="1"/>
  <c r="F740" i="1"/>
  <c r="O740" i="1" s="1"/>
  <c r="F424" i="1"/>
  <c r="O424" i="1" s="1"/>
  <c r="AD735" i="1"/>
  <c r="F760" i="1"/>
  <c r="O760" i="1" s="1"/>
  <c r="F618" i="1"/>
  <c r="O618" i="1" s="1"/>
  <c r="BB875" i="1"/>
  <c r="AD710" i="1"/>
  <c r="BB568" i="1"/>
  <c r="F500" i="1"/>
  <c r="O500" i="1" s="1"/>
  <c r="AD641" i="1"/>
  <c r="AD310" i="1"/>
  <c r="AP468" i="1"/>
  <c r="AD450" i="1"/>
  <c r="F274" i="1"/>
  <c r="O274" i="1" s="1"/>
  <c r="AP868" i="1"/>
  <c r="F493" i="1"/>
  <c r="O493" i="1" s="1"/>
  <c r="F330" i="1"/>
  <c r="O330" i="1" s="1"/>
  <c r="BB833" i="1"/>
  <c r="AP874" i="1"/>
  <c r="AP734" i="1"/>
  <c r="AP669" i="1"/>
  <c r="AP457" i="1"/>
  <c r="F553" i="1"/>
  <c r="O553" i="1" s="1"/>
  <c r="F716" i="1"/>
  <c r="O716" i="1" s="1"/>
  <c r="AA716" i="1" s="1"/>
  <c r="F532" i="1"/>
  <c r="O532" i="1" s="1"/>
  <c r="BB786" i="1"/>
  <c r="AD672" i="1"/>
  <c r="AD38" i="1"/>
  <c r="R554" i="1"/>
  <c r="R447" i="1"/>
  <c r="R335" i="1"/>
  <c r="AP231" i="1"/>
  <c r="BB176" i="1"/>
  <c r="F415" i="1"/>
  <c r="O415" i="1" s="1"/>
  <c r="AD632" i="1"/>
  <c r="F563" i="1"/>
  <c r="O563" i="1" s="1"/>
  <c r="BB550" i="1"/>
  <c r="F626" i="1"/>
  <c r="O626" i="1" s="1"/>
  <c r="F690" i="1"/>
  <c r="O690" i="1" s="1"/>
  <c r="AD790" i="1"/>
  <c r="R772" i="1"/>
  <c r="BB657" i="1"/>
  <c r="R508" i="1"/>
  <c r="AP431" i="1"/>
  <c r="F302" i="1"/>
  <c r="O302" i="1" s="1"/>
  <c r="BB449" i="1"/>
  <c r="F45" i="1"/>
  <c r="O45" i="1" s="1"/>
  <c r="AD461" i="1"/>
  <c r="R503" i="1"/>
  <c r="F478" i="1"/>
  <c r="O478" i="1" s="1"/>
  <c r="F366" i="1"/>
  <c r="O366" i="1" s="1"/>
  <c r="F285" i="1"/>
  <c r="O285" i="1" s="1"/>
  <c r="R258" i="1"/>
  <c r="AP70" i="1"/>
  <c r="F694" i="1"/>
  <c r="O694" i="1" s="1"/>
  <c r="R837" i="1"/>
  <c r="R304" i="1"/>
  <c r="R255" i="1"/>
  <c r="AD272" i="1"/>
  <c r="BB161" i="1"/>
  <c r="AP778" i="1"/>
  <c r="R648" i="1"/>
  <c r="AP633" i="1"/>
  <c r="F337" i="1"/>
  <c r="O337" i="1" s="1"/>
  <c r="F177" i="1"/>
  <c r="O177" i="1" s="1"/>
  <c r="F82" i="1"/>
  <c r="O82" i="1" s="1"/>
  <c r="AD290" i="1"/>
  <c r="AP91" i="1"/>
  <c r="F257" i="1"/>
  <c r="O257" i="1" s="1"/>
  <c r="R279" i="1"/>
  <c r="BB417" i="1"/>
  <c r="F445" i="1"/>
  <c r="O445" i="1" s="1"/>
  <c r="AP302" i="1"/>
  <c r="F834" i="1"/>
  <c r="O834" i="1" s="1"/>
  <c r="AP762" i="1"/>
  <c r="AD644" i="1"/>
  <c r="BB764" i="1"/>
  <c r="AD881" i="1"/>
  <c r="BB878" i="1"/>
  <c r="AD617" i="1"/>
  <c r="F547" i="1"/>
  <c r="O547" i="1" s="1"/>
  <c r="F828" i="1"/>
  <c r="O828" i="1" s="1"/>
  <c r="BB687" i="1"/>
  <c r="AP539" i="1"/>
  <c r="BB494" i="1"/>
  <c r="AD15" i="1"/>
  <c r="AD216" i="1"/>
  <c r="AD268" i="1"/>
  <c r="F184" i="1"/>
  <c r="O184" i="1" s="1"/>
  <c r="BB169" i="1"/>
  <c r="R92" i="1"/>
  <c r="F348" i="1"/>
  <c r="O348" i="1" s="1"/>
  <c r="AP133" i="1"/>
  <c r="AP210" i="1"/>
  <c r="R330" i="1"/>
  <c r="AD335" i="1"/>
  <c r="R79" i="1"/>
  <c r="F57" i="1"/>
  <c r="O57" i="1" s="1"/>
  <c r="BB144" i="1"/>
  <c r="AP334" i="1"/>
  <c r="R289" i="1"/>
  <c r="AP517" i="1"/>
  <c r="R639" i="1"/>
  <c r="F448" i="1"/>
  <c r="O448" i="1" s="1"/>
  <c r="BB466" i="1"/>
  <c r="AP642" i="1"/>
  <c r="F634" i="1"/>
  <c r="O634" i="1" s="1"/>
  <c r="AD698" i="1"/>
  <c r="F753" i="1"/>
  <c r="O753" i="1" s="1"/>
  <c r="AA753" i="1" s="1"/>
  <c r="F809" i="1"/>
  <c r="O809" i="1" s="1"/>
  <c r="F793" i="1"/>
  <c r="O793" i="1" s="1"/>
  <c r="R633" i="1"/>
  <c r="AP752" i="1"/>
  <c r="AD705" i="1"/>
  <c r="AD635" i="1"/>
  <c r="F615" i="1"/>
  <c r="O615" i="1" s="1"/>
  <c r="BB818" i="1"/>
  <c r="AP520" i="1"/>
  <c r="BB477" i="1"/>
  <c r="BB480" i="1"/>
  <c r="F504" i="1"/>
  <c r="O504" i="1" s="1"/>
  <c r="AA504" i="1" s="1"/>
  <c r="R516" i="1"/>
  <c r="BB563" i="1"/>
  <c r="R628" i="1"/>
  <c r="R748" i="1"/>
  <c r="BB664" i="1"/>
  <c r="F766" i="1"/>
  <c r="O766" i="1" s="1"/>
  <c r="R878" i="1"/>
  <c r="F689" i="1"/>
  <c r="O689" i="1" s="1"/>
  <c r="AD501" i="1"/>
  <c r="AP207" i="1"/>
  <c r="F412" i="1"/>
  <c r="O412" i="1" s="1"/>
  <c r="BB492" i="1"/>
  <c r="F477" i="1"/>
  <c r="O477" i="1" s="1"/>
  <c r="R468" i="1"/>
  <c r="AP425" i="1"/>
  <c r="F198" i="1"/>
  <c r="O198" i="1" s="1"/>
  <c r="BB406" i="1"/>
  <c r="BB422" i="1"/>
  <c r="AD559" i="1"/>
  <c r="AP481" i="1"/>
  <c r="F481" i="1"/>
  <c r="O481" i="1" s="1"/>
  <c r="F70" i="1"/>
  <c r="O70" i="1" s="1"/>
  <c r="F656" i="1"/>
  <c r="O656" i="1" s="1"/>
  <c r="AD737" i="1"/>
  <c r="AD253" i="1"/>
  <c r="F265" i="1"/>
  <c r="O265" i="1" s="1"/>
  <c r="F681" i="1"/>
  <c r="O681" i="1" s="1"/>
  <c r="AA681" i="1" s="1"/>
  <c r="R727" i="1"/>
  <c r="R658" i="1"/>
  <c r="BB623" i="1"/>
  <c r="AP69" i="1"/>
  <c r="AD135" i="1"/>
  <c r="AP621" i="1"/>
  <c r="AP651" i="1"/>
  <c r="AD731" i="1"/>
  <c r="F223" i="1"/>
  <c r="O223" i="1" s="1"/>
  <c r="BB354" i="1"/>
  <c r="F728" i="1"/>
  <c r="O728" i="1" s="1"/>
  <c r="R235" i="1"/>
  <c r="AD348" i="1"/>
  <c r="AD940" i="1"/>
  <c r="BB654" i="1"/>
  <c r="AD374" i="1"/>
  <c r="BB717" i="1"/>
  <c r="AD518" i="1"/>
  <c r="BB708" i="1"/>
  <c r="AP795" i="1"/>
  <c r="AP811" i="1"/>
  <c r="AP625" i="1"/>
  <c r="BB561" i="1"/>
  <c r="R663" i="1"/>
  <c r="F520" i="1"/>
  <c r="O520" i="1" s="1"/>
  <c r="R689" i="1"/>
  <c r="R426" i="1"/>
  <c r="AD441" i="1"/>
  <c r="AP450" i="1"/>
  <c r="AP259" i="1"/>
  <c r="AD906" i="1"/>
  <c r="AP911" i="1"/>
  <c r="F434" i="1"/>
  <c r="O434" i="1" s="1"/>
  <c r="R294" i="1"/>
  <c r="AD875" i="1"/>
  <c r="R908" i="1"/>
  <c r="AD627" i="1"/>
  <c r="F625" i="1"/>
  <c r="O625" i="1" s="1"/>
  <c r="F362" i="1"/>
  <c r="O362" i="1" s="1"/>
  <c r="AD444" i="1"/>
  <c r="R538" i="1"/>
  <c r="AP709" i="1"/>
  <c r="BB791" i="1"/>
  <c r="F729" i="1"/>
  <c r="O729" i="1" s="1"/>
  <c r="AA729" i="1" s="1"/>
  <c r="AD84" i="1"/>
  <c r="AP543" i="1"/>
  <c r="AD448" i="1"/>
  <c r="R230" i="1"/>
  <c r="R207" i="1"/>
  <c r="BB484" i="1"/>
  <c r="AP533" i="1"/>
  <c r="AP554" i="1"/>
  <c r="R567" i="1"/>
  <c r="AD760" i="1"/>
  <c r="R675" i="1"/>
  <c r="R734" i="1"/>
  <c r="BB846" i="1"/>
  <c r="AP705" i="1"/>
  <c r="AD489" i="1"/>
  <c r="F254" i="1"/>
  <c r="O254" i="1" s="1"/>
  <c r="R425" i="1"/>
  <c r="BB336" i="1"/>
  <c r="R940" i="1"/>
  <c r="R145" i="1"/>
  <c r="AD19" i="1"/>
  <c r="BB606" i="1"/>
  <c r="AD519" i="1"/>
  <c r="AD542" i="1"/>
  <c r="BB465" i="1"/>
  <c r="BB524" i="1"/>
  <c r="F64" i="1"/>
  <c r="O64" i="1" s="1"/>
  <c r="BB778" i="1"/>
  <c r="BB488" i="1"/>
  <c r="AP416" i="1"/>
  <c r="F437" i="1"/>
  <c r="O437" i="1" s="1"/>
  <c r="BB160" i="1"/>
  <c r="AP174" i="1"/>
  <c r="AP175" i="1"/>
  <c r="R721" i="1"/>
  <c r="AD440" i="1"/>
  <c r="AP202" i="1"/>
  <c r="BB145" i="1"/>
  <c r="AD293" i="1"/>
  <c r="R56" i="1"/>
  <c r="R138" i="1"/>
  <c r="R204" i="1"/>
  <c r="AD318" i="1"/>
  <c r="R367" i="1"/>
  <c r="BB427" i="1"/>
  <c r="F441" i="1"/>
  <c r="O441" i="1" s="1"/>
  <c r="AA441" i="1" s="1"/>
  <c r="AM441" i="1" s="1"/>
  <c r="BB783" i="1"/>
  <c r="F804" i="1"/>
  <c r="O804" i="1" s="1"/>
  <c r="AP569" i="1"/>
  <c r="BB671" i="1"/>
  <c r="R903" i="1"/>
  <c r="AP812" i="1"/>
  <c r="AD500" i="1"/>
  <c r="F598" i="1"/>
  <c r="O598" i="1" s="1"/>
  <c r="F759" i="1"/>
  <c r="O759" i="1" s="1"/>
  <c r="AD726" i="1"/>
  <c r="F619" i="1"/>
  <c r="O619" i="1" s="1"/>
  <c r="AD392" i="1"/>
  <c r="AD131" i="1"/>
  <c r="R59" i="1"/>
  <c r="AD83" i="1"/>
  <c r="R104" i="1"/>
  <c r="BB153" i="1"/>
  <c r="BB66" i="1"/>
  <c r="BB297" i="1"/>
  <c r="R152" i="1"/>
  <c r="BB157" i="1"/>
  <c r="AP85" i="1"/>
  <c r="R397" i="1"/>
  <c r="F131" i="1"/>
  <c r="O131" i="1" s="1"/>
  <c r="F85" i="1"/>
  <c r="O85" i="1" s="1"/>
  <c r="F185" i="1"/>
  <c r="O185" i="1" s="1"/>
  <c r="R236" i="1"/>
  <c r="BB509" i="1"/>
  <c r="R749" i="1"/>
  <c r="BB564" i="1"/>
  <c r="F430" i="1"/>
  <c r="O430" i="1" s="1"/>
  <c r="F674" i="1"/>
  <c r="O674" i="1" s="1"/>
  <c r="BB734" i="1"/>
  <c r="BB608" i="1"/>
  <c r="F870" i="1"/>
  <c r="O870" i="1" s="1"/>
  <c r="R732" i="1"/>
  <c r="F824" i="1"/>
  <c r="O824" i="1" s="1"/>
  <c r="AD772" i="1"/>
  <c r="AD856" i="1"/>
  <c r="AP702" i="1"/>
  <c r="AD759" i="1"/>
  <c r="BB760" i="1"/>
  <c r="AD607" i="1"/>
  <c r="F704" i="1"/>
  <c r="O704" i="1" s="1"/>
  <c r="AD623" i="1"/>
  <c r="F501" i="1"/>
  <c r="O501" i="1" s="1"/>
  <c r="BB446" i="1"/>
  <c r="BB323" i="1"/>
  <c r="AD415" i="1"/>
  <c r="AP598" i="1"/>
  <c r="AP655" i="1"/>
  <c r="R617" i="1"/>
  <c r="R806" i="1"/>
  <c r="F742" i="1"/>
  <c r="O742" i="1" s="1"/>
  <c r="F738" i="1"/>
  <c r="O738" i="1" s="1"/>
  <c r="AD372" i="1"/>
  <c r="F845" i="1"/>
  <c r="O845" i="1" s="1"/>
  <c r="F629" i="1"/>
  <c r="O629" i="1" s="1"/>
  <c r="R412" i="1"/>
  <c r="F469" i="1"/>
  <c r="O469" i="1" s="1"/>
  <c r="BB316" i="1"/>
  <c r="F502" i="1"/>
  <c r="O502" i="1" s="1"/>
  <c r="F641" i="1"/>
  <c r="F830" i="1"/>
  <c r="O830" i="1" s="1"/>
  <c r="AA830" i="1" s="1"/>
  <c r="AP360" i="1"/>
  <c r="AP418" i="1"/>
  <c r="AD536" i="1"/>
  <c r="R491" i="1"/>
  <c r="AP361" i="1"/>
  <c r="AD532" i="1"/>
  <c r="R665" i="1"/>
  <c r="AP639" i="1"/>
  <c r="AP668" i="1"/>
  <c r="AP717" i="1"/>
  <c r="R891" i="1"/>
  <c r="AD787" i="1"/>
  <c r="AP764" i="1"/>
  <c r="BB1002" i="1"/>
  <c r="R500" i="1"/>
  <c r="AP323" i="1"/>
  <c r="F494" i="1"/>
  <c r="O494" i="1" s="1"/>
  <c r="R416" i="1"/>
  <c r="BB876" i="1"/>
  <c r="AP776" i="1"/>
  <c r="R718" i="1"/>
  <c r="F854" i="1"/>
  <c r="O854" i="1" s="1"/>
  <c r="R920" i="1"/>
  <c r="F737" i="1"/>
  <c r="O737" i="1" s="1"/>
  <c r="F770" i="1"/>
  <c r="O770" i="1" s="1"/>
  <c r="R752" i="1"/>
  <c r="AP820" i="1"/>
  <c r="F138" i="1"/>
  <c r="O138" i="1" s="1"/>
  <c r="BB334" i="1"/>
  <c r="BB423" i="1"/>
  <c r="AP480" i="1"/>
  <c r="F174" i="1"/>
  <c r="O174" i="1" s="1"/>
  <c r="BB266" i="1"/>
  <c r="R448" i="1"/>
  <c r="R522" i="1"/>
  <c r="F467" i="1"/>
  <c r="O467" i="1" s="1"/>
  <c r="AP482" i="1"/>
  <c r="R413" i="1"/>
  <c r="R523" i="1"/>
  <c r="BB526" i="1"/>
  <c r="AP677" i="1"/>
  <c r="AP171" i="1"/>
  <c r="AP258" i="1"/>
  <c r="R323" i="1"/>
  <c r="F438" i="1"/>
  <c r="O438" i="1" s="1"/>
  <c r="AD655" i="1"/>
  <c r="R694" i="1"/>
  <c r="R701" i="1"/>
  <c r="AD778" i="1"/>
  <c r="BB349" i="1"/>
  <c r="R478" i="1"/>
  <c r="BB808" i="1"/>
  <c r="R459" i="1"/>
  <c r="AP787" i="1"/>
  <c r="F779" i="1"/>
  <c r="O779" i="1" s="1"/>
  <c r="R615" i="1"/>
  <c r="F568" i="1"/>
  <c r="O568" i="1" s="1"/>
  <c r="R827" i="1"/>
  <c r="AP469" i="1"/>
  <c r="F472" i="1"/>
  <c r="O472" i="1" s="1"/>
  <c r="BB630" i="1"/>
  <c r="AD531" i="1"/>
  <c r="BB559" i="1"/>
  <c r="AP623" i="1"/>
  <c r="AP519" i="1"/>
  <c r="R497" i="1"/>
  <c r="BB735" i="1"/>
  <c r="BB749" i="1"/>
  <c r="AD357" i="1"/>
  <c r="F246" i="1"/>
  <c r="O246" i="1" s="1"/>
  <c r="AP541" i="1"/>
  <c r="AP684" i="1"/>
  <c r="R794" i="1"/>
  <c r="R713" i="1"/>
  <c r="AD443" i="1"/>
  <c r="AD477" i="1"/>
  <c r="F312" i="1"/>
  <c r="O312" i="1" s="1"/>
  <c r="AP80" i="1"/>
  <c r="AD425" i="1"/>
  <c r="BB343" i="1"/>
  <c r="AD284" i="1"/>
  <c r="AD995" i="1"/>
  <c r="R161" i="1"/>
  <c r="BB79" i="1"/>
  <c r="AP465" i="1"/>
  <c r="AP110" i="1"/>
  <c r="F13" i="1"/>
  <c r="O13" i="1" s="1"/>
  <c r="BB48" i="1"/>
  <c r="R153" i="1"/>
  <c r="R290" i="1"/>
  <c r="AP432" i="1"/>
  <c r="AD498" i="1"/>
  <c r="AP648" i="1"/>
  <c r="AP190" i="1"/>
  <c r="BB209" i="1"/>
  <c r="F194" i="1"/>
  <c r="O194" i="1" s="1"/>
  <c r="AD21" i="1"/>
  <c r="F201" i="1"/>
  <c r="O201" i="1" s="1"/>
  <c r="AD325" i="1"/>
  <c r="R393" i="1"/>
  <c r="R327" i="1"/>
  <c r="BB87" i="1"/>
  <c r="F533" i="1"/>
  <c r="O533" i="1" s="1"/>
  <c r="AA533" i="1" s="1"/>
  <c r="AP837" i="1"/>
  <c r="R828" i="1"/>
  <c r="BB731" i="1"/>
  <c r="AP766" i="1"/>
  <c r="R719" i="1"/>
  <c r="AP650" i="1"/>
  <c r="R678" i="1"/>
  <c r="R462" i="1"/>
  <c r="R481" i="1"/>
  <c r="BB565" i="1"/>
  <c r="AP706" i="1"/>
  <c r="F838" i="1"/>
  <c r="O838" i="1" s="1"/>
  <c r="BB513" i="1"/>
  <c r="AD879" i="1"/>
  <c r="BB547" i="1"/>
  <c r="AP990" i="1"/>
  <c r="F913" i="1"/>
  <c r="O913" i="1" s="1"/>
  <c r="AD330" i="1"/>
  <c r="F521" i="1"/>
  <c r="O521" i="1" s="1"/>
  <c r="AA521" i="1" s="1"/>
  <c r="AD567" i="1"/>
  <c r="R559" i="1"/>
  <c r="AP671" i="1"/>
  <c r="BB680" i="1"/>
  <c r="F825" i="1"/>
  <c r="O825" i="1" s="1"/>
  <c r="AD684" i="1"/>
  <c r="R196" i="1"/>
  <c r="F813" i="1"/>
  <c r="O813" i="1" s="1"/>
  <c r="F444" i="1"/>
  <c r="O444" i="1" s="1"/>
  <c r="BB605" i="1"/>
  <c r="BB767" i="1"/>
  <c r="F219" i="1"/>
  <c r="O219" i="1" s="1"/>
  <c r="AA219" i="1" s="1"/>
  <c r="AM219" i="1" s="1"/>
  <c r="BB696" i="1"/>
  <c r="AD859" i="1"/>
  <c r="F864" i="1"/>
  <c r="O864" i="1" s="1"/>
  <c r="BB162" i="1"/>
  <c r="F237" i="1"/>
  <c r="O237" i="1" s="1"/>
  <c r="F417" i="1"/>
  <c r="O417" i="1" s="1"/>
  <c r="BB383" i="1"/>
  <c r="AP462" i="1"/>
  <c r="BB360" i="1"/>
  <c r="BB510" i="1"/>
  <c r="AD445" i="1"/>
  <c r="AP369" i="1"/>
  <c r="F505" i="1"/>
  <c r="O505" i="1" s="1"/>
  <c r="AA505" i="1" s="1"/>
  <c r="BB1006" i="1"/>
  <c r="R754" i="1"/>
  <c r="AP458" i="1"/>
  <c r="F154" i="1"/>
  <c r="O154" i="1" s="1"/>
  <c r="BB474" i="1"/>
  <c r="BB442" i="1"/>
  <c r="R429" i="1"/>
  <c r="AD487" i="1"/>
  <c r="AP495" i="1"/>
  <c r="BB202" i="1"/>
  <c r="BB223" i="1"/>
  <c r="BB368" i="1"/>
  <c r="R498" i="1"/>
  <c r="R431" i="1"/>
  <c r="F489" i="1"/>
  <c r="O489" i="1" s="1"/>
  <c r="R542" i="1"/>
  <c r="BB967" i="1"/>
  <c r="AP605" i="1"/>
  <c r="AD747" i="1"/>
  <c r="R854" i="1"/>
  <c r="AD922" i="1"/>
  <c r="R246" i="1"/>
  <c r="BB447" i="1"/>
  <c r="F275" i="1"/>
  <c r="O275" i="1" s="1"/>
  <c r="F373" i="1"/>
  <c r="O373" i="1" s="1"/>
  <c r="BB503" i="1"/>
  <c r="AP441" i="1"/>
  <c r="R437" i="1"/>
  <c r="R544" i="1"/>
  <c r="AP442" i="1"/>
  <c r="F255" i="1"/>
  <c r="O255" i="1" s="1"/>
  <c r="R415" i="1"/>
  <c r="R512" i="1"/>
  <c r="AD546" i="1"/>
  <c r="BB648" i="1"/>
  <c r="AD547" i="1"/>
  <c r="R664" i="1"/>
  <c r="AD675" i="1"/>
  <c r="F717" i="1"/>
  <c r="O717" i="1" s="1"/>
  <c r="F519" i="1"/>
  <c r="O519" i="1" s="1"/>
  <c r="AD451" i="1"/>
  <c r="BB464" i="1"/>
  <c r="AD539" i="1"/>
  <c r="AD508" i="1"/>
  <c r="AD521" i="1"/>
  <c r="F282" i="1"/>
  <c r="O282" i="1" s="1"/>
  <c r="AD915" i="1"/>
  <c r="F684" i="1"/>
  <c r="O684" i="1" s="1"/>
  <c r="F745" i="1"/>
  <c r="O745" i="1" s="1"/>
  <c r="R484" i="1"/>
  <c r="AA484" i="1" s="1"/>
  <c r="F633" i="1"/>
  <c r="O633" i="1" s="1"/>
  <c r="AA633" i="1" s="1"/>
  <c r="AD692" i="1"/>
  <c r="BB804" i="1"/>
  <c r="AP821" i="1"/>
  <c r="AP996" i="1"/>
  <c r="F765" i="1"/>
  <c r="O765" i="1" s="1"/>
  <c r="R872" i="1"/>
  <c r="F833" i="1"/>
  <c r="O833" i="1" s="1"/>
  <c r="AP620" i="1"/>
  <c r="BB730" i="1"/>
  <c r="R881" i="1"/>
  <c r="R833" i="1"/>
  <c r="F903" i="1"/>
  <c r="O903" i="1" s="1"/>
  <c r="BB901" i="1"/>
  <c r="BB149" i="1"/>
  <c r="AP456" i="1"/>
  <c r="BB146" i="1"/>
  <c r="AP264" i="1"/>
  <c r="R867" i="1"/>
  <c r="AD492" i="1"/>
  <c r="BB393" i="1"/>
  <c r="AP606" i="1"/>
  <c r="R655" i="1"/>
  <c r="BB803" i="1"/>
  <c r="BB684" i="1"/>
  <c r="F686" i="1"/>
  <c r="O686" i="1" s="1"/>
  <c r="AP732" i="1"/>
  <c r="AD783" i="1"/>
  <c r="R787" i="1"/>
  <c r="BB711" i="1"/>
  <c r="R790" i="1"/>
  <c r="BB685" i="1"/>
  <c r="AP680" i="1"/>
  <c r="F969" i="1"/>
  <c r="O969" i="1" s="1"/>
  <c r="AP906" i="1"/>
  <c r="R852" i="1"/>
  <c r="AP508" i="1"/>
  <c r="AP793" i="1"/>
  <c r="R970" i="1"/>
  <c r="F44" i="1"/>
  <c r="O44" i="1" s="1"/>
  <c r="R263" i="1"/>
  <c r="AP492" i="1"/>
  <c r="F485" i="1"/>
  <c r="O485" i="1" s="1"/>
  <c r="AD416" i="1"/>
  <c r="AP413" i="1"/>
  <c r="R439" i="1"/>
  <c r="F497" i="1"/>
  <c r="O497" i="1" s="1"/>
  <c r="AD502" i="1"/>
  <c r="F610" i="1"/>
  <c r="O610" i="1" s="1"/>
  <c r="AD598" i="1"/>
  <c r="AD728" i="1"/>
  <c r="R646" i="1"/>
  <c r="R642" i="1"/>
  <c r="AP700" i="1"/>
  <c r="AP739" i="1"/>
  <c r="AP679" i="1"/>
  <c r="AP845" i="1"/>
  <c r="R725" i="1"/>
  <c r="R690" i="1"/>
  <c r="AP683" i="1"/>
  <c r="AP603" i="1"/>
  <c r="F627" i="1"/>
  <c r="O627" i="1" s="1"/>
  <c r="R618" i="1"/>
  <c r="R501" i="1"/>
  <c r="AP445" i="1"/>
  <c r="BB359" i="1"/>
  <c r="R438" i="1"/>
  <c r="F922" i="1"/>
  <c r="O922" i="1" s="1"/>
  <c r="F339" i="1"/>
  <c r="O339" i="1" s="1"/>
  <c r="F858" i="1"/>
  <c r="O858" i="1" s="1"/>
  <c r="AA858" i="1" s="1"/>
  <c r="F744" i="1"/>
  <c r="O744" i="1" s="1"/>
  <c r="AD792" i="1"/>
  <c r="R813" i="1"/>
  <c r="F873" i="1"/>
  <c r="O873" i="1" s="1"/>
  <c r="R384" i="1"/>
  <c r="F322" i="1"/>
  <c r="O322" i="1" s="1"/>
  <c r="BB133" i="1"/>
  <c r="AP332" i="1"/>
  <c r="BB268" i="1"/>
  <c r="BB362" i="1"/>
  <c r="F236" i="1"/>
  <c r="O236" i="1" s="1"/>
  <c r="F356" i="1"/>
  <c r="O356" i="1" s="1"/>
  <c r="AA356" i="1" s="1"/>
  <c r="R424" i="1"/>
  <c r="BB500" i="1"/>
  <c r="F524" i="1"/>
  <c r="O524" i="1" s="1"/>
  <c r="R449" i="1"/>
  <c r="AD503" i="1"/>
  <c r="BB483" i="1"/>
  <c r="AD91" i="1"/>
  <c r="AP499" i="1"/>
  <c r="R433" i="1"/>
  <c r="BB467" i="1"/>
  <c r="AD496" i="1"/>
  <c r="R547" i="1"/>
  <c r="AP417" i="1"/>
  <c r="BB279" i="1"/>
  <c r="AP873" i="1"/>
  <c r="AD631" i="1"/>
  <c r="AD925" i="1"/>
  <c r="AD397" i="1"/>
  <c r="R277" i="1"/>
  <c r="AP966" i="1"/>
  <c r="AP373" i="1"/>
  <c r="R798" i="1"/>
  <c r="AP983" i="1"/>
  <c r="F806" i="1"/>
  <c r="O806" i="1" s="1"/>
  <c r="F874" i="1"/>
  <c r="O874" i="1" s="1"/>
  <c r="F898" i="1"/>
  <c r="O898" i="1" s="1"/>
  <c r="F984" i="1"/>
  <c r="O984" i="1" s="1"/>
  <c r="F897" i="1"/>
  <c r="O897" i="1" s="1"/>
  <c r="BB516" i="1"/>
  <c r="BB229" i="1"/>
  <c r="AD765" i="1"/>
  <c r="R474" i="1"/>
  <c r="R780" i="1"/>
  <c r="R880" i="1"/>
  <c r="F909" i="1"/>
  <c r="O909" i="1" s="1"/>
  <c r="R886" i="1"/>
  <c r="F847" i="1"/>
  <c r="O847" i="1" s="1"/>
  <c r="F66" i="1"/>
  <c r="O66" i="1" s="1"/>
  <c r="R763" i="1"/>
  <c r="BB407" i="1"/>
  <c r="AD986" i="1"/>
  <c r="BB905" i="1"/>
  <c r="AD806" i="1"/>
  <c r="F783" i="1"/>
  <c r="O783" i="1" s="1"/>
  <c r="AA783" i="1" s="1"/>
  <c r="AP925" i="1"/>
  <c r="AD533" i="1"/>
  <c r="BB881" i="1"/>
  <c r="AD430" i="1"/>
  <c r="F912" i="1"/>
  <c r="O912" i="1" s="1"/>
  <c r="F929" i="1"/>
  <c r="O929" i="1" s="1"/>
  <c r="BB364" i="1"/>
  <c r="BB523" i="1"/>
  <c r="BB642" i="1"/>
  <c r="AP494" i="1"/>
  <c r="BB714" i="1"/>
  <c r="R859" i="1"/>
  <c r="F822" i="1"/>
  <c r="O822" i="1" s="1"/>
  <c r="AD973" i="1"/>
  <c r="AP899" i="1"/>
  <c r="AD870" i="1"/>
  <c r="BB972" i="1"/>
  <c r="F865" i="1"/>
  <c r="O865" i="1" s="1"/>
  <c r="AP870" i="1"/>
  <c r="R963" i="1"/>
  <c r="R902" i="1"/>
  <c r="R696" i="1"/>
  <c r="BB834" i="1"/>
  <c r="BB911" i="1"/>
  <c r="AP118" i="1"/>
  <c r="AD213" i="1"/>
  <c r="AD410" i="1"/>
  <c r="BB190" i="1"/>
  <c r="AD406" i="1"/>
  <c r="AD831" i="1"/>
  <c r="AP923" i="1"/>
  <c r="BB713" i="1"/>
  <c r="F821" i="1"/>
  <c r="O821" i="1" s="1"/>
  <c r="R489" i="1"/>
  <c r="AP692" i="1"/>
  <c r="F680" i="1"/>
  <c r="O680" i="1" s="1"/>
  <c r="R714" i="1"/>
  <c r="F700" i="1"/>
  <c r="O700" i="1" s="1"/>
  <c r="BB727" i="1"/>
  <c r="AD552" i="1"/>
  <c r="R654" i="1"/>
  <c r="R952" i="1"/>
  <c r="R957" i="1"/>
  <c r="R435" i="1"/>
  <c r="BB849" i="1"/>
  <c r="BB754" i="1"/>
  <c r="R907" i="1"/>
  <c r="AD264" i="1"/>
  <c r="AP567" i="1"/>
  <c r="AP549" i="1"/>
  <c r="R540" i="1"/>
  <c r="F715" i="1"/>
  <c r="O715" i="1" s="1"/>
  <c r="AP830" i="1"/>
  <c r="R520" i="1"/>
  <c r="AP438" i="1"/>
  <c r="AD513" i="1"/>
  <c r="AP421" i="1"/>
  <c r="AD667" i="1"/>
  <c r="AD662" i="1"/>
  <c r="R759" i="1"/>
  <c r="BB675" i="1"/>
  <c r="BB470" i="1"/>
  <c r="AP968" i="1"/>
  <c r="AD435" i="1"/>
  <c r="R213" i="1"/>
  <c r="AA213" i="1" s="1"/>
  <c r="AP527" i="1"/>
  <c r="BB346" i="1"/>
  <c r="AP827" i="1"/>
  <c r="F671" i="1"/>
  <c r="O671" i="1" s="1"/>
  <c r="F152" i="1"/>
  <c r="O152" i="1" s="1"/>
  <c r="BB635" i="1"/>
  <c r="BB531" i="1"/>
  <c r="AP502" i="1"/>
  <c r="AD456" i="1"/>
  <c r="AP616" i="1"/>
  <c r="F723" i="1"/>
  <c r="O723" i="1" s="1"/>
  <c r="R645" i="1"/>
  <c r="AP802" i="1"/>
  <c r="R180" i="1"/>
  <c r="R333" i="1"/>
  <c r="AP340" i="1"/>
  <c r="AP447" i="1"/>
  <c r="AP437" i="1"/>
  <c r="AD376" i="1"/>
  <c r="BB885" i="1"/>
  <c r="BB392" i="1"/>
  <c r="AD65" i="1"/>
  <c r="R60" i="1"/>
  <c r="AP673" i="1"/>
  <c r="AD275" i="1"/>
  <c r="BB104" i="1"/>
  <c r="R407" i="1"/>
  <c r="AP255" i="1"/>
  <c r="AD316" i="1"/>
  <c r="AP969" i="1"/>
  <c r="AP834" i="1"/>
  <c r="AD784" i="1"/>
  <c r="AP501" i="1"/>
  <c r="R695" i="1"/>
  <c r="AD526" i="1"/>
  <c r="R10" i="1"/>
  <c r="AD193" i="1"/>
  <c r="BB136" i="1"/>
  <c r="BB285" i="1"/>
  <c r="AD78" i="1"/>
  <c r="R107" i="1"/>
  <c r="AP111" i="1"/>
  <c r="F375" i="1"/>
  <c r="O375" i="1" s="1"/>
  <c r="BB689" i="1"/>
  <c r="R486" i="1"/>
  <c r="AD780" i="1"/>
  <c r="R761" i="1"/>
  <c r="F796" i="1"/>
  <c r="O796" i="1" s="1"/>
  <c r="AD739" i="1"/>
  <c r="BB736" i="1"/>
  <c r="AD794" i="1"/>
  <c r="AP555" i="1"/>
  <c r="AD486" i="1"/>
  <c r="R436" i="1"/>
  <c r="BB487" i="1"/>
  <c r="F678" i="1"/>
  <c r="O678" i="1" s="1"/>
  <c r="AP753" i="1"/>
  <c r="F702" i="1"/>
  <c r="O702" i="1" s="1"/>
  <c r="AP422" i="1"/>
  <c r="F297" i="1"/>
  <c r="O297" i="1" s="1"/>
  <c r="BB436" i="1"/>
  <c r="F877" i="1"/>
  <c r="O877" i="1" s="1"/>
  <c r="AA877" i="1" s="1"/>
  <c r="BB511" i="1"/>
  <c r="F458" i="1"/>
  <c r="O458" i="1" s="1"/>
  <c r="AD630" i="1"/>
  <c r="F631" i="1"/>
  <c r="O631" i="1" s="1"/>
  <c r="F698" i="1"/>
  <c r="O698" i="1" s="1"/>
  <c r="F803" i="1"/>
  <c r="O803" i="1" s="1"/>
  <c r="F624" i="1"/>
  <c r="O624" i="1" s="1"/>
  <c r="R778" i="1"/>
  <c r="AP226" i="1"/>
  <c r="AP547" i="1"/>
  <c r="F475" i="1"/>
  <c r="O475" i="1" s="1"/>
  <c r="R740" i="1"/>
  <c r="BB747" i="1"/>
  <c r="BB982" i="1"/>
  <c r="BB722" i="1"/>
  <c r="AP818" i="1"/>
  <c r="AD896" i="1"/>
  <c r="R349" i="1"/>
  <c r="F423" i="1"/>
  <c r="O423" i="1" s="1"/>
  <c r="AP325" i="1"/>
  <c r="AP354" i="1"/>
  <c r="F515" i="1"/>
  <c r="O515" i="1" s="1"/>
  <c r="AD462" i="1"/>
  <c r="F420" i="1"/>
  <c r="O420" i="1" s="1"/>
  <c r="AD413" i="1"/>
  <c r="F536" i="1"/>
  <c r="O536" i="1" s="1"/>
  <c r="AD237" i="1"/>
  <c r="R874" i="1"/>
  <c r="AD516" i="1"/>
  <c r="F853" i="1"/>
  <c r="O853" i="1" s="1"/>
  <c r="R73" i="1"/>
  <c r="F455" i="1"/>
  <c r="O455" i="1" s="1"/>
  <c r="R242" i="1"/>
  <c r="AD420" i="1"/>
  <c r="AD467" i="1"/>
  <c r="AP378" i="1"/>
  <c r="BB428" i="1"/>
  <c r="AP464" i="1"/>
  <c r="F311" i="1"/>
  <c r="O311" i="1" s="1"/>
  <c r="BB287" i="1"/>
  <c r="F510" i="1"/>
  <c r="O510" i="1" s="1"/>
  <c r="AD527" i="1"/>
  <c r="AP385" i="1"/>
  <c r="AP435" i="1"/>
  <c r="AD510" i="1"/>
  <c r="BB889" i="1"/>
  <c r="R480" i="1"/>
  <c r="AA480" i="1" s="1"/>
  <c r="AM480" i="1" s="1"/>
  <c r="F739" i="1"/>
  <c r="O739" i="1" s="1"/>
  <c r="AD797" i="1"/>
  <c r="R933" i="1"/>
  <c r="R232" i="1"/>
  <c r="AD204" i="1"/>
  <c r="AD398" i="1"/>
  <c r="R442" i="1"/>
  <c r="R432" i="1"/>
  <c r="F464" i="1"/>
  <c r="O464" i="1" s="1"/>
  <c r="F384" i="1"/>
  <c r="O384" i="1" s="1"/>
  <c r="AD495" i="1"/>
  <c r="AP479" i="1"/>
  <c r="F245" i="1"/>
  <c r="O245" i="1" s="1"/>
  <c r="R526" i="1"/>
  <c r="F566" i="1"/>
  <c r="O566" i="1" s="1"/>
  <c r="F528" i="1"/>
  <c r="O528" i="1" s="1"/>
  <c r="AP693" i="1"/>
  <c r="BB602" i="1"/>
  <c r="F645" i="1"/>
  <c r="O645" i="1" s="1"/>
  <c r="AD611" i="1"/>
  <c r="AP761" i="1"/>
  <c r="R553" i="1"/>
  <c r="F685" i="1"/>
  <c r="O685" i="1" s="1"/>
  <c r="AP287" i="1"/>
  <c r="AD403" i="1"/>
  <c r="BB644" i="1"/>
  <c r="AD679" i="1"/>
  <c r="AD693" i="1"/>
  <c r="AD854" i="1"/>
  <c r="R322" i="1"/>
  <c r="AP263" i="1"/>
  <c r="AP618" i="1"/>
  <c r="R724" i="1"/>
  <c r="AP611" i="1"/>
  <c r="AP847" i="1"/>
  <c r="AD572" i="1"/>
  <c r="AD820" i="1"/>
  <c r="F508" i="1"/>
  <c r="O508" i="1" s="1"/>
  <c r="AP30" i="1"/>
  <c r="AP404" i="1"/>
  <c r="AD439" i="1"/>
  <c r="F325" i="1"/>
  <c r="O325" i="1" s="1"/>
  <c r="AP101" i="1"/>
  <c r="AP40" i="1"/>
  <c r="R310" i="1"/>
  <c r="AP336" i="1"/>
  <c r="R810" i="1"/>
  <c r="AD7" i="1"/>
  <c r="AD119" i="1"/>
  <c r="BB29" i="1"/>
  <c r="R130" i="1"/>
  <c r="BB358" i="1"/>
  <c r="BB806" i="1"/>
  <c r="BB775" i="1"/>
  <c r="F666" i="1"/>
  <c r="O666" i="1" s="1"/>
  <c r="R411" i="1"/>
  <c r="F638" i="1"/>
  <c r="O638" i="1" s="1"/>
  <c r="F778" i="1"/>
  <c r="O778" i="1" s="1"/>
  <c r="F216" i="1"/>
  <c r="O216" i="1" s="1"/>
  <c r="F606" i="1"/>
  <c r="O606" i="1" s="1"/>
  <c r="AD455" i="1"/>
  <c r="R280" i="1"/>
  <c r="F405" i="1"/>
  <c r="O405" i="1" s="1"/>
  <c r="AA405" i="1" s="1"/>
  <c r="F608" i="1"/>
  <c r="O608" i="1" s="1"/>
  <c r="F844" i="1"/>
  <c r="O844" i="1" s="1"/>
  <c r="AD373" i="1"/>
  <c r="F657" i="1"/>
  <c r="O657" i="1" s="1"/>
  <c r="F559" i="1"/>
  <c r="O559" i="1" s="1"/>
  <c r="AP893" i="1"/>
  <c r="R206" i="1"/>
  <c r="AA206" i="1" s="1"/>
  <c r="F129" i="1"/>
  <c r="O129" i="1" s="1"/>
  <c r="AP396" i="1"/>
  <c r="BB512" i="1"/>
  <c r="R466" i="1"/>
  <c r="F799" i="1"/>
  <c r="O799" i="1" s="1"/>
  <c r="F896" i="1"/>
  <c r="O896" i="1" s="1"/>
  <c r="AA896" i="1" s="1"/>
  <c r="AD418" i="1"/>
  <c r="BB478" i="1"/>
  <c r="R507" i="1"/>
  <c r="F189" i="1"/>
  <c r="O189" i="1" s="1"/>
  <c r="F403" i="1"/>
  <c r="O403" i="1" s="1"/>
  <c r="AD419" i="1"/>
  <c r="AD466" i="1"/>
  <c r="AD786" i="1"/>
  <c r="R785" i="1"/>
  <c r="R101" i="1"/>
  <c r="BB397" i="1"/>
  <c r="BB332" i="1"/>
  <c r="AD437" i="1"/>
  <c r="F442" i="1"/>
  <c r="O442" i="1" s="1"/>
  <c r="R467" i="1"/>
  <c r="R653" i="1"/>
  <c r="R550" i="1"/>
  <c r="AA550" i="1" s="1"/>
  <c r="AM550" i="1" s="1"/>
  <c r="AP644" i="1"/>
  <c r="AP710" i="1"/>
  <c r="AP419" i="1"/>
  <c r="BB434" i="1"/>
  <c r="BB50" i="1"/>
  <c r="F400" i="1"/>
  <c r="O400" i="1" s="1"/>
  <c r="AP216" i="1"/>
  <c r="AP93" i="1"/>
  <c r="AD707" i="1"/>
  <c r="AD512" i="1"/>
  <c r="AP560" i="1"/>
  <c r="BB611" i="1"/>
  <c r="AP741" i="1"/>
  <c r="R784" i="1"/>
  <c r="BB695" i="1"/>
  <c r="AP914" i="1"/>
  <c r="BB599" i="1"/>
  <c r="BB798" i="1"/>
  <c r="R723" i="1"/>
  <c r="AD830" i="1"/>
  <c r="BB955" i="1"/>
  <c r="BB836" i="1"/>
  <c r="F110" i="1"/>
  <c r="O110" i="1" s="1"/>
  <c r="R378" i="1"/>
  <c r="F298" i="1"/>
  <c r="O298" i="1" s="1"/>
  <c r="AP526" i="1"/>
  <c r="F517" i="1"/>
  <c r="O517" i="1" s="1"/>
  <c r="AP666" i="1"/>
  <c r="AD699" i="1"/>
  <c r="AP796" i="1"/>
  <c r="BB618" i="1"/>
  <c r="F769" i="1"/>
  <c r="O769" i="1" s="1"/>
  <c r="AA769" i="1" s="1"/>
  <c r="AP909" i="1"/>
  <c r="R767" i="1"/>
  <c r="R779" i="1"/>
  <c r="AP784" i="1"/>
  <c r="BB914" i="1"/>
  <c r="F948" i="1"/>
  <c r="O948" i="1" s="1"/>
  <c r="AA948" i="1" s="1"/>
  <c r="AM948" i="1" s="1"/>
  <c r="R543" i="1"/>
  <c r="AP511" i="1"/>
  <c r="AD755" i="1"/>
  <c r="AP116" i="1"/>
  <c r="AD541" i="1"/>
  <c r="F398" i="1"/>
  <c r="O398" i="1" s="1"/>
  <c r="AD471" i="1"/>
  <c r="AD458" i="1"/>
  <c r="AD472" i="1"/>
  <c r="R570" i="1"/>
  <c r="AP542" i="1"/>
  <c r="F567" i="1"/>
  <c r="O567" i="1" s="1"/>
  <c r="AD560" i="1"/>
  <c r="AD626" i="1"/>
  <c r="AP653" i="1"/>
  <c r="BB810" i="1"/>
  <c r="AP729" i="1"/>
  <c r="F668" i="1"/>
  <c r="O668" i="1" s="1"/>
  <c r="AD628" i="1"/>
  <c r="AP538" i="1"/>
  <c r="AD427" i="1"/>
  <c r="AD369" i="1"/>
  <c r="AD401" i="1"/>
  <c r="BB719" i="1"/>
  <c r="BB765" i="1"/>
  <c r="F1005" i="1"/>
  <c r="O1005" i="1" s="1"/>
  <c r="BB886" i="1"/>
  <c r="F146" i="1"/>
  <c r="O146" i="1" s="1"/>
  <c r="AD349" i="1"/>
  <c r="R231" i="1"/>
  <c r="F221" i="1"/>
  <c r="O221" i="1" s="1"/>
  <c r="R332" i="1"/>
  <c r="AD384" i="1"/>
  <c r="BB376" i="1"/>
  <c r="BB508" i="1"/>
  <c r="AD417" i="1"/>
  <c r="BB528" i="1"/>
  <c r="F511" i="1"/>
  <c r="O511" i="1" s="1"/>
  <c r="AD528" i="1"/>
  <c r="AD433" i="1"/>
  <c r="BB401" i="1"/>
  <c r="F350" i="1"/>
  <c r="O350" i="1" s="1"/>
  <c r="F385" i="1"/>
  <c r="O385" i="1" s="1"/>
  <c r="R47" i="1"/>
  <c r="R853" i="1"/>
  <c r="R816" i="1"/>
  <c r="BB897" i="1"/>
  <c r="F431" i="1"/>
  <c r="O431" i="1" s="1"/>
  <c r="AP516" i="1"/>
  <c r="BB681" i="1"/>
  <c r="AD771" i="1"/>
  <c r="AD909" i="1"/>
  <c r="AD853" i="1"/>
  <c r="BB929" i="1"/>
  <c r="AP523" i="1"/>
  <c r="AD681" i="1"/>
  <c r="F692" i="1"/>
  <c r="O692" i="1" s="1"/>
  <c r="AA692" i="1" s="1"/>
  <c r="AP822" i="1"/>
  <c r="F814" i="1"/>
  <c r="O814" i="1" s="1"/>
  <c r="BB922" i="1"/>
  <c r="BB825" i="1"/>
  <c r="BB628" i="1"/>
  <c r="F658" i="1"/>
  <c r="O658" i="1" s="1"/>
  <c r="R943" i="1"/>
  <c r="BB741" i="1"/>
  <c r="F421" i="1"/>
  <c r="O421" i="1" s="1"/>
  <c r="AD857" i="1"/>
  <c r="AD848" i="1"/>
  <c r="AD101" i="1"/>
  <c r="AD956" i="1"/>
  <c r="AD562" i="1"/>
  <c r="BB771" i="1"/>
  <c r="BB726" i="1"/>
  <c r="R821" i="1"/>
  <c r="R782" i="1"/>
  <c r="R890" i="1"/>
  <c r="BB882" i="1"/>
  <c r="R882" i="1"/>
  <c r="BB94" i="1"/>
  <c r="AP972" i="1"/>
  <c r="BB253" i="1"/>
  <c r="R838" i="1"/>
  <c r="AD432" i="1"/>
  <c r="AD689" i="1"/>
  <c r="AD669" i="1"/>
  <c r="R186" i="1"/>
  <c r="R744" i="1"/>
  <c r="BB913" i="1"/>
  <c r="R453" i="1"/>
  <c r="R421" i="1"/>
  <c r="BB706" i="1"/>
  <c r="AD431" i="1"/>
  <c r="AP779" i="1"/>
  <c r="AD599" i="1"/>
  <c r="AP770" i="1"/>
  <c r="AP699" i="1"/>
  <c r="AP487" i="1"/>
  <c r="F144" i="1"/>
  <c r="O144" i="1" s="1"/>
  <c r="BB469" i="1"/>
  <c r="BB857" i="1"/>
  <c r="R368" i="1"/>
  <c r="F569" i="1"/>
  <c r="O569" i="1" s="1"/>
  <c r="AD14" i="1"/>
  <c r="AP372" i="1"/>
  <c r="R921" i="1"/>
  <c r="AD886" i="1"/>
  <c r="BB832" i="1"/>
  <c r="AP13" i="1"/>
  <c r="BB267" i="1"/>
  <c r="AD42" i="1"/>
  <c r="R313" i="1"/>
  <c r="F426" i="1"/>
  <c r="O426" i="1" s="1"/>
  <c r="R610" i="1"/>
  <c r="BB738" i="1"/>
  <c r="AD694" i="1"/>
  <c r="BB560" i="1"/>
  <c r="AP630" i="1"/>
  <c r="R693" i="1"/>
  <c r="BB378" i="1"/>
  <c r="F492" i="1"/>
  <c r="O492" i="1" s="1"/>
  <c r="BB439" i="1"/>
  <c r="R444" i="1"/>
  <c r="AD673" i="1"/>
  <c r="AP724" i="1"/>
  <c r="AP805" i="1"/>
  <c r="R134" i="1"/>
  <c r="AP403" i="1"/>
  <c r="AP665" i="1"/>
  <c r="AD795" i="1"/>
  <c r="AD801" i="1"/>
  <c r="R268" i="1"/>
  <c r="AP160" i="1"/>
  <c r="AD452" i="1"/>
  <c r="AP484" i="1"/>
  <c r="R499" i="1"/>
  <c r="AA499" i="1" s="1"/>
  <c r="R730" i="1"/>
  <c r="BB787" i="1"/>
  <c r="AD391" i="1"/>
  <c r="AP371" i="1"/>
  <c r="BB627" i="1"/>
  <c r="BB497" i="1"/>
  <c r="BB519" i="1"/>
  <c r="R476" i="1"/>
  <c r="AD481" i="1"/>
  <c r="AP552" i="1"/>
  <c r="AD714" i="1"/>
  <c r="BB817" i="1"/>
  <c r="BB193" i="1"/>
  <c r="F229" i="1"/>
  <c r="O229" i="1" s="1"/>
  <c r="F486" i="1"/>
  <c r="O486" i="1" s="1"/>
  <c r="F410" i="1"/>
  <c r="O410" i="1" s="1"/>
  <c r="F436" i="1"/>
  <c r="O436" i="1" s="1"/>
  <c r="AA436" i="1" s="1"/>
  <c r="AM436" i="1" s="1"/>
  <c r="AP632" i="1"/>
  <c r="F554" i="1"/>
  <c r="O554" i="1" s="1"/>
  <c r="AP545" i="1"/>
  <c r="R764" i="1"/>
  <c r="AD494" i="1"/>
  <c r="BB414" i="1"/>
  <c r="AP476" i="1"/>
  <c r="R483" i="1"/>
  <c r="AD485" i="1"/>
  <c r="R41" i="1"/>
  <c r="AP698" i="1"/>
  <c r="AD987" i="1"/>
  <c r="F630" i="1"/>
  <c r="O630" i="1" s="1"/>
  <c r="AP954" i="1"/>
  <c r="BB1003" i="1"/>
  <c r="BB973" i="1"/>
  <c r="AP659" i="1"/>
  <c r="BB743" i="1"/>
  <c r="F21" i="1"/>
  <c r="O21" i="1" s="1"/>
  <c r="BB12" i="1"/>
  <c r="R5" i="1"/>
  <c r="AP328" i="1"/>
  <c r="AD868" i="1"/>
  <c r="AP942" i="1"/>
  <c r="BB867" i="1"/>
  <c r="AD997" i="1"/>
  <c r="AP940" i="1"/>
  <c r="AP895" i="1"/>
  <c r="R944" i="1"/>
  <c r="AP891" i="1"/>
  <c r="F883" i="1"/>
  <c r="O883" i="1" s="1"/>
  <c r="F849" i="1"/>
  <c r="O849" i="1" s="1"/>
  <c r="R995" i="1"/>
  <c r="AP771" i="1"/>
  <c r="AP824" i="1"/>
  <c r="AP900" i="1"/>
  <c r="F902" i="1"/>
  <c r="O902" i="1" s="1"/>
  <c r="AP797" i="1"/>
  <c r="AP988" i="1"/>
  <c r="BB977" i="1"/>
  <c r="AP946" i="1"/>
  <c r="F697" i="1"/>
  <c r="O697" i="1" s="1"/>
  <c r="F887" i="1"/>
  <c r="O887" i="1" s="1"/>
  <c r="AA887" i="1" s="1"/>
  <c r="F653" i="1"/>
  <c r="O653" i="1" s="1"/>
  <c r="R682" i="1"/>
  <c r="F542" i="1"/>
  <c r="O542" i="1" s="1"/>
  <c r="AP561" i="1"/>
  <c r="BB501" i="1"/>
  <c r="F900" i="1"/>
  <c r="O900" i="1" s="1"/>
  <c r="AA900" i="1" s="1"/>
  <c r="F945" i="1"/>
  <c r="O945" i="1" s="1"/>
  <c r="AD827" i="1"/>
  <c r="R710" i="1"/>
  <c r="F926" i="1"/>
  <c r="O926" i="1" s="1"/>
  <c r="AA926" i="1" s="1"/>
  <c r="AP958" i="1"/>
  <c r="BB975" i="1"/>
  <c r="R1002" i="1"/>
  <c r="BB999" i="1"/>
  <c r="R942" i="1"/>
  <c r="F999" i="1"/>
  <c r="O999" i="1" s="1"/>
  <c r="BB900" i="1"/>
  <c r="BB933" i="1"/>
  <c r="BB891" i="1"/>
  <c r="R864" i="1"/>
  <c r="R898" i="1"/>
  <c r="AP485" i="1"/>
  <c r="AP725" i="1"/>
  <c r="AD965" i="1"/>
  <c r="AD952" i="1"/>
  <c r="AD887" i="1"/>
  <c r="F851" i="1"/>
  <c r="O851" i="1" s="1"/>
  <c r="AA851" i="1" s="1"/>
  <c r="AD31" i="1"/>
  <c r="AD970" i="1"/>
  <c r="AD905" i="1"/>
  <c r="AP889" i="1"/>
  <c r="R1003" i="1"/>
  <c r="F1004" i="1"/>
  <c r="O1004" i="1" s="1"/>
  <c r="AD815" i="1"/>
  <c r="AD782" i="1"/>
  <c r="AP826" i="1"/>
  <c r="R976" i="1"/>
  <c r="BB637" i="1"/>
  <c r="AD545" i="1"/>
  <c r="BB716" i="1"/>
  <c r="R1001" i="1"/>
  <c r="AP792" i="1"/>
  <c r="AD352" i="1"/>
  <c r="BB925" i="1"/>
  <c r="F965" i="1"/>
  <c r="O965" i="1" s="1"/>
  <c r="BB995" i="1"/>
  <c r="F976" i="1"/>
  <c r="O976" i="1" s="1"/>
  <c r="R793" i="1"/>
  <c r="BB666" i="1"/>
  <c r="F787" i="1"/>
  <c r="O787" i="1" s="1"/>
  <c r="AA787" i="1" s="1"/>
  <c r="AM787" i="1" s="1"/>
  <c r="AY787" i="1" s="1"/>
  <c r="AP737" i="1"/>
  <c r="AD715" i="1"/>
  <c r="AP701" i="1"/>
  <c r="F562" i="1"/>
  <c r="O562" i="1" s="1"/>
  <c r="R637" i="1"/>
  <c r="AD470" i="1"/>
  <c r="F826" i="1"/>
  <c r="O826" i="1" s="1"/>
  <c r="R954" i="1"/>
  <c r="F941" i="1"/>
  <c r="O941" i="1" s="1"/>
  <c r="AP864" i="1"/>
  <c r="BB291" i="1"/>
  <c r="AD825" i="1"/>
  <c r="AD912" i="1"/>
  <c r="AD996" i="1"/>
  <c r="R974" i="1"/>
  <c r="AD819" i="1"/>
  <c r="R288" i="1"/>
  <c r="AP191" i="1"/>
  <c r="R177" i="1"/>
  <c r="BB264" i="1"/>
  <c r="F815" i="1"/>
  <c r="O815" i="1" s="1"/>
  <c r="AD850" i="1"/>
  <c r="R927" i="1"/>
  <c r="BB1001" i="1"/>
  <c r="R965" i="1"/>
  <c r="R809" i="1"/>
  <c r="F882" i="1"/>
  <c r="O882" i="1" s="1"/>
  <c r="BB694" i="1"/>
  <c r="F667" i="1"/>
  <c r="O667" i="1" s="1"/>
  <c r="BB801" i="1"/>
  <c r="AD762" i="1"/>
  <c r="AP544" i="1"/>
  <c r="AD904" i="1"/>
  <c r="AD891" i="1"/>
  <c r="BB860" i="1"/>
  <c r="R958" i="1"/>
  <c r="F655" i="1"/>
  <c r="O655" i="1" s="1"/>
  <c r="AP866" i="1"/>
  <c r="AP986" i="1"/>
  <c r="AP971" i="1"/>
  <c r="F934" i="1"/>
  <c r="O934" i="1" s="1"/>
  <c r="F636" i="1"/>
  <c r="O636" i="1" s="1"/>
  <c r="BB353" i="1"/>
  <c r="AP376" i="1"/>
  <c r="F294" i="1"/>
  <c r="O294" i="1" s="1"/>
  <c r="AA294" i="1" s="1"/>
  <c r="F439" i="1"/>
  <c r="O439" i="1" s="1"/>
  <c r="AP367" i="1"/>
  <c r="F264" i="1"/>
  <c r="O264" i="1" s="1"/>
  <c r="AA264" i="1" s="1"/>
  <c r="AD89" i="1"/>
  <c r="F261" i="1"/>
  <c r="O261" i="1" s="1"/>
  <c r="R913" i="1"/>
  <c r="AD927" i="1"/>
  <c r="AD793" i="1"/>
  <c r="AP670" i="1"/>
  <c r="AD602" i="1"/>
  <c r="BB934" i="1"/>
  <c r="AD836" i="1"/>
  <c r="R747" i="1"/>
  <c r="AD629" i="1"/>
  <c r="F859" i="1"/>
  <c r="O859" i="1" s="1"/>
  <c r="R607" i="1"/>
  <c r="AA607" i="1" s="1"/>
  <c r="AP622" i="1"/>
  <c r="R572" i="1"/>
  <c r="F318" i="1"/>
  <c r="O318" i="1" s="1"/>
  <c r="BB784" i="1"/>
  <c r="AD901" i="1"/>
  <c r="F836" i="1"/>
  <c r="O836" i="1" s="1"/>
  <c r="AD339" i="1"/>
  <c r="AP346" i="1"/>
  <c r="BB125" i="1"/>
  <c r="BB844" i="1"/>
  <c r="AD553" i="1"/>
  <c r="BB937" i="1"/>
  <c r="AP799" i="1"/>
  <c r="AD844" i="1"/>
  <c r="BB855" i="1"/>
  <c r="R937" i="1"/>
  <c r="AD851" i="1"/>
  <c r="AP890" i="1"/>
  <c r="BB552" i="1"/>
  <c r="F763" i="1"/>
  <c r="O763" i="1" s="1"/>
  <c r="F842" i="1"/>
  <c r="O842" i="1" s="1"/>
  <c r="AD279" i="1"/>
  <c r="AP856" i="1"/>
  <c r="AD478" i="1"/>
  <c r="BB863" i="1"/>
  <c r="R945" i="1"/>
  <c r="R884" i="1"/>
  <c r="AD646" i="1"/>
  <c r="F171" i="1"/>
  <c r="O171" i="1" s="1"/>
  <c r="AD847" i="1"/>
  <c r="AD779" i="1"/>
  <c r="AD709" i="1"/>
  <c r="BB677" i="1"/>
  <c r="R792" i="1"/>
  <c r="BB845" i="1"/>
  <c r="AP896" i="1"/>
  <c r="R836" i="1"/>
  <c r="BB777" i="1"/>
  <c r="BB896" i="1"/>
  <c r="F791" i="1"/>
  <c r="O791" i="1" s="1"/>
  <c r="R741" i="1"/>
  <c r="BB47" i="1"/>
  <c r="F360" i="1"/>
  <c r="O360" i="1" s="1"/>
  <c r="AD378" i="1"/>
  <c r="R502" i="1"/>
  <c r="AD277" i="1"/>
  <c r="F526" i="1"/>
  <c r="O526" i="1" s="1"/>
  <c r="R417" i="1"/>
  <c r="BB410" i="1"/>
  <c r="AD493" i="1"/>
  <c r="R350" i="1"/>
  <c r="F471" i="1"/>
  <c r="O471" i="1" s="1"/>
  <c r="R248" i="1"/>
  <c r="R147" i="1"/>
  <c r="R973" i="1"/>
  <c r="R548" i="1"/>
  <c r="R791" i="1"/>
  <c r="AP531" i="1"/>
  <c r="F460" i="1"/>
  <c r="O460" i="1" s="1"/>
  <c r="AA460" i="1" s="1"/>
  <c r="AM460" i="1" s="1"/>
  <c r="AD457" i="1"/>
  <c r="R566" i="1"/>
  <c r="AP631" i="1"/>
  <c r="AD729" i="1"/>
  <c r="BB704" i="1"/>
  <c r="AP744" i="1"/>
  <c r="R668" i="1"/>
  <c r="R563" i="1"/>
  <c r="AP656" i="1"/>
  <c r="AD654" i="1"/>
  <c r="R477" i="1"/>
  <c r="F488" i="1"/>
  <c r="O488" i="1" s="1"/>
  <c r="F433" i="1"/>
  <c r="O433" i="1" s="1"/>
  <c r="R399" i="1"/>
  <c r="AA399" i="1" s="1"/>
  <c r="AD873" i="1"/>
  <c r="R805" i="1"/>
  <c r="R608" i="1"/>
  <c r="R728" i="1"/>
  <c r="AA728" i="1" s="1"/>
  <c r="F889" i="1"/>
  <c r="O889" i="1" s="1"/>
  <c r="AA889" i="1" s="1"/>
  <c r="F707" i="1"/>
  <c r="O707" i="1" s="1"/>
  <c r="R702" i="1"/>
  <c r="BB848" i="1"/>
  <c r="BB616" i="1"/>
  <c r="BB761" i="1"/>
  <c r="AD712" i="1"/>
  <c r="R722" i="1"/>
  <c r="R428" i="1"/>
  <c r="AP261" i="1"/>
  <c r="BB139" i="1"/>
  <c r="R222" i="1"/>
  <c r="AP879" i="1"/>
  <c r="BB865" i="1"/>
  <c r="AD661" i="1"/>
  <c r="BB678" i="1"/>
  <c r="F930" i="1"/>
  <c r="O930" i="1" s="1"/>
  <c r="F843" i="1"/>
  <c r="O843" i="1" s="1"/>
  <c r="AA843" i="1" s="1"/>
  <c r="AM843" i="1" s="1"/>
  <c r="AP774" i="1"/>
  <c r="R885" i="1"/>
  <c r="BB507" i="1"/>
  <c r="AD732" i="1"/>
  <c r="BB281" i="1"/>
  <c r="BB452" i="1"/>
  <c r="R509" i="1"/>
  <c r="R739" i="1"/>
  <c r="AP563" i="1"/>
  <c r="F459" i="1"/>
  <c r="O459" i="1" s="1"/>
  <c r="BB498" i="1"/>
  <c r="BB419" i="1"/>
  <c r="R660" i="1"/>
  <c r="BB551" i="1"/>
  <c r="AD311" i="1"/>
  <c r="BB496" i="1"/>
  <c r="F347" i="1"/>
  <c r="O347" i="1" s="1"/>
  <c r="F695" i="1"/>
  <c r="O695" i="1" s="1"/>
  <c r="BB458" i="1"/>
  <c r="AD423" i="1"/>
  <c r="F654" i="1"/>
  <c r="O654" i="1" s="1"/>
  <c r="AA654" i="1" s="1"/>
  <c r="F483" i="1"/>
  <c r="O483" i="1" s="1"/>
  <c r="F406" i="1"/>
  <c r="O406" i="1" s="1"/>
  <c r="AP800" i="1"/>
  <c r="R518" i="1"/>
  <c r="BB412" i="1"/>
  <c r="F561" i="1"/>
  <c r="O561" i="1" s="1"/>
  <c r="R139" i="1"/>
  <c r="BB763" i="1"/>
  <c r="AD637" i="1"/>
  <c r="F331" i="1"/>
  <c r="O331" i="1" s="1"/>
  <c r="AP254" i="1"/>
  <c r="AP505" i="1"/>
  <c r="AD399" i="1"/>
  <c r="R53" i="1"/>
  <c r="R345" i="1"/>
  <c r="AD524" i="1"/>
  <c r="BB408" i="1"/>
  <c r="BB440" i="1"/>
  <c r="BB615" i="1"/>
  <c r="AP786" i="1"/>
  <c r="R506" i="1"/>
  <c r="AD716" i="1"/>
  <c r="F730" i="1"/>
  <c r="O730" i="1" s="1"/>
  <c r="R122" i="1"/>
  <c r="BB251" i="1"/>
  <c r="AA845" i="1"/>
  <c r="AA810" i="1"/>
  <c r="R985" i="1"/>
  <c r="F971" i="1"/>
  <c r="O971" i="1" s="1"/>
  <c r="AD895" i="1"/>
  <c r="R844" i="1"/>
  <c r="AP94" i="1"/>
  <c r="R391" i="1"/>
  <c r="R928" i="1"/>
  <c r="AD296" i="1"/>
  <c r="AD151" i="1"/>
  <c r="AP316" i="1"/>
  <c r="F867" i="1"/>
  <c r="O867" i="1" s="1"/>
  <c r="AA867" i="1" s="1"/>
  <c r="AM867" i="1" s="1"/>
  <c r="AY867" i="1" s="1"/>
  <c r="BL867" i="1" s="1"/>
  <c r="R909" i="1"/>
  <c r="F915" i="1"/>
  <c r="O915" i="1" s="1"/>
  <c r="AP922" i="1"/>
  <c r="AD964" i="1"/>
  <c r="F1000" i="1"/>
  <c r="O1000" i="1" s="1"/>
  <c r="F949" i="1"/>
  <c r="O949" i="1" s="1"/>
  <c r="R980" i="1"/>
  <c r="R94" i="1"/>
  <c r="BB260" i="1"/>
  <c r="AP380" i="1"/>
  <c r="AD305" i="1"/>
  <c r="AP945" i="1"/>
  <c r="AD837" i="1"/>
  <c r="F761" i="1"/>
  <c r="O761" i="1" s="1"/>
  <c r="R930" i="1"/>
  <c r="F701" i="1"/>
  <c r="O701" i="1" s="1"/>
  <c r="AA701" i="1" s="1"/>
  <c r="R934" i="1"/>
  <c r="R875" i="1"/>
  <c r="R557" i="1"/>
  <c r="AD978" i="1"/>
  <c r="AD752" i="1"/>
  <c r="AP924" i="1"/>
  <c r="F966" i="1"/>
  <c r="O966" i="1" s="1"/>
  <c r="AD902" i="1"/>
  <c r="BB940" i="1"/>
  <c r="AD885" i="1"/>
  <c r="BB800" i="1"/>
  <c r="AP948" i="1"/>
  <c r="AP234" i="1"/>
  <c r="AD534" i="1"/>
  <c r="AD208" i="1"/>
  <c r="AD899" i="1"/>
  <c r="AD893" i="1"/>
  <c r="AP888" i="1"/>
  <c r="BB753" i="1"/>
  <c r="F811" i="1"/>
  <c r="O811" i="1" s="1"/>
  <c r="AP1004" i="1"/>
  <c r="AD903" i="1"/>
  <c r="AP536" i="1"/>
  <c r="BB799" i="1"/>
  <c r="BB868" i="1"/>
  <c r="BB917" i="1"/>
  <c r="F923" i="1"/>
  <c r="O923" i="1" s="1"/>
  <c r="R966" i="1"/>
  <c r="R997" i="1"/>
  <c r="F938" i="1"/>
  <c r="O938" i="1" s="1"/>
  <c r="F957" i="1"/>
  <c r="O957" i="1" s="1"/>
  <c r="BB829" i="1"/>
  <c r="AD799" i="1"/>
  <c r="AD687" i="1"/>
  <c r="AP849" i="1"/>
  <c r="F997" i="1"/>
  <c r="O997" i="1" s="1"/>
  <c r="BB792" i="1"/>
  <c r="F952" i="1"/>
  <c r="O952" i="1" s="1"/>
  <c r="AP973" i="1"/>
  <c r="F961" i="1"/>
  <c r="O961" i="1" s="1"/>
  <c r="AD988" i="1"/>
  <c r="AD882" i="1"/>
  <c r="AP1006" i="1"/>
  <c r="AD865" i="1"/>
  <c r="BB724" i="1"/>
  <c r="F917" i="1"/>
  <c r="O917" i="1" s="1"/>
  <c r="F349" i="1"/>
  <c r="O349" i="1" s="1"/>
  <c r="AA349" i="1" s="1"/>
  <c r="BB468" i="1"/>
  <c r="F544" i="1"/>
  <c r="O544" i="1" s="1"/>
  <c r="AA544" i="1" s="1"/>
  <c r="AM544" i="1" s="1"/>
  <c r="R419" i="1"/>
  <c r="R983" i="1"/>
  <c r="AP803" i="1"/>
  <c r="BB873" i="1"/>
  <c r="AP904" i="1"/>
  <c r="R803" i="1"/>
  <c r="BB485" i="1"/>
  <c r="AD917" i="1"/>
  <c r="R914" i="1"/>
  <c r="R961" i="1"/>
  <c r="BB895" i="1"/>
  <c r="F977" i="1"/>
  <c r="O977" i="1" s="1"/>
  <c r="R1004" i="1"/>
  <c r="R709" i="1"/>
  <c r="AD939" i="1"/>
  <c r="AP930" i="1"/>
  <c r="F959" i="1"/>
  <c r="O959" i="1" s="1"/>
  <c r="BB950" i="1"/>
  <c r="AP882" i="1"/>
  <c r="AP977" i="1"/>
  <c r="R865" i="1"/>
  <c r="AP219" i="1"/>
  <c r="F283" i="1"/>
  <c r="O283" i="1" s="1"/>
  <c r="AP49" i="1"/>
  <c r="BB355" i="1"/>
  <c r="AP20" i="1"/>
  <c r="AP95" i="1"/>
  <c r="AP22" i="1"/>
  <c r="F556" i="1"/>
  <c r="O556" i="1" s="1"/>
  <c r="BB5" i="1"/>
  <c r="AD69" i="1"/>
  <c r="F981" i="1"/>
  <c r="O981" i="1" s="1"/>
  <c r="BB927" i="1"/>
  <c r="AP981" i="1"/>
  <c r="AD291" i="1"/>
  <c r="BB879" i="1"/>
  <c r="BB960" i="1"/>
  <c r="BB31" i="1"/>
  <c r="BB851" i="1"/>
  <c r="R949" i="1"/>
  <c r="F963" i="1"/>
  <c r="O963" i="1" s="1"/>
  <c r="AA963" i="1" s="1"/>
  <c r="BB813" i="1"/>
  <c r="R950" i="1"/>
  <c r="BB985" i="1"/>
  <c r="F220" i="1"/>
  <c r="O220" i="1" s="1"/>
  <c r="R291" i="1"/>
  <c r="AD238" i="1"/>
  <c r="AD185" i="1"/>
  <c r="R110" i="1"/>
  <c r="AD35" i="1"/>
  <c r="AD957" i="1"/>
  <c r="F857" i="1"/>
  <c r="O857" i="1" s="1"/>
  <c r="AD884" i="1"/>
  <c r="AD818" i="1"/>
  <c r="AD941" i="1"/>
  <c r="R455" i="1"/>
  <c r="BB965" i="1"/>
  <c r="F906" i="1"/>
  <c r="O906" i="1" s="1"/>
  <c r="F884" i="1"/>
  <c r="O884" i="1" s="1"/>
  <c r="AA884" i="1" s="1"/>
  <c r="R925" i="1"/>
  <c r="R756" i="1"/>
  <c r="AD876" i="1"/>
  <c r="R964" i="1"/>
  <c r="AD947" i="1"/>
  <c r="AP929" i="1"/>
  <c r="R984" i="1"/>
  <c r="AD946" i="1"/>
  <c r="BB904" i="1"/>
  <c r="AP843" i="1"/>
  <c r="F113" i="1"/>
  <c r="O113" i="1" s="1"/>
  <c r="AP153" i="1"/>
  <c r="AP355" i="1"/>
  <c r="F946" i="1"/>
  <c r="O946" i="1" s="1"/>
  <c r="BB912" i="1"/>
  <c r="AD911" i="1"/>
  <c r="F764" i="1"/>
  <c r="O764" i="1" s="1"/>
  <c r="BB998" i="1"/>
  <c r="AP1000" i="1"/>
  <c r="R1005" i="1"/>
  <c r="R857" i="1"/>
  <c r="AP950" i="1"/>
  <c r="AP961" i="1"/>
  <c r="F891" i="1"/>
  <c r="O891" i="1" s="1"/>
  <c r="F933" i="1"/>
  <c r="O933" i="1" s="1"/>
  <c r="F994" i="1"/>
  <c r="O994" i="1" s="1"/>
  <c r="F958" i="1"/>
  <c r="O958" i="1" s="1"/>
  <c r="F893" i="1"/>
  <c r="O893" i="1" s="1"/>
  <c r="AP970" i="1"/>
  <c r="BB858" i="1"/>
  <c r="BB650" i="1"/>
  <c r="AD701" i="1"/>
  <c r="AP810" i="1"/>
  <c r="AP915" i="1"/>
  <c r="AD969" i="1"/>
  <c r="R981" i="1"/>
  <c r="BB984" i="1"/>
  <c r="BB983" i="1"/>
  <c r="AP927" i="1"/>
  <c r="AD858" i="1"/>
  <c r="F790" i="1"/>
  <c r="O790" i="1" s="1"/>
  <c r="BB745" i="1"/>
  <c r="R819" i="1"/>
  <c r="R420" i="1"/>
  <c r="AD509" i="1"/>
  <c r="AD664" i="1"/>
  <c r="F518" i="1"/>
  <c r="O518" i="1" s="1"/>
  <c r="AP941" i="1"/>
  <c r="AD834" i="1"/>
  <c r="AP982" i="1"/>
  <c r="R906" i="1"/>
  <c r="AD802" i="1"/>
  <c r="AP857" i="1"/>
  <c r="R959" i="1"/>
  <c r="R987" i="1"/>
  <c r="BB961" i="1"/>
  <c r="BB926" i="1"/>
  <c r="R967" i="1"/>
  <c r="AD845" i="1"/>
  <c r="BB906" i="1"/>
  <c r="BB941" i="1"/>
  <c r="AP898" i="1"/>
  <c r="F970" i="1"/>
  <c r="O970" i="1" s="1"/>
  <c r="F1003" i="1"/>
  <c r="O1003" i="1" s="1"/>
  <c r="BB543" i="1"/>
  <c r="AP876" i="1"/>
  <c r="F914" i="1"/>
  <c r="O914" i="1" s="1"/>
  <c r="AD97" i="1"/>
  <c r="AD691" i="1"/>
  <c r="AP794" i="1"/>
  <c r="R614" i="1"/>
  <c r="AP411" i="1"/>
  <c r="BB495" i="1"/>
  <c r="R834" i="1"/>
  <c r="R904" i="1"/>
  <c r="AP905" i="1"/>
  <c r="R994" i="1"/>
  <c r="R856" i="1"/>
  <c r="AA856" i="1" s="1"/>
  <c r="AP713" i="1"/>
  <c r="R661" i="1"/>
  <c r="R848" i="1"/>
  <c r="R869" i="1"/>
  <c r="R982" i="1"/>
  <c r="F901" i="1"/>
  <c r="O901" i="1" s="1"/>
  <c r="AD994" i="1"/>
  <c r="AD823" i="1"/>
  <c r="F637" i="1"/>
  <c r="O637" i="1" s="1"/>
  <c r="AP747" i="1"/>
  <c r="F986" i="1"/>
  <c r="O986" i="1" s="1"/>
  <c r="R979" i="1"/>
  <c r="AP721" i="1"/>
  <c r="AP978" i="1"/>
  <c r="F496" i="1"/>
  <c r="O496" i="1" s="1"/>
  <c r="AA496" i="1" s="1"/>
  <c r="AM496" i="1" s="1"/>
  <c r="AP967" i="1"/>
  <c r="F748" i="1"/>
  <c r="O748" i="1" s="1"/>
  <c r="AA748" i="1" s="1"/>
  <c r="R1006" i="1"/>
  <c r="BB902" i="1"/>
  <c r="AD636" i="1"/>
  <c r="F885" i="1"/>
  <c r="O885" i="1" s="1"/>
  <c r="AD989" i="1"/>
  <c r="F910" i="1"/>
  <c r="O910" i="1" s="1"/>
  <c r="BB963" i="1"/>
  <c r="R912" i="1"/>
  <c r="F837" i="1"/>
  <c r="O837" i="1" s="1"/>
  <c r="AA837" i="1" s="1"/>
  <c r="F599" i="1"/>
  <c r="O599" i="1" s="1"/>
  <c r="AA599" i="1" s="1"/>
  <c r="F699" i="1"/>
  <c r="O699" i="1" s="1"/>
  <c r="AA699" i="1" s="1"/>
  <c r="AD908" i="1"/>
  <c r="BB683" i="1"/>
  <c r="BB598" i="1"/>
  <c r="F925" i="1"/>
  <c r="O925" i="1" s="1"/>
  <c r="AD993" i="1"/>
  <c r="AD910" i="1"/>
  <c r="AD1002" i="1"/>
  <c r="F880" i="1"/>
  <c r="O880" i="1" s="1"/>
  <c r="AA880" i="1" s="1"/>
  <c r="F993" i="1"/>
  <c r="O993" i="1" s="1"/>
  <c r="AA993" i="1" s="1"/>
  <c r="F954" i="1"/>
  <c r="O954" i="1" s="1"/>
  <c r="R797" i="1"/>
  <c r="R826" i="1"/>
  <c r="F670" i="1"/>
  <c r="O670" i="1" s="1"/>
  <c r="AA670" i="1" s="1"/>
  <c r="BB709" i="1"/>
  <c r="AP719" i="1"/>
  <c r="AP728" i="1"/>
  <c r="AP641" i="1"/>
  <c r="BB558" i="1"/>
  <c r="F560" i="1"/>
  <c r="O560" i="1" s="1"/>
  <c r="AA560" i="1" s="1"/>
  <c r="AD424" i="1"/>
  <c r="R824" i="1"/>
  <c r="BB877" i="1"/>
  <c r="BB919" i="1"/>
  <c r="BB908" i="1"/>
  <c r="BB980" i="1"/>
  <c r="BB824" i="1"/>
  <c r="AD961" i="1"/>
  <c r="BB805" i="1"/>
  <c r="AD721" i="1"/>
  <c r="R823" i="1"/>
  <c r="BB903" i="1"/>
  <c r="R216" i="1"/>
  <c r="AP374" i="1"/>
  <c r="R282" i="1"/>
  <c r="AD267" i="1"/>
  <c r="F831" i="1"/>
  <c r="O831" i="1" s="1"/>
  <c r="AP937" i="1"/>
  <c r="AP859" i="1"/>
  <c r="AD950" i="1"/>
  <c r="R745" i="1"/>
  <c r="R840" i="1"/>
  <c r="AP985" i="1"/>
  <c r="AP785" i="1"/>
  <c r="BB479" i="1"/>
  <c r="R666" i="1"/>
  <c r="AP564" i="1"/>
  <c r="F422" i="1"/>
  <c r="O422" i="1" s="1"/>
  <c r="R691" i="1"/>
  <c r="BB996" i="1"/>
  <c r="F650" i="1"/>
  <c r="O650" i="1" s="1"/>
  <c r="AP955" i="1"/>
  <c r="F357" i="1"/>
  <c r="O357" i="1" s="1"/>
  <c r="F947" i="1"/>
  <c r="O947" i="1" s="1"/>
  <c r="F983" i="1"/>
  <c r="O983" i="1" s="1"/>
  <c r="AD963" i="1"/>
  <c r="F798" i="1"/>
  <c r="O798" i="1" s="1"/>
  <c r="AA798" i="1" s="1"/>
  <c r="AM798" i="1" s="1"/>
  <c r="AY798" i="1" s="1"/>
  <c r="F218" i="1"/>
  <c r="O218" i="1" s="1"/>
  <c r="F332" i="1"/>
  <c r="O332" i="1" s="1"/>
  <c r="BB175" i="1"/>
  <c r="F235" i="1"/>
  <c r="O235" i="1" s="1"/>
  <c r="AA235" i="1" s="1"/>
  <c r="AP348" i="1"/>
  <c r="F495" i="1"/>
  <c r="O495" i="1" s="1"/>
  <c r="AA495" i="1" s="1"/>
  <c r="F365" i="1"/>
  <c r="O365" i="1" s="1"/>
  <c r="R299" i="1"/>
  <c r="BB73" i="1"/>
  <c r="R842" i="1"/>
  <c r="AP880" i="1"/>
  <c r="AP293" i="1"/>
  <c r="F600" i="1"/>
  <c r="O600" i="1" s="1"/>
  <c r="AP949" i="1"/>
  <c r="BB751" i="1"/>
  <c r="AP604" i="1"/>
  <c r="AP756" i="1"/>
  <c r="AP635" i="1"/>
  <c r="R684" i="1"/>
  <c r="R860" i="1"/>
  <c r="AP863" i="1"/>
  <c r="R999" i="1"/>
  <c r="F31" i="1"/>
  <c r="O31" i="1" s="1"/>
  <c r="F338" i="1"/>
  <c r="O338" i="1" s="1"/>
  <c r="AP352" i="1"/>
  <c r="AD317" i="1"/>
  <c r="AD981" i="1"/>
  <c r="BB814" i="1"/>
  <c r="BB957" i="1"/>
  <c r="BB942" i="1"/>
  <c r="R847" i="1"/>
  <c r="F899" i="1"/>
  <c r="O899" i="1" s="1"/>
  <c r="F955" i="1"/>
  <c r="O955" i="1" s="1"/>
  <c r="AD788" i="1"/>
  <c r="AD828" i="1"/>
  <c r="BB703" i="1"/>
  <c r="AD570" i="1"/>
  <c r="F287" i="1"/>
  <c r="O287" i="1" s="1"/>
  <c r="BB866" i="1"/>
  <c r="F343" i="1"/>
  <c r="O343" i="1" s="1"/>
  <c r="BB884" i="1"/>
  <c r="R771" i="1"/>
  <c r="R91" i="1"/>
  <c r="AD938" i="1"/>
  <c r="F829" i="1"/>
  <c r="O829" i="1" s="1"/>
  <c r="F708" i="1"/>
  <c r="O708" i="1" s="1"/>
  <c r="AA708" i="1" s="1"/>
  <c r="AM708" i="1" s="1"/>
  <c r="AD514" i="1"/>
  <c r="AD695" i="1"/>
  <c r="AP326" i="1"/>
  <c r="R911" i="1"/>
  <c r="BB807" i="1"/>
  <c r="AP769" i="1"/>
  <c r="AD505" i="1"/>
  <c r="AD869" i="1"/>
  <c r="F183" i="1"/>
  <c r="O183" i="1" s="1"/>
  <c r="AA183" i="1" s="1"/>
  <c r="AD625" i="1"/>
  <c r="BB200" i="1"/>
  <c r="AD385" i="1"/>
  <c r="AD459" i="1"/>
  <c r="AD653" i="1"/>
  <c r="R312" i="1"/>
  <c r="R487" i="1"/>
  <c r="AD449" i="1"/>
  <c r="BB486" i="1"/>
  <c r="R494" i="1"/>
  <c r="AP433" i="1"/>
  <c r="F358" i="1"/>
  <c r="O358" i="1" s="1"/>
  <c r="F304" i="1"/>
  <c r="O304" i="1" s="1"/>
  <c r="F180" i="1"/>
  <c r="O180" i="1" s="1"/>
  <c r="F794" i="1"/>
  <c r="O794" i="1" s="1"/>
  <c r="AA794" i="1" s="1"/>
  <c r="AM794" i="1" s="1"/>
  <c r="AY794" i="1" s="1"/>
  <c r="R811" i="1"/>
  <c r="R673" i="1"/>
  <c r="R250" i="1"/>
  <c r="R511" i="1"/>
  <c r="F552" i="1"/>
  <c r="O552" i="1" s="1"/>
  <c r="AP559" i="1"/>
  <c r="F663" i="1"/>
  <c r="O663" i="1" s="1"/>
  <c r="AA663" i="1" s="1"/>
  <c r="AP840" i="1"/>
  <c r="R650" i="1"/>
  <c r="AD718" i="1"/>
  <c r="AD650" i="1"/>
  <c r="AD683" i="1"/>
  <c r="AP654" i="1"/>
  <c r="AD517" i="1"/>
  <c r="R517" i="1"/>
  <c r="R488" i="1"/>
  <c r="F509" i="1"/>
  <c r="O509" i="1" s="1"/>
  <c r="AP239" i="1"/>
  <c r="AP833" i="1"/>
  <c r="F503" i="1"/>
  <c r="O503" i="1" s="1"/>
  <c r="F982" i="1"/>
  <c r="O982" i="1" s="1"/>
  <c r="BB994" i="1"/>
  <c r="F722" i="1"/>
  <c r="O722" i="1" s="1"/>
  <c r="AP688" i="1"/>
  <c r="F639" i="1"/>
  <c r="O639" i="1" s="1"/>
  <c r="BB646" i="1"/>
  <c r="AP768" i="1"/>
  <c r="BB672" i="1"/>
  <c r="AP337" i="1"/>
  <c r="BB400" i="1"/>
  <c r="R364" i="1"/>
  <c r="AP804" i="1"/>
  <c r="F956" i="1"/>
  <c r="O956" i="1" s="1"/>
  <c r="BB852" i="1"/>
  <c r="AD671" i="1"/>
  <c r="AP638" i="1"/>
  <c r="AD930" i="1"/>
  <c r="F714" i="1"/>
  <c r="O714" i="1" s="1"/>
  <c r="BB632" i="1"/>
  <c r="AP773" i="1"/>
  <c r="AP496" i="1"/>
  <c r="F868" i="1"/>
  <c r="O868" i="1" s="1"/>
  <c r="AA868" i="1" s="1"/>
  <c r="R539" i="1"/>
  <c r="AA539" i="1" s="1"/>
  <c r="AM539" i="1" s="1"/>
  <c r="AY539" i="1" s="1"/>
  <c r="BL539" i="1" s="1"/>
  <c r="AP446" i="1"/>
  <c r="AP566" i="1"/>
  <c r="BB619" i="1"/>
  <c r="AD464" i="1"/>
  <c r="R515" i="1"/>
  <c r="F77" i="1"/>
  <c r="O77" i="1" s="1"/>
  <c r="BB1005" i="1"/>
  <c r="AP858" i="1"/>
  <c r="R528" i="1"/>
  <c r="AP461" i="1"/>
  <c r="AD364" i="1"/>
  <c r="BB455" i="1"/>
  <c r="AP392" i="1"/>
  <c r="AP454" i="1"/>
  <c r="AD58" i="1"/>
  <c r="AD740" i="1"/>
  <c r="AP451" i="1"/>
  <c r="AP791" i="1"/>
  <c r="R649" i="1"/>
  <c r="F391" i="1"/>
  <c r="O391" i="1" s="1"/>
  <c r="AP678" i="1"/>
  <c r="R358" i="1"/>
  <c r="AP712" i="1"/>
  <c r="AP562" i="1"/>
  <c r="F182" i="1"/>
  <c r="O182" i="1" s="1"/>
  <c r="AP268" i="1"/>
  <c r="AP343" i="1"/>
  <c r="BB333" i="1"/>
  <c r="AP349" i="1"/>
  <c r="AP415" i="1"/>
  <c r="BB622" i="1"/>
  <c r="AP489" i="1"/>
  <c r="AP731" i="1"/>
  <c r="R706" i="1"/>
  <c r="F210" i="1"/>
  <c r="O210" i="1" s="1"/>
  <c r="AD670" i="1"/>
  <c r="AP518" i="1"/>
  <c r="R321" i="1"/>
  <c r="AD522" i="1"/>
  <c r="AP87" i="1"/>
  <c r="AD214" i="1"/>
  <c r="R262" i="1"/>
  <c r="F463" i="1"/>
  <c r="O463" i="1" s="1"/>
  <c r="F789" i="1"/>
  <c r="O789" i="1" s="1"/>
  <c r="AD962" i="1"/>
  <c r="BB262" i="1"/>
  <c r="F613" i="1"/>
  <c r="O613" i="1" s="1"/>
  <c r="AP962" i="1"/>
  <c r="AD463" i="1"/>
  <c r="BB217" i="1"/>
  <c r="R789" i="1"/>
  <c r="R217" i="1"/>
  <c r="BB463" i="1"/>
  <c r="AD789" i="1"/>
  <c r="BB962" i="1"/>
  <c r="AD217" i="1"/>
  <c r="BB613" i="1"/>
  <c r="AP262" i="1"/>
  <c r="R141" i="1"/>
  <c r="AP252" i="1"/>
  <c r="F141" i="1"/>
  <c r="O141" i="1" s="1"/>
  <c r="F252" i="1"/>
  <c r="O252" i="1" s="1"/>
  <c r="R613" i="1"/>
  <c r="AA613" i="1" s="1"/>
  <c r="BB789" i="1"/>
  <c r="AP141" i="1"/>
  <c r="R252" i="1"/>
  <c r="AA252" i="1" s="1"/>
  <c r="AP789" i="1"/>
  <c r="AP217" i="1"/>
  <c r="AD262" i="1"/>
  <c r="AP463" i="1"/>
  <c r="AD141" i="1"/>
  <c r="BB252" i="1"/>
  <c r="AP613" i="1"/>
  <c r="F962" i="1"/>
  <c r="O962" i="1" s="1"/>
  <c r="F262" i="1"/>
  <c r="O262" i="1" s="1"/>
  <c r="R463" i="1"/>
  <c r="R962" i="1"/>
  <c r="AD252" i="1"/>
  <c r="F217" i="1"/>
  <c r="O217" i="1" s="1"/>
  <c r="AD613" i="1"/>
  <c r="BB141" i="1"/>
  <c r="J1012" i="1"/>
  <c r="AG1012" i="1"/>
  <c r="AK1012" i="1"/>
  <c r="BI1012" i="1"/>
  <c r="AW1012" i="1"/>
  <c r="S1012" i="1"/>
  <c r="U1012" i="1"/>
  <c r="AQ1012" i="1"/>
  <c r="AF1012" i="1"/>
  <c r="AV1012" i="1"/>
  <c r="M1012" i="1"/>
  <c r="AH1012" i="1"/>
  <c r="BH1012" i="1"/>
  <c r="BG1012" i="1"/>
  <c r="BD1012" i="1"/>
  <c r="AI1012" i="1"/>
  <c r="V1012" i="1"/>
  <c r="L1012" i="1"/>
  <c r="AU1012" i="1"/>
  <c r="G1012" i="1"/>
  <c r="BC1012" i="1"/>
  <c r="BW285" i="1"/>
  <c r="BN285" i="1"/>
  <c r="BO285" i="1" a="1"/>
  <c r="BO285" i="1" s="1"/>
  <c r="BW292" i="1"/>
  <c r="BN292" i="1"/>
  <c r="BO292" i="1" s="1" a="1"/>
  <c r="BO292" i="1" s="1"/>
  <c r="BY315" i="1"/>
  <c r="BN315" i="1"/>
  <c r="BO315" i="1" a="1"/>
  <c r="BO315" i="1" s="1"/>
  <c r="BX321" i="1"/>
  <c r="BN321" i="1"/>
  <c r="BO321" i="1" s="1" a="1"/>
  <c r="BO321" i="1" s="1"/>
  <c r="BV323" i="1"/>
  <c r="BN323" i="1"/>
  <c r="BO323" i="1" a="1"/>
  <c r="BO323" i="1" s="1"/>
  <c r="BY344" i="1"/>
  <c r="BN344" i="1"/>
  <c r="BO344" i="1" s="1" a="1"/>
  <c r="BO344" i="1" s="1"/>
  <c r="BV350" i="1"/>
  <c r="BN350" i="1"/>
  <c r="BO350" i="1" s="1" a="1"/>
  <c r="BO350" i="1" s="1"/>
  <c r="BW372" i="1"/>
  <c r="BN372" i="1"/>
  <c r="BO372" i="1" s="1" a="1"/>
  <c r="BO372" i="1" s="1"/>
  <c r="BW77" i="1"/>
  <c r="BN77" i="1"/>
  <c r="BO77" i="1" a="1"/>
  <c r="BO77" i="1" s="1"/>
  <c r="BV80" i="1"/>
  <c r="BN80" i="1"/>
  <c r="BO80" i="1" s="1" a="1"/>
  <c r="BO80" i="1" s="1"/>
  <c r="BW122" i="1"/>
  <c r="BN122" i="1"/>
  <c r="BO122" i="1" a="1"/>
  <c r="BO122" i="1" s="1"/>
  <c r="BY140" i="1"/>
  <c r="BN140" i="1"/>
  <c r="BO140" i="1" s="1" a="1"/>
  <c r="BO140" i="1" s="1"/>
  <c r="BX152" i="1"/>
  <c r="BN152" i="1"/>
  <c r="BO152" i="1" s="1" a="1"/>
  <c r="BO152" i="1" s="1"/>
  <c r="BX168" i="1"/>
  <c r="BW182" i="1"/>
  <c r="BN182" i="1"/>
  <c r="BO182" i="1" s="1" a="1"/>
  <c r="BO182" i="1" s="1"/>
  <c r="BW188" i="1"/>
  <c r="BN188" i="1"/>
  <c r="BO188" i="1" s="1" a="1"/>
  <c r="BO188" i="1" s="1"/>
  <c r="BW207" i="1"/>
  <c r="BN207" i="1"/>
  <c r="BO207" i="1" s="1" a="1"/>
  <c r="BO207" i="1" s="1"/>
  <c r="BX215" i="1"/>
  <c r="BN215" i="1"/>
  <c r="BO215" i="1" a="1"/>
  <c r="BO215" i="1" s="1"/>
  <c r="BW349" i="1"/>
  <c r="BN349" i="1"/>
  <c r="BO349" i="1" s="1" a="1"/>
  <c r="BO349" i="1" s="1"/>
  <c r="BW357" i="1"/>
  <c r="BN357" i="1"/>
  <c r="BO357" i="1" a="1"/>
  <c r="BO357" i="1" s="1"/>
  <c r="BV367" i="1"/>
  <c r="BN367" i="1"/>
  <c r="BO367" i="1" s="1" a="1"/>
  <c r="BO367" i="1" s="1"/>
  <c r="BN65" i="1"/>
  <c r="BO65" i="1" s="1" a="1"/>
  <c r="BO65" i="1" s="1"/>
  <c r="BN111" i="1"/>
  <c r="BO111" i="1" a="1"/>
  <c r="BO111" i="1" s="1"/>
  <c r="BN98" i="1"/>
  <c r="BO98" i="1" a="1"/>
  <c r="BO98" i="1" s="1"/>
  <c r="BN137" i="1"/>
  <c r="BO137" i="1" a="1"/>
  <c r="BO137" i="1" s="1"/>
  <c r="BN136" i="1"/>
  <c r="BO136" i="1" s="1" a="1"/>
  <c r="BO136" i="1" s="1"/>
  <c r="BN139" i="1"/>
  <c r="BO139" i="1" s="1" a="1"/>
  <c r="BO139" i="1" s="1"/>
  <c r="BN155" i="1"/>
  <c r="BO155" i="1" s="1" a="1"/>
  <c r="BO155" i="1" s="1"/>
  <c r="BX273" i="1"/>
  <c r="BN273" i="1"/>
  <c r="BO273" i="1" a="1"/>
  <c r="BO273" i="1" s="1"/>
  <c r="BX282" i="1"/>
  <c r="BN282" i="1"/>
  <c r="BO282" i="1" s="1" a="1"/>
  <c r="BO282" i="1" s="1"/>
  <c r="BX264" i="1"/>
  <c r="BN264" i="1"/>
  <c r="BO264" i="1" a="1"/>
  <c r="BO264" i="1" s="1"/>
  <c r="BV351" i="1"/>
  <c r="BN351" i="1"/>
  <c r="BO351" i="1" s="1" a="1"/>
  <c r="BO351" i="1" s="1"/>
  <c r="BV354" i="1"/>
  <c r="BN354" i="1"/>
  <c r="BO354" i="1" a="1"/>
  <c r="BO354" i="1" s="1"/>
  <c r="BW373" i="1"/>
  <c r="BN373" i="1"/>
  <c r="BO373" i="1" s="1" a="1"/>
  <c r="BO373" i="1" s="1"/>
  <c r="BY383" i="1"/>
  <c r="BN383" i="1"/>
  <c r="BO383" i="1" s="1" a="1"/>
  <c r="BO383" i="1" s="1"/>
  <c r="BN428" i="1"/>
  <c r="BO428" i="1" a="1"/>
  <c r="BO428" i="1" s="1"/>
  <c r="BN413" i="1"/>
  <c r="BO413" i="1" s="1" a="1"/>
  <c r="BO413" i="1" s="1"/>
  <c r="BN411" i="1"/>
  <c r="BO411" i="1" a="1"/>
  <c r="BO411" i="1" s="1"/>
  <c r="BN515" i="1"/>
  <c r="BO515" i="1" s="1" a="1"/>
  <c r="BO515" i="1" s="1"/>
  <c r="BN536" i="1"/>
  <c r="BO536" i="1" a="1"/>
  <c r="BO536" i="1" s="1"/>
  <c r="BN976" i="1"/>
  <c r="BO976" i="1" s="1" a="1"/>
  <c r="BO976" i="1" s="1"/>
  <c r="BN83" i="1"/>
  <c r="BO83" i="1" a="1"/>
  <c r="BO83" i="1" s="1"/>
  <c r="BW271" i="1"/>
  <c r="BN271" i="1"/>
  <c r="BO271" i="1" s="1" a="1"/>
  <c r="BO271" i="1" s="1"/>
  <c r="BV283" i="1"/>
  <c r="BN283" i="1"/>
  <c r="BO283" i="1" a="1"/>
  <c r="BO283" i="1" s="1"/>
  <c r="BV361" i="1"/>
  <c r="BN361" i="1"/>
  <c r="BO361" i="1" s="1" a="1"/>
  <c r="BO361" i="1" s="1"/>
  <c r="BW403" i="1"/>
  <c r="BW404" i="1"/>
  <c r="BN404" i="1"/>
  <c r="BO404" i="1" s="1" a="1"/>
  <c r="BO404" i="1" s="1"/>
  <c r="BY461" i="1"/>
  <c r="BN461" i="1"/>
  <c r="BO461" i="1" a="1"/>
  <c r="BO461" i="1" s="1"/>
  <c r="BY148" i="1"/>
  <c r="BN148" i="1"/>
  <c r="BO148" i="1" s="1" a="1"/>
  <c r="BO148" i="1" s="1"/>
  <c r="BW302" i="1"/>
  <c r="BN302" i="1"/>
  <c r="BO302" i="1" s="1" a="1"/>
  <c r="BO302" i="1" s="1"/>
  <c r="BY316" i="1"/>
  <c r="BN316" i="1"/>
  <c r="BO316" i="1" s="1" a="1"/>
  <c r="BO316" i="1" s="1"/>
  <c r="BV331" i="1"/>
  <c r="BN331" i="1"/>
  <c r="BO331" i="1" a="1"/>
  <c r="BO331" i="1" s="1"/>
  <c r="BX333" i="1"/>
  <c r="BN333" i="1"/>
  <c r="BO333" i="1" s="1" a="1"/>
  <c r="BO333" i="1" s="1"/>
  <c r="BV335" i="1"/>
  <c r="BN335" i="1"/>
  <c r="BO335" i="1" a="1"/>
  <c r="BO335" i="1" s="1"/>
  <c r="BX337" i="1"/>
  <c r="BN337" i="1"/>
  <c r="BO337" i="1" s="1" a="1"/>
  <c r="BO337" i="1" s="1"/>
  <c r="BX371" i="1"/>
  <c r="BN371" i="1"/>
  <c r="BO371" i="1" a="1"/>
  <c r="BO371" i="1" s="1"/>
  <c r="BW425" i="1"/>
  <c r="BV512" i="1"/>
  <c r="BN512" i="1"/>
  <c r="BO512" i="1" a="1"/>
  <c r="BO512" i="1" s="1"/>
  <c r="BV520" i="1"/>
  <c r="BN520" i="1"/>
  <c r="BO520" i="1" s="1" a="1"/>
  <c r="BO520" i="1" s="1"/>
  <c r="BV523" i="1"/>
  <c r="BW494" i="1"/>
  <c r="BN494" i="1"/>
  <c r="BO494" i="1" s="1" a="1"/>
  <c r="BO494" i="1" s="1"/>
  <c r="BX85" i="1"/>
  <c r="BN85" i="1"/>
  <c r="BO85" i="1" a="1"/>
  <c r="BO85" i="1" s="1"/>
  <c r="BX120" i="1"/>
  <c r="BN120" i="1"/>
  <c r="BO120" i="1" s="1" a="1"/>
  <c r="BO120" i="1" s="1"/>
  <c r="BV145" i="1"/>
  <c r="BN145" i="1"/>
  <c r="BO145" i="1" s="1" a="1"/>
  <c r="BO145" i="1" s="1"/>
  <c r="BY158" i="1"/>
  <c r="BN158" i="1"/>
  <c r="BO158" i="1" s="1" a="1"/>
  <c r="BO158" i="1" s="1"/>
  <c r="BY166" i="1"/>
  <c r="BN166" i="1"/>
  <c r="BO166" i="1" a="1"/>
  <c r="BO166" i="1" s="1"/>
  <c r="BW195" i="1"/>
  <c r="BN195" i="1"/>
  <c r="BO195" i="1" s="1" a="1"/>
  <c r="BO195" i="1" s="1"/>
  <c r="BV202" i="1"/>
  <c r="BX480" i="1"/>
  <c r="BN480" i="1"/>
  <c r="BO480" i="1" a="1"/>
  <c r="BO480" i="1" s="1"/>
  <c r="BN615" i="1"/>
  <c r="BO615" i="1" a="1"/>
  <c r="BO615" i="1" s="1"/>
  <c r="BN156" i="1"/>
  <c r="BO156" i="1" a="1"/>
  <c r="BO156" i="1" s="1"/>
  <c r="BN138" i="1"/>
  <c r="BO138" i="1" a="1"/>
  <c r="BO138" i="1" s="1"/>
  <c r="BN167" i="1"/>
  <c r="BO167" i="1" a="1"/>
  <c r="BO167" i="1" s="1"/>
  <c r="BN128" i="1"/>
  <c r="BO128" i="1" a="1"/>
  <c r="BO128" i="1" s="1"/>
  <c r="BN50" i="1"/>
  <c r="BO50" i="1" s="1" a="1"/>
  <c r="BO50" i="1" s="1"/>
  <c r="BN311" i="1"/>
  <c r="BO311" i="1" s="1" a="1"/>
  <c r="BO311" i="1" s="1"/>
  <c r="BX15" i="1"/>
  <c r="BN15" i="1"/>
  <c r="BO15" i="1" s="1" a="1"/>
  <c r="BO15" i="1" s="1"/>
  <c r="BW16" i="1"/>
  <c r="BN16" i="1"/>
  <c r="BO16" i="1" s="1" a="1"/>
  <c r="BO16" i="1" s="1"/>
  <c r="BV87" i="1"/>
  <c r="BN87" i="1"/>
  <c r="BO87" i="1" a="1"/>
  <c r="BO87" i="1" s="1"/>
  <c r="BV91" i="1"/>
  <c r="BN91" i="1"/>
  <c r="BO91" i="1" s="1" a="1"/>
  <c r="BO91" i="1" s="1"/>
  <c r="BW134" i="1"/>
  <c r="BN134" i="1"/>
  <c r="BO134" i="1" a="1"/>
  <c r="BO134" i="1" s="1"/>
  <c r="BW290" i="1"/>
  <c r="BN290" i="1"/>
  <c r="BO290" i="1" s="1" a="1"/>
  <c r="BO290" i="1" s="1"/>
  <c r="BY320" i="1"/>
  <c r="BN320" i="1"/>
  <c r="BO320" i="1" s="1" a="1"/>
  <c r="BO320" i="1" s="1"/>
  <c r="BX327" i="1"/>
  <c r="BN327" i="1"/>
  <c r="BO327" i="1" s="1" a="1"/>
  <c r="BO327" i="1" s="1"/>
  <c r="BW342" i="1"/>
  <c r="BN342" i="1"/>
  <c r="BO342" i="1" a="1"/>
  <c r="BO342" i="1" s="1"/>
  <c r="BV126" i="1"/>
  <c r="BN126" i="1"/>
  <c r="BO126" i="1" s="1" a="1"/>
  <c r="BO126" i="1" s="1"/>
  <c r="BW190" i="1"/>
  <c r="BW191" i="1"/>
  <c r="BN191" i="1"/>
  <c r="BO191" i="1" s="1" a="1"/>
  <c r="BO191" i="1" s="1"/>
  <c r="BW213" i="1"/>
  <c r="BN213" i="1"/>
  <c r="BO213" i="1" a="1"/>
  <c r="BO213" i="1" s="1"/>
  <c r="BW119" i="1"/>
  <c r="BN119" i="1"/>
  <c r="BO119" i="1" s="1" a="1"/>
  <c r="BO119" i="1" s="1"/>
  <c r="BV414" i="1"/>
  <c r="BN414" i="1"/>
  <c r="BO414" i="1" a="1"/>
  <c r="BO414" i="1" s="1"/>
  <c r="BY438" i="1"/>
  <c r="BN438" i="1"/>
  <c r="BO438" i="1" s="1" a="1"/>
  <c r="BO438" i="1" s="1"/>
  <c r="K1012" i="1"/>
  <c r="BJ1012" i="1"/>
  <c r="Y1012" i="1"/>
  <c r="AT1012" i="1"/>
  <c r="AR1012" i="1"/>
  <c r="BF1012" i="1"/>
  <c r="T1012" i="1"/>
  <c r="BN64" i="1"/>
  <c r="BO64" i="1" s="1" a="1"/>
  <c r="BO64" i="1" s="1"/>
  <c r="BN172" i="1"/>
  <c r="BO172" i="1" s="1" a="1"/>
  <c r="BO172" i="1" s="1"/>
  <c r="BN174" i="1"/>
  <c r="BO174" i="1" s="1" a="1"/>
  <c r="BO174" i="1" s="1"/>
  <c r="BN234" i="1"/>
  <c r="BO234" i="1" s="1" a="1"/>
  <c r="BO234" i="1" s="1"/>
  <c r="BN93" i="1"/>
  <c r="BO93" i="1" s="1" a="1"/>
  <c r="BO93" i="1" s="1"/>
  <c r="BN109" i="1"/>
  <c r="BO109" i="1" s="1" a="1"/>
  <c r="BO109" i="1" s="1"/>
  <c r="BN88" i="1"/>
  <c r="BO88" i="1" s="1" a="1"/>
  <c r="BO88" i="1" s="1"/>
  <c r="BN107" i="1"/>
  <c r="BO107" i="1" s="1" a="1"/>
  <c r="BO107" i="1" s="1"/>
  <c r="BV53" i="1"/>
  <c r="BW56" i="1"/>
  <c r="BX67" i="1"/>
  <c r="BW68" i="1"/>
  <c r="BW110" i="1"/>
  <c r="BY133" i="1"/>
  <c r="BN133" i="1"/>
  <c r="BO133" i="1" s="1" a="1"/>
  <c r="BO133" i="1" s="1"/>
  <c r="BV17" i="1"/>
  <c r="BN17" i="1"/>
  <c r="BO17" i="1" s="1" a="1"/>
  <c r="BO17" i="1" s="1"/>
  <c r="BW25" i="1"/>
  <c r="BW40" i="1"/>
  <c r="BN129" i="1"/>
  <c r="BO129" i="1" s="1" a="1"/>
  <c r="BO129" i="1" s="1"/>
  <c r="BX129" i="1"/>
  <c r="BV171" i="1"/>
  <c r="BN171" i="1"/>
  <c r="BO171" i="1" s="1" a="1"/>
  <c r="BO171" i="1" s="1"/>
  <c r="BN250" i="1"/>
  <c r="BO250" i="1" s="1" a="1"/>
  <c r="BO250" i="1" s="1"/>
  <c r="BW250" i="1"/>
  <c r="AE1012" i="1"/>
  <c r="BE1012" i="1"/>
  <c r="AS1012" i="1"/>
  <c r="H1012" i="1"/>
  <c r="X1012" i="1"/>
  <c r="W1012" i="1"/>
  <c r="BV59" i="1"/>
  <c r="BV146" i="1"/>
  <c r="BN146" i="1"/>
  <c r="BO146" i="1" a="1"/>
  <c r="BO146" i="1" s="1"/>
  <c r="BV147" i="1"/>
  <c r="BN147" i="1"/>
  <c r="BO147" i="1" s="1" a="1"/>
  <c r="BO147" i="1" s="1"/>
  <c r="BW169" i="1"/>
  <c r="BN169" i="1"/>
  <c r="BO169" i="1" a="1"/>
  <c r="BO169" i="1" s="1"/>
  <c r="BY204" i="1"/>
  <c r="BN204" i="1"/>
  <c r="BO204" i="1" s="1" a="1"/>
  <c r="BO204" i="1" s="1"/>
  <c r="BX222" i="1"/>
  <c r="BN222" i="1"/>
  <c r="BO222" i="1" s="1" a="1"/>
  <c r="BO222" i="1" s="1"/>
  <c r="BW224" i="1"/>
  <c r="BN224" i="1"/>
  <c r="BO224" i="1" s="1" a="1"/>
  <c r="BO224" i="1" s="1"/>
  <c r="BX230" i="1"/>
  <c r="BN230" i="1"/>
  <c r="BO230" i="1" s="1" a="1"/>
  <c r="BO230" i="1" s="1"/>
  <c r="BN165" i="1"/>
  <c r="BO165" i="1" s="1" a="1"/>
  <c r="BO165" i="1" s="1"/>
  <c r="I1012" i="1"/>
  <c r="BN150" i="1"/>
  <c r="BO150" i="1" s="1" a="1"/>
  <c r="BO150" i="1" s="1"/>
  <c r="BN132" i="1"/>
  <c r="BO132" i="1" a="1"/>
  <c r="BO132" i="1" s="1"/>
  <c r="BN164" i="1"/>
  <c r="BO164" i="1" s="1" a="1"/>
  <c r="BO164" i="1" s="1"/>
  <c r="BN263" i="1"/>
  <c r="BO263" i="1" a="1"/>
  <c r="BO263" i="1" s="1"/>
  <c r="BN58" i="1"/>
  <c r="BO58" i="1" s="1" a="1"/>
  <c r="BO58" i="1" s="1"/>
  <c r="BV58" i="1"/>
  <c r="BX104" i="1"/>
  <c r="BN104" i="1"/>
  <c r="BO104" i="1" s="1" a="1"/>
  <c r="BO104" i="1" s="1"/>
  <c r="BW113" i="1"/>
  <c r="BN113" i="1"/>
  <c r="BO113" i="1" s="1" a="1"/>
  <c r="BO113" i="1" s="1"/>
  <c r="BX157" i="1"/>
  <c r="BN157" i="1"/>
  <c r="BO157" i="1" s="1" a="1"/>
  <c r="BO157" i="1" s="1"/>
  <c r="BX193" i="1"/>
  <c r="BN193" i="1"/>
  <c r="BO193" i="1" s="1" a="1"/>
  <c r="BO193" i="1" s="1"/>
  <c r="BN254" i="1"/>
  <c r="BO254" i="1" s="1" a="1"/>
  <c r="BO254" i="1" s="1"/>
  <c r="BW254" i="1"/>
  <c r="BN96" i="1"/>
  <c r="BO96" i="1" s="1" a="1"/>
  <c r="BO96" i="1" s="1"/>
  <c r="BN103" i="1"/>
  <c r="BO103" i="1" a="1"/>
  <c r="BO103" i="1" s="1"/>
  <c r="BW20" i="1"/>
  <c r="BW36" i="1"/>
  <c r="BN102" i="1"/>
  <c r="BO102" i="1" a="1"/>
  <c r="BO102" i="1" s="1"/>
  <c r="AD114" i="1"/>
  <c r="BB89" i="1"/>
  <c r="AD186" i="1"/>
  <c r="AD294" i="1"/>
  <c r="F150" i="1"/>
  <c r="O150" i="1" s="1"/>
  <c r="BN901" i="1"/>
  <c r="BO901" i="1" s="1" a="1"/>
  <c r="BO901" i="1" s="1"/>
  <c r="BN959" i="1"/>
  <c r="BO959" i="1" s="1" a="1"/>
  <c r="BO959" i="1" s="1"/>
  <c r="BN957" i="1"/>
  <c r="BO957" i="1" s="1" a="1"/>
  <c r="BO957" i="1" s="1"/>
  <c r="BN930" i="1"/>
  <c r="BO930" i="1" s="1" a="1"/>
  <c r="BO930" i="1" s="1"/>
  <c r="BN247" i="1"/>
  <c r="BO247" i="1" s="1" a="1"/>
  <c r="BO247" i="1" s="1"/>
  <c r="AD161" i="1"/>
  <c r="AP601" i="1"/>
  <c r="AP35" i="1"/>
  <c r="R671" i="1"/>
  <c r="R221" i="1"/>
  <c r="AD168" i="1"/>
  <c r="AP509" i="1"/>
  <c r="AD434" i="1"/>
  <c r="AP401" i="1"/>
  <c r="F67" i="1"/>
  <c r="O67" i="1" s="1"/>
  <c r="BB109" i="1"/>
  <c r="F462" i="1"/>
  <c r="O462" i="1" s="1"/>
  <c r="AA462" i="1" s="1"/>
  <c r="AM462" i="1" s="1"/>
  <c r="AY462" i="1" s="1"/>
  <c r="R88" i="1"/>
  <c r="AA88" i="1" s="1"/>
  <c r="AD228" i="1"/>
  <c r="F19" i="1"/>
  <c r="O19" i="1" s="1"/>
  <c r="AD162" i="1"/>
  <c r="AD157" i="1"/>
  <c r="AD130" i="1"/>
  <c r="BB746" i="1"/>
  <c r="AD381" i="1"/>
  <c r="BB123" i="1"/>
  <c r="AD601" i="1"/>
  <c r="F226" i="1"/>
  <c r="O226" i="1" s="1"/>
  <c r="R261" i="1"/>
  <c r="BB186" i="1"/>
  <c r="BB21" i="1"/>
  <c r="R525" i="1"/>
  <c r="AD299" i="1"/>
  <c r="AD181" i="1"/>
  <c r="R87" i="1"/>
  <c r="R109" i="1"/>
  <c r="R118" i="1"/>
  <c r="AD173" i="1"/>
  <c r="R93" i="1"/>
  <c r="AP237" i="1"/>
  <c r="BB20" i="1"/>
  <c r="AD80" i="1"/>
  <c r="AD176" i="1"/>
  <c r="F204" i="1"/>
  <c r="O204" i="1" s="1"/>
  <c r="AA204" i="1" s="1"/>
  <c r="AM204" i="1" s="1"/>
  <c r="BB396" i="1"/>
  <c r="AD438" i="1"/>
  <c r="BB361" i="1"/>
  <c r="BB299" i="1"/>
  <c r="BB772" i="1"/>
  <c r="BB928" i="1"/>
  <c r="BB30" i="1"/>
  <c r="AP106" i="1"/>
  <c r="AP894" i="1"/>
  <c r="F387" i="1"/>
  <c r="O387" i="1" s="1"/>
  <c r="R743" i="1"/>
  <c r="AD52" i="1"/>
  <c r="F15" i="1"/>
  <c r="O15" i="1" s="1"/>
  <c r="F53" i="1"/>
  <c r="O53" i="1" s="1"/>
  <c r="AA53" i="1" s="1"/>
  <c r="AP59" i="1"/>
  <c r="R19" i="1"/>
  <c r="AP266" i="1"/>
  <c r="F73" i="1"/>
  <c r="O73" i="1" s="1"/>
  <c r="AA73" i="1" s="1"/>
  <c r="AD56" i="1"/>
  <c r="AD144" i="1"/>
  <c r="BB41" i="1"/>
  <c r="F429" i="1"/>
  <c r="O429" i="1" s="1"/>
  <c r="AA429" i="1" s="1"/>
  <c r="F248" i="1"/>
  <c r="O248" i="1" s="1"/>
  <c r="AA248" i="1" s="1"/>
  <c r="F249" i="1"/>
  <c r="AP335" i="1"/>
  <c r="AP189" i="1"/>
  <c r="BB673" i="1"/>
  <c r="AP194" i="1"/>
  <c r="F81" i="1"/>
  <c r="O81" i="1" s="1"/>
  <c r="F293" i="1"/>
  <c r="O293" i="1" s="1"/>
  <c r="F30" i="1"/>
  <c r="O30" i="1" s="1"/>
  <c r="R181" i="1"/>
  <c r="BB131" i="1"/>
  <c r="F336" i="1"/>
  <c r="O336" i="1" s="1"/>
  <c r="R72" i="1"/>
  <c r="AD105" i="1"/>
  <c r="AD61" i="1"/>
  <c r="F369" i="1"/>
  <c r="O369" i="1" s="1"/>
  <c r="AA369" i="1" s="1"/>
  <c r="AM369" i="1" s="1"/>
  <c r="AY369" i="1" s="1"/>
  <c r="F427" i="1"/>
  <c r="O427" i="1" s="1"/>
  <c r="AA427" i="1" s="1"/>
  <c r="AM427" i="1" s="1"/>
  <c r="BB210" i="1"/>
  <c r="AP292" i="1"/>
  <c r="AD159" i="1"/>
  <c r="AP783" i="1"/>
  <c r="AP220" i="1"/>
  <c r="AD351" i="1"/>
  <c r="AD104" i="1"/>
  <c r="AP483" i="1"/>
  <c r="AP10" i="1"/>
  <c r="AP180" i="1"/>
  <c r="R8" i="1"/>
  <c r="AP390" i="1"/>
  <c r="BB88" i="1"/>
  <c r="F90" i="1"/>
  <c r="O90" i="1" s="1"/>
  <c r="AD224" i="1"/>
  <c r="R381" i="1"/>
  <c r="AP277" i="1"/>
  <c r="AD102" i="1"/>
  <c r="F309" i="1"/>
  <c r="O309" i="1" s="1"/>
  <c r="AP161" i="1"/>
  <c r="R190" i="1"/>
  <c r="R272" i="1"/>
  <c r="AD329" i="1"/>
  <c r="AD140" i="1"/>
  <c r="BB117" i="1"/>
  <c r="F319" i="1"/>
  <c r="O319" i="1" s="1"/>
  <c r="BB61" i="1"/>
  <c r="AP320" i="1"/>
  <c r="R340" i="1"/>
  <c r="R179" i="1"/>
  <c r="AP391" i="1"/>
  <c r="R83" i="1"/>
  <c r="R57" i="1"/>
  <c r="R931" i="1"/>
  <c r="F525" i="1"/>
  <c r="O525" i="1" s="1"/>
  <c r="R319" i="1"/>
  <c r="BB107" i="1"/>
  <c r="F61" i="1"/>
  <c r="O61" i="1" s="1"/>
  <c r="AA61" i="1" s="1"/>
  <c r="F381" i="1"/>
  <c r="O381" i="1" s="1"/>
  <c r="R267" i="1"/>
  <c r="AP102" i="1"/>
  <c r="R175" i="1"/>
  <c r="BN551" i="1"/>
  <c r="BO551" i="1" s="1" a="1"/>
  <c r="BO551" i="1" s="1"/>
  <c r="BN450" i="1"/>
  <c r="BO450" i="1" s="1" a="1"/>
  <c r="BO450" i="1" s="1"/>
  <c r="BN420" i="1"/>
  <c r="BO420" i="1" s="1" a="1"/>
  <c r="BO420" i="1" s="1"/>
  <c r="BN220" i="1"/>
  <c r="BO220" i="1" s="1" a="1"/>
  <c r="BO220" i="1" s="1"/>
  <c r="BN276" i="1"/>
  <c r="BO276" i="1" s="1" a="1"/>
  <c r="BO276" i="1" s="1"/>
  <c r="BN726" i="1"/>
  <c r="BO726" i="1" s="1" a="1"/>
  <c r="BO726" i="1" s="1"/>
  <c r="BN503" i="1"/>
  <c r="BO503" i="1" s="1" a="1"/>
  <c r="BO503" i="1" s="1"/>
  <c r="BN180" i="1"/>
  <c r="BO180" i="1" s="1" a="1"/>
  <c r="BO180" i="1" s="1"/>
  <c r="BN210" i="1"/>
  <c r="BO210" i="1" s="1" a="1"/>
  <c r="BO210" i="1" s="1"/>
  <c r="BN838" i="1"/>
  <c r="BO838" i="1" s="1" a="1"/>
  <c r="BO838" i="1" s="1"/>
  <c r="F284" i="1"/>
  <c r="O284" i="1" s="1"/>
  <c r="BB415" i="1"/>
  <c r="R443" i="1"/>
  <c r="R187" i="1"/>
  <c r="F104" i="1"/>
  <c r="O104" i="1" s="1"/>
  <c r="AA104" i="1" s="1"/>
  <c r="AD645" i="1"/>
  <c r="R400" i="1"/>
  <c r="AD606" i="1"/>
  <c r="AP182" i="1"/>
  <c r="BB196" i="1"/>
  <c r="R604" i="1"/>
  <c r="AD108" i="1"/>
  <c r="F425" i="1"/>
  <c r="O425" i="1" s="1"/>
  <c r="AA425" i="1" s="1"/>
  <c r="AM425" i="1" s="1"/>
  <c r="F202" i="1"/>
  <c r="O202" i="1" s="1"/>
  <c r="BB27" i="1"/>
  <c r="F316" i="1"/>
  <c r="O316" i="1" s="1"/>
  <c r="F11" i="1"/>
  <c r="O11" i="1" s="1"/>
  <c r="AD236" i="1"/>
  <c r="AD79" i="1"/>
  <c r="AD246" i="1"/>
  <c r="AP322" i="1"/>
  <c r="AP86" i="1"/>
  <c r="AD190" i="1"/>
  <c r="R185" i="1"/>
  <c r="BB159" i="1"/>
  <c r="AP229" i="1"/>
  <c r="F106" i="1"/>
  <c r="O106" i="1" s="1"/>
  <c r="AA106" i="1" s="1"/>
  <c r="AM106" i="1" s="1"/>
  <c r="BB70" i="1"/>
  <c r="AP138" i="1"/>
  <c r="AP300" i="1"/>
  <c r="R894" i="1"/>
  <c r="F377" i="1"/>
  <c r="O377" i="1" s="1"/>
  <c r="R348" i="1"/>
  <c r="AP186" i="1"/>
  <c r="F746" i="1"/>
  <c r="O746" i="1" s="1"/>
  <c r="BB647" i="1"/>
  <c r="R77" i="1"/>
  <c r="AD263" i="1"/>
  <c r="AP342" i="1"/>
  <c r="AP537" i="1"/>
  <c r="BB116" i="1"/>
  <c r="BB328" i="1"/>
  <c r="R380" i="1"/>
  <c r="AD242" i="1"/>
  <c r="BB180" i="1"/>
  <c r="AP467" i="1"/>
  <c r="BB164" i="1"/>
  <c r="R817" i="1"/>
  <c r="AP14" i="1"/>
  <c r="R111" i="1"/>
  <c r="F931" i="1"/>
  <c r="O931" i="1" s="1"/>
  <c r="BB697" i="1"/>
  <c r="BB535" i="1"/>
  <c r="F117" i="1"/>
  <c r="O117" i="1" s="1"/>
  <c r="AP319" i="1"/>
  <c r="R108" i="1"/>
  <c r="BB124" i="1"/>
  <c r="R245" i="1"/>
  <c r="BB280" i="1"/>
  <c r="AD720" i="1"/>
  <c r="AD235" i="1"/>
  <c r="F10" i="1"/>
  <c r="O10" i="1" s="1"/>
  <c r="AA10" i="1" s="1"/>
  <c r="R146" i="1"/>
  <c r="AA146" i="1" s="1"/>
  <c r="AD142" i="1"/>
  <c r="R50" i="1"/>
  <c r="F98" i="1"/>
  <c r="O98" i="1" s="1"/>
  <c r="AD341" i="1"/>
  <c r="R379" i="1"/>
  <c r="AA379" i="1" s="1"/>
  <c r="F87" i="1"/>
  <c r="O87" i="1" s="1"/>
  <c r="F43" i="1"/>
  <c r="O43" i="1" s="1"/>
  <c r="AD249" i="1"/>
  <c r="AD73" i="1"/>
  <c r="AD5" i="1"/>
  <c r="F173" i="1"/>
  <c r="O173" i="1" s="1"/>
  <c r="R601" i="1"/>
  <c r="BB331" i="1"/>
  <c r="R149" i="1"/>
  <c r="F288" i="1"/>
  <c r="O288" i="1" s="1"/>
  <c r="AA288" i="1" s="1"/>
  <c r="F195" i="1"/>
  <c r="O195" i="1" s="1"/>
  <c r="AP491" i="1"/>
  <c r="AD363" i="1"/>
  <c r="R339" i="1"/>
  <c r="F46" i="1"/>
  <c r="O46" i="1" s="1"/>
  <c r="AP168" i="1"/>
  <c r="BB633" i="1"/>
  <c r="BN509" i="1"/>
  <c r="BO509" i="1" s="1" a="1"/>
  <c r="BO509" i="1" s="1"/>
  <c r="BN184" i="1"/>
  <c r="BO184" i="1" s="1" a="1"/>
  <c r="BO184" i="1" s="1"/>
  <c r="BN142" i="1"/>
  <c r="BO142" i="1" s="1" a="1"/>
  <c r="BO142" i="1" s="1"/>
  <c r="BN259" i="1"/>
  <c r="BO259" i="1" s="1" a="1"/>
  <c r="BO259" i="1" s="1"/>
  <c r="BN205" i="1"/>
  <c r="BO205" i="1" s="1" a="1"/>
  <c r="BO205" i="1" s="1"/>
  <c r="BN674" i="1"/>
  <c r="BO674" i="1" a="1"/>
  <c r="BO674" i="1" s="1"/>
  <c r="BB377" i="1"/>
  <c r="AP362" i="1"/>
  <c r="F270" i="1"/>
  <c r="O270" i="1" s="1"/>
  <c r="BB6" i="1"/>
  <c r="BB86" i="1"/>
  <c r="R12" i="1"/>
  <c r="F83" i="1"/>
  <c r="O83" i="1" s="1"/>
  <c r="AD353" i="1"/>
  <c r="AD748" i="1"/>
  <c r="R357" i="1"/>
  <c r="BB366" i="1"/>
  <c r="F191" i="1"/>
  <c r="O191" i="1" s="1"/>
  <c r="AD261" i="1"/>
  <c r="F540" i="1"/>
  <c r="O540" i="1" s="1"/>
  <c r="AA540" i="1" s="1"/>
  <c r="AP44" i="1"/>
  <c r="F225" i="1"/>
  <c r="O225" i="1" s="1"/>
  <c r="R239" i="1"/>
  <c r="BB179" i="1"/>
  <c r="AP350" i="1"/>
  <c r="BB894" i="1"/>
  <c r="AD23" i="1"/>
  <c r="R193" i="1"/>
  <c r="BB16" i="1"/>
  <c r="AD808" i="1"/>
  <c r="R218" i="1"/>
  <c r="BB115" i="1"/>
  <c r="AD312" i="1"/>
  <c r="F299" i="1"/>
  <c r="O299" i="1" s="1"/>
  <c r="AD350" i="1"/>
  <c r="F407" i="1"/>
  <c r="O407" i="1" s="1"/>
  <c r="AA407" i="1" s="1"/>
  <c r="BB240" i="1"/>
  <c r="BB357" i="1"/>
  <c r="AD722" i="1"/>
  <c r="R760" i="1"/>
  <c r="F529" i="1"/>
  <c r="O529" i="1" s="1"/>
  <c r="AA529" i="1" s="1"/>
  <c r="BB520" i="1"/>
  <c r="F767" i="1"/>
  <c r="O767" i="1" s="1"/>
  <c r="AA767" i="1" s="1"/>
  <c r="AM767" i="1" s="1"/>
  <c r="AY767" i="1" s="1"/>
  <c r="BL767" i="1" s="1"/>
  <c r="AP192" i="1"/>
  <c r="AP148" i="1"/>
  <c r="AD115" i="1"/>
  <c r="AP158" i="1"/>
  <c r="AD43" i="1"/>
  <c r="BB398" i="1"/>
  <c r="AD320" i="1"/>
  <c r="AP722" i="1"/>
  <c r="AD558" i="1"/>
  <c r="AD266" i="1"/>
  <c r="BB59" i="1"/>
  <c r="R98" i="1"/>
  <c r="F54" i="1"/>
  <c r="O54" i="1" s="1"/>
  <c r="BB325" i="1"/>
  <c r="AP466" i="1"/>
  <c r="AD359" i="1"/>
  <c r="AP333" i="1"/>
  <c r="R343" i="1"/>
  <c r="AA343" i="1" s="1"/>
  <c r="BB373" i="1"/>
  <c r="F139" i="1"/>
  <c r="O139" i="1" s="1"/>
  <c r="BB234" i="1"/>
  <c r="AP73" i="1"/>
  <c r="F628" i="1"/>
  <c r="O628" i="1" s="1"/>
  <c r="AA628" i="1" s="1"/>
  <c r="F134" i="1"/>
  <c r="O134" i="1" s="1"/>
  <c r="AA134" i="1" s="1"/>
  <c r="BB46" i="1"/>
  <c r="F409" i="1"/>
  <c r="O409" i="1" s="1"/>
  <c r="AD405" i="1"/>
  <c r="BB197" i="1"/>
  <c r="BB178" i="1"/>
  <c r="R40" i="1"/>
  <c r="R100" i="1"/>
  <c r="AD11" i="1"/>
  <c r="R197" i="1"/>
  <c r="AP159" i="1"/>
  <c r="BB143" i="1"/>
  <c r="R362" i="1"/>
  <c r="AA362" i="1" s="1"/>
  <c r="BB907" i="1"/>
  <c r="F49" i="1"/>
  <c r="O49" i="1" s="1"/>
  <c r="AA49" i="1" s="1"/>
  <c r="R28" i="1"/>
  <c r="AD71" i="1"/>
  <c r="AP147" i="1"/>
  <c r="BB732" i="1"/>
  <c r="F531" i="1"/>
  <c r="O531" i="1" s="1"/>
  <c r="BB35" i="1"/>
  <c r="AD343" i="1"/>
  <c r="R297" i="1"/>
  <c r="BB263" i="1"/>
  <c r="BB271" i="1"/>
  <c r="AP195" i="1"/>
  <c r="AP324" i="1"/>
  <c r="R176" i="1"/>
  <c r="AP341" i="1"/>
  <c r="F326" i="1"/>
  <c r="O326" i="1" s="1"/>
  <c r="BB83" i="1"/>
  <c r="AP28" i="1"/>
  <c r="F295" i="1"/>
  <c r="O295" i="1" s="1"/>
  <c r="R669" i="1"/>
  <c r="AD338" i="1"/>
  <c r="R329" i="1"/>
  <c r="BB388" i="1"/>
  <c r="F149" i="1"/>
  <c r="O149" i="1" s="1"/>
  <c r="AD150" i="1"/>
  <c r="F108" i="1"/>
  <c r="O108" i="1" s="1"/>
  <c r="AD935" i="1"/>
  <c r="BB381" i="1"/>
  <c r="R746" i="1"/>
  <c r="AD758" i="1"/>
  <c r="BB23" i="1"/>
  <c r="F936" i="1"/>
  <c r="O936" i="1" s="1"/>
  <c r="AA936" i="1" s="1"/>
  <c r="F103" i="1"/>
  <c r="O103" i="1" s="1"/>
  <c r="R103" i="1"/>
  <c r="R377" i="1"/>
  <c r="AP758" i="1"/>
  <c r="AP212" i="1"/>
  <c r="F355" i="1"/>
  <c r="O355" i="1" s="1"/>
  <c r="AD841" i="1"/>
  <c r="AP490" i="1"/>
  <c r="AD96" i="1"/>
  <c r="AD121" i="1"/>
  <c r="BB98" i="1"/>
  <c r="R69" i="1"/>
  <c r="BB918" i="1"/>
  <c r="AD26" i="1"/>
  <c r="BB883" i="1"/>
  <c r="R257" i="1"/>
  <c r="AP48" i="1"/>
  <c r="AP97" i="1"/>
  <c r="AP282" i="1"/>
  <c r="AD113" i="1"/>
  <c r="AD47" i="1"/>
  <c r="AP162" i="1"/>
  <c r="BB288" i="1"/>
  <c r="R334" i="1"/>
  <c r="F378" i="1"/>
  <c r="O378" i="1" s="1"/>
  <c r="AA378" i="1" s="1"/>
  <c r="AM378" i="1" s="1"/>
  <c r="AY378" i="1" s="1"/>
  <c r="BL378" i="1" s="1"/>
  <c r="AD346" i="1"/>
  <c r="R66" i="1"/>
  <c r="AA66" i="1" s="1"/>
  <c r="AM66" i="1" s="1"/>
  <c r="F693" i="1"/>
  <c r="O693" i="1" s="1"/>
  <c r="AA693" i="1" s="1"/>
  <c r="AM693" i="1" s="1"/>
  <c r="AY693" i="1" s="1"/>
  <c r="BL693" i="1" s="1"/>
  <c r="AD184" i="1"/>
  <c r="BB296" i="1"/>
  <c r="AP697" i="1"/>
  <c r="BB45" i="1"/>
  <c r="AD85" i="1"/>
  <c r="R48" i="1"/>
  <c r="R316" i="1"/>
  <c r="AP409" i="1"/>
  <c r="F163" i="1"/>
  <c r="O163" i="1" s="1"/>
  <c r="BB645" i="1"/>
  <c r="F153" i="1"/>
  <c r="O153" i="1" s="1"/>
  <c r="AA153" i="1" s="1"/>
  <c r="AD321" i="1"/>
  <c r="F313" i="1"/>
  <c r="O313" i="1" s="1"/>
  <c r="AA313" i="1" s="1"/>
  <c r="F247" i="1"/>
  <c r="O247" i="1" s="1"/>
  <c r="AA247" i="1" s="1"/>
  <c r="AP318" i="1"/>
  <c r="BB204" i="1"/>
  <c r="AP813" i="1"/>
  <c r="R344" i="1"/>
  <c r="BB57" i="1"/>
  <c r="F115" i="1"/>
  <c r="O115" i="1" s="1"/>
  <c r="F551" i="1"/>
  <c r="O551" i="1" s="1"/>
  <c r="AA551" i="1" s="1"/>
  <c r="AM551" i="1" s="1"/>
  <c r="AY551" i="1" s="1"/>
  <c r="BB793" i="1"/>
  <c r="BB156" i="1"/>
  <c r="BB345" i="1"/>
  <c r="F383" i="1"/>
  <c r="O383" i="1" s="1"/>
  <c r="AA383" i="1" s="1"/>
  <c r="BB277" i="1"/>
  <c r="F527" i="1"/>
  <c r="O527" i="1" s="1"/>
  <c r="AP5" i="1"/>
  <c r="F62" i="1"/>
  <c r="O62" i="1" s="1"/>
  <c r="AD156" i="1"/>
  <c r="AD331" i="1"/>
  <c r="F197" i="1"/>
  <c r="O197" i="1" s="1"/>
  <c r="BB686" i="1"/>
  <c r="AP167" i="1"/>
  <c r="F371" i="1"/>
  <c r="O371" i="1" s="1"/>
  <c r="F279" i="1"/>
  <c r="O279" i="1" s="1"/>
  <c r="AA279" i="1" s="1"/>
  <c r="AM279" i="1" s="1"/>
  <c r="R241" i="1"/>
  <c r="AD206" i="1"/>
  <c r="AP439" i="1"/>
  <c r="AD148" i="1"/>
  <c r="BB416" i="1"/>
  <c r="AP430" i="1"/>
  <c r="AP368" i="1"/>
  <c r="AP427" i="1"/>
  <c r="F166" i="1"/>
  <c r="O166" i="1" s="1"/>
  <c r="F747" i="1"/>
  <c r="O747" i="1" s="1"/>
  <c r="AA747" i="1" s="1"/>
  <c r="AM747" i="1" s="1"/>
  <c r="AP197" i="1"/>
  <c r="BB409" i="1"/>
  <c r="AP513" i="1"/>
  <c r="BB205" i="1"/>
  <c r="AD383" i="1"/>
  <c r="F160" i="1"/>
  <c r="O160" i="1" s="1"/>
  <c r="BB8" i="1"/>
  <c r="AD125" i="1"/>
  <c r="R170" i="1"/>
  <c r="R115" i="1"/>
  <c r="AP122" i="1"/>
  <c r="F48" i="1"/>
  <c r="O48" i="1" s="1"/>
  <c r="BB91" i="1"/>
  <c r="BB43" i="1"/>
  <c r="F92" i="1"/>
  <c r="F741" i="1"/>
  <c r="O741" i="1" s="1"/>
  <c r="AA741" i="1" s="1"/>
  <c r="AM741" i="1" s="1"/>
  <c r="AY741" i="1" s="1"/>
  <c r="BL741" i="1" s="1"/>
  <c r="F130" i="1"/>
  <c r="O130" i="1" s="1"/>
  <c r="AA130" i="1" s="1"/>
  <c r="AP347" i="1"/>
  <c r="R422" i="1"/>
  <c r="AD529" i="1"/>
  <c r="AD298" i="1"/>
  <c r="R873" i="1"/>
  <c r="AD446" i="1"/>
  <c r="R899" i="1"/>
  <c r="F59" i="1"/>
  <c r="O59" i="1" s="1"/>
  <c r="AA59" i="1" s="1"/>
  <c r="BB18" i="1"/>
  <c r="F71" i="1"/>
  <c r="O71" i="1" s="1"/>
  <c r="F263" i="1"/>
  <c r="O263" i="1" s="1"/>
  <c r="AA263" i="1" s="1"/>
  <c r="BB318" i="1"/>
  <c r="R347" i="1"/>
  <c r="AP187" i="1"/>
  <c r="BB656" i="1"/>
  <c r="BB702" i="1"/>
  <c r="AD724" i="1"/>
  <c r="AP493" i="1"/>
  <c r="R191" i="1"/>
  <c r="F709" i="1"/>
  <c r="O709" i="1" s="1"/>
  <c r="BB276" i="1"/>
  <c r="AP201" i="1"/>
  <c r="F329" i="1"/>
  <c r="O329" i="1" s="1"/>
  <c r="BB135" i="1"/>
  <c r="AP356" i="1"/>
  <c r="BB518" i="1"/>
  <c r="AD763" i="1"/>
  <c r="AP557" i="1"/>
  <c r="AD139" i="1"/>
  <c r="AD222" i="1"/>
  <c r="AD92" i="1"/>
  <c r="F272" i="1"/>
  <c r="O272" i="1" s="1"/>
  <c r="BB425" i="1"/>
  <c r="AP424" i="1"/>
  <c r="AD426" i="1"/>
  <c r="F187" i="1"/>
  <c r="O187" i="1" s="1"/>
  <c r="BB187" i="1"/>
  <c r="R371" i="1"/>
  <c r="AP119" i="1"/>
  <c r="R81" i="1"/>
  <c r="F91" i="1"/>
  <c r="O91" i="1" s="1"/>
  <c r="AA91" i="1" s="1"/>
  <c r="AM91" i="1" s="1"/>
  <c r="AY91" i="1" s="1"/>
  <c r="F642" i="1"/>
  <c r="O642" i="1" s="1"/>
  <c r="AA642" i="1" s="1"/>
  <c r="AM642" i="1" s="1"/>
  <c r="AY642" i="1" s="1"/>
  <c r="BL642" i="1" s="1"/>
  <c r="AP235" i="1"/>
  <c r="R311" i="1"/>
  <c r="BB390" i="1"/>
  <c r="F280" i="1"/>
  <c r="O280" i="1" s="1"/>
  <c r="BB335" i="1"/>
  <c r="BB154" i="1"/>
  <c r="R372" i="1"/>
  <c r="AA372" i="1" s="1"/>
  <c r="AM372" i="1" s="1"/>
  <c r="AY372" i="1" s="1"/>
  <c r="R155" i="1"/>
  <c r="BB42" i="1"/>
  <c r="AP120" i="1"/>
  <c r="AD240" i="1"/>
  <c r="BB167" i="1"/>
  <c r="AD164" i="1"/>
  <c r="R355" i="1"/>
  <c r="R119" i="1"/>
  <c r="BB51" i="1"/>
  <c r="AP89" i="1"/>
  <c r="BB379" i="1"/>
  <c r="AP77" i="1"/>
  <c r="AD395" i="1"/>
  <c r="AP271" i="1"/>
  <c r="F95" i="1"/>
  <c r="O95" i="1" s="1"/>
  <c r="AD194" i="1"/>
  <c r="F155" i="1"/>
  <c r="O155" i="1" s="1"/>
  <c r="R396" i="1"/>
  <c r="AP452" i="1"/>
  <c r="AP305" i="1"/>
  <c r="F68" i="1"/>
  <c r="O68" i="1" s="1"/>
  <c r="AP338" i="1"/>
  <c r="AD201" i="1"/>
  <c r="R450" i="1"/>
  <c r="AD292" i="1"/>
  <c r="F102" i="1"/>
  <c r="O102" i="1" s="1"/>
  <c r="AP172" i="1"/>
  <c r="AP815" i="1"/>
  <c r="AD345" i="1"/>
  <c r="BB142" i="1"/>
  <c r="BB56" i="1"/>
  <c r="F506" i="1"/>
  <c r="O506" i="1" s="1"/>
  <c r="AA506" i="1" s="1"/>
  <c r="R552" i="1"/>
  <c r="F734" i="1"/>
  <c r="O734" i="1" s="1"/>
  <c r="AA734" i="1" s="1"/>
  <c r="AP321" i="1"/>
  <c r="AP230" i="1"/>
  <c r="R376" i="1"/>
  <c r="BB661" i="1"/>
  <c r="AP200" i="1"/>
  <c r="F277" i="1"/>
  <c r="O277" i="1" s="1"/>
  <c r="AA277" i="1" s="1"/>
  <c r="AM277" i="1" s="1"/>
  <c r="AP436" i="1"/>
  <c r="R52" i="1"/>
  <c r="R156" i="1"/>
  <c r="R296" i="1"/>
  <c r="R20" i="1"/>
  <c r="F215" i="1"/>
  <c r="O215" i="1" s="1"/>
  <c r="F79" i="1"/>
  <c r="O79" i="1" s="1"/>
  <c r="AA79" i="1" s="1"/>
  <c r="F231" i="1"/>
  <c r="O231" i="1" s="1"/>
  <c r="AA231" i="1" s="1"/>
  <c r="AP703" i="1"/>
  <c r="BB493" i="1"/>
  <c r="R464" i="1"/>
  <c r="AD932" i="1"/>
  <c r="AD414" i="1"/>
  <c r="BB785" i="1"/>
  <c r="AD62" i="1"/>
  <c r="BB214" i="1"/>
  <c r="R325" i="1"/>
  <c r="F411" i="1"/>
  <c r="O411" i="1" s="1"/>
  <c r="AA411" i="1" s="1"/>
  <c r="AM411" i="1" s="1"/>
  <c r="F758" i="1"/>
  <c r="O758" i="1" s="1"/>
  <c r="F507" i="1"/>
  <c r="O507" i="1" s="1"/>
  <c r="AA507" i="1" s="1"/>
  <c r="AM507" i="1" s="1"/>
  <c r="AY507" i="1" s="1"/>
  <c r="BL507" i="1" s="1"/>
  <c r="R733" i="1"/>
  <c r="F773" i="1"/>
  <c r="O773" i="1" s="1"/>
  <c r="AD64" i="1"/>
  <c r="AP365" i="1"/>
  <c r="F512" i="1"/>
  <c r="O512" i="1" s="1"/>
  <c r="AA512" i="1" s="1"/>
  <c r="AM512" i="1" s="1"/>
  <c r="BB669" i="1"/>
  <c r="BB14" i="1"/>
  <c r="BB19" i="1"/>
  <c r="F18" i="1"/>
  <c r="O18" i="1" s="1"/>
  <c r="F792" i="1"/>
  <c r="O792" i="1" s="1"/>
  <c r="AA792" i="1" s="1"/>
  <c r="BB201" i="1"/>
  <c r="R140" i="1"/>
  <c r="R336" i="1"/>
  <c r="BB233" i="1"/>
  <c r="AP126" i="1"/>
  <c r="AP691" i="1"/>
  <c r="F752" i="1"/>
  <c r="O752" i="1" s="1"/>
  <c r="AA752" i="1" s="1"/>
  <c r="AM752" i="1" s="1"/>
  <c r="AY752" i="1" s="1"/>
  <c r="BL752" i="1" s="1"/>
  <c r="BB701" i="1"/>
  <c r="AP657" i="1"/>
  <c r="BB530" i="1"/>
  <c r="AD116" i="1"/>
  <c r="R715" i="1"/>
  <c r="R166" i="1"/>
  <c r="AP806" i="1"/>
  <c r="BB92" i="1"/>
  <c r="F99" i="1"/>
  <c r="O99" i="1" s="1"/>
  <c r="AP366" i="1"/>
  <c r="F514" i="1"/>
  <c r="O514" i="1" s="1"/>
  <c r="AP270" i="1"/>
  <c r="BB796" i="1"/>
  <c r="R776" i="1"/>
  <c r="AD719" i="1"/>
  <c r="R154" i="1"/>
  <c r="AD24" i="1"/>
  <c r="AD60" i="1"/>
  <c r="R120" i="1"/>
  <c r="AP241" i="1"/>
  <c r="AP274" i="1"/>
  <c r="AP236" i="1"/>
  <c r="AD656" i="1"/>
  <c r="F782" i="1"/>
  <c r="O782" i="1" s="1"/>
  <c r="BB542" i="1"/>
  <c r="AD229" i="1"/>
  <c r="F135" i="1"/>
  <c r="O135" i="1" s="1"/>
  <c r="BB155" i="1"/>
  <c r="BB192" i="1"/>
  <c r="F69" i="1"/>
  <c r="O69" i="1" s="1"/>
  <c r="F156" i="1"/>
  <c r="O156" i="1" s="1"/>
  <c r="R331" i="1"/>
  <c r="AA331" i="1" s="1"/>
  <c r="AD393" i="1"/>
  <c r="F260" i="1"/>
  <c r="O260" i="1" s="1"/>
  <c r="BB372" i="1"/>
  <c r="AP311" i="1"/>
  <c r="R306" i="1"/>
  <c r="R234" i="1"/>
  <c r="BB113" i="1"/>
  <c r="BB165" i="1"/>
  <c r="AD389" i="1"/>
  <c r="R667" i="1"/>
  <c r="F457" i="1"/>
  <c r="O457" i="1" s="1"/>
  <c r="AP183" i="1"/>
  <c r="AP345" i="1"/>
  <c r="AP313" i="1"/>
  <c r="AP420" i="1"/>
  <c r="BB215" i="1"/>
  <c r="F170" i="1"/>
  <c r="O170" i="1" s="1"/>
  <c r="AD170" i="1"/>
  <c r="BB290" i="1"/>
  <c r="F307" i="1"/>
  <c r="O307" i="1" s="1"/>
  <c r="AA307" i="1" s="1"/>
  <c r="AP100" i="1"/>
  <c r="AD276" i="1"/>
  <c r="R537" i="1"/>
  <c r="R172" i="1"/>
  <c r="R883" i="1"/>
  <c r="AD145" i="1"/>
  <c r="F127" i="1"/>
  <c r="O127" i="1" s="1"/>
  <c r="AD117" i="1"/>
  <c r="AD232" i="1"/>
  <c r="AP249" i="1"/>
  <c r="AP353" i="1"/>
  <c r="F353" i="1"/>
  <c r="O353" i="1" s="1"/>
  <c r="F233" i="1"/>
  <c r="O233" i="1" s="1"/>
  <c r="AD327" i="1"/>
  <c r="BB191" i="1"/>
  <c r="F162" i="1"/>
  <c r="O162" i="1" s="1"/>
  <c r="BB112" i="1"/>
  <c r="R513" i="1"/>
  <c r="BB715" i="1"/>
  <c r="R9" i="1"/>
  <c r="R22" i="1"/>
  <c r="R64" i="1"/>
  <c r="AP112" i="1"/>
  <c r="R647" i="1"/>
  <c r="F25" i="1"/>
  <c r="O25" i="1" s="1"/>
  <c r="AP647" i="1"/>
  <c r="AP62" i="1"/>
  <c r="BB350" i="1"/>
  <c r="AD160" i="1"/>
  <c r="BB173" i="1"/>
  <c r="AP298" i="1"/>
  <c r="AP170" i="1"/>
  <c r="AP339" i="1"/>
  <c r="R392" i="1"/>
  <c r="AP88" i="1"/>
  <c r="AD727" i="1"/>
  <c r="R133" i="1"/>
  <c r="F93" i="1"/>
  <c r="O93" i="1" s="1"/>
  <c r="R266" i="1"/>
  <c r="AA266" i="1" s="1"/>
  <c r="F292" i="1"/>
  <c r="O292" i="1" s="1"/>
  <c r="AA292" i="1" s="1"/>
  <c r="BB329" i="1"/>
  <c r="F133" i="1"/>
  <c r="O133" i="1" s="1"/>
  <c r="F147" i="1"/>
  <c r="O147" i="1" s="1"/>
  <c r="AA147" i="1" s="1"/>
  <c r="AM147" i="1" s="1"/>
  <c r="BB170" i="1"/>
  <c r="F718" i="1"/>
  <c r="O718" i="1" s="1"/>
  <c r="AA718" i="1" s="1"/>
  <c r="AM718" i="1" s="1"/>
  <c r="AY718" i="1" s="1"/>
  <c r="BB237" i="1"/>
  <c r="F105" i="1"/>
  <c r="O105" i="1" s="1"/>
  <c r="AD25" i="1"/>
  <c r="AP754" i="1"/>
  <c r="AD824" i="1"/>
  <c r="BB317" i="1"/>
  <c r="AP257" i="1"/>
  <c r="AD288" i="1"/>
  <c r="R423" i="1"/>
  <c r="AP643" i="1"/>
  <c r="AP565" i="1"/>
  <c r="R801" i="1"/>
  <c r="BB733" i="1"/>
  <c r="BB305" i="1"/>
  <c r="AD75" i="1"/>
  <c r="AD711" i="1"/>
  <c r="R804" i="1"/>
  <c r="AP689" i="1"/>
  <c r="R243" i="1"/>
  <c r="AD51" i="1"/>
  <c r="AP357" i="1"/>
  <c r="AP169" i="1"/>
  <c r="BN723" i="1"/>
  <c r="BO723" i="1" s="1" a="1"/>
  <c r="BO723" i="1" s="1"/>
  <c r="BN507" i="1"/>
  <c r="BO507" i="1" s="1" a="1"/>
  <c r="BO507" i="1" s="1"/>
  <c r="BN183" i="1"/>
  <c r="BO183" i="1" s="1" a="1"/>
  <c r="BO183" i="1" s="1"/>
  <c r="BN809" i="1"/>
  <c r="BO809" i="1" s="1" a="1"/>
  <c r="BO809" i="1" s="1"/>
  <c r="BN778" i="1"/>
  <c r="BO778" i="1" s="1" a="1"/>
  <c r="BO778" i="1" s="1"/>
  <c r="BN722" i="1"/>
  <c r="BO722" i="1" a="1"/>
  <c r="BO722" i="1" s="1"/>
  <c r="BB545" i="1"/>
  <c r="AP68" i="1"/>
  <c r="F315" i="1"/>
  <c r="O315" i="1" s="1"/>
  <c r="F132" i="1"/>
  <c r="O132" i="1" s="1"/>
  <c r="AD155" i="1"/>
  <c r="F107" i="1"/>
  <c r="O107" i="1" s="1"/>
  <c r="AA107" i="1" s="1"/>
  <c r="AD209" i="1"/>
  <c r="BB691" i="1"/>
  <c r="BB128" i="1"/>
  <c r="AP408" i="1"/>
  <c r="R224" i="1"/>
  <c r="BB570" i="1"/>
  <c r="AP817" i="1"/>
  <c r="AP176" i="1"/>
  <c r="R707" i="1"/>
  <c r="AP211" i="1"/>
  <c r="BB80" i="1"/>
  <c r="F227" i="1"/>
  <c r="O227" i="1" s="1"/>
  <c r="AD370" i="1"/>
  <c r="AP289" i="1"/>
  <c r="R674" i="1"/>
  <c r="BB762" i="1"/>
  <c r="AD651" i="1"/>
  <c r="R469" i="1"/>
  <c r="AP637" i="1"/>
  <c r="AD666" i="1"/>
  <c r="AD67" i="1"/>
  <c r="F771" i="1"/>
  <c r="O771" i="1" s="1"/>
  <c r="AP875" i="1"/>
  <c r="R737" i="1"/>
  <c r="AD618" i="1"/>
  <c r="BB232" i="1"/>
  <c r="BB99" i="1"/>
  <c r="AP135" i="1"/>
  <c r="AD313" i="1"/>
  <c r="BB431" i="1"/>
  <c r="AD390" i="1"/>
  <c r="BB330" i="1"/>
  <c r="R229" i="1"/>
  <c r="F126" i="1"/>
  <c r="O126" i="1" s="1"/>
  <c r="BB102" i="1"/>
  <c r="BB491" i="1"/>
  <c r="R657" i="1"/>
  <c r="BB710" i="1"/>
  <c r="AP836" i="1"/>
  <c r="F675" i="1"/>
  <c r="O675" i="1" s="1"/>
  <c r="AA675" i="1" s="1"/>
  <c r="AM675" i="1" s="1"/>
  <c r="BB638" i="1"/>
  <c r="BB506" i="1"/>
  <c r="R532" i="1"/>
  <c r="AD158" i="1"/>
  <c r="BB643" i="1"/>
  <c r="AP759" i="1"/>
  <c r="R571" i="1"/>
  <c r="AD120" i="1"/>
  <c r="AP708" i="1"/>
  <c r="AD749" i="1"/>
  <c r="BB58" i="1"/>
  <c r="BB246" i="1"/>
  <c r="F188" i="1"/>
  <c r="O188" i="1" s="1"/>
  <c r="AA188" i="1" s="1"/>
  <c r="R112" i="1"/>
  <c r="F148" i="1"/>
  <c r="O148" i="1" s="1"/>
  <c r="AP428" i="1"/>
  <c r="AP288" i="1"/>
  <c r="R514" i="1"/>
  <c r="AD270" i="1"/>
  <c r="R283" i="1"/>
  <c r="AD49" i="1"/>
  <c r="AP344" i="1"/>
  <c r="AP751" i="1"/>
  <c r="R652" i="1"/>
  <c r="AD610" i="1"/>
  <c r="AP405" i="1"/>
  <c r="F546" i="1"/>
  <c r="O546" i="1" s="1"/>
  <c r="AA546" i="1" s="1"/>
  <c r="AM546" i="1" s="1"/>
  <c r="AP690" i="1"/>
  <c r="BB110" i="1"/>
  <c r="R125" i="1"/>
  <c r="AP184" i="1"/>
  <c r="AP205" i="1"/>
  <c r="F241" i="1"/>
  <c r="O241" i="1" s="1"/>
  <c r="AA241" i="1" s="1"/>
  <c r="AD241" i="1"/>
  <c r="BB241" i="1"/>
  <c r="BN797" i="1"/>
  <c r="BO797" i="1" s="1" a="1"/>
  <c r="BO797" i="1" s="1"/>
  <c r="AA726" i="1"/>
  <c r="AM726" i="1" s="1"/>
  <c r="BN125" i="1"/>
  <c r="BO125" i="1" s="1" a="1"/>
  <c r="BO125" i="1" s="1"/>
  <c r="BN543" i="1"/>
  <c r="BO543" i="1" s="1" a="1"/>
  <c r="BO543" i="1" s="1"/>
  <c r="BN872" i="1"/>
  <c r="BO872" i="1" s="1" a="1"/>
  <c r="BO872" i="1" s="1"/>
  <c r="BN788" i="1"/>
  <c r="BO788" i="1" s="1" a="1"/>
  <c r="BO788" i="1" s="1"/>
  <c r="AA554" i="1"/>
  <c r="BN185" i="1"/>
  <c r="BO185" i="1" s="1" a="1"/>
  <c r="BO185" i="1" s="1"/>
  <c r="BN79" i="1"/>
  <c r="BO79" i="1" s="1" a="1"/>
  <c r="BO79" i="1" s="1"/>
  <c r="BN782" i="1"/>
  <c r="BO782" i="1" s="1" a="1"/>
  <c r="BO782" i="1" s="1"/>
  <c r="BN763" i="1"/>
  <c r="BO763" i="1" s="1" a="1"/>
  <c r="BO763" i="1" s="1"/>
  <c r="BB387" i="1"/>
  <c r="F907" i="1"/>
  <c r="O907" i="1" s="1"/>
  <c r="AA907" i="1" s="1"/>
  <c r="F788" i="1"/>
  <c r="O788" i="1" s="1"/>
  <c r="AP155" i="1"/>
  <c r="R205" i="1"/>
  <c r="BB676" i="1"/>
  <c r="AD169" i="1"/>
  <c r="AP185" i="1"/>
  <c r="AD93" i="1"/>
  <c r="R51" i="1"/>
  <c r="BB705" i="1"/>
  <c r="BB802" i="1"/>
  <c r="F757" i="1"/>
  <c r="O757" i="1" s="1"/>
  <c r="BB194" i="1"/>
  <c r="F808" i="1"/>
  <c r="O808" i="1" s="1"/>
  <c r="AA808" i="1" s="1"/>
  <c r="R410" i="1"/>
  <c r="BB82" i="1"/>
  <c r="F136" i="1"/>
  <c r="O136" i="1" s="1"/>
  <c r="R270" i="1"/>
  <c r="BB327" i="1"/>
  <c r="R260" i="1"/>
  <c r="BB137" i="1"/>
  <c r="AP304" i="1"/>
  <c r="AP572" i="1"/>
  <c r="AD704" i="1"/>
  <c r="AD934" i="1"/>
  <c r="AP238" i="1"/>
  <c r="R651" i="1"/>
  <c r="R527" i="1"/>
  <c r="AP92" i="1"/>
  <c r="AP46" i="1"/>
  <c r="R65" i="1"/>
  <c r="AP60" i="1"/>
  <c r="BB441" i="1"/>
  <c r="F435" i="1"/>
  <c r="O435" i="1" s="1"/>
  <c r="AA435" i="1" s="1"/>
  <c r="AM435" i="1" s="1"/>
  <c r="BB356" i="1"/>
  <c r="BB370" i="1"/>
  <c r="R317" i="1"/>
  <c r="AD982" i="1"/>
  <c r="AP571" i="1"/>
  <c r="BB850" i="1"/>
  <c r="R717" i="1"/>
  <c r="AA717" i="1" s="1"/>
  <c r="AM717" i="1" s="1"/>
  <c r="AY717" i="1" s="1"/>
  <c r="BL717" i="1" s="1"/>
  <c r="F669" i="1"/>
  <c r="O669" i="1" s="1"/>
  <c r="AD549" i="1"/>
  <c r="R401" i="1"/>
  <c r="AA401" i="1" s="1"/>
  <c r="AM401" i="1" s="1"/>
  <c r="BB421" i="1"/>
  <c r="R409" i="1"/>
  <c r="BB662" i="1"/>
  <c r="BB812" i="1"/>
  <c r="F440" i="1"/>
  <c r="O440" i="1" s="1"/>
  <c r="AA440" i="1" s="1"/>
  <c r="AM440" i="1" s="1"/>
  <c r="AP247" i="1"/>
  <c r="F167" i="1"/>
  <c r="O167" i="1" s="1"/>
  <c r="AA167" i="1" s="1"/>
  <c r="AD511" i="1"/>
  <c r="F335" i="1"/>
  <c r="O335" i="1" s="1"/>
  <c r="AA335" i="1" s="1"/>
  <c r="AM335" i="1" s="1"/>
  <c r="AY335" i="1" s="1"/>
  <c r="F96" i="1"/>
  <c r="O96" i="1" s="1"/>
  <c r="AA96" i="1" s="1"/>
  <c r="AD409" i="1"/>
  <c r="R630" i="1"/>
  <c r="AA630" i="1" s="1"/>
  <c r="AM630" i="1" s="1"/>
  <c r="AY630" i="1" s="1"/>
  <c r="BL630" i="1" s="1"/>
  <c r="R768" i="1"/>
  <c r="AA768" i="1" s="1"/>
  <c r="AP755" i="1"/>
  <c r="AD506" i="1"/>
  <c r="AP81" i="1"/>
  <c r="AP223" i="1"/>
  <c r="R298" i="1"/>
  <c r="AA298" i="1" s="1"/>
  <c r="AD333" i="1"/>
  <c r="AD257" i="1"/>
  <c r="F29" i="1"/>
  <c r="O29" i="1" s="1"/>
  <c r="AA29" i="1" s="1"/>
  <c r="BB71" i="1"/>
  <c r="AD98" i="1"/>
  <c r="BB158" i="1"/>
  <c r="AP290" i="1"/>
  <c r="AD379" i="1"/>
  <c r="AP246" i="1"/>
  <c r="F498" i="1"/>
  <c r="O498" i="1" s="1"/>
  <c r="AA498" i="1" s="1"/>
  <c r="AM498" i="1" s="1"/>
  <c r="AY498" i="1" s="1"/>
  <c r="BL498" i="1" s="1"/>
  <c r="F470" i="1"/>
  <c r="O470" i="1" s="1"/>
  <c r="AA470" i="1" s="1"/>
  <c r="F224" i="1"/>
  <c r="O224" i="1" s="1"/>
  <c r="F413" i="1"/>
  <c r="O413" i="1" s="1"/>
  <c r="AA413" i="1" s="1"/>
  <c r="AM413" i="1" s="1"/>
  <c r="AY413" i="1" s="1"/>
  <c r="F367" i="1"/>
  <c r="O367" i="1" s="1"/>
  <c r="AA367" i="1" s="1"/>
  <c r="AD126" i="1"/>
  <c r="BB126" i="1"/>
  <c r="BB322" i="1"/>
  <c r="AP281" i="1"/>
  <c r="AP558" i="1"/>
  <c r="AP612" i="1"/>
  <c r="BN906" i="1"/>
  <c r="BO906" i="1" s="1" a="1"/>
  <c r="BO906" i="1" s="1"/>
  <c r="BN32" i="1"/>
  <c r="BO32" i="1" s="1" a="1"/>
  <c r="BO32" i="1" s="1"/>
  <c r="BV32" i="1"/>
  <c r="BV781" i="1"/>
  <c r="BN781" i="1"/>
  <c r="BO781" i="1" s="1" a="1"/>
  <c r="BO781" i="1" s="1"/>
  <c r="BX251" i="1"/>
  <c r="BN251" i="1"/>
  <c r="BO251" i="1" s="1" a="1"/>
  <c r="BO251" i="1" s="1"/>
  <c r="BV253" i="1"/>
  <c r="BN253" i="1"/>
  <c r="BO253" i="1" a="1"/>
  <c r="BO253" i="1" s="1"/>
  <c r="BX265" i="1"/>
  <c r="BN265" i="1"/>
  <c r="BO265" i="1" s="1" a="1"/>
  <c r="BO265" i="1" s="1"/>
  <c r="BW835" i="1"/>
  <c r="BN835" i="1"/>
  <c r="BO835" i="1" s="1" a="1"/>
  <c r="BO835" i="1" s="1"/>
  <c r="BW33" i="1"/>
  <c r="BW34" i="1"/>
  <c r="BN34" i="1"/>
  <c r="BO34" i="1" s="1" a="1"/>
  <c r="BO34" i="1" s="1"/>
  <c r="BV303" i="1"/>
  <c r="BN303" i="1"/>
  <c r="BO303" i="1" s="1" a="1"/>
  <c r="BO303" i="1" s="1"/>
  <c r="BV862" i="1"/>
  <c r="BN429" i="1"/>
  <c r="BO429" i="1" s="1" a="1"/>
  <c r="BO429" i="1" s="1"/>
  <c r="BN440" i="1"/>
  <c r="BO440" i="1" s="1" a="1"/>
  <c r="BO440" i="1" s="1"/>
  <c r="BN929" i="1"/>
  <c r="BO929" i="1" a="1"/>
  <c r="BO929" i="1" s="1"/>
  <c r="BN880" i="1"/>
  <c r="BO880" i="1" s="1" a="1"/>
  <c r="BO880" i="1" s="1"/>
  <c r="BN738" i="1"/>
  <c r="BO738" i="1" s="1" a="1"/>
  <c r="BO738" i="1" s="1"/>
  <c r="BN650" i="1"/>
  <c r="BO650" i="1" s="1" a="1"/>
  <c r="BO650" i="1" s="1"/>
  <c r="BB352" i="1"/>
  <c r="AD218" i="1"/>
  <c r="AD387" i="1"/>
  <c r="BB286" i="1"/>
  <c r="AD215" i="1"/>
  <c r="BB756" i="1"/>
  <c r="AP27" i="1"/>
  <c r="F396" i="1"/>
  <c r="O396" i="1" s="1"/>
  <c r="F743" i="1"/>
  <c r="O743" i="1" s="1"/>
  <c r="BB435" i="1"/>
  <c r="R80" i="1"/>
  <c r="R951" i="1"/>
  <c r="BB248" i="1"/>
  <c r="BB184" i="1"/>
  <c r="R144" i="1"/>
  <c r="F341" i="1"/>
  <c r="O341" i="1" s="1"/>
  <c r="F140" i="1"/>
  <c r="O140" i="1" s="1"/>
  <c r="R295" i="1"/>
  <c r="AA295" i="1" s="1"/>
  <c r="F259" i="1"/>
  <c r="O259" i="1" s="1"/>
  <c r="R278" i="1"/>
  <c r="AP37" i="1"/>
  <c r="AP652" i="1"/>
  <c r="AP96" i="1"/>
  <c r="F473" i="1"/>
  <c r="O473" i="1" s="1"/>
  <c r="AP757" i="1"/>
  <c r="AD223" i="1"/>
  <c r="AD894" i="1"/>
  <c r="AD192" i="1"/>
  <c r="AP196" i="1"/>
  <c r="BB114" i="1"/>
  <c r="R163" i="1"/>
  <c r="AP488" i="1"/>
  <c r="AP228" i="1"/>
  <c r="AP109" i="1"/>
  <c r="R46" i="1"/>
  <c r="BB134" i="1"/>
  <c r="AP295" i="1"/>
  <c r="BB227" i="1"/>
  <c r="AP629" i="1"/>
  <c r="BB371" i="1"/>
  <c r="AP364" i="1"/>
  <c r="BB177" i="1"/>
  <c r="R320" i="1"/>
  <c r="R89" i="1"/>
  <c r="BB820" i="1"/>
  <c r="R624" i="1"/>
  <c r="AA624" i="1" s="1"/>
  <c r="AM624" i="1" s="1"/>
  <c r="AP750" i="1"/>
  <c r="BB183" i="1"/>
  <c r="BB174" i="1"/>
  <c r="AD63" i="1"/>
  <c r="BB699" i="1"/>
  <c r="R829" i="1"/>
  <c r="BB720" i="1"/>
  <c r="F290" i="1"/>
  <c r="O290" i="1" s="1"/>
  <c r="AA290" i="1" s="1"/>
  <c r="AM290" i="1" s="1"/>
  <c r="AD322" i="1"/>
  <c r="AP828" i="1"/>
  <c r="R634" i="1"/>
  <c r="BB782" i="1"/>
  <c r="R703" i="1"/>
  <c r="F688" i="1"/>
  <c r="O688" i="1" s="1"/>
  <c r="AA688" i="1" s="1"/>
  <c r="BB629" i="1"/>
  <c r="BB462" i="1"/>
  <c r="AP53" i="1"/>
  <c r="AD226" i="1"/>
  <c r="BB53" i="1"/>
  <c r="AP164" i="1"/>
  <c r="AD10" i="1"/>
  <c r="F128" i="1"/>
  <c r="O128" i="1" s="1"/>
  <c r="AP242" i="1"/>
  <c r="F39" i="1"/>
  <c r="O39" i="1" s="1"/>
  <c r="AA39" i="1" s="1"/>
  <c r="BB342" i="1"/>
  <c r="F176" i="1"/>
  <c r="O176" i="1" s="1"/>
  <c r="AP108" i="1"/>
  <c r="F310" i="1"/>
  <c r="O310" i="1" s="1"/>
  <c r="AA310" i="1" s="1"/>
  <c r="AM310" i="1" s="1"/>
  <c r="AY310" i="1" s="1"/>
  <c r="R281" i="1"/>
  <c r="F242" i="1"/>
  <c r="O242" i="1" s="1"/>
  <c r="AA242" i="1" s="1"/>
  <c r="AM242" i="1" s="1"/>
  <c r="AD367" i="1"/>
  <c r="AP267" i="1"/>
  <c r="AD540" i="1"/>
  <c r="BB347" i="1"/>
  <c r="F258" i="1"/>
  <c r="O258" i="1" s="1"/>
  <c r="AA258" i="1" s="1"/>
  <c r="R302" i="1"/>
  <c r="R361" i="1"/>
  <c r="AD307" i="1"/>
  <c r="R143" i="1"/>
  <c r="AA143" i="1" s="1"/>
  <c r="BB739" i="1"/>
  <c r="R788" i="1"/>
  <c r="F840" i="1"/>
  <c r="O840" i="1" s="1"/>
  <c r="F660" i="1"/>
  <c r="O660" i="1" s="1"/>
  <c r="AA660" i="1" s="1"/>
  <c r="F784" i="1"/>
  <c r="O784" i="1" s="1"/>
  <c r="AA784" i="1" s="1"/>
  <c r="AM784" i="1" s="1"/>
  <c r="AY784" i="1" s="1"/>
  <c r="BL784" i="1" s="1"/>
  <c r="BB540" i="1"/>
  <c r="BB475" i="1"/>
  <c r="F972" i="1"/>
  <c r="O972" i="1" s="1"/>
  <c r="AA972" i="1" s="1"/>
  <c r="AM972" i="1" s="1"/>
  <c r="AY972" i="1" s="1"/>
  <c r="BL972" i="1" s="1"/>
  <c r="AP38" i="1"/>
  <c r="BB321" i="1"/>
  <c r="AD297" i="1"/>
  <c r="R184" i="1"/>
  <c r="AP370" i="1"/>
  <c r="F370" i="1"/>
  <c r="O370" i="1" s="1"/>
  <c r="BB294" i="1"/>
  <c r="AP276" i="1"/>
  <c r="AP444" i="1"/>
  <c r="BB411" i="1"/>
  <c r="BB363" i="1"/>
  <c r="BB195" i="1"/>
  <c r="R136" i="1"/>
  <c r="BB171" i="1"/>
  <c r="BB77" i="1"/>
  <c r="F278" i="1"/>
  <c r="O278" i="1" s="1"/>
  <c r="F151" i="1"/>
  <c r="O151" i="1" s="1"/>
  <c r="AA151" i="1" s="1"/>
  <c r="AM151" i="1" s="1"/>
  <c r="F211" i="1"/>
  <c r="O211" i="1" s="1"/>
  <c r="AP379" i="1"/>
  <c r="BB52" i="1"/>
  <c r="AD649" i="1"/>
  <c r="R720" i="1"/>
  <c r="F616" i="1"/>
  <c r="O616" i="1" s="1"/>
  <c r="AA616" i="1" s="1"/>
  <c r="AM616" i="1" s="1"/>
  <c r="AY616" i="1" s="1"/>
  <c r="BL616" i="1" s="1"/>
  <c r="AD622" i="1"/>
  <c r="BB298" i="1"/>
  <c r="AD103" i="1"/>
  <c r="AP608" i="1"/>
  <c r="BB532" i="1"/>
  <c r="AP748" i="1"/>
  <c r="R711" i="1"/>
  <c r="AP681" i="1"/>
  <c r="AD702" i="1"/>
  <c r="AD548" i="1"/>
  <c r="R456" i="1"/>
  <c r="AD323" i="1"/>
  <c r="R90" i="1"/>
  <c r="R37" i="1"/>
  <c r="R354" i="1"/>
  <c r="AA354" i="1" s="1"/>
  <c r="R192" i="1"/>
  <c r="AA192" i="1" s="1"/>
  <c r="BB307" i="1"/>
  <c r="AP222" i="1"/>
  <c r="AD336" i="1"/>
  <c r="R385" i="1"/>
  <c r="F52" i="1"/>
  <c r="O52" i="1" s="1"/>
  <c r="AP152" i="1"/>
  <c r="R338" i="1"/>
  <c r="AP181" i="1"/>
  <c r="AP45" i="1"/>
  <c r="AP512" i="1"/>
  <c r="F735" i="1"/>
  <c r="O735" i="1" s="1"/>
  <c r="AA735" i="1" s="1"/>
  <c r="AM735" i="1" s="1"/>
  <c r="AY735" i="1" s="1"/>
  <c r="F673" i="1"/>
  <c r="O673" i="1" s="1"/>
  <c r="AA673" i="1" s="1"/>
  <c r="AM673" i="1" s="1"/>
  <c r="AY673" i="1" s="1"/>
  <c r="BL673" i="1" s="1"/>
  <c r="R117" i="1"/>
  <c r="BB670" i="1"/>
  <c r="BB236" i="1"/>
  <c r="AD109" i="1"/>
  <c r="F273" i="1"/>
  <c r="O273" i="1" s="1"/>
  <c r="AA273" i="1" s="1"/>
  <c r="AM273" i="1" s="1"/>
  <c r="AY273" i="1" s="1"/>
  <c r="R99" i="1"/>
  <c r="R360" i="1"/>
  <c r="BB320" i="1"/>
  <c r="R305" i="1"/>
  <c r="AD394" i="1"/>
  <c r="AD207" i="1"/>
  <c r="F333" i="1"/>
  <c r="O333" i="1" s="1"/>
  <c r="AA333" i="1" s="1"/>
  <c r="AP15" i="1"/>
  <c r="AD171" i="1"/>
  <c r="AP52" i="1"/>
  <c r="AP90" i="1"/>
  <c r="R531" i="1"/>
  <c r="F364" i="1"/>
  <c r="O364" i="1" s="1"/>
  <c r="AA364" i="1" s="1"/>
  <c r="AM364" i="1" s="1"/>
  <c r="BB224" i="1"/>
  <c r="BB7" i="1"/>
  <c r="AD347" i="1"/>
  <c r="R757" i="1"/>
  <c r="F75" i="1"/>
  <c r="O75" i="1" s="1"/>
  <c r="AA75" i="1" s="1"/>
  <c r="AD178" i="1"/>
  <c r="AD233" i="1"/>
  <c r="AP43" i="1"/>
  <c r="F50" i="1"/>
  <c r="O50" i="1" s="1"/>
  <c r="O249" i="1"/>
  <c r="BN238" i="1"/>
  <c r="BO238" i="1" s="1" a="1"/>
  <c r="BO238" i="1" s="1"/>
  <c r="BN803" i="1"/>
  <c r="BO803" i="1" s="1" a="1"/>
  <c r="BO803" i="1" s="1"/>
  <c r="BN256" i="1"/>
  <c r="BO256" i="1" s="1" a="1"/>
  <c r="BO256" i="1" s="1"/>
  <c r="BN860" i="1"/>
  <c r="BO860" i="1" s="1" a="1"/>
  <c r="BO860" i="1" s="1"/>
  <c r="BN645" i="1"/>
  <c r="BO645" i="1" s="1" a="1"/>
  <c r="BO645" i="1" s="1"/>
  <c r="AA636" i="1"/>
  <c r="AM636" i="1" s="1"/>
  <c r="AY636" i="1" s="1"/>
  <c r="BL636" i="1" s="1"/>
  <c r="BN909" i="1"/>
  <c r="BO909" i="1" s="1" a="1"/>
  <c r="BO909" i="1" s="1"/>
  <c r="BN538" i="1"/>
  <c r="BO538" i="1" s="1" a="1"/>
  <c r="BO538" i="1" s="1"/>
  <c r="BN467" i="1"/>
  <c r="BO467" i="1" s="1" a="1"/>
  <c r="BO467" i="1" s="1"/>
  <c r="AD37" i="1"/>
  <c r="BB369" i="1"/>
  <c r="BB221" i="1"/>
  <c r="R211" i="1"/>
  <c r="AD9" i="1"/>
  <c r="AP209" i="1"/>
  <c r="F230" i="1"/>
  <c r="O230" i="1" s="1"/>
  <c r="AA230" i="1" s="1"/>
  <c r="AD473" i="1"/>
  <c r="F16" i="1"/>
  <c r="O16" i="1" s="1"/>
  <c r="BB206" i="1"/>
  <c r="R210" i="1"/>
  <c r="AA210" i="1" s="1"/>
  <c r="BB537" i="1"/>
  <c r="R158" i="1"/>
  <c r="AA158" i="1" s="1"/>
  <c r="AD358" i="1"/>
  <c r="F37" i="1"/>
  <c r="O37" i="1" s="1"/>
  <c r="BB152" i="1"/>
  <c r="AD300" i="1"/>
  <c r="AP204" i="1"/>
  <c r="R63" i="1"/>
  <c r="BB36" i="1"/>
  <c r="F361" i="1"/>
  <c r="O361" i="1" s="1"/>
  <c r="AD39" i="1"/>
  <c r="BB255" i="1"/>
  <c r="R398" i="1"/>
  <c r="AA398" i="1" s="1"/>
  <c r="AM398" i="1" s="1"/>
  <c r="AY398" i="1" s="1"/>
  <c r="BL398" i="1" s="1"/>
  <c r="R201" i="1"/>
  <c r="BB68" i="1"/>
  <c r="F172" i="1"/>
  <c r="O172" i="1" s="1"/>
  <c r="AP928" i="1"/>
  <c r="AD319" i="1"/>
  <c r="F328" i="1"/>
  <c r="O328" i="1" s="1"/>
  <c r="BB25" i="1"/>
  <c r="R121" i="1"/>
  <c r="AA121" i="1" s="1"/>
  <c r="BB218" i="1"/>
  <c r="F953" i="1"/>
  <c r="O953" i="1" s="1"/>
  <c r="AD188" i="1"/>
  <c r="R395" i="1"/>
  <c r="R189" i="1"/>
  <c r="AD100" i="1"/>
  <c r="R150" i="1"/>
  <c r="R212" i="1"/>
  <c r="F443" i="1"/>
  <c r="O443" i="1" s="1"/>
  <c r="AA443" i="1" s="1"/>
  <c r="AM443" i="1" s="1"/>
  <c r="AY443" i="1" s="1"/>
  <c r="AP146" i="1"/>
  <c r="F534" i="1"/>
  <c r="O534" i="1" s="1"/>
  <c r="AP136" i="1"/>
  <c r="F101" i="1"/>
  <c r="O101" i="1" s="1"/>
  <c r="AA101" i="1" s="1"/>
  <c r="AM101" i="1" s="1"/>
  <c r="AY101" i="1" s="1"/>
  <c r="F918" i="1"/>
  <c r="O918" i="1" s="1"/>
  <c r="F647" i="1"/>
  <c r="O647" i="1" s="1"/>
  <c r="F951" i="1"/>
  <c r="O951" i="1" s="1"/>
  <c r="AP951" i="1"/>
  <c r="R24" i="1"/>
  <c r="R127" i="1"/>
  <c r="AD883" i="1"/>
  <c r="AP61" i="1"/>
  <c r="BB120" i="1"/>
  <c r="AP359" i="1"/>
  <c r="F344" i="1"/>
  <c r="O344" i="1" s="1"/>
  <c r="AP570" i="1"/>
  <c r="BB78" i="1"/>
  <c r="AD134" i="1"/>
  <c r="AD8" i="1"/>
  <c r="AD182" i="1"/>
  <c r="BB67" i="1"/>
  <c r="AP6" i="1"/>
  <c r="AD314" i="1"/>
  <c r="AP275" i="1"/>
  <c r="AD260" i="1"/>
  <c r="F28" i="1"/>
  <c r="O28" i="1" s="1"/>
  <c r="R174" i="1"/>
  <c r="AA174" i="1" s="1"/>
  <c r="BB95" i="1"/>
  <c r="BB757" i="1"/>
  <c r="AD175" i="1"/>
  <c r="R135" i="1"/>
  <c r="R68" i="1"/>
  <c r="AA68" i="1" s="1"/>
  <c r="BB278" i="1"/>
  <c r="AP397" i="1"/>
  <c r="R215" i="1"/>
  <c r="R259" i="1"/>
  <c r="BB340" i="1"/>
  <c r="F334" i="1"/>
  <c r="O334" i="1" s="1"/>
  <c r="AD366" i="1"/>
  <c r="F164" i="1"/>
  <c r="O164" i="1" s="1"/>
  <c r="AP400" i="1"/>
  <c r="AD315" i="1"/>
  <c r="BB315" i="1"/>
  <c r="BB188" i="1"/>
  <c r="BB90" i="1"/>
  <c r="R200" i="1"/>
  <c r="AD564" i="1"/>
  <c r="R62" i="1"/>
  <c r="R318" i="1"/>
  <c r="R173" i="1"/>
  <c r="AD362" i="1"/>
  <c r="BB172" i="1"/>
  <c r="F137" i="1"/>
  <c r="O137" i="1" s="1"/>
  <c r="R473" i="1"/>
  <c r="AD6" i="1"/>
  <c r="AP406" i="1"/>
  <c r="F239" i="1"/>
  <c r="O239" i="1" s="1"/>
  <c r="AA239" i="1" s="1"/>
  <c r="R202" i="1"/>
  <c r="AD143" i="1"/>
  <c r="F193" i="1"/>
  <c r="O193" i="1" s="1"/>
  <c r="AD191" i="1"/>
  <c r="AD183" i="1"/>
  <c r="AD46" i="1"/>
  <c r="BB151" i="1"/>
  <c r="BB847" i="1"/>
  <c r="R43" i="1"/>
  <c r="F276" i="1"/>
  <c r="O276" i="1" s="1"/>
  <c r="AD375" i="1"/>
  <c r="AD454" i="1"/>
  <c r="R165" i="1"/>
  <c r="AP50" i="1"/>
  <c r="BB758" i="1"/>
  <c r="R44" i="1"/>
  <c r="AD90" i="1"/>
  <c r="AP8" i="1"/>
  <c r="AP279" i="1"/>
  <c r="BB309" i="1"/>
  <c r="AP79" i="1"/>
  <c r="R86" i="1"/>
  <c r="R129" i="1"/>
  <c r="AA129" i="1" s="1"/>
  <c r="BB81" i="1"/>
  <c r="R7" i="1"/>
  <c r="F841" i="1"/>
  <c r="O841" i="1" s="1"/>
  <c r="AA841" i="1" s="1"/>
  <c r="AM841" i="1" s="1"/>
  <c r="BB382" i="1"/>
  <c r="R758" i="1"/>
  <c r="R148" i="1"/>
  <c r="AD27" i="1"/>
  <c r="BB534" i="1"/>
  <c r="AD877" i="1"/>
  <c r="AD44" i="1"/>
  <c r="AP315" i="1"/>
  <c r="R209" i="1"/>
  <c r="F419" i="1"/>
  <c r="O419" i="1" s="1"/>
  <c r="AA419" i="1" s="1"/>
  <c r="AM419" i="1" s="1"/>
  <c r="AD259" i="1"/>
  <c r="R403" i="1"/>
  <c r="AA403" i="1" s="1"/>
  <c r="AM403" i="1" s="1"/>
  <c r="F169" i="1"/>
  <c r="O169" i="1" s="1"/>
  <c r="AA169" i="1" s="1"/>
  <c r="F60" i="1"/>
  <c r="O60" i="1" s="1"/>
  <c r="AA60" i="1" s="1"/>
  <c r="AP72" i="1"/>
  <c r="AD87" i="1"/>
  <c r="AD172" i="1"/>
  <c r="F839" i="1"/>
  <c r="O839" i="1" s="1"/>
  <c r="BB839" i="1"/>
  <c r="BB49" i="1"/>
  <c r="AP198" i="1"/>
  <c r="AP248" i="1"/>
  <c r="AP7" i="1"/>
  <c r="F394" i="1"/>
  <c r="O394" i="1" s="1"/>
  <c r="BB951" i="1"/>
  <c r="R556" i="1"/>
  <c r="AA556" i="1" s="1"/>
  <c r="AP389" i="1"/>
  <c r="AP56" i="1"/>
  <c r="F181" i="1"/>
  <c r="O181" i="1" s="1"/>
  <c r="AA181" i="1" s="1"/>
  <c r="R953" i="1"/>
  <c r="AA953" i="1" s="1"/>
  <c r="R78" i="1"/>
  <c r="AA78" i="1" s="1"/>
  <c r="AM78" i="1" s="1"/>
  <c r="AY78" i="1" s="1"/>
  <c r="AD326" i="1"/>
  <c r="AD256" i="1"/>
  <c r="AD200" i="1"/>
  <c r="F324" i="1"/>
  <c r="O324" i="1" s="1"/>
  <c r="R85" i="1"/>
  <c r="AA85" i="1" s="1"/>
  <c r="AM85" i="1" s="1"/>
  <c r="AY85" i="1" s="1"/>
  <c r="AD846" i="1"/>
  <c r="AP227" i="1"/>
  <c r="AP814" i="1"/>
  <c r="AD36" i="1"/>
  <c r="AD174" i="1"/>
  <c r="R326" i="1"/>
  <c r="AA326" i="1" s="1"/>
  <c r="BB272" i="1"/>
  <c r="AP130" i="1"/>
  <c r="AD205" i="1"/>
  <c r="F42" i="1"/>
  <c r="O42" i="1" s="1"/>
  <c r="BB60" i="1"/>
  <c r="R535" i="1"/>
  <c r="AA941" i="1"/>
  <c r="AM941" i="1" s="1"/>
  <c r="AY941" i="1" s="1"/>
  <c r="BL941" i="1" s="1"/>
  <c r="AM599" i="1"/>
  <c r="AA903" i="1"/>
  <c r="AM903" i="1" s="1"/>
  <c r="AY903" i="1" s="1"/>
  <c r="BL903" i="1" s="1"/>
  <c r="AA332" i="1"/>
  <c r="AM332" i="1" s="1"/>
  <c r="AY332" i="1" s="1"/>
  <c r="BL332" i="1" s="1"/>
  <c r="AA566" i="1"/>
  <c r="AM566" i="1" s="1"/>
  <c r="AY566" i="1" s="1"/>
  <c r="AA268" i="1"/>
  <c r="AM268" i="1" s="1"/>
  <c r="AY268" i="1" s="1"/>
  <c r="BL268" i="1" s="1"/>
  <c r="AA608" i="1"/>
  <c r="AM608" i="1" s="1"/>
  <c r="AY608" i="1" s="1"/>
  <c r="BL608" i="1" s="1"/>
  <c r="BN445" i="1"/>
  <c r="BO445" i="1" s="1" a="1"/>
  <c r="BO445" i="1" s="1"/>
  <c r="BN248" i="1"/>
  <c r="BO248" i="1" s="1" a="1"/>
  <c r="BO248" i="1" s="1"/>
  <c r="BN200" i="1"/>
  <c r="BO200" i="1" s="1" a="1"/>
  <c r="BO200" i="1" s="1"/>
  <c r="BN600" i="1"/>
  <c r="BO600" i="1" s="1" a="1"/>
  <c r="BO600" i="1" s="1"/>
  <c r="AA454" i="1"/>
  <c r="BN813" i="1"/>
  <c r="BO813" i="1" s="1" a="1"/>
  <c r="BO813" i="1" s="1"/>
  <c r="BN100" i="1"/>
  <c r="BO100" i="1" s="1" a="1"/>
  <c r="BO100" i="1" s="1"/>
  <c r="O92" i="1"/>
  <c r="AA92" i="1" s="1"/>
  <c r="AM92" i="1" s="1"/>
  <c r="AY92" i="1" s="1"/>
  <c r="BL92" i="1" s="1"/>
  <c r="BN92" i="1"/>
  <c r="BO92" i="1" a="1"/>
  <c r="BO92" i="1" s="1"/>
  <c r="BN170" i="1"/>
  <c r="BO170" i="1" s="1" a="1"/>
  <c r="BO170" i="1" s="1"/>
  <c r="O641" i="1"/>
  <c r="AA641" i="1" s="1"/>
  <c r="AM641" i="1" s="1"/>
  <c r="AY641" i="1" s="1"/>
  <c r="BN954" i="1"/>
  <c r="BO954" i="1" a="1"/>
  <c r="BO954" i="1" s="1"/>
  <c r="AA465" i="1"/>
  <c r="BN465" i="1"/>
  <c r="BO465" i="1" s="1" a="1"/>
  <c r="BO465" i="1" s="1"/>
  <c r="BN643" i="1"/>
  <c r="BO643" i="1" a="1"/>
  <c r="BO643" i="1" s="1"/>
  <c r="BN960" i="1"/>
  <c r="BO960" i="1" s="1" a="1"/>
  <c r="BO960" i="1" s="1"/>
  <c r="AA902" i="1"/>
  <c r="AM902" i="1" s="1"/>
  <c r="AD179" i="1"/>
  <c r="AD146" i="1"/>
  <c r="AM146" i="1" s="1"/>
  <c r="BB208" i="1"/>
  <c r="AD133" i="1"/>
  <c r="F240" i="1"/>
  <c r="O240" i="1" s="1"/>
  <c r="AA240" i="1" s="1"/>
  <c r="AM240" i="1" s="1"/>
  <c r="AP213" i="1"/>
  <c r="AD177" i="1"/>
  <c r="AP137" i="1"/>
  <c r="BB365" i="1"/>
  <c r="R228" i="1"/>
  <c r="AA228" i="1" s="1"/>
  <c r="AM228" i="1" s="1"/>
  <c r="F232" i="1"/>
  <c r="O232" i="1" s="1"/>
  <c r="AA232" i="1" s="1"/>
  <c r="AM232" i="1" s="1"/>
  <c r="R6" i="1"/>
  <c r="AP862" i="1"/>
  <c r="F41" i="1"/>
  <c r="O41" i="1" s="1"/>
  <c r="AA41" i="1" s="1"/>
  <c r="R71" i="1"/>
  <c r="AA71" i="1" s="1"/>
  <c r="BB293" i="1"/>
  <c r="R11" i="1"/>
  <c r="AA11" i="1" s="1"/>
  <c r="BB527" i="1"/>
  <c r="R137" i="1"/>
  <c r="R25" i="1"/>
  <c r="AA25" i="1" s="1"/>
  <c r="AM25" i="1" s="1"/>
  <c r="AD605" i="1"/>
  <c r="BB101" i="1"/>
  <c r="BB198" i="1"/>
  <c r="BB207" i="1"/>
  <c r="AP206" i="1"/>
  <c r="F451" i="1"/>
  <c r="O451" i="1" s="1"/>
  <c r="AD243" i="1"/>
  <c r="BB525" i="1"/>
  <c r="AP139" i="1"/>
  <c r="AD280" i="1"/>
  <c r="F165" i="1"/>
  <c r="O165" i="1" s="1"/>
  <c r="F125" i="1"/>
  <c r="O125" i="1" s="1"/>
  <c r="AP225" i="1"/>
  <c r="BB28" i="1"/>
  <c r="BB10" i="1"/>
  <c r="F109" i="1"/>
  <c r="O109" i="1" s="1"/>
  <c r="AA109" i="1" s="1"/>
  <c r="AP76" i="1"/>
  <c r="AD149" i="1"/>
  <c r="BB310" i="1"/>
  <c r="AD244" i="1"/>
  <c r="AD82" i="1"/>
  <c r="AP931" i="1"/>
  <c r="AD281" i="1"/>
  <c r="AP907" i="1"/>
  <c r="F22" i="1"/>
  <c r="O22" i="1" s="1"/>
  <c r="AA22" i="1" s="1"/>
  <c r="AP314" i="1"/>
  <c r="AP98" i="1"/>
  <c r="BB38" i="1"/>
  <c r="F51" i="1"/>
  <c r="O51" i="1" s="1"/>
  <c r="AP330" i="1"/>
  <c r="F314" i="1"/>
  <c r="O314" i="1" s="1"/>
  <c r="R351" i="1"/>
  <c r="AD77" i="1"/>
  <c r="AP177" i="1"/>
  <c r="R387" i="1"/>
  <c r="AD136" i="1"/>
  <c r="AP260" i="1"/>
  <c r="AD340" i="1"/>
  <c r="AP188" i="1"/>
  <c r="F36" i="1"/>
  <c r="O36" i="1" s="1"/>
  <c r="AP36" i="1"/>
  <c r="AP221" i="1"/>
  <c r="R15" i="1"/>
  <c r="AA15" i="1" s="1"/>
  <c r="AM15" i="1" s="1"/>
  <c r="F359" i="1"/>
  <c r="O359" i="1" s="1"/>
  <c r="F65" i="1"/>
  <c r="O65" i="1" s="1"/>
  <c r="AD166" i="1"/>
  <c r="AD334" i="1"/>
  <c r="AD647" i="1"/>
  <c r="AP250" i="1"/>
  <c r="R359" i="1"/>
  <c r="AD111" i="1"/>
  <c r="AD210" i="1"/>
  <c r="AD396" i="1"/>
  <c r="AD16" i="1"/>
  <c r="BB222" i="1"/>
  <c r="AP21" i="1"/>
  <c r="F537" i="1"/>
  <c r="O537" i="1" s="1"/>
  <c r="AA537" i="1" s="1"/>
  <c r="R70" i="1"/>
  <c r="AA70" i="1" s="1"/>
  <c r="AM70" i="1" s="1"/>
  <c r="AY70" i="1" s="1"/>
  <c r="BL70" i="1" s="1"/>
  <c r="AP296" i="1"/>
  <c r="AD839" i="1"/>
  <c r="AP208" i="1"/>
  <c r="BB300" i="1"/>
  <c r="F119" i="1"/>
  <c r="O119" i="1" s="1"/>
  <c r="AA119" i="1" s="1"/>
  <c r="AM119" i="1" s="1"/>
  <c r="AY119" i="1" s="1"/>
  <c r="BL119" i="1" s="1"/>
  <c r="R14" i="1"/>
  <c r="AA14" i="1" s="1"/>
  <c r="AM14" i="1" s="1"/>
  <c r="AY14" i="1" s="1"/>
  <c r="BL14" i="1" s="1"/>
  <c r="AP51" i="1"/>
  <c r="BB127" i="1"/>
  <c r="F320" i="1"/>
  <c r="O320" i="1" s="1"/>
  <c r="AP127" i="1"/>
  <c r="F703" i="1"/>
  <c r="O703" i="1" s="1"/>
  <c r="AP25" i="1"/>
  <c r="F26" i="1"/>
  <c r="O26" i="1" s="1"/>
  <c r="AD907" i="1"/>
  <c r="BB324" i="1"/>
  <c r="BB314" i="1"/>
  <c r="AP535" i="1"/>
  <c r="R126" i="1"/>
  <c r="AA126" i="1" s="1"/>
  <c r="AM126" i="1" s="1"/>
  <c r="AY126" i="1" s="1"/>
  <c r="AP240" i="1"/>
  <c r="R303" i="1"/>
  <c r="F289" i="1"/>
  <c r="O289" i="1" s="1"/>
  <c r="AA289" i="1" s="1"/>
  <c r="BB312" i="1"/>
  <c r="BB871" i="1"/>
  <c r="AD342" i="1"/>
  <c r="R132" i="1"/>
  <c r="AA132" i="1" s="1"/>
  <c r="BB707" i="1"/>
  <c r="F342" i="1"/>
  <c r="O342" i="1" s="1"/>
  <c r="AA342" i="1" s="1"/>
  <c r="AP11" i="1"/>
  <c r="BB337" i="1"/>
  <c r="BB17" i="1"/>
  <c r="AD57" i="1"/>
  <c r="R226" i="1"/>
  <c r="AA226" i="1" s="1"/>
  <c r="AP272" i="1"/>
  <c r="AD99" i="1"/>
  <c r="BB65" i="1"/>
  <c r="R182" i="1"/>
  <c r="AA182" i="1" s="1"/>
  <c r="AD525" i="1"/>
  <c r="AD107" i="1"/>
  <c r="AM107" i="1" s="1"/>
  <c r="AY107" i="1" s="1"/>
  <c r="BL107" i="1" s="1"/>
  <c r="R315" i="1"/>
  <c r="AA315" i="1" s="1"/>
  <c r="R42" i="1"/>
  <c r="F649" i="1"/>
  <c r="O649" i="1" s="1"/>
  <c r="AA649" i="1" s="1"/>
  <c r="BB166" i="1"/>
  <c r="BB367" i="1"/>
  <c r="F72" i="1"/>
  <c r="O72" i="1" s="1"/>
  <c r="AA72" i="1" s="1"/>
  <c r="F306" i="1"/>
  <c r="O306" i="1" s="1"/>
  <c r="AA306" i="1" s="1"/>
  <c r="AM306" i="1" s="1"/>
  <c r="AY306" i="1" s="1"/>
  <c r="BL306" i="1" s="1"/>
  <c r="AP39" i="1"/>
  <c r="BB348" i="1"/>
  <c r="F207" i="1"/>
  <c r="O207" i="1" s="1"/>
  <c r="AA207" i="1" s="1"/>
  <c r="AP132" i="1"/>
  <c r="AP117" i="1"/>
  <c r="AD153" i="1"/>
  <c r="AM153" i="1" s="1"/>
  <c r="AY153" i="1" s="1"/>
  <c r="BB63" i="1"/>
  <c r="AD289" i="1"/>
  <c r="AM289" i="1" s="1"/>
  <c r="AY289" i="1" s="1"/>
  <c r="BL289" i="1" s="1"/>
  <c r="AD283" i="1"/>
  <c r="AP953" i="1"/>
  <c r="BB39" i="1"/>
  <c r="AP556" i="1"/>
  <c r="AP26" i="1"/>
  <c r="AD230" i="1"/>
  <c r="AD187" i="1"/>
  <c r="AP145" i="1"/>
  <c r="AP473" i="1"/>
  <c r="R124" i="1"/>
  <c r="BB259" i="1"/>
  <c r="R286" i="1"/>
  <c r="AD344" i="1"/>
  <c r="AP63" i="1"/>
  <c r="R76" i="1"/>
  <c r="BB601" i="1"/>
  <c r="R490" i="1"/>
  <c r="R27" i="1"/>
  <c r="AA27" i="1" s="1"/>
  <c r="AD757" i="1"/>
  <c r="BB44" i="1"/>
  <c r="F244" i="1"/>
  <c r="O244" i="1" s="1"/>
  <c r="BB244" i="1"/>
  <c r="F351" i="1"/>
  <c r="O351" i="1" s="1"/>
  <c r="AA351" i="1" s="1"/>
  <c r="AM351" i="1" s="1"/>
  <c r="R275" i="1"/>
  <c r="AA275" i="1" s="1"/>
  <c r="AM275" i="1" s="1"/>
  <c r="F35" i="1"/>
  <c r="O35" i="1" s="1"/>
  <c r="AD918" i="1"/>
  <c r="F116" i="1"/>
  <c r="O116" i="1" s="1"/>
  <c r="AA116" i="1" s="1"/>
  <c r="F196" i="1"/>
  <c r="O196" i="1" s="1"/>
  <c r="AA196" i="1" s="1"/>
  <c r="R676" i="1"/>
  <c r="AA676" i="1" s="1"/>
  <c r="AM676" i="1" s="1"/>
  <c r="F395" i="1"/>
  <c r="O395" i="1" s="1"/>
  <c r="AD271" i="1"/>
  <c r="R404" i="1"/>
  <c r="F5" i="1"/>
  <c r="O5" i="1" s="1"/>
  <c r="AA5" i="1" s="1"/>
  <c r="AM5" i="1" s="1"/>
  <c r="AY5" i="1" s="1"/>
  <c r="BL5" i="1" s="1"/>
  <c r="AD154" i="1"/>
  <c r="BB130" i="1"/>
  <c r="AP24" i="1"/>
  <c r="AP232" i="1"/>
  <c r="AD163" i="1"/>
  <c r="AD112" i="1"/>
  <c r="AD804" i="1"/>
  <c r="AD211" i="1"/>
  <c r="R287" i="1"/>
  <c r="AA287" i="1" s="1"/>
  <c r="AM287" i="1" s="1"/>
  <c r="AY287" i="1" s="1"/>
  <c r="BL287" i="1" s="1"/>
  <c r="AP388" i="1"/>
  <c r="R26" i="1"/>
  <c r="AA26" i="1" s="1"/>
  <c r="BB211" i="1"/>
  <c r="AP82" i="1"/>
  <c r="R324" i="1"/>
  <c r="R195" i="1"/>
  <c r="AA195" i="1" s="1"/>
  <c r="BB37" i="1"/>
  <c r="AA913" i="1"/>
  <c r="AA304" i="1"/>
  <c r="AM304" i="1" s="1"/>
  <c r="AY304" i="1" s="1"/>
  <c r="BL304" i="1" s="1"/>
  <c r="AA503" i="1"/>
  <c r="AM503" i="1" s="1"/>
  <c r="AY503" i="1" s="1"/>
  <c r="BL503" i="1" s="1"/>
  <c r="AA975" i="1"/>
  <c r="AM975" i="1" s="1"/>
  <c r="AY975" i="1" s="1"/>
  <c r="BL975" i="1" s="1"/>
  <c r="AA724" i="1"/>
  <c r="AM724" i="1" s="1"/>
  <c r="AY724" i="1" s="1"/>
  <c r="BL724" i="1" s="1"/>
  <c r="AA374" i="1"/>
  <c r="AM374" i="1" s="1"/>
  <c r="AY374" i="1" s="1"/>
  <c r="BL374" i="1" s="1"/>
  <c r="AA19" i="1"/>
  <c r="AA822" i="1"/>
  <c r="AA500" i="1"/>
  <c r="BN542" i="1"/>
  <c r="BO542" i="1" s="1" a="1"/>
  <c r="BO542" i="1" s="1"/>
  <c r="BN447" i="1"/>
  <c r="BO447" i="1" s="1" a="1"/>
  <c r="BO447" i="1" s="1"/>
  <c r="BN795" i="1"/>
  <c r="BO795" i="1" s="1" a="1"/>
  <c r="BO795" i="1" s="1"/>
  <c r="AM692" i="1"/>
  <c r="AY692" i="1" s="1"/>
  <c r="BL692" i="1" s="1"/>
  <c r="AA431" i="1"/>
  <c r="AM431" i="1" s="1"/>
  <c r="AY431" i="1" s="1"/>
  <c r="BL431" i="1" s="1"/>
  <c r="AA459" i="1"/>
  <c r="AM459" i="1" s="1"/>
  <c r="AA358" i="1"/>
  <c r="AA256" i="1"/>
  <c r="AA954" i="1"/>
  <c r="AM954" i="1" s="1"/>
  <c r="AY954" i="1" s="1"/>
  <c r="AA797" i="1"/>
  <c r="BN655" i="1"/>
  <c r="BO655" i="1" s="1" a="1"/>
  <c r="BO655" i="1" s="1"/>
  <c r="BN794" i="1"/>
  <c r="BO794" i="1" s="1" a="1"/>
  <c r="BO794" i="1" s="1"/>
  <c r="AA762" i="1"/>
  <c r="AM762" i="1" s="1"/>
  <c r="AY762" i="1" s="1"/>
  <c r="AA570" i="1"/>
  <c r="AM570" i="1" s="1"/>
  <c r="BB303" i="1"/>
  <c r="F862" i="1"/>
  <c r="O862" i="1" s="1"/>
  <c r="F301" i="1"/>
  <c r="O301" i="1" s="1"/>
  <c r="AP781" i="1"/>
  <c r="F303" i="1"/>
  <c r="O303" i="1" s="1"/>
  <c r="AD55" i="1"/>
  <c r="AD17" i="1"/>
  <c r="AD377" i="1"/>
  <c r="R935" i="1"/>
  <c r="AD227" i="1"/>
  <c r="AD816" i="1"/>
  <c r="AD41" i="1"/>
  <c r="F296" i="1"/>
  <c r="O296" i="1" s="1"/>
  <c r="AA296" i="1" s="1"/>
  <c r="AM296" i="1" s="1"/>
  <c r="AD871" i="1"/>
  <c r="BB433" i="1"/>
  <c r="BB284" i="1"/>
  <c r="F487" i="1"/>
  <c r="O487" i="1" s="1"/>
  <c r="AA487" i="1" s="1"/>
  <c r="AM487" i="1" s="1"/>
  <c r="AY487" i="1" s="1"/>
  <c r="BL487" i="1" s="1"/>
  <c r="AP42" i="1"/>
  <c r="BB953" i="1"/>
  <c r="AP546" i="1"/>
  <c r="AY546" i="1" s="1"/>
  <c r="BL546" i="1" s="1"/>
  <c r="AD72" i="1"/>
  <c r="F24" i="1"/>
  <c r="O24" i="1" s="1"/>
  <c r="BB96" i="1"/>
  <c r="AP351" i="1"/>
  <c r="AP297" i="1"/>
  <c r="F190" i="1"/>
  <c r="O190" i="1" s="1"/>
  <c r="AA190" i="1" s="1"/>
  <c r="AM190" i="1" s="1"/>
  <c r="AP449" i="1"/>
  <c r="AP299" i="1"/>
  <c r="AD20" i="1"/>
  <c r="R123" i="1"/>
  <c r="R162" i="1"/>
  <c r="AA162" i="1" s="1"/>
  <c r="AM162" i="1" s="1"/>
  <c r="AY162" i="1" s="1"/>
  <c r="BL162" i="1" s="1"/>
  <c r="F380" i="1"/>
  <c r="O380" i="1" s="1"/>
  <c r="AA380" i="1" s="1"/>
  <c r="AP676" i="1"/>
  <c r="BB213" i="1"/>
  <c r="F393" i="1"/>
  <c r="O393" i="1" s="1"/>
  <c r="AA393" i="1" s="1"/>
  <c r="AM393" i="1" s="1"/>
  <c r="R249" i="1"/>
  <c r="R128" i="1"/>
  <c r="AA128" i="1" s="1"/>
  <c r="R168" i="1"/>
  <c r="R389" i="1"/>
  <c r="AP134" i="1"/>
  <c r="AD239" i="1"/>
  <c r="AD388" i="1"/>
  <c r="R309" i="1"/>
  <c r="AA309" i="1" s="1"/>
  <c r="AP58" i="1"/>
  <c r="AD254" i="1"/>
  <c r="R35" i="1"/>
  <c r="AP327" i="1"/>
  <c r="R159" i="1"/>
  <c r="BB338" i="1"/>
  <c r="R796" i="1"/>
  <c r="AA796" i="1" s="1"/>
  <c r="AM796" i="1" s="1"/>
  <c r="AY796" i="1" s="1"/>
  <c r="BL796" i="1" s="1"/>
  <c r="BB384" i="1"/>
  <c r="AD337" i="1"/>
  <c r="BB566" i="1"/>
  <c r="F118" i="1"/>
  <c r="O118" i="1" s="1"/>
  <c r="AA118" i="1" s="1"/>
  <c r="AM118" i="1" s="1"/>
  <c r="AY118" i="1" s="1"/>
  <c r="AP460" i="1"/>
  <c r="AP936" i="1"/>
  <c r="F142" i="1"/>
  <c r="O142" i="1" s="1"/>
  <c r="R386" i="1"/>
  <c r="AA386" i="1" s="1"/>
  <c r="AP165" i="1"/>
  <c r="AD50" i="1"/>
  <c r="BB111" i="1"/>
  <c r="F159" i="1"/>
  <c r="O159" i="1" s="1"/>
  <c r="AD386" i="1"/>
  <c r="R274" i="1"/>
  <c r="AA274" i="1" s="1"/>
  <c r="AM274" i="1" s="1"/>
  <c r="AY274" i="1" s="1"/>
  <c r="AD309" i="1"/>
  <c r="AD231" i="1"/>
  <c r="AM231" i="1" s="1"/>
  <c r="AY231" i="1" s="1"/>
  <c r="BL231" i="1" s="1"/>
  <c r="BB13" i="1"/>
  <c r="AP179" i="1"/>
  <c r="BB9" i="1"/>
  <c r="R105" i="1"/>
  <c r="AA105" i="1" s="1"/>
  <c r="AM105" i="1" s="1"/>
  <c r="AD556" i="1"/>
  <c r="F389" i="1"/>
  <c r="O389" i="1" s="1"/>
  <c r="AP128" i="1"/>
  <c r="R602" i="1"/>
  <c r="AD53" i="1"/>
  <c r="AM53" i="1" s="1"/>
  <c r="AY53" i="1" s="1"/>
  <c r="BL53" i="1" s="1"/>
  <c r="AP75" i="1"/>
  <c r="AD400" i="1"/>
  <c r="F214" i="1"/>
  <c r="O214" i="1" s="1"/>
  <c r="AA214" i="1" s="1"/>
  <c r="AM214" i="1" s="1"/>
  <c r="F267" i="1"/>
  <c r="O267" i="1" s="1"/>
  <c r="AA267" i="1" s="1"/>
  <c r="AM267" i="1" s="1"/>
  <c r="BB270" i="1"/>
  <c r="AP114" i="1"/>
  <c r="AD54" i="1"/>
  <c r="BB239" i="1"/>
  <c r="AD764" i="1"/>
  <c r="BB24" i="1"/>
  <c r="AP123" i="1"/>
  <c r="AD928" i="1"/>
  <c r="AD354" i="1"/>
  <c r="F84" i="1"/>
  <c r="O84" i="1" s="1"/>
  <c r="AA84" i="1" s="1"/>
  <c r="AM84" i="1" s="1"/>
  <c r="BB319" i="1"/>
  <c r="F935" i="1"/>
  <c r="O935" i="1" s="1"/>
  <c r="AA935" i="1" s="1"/>
  <c r="AM935" i="1" s="1"/>
  <c r="BB380" i="1"/>
  <c r="AD180" i="1"/>
  <c r="BB674" i="1"/>
  <c r="AD422" i="1"/>
  <c r="AP84" i="1"/>
  <c r="AD697" i="1"/>
  <c r="AP743" i="1"/>
  <c r="F208" i="1"/>
  <c r="O208" i="1" s="1"/>
  <c r="AP12" i="1"/>
  <c r="BB122" i="1"/>
  <c r="F12" i="1"/>
  <c r="O12" i="1" s="1"/>
  <c r="AA12" i="1" s="1"/>
  <c r="AD295" i="1"/>
  <c r="AM295" i="1" s="1"/>
  <c r="AY295" i="1" s="1"/>
  <c r="AD196" i="1"/>
  <c r="AP742" i="1"/>
  <c r="BB242" i="1"/>
  <c r="AP125" i="1"/>
  <c r="R352" i="1"/>
  <c r="AP307" i="1"/>
  <c r="AD324" i="1"/>
  <c r="R370" i="1"/>
  <c r="AA370" i="1" s="1"/>
  <c r="AM370" i="1" s="1"/>
  <c r="AY370" i="1" s="1"/>
  <c r="BL370" i="1" s="1"/>
  <c r="R337" i="1"/>
  <c r="AA337" i="1" s="1"/>
  <c r="AM337" i="1" s="1"/>
  <c r="AY337" i="1" s="1"/>
  <c r="F38" i="1"/>
  <c r="O38" i="1" s="1"/>
  <c r="AA38" i="1" s="1"/>
  <c r="R131" i="1"/>
  <c r="BB138" i="1"/>
  <c r="AD225" i="1"/>
  <c r="R113" i="1"/>
  <c r="R314" i="1"/>
  <c r="AP839" i="1"/>
  <c r="AP115" i="1"/>
  <c r="F112" i="1"/>
  <c r="O112" i="1" s="1"/>
  <c r="AA112" i="1" s="1"/>
  <c r="F404" i="1"/>
  <c r="O404" i="1" s="1"/>
  <c r="AD88" i="1"/>
  <c r="AM88" i="1" s="1"/>
  <c r="AY88" i="1" s="1"/>
  <c r="BL88" i="1" s="1"/>
  <c r="AP66" i="1"/>
  <c r="R300" i="1"/>
  <c r="AP395" i="1"/>
  <c r="R54" i="1"/>
  <c r="AA54" i="1" s="1"/>
  <c r="F721" i="1"/>
  <c r="O721" i="1" s="1"/>
  <c r="AA721" i="1" s="1"/>
  <c r="R225" i="1"/>
  <c r="AA225" i="1" s="1"/>
  <c r="BB106" i="1"/>
  <c r="F114" i="1"/>
  <c r="O114" i="1" s="1"/>
  <c r="AA114" i="1" s="1"/>
  <c r="AM114" i="1" s="1"/>
  <c r="R208" i="1"/>
  <c r="AP746" i="1"/>
  <c r="AD132" i="1"/>
  <c r="AD380" i="1"/>
  <c r="BB413" i="1"/>
  <c r="BL413" i="1" s="1"/>
  <c r="F120" i="1"/>
  <c r="O120" i="1" s="1"/>
  <c r="AA120" i="1" s="1"/>
  <c r="AM120" i="1" s="1"/>
  <c r="AY120" i="1" s="1"/>
  <c r="AD371" i="1"/>
  <c r="AD137" i="1"/>
  <c r="AP41" i="1"/>
  <c r="BB103" i="1"/>
  <c r="AP244" i="1"/>
  <c r="R244" i="1"/>
  <c r="R16" i="1"/>
  <c r="BB273" i="1"/>
  <c r="BL273" i="1" s="1"/>
  <c r="AP140" i="1"/>
  <c r="AP918" i="1"/>
  <c r="R178" i="1"/>
  <c r="R285" i="1"/>
  <c r="AA285" i="1" s="1"/>
  <c r="AM285" i="1" s="1"/>
  <c r="AY285" i="1" s="1"/>
  <c r="BL285" i="1" s="1"/>
  <c r="F123" i="1"/>
  <c r="O123" i="1" s="1"/>
  <c r="AA123" i="1" s="1"/>
  <c r="F124" i="1"/>
  <c r="O124" i="1" s="1"/>
  <c r="F490" i="1"/>
  <c r="O490" i="1" s="1"/>
  <c r="AP381" i="1"/>
  <c r="BB76" i="1"/>
  <c r="AD76" i="1"/>
  <c r="F76" i="1"/>
  <c r="O76" i="1" s="1"/>
  <c r="R461" i="1"/>
  <c r="AA461" i="1" s="1"/>
  <c r="AM461" i="1" s="1"/>
  <c r="AY461" i="1" s="1"/>
  <c r="F178" i="1"/>
  <c r="O178" i="1" s="1"/>
  <c r="F100" i="1"/>
  <c r="O100" i="1" s="1"/>
  <c r="AA100" i="1" s="1"/>
  <c r="BB931" i="1"/>
  <c r="AD355" i="1"/>
  <c r="F23" i="1"/>
  <c r="O23" i="1" s="1"/>
  <c r="AD936" i="1"/>
  <c r="AM936" i="1" s="1"/>
  <c r="AD404" i="1"/>
  <c r="R21" i="1"/>
  <c r="R918" i="1"/>
  <c r="F535" i="1"/>
  <c r="O535" i="1" s="1"/>
  <c r="R382" i="1"/>
  <c r="F388" i="1"/>
  <c r="O388" i="1" s="1"/>
  <c r="AA388" i="1" s="1"/>
  <c r="AD953" i="1"/>
  <c r="BB85" i="1"/>
  <c r="F327" i="1"/>
  <c r="O327" i="1" s="1"/>
  <c r="AA327" i="1" s="1"/>
  <c r="AM327" i="1" s="1"/>
  <c r="BB235" i="1"/>
  <c r="AD123" i="1"/>
  <c r="R67" i="1"/>
  <c r="AA67" i="1" s="1"/>
  <c r="AM67" i="1" s="1"/>
  <c r="F286" i="1"/>
  <c r="O286" i="1" s="1"/>
  <c r="AD29" i="1"/>
  <c r="AM29" i="1" s="1"/>
  <c r="BB97" i="1"/>
  <c r="F63" i="1"/>
  <c r="O63" i="1" s="1"/>
  <c r="AA63" i="1" s="1"/>
  <c r="AM63" i="1" s="1"/>
  <c r="F40" i="1"/>
  <c r="O40" i="1" s="1"/>
  <c r="AA40" i="1" s="1"/>
  <c r="AD110" i="1"/>
  <c r="AP105" i="1"/>
  <c r="AP358" i="1"/>
  <c r="R418" i="1"/>
  <c r="BB443" i="1"/>
  <c r="AP166" i="1"/>
  <c r="R430" i="1"/>
  <c r="AA430" i="1" s="1"/>
  <c r="AM430" i="1" s="1"/>
  <c r="AY430" i="1" s="1"/>
  <c r="BL430" i="1" s="1"/>
  <c r="BB936" i="1"/>
  <c r="AD45" i="1"/>
  <c r="BB473" i="1"/>
  <c r="AP935" i="1"/>
  <c r="F86" i="1"/>
  <c r="O86" i="1" s="1"/>
  <c r="BB326" i="1"/>
  <c r="AD382" i="1"/>
  <c r="F157" i="1"/>
  <c r="O157" i="1" s="1"/>
  <c r="AA157" i="1" s="1"/>
  <c r="AM157" i="1" s="1"/>
  <c r="AP173" i="1"/>
  <c r="R284" i="1"/>
  <c r="AA284" i="1" s="1"/>
  <c r="AM284" i="1" s="1"/>
  <c r="AY284" i="1" s="1"/>
  <c r="F205" i="1"/>
  <c r="O205" i="1" s="1"/>
  <c r="AA205" i="1" s="1"/>
  <c r="BB150" i="1"/>
  <c r="F749" i="1"/>
  <c r="O749" i="1" s="1"/>
  <c r="AA749" i="1" s="1"/>
  <c r="AM749" i="1" s="1"/>
  <c r="AY749" i="1" s="1"/>
  <c r="BL749" i="1" s="1"/>
  <c r="F9" i="1"/>
  <c r="O9" i="1" s="1"/>
  <c r="AA9" i="1" s="1"/>
  <c r="BB148" i="1"/>
  <c r="R102" i="1"/>
  <c r="AA102" i="1" s="1"/>
  <c r="AM102" i="1" s="1"/>
  <c r="AY102" i="1" s="1"/>
  <c r="BL102" i="1" s="1"/>
  <c r="F392" i="1"/>
  <c r="O392" i="1" s="1"/>
  <c r="AA392" i="1" s="1"/>
  <c r="AM392" i="1" s="1"/>
  <c r="AY392" i="1" s="1"/>
  <c r="BL392" i="1" s="1"/>
  <c r="R366" i="1"/>
  <c r="AA366" i="1" s="1"/>
  <c r="AP67" i="1"/>
  <c r="AP448" i="1"/>
  <c r="BB226" i="1"/>
  <c r="AP788" i="1"/>
  <c r="AP57" i="1"/>
  <c r="BB250" i="1"/>
  <c r="R485" i="1"/>
  <c r="AP384" i="1"/>
  <c r="AD195" i="1"/>
  <c r="AP29" i="1"/>
  <c r="BB62" i="1"/>
  <c r="AP312" i="1"/>
  <c r="R58" i="1"/>
  <c r="BB295" i="1"/>
  <c r="AP394" i="1"/>
  <c r="AD258" i="1"/>
  <c r="AP245" i="1"/>
  <c r="AD128" i="1"/>
  <c r="R434" i="1"/>
  <c r="AA434" i="1" s="1"/>
  <c r="AM434" i="1" s="1"/>
  <c r="F691" i="1"/>
  <c r="O691" i="1" s="1"/>
  <c r="AA691" i="1" s="1"/>
  <c r="AM691" i="1" s="1"/>
  <c r="AY691" i="1" s="1"/>
  <c r="BL691" i="1" s="1"/>
  <c r="AD248" i="1"/>
  <c r="BB181" i="1"/>
  <c r="R365" i="1"/>
  <c r="AA365" i="1" s="1"/>
  <c r="F6" i="1"/>
  <c r="O6" i="1" s="1"/>
  <c r="BB182" i="1"/>
  <c r="BB880" i="1"/>
  <c r="F651" i="1"/>
  <c r="O651" i="1" s="1"/>
  <c r="AA651" i="1" s="1"/>
  <c r="AM651" i="1" s="1"/>
  <c r="AY651" i="1" s="1"/>
  <c r="BL651" i="1" s="1"/>
  <c r="AD713" i="1"/>
  <c r="F8" i="1"/>
  <c r="O8" i="1" s="1"/>
  <c r="AA8" i="1" s="1"/>
  <c r="AP256" i="1"/>
  <c r="AD18" i="1"/>
  <c r="AP144" i="1"/>
  <c r="AP243" i="1"/>
  <c r="BB773" i="1"/>
  <c r="AD129" i="1"/>
  <c r="AP151" i="1"/>
  <c r="AY151" i="1" s="1"/>
  <c r="AP124" i="1"/>
  <c r="R18" i="1"/>
  <c r="AA18" i="1" s="1"/>
  <c r="R375" i="1"/>
  <c r="AD561" i="1"/>
  <c r="AP599" i="1"/>
  <c r="R328" i="1"/>
  <c r="AA328" i="1" s="1"/>
  <c r="AD286" i="1"/>
  <c r="F871" i="1"/>
  <c r="O871" i="1" s="1"/>
  <c r="R839" i="1"/>
  <c r="BB394" i="1"/>
  <c r="AP129" i="1"/>
  <c r="F34" i="1"/>
  <c r="O34" i="1" s="1"/>
  <c r="AD781" i="1"/>
  <c r="AD59" i="1"/>
  <c r="AM59" i="1" s="1"/>
  <c r="AY59" i="1" s="1"/>
  <c r="BL59" i="1" s="1"/>
  <c r="AA981" i="1"/>
  <c r="AM981" i="1" s="1"/>
  <c r="AY981" i="1" s="1"/>
  <c r="AA876" i="1"/>
  <c r="AM876" i="1" s="1"/>
  <c r="AY876" i="1" s="1"/>
  <c r="BL876" i="1" s="1"/>
  <c r="AA978" i="1"/>
  <c r="AM978" i="1" s="1"/>
  <c r="AY978" i="1" s="1"/>
  <c r="BL978" i="1" s="1"/>
  <c r="AA957" i="1"/>
  <c r="AM957" i="1" s="1"/>
  <c r="AY957" i="1" s="1"/>
  <c r="BL957" i="1" s="1"/>
  <c r="AA952" i="1"/>
  <c r="AA983" i="1"/>
  <c r="AM983" i="1" s="1"/>
  <c r="AY983" i="1" s="1"/>
  <c r="BL983" i="1" s="1"/>
  <c r="AA898" i="1"/>
  <c r="AM898" i="1" s="1"/>
  <c r="AY898" i="1" s="1"/>
  <c r="AA912" i="1"/>
  <c r="AM912" i="1" s="1"/>
  <c r="AA987" i="1"/>
  <c r="AM987" i="1" s="1"/>
  <c r="AA238" i="1"/>
  <c r="AM238" i="1" s="1"/>
  <c r="AY238" i="1" s="1"/>
  <c r="BL238" i="1" s="1"/>
  <c r="AA1002" i="1"/>
  <c r="AM1002" i="1" s="1"/>
  <c r="AY1002" i="1" s="1"/>
  <c r="BL1002" i="1" s="1"/>
  <c r="AA933" i="1"/>
  <c r="AM933" i="1" s="1"/>
  <c r="AA518" i="1"/>
  <c r="AM518" i="1" s="1"/>
  <c r="AY518" i="1" s="1"/>
  <c r="BL518" i="1" s="1"/>
  <c r="AA1003" i="1"/>
  <c r="AM856" i="1"/>
  <c r="AY856" i="1" s="1"/>
  <c r="BL856" i="1" s="1"/>
  <c r="AA886" i="1"/>
  <c r="AM886" i="1" s="1"/>
  <c r="AA555" i="1"/>
  <c r="AM555" i="1" s="1"/>
  <c r="AY555" i="1" s="1"/>
  <c r="AA920" i="1"/>
  <c r="AM495" i="1"/>
  <c r="AY495" i="1" s="1"/>
  <c r="BL495" i="1" s="1"/>
  <c r="AA171" i="1"/>
  <c r="AM171" i="1" s="1"/>
  <c r="AY171" i="1" s="1"/>
  <c r="BL171" i="1" s="1"/>
  <c r="AA322" i="1"/>
  <c r="AM322" i="1" s="1"/>
  <c r="AY322" i="1" s="1"/>
  <c r="BL322" i="1" s="1"/>
  <c r="AA384" i="1"/>
  <c r="AM384" i="1" s="1"/>
  <c r="AA646" i="1"/>
  <c r="AM646" i="1" s="1"/>
  <c r="AA497" i="1"/>
  <c r="AA536" i="1"/>
  <c r="AM536" i="1" s="1"/>
  <c r="AY536" i="1" s="1"/>
  <c r="BL536" i="1" s="1"/>
  <c r="AA297" i="1"/>
  <c r="AM297" i="1" s="1"/>
  <c r="AA689" i="1"/>
  <c r="AM689" i="1" s="1"/>
  <c r="AY689" i="1" s="1"/>
  <c r="BL689" i="1" s="1"/>
  <c r="AA57" i="1"/>
  <c r="AA234" i="1"/>
  <c r="AM234" i="1" s="1"/>
  <c r="AY234" i="1" s="1"/>
  <c r="BL234" i="1" s="1"/>
  <c r="AA478" i="1"/>
  <c r="AM478" i="1" s="1"/>
  <c r="AY478" i="1" s="1"/>
  <c r="AA571" i="1"/>
  <c r="AM571" i="1" s="1"/>
  <c r="AY571" i="1" s="1"/>
  <c r="BL571" i="1" s="1"/>
  <c r="AA336" i="1"/>
  <c r="AM336" i="1" s="1"/>
  <c r="AY336" i="1" s="1"/>
  <c r="BL336" i="1" s="1"/>
  <c r="AA81" i="1"/>
  <c r="AM81" i="1" s="1"/>
  <c r="AY81" i="1" s="1"/>
  <c r="R301" i="1"/>
  <c r="BB34" i="1"/>
  <c r="BB32" i="1"/>
  <c r="AP33" i="1"/>
  <c r="F33" i="1"/>
  <c r="O33" i="1" s="1"/>
  <c r="AP32" i="1"/>
  <c r="BB781" i="1"/>
  <c r="R781" i="1"/>
  <c r="AD862" i="1"/>
  <c r="R862" i="1"/>
  <c r="AP303" i="1"/>
  <c r="AP34" i="1"/>
  <c r="AD301" i="1"/>
  <c r="BB33" i="1"/>
  <c r="AD34" i="1"/>
  <c r="AD32" i="1"/>
  <c r="R33" i="1"/>
  <c r="R55" i="1"/>
  <c r="AP55" i="1"/>
  <c r="AD167" i="1"/>
  <c r="AM167" i="1" s="1"/>
  <c r="AY167" i="1" s="1"/>
  <c r="BL167" i="1" s="1"/>
  <c r="AD408" i="1"/>
  <c r="R17" i="1"/>
  <c r="BB490" i="1"/>
  <c r="F58" i="1"/>
  <c r="O58" i="1" s="1"/>
  <c r="BB243" i="1"/>
  <c r="F453" i="1"/>
  <c r="O453" i="1" s="1"/>
  <c r="AA453" i="1" s="1"/>
  <c r="AM453" i="1" s="1"/>
  <c r="AY453" i="1" s="1"/>
  <c r="BL453" i="1" s="1"/>
  <c r="R142" i="1"/>
  <c r="BB445" i="1"/>
  <c r="AP382" i="1"/>
  <c r="F300" i="1"/>
  <c r="O300" i="1" s="1"/>
  <c r="R534" i="1"/>
  <c r="AA534" i="1" s="1"/>
  <c r="AM534" i="1" s="1"/>
  <c r="AY534" i="1" s="1"/>
  <c r="R30" i="1"/>
  <c r="AA30" i="1" s="1"/>
  <c r="AD22" i="1"/>
  <c r="AP387" i="1"/>
  <c r="AD197" i="1"/>
  <c r="AP18" i="1"/>
  <c r="AD68" i="1"/>
  <c r="R45" i="1"/>
  <c r="AA45" i="1" s="1"/>
  <c r="AP47" i="1"/>
  <c r="AD951" i="1"/>
  <c r="F80" i="1"/>
  <c r="O80" i="1" s="1"/>
  <c r="AA80" i="1" s="1"/>
  <c r="AM80" i="1" s="1"/>
  <c r="AY80" i="1" s="1"/>
  <c r="BL80" i="1" s="1"/>
  <c r="F122" i="1"/>
  <c r="O122" i="1" s="1"/>
  <c r="AA122" i="1" s="1"/>
  <c r="AM122" i="1" s="1"/>
  <c r="AY122" i="1" s="1"/>
  <c r="AD328" i="1"/>
  <c r="R871" i="1"/>
  <c r="AP871" i="1"/>
  <c r="AP525" i="1"/>
  <c r="AP65" i="1"/>
  <c r="AP163" i="1"/>
  <c r="R23" i="1"/>
  <c r="AD152" i="1"/>
  <c r="F382" i="1"/>
  <c r="O382" i="1" s="1"/>
  <c r="AP233" i="1"/>
  <c r="AP157" i="1"/>
  <c r="F352" i="1"/>
  <c r="O352" i="1" s="1"/>
  <c r="AD488" i="1"/>
  <c r="F56" i="1"/>
  <c r="O56" i="1" s="1"/>
  <c r="AA56" i="1" s="1"/>
  <c r="AM56" i="1" s="1"/>
  <c r="BB282" i="1"/>
  <c r="AD774" i="1"/>
  <c r="AD750" i="1"/>
  <c r="R276" i="1"/>
  <c r="BB698" i="1"/>
  <c r="R198" i="1"/>
  <c r="AA198" i="1" s="1"/>
  <c r="F305" i="1"/>
  <c r="O305" i="1" s="1"/>
  <c r="AA305" i="1" s="1"/>
  <c r="AM305" i="1" s="1"/>
  <c r="AY305" i="1" s="1"/>
  <c r="BL305" i="1" s="1"/>
  <c r="BB132" i="1"/>
  <c r="BB93" i="1"/>
  <c r="F250" i="1"/>
  <c r="O250" i="1" s="1"/>
  <c r="AA250" i="1" s="1"/>
  <c r="AM250" i="1" s="1"/>
  <c r="AP19" i="1"/>
  <c r="R341" i="1"/>
  <c r="AA341" i="1" s="1"/>
  <c r="AM341" i="1" s="1"/>
  <c r="AY341" i="1" s="1"/>
  <c r="AD48" i="1"/>
  <c r="AP215" i="1"/>
  <c r="AP214" i="1"/>
  <c r="R293" i="1"/>
  <c r="AA293" i="1" s="1"/>
  <c r="AM293" i="1" s="1"/>
  <c r="AY293" i="1" s="1"/>
  <c r="R353" i="1"/>
  <c r="AA353" i="1" s="1"/>
  <c r="AM353" i="1" s="1"/>
  <c r="AY353" i="1" s="1"/>
  <c r="BL353" i="1" s="1"/>
  <c r="R164" i="1"/>
  <c r="AA164" i="1" s="1"/>
  <c r="AM164" i="1" s="1"/>
  <c r="AY164" i="1" s="1"/>
  <c r="BL164" i="1" s="1"/>
  <c r="AP113" i="1"/>
  <c r="F179" i="1"/>
  <c r="O179" i="1" s="1"/>
  <c r="AA179" i="1" s="1"/>
  <c r="BB100" i="1"/>
  <c r="R36" i="1"/>
  <c r="R394" i="1"/>
  <c r="AD931" i="1"/>
  <c r="AD198" i="1"/>
  <c r="F942" i="1"/>
  <c r="O942" i="1" s="1"/>
  <c r="AA942" i="1" s="1"/>
  <c r="AM942" i="1" s="1"/>
  <c r="AY942" i="1" s="1"/>
  <c r="BL942" i="1" s="1"/>
  <c r="AP23" i="1"/>
  <c r="BB118" i="1"/>
  <c r="AP412" i="1"/>
  <c r="AA924" i="1"/>
  <c r="AA914" i="1"/>
  <c r="AM914" i="1" s="1"/>
  <c r="AY914" i="1" s="1"/>
  <c r="BL914" i="1" s="1"/>
  <c r="AA925" i="1"/>
  <c r="AM925" i="1" s="1"/>
  <c r="AY925" i="1" s="1"/>
  <c r="BL925" i="1" s="1"/>
  <c r="AA947" i="1"/>
  <c r="AM947" i="1" s="1"/>
  <c r="AY947" i="1" s="1"/>
  <c r="AA763" i="1"/>
  <c r="AA911" i="1"/>
  <c r="AM911" i="1" s="1"/>
  <c r="AY911" i="1" s="1"/>
  <c r="BL911" i="1" s="1"/>
  <c r="AA791" i="1"/>
  <c r="AA439" i="1"/>
  <c r="AM439" i="1" s="1"/>
  <c r="AY439" i="1" s="1"/>
  <c r="BL439" i="1" s="1"/>
  <c r="AA530" i="1"/>
  <c r="AM530" i="1" s="1"/>
  <c r="AY530" i="1" s="1"/>
  <c r="AA820" i="1"/>
  <c r="AM820" i="1" s="1"/>
  <c r="AY820" i="1" s="1"/>
  <c r="BB341" i="1"/>
  <c r="AD537" i="1"/>
  <c r="F557" i="1"/>
  <c r="O557" i="1" s="1"/>
  <c r="AA557" i="1" s="1"/>
  <c r="AM557" i="1" s="1"/>
  <c r="AY557" i="1" s="1"/>
  <c r="BL557" i="1" s="1"/>
  <c r="R697" i="1"/>
  <c r="AA697" i="1" s="1"/>
  <c r="BB40" i="1"/>
  <c r="BB274" i="1"/>
  <c r="AD247" i="1"/>
  <c r="AM247" i="1" s="1"/>
  <c r="AY247" i="1" s="1"/>
  <c r="BL247" i="1" s="1"/>
  <c r="F17" i="1"/>
  <c r="O17" i="1" s="1"/>
  <c r="BB55" i="1"/>
  <c r="F55" i="1"/>
  <c r="O55" i="1" s="1"/>
  <c r="BB301" i="1"/>
  <c r="F781" i="1"/>
  <c r="O781" i="1" s="1"/>
  <c r="BB862" i="1"/>
  <c r="F32" i="1"/>
  <c r="O32" i="1" s="1"/>
  <c r="AD33" i="1"/>
  <c r="R34" i="1"/>
  <c r="AP301" i="1"/>
  <c r="AD303" i="1"/>
  <c r="R32" i="1"/>
  <c r="AA891" i="1"/>
  <c r="AM891" i="1" s="1"/>
  <c r="AY891" i="1" s="1"/>
  <c r="BL891" i="1" s="1"/>
  <c r="AA961" i="1"/>
  <c r="AA637" i="1"/>
  <c r="AM637" i="1" s="1"/>
  <c r="AY637" i="1" s="1"/>
  <c r="BL637" i="1" s="1"/>
  <c r="AA977" i="1"/>
  <c r="AM977" i="1" s="1"/>
  <c r="AY977" i="1" s="1"/>
  <c r="BL977" i="1" s="1"/>
  <c r="AA790" i="1"/>
  <c r="AM790" i="1" s="1"/>
  <c r="AY790" i="1" s="1"/>
  <c r="BL790" i="1" s="1"/>
  <c r="AA542" i="1"/>
  <c r="AM542" i="1" s="1"/>
  <c r="AY542" i="1" s="1"/>
  <c r="BL542" i="1" s="1"/>
  <c r="AA921" i="1"/>
  <c r="AA180" i="1"/>
  <c r="AA623" i="1"/>
  <c r="AM623" i="1" s="1"/>
  <c r="AY623" i="1" s="1"/>
  <c r="BL623" i="1" s="1"/>
  <c r="AM663" i="1"/>
  <c r="AY663" i="1" s="1"/>
  <c r="BL663" i="1" s="1"/>
  <c r="AA774" i="1"/>
  <c r="AA64" i="1"/>
  <c r="AM64" i="1" s="1"/>
  <c r="AY64" i="1" s="1"/>
  <c r="AA281" i="1"/>
  <c r="AA971" i="1"/>
  <c r="AA929" i="1"/>
  <c r="AM929" i="1" s="1"/>
  <c r="AY929" i="1" s="1"/>
  <c r="BL929" i="1" s="1"/>
  <c r="AA970" i="1"/>
  <c r="AM970" i="1" s="1"/>
  <c r="AY970" i="1" s="1"/>
  <c r="AM560" i="1"/>
  <c r="AY560" i="1" s="1"/>
  <c r="AA655" i="1"/>
  <c r="AM655" i="1" s="1"/>
  <c r="AY655" i="1" s="1"/>
  <c r="BL655" i="1" s="1"/>
  <c r="AA631" i="1"/>
  <c r="AM631" i="1" s="1"/>
  <c r="AY631" i="1" s="1"/>
  <c r="BL631" i="1" s="1"/>
  <c r="AA492" i="1"/>
  <c r="AM492" i="1" s="1"/>
  <c r="AA450" i="1"/>
  <c r="AM450" i="1" s="1"/>
  <c r="AY450" i="1" s="1"/>
  <c r="BL450" i="1" s="1"/>
  <c r="AA995" i="1"/>
  <c r="AM995" i="1" s="1"/>
  <c r="AY995" i="1" s="1"/>
  <c r="AA639" i="1"/>
  <c r="AA695" i="1"/>
  <c r="AM695" i="1" s="1"/>
  <c r="AY695" i="1" s="1"/>
  <c r="BL695" i="1" s="1"/>
  <c r="AA694" i="1"/>
  <c r="AM694" i="1" s="1"/>
  <c r="AA340" i="1"/>
  <c r="AA531" i="1"/>
  <c r="AM531" i="1" s="1"/>
  <c r="AY531" i="1" s="1"/>
  <c r="BL531" i="1" s="1"/>
  <c r="AA211" i="1"/>
  <c r="AA254" i="1"/>
  <c r="AA964" i="1"/>
  <c r="AM964" i="1" s="1"/>
  <c r="AA994" i="1"/>
  <c r="AM994" i="1" s="1"/>
  <c r="AY994" i="1" s="1"/>
  <c r="BL994" i="1" s="1"/>
  <c r="AA945" i="1"/>
  <c r="AA568" i="1"/>
  <c r="AM568" i="1" s="1"/>
  <c r="AY568" i="1" s="1"/>
  <c r="BL568" i="1" s="1"/>
  <c r="AM470" i="1"/>
  <c r="AY470" i="1" s="1"/>
  <c r="BL470" i="1" s="1"/>
  <c r="AA959" i="1"/>
  <c r="AA915" i="1"/>
  <c r="AA974" i="1"/>
  <c r="AA949" i="1"/>
  <c r="AM949" i="1" s="1"/>
  <c r="AY949" i="1" s="1"/>
  <c r="BL949" i="1" s="1"/>
  <c r="AA980" i="1"/>
  <c r="AA750" i="1"/>
  <c r="AA966" i="1"/>
  <c r="AA910" i="1"/>
  <c r="AM910" i="1" s="1"/>
  <c r="AA621" i="1"/>
  <c r="AM621" i="1" s="1"/>
  <c r="AY621" i="1" s="1"/>
  <c r="BL621" i="1" s="1"/>
  <c r="AA746" i="1"/>
  <c r="AM746" i="1" s="1"/>
  <c r="AM633" i="1"/>
  <c r="AY633" i="1" s="1"/>
  <c r="BL633" i="1" s="1"/>
  <c r="AA373" i="1"/>
  <c r="AM373" i="1" s="1"/>
  <c r="AY373" i="1" s="1"/>
  <c r="BL373" i="1" s="1"/>
  <c r="AA702" i="1"/>
  <c r="AM702" i="1" s="1"/>
  <c r="AY702" i="1" s="1"/>
  <c r="BL702" i="1" s="1"/>
  <c r="AA514" i="1"/>
  <c r="AM514" i="1" s="1"/>
  <c r="AY514" i="1" s="1"/>
  <c r="AA432" i="1"/>
  <c r="AM432" i="1" s="1"/>
  <c r="AY432" i="1" s="1"/>
  <c r="BL432" i="1" s="1"/>
  <c r="AA765" i="1"/>
  <c r="AM765" i="1" s="1"/>
  <c r="AY765" i="1" s="1"/>
  <c r="BL765" i="1" s="1"/>
  <c r="AA742" i="1"/>
  <c r="AM742" i="1" s="1"/>
  <c r="AA1004" i="1"/>
  <c r="AM1004" i="1" s="1"/>
  <c r="AY1004" i="1" s="1"/>
  <c r="AA412" i="1"/>
  <c r="AM412" i="1" s="1"/>
  <c r="AA224" i="1"/>
  <c r="AM224" i="1" s="1"/>
  <c r="AA976" i="1"/>
  <c r="AA442" i="1"/>
  <c r="AA612" i="1"/>
  <c r="AM612" i="1" s="1"/>
  <c r="AY612" i="1" s="1"/>
  <c r="BL612" i="1" s="1"/>
  <c r="AA377" i="1"/>
  <c r="AA95" i="1"/>
  <c r="AA161" i="1"/>
  <c r="AM161" i="1" s="1"/>
  <c r="AY161" i="1" s="1"/>
  <c r="BL161" i="1" s="1"/>
  <c r="AA233" i="1"/>
  <c r="AM233" i="1" s="1"/>
  <c r="AA160" i="1"/>
  <c r="AM160" i="1" s="1"/>
  <c r="AY160" i="1" s="1"/>
  <c r="BL160" i="1" s="1"/>
  <c r="AA87" i="1"/>
  <c r="AA191" i="1"/>
  <c r="AM191" i="1" s="1"/>
  <c r="AY191" i="1" s="1"/>
  <c r="BL191" i="1" s="1"/>
  <c r="AA997" i="1"/>
  <c r="AM997" i="1" s="1"/>
  <c r="AA155" i="1"/>
  <c r="AM155" i="1" s="1"/>
  <c r="AY155" i="1" s="1"/>
  <c r="BL155" i="1" s="1"/>
  <c r="AM399" i="1"/>
  <c r="AY399" i="1" s="1"/>
  <c r="BL399" i="1" s="1"/>
  <c r="AA782" i="1"/>
  <c r="AM782" i="1" s="1"/>
  <c r="AY782" i="1" s="1"/>
  <c r="BL782" i="1" s="1"/>
  <c r="AA261" i="1"/>
  <c r="AM261" i="1" s="1"/>
  <c r="AM868" i="1"/>
  <c r="AY868" i="1" s="1"/>
  <c r="BL868" i="1" s="1"/>
  <c r="AM699" i="1"/>
  <c r="AY699" i="1" s="1"/>
  <c r="BL699" i="1" s="1"/>
  <c r="AA236" i="1"/>
  <c r="AM236" i="1" s="1"/>
  <c r="AY236" i="1" s="1"/>
  <c r="BL236" i="1" s="1"/>
  <c r="AA251" i="1"/>
  <c r="AM251" i="1" s="1"/>
  <c r="AY251" i="1" s="1"/>
  <c r="BL251" i="1" s="1"/>
  <c r="AA387" i="1"/>
  <c r="AM387" i="1" s="1"/>
  <c r="AM181" i="1"/>
  <c r="AM169" i="1"/>
  <c r="AY169" i="1" s="1"/>
  <c r="BL169" i="1" s="1"/>
  <c r="AA193" i="1"/>
  <c r="AM193" i="1" s="1"/>
  <c r="AY193" i="1" s="1"/>
  <c r="BL193" i="1" s="1"/>
  <c r="AA840" i="1"/>
  <c r="AA829" i="1"/>
  <c r="AA280" i="1"/>
  <c r="AM206" i="1"/>
  <c r="AM628" i="1"/>
  <c r="AY628" i="1" s="1"/>
  <c r="BL628" i="1" s="1"/>
  <c r="AA526" i="1"/>
  <c r="AM526" i="1" s="1"/>
  <c r="AY526" i="1" s="1"/>
  <c r="BL526" i="1" s="1"/>
  <c r="AA859" i="1"/>
  <c r="AM859" i="1" s="1"/>
  <c r="AY859" i="1" s="1"/>
  <c r="BL859" i="1" s="1"/>
  <c r="AM264" i="1"/>
  <c r="AY264" i="1" s="1"/>
  <c r="BL264" i="1" s="1"/>
  <c r="AA562" i="1"/>
  <c r="AM562" i="1" s="1"/>
  <c r="AY562" i="1" s="1"/>
  <c r="BL562" i="1" s="1"/>
  <c r="AM896" i="1"/>
  <c r="AY896" i="1" s="1"/>
  <c r="BL896" i="1" s="1"/>
  <c r="AA559" i="1"/>
  <c r="AM559" i="1" s="1"/>
  <c r="AA50" i="1"/>
  <c r="BL551" i="1"/>
  <c r="AA567" i="1"/>
  <c r="AM567" i="1" s="1"/>
  <c r="AY567" i="1" s="1"/>
  <c r="BL567" i="1" s="1"/>
  <c r="AA881" i="1"/>
  <c r="AM881" i="1" s="1"/>
  <c r="AY881" i="1" s="1"/>
  <c r="BL881" i="1" s="1"/>
  <c r="AA194" i="1"/>
  <c r="AM194" i="1" s="1"/>
  <c r="AY194" i="1" s="1"/>
  <c r="BL194" i="1" s="1"/>
  <c r="AA635" i="1"/>
  <c r="AM635" i="1" s="1"/>
  <c r="AY635" i="1" s="1"/>
  <c r="BL635" i="1" s="1"/>
  <c r="AA371" i="1"/>
  <c r="AM654" i="1"/>
  <c r="AY654" i="1" s="1"/>
  <c r="BL654" i="1" s="1"/>
  <c r="AM851" i="1"/>
  <c r="AY851" i="1" s="1"/>
  <c r="AA854" i="1"/>
  <c r="AM854" i="1" s="1"/>
  <c r="AY854" i="1" s="1"/>
  <c r="BL854" i="1" s="1"/>
  <c r="AA37" i="1"/>
  <c r="AM60" i="1"/>
  <c r="AY60" i="1" s="1"/>
  <c r="BL60" i="1" s="1"/>
  <c r="AA170" i="1"/>
  <c r="AM170" i="1" s="1"/>
  <c r="AY411" i="1"/>
  <c r="BL411" i="1" s="1"/>
  <c r="AA139" i="1"/>
  <c r="AM139" i="1" s="1"/>
  <c r="AY139" i="1" s="1"/>
  <c r="BL139" i="1" s="1"/>
  <c r="AA714" i="1"/>
  <c r="AM714" i="1" s="1"/>
  <c r="AY714" i="1" s="1"/>
  <c r="BL714" i="1" s="1"/>
  <c r="BL798" i="1"/>
  <c r="AM728" i="1"/>
  <c r="AY728" i="1" s="1"/>
  <c r="BL728" i="1" s="1"/>
  <c r="AA864" i="1"/>
  <c r="AM864" i="1" s="1"/>
  <c r="AY864" i="1" s="1"/>
  <c r="AM499" i="1"/>
  <c r="AY499" i="1" s="1"/>
  <c r="BL499" i="1" s="1"/>
  <c r="AA658" i="1"/>
  <c r="AM658" i="1" s="1"/>
  <c r="AY658" i="1" s="1"/>
  <c r="AA553" i="1"/>
  <c r="AM553" i="1" s="1"/>
  <c r="AY553" i="1" s="1"/>
  <c r="AA680" i="1"/>
  <c r="AM680" i="1" s="1"/>
  <c r="AY680" i="1" s="1"/>
  <c r="BL680" i="1" s="1"/>
  <c r="AM356" i="1"/>
  <c r="AY356" i="1" s="1"/>
  <c r="BL356" i="1" s="1"/>
  <c r="AA686" i="1"/>
  <c r="AM686" i="1" s="1"/>
  <c r="AA415" i="1"/>
  <c r="AM415" i="1" s="1"/>
  <c r="AY415" i="1" s="1"/>
  <c r="BL415" i="1" s="1"/>
  <c r="AA825" i="1"/>
  <c r="AM825" i="1" s="1"/>
  <c r="AY825" i="1" s="1"/>
  <c r="BL825" i="1" s="1"/>
  <c r="AA665" i="1"/>
  <c r="AM665" i="1" s="1"/>
  <c r="AY665" i="1" s="1"/>
  <c r="BL665" i="1" s="1"/>
  <c r="AA414" i="1"/>
  <c r="AM414" i="1" s="1"/>
  <c r="AY414" i="1" s="1"/>
  <c r="BL414" i="1" s="1"/>
  <c r="AA605" i="1"/>
  <c r="AA259" i="1"/>
  <c r="AM259" i="1" s="1"/>
  <c r="AY259" i="1" s="1"/>
  <c r="AM158" i="1"/>
  <c r="AY158" i="1" s="1"/>
  <c r="BL158" i="1" s="1"/>
  <c r="AM333" i="1"/>
  <c r="AY333" i="1" s="1"/>
  <c r="BL333" i="1" s="1"/>
  <c r="AA982" i="1"/>
  <c r="AM982" i="1" s="1"/>
  <c r="AA509" i="1"/>
  <c r="AM509" i="1" s="1"/>
  <c r="AY509" i="1" s="1"/>
  <c r="BL509" i="1" s="1"/>
  <c r="AA764" i="1"/>
  <c r="AA255" i="1"/>
  <c r="AM255" i="1" s="1"/>
  <c r="AY255" i="1" s="1"/>
  <c r="BL255" i="1" s="1"/>
  <c r="AM96" i="1"/>
  <c r="AY96" i="1" s="1"/>
  <c r="AA93" i="1"/>
  <c r="AM93" i="1" s="1"/>
  <c r="AY93" i="1" s="1"/>
  <c r="AY747" i="1"/>
  <c r="BL747" i="1" s="1"/>
  <c r="AA806" i="1"/>
  <c r="AM806" i="1" s="1"/>
  <c r="AY806" i="1" s="1"/>
  <c r="BL806" i="1" s="1"/>
  <c r="AA795" i="1"/>
  <c r="AA148" i="1"/>
  <c r="AM148" i="1" s="1"/>
  <c r="AY148" i="1" s="1"/>
  <c r="AA28" i="1"/>
  <c r="AY290" i="1"/>
  <c r="BL290" i="1" s="1"/>
  <c r="AM79" i="1"/>
  <c r="AY79" i="1" s="1"/>
  <c r="BL79" i="1" s="1"/>
  <c r="AA355" i="1"/>
  <c r="AA77" i="1"/>
  <c r="AA885" i="1"/>
  <c r="AM885" i="1" s="1"/>
  <c r="AA958" i="1"/>
  <c r="AM958" i="1" s="1"/>
  <c r="AY958" i="1" s="1"/>
  <c r="AM349" i="1"/>
  <c r="AY349" i="1" s="1"/>
  <c r="BL349" i="1" s="1"/>
  <c r="AA836" i="1"/>
  <c r="AM836" i="1" s="1"/>
  <c r="AY836" i="1" s="1"/>
  <c r="BL836" i="1" s="1"/>
  <c r="AA882" i="1"/>
  <c r="AM882" i="1" s="1"/>
  <c r="AY882" i="1" s="1"/>
  <c r="BL882" i="1" s="1"/>
  <c r="AA690" i="1"/>
  <c r="AM690" i="1" s="1"/>
  <c r="AY690" i="1" s="1"/>
  <c r="BL690" i="1" s="1"/>
  <c r="AA615" i="1"/>
  <c r="AM615" i="1" s="1"/>
  <c r="AY615" i="1" s="1"/>
  <c r="BL615" i="1" s="1"/>
  <c r="AA549" i="1"/>
  <c r="AM549" i="1" s="1"/>
  <c r="AA97" i="1"/>
  <c r="AM97" i="1" s="1"/>
  <c r="AY97" i="1" s="1"/>
  <c r="AA611" i="1"/>
  <c r="AM611" i="1" s="1"/>
  <c r="AY611" i="1" s="1"/>
  <c r="BL611" i="1" s="1"/>
  <c r="AM383" i="1"/>
  <c r="AA853" i="1"/>
  <c r="AM853" i="1" s="1"/>
  <c r="AY853" i="1" s="1"/>
  <c r="BL853" i="1" s="1"/>
  <c r="AM263" i="1"/>
  <c r="AY263" i="1" s="1"/>
  <c r="BL263" i="1" s="1"/>
  <c r="AM783" i="1"/>
  <c r="AY783" i="1" s="1"/>
  <c r="BL783" i="1" s="1"/>
  <c r="AM837" i="1"/>
  <c r="AY837" i="1" s="1"/>
  <c r="AA826" i="1"/>
  <c r="AM826" i="1" s="1"/>
  <c r="AY826" i="1" s="1"/>
  <c r="BL826" i="1" s="1"/>
  <c r="AA666" i="1"/>
  <c r="AM666" i="1" s="1"/>
  <c r="AY666" i="1" s="1"/>
  <c r="BL666" i="1" s="1"/>
  <c r="AA821" i="1"/>
  <c r="AA847" i="1"/>
  <c r="AM847" i="1" s="1"/>
  <c r="AY847" i="1" s="1"/>
  <c r="BL847" i="1" s="1"/>
  <c r="AA874" i="1"/>
  <c r="AA745" i="1"/>
  <c r="AM745" i="1" s="1"/>
  <c r="AY745" i="1" s="1"/>
  <c r="BL745" i="1" s="1"/>
  <c r="AM830" i="1"/>
  <c r="AY830" i="1" s="1"/>
  <c r="BL830" i="1" s="1"/>
  <c r="AA828" i="1"/>
  <c r="AM828" i="1" s="1"/>
  <c r="AY828" i="1" s="1"/>
  <c r="BL828" i="1" s="1"/>
  <c r="AA817" i="1"/>
  <c r="AA812" i="1"/>
  <c r="AM812" i="1" s="1"/>
  <c r="AY812" i="1" s="1"/>
  <c r="BL812" i="1" s="1"/>
  <c r="AA780" i="1"/>
  <c r="AM780" i="1" s="1"/>
  <c r="AA848" i="1"/>
  <c r="AM848" i="1" s="1"/>
  <c r="AY848" i="1" s="1"/>
  <c r="BL848" i="1" s="1"/>
  <c r="AM887" i="1"/>
  <c r="AY887" i="1" s="1"/>
  <c r="AA684" i="1"/>
  <c r="AM684" i="1" s="1"/>
  <c r="AY684" i="1" s="1"/>
  <c r="BL684" i="1" s="1"/>
  <c r="AA801" i="1"/>
  <c r="AM801" i="1" s="1"/>
  <c r="AA668" i="1"/>
  <c r="AM668" i="1" s="1"/>
  <c r="AY668" i="1" s="1"/>
  <c r="AA756" i="1"/>
  <c r="AA650" i="1"/>
  <c r="AM650" i="1" s="1"/>
  <c r="AY650" i="1" s="1"/>
  <c r="BL650" i="1" s="1"/>
  <c r="AA489" i="1"/>
  <c r="AM489" i="1" s="1"/>
  <c r="AY489" i="1" s="1"/>
  <c r="BL489" i="1" s="1"/>
  <c r="AA809" i="1"/>
  <c r="AM809" i="1" s="1"/>
  <c r="AY809" i="1" s="1"/>
  <c r="AA657" i="1"/>
  <c r="AM657" i="1" s="1"/>
  <c r="AY657" i="1" s="1"/>
  <c r="BL657" i="1" s="1"/>
  <c r="AA740" i="1"/>
  <c r="AM740" i="1" s="1"/>
  <c r="AY740" i="1" s="1"/>
  <c r="AA712" i="1"/>
  <c r="AM712" i="1" s="1"/>
  <c r="AA652" i="1"/>
  <c r="AM652" i="1" s="1"/>
  <c r="AY652" i="1" s="1"/>
  <c r="BL652" i="1" s="1"/>
  <c r="AA667" i="1"/>
  <c r="AM667" i="1" s="1"/>
  <c r="AY667" i="1" s="1"/>
  <c r="BL667" i="1" s="1"/>
  <c r="AA760" i="1"/>
  <c r="AM760" i="1" s="1"/>
  <c r="AY760" i="1" s="1"/>
  <c r="BL760" i="1" s="1"/>
  <c r="AA739" i="1"/>
  <c r="AM739" i="1" s="1"/>
  <c r="AY739" i="1" s="1"/>
  <c r="BL739" i="1" s="1"/>
  <c r="AM213" i="1"/>
  <c r="AA751" i="1"/>
  <c r="AM751" i="1" s="1"/>
  <c r="AY751" i="1" s="1"/>
  <c r="AA939" i="1"/>
  <c r="AM939" i="1" s="1"/>
  <c r="AA857" i="1"/>
  <c r="AM857" i="1" s="1"/>
  <c r="AY857" i="1" s="1"/>
  <c r="BL857" i="1" s="1"/>
  <c r="AM701" i="1"/>
  <c r="AY701" i="1" s="1"/>
  <c r="BL701" i="1" s="1"/>
  <c r="AA865" i="1"/>
  <c r="AM865" i="1" s="1"/>
  <c r="AY865" i="1" s="1"/>
  <c r="BL865" i="1" s="1"/>
  <c r="AA707" i="1"/>
  <c r="AM707" i="1" s="1"/>
  <c r="AY707" i="1" s="1"/>
  <c r="AA883" i="1"/>
  <c r="AM883" i="1" s="1"/>
  <c r="AY883" i="1" s="1"/>
  <c r="BL883" i="1" s="1"/>
  <c r="AA934" i="1"/>
  <c r="AM934" i="1" s="1"/>
  <c r="AM405" i="1"/>
  <c r="AA216" i="1"/>
  <c r="AM216" i="1" s="1"/>
  <c r="AY216" i="1" s="1"/>
  <c r="BL216" i="1" s="1"/>
  <c r="AM858" i="1"/>
  <c r="AY858" i="1" s="1"/>
  <c r="BL858" i="1" s="1"/>
  <c r="AA838" i="1"/>
  <c r="AM838" i="1" s="1"/>
  <c r="AY838" i="1" s="1"/>
  <c r="BL838" i="1" s="1"/>
  <c r="AA494" i="1"/>
  <c r="AM494" i="1" s="1"/>
  <c r="AY494" i="1" s="1"/>
  <c r="BL494" i="1" s="1"/>
  <c r="AA502" i="1"/>
  <c r="AM502" i="1" s="1"/>
  <c r="AY502" i="1" s="1"/>
  <c r="BL502" i="1" s="1"/>
  <c r="AA456" i="1"/>
  <c r="AM456" i="1" s="1"/>
  <c r="AY456" i="1" s="1"/>
  <c r="AA476" i="1"/>
  <c r="AM476" i="1" s="1"/>
  <c r="AY476" i="1" s="1"/>
  <c r="BL476" i="1" s="1"/>
  <c r="AA545" i="1"/>
  <c r="AM545" i="1" s="1"/>
  <c r="AY545" i="1" s="1"/>
  <c r="BL545" i="1" s="1"/>
  <c r="AA696" i="1"/>
  <c r="AM696" i="1" s="1"/>
  <c r="AY696" i="1" s="1"/>
  <c r="BL696" i="1" s="1"/>
  <c r="AA944" i="1"/>
  <c r="AM944" i="1" s="1"/>
  <c r="AY944" i="1" s="1"/>
  <c r="AA543" i="1"/>
  <c r="AM543" i="1" s="1"/>
  <c r="AY543" i="1" s="1"/>
  <c r="BL543" i="1" s="1"/>
  <c r="AA940" i="1"/>
  <c r="AM940" i="1" s="1"/>
  <c r="AY940" i="1" s="1"/>
  <c r="BL940" i="1" s="1"/>
  <c r="BL462" i="1"/>
  <c r="AM845" i="1"/>
  <c r="AY845" i="1" s="1"/>
  <c r="BL845" i="1" s="1"/>
  <c r="AA999" i="1"/>
  <c r="AA350" i="1"/>
  <c r="AM350" i="1" s="1"/>
  <c r="AY350" i="1" s="1"/>
  <c r="BL350" i="1" s="1"/>
  <c r="AA511" i="1"/>
  <c r="AM511" i="1" s="1"/>
  <c r="AY511" i="1" s="1"/>
  <c r="BL511" i="1" s="1"/>
  <c r="AA517" i="1"/>
  <c r="AM517" i="1" s="1"/>
  <c r="AY517" i="1" s="1"/>
  <c r="BL517" i="1" s="1"/>
  <c r="AA110" i="1"/>
  <c r="AA909" i="1"/>
  <c r="AM909" i="1" s="1"/>
  <c r="AY909" i="1" s="1"/>
  <c r="BL909" i="1" s="1"/>
  <c r="AA984" i="1"/>
  <c r="AM984" i="1" s="1"/>
  <c r="AY984" i="1" s="1"/>
  <c r="BL984" i="1" s="1"/>
  <c r="AA833" i="1"/>
  <c r="AA282" i="1"/>
  <c r="AM282" i="1" s="1"/>
  <c r="AY282" i="1" s="1"/>
  <c r="AA417" i="1"/>
  <c r="AM417" i="1" s="1"/>
  <c r="AY417" i="1" s="1"/>
  <c r="BL417" i="1" s="1"/>
  <c r="AM521" i="1"/>
  <c r="AY521" i="1" s="1"/>
  <c r="BL521" i="1" s="1"/>
  <c r="AA501" i="1"/>
  <c r="AM501" i="1" s="1"/>
  <c r="AY501" i="1" s="1"/>
  <c r="BL501" i="1" s="1"/>
  <c r="AA804" i="1"/>
  <c r="AA532" i="1"/>
  <c r="AM532" i="1" s="1"/>
  <c r="AY532" i="1" s="1"/>
  <c r="BL532" i="1" s="1"/>
  <c r="AA604" i="1"/>
  <c r="AM604" i="1" s="1"/>
  <c r="AY604" i="1" s="1"/>
  <c r="BL604" i="1" s="1"/>
  <c r="AA855" i="1"/>
  <c r="AM855" i="1" s="1"/>
  <c r="AA449" i="1"/>
  <c r="AM449" i="1" s="1"/>
  <c r="AA541" i="1"/>
  <c r="AM541" i="1" s="1"/>
  <c r="AY541" i="1" s="1"/>
  <c r="AA614" i="1"/>
  <c r="AM614" i="1" s="1"/>
  <c r="AY614" i="1" s="1"/>
  <c r="BL614" i="1" s="1"/>
  <c r="AA816" i="1"/>
  <c r="AA89" i="1"/>
  <c r="AM89" i="1" s="1"/>
  <c r="AA682" i="1"/>
  <c r="AA94" i="1"/>
  <c r="AM94" i="1" s="1"/>
  <c r="AY94" i="1" s="1"/>
  <c r="BL94" i="1" s="1"/>
  <c r="AA648" i="1"/>
  <c r="AM648" i="1" s="1"/>
  <c r="AY648" i="1" s="1"/>
  <c r="BL648" i="1" s="1"/>
  <c r="AA620" i="1"/>
  <c r="AM620" i="1" s="1"/>
  <c r="AY620" i="1" s="1"/>
  <c r="AA409" i="1"/>
  <c r="AM409" i="1" s="1"/>
  <c r="AY409" i="1" s="1"/>
  <c r="BL409" i="1" s="1"/>
  <c r="AA270" i="1"/>
  <c r="AM270" i="1" s="1"/>
  <c r="AY270" i="1" s="1"/>
  <c r="AY427" i="1"/>
  <c r="BL427" i="1" s="1"/>
  <c r="AM540" i="1"/>
  <c r="AY540" i="1" s="1"/>
  <c r="AM183" i="1"/>
  <c r="AY183" i="1" s="1"/>
  <c r="BL183" i="1" s="1"/>
  <c r="AM294" i="1"/>
  <c r="AY294" i="1" s="1"/>
  <c r="BL294" i="1" s="1"/>
  <c r="AA127" i="1"/>
  <c r="AM127" i="1" s="1"/>
  <c r="AA90" i="1"/>
  <c r="AM90" i="1" s="1"/>
  <c r="AY90" i="1" s="1"/>
  <c r="BL90" i="1" s="1"/>
  <c r="AA397" i="1"/>
  <c r="AM397" i="1" s="1"/>
  <c r="AY397" i="1" s="1"/>
  <c r="BL397" i="1" s="1"/>
  <c r="AA447" i="1"/>
  <c r="AM447" i="1" s="1"/>
  <c r="AY447" i="1" s="1"/>
  <c r="BL447" i="1" s="1"/>
  <c r="AA444" i="1"/>
  <c r="AM444" i="1" s="1"/>
  <c r="AY444" i="1" s="1"/>
  <c r="BL444" i="1" s="1"/>
  <c r="AA186" i="1"/>
  <c r="AM186" i="1" s="1"/>
  <c r="AY186" i="1" s="1"/>
  <c r="BL186" i="1" s="1"/>
  <c r="AA523" i="1"/>
  <c r="AA522" i="1"/>
  <c r="AM522" i="1" s="1"/>
  <c r="AY522" i="1" s="1"/>
  <c r="AA617" i="1"/>
  <c r="AM617" i="1" s="1"/>
  <c r="AY617" i="1" s="1"/>
  <c r="BL617" i="1" s="1"/>
  <c r="AA145" i="1"/>
  <c r="AM145" i="1" s="1"/>
  <c r="AA189" i="1"/>
  <c r="AM189" i="1" s="1"/>
  <c r="AY189" i="1" s="1"/>
  <c r="AA201" i="1"/>
  <c r="AM201" i="1" s="1"/>
  <c r="AY201" i="1" s="1"/>
  <c r="BL201" i="1" s="1"/>
  <c r="AA99" i="1"/>
  <c r="AA311" i="1"/>
  <c r="AM311" i="1" s="1"/>
  <c r="AY311" i="1" s="1"/>
  <c r="BL311" i="1" s="1"/>
  <c r="AA844" i="1"/>
  <c r="AM844" i="1" s="1"/>
  <c r="AY844" i="1" s="1"/>
  <c r="BL844" i="1" s="1"/>
  <c r="AA7" i="1"/>
  <c r="AA43" i="1"/>
  <c r="AA202" i="1"/>
  <c r="AM202" i="1" s="1"/>
  <c r="AY202" i="1" s="1"/>
  <c r="BL202" i="1" s="1"/>
  <c r="AA173" i="1"/>
  <c r="AM173" i="1" s="1"/>
  <c r="AA302" i="1"/>
  <c r="AM367" i="1"/>
  <c r="AY367" i="1" s="1"/>
  <c r="AA634" i="1"/>
  <c r="AM634" i="1" s="1"/>
  <c r="AY634" i="1" s="1"/>
  <c r="BL634" i="1" s="1"/>
  <c r="AA528" i="1"/>
  <c r="AM528" i="1" s="1"/>
  <c r="AA758" i="1"/>
  <c r="AM758" i="1" s="1"/>
  <c r="AY758" i="1" s="1"/>
  <c r="BL758" i="1" s="1"/>
  <c r="AA318" i="1"/>
  <c r="AM318" i="1" s="1"/>
  <c r="AY318" i="1" s="1"/>
  <c r="BL318" i="1" s="1"/>
  <c r="AA150" i="1"/>
  <c r="AM150" i="1" s="1"/>
  <c r="AY150" i="1" s="1"/>
  <c r="AA117" i="1"/>
  <c r="AM117" i="1" s="1"/>
  <c r="AA184" i="1"/>
  <c r="AM184" i="1" s="1"/>
  <c r="AY184" i="1" s="1"/>
  <c r="BL184" i="1" s="1"/>
  <c r="AA260" i="1"/>
  <c r="AM260" i="1" s="1"/>
  <c r="AA737" i="1"/>
  <c r="AM737" i="1" s="1"/>
  <c r="AY737" i="1" s="1"/>
  <c r="BL737" i="1" s="1"/>
  <c r="AA154" i="1"/>
  <c r="AA733" i="1"/>
  <c r="AM733" i="1" s="1"/>
  <c r="AA20" i="1"/>
  <c r="AA376" i="1"/>
  <c r="AM376" i="1" s="1"/>
  <c r="AY376" i="1" s="1"/>
  <c r="BL376" i="1" s="1"/>
  <c r="AA552" i="1"/>
  <c r="AM552" i="1" s="1"/>
  <c r="AY552" i="1" s="1"/>
  <c r="AA357" i="1"/>
  <c r="AM357" i="1" s="1"/>
  <c r="AY357" i="1" s="1"/>
  <c r="BL357" i="1" s="1"/>
  <c r="AM235" i="1"/>
  <c r="AY235" i="1" s="1"/>
  <c r="AA348" i="1"/>
  <c r="AM348" i="1" s="1"/>
  <c r="AY348" i="1" s="1"/>
  <c r="AA221" i="1"/>
  <c r="AM221" i="1" s="1"/>
  <c r="AA488" i="1"/>
  <c r="AA420" i="1"/>
  <c r="AM420" i="1" s="1"/>
  <c r="AY420" i="1" s="1"/>
  <c r="AA455" i="1"/>
  <c r="AM455" i="1" s="1"/>
  <c r="AY455" i="1" s="1"/>
  <c r="BL455" i="1" s="1"/>
  <c r="AA803" i="1"/>
  <c r="AA428" i="1"/>
  <c r="AA477" i="1"/>
  <c r="AM477" i="1" s="1"/>
  <c r="AY477" i="1" s="1"/>
  <c r="BL477" i="1" s="1"/>
  <c r="AA572" i="1"/>
  <c r="AM572" i="1" s="1"/>
  <c r="AY572" i="1" s="1"/>
  <c r="BL572" i="1" s="1"/>
  <c r="AA177" i="1"/>
  <c r="AA467" i="1"/>
  <c r="AM467" i="1" s="1"/>
  <c r="AY467" i="1" s="1"/>
  <c r="BL467" i="1" s="1"/>
  <c r="AA246" i="1"/>
  <c r="AM246" i="1" s="1"/>
  <c r="AY246" i="1" s="1"/>
  <c r="BL246" i="1" s="1"/>
  <c r="AA491" i="1"/>
  <c r="AM491" i="1" s="1"/>
  <c r="AY491" i="1" s="1"/>
  <c r="BL491" i="1" s="1"/>
  <c r="AA516" i="1"/>
  <c r="AA330" i="1"/>
  <c r="AM330" i="1" s="1"/>
  <c r="AA644" i="1"/>
  <c r="AM644" i="1" s="1"/>
  <c r="AY644" i="1" s="1"/>
  <c r="BL644" i="1" s="1"/>
  <c r="AA253" i="1"/>
  <c r="AM253" i="1" s="1"/>
  <c r="AY253" i="1" s="1"/>
  <c r="BL253" i="1" s="1"/>
  <c r="AA62" i="1"/>
  <c r="AA360" i="1"/>
  <c r="AM360" i="1" s="1"/>
  <c r="AY360" i="1" s="1"/>
  <c r="BL360" i="1" s="1"/>
  <c r="AA385" i="1"/>
  <c r="AM385" i="1" s="1"/>
  <c r="AY385" i="1" s="1"/>
  <c r="BL385" i="1" s="1"/>
  <c r="AA46" i="1"/>
  <c r="AA163" i="1"/>
  <c r="AA283" i="1"/>
  <c r="AA347" i="1"/>
  <c r="AM347" i="1" s="1"/>
  <c r="AY347" i="1" s="1"/>
  <c r="BL347" i="1" s="1"/>
  <c r="AA873" i="1"/>
  <c r="AM873" i="1" s="1"/>
  <c r="AY873" i="1" s="1"/>
  <c r="BL873" i="1" s="1"/>
  <c r="AA218" i="1"/>
  <c r="AM218" i="1" s="1"/>
  <c r="AY218" i="1" s="1"/>
  <c r="BL218" i="1" s="1"/>
  <c r="AA185" i="1"/>
  <c r="AM185" i="1" s="1"/>
  <c r="AY185" i="1" s="1"/>
  <c r="AA175" i="1"/>
  <c r="AM175" i="1" s="1"/>
  <c r="AY175" i="1" s="1"/>
  <c r="BL175" i="1" s="1"/>
  <c r="AA671" i="1"/>
  <c r="AM671" i="1" s="1"/>
  <c r="AY671" i="1" s="1"/>
  <c r="BL671" i="1" s="1"/>
  <c r="AA321" i="1"/>
  <c r="AM321" i="1" s="1"/>
  <c r="AY321" i="1" s="1"/>
  <c r="BL321" i="1" s="1"/>
  <c r="AA706" i="1"/>
  <c r="AM706" i="1" s="1"/>
  <c r="AY706" i="1" s="1"/>
  <c r="BL706" i="1" s="1"/>
  <c r="AA312" i="1"/>
  <c r="AM312" i="1" s="1"/>
  <c r="AA904" i="1"/>
  <c r="AM904" i="1" s="1"/>
  <c r="AY904" i="1" s="1"/>
  <c r="BL904" i="1" s="1"/>
  <c r="AA222" i="1"/>
  <c r="AM222" i="1" s="1"/>
  <c r="AY222" i="1" s="1"/>
  <c r="AA424" i="1"/>
  <c r="AM424" i="1" s="1"/>
  <c r="AY424" i="1" s="1"/>
  <c r="BL424" i="1" s="1"/>
  <c r="AA438" i="1"/>
  <c r="AM438" i="1" s="1"/>
  <c r="AY438" i="1" s="1"/>
  <c r="BL438" i="1" s="1"/>
  <c r="AA754" i="1"/>
  <c r="AM754" i="1" s="1"/>
  <c r="AA481" i="1"/>
  <c r="AM481" i="1" s="1"/>
  <c r="AY481" i="1" s="1"/>
  <c r="AA719" i="1"/>
  <c r="AM719" i="1" s="1"/>
  <c r="AY719" i="1" s="1"/>
  <c r="BL719" i="1" s="1"/>
  <c r="AY708" i="1"/>
  <c r="BL708" i="1" s="1"/>
  <c r="AA334" i="1"/>
  <c r="AA647" i="1"/>
  <c r="AA172" i="1"/>
  <c r="AM172" i="1" s="1"/>
  <c r="AY172" i="1" s="1"/>
  <c r="BL172" i="1" s="1"/>
  <c r="AY512" i="1"/>
  <c r="BL512" i="1" s="1"/>
  <c r="AA140" i="1"/>
  <c r="AM140" i="1" s="1"/>
  <c r="AA743" i="1"/>
  <c r="AM743" i="1" s="1"/>
  <c r="AA771" i="1"/>
  <c r="AM771" i="1" s="1"/>
  <c r="AY771" i="1" s="1"/>
  <c r="BL771" i="1" s="1"/>
  <c r="AY147" i="1"/>
  <c r="BL147" i="1" s="1"/>
  <c r="AM266" i="1"/>
  <c r="AA272" i="1"/>
  <c r="AM272" i="1" s="1"/>
  <c r="AA709" i="1"/>
  <c r="AM709" i="1" s="1"/>
  <c r="AY709" i="1" s="1"/>
  <c r="BL709" i="1" s="1"/>
  <c r="AA108" i="1"/>
  <c r="AM108" i="1" s="1"/>
  <c r="AY108" i="1" s="1"/>
  <c r="BL108" i="1" s="1"/>
  <c r="AA299" i="1"/>
  <c r="AM299" i="1" s="1"/>
  <c r="AA931" i="1"/>
  <c r="AA515" i="1"/>
  <c r="AM515" i="1" s="1"/>
  <c r="AY515" i="1" s="1"/>
  <c r="BL515" i="1" s="1"/>
  <c r="AA520" i="1"/>
  <c r="AM520" i="1" s="1"/>
  <c r="AY520" i="1" s="1"/>
  <c r="BL520" i="1" s="1"/>
  <c r="AA627" i="1"/>
  <c r="AM627" i="1" s="1"/>
  <c r="AA619" i="1"/>
  <c r="AM619" i="1" s="1"/>
  <c r="AY619" i="1" s="1"/>
  <c r="BL619" i="1" s="1"/>
  <c r="AA687" i="1"/>
  <c r="AM687" i="1" s="1"/>
  <c r="AY687" i="1" s="1"/>
  <c r="BL687" i="1" s="1"/>
  <c r="AA603" i="1"/>
  <c r="AM603" i="1" s="1"/>
  <c r="AY603" i="1" s="1"/>
  <c r="AA473" i="1"/>
  <c r="AM473" i="1" s="1"/>
  <c r="BL335" i="1"/>
  <c r="AA669" i="1"/>
  <c r="AM669" i="1" s="1"/>
  <c r="AY669" i="1" s="1"/>
  <c r="BL669" i="1" s="1"/>
  <c r="AA98" i="1"/>
  <c r="AM98" i="1" s="1"/>
  <c r="AM748" i="1"/>
  <c r="AY748" i="1" s="1"/>
  <c r="BL748" i="1" s="1"/>
  <c r="AA653" i="1"/>
  <c r="AM653" i="1" s="1"/>
  <c r="AY653" i="1" s="1"/>
  <c r="BL653" i="1" s="1"/>
  <c r="AA662" i="1"/>
  <c r="AM662" i="1" s="1"/>
  <c r="AY662" i="1" s="1"/>
  <c r="BL662" i="1" s="1"/>
  <c r="AA609" i="1"/>
  <c r="AM609" i="1" s="1"/>
  <c r="AY609" i="1" s="1"/>
  <c r="BL609" i="1" s="1"/>
  <c r="AA141" i="1"/>
  <c r="AM141" i="1" s="1"/>
  <c r="AY141" i="1" s="1"/>
  <c r="BL141" i="1" s="1"/>
  <c r="AA962" i="1"/>
  <c r="AM962" i="1" s="1"/>
  <c r="AY962" i="1" s="1"/>
  <c r="BL962" i="1" s="1"/>
  <c r="AA789" i="1"/>
  <c r="AM789" i="1" s="1"/>
  <c r="AY789" i="1" s="1"/>
  <c r="BL789" i="1" s="1"/>
  <c r="AM672" i="1"/>
  <c r="AY672" i="1" s="1"/>
  <c r="BL672" i="1" s="1"/>
  <c r="AA69" i="1"/>
  <c r="AY401" i="1"/>
  <c r="BL401" i="1" s="1"/>
  <c r="AA899" i="1"/>
  <c r="AM899" i="1" s="1"/>
  <c r="AY899" i="1" s="1"/>
  <c r="BL899" i="1" s="1"/>
  <c r="AA930" i="1"/>
  <c r="AM930" i="1" s="1"/>
  <c r="AY930" i="1" s="1"/>
  <c r="BL930" i="1" s="1"/>
  <c r="AA618" i="1"/>
  <c r="AM618" i="1" s="1"/>
  <c r="AY618" i="1" s="1"/>
  <c r="BL618" i="1" s="1"/>
  <c r="AA519" i="1"/>
  <c r="AM519" i="1" s="1"/>
  <c r="AY519" i="1" s="1"/>
  <c r="BL519" i="1" s="1"/>
  <c r="AY219" i="1"/>
  <c r="AA271" i="1"/>
  <c r="AA215" i="1"/>
  <c r="AM215" i="1" s="1"/>
  <c r="AA344" i="1"/>
  <c r="AM121" i="1"/>
  <c r="AY121" i="1" s="1"/>
  <c r="BL121" i="1" s="1"/>
  <c r="AA52" i="1"/>
  <c r="AM52" i="1" s="1"/>
  <c r="AA176" i="1"/>
  <c r="AM176" i="1" s="1"/>
  <c r="AY176" i="1" s="1"/>
  <c r="BL176" i="1" s="1"/>
  <c r="AA396" i="1"/>
  <c r="AA422" i="1"/>
  <c r="AA761" i="1"/>
  <c r="AA468" i="1"/>
  <c r="AM468" i="1" s="1"/>
  <c r="AY468" i="1" s="1"/>
  <c r="BL468" i="1" s="1"/>
  <c r="AY279" i="1"/>
  <c r="BL279" i="1" s="1"/>
  <c r="AM298" i="1"/>
  <c r="AY298" i="1" s="1"/>
  <c r="BL298" i="1" s="1"/>
  <c r="AY843" i="1"/>
  <c r="BL843" i="1" s="1"/>
  <c r="AA779" i="1"/>
  <c r="AM779" i="1" s="1"/>
  <c r="AY779" i="1" s="1"/>
  <c r="BL779" i="1" s="1"/>
  <c r="AY480" i="1"/>
  <c r="BL480" i="1" s="1"/>
  <c r="AA538" i="1"/>
  <c r="AM538" i="1" s="1"/>
  <c r="AY538" i="1" s="1"/>
  <c r="AA203" i="1"/>
  <c r="AM203" i="1" s="1"/>
  <c r="AY203" i="1" s="1"/>
  <c r="BL203" i="1" s="1"/>
  <c r="AA363" i="1"/>
  <c r="AM363" i="1" s="1"/>
  <c r="AM716" i="1"/>
  <c r="AY716" i="1" s="1"/>
  <c r="BL716" i="1" s="1"/>
  <c r="AA433" i="1"/>
  <c r="AM433" i="1" s="1"/>
  <c r="AY433" i="1" s="1"/>
  <c r="AA744" i="1"/>
  <c r="AM744" i="1" s="1"/>
  <c r="AY744" i="1" s="1"/>
  <c r="BL744" i="1" s="1"/>
  <c r="AA152" i="1"/>
  <c r="AA426" i="1"/>
  <c r="AA508" i="1"/>
  <c r="AA629" i="1"/>
  <c r="AM629" i="1" s="1"/>
  <c r="AY629" i="1" s="1"/>
  <c r="BL629" i="1" s="1"/>
  <c r="AA265" i="1"/>
  <c r="AM265" i="1" s="1"/>
  <c r="AY265" i="1" s="1"/>
  <c r="BL265" i="1" s="1"/>
  <c r="AA770" i="1"/>
  <c r="AM770" i="1" s="1"/>
  <c r="AY770" i="1" s="1"/>
  <c r="BL770" i="1" s="1"/>
  <c r="AA237" i="1"/>
  <c r="AM237" i="1" s="1"/>
  <c r="AY237" i="1" s="1"/>
  <c r="AA626" i="1"/>
  <c r="AM626" i="1" s="1"/>
  <c r="AM877" i="1"/>
  <c r="AY877" i="1" s="1"/>
  <c r="BL877" i="1" s="1"/>
  <c r="AM613" i="1"/>
  <c r="AY613" i="1" s="1"/>
  <c r="BL613" i="1" s="1"/>
  <c r="AA463" i="1"/>
  <c r="AM463" i="1" s="1"/>
  <c r="AY463" i="1" s="1"/>
  <c r="BL463" i="1" s="1"/>
  <c r="AA217" i="1"/>
  <c r="AM217" i="1" s="1"/>
  <c r="AY217" i="1" s="1"/>
  <c r="BL217" i="1" s="1"/>
  <c r="AA811" i="1"/>
  <c r="AM811" i="1" s="1"/>
  <c r="AY811" i="1" s="1"/>
  <c r="AA483" i="1"/>
  <c r="AM483" i="1" s="1"/>
  <c r="AY483" i="1" s="1"/>
  <c r="BL483" i="1" s="1"/>
  <c r="AA730" i="1"/>
  <c r="AM730" i="1" s="1"/>
  <c r="AY730" i="1" s="1"/>
  <c r="BL730" i="1" s="1"/>
  <c r="AA421" i="1"/>
  <c r="AM421" i="1" s="1"/>
  <c r="AA486" i="1"/>
  <c r="AM486" i="1" s="1"/>
  <c r="AA138" i="1"/>
  <c r="AM138" i="1" s="1"/>
  <c r="AY138" i="1" s="1"/>
  <c r="AA472" i="1"/>
  <c r="AM472" i="1" s="1"/>
  <c r="AY472" i="1" s="1"/>
  <c r="BL472" i="1" s="1"/>
  <c r="AA561" i="1"/>
  <c r="AA698" i="1"/>
  <c r="AM698" i="1" s="1"/>
  <c r="AY698" i="1" s="1"/>
  <c r="AA679" i="1"/>
  <c r="AM679" i="1" s="1"/>
  <c r="AY679" i="1" s="1"/>
  <c r="AA564" i="1"/>
  <c r="AA778" i="1"/>
  <c r="AM778" i="1" s="1"/>
  <c r="AA645" i="1"/>
  <c r="AM645" i="1" s="1"/>
  <c r="AY645" i="1" s="1"/>
  <c r="BL645" i="1" s="1"/>
  <c r="AA678" i="1"/>
  <c r="AM678" i="1" s="1"/>
  <c r="AY678" i="1" s="1"/>
  <c r="BL678" i="1" s="1"/>
  <c r="AA569" i="1"/>
  <c r="AM569" i="1" s="1"/>
  <c r="AY569" i="1" s="1"/>
  <c r="BL569" i="1" s="1"/>
  <c r="AA346" i="1"/>
  <c r="AM346" i="1" s="1"/>
  <c r="AY346" i="1" s="1"/>
  <c r="BL346" i="1" s="1"/>
  <c r="AA622" i="1"/>
  <c r="AM622" i="1" s="1"/>
  <c r="AY622" i="1" s="1"/>
  <c r="BL622" i="1" s="1"/>
  <c r="AA625" i="1"/>
  <c r="AM625" i="1" s="1"/>
  <c r="AY625" i="1" s="1"/>
  <c r="BL625" i="1" s="1"/>
  <c r="AA835" i="1"/>
  <c r="AM835" i="1" s="1"/>
  <c r="AY835" i="1" s="1"/>
  <c r="BL835" i="1" s="1"/>
  <c r="AM252" i="1"/>
  <c r="AY252" i="1" s="1"/>
  <c r="BL252" i="1" s="1"/>
  <c r="AA262" i="1"/>
  <c r="AM262" i="1" s="1"/>
  <c r="AY262" i="1" s="1"/>
  <c r="BL262" i="1" s="1"/>
  <c r="AA391" i="1"/>
  <c r="AM391" i="1" s="1"/>
  <c r="AY391" i="1" s="1"/>
  <c r="BL391" i="1" s="1"/>
  <c r="AA13" i="1"/>
  <c r="AA656" i="1"/>
  <c r="AM656" i="1" s="1"/>
  <c r="AY656" i="1" s="1"/>
  <c r="BL656" i="1" s="1"/>
  <c r="AA458" i="1"/>
  <c r="AM458" i="1" s="1"/>
  <c r="AY458" i="1" s="1"/>
  <c r="BL458" i="1" s="1"/>
  <c r="AA861" i="1"/>
  <c r="AM861" i="1" s="1"/>
  <c r="AY861" i="1" s="1"/>
  <c r="BL861" i="1" s="1"/>
  <c r="AA319" i="1"/>
  <c r="AM319" i="1" s="1"/>
  <c r="AY319" i="1" s="1"/>
  <c r="AM73" i="1"/>
  <c r="AY73" i="1" s="1"/>
  <c r="BL73" i="1" s="1"/>
  <c r="AM61" i="1"/>
  <c r="AY61" i="1" s="1"/>
  <c r="BL61" i="1" s="1"/>
  <c r="AM104" i="1"/>
  <c r="AY104" i="1" s="1"/>
  <c r="BL104" i="1" s="1"/>
  <c r="AA525" i="1"/>
  <c r="AA381" i="1"/>
  <c r="AM381" i="1" s="1"/>
  <c r="AM331" i="1"/>
  <c r="AY331" i="1" s="1"/>
  <c r="BL331" i="1" s="1"/>
  <c r="AA166" i="1"/>
  <c r="AA757" i="1"/>
  <c r="AA149" i="1"/>
  <c r="AA136" i="1"/>
  <c r="AA788" i="1"/>
  <c r="AM788" i="1" s="1"/>
  <c r="AM292" i="1"/>
  <c r="AY292" i="1" s="1"/>
  <c r="AA329" i="1"/>
  <c r="AM329" i="1" s="1"/>
  <c r="AY329" i="1" s="1"/>
  <c r="BL329" i="1" s="1"/>
  <c r="AM529" i="1"/>
  <c r="AA115" i="1"/>
  <c r="AM115" i="1" s="1"/>
  <c r="AM288" i="1"/>
  <c r="AY288" i="1" s="1"/>
  <c r="BL288" i="1" s="1"/>
  <c r="AM379" i="1"/>
  <c r="AY379" i="1" s="1"/>
  <c r="BL379" i="1" s="1"/>
  <c r="AA48" i="1"/>
  <c r="AA156" i="1"/>
  <c r="AM156" i="1" s="1"/>
  <c r="AY156" i="1" s="1"/>
  <c r="BL156" i="1" s="1"/>
  <c r="AM343" i="1"/>
  <c r="AY343" i="1" s="1"/>
  <c r="BL343" i="1" s="1"/>
  <c r="AM134" i="1"/>
  <c r="AA103" i="1"/>
  <c r="AM103" i="1" s="1"/>
  <c r="AY103" i="1" s="1"/>
  <c r="AA197" i="1"/>
  <c r="BL91" i="1"/>
  <c r="AA133" i="1"/>
  <c r="AM192" i="1"/>
  <c r="AY192" i="1" s="1"/>
  <c r="BL192" i="1" s="1"/>
  <c r="AM188" i="1"/>
  <c r="AA137" i="1"/>
  <c r="AA361" i="1"/>
  <c r="AM362" i="1"/>
  <c r="AY362" i="1" s="1"/>
  <c r="BL362" i="1" s="1"/>
  <c r="AY364" i="1"/>
  <c r="BL364" i="1" s="1"/>
  <c r="AY242" i="1"/>
  <c r="AA278" i="1"/>
  <c r="AM278" i="1" s="1"/>
  <c r="AY278" i="1" s="1"/>
  <c r="BL278" i="1" s="1"/>
  <c r="AM174" i="1"/>
  <c r="AY174" i="1" s="1"/>
  <c r="BL174" i="1" s="1"/>
  <c r="AA359" i="1" l="1"/>
  <c r="AM359" i="1" s="1"/>
  <c r="AM326" i="1"/>
  <c r="AY326" i="1" s="1"/>
  <c r="BN46" i="1"/>
  <c r="BO46" i="1" s="1" a="1"/>
  <c r="BO46" i="1" s="1"/>
  <c r="BN262" i="1"/>
  <c r="BO262" i="1" s="1" a="1"/>
  <c r="BO262" i="1" s="1"/>
  <c r="BN580" i="1"/>
  <c r="BO580" i="1" s="1" a="1"/>
  <c r="BO580" i="1" s="1"/>
  <c r="BN584" i="1"/>
  <c r="BO584" i="1" s="1" a="1"/>
  <c r="BO584" i="1" s="1"/>
  <c r="BN962" i="1"/>
  <c r="BO962" i="1" s="1" a="1"/>
  <c r="BO962" i="1" s="1"/>
  <c r="O466" i="1"/>
  <c r="AA466" i="1" s="1"/>
  <c r="AM466" i="1" s="1"/>
  <c r="AY466" i="1" s="1"/>
  <c r="BL466" i="1" s="1"/>
  <c r="BN442" i="1"/>
  <c r="BO442" i="1" s="1" a="1"/>
  <c r="BO442" i="1" s="1"/>
  <c r="AA410" i="1"/>
  <c r="AY190" i="1"/>
  <c r="BL190" i="1" s="1"/>
  <c r="BL153" i="1"/>
  <c r="BN144" i="1"/>
  <c r="BO144" i="1" s="1" a="1"/>
  <c r="BO144" i="1" s="1"/>
  <c r="BN116" i="1"/>
  <c r="BO116" i="1" s="1" a="1"/>
  <c r="BO116" i="1" s="1"/>
  <c r="BN875" i="1"/>
  <c r="BO875" i="1" s="1" a="1"/>
  <c r="BO875" i="1" s="1"/>
  <c r="BW574" i="1"/>
  <c r="BN574" i="1"/>
  <c r="BO574" i="1" s="1" a="1"/>
  <c r="BO574" i="1" s="1"/>
  <c r="BW576" i="1"/>
  <c r="BN576" i="1"/>
  <c r="BO576" i="1" s="1" a="1"/>
  <c r="BO576" i="1" s="1"/>
  <c r="BX587" i="1"/>
  <c r="BN587" i="1"/>
  <c r="BO587" i="1" s="1" a="1"/>
  <c r="BO587" i="1" s="1"/>
  <c r="BV594" i="1"/>
  <c r="BN594" i="1"/>
  <c r="BO594" i="1" s="1" a="1"/>
  <c r="BO594" i="1" s="1"/>
  <c r="BX595" i="1"/>
  <c r="BN595" i="1"/>
  <c r="BO595" i="1" s="1" a="1"/>
  <c r="BO595" i="1" s="1"/>
  <c r="BW141" i="1"/>
  <c r="BN141" i="1"/>
  <c r="BO141" i="1" s="1" a="1"/>
  <c r="BO141" i="1" s="1"/>
  <c r="BW217" i="1"/>
  <c r="BN217" i="1"/>
  <c r="BO217" i="1" s="1" a="1"/>
  <c r="BO217" i="1" s="1"/>
  <c r="BW252" i="1"/>
  <c r="BN252" i="1"/>
  <c r="BO252" i="1" s="1" a="1"/>
  <c r="BO252" i="1" s="1"/>
  <c r="BX463" i="1"/>
  <c r="BN463" i="1"/>
  <c r="BO463" i="1" s="1" a="1"/>
  <c r="BO463" i="1" s="1"/>
  <c r="BV613" i="1"/>
  <c r="BN613" i="1"/>
  <c r="BO613" i="1" s="1" a="1"/>
  <c r="BO613" i="1" s="1"/>
  <c r="BN593" i="1"/>
  <c r="BO593" i="1" s="1" a="1"/>
  <c r="BO593" i="1" s="1"/>
  <c r="BV584" i="1"/>
  <c r="BV789" i="1"/>
  <c r="BN789" i="1"/>
  <c r="BO789" i="1" s="1" a="1"/>
  <c r="BO789" i="1" s="1"/>
  <c r="BW578" i="1"/>
  <c r="BN578" i="1"/>
  <c r="BO578" i="1" s="1" a="1"/>
  <c r="BO578" i="1" s="1"/>
  <c r="BW579" i="1"/>
  <c r="BN579" i="1"/>
  <c r="BO579" i="1" s="1" a="1"/>
  <c r="BO579" i="1" s="1"/>
  <c r="BV581" i="1"/>
  <c r="BN581" i="1"/>
  <c r="BO581" i="1" s="1" a="1"/>
  <c r="BO581" i="1" s="1"/>
  <c r="BW583" i="1"/>
  <c r="BN583" i="1"/>
  <c r="BO583" i="1" s="1" a="1"/>
  <c r="BO583" i="1" s="1"/>
  <c r="BV585" i="1"/>
  <c r="BN585" i="1"/>
  <c r="BO585" i="1" s="1" a="1"/>
  <c r="BO585" i="1" s="1"/>
  <c r="BN596" i="1"/>
  <c r="BO596" i="1" s="1" a="1"/>
  <c r="BO596" i="1" s="1"/>
  <c r="BV596" i="1"/>
  <c r="BN151" i="1"/>
  <c r="BO151" i="1" s="1" a="1"/>
  <c r="BO151" i="1" s="1"/>
  <c r="BN902" i="1"/>
  <c r="BO902" i="1" s="1" a="1"/>
  <c r="BO902" i="1" s="1"/>
  <c r="BN681" i="1"/>
  <c r="BO681" i="1" s="1" a="1"/>
  <c r="BO681" i="1" s="1"/>
  <c r="AA610" i="1"/>
  <c r="AM610" i="1" s="1"/>
  <c r="AY610" i="1" s="1"/>
  <c r="BL610" i="1" s="1"/>
  <c r="BN990" i="1"/>
  <c r="BO990" i="1" s="1" a="1"/>
  <c r="BO990" i="1" s="1"/>
  <c r="BN849" i="1"/>
  <c r="BO849" i="1" s="1" a="1"/>
  <c r="BO849" i="1" s="1"/>
  <c r="BN762" i="1"/>
  <c r="BO762" i="1" s="1" a="1"/>
  <c r="BO762" i="1" s="1"/>
  <c r="BN560" i="1"/>
  <c r="BO560" i="1" s="1" a="1"/>
  <c r="BO560" i="1" s="1"/>
  <c r="BL541" i="1"/>
  <c r="BL538" i="1"/>
  <c r="BN471" i="1"/>
  <c r="BO471" i="1" s="1" a="1"/>
  <c r="BO471" i="1" s="1"/>
  <c r="BN746" i="1"/>
  <c r="BO746" i="1" s="1" a="1"/>
  <c r="BO746" i="1" s="1"/>
  <c r="BN799" i="1"/>
  <c r="BO799" i="1" s="1" a="1"/>
  <c r="BO799" i="1" s="1"/>
  <c r="BL237" i="1"/>
  <c r="BN599" i="1"/>
  <c r="BO599" i="1" s="1" a="1"/>
  <c r="BO599" i="1" s="1"/>
  <c r="BL735" i="1"/>
  <c r="BN591" i="1"/>
  <c r="BO591" i="1" s="1" a="1"/>
  <c r="BO591" i="1" s="1"/>
  <c r="BN590" i="1"/>
  <c r="BO590" i="1" s="1" a="1"/>
  <c r="BO590" i="1" s="1"/>
  <c r="BL478" i="1"/>
  <c r="BN459" i="1"/>
  <c r="BO459" i="1" s="1" a="1"/>
  <c r="BO459" i="1" s="1"/>
  <c r="BN410" i="1"/>
  <c r="BO410" i="1" s="1" a="1"/>
  <c r="BO410" i="1" s="1"/>
  <c r="BN255" i="1"/>
  <c r="BO255" i="1" s="1" a="1"/>
  <c r="BO255" i="1" s="1"/>
  <c r="BN212" i="1"/>
  <c r="BO212" i="1" s="1" a="1"/>
  <c r="BO212" i="1" s="1"/>
  <c r="BN727" i="1"/>
  <c r="BO727" i="1" s="1" a="1"/>
  <c r="BO727" i="1" s="1"/>
  <c r="BN675" i="1"/>
  <c r="BO675" i="1" s="1" a="1"/>
  <c r="BO675" i="1" s="1"/>
  <c r="BN646" i="1"/>
  <c r="BO646" i="1" s="1" a="1"/>
  <c r="BO646" i="1" s="1"/>
  <c r="BN589" i="1"/>
  <c r="BO589" i="1" s="1" a="1"/>
  <c r="BO589" i="1" s="1"/>
  <c r="BN178" i="1"/>
  <c r="BO178" i="1" s="1" a="1"/>
  <c r="BO178" i="1" s="1"/>
  <c r="BL762" i="1"/>
  <c r="BN826" i="1"/>
  <c r="BO826" i="1" s="1" a="1"/>
  <c r="BO826" i="1" s="1"/>
  <c r="R786" i="1"/>
  <c r="AA786" i="1" s="1"/>
  <c r="AM786" i="1" s="1"/>
  <c r="AY786" i="1" s="1"/>
  <c r="BL786" i="1" s="1"/>
  <c r="F827" i="1"/>
  <c r="O827" i="1" s="1"/>
  <c r="AA827" i="1" s="1"/>
  <c r="AM827" i="1" s="1"/>
  <c r="AY827" i="1" s="1"/>
  <c r="BB935" i="1"/>
  <c r="AP726" i="1"/>
  <c r="AY726" i="1" s="1"/>
  <c r="BL726" i="1" s="1"/>
  <c r="R831" i="1"/>
  <c r="BB987" i="1"/>
  <c r="AD595" i="1"/>
  <c r="BB590" i="1"/>
  <c r="BB582" i="1"/>
  <c r="F581" i="1"/>
  <c r="O581" i="1" s="1"/>
  <c r="R574" i="1"/>
  <c r="AP588" i="1"/>
  <c r="AP592" i="1"/>
  <c r="AP578" i="1"/>
  <c r="F575" i="1"/>
  <c r="O575" i="1" s="1"/>
  <c r="BB596" i="1"/>
  <c r="AP886" i="1"/>
  <c r="R955" i="1"/>
  <c r="AA955" i="1" s="1"/>
  <c r="AM955" i="1" s="1"/>
  <c r="AY955" i="1" s="1"/>
  <c r="BL955" i="1" s="1"/>
  <c r="F832" i="1"/>
  <c r="O832" i="1" s="1"/>
  <c r="AP529" i="1"/>
  <c r="AY529" i="1" s="1"/>
  <c r="BL529" i="1" s="1"/>
  <c r="F989" i="1"/>
  <c r="O989" i="1" s="1"/>
  <c r="R606" i="1"/>
  <c r="R775" i="1"/>
  <c r="AA775" i="1" s="1"/>
  <c r="BB555" i="1"/>
  <c r="BL555" i="1" s="1"/>
  <c r="R755" i="1"/>
  <c r="AD840" i="1"/>
  <c r="AM840" i="1" s="1"/>
  <c r="AY840" i="1" s="1"/>
  <c r="BL840" i="1" s="1"/>
  <c r="BB920" i="1"/>
  <c r="F710" i="1"/>
  <c r="O710" i="1" s="1"/>
  <c r="AA710" i="1" s="1"/>
  <c r="AM710" i="1" s="1"/>
  <c r="AY710" i="1" s="1"/>
  <c r="BL710" i="1" s="1"/>
  <c r="F807" i="1"/>
  <c r="O807" i="1" s="1"/>
  <c r="AA807" i="1" s="1"/>
  <c r="AM807" i="1" s="1"/>
  <c r="AY807" i="1" s="1"/>
  <c r="BL807" i="1" s="1"/>
  <c r="R989" i="1"/>
  <c r="BB742" i="1"/>
  <c r="F860" i="1"/>
  <c r="O860" i="1" s="1"/>
  <c r="F661" i="1"/>
  <c r="O661" i="1" s="1"/>
  <c r="BB461" i="1"/>
  <c r="BL461" i="1" s="1"/>
  <c r="F711" i="1"/>
  <c r="O711" i="1" s="1"/>
  <c r="AD817" i="1"/>
  <c r="AM817" i="1" s="1"/>
  <c r="AY817" i="1" s="1"/>
  <c r="BL817" i="1" s="1"/>
  <c r="AD40" i="1"/>
  <c r="AD429" i="1"/>
  <c r="R700" i="1"/>
  <c r="BB795" i="1"/>
  <c r="R705" i="1"/>
  <c r="F390" i="1"/>
  <c r="O390" i="1" s="1"/>
  <c r="AP974" i="1"/>
  <c r="BB837" i="1"/>
  <c r="BL837" i="1" s="1"/>
  <c r="R946" i="1"/>
  <c r="AA946" i="1" s="1"/>
  <c r="AM946" i="1" s="1"/>
  <c r="AY946" i="1" s="1"/>
  <c r="BL946" i="1" s="1"/>
  <c r="BB823" i="1"/>
  <c r="AD682" i="1"/>
  <c r="AM682" i="1" s="1"/>
  <c r="AY682" i="1" s="1"/>
  <c r="BL682" i="1" s="1"/>
  <c r="BB755" i="1"/>
  <c r="R685" i="1"/>
  <c r="AA685" i="1" s="1"/>
  <c r="AM685" i="1" s="1"/>
  <c r="AY685" i="1" s="1"/>
  <c r="BL685" i="1" s="1"/>
  <c r="R227" i="1"/>
  <c r="AA227" i="1" s="1"/>
  <c r="AM227" i="1" s="1"/>
  <c r="AY227" i="1" s="1"/>
  <c r="BL227" i="1" s="1"/>
  <c r="F1001" i="1"/>
  <c r="O1001" i="1" s="1"/>
  <c r="BB794" i="1"/>
  <c r="BL794" i="1" s="1"/>
  <c r="BB69" i="1"/>
  <c r="AP626" i="1"/>
  <c r="AY626" i="1" s="1"/>
  <c r="BL626" i="1" s="1"/>
  <c r="F968" i="1"/>
  <c r="O968" i="1" s="1"/>
  <c r="BB533" i="1"/>
  <c r="F474" i="1"/>
  <c r="O474" i="1" s="1"/>
  <c r="AD773" i="1"/>
  <c r="AD803" i="1"/>
  <c r="AM803" i="1" s="1"/>
  <c r="AY803" i="1" s="1"/>
  <c r="BL803" i="1" s="1"/>
  <c r="AP979" i="1"/>
  <c r="AP808" i="1"/>
  <c r="AD1000" i="1"/>
  <c r="AD874" i="1"/>
  <c r="AM874" i="1" s="1"/>
  <c r="AY874" i="1" s="1"/>
  <c r="AP309" i="1"/>
  <c r="F863" i="1"/>
  <c r="O863" i="1" s="1"/>
  <c r="AA863" i="1" s="1"/>
  <c r="AM863" i="1" s="1"/>
  <c r="AY863" i="1" s="1"/>
  <c r="AP939" i="1"/>
  <c r="AD966" i="1"/>
  <c r="AM966" i="1" s="1"/>
  <c r="AY966" i="1" s="1"/>
  <c r="AD639" i="1"/>
  <c r="AM639" i="1" s="1"/>
  <c r="AY639" i="1" s="1"/>
  <c r="BL639" i="1" s="1"/>
  <c r="R457" i="1"/>
  <c r="AA457" i="1" s="1"/>
  <c r="AM457" i="1" s="1"/>
  <c r="AY457" i="1" s="1"/>
  <c r="BL457" i="1" s="1"/>
  <c r="BB64" i="1"/>
  <c r="BL64" i="1" s="1"/>
  <c r="F446" i="1"/>
  <c r="O446" i="1" s="1"/>
  <c r="R704" i="1"/>
  <c r="AA704" i="1" s="1"/>
  <c r="AM704" i="1" s="1"/>
  <c r="AY704" i="1" s="1"/>
  <c r="BL704" i="1" s="1"/>
  <c r="BB553" i="1"/>
  <c r="BL553" i="1" s="1"/>
  <c r="R446" i="1"/>
  <c r="R445" i="1"/>
  <c r="AA445" i="1" s="1"/>
  <c r="AM445" i="1" s="1"/>
  <c r="AY445" i="1" s="1"/>
  <c r="BL445" i="1" s="1"/>
  <c r="F416" i="1"/>
  <c r="O416" i="1" s="1"/>
  <c r="AA416" i="1" s="1"/>
  <c r="AM416" i="1" s="1"/>
  <c r="AY416" i="1" s="1"/>
  <c r="R832" i="1"/>
  <c r="BB649" i="1"/>
  <c r="AP627" i="1"/>
  <c r="AY627" i="1" s="1"/>
  <c r="BL627" i="1" s="1"/>
  <c r="R888" i="1"/>
  <c r="BB504" i="1"/>
  <c r="AP823" i="1"/>
  <c r="AP902" i="1"/>
  <c r="AY902" i="1" s="1"/>
  <c r="BL902" i="1" s="1"/>
  <c r="BB514" i="1"/>
  <c r="BL514" i="1" s="1"/>
  <c r="BB947" i="1"/>
  <c r="BL947" i="1" s="1"/>
  <c r="BL120" i="1"/>
  <c r="BL898" i="1"/>
  <c r="BN508" i="1"/>
  <c r="BO508" i="1" s="1" a="1"/>
  <c r="BO508" i="1" s="1"/>
  <c r="BN570" i="1"/>
  <c r="BO570" i="1" s="1" a="1"/>
  <c r="BO570" i="1" s="1"/>
  <c r="BN564" i="1"/>
  <c r="BO564" i="1" s="1" a="1"/>
  <c r="BO564" i="1" s="1"/>
  <c r="BL560" i="1"/>
  <c r="BL552" i="1"/>
  <c r="BN541" i="1"/>
  <c r="BO541" i="1" s="1" a="1"/>
  <c r="BO541" i="1" s="1"/>
  <c r="BL540" i="1"/>
  <c r="BN475" i="1"/>
  <c r="BO475" i="1" s="1" a="1"/>
  <c r="BO475" i="1" s="1"/>
  <c r="BN780" i="1"/>
  <c r="BO780" i="1" s="1" a="1"/>
  <c r="BO780" i="1" s="1"/>
  <c r="BN766" i="1"/>
  <c r="BO766" i="1" s="1" a="1"/>
  <c r="BO766" i="1" s="1"/>
  <c r="BN575" i="1"/>
  <c r="BO575" i="1" s="1" a="1"/>
  <c r="BO575" i="1" s="1"/>
  <c r="BN793" i="1"/>
  <c r="BO793" i="1" s="1" a="1"/>
  <c r="BO793" i="1" s="1"/>
  <c r="BN627" i="1"/>
  <c r="BO627" i="1" s="1" a="1"/>
  <c r="BO627" i="1" s="1"/>
  <c r="BN626" i="1"/>
  <c r="BO626" i="1" s="1" a="1"/>
  <c r="BO626" i="1" s="1"/>
  <c r="BN211" i="1"/>
  <c r="BO211" i="1" s="1" a="1"/>
  <c r="BO211" i="1" s="1"/>
  <c r="AA276" i="1"/>
  <c r="AM276" i="1" s="1"/>
  <c r="AY276" i="1" s="1"/>
  <c r="BL276" i="1" s="1"/>
  <c r="AY25" i="1"/>
  <c r="BL25" i="1" s="1"/>
  <c r="AY127" i="1"/>
  <c r="BL127" i="1" s="1"/>
  <c r="AA65" i="1"/>
  <c r="AM65" i="1" s="1"/>
  <c r="AY65" i="1" s="1"/>
  <c r="BL65" i="1" s="1"/>
  <c r="AA51" i="1"/>
  <c r="AM51" i="1" s="1"/>
  <c r="AY51" i="1" s="1"/>
  <c r="BL51" i="1" s="1"/>
  <c r="BL679" i="1"/>
  <c r="BN679" i="1"/>
  <c r="BO679" i="1" s="1" a="1"/>
  <c r="BO679" i="1" s="1"/>
  <c r="BN478" i="1"/>
  <c r="BO478" i="1" s="1" a="1"/>
  <c r="BO478" i="1" s="1"/>
  <c r="BN452" i="1"/>
  <c r="BO452" i="1" s="1" a="1"/>
  <c r="BO452" i="1" s="1"/>
  <c r="BN412" i="1"/>
  <c r="BO412" i="1" s="1" a="1"/>
  <c r="BO412" i="1" s="1"/>
  <c r="BL863" i="1"/>
  <c r="BN863" i="1"/>
  <c r="BO863" i="1" s="1" a="1"/>
  <c r="BO863" i="1" s="1"/>
  <c r="BN882" i="1"/>
  <c r="BO882" i="1" s="1" a="1"/>
  <c r="BO882" i="1" s="1"/>
  <c r="BN105" i="1"/>
  <c r="BO105" i="1" s="1" a="1"/>
  <c r="BO105" i="1" s="1"/>
  <c r="AM795" i="1"/>
  <c r="AY795" i="1" s="1"/>
  <c r="AA723" i="1"/>
  <c r="AM723" i="1" s="1"/>
  <c r="AY723" i="1" s="1"/>
  <c r="BL723" i="1" s="1"/>
  <c r="BL530" i="1"/>
  <c r="BL151" i="1"/>
  <c r="BN202" i="1"/>
  <c r="BO202" i="1" s="1" a="1"/>
  <c r="BO202" i="1" s="1"/>
  <c r="BN644" i="1"/>
  <c r="BO644" i="1" s="1" a="1"/>
  <c r="BO644" i="1" s="1"/>
  <c r="BN761" i="1"/>
  <c r="BO761" i="1" s="1" a="1"/>
  <c r="BO761" i="1" s="1"/>
  <c r="BL751" i="1"/>
  <c r="BN751" i="1"/>
  <c r="BO751" i="1" s="1" a="1"/>
  <c r="BO751" i="1" s="1"/>
  <c r="BN731" i="1"/>
  <c r="BO731" i="1" s="1" a="1"/>
  <c r="BO731" i="1" s="1"/>
  <c r="BN671" i="1"/>
  <c r="BO671" i="1" s="1" a="1"/>
  <c r="BO671" i="1" s="1"/>
  <c r="BN661" i="1"/>
  <c r="BO661" i="1" s="1" a="1"/>
  <c r="BO661" i="1" s="1"/>
  <c r="BL456" i="1"/>
  <c r="BN456" i="1"/>
  <c r="BO456" i="1" s="1" a="1"/>
  <c r="BO456" i="1" s="1"/>
  <c r="BN550" i="1"/>
  <c r="BO550" i="1" s="1" a="1"/>
  <c r="BO550" i="1" s="1"/>
  <c r="AY550" i="1"/>
  <c r="BL550" i="1" s="1"/>
  <c r="BN417" i="1"/>
  <c r="BO417" i="1" s="1" a="1"/>
  <c r="BO417" i="1" s="1"/>
  <c r="BL416" i="1"/>
  <c r="BN149" i="1"/>
  <c r="BO149" i="1" s="1" a="1"/>
  <c r="BO149" i="1" s="1"/>
  <c r="BL851" i="1"/>
  <c r="BN851" i="1"/>
  <c r="BO851" i="1" s="1" a="1"/>
  <c r="BO851" i="1" s="1"/>
  <c r="BL820" i="1"/>
  <c r="BL995" i="1"/>
  <c r="BN995" i="1"/>
  <c r="BO995" i="1" s="1" a="1"/>
  <c r="BO995" i="1" s="1"/>
  <c r="BL668" i="1"/>
  <c r="BK1012" i="1"/>
  <c r="AY106" i="1"/>
  <c r="BL106" i="1" s="1"/>
  <c r="BN106" i="1"/>
  <c r="BO106" i="1" s="1" a="1"/>
  <c r="BO106" i="1" s="1"/>
  <c r="AY261" i="1"/>
  <c r="BL261" i="1" s="1"/>
  <c r="BN607" i="1"/>
  <c r="BO607" i="1" s="1" a="1"/>
  <c r="BO607" i="1" s="1"/>
  <c r="BN869" i="1"/>
  <c r="BO869" i="1" s="1" a="1"/>
  <c r="BO869" i="1" s="1"/>
  <c r="BN973" i="1"/>
  <c r="BO973" i="1" s="1" a="1"/>
  <c r="BO973" i="1" s="1"/>
  <c r="AY89" i="1"/>
  <c r="BL89" i="1" s="1"/>
  <c r="BN89" i="1"/>
  <c r="BO89" i="1" s="1" a="1"/>
  <c r="BO89" i="1" s="1"/>
  <c r="BN153" i="1"/>
  <c r="BO153" i="1" s="1" a="1"/>
  <c r="BO153" i="1" s="1"/>
  <c r="AY646" i="1"/>
  <c r="BL646" i="1" s="1"/>
  <c r="BN904" i="1"/>
  <c r="BO904" i="1" s="1" a="1"/>
  <c r="BO904" i="1" s="1"/>
  <c r="BN753" i="1"/>
  <c r="BO753" i="1" s="1" a="1"/>
  <c r="BO753" i="1" s="1"/>
  <c r="BN110" i="1"/>
  <c r="BO110" i="1" s="1" a="1"/>
  <c r="BO110" i="1" s="1"/>
  <c r="BL78" i="1"/>
  <c r="BN504" i="1"/>
  <c r="BO504" i="1" s="1" a="1"/>
  <c r="BO504" i="1" s="1"/>
  <c r="BN434" i="1"/>
  <c r="BO434" i="1" s="1" a="1"/>
  <c r="BO434" i="1" s="1"/>
  <c r="BN980" i="1"/>
  <c r="BO980" i="1" s="1" a="1"/>
  <c r="BO980" i="1" s="1"/>
  <c r="BN237" i="1"/>
  <c r="BO237" i="1" s="1" a="1"/>
  <c r="BO237" i="1" s="1"/>
  <c r="AY754" i="1"/>
  <c r="BL754" i="1" s="1"/>
  <c r="AM768" i="1"/>
  <c r="AY768" i="1" s="1"/>
  <c r="BL768" i="1" s="1"/>
  <c r="BN862" i="1"/>
  <c r="BO862" i="1" s="1" a="1"/>
  <c r="BO862" i="1" s="1"/>
  <c r="AY712" i="1"/>
  <c r="BL712" i="1" s="1"/>
  <c r="BN712" i="1"/>
  <c r="BO712" i="1" s="1" a="1"/>
  <c r="BO712" i="1" s="1"/>
  <c r="BN913" i="1"/>
  <c r="BO913" i="1" s="1" a="1"/>
  <c r="BO913" i="1" s="1"/>
  <c r="BN898" i="1"/>
  <c r="BO898" i="1" s="1" a="1"/>
  <c r="BO898" i="1" s="1"/>
  <c r="BN307" i="1"/>
  <c r="BO307" i="1" s="1" a="1"/>
  <c r="BO307" i="1" s="1"/>
  <c r="BN20" i="1"/>
  <c r="BO20" i="1" s="1" a="1"/>
  <c r="BO20" i="1" s="1"/>
  <c r="BN21" i="1"/>
  <c r="BO21" i="1" s="1" a="1"/>
  <c r="BO21" i="1" s="1"/>
  <c r="BY46" i="1"/>
  <c r="BN45" i="1"/>
  <c r="BO45" i="1" s="1" a="1"/>
  <c r="BO45" i="1" s="1"/>
  <c r="AY52" i="1"/>
  <c r="BL52" i="1" s="1"/>
  <c r="BN66" i="1"/>
  <c r="BO66" i="1" s="1" a="1"/>
  <c r="BO66" i="1" s="1"/>
  <c r="BN24" i="1"/>
  <c r="BO24" i="1" s="1" a="1"/>
  <c r="BO24" i="1" s="1"/>
  <c r="BN505" i="1"/>
  <c r="BO505" i="1" s="1" a="1"/>
  <c r="BO505" i="1" s="1"/>
  <c r="AY492" i="1"/>
  <c r="BL492" i="1" s="1"/>
  <c r="AY544" i="1"/>
  <c r="BL544" i="1" s="1"/>
  <c r="AY982" i="1"/>
  <c r="BL982" i="1" s="1"/>
  <c r="BN982" i="1"/>
  <c r="BO982" i="1" s="1" a="1"/>
  <c r="BO982" i="1" s="1"/>
  <c r="AY549" i="1"/>
  <c r="BL549" i="1" s="1"/>
  <c r="BN549" i="1"/>
  <c r="BO549" i="1" s="1" a="1"/>
  <c r="BO549" i="1" s="1"/>
  <c r="BN530" i="1"/>
  <c r="BO530" i="1" s="1" a="1"/>
  <c r="BO530" i="1" s="1"/>
  <c r="AY419" i="1"/>
  <c r="BL419" i="1" s="1"/>
  <c r="AY267" i="1"/>
  <c r="BL267" i="1" s="1"/>
  <c r="BN226" i="1"/>
  <c r="BO226" i="1" s="1" a="1"/>
  <c r="BO226" i="1" s="1"/>
  <c r="BN867" i="1"/>
  <c r="BO867" i="1" s="1" a="1"/>
  <c r="BO867" i="1" s="1"/>
  <c r="BN877" i="1"/>
  <c r="BO877" i="1" s="1" a="1"/>
  <c r="BO877" i="1" s="1"/>
  <c r="AY778" i="1"/>
  <c r="BL778" i="1" s="1"/>
  <c r="BN660" i="1"/>
  <c r="BO660" i="1" s="1" a="1"/>
  <c r="BO660" i="1" s="1"/>
  <c r="BN921" i="1"/>
  <c r="BO921" i="1" s="1" a="1"/>
  <c r="BO921" i="1" s="1"/>
  <c r="AY496" i="1"/>
  <c r="BL496" i="1" s="1"/>
  <c r="BN496" i="1"/>
  <c r="BO496" i="1" s="1" a="1"/>
  <c r="BO496" i="1" s="1"/>
  <c r="BN441" i="1"/>
  <c r="BO441" i="1" s="1" a="1"/>
  <c r="BO441" i="1" s="1"/>
  <c r="BN454" i="1"/>
  <c r="BO454" i="1" s="1" a="1"/>
  <c r="BO454" i="1" s="1"/>
  <c r="AY886" i="1"/>
  <c r="BL886" i="1" s="1"/>
  <c r="BN886" i="1"/>
  <c r="BO886" i="1" s="1" a="1"/>
  <c r="BO886" i="1" s="1"/>
  <c r="BN814" i="1"/>
  <c r="BO814" i="1" s="1" a="1"/>
  <c r="BO814" i="1" s="1"/>
  <c r="BN767" i="1"/>
  <c r="BO767" i="1" s="1" a="1"/>
  <c r="BO767" i="1" s="1"/>
  <c r="AY675" i="1"/>
  <c r="BL675" i="1" s="1"/>
  <c r="BN206" i="1"/>
  <c r="BO206" i="1" s="1" a="1"/>
  <c r="BO206" i="1" s="1"/>
  <c r="BN905" i="1"/>
  <c r="BO905" i="1" s="1" a="1"/>
  <c r="BO905" i="1" s="1"/>
  <c r="AY181" i="1"/>
  <c r="BN101" i="1"/>
  <c r="BO101" i="1" s="1" a="1"/>
  <c r="BO101" i="1" s="1"/>
  <c r="BN829" i="1"/>
  <c r="BO829" i="1" s="1" a="1"/>
  <c r="BO829" i="1" s="1"/>
  <c r="BN754" i="1"/>
  <c r="BO754" i="1" s="1" a="1"/>
  <c r="BO754" i="1" s="1"/>
  <c r="BN249" i="1"/>
  <c r="BO249" i="1" s="1" a="1"/>
  <c r="BO249" i="1" s="1"/>
  <c r="BN523" i="1"/>
  <c r="BO523" i="1" s="1" a="1"/>
  <c r="BO523" i="1" s="1"/>
  <c r="AY559" i="1"/>
  <c r="BL559" i="1" s="1"/>
  <c r="BN559" i="1"/>
  <c r="BO559" i="1" s="1" a="1"/>
  <c r="BO559" i="1" s="1"/>
  <c r="BN510" i="1"/>
  <c r="BO510" i="1" s="1" a="1"/>
  <c r="BO510" i="1" s="1"/>
  <c r="AY421" i="1"/>
  <c r="BL421" i="1" s="1"/>
  <c r="AY170" i="1"/>
  <c r="BL170" i="1" s="1"/>
  <c r="BN130" i="1"/>
  <c r="BO130" i="1" s="1" a="1"/>
  <c r="BO130" i="1" s="1"/>
  <c r="BN108" i="1"/>
  <c r="BO108" i="1" s="1" a="1"/>
  <c r="BO108" i="1" s="1"/>
  <c r="AY599" i="1"/>
  <c r="BL599" i="1" s="1"/>
  <c r="AY910" i="1"/>
  <c r="BN910" i="1"/>
  <c r="BO910" i="1" s="1" a="1"/>
  <c r="BO910" i="1" s="1"/>
  <c r="BN907" i="1"/>
  <c r="BO907" i="1" s="1" a="1"/>
  <c r="BO907" i="1" s="1"/>
  <c r="BN779" i="1"/>
  <c r="BO779" i="1" s="1" a="1"/>
  <c r="BO779" i="1" s="1"/>
  <c r="AM556" i="1"/>
  <c r="AM649" i="1"/>
  <c r="AY649" i="1" s="1"/>
  <c r="BN588" i="1"/>
  <c r="BO588" i="1" s="1" a="1"/>
  <c r="BO588" i="1" s="1"/>
  <c r="AM945" i="1"/>
  <c r="AY945" i="1" s="1"/>
  <c r="BL945" i="1" s="1"/>
  <c r="AM429" i="1"/>
  <c r="AA831" i="1"/>
  <c r="AM831" i="1" s="1"/>
  <c r="AA187" i="1"/>
  <c r="AY403" i="1"/>
  <c r="BN403" i="1"/>
  <c r="BO403" i="1" s="1" a="1"/>
  <c r="BO403" i="1" s="1"/>
  <c r="AY435" i="1"/>
  <c r="BL435" i="1" s="1"/>
  <c r="AY459" i="1"/>
  <c r="BL459" i="1" s="1"/>
  <c r="AY425" i="1"/>
  <c r="BL425" i="1" s="1"/>
  <c r="BN425" i="1"/>
  <c r="BO425" i="1" s="1" a="1"/>
  <c r="BO425" i="1" s="1"/>
  <c r="BN912" i="1"/>
  <c r="BO912" i="1" s="1" a="1"/>
  <c r="BO912" i="1" s="1"/>
  <c r="AM7" i="1"/>
  <c r="AY7" i="1" s="1"/>
  <c r="BL7" i="1" s="1"/>
  <c r="AM9" i="1"/>
  <c r="AY9" i="1" s="1"/>
  <c r="BL9" i="1" s="1"/>
  <c r="BN7" i="1"/>
  <c r="BO7" i="1" s="1" a="1"/>
  <c r="BO7" i="1" s="1"/>
  <c r="AM39" i="1"/>
  <c r="AY39" i="1" s="1"/>
  <c r="BL39" i="1" s="1"/>
  <c r="BN8" i="1"/>
  <c r="BO8" i="1" s="1" a="1"/>
  <c r="BO8" i="1" s="1"/>
  <c r="BN56" i="1"/>
  <c r="BO56" i="1" s="1" a="1"/>
  <c r="BO56" i="1" s="1"/>
  <c r="BN29" i="1"/>
  <c r="BO29" i="1" s="1" a="1"/>
  <c r="BO29" i="1" s="1"/>
  <c r="BN55" i="1"/>
  <c r="BO55" i="1" s="1" a="1"/>
  <c r="BO55" i="1" s="1"/>
  <c r="BN63" i="1"/>
  <c r="BO63" i="1" s="1" a="1"/>
  <c r="BO63" i="1" s="1"/>
  <c r="BN61" i="1"/>
  <c r="BO61" i="1" s="1" a="1"/>
  <c r="BO61" i="1" s="1"/>
  <c r="BN70" i="1"/>
  <c r="BO70" i="1" s="1" a="1"/>
  <c r="BO70" i="1" s="1"/>
  <c r="BN62" i="1"/>
  <c r="BO62" i="1" s="1" a="1"/>
  <c r="BO62" i="1" s="1"/>
  <c r="BN67" i="1"/>
  <c r="BO67" i="1" s="1" a="1"/>
  <c r="BO67" i="1" s="1"/>
  <c r="AM69" i="1"/>
  <c r="AY69" i="1" s="1"/>
  <c r="BL69" i="1" s="1"/>
  <c r="AM62" i="1"/>
  <c r="AY62" i="1" s="1"/>
  <c r="AM49" i="1"/>
  <c r="AY49" i="1" s="1"/>
  <c r="AM12" i="1"/>
  <c r="AY12" i="1" s="1"/>
  <c r="BL12" i="1" s="1"/>
  <c r="BN57" i="1"/>
  <c r="BO57" i="1" s="1" a="1"/>
  <c r="BO57" i="1" s="1"/>
  <c r="BN59" i="1"/>
  <c r="BO59" i="1" s="1" a="1"/>
  <c r="BO59" i="1" s="1"/>
  <c r="BN68" i="1"/>
  <c r="BO68" i="1" s="1" a="1"/>
  <c r="BO68" i="1" s="1"/>
  <c r="BN12" i="1"/>
  <c r="BO12" i="1" s="1" a="1"/>
  <c r="BO12" i="1" s="1"/>
  <c r="BN54" i="1"/>
  <c r="BO54" i="1" s="1" a="1"/>
  <c r="BO54" i="1" s="1"/>
  <c r="BN10" i="1"/>
  <c r="BO10" i="1" s="1" a="1"/>
  <c r="BO10" i="1" s="1"/>
  <c r="BN27" i="1"/>
  <c r="BO27" i="1" s="1" a="1"/>
  <c r="BO27" i="1" s="1"/>
  <c r="BX24" i="1"/>
  <c r="BN31" i="1"/>
  <c r="BO31" i="1" s="1" a="1"/>
  <c r="BO31" i="1" s="1"/>
  <c r="AM46" i="1"/>
  <c r="AY46" i="1" s="1"/>
  <c r="BL46" i="1" s="1"/>
  <c r="AM10" i="1"/>
  <c r="AY10" i="1" s="1"/>
  <c r="BL10" i="1" s="1"/>
  <c r="AM68" i="1"/>
  <c r="AY68" i="1" s="1"/>
  <c r="BL68" i="1" s="1"/>
  <c r="AM8" i="1"/>
  <c r="AM40" i="1"/>
  <c r="AY40" i="1" s="1"/>
  <c r="AY66" i="1"/>
  <c r="BL66" i="1" s="1"/>
  <c r="AM26" i="1"/>
  <c r="AM11" i="1"/>
  <c r="AM71" i="1"/>
  <c r="AY71" i="1" s="1"/>
  <c r="BL71" i="1" s="1"/>
  <c r="BN38" i="1"/>
  <c r="BO38" i="1" s="1" a="1"/>
  <c r="BO38" i="1" s="1"/>
  <c r="BN71" i="1"/>
  <c r="BO71" i="1" s="1" a="1"/>
  <c r="BO71" i="1" s="1"/>
  <c r="BN33" i="1"/>
  <c r="BO33" i="1" s="1" a="1"/>
  <c r="BO33" i="1" s="1"/>
  <c r="BN36" i="1"/>
  <c r="BO36" i="1" s="1" a="1"/>
  <c r="BO36" i="1" s="1"/>
  <c r="BX62" i="1"/>
  <c r="BN40" i="1"/>
  <c r="BO40" i="1" s="1" a="1"/>
  <c r="BO40" i="1" s="1"/>
  <c r="BN25" i="1"/>
  <c r="BO25" i="1" s="1" a="1"/>
  <c r="BO25" i="1" s="1"/>
  <c r="BN53" i="1"/>
  <c r="BO53" i="1" s="1" a="1"/>
  <c r="BO53" i="1" s="1"/>
  <c r="BN13" i="1"/>
  <c r="BO13" i="1" s="1" a="1"/>
  <c r="BO13" i="1" s="1"/>
  <c r="BN11" i="1"/>
  <c r="BO11" i="1" s="1" a="1"/>
  <c r="BO11" i="1" s="1"/>
  <c r="BN26" i="1"/>
  <c r="BO26" i="1" s="1" a="1"/>
  <c r="BO26" i="1" s="1"/>
  <c r="BN48" i="1"/>
  <c r="BO48" i="1" s="1" a="1"/>
  <c r="BO48" i="1" s="1"/>
  <c r="BN51" i="1"/>
  <c r="BO51" i="1" s="1" a="1"/>
  <c r="BO51" i="1" s="1"/>
  <c r="BN49" i="1"/>
  <c r="BO49" i="1" s="1" a="1"/>
  <c r="BO49" i="1" s="1"/>
  <c r="BN9" i="1"/>
  <c r="BO9" i="1" s="1" a="1"/>
  <c r="BO9" i="1" s="1"/>
  <c r="BN22" i="1"/>
  <c r="BO22" i="1" s="1" a="1"/>
  <c r="BO22" i="1" s="1"/>
  <c r="AM38" i="1"/>
  <c r="AY38" i="1" s="1"/>
  <c r="BL38" i="1" s="1"/>
  <c r="BN917" i="1"/>
  <c r="BO917" i="1" s="1" a="1"/>
  <c r="BO917" i="1" s="1"/>
  <c r="BN168" i="1"/>
  <c r="BO168" i="1" s="1" a="1"/>
  <c r="BO168" i="1" s="1"/>
  <c r="BN592" i="1"/>
  <c r="BO592" i="1" s="1" a="1"/>
  <c r="BO592" i="1" s="1"/>
  <c r="BN606" i="1"/>
  <c r="BO606" i="1" s="1" a="1"/>
  <c r="BO606" i="1" s="1"/>
  <c r="BN641" i="1"/>
  <c r="BO641" i="1" s="1" a="1"/>
  <c r="BO641" i="1" s="1"/>
  <c r="BN774" i="1"/>
  <c r="BO774" i="1" s="1" a="1"/>
  <c r="BO774" i="1" s="1"/>
  <c r="BN764" i="1"/>
  <c r="BO764" i="1" s="1" a="1"/>
  <c r="BO764" i="1" s="1"/>
  <c r="AY686" i="1"/>
  <c r="BL686" i="1" s="1"/>
  <c r="BN686" i="1"/>
  <c r="BO686" i="1" s="1" a="1"/>
  <c r="BO686" i="1" s="1"/>
  <c r="BN685" i="1"/>
  <c r="BO685" i="1" s="1" a="1"/>
  <c r="BO685" i="1" s="1"/>
  <c r="BN715" i="1"/>
  <c r="BO715" i="1" s="1" a="1"/>
  <c r="BO715" i="1" s="1"/>
  <c r="AY831" i="1"/>
  <c r="BL831" i="1" s="1"/>
  <c r="AY801" i="1"/>
  <c r="BL801" i="1" s="1"/>
  <c r="BN801" i="1"/>
  <c r="BO801" i="1" s="1" a="1"/>
  <c r="BO801" i="1" s="1"/>
  <c r="AY933" i="1"/>
  <c r="BL933" i="1" s="1"/>
  <c r="AY939" i="1"/>
  <c r="BL939" i="1" s="1"/>
  <c r="BL534" i="1"/>
  <c r="AM129" i="1"/>
  <c r="AA16" i="1"/>
  <c r="AA125" i="1"/>
  <c r="AM125" i="1" s="1"/>
  <c r="AY125" i="1" s="1"/>
  <c r="BL125" i="1" s="1"/>
  <c r="AA722" i="1"/>
  <c r="AM722" i="1" s="1"/>
  <c r="AY722" i="1" s="1"/>
  <c r="BL722" i="1" s="1"/>
  <c r="AM210" i="1"/>
  <c r="AY210" i="1" s="1"/>
  <c r="BL210" i="1" s="1"/>
  <c r="AA606" i="1"/>
  <c r="AA700" i="1"/>
  <c r="AM700" i="1" s="1"/>
  <c r="AY700" i="1" s="1"/>
  <c r="BL700" i="1" s="1"/>
  <c r="AA879" i="1"/>
  <c r="AM879" i="1" s="1"/>
  <c r="AY879" i="1" s="1"/>
  <c r="BL879" i="1" s="1"/>
  <c r="BB404" i="1"/>
  <c r="R938" i="1"/>
  <c r="AA938" i="1" s="1"/>
  <c r="AM938" i="1" s="1"/>
  <c r="AY938" i="1" s="1"/>
  <c r="F928" i="1"/>
  <c r="O928" i="1" s="1"/>
  <c r="AA928" i="1" s="1"/>
  <c r="AD1003" i="1"/>
  <c r="AM1003" i="1" s="1"/>
  <c r="AY1003" i="1" s="1"/>
  <c r="BL1003" i="1" s="1"/>
  <c r="BB864" i="1"/>
  <c r="BL864" i="1" s="1"/>
  <c r="AP393" i="1"/>
  <c r="AY393" i="1" s="1"/>
  <c r="BL393" i="1" s="1"/>
  <c r="F823" i="1"/>
  <c r="O823" i="1" s="1"/>
  <c r="AA823" i="1" s="1"/>
  <c r="AM823" i="1" s="1"/>
  <c r="BB620" i="1"/>
  <c r="BL620" i="1" s="1"/>
  <c r="AD880" i="1"/>
  <c r="AM880" i="1" s="1"/>
  <c r="AY880" i="1" s="1"/>
  <c r="BL880" i="1" s="1"/>
  <c r="BB958" i="1"/>
  <c r="BL958" i="1" s="1"/>
  <c r="BB1004" i="1"/>
  <c r="BL1004" i="1" s="1"/>
  <c r="F576" i="1"/>
  <c r="O576" i="1" s="1"/>
  <c r="F585" i="1"/>
  <c r="O585" i="1" s="1"/>
  <c r="AP579" i="1"/>
  <c r="BB581" i="1"/>
  <c r="F595" i="1"/>
  <c r="O595" i="1" s="1"/>
  <c r="R583" i="1"/>
  <c r="AD590" i="1"/>
  <c r="BB594" i="1"/>
  <c r="F582" i="1"/>
  <c r="O582" i="1" s="1"/>
  <c r="AA582" i="1" s="1"/>
  <c r="AP590" i="1"/>
  <c r="AD583" i="1"/>
  <c r="BB593" i="1"/>
  <c r="R585" i="1"/>
  <c r="BB576" i="1"/>
  <c r="R596" i="1"/>
  <c r="BB585" i="1"/>
  <c r="AD584" i="1"/>
  <c r="AD580" i="1"/>
  <c r="AP591" i="1"/>
  <c r="BB776" i="1"/>
  <c r="R870" i="1"/>
  <c r="AA870" i="1" s="1"/>
  <c r="AM870" i="1" s="1"/>
  <c r="AY870" i="1" s="1"/>
  <c r="BL870" i="1" s="1"/>
  <c r="AD920" i="1"/>
  <c r="AM920" i="1" s="1"/>
  <c r="AY920" i="1" s="1"/>
  <c r="BL920" i="1" s="1"/>
  <c r="F950" i="1"/>
  <c r="O950" i="1" s="1"/>
  <c r="AA950" i="1" s="1"/>
  <c r="AM950" i="1" s="1"/>
  <c r="AY950" i="1" s="1"/>
  <c r="BL950" i="1" s="1"/>
  <c r="BB989" i="1"/>
  <c r="BB556" i="1"/>
  <c r="R220" i="1"/>
  <c r="AA220" i="1" s="1"/>
  <c r="AM220" i="1" s="1"/>
  <c r="AY220" i="1" s="1"/>
  <c r="BL220" i="1" s="1"/>
  <c r="AP912" i="1"/>
  <c r="AY912" i="1" s="1"/>
  <c r="BL912" i="1" s="1"/>
  <c r="R82" i="1"/>
  <c r="AA82" i="1" s="1"/>
  <c r="BB827" i="1"/>
  <c r="BL827" i="1" s="1"/>
  <c r="AD482" i="1"/>
  <c r="BB979" i="1"/>
  <c r="BB522" i="1"/>
  <c r="BL522" i="1" s="1"/>
  <c r="AP694" i="1"/>
  <c r="AY694" i="1" s="1"/>
  <c r="BL694" i="1" s="1"/>
  <c r="AP363" i="1"/>
  <c r="AY363" i="1" s="1"/>
  <c r="BL363" i="1" s="1"/>
  <c r="BB437" i="1"/>
  <c r="AD497" i="1"/>
  <c r="AM497" i="1" s="1"/>
  <c r="AY497" i="1" s="1"/>
  <c r="BL497" i="1" s="1"/>
  <c r="F168" i="1"/>
  <c r="O168" i="1" s="1"/>
  <c r="AA168" i="1" s="1"/>
  <c r="AM168" i="1" s="1"/>
  <c r="AY168" i="1" s="1"/>
  <c r="BL168" i="1" s="1"/>
  <c r="BB959" i="1"/>
  <c r="F776" i="1"/>
  <c r="O776" i="1" s="1"/>
  <c r="AA776" i="1" s="1"/>
  <c r="AM776" i="1" s="1"/>
  <c r="AY776" i="1" s="1"/>
  <c r="R452" i="1"/>
  <c r="F991" i="1"/>
  <c r="O991" i="1" s="1"/>
  <c r="AA991" i="1" s="1"/>
  <c r="AM991" i="1" s="1"/>
  <c r="AY991" i="1" s="1"/>
  <c r="BL991" i="1" s="1"/>
  <c r="R736" i="1"/>
  <c r="AA736" i="1" s="1"/>
  <c r="AM736" i="1" s="1"/>
  <c r="AY736" i="1" s="1"/>
  <c r="BL736" i="1" s="1"/>
  <c r="AD407" i="1"/>
  <c r="AM407" i="1" s="1"/>
  <c r="R510" i="1"/>
  <c r="AA510" i="1" s="1"/>
  <c r="AM510" i="1" s="1"/>
  <c r="AY510" i="1" s="1"/>
  <c r="BL510" i="1" s="1"/>
  <c r="AD738" i="1"/>
  <c r="F755" i="1"/>
  <c r="O755" i="1" s="1"/>
  <c r="AA755" i="1" s="1"/>
  <c r="AM755" i="1" s="1"/>
  <c r="AY755" i="1" s="1"/>
  <c r="BL755" i="1" s="1"/>
  <c r="F200" i="1"/>
  <c r="O200" i="1" s="1"/>
  <c r="AA200" i="1" s="1"/>
  <c r="AM200" i="1" s="1"/>
  <c r="AY200" i="1" s="1"/>
  <c r="BL200" i="1" s="1"/>
  <c r="AD361" i="1"/>
  <c r="AM361" i="1" s="1"/>
  <c r="AY361" i="1" s="1"/>
  <c r="BL361" i="1" s="1"/>
  <c r="BB968" i="1"/>
  <c r="F408" i="1"/>
  <c r="O408" i="1" s="1"/>
  <c r="AA408" i="1" s="1"/>
  <c r="R901" i="1"/>
  <c r="AA901" i="1" s="1"/>
  <c r="AM901" i="1" s="1"/>
  <c r="AP921" i="1"/>
  <c r="F317" i="1"/>
  <c r="O317" i="1" s="1"/>
  <c r="AD999" i="1"/>
  <c r="AM999" i="1" s="1"/>
  <c r="AY999" i="1" s="1"/>
  <c r="BL999" i="1" s="1"/>
  <c r="AP878" i="1"/>
  <c r="F800" i="1"/>
  <c r="O800" i="1" s="1"/>
  <c r="R598" i="1"/>
  <c r="AA598" i="1" s="1"/>
  <c r="AM598" i="1" s="1"/>
  <c r="AY598" i="1" s="1"/>
  <c r="BL598" i="1" s="1"/>
  <c r="AP500" i="1"/>
  <c r="AD919" i="1"/>
  <c r="AM919" i="1" s="1"/>
  <c r="AD810" i="1"/>
  <c r="AM810" i="1" s="1"/>
  <c r="AY810" i="1" s="1"/>
  <c r="BL810" i="1" s="1"/>
  <c r="AD554" i="1"/>
  <c r="AM554" i="1" s="1"/>
  <c r="AY554" i="1" s="1"/>
  <c r="BL554" i="1" s="1"/>
  <c r="R683" i="1"/>
  <c r="AA683" i="1" s="1"/>
  <c r="AM683" i="1" s="1"/>
  <c r="AY683" i="1" s="1"/>
  <c r="BL683" i="1" s="1"/>
  <c r="F732" i="1"/>
  <c r="O732" i="1" s="1"/>
  <c r="AA732" i="1" s="1"/>
  <c r="AM732" i="1" s="1"/>
  <c r="AY732" i="1" s="1"/>
  <c r="BL732" i="1" s="1"/>
  <c r="BB426" i="1"/>
  <c r="F785" i="1"/>
  <c r="O785" i="1" s="1"/>
  <c r="BB292" i="1"/>
  <c r="BL292" i="1" s="1"/>
  <c r="AD756" i="1"/>
  <c r="AD484" i="1"/>
  <c r="AM484" i="1" s="1"/>
  <c r="AY484" i="1" s="1"/>
  <c r="BL484" i="1" s="1"/>
  <c r="AD761" i="1"/>
  <c r="AM761" i="1" s="1"/>
  <c r="AY761" i="1" s="1"/>
  <c r="BL761" i="1" s="1"/>
  <c r="AP383" i="1"/>
  <c r="AY383" i="1" s="1"/>
  <c r="BL383" i="1" s="1"/>
  <c r="AP819" i="1"/>
  <c r="BB910" i="1"/>
  <c r="BL910" i="1" s="1"/>
  <c r="AD428" i="1"/>
  <c r="AM428" i="1" s="1"/>
  <c r="AY428" i="1" s="1"/>
  <c r="BL428" i="1" s="1"/>
  <c r="AP224" i="1"/>
  <c r="AY224" i="1" s="1"/>
  <c r="BL224" i="1" s="1"/>
  <c r="BL566" i="1"/>
  <c r="BN497" i="1"/>
  <c r="BO497" i="1" s="1" a="1"/>
  <c r="BO497" i="1" s="1"/>
  <c r="BN547" i="1"/>
  <c r="BO547" i="1" s="1" a="1"/>
  <c r="BO547" i="1" s="1"/>
  <c r="BN540" i="1"/>
  <c r="BO540" i="1" s="1" a="1"/>
  <c r="BO540" i="1" s="1"/>
  <c r="BN495" i="1"/>
  <c r="BO495" i="1" s="1" a="1"/>
  <c r="BO495" i="1" s="1"/>
  <c r="N1012" i="1"/>
  <c r="AM95" i="1"/>
  <c r="AY95" i="1" s="1"/>
  <c r="BL95" i="1" s="1"/>
  <c r="BN95" i="1"/>
  <c r="BO95" i="1" s="1" a="1"/>
  <c r="BO95" i="1" s="1"/>
  <c r="AY266" i="1"/>
  <c r="BL266" i="1" s="1"/>
  <c r="BN879" i="1"/>
  <c r="BO879" i="1" s="1" a="1"/>
  <c r="BO879" i="1" s="1"/>
  <c r="BN861" i="1"/>
  <c r="BO861" i="1" s="1" a="1"/>
  <c r="BO861" i="1" s="1"/>
  <c r="BN820" i="1"/>
  <c r="BO820" i="1" s="1" a="1"/>
  <c r="BO820" i="1" s="1"/>
  <c r="BN770" i="1"/>
  <c r="BO770" i="1" s="1" a="1"/>
  <c r="BO770" i="1" s="1"/>
  <c r="AM506" i="1"/>
  <c r="AY506" i="1" s="1"/>
  <c r="BL506" i="1" s="1"/>
  <c r="BN405" i="1"/>
  <c r="BO405" i="1" s="1" a="1"/>
  <c r="BO405" i="1" s="1"/>
  <c r="AY405" i="1"/>
  <c r="BL405" i="1" s="1"/>
  <c r="AA320" i="1"/>
  <c r="AM320" i="1" s="1"/>
  <c r="AY320" i="1" s="1"/>
  <c r="BL707" i="1"/>
  <c r="AM205" i="1"/>
  <c r="AY205" i="1" s="1"/>
  <c r="BL205" i="1" s="1"/>
  <c r="AA703" i="1"/>
  <c r="AM703" i="1" s="1"/>
  <c r="AY703" i="1" s="1"/>
  <c r="BL703" i="1" s="1"/>
  <c r="AY15" i="1"/>
  <c r="BL15" i="1" s="1"/>
  <c r="AA316" i="1"/>
  <c r="AM316" i="1" s="1"/>
  <c r="AY316" i="1" s="1"/>
  <c r="BL316" i="1" s="1"/>
  <c r="AX1012" i="1"/>
  <c r="AA324" i="1"/>
  <c r="AM182" i="1"/>
  <c r="AY182" i="1" s="1"/>
  <c r="AY359" i="1"/>
  <c r="BL359" i="1" s="1"/>
  <c r="BN802" i="1"/>
  <c r="BO802" i="1" s="1" a="1"/>
  <c r="BO802" i="1" s="1"/>
  <c r="BN500" i="1"/>
  <c r="BO500" i="1" s="1" a="1"/>
  <c r="BO500" i="1" s="1"/>
  <c r="AY429" i="1"/>
  <c r="BL429" i="1" s="1"/>
  <c r="BN915" i="1"/>
  <c r="BO915" i="1" s="1" a="1"/>
  <c r="BO915" i="1" s="1"/>
  <c r="BN908" i="1"/>
  <c r="BO908" i="1" s="1" a="1"/>
  <c r="BO908" i="1" s="1"/>
  <c r="BV1007" i="1"/>
  <c r="BN416" i="1"/>
  <c r="BO416" i="1" s="1" a="1"/>
  <c r="BO416" i="1" s="1"/>
  <c r="BL101" i="1"/>
  <c r="AA862" i="1"/>
  <c r="BN407" i="1"/>
  <c r="BO407" i="1" s="1" a="1"/>
  <c r="BO407" i="1" s="1"/>
  <c r="AM130" i="1"/>
  <c r="BN261" i="1"/>
  <c r="BO261" i="1" s="1" a="1"/>
  <c r="BO261" i="1" s="1"/>
  <c r="BN506" i="1"/>
  <c r="BO506" i="1" s="1" a="1"/>
  <c r="BO506" i="1" s="1"/>
  <c r="AM564" i="1"/>
  <c r="AY564" i="1" s="1"/>
  <c r="BL564" i="1" s="1"/>
  <c r="BN552" i="1"/>
  <c r="BO552" i="1" s="1" a="1"/>
  <c r="BO552" i="1" s="1"/>
  <c r="BN466" i="1"/>
  <c r="BO466" i="1" s="1" a="1"/>
  <c r="BO466" i="1" s="1"/>
  <c r="AM410" i="1"/>
  <c r="AY410" i="1" s="1"/>
  <c r="BL410" i="1" s="1"/>
  <c r="BN154" i="1"/>
  <c r="BO154" i="1" s="1" a="1"/>
  <c r="BO154" i="1" s="1"/>
  <c r="AM116" i="1"/>
  <c r="AY116" i="1" s="1"/>
  <c r="BL116" i="1" s="1"/>
  <c r="AM607" i="1"/>
  <c r="AY607" i="1" s="1"/>
  <c r="BL607" i="1" s="1"/>
  <c r="AM721" i="1"/>
  <c r="AY721" i="1" s="1"/>
  <c r="BL721" i="1" s="1"/>
  <c r="BN721" i="1"/>
  <c r="BO721" i="1" s="1" a="1"/>
  <c r="BO721" i="1" s="1"/>
  <c r="AM884" i="1"/>
  <c r="AY884" i="1" s="1"/>
  <c r="AM829" i="1"/>
  <c r="AY829" i="1" s="1"/>
  <c r="BL829" i="1" s="1"/>
  <c r="AA576" i="1"/>
  <c r="AM792" i="1"/>
  <c r="AY792" i="1" s="1"/>
  <c r="BL792" i="1" s="1"/>
  <c r="BN735" i="1"/>
  <c r="BO735" i="1" s="1" a="1"/>
  <c r="BO735" i="1" s="1"/>
  <c r="BN729" i="1"/>
  <c r="BO729" i="1" s="1" a="1"/>
  <c r="BO729" i="1" s="1"/>
  <c r="BN668" i="1"/>
  <c r="BO668" i="1" s="1" a="1"/>
  <c r="BO668" i="1" s="1"/>
  <c r="AM670" i="1"/>
  <c r="AY670" i="1" s="1"/>
  <c r="BL670" i="1" s="1"/>
  <c r="AM660" i="1"/>
  <c r="AY660" i="1" s="1"/>
  <c r="BL660" i="1" s="1"/>
  <c r="BN897" i="1"/>
  <c r="BO897" i="1" s="1" a="1"/>
  <c r="BO897" i="1" s="1"/>
  <c r="BN895" i="1"/>
  <c r="BO895" i="1" s="1" a="1"/>
  <c r="BO895" i="1" s="1"/>
  <c r="R1000" i="1"/>
  <c r="AA1000" i="1" s="1"/>
  <c r="AM1000" i="1" s="1"/>
  <c r="AY1000" i="1" s="1"/>
  <c r="AD688" i="1"/>
  <c r="AM688" i="1" s="1"/>
  <c r="AY688" i="1" s="1"/>
  <c r="BL688" i="1" s="1"/>
  <c r="R893" i="1"/>
  <c r="AA893" i="1" s="1"/>
  <c r="AM893" i="1" s="1"/>
  <c r="AY893" i="1" s="1"/>
  <c r="BL893" i="1" s="1"/>
  <c r="BB481" i="1"/>
  <c r="BL481" i="1" s="1"/>
  <c r="BB395" i="1"/>
  <c r="AP17" i="1"/>
  <c r="R565" i="1"/>
  <c r="AA565" i="1" s="1"/>
  <c r="AD923" i="1"/>
  <c r="BB921" i="1"/>
  <c r="F452" i="1"/>
  <c r="O452" i="1" s="1"/>
  <c r="AA452" i="1" s="1"/>
  <c r="AM452" i="1" s="1"/>
  <c r="AY452" i="1" s="1"/>
  <c r="BL452" i="1" s="1"/>
  <c r="F895" i="1"/>
  <c r="O895" i="1" s="1"/>
  <c r="AA895" i="1" s="1"/>
  <c r="AM895" i="1" s="1"/>
  <c r="AY895" i="1" s="1"/>
  <c r="BL895" i="1" s="1"/>
  <c r="BB841" i="1"/>
  <c r="AP407" i="1"/>
  <c r="AD638" i="1"/>
  <c r="BB811" i="1"/>
  <c r="BL811" i="1" s="1"/>
  <c r="BB970" i="1"/>
  <c r="BL970" i="1" s="1"/>
  <c r="AD302" i="1"/>
  <c r="AM302" i="1" s="1"/>
  <c r="AY302" i="1" s="1"/>
  <c r="BL302" i="1" s="1"/>
  <c r="R773" i="1"/>
  <c r="AA773" i="1" s="1"/>
  <c r="AM773" i="1" s="1"/>
  <c r="AY773" i="1" s="1"/>
  <c r="BL773" i="1" s="1"/>
  <c r="AP860" i="1"/>
  <c r="AD889" i="1"/>
  <c r="AM889" i="1" s="1"/>
  <c r="AY889" i="1" s="1"/>
  <c r="BL889" i="1" s="1"/>
  <c r="BB948" i="1"/>
  <c r="BB971" i="1"/>
  <c r="AP997" i="1"/>
  <c r="AY997" i="1" s="1"/>
  <c r="BL997" i="1" s="1"/>
  <c r="R577" i="1"/>
  <c r="AP589" i="1"/>
  <c r="R586" i="1"/>
  <c r="BB577" i="1"/>
  <c r="F592" i="1"/>
  <c r="O592" i="1" s="1"/>
  <c r="BB591" i="1"/>
  <c r="AP584" i="1"/>
  <c r="F596" i="1"/>
  <c r="O596" i="1" s="1"/>
  <c r="R589" i="1"/>
  <c r="AP580" i="1"/>
  <c r="AD577" i="1"/>
  <c r="BB589" i="1"/>
  <c r="AD591" i="1"/>
  <c r="R584" i="1"/>
  <c r="AP595" i="1"/>
  <c r="AD587" i="1"/>
  <c r="BB579" i="1"/>
  <c r="AD574" i="1"/>
  <c r="F589" i="1"/>
  <c r="O589" i="1" s="1"/>
  <c r="F584" i="1"/>
  <c r="O584" i="1" s="1"/>
  <c r="BB574" i="1"/>
  <c r="F580" i="1"/>
  <c r="O580" i="1" s="1"/>
  <c r="F586" i="1"/>
  <c r="O586" i="1" s="1"/>
  <c r="R591" i="1"/>
  <c r="AD596" i="1"/>
  <c r="AD581" i="1"/>
  <c r="BB587" i="1"/>
  <c r="R575" i="1"/>
  <c r="AA575" i="1" s="1"/>
  <c r="R580" i="1"/>
  <c r="AP593" i="1"/>
  <c r="F577" i="1"/>
  <c r="O577" i="1" s="1"/>
  <c r="AD582" i="1"/>
  <c r="AD589" i="1"/>
  <c r="AP574" i="1"/>
  <c r="F591" i="1"/>
  <c r="O591" i="1" s="1"/>
  <c r="AP576" i="1"/>
  <c r="BB583" i="1"/>
  <c r="F590" i="1"/>
  <c r="O590" i="1" s="1"/>
  <c r="R595" i="1"/>
  <c r="AA595" i="1" s="1"/>
  <c r="AM595" i="1" s="1"/>
  <c r="AY595" i="1" s="1"/>
  <c r="AD523" i="1"/>
  <c r="AM523" i="1" s="1"/>
  <c r="AY523" i="1" s="1"/>
  <c r="BL523" i="1" s="1"/>
  <c r="F818" i="1"/>
  <c r="O818" i="1" s="1"/>
  <c r="AA818" i="1" s="1"/>
  <c r="AM818" i="1" s="1"/>
  <c r="AY818" i="1" s="1"/>
  <c r="BL818" i="1" s="1"/>
  <c r="R866" i="1"/>
  <c r="AA866" i="1" s="1"/>
  <c r="AM866" i="1" s="1"/>
  <c r="AY866" i="1" s="1"/>
  <c r="BL866" i="1" s="1"/>
  <c r="BB872" i="1"/>
  <c r="AP919" i="1"/>
  <c r="AY919" i="1" s="1"/>
  <c r="BL919" i="1" s="1"/>
  <c r="BB938" i="1"/>
  <c r="BL938" i="1" s="1"/>
  <c r="AP943" i="1"/>
  <c r="AP952" i="1"/>
  <c r="F985" i="1"/>
  <c r="O985" i="1" s="1"/>
  <c r="AA985" i="1" s="1"/>
  <c r="F998" i="1"/>
  <c r="O998" i="1" s="1"/>
  <c r="AA998" i="1" s="1"/>
  <c r="AM998" i="1" s="1"/>
  <c r="AY998" i="1" s="1"/>
  <c r="BL998" i="1" s="1"/>
  <c r="R31" i="1"/>
  <c r="AA31" i="1" s="1"/>
  <c r="AM31" i="1" s="1"/>
  <c r="F345" i="1"/>
  <c r="O345" i="1" s="1"/>
  <c r="AA345" i="1" s="1"/>
  <c r="AM345" i="1" s="1"/>
  <c r="AY345" i="1" s="1"/>
  <c r="BL345" i="1" s="1"/>
  <c r="AP624" i="1"/>
  <c r="AY624" i="1" s="1"/>
  <c r="BL624" i="1" s="1"/>
  <c r="AP440" i="1"/>
  <c r="AY440" i="1" s="1"/>
  <c r="BL440" i="1" s="1"/>
  <c r="F368" i="1"/>
  <c r="O368" i="1" s="1"/>
  <c r="AA368" i="1" s="1"/>
  <c r="AM368" i="1" s="1"/>
  <c r="AY368" i="1" s="1"/>
  <c r="BL368" i="1" s="1"/>
  <c r="R406" i="1"/>
  <c r="AA406" i="1" s="1"/>
  <c r="AM406" i="1" s="1"/>
  <c r="AY406" i="1" s="1"/>
  <c r="BL406" i="1" s="1"/>
  <c r="AP434" i="1"/>
  <c r="AY434" i="1" s="1"/>
  <c r="BL434" i="1" s="1"/>
  <c r="R471" i="1"/>
  <c r="AA471" i="1" s="1"/>
  <c r="AM471" i="1" s="1"/>
  <c r="AD565" i="1"/>
  <c r="R482" i="1"/>
  <c r="AA482" i="1" s="1"/>
  <c r="AM482" i="1" s="1"/>
  <c r="AY482" i="1" s="1"/>
  <c r="BL482" i="1" s="1"/>
  <c r="R524" i="1"/>
  <c r="AA524" i="1" s="1"/>
  <c r="AM524" i="1" s="1"/>
  <c r="AY524" i="1" s="1"/>
  <c r="BL524" i="1" s="1"/>
  <c r="R223" i="1"/>
  <c r="AA223" i="1" s="1"/>
  <c r="AM223" i="1" s="1"/>
  <c r="AY223" i="1" s="1"/>
  <c r="BL223" i="1" s="1"/>
  <c r="R638" i="1"/>
  <c r="AA638" i="1" s="1"/>
  <c r="AM753" i="1"/>
  <c r="AY753" i="1" s="1"/>
  <c r="BL753" i="1" s="1"/>
  <c r="AM681" i="1"/>
  <c r="AY681" i="1" s="1"/>
  <c r="BL681" i="1" s="1"/>
  <c r="AM952" i="1"/>
  <c r="AY952" i="1" s="1"/>
  <c r="BN952" i="1"/>
  <c r="BO952" i="1" s="1" a="1"/>
  <c r="BO952" i="1" s="1"/>
  <c r="AM465" i="1"/>
  <c r="AY465" i="1" s="1"/>
  <c r="BL465" i="1" s="1"/>
  <c r="BN451" i="1"/>
  <c r="BO451" i="1" s="1" a="1"/>
  <c r="BO451" i="1" s="1"/>
  <c r="BN421" i="1"/>
  <c r="BO421" i="1" s="1" a="1"/>
  <c r="BO421" i="1" s="1"/>
  <c r="AM27" i="1"/>
  <c r="AY27" i="1" s="1"/>
  <c r="BL27" i="1" s="1"/>
  <c r="BL443" i="1"/>
  <c r="AM697" i="1"/>
  <c r="AY697" i="1" s="1"/>
  <c r="BL697" i="1" s="1"/>
  <c r="AA142" i="1"/>
  <c r="AM142" i="1" s="1"/>
  <c r="AY142" i="1" s="1"/>
  <c r="BL142" i="1" s="1"/>
  <c r="AA301" i="1"/>
  <c r="AM109" i="1"/>
  <c r="AY109" i="1" s="1"/>
  <c r="BL109" i="1" s="1"/>
  <c r="AM769" i="1"/>
  <c r="AY769" i="1" s="1"/>
  <c r="BL769" i="1" s="1"/>
  <c r="AM822" i="1"/>
  <c r="AY822" i="1" s="1"/>
  <c r="BL822" i="1" s="1"/>
  <c r="BN822" i="1"/>
  <c r="BO822" i="1" s="1" a="1"/>
  <c r="BO822" i="1" s="1"/>
  <c r="BN817" i="1"/>
  <c r="BO817" i="1" s="1" a="1"/>
  <c r="BO817" i="1" s="1"/>
  <c r="AM763" i="1"/>
  <c r="AY763" i="1" s="1"/>
  <c r="BL763" i="1" s="1"/>
  <c r="BN725" i="1"/>
  <c r="BO725" i="1" s="1" a="1"/>
  <c r="BO725" i="1" s="1"/>
  <c r="BN939" i="1"/>
  <c r="BO939" i="1" s="1" a="1"/>
  <c r="BO939" i="1" s="1"/>
  <c r="BN933" i="1"/>
  <c r="BO933" i="1" s="1" a="1"/>
  <c r="BO933" i="1" s="1"/>
  <c r="Z1012" i="1"/>
  <c r="BN47" i="1"/>
  <c r="BO47" i="1" s="1" a="1"/>
  <c r="BO47" i="1" s="1"/>
  <c r="BN39" i="1"/>
  <c r="BO39" i="1" s="1" a="1"/>
  <c r="BO39" i="1" s="1"/>
  <c r="AM43" i="1"/>
  <c r="AY43" i="1" s="1"/>
  <c r="BL43" i="1" s="1"/>
  <c r="BN43" i="1"/>
  <c r="BO43" i="1" s="1" a="1"/>
  <c r="BO43" i="1" s="1"/>
  <c r="BN23" i="1"/>
  <c r="BO23" i="1" s="1" a="1"/>
  <c r="BO23" i="1" s="1"/>
  <c r="AM37" i="1"/>
  <c r="AY37" i="1" s="1"/>
  <c r="BL37" i="1" s="1"/>
  <c r="BN518" i="1"/>
  <c r="BO518" i="1" s="1" a="1"/>
  <c r="BO518" i="1" s="1"/>
  <c r="AM508" i="1"/>
  <c r="AY508" i="1" s="1"/>
  <c r="BL508" i="1" s="1"/>
  <c r="BN498" i="1"/>
  <c r="BO498" i="1" s="1" a="1"/>
  <c r="BO498" i="1" s="1"/>
  <c r="BN474" i="1"/>
  <c r="BO474" i="1" s="1" a="1"/>
  <c r="BO474" i="1" s="1"/>
  <c r="BN479" i="1"/>
  <c r="BO479" i="1" s="1" a="1"/>
  <c r="BO479" i="1" s="1"/>
  <c r="BN443" i="1"/>
  <c r="BO443" i="1" s="1" a="1"/>
  <c r="BO443" i="1" s="1"/>
  <c r="BN406" i="1"/>
  <c r="BO406" i="1" s="1" a="1"/>
  <c r="BO406" i="1" s="1"/>
  <c r="AM187" i="1"/>
  <c r="AY187" i="1" s="1"/>
  <c r="BL187" i="1" s="1"/>
  <c r="BN187" i="1"/>
  <c r="BO187" i="1" s="1" a="1"/>
  <c r="BO187" i="1" s="1"/>
  <c r="BN190" i="1"/>
  <c r="BO190" i="1" s="1" a="1"/>
  <c r="BO190" i="1" s="1"/>
  <c r="BN181" i="1"/>
  <c r="BO181" i="1" s="1" a="1"/>
  <c r="BO181" i="1" s="1"/>
  <c r="BN99" i="1"/>
  <c r="BO99" i="1" s="1" a="1"/>
  <c r="BO99" i="1" s="1"/>
  <c r="BN713" i="1"/>
  <c r="BO713" i="1" s="1" a="1"/>
  <c r="BO713" i="1" s="1"/>
  <c r="BN527" i="1"/>
  <c r="BO527" i="1" s="1" a="1"/>
  <c r="BO527" i="1" s="1"/>
  <c r="AM500" i="1"/>
  <c r="AY500" i="1" s="1"/>
  <c r="BL500" i="1" s="1"/>
  <c r="BN18" i="1"/>
  <c r="BO18" i="1" s="1" a="1"/>
  <c r="BO18" i="1" s="1"/>
  <c r="BN19" i="1"/>
  <c r="BO19" i="1" s="1" a="1"/>
  <c r="BO19" i="1" s="1"/>
  <c r="AM915" i="1"/>
  <c r="AY915" i="1" s="1"/>
  <c r="BL915" i="1" s="1"/>
  <c r="BN900" i="1"/>
  <c r="BO900" i="1" s="1" a="1"/>
  <c r="BO900" i="1" s="1"/>
  <c r="B11" i="22"/>
  <c r="G11" i="22" s="1"/>
  <c r="AM454" i="1"/>
  <c r="AY454" i="1" s="1"/>
  <c r="BL454" i="1" s="1"/>
  <c r="AM797" i="1"/>
  <c r="AY797" i="1" s="1"/>
  <c r="BL797" i="1" s="1"/>
  <c r="BN577" i="1"/>
  <c r="BO577" i="1" s="1" a="1"/>
  <c r="BO577" i="1" s="1"/>
  <c r="BN582" i="1"/>
  <c r="BO582" i="1" s="1" a="1"/>
  <c r="BO582" i="1" s="1"/>
  <c r="BX590" i="1"/>
  <c r="BN267" i="1"/>
  <c r="BO267" i="1" s="1" a="1"/>
  <c r="BO267" i="1" s="1"/>
  <c r="BN239" i="1"/>
  <c r="BO239" i="1" s="1" a="1"/>
  <c r="BO239" i="1" s="1"/>
  <c r="AM756" i="1"/>
  <c r="AY756" i="1" s="1"/>
  <c r="BL756" i="1" s="1"/>
  <c r="BN687" i="1"/>
  <c r="BO687" i="1" s="1" a="1"/>
  <c r="BO687" i="1" s="1"/>
  <c r="BN792" i="1"/>
  <c r="BO792" i="1" s="1" a="1"/>
  <c r="BO792" i="1" s="1"/>
  <c r="BN769" i="1"/>
  <c r="BO769" i="1" s="1" a="1"/>
  <c r="BO769" i="1" s="1"/>
  <c r="BN768" i="1"/>
  <c r="BO768" i="1" s="1" a="1"/>
  <c r="BO768" i="1" s="1"/>
  <c r="BN736" i="1"/>
  <c r="BO736" i="1" s="1" a="1"/>
  <c r="BO736" i="1" s="1"/>
  <c r="BN961" i="1"/>
  <c r="BO961" i="1" s="1" a="1"/>
  <c r="BO961" i="1" s="1"/>
  <c r="AM961" i="1"/>
  <c r="AY961" i="1" s="1"/>
  <c r="BL961" i="1" s="1"/>
  <c r="AM774" i="1"/>
  <c r="AY774" i="1" s="1"/>
  <c r="BL774" i="1" s="1"/>
  <c r="BN683" i="1"/>
  <c r="BO683" i="1" s="1" a="1"/>
  <c r="BO683" i="1" s="1"/>
  <c r="AA596" i="1"/>
  <c r="AM309" i="1"/>
  <c r="AY309" i="1" s="1"/>
  <c r="BL309" i="1" s="1"/>
  <c r="AM254" i="1"/>
  <c r="AY254" i="1" s="1"/>
  <c r="BL254" i="1" s="1"/>
  <c r="AM180" i="1"/>
  <c r="AY180" i="1" s="1"/>
  <c r="BL180" i="1" s="1"/>
  <c r="AA76" i="1"/>
  <c r="AM76" i="1" s="1"/>
  <c r="AY76" i="1" s="1"/>
  <c r="BL76" i="1" s="1"/>
  <c r="AA490" i="1"/>
  <c r="AM490" i="1" s="1"/>
  <c r="AY490" i="1" s="1"/>
  <c r="BL490" i="1" s="1"/>
  <c r="AM41" i="1"/>
  <c r="AY41" i="1" s="1"/>
  <c r="BL41" i="1" s="1"/>
  <c r="AY570" i="1"/>
  <c r="BL570" i="1" s="1"/>
  <c r="AM256" i="1"/>
  <c r="AY256" i="1" s="1"/>
  <c r="BL256" i="1" s="1"/>
  <c r="AY275" i="1"/>
  <c r="AM230" i="1"/>
  <c r="AY230" i="1" s="1"/>
  <c r="BL230" i="1" s="1"/>
  <c r="AM315" i="1"/>
  <c r="AY315" i="1" s="1"/>
  <c r="BL315" i="1" s="1"/>
  <c r="BL320" i="1"/>
  <c r="BL310" i="1"/>
  <c r="AA951" i="1"/>
  <c r="AM951" i="1" s="1"/>
  <c r="AY951" i="1" s="1"/>
  <c r="BL951" i="1" s="1"/>
  <c r="AM75" i="1"/>
  <c r="AA527" i="1"/>
  <c r="AM527" i="1" s="1"/>
  <c r="AY527" i="1" s="1"/>
  <c r="BL527" i="1" s="1"/>
  <c r="AY277" i="1"/>
  <c r="BL277" i="1" s="1"/>
  <c r="R905" i="1"/>
  <c r="AA905" i="1" s="1"/>
  <c r="AM905" i="1" s="1"/>
  <c r="AY905" i="1" s="1"/>
  <c r="BL905" i="1" s="1"/>
  <c r="AP780" i="1"/>
  <c r="AY780" i="1" s="1"/>
  <c r="BL780" i="1" s="1"/>
  <c r="AP280" i="1"/>
  <c r="AD659" i="1"/>
  <c r="AP291" i="1"/>
  <c r="F1006" i="1"/>
  <c r="O1006" i="1" s="1"/>
  <c r="AA1006" i="1" s="1"/>
  <c r="AM1006" i="1" s="1"/>
  <c r="AY1006" i="1" s="1"/>
  <c r="BL1006" i="1" s="1"/>
  <c r="AD967" i="1"/>
  <c r="AD971" i="1"/>
  <c r="AM971" i="1" s="1"/>
  <c r="AY971" i="1" s="1"/>
  <c r="BL971" i="1" s="1"/>
  <c r="F291" i="1"/>
  <c r="O291" i="1" s="1"/>
  <c r="AA291" i="1" s="1"/>
  <c r="AM291" i="1" s="1"/>
  <c r="AY291" i="1" s="1"/>
  <c r="BL291" i="1" s="1"/>
  <c r="BB952" i="1"/>
  <c r="R969" i="1"/>
  <c r="AA969" i="1" s="1"/>
  <c r="AM969" i="1" s="1"/>
  <c r="AY969" i="1" s="1"/>
  <c r="BL969" i="1" s="1"/>
  <c r="AP897" i="1"/>
  <c r="R956" i="1"/>
  <c r="AA956" i="1" s="1"/>
  <c r="AM956" i="1" s="1"/>
  <c r="AP934" i="1"/>
  <c r="AY934" i="1" s="1"/>
  <c r="BL934" i="1" s="1"/>
  <c r="AP926" i="1"/>
  <c r="AD924" i="1"/>
  <c r="AM924" i="1" s="1"/>
  <c r="AY924" i="1" s="1"/>
  <c r="BL924" i="1" s="1"/>
  <c r="F890" i="1"/>
  <c r="O890" i="1" s="1"/>
  <c r="AA890" i="1" s="1"/>
  <c r="R922" i="1"/>
  <c r="AA922" i="1" s="1"/>
  <c r="AM922" i="1" s="1"/>
  <c r="AY922" i="1" s="1"/>
  <c r="BL922" i="1" s="1"/>
  <c r="BB966" i="1"/>
  <c r="R731" i="1"/>
  <c r="AA731" i="1" s="1"/>
  <c r="AM731" i="1" s="1"/>
  <c r="AY731" i="1" s="1"/>
  <c r="BL731" i="1" s="1"/>
  <c r="AP842" i="1"/>
  <c r="R451" i="1"/>
  <c r="AA451" i="1" s="1"/>
  <c r="AM451" i="1" s="1"/>
  <c r="AY451" i="1" s="1"/>
  <c r="AP964" i="1"/>
  <c r="AY964" i="1" s="1"/>
  <c r="AD734" i="1"/>
  <c r="AM734" i="1" s="1"/>
  <c r="AY734" i="1" s="1"/>
  <c r="BL734" i="1" s="1"/>
  <c r="R986" i="1"/>
  <c r="AA986" i="1" s="1"/>
  <c r="AM986" i="1" s="1"/>
  <c r="AY986" i="1" s="1"/>
  <c r="BL986" i="1" s="1"/>
  <c r="F479" i="1"/>
  <c r="O479" i="1" s="1"/>
  <c r="AA479" i="1" s="1"/>
  <c r="AM479" i="1" s="1"/>
  <c r="AY479" i="1" s="1"/>
  <c r="BL479" i="1" s="1"/>
  <c r="BB189" i="1"/>
  <c r="BL189" i="1" s="1"/>
  <c r="BB451" i="1"/>
  <c r="AP664" i="1"/>
  <c r="F777" i="1"/>
  <c r="O777" i="1" s="1"/>
  <c r="F819" i="1"/>
  <c r="O819" i="1" s="1"/>
  <c r="AA819" i="1" s="1"/>
  <c r="AM819" i="1" s="1"/>
  <c r="AY819" i="1" s="1"/>
  <c r="BL819" i="1" s="1"/>
  <c r="AP869" i="1"/>
  <c r="AP987" i="1"/>
  <c r="AY987" i="1" s="1"/>
  <c r="BL987" i="1" s="1"/>
  <c r="F243" i="1"/>
  <c r="O243" i="1" s="1"/>
  <c r="AA243" i="1" s="1"/>
  <c r="AM243" i="1" s="1"/>
  <c r="AY243" i="1" s="1"/>
  <c r="BL243" i="1" s="1"/>
  <c r="BB420" i="1"/>
  <c r="BL420" i="1" s="1"/>
  <c r="BB718" i="1"/>
  <c r="BL718" i="1" s="1"/>
  <c r="R815" i="1"/>
  <c r="AA815" i="1" s="1"/>
  <c r="AM815" i="1" s="1"/>
  <c r="AY815" i="1" s="1"/>
  <c r="BL815" i="1" s="1"/>
  <c r="AP852" i="1"/>
  <c r="BB869" i="1"/>
  <c r="BB887" i="1"/>
  <c r="BL887" i="1" s="1"/>
  <c r="R923" i="1"/>
  <c r="AA923" i="1" s="1"/>
  <c r="AM923" i="1" s="1"/>
  <c r="AY923" i="1" s="1"/>
  <c r="BL923" i="1" s="1"/>
  <c r="BB944" i="1"/>
  <c r="BL944" i="1" s="1"/>
  <c r="BB954" i="1"/>
  <c r="BL954" i="1" s="1"/>
  <c r="AP959" i="1"/>
  <c r="AD985" i="1"/>
  <c r="AM985" i="1" s="1"/>
  <c r="AY985" i="1" s="1"/>
  <c r="BL985" i="1" s="1"/>
  <c r="F996" i="1"/>
  <c r="O996" i="1" s="1"/>
  <c r="AA996" i="1" s="1"/>
  <c r="AM996" i="1" s="1"/>
  <c r="AY996" i="1" s="1"/>
  <c r="BL996" i="1" s="1"/>
  <c r="BB1000" i="1"/>
  <c r="BL1000" i="1" s="1"/>
  <c r="F894" i="1"/>
  <c r="O894" i="1" s="1"/>
  <c r="AA894" i="1" s="1"/>
  <c r="AM894" i="1" s="1"/>
  <c r="AY894" i="1" s="1"/>
  <c r="BL894" i="1" s="1"/>
  <c r="BB578" i="1"/>
  <c r="F587" i="1"/>
  <c r="O587" i="1" s="1"/>
  <c r="AD594" i="1"/>
  <c r="AD579" i="1"/>
  <c r="BB588" i="1"/>
  <c r="F574" i="1"/>
  <c r="O574" i="1" s="1"/>
  <c r="AA574" i="1" s="1"/>
  <c r="AP581" i="1"/>
  <c r="AP587" i="1"/>
  <c r="AP594" i="1"/>
  <c r="R590" i="1"/>
  <c r="BB575" i="1"/>
  <c r="F583" i="1"/>
  <c r="O583" i="1" s="1"/>
  <c r="AA583" i="1" s="1"/>
  <c r="AM583" i="1" s="1"/>
  <c r="AY583" i="1" s="1"/>
  <c r="BL583" i="1" s="1"/>
  <c r="R588" i="1"/>
  <c r="AA588" i="1" s="1"/>
  <c r="AD593" i="1"/>
  <c r="AD578" i="1"/>
  <c r="AP585" i="1"/>
  <c r="F594" i="1"/>
  <c r="O594" i="1" s="1"/>
  <c r="F579" i="1"/>
  <c r="O579" i="1" s="1"/>
  <c r="AA579" i="1" s="1"/>
  <c r="AM579" i="1" s="1"/>
  <c r="AY579" i="1" s="1"/>
  <c r="BL579" i="1" s="1"/>
  <c r="AD588" i="1"/>
  <c r="AP596" i="1"/>
  <c r="R581" i="1"/>
  <c r="AA581" i="1" s="1"/>
  <c r="AM581" i="1" s="1"/>
  <c r="AY581" i="1" s="1"/>
  <c r="BL581" i="1" s="1"/>
  <c r="R587" i="1"/>
  <c r="AA587" i="1" s="1"/>
  <c r="R594" i="1"/>
  <c r="BB584" i="1"/>
  <c r="AD575" i="1"/>
  <c r="AM575" i="1" s="1"/>
  <c r="AY575" i="1" s="1"/>
  <c r="BL575" i="1" s="1"/>
  <c r="BB580" i="1"/>
  <c r="BB586" i="1"/>
  <c r="F593" i="1"/>
  <c r="O593" i="1" s="1"/>
  <c r="AA593" i="1" s="1"/>
  <c r="AP577" i="1"/>
  <c r="AP582" i="1"/>
  <c r="R592" i="1"/>
  <c r="AA592" i="1" s="1"/>
  <c r="AD576" i="1"/>
  <c r="AM576" i="1" s="1"/>
  <c r="AP586" i="1"/>
  <c r="BB595" i="1"/>
  <c r="BL595" i="1" s="1"/>
  <c r="R578" i="1"/>
  <c r="AA578" i="1" s="1"/>
  <c r="AM578" i="1" s="1"/>
  <c r="AY578" i="1" s="1"/>
  <c r="AD585" i="1"/>
  <c r="AD592" i="1"/>
  <c r="BL222" i="1"/>
  <c r="BL348" i="1"/>
  <c r="AY260" i="1"/>
  <c r="BL260" i="1" s="1"/>
  <c r="BL367" i="1"/>
  <c r="AM100" i="1"/>
  <c r="AY100" i="1" s="1"/>
  <c r="BL100" i="1" s="1"/>
  <c r="AM396" i="1"/>
  <c r="AY396" i="1" s="1"/>
  <c r="BL396" i="1" s="1"/>
  <c r="AA35" i="1"/>
  <c r="AM35" i="1" s="1"/>
  <c r="AY35" i="1" s="1"/>
  <c r="BL35" i="1" s="1"/>
  <c r="AA165" i="1"/>
  <c r="AM165" i="1" s="1"/>
  <c r="AY165" i="1" s="1"/>
  <c r="BL165" i="1" s="1"/>
  <c r="AY556" i="1"/>
  <c r="BL556" i="1" s="1"/>
  <c r="AM525" i="1"/>
  <c r="AY525" i="1" s="1"/>
  <c r="BL525" i="1" s="1"/>
  <c r="AY272" i="1"/>
  <c r="BL272" i="1" s="1"/>
  <c r="BL270" i="1"/>
  <c r="AM804" i="1"/>
  <c r="AY804" i="1" s="1"/>
  <c r="BL804" i="1" s="1"/>
  <c r="AM77" i="1"/>
  <c r="AY77" i="1" s="1"/>
  <c r="BL77" i="1" s="1"/>
  <c r="AM57" i="1"/>
  <c r="AY57" i="1" s="1"/>
  <c r="BL57" i="1" s="1"/>
  <c r="AY63" i="1"/>
  <c r="BL63" i="1" s="1"/>
  <c r="AA535" i="1"/>
  <c r="AM535" i="1" s="1"/>
  <c r="AY535" i="1" s="1"/>
  <c r="BL535" i="1" s="1"/>
  <c r="AA124" i="1"/>
  <c r="AM124" i="1" s="1"/>
  <c r="AY124" i="1" s="1"/>
  <c r="BL124" i="1" s="1"/>
  <c r="AM239" i="1"/>
  <c r="AY239" i="1" s="1"/>
  <c r="BL239" i="1" s="1"/>
  <c r="AY296" i="1"/>
  <c r="BL296" i="1" s="1"/>
  <c r="AY240" i="1"/>
  <c r="BL240" i="1" s="1"/>
  <c r="AY188" i="1"/>
  <c r="BL188" i="1" s="1"/>
  <c r="AY98" i="1"/>
  <c r="BL98" i="1" s="1"/>
  <c r="AM334" i="1"/>
  <c r="AY334" i="1" s="1"/>
  <c r="BL334" i="1" s="1"/>
  <c r="AM163" i="1"/>
  <c r="AY163" i="1" s="1"/>
  <c r="BL163" i="1" s="1"/>
  <c r="AM177" i="1"/>
  <c r="AY177" i="1" s="1"/>
  <c r="BL177" i="1" s="1"/>
  <c r="AM154" i="1"/>
  <c r="AY154" i="1" s="1"/>
  <c r="BL154" i="1" s="1"/>
  <c r="BL337" i="1"/>
  <c r="AY145" i="1"/>
  <c r="BL145" i="1" s="1"/>
  <c r="AM605" i="1"/>
  <c r="AY605" i="1" s="1"/>
  <c r="BL605" i="1" s="1"/>
  <c r="AY206" i="1"/>
  <c r="BL206" i="1" s="1"/>
  <c r="AM281" i="1"/>
  <c r="AY281" i="1" s="1"/>
  <c r="BL281" i="1" s="1"/>
  <c r="AM179" i="1"/>
  <c r="AY179" i="1" s="1"/>
  <c r="BL179" i="1" s="1"/>
  <c r="AY250" i="1"/>
  <c r="BL250" i="1" s="1"/>
  <c r="AY56" i="1"/>
  <c r="BL56" i="1" s="1"/>
  <c r="BL81" i="1"/>
  <c r="AA839" i="1"/>
  <c r="AM839" i="1" s="1"/>
  <c r="AY839" i="1" s="1"/>
  <c r="BL839" i="1" s="1"/>
  <c r="AY8" i="1"/>
  <c r="BL8" i="1" s="1"/>
  <c r="AA86" i="1"/>
  <c r="AM86" i="1" s="1"/>
  <c r="AY86" i="1" s="1"/>
  <c r="BL86" i="1" s="1"/>
  <c r="AA918" i="1"/>
  <c r="AM918" i="1" s="1"/>
  <c r="AY918" i="1" s="1"/>
  <c r="BL918" i="1" s="1"/>
  <c r="AM354" i="1"/>
  <c r="AY354" i="1" s="1"/>
  <c r="BL354" i="1" s="1"/>
  <c r="AY75" i="1"/>
  <c r="AA249" i="1"/>
  <c r="AM249" i="1" s="1"/>
  <c r="AY249" i="1" s="1"/>
  <c r="BL249" i="1" s="1"/>
  <c r="BL126" i="1"/>
  <c r="AM816" i="1"/>
  <c r="AY816" i="1" s="1"/>
  <c r="BL816" i="1" s="1"/>
  <c r="AM207" i="1"/>
  <c r="AY207" i="1" s="1"/>
  <c r="BL207" i="1" s="1"/>
  <c r="AY228" i="1"/>
  <c r="BL228" i="1" s="1"/>
  <c r="AY114" i="1"/>
  <c r="BL114" i="1" s="1"/>
  <c r="BL433" i="1"/>
  <c r="BL96" i="1"/>
  <c r="AY676" i="1"/>
  <c r="BL676" i="1" s="1"/>
  <c r="AY449" i="1"/>
  <c r="BL449" i="1" s="1"/>
  <c r="AM928" i="1"/>
  <c r="AY928" i="1" s="1"/>
  <c r="BL928" i="1" s="1"/>
  <c r="AA24" i="1"/>
  <c r="AM24" i="1" s="1"/>
  <c r="AY24" i="1" s="1"/>
  <c r="BL24" i="1" s="1"/>
  <c r="AM143" i="1"/>
  <c r="AY143" i="1" s="1"/>
  <c r="BL143" i="1" s="1"/>
  <c r="BN993" i="1"/>
  <c r="BO993" i="1" s="1" a="1"/>
  <c r="BO993" i="1" s="1"/>
  <c r="BN946" i="1"/>
  <c r="BO946" i="1" s="1" a="1"/>
  <c r="BO946" i="1" s="1"/>
  <c r="BN926" i="1"/>
  <c r="BO926" i="1" s="1" a="1"/>
  <c r="BO926" i="1" s="1"/>
  <c r="AM926" i="1"/>
  <c r="BL103" i="1"/>
  <c r="AY381" i="1"/>
  <c r="BL381" i="1" s="1"/>
  <c r="AA558" i="1"/>
  <c r="AM558" i="1" s="1"/>
  <c r="AY558" i="1" s="1"/>
  <c r="BL558" i="1" s="1"/>
  <c r="AM137" i="1"/>
  <c r="AY137" i="1" s="1"/>
  <c r="BL137" i="1" s="1"/>
  <c r="BL138" i="1"/>
  <c r="AM422" i="1"/>
  <c r="AY422" i="1" s="1"/>
  <c r="BL422" i="1" s="1"/>
  <c r="BL235" i="1"/>
  <c r="AM355" i="1"/>
  <c r="AY355" i="1" s="1"/>
  <c r="BL355" i="1" s="1"/>
  <c r="AY746" i="1"/>
  <c r="BL746" i="1" s="1"/>
  <c r="AM195" i="1"/>
  <c r="AY195" i="1" s="1"/>
  <c r="BL195" i="1" s="1"/>
  <c r="AA286" i="1"/>
  <c r="AM286" i="1" s="1"/>
  <c r="AY286" i="1" s="1"/>
  <c r="BL286" i="1" s="1"/>
  <c r="AA314" i="1"/>
  <c r="AM314" i="1" s="1"/>
  <c r="AY314" i="1" s="1"/>
  <c r="BL314" i="1" s="1"/>
  <c r="AY788" i="1"/>
  <c r="BL788" i="1" s="1"/>
  <c r="BL150" i="1"/>
  <c r="BL295" i="1"/>
  <c r="AY29" i="1"/>
  <c r="BL29" i="1" s="1"/>
  <c r="BL326" i="1"/>
  <c r="AY935" i="1"/>
  <c r="BL935" i="1" s="1"/>
  <c r="AM561" i="1"/>
  <c r="AY561" i="1" s="1"/>
  <c r="BL561" i="1" s="1"/>
  <c r="AY312" i="1"/>
  <c r="BL312" i="1" s="1"/>
  <c r="AM110" i="1"/>
  <c r="AY110" i="1" s="1"/>
  <c r="BL110" i="1" s="1"/>
  <c r="AA871" i="1"/>
  <c r="AM871" i="1" s="1"/>
  <c r="AY871" i="1" s="1"/>
  <c r="BL871" i="1" s="1"/>
  <c r="BL122" i="1"/>
  <c r="AM45" i="1"/>
  <c r="AY45" i="1" s="1"/>
  <c r="BL45" i="1" s="1"/>
  <c r="AA300" i="1"/>
  <c r="AM300" i="1" s="1"/>
  <c r="AY300" i="1" s="1"/>
  <c r="BL300" i="1" s="1"/>
  <c r="AA404" i="1"/>
  <c r="AM404" i="1" s="1"/>
  <c r="AY404" i="1" s="1"/>
  <c r="BL404" i="1" s="1"/>
  <c r="AM196" i="1"/>
  <c r="AY196" i="1" s="1"/>
  <c r="BL196" i="1" s="1"/>
  <c r="AY84" i="1"/>
  <c r="BL84" i="1" s="1"/>
  <c r="AM54" i="1"/>
  <c r="AY54" i="1" s="1"/>
  <c r="BL54" i="1" s="1"/>
  <c r="AM388" i="1"/>
  <c r="AY388" i="1" s="1"/>
  <c r="BL388" i="1" s="1"/>
  <c r="AM380" i="1"/>
  <c r="AY380" i="1" s="1"/>
  <c r="BL380" i="1" s="1"/>
  <c r="BL284" i="1"/>
  <c r="AM112" i="1"/>
  <c r="AY112" i="1" s="1"/>
  <c r="BL112" i="1" s="1"/>
  <c r="AA244" i="1"/>
  <c r="AM244" i="1" s="1"/>
  <c r="AY244" i="1" s="1"/>
  <c r="BL244" i="1" s="1"/>
  <c r="AM72" i="1"/>
  <c r="AY72" i="1" s="1"/>
  <c r="BL72" i="1" s="1"/>
  <c r="AA42" i="1"/>
  <c r="AM42" i="1" s="1"/>
  <c r="AY42" i="1" s="1"/>
  <c r="BL42" i="1" s="1"/>
  <c r="AY11" i="1"/>
  <c r="BL11" i="1" s="1"/>
  <c r="AM342" i="1"/>
  <c r="AY342" i="1" s="1"/>
  <c r="BL342" i="1" s="1"/>
  <c r="AA303" i="1"/>
  <c r="AM303" i="1" s="1"/>
  <c r="AY303" i="1" s="1"/>
  <c r="BL303" i="1" s="1"/>
  <c r="AA6" i="1"/>
  <c r="AM6" i="1" s="1"/>
  <c r="AY6" i="1" s="1"/>
  <c r="BL6" i="1" s="1"/>
  <c r="AY146" i="1"/>
  <c r="BL146" i="1" s="1"/>
  <c r="AM82" i="1"/>
  <c r="AY82" i="1" s="1"/>
  <c r="BL82" i="1" s="1"/>
  <c r="AA159" i="1"/>
  <c r="AM159" i="1" s="1"/>
  <c r="AY159" i="1" s="1"/>
  <c r="BL159" i="1" s="1"/>
  <c r="AM166" i="1"/>
  <c r="AY166" i="1" s="1"/>
  <c r="BL166" i="1" s="1"/>
  <c r="AM283" i="1"/>
  <c r="AY283" i="1" s="1"/>
  <c r="BL283" i="1" s="1"/>
  <c r="AM133" i="1"/>
  <c r="AY133" i="1" s="1"/>
  <c r="BL133" i="1" s="1"/>
  <c r="AM149" i="1"/>
  <c r="AY149" i="1" s="1"/>
  <c r="BL149" i="1" s="1"/>
  <c r="AY26" i="1"/>
  <c r="BL26" i="1" s="1"/>
  <c r="AY232" i="1"/>
  <c r="BL232" i="1" s="1"/>
  <c r="AY299" i="1"/>
  <c r="BL299" i="1" s="1"/>
  <c r="AY330" i="1"/>
  <c r="BL330" i="1" s="1"/>
  <c r="AY117" i="1"/>
  <c r="BL117" i="1" s="1"/>
  <c r="AM280" i="1"/>
  <c r="BL242" i="1"/>
  <c r="AM136" i="1"/>
  <c r="AY136" i="1" s="1"/>
  <c r="BL136" i="1" s="1"/>
  <c r="BL319" i="1"/>
  <c r="AM152" i="1"/>
  <c r="AY152" i="1" s="1"/>
  <c r="BL152" i="1" s="1"/>
  <c r="AM344" i="1"/>
  <c r="AY344" i="1" s="1"/>
  <c r="BL344" i="1" s="1"/>
  <c r="AY473" i="1"/>
  <c r="BL473" i="1" s="1"/>
  <c r="AM647" i="1"/>
  <c r="AY647" i="1" s="1"/>
  <c r="BL647" i="1" s="1"/>
  <c r="BL49" i="1"/>
  <c r="AM99" i="1"/>
  <c r="AY99" i="1" s="1"/>
  <c r="BL99" i="1" s="1"/>
  <c r="AY130" i="1"/>
  <c r="BL130" i="1" s="1"/>
  <c r="AM211" i="1"/>
  <c r="AY211" i="1" s="1"/>
  <c r="BL211" i="1" s="1"/>
  <c r="AA32" i="1"/>
  <c r="AM32" i="1" s="1"/>
  <c r="AY32" i="1" s="1"/>
  <c r="BL32" i="1" s="1"/>
  <c r="AA781" i="1"/>
  <c r="AM781" i="1" s="1"/>
  <c r="AY781" i="1" s="1"/>
  <c r="BL781" i="1" s="1"/>
  <c r="AA55" i="1"/>
  <c r="AM55" i="1" s="1"/>
  <c r="AY55" i="1" s="1"/>
  <c r="BL55" i="1" s="1"/>
  <c r="AA394" i="1"/>
  <c r="AM394" i="1" s="1"/>
  <c r="AY394" i="1" s="1"/>
  <c r="BL394" i="1" s="1"/>
  <c r="AA23" i="1"/>
  <c r="AM23" i="1" s="1"/>
  <c r="AY23" i="1" s="1"/>
  <c r="BL23" i="1" s="1"/>
  <c r="AM366" i="1"/>
  <c r="AY366" i="1" s="1"/>
  <c r="BL366" i="1" s="1"/>
  <c r="AM504" i="1"/>
  <c r="AY504" i="1" s="1"/>
  <c r="BL504" i="1" s="1"/>
  <c r="AA878" i="1"/>
  <c r="AM878" i="1" s="1"/>
  <c r="AY878" i="1" s="1"/>
  <c r="BL878" i="1" s="1"/>
  <c r="AA643" i="1"/>
  <c r="AM643" i="1" s="1"/>
  <c r="AY643" i="1" s="1"/>
  <c r="BL643" i="1" s="1"/>
  <c r="AM324" i="1"/>
  <c r="AY324" i="1" s="1"/>
  <c r="BL324" i="1" s="1"/>
  <c r="AY351" i="1"/>
  <c r="BL351" i="1" s="1"/>
  <c r="AA943" i="1"/>
  <c r="AM943" i="1" s="1"/>
  <c r="AA860" i="1"/>
  <c r="AM860" i="1" s="1"/>
  <c r="AJ1008" i="1"/>
  <c r="AJ1010" i="1"/>
  <c r="AK1010" i="1"/>
  <c r="AV1010" i="1"/>
  <c r="H1010" i="1"/>
  <c r="H1008" i="1"/>
  <c r="AU1008" i="1"/>
  <c r="S1010" i="1"/>
  <c r="J1010" i="1"/>
  <c r="AU1010" i="1"/>
  <c r="AF1010" i="1"/>
  <c r="AR1010" i="1"/>
  <c r="BF1010" i="1"/>
  <c r="BJ1010" i="1"/>
  <c r="M1010" i="1"/>
  <c r="X1010" i="1"/>
  <c r="AT1008" i="1"/>
  <c r="BD1008" i="1"/>
  <c r="AS1008" i="1"/>
  <c r="BG1010" i="1"/>
  <c r="AE1010" i="1"/>
  <c r="X1008" i="1"/>
  <c r="AH1010" i="1"/>
  <c r="G1008" i="1"/>
  <c r="K1008" i="1"/>
  <c r="BH1010" i="1"/>
  <c r="AY134" i="1"/>
  <c r="BL134" i="1" s="1"/>
  <c r="AM757" i="1"/>
  <c r="AY757" i="1" s="1"/>
  <c r="BL757" i="1" s="1"/>
  <c r="AM271" i="1"/>
  <c r="AY271" i="1" s="1"/>
  <c r="BL271" i="1" s="1"/>
  <c r="AY743" i="1"/>
  <c r="BL743" i="1" s="1"/>
  <c r="AM537" i="1"/>
  <c r="AY537" i="1" s="1"/>
  <c r="BL537" i="1" s="1"/>
  <c r="AM764" i="1"/>
  <c r="AY764" i="1" s="1"/>
  <c r="BL764" i="1" s="1"/>
  <c r="AM50" i="1"/>
  <c r="AY50" i="1" s="1"/>
  <c r="BL50" i="1" s="1"/>
  <c r="AM377" i="1"/>
  <c r="AY377" i="1" s="1"/>
  <c r="BL377" i="1" s="1"/>
  <c r="BL40" i="1"/>
  <c r="BL118" i="1"/>
  <c r="AA352" i="1"/>
  <c r="AM352" i="1" s="1"/>
  <c r="AY352" i="1" s="1"/>
  <c r="BL352" i="1" s="1"/>
  <c r="AM358" i="1"/>
  <c r="AY358" i="1" s="1"/>
  <c r="BL358" i="1" s="1"/>
  <c r="AA395" i="1"/>
  <c r="AM395" i="1" s="1"/>
  <c r="AY395" i="1" s="1"/>
  <c r="BL395" i="1" s="1"/>
  <c r="AA317" i="1"/>
  <c r="AM317" i="1" s="1"/>
  <c r="AY317" i="1" s="1"/>
  <c r="BL317" i="1" s="1"/>
  <c r="AA83" i="1"/>
  <c r="AM83" i="1" s="1"/>
  <c r="AY83" i="1" s="1"/>
  <c r="BL83" i="1" s="1"/>
  <c r="AA967" i="1"/>
  <c r="AY960" i="1"/>
  <c r="BL960" i="1" s="1"/>
  <c r="AM988" i="1"/>
  <c r="AY988" i="1" s="1"/>
  <c r="BL988" i="1" s="1"/>
  <c r="AA548" i="1"/>
  <c r="AM548" i="1" s="1"/>
  <c r="AY548" i="1" s="1"/>
  <c r="BL548" i="1" s="1"/>
  <c r="AA875" i="1"/>
  <c r="AM875" i="1" s="1"/>
  <c r="AY875" i="1" s="1"/>
  <c r="BL875" i="1" s="1"/>
  <c r="AA973" i="1"/>
  <c r="AM973" i="1" s="1"/>
  <c r="AY973" i="1" s="1"/>
  <c r="BL973" i="1" s="1"/>
  <c r="AP956" i="1"/>
  <c r="V1010" i="1"/>
  <c r="AS1010" i="1"/>
  <c r="L1010" i="1"/>
  <c r="AQ1008" i="1"/>
  <c r="BF1008" i="1"/>
  <c r="J1008" i="1"/>
  <c r="BI1010" i="1"/>
  <c r="I1010" i="1"/>
  <c r="AW1010" i="1"/>
  <c r="AI1010" i="1"/>
  <c r="M1008" i="1"/>
  <c r="AK1008" i="1"/>
  <c r="BE1010" i="1"/>
  <c r="AI1008" i="1"/>
  <c r="T1010" i="1"/>
  <c r="L1008" i="1"/>
  <c r="BD1010" i="1"/>
  <c r="W1010" i="1"/>
  <c r="I1008" i="1"/>
  <c r="BJ1008" i="1"/>
  <c r="W1008" i="1"/>
  <c r="BH1008" i="1"/>
  <c r="BG1008" i="1"/>
  <c r="BC1010" i="1"/>
  <c r="AQ1010" i="1"/>
  <c r="AW1008" i="1"/>
  <c r="Y1010" i="1"/>
  <c r="U1010" i="1"/>
  <c r="G1010" i="1"/>
  <c r="BE1008" i="1"/>
  <c r="T1008" i="1"/>
  <c r="U1008" i="1"/>
  <c r="AH1008" i="1"/>
  <c r="AG1008" i="1"/>
  <c r="AR1008" i="1"/>
  <c r="K1010" i="1"/>
  <c r="AT1010" i="1"/>
  <c r="AV1008" i="1"/>
  <c r="S1008" i="1"/>
  <c r="BC1008" i="1"/>
  <c r="AF1008" i="1"/>
  <c r="Y1008" i="1"/>
  <c r="BI1008" i="1"/>
  <c r="AG1010" i="1"/>
  <c r="V1008" i="1"/>
  <c r="AE1008" i="1"/>
  <c r="AA375" i="1"/>
  <c r="AM375" i="1" s="1"/>
  <c r="AY375" i="1" s="1"/>
  <c r="BL375" i="1" s="1"/>
  <c r="AA485" i="1"/>
  <c r="AM485" i="1" s="1"/>
  <c r="AY485" i="1" s="1"/>
  <c r="BL485" i="1" s="1"/>
  <c r="BL274" i="1"/>
  <c r="AA44" i="1"/>
  <c r="AM44" i="1" s="1"/>
  <c r="AY44" i="1" s="1"/>
  <c r="BL44" i="1" s="1"/>
  <c r="AA212" i="1"/>
  <c r="AM212" i="1" s="1"/>
  <c r="AY212" i="1" s="1"/>
  <c r="AA968" i="1"/>
  <c r="AM968" i="1" s="1"/>
  <c r="AY968" i="1" s="1"/>
  <c r="BL968" i="1" s="1"/>
  <c r="AA832" i="1"/>
  <c r="AM832" i="1" s="1"/>
  <c r="AY832" i="1" s="1"/>
  <c r="BL832" i="1" s="1"/>
  <c r="AM931" i="1"/>
  <c r="AY931" i="1" s="1"/>
  <c r="BL931" i="1" s="1"/>
  <c r="AY387" i="1"/>
  <c r="BL387" i="1" s="1"/>
  <c r="AA34" i="1"/>
  <c r="AM34" i="1" s="1"/>
  <c r="AY34" i="1" s="1"/>
  <c r="BL34" i="1" s="1"/>
  <c r="BL341" i="1"/>
  <c r="AY157" i="1"/>
  <c r="BL157" i="1" s="1"/>
  <c r="AA208" i="1"/>
  <c r="AM208" i="1" s="1"/>
  <c r="AY208" i="1" s="1"/>
  <c r="BL208" i="1" s="1"/>
  <c r="AM225" i="1"/>
  <c r="AY225" i="1" s="1"/>
  <c r="BL225" i="1" s="1"/>
  <c r="AM241" i="1"/>
  <c r="AY241" i="1" s="1"/>
  <c r="BL241" i="1" s="1"/>
  <c r="BL369" i="1"/>
  <c r="AY204" i="1"/>
  <c r="BL204" i="1" s="1"/>
  <c r="AA21" i="1"/>
  <c r="AM21" i="1" s="1"/>
  <c r="AY21" i="1" s="1"/>
  <c r="BL21" i="1" s="1"/>
  <c r="AM533" i="1"/>
  <c r="AY533" i="1" s="1"/>
  <c r="BL533" i="1" s="1"/>
  <c r="AA759" i="1"/>
  <c r="AM759" i="1" s="1"/>
  <c r="AY759" i="1" s="1"/>
  <c r="BL759" i="1" s="1"/>
  <c r="AA437" i="1"/>
  <c r="AM437" i="1" s="1"/>
  <c r="AY437" i="1" s="1"/>
  <c r="BL437" i="1" s="1"/>
  <c r="AA47" i="1"/>
  <c r="AM47" i="1" s="1"/>
  <c r="AY47" i="1" s="1"/>
  <c r="BL47" i="1" s="1"/>
  <c r="AA725" i="1"/>
  <c r="AA927" i="1"/>
  <c r="AM927" i="1" s="1"/>
  <c r="AY927" i="1" s="1"/>
  <c r="BL927" i="1" s="1"/>
  <c r="AA713" i="1"/>
  <c r="AM713" i="1" s="1"/>
  <c r="AY713" i="1" s="1"/>
  <c r="BL713" i="1" s="1"/>
  <c r="AA872" i="1"/>
  <c r="AM872" i="1" s="1"/>
  <c r="AY872" i="1" s="1"/>
  <c r="BL872" i="1" s="1"/>
  <c r="AA908" i="1"/>
  <c r="AM908" i="1" s="1"/>
  <c r="AY908" i="1" s="1"/>
  <c r="BL908" i="1" s="1"/>
  <c r="AA785" i="1"/>
  <c r="AM785" i="1" s="1"/>
  <c r="AY785" i="1" s="1"/>
  <c r="BL785" i="1" s="1"/>
  <c r="AA800" i="1"/>
  <c r="AM800" i="1" s="1"/>
  <c r="AY800" i="1" s="1"/>
  <c r="BL800" i="1" s="1"/>
  <c r="AY436" i="1"/>
  <c r="BL436" i="1" s="1"/>
  <c r="AY441" i="1"/>
  <c r="BL441" i="1" s="1"/>
  <c r="AM729" i="1"/>
  <c r="AY729" i="1" s="1"/>
  <c r="BL729" i="1" s="1"/>
  <c r="AA448" i="1"/>
  <c r="AM448" i="1" s="1"/>
  <c r="AY448" i="1" s="1"/>
  <c r="BL448" i="1" s="1"/>
  <c r="AA474" i="1"/>
  <c r="AM474" i="1" s="1"/>
  <c r="AY474" i="1" s="1"/>
  <c r="BL474" i="1" s="1"/>
  <c r="AA1001" i="1"/>
  <c r="AM1001" i="1" s="1"/>
  <c r="AY1001" i="1" s="1"/>
  <c r="BL1001" i="1" s="1"/>
  <c r="AA390" i="1"/>
  <c r="AM390" i="1" s="1"/>
  <c r="AY390" i="1" s="1"/>
  <c r="BL390" i="1" s="1"/>
  <c r="AA711" i="1"/>
  <c r="AM711" i="1" s="1"/>
  <c r="AY711" i="1" s="1"/>
  <c r="BL711" i="1" s="1"/>
  <c r="AA661" i="1"/>
  <c r="AM661" i="1" s="1"/>
  <c r="AY661" i="1" s="1"/>
  <c r="BL661" i="1" s="1"/>
  <c r="AM516" i="1"/>
  <c r="AY516" i="1" s="1"/>
  <c r="BL516" i="1" s="1"/>
  <c r="BN516" i="1"/>
  <c r="BO516" i="1" s="1" a="1"/>
  <c r="BO516" i="1" s="1"/>
  <c r="BN493" i="1"/>
  <c r="BO493" i="1" s="1" a="1"/>
  <c r="BO493" i="1" s="1"/>
  <c r="AA475" i="1"/>
  <c r="AM475" i="1" s="1"/>
  <c r="AY475" i="1" s="1"/>
  <c r="BL475" i="1" s="1"/>
  <c r="AY129" i="1"/>
  <c r="BL129" i="1" s="1"/>
  <c r="AM123" i="1"/>
  <c r="AY123" i="1" s="1"/>
  <c r="BL123" i="1" s="1"/>
  <c r="AA131" i="1"/>
  <c r="AM131" i="1" s="1"/>
  <c r="AY131" i="1" s="1"/>
  <c r="BL131" i="1" s="1"/>
  <c r="AA965" i="1"/>
  <c r="AM965" i="1" s="1"/>
  <c r="AY948" i="1"/>
  <c r="BL948" i="1" s="1"/>
  <c r="AA323" i="1"/>
  <c r="AM323" i="1" s="1"/>
  <c r="AY323" i="1" s="1"/>
  <c r="BL323" i="1" s="1"/>
  <c r="BN458" i="1"/>
  <c r="BO458" i="1" s="1" a="1"/>
  <c r="BO458" i="1" s="1"/>
  <c r="BN449" i="1"/>
  <c r="BO449" i="1" s="1" a="1"/>
  <c r="BO449" i="1" s="1"/>
  <c r="BN446" i="1"/>
  <c r="BO446" i="1" s="1" a="1"/>
  <c r="BO446" i="1" s="1"/>
  <c r="AM442" i="1"/>
  <c r="AY442" i="1" s="1"/>
  <c r="BL442" i="1" s="1"/>
  <c r="AM426" i="1"/>
  <c r="AY426" i="1" s="1"/>
  <c r="BL426" i="1" s="1"/>
  <c r="BN426" i="1"/>
  <c r="BO426" i="1" s="1" a="1"/>
  <c r="BO426" i="1" s="1"/>
  <c r="BN419" i="1"/>
  <c r="BO419" i="1" s="1" a="1"/>
  <c r="BO419" i="1" s="1"/>
  <c r="BX592" i="1"/>
  <c r="BN112" i="1"/>
  <c r="BO112" i="1" s="1" a="1"/>
  <c r="BO112" i="1" s="1"/>
  <c r="BN82" i="1"/>
  <c r="AA178" i="1"/>
  <c r="AM178" i="1" s="1"/>
  <c r="AY115" i="1"/>
  <c r="BL115" i="1" s="1"/>
  <c r="AM953" i="1"/>
  <c r="AY953" i="1" s="1"/>
  <c r="BL953" i="1" s="1"/>
  <c r="BL62" i="1"/>
  <c r="AY105" i="1"/>
  <c r="BL105" i="1" s="1"/>
  <c r="AY173" i="1"/>
  <c r="BL173" i="1" s="1"/>
  <c r="BL282" i="1"/>
  <c r="AM197" i="1"/>
  <c r="AY197" i="1" s="1"/>
  <c r="BL197" i="1" s="1"/>
  <c r="AM48" i="1"/>
  <c r="AY48" i="1" s="1"/>
  <c r="BL48" i="1" s="1"/>
  <c r="AM488" i="1"/>
  <c r="AY488" i="1" s="1"/>
  <c r="BL488" i="1" s="1"/>
  <c r="AY67" i="1"/>
  <c r="BL67" i="1" s="1"/>
  <c r="BL97" i="1"/>
  <c r="AM248" i="1"/>
  <c r="AY248" i="1" s="1"/>
  <c r="BL248" i="1" s="1"/>
  <c r="AM132" i="1"/>
  <c r="AY132" i="1" s="1"/>
  <c r="BL132" i="1" s="1"/>
  <c r="AM750" i="1"/>
  <c r="AY750" i="1" s="1"/>
  <c r="BL750" i="1" s="1"/>
  <c r="AA58" i="1"/>
  <c r="AM58" i="1" s="1"/>
  <c r="AY58" i="1" s="1"/>
  <c r="BL58" i="1" s="1"/>
  <c r="AY936" i="1"/>
  <c r="BL936" i="1" s="1"/>
  <c r="AA33" i="1"/>
  <c r="AM33" i="1" s="1"/>
  <c r="AY33" i="1" s="1"/>
  <c r="BL33" i="1" s="1"/>
  <c r="AM18" i="1"/>
  <c r="AY18" i="1" s="1"/>
  <c r="BL18" i="1" s="1"/>
  <c r="AA389" i="1"/>
  <c r="AM389" i="1" s="1"/>
  <c r="AY389" i="1" s="1"/>
  <c r="BL389" i="1" s="1"/>
  <c r="AM386" i="1"/>
  <c r="AY386" i="1" s="1"/>
  <c r="BL386" i="1" s="1"/>
  <c r="AA400" i="1"/>
  <c r="AM400" i="1" s="1"/>
  <c r="AY400" i="1" s="1"/>
  <c r="BL400" i="1" s="1"/>
  <c r="BL884" i="1"/>
  <c r="AM963" i="1"/>
  <c r="AA1005" i="1"/>
  <c r="AM1005" i="1" s="1"/>
  <c r="AY1005" i="1" s="1"/>
  <c r="BL1005" i="1" s="1"/>
  <c r="AM606" i="1"/>
  <c r="AY606" i="1" s="1"/>
  <c r="BL606" i="1" s="1"/>
  <c r="AA513" i="1"/>
  <c r="AM513" i="1" s="1"/>
  <c r="AY513" i="1" s="1"/>
  <c r="BL513" i="1" s="1"/>
  <c r="AA325" i="1"/>
  <c r="AM325" i="1" s="1"/>
  <c r="AY325" i="1" s="1"/>
  <c r="BL325" i="1" s="1"/>
  <c r="AA906" i="1"/>
  <c r="AM906" i="1" s="1"/>
  <c r="AY906" i="1" s="1"/>
  <c r="BL906" i="1" s="1"/>
  <c r="AA563" i="1"/>
  <c r="AM563" i="1" s="1"/>
  <c r="AY563" i="1" s="1"/>
  <c r="BL563" i="1" s="1"/>
  <c r="AY460" i="1"/>
  <c r="BL460" i="1" s="1"/>
  <c r="AA842" i="1"/>
  <c r="AM842" i="1" s="1"/>
  <c r="AM505" i="1"/>
  <c r="AY505" i="1" s="1"/>
  <c r="BL505" i="1" s="1"/>
  <c r="AA632" i="1"/>
  <c r="AM632" i="1" s="1"/>
  <c r="AY632" i="1" s="1"/>
  <c r="BL632" i="1" s="1"/>
  <c r="BN41" i="1"/>
  <c r="BO41" i="1" s="1" a="1"/>
  <c r="BO41" i="1" s="1"/>
  <c r="BN37" i="1"/>
  <c r="BO37" i="1" s="1" a="1"/>
  <c r="BO37" i="1" s="1"/>
  <c r="AM28" i="1"/>
  <c r="AY28" i="1" s="1"/>
  <c r="BL28" i="1" s="1"/>
  <c r="AM19" i="1"/>
  <c r="AY19" i="1" s="1"/>
  <c r="BL19" i="1" s="1"/>
  <c r="BN44" i="1"/>
  <c r="BO44" i="1" s="1" a="1"/>
  <c r="BO44" i="1" s="1"/>
  <c r="BN6" i="1"/>
  <c r="BO6" i="1" s="1" a="1"/>
  <c r="BO6" i="1" s="1"/>
  <c r="BN42" i="1"/>
  <c r="BO42" i="1" s="1" a="1"/>
  <c r="BO42" i="1" s="1"/>
  <c r="BN35" i="1"/>
  <c r="BO35" i="1" s="1" a="1"/>
  <c r="BO35" i="1" s="1"/>
  <c r="AM30" i="1"/>
  <c r="AY30" i="1" s="1"/>
  <c r="BL30" i="1" s="1"/>
  <c r="BN30" i="1"/>
  <c r="BO30" i="1" s="1" a="1"/>
  <c r="BO30" i="1" s="1"/>
  <c r="BN28" i="1"/>
  <c r="BO28" i="1" s="1" a="1"/>
  <c r="BO28" i="1" s="1"/>
  <c r="AL1012" i="1"/>
  <c r="AM907" i="1"/>
  <c r="AY907" i="1" s="1"/>
  <c r="BL907" i="1" s="1"/>
  <c r="BN528" i="1"/>
  <c r="BO528" i="1" s="1" a="1"/>
  <c r="BO528" i="1" s="1"/>
  <c r="AA113" i="1"/>
  <c r="AM113" i="1" s="1"/>
  <c r="AY113" i="1" s="1"/>
  <c r="BL113" i="1" s="1"/>
  <c r="AY327" i="1"/>
  <c r="BL327" i="1" s="1"/>
  <c r="AM128" i="1"/>
  <c r="AY128" i="1" s="1"/>
  <c r="BL128" i="1" s="1"/>
  <c r="AY297" i="1"/>
  <c r="BL297" i="1" s="1"/>
  <c r="AA111" i="1"/>
  <c r="AM111" i="1" s="1"/>
  <c r="AY111" i="1" s="1"/>
  <c r="BL111" i="1" s="1"/>
  <c r="AM408" i="1"/>
  <c r="AY408" i="1" s="1"/>
  <c r="BL408" i="1" s="1"/>
  <c r="AM862" i="1"/>
  <c r="AY862" i="1" s="1"/>
  <c r="BL862" i="1" s="1"/>
  <c r="AA418" i="1"/>
  <c r="AM418" i="1" s="1"/>
  <c r="AY418" i="1" s="1"/>
  <c r="BL418" i="1" s="1"/>
  <c r="AA144" i="1"/>
  <c r="AM144" i="1" s="1"/>
  <c r="AY144" i="1" s="1"/>
  <c r="BL144" i="1" s="1"/>
  <c r="AA674" i="1"/>
  <c r="AM674" i="1" s="1"/>
  <c r="AY674" i="1" s="1"/>
  <c r="BL674" i="1" s="1"/>
  <c r="BL372" i="1"/>
  <c r="AA257" i="1"/>
  <c r="AM257" i="1" s="1"/>
  <c r="AY257" i="1" s="1"/>
  <c r="BL257" i="1" s="1"/>
  <c r="AA339" i="1"/>
  <c r="AM339" i="1" s="1"/>
  <c r="AY339" i="1" s="1"/>
  <c r="BL339" i="1" s="1"/>
  <c r="AA793" i="1"/>
  <c r="AM793" i="1" s="1"/>
  <c r="AY793" i="1" s="1"/>
  <c r="BL793" i="1" s="1"/>
  <c r="AA813" i="1"/>
  <c r="AM813" i="1" s="1"/>
  <c r="AY813" i="1" s="1"/>
  <c r="BL813" i="1" s="1"/>
  <c r="AA727" i="1"/>
  <c r="AM727" i="1" s="1"/>
  <c r="AY727" i="1" s="1"/>
  <c r="BL727" i="1" s="1"/>
  <c r="AD913" i="1"/>
  <c r="AM913" i="1" s="1"/>
  <c r="AY913" i="1" s="1"/>
  <c r="BL913" i="1" s="1"/>
  <c r="BB22" i="1"/>
  <c r="AD980" i="1"/>
  <c r="AM980" i="1" s="1"/>
  <c r="AY980" i="1" s="1"/>
  <c r="BL980" i="1" s="1"/>
  <c r="R917" i="1"/>
  <c r="AA917" i="1" s="1"/>
  <c r="AM917" i="1" s="1"/>
  <c r="AY917" i="1" s="1"/>
  <c r="BL917" i="1" s="1"/>
  <c r="AD833" i="1"/>
  <c r="AM833" i="1" s="1"/>
  <c r="AY833" i="1" s="1"/>
  <c r="BL833" i="1" s="1"/>
  <c r="AD821" i="1"/>
  <c r="AM821" i="1" s="1"/>
  <c r="AY821" i="1" s="1"/>
  <c r="BL821" i="1" s="1"/>
  <c r="R814" i="1"/>
  <c r="AA814" i="1" s="1"/>
  <c r="AM814" i="1" s="1"/>
  <c r="AY814" i="1" s="1"/>
  <c r="BL814" i="1" s="1"/>
  <c r="R802" i="1"/>
  <c r="AA802" i="1" s="1"/>
  <c r="AM802" i="1" s="1"/>
  <c r="AY802" i="1" s="1"/>
  <c r="BL802" i="1" s="1"/>
  <c r="AD775" i="1"/>
  <c r="AM775" i="1" s="1"/>
  <c r="AY775" i="1" s="1"/>
  <c r="BL775" i="1" s="1"/>
  <c r="F705" i="1"/>
  <c r="O705" i="1" s="1"/>
  <c r="AA705" i="1" s="1"/>
  <c r="AM705" i="1" s="1"/>
  <c r="AY705" i="1" s="1"/>
  <c r="BL705" i="1" s="1"/>
  <c r="BB641" i="1"/>
  <c r="BL641" i="1" s="1"/>
  <c r="AP486" i="1"/>
  <c r="AY486" i="1" s="1"/>
  <c r="BL486" i="1" s="1"/>
  <c r="BB403" i="1"/>
  <c r="BB212" i="1"/>
  <c r="BB185" i="1"/>
  <c r="BL185" i="1" s="1"/>
  <c r="BB275" i="1"/>
  <c r="BL275" i="1" s="1"/>
  <c r="AD937" i="1"/>
  <c r="BB874" i="1"/>
  <c r="AP528" i="1"/>
  <c r="AY528" i="1" s="1"/>
  <c r="BL528" i="1" s="1"/>
  <c r="AP976" i="1"/>
  <c r="F602" i="1"/>
  <c r="O602" i="1" s="1"/>
  <c r="AA602" i="1" s="1"/>
  <c r="AM602" i="1" s="1"/>
  <c r="AY602" i="1" s="1"/>
  <c r="BL602" i="1" s="1"/>
  <c r="AP885" i="1"/>
  <c r="AY885" i="1" s="1"/>
  <c r="BL885" i="1" s="1"/>
  <c r="BB75" i="1"/>
  <c r="F932" i="1"/>
  <c r="O932" i="1" s="1"/>
  <c r="AA932" i="1" s="1"/>
  <c r="AM932" i="1" s="1"/>
  <c r="AY932" i="1" s="1"/>
  <c r="BB981" i="1"/>
  <c r="BL981" i="1" s="1"/>
  <c r="AP841" i="1"/>
  <c r="AY841" i="1" s="1"/>
  <c r="BL841" i="1" s="1"/>
  <c r="AP733" i="1"/>
  <c r="AY733" i="1" s="1"/>
  <c r="BL733" i="1" s="1"/>
  <c r="F720" i="1"/>
  <c r="O720" i="1" s="1"/>
  <c r="AA720" i="1" s="1"/>
  <c r="AM720" i="1" s="1"/>
  <c r="AY720" i="1" s="1"/>
  <c r="BL720" i="1" s="1"/>
  <c r="F990" i="1"/>
  <c r="O990" i="1" s="1"/>
  <c r="AA990" i="1" s="1"/>
  <c r="F846" i="1"/>
  <c r="O846" i="1" s="1"/>
  <c r="AA846" i="1" s="1"/>
  <c r="AM846" i="1" s="1"/>
  <c r="AY846" i="1" s="1"/>
  <c r="BL846" i="1" s="1"/>
  <c r="R600" i="1"/>
  <c r="AA600" i="1" s="1"/>
  <c r="AM600" i="1" s="1"/>
  <c r="AY600" i="1" s="1"/>
  <c r="BL600" i="1" s="1"/>
  <c r="F659" i="1"/>
  <c r="O659" i="1" s="1"/>
  <c r="AA659" i="1" s="1"/>
  <c r="AM659" i="1" s="1"/>
  <c r="AY659" i="1" s="1"/>
  <c r="BL659" i="1" s="1"/>
  <c r="AD921" i="1"/>
  <c r="AM921" i="1" s="1"/>
  <c r="AY921" i="1" s="1"/>
  <c r="BL921" i="1" s="1"/>
  <c r="R849" i="1"/>
  <c r="AA849" i="1" s="1"/>
  <c r="AM849" i="1" s="1"/>
  <c r="AY849" i="1" s="1"/>
  <c r="BL849" i="1" s="1"/>
  <c r="BB932" i="1"/>
  <c r="F601" i="1"/>
  <c r="O601" i="1" s="1"/>
  <c r="AA601" i="1" s="1"/>
  <c r="AM601" i="1" s="1"/>
  <c r="AY601" i="1" s="1"/>
  <c r="BL601" i="1" s="1"/>
  <c r="F888" i="1"/>
  <c r="O888" i="1" s="1"/>
  <c r="AA888" i="1" s="1"/>
  <c r="AM888" i="1" s="1"/>
  <c r="AY888" i="1" s="1"/>
  <c r="BL888" i="1" s="1"/>
  <c r="AP178" i="1"/>
  <c r="R493" i="1"/>
  <c r="AA493" i="1" s="1"/>
  <c r="AM493" i="1" s="1"/>
  <c r="AY493" i="1" s="1"/>
  <c r="BL493" i="1" s="1"/>
  <c r="AD990" i="1"/>
  <c r="AD976" i="1"/>
  <c r="AM976" i="1" s="1"/>
  <c r="AD959" i="1"/>
  <c r="AM959" i="1" s="1"/>
  <c r="AY959" i="1" s="1"/>
  <c r="BL959" i="1" s="1"/>
  <c r="AP901" i="1"/>
  <c r="AY901" i="1" s="1"/>
  <c r="BL901" i="1" s="1"/>
  <c r="AP31" i="1"/>
  <c r="AY31" i="1" s="1"/>
  <c r="BL31" i="1" s="1"/>
  <c r="BB658" i="1"/>
  <c r="BL658" i="1" s="1"/>
  <c r="F850" i="1"/>
  <c r="O850" i="1" s="1"/>
  <c r="AA850" i="1" s="1"/>
  <c r="AM850" i="1" s="1"/>
  <c r="AY850" i="1" s="1"/>
  <c r="BL850" i="1" s="1"/>
  <c r="F677" i="1"/>
  <c r="O677" i="1" s="1"/>
  <c r="AA677" i="1" s="1"/>
  <c r="AM677" i="1" s="1"/>
  <c r="AY677" i="1" s="1"/>
  <c r="BL677" i="1" s="1"/>
  <c r="BB990" i="1"/>
  <c r="AP965" i="1"/>
  <c r="AP855" i="1"/>
  <c r="AY855" i="1" s="1"/>
  <c r="BL855" i="1" s="1"/>
  <c r="AD974" i="1"/>
  <c r="AM974" i="1" s="1"/>
  <c r="AY974" i="1" s="1"/>
  <c r="BL974" i="1" s="1"/>
  <c r="R799" i="1"/>
  <c r="AA799" i="1" s="1"/>
  <c r="AM799" i="1" s="1"/>
  <c r="AY799" i="1" s="1"/>
  <c r="BL799" i="1" s="1"/>
  <c r="AP963" i="1"/>
  <c r="F979" i="1"/>
  <c r="O979" i="1" s="1"/>
  <c r="AA979" i="1" s="1"/>
  <c r="AM979" i="1" s="1"/>
  <c r="AY979" i="1" s="1"/>
  <c r="BL979" i="1" s="1"/>
  <c r="F852" i="1"/>
  <c r="O852" i="1" s="1"/>
  <c r="AA852" i="1" s="1"/>
  <c r="AM852" i="1" s="1"/>
  <c r="AY852" i="1" s="1"/>
  <c r="BL852" i="1" s="1"/>
  <c r="R777" i="1"/>
  <c r="AA777" i="1" s="1"/>
  <c r="AM777" i="1" s="1"/>
  <c r="AY777" i="1" s="1"/>
  <c r="BL777" i="1" s="1"/>
  <c r="F937" i="1"/>
  <c r="O937" i="1" s="1"/>
  <c r="AA937" i="1" s="1"/>
  <c r="AM937" i="1" s="1"/>
  <c r="AY937" i="1" s="1"/>
  <c r="BL937" i="1" s="1"/>
  <c r="BB219" i="1"/>
  <c r="BL219" i="1" s="1"/>
  <c r="BB740" i="1"/>
  <c r="BL740" i="1" s="1"/>
  <c r="AP471" i="1"/>
  <c r="R738" i="1"/>
  <c r="AA738" i="1" s="1"/>
  <c r="AM738" i="1" s="1"/>
  <c r="AY738" i="1" s="1"/>
  <c r="BL738" i="1" s="1"/>
  <c r="F805" i="1"/>
  <c r="O805" i="1" s="1"/>
  <c r="AA805" i="1" s="1"/>
  <c r="AM805" i="1" s="1"/>
  <c r="AY805" i="1" s="1"/>
  <c r="BL805" i="1" s="1"/>
  <c r="R897" i="1"/>
  <c r="AA897" i="1" s="1"/>
  <c r="AM897" i="1" s="1"/>
  <c r="AY897" i="1" s="1"/>
  <c r="BL897" i="1" s="1"/>
  <c r="AY215" i="1"/>
  <c r="BL215" i="1" s="1"/>
  <c r="BL182" i="1"/>
  <c r="AA382" i="1"/>
  <c r="AM382" i="1" s="1"/>
  <c r="AY382" i="1" s="1"/>
  <c r="BL382" i="1" s="1"/>
  <c r="AM16" i="1"/>
  <c r="AY16" i="1" s="1"/>
  <c r="BL16" i="1" s="1"/>
  <c r="AM340" i="1"/>
  <c r="AY340" i="1" s="1"/>
  <c r="BL340" i="1" s="1"/>
  <c r="AM87" i="1"/>
  <c r="AY87" i="1" s="1"/>
  <c r="BL87" i="1" s="1"/>
  <c r="AY742" i="1"/>
  <c r="BL742" i="1" s="1"/>
  <c r="AM198" i="1"/>
  <c r="AY198" i="1" s="1"/>
  <c r="BL198" i="1" s="1"/>
  <c r="BL181" i="1"/>
  <c r="AY140" i="1"/>
  <c r="BL140" i="1" s="1"/>
  <c r="AY221" i="1"/>
  <c r="BL221" i="1" s="1"/>
  <c r="AM20" i="1"/>
  <c r="AY20" i="1" s="1"/>
  <c r="BL20" i="1" s="1"/>
  <c r="AY213" i="1"/>
  <c r="BL213" i="1" s="1"/>
  <c r="BL148" i="1"/>
  <c r="BL259" i="1"/>
  <c r="AM371" i="1"/>
  <c r="AY371" i="1" s="1"/>
  <c r="BL371" i="1" s="1"/>
  <c r="BL293" i="1"/>
  <c r="AM22" i="1"/>
  <c r="AY22" i="1" s="1"/>
  <c r="AA17" i="1"/>
  <c r="AM17" i="1" s="1"/>
  <c r="AY17" i="1" s="1"/>
  <c r="BL17" i="1" s="1"/>
  <c r="BL85" i="1"/>
  <c r="AY384" i="1"/>
  <c r="BL384" i="1" s="1"/>
  <c r="AD13" i="1"/>
  <c r="AM13" i="1" s="1"/>
  <c r="AY13" i="1" s="1"/>
  <c r="BL13" i="1" s="1"/>
  <c r="BB603" i="1"/>
  <c r="BL603" i="1" s="1"/>
  <c r="R766" i="1"/>
  <c r="AA766" i="1" s="1"/>
  <c r="AM766" i="1" s="1"/>
  <c r="AY766" i="1" s="1"/>
  <c r="BL766" i="1" s="1"/>
  <c r="BB809" i="1"/>
  <c r="BL809" i="1" s="1"/>
  <c r="AD900" i="1"/>
  <c r="AM900" i="1" s="1"/>
  <c r="AY900" i="1" s="1"/>
  <c r="BL900" i="1" s="1"/>
  <c r="BB964" i="1"/>
  <c r="AA590" i="1"/>
  <c r="AM590" i="1" s="1"/>
  <c r="AY590" i="1" s="1"/>
  <c r="BL590" i="1" s="1"/>
  <c r="AD365" i="1"/>
  <c r="AM365" i="1" s="1"/>
  <c r="AY365" i="1" s="1"/>
  <c r="BL365" i="1" s="1"/>
  <c r="AD725" i="1"/>
  <c r="AD791" i="1"/>
  <c r="AM791" i="1" s="1"/>
  <c r="AY791" i="1" s="1"/>
  <c r="BL791" i="1" s="1"/>
  <c r="AD890" i="1"/>
  <c r="AM890" i="1" s="1"/>
  <c r="AY890" i="1" s="1"/>
  <c r="BL890" i="1" s="1"/>
  <c r="AY412" i="1"/>
  <c r="BL412" i="1" s="1"/>
  <c r="BL93" i="1"/>
  <c r="AM301" i="1"/>
  <c r="AY301" i="1" s="1"/>
  <c r="BL301" i="1" s="1"/>
  <c r="AY233" i="1"/>
  <c r="BL233" i="1" s="1"/>
  <c r="AM328" i="1"/>
  <c r="AY328" i="1" s="1"/>
  <c r="BL328" i="1" s="1"/>
  <c r="BL698" i="1"/>
  <c r="AM226" i="1"/>
  <c r="AY226" i="1" s="1"/>
  <c r="BL226" i="1" s="1"/>
  <c r="AA209" i="1"/>
  <c r="AM209" i="1" s="1"/>
  <c r="AY209" i="1" s="1"/>
  <c r="BL209" i="1" s="1"/>
  <c r="AM808" i="1"/>
  <c r="AY808" i="1" s="1"/>
  <c r="BL808" i="1" s="1"/>
  <c r="AA423" i="1"/>
  <c r="AM423" i="1" s="1"/>
  <c r="AA135" i="1"/>
  <c r="AM135" i="1" s="1"/>
  <c r="AY135" i="1" s="1"/>
  <c r="BL135" i="1" s="1"/>
  <c r="AA245" i="1"/>
  <c r="AM245" i="1" s="1"/>
  <c r="AY245" i="1" s="1"/>
  <c r="BL245" i="1" s="1"/>
  <c r="AA869" i="1"/>
  <c r="AM869" i="1" s="1"/>
  <c r="AY869" i="1" s="1"/>
  <c r="AA834" i="1"/>
  <c r="AM834" i="1" s="1"/>
  <c r="AY834" i="1" s="1"/>
  <c r="BL834" i="1" s="1"/>
  <c r="AA338" i="1"/>
  <c r="AM338" i="1" s="1"/>
  <c r="AY338" i="1" s="1"/>
  <c r="BL338" i="1" s="1"/>
  <c r="AA469" i="1"/>
  <c r="AM469" i="1" s="1"/>
  <c r="AY469" i="1" s="1"/>
  <c r="BL469" i="1" s="1"/>
  <c r="BL787" i="1"/>
  <c r="AA772" i="1"/>
  <c r="AM772" i="1" s="1"/>
  <c r="AY772" i="1" s="1"/>
  <c r="BL772" i="1" s="1"/>
  <c r="AA229" i="1"/>
  <c r="AM229" i="1" s="1"/>
  <c r="AY229" i="1" s="1"/>
  <c r="BL229" i="1" s="1"/>
  <c r="AA715" i="1"/>
  <c r="AM715" i="1" s="1"/>
  <c r="AY715" i="1" s="1"/>
  <c r="BL715" i="1" s="1"/>
  <c r="AA464" i="1"/>
  <c r="AM464" i="1" s="1"/>
  <c r="AY464" i="1" s="1"/>
  <c r="BL464" i="1" s="1"/>
  <c r="AA824" i="1"/>
  <c r="AM824" i="1" s="1"/>
  <c r="AY824" i="1" s="1"/>
  <c r="BL824" i="1" s="1"/>
  <c r="AA547" i="1"/>
  <c r="AM547" i="1" s="1"/>
  <c r="AY547" i="1" s="1"/>
  <c r="BL547" i="1" s="1"/>
  <c r="AA664" i="1"/>
  <c r="AM664" i="1" s="1"/>
  <c r="AM258" i="1"/>
  <c r="AY258" i="1" s="1"/>
  <c r="BL258" i="1" s="1"/>
  <c r="AA36" i="1"/>
  <c r="AM36" i="1" s="1"/>
  <c r="AY36" i="1" s="1"/>
  <c r="BL36" i="1" s="1"/>
  <c r="AM307" i="1"/>
  <c r="AY307" i="1" s="1"/>
  <c r="BL307" i="1" s="1"/>
  <c r="AM313" i="1"/>
  <c r="AY313" i="1" s="1"/>
  <c r="BL313" i="1" s="1"/>
  <c r="AP423" i="1"/>
  <c r="B13" i="22"/>
  <c r="K11" i="22" s="1"/>
  <c r="AY214" i="1"/>
  <c r="BL214" i="1" s="1"/>
  <c r="AM993" i="1"/>
  <c r="AY993" i="1" s="1"/>
  <c r="BL993" i="1" s="1"/>
  <c r="AM593" i="1" l="1"/>
  <c r="BL578" i="1"/>
  <c r="AA594" i="1"/>
  <c r="AM594" i="1" s="1"/>
  <c r="AY594" i="1" s="1"/>
  <c r="BL594" i="1" s="1"/>
  <c r="AY823" i="1"/>
  <c r="BL823" i="1" s="1"/>
  <c r="BL649" i="1"/>
  <c r="BL795" i="1"/>
  <c r="AA989" i="1"/>
  <c r="AM989" i="1" s="1"/>
  <c r="AY989" i="1" s="1"/>
  <c r="BL989" i="1" s="1"/>
  <c r="AA446" i="1"/>
  <c r="AM446" i="1" s="1"/>
  <c r="AY446" i="1" s="1"/>
  <c r="BL446" i="1" s="1"/>
  <c r="BL874" i="1"/>
  <c r="BL966" i="1"/>
  <c r="AY842" i="1"/>
  <c r="BL842" i="1" s="1"/>
  <c r="AM596" i="1"/>
  <c r="AY596" i="1" s="1"/>
  <c r="BL596" i="1" s="1"/>
  <c r="AY664" i="1"/>
  <c r="BL664" i="1" s="1"/>
  <c r="BL403" i="1"/>
  <c r="AY943" i="1"/>
  <c r="BL943" i="1" s="1"/>
  <c r="AY965" i="1"/>
  <c r="BL965" i="1" s="1"/>
  <c r="BL869" i="1"/>
  <c r="AY860" i="1"/>
  <c r="BL860" i="1" s="1"/>
  <c r="AY576" i="1"/>
  <c r="BL576" i="1" s="1"/>
  <c r="AY593" i="1"/>
  <c r="BL593" i="1" s="1"/>
  <c r="AM587" i="1"/>
  <c r="AY587" i="1" s="1"/>
  <c r="BL587" i="1" s="1"/>
  <c r="AM574" i="1"/>
  <c r="AY574" i="1" s="1"/>
  <c r="BL574" i="1" s="1"/>
  <c r="AY407" i="1"/>
  <c r="BL407" i="1" s="1"/>
  <c r="BL776" i="1"/>
  <c r="AA585" i="1"/>
  <c r="AM585" i="1" s="1"/>
  <c r="AY585" i="1" s="1"/>
  <c r="BL585" i="1" s="1"/>
  <c r="BL22" i="1"/>
  <c r="BL75" i="1"/>
  <c r="AM967" i="1"/>
  <c r="AY967" i="1" s="1"/>
  <c r="BL967" i="1" s="1"/>
  <c r="AY280" i="1"/>
  <c r="BL280" i="1" s="1"/>
  <c r="AY926" i="1"/>
  <c r="BL926" i="1" s="1"/>
  <c r="BL952" i="1"/>
  <c r="AM582" i="1"/>
  <c r="AY582" i="1" s="1"/>
  <c r="BL582" i="1" s="1"/>
  <c r="AM725" i="1"/>
  <c r="AY725" i="1" s="1"/>
  <c r="BL725" i="1" s="1"/>
  <c r="AA580" i="1"/>
  <c r="AM580" i="1" s="1"/>
  <c r="AY580" i="1" s="1"/>
  <c r="BL580" i="1" s="1"/>
  <c r="AY471" i="1"/>
  <c r="BL471" i="1" s="1"/>
  <c r="AA589" i="1"/>
  <c r="AM589" i="1" s="1"/>
  <c r="AY589" i="1" s="1"/>
  <c r="BL589" i="1" s="1"/>
  <c r="AA586" i="1"/>
  <c r="AM586" i="1" s="1"/>
  <c r="AY586" i="1" s="1"/>
  <c r="BL586" i="1" s="1"/>
  <c r="AA577" i="1"/>
  <c r="AM577" i="1" s="1"/>
  <c r="AY577" i="1" s="1"/>
  <c r="BL577" i="1" s="1"/>
  <c r="AM638" i="1"/>
  <c r="AY638" i="1" s="1"/>
  <c r="BL638" i="1" s="1"/>
  <c r="AA591" i="1"/>
  <c r="AM591" i="1" s="1"/>
  <c r="AY591" i="1" s="1"/>
  <c r="BL591" i="1" s="1"/>
  <c r="AA584" i="1"/>
  <c r="AM584" i="1" s="1"/>
  <c r="AY584" i="1" s="1"/>
  <c r="BL584" i="1" s="1"/>
  <c r="AM565" i="1"/>
  <c r="AY565" i="1" s="1"/>
  <c r="BL565" i="1" s="1"/>
  <c r="B19" i="22"/>
  <c r="K17" i="22" s="1"/>
  <c r="BL451" i="1"/>
  <c r="AY956" i="1"/>
  <c r="BL956" i="1" s="1"/>
  <c r="AM592" i="1"/>
  <c r="AY592" i="1" s="1"/>
  <c r="BL592" i="1" s="1"/>
  <c r="AM588" i="1"/>
  <c r="AY588" i="1" s="1"/>
  <c r="BL588" i="1" s="1"/>
  <c r="BL964" i="1"/>
  <c r="AX1010" i="1"/>
  <c r="BK1008" i="1"/>
  <c r="AY178" i="1"/>
  <c r="BL178" i="1" s="1"/>
  <c r="BL212" i="1"/>
  <c r="N1008" i="1"/>
  <c r="AX1008" i="1"/>
  <c r="N1010" i="1"/>
  <c r="Z1010" i="1"/>
  <c r="AY963" i="1"/>
  <c r="BL963" i="1" s="1"/>
  <c r="Z1008" i="1"/>
  <c r="BK1010" i="1"/>
  <c r="AL1008" i="1"/>
  <c r="AL1010" i="1"/>
  <c r="AY976" i="1"/>
  <c r="BL976" i="1" s="1"/>
  <c r="BO1012" i="1"/>
  <c r="BO82" i="1" a="1"/>
  <c r="BO82" i="1" s="1"/>
  <c r="B17" i="22" s="1"/>
  <c r="G17" i="22" s="1"/>
  <c r="BO1010" i="1"/>
  <c r="AM990" i="1"/>
  <c r="AY990" i="1" s="1"/>
  <c r="BL990" i="1" s="1"/>
  <c r="BL932" i="1"/>
  <c r="AY423" i="1"/>
  <c r="BL423" i="1" s="1"/>
  <c r="BO1008" i="1" l="1"/>
</calcChain>
</file>

<file path=xl/sharedStrings.xml><?xml version="1.0" encoding="utf-8"?>
<sst xmlns="http://schemas.openxmlformats.org/spreadsheetml/2006/main" count="16701" uniqueCount="1390">
  <si>
    <t>PRODUTO</t>
  </si>
  <si>
    <t>ENTRADA</t>
  </si>
  <si>
    <t>DOMINGO</t>
  </si>
  <si>
    <t>SEGUNDA</t>
  </si>
  <si>
    <t>TERÇA</t>
  </si>
  <si>
    <t>QUARTA</t>
  </si>
  <si>
    <t>QUINTA</t>
  </si>
  <si>
    <t>SEXTA</t>
  </si>
  <si>
    <t>CONSUMO</t>
  </si>
  <si>
    <t>SALDO FINAL</t>
  </si>
  <si>
    <t>SÁBADO</t>
  </si>
  <si>
    <t>REFERÊNCIA</t>
  </si>
  <si>
    <t>DIA</t>
  </si>
  <si>
    <t>GRUPO</t>
  </si>
  <si>
    <t>FORNECEDOR</t>
  </si>
  <si>
    <t>Und MEDIDA</t>
  </si>
  <si>
    <t>QNT</t>
  </si>
  <si>
    <t>PREÇO 
(Und.)</t>
  </si>
  <si>
    <t>VALOR TOTAL
GÊNEROS</t>
  </si>
  <si>
    <t>Selecione</t>
  </si>
  <si>
    <t>SEMANA 1</t>
  </si>
  <si>
    <t>SEMANA 2</t>
  </si>
  <si>
    <t>SEMANA 3</t>
  </si>
  <si>
    <t>SEMANA 4</t>
  </si>
  <si>
    <t>SEMANA 5</t>
  </si>
  <si>
    <t>Julho</t>
  </si>
  <si>
    <t>SEMANA</t>
  </si>
  <si>
    <t>SALDO ANTERIOR</t>
  </si>
  <si>
    <t>INÍCIO DO MÊS:</t>
  </si>
  <si>
    <t>Janeiro</t>
  </si>
  <si>
    <t>Fevereiro</t>
  </si>
  <si>
    <t>Março</t>
  </si>
  <si>
    <t>Abril</t>
  </si>
  <si>
    <t>Maio</t>
  </si>
  <si>
    <t>Junho</t>
  </si>
  <si>
    <t>Agosto</t>
  </si>
  <si>
    <t>Setembro</t>
  </si>
  <si>
    <t>Outubro</t>
  </si>
  <si>
    <t>Novembro</t>
  </si>
  <si>
    <t>Dezembro</t>
  </si>
  <si>
    <t>TOTAL</t>
  </si>
  <si>
    <t>-</t>
  </si>
  <si>
    <t>Mercado</t>
  </si>
  <si>
    <t>Sobremesa</t>
  </si>
  <si>
    <t>Carnes</t>
  </si>
  <si>
    <t>Hortifruti</t>
  </si>
  <si>
    <t>Limpeza</t>
  </si>
  <si>
    <t>Bebidas</t>
  </si>
  <si>
    <t>REAL</t>
  </si>
  <si>
    <t>META</t>
  </si>
  <si>
    <t>R$ CONSUMO ACUMULADO</t>
  </si>
  <si>
    <t>R$ NOTA ACUMULADO</t>
  </si>
  <si>
    <t>R$ FATURAMENTO ACUMULADO</t>
  </si>
  <si>
    <t>QUANTIDADE
CONSUMO TOTAL</t>
  </si>
  <si>
    <t>VALOR (R$)
CONSUMO TOTAL</t>
  </si>
  <si>
    <t>R$ unit</t>
  </si>
  <si>
    <t>Categ.</t>
  </si>
  <si>
    <t>VALOR DE CONSUMO GERAL (R$)</t>
  </si>
  <si>
    <t>VALOR DE CONSUMO CARNES (R$)</t>
  </si>
  <si>
    <t>CONSUMO DE CARNES (kg)</t>
  </si>
  <si>
    <t>Sushi</t>
  </si>
  <si>
    <t>NF</t>
  </si>
  <si>
    <t xml:space="preserve">Abacate </t>
  </si>
  <si>
    <t>Abacate Organico</t>
  </si>
  <si>
    <t>Abacate Sushi</t>
  </si>
  <si>
    <t xml:space="preserve">Abacaxi </t>
  </si>
  <si>
    <t>Abacaxi Cristalizado</t>
  </si>
  <si>
    <t>Abacaxi em Calda Lata</t>
  </si>
  <si>
    <t>Abobora</t>
  </si>
  <si>
    <t>Abobora Japonesa</t>
  </si>
  <si>
    <t>Abobora Moranga</t>
  </si>
  <si>
    <t>Abobora Organica</t>
  </si>
  <si>
    <t xml:space="preserve">Abobrinha </t>
  </si>
  <si>
    <t>Abobrinha Organica</t>
  </si>
  <si>
    <t>Açafrão</t>
  </si>
  <si>
    <t>Acelga</t>
  </si>
  <si>
    <t>Acelga sushi</t>
  </si>
  <si>
    <t>Açucar Mascavo</t>
  </si>
  <si>
    <t>Açucar Organico Native Cx1000</t>
  </si>
  <si>
    <t>Açucar Refinado</t>
  </si>
  <si>
    <t>Açucar Refinado Sushi</t>
  </si>
  <si>
    <t>Açucar União Sache Cx 400</t>
  </si>
  <si>
    <t>Adoçante Linea Stevia Cx 500</t>
  </si>
  <si>
    <t>Adoçante Linea Suclarose Cx 1000</t>
  </si>
  <si>
    <t xml:space="preserve">AFVT - Antimicrobial Bb 10,4 KG </t>
  </si>
  <si>
    <t>Agrião</t>
  </si>
  <si>
    <t>Agrião Orgânico</t>
  </si>
  <si>
    <t>Agrião Sushi</t>
  </si>
  <si>
    <t>Água de Côco</t>
  </si>
  <si>
    <t>Água Mineral Bb 5 lt</t>
  </si>
  <si>
    <t>Água Mineral com Gás</t>
  </si>
  <si>
    <t>Água Mineral sem Gás</t>
  </si>
  <si>
    <t>Água Tonica</t>
  </si>
  <si>
    <t>Água Tonica Diet</t>
  </si>
  <si>
    <t>Aguardente 51</t>
  </si>
  <si>
    <t>Aipim</t>
  </si>
  <si>
    <t>Aipo</t>
  </si>
  <si>
    <t>Alcachofra cong. 400G</t>
  </si>
  <si>
    <t>Alcaparras BD 2KG</t>
  </si>
  <si>
    <t>Álcool 70</t>
  </si>
  <si>
    <t>Álcool Espuma</t>
  </si>
  <si>
    <t>Alecrim</t>
  </si>
  <si>
    <t xml:space="preserve">Alface Americana    </t>
  </si>
  <si>
    <t>Alface Americana Orgânica</t>
  </si>
  <si>
    <t>Alface crespa</t>
  </si>
  <si>
    <t>Alface crespa Orgânica</t>
  </si>
  <si>
    <t>Alface Crespa Sushi</t>
  </si>
  <si>
    <t>Alface Romana Orgânica</t>
  </si>
  <si>
    <t>Alface Roxa</t>
  </si>
  <si>
    <t>Alface Roxa Orgânica</t>
  </si>
  <si>
    <t>Alfafa</t>
  </si>
  <si>
    <t>Alho</t>
  </si>
  <si>
    <t>Alho Descascado</t>
  </si>
  <si>
    <t xml:space="preserve">Alho Poró </t>
  </si>
  <si>
    <t>Alho Poró Orgânico</t>
  </si>
  <si>
    <t>Aliche</t>
  </si>
  <si>
    <t>Ameixa sem Caroço</t>
  </si>
  <si>
    <t>Amendoa Fatiada</t>
  </si>
  <si>
    <t>Amendoa Inteira</t>
  </si>
  <si>
    <t>Amendoim Torrado</t>
  </si>
  <si>
    <t>Ammoniated Glas Cln (Limpa vidro) BB 5L</t>
  </si>
  <si>
    <t>Amora</t>
  </si>
  <si>
    <t>Anelina Sushi</t>
  </si>
  <si>
    <t>Aneto</t>
  </si>
  <si>
    <t>Aniz Estrelado</t>
  </si>
  <si>
    <t>Antibacterial Detergentye p/ mãos Bb 5lt</t>
  </si>
  <si>
    <t>Arroz Branco</t>
  </si>
  <si>
    <t>Arroz Integral Curto</t>
  </si>
  <si>
    <t>Arroz Selvagem</t>
  </si>
  <si>
    <t>Aspargos cong. 1 Kg</t>
  </si>
  <si>
    <t>Aspargos Fresco Sushi</t>
  </si>
  <si>
    <t>Aspargos lata</t>
  </si>
  <si>
    <t>Aveia Quaker Flocos cx 200g</t>
  </si>
  <si>
    <t>Avelã</t>
  </si>
  <si>
    <t>Aves -  Linguiça de frango</t>
  </si>
  <si>
    <t>Aves - Blanquete de Peru</t>
  </si>
  <si>
    <t>Aves - Coração de Frango</t>
  </si>
  <si>
    <t>Aves - Filé de Coxa</t>
  </si>
  <si>
    <t>Aves - Filé de Coxa c/ pele</t>
  </si>
  <si>
    <t>Aves - Filé de Peito de Frango</t>
  </si>
  <si>
    <t>Aves - Filé de Peito Korin</t>
  </si>
  <si>
    <t>Aves - Filezinho Sassami</t>
  </si>
  <si>
    <t>Aves - Frangão Rica (Chester)</t>
  </si>
  <si>
    <t>Aves - Galeto</t>
  </si>
  <si>
    <t>Aves - Magret de Pato</t>
  </si>
  <si>
    <t>Aves - Peito de Frango Defumado</t>
  </si>
  <si>
    <t>Aves - Peito de Peru Bolinha</t>
  </si>
  <si>
    <t>Aves - Peito de Peru Defumado Light</t>
  </si>
  <si>
    <t>Aves - Peito de Peru Fresco</t>
  </si>
  <si>
    <t>Aves - Peito s/ Osso</t>
  </si>
  <si>
    <t>Aves - Sobrecoxa</t>
  </si>
  <si>
    <t>Azeite Deleyda 500 ml</t>
  </si>
  <si>
    <t>Azeite Dende</t>
  </si>
  <si>
    <t>Azeite Extra Virgem (Santiago) 500 ml</t>
  </si>
  <si>
    <t>Azeitona Azapa bd</t>
  </si>
  <si>
    <t>Azeitona preta Bd 3,200 kg</t>
  </si>
  <si>
    <t>Azeitona Preta Fatiada Bd 3 kg</t>
  </si>
  <si>
    <t>Azeitona Verde c/ Caroço Bd 2 kg</t>
  </si>
  <si>
    <t>Azeitona Verde Fatiada Bd 2 kg</t>
  </si>
  <si>
    <t>Bala de Alga 500 g</t>
  </si>
  <si>
    <t>Bala de Gengibre</t>
  </si>
  <si>
    <t>Banana da Terra</t>
  </si>
  <si>
    <t>Banana D'Água</t>
  </si>
  <si>
    <t>Banana Prata</t>
  </si>
  <si>
    <t>Banana Prata Orgânica</t>
  </si>
  <si>
    <t>Bandeja 3 Div. Delivery Cx 150</t>
  </si>
  <si>
    <t>Bandeja Alumínio 220 ml cx 200 (Bolo)</t>
  </si>
  <si>
    <t>Bandeja Alumínio 3 Div. Cx 100</t>
  </si>
  <si>
    <t>Barra de Chocolate Nestle Classic</t>
  </si>
  <si>
    <t>Batata Baroa</t>
  </si>
  <si>
    <t>Batata Doce</t>
  </si>
  <si>
    <t>Batata HBT</t>
  </si>
  <si>
    <t>Batata Inglesa</t>
  </si>
  <si>
    <t>Batata Noisete</t>
  </si>
  <si>
    <t>Batata Palha 140 g</t>
  </si>
  <si>
    <t>Batata Palito 9M</t>
  </si>
  <si>
    <t>Batata Smiles</t>
  </si>
  <si>
    <t>Batata Yacon</t>
  </si>
  <si>
    <t>Berinjela</t>
  </si>
  <si>
    <t>Berinjela Orgânica</t>
  </si>
  <si>
    <t>Bertalha</t>
  </si>
  <si>
    <t>Beterraba</t>
  </si>
  <si>
    <t>Beterraba Orgânica</t>
  </si>
  <si>
    <t xml:space="preserve">Biscoito de Milho Café </t>
  </si>
  <si>
    <t xml:space="preserve">Biscoito de Milho Venda </t>
  </si>
  <si>
    <t>Bloco Mov. Caixa Saída/ Entrada</t>
  </si>
  <si>
    <t>Bobina para calculadora</t>
  </si>
  <si>
    <t>Bobina Picotada 25X35</t>
  </si>
  <si>
    <t>Bobina Picotada 30X40</t>
  </si>
  <si>
    <t>Bobina Picotada 40X50</t>
  </si>
  <si>
    <t>Bobina Picotada 40X60</t>
  </si>
  <si>
    <t>Bolo Rústico</t>
  </si>
  <si>
    <t>Bombom Trufado</t>
  </si>
  <si>
    <t>Borracha</t>
  </si>
  <si>
    <t>Brócolis Americano</t>
  </si>
  <si>
    <t>Brócolis Congelado</t>
  </si>
  <si>
    <t>Brócolis Orgânico</t>
  </si>
  <si>
    <t>Broto de Feijão</t>
  </si>
  <si>
    <t>Café Moído 1 Kg</t>
  </si>
  <si>
    <t>Café Spress Desc.</t>
  </si>
  <si>
    <t>Caldo de Cana</t>
  </si>
  <si>
    <t>Caldo de Carne</t>
  </si>
  <si>
    <t>Caldo de Galinha</t>
  </si>
  <si>
    <t>Canela</t>
  </si>
  <si>
    <t>Canelonni Misto</t>
  </si>
  <si>
    <t>Caneta Azul</t>
  </si>
  <si>
    <t>Caneta Pilot</t>
  </si>
  <si>
    <t>Caneta Vermelha</t>
  </si>
  <si>
    <t>Canjica de Milho</t>
  </si>
  <si>
    <t>Canudo Embalado</t>
  </si>
  <si>
    <t>Capeletti</t>
  </si>
  <si>
    <t>Capim Limão</t>
  </si>
  <si>
    <t>Caqui</t>
  </si>
  <si>
    <t>Cará</t>
  </si>
  <si>
    <t>Cardomomo Semente</t>
  </si>
  <si>
    <t>Carne Bovina  - Contra-filé - (Filé Noix)</t>
  </si>
  <si>
    <t>Carne Bovina - Alcatra Miolo</t>
  </si>
  <si>
    <t>Carne Bovina - Bucho</t>
  </si>
  <si>
    <t>Carne Bovina - Carne Seca</t>
  </si>
  <si>
    <t>Carne Bovina - Coração Alcatra</t>
  </si>
  <si>
    <t>Carne Bovina - Costela</t>
  </si>
  <si>
    <t>Carne Bovina - Cupim</t>
  </si>
  <si>
    <t>Carne Bovina - Fígado</t>
  </si>
  <si>
    <t>Carne Bovina - Filé Mignon 3/4</t>
  </si>
  <si>
    <t>Carne Bovina - Filé Mignon 4/5</t>
  </si>
  <si>
    <t>Carne Bovina - Lagarto Plano</t>
  </si>
  <si>
    <t>Carne Bovina - Lagarto Redondo</t>
  </si>
  <si>
    <t>Carne Bovina - Língua</t>
  </si>
  <si>
    <t>Carne Bovina - Maminha</t>
  </si>
  <si>
    <t>Carne Bovina - Músculo</t>
  </si>
  <si>
    <t>Carne Bovina - Patinho</t>
  </si>
  <si>
    <t>Carne Bovina - Peito</t>
  </si>
  <si>
    <t>Carne Bovina - Picanha A</t>
  </si>
  <si>
    <t>Carne Bovina - Picanha Grill/Churrascaria</t>
  </si>
  <si>
    <t>Carne Bovina - Rabada cortada</t>
  </si>
  <si>
    <t>Cartão Ponto Mensal</t>
  </si>
  <si>
    <t xml:space="preserve">Cartucho Impressora HP </t>
  </si>
  <si>
    <t>Casquinha de Laranja com chocolate</t>
  </si>
  <si>
    <t>Castanha de Caju Picada</t>
  </si>
  <si>
    <t>Castanha do Pará</t>
  </si>
  <si>
    <t>Catchup 3,6 Kg</t>
  </si>
  <si>
    <t>Cebola</t>
  </si>
  <si>
    <t>Cebola Calabresa</t>
  </si>
  <si>
    <t>Cebola Orgânica</t>
  </si>
  <si>
    <t>Cebola Roxa</t>
  </si>
  <si>
    <t>Cebolete em conserva</t>
  </si>
  <si>
    <t>Cebolinha Orgânica</t>
  </si>
  <si>
    <t>Cebolinha Verde</t>
  </si>
  <si>
    <t>Cebolinha Verde Sushi</t>
  </si>
  <si>
    <t>Cenoura</t>
  </si>
  <si>
    <t>Cenoura  Sushi</t>
  </si>
  <si>
    <t>Cenoura Baby</t>
  </si>
  <si>
    <t>Cenoura Orgânica</t>
  </si>
  <si>
    <t>Cereja Conserva</t>
  </si>
  <si>
    <t>Cerveja 1795</t>
  </si>
  <si>
    <t>Cerveja Affligem Blonde</t>
  </si>
  <si>
    <t>Cerveja Antartica 600 ml</t>
  </si>
  <si>
    <t>Cerveja Antartica Long Neck 355 ml</t>
  </si>
  <si>
    <t>Cerveja Bierland Vienna 500ml</t>
  </si>
  <si>
    <t>Cerveja Bohemia 600 ml</t>
  </si>
  <si>
    <t>Cerveja Bohemia Long Neck 355 ml</t>
  </si>
  <si>
    <t>Cerveja Dama IPA 355 ml</t>
  </si>
  <si>
    <t>Cerveja Garrafa Mary Angel 600 ml</t>
  </si>
  <si>
    <t>Cerveja Heineken 600 ml</t>
  </si>
  <si>
    <t>Cerveja Heineken Long Neck 330 ml</t>
  </si>
  <si>
    <t>Cerveja La Trappe Dubbel</t>
  </si>
  <si>
    <t>Cerveja Malzbier Brahma Long Neck</t>
  </si>
  <si>
    <t>Cerveja Paulaner Heufe 500 ml</t>
  </si>
  <si>
    <t>Cerveja W*Kattz Kölsh</t>
  </si>
  <si>
    <t>Cevadinha</t>
  </si>
  <si>
    <t>Chá diversos sache</t>
  </si>
  <si>
    <t>Chá verde 200gr</t>
  </si>
  <si>
    <t>Chia em Grão</t>
  </si>
  <si>
    <t>Chiclete Adams</t>
  </si>
  <si>
    <t>Chiclete Japonês cx 48</t>
  </si>
  <si>
    <t>Chicória</t>
  </si>
  <si>
    <t>Chicória Orgânica</t>
  </si>
  <si>
    <t>Chimichurri</t>
  </si>
  <si>
    <t>Choco Diet</t>
  </si>
  <si>
    <t>Chocolate Granulado 1,01 Kg</t>
  </si>
  <si>
    <t>Chuchu</t>
  </si>
  <si>
    <t>Chuchu Orgânico</t>
  </si>
  <si>
    <t>Clara de Ovo</t>
  </si>
  <si>
    <t>Clips Bacchi 2/0</t>
  </si>
  <si>
    <t>Cloril saco 20 kg</t>
  </si>
  <si>
    <t>Coca Cola (lata)</t>
  </si>
  <si>
    <t>Coca Cola Zero (lata)</t>
  </si>
  <si>
    <t>Côco Seco</t>
  </si>
  <si>
    <t>Côco Verde</t>
  </si>
  <si>
    <t>Coentro</t>
  </si>
  <si>
    <t>Coentro Orgânico</t>
  </si>
  <si>
    <t>Cogumelo Fatiado Bd 2 Kg</t>
  </si>
  <si>
    <t>Cogumelo Paris</t>
  </si>
  <si>
    <t>Cogumelo Portobello</t>
  </si>
  <si>
    <t>Colher Descartável Nobre Cristal</t>
  </si>
  <si>
    <t>Coloral</t>
  </si>
  <si>
    <t>Conchile de Frango Fresco</t>
  </si>
  <si>
    <t>Copo de Sobremesa Cristal 180 ml</t>
  </si>
  <si>
    <t>Copo Descartável 200 ml</t>
  </si>
  <si>
    <t>Copo Descartável 400ml</t>
  </si>
  <si>
    <t>Copo Descartável Feijão</t>
  </si>
  <si>
    <t>Copo para Café 50 ml</t>
  </si>
  <si>
    <t>Cordeiro - Paleta s/ Osso</t>
  </si>
  <si>
    <t>Cordeiro - Pernil s/ Osso</t>
  </si>
  <si>
    <t>Corretor Líquido</t>
  </si>
  <si>
    <t>Couve de Bruxelas</t>
  </si>
  <si>
    <t>Couve Flor</t>
  </si>
  <si>
    <t>Couve Manteiga</t>
  </si>
  <si>
    <t>Couve Orgânica</t>
  </si>
  <si>
    <t>Cranberry</t>
  </si>
  <si>
    <t>Cream Cheese</t>
  </si>
  <si>
    <t>Cream Cheese Sushi</t>
  </si>
  <si>
    <t>Creme de Cebola</t>
  </si>
  <si>
    <t>Creme de Leite 300 g</t>
  </si>
  <si>
    <t>Creme de Leite Chantily</t>
  </si>
  <si>
    <t>Creme de Leite Culinário 20% Bd 10 Lt</t>
  </si>
  <si>
    <t>Cupcake</t>
  </si>
  <si>
    <t>Curry</t>
  </si>
  <si>
    <t>Cuscus</t>
  </si>
  <si>
    <t>Damasco Seco</t>
  </si>
  <si>
    <t>Detergente Emulsionante (Coifa) Bb 5 Lt</t>
  </si>
  <si>
    <t>Dosador Pump 30 MLBB 3 L</t>
  </si>
  <si>
    <t>Elástico 1 Kg</t>
  </si>
  <si>
    <t>Embalagem Fatia de Torta Cx 200</t>
  </si>
  <si>
    <t>Embalagem Grande Segantini</t>
  </si>
  <si>
    <t>Embalagem p/ Sushi</t>
  </si>
  <si>
    <t>Endivia</t>
  </si>
  <si>
    <t>Envelope 24x34 c/ 50 um</t>
  </si>
  <si>
    <t>Erva doce</t>
  </si>
  <si>
    <t>Ervilha congelada</t>
  </si>
  <si>
    <t>Ervilha lata</t>
  </si>
  <si>
    <t>Espetinho 15 cm c/ 100</t>
  </si>
  <si>
    <t>Espinafre</t>
  </si>
  <si>
    <t>Espinafre Orgânico</t>
  </si>
  <si>
    <t>Espinafre Sushi</t>
  </si>
  <si>
    <t>Esponja Dupla Face</t>
  </si>
  <si>
    <t xml:space="preserve">Estragão </t>
  </si>
  <si>
    <t>Etiqueta de Validade 40X60</t>
  </si>
  <si>
    <t>Etiqueta Pimaco</t>
  </si>
  <si>
    <t>Etiqueta Toledo 40 X 40</t>
  </si>
  <si>
    <t>Faca Descartável Cristal</t>
  </si>
  <si>
    <t>Farinha de Mandioca</t>
  </si>
  <si>
    <t>Farinha de Rosca</t>
  </si>
  <si>
    <t>Farinha de Trigo</t>
  </si>
  <si>
    <t>Farinha de Trigo Semoli</t>
  </si>
  <si>
    <t>Farinha Panco</t>
  </si>
  <si>
    <t>Favas</t>
  </si>
  <si>
    <t>Feijão Azuki</t>
  </si>
  <si>
    <t>Feijão Branco</t>
  </si>
  <si>
    <t>Feijão de Soja</t>
  </si>
  <si>
    <t>Feijão Fradinho</t>
  </si>
  <si>
    <t>Feijão Mulatinho</t>
  </si>
  <si>
    <t>Feijão Preto</t>
  </si>
  <si>
    <t>Fermento em Pó Royal 100 g</t>
  </si>
  <si>
    <t>Fermento em Pó Royal 250 g</t>
  </si>
  <si>
    <t>Fibraço</t>
  </si>
  <si>
    <t>Figo em Calda</t>
  </si>
  <si>
    <t>Figo Fresco</t>
  </si>
  <si>
    <t>Figo Seco</t>
  </si>
  <si>
    <t>Filme PVC 28X300</t>
  </si>
  <si>
    <t>Filme PVC 380 X 1000 M</t>
  </si>
  <si>
    <t>Filme PVC 380 x 1000 Sushi</t>
  </si>
  <si>
    <t>Fita Durex 12x30</t>
  </si>
  <si>
    <t>Flocos de Arroz Sushi</t>
  </si>
  <si>
    <t>Flocos de Milho</t>
  </si>
  <si>
    <t>Flores Comestíveis</t>
  </si>
  <si>
    <t>Folha de Alga 100 Fl</t>
  </si>
  <si>
    <t>Folha Ofício</t>
  </si>
  <si>
    <t>Fósforo pacte c/ 10</t>
  </si>
  <si>
    <t>Frasco 3L P/ Diluição</t>
  </si>
  <si>
    <t>Frasco Redondo 32 OZ</t>
  </si>
  <si>
    <t>Fruta do Conde</t>
  </si>
  <si>
    <t>Frutas Cristalizadas</t>
  </si>
  <si>
    <t xml:space="preserve">Fubá de Milho </t>
  </si>
  <si>
    <t>Funcho</t>
  </si>
  <si>
    <t>Fundo de Alcachofra</t>
  </si>
  <si>
    <t>Funghi Seco</t>
  </si>
  <si>
    <t>Garfo Descartável</t>
  </si>
  <si>
    <t>Gás Butano Und</t>
  </si>
  <si>
    <t>Gás Capsula p/ Chantilly</t>
  </si>
  <si>
    <t>Gelatina em pó s/ sabor (incolor)</t>
  </si>
  <si>
    <t>Gelatina Morango c/ Açucar Orgânico</t>
  </si>
  <si>
    <t>Gelatina Morango Stevia Plus Zero 10 g</t>
  </si>
  <si>
    <t>Gelo em Cubo</t>
  </si>
  <si>
    <t>Gelo em Escamas</t>
  </si>
  <si>
    <t>Gengibre</t>
  </si>
  <si>
    <t>Gengibre Sushi</t>
  </si>
  <si>
    <t>Gergelim Branco</t>
  </si>
  <si>
    <t>Gergelim Branco Sushi</t>
  </si>
  <si>
    <t>Gergelim Preto</t>
  </si>
  <si>
    <t>Gergelim Preto Sushi</t>
  </si>
  <si>
    <t>Goiaba</t>
  </si>
  <si>
    <t>Goiabada</t>
  </si>
  <si>
    <t>Goma de Tapioca</t>
  </si>
  <si>
    <t>Grafite</t>
  </si>
  <si>
    <t>Grampo 26/6</t>
  </si>
  <si>
    <t>Grão de Bico</t>
  </si>
  <si>
    <t>Guaraná Antarctica (lata)</t>
  </si>
  <si>
    <t>Guaraná Antarctica Zero (lata)</t>
  </si>
  <si>
    <t>Guardanapo Pequeno</t>
  </si>
  <si>
    <t>H2O Limão</t>
  </si>
  <si>
    <t>Higienizador de Assento Sanitário</t>
  </si>
  <si>
    <t>Hipoclorito de Sódio Bb 5 Lt</t>
  </si>
  <si>
    <t>Hondashi 6 saches</t>
  </si>
  <si>
    <t>Hondashi Sushi</t>
  </si>
  <si>
    <t>Hortelã</t>
  </si>
  <si>
    <t>Hortelã Orgânica</t>
  </si>
  <si>
    <t>Humaytá - Ambrosia</t>
  </si>
  <si>
    <t xml:space="preserve">Humaytá - Berinjela Antepasto </t>
  </si>
  <si>
    <t xml:space="preserve">Humaytá - Berinjela com Tomate seco </t>
  </si>
  <si>
    <t xml:space="preserve">Humaytá - Chutney Damasco c/ Tâmaras </t>
  </si>
  <si>
    <t xml:space="preserve">Humaytá - Chutney de Manga </t>
  </si>
  <si>
    <t>Humaytá - Chuvisco</t>
  </si>
  <si>
    <t>Humaytá - Compota de Abóbora</t>
  </si>
  <si>
    <t>Humaytá - Compota de Figo</t>
  </si>
  <si>
    <t>Humaytá - Compota de Goiaba ao Creme</t>
  </si>
  <si>
    <t xml:space="preserve">Humaytá - Compota de Laranja </t>
  </si>
  <si>
    <t>Humaytá - Compota de Laranja da Terra</t>
  </si>
  <si>
    <t>Humaytá - Doce de Abóbora com Côco</t>
  </si>
  <si>
    <t>Humaytá - Doce de Banana em Calda</t>
  </si>
  <si>
    <t>Humaytá - Doce de Côco</t>
  </si>
  <si>
    <t>Humaytá - Doce de Leite Puro</t>
  </si>
  <si>
    <t>Humaytá - Doce de Mamão Verde</t>
  </si>
  <si>
    <t>Humaytá - Geléia de Alecrim</t>
  </si>
  <si>
    <t>Humaytá - Geléia de Amora</t>
  </si>
  <si>
    <t>Humaytá - Geléia de Damasco</t>
  </si>
  <si>
    <t>Humaytá - Geléia de Figo</t>
  </si>
  <si>
    <t xml:space="preserve">Humaytá - Geléia de Pimenta </t>
  </si>
  <si>
    <t>Humaytá - Geléia de Tangerina</t>
  </si>
  <si>
    <t>Humaytá - Mini Geléia de Amora</t>
  </si>
  <si>
    <t>Humaytá - Mini Geléia de Damasco</t>
  </si>
  <si>
    <t>Humaytá - Mini Geléia de Figo</t>
  </si>
  <si>
    <t>Humaytá - Mini Geléia de Framboesa</t>
  </si>
  <si>
    <t>Humaytá - Mini Geléia de Frutas Vermelhas</t>
  </si>
  <si>
    <t>Humaytá - Mini Geléia de Goiaba</t>
  </si>
  <si>
    <t>Humaytá - Mini Geléia de Jabuticaba</t>
  </si>
  <si>
    <t>Humaytá - Mini Geléia de Laranja</t>
  </si>
  <si>
    <t>Humaytá - Mini Geléia de Maracujá</t>
  </si>
  <si>
    <t>Humaytá - Mini Geléia de Morango</t>
  </si>
  <si>
    <t>Humaytá - Mini Geléia de Tangerina</t>
  </si>
  <si>
    <t>Humaytá - Molho de Tomate</t>
  </si>
  <si>
    <t>Humaytá - Molho de Tomate com Manjericão</t>
  </si>
  <si>
    <t>Humaytá - Papos de Anjo</t>
  </si>
  <si>
    <t>Ice Tea Limão</t>
  </si>
  <si>
    <t>Ice Tea Limão Ligth</t>
  </si>
  <si>
    <t>Ice Tea Pêssego</t>
  </si>
  <si>
    <t>Ice Tea Pêssego Light</t>
  </si>
  <si>
    <t>Ikura</t>
  </si>
  <si>
    <t>Inhame</t>
  </si>
  <si>
    <t>Inseticida</t>
  </si>
  <si>
    <t>Jet Dry Secante Bb 5 Lt</t>
  </si>
  <si>
    <t>Jiló</t>
  </si>
  <si>
    <t>Karo Mel</t>
  </si>
  <si>
    <t>Kiwi</t>
  </si>
  <si>
    <t>Kiwi Desidratado</t>
  </si>
  <si>
    <t>Lápis</t>
  </si>
  <si>
    <t>Laranja Pera</t>
  </si>
  <si>
    <t>Laranja Seleta</t>
  </si>
  <si>
    <t>Leite Condensado 395 g</t>
  </si>
  <si>
    <t>Leite de Côco</t>
  </si>
  <si>
    <t>Leite Integral</t>
  </si>
  <si>
    <t>Lentilha</t>
  </si>
  <si>
    <t>Lichia em Calda</t>
  </si>
  <si>
    <t>Limão</t>
  </si>
  <si>
    <t>Limão Orgânico</t>
  </si>
  <si>
    <t>Limão Siciliano</t>
  </si>
  <si>
    <t>Linhaça</t>
  </si>
  <si>
    <t>Linhaça Dourada</t>
  </si>
  <si>
    <t>Louro</t>
  </si>
  <si>
    <t>Lustra Móveis</t>
  </si>
  <si>
    <t>Luva Cano Longo</t>
  </si>
  <si>
    <t>Luva de Borraca Forrada</t>
  </si>
  <si>
    <t>Luva Descartável c/ 100</t>
  </si>
  <si>
    <t>Luva Látex para Procedimento</t>
  </si>
  <si>
    <t>Maçã Ácida</t>
  </si>
  <si>
    <t>Maçã Desidratada</t>
  </si>
  <si>
    <t>Maçã Nacional</t>
  </si>
  <si>
    <t>Macarrão Cabelo de Anjo</t>
  </si>
  <si>
    <t>Macarrão Celentani</t>
  </si>
  <si>
    <t>Macarrão Conchiglie Rigate</t>
  </si>
  <si>
    <t>Macarrão de Feijão (Harusame) 200g</t>
  </si>
  <si>
    <t>Macarrão Espaghetti</t>
  </si>
  <si>
    <t>Macarrão Espaghetti Nissim</t>
  </si>
  <si>
    <t>Macarrão Farfalle</t>
  </si>
  <si>
    <t>Macarrão Fusili</t>
  </si>
  <si>
    <t>Macarrão Integrale Farfalle</t>
  </si>
  <si>
    <t>Macarrão Integrale Penne</t>
  </si>
  <si>
    <t>Macarrão Linguine</t>
  </si>
  <si>
    <t>Macarrão Pappardelle</t>
  </si>
  <si>
    <t>Macarrão Penne</t>
  </si>
  <si>
    <t>Macarrão Talharim</t>
  </si>
  <si>
    <t>Maionese Hellmanns Bd 3 Kg</t>
  </si>
  <si>
    <t>Maisena Amido de Milho 1 Kg</t>
  </si>
  <si>
    <t>Mamão Bahia</t>
  </si>
  <si>
    <t>Mamão Papaya</t>
  </si>
  <si>
    <t>Manga Palmer</t>
  </si>
  <si>
    <t>Manga Tommy</t>
  </si>
  <si>
    <t>Manga Tommy Sushi</t>
  </si>
  <si>
    <t>Manjericão</t>
  </si>
  <si>
    <t>Manjericão Orgânico</t>
  </si>
  <si>
    <t>Manjericão Roxo</t>
  </si>
  <si>
    <t>Manjerona</t>
  </si>
  <si>
    <t>Manteiga de Garrafa</t>
  </si>
  <si>
    <t>Maracujá</t>
  </si>
  <si>
    <t>Margarina Bd 15 Kg</t>
  </si>
  <si>
    <t>Margarina Qualy 500 g</t>
  </si>
  <si>
    <t>Massa de Harumaki</t>
  </si>
  <si>
    <t>Massa de Pastel</t>
  </si>
  <si>
    <t>Massa Paglia e Fieno</t>
  </si>
  <si>
    <t>Massa para Lasanha</t>
  </si>
  <si>
    <t>Mate Orgânico Limão</t>
  </si>
  <si>
    <t>Mate Orgânico Natural</t>
  </si>
  <si>
    <t>Matte Leão Limão Pet 1,5 Lt</t>
  </si>
  <si>
    <t>Matte Leão Limão Zero Pet 1,5 Lt</t>
  </si>
  <si>
    <t>Maxixe</t>
  </si>
  <si>
    <t>Mel Orgânico</t>
  </si>
  <si>
    <t>Melância</t>
  </si>
  <si>
    <t xml:space="preserve">Melão de Rede </t>
  </si>
  <si>
    <t>Melão Orange</t>
  </si>
  <si>
    <t>Mikro Chlor</t>
  </si>
  <si>
    <t>Milho espiga</t>
  </si>
  <si>
    <t>Milho Mini Conserva lata 1,5 Kg</t>
  </si>
  <si>
    <t>Milho Verde 2 Kg</t>
  </si>
  <si>
    <t>Misso Shiro</t>
  </si>
  <si>
    <t>Molha Dedo Creme Umedecedor</t>
  </si>
  <si>
    <t>Molho de Peixe</t>
  </si>
  <si>
    <t>Molho de Pimenta</t>
  </si>
  <si>
    <t>Molho Inglês 1 Lt</t>
  </si>
  <si>
    <t>Molho Inglês Bb 5 Lt</t>
  </si>
  <si>
    <t>Molho Ostra</t>
  </si>
  <si>
    <t>Morango</t>
  </si>
  <si>
    <t>Mostarda Bb 3,3, Kg</t>
  </si>
  <si>
    <t>Mostarda Dijom em Grão</t>
  </si>
  <si>
    <t>Mostarda Escura Hemmer 200 g</t>
  </si>
  <si>
    <t>Nabo</t>
  </si>
  <si>
    <t>Nabo Japonês</t>
  </si>
  <si>
    <t>Nabo Japonês Sushi</t>
  </si>
  <si>
    <t>Nescau (Nestle)</t>
  </si>
  <si>
    <t>Nirá</t>
  </si>
  <si>
    <t>Nozes sem casca</t>
  </si>
  <si>
    <t>Oásis enforce (limpador clorado) Bb5lt</t>
  </si>
  <si>
    <t>Óleo Composto 500ml</t>
  </si>
  <si>
    <t>Óleo de Côco Orgânico 200ml</t>
  </si>
  <si>
    <t>Óleo de Gergelim</t>
  </si>
  <si>
    <t>Óleo de Soja 18 Lt</t>
  </si>
  <si>
    <t>Óleo de Soja Pet</t>
  </si>
  <si>
    <t>Orégano Chileno</t>
  </si>
  <si>
    <t>Ovo Caipira</t>
  </si>
  <si>
    <t>Ovo de Codorna</t>
  </si>
  <si>
    <t>Ovos Extra</t>
  </si>
  <si>
    <t>Ovos Extra Sushi</t>
  </si>
  <si>
    <t>Ovos Pontudos 14 gr</t>
  </si>
  <si>
    <t>Pá c/ Cabo para Lixo</t>
  </si>
  <si>
    <t>Palito Sache Cx 2000</t>
  </si>
  <si>
    <t>Palito Waribashi</t>
  </si>
  <si>
    <t>Palmito lata 500gr</t>
  </si>
  <si>
    <t>Palmito Orgânico</t>
  </si>
  <si>
    <t>Palmito Picado 1,8 Kg</t>
  </si>
  <si>
    <t>Pano Multiuso Cross Hatch Azul 300 M</t>
  </si>
  <si>
    <t>Pano Multiuso Cross Hatch Laranja 300 M</t>
  </si>
  <si>
    <t>Pão Árabe</t>
  </si>
  <si>
    <t>Pão de Forma</t>
  </si>
  <si>
    <t>Pão de Mel</t>
  </si>
  <si>
    <t>Pão de Queijo</t>
  </si>
  <si>
    <t>Pão Francês</t>
  </si>
  <si>
    <t>Pão Rabanada</t>
  </si>
  <si>
    <t>Papel Alumínio Rolo 30x100</t>
  </si>
  <si>
    <t>Papel Chamex A4 Office</t>
  </si>
  <si>
    <t>Papel de Arroz</t>
  </si>
  <si>
    <t>Papel Higiênico (P.H. Interf.) Cx 60</t>
  </si>
  <si>
    <t>Papel Higiênico Rolo</t>
  </si>
  <si>
    <t>Papel Manteiga Resma c/ 400</t>
  </si>
  <si>
    <t>Paprica doce</t>
  </si>
  <si>
    <t>Passas Preta</t>
  </si>
  <si>
    <t>Pastilha Descalsificante (bd Azul)</t>
  </si>
  <si>
    <t>Pastilha Detergente</t>
  </si>
  <si>
    <t>Pepino Japonês</t>
  </si>
  <si>
    <t>Pepino Japonês Orgânico</t>
  </si>
  <si>
    <t>Pepino Japonês Sushi</t>
  </si>
  <si>
    <t>Pequi Fatiado</t>
  </si>
  <si>
    <t>Pera</t>
  </si>
  <si>
    <t>Pera Seca</t>
  </si>
  <si>
    <t>Perfumador de Ambiente</t>
  </si>
  <si>
    <t>Pescados  - Filé de Badejo</t>
  </si>
  <si>
    <t>Pescados - Anchova</t>
  </si>
  <si>
    <t>Pescados - Atum Fresco</t>
  </si>
  <si>
    <t>Pescados - Atum Fresco Sushi</t>
  </si>
  <si>
    <t>Pescados - Bacalhau Dessalgado</t>
  </si>
  <si>
    <t>Pescados - Bacalhau Salgado</t>
  </si>
  <si>
    <t>Pescados - Camarão Desc. Evisc. 36/40 (Drenado)</t>
  </si>
  <si>
    <t>Pescados - Camarão Desc. Evisc. 41/50 (Drenado)</t>
  </si>
  <si>
    <t>Pescados - Camarão Desc. Evisc. 51/60 (Drenado)</t>
  </si>
  <si>
    <t>Pescados - Camarão IQF Evisc. 41/50</t>
  </si>
  <si>
    <t>Pescados - Camarão IQF Evisc. 51/60</t>
  </si>
  <si>
    <t>Pescados - Camarão Seco</t>
  </si>
  <si>
    <t>Pescados - Camarão Sujo 41/50</t>
  </si>
  <si>
    <t>Pescados - Camarão Sujo 51/60</t>
  </si>
  <si>
    <t>Pescados - Camarão VG</t>
  </si>
  <si>
    <t>Pescados - Camarão VM</t>
  </si>
  <si>
    <t>Pescados - Carne de siri</t>
  </si>
  <si>
    <t>Pescados - Cherne Fresco</t>
  </si>
  <si>
    <t>Pescados - Congro Rosa Fresco</t>
  </si>
  <si>
    <t>Pescados - Costela de Tambaqui</t>
  </si>
  <si>
    <t>Pescados - Dourado Fresco</t>
  </si>
  <si>
    <t>Pescados - Dourado Fresco Sushi</t>
  </si>
  <si>
    <t>Pescados - Filé de Pescada</t>
  </si>
  <si>
    <t>Pescados - Filé Linguado Cong. G</t>
  </si>
  <si>
    <t>Pescados - Filé Linguado Cong. M</t>
  </si>
  <si>
    <t>Pescados - Filé Pescada Branca Cong.</t>
  </si>
  <si>
    <t>Pescados - Filé Pintado</t>
  </si>
  <si>
    <t>Pescados - Filé Pirarucu Cong.</t>
  </si>
  <si>
    <t>Pescados - Filé Salmão Sushi</t>
  </si>
  <si>
    <t>Pescados - Filé Surubim</t>
  </si>
  <si>
    <t>Pescados - Filé Tilápia Cong.</t>
  </si>
  <si>
    <t>Pescados - Filé Tilápia Fresco</t>
  </si>
  <si>
    <t>Pescados - Filé Tilápia Fresco sushi</t>
  </si>
  <si>
    <t>Pescados - Filé Truta Cong.</t>
  </si>
  <si>
    <t>Pescados - Garoupa Fresca</t>
  </si>
  <si>
    <t>Pescados - Kani</t>
  </si>
  <si>
    <t>Pescados - Kani Sushi</t>
  </si>
  <si>
    <t>Pescados - Lula Calamares</t>
  </si>
  <si>
    <t>Pescados - Lula Fresca Sushi</t>
  </si>
  <si>
    <t>Pescados - Lula Natubras M</t>
  </si>
  <si>
    <t>Pescados - Lula Natubras P</t>
  </si>
  <si>
    <t>Pescados - Marisco</t>
  </si>
  <si>
    <t>Pescados - Namorado</t>
  </si>
  <si>
    <t>Pescados - Namorado Fresco Sushi</t>
  </si>
  <si>
    <t>Pescados - Olhete Fresco</t>
  </si>
  <si>
    <t>Pescados - Olhete Fresco Sushi</t>
  </si>
  <si>
    <t>Pescados - Olho de Boi</t>
  </si>
  <si>
    <t>Pescados - Olho de Cão Sushi</t>
  </si>
  <si>
    <t>Pescados - Ostras Frescas</t>
  </si>
  <si>
    <t>Pescados - Pargo Fresco Sushi</t>
  </si>
  <si>
    <t>Pescados - Pescada Amarela Fresca</t>
  </si>
  <si>
    <t>Pescados - Pintado Cong.</t>
  </si>
  <si>
    <t>Pescados - Polvo Fresco G</t>
  </si>
  <si>
    <t>Pescados - Polvo Fresco G Sushi</t>
  </si>
  <si>
    <t>Pescados - Polvo Fresco M</t>
  </si>
  <si>
    <t>Pescados - Polvo Fresco M Sushi</t>
  </si>
  <si>
    <t>Pescados - Polvo Tentáculos Cong. G</t>
  </si>
  <si>
    <t>Pescados - Polvo Tentáculos Cong. GG</t>
  </si>
  <si>
    <t>Pescados - Polvo Tentáculos Cong. M</t>
  </si>
  <si>
    <t>Pescados - Robalo Fresco</t>
  </si>
  <si>
    <t>Pescados - Salmão Inteiro</t>
  </si>
  <si>
    <t>Pescados - Salmão Inteiro Sushi</t>
  </si>
  <si>
    <t>Pescados - Sardinha Fresca</t>
  </si>
  <si>
    <t>Pescados - Sardinha Fresca Sushi</t>
  </si>
  <si>
    <t>Pescados - Tainha Fresca</t>
  </si>
  <si>
    <t>Pescados - Tainha Fresca Sushi</t>
  </si>
  <si>
    <t>Pescados - Xerelete Fresco Sushi</t>
  </si>
  <si>
    <t>Pessego</t>
  </si>
  <si>
    <t>Pessego em Calda</t>
  </si>
  <si>
    <t>Picles</t>
  </si>
  <si>
    <t>Pimenta Biquinho</t>
  </si>
  <si>
    <t>Pimenta Calabresa</t>
  </si>
  <si>
    <t>Pimenta de Cheiro</t>
  </si>
  <si>
    <t>Pimenta Dedo de Moça</t>
  </si>
  <si>
    <t>Pimenta do Reino em Pó</t>
  </si>
  <si>
    <t>Pimenta Japonesa (Kimuchi)</t>
  </si>
  <si>
    <t>Pimenta Malagueta</t>
  </si>
  <si>
    <t>Pimenta rosa</t>
  </si>
  <si>
    <t>Pimenta Tabasco</t>
  </si>
  <si>
    <t>Pimenta Togarashi Sushi</t>
  </si>
  <si>
    <t>Pimentão Amarelo</t>
  </si>
  <si>
    <t>Pimentão Orgânico</t>
  </si>
  <si>
    <t>Pimentão Verde</t>
  </si>
  <si>
    <t>Pimentão Vermelho</t>
  </si>
  <si>
    <t>Pistache</t>
  </si>
  <si>
    <t>Polaseal Plastific c/ 100</t>
  </si>
  <si>
    <t>Presunto Cozido</t>
  </si>
  <si>
    <t>Presunto Parma</t>
  </si>
  <si>
    <t>Quat Sanitizer (Higienização) Bb 5 Lt</t>
  </si>
  <si>
    <t>Queijo Brie</t>
  </si>
  <si>
    <t>Queijo Burrata</t>
  </si>
  <si>
    <t>Queijo Cheddar</t>
  </si>
  <si>
    <t>Queijo Coalho</t>
  </si>
  <si>
    <t>Queijo Cottage</t>
  </si>
  <si>
    <t>Queijo de Cabra</t>
  </si>
  <si>
    <t>Queijo Gorgonzola</t>
  </si>
  <si>
    <t>Queijo Gouda</t>
  </si>
  <si>
    <t>Queijo Mascarpone Ecila Bd 3,6 Kg</t>
  </si>
  <si>
    <t>Queijo Minas</t>
  </si>
  <si>
    <t>Queijo Minas Padrão</t>
  </si>
  <si>
    <t>Queijo Mozzarela Italiana pcte 880 gr</t>
  </si>
  <si>
    <t>Queijo Mussarela</t>
  </si>
  <si>
    <t>Queijo Parmezon</t>
  </si>
  <si>
    <t>Queijo Prato</t>
  </si>
  <si>
    <t>Queijo Requeijão BD 3,6 Kg</t>
  </si>
  <si>
    <t>Queijo Ricota</t>
  </si>
  <si>
    <t>Quiabo</t>
  </si>
  <si>
    <t>Quindão com Damasco</t>
  </si>
  <si>
    <t>Quindim</t>
  </si>
  <si>
    <t>Quinoa</t>
  </si>
  <si>
    <t>Rabanete</t>
  </si>
  <si>
    <t>Rabanete Orgânico</t>
  </si>
  <si>
    <t>Radichio</t>
  </si>
  <si>
    <t>Radichio Orgânico</t>
  </si>
  <si>
    <t>Raviole de Gorogonzola</t>
  </si>
  <si>
    <t>Raviole de Mussarela</t>
  </si>
  <si>
    <t>Raviole Variados</t>
  </si>
  <si>
    <t>Repolho</t>
  </si>
  <si>
    <t>Repolho Orgânico</t>
  </si>
  <si>
    <t>Repolho Roxo</t>
  </si>
  <si>
    <t>Rolo de Massa Folhada 2,8 Kg</t>
  </si>
  <si>
    <t>Rondelli</t>
  </si>
  <si>
    <t>Rúcula</t>
  </si>
  <si>
    <t>Rúcula Orgânica</t>
  </si>
  <si>
    <t>Sabão em Pó</t>
  </si>
  <si>
    <t>Sabonete Espuma refil 800 ml</t>
  </si>
  <si>
    <t>Saco de Lixo 100 Lt</t>
  </si>
  <si>
    <t>Saco de Lixo 20 Lt</t>
  </si>
  <si>
    <t>Saco de Lixo 200 Lt</t>
  </si>
  <si>
    <t>Saco de Lixo 300 Lt</t>
  </si>
  <si>
    <t>Saco de Lixo 60 Lt</t>
  </si>
  <si>
    <t>Saco Microperfurado 25x35 pacte 200</t>
  </si>
  <si>
    <t>Saco Microperfurado 30x40 pacte 200</t>
  </si>
  <si>
    <t>Saco p/ Biscoito 10x15 pacte 1000</t>
  </si>
  <si>
    <t>Saco para Talher</t>
  </si>
  <si>
    <t>Saco Plástico 50x70</t>
  </si>
  <si>
    <t>Sacola Camiseta Branca Doce</t>
  </si>
  <si>
    <t>Sacola Camiseta Branca Sobremesa</t>
  </si>
  <si>
    <t>Sacola Delivery</t>
  </si>
  <si>
    <t>Sagu</t>
  </si>
  <si>
    <t>Sal Grosso</t>
  </si>
  <si>
    <t>Sal Refinado</t>
  </si>
  <si>
    <t>Sal Sache</t>
  </si>
  <si>
    <t>Sal Sushi</t>
  </si>
  <si>
    <t>Salame Italiano</t>
  </si>
  <si>
    <t>Salsa</t>
  </si>
  <si>
    <t>Salsa Crespa</t>
  </si>
  <si>
    <t>Salsa Crespa Sushi</t>
  </si>
  <si>
    <t>Salsa Lisa Orgânica</t>
  </si>
  <si>
    <t>Sálvia</t>
  </si>
  <si>
    <t>Sapólio</t>
  </si>
  <si>
    <t>Saque Azuma Mirim 500 ml</t>
  </si>
  <si>
    <t>Saque Azuma Mirim 500 ml Sushi</t>
  </si>
  <si>
    <t>Saque Azuma Mirim Bb 5 Lt</t>
  </si>
  <si>
    <t>Saque Azuma Mirim Bb 5Lt Sushi</t>
  </si>
  <si>
    <t>Schweppes Citrus</t>
  </si>
  <si>
    <t>Schweppes Citrus Light</t>
  </si>
  <si>
    <t>Shitake Sushi</t>
  </si>
  <si>
    <t>Shoyu Light Bb 5 Lt</t>
  </si>
  <si>
    <t>Shoyu Light Sushi</t>
  </si>
  <si>
    <t>Shoyu Premium (Mesa) Bb 5 Lt</t>
  </si>
  <si>
    <t>Shoyu Tradicional (Cozinha) Bb 5 Lt</t>
  </si>
  <si>
    <t>Sidra Espumante</t>
  </si>
  <si>
    <t>Silver Power Talher</t>
  </si>
  <si>
    <t>Solid Power (Lava Louça) 4 Kg</t>
  </si>
  <si>
    <t>Sorvete Vanilla (Italia)</t>
  </si>
  <si>
    <t>Spray Y/Pulveriz 32 OZ</t>
  </si>
  <si>
    <t>Suco de Caju</t>
  </si>
  <si>
    <t>Suco de Laranja</t>
  </si>
  <si>
    <t>Suco de Maracujá</t>
  </si>
  <si>
    <t>Suco Greenpeople</t>
  </si>
  <si>
    <t>Suíno - Bacon</t>
  </si>
  <si>
    <t>Suíno - Bacon Fatiado</t>
  </si>
  <si>
    <t>Suíno - Barriga Suína</t>
  </si>
  <si>
    <t>Suíno - Carre Defumado (Kassler)</t>
  </si>
  <si>
    <t>Suíno - Costelinha Fresca</t>
  </si>
  <si>
    <t>Suíno - Costelinha Salgada</t>
  </si>
  <si>
    <t>Suino - File Mignon c/Barriga (Medalhão)</t>
  </si>
  <si>
    <t>Suíno - Linguiça Calabresa</t>
  </si>
  <si>
    <t>Suíno - Linguiça de Pernil</t>
  </si>
  <si>
    <t>Suíno - Linguiça Fina Defumada</t>
  </si>
  <si>
    <t>Suíno - Linguiça Paio</t>
  </si>
  <si>
    <t>Suíno - Linguiça Toscana</t>
  </si>
  <si>
    <t>Suíno - Lombinho Fresco</t>
  </si>
  <si>
    <t>Suíno - Lombo Salgado</t>
  </si>
  <si>
    <t>Suíno - Pernil s/ Osso</t>
  </si>
  <si>
    <t>Suíno - Picanha Suína</t>
  </si>
  <si>
    <t>Suíno - Salsichão Branco com Ervas</t>
  </si>
  <si>
    <t>Suíno - Salsichão de Vitela</t>
  </si>
  <si>
    <t>Suíno - Salsichão Defumado c/ Ervas</t>
  </si>
  <si>
    <t>Suíno - Salsichão Rica</t>
  </si>
  <si>
    <t>Suino - Tender Bolinha</t>
  </si>
  <si>
    <t>Suino - Toucinho</t>
  </si>
  <si>
    <t>T.P. Interfolhado Melpaper</t>
  </si>
  <si>
    <t>Tablet Diet</t>
  </si>
  <si>
    <t>Tahine Lata 500 gr</t>
  </si>
  <si>
    <t>Tamaras s/ Casca</t>
  </si>
  <si>
    <t>Tampa para Copo 400 ml</t>
  </si>
  <si>
    <t>Tampa para Copo Feijão</t>
  </si>
  <si>
    <t>Tampa Sobremesa Cristal 180 ml</t>
  </si>
  <si>
    <t>Tangerina</t>
  </si>
  <si>
    <t xml:space="preserve">Tapioca Granulada </t>
  </si>
  <si>
    <t>Tic Tac</t>
  </si>
  <si>
    <t>Toalha Bobina</t>
  </si>
  <si>
    <t>Tofu 500 gr</t>
  </si>
  <si>
    <t>Tofu Kilo</t>
  </si>
  <si>
    <t>Tomate Cereja</t>
  </si>
  <si>
    <t>Tomate Cereja Orgânico</t>
  </si>
  <si>
    <t>Tomate Molho</t>
  </si>
  <si>
    <t>Tomate Orgânico</t>
  </si>
  <si>
    <t>Tomate Pelatti s/ Pele</t>
  </si>
  <si>
    <t>Tomate Salada</t>
  </si>
  <si>
    <t>Tomate Salada Sushi</t>
  </si>
  <si>
    <t>Tomate Seco Conserva Bd 3 Kg</t>
  </si>
  <si>
    <t>Tomilho</t>
  </si>
  <si>
    <t>Toner HP Amarelo</t>
  </si>
  <si>
    <t>Toner HP Ciano</t>
  </si>
  <si>
    <t>Toner HP Magenta</t>
  </si>
  <si>
    <t>Toner HP Preto</t>
  </si>
  <si>
    <t>Top Mat Bb 5 Lt</t>
  </si>
  <si>
    <t>Torta Alemã</t>
  </si>
  <si>
    <t>Torta Banana Crock</t>
  </si>
  <si>
    <t>Torta Banana Integral</t>
  </si>
  <si>
    <t>Torta Bem Casado de Chocolate c/ Avelã</t>
  </si>
  <si>
    <t>Torta Bem Casado de Damasco</t>
  </si>
  <si>
    <t>Torta Bem Casado de Doce de Leite</t>
  </si>
  <si>
    <t>Torta Bem Casado Imperial</t>
  </si>
  <si>
    <t>Torta Brownie com Nozes</t>
  </si>
  <si>
    <t>Torta Capuccino Diet</t>
  </si>
  <si>
    <t>Torta de Brigadeiro c/ Raspas</t>
  </si>
  <si>
    <t>Torta de Limão</t>
  </si>
  <si>
    <t>Torta de Maça Integral</t>
  </si>
  <si>
    <t>Torta Integral de Banana</t>
  </si>
  <si>
    <t xml:space="preserve">Torta Mousse de Chocolate </t>
  </si>
  <si>
    <t>Torta Mousse de Chocolate Diet</t>
  </si>
  <si>
    <t>Torta Xcake Framboesa</t>
  </si>
  <si>
    <t>Tortinha Arosa  64 unid</t>
  </si>
  <si>
    <t>Tortinha Arosa  72 unid</t>
  </si>
  <si>
    <t>Tortinha Arosa  81 unid</t>
  </si>
  <si>
    <t>Touca Branca</t>
  </si>
  <si>
    <t>Trident</t>
  </si>
  <si>
    <t>Trigo em Grão</t>
  </si>
  <si>
    <t>Trigo para Kibe</t>
  </si>
  <si>
    <t>Trufas Diversas</t>
  </si>
  <si>
    <t>Uva Itália</t>
  </si>
  <si>
    <t>Uva Rubi</t>
  </si>
  <si>
    <t>Uva s/ Caroço</t>
  </si>
  <si>
    <t>Vagem Francesa</t>
  </si>
  <si>
    <t>Vagem Macarrão</t>
  </si>
  <si>
    <t>Vagem Macarrão Orgânico</t>
  </si>
  <si>
    <t>Vassoura Gari 40 cm</t>
  </si>
  <si>
    <t>Vassoura Nylon</t>
  </si>
  <si>
    <t>Veja Mult-Uso</t>
  </si>
  <si>
    <t>Vercom Detergente Bb 5 Lt</t>
  </si>
  <si>
    <t>Vinagre Aceto Balsamico</t>
  </si>
  <si>
    <t>Vinagre de Arroz Bb 5 Lt</t>
  </si>
  <si>
    <t>Vinagre de Arroz Sushi</t>
  </si>
  <si>
    <t>Vinagre de Vinho Branco 750 ml</t>
  </si>
  <si>
    <t>Vinagre de Vinho Tinto 750 ml</t>
  </si>
  <si>
    <t>Vinagrete de Ervas</t>
  </si>
  <si>
    <t>Vinho  Espumante Veuve Du Vernay 187 ml</t>
  </si>
  <si>
    <t>Vinho Alfredo Roca Malbec 375 ml</t>
  </si>
  <si>
    <t>Vinho Arg. Nieto Reserva Cab Sal 750ml</t>
  </si>
  <si>
    <t>Vinho Benjamin Cab. Sauvignon 750 ml</t>
  </si>
  <si>
    <t>Vinho Benjamin Chardonnay 750 ml</t>
  </si>
  <si>
    <t>Vinho Benjamin Malbec 375 ml</t>
  </si>
  <si>
    <t>Vinho Benjamin Malbec 750 ml</t>
  </si>
  <si>
    <t>Vinho Branco Seco Gf 4,6 Lt</t>
  </si>
  <si>
    <t>Vinho Cassal Del Ronco - Prosseco</t>
  </si>
  <si>
    <t>Vinho Cefiro Cab. Sauvignon 187 ml</t>
  </si>
  <si>
    <t>Vinho Cefiro Cab. Sauvignon 375 ml</t>
  </si>
  <si>
    <t>Vinho Cefiro Cab. Sauvignon 750 ml</t>
  </si>
  <si>
    <t>Vinho Cefiro Sauv. Blanc 187 ml</t>
  </si>
  <si>
    <t>Vinho Cefiro Sauv. Blanc 750 ml</t>
  </si>
  <si>
    <t>Vinho Espumante Veuve Du Vernay 750 ml</t>
  </si>
  <si>
    <t>Vinho Loios</t>
  </si>
  <si>
    <t>Vinho Nieto Senet D.O.C. Malbec 750 ml</t>
  </si>
  <si>
    <t>Vinho Nieto Senet Espumante 187 ml</t>
  </si>
  <si>
    <t>Vinho Nieto Senet Malbec 375 ml</t>
  </si>
  <si>
    <t>Vinho Nieto Senet Pinot Noir 750 ml</t>
  </si>
  <si>
    <t>Vinho Sta Carolina Cab. Sauvignon 187 ml</t>
  </si>
  <si>
    <t>Vinho Sta Carolina Sauv. Blanc 187 ml</t>
  </si>
  <si>
    <t>Vinho Tinto Seco Gf 4,6 Lt</t>
  </si>
  <si>
    <t>Vodka Smirnoff</t>
  </si>
  <si>
    <t>Wasabi em Pó</t>
  </si>
  <si>
    <t>Xarope de Groselha</t>
  </si>
  <si>
    <t>Yogurt de Pessego</t>
  </si>
  <si>
    <t>Zix 40</t>
  </si>
  <si>
    <t>Vendas Caixa</t>
  </si>
  <si>
    <t>Descartável</t>
  </si>
  <si>
    <t>Escritório</t>
  </si>
  <si>
    <t>Feirinha</t>
  </si>
  <si>
    <t>Guardanapo Comum</t>
  </si>
  <si>
    <t>Geléia de Hortelã</t>
  </si>
  <si>
    <t>Alface Americana Org. Feirinha</t>
  </si>
  <si>
    <t>Alface Crespa Org. Feirinha</t>
  </si>
  <si>
    <t>Alface Roxa Org. Feirinha</t>
  </si>
  <si>
    <t>Berinjela Org. Feirinha</t>
  </si>
  <si>
    <t>Cenoura Org. Feirinha</t>
  </si>
  <si>
    <t>Rucula Org. Feirinha</t>
  </si>
  <si>
    <t>Aves - Filé de Coxa e Sobrecoxa s/pele</t>
  </si>
  <si>
    <t>Shoyu Tradicional (Sushi) Bb 5 Lt</t>
  </si>
  <si>
    <t>Pepino Japonês Org. Feirinha</t>
  </si>
  <si>
    <t>Coador Chá Verde</t>
  </si>
  <si>
    <t>Mês</t>
  </si>
  <si>
    <t>Aves - Medalhão de Frango</t>
  </si>
  <si>
    <t>Brócolis Nacional</t>
  </si>
  <si>
    <t>Couve Orgânica Feirinha</t>
  </si>
  <si>
    <t>Beterraba Orgânica Feirinha</t>
  </si>
  <si>
    <t>Flocos de Arroz (cozinha)</t>
  </si>
  <si>
    <t>Arroz Japonês (cozinha)</t>
  </si>
  <si>
    <t>Vinagre de Arroz (cozinha)</t>
  </si>
  <si>
    <t>Banana Prata Org. Feirinha</t>
  </si>
  <si>
    <t>Nirá Sushi</t>
  </si>
  <si>
    <t>Alho Poró Sushi</t>
  </si>
  <si>
    <t>Abobrinha Sushi</t>
  </si>
  <si>
    <t>Menta</t>
  </si>
  <si>
    <t>Arroz Japonês (sushi)</t>
  </si>
  <si>
    <t>Batata Calabresa</t>
  </si>
  <si>
    <t>Batata Palha 80 g</t>
  </si>
  <si>
    <t>Geléia de Framboesa</t>
  </si>
  <si>
    <t>Humaytá - Geléia de Frutas Vermelhas</t>
  </si>
  <si>
    <t>Humaytá - Geléia de Gengibre</t>
  </si>
  <si>
    <t>Humaytá - Geléia de Goiaba</t>
  </si>
  <si>
    <t>Humaytá - Geléia de Hortelã</t>
  </si>
  <si>
    <t>Humaytá - Geléia de Jabuticaba</t>
  </si>
  <si>
    <t>Humaytá - Geléia de Laranja</t>
  </si>
  <si>
    <t>Humaytá - Geléia de Maracujá</t>
  </si>
  <si>
    <t>Humaytá - Geléia de Morango</t>
  </si>
  <si>
    <t>Sal Himalaya</t>
  </si>
  <si>
    <t>Shoyu Sache</t>
  </si>
  <si>
    <t>Filme PVC 38 X 100 M</t>
  </si>
  <si>
    <t>Tempero p/ Sushi Bb 5 Lt (Sushi)</t>
  </si>
  <si>
    <t>Tempero p/ Sushi Bb 5 Lt  (Cozinha)</t>
  </si>
  <si>
    <t>BEBIDAS</t>
  </si>
  <si>
    <t>CARNES</t>
  </si>
  <si>
    <t>DESCARTÁVEL</t>
  </si>
  <si>
    <t>ESCRITÓRIO</t>
  </si>
  <si>
    <t>FEIRINHA</t>
  </si>
  <si>
    <t>HORTIFRUTI</t>
  </si>
  <si>
    <t>LIMPEZA</t>
  </si>
  <si>
    <t>MERCADO</t>
  </si>
  <si>
    <t>SOBREMESA</t>
  </si>
  <si>
    <t>VENDAS CAIXA</t>
  </si>
  <si>
    <t>SUSHI</t>
  </si>
  <si>
    <t>Name Wasabi</t>
  </si>
  <si>
    <t>Ervilha Torta</t>
  </si>
  <si>
    <t>Chocolate em Pó Solúvel 200g</t>
  </si>
  <si>
    <t>Repelente (Mosquito)</t>
  </si>
  <si>
    <t>Shoyu Light 150 ml</t>
  </si>
  <si>
    <t>Cachaça Seleta Branca 670 ml</t>
  </si>
  <si>
    <t>Cachaça Seleta Preta 600 ml</t>
  </si>
  <si>
    <t>Coca-Cola Pet 2 Lt</t>
  </si>
  <si>
    <t>Guaraná Antarctica Pet 2 Lt</t>
  </si>
  <si>
    <t>Sukita Laranja Pet 2 Lt</t>
  </si>
  <si>
    <t>Aves - Drumet de Frango</t>
  </si>
  <si>
    <t>Carnes - File de Costela (Noix)</t>
  </si>
  <si>
    <t>Bolo de Banana (com Amendoas)</t>
  </si>
  <si>
    <t>Bolo de Cacau Belga</t>
  </si>
  <si>
    <t>Bolo de Cenoura (com cobertura de chocolate)</t>
  </si>
  <si>
    <t>Bolo de Fuba (com cobertura de goiaba)</t>
  </si>
  <si>
    <t>Chuchu Org. Feirinha</t>
  </si>
  <si>
    <t>Espinafre Org. Feirinha</t>
  </si>
  <si>
    <t>Humayta - Geléia de Ameixa c/ Nozes</t>
  </si>
  <si>
    <t>Humayta - Geléia de Damasco c/ Amendoas</t>
  </si>
  <si>
    <t>Humayta - Mostarda de Frutas</t>
  </si>
  <si>
    <t>Mini Bolo de Banana (com amendoas)</t>
  </si>
  <si>
    <t>Mini Bolo de Cacau Belga</t>
  </si>
  <si>
    <t>Mini Bolo de Cenoura (com cobertura de chocolate)</t>
  </si>
  <si>
    <t>Mini Bolo de Fuba (com cobertura goiaba)</t>
  </si>
  <si>
    <t>Petit Four de Amendoas</t>
  </si>
  <si>
    <t>Petit Four de Cacau Belga</t>
  </si>
  <si>
    <t>Petit Four de Queijo</t>
  </si>
  <si>
    <t>Tomate Salada Org. Feirinha</t>
  </si>
  <si>
    <t>Vagem Francesa Org. Feirinha</t>
  </si>
  <si>
    <t>Alface Romana</t>
  </si>
  <si>
    <t>Caju</t>
  </si>
  <si>
    <t>Chicória Frizé</t>
  </si>
  <si>
    <t>Calda de Agave Azul Orgânico 330g</t>
  </si>
  <si>
    <t>Cravo em Flor</t>
  </si>
  <si>
    <t>Granola</t>
  </si>
  <si>
    <t>Cogumelo Porto Belo Sushi</t>
  </si>
  <si>
    <t>Folha de Alga 50F</t>
  </si>
  <si>
    <t>Folha de Arroz</t>
  </si>
  <si>
    <t>Geléia de Menta c/ Hortelã (sushi)</t>
  </si>
  <si>
    <t>Sweet Chilli Sauce 650 ml</t>
  </si>
  <si>
    <t>Sacola Camiseta Azul 30x45</t>
  </si>
  <si>
    <t>Descartáveis + Limpeza</t>
  </si>
  <si>
    <t>Carne Bovina - Contra-filé (Chorizo)</t>
  </si>
  <si>
    <t>Carne Bovina - Perinha da Chã</t>
  </si>
  <si>
    <t>Suíno - Filezinho Suíno</t>
  </si>
  <si>
    <t>Agenda</t>
  </si>
  <si>
    <t>Bobina Offset 1 Via</t>
  </si>
  <si>
    <t>Bobina Térmica Amarela</t>
  </si>
  <si>
    <t>Caderno Universitário 96F</t>
  </si>
  <si>
    <t>Fita Empacotamento 45x10</t>
  </si>
  <si>
    <t>Papel Adesivo 45/10</t>
  </si>
  <si>
    <t>Abobrinha Org. Feirinha</t>
  </si>
  <si>
    <t>Ameixa</t>
  </si>
  <si>
    <t>Vagem Manteiga</t>
  </si>
  <si>
    <t>Greasestrip Plus Bb 5 L</t>
  </si>
  <si>
    <t>Macarrão Integrale Fusilli</t>
  </si>
  <si>
    <t>Queijo Coalhada Minas</t>
  </si>
  <si>
    <t>Queijo Provolone Curado</t>
  </si>
  <si>
    <t>Tonkatsu Bb 5 Lt</t>
  </si>
  <si>
    <t>Torta Financier com Quindim</t>
  </si>
  <si>
    <t>Torta Mousse Chocolate s/ Gluten/Lactose</t>
  </si>
  <si>
    <t>Abacaxi (sushi)</t>
  </si>
  <si>
    <t>Álcool Gel Antiséptico 800 ml</t>
  </si>
  <si>
    <t>Bolo de Banana (c/ Castanhas)</t>
  </si>
  <si>
    <t>Cogumelo Paris Sushi</t>
  </si>
  <si>
    <t>Cookie c/ Flocos de Arroz, Amendoas e Castanhas</t>
  </si>
  <si>
    <t>Etiqueta p/ Etiquetadora</t>
  </si>
  <si>
    <t>Goiaba em Calda</t>
  </si>
  <si>
    <t>Marcador para Retro Projetor</t>
  </si>
  <si>
    <t>Pão de Psylium c/ Batata Baroa e Castanha</t>
  </si>
  <si>
    <t>Pão de Psylium c/Quinoa</t>
  </si>
  <si>
    <t>Pimenta Verde em Conserva</t>
  </si>
  <si>
    <t>Suino - Copa Lombo</t>
  </si>
  <si>
    <t>Torta de Cenoura c/ Chocolate</t>
  </si>
  <si>
    <t>Filme PVC 380 x 300m</t>
  </si>
  <si>
    <t>Caixa Parda p/ Quiche</t>
  </si>
  <si>
    <t>Palitos de Dente (cx 500)</t>
  </si>
  <si>
    <t>Morango Org. Feirinha</t>
  </si>
  <si>
    <t>Abacate Org. Feirinha</t>
  </si>
  <si>
    <t>Batata Doce Org. Feirinha</t>
  </si>
  <si>
    <t>Chicória Lisa Org. Feirinha</t>
  </si>
  <si>
    <t>Ervilha Torta Org. Feirinha</t>
  </si>
  <si>
    <t>Laranja Lima Org. Feirinha</t>
  </si>
  <si>
    <t>Laranja Pera Org. Feirinha</t>
  </si>
  <si>
    <t>Repolho Roxo Org. Feirinha</t>
  </si>
  <si>
    <t>Repolho Verde Org. Feirinha</t>
  </si>
  <si>
    <t>Humaytá - Geléia de Framboesa</t>
  </si>
  <si>
    <t>Humaytá - Molho de Tomate Picante</t>
  </si>
  <si>
    <t>Humaytá - Pepino Agridoce</t>
  </si>
  <si>
    <t>Humaytá - Compota de Laranja Kinkan</t>
  </si>
  <si>
    <t>Orégano Fresco</t>
  </si>
  <si>
    <t>Tamarindo</t>
  </si>
  <si>
    <t>Açucar União Glaçucar</t>
  </si>
  <si>
    <t>Tapioca Fina</t>
  </si>
  <si>
    <t>Castanha de Caju Crua</t>
  </si>
  <si>
    <t>Girassol s/ Casca</t>
  </si>
  <si>
    <t>Vinagre Balsamico Branco</t>
  </si>
  <si>
    <t>Proteina de Soja Escura</t>
  </si>
  <si>
    <t>Embalagem Plastica (cuscus) cx 300</t>
  </si>
  <si>
    <t xml:space="preserve">Café em Grão </t>
  </si>
  <si>
    <t>Shitake</t>
  </si>
  <si>
    <t>Humaytá - Mostarda de Frutas</t>
  </si>
  <si>
    <t>Farinha Panco (sushi)</t>
  </si>
  <si>
    <t>Massa de Harumaki (sushi)</t>
  </si>
  <si>
    <t>Cebola (sushi)</t>
  </si>
  <si>
    <t>Maçã (sushi)</t>
  </si>
  <si>
    <t>Farinha de Trigo (sushi)</t>
  </si>
  <si>
    <t>Marca Texto Pilot</t>
  </si>
  <si>
    <t>Pasta L</t>
  </si>
  <si>
    <t>Banete Pec Pão (cozinha)</t>
  </si>
  <si>
    <t>Folha de Alga 50F (cozinha)</t>
  </si>
  <si>
    <t>Aspargos Frescos</t>
  </si>
  <si>
    <t>Vinho Nieto Senet Espumante (Brut) 750 ml</t>
  </si>
  <si>
    <t>SEMANA 01</t>
  </si>
  <si>
    <t>SEMANA 02</t>
  </si>
  <si>
    <t>SEMANA 03</t>
  </si>
  <si>
    <t>SEMANA 04</t>
  </si>
  <si>
    <t>SEMANA 05</t>
  </si>
  <si>
    <t>CONSUMO SEMANAL</t>
  </si>
  <si>
    <t/>
  </si>
  <si>
    <t>Vassoura Pelo 40cm</t>
  </si>
  <si>
    <t>Conhaque Dreher 900ml</t>
  </si>
  <si>
    <t>Embalagem Cristal Ret. 500ml CX 200</t>
  </si>
  <si>
    <t>Aroma de Baunilha 30ml</t>
  </si>
  <si>
    <t>Aves - Peru Inteiro</t>
  </si>
  <si>
    <t>Giz Líquido</t>
  </si>
  <si>
    <t>Bandeja Grande Prata cx 150 (Natal)</t>
  </si>
  <si>
    <t>Tampa Grande Plástica Alta cx 150 (Natal)</t>
  </si>
  <si>
    <t>Prato Papelão N9</t>
  </si>
  <si>
    <t>Saco 10x25 c/100</t>
  </si>
  <si>
    <t>Pimenta do Reino em Grão</t>
  </si>
  <si>
    <t>Shoyu Sache Premium (bisnaga)</t>
  </si>
  <si>
    <t>Fanta Laranja (lata)</t>
  </si>
  <si>
    <t>Fanta Guaraná (lata)</t>
  </si>
  <si>
    <t>Fanta Uva (lata)</t>
  </si>
  <si>
    <t>Tinta p/ Carimbo 40ml</t>
  </si>
  <si>
    <t>Pilha Alcalina Palito c/ 8</t>
  </si>
  <si>
    <t>Macarrão Fettuccine</t>
  </si>
  <si>
    <t>Shoyu Sache Light (bisnaga)</t>
  </si>
  <si>
    <t>Furikake</t>
  </si>
  <si>
    <t>Kampyo</t>
  </si>
  <si>
    <t xml:space="preserve">Pescados -  File Congro Negro </t>
  </si>
  <si>
    <t>Tampa Isopor Opaca c/ 100</t>
  </si>
  <si>
    <t xml:space="preserve">Copo Termico Isopor 120ml c/ 25 </t>
  </si>
  <si>
    <t>Refil Embalador Guarda-chuvas cx 1000</t>
  </si>
  <si>
    <t>Cebollete (fresco)</t>
  </si>
  <si>
    <t>Kit Pá de Lixo Coletora + Vassoura</t>
  </si>
  <si>
    <t>Macarrão Pennette</t>
  </si>
  <si>
    <t>Pescados -  File Congro Negro Sushi</t>
  </si>
  <si>
    <t>Descartavel</t>
  </si>
  <si>
    <t>Laticínios</t>
  </si>
  <si>
    <t>LATICÍNIOS</t>
  </si>
  <si>
    <t>Bebidas + Carnes + Hortifruti + Feirinha + Laticínios
+ Mercado + Sobremesa + Sushi + V. Cx.</t>
  </si>
  <si>
    <t>Feira</t>
  </si>
  <si>
    <t>kg</t>
  </si>
  <si>
    <t>Casas Pedro</t>
  </si>
  <si>
    <t>Rio Quality</t>
  </si>
  <si>
    <t>lt</t>
  </si>
  <si>
    <t>bag</t>
  </si>
  <si>
    <t>bd</t>
  </si>
  <si>
    <t>bb</t>
  </si>
  <si>
    <t>unid</t>
  </si>
  <si>
    <t>MGR 1254516</t>
  </si>
  <si>
    <t>Reginaves</t>
  </si>
  <si>
    <t>MGR 3396909</t>
  </si>
  <si>
    <t>Ecolab</t>
  </si>
  <si>
    <t>MGR 66426</t>
  </si>
  <si>
    <t>Planeta Gelo</t>
  </si>
  <si>
    <t>saco</t>
  </si>
  <si>
    <t>Truticultura</t>
  </si>
  <si>
    <t>MGR 7404</t>
  </si>
  <si>
    <t>Marfrig</t>
  </si>
  <si>
    <t>Top Alto</t>
  </si>
  <si>
    <t>MGR 3457978</t>
  </si>
  <si>
    <t>Rio de Janeiro</t>
  </si>
  <si>
    <t>Frigorifico Jahu</t>
  </si>
  <si>
    <t>MGR 1301825</t>
  </si>
  <si>
    <t>CDI</t>
  </si>
  <si>
    <t>MGR 997811</t>
  </si>
  <si>
    <t>Barrinhas</t>
  </si>
  <si>
    <t>MGR 160056</t>
  </si>
  <si>
    <t>Alcibiades G. Quintas</t>
  </si>
  <si>
    <t>Umehara</t>
  </si>
  <si>
    <t>17311 - rúcula hidroponica</t>
  </si>
  <si>
    <t>Mirai</t>
  </si>
  <si>
    <t>pcte</t>
  </si>
  <si>
    <t>Tempero Carioca</t>
  </si>
  <si>
    <t>MGR 12066</t>
  </si>
  <si>
    <t>Supermercados Mundial</t>
  </si>
  <si>
    <t>Mercadinho Bambina</t>
  </si>
  <si>
    <t>Estrela Real</t>
  </si>
  <si>
    <t>Zamboni</t>
  </si>
  <si>
    <t>MGR 3360254</t>
  </si>
  <si>
    <t>MGR 4107858</t>
  </si>
  <si>
    <t>Mix Certo (Zamboni)</t>
  </si>
  <si>
    <t>MGR 153337</t>
  </si>
  <si>
    <t>Mamy</t>
  </si>
  <si>
    <t>folha</t>
  </si>
  <si>
    <t>Minalba</t>
  </si>
  <si>
    <t>MGR 432192</t>
  </si>
  <si>
    <t>MGR 3459859</t>
  </si>
  <si>
    <t>Sitio do Moinho</t>
  </si>
  <si>
    <t>Satiro's</t>
  </si>
  <si>
    <t>4915 - olho de boi</t>
  </si>
  <si>
    <t>Central RJ</t>
  </si>
  <si>
    <t>MGR 40514</t>
  </si>
  <si>
    <t>FNS</t>
  </si>
  <si>
    <t>MGR 120956</t>
  </si>
  <si>
    <t>Casa Flora</t>
  </si>
  <si>
    <t>MGR 842176</t>
  </si>
  <si>
    <t>CRBS</t>
  </si>
  <si>
    <t>MGR 842632</t>
  </si>
  <si>
    <t>MGR 842631</t>
  </si>
  <si>
    <t>MGR 1302542</t>
  </si>
  <si>
    <t xml:space="preserve">MGR 1302541 </t>
  </si>
  <si>
    <t>Batata, o Rei do Alho</t>
  </si>
  <si>
    <t>Mar e Terra</t>
  </si>
  <si>
    <t>Atelier dos Sabores</t>
  </si>
  <si>
    <t>fatia</t>
  </si>
  <si>
    <t>17455 - devolução, R$ 6,00</t>
  </si>
  <si>
    <t>17455 - devolução, R$ 13,68</t>
  </si>
  <si>
    <t>M2HP</t>
  </si>
  <si>
    <t>Luisa</t>
  </si>
  <si>
    <t>Laticinios Alhambra</t>
  </si>
  <si>
    <t>Orfeu</t>
  </si>
  <si>
    <t>64010 - bonificaçção</t>
  </si>
  <si>
    <t>MGR 3461769</t>
  </si>
  <si>
    <t>MGR 17562</t>
  </si>
  <si>
    <t xml:space="preserve"> </t>
  </si>
  <si>
    <t>Super Mercado Zonasul</t>
  </si>
  <si>
    <t>Melhoramentos</t>
  </si>
  <si>
    <t>1303568 - 61/70</t>
  </si>
  <si>
    <t xml:space="preserve"> Arosa</t>
  </si>
  <si>
    <t>MGR 14350</t>
  </si>
  <si>
    <t>MGR 109478</t>
  </si>
  <si>
    <t>MGR 3400428</t>
  </si>
  <si>
    <t>MGR 857314</t>
  </si>
  <si>
    <t>Peixaria Só Peixe</t>
  </si>
  <si>
    <t>17633 - desconto R$ 6,00 (goiaba), R$ 13,68 (melância) e R$  21,00 (banana da terra)</t>
  </si>
  <si>
    <t>Sanda</t>
  </si>
  <si>
    <t>MGR 40725</t>
  </si>
  <si>
    <t>Rioaves</t>
  </si>
  <si>
    <t>MGR 3360881 - bombona 5 litros</t>
  </si>
  <si>
    <t>Mate e Tal</t>
  </si>
  <si>
    <t>MGR 98</t>
  </si>
  <si>
    <t>MGR 7432</t>
  </si>
  <si>
    <t>Ind. Caseira de Doces Helena</t>
  </si>
  <si>
    <t>MGR 3464025</t>
  </si>
  <si>
    <t>MGR 160211</t>
  </si>
  <si>
    <t>Aurora</t>
  </si>
  <si>
    <t>MGR 2482756</t>
  </si>
  <si>
    <t>17693 - devolução, R$ 31,75</t>
  </si>
  <si>
    <t>MGR 64079</t>
  </si>
  <si>
    <t>MGR 3466206</t>
  </si>
  <si>
    <t>MGR 999615</t>
  </si>
  <si>
    <t>MGR 1304838</t>
  </si>
  <si>
    <t>MGR 3402150</t>
  </si>
  <si>
    <t>MGR 858269</t>
  </si>
  <si>
    <t>MGR 101573</t>
  </si>
  <si>
    <t>MGR 1485644</t>
  </si>
  <si>
    <r>
      <t>Alface American</t>
    </r>
    <r>
      <rPr>
        <b/>
        <sz val="11"/>
        <color theme="1"/>
        <rFont val="Calibri"/>
        <family val="2"/>
        <scheme val="minor"/>
      </rPr>
      <t xml:space="preserve">a    </t>
    </r>
  </si>
  <si>
    <t>Hortifrut São Clemente</t>
  </si>
  <si>
    <t>133412 - geleia pimenta</t>
  </si>
  <si>
    <t>103904 - frete incluso</t>
  </si>
  <si>
    <t>Salsicharia  Guapiense</t>
  </si>
  <si>
    <t>MGR 848058</t>
  </si>
  <si>
    <t>MGR 68950</t>
  </si>
  <si>
    <t>MGR 68951</t>
  </si>
  <si>
    <t>MGR 1259014</t>
  </si>
  <si>
    <t>MGR 4115222</t>
  </si>
  <si>
    <t>MGR 155930</t>
  </si>
  <si>
    <t>MGR 12154</t>
  </si>
  <si>
    <t>Fabene</t>
  </si>
  <si>
    <t>MGR 4115634</t>
  </si>
  <si>
    <t>MGR 1305510</t>
  </si>
  <si>
    <t>MGR 1305510 - 61/70</t>
  </si>
  <si>
    <t>MGR 3468155 - Bife Ancho</t>
  </si>
  <si>
    <t>Casa Vitana</t>
  </si>
  <si>
    <t>8 - taxa de entrega incluso</t>
  </si>
  <si>
    <t>Rio Pak</t>
  </si>
  <si>
    <t>cx</t>
  </si>
  <si>
    <t>Papelex</t>
  </si>
  <si>
    <t>MGR 859050</t>
  </si>
  <si>
    <t>LKAP</t>
  </si>
  <si>
    <t>MGR 1306290</t>
  </si>
  <si>
    <t>103951 - frete incluso</t>
  </si>
  <si>
    <t>MGR 3469967</t>
  </si>
  <si>
    <t>DM Com. Pescados</t>
  </si>
  <si>
    <t>MGR 37410</t>
  </si>
  <si>
    <t>MGR 1307197 - 61/70</t>
  </si>
  <si>
    <t>MGR 3473280</t>
  </si>
  <si>
    <t>MGR 859462</t>
  </si>
  <si>
    <t>MGR 111547</t>
  </si>
  <si>
    <t>MGR 160437</t>
  </si>
  <si>
    <t>103959 - frete incluso</t>
  </si>
  <si>
    <t>18472 - falta 0,200g - R$ 4,60</t>
  </si>
  <si>
    <t>18472 - devolução, R$ 9,80</t>
  </si>
  <si>
    <t>MGR 3474312</t>
  </si>
  <si>
    <t>Nutry Max</t>
  </si>
  <si>
    <t>MGR 40920</t>
  </si>
  <si>
    <t>União Itaipava</t>
  </si>
  <si>
    <t>MGR 1307642</t>
  </si>
  <si>
    <t>MGR 856419</t>
  </si>
  <si>
    <t>MGR 856420</t>
  </si>
  <si>
    <t>Nossos Sabores</t>
  </si>
  <si>
    <t>Pescarimarcar</t>
  </si>
  <si>
    <t>MGR 64320</t>
  </si>
  <si>
    <t>MGR 4123794</t>
  </si>
  <si>
    <t>MGR 158609</t>
  </si>
  <si>
    <t>MGR 126376</t>
  </si>
  <si>
    <t>MGR 126376 - MAXIMO</t>
  </si>
  <si>
    <t>MGR 1001559</t>
  </si>
  <si>
    <t>MGR 68951 - empréstimo fevereiro</t>
  </si>
  <si>
    <t>Dist. Alimentos Carioca</t>
  </si>
  <si>
    <t>MGR 12244</t>
  </si>
  <si>
    <t>MGR 12244 - desconto R$ 46,45 - castanha do pará</t>
  </si>
  <si>
    <t>MGR 3408177</t>
  </si>
  <si>
    <t>MGR 437098</t>
  </si>
  <si>
    <t>MGR 112369</t>
  </si>
  <si>
    <t>MGR 1308436</t>
  </si>
  <si>
    <t>MGR 860371</t>
  </si>
  <si>
    <t>Agropart</t>
  </si>
  <si>
    <t>MGR 3478320</t>
  </si>
  <si>
    <t>MGR 42427</t>
  </si>
  <si>
    <t>MGR 41003</t>
  </si>
  <si>
    <t>9413 - faturado 15/03/18</t>
  </si>
  <si>
    <t>MGR 41003 - cx 2,5kg</t>
  </si>
  <si>
    <t>C. Trade</t>
  </si>
  <si>
    <t>MGR 146767</t>
  </si>
  <si>
    <t>Nova Peixaria Usina</t>
  </si>
  <si>
    <t>MGR 19269</t>
  </si>
  <si>
    <t>Copopel</t>
  </si>
  <si>
    <t>MGR 25647</t>
  </si>
  <si>
    <t>Bondulelle</t>
  </si>
  <si>
    <t>Truticultura da Serra</t>
  </si>
  <si>
    <t>MGR 7481</t>
  </si>
  <si>
    <t>3449 - faturado 15/03</t>
  </si>
  <si>
    <t>MGR 113280</t>
  </si>
  <si>
    <t>MGR 3479908</t>
  </si>
  <si>
    <t>MGR 861351</t>
  </si>
  <si>
    <t>Agilize</t>
  </si>
  <si>
    <t>MGR 703</t>
  </si>
  <si>
    <t>18816 - devolução R$ 12,00</t>
  </si>
  <si>
    <t>MGR 160716</t>
  </si>
  <si>
    <t>4941 - Palombeta = dourado pequeno</t>
  </si>
  <si>
    <t>Piffer Torteria</t>
  </si>
  <si>
    <t>54703 - bonificação</t>
  </si>
  <si>
    <t>Wah Sin</t>
  </si>
  <si>
    <t>18937 - devolução parte R$ 12,03</t>
  </si>
  <si>
    <t>R&amp;S</t>
  </si>
  <si>
    <t>MGR 861781</t>
  </si>
  <si>
    <t>1310821 - 61/70</t>
  </si>
  <si>
    <t>MGR 90959</t>
  </si>
  <si>
    <t>MGR 74734</t>
  </si>
  <si>
    <t>MGR 3412024</t>
  </si>
  <si>
    <t>MGR 12317</t>
  </si>
  <si>
    <t xml:space="preserve">                                                                                                                                                              </t>
  </si>
  <si>
    <t>*</t>
  </si>
  <si>
    <t>MGR 4037</t>
  </si>
  <si>
    <t>MGR 862327</t>
  </si>
  <si>
    <t>MGR 3484131</t>
  </si>
  <si>
    <t>MGR 64594</t>
  </si>
  <si>
    <t>19096 - desconto NF 17693 - 31,75; NF 18472 - 14,40; NF 18816 - 12,00; NF 18937 - 12,03</t>
  </si>
  <si>
    <t>MGR 4107</t>
  </si>
  <si>
    <t>J. Araujo (Arcofood)</t>
  </si>
  <si>
    <t>MGR 1266846</t>
  </si>
  <si>
    <t>MGR 3851</t>
  </si>
  <si>
    <t>MGR 161509</t>
  </si>
  <si>
    <t>MGR 754</t>
  </si>
  <si>
    <t>MGR 754 - bonificação</t>
  </si>
  <si>
    <t>MGR 1517109</t>
  </si>
  <si>
    <t>Chez Bonbon</t>
  </si>
  <si>
    <t>MGR 1820</t>
  </si>
  <si>
    <t>MGR 862567</t>
  </si>
  <si>
    <t>1312014 - 61/70</t>
  </si>
  <si>
    <t>Marechal</t>
  </si>
  <si>
    <t>MGR 974010</t>
  </si>
  <si>
    <t>MGR 160902</t>
  </si>
  <si>
    <t>MGR 3485943</t>
  </si>
  <si>
    <t>Mundo Natural</t>
  </si>
  <si>
    <t>MGR 864576</t>
  </si>
  <si>
    <t>La Victoria</t>
  </si>
  <si>
    <t>MGR 114758</t>
  </si>
  <si>
    <t>MGR 3487696</t>
  </si>
  <si>
    <t>MGR 3414850</t>
  </si>
  <si>
    <t>MGR 7517</t>
  </si>
  <si>
    <t>MGR 867958</t>
  </si>
  <si>
    <t>Dep. Doces Sta Catarina</t>
  </si>
  <si>
    <t>MGR 863522</t>
  </si>
  <si>
    <t>1313296 - 67/10</t>
  </si>
  <si>
    <t>MGR 3489444</t>
  </si>
  <si>
    <t>18623694 - faturado 16/03</t>
  </si>
  <si>
    <t>MGR 3492498</t>
  </si>
  <si>
    <t>MGR 161111</t>
  </si>
  <si>
    <t>MGR 863793</t>
  </si>
  <si>
    <t>131038 - espeto para churrasco Master</t>
  </si>
  <si>
    <t>MGR 115672</t>
  </si>
  <si>
    <t>MGR 7552</t>
  </si>
  <si>
    <t>Ding Show</t>
  </si>
  <si>
    <t>MGR 41304</t>
  </si>
  <si>
    <t>Damy</t>
  </si>
  <si>
    <t>MGR 36879</t>
  </si>
  <si>
    <t>MGR 36879 - desconto referente chiclete japonês</t>
  </si>
  <si>
    <t>Cheiro Verde</t>
  </si>
  <si>
    <t>aguardar NF</t>
  </si>
  <si>
    <t>MGR 3495908</t>
  </si>
  <si>
    <t>MGR 1271136</t>
  </si>
  <si>
    <t>23926 - devolução</t>
  </si>
  <si>
    <t>MGR 116272</t>
  </si>
  <si>
    <t>Mercearia Fuji</t>
  </si>
  <si>
    <t>MGR 3495907</t>
  </si>
  <si>
    <t>MGR 864932</t>
  </si>
  <si>
    <t>MGR 444288</t>
  </si>
  <si>
    <t>1316683 - 61/70</t>
  </si>
  <si>
    <t>MGR 3497662</t>
  </si>
  <si>
    <t>91020 - devolução, R$ 117,30 (NF 91404)</t>
  </si>
  <si>
    <t>MGR 865383</t>
  </si>
  <si>
    <t>MGR 879321</t>
  </si>
  <si>
    <t>20064 - devolução R$ 35,00</t>
  </si>
  <si>
    <t>MGR 161319</t>
  </si>
  <si>
    <t>faita</t>
  </si>
  <si>
    <t>MGR 12469</t>
  </si>
  <si>
    <t>Comercial Tanabata</t>
  </si>
  <si>
    <t>20079 - rúcula hidroponica</t>
  </si>
  <si>
    <t>Mix Certo</t>
  </si>
  <si>
    <t>MGR 166240</t>
  </si>
  <si>
    <t>3588 - devoulução 10 unidades (R$24,00)</t>
  </si>
  <si>
    <t>20181 - devolução R$ 12,96</t>
  </si>
  <si>
    <t>Prezunic</t>
  </si>
  <si>
    <t>20181 - devolução R$ 15,2</t>
  </si>
  <si>
    <t>MGR 3495908 - devolução NF 3499556 R$ 88,20+R$ 3,19</t>
  </si>
  <si>
    <t>EKKOSBOTA17</t>
  </si>
  <si>
    <t>coxão mole</t>
  </si>
  <si>
    <t>papelaria</t>
  </si>
  <si>
    <t>rodo</t>
  </si>
  <si>
    <t>pimenta amarela</t>
  </si>
  <si>
    <t>embalagem sushi</t>
  </si>
  <si>
    <t xml:space="preserve">INVESTIMENTO SEMANAL EM COMPRAS POR GRUPOS </t>
  </si>
  <si>
    <t>INVESTIMENTO EM COMPRAS TOTAL (ACUMULADO DO MÊS) POR GRUPOS</t>
  </si>
  <si>
    <t>GRUPOS</t>
  </si>
  <si>
    <t>DIFERENÇA</t>
  </si>
  <si>
    <t>TOTAL KG VENDIDO</t>
  </si>
  <si>
    <t>TOTAL KG CONSUMO CARNE</t>
  </si>
  <si>
    <t>REPRES. (%) 
TOTAL KG CARNE CONSUMIDO / 
TOTAL KG VENDIDO</t>
  </si>
  <si>
    <t>SABADO</t>
  </si>
  <si>
    <t>DIAS SEMANA</t>
  </si>
  <si>
    <t>METAS MENSAIS</t>
  </si>
  <si>
    <t xml:space="preserve">Carnes </t>
  </si>
  <si>
    <t xml:space="preserve">Mercado </t>
  </si>
  <si>
    <t xml:space="preserve">Hortifruti </t>
  </si>
  <si>
    <t xml:space="preserve">Bebidas </t>
  </si>
  <si>
    <t>SALDO</t>
  </si>
  <si>
    <t>Diferença para Meta Real/Pessimista</t>
  </si>
  <si>
    <t>% Meta x Real</t>
  </si>
  <si>
    <t>Meta Faturamento Realista/Pessimista</t>
  </si>
  <si>
    <t>Meta Gastos CMV</t>
  </si>
  <si>
    <t>METAS COMPRAS POR SEMANA OUTUBRO</t>
  </si>
  <si>
    <t>FATURAMENTO POR SEMANA</t>
  </si>
  <si>
    <t>Projeção Faturamento</t>
  </si>
  <si>
    <t>Faturamento Real</t>
  </si>
  <si>
    <t>Semana: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</si>
</sst>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_-;\-* #,##0.00_-;_-* &quot;-&quot;??_-;_-@_-"/>
    <numFmt numFmtId="164" formatCode="_(&quot;R$&quot;* #,##0.00_);_(&quot;R$&quot;* \(#,##0.00\);_(&quot;R$&quot;* &quot;-&quot;??_);_(@_)"/>
    <numFmt numFmtId="165" formatCode="_-&quot;R$&quot;\ * #,##0.00_-;\-&quot;R$&quot;\ * #,##0.00_-;_-&quot;R$&quot;\ * &quot;-&quot;??_-;_-@_-"/>
    <numFmt numFmtId="166" formatCode="_-* #,##0_-;\-* #,##0_-;_-* &quot;-&quot;??_-;_-@_-"/>
    <numFmt numFmtId="167" formatCode="0.00&quot;kg&quot;"/>
    <numFmt numFmtId="168" formatCode="&quot;R$&quot;#,##0.00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8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rgb="FF00B05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14999847407452621"/>
        <bgColor indexed="64"/>
      </patternFill>
    </fill>
  </fills>
  <borders count="5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hair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theme="8" tint="0.79998168889431442"/>
      </top>
      <bottom style="thin">
        <color theme="8" tint="0.79998168889431442"/>
      </bottom>
      <diagonal/>
    </border>
    <border>
      <left style="thin">
        <color indexed="64"/>
      </left>
      <right style="thin">
        <color indexed="64"/>
      </right>
      <top style="thin">
        <color theme="8" tint="0.79998168889431442"/>
      </top>
      <bottom style="thin">
        <color theme="8" tint="0.79998168889431442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theme="8" tint="0.79998168889431442"/>
      </top>
      <bottom style="thin">
        <color theme="8" tint="0.79998168889431442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theme="8" tint="0.7999816888943144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49">
    <xf numFmtId="0" fontId="0" fillId="0" borderId="0" xfId="0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43" fontId="0" fillId="0" borderId="0" xfId="1" applyFont="1" applyAlignment="1">
      <alignment horizontal="center" vertical="center"/>
    </xf>
    <xf numFmtId="43" fontId="4" fillId="0" borderId="0" xfId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43" fontId="0" fillId="0" borderId="1" xfId="1" applyFont="1" applyBorder="1" applyAlignment="1" applyProtection="1">
      <alignment horizontal="center" vertical="center"/>
      <protection locked="0"/>
    </xf>
    <xf numFmtId="43" fontId="0" fillId="0" borderId="1" xfId="1" applyFont="1" applyBorder="1" applyAlignment="1">
      <alignment horizontal="center" vertical="center"/>
    </xf>
    <xf numFmtId="43" fontId="0" fillId="0" borderId="10" xfId="1" applyFont="1" applyBorder="1" applyAlignment="1">
      <alignment horizontal="center" vertical="center"/>
    </xf>
    <xf numFmtId="43" fontId="0" fillId="0" borderId="12" xfId="1" applyFont="1" applyBorder="1" applyAlignment="1" applyProtection="1">
      <alignment horizontal="center" vertical="center"/>
      <protection locked="0"/>
    </xf>
    <xf numFmtId="0" fontId="0" fillId="0" borderId="14" xfId="0" applyBorder="1" applyAlignment="1">
      <alignment horizontal="center" vertical="center"/>
    </xf>
    <xf numFmtId="43" fontId="0" fillId="0" borderId="15" xfId="1" applyFont="1" applyBorder="1" applyAlignment="1">
      <alignment horizontal="center" vertical="center"/>
    </xf>
    <xf numFmtId="0" fontId="6" fillId="2" borderId="3" xfId="0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1" fontId="6" fillId="2" borderId="3" xfId="0" applyNumberFormat="1" applyFont="1" applyFill="1" applyBorder="1" applyAlignment="1">
      <alignment vertical="center"/>
    </xf>
    <xf numFmtId="1" fontId="4" fillId="0" borderId="0" xfId="1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0" fontId="0" fillId="0" borderId="0" xfId="3" applyNumberFormat="1" applyFont="1" applyFill="1" applyBorder="1" applyAlignment="1" applyProtection="1">
      <alignment horizontal="center" vertical="center"/>
    </xf>
    <xf numFmtId="0" fontId="0" fillId="0" borderId="0" xfId="0" applyFont="1" applyFill="1" applyBorder="1" applyAlignment="1" applyProtection="1">
      <alignment horizontal="left" vertical="center"/>
    </xf>
    <xf numFmtId="0" fontId="0" fillId="0" borderId="0" xfId="0" applyFont="1" applyFill="1" applyBorder="1" applyAlignment="1" applyProtection="1">
      <alignment horizontal="center" vertical="center"/>
    </xf>
    <xf numFmtId="43" fontId="4" fillId="6" borderId="0" xfId="1" applyFont="1" applyFill="1" applyBorder="1" applyAlignment="1">
      <alignment horizontal="center" vertical="center"/>
    </xf>
    <xf numFmtId="1" fontId="4" fillId="6" borderId="0" xfId="1" applyNumberFormat="1" applyFont="1" applyFill="1" applyBorder="1" applyAlignment="1">
      <alignment horizontal="center" vertical="center"/>
    </xf>
    <xf numFmtId="165" fontId="0" fillId="0" borderId="1" xfId="2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center" vertical="center"/>
    </xf>
    <xf numFmtId="43" fontId="0" fillId="2" borderId="2" xfId="1" applyFont="1" applyFill="1" applyBorder="1" applyAlignment="1">
      <alignment vertical="center"/>
    </xf>
    <xf numFmtId="43" fontId="0" fillId="2" borderId="3" xfId="1" applyFont="1" applyFill="1" applyBorder="1" applyAlignment="1">
      <alignment vertical="center"/>
    </xf>
    <xf numFmtId="43" fontId="5" fillId="0" borderId="0" xfId="1" applyFont="1" applyAlignment="1">
      <alignment horizontal="center" vertical="center"/>
    </xf>
    <xf numFmtId="166" fontId="5" fillId="0" borderId="0" xfId="1" applyNumberFormat="1" applyFont="1" applyAlignment="1">
      <alignment horizontal="center" vertical="center"/>
    </xf>
    <xf numFmtId="165" fontId="0" fillId="0" borderId="0" xfId="2" applyFont="1" applyFill="1" applyBorder="1" applyAlignment="1" applyProtection="1">
      <alignment horizontal="center" vertical="center"/>
    </xf>
    <xf numFmtId="43" fontId="0" fillId="0" borderId="0" xfId="1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 applyProtection="1">
      <alignment vertical="center"/>
    </xf>
    <xf numFmtId="0" fontId="0" fillId="0" borderId="0" xfId="0" applyFont="1" applyAlignment="1" applyProtection="1">
      <alignment horizontal="center" vertical="center"/>
    </xf>
    <xf numFmtId="165" fontId="9" fillId="0" borderId="17" xfId="0" applyNumberFormat="1" applyFont="1" applyBorder="1" applyAlignment="1">
      <alignment vertical="center"/>
    </xf>
    <xf numFmtId="0" fontId="10" fillId="4" borderId="15" xfId="0" applyFont="1" applyFill="1" applyBorder="1" applyAlignment="1">
      <alignment horizontal="center" vertical="center"/>
    </xf>
    <xf numFmtId="165" fontId="8" fillId="4" borderId="14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9" fillId="0" borderId="16" xfId="0" applyFont="1" applyBorder="1" applyAlignment="1">
      <alignment horizontal="left" vertical="center"/>
    </xf>
    <xf numFmtId="0" fontId="0" fillId="0" borderId="0" xfId="0" applyFont="1" applyBorder="1" applyAlignment="1" applyProtection="1">
      <alignment horizontal="center" vertical="center"/>
    </xf>
    <xf numFmtId="165" fontId="4" fillId="0" borderId="0" xfId="2" applyFont="1" applyFill="1" applyBorder="1" applyAlignment="1" applyProtection="1">
      <alignment horizontal="center" vertical="center"/>
    </xf>
    <xf numFmtId="165" fontId="4" fillId="0" borderId="13" xfId="2" applyFont="1" applyFill="1" applyBorder="1" applyAlignment="1" applyProtection="1">
      <alignment horizontal="center" vertical="center"/>
    </xf>
    <xf numFmtId="0" fontId="4" fillId="7" borderId="12" xfId="0" applyFont="1" applyFill="1" applyBorder="1" applyAlignment="1" applyProtection="1">
      <alignment horizontal="center" vertical="center"/>
    </xf>
    <xf numFmtId="9" fontId="0" fillId="0" borderId="0" xfId="3" applyFont="1" applyBorder="1" applyAlignment="1" applyProtection="1">
      <alignment horizontal="center" vertical="center"/>
    </xf>
    <xf numFmtId="165" fontId="4" fillId="0" borderId="12" xfId="2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9" fontId="5" fillId="0" borderId="0" xfId="3" applyFont="1" applyBorder="1" applyAlignment="1" applyProtection="1">
      <alignment horizontal="center" vertical="center"/>
    </xf>
    <xf numFmtId="0" fontId="5" fillId="0" borderId="0" xfId="0" applyFont="1" applyBorder="1" applyAlignment="1" applyProtection="1">
      <alignment horizontal="center" vertical="center"/>
    </xf>
    <xf numFmtId="0" fontId="3" fillId="8" borderId="11" xfId="0" applyFont="1" applyFill="1" applyBorder="1" applyAlignment="1" applyProtection="1">
      <alignment horizontal="center" vertical="center"/>
    </xf>
    <xf numFmtId="165" fontId="11" fillId="0" borderId="0" xfId="0" applyNumberFormat="1" applyFont="1" applyFill="1" applyBorder="1" applyAlignment="1" applyProtection="1">
      <alignment horizontal="center" vertical="center"/>
    </xf>
    <xf numFmtId="0" fontId="6" fillId="3" borderId="9" xfId="0" applyFont="1" applyFill="1" applyBorder="1" applyAlignment="1" applyProtection="1">
      <alignment horizontal="center" vertical="center"/>
    </xf>
    <xf numFmtId="43" fontId="6" fillId="2" borderId="2" xfId="1" applyFont="1" applyFill="1" applyBorder="1" applyAlignment="1">
      <alignment vertical="center"/>
    </xf>
    <xf numFmtId="43" fontId="6" fillId="2" borderId="3" xfId="1" applyFont="1" applyFill="1" applyBorder="1" applyAlignment="1">
      <alignment vertical="center"/>
    </xf>
    <xf numFmtId="0" fontId="6" fillId="2" borderId="3" xfId="1" applyNumberFormat="1" applyFont="1" applyFill="1" applyBorder="1" applyAlignment="1">
      <alignment vertical="center"/>
    </xf>
    <xf numFmtId="0" fontId="12" fillId="7" borderId="12" xfId="0" applyFont="1" applyFill="1" applyBorder="1" applyAlignment="1" applyProtection="1">
      <alignment horizontal="center" vertical="center" wrapText="1"/>
    </xf>
    <xf numFmtId="0" fontId="3" fillId="9" borderId="11" xfId="0" applyFont="1" applyFill="1" applyBorder="1" applyAlignment="1" applyProtection="1">
      <alignment horizontal="center" vertical="center"/>
    </xf>
    <xf numFmtId="43" fontId="4" fillId="0" borderId="22" xfId="1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43" fontId="6" fillId="2" borderId="4" xfId="1" applyFont="1" applyFill="1" applyBorder="1" applyAlignment="1">
      <alignment vertical="center"/>
    </xf>
    <xf numFmtId="0" fontId="3" fillId="10" borderId="6" xfId="0" applyFont="1" applyFill="1" applyBorder="1" applyAlignment="1">
      <alignment horizontal="center" vertical="center"/>
    </xf>
    <xf numFmtId="43" fontId="0" fillId="3" borderId="20" xfId="1" applyFont="1" applyFill="1" applyBorder="1" applyAlignment="1">
      <alignment horizontal="center" vertical="center"/>
    </xf>
    <xf numFmtId="43" fontId="4" fillId="3" borderId="23" xfId="1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43" fontId="0" fillId="3" borderId="25" xfId="1" applyFont="1" applyFill="1" applyBorder="1" applyAlignment="1">
      <alignment horizontal="center" vertical="center"/>
    </xf>
    <xf numFmtId="43" fontId="4" fillId="3" borderId="22" xfId="1" applyFont="1" applyFill="1" applyBorder="1" applyAlignment="1">
      <alignment horizontal="center" vertical="center"/>
    </xf>
    <xf numFmtId="43" fontId="4" fillId="3" borderId="21" xfId="1" applyFont="1" applyFill="1" applyBorder="1" applyAlignment="1">
      <alignment horizontal="center" vertical="center"/>
    </xf>
    <xf numFmtId="43" fontId="0" fillId="3" borderId="8" xfId="1" applyFont="1" applyFill="1" applyBorder="1" applyAlignment="1">
      <alignment horizontal="center" vertical="center"/>
    </xf>
    <xf numFmtId="43" fontId="0" fillId="3" borderId="26" xfId="1" applyFont="1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165" fontId="2" fillId="6" borderId="1" xfId="2" applyFont="1" applyFill="1" applyBorder="1" applyAlignment="1">
      <alignment horizontal="center" vertical="center"/>
    </xf>
    <xf numFmtId="165" fontId="2" fillId="7" borderId="1" xfId="2" applyFont="1" applyFill="1" applyBorder="1" applyAlignment="1">
      <alignment horizontal="center" vertical="center"/>
    </xf>
    <xf numFmtId="43" fontId="2" fillId="3" borderId="24" xfId="1" applyFont="1" applyFill="1" applyBorder="1" applyAlignment="1">
      <alignment horizontal="center" vertical="center"/>
    </xf>
    <xf numFmtId="167" fontId="2" fillId="6" borderId="1" xfId="1" applyNumberFormat="1" applyFont="1" applyFill="1" applyBorder="1" applyAlignment="1">
      <alignment horizontal="center" vertical="center"/>
    </xf>
    <xf numFmtId="167" fontId="2" fillId="7" borderId="1" xfId="1" applyNumberFormat="1" applyFont="1" applyFill="1" applyBorder="1" applyAlignment="1">
      <alignment horizontal="center" vertical="center"/>
    </xf>
    <xf numFmtId="43" fontId="4" fillId="5" borderId="2" xfId="1" applyFont="1" applyFill="1" applyBorder="1" applyAlignment="1">
      <alignment horizontal="center" vertical="center" wrapText="1"/>
    </xf>
    <xf numFmtId="0" fontId="4" fillId="5" borderId="19" xfId="1" applyNumberFormat="1" applyFont="1" applyFill="1" applyBorder="1" applyAlignment="1">
      <alignment horizontal="center" vertical="center" wrapText="1"/>
    </xf>
    <xf numFmtId="43" fontId="0" fillId="0" borderId="1" xfId="1" applyFont="1" applyBorder="1" applyAlignment="1" applyProtection="1">
      <alignment horizontal="center" vertical="center"/>
    </xf>
    <xf numFmtId="43" fontId="13" fillId="6" borderId="0" xfId="1" applyFont="1" applyFill="1" applyBorder="1" applyAlignment="1">
      <alignment horizontal="center" vertical="center"/>
    </xf>
    <xf numFmtId="1" fontId="13" fillId="6" borderId="0" xfId="1" applyNumberFormat="1" applyFont="1" applyFill="1" applyBorder="1" applyAlignment="1">
      <alignment horizontal="center" vertical="center"/>
    </xf>
    <xf numFmtId="0" fontId="14" fillId="5" borderId="1" xfId="0" applyFont="1" applyFill="1" applyBorder="1" applyAlignment="1" applyProtection="1">
      <alignment horizontal="center" vertical="center"/>
      <protection locked="0"/>
    </xf>
    <xf numFmtId="1" fontId="14" fillId="5" borderId="1" xfId="0" applyNumberFormat="1" applyFont="1" applyFill="1" applyBorder="1" applyAlignment="1" applyProtection="1">
      <alignment horizontal="center" vertical="center"/>
      <protection locked="0"/>
    </xf>
    <xf numFmtId="164" fontId="14" fillId="5" borderId="1" xfId="0" applyNumberFormat="1" applyFont="1" applyFill="1" applyBorder="1" applyAlignment="1" applyProtection="1">
      <alignment horizontal="center" vertical="center" wrapText="1"/>
      <protection locked="0"/>
    </xf>
    <xf numFmtId="164" fontId="14" fillId="5" borderId="1" xfId="0" applyNumberFormat="1" applyFont="1" applyFill="1" applyBorder="1" applyAlignment="1" applyProtection="1">
      <alignment horizontal="center" wrapText="1"/>
      <protection locked="0"/>
    </xf>
    <xf numFmtId="0" fontId="0" fillId="0" borderId="0" xfId="0" applyFont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0" xfId="0" quotePrefix="1" applyFont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  <protection locked="0"/>
    </xf>
    <xf numFmtId="1" fontId="0" fillId="0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Font="1" applyFill="1" applyBorder="1" applyAlignment="1" applyProtection="1">
      <alignment horizontal="center" vertical="center"/>
    </xf>
    <xf numFmtId="164" fontId="15" fillId="0" borderId="1" xfId="0" applyNumberFormat="1" applyFont="1" applyFill="1" applyBorder="1" applyAlignment="1" applyProtection="1">
      <alignment horizontal="center" vertical="center"/>
      <protection locked="0"/>
    </xf>
    <xf numFmtId="0" fontId="15" fillId="0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 applyAlignment="1" applyProtection="1">
      <alignment horizontal="center" vertical="center"/>
      <protection locked="0"/>
    </xf>
    <xf numFmtId="3" fontId="0" fillId="0" borderId="1" xfId="0" applyNumberFormat="1" applyFont="1" applyFill="1" applyBorder="1" applyAlignment="1" applyProtection="1">
      <alignment horizontal="center" vertical="center"/>
      <protection locked="0"/>
    </xf>
    <xf numFmtId="1" fontId="15" fillId="0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0" xfId="0" applyNumberFormat="1" applyFont="1" applyFill="1" applyAlignment="1">
      <alignment horizontal="center" vertical="center"/>
    </xf>
    <xf numFmtId="164" fontId="0" fillId="0" borderId="0" xfId="0" applyNumberFormat="1" applyFont="1" applyFill="1" applyAlignment="1">
      <alignment horizontal="center" vertical="center"/>
    </xf>
    <xf numFmtId="0" fontId="0" fillId="0" borderId="0" xfId="0" applyFont="1" applyAlignment="1">
      <alignment horizontal="center"/>
    </xf>
    <xf numFmtId="43" fontId="0" fillId="0" borderId="8" xfId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3" fontId="0" fillId="0" borderId="28" xfId="1" applyFont="1" applyBorder="1" applyAlignment="1">
      <alignment horizontal="center" vertical="center"/>
    </xf>
    <xf numFmtId="0" fontId="3" fillId="10" borderId="5" xfId="0" applyFont="1" applyFill="1" applyBorder="1" applyAlignment="1">
      <alignment horizontal="center" vertical="center"/>
    </xf>
    <xf numFmtId="165" fontId="7" fillId="3" borderId="10" xfId="2" applyFont="1" applyFill="1" applyBorder="1" applyAlignment="1">
      <alignment horizontal="center" vertical="center"/>
    </xf>
    <xf numFmtId="43" fontId="0" fillId="3" borderId="0" xfId="1" applyFont="1" applyFill="1" applyBorder="1" applyAlignment="1">
      <alignment horizontal="center" vertical="center"/>
    </xf>
    <xf numFmtId="43" fontId="0" fillId="0" borderId="0" xfId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67" fontId="7" fillId="3" borderId="10" xfId="1" applyNumberFormat="1" applyFont="1" applyFill="1" applyBorder="1" applyAlignment="1">
      <alignment horizontal="center" vertical="center"/>
    </xf>
    <xf numFmtId="0" fontId="0" fillId="0" borderId="32" xfId="0" applyFill="1" applyBorder="1" applyAlignment="1">
      <alignment horizontal="center" vertical="center"/>
    </xf>
    <xf numFmtId="0" fontId="17" fillId="0" borderId="12" xfId="0" applyFont="1" applyBorder="1" applyAlignment="1">
      <alignment horizontal="left" vertical="center"/>
    </xf>
    <xf numFmtId="0" fontId="17" fillId="3" borderId="27" xfId="0" applyFont="1" applyFill="1" applyBorder="1" applyAlignment="1">
      <alignment horizontal="center" vertical="center"/>
    </xf>
    <xf numFmtId="0" fontId="17" fillId="3" borderId="29" xfId="0" applyFont="1" applyFill="1" applyBorder="1" applyAlignment="1">
      <alignment horizontal="center" vertical="center"/>
    </xf>
    <xf numFmtId="0" fontId="17" fillId="3" borderId="3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14" fontId="17" fillId="0" borderId="0" xfId="0" applyNumberFormat="1" applyFont="1" applyAlignment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0" fontId="17" fillId="0" borderId="2" xfId="0" applyFont="1" applyBorder="1" applyAlignment="1" applyProtection="1">
      <alignment horizontal="center" vertical="center"/>
    </xf>
    <xf numFmtId="0" fontId="17" fillId="0" borderId="3" xfId="0" applyFont="1" applyFill="1" applyBorder="1" applyAlignment="1" applyProtection="1">
      <alignment horizontal="center" vertical="center"/>
    </xf>
    <xf numFmtId="0" fontId="17" fillId="0" borderId="4" xfId="0" applyFont="1" applyFill="1" applyBorder="1" applyAlignment="1" applyProtection="1">
      <alignment horizontal="center" vertical="center"/>
    </xf>
    <xf numFmtId="0" fontId="17" fillId="0" borderId="0" xfId="0" applyFont="1" applyFill="1" applyAlignment="1" applyProtection="1">
      <alignment horizontal="center" vertical="center"/>
    </xf>
    <xf numFmtId="43" fontId="4" fillId="3" borderId="3" xfId="1" applyFont="1" applyFill="1" applyBorder="1" applyAlignment="1">
      <alignment horizontal="center" vertical="center" wrapText="1"/>
    </xf>
    <xf numFmtId="0" fontId="17" fillId="0" borderId="19" xfId="0" applyFont="1" applyBorder="1" applyAlignment="1">
      <alignment horizontal="left" vertical="center"/>
    </xf>
    <xf numFmtId="43" fontId="0" fillId="0" borderId="19" xfId="1" applyFont="1" applyBorder="1" applyAlignment="1" applyProtection="1">
      <alignment horizontal="center" vertical="center"/>
      <protection locked="0"/>
    </xf>
    <xf numFmtId="0" fontId="0" fillId="0" borderId="33" xfId="0" applyBorder="1" applyAlignment="1">
      <alignment horizontal="center" vertical="center"/>
    </xf>
    <xf numFmtId="43" fontId="0" fillId="0" borderId="34" xfId="1" applyFont="1" applyBorder="1" applyAlignment="1">
      <alignment horizontal="center" vertical="center"/>
    </xf>
    <xf numFmtId="43" fontId="0" fillId="0" borderId="34" xfId="1" applyFont="1" applyBorder="1" applyAlignment="1" applyProtection="1">
      <alignment horizontal="center" vertical="center"/>
    </xf>
    <xf numFmtId="43" fontId="0" fillId="0" borderId="34" xfId="1" applyFont="1" applyBorder="1" applyAlignment="1" applyProtection="1">
      <alignment horizontal="center" vertical="center"/>
      <protection locked="0"/>
    </xf>
    <xf numFmtId="43" fontId="0" fillId="0" borderId="35" xfId="1" applyFont="1" applyBorder="1" applyAlignment="1">
      <alignment horizontal="center" vertical="center"/>
    </xf>
    <xf numFmtId="43" fontId="0" fillId="0" borderId="36" xfId="1" applyFont="1" applyBorder="1" applyAlignment="1">
      <alignment horizontal="center" vertical="center"/>
    </xf>
    <xf numFmtId="1" fontId="6" fillId="11" borderId="6" xfId="0" applyNumberFormat="1" applyFont="1" applyFill="1" applyBorder="1" applyAlignment="1">
      <alignment vertical="center"/>
    </xf>
    <xf numFmtId="43" fontId="4" fillId="11" borderId="6" xfId="1" applyFont="1" applyFill="1" applyBorder="1" applyAlignment="1">
      <alignment horizontal="center" vertical="center" wrapText="1"/>
    </xf>
    <xf numFmtId="43" fontId="0" fillId="11" borderId="6" xfId="1" applyFont="1" applyFill="1" applyBorder="1" applyAlignment="1">
      <alignment vertical="center"/>
    </xf>
    <xf numFmtId="1" fontId="4" fillId="11" borderId="6" xfId="1" applyNumberFormat="1" applyFont="1" applyFill="1" applyBorder="1" applyAlignment="1">
      <alignment horizontal="center" vertical="center"/>
    </xf>
    <xf numFmtId="43" fontId="4" fillId="11" borderId="6" xfId="1" applyFont="1" applyFill="1" applyBorder="1" applyAlignment="1">
      <alignment horizontal="center" vertical="center"/>
    </xf>
    <xf numFmtId="1" fontId="13" fillId="11" borderId="6" xfId="1" applyNumberFormat="1" applyFont="1" applyFill="1" applyBorder="1" applyAlignment="1">
      <alignment horizontal="center" vertical="center"/>
    </xf>
    <xf numFmtId="43" fontId="6" fillId="11" borderId="6" xfId="1" applyFont="1" applyFill="1" applyBorder="1" applyAlignment="1">
      <alignment vertical="center"/>
    </xf>
    <xf numFmtId="43" fontId="7" fillId="11" borderId="6" xfId="1" applyFont="1" applyFill="1" applyBorder="1" applyAlignment="1">
      <alignment horizontal="center" vertical="center"/>
    </xf>
    <xf numFmtId="43" fontId="6" fillId="11" borderId="7" xfId="1" applyFont="1" applyFill="1" applyBorder="1" applyAlignment="1">
      <alignment vertical="center"/>
    </xf>
    <xf numFmtId="0" fontId="3" fillId="11" borderId="5" xfId="0" applyFont="1" applyFill="1" applyBorder="1" applyAlignment="1">
      <alignment horizontal="center" vertical="center"/>
    </xf>
    <xf numFmtId="0" fontId="17" fillId="0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1" fontId="19" fillId="0" borderId="0" xfId="0" applyNumberFormat="1" applyFont="1" applyAlignment="1">
      <alignment horizontal="center" vertical="center"/>
    </xf>
    <xf numFmtId="1" fontId="18" fillId="0" borderId="0" xfId="0" applyNumberFormat="1" applyFont="1" applyAlignment="1">
      <alignment horizontal="center" vertical="center"/>
    </xf>
    <xf numFmtId="43" fontId="18" fillId="0" borderId="0" xfId="1" applyFont="1" applyAlignment="1">
      <alignment horizontal="center" vertical="center"/>
    </xf>
    <xf numFmtId="0" fontId="0" fillId="0" borderId="12" xfId="0" applyFont="1" applyBorder="1" applyAlignment="1">
      <alignment horizontal="left" vertical="center"/>
    </xf>
    <xf numFmtId="0" fontId="0" fillId="2" borderId="3" xfId="0" applyFont="1" applyFill="1" applyBorder="1" applyAlignment="1">
      <alignment vertical="center"/>
    </xf>
    <xf numFmtId="0" fontId="0" fillId="0" borderId="14" xfId="0" applyFont="1" applyBorder="1" applyAlignment="1">
      <alignment horizontal="center" vertical="center"/>
    </xf>
    <xf numFmtId="0" fontId="0" fillId="2" borderId="3" xfId="1" applyNumberFormat="1" applyFont="1" applyFill="1" applyBorder="1" applyAlignment="1">
      <alignment vertical="center"/>
    </xf>
    <xf numFmtId="43" fontId="7" fillId="3" borderId="34" xfId="1" applyFont="1" applyFill="1" applyBorder="1" applyAlignment="1" applyProtection="1">
      <alignment horizontal="center" vertical="center"/>
    </xf>
    <xf numFmtId="1" fontId="7" fillId="3" borderId="34" xfId="0" applyNumberFormat="1" applyFont="1" applyFill="1" applyBorder="1" applyAlignment="1" applyProtection="1">
      <alignment horizontal="center" vertical="center"/>
    </xf>
    <xf numFmtId="43" fontId="4" fillId="11" borderId="25" xfId="1" applyFont="1" applyFill="1" applyBorder="1" applyAlignment="1" applyProtection="1">
      <alignment horizontal="center" vertical="center"/>
    </xf>
    <xf numFmtId="43" fontId="4" fillId="11" borderId="6" xfId="1" applyFont="1" applyFill="1" applyBorder="1" applyAlignment="1" applyProtection="1">
      <alignment horizontal="center" vertical="center"/>
    </xf>
    <xf numFmtId="43" fontId="7" fillId="3" borderId="0" xfId="0" applyNumberFormat="1" applyFont="1" applyFill="1" applyAlignment="1" applyProtection="1">
      <alignment horizontal="center" vertical="center"/>
    </xf>
    <xf numFmtId="0" fontId="0" fillId="0" borderId="0" xfId="0" quotePrefix="1" applyFont="1" applyFill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10" fontId="19" fillId="0" borderId="0" xfId="0" applyNumberFormat="1" applyFont="1" applyAlignment="1">
      <alignment horizontal="center"/>
    </xf>
    <xf numFmtId="0" fontId="8" fillId="4" borderId="15" xfId="0" applyFont="1" applyFill="1" applyBorder="1" applyAlignment="1">
      <alignment horizontal="center" vertical="center"/>
    </xf>
    <xf numFmtId="165" fontId="1" fillId="0" borderId="38" xfId="0" applyNumberFormat="1" applyFont="1" applyBorder="1" applyAlignment="1">
      <alignment vertical="center"/>
    </xf>
    <xf numFmtId="165" fontId="8" fillId="4" borderId="1" xfId="0" applyNumberFormat="1" applyFont="1" applyFill="1" applyBorder="1" applyAlignment="1">
      <alignment horizontal="center" vertical="center"/>
    </xf>
    <xf numFmtId="0" fontId="8" fillId="4" borderId="3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165" fontId="1" fillId="0" borderId="40" xfId="0" applyNumberFormat="1" applyFont="1" applyBorder="1" applyAlignment="1">
      <alignment vertical="center"/>
    </xf>
    <xf numFmtId="0" fontId="20" fillId="0" borderId="0" xfId="0" applyFont="1" applyAlignment="1"/>
    <xf numFmtId="10" fontId="19" fillId="0" borderId="0" xfId="0" applyNumberFormat="1" applyFont="1" applyAlignment="1"/>
    <xf numFmtId="10" fontId="19" fillId="0" borderId="0" xfId="0" applyNumberFormat="1" applyFont="1" applyAlignment="1">
      <alignment horizontal="right"/>
    </xf>
    <xf numFmtId="10" fontId="19" fillId="0" borderId="0" xfId="0" applyNumberFormat="1" applyFont="1" applyAlignment="1">
      <alignment horizontal="left"/>
    </xf>
    <xf numFmtId="165" fontId="1" fillId="0" borderId="37" xfId="0" applyNumberFormat="1" applyFont="1" applyBorder="1" applyAlignment="1">
      <alignment vertical="center"/>
    </xf>
    <xf numFmtId="0" fontId="1" fillId="0" borderId="42" xfId="0" applyFont="1" applyBorder="1" applyAlignment="1">
      <alignment horizontal="left" vertical="center"/>
    </xf>
    <xf numFmtId="0" fontId="10" fillId="4" borderId="10" xfId="0" applyFont="1" applyFill="1" applyBorder="1" applyAlignment="1">
      <alignment horizontal="center" vertical="center"/>
    </xf>
    <xf numFmtId="165" fontId="8" fillId="4" borderId="39" xfId="0" applyNumberFormat="1" applyFont="1" applyFill="1" applyBorder="1" applyAlignment="1">
      <alignment horizontal="center" vertical="center"/>
    </xf>
    <xf numFmtId="165" fontId="8" fillId="4" borderId="15" xfId="0" applyNumberFormat="1" applyFont="1" applyFill="1" applyBorder="1" applyAlignment="1">
      <alignment horizontal="center" vertical="center"/>
    </xf>
    <xf numFmtId="10" fontId="11" fillId="0" borderId="4" xfId="0" applyNumberFormat="1" applyFont="1" applyFill="1" applyBorder="1" applyAlignment="1" applyProtection="1">
      <alignment horizontal="center" vertical="center"/>
    </xf>
    <xf numFmtId="165" fontId="1" fillId="0" borderId="38" xfId="0" applyNumberFormat="1" applyFont="1" applyBorder="1" applyAlignment="1">
      <alignment horizontal="right" vertical="center"/>
    </xf>
    <xf numFmtId="165" fontId="1" fillId="0" borderId="45" xfId="0" applyNumberFormat="1" applyFont="1" applyBorder="1" applyAlignment="1">
      <alignment horizontal="right" vertical="center"/>
    </xf>
    <xf numFmtId="0" fontId="1" fillId="0" borderId="38" xfId="0" applyNumberFormat="1" applyFont="1" applyBorder="1" applyAlignment="1">
      <alignment horizontal="center" vertical="center"/>
    </xf>
    <xf numFmtId="0" fontId="1" fillId="0" borderId="45" xfId="0" applyNumberFormat="1" applyFont="1" applyBorder="1" applyAlignment="1">
      <alignment horizontal="center" vertical="center"/>
    </xf>
    <xf numFmtId="10" fontId="1" fillId="0" borderId="38" xfId="0" applyNumberFormat="1" applyFont="1" applyBorder="1" applyAlignment="1">
      <alignment horizontal="center" vertical="center"/>
    </xf>
    <xf numFmtId="10" fontId="1" fillId="0" borderId="45" xfId="0" applyNumberFormat="1" applyFont="1" applyBorder="1" applyAlignment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0" fontId="4" fillId="0" borderId="1" xfId="0" applyFont="1" applyFill="1" applyBorder="1" applyAlignment="1" applyProtection="1">
      <alignment horizontal="center" vertical="center"/>
    </xf>
    <xf numFmtId="0" fontId="11" fillId="0" borderId="46" xfId="0" applyFont="1" applyBorder="1" applyAlignment="1">
      <alignment horizontal="center"/>
    </xf>
    <xf numFmtId="0" fontId="11" fillId="0" borderId="47" xfId="0" applyFont="1" applyBorder="1" applyAlignment="1">
      <alignment horizontal="center"/>
    </xf>
    <xf numFmtId="0" fontId="11" fillId="0" borderId="48" xfId="0" applyFont="1" applyBorder="1" applyAlignment="1">
      <alignment horizontal="center"/>
    </xf>
    <xf numFmtId="0" fontId="11" fillId="0" borderId="49" xfId="0" applyFont="1" applyBorder="1"/>
    <xf numFmtId="164" fontId="11" fillId="0" borderId="51" xfId="0" applyNumberFormat="1" applyFont="1" applyBorder="1"/>
    <xf numFmtId="164" fontId="11" fillId="0" borderId="51" xfId="0" applyNumberFormat="1" applyFont="1" applyBorder="1" applyAlignment="1">
      <alignment horizontal="center"/>
    </xf>
    <xf numFmtId="0" fontId="21" fillId="0" borderId="49" xfId="0" applyFont="1" applyBorder="1" applyAlignment="1">
      <alignment horizontal="right"/>
    </xf>
    <xf numFmtId="164" fontId="21" fillId="0" borderId="51" xfId="0" applyNumberFormat="1" applyFont="1" applyBorder="1"/>
    <xf numFmtId="0" fontId="0" fillId="0" borderId="49" xfId="0" applyBorder="1" applyAlignment="1">
      <alignment horizontal="right"/>
    </xf>
    <xf numFmtId="0" fontId="11" fillId="0" borderId="0" xfId="0" applyFont="1" applyAlignment="1">
      <alignment horizontal="right"/>
    </xf>
    <xf numFmtId="0" fontId="11" fillId="12" borderId="46" xfId="0" applyFont="1" applyFill="1" applyBorder="1" applyAlignment="1">
      <alignment horizontal="right"/>
    </xf>
    <xf numFmtId="0" fontId="11" fillId="12" borderId="47" xfId="0" applyFont="1" applyFill="1" applyBorder="1" applyAlignment="1">
      <alignment horizontal="center"/>
    </xf>
    <xf numFmtId="0" fontId="11" fillId="12" borderId="48" xfId="0" applyFont="1" applyFill="1" applyBorder="1" applyAlignment="1">
      <alignment horizontal="center"/>
    </xf>
    <xf numFmtId="0" fontId="0" fillId="12" borderId="49" xfId="0" applyFont="1" applyFill="1" applyBorder="1" applyAlignment="1">
      <alignment horizontal="right"/>
    </xf>
    <xf numFmtId="164" fontId="0" fillId="12" borderId="50" xfId="0" applyNumberFormat="1" applyFill="1" applyBorder="1"/>
    <xf numFmtId="164" fontId="0" fillId="12" borderId="51" xfId="0" applyNumberFormat="1" applyFill="1" applyBorder="1"/>
    <xf numFmtId="0" fontId="0" fillId="12" borderId="52" xfId="0" applyFont="1" applyFill="1" applyBorder="1" applyAlignment="1">
      <alignment horizontal="right"/>
    </xf>
    <xf numFmtId="10" fontId="0" fillId="12" borderId="53" xfId="0" applyNumberFormat="1" applyFill="1" applyBorder="1" applyAlignment="1">
      <alignment horizontal="center"/>
    </xf>
    <xf numFmtId="0" fontId="11" fillId="0" borderId="46" xfId="0" applyFont="1" applyBorder="1" applyAlignment="1">
      <alignment horizontal="right"/>
    </xf>
    <xf numFmtId="168" fontId="0" fillId="0" borderId="50" xfId="0" applyNumberFormat="1" applyBorder="1"/>
    <xf numFmtId="0" fontId="11" fillId="0" borderId="48" xfId="0" applyFont="1" applyFill="1" applyBorder="1" applyAlignment="1">
      <alignment horizontal="center"/>
    </xf>
    <xf numFmtId="0" fontId="11" fillId="12" borderId="54" xfId="0" applyFont="1" applyFill="1" applyBorder="1" applyAlignment="1">
      <alignment horizontal="center"/>
    </xf>
    <xf numFmtId="164" fontId="0" fillId="12" borderId="55" xfId="0" applyNumberFormat="1" applyFill="1" applyBorder="1"/>
    <xf numFmtId="0" fontId="11" fillId="0" borderId="54" xfId="0" applyFont="1" applyBorder="1" applyAlignment="1">
      <alignment horizontal="center"/>
    </xf>
    <xf numFmtId="168" fontId="0" fillId="0" borderId="55" xfId="0" applyNumberFormat="1" applyBorder="1"/>
    <xf numFmtId="0" fontId="11" fillId="0" borderId="56" xfId="0" applyFont="1" applyBorder="1" applyAlignment="1">
      <alignment horizontal="center"/>
    </xf>
    <xf numFmtId="0" fontId="11" fillId="0" borderId="22" xfId="0" applyFont="1" applyBorder="1"/>
    <xf numFmtId="164" fontId="11" fillId="13" borderId="21" xfId="0" applyNumberFormat="1" applyFont="1" applyFill="1" applyBorder="1" applyAlignment="1"/>
    <xf numFmtId="9" fontId="11" fillId="13" borderId="22" xfId="0" applyNumberFormat="1" applyFont="1" applyFill="1" applyBorder="1" applyAlignment="1">
      <alignment horizontal="center"/>
    </xf>
    <xf numFmtId="10" fontId="21" fillId="0" borderId="22" xfId="0" applyNumberFormat="1" applyFont="1" applyBorder="1" applyAlignment="1">
      <alignment horizontal="center"/>
    </xf>
    <xf numFmtId="0" fontId="11" fillId="13" borderId="23" xfId="0" applyFont="1" applyFill="1" applyBorder="1" applyAlignment="1">
      <alignment horizontal="right"/>
    </xf>
    <xf numFmtId="164" fontId="11" fillId="12" borderId="57" xfId="0" applyNumberFormat="1" applyFont="1" applyFill="1" applyBorder="1" applyAlignment="1">
      <alignment horizontal="center"/>
    </xf>
    <xf numFmtId="164" fontId="11" fillId="12" borderId="58" xfId="0" applyNumberFormat="1" applyFont="1" applyFill="1" applyBorder="1" applyAlignment="1">
      <alignment horizontal="center"/>
    </xf>
    <xf numFmtId="164" fontId="22" fillId="12" borderId="50" xfId="0" applyNumberFormat="1" applyFont="1" applyFill="1" applyBorder="1"/>
    <xf numFmtId="164" fontId="0" fillId="12" borderId="50" xfId="0" applyNumberFormat="1" applyFont="1" applyFill="1" applyBorder="1"/>
    <xf numFmtId="10" fontId="18" fillId="12" borderId="53" xfId="0" applyNumberFormat="1" applyFont="1" applyFill="1" applyBorder="1" applyAlignment="1">
      <alignment horizontal="center"/>
    </xf>
    <xf numFmtId="10" fontId="22" fillId="12" borderId="53" xfId="0" applyNumberFormat="1" applyFont="1" applyFill="1" applyBorder="1" applyAlignment="1">
      <alignment horizontal="center"/>
    </xf>
    <xf numFmtId="0" fontId="11" fillId="0" borderId="41" xfId="0" applyFont="1" applyBorder="1" applyAlignment="1">
      <alignment horizontal="right"/>
    </xf>
    <xf numFmtId="0" fontId="5" fillId="0" borderId="0" xfId="0" applyFont="1"/>
    <xf numFmtId="0" fontId="16" fillId="3" borderId="2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43" fontId="4" fillId="7" borderId="2" xfId="1" applyFont="1" applyFill="1" applyBorder="1" applyAlignment="1">
      <alignment horizontal="center" vertical="center"/>
    </xf>
    <xf numFmtId="43" fontId="4" fillId="7" borderId="3" xfId="1" applyFont="1" applyFill="1" applyBorder="1" applyAlignment="1">
      <alignment horizontal="center" vertical="center"/>
    </xf>
    <xf numFmtId="43" fontId="4" fillId="3" borderId="5" xfId="1" applyFont="1" applyFill="1" applyBorder="1" applyAlignment="1">
      <alignment horizontal="center" vertical="center"/>
    </xf>
    <xf numFmtId="43" fontId="4" fillId="3" borderId="6" xfId="1" applyFont="1" applyFill="1" applyBorder="1" applyAlignment="1">
      <alignment horizontal="center" vertical="center"/>
    </xf>
    <xf numFmtId="0" fontId="4" fillId="2" borderId="0" xfId="0" applyFont="1" applyFill="1" applyBorder="1" applyAlignment="1" applyProtection="1">
      <alignment horizontal="center" vertical="center"/>
    </xf>
    <xf numFmtId="43" fontId="7" fillId="3" borderId="2" xfId="1" applyFont="1" applyFill="1" applyBorder="1" applyAlignment="1">
      <alignment horizontal="center" vertical="center" wrapText="1"/>
    </xf>
    <xf numFmtId="43" fontId="7" fillId="3" borderId="3" xfId="1" applyFont="1" applyFill="1" applyBorder="1" applyAlignment="1">
      <alignment horizontal="center" vertical="center"/>
    </xf>
    <xf numFmtId="43" fontId="4" fillId="3" borderId="7" xfId="1" applyFont="1" applyFill="1" applyBorder="1" applyAlignment="1">
      <alignment horizontal="center" vertical="center"/>
    </xf>
    <xf numFmtId="0" fontId="4" fillId="0" borderId="2" xfId="0" applyFont="1" applyFill="1" applyBorder="1" applyAlignment="1" applyProtection="1">
      <alignment horizontal="center" vertical="center"/>
    </xf>
    <xf numFmtId="0" fontId="4" fillId="0" borderId="3" xfId="0" applyFont="1" applyFill="1" applyBorder="1" applyAlignment="1" applyProtection="1">
      <alignment horizontal="center" vertical="center"/>
    </xf>
    <xf numFmtId="0" fontId="4" fillId="0" borderId="4" xfId="0" applyFont="1" applyFill="1" applyBorder="1" applyAlignment="1" applyProtection="1">
      <alignment horizontal="center" vertical="center"/>
    </xf>
    <xf numFmtId="0" fontId="11" fillId="0" borderId="2" xfId="0" applyNumberFormat="1" applyFont="1" applyFill="1" applyBorder="1" applyAlignment="1" applyProtection="1">
      <alignment horizontal="center" vertical="center"/>
    </xf>
    <xf numFmtId="0" fontId="11" fillId="0" borderId="3" xfId="0" applyNumberFormat="1" applyFont="1" applyFill="1" applyBorder="1" applyAlignment="1" applyProtection="1">
      <alignment horizontal="center" vertical="center"/>
    </xf>
    <xf numFmtId="0" fontId="11" fillId="0" borderId="4" xfId="0" applyNumberFormat="1" applyFont="1" applyFill="1" applyBorder="1" applyAlignment="1" applyProtection="1">
      <alignment horizontal="center" vertical="center"/>
    </xf>
    <xf numFmtId="0" fontId="7" fillId="3" borderId="2" xfId="0" applyFont="1" applyFill="1" applyBorder="1" applyAlignment="1" applyProtection="1">
      <alignment horizontal="center" vertical="center"/>
    </xf>
    <xf numFmtId="0" fontId="7" fillId="3" borderId="3" xfId="0" applyFont="1" applyFill="1" applyBorder="1" applyAlignment="1" applyProtection="1">
      <alignment horizontal="center" vertical="center"/>
    </xf>
    <xf numFmtId="0" fontId="7" fillId="3" borderId="2" xfId="0" applyFont="1" applyFill="1" applyBorder="1" applyAlignment="1" applyProtection="1">
      <alignment horizontal="center" vertical="center" wrapText="1"/>
    </xf>
    <xf numFmtId="0" fontId="7" fillId="3" borderId="19" xfId="0" applyFont="1" applyFill="1" applyBorder="1" applyAlignment="1" applyProtection="1">
      <alignment horizontal="center" vertical="center"/>
    </xf>
    <xf numFmtId="165" fontId="11" fillId="0" borderId="18" xfId="0" applyNumberFormat="1" applyFont="1" applyFill="1" applyBorder="1" applyAlignment="1" applyProtection="1">
      <alignment horizontal="center" vertical="center"/>
    </xf>
    <xf numFmtId="165" fontId="11" fillId="0" borderId="3" xfId="0" applyNumberFormat="1" applyFont="1" applyFill="1" applyBorder="1" applyAlignment="1" applyProtection="1">
      <alignment horizontal="center" vertical="center"/>
    </xf>
    <xf numFmtId="165" fontId="11" fillId="0" borderId="4" xfId="0" applyNumberFormat="1" applyFont="1" applyFill="1" applyBorder="1" applyAlignment="1" applyProtection="1">
      <alignment horizontal="center" vertical="center"/>
    </xf>
    <xf numFmtId="0" fontId="20" fillId="0" borderId="0" xfId="0" applyFont="1" applyAlignment="1">
      <alignment horizontal="center"/>
    </xf>
    <xf numFmtId="0" fontId="4" fillId="0" borderId="43" xfId="0" applyFont="1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4" fillId="0" borderId="14" xfId="0" applyFont="1" applyBorder="1" applyAlignment="1">
      <alignment horizontal="center"/>
    </xf>
  </cellXfs>
  <cellStyles count="4">
    <cellStyle name="Moeda" xfId="2" builtinId="4"/>
    <cellStyle name="Normal" xfId="0" builtinId="0"/>
    <cellStyle name="Porcentagem" xfId="3" builtinId="5"/>
    <cellStyle name="Vírgula" xfId="1" builtinId="3"/>
  </cellStyles>
  <dxfs count="365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theme="8" tint="0.59999389629810485"/>
      </font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readingOrder="0"/>
    </dxf>
    <dxf>
      <alignment vertical="center" readingOrder="0"/>
    </dxf>
    <dxf>
      <font>
        <sz val="12"/>
      </font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ont>
        <b/>
      </font>
    </dxf>
    <dxf>
      <font>
        <b/>
      </font>
    </dxf>
    <dxf>
      <font>
        <color theme="9" tint="-0.249977111117893"/>
      </font>
    </dxf>
    <dxf>
      <font>
        <color theme="9" tint="-0.249977111117893"/>
      </font>
    </dxf>
    <dxf>
      <font>
        <b/>
      </font>
    </dxf>
    <dxf>
      <font>
        <b/>
      </font>
    </dxf>
    <dxf>
      <font>
        <color theme="9" tint="-0.249977111117893"/>
      </font>
    </dxf>
    <dxf>
      <font>
        <color theme="9" tint="-0.249977111117893"/>
      </font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990095129512"/>
          <c:y val="3.0534351145038201E-2"/>
          <c:w val="0.88600990487048903"/>
          <c:h val="0.9592875318066149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5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/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74C-594A-AE41-B6452C95347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CMV!$F$10:$F$11</c:f>
              <c:strCache>
                <c:ptCount val="2"/>
                <c:pt idx="0">
                  <c:v>META</c:v>
                </c:pt>
                <c:pt idx="1">
                  <c:v>REAL</c:v>
                </c:pt>
              </c:strCache>
            </c:strRef>
          </c:cat>
          <c:val>
            <c:numRef>
              <c:f>CMV!$G$10:$G$11</c:f>
              <c:numCache>
                <c:formatCode>0%</c:formatCode>
                <c:ptCount val="2"/>
                <c:pt idx="0">
                  <c:v>0.27</c:v>
                </c:pt>
                <c:pt idx="1">
                  <c:v>0.26332542367511136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74C-594A-AE41-B6452C95347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40415872"/>
        <c:axId val="241069056"/>
      </c:barChart>
      <c:catAx>
        <c:axId val="2404158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pt-BR"/>
          </a:p>
        </c:txPr>
        <c:crossAx val="241069056"/>
        <c:crosses val="autoZero"/>
        <c:auto val="1"/>
        <c:lblAlgn val="ctr"/>
        <c:lblOffset val="100"/>
        <c:noMultiLvlLbl val="0"/>
      </c:catAx>
      <c:valAx>
        <c:axId val="241069056"/>
        <c:scaling>
          <c:orientation val="minMax"/>
          <c:max val="1"/>
          <c:min val="0"/>
        </c:scaling>
        <c:delete val="1"/>
        <c:axPos val="t"/>
        <c:majorGridlines/>
        <c:numFmt formatCode="0%" sourceLinked="1"/>
        <c:majorTickMark val="out"/>
        <c:minorTickMark val="none"/>
        <c:tickLblPos val="nextTo"/>
        <c:crossAx val="240415872"/>
        <c:crosses val="autoZero"/>
        <c:crossBetween val="between"/>
      </c:valAx>
      <c:spPr>
        <a:solidFill>
          <a:schemeClr val="accent6">
            <a:lumMod val="40000"/>
            <a:lumOff val="60000"/>
          </a:schemeClr>
        </a:solidFill>
      </c:spPr>
    </c:plotArea>
    <c:plotVisOnly val="1"/>
    <c:dispBlanksAs val="gap"/>
    <c:showDLblsOverMax val="0"/>
  </c:chart>
  <c:spPr>
    <a:solidFill>
      <a:schemeClr val="accent6">
        <a:lumMod val="40000"/>
        <a:lumOff val="60000"/>
      </a:schemeClr>
    </a:solidFill>
    <a:ln>
      <a:solidFill>
        <a:schemeClr val="bg1">
          <a:lumMod val="50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006686381397"/>
          <c:y val="3.0534351145038201E-2"/>
          <c:w val="0.882993313618603"/>
          <c:h val="0.9592875318066149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1224-D649-BA97-7565FEB23B5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CMV!$J$10:$J$11</c:f>
              <c:strCache>
                <c:ptCount val="2"/>
                <c:pt idx="0">
                  <c:v>META</c:v>
                </c:pt>
                <c:pt idx="1">
                  <c:v>REAL</c:v>
                </c:pt>
              </c:strCache>
            </c:strRef>
          </c:cat>
          <c:val>
            <c:numRef>
              <c:f>CMV!$K$10:$K$11</c:f>
              <c:numCache>
                <c:formatCode>0%</c:formatCode>
                <c:ptCount val="2"/>
                <c:pt idx="0">
                  <c:v>0.03</c:v>
                </c:pt>
                <c:pt idx="1">
                  <c:v>2.4799809175492498E-2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224-D649-BA97-7565FEB23B5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52651008"/>
        <c:axId val="252658048"/>
      </c:barChart>
      <c:catAx>
        <c:axId val="2526510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pt-BR"/>
          </a:p>
        </c:txPr>
        <c:crossAx val="252658048"/>
        <c:crosses val="autoZero"/>
        <c:auto val="1"/>
        <c:lblAlgn val="ctr"/>
        <c:lblOffset val="100"/>
        <c:noMultiLvlLbl val="0"/>
      </c:catAx>
      <c:valAx>
        <c:axId val="252658048"/>
        <c:scaling>
          <c:orientation val="minMax"/>
          <c:max val="1"/>
        </c:scaling>
        <c:delete val="1"/>
        <c:axPos val="t"/>
        <c:majorGridlines/>
        <c:numFmt formatCode="0%" sourceLinked="1"/>
        <c:majorTickMark val="out"/>
        <c:minorTickMark val="none"/>
        <c:tickLblPos val="nextTo"/>
        <c:crossAx val="252651008"/>
        <c:crosses val="autoZero"/>
        <c:crossBetween val="between"/>
      </c:valAx>
      <c:spPr>
        <a:solidFill>
          <a:schemeClr val="accent6">
            <a:lumMod val="40000"/>
            <a:lumOff val="60000"/>
          </a:schemeClr>
        </a:solidFill>
      </c:spPr>
    </c:plotArea>
    <c:plotVisOnly val="1"/>
    <c:dispBlanksAs val="gap"/>
    <c:showDLblsOverMax val="0"/>
  </c:chart>
  <c:spPr>
    <a:solidFill>
      <a:schemeClr val="accent6">
        <a:lumMod val="40000"/>
        <a:lumOff val="60000"/>
      </a:schemeClr>
    </a:solidFill>
    <a:ln>
      <a:solidFill>
        <a:schemeClr val="bg1">
          <a:lumMod val="50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990095129512"/>
          <c:y val="3.0534351145038201E-2"/>
          <c:w val="0.88600990487048903"/>
          <c:h val="0.9592875318066149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5A35-434C-A5E0-5CFC14B6705A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solidFill>
                  <a:sysClr val="windowText" lastClr="000000"/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5A35-434C-A5E0-5CFC14B6705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CMV!$F$16:$F$17</c:f>
              <c:strCache>
                <c:ptCount val="2"/>
                <c:pt idx="0">
                  <c:v>META</c:v>
                </c:pt>
                <c:pt idx="1">
                  <c:v>REAL</c:v>
                </c:pt>
              </c:strCache>
            </c:strRef>
          </c:cat>
          <c:val>
            <c:numRef>
              <c:f>CMV!$G$16:$G$17</c:f>
              <c:numCache>
                <c:formatCode>0%</c:formatCode>
                <c:ptCount val="2"/>
                <c:pt idx="0">
                  <c:v>0.22</c:v>
                </c:pt>
                <c:pt idx="1">
                  <c:v>0.26924001778079343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5A35-434C-A5E0-5CFC14B6705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52690432"/>
        <c:axId val="252693504"/>
      </c:barChart>
      <c:catAx>
        <c:axId val="25269043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pt-BR"/>
          </a:p>
        </c:txPr>
        <c:crossAx val="252693504"/>
        <c:crosses val="autoZero"/>
        <c:auto val="1"/>
        <c:lblAlgn val="ctr"/>
        <c:lblOffset val="100"/>
        <c:noMultiLvlLbl val="0"/>
      </c:catAx>
      <c:valAx>
        <c:axId val="252693504"/>
        <c:scaling>
          <c:orientation val="minMax"/>
          <c:max val="1"/>
        </c:scaling>
        <c:delete val="1"/>
        <c:axPos val="t"/>
        <c:majorGridlines/>
        <c:numFmt formatCode="0%" sourceLinked="1"/>
        <c:majorTickMark val="out"/>
        <c:minorTickMark val="none"/>
        <c:tickLblPos val="nextTo"/>
        <c:crossAx val="252690432"/>
        <c:crosses val="autoZero"/>
        <c:crossBetween val="between"/>
      </c:valAx>
      <c:spPr>
        <a:solidFill>
          <a:schemeClr val="accent6">
            <a:lumMod val="40000"/>
            <a:lumOff val="60000"/>
          </a:schemeClr>
        </a:solidFill>
      </c:spPr>
    </c:plotArea>
    <c:plotVisOnly val="1"/>
    <c:dispBlanksAs val="gap"/>
    <c:showDLblsOverMax val="0"/>
  </c:chart>
  <c:spPr>
    <a:solidFill>
      <a:schemeClr val="accent6">
        <a:lumMod val="40000"/>
        <a:lumOff val="60000"/>
      </a:schemeClr>
    </a:solidFill>
    <a:ln>
      <a:solidFill>
        <a:schemeClr val="bg1">
          <a:lumMod val="50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97058945509901"/>
          <c:y val="3.05344107306777E-2"/>
          <c:w val="0.88600990487048903"/>
          <c:h val="0.9592875318066149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BFB9-8E41-A17D-D5CF42A270BF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solidFill>
                  <a:sysClr val="windowText" lastClr="000000"/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BFB9-8E41-A17D-D5CF42A270B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CMV!$J$16:$J$17</c:f>
              <c:strCache>
                <c:ptCount val="2"/>
                <c:pt idx="0">
                  <c:v>META</c:v>
                </c:pt>
                <c:pt idx="1">
                  <c:v>REAL</c:v>
                </c:pt>
              </c:strCache>
            </c:strRef>
          </c:cat>
          <c:val>
            <c:numRef>
              <c:f>CMV!$K$16:$K$17</c:f>
              <c:numCache>
                <c:formatCode>0%</c:formatCode>
                <c:ptCount val="2"/>
                <c:pt idx="0">
                  <c:v>0.02</c:v>
                </c:pt>
                <c:pt idx="1">
                  <c:v>5.6056972757790868E-2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FB9-8E41-A17D-D5CF42A270B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52709504"/>
        <c:axId val="252737408"/>
      </c:barChart>
      <c:catAx>
        <c:axId val="25270950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pt-BR"/>
          </a:p>
        </c:txPr>
        <c:crossAx val="252737408"/>
        <c:crosses val="autoZero"/>
        <c:auto val="1"/>
        <c:lblAlgn val="ctr"/>
        <c:lblOffset val="100"/>
        <c:noMultiLvlLbl val="0"/>
      </c:catAx>
      <c:valAx>
        <c:axId val="252737408"/>
        <c:scaling>
          <c:orientation val="minMax"/>
          <c:max val="1"/>
          <c:min val="0"/>
        </c:scaling>
        <c:delete val="0"/>
        <c:axPos val="t"/>
        <c:majorGridlines/>
        <c:numFmt formatCode="0%" sourceLinked="1"/>
        <c:majorTickMark val="out"/>
        <c:minorTickMark val="none"/>
        <c:tickLblPos val="nextTo"/>
        <c:crossAx val="252709504"/>
        <c:crosses val="autoZero"/>
        <c:crossBetween val="between"/>
      </c:valAx>
      <c:spPr>
        <a:solidFill>
          <a:schemeClr val="accent6">
            <a:lumMod val="40000"/>
            <a:lumOff val="60000"/>
          </a:schemeClr>
        </a:solidFill>
      </c:spPr>
    </c:plotArea>
    <c:plotVisOnly val="1"/>
    <c:dispBlanksAs val="gap"/>
    <c:showDLblsOverMax val="0"/>
  </c:chart>
  <c:spPr>
    <a:solidFill>
      <a:schemeClr val="accent6">
        <a:lumMod val="40000"/>
        <a:lumOff val="60000"/>
      </a:schemeClr>
    </a:solidFill>
    <a:ln>
      <a:solidFill>
        <a:schemeClr val="bg1">
          <a:lumMod val="50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[Sistema_Gestão_Estoque_e_CMV.xlsm]Compras_Grupo!Tabela dinâmica1</c:name>
    <c:fmtId val="3"/>
  </c:pivotSource>
  <c:chart>
    <c:autoTitleDeleted val="1"/>
    <c:pivotFmts>
      <c:pivotFmt>
        <c:idx val="0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accent6">
                <a:lumMod val="75000"/>
              </a:schemeClr>
            </a:solidFill>
          </a:ln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200"/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accent6">
                <a:lumMod val="75000"/>
              </a:schemeClr>
            </a:solidFill>
          </a:ln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200"/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accent6">
                <a:lumMod val="75000"/>
              </a:schemeClr>
            </a:solidFill>
          </a:ln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200"/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accent6">
                <a:lumMod val="75000"/>
              </a:schemeClr>
            </a:solidFill>
          </a:ln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 sz="1200"/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33454655747649E-2"/>
          <c:y val="2.7751495193746999E-2"/>
          <c:w val="0.97330906885046997"/>
          <c:h val="0.912288191232236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Compras_Grupo!$C$2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Compras_Grupo!$B$3:$B$15</c:f>
              <c:strCache>
                <c:ptCount val="12"/>
                <c:pt idx="0">
                  <c:v>-</c:v>
                </c:pt>
                <c:pt idx="1">
                  <c:v>Bebidas</c:v>
                </c:pt>
                <c:pt idx="2">
                  <c:v>Carnes</c:v>
                </c:pt>
                <c:pt idx="3">
                  <c:v>Descartável</c:v>
                </c:pt>
                <c:pt idx="4">
                  <c:v>Escritório</c:v>
                </c:pt>
                <c:pt idx="5">
                  <c:v>Hortifruti</c:v>
                </c:pt>
                <c:pt idx="6">
                  <c:v>Laticínios</c:v>
                </c:pt>
                <c:pt idx="7">
                  <c:v>Limpeza</c:v>
                </c:pt>
                <c:pt idx="8">
                  <c:v>Mercado</c:v>
                </c:pt>
                <c:pt idx="9">
                  <c:v>Sobremesa</c:v>
                </c:pt>
                <c:pt idx="10">
                  <c:v>Sushi</c:v>
                </c:pt>
                <c:pt idx="11">
                  <c:v>Vendas Caixa</c:v>
                </c:pt>
              </c:strCache>
            </c:strRef>
          </c:cat>
          <c:val>
            <c:numRef>
              <c:f>Compras_Grupo!$C$3:$C$15</c:f>
              <c:numCache>
                <c:formatCode>_-"R$"\ * #,##0.00_-;\-"R$"\ * #,##0.00_-;_-"R$"\ * "-"??_-;_-@_-</c:formatCode>
                <c:ptCount val="12"/>
                <c:pt idx="0">
                  <c:v>0</c:v>
                </c:pt>
                <c:pt idx="1">
                  <c:v>9917.9461200000005</c:v>
                </c:pt>
                <c:pt idx="2">
                  <c:v>62252.132407399986</c:v>
                </c:pt>
                <c:pt idx="3">
                  <c:v>5398.16</c:v>
                </c:pt>
                <c:pt idx="4">
                  <c:v>2635.98</c:v>
                </c:pt>
                <c:pt idx="5">
                  <c:v>20761.378315941332</c:v>
                </c:pt>
                <c:pt idx="6">
                  <c:v>7759.9893999999967</c:v>
                </c:pt>
                <c:pt idx="7">
                  <c:v>8455.8520000000008</c:v>
                </c:pt>
                <c:pt idx="8">
                  <c:v>27059.619135685731</c:v>
                </c:pt>
                <c:pt idx="9">
                  <c:v>3595.3799999999987</c:v>
                </c:pt>
                <c:pt idx="10">
                  <c:v>12002.437793058672</c:v>
                </c:pt>
                <c:pt idx="11">
                  <c:v>1223.4618107142858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C9A-0245-BDE5-DAE188345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413056"/>
        <c:axId val="252414592"/>
      </c:barChart>
      <c:catAx>
        <c:axId val="2524130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1200"/>
            </a:pPr>
            <a:endParaRPr lang="pt-BR"/>
          </a:p>
        </c:txPr>
        <c:crossAx val="252414592"/>
        <c:crosses val="autoZero"/>
        <c:auto val="1"/>
        <c:lblAlgn val="ctr"/>
        <c:lblOffset val="100"/>
        <c:noMultiLvlLbl val="0"/>
      </c:catAx>
      <c:valAx>
        <c:axId val="252414592"/>
        <c:scaling>
          <c:orientation val="minMax"/>
        </c:scaling>
        <c:delete val="1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_-&quot;R$&quot;\ * #,##0.00_-;\-&quot;R$&quot;\ * #,##0.00_-;_-&quot;R$&quot;\ * &quot;-&quot;??_-;_-@_-" sourceLinked="1"/>
        <c:majorTickMark val="out"/>
        <c:minorTickMark val="none"/>
        <c:tickLblPos val="nextTo"/>
        <c:crossAx val="252413056"/>
        <c:crosses val="autoZero"/>
        <c:crossBetween val="between"/>
      </c:valAx>
      <c:spPr>
        <a:solidFill>
          <a:schemeClr val="bg1">
            <a:alpha val="0"/>
          </a:schemeClr>
        </a:solidFill>
      </c:spPr>
    </c:plotArea>
    <c:plotVisOnly val="1"/>
    <c:dispBlanksAs val="gap"/>
    <c:showDLblsOverMax val="0"/>
  </c:chart>
  <c:spPr>
    <a:solidFill>
      <a:schemeClr val="bg1">
        <a:alpha val="0"/>
      </a:schemeClr>
    </a:solidFill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Acumulado</a:t>
            </a:r>
            <a:r>
              <a:rPr lang="pt-BR" b="1" baseline="0"/>
              <a:t> Compras por Grupo - Semana 1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Compras_Grupo!$C$33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Compras_Grupo!$B$34:$B$44</c:f>
              <c:strCache>
                <c:ptCount val="11"/>
                <c:pt idx="0">
                  <c:v>Bebidas</c:v>
                </c:pt>
                <c:pt idx="1">
                  <c:v>Carnes</c:v>
                </c:pt>
                <c:pt idx="2">
                  <c:v>Descartável</c:v>
                </c:pt>
                <c:pt idx="3">
                  <c:v>Escritório</c:v>
                </c:pt>
                <c:pt idx="4">
                  <c:v>Hortifruti</c:v>
                </c:pt>
                <c:pt idx="5">
                  <c:v>Laticínios</c:v>
                </c:pt>
                <c:pt idx="6">
                  <c:v>Limpeza</c:v>
                </c:pt>
                <c:pt idx="7">
                  <c:v>Mercado</c:v>
                </c:pt>
                <c:pt idx="8">
                  <c:v>Sobremesa</c:v>
                </c:pt>
                <c:pt idx="9">
                  <c:v>Sushi</c:v>
                </c:pt>
                <c:pt idx="10">
                  <c:v>Vendas Caixa</c:v>
                </c:pt>
              </c:strCache>
            </c:strRef>
          </c:cat>
          <c:val>
            <c:numRef>
              <c:f>Compras_Grupo!$C$34:$C$44</c:f>
              <c:numCache>
                <c:formatCode>_-"R$"\ * #,##0.00_-;\-"R$"\ * #,##0.00_-;_-"R$"\ * "-"??_-;_-@_-</c:formatCode>
                <c:ptCount val="11"/>
                <c:pt idx="0">
                  <c:v>10000</c:v>
                </c:pt>
                <c:pt idx="1">
                  <c:v>60000</c:v>
                </c:pt>
                <c:pt idx="2">
                  <c:v>5300</c:v>
                </c:pt>
                <c:pt idx="3">
                  <c:v>2700</c:v>
                </c:pt>
                <c:pt idx="4">
                  <c:v>23000</c:v>
                </c:pt>
                <c:pt idx="5">
                  <c:v>7000</c:v>
                </c:pt>
                <c:pt idx="6">
                  <c:v>9000</c:v>
                </c:pt>
                <c:pt idx="7">
                  <c:v>27000</c:v>
                </c:pt>
                <c:pt idx="8">
                  <c:v>3500</c:v>
                </c:pt>
                <c:pt idx="9">
                  <c:v>11000</c:v>
                </c:pt>
                <c:pt idx="10">
                  <c:v>1200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7CF-8242-962F-CCAF6368DBFB}"/>
            </c:ext>
          </c:extLst>
        </c:ser>
        <c:ser>
          <c:idx val="1"/>
          <c:order val="1"/>
          <c:tx>
            <c:strRef>
              <c:f>Compras_Grupo!$D$33</c:f>
              <c:strCache>
                <c:ptCount val="1"/>
                <c:pt idx="0">
                  <c:v>REAL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Compras_Grupo!$B$34:$B$44</c:f>
              <c:strCache>
                <c:ptCount val="11"/>
                <c:pt idx="0">
                  <c:v>Bebidas</c:v>
                </c:pt>
                <c:pt idx="1">
                  <c:v>Carnes</c:v>
                </c:pt>
                <c:pt idx="2">
                  <c:v>Descartável</c:v>
                </c:pt>
                <c:pt idx="3">
                  <c:v>Escritório</c:v>
                </c:pt>
                <c:pt idx="4">
                  <c:v>Hortifruti</c:v>
                </c:pt>
                <c:pt idx="5">
                  <c:v>Laticínios</c:v>
                </c:pt>
                <c:pt idx="6">
                  <c:v>Limpeza</c:v>
                </c:pt>
                <c:pt idx="7">
                  <c:v>Mercado</c:v>
                </c:pt>
                <c:pt idx="8">
                  <c:v>Sobremesa</c:v>
                </c:pt>
                <c:pt idx="9">
                  <c:v>Sushi</c:v>
                </c:pt>
                <c:pt idx="10">
                  <c:v>Vendas Caixa</c:v>
                </c:pt>
              </c:strCache>
            </c:strRef>
          </c:cat>
          <c:val>
            <c:numRef>
              <c:f>Compras_Grupo!$D$34:$D$44</c:f>
              <c:numCache>
                <c:formatCode>_-"R$"\ * #,##0.00_-;\-"R$"\ * #,##0.00_-;_-"R$"\ * "-"??_-;_-@_-</c:formatCode>
                <c:ptCount val="11"/>
                <c:pt idx="0">
                  <c:v>9917.9461200000005</c:v>
                </c:pt>
                <c:pt idx="1">
                  <c:v>62252.132407399986</c:v>
                </c:pt>
                <c:pt idx="2">
                  <c:v>5398.16</c:v>
                </c:pt>
                <c:pt idx="3">
                  <c:v>2635.98</c:v>
                </c:pt>
                <c:pt idx="4">
                  <c:v>20761.378315941332</c:v>
                </c:pt>
                <c:pt idx="5">
                  <c:v>7759.9893999999967</c:v>
                </c:pt>
                <c:pt idx="6">
                  <c:v>8455.8520000000008</c:v>
                </c:pt>
                <c:pt idx="7">
                  <c:v>27059.619135685731</c:v>
                </c:pt>
                <c:pt idx="8">
                  <c:v>3595.3799999999987</c:v>
                </c:pt>
                <c:pt idx="9">
                  <c:v>12002.437793058672</c:v>
                </c:pt>
                <c:pt idx="10">
                  <c:v>1223.4618107142858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7CF-8242-962F-CCAF6368D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2456960"/>
        <c:axId val="252458496"/>
      </c:barChart>
      <c:catAx>
        <c:axId val="252456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2458496"/>
        <c:crosses val="autoZero"/>
        <c:auto val="1"/>
        <c:lblAlgn val="ctr"/>
        <c:lblOffset val="100"/>
        <c:noMultiLvlLbl val="0"/>
      </c:catAx>
      <c:valAx>
        <c:axId val="252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\ * #,##0.00_-;\-&quot;R$&quot;\ * #,##0.0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2456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29527559060000003" l="0.27559055119999998" r="0.27559055119999998" t="0.29527559060000003" header="0.1181102362" footer="0.118110236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1013</xdr:row>
      <xdr:rowOff>123825</xdr:rowOff>
    </xdr:from>
    <xdr:to>
      <xdr:col>0</xdr:col>
      <xdr:colOff>1524000</xdr:colOff>
      <xdr:row>1015</xdr:row>
      <xdr:rowOff>161925</xdr:rowOff>
    </xdr:to>
    <xdr:sp macro="[0]!Abrir_CMV" textlink="">
      <xdr:nvSpPr>
        <xdr:cNvPr id="3" name="Retângulo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85725" y="182803800"/>
          <a:ext cx="1438275" cy="419100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ysClr val="windowText" lastClr="000000"/>
              </a:solidFill>
            </a:rPr>
            <a:t>CMV + ANÁLISE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8</xdr:row>
      <xdr:rowOff>9525</xdr:rowOff>
    </xdr:from>
    <xdr:to>
      <xdr:col>3</xdr:col>
      <xdr:colOff>847725</xdr:colOff>
      <xdr:row>18</xdr:row>
      <xdr:rowOff>347850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2228850" y="1533525"/>
          <a:ext cx="828675" cy="20814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pt-BR" sz="1400" b="1">
              <a:solidFill>
                <a:schemeClr val="accent6">
                  <a:lumMod val="75000"/>
                </a:schemeClr>
              </a:solidFill>
            </a:rPr>
            <a:t>C V M    A C U M U L A D O </a:t>
          </a:r>
        </a:p>
      </xdr:txBody>
    </xdr:sp>
    <xdr:clientData/>
  </xdr:twoCellAnchor>
  <xdr:twoCellAnchor>
    <xdr:from>
      <xdr:col>12</xdr:col>
      <xdr:colOff>219075</xdr:colOff>
      <xdr:row>8</xdr:row>
      <xdr:rowOff>9525</xdr:rowOff>
    </xdr:from>
    <xdr:to>
      <xdr:col>12</xdr:col>
      <xdr:colOff>1047075</xdr:colOff>
      <xdr:row>18</xdr:row>
      <xdr:rowOff>347850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 flipV="1">
          <a:off x="11944350" y="1533525"/>
          <a:ext cx="828000" cy="20814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pt-BR" sz="1400" b="1">
              <a:solidFill>
                <a:schemeClr val="accent6">
                  <a:lumMod val="75000"/>
                </a:schemeClr>
              </a:solidFill>
            </a:rPr>
            <a:t>C V M    A C U M U L A D O </a:t>
          </a:r>
        </a:p>
      </xdr:txBody>
    </xdr:sp>
    <xdr:clientData/>
  </xdr:twoCellAnchor>
  <xdr:twoCellAnchor>
    <xdr:from>
      <xdr:col>3</xdr:col>
      <xdr:colOff>923925</xdr:colOff>
      <xdr:row>8</xdr:row>
      <xdr:rowOff>9525</xdr:rowOff>
    </xdr:from>
    <xdr:to>
      <xdr:col>12</xdr:col>
      <xdr:colOff>123825</xdr:colOff>
      <xdr:row>13</xdr:row>
      <xdr:rowOff>19050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3133725" y="1533525"/>
          <a:ext cx="8715375" cy="962025"/>
        </a:xfrm>
        <a:prstGeom prst="rect">
          <a:avLst/>
        </a:prstGeom>
        <a:noFill/>
        <a:ln w="19050"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923925</xdr:colOff>
      <xdr:row>14</xdr:row>
      <xdr:rowOff>0</xdr:rowOff>
    </xdr:from>
    <xdr:to>
      <xdr:col>12</xdr:col>
      <xdr:colOff>123825</xdr:colOff>
      <xdr:row>19</xdr:row>
      <xdr:rowOff>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3133725" y="2667000"/>
          <a:ext cx="8715375" cy="952501"/>
        </a:xfrm>
        <a:prstGeom prst="rect">
          <a:avLst/>
        </a:prstGeom>
        <a:noFill/>
        <a:ln w="190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1052513</xdr:colOff>
      <xdr:row>8</xdr:row>
      <xdr:rowOff>9525</xdr:rowOff>
    </xdr:from>
    <xdr:to>
      <xdr:col>7</xdr:col>
      <xdr:colOff>1052513</xdr:colOff>
      <xdr:row>13</xdr:row>
      <xdr:rowOff>19050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CxnSpPr>
          <a:stCxn id="4" idx="0"/>
          <a:endCxn id="4" idx="2"/>
        </xdr:cNvCxnSpPr>
      </xdr:nvCxnSpPr>
      <xdr:spPr>
        <a:xfrm>
          <a:off x="7491413" y="1533525"/>
          <a:ext cx="0" cy="962025"/>
        </a:xfrm>
        <a:prstGeom prst="line">
          <a:avLst/>
        </a:prstGeom>
        <a:ln w="19050">
          <a:solidFill>
            <a:schemeClr val="accent2">
              <a:lumMod val="50000"/>
            </a:schemeClr>
          </a:solidFill>
          <a:prstDash val="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1052513</xdr:colOff>
      <xdr:row>14</xdr:row>
      <xdr:rowOff>0</xdr:rowOff>
    </xdr:from>
    <xdr:to>
      <xdr:col>7</xdr:col>
      <xdr:colOff>1052513</xdr:colOff>
      <xdr:row>19</xdr:row>
      <xdr:rowOff>1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CxnSpPr>
          <a:stCxn id="5" idx="0"/>
          <a:endCxn id="5" idx="2"/>
        </xdr:cNvCxnSpPr>
      </xdr:nvCxnSpPr>
      <xdr:spPr>
        <a:xfrm>
          <a:off x="7491413" y="2667000"/>
          <a:ext cx="0" cy="952501"/>
        </a:xfrm>
        <a:prstGeom prst="line">
          <a:avLst/>
        </a:prstGeom>
        <a:ln w="19050">
          <a:solidFill>
            <a:srgbClr val="C00000"/>
          </a:solidFill>
          <a:prstDash val="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990600</xdr:colOff>
      <xdr:row>8</xdr:row>
      <xdr:rowOff>76201</xdr:rowOff>
    </xdr:from>
    <xdr:to>
      <xdr:col>7</xdr:col>
      <xdr:colOff>971550</xdr:colOff>
      <xdr:row>9</xdr:row>
      <xdr:rowOff>38101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3200400" y="1600201"/>
          <a:ext cx="4210050" cy="1524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accent2">
                  <a:lumMod val="50000"/>
                </a:schemeClr>
              </a:solidFill>
            </a:rPr>
            <a:t>NOTA: Bebidas + Carnes + Hortifruti + Mercado + Sobremesa +Sushi</a:t>
          </a:r>
        </a:p>
      </xdr:txBody>
    </xdr:sp>
    <xdr:clientData/>
  </xdr:twoCellAnchor>
  <xdr:twoCellAnchor>
    <xdr:from>
      <xdr:col>3</xdr:col>
      <xdr:colOff>990601</xdr:colOff>
      <xdr:row>9</xdr:row>
      <xdr:rowOff>104775</xdr:rowOff>
    </xdr:from>
    <xdr:to>
      <xdr:col>7</xdr:col>
      <xdr:colOff>971551</xdr:colOff>
      <xdr:row>12</xdr:row>
      <xdr:rowOff>295275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76200</xdr:colOff>
      <xdr:row>8</xdr:row>
      <xdr:rowOff>76201</xdr:rowOff>
    </xdr:from>
    <xdr:to>
      <xdr:col>12</xdr:col>
      <xdr:colOff>57150</xdr:colOff>
      <xdr:row>9</xdr:row>
      <xdr:rowOff>38101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7572375" y="1600201"/>
          <a:ext cx="4210050" cy="1524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accent2">
                  <a:lumMod val="50000"/>
                </a:schemeClr>
              </a:solidFill>
            </a:rPr>
            <a:t>NOTA: Descartáveis + Limpeza + Outros</a:t>
          </a:r>
        </a:p>
      </xdr:txBody>
    </xdr:sp>
    <xdr:clientData/>
  </xdr:twoCellAnchor>
  <xdr:twoCellAnchor>
    <xdr:from>
      <xdr:col>3</xdr:col>
      <xdr:colOff>1000125</xdr:colOff>
      <xdr:row>14</xdr:row>
      <xdr:rowOff>66676</xdr:rowOff>
    </xdr:from>
    <xdr:to>
      <xdr:col>7</xdr:col>
      <xdr:colOff>981075</xdr:colOff>
      <xdr:row>14</xdr:row>
      <xdr:rowOff>409576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3209925" y="2733676"/>
          <a:ext cx="4210050" cy="1238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chemeClr val="accent6">
                  <a:lumMod val="75000"/>
                </a:schemeClr>
              </a:solidFill>
            </a:rPr>
            <a:t>CONSUMO: Bebidas + Carnes</a:t>
          </a:r>
          <a:r>
            <a:rPr lang="pt-BR" sz="1050" b="1" baseline="0">
              <a:solidFill>
                <a:schemeClr val="accent6">
                  <a:lumMod val="75000"/>
                </a:schemeClr>
              </a:solidFill>
            </a:rPr>
            <a:t> + </a:t>
          </a:r>
          <a:r>
            <a:rPr lang="pt-BR" sz="1050" b="1">
              <a:solidFill>
                <a:schemeClr val="accent6">
                  <a:lumMod val="75000"/>
                </a:schemeClr>
              </a:solidFill>
            </a:rPr>
            <a:t>Hortifruti + Mercado + Sobremesa +Sushi</a:t>
          </a:r>
        </a:p>
      </xdr:txBody>
    </xdr:sp>
    <xdr:clientData/>
  </xdr:twoCellAnchor>
  <xdr:twoCellAnchor>
    <xdr:from>
      <xdr:col>8</xdr:col>
      <xdr:colOff>76200</xdr:colOff>
      <xdr:row>14</xdr:row>
      <xdr:rowOff>66676</xdr:rowOff>
    </xdr:from>
    <xdr:to>
      <xdr:col>12</xdr:col>
      <xdr:colOff>57150</xdr:colOff>
      <xdr:row>14</xdr:row>
      <xdr:rowOff>409576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7572375" y="2733676"/>
          <a:ext cx="4210050" cy="1238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accent6">
                  <a:lumMod val="75000"/>
                </a:schemeClr>
              </a:solidFill>
            </a:rPr>
            <a:t>CONSUMO: Descartáveis + Limpeza</a:t>
          </a:r>
        </a:p>
      </xdr:txBody>
    </xdr:sp>
    <xdr:clientData/>
  </xdr:twoCellAnchor>
  <xdr:twoCellAnchor>
    <xdr:from>
      <xdr:col>8</xdr:col>
      <xdr:colOff>76200</xdr:colOff>
      <xdr:row>9</xdr:row>
      <xdr:rowOff>104775</xdr:rowOff>
    </xdr:from>
    <xdr:to>
      <xdr:col>12</xdr:col>
      <xdr:colOff>57150</xdr:colOff>
      <xdr:row>12</xdr:row>
      <xdr:rowOff>295275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1000125</xdr:colOff>
      <xdr:row>15</xdr:row>
      <xdr:rowOff>47625</xdr:rowOff>
    </xdr:from>
    <xdr:to>
      <xdr:col>7</xdr:col>
      <xdr:colOff>981075</xdr:colOff>
      <xdr:row>18</xdr:row>
      <xdr:rowOff>257175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76200</xdr:colOff>
      <xdr:row>15</xdr:row>
      <xdr:rowOff>47625</xdr:rowOff>
    </xdr:from>
    <xdr:to>
      <xdr:col>12</xdr:col>
      <xdr:colOff>57150</xdr:colOff>
      <xdr:row>18</xdr:row>
      <xdr:rowOff>257175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19050</xdr:colOff>
      <xdr:row>19</xdr:row>
      <xdr:rowOff>85725</xdr:rowOff>
    </xdr:from>
    <xdr:to>
      <xdr:col>2</xdr:col>
      <xdr:colOff>0</xdr:colOff>
      <xdr:row>21</xdr:row>
      <xdr:rowOff>123825</xdr:rowOff>
    </xdr:to>
    <xdr:sp macro="[0]!Fechar__CMV" textlink="">
      <xdr:nvSpPr>
        <xdr:cNvPr id="16" name="Retângulo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14300" y="5295900"/>
          <a:ext cx="2019300" cy="4191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ysClr val="windowText" lastClr="000000"/>
              </a:solidFill>
            </a:rPr>
            <a:t>FECHAR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86783</xdr:colOff>
      <xdr:row>15</xdr:row>
      <xdr:rowOff>129647</xdr:rowOff>
    </xdr:from>
    <xdr:to>
      <xdr:col>2</xdr:col>
      <xdr:colOff>1000125</xdr:colOff>
      <xdr:row>21</xdr:row>
      <xdr:rowOff>135733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GRUPO 1">
              <a:extLst>
                <a:ext uri="{FF2B5EF4-FFF2-40B4-BE49-F238E27FC236}">
                  <a16:creationId xmlns:a16="http://schemas.microsoft.com/office/drawing/2014/main" xmlns="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U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3783" y="3198814"/>
              <a:ext cx="2061634" cy="11490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As segmentações de dados têm suporte no Excel 2010 ou posterior.
\Se a forma foi modificada em uma versão anterior do Excel, ou se a pasta de trabalho foi salva no Excel 2003 ou anterior,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3</xdr:col>
      <xdr:colOff>117474</xdr:colOff>
      <xdr:row>0</xdr:row>
      <xdr:rowOff>116417</xdr:rowOff>
    </xdr:from>
    <xdr:to>
      <xdr:col>3</xdr:col>
      <xdr:colOff>117474</xdr:colOff>
      <xdr:row>22</xdr:row>
      <xdr:rowOff>18754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CxnSpPr/>
      </xdr:nvCxnSpPr>
      <xdr:spPr>
        <a:xfrm>
          <a:off x="2226204" y="116417"/>
          <a:ext cx="0" cy="4986040"/>
        </a:xfrm>
        <a:prstGeom prst="line">
          <a:avLst/>
        </a:prstGeom>
        <a:ln>
          <a:solidFill>
            <a:schemeClr val="accent6">
              <a:lumMod val="75000"/>
            </a:schemeClr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230187</xdr:colOff>
      <xdr:row>1</xdr:row>
      <xdr:rowOff>171978</xdr:rowOff>
    </xdr:from>
    <xdr:to>
      <xdr:col>14</xdr:col>
      <xdr:colOff>329406</xdr:colOff>
      <xdr:row>23</xdr:row>
      <xdr:rowOff>95780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22</xdr:row>
      <xdr:rowOff>66675</xdr:rowOff>
    </xdr:from>
    <xdr:to>
      <xdr:col>3</xdr:col>
      <xdr:colOff>0</xdr:colOff>
      <xdr:row>24</xdr:row>
      <xdr:rowOff>104775</xdr:rowOff>
    </xdr:to>
    <xdr:sp macro="[0]!ATUALIZAR" textlink="">
      <xdr:nvSpPr>
        <xdr:cNvPr id="5" name="Retângulo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14300" y="4229100"/>
          <a:ext cx="1857375" cy="419100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ysClr val="windowText" lastClr="000000"/>
              </a:solidFill>
            </a:rPr>
            <a:t>ATUALIZAR</a:t>
          </a:r>
        </a:p>
      </xdr:txBody>
    </xdr:sp>
    <xdr:clientData/>
  </xdr:twoCellAnchor>
  <xdr:twoCellAnchor>
    <xdr:from>
      <xdr:col>1</xdr:col>
      <xdr:colOff>0</xdr:colOff>
      <xdr:row>25</xdr:row>
      <xdr:rowOff>0</xdr:rowOff>
    </xdr:from>
    <xdr:to>
      <xdr:col>3</xdr:col>
      <xdr:colOff>225</xdr:colOff>
      <xdr:row>26</xdr:row>
      <xdr:rowOff>142875</xdr:rowOff>
    </xdr:to>
    <xdr:sp macro="[0]!Fechar__CMV" textlink="">
      <xdr:nvSpPr>
        <xdr:cNvPr id="7" name="Retângulo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114300" y="4733925"/>
          <a:ext cx="1857600" cy="3333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ysClr val="windowText" lastClr="000000"/>
              </a:solidFill>
            </a:rPr>
            <a:t>FECHAR</a:t>
          </a:r>
        </a:p>
      </xdr:txBody>
    </xdr:sp>
    <xdr:clientData/>
  </xdr:twoCellAnchor>
  <xdr:twoCellAnchor>
    <xdr:from>
      <xdr:col>5</xdr:col>
      <xdr:colOff>814917</xdr:colOff>
      <xdr:row>30</xdr:row>
      <xdr:rowOff>62442</xdr:rowOff>
    </xdr:from>
    <xdr:to>
      <xdr:col>13</xdr:col>
      <xdr:colOff>1090083</xdr:colOff>
      <xdr:row>46</xdr:row>
      <xdr:rowOff>169333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xmlns="" id="{DC9B3282-01DD-404C-B72E-FBD0268FDE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kkos-19" refreshedDate="43188.533045949072" createdVersion="4" refreshedVersion="5" minRefreshableVersion="3" recordCount="3136">
  <cacheSource type="worksheet">
    <worksheetSource ref="B1:K3137" sheet="NF"/>
  </cacheSource>
  <cacheFields count="10">
    <cacheField name="Mês" numFmtId="0">
      <sharedItems/>
    </cacheField>
    <cacheField name="SEMANA" numFmtId="0">
      <sharedItems/>
    </cacheField>
    <cacheField name="DIA" numFmtId="0">
      <sharedItems containsString="0" containsBlank="1" containsNumber="1" containsInteger="1" minValue="1" maxValue="29"/>
    </cacheField>
    <cacheField name="GRUPO" numFmtId="0">
      <sharedItems containsBlank="1" count="20">
        <s v="Hortifruti"/>
        <s v="Mercado"/>
        <s v="Carnes"/>
        <s v="Limpeza"/>
        <s v="Bebidas"/>
        <s v="Laticínios"/>
        <s v="Sushi"/>
        <s v="Vendas Caixa"/>
        <s v="Descartável"/>
        <s v="Sobremesa"/>
        <s v="Escritório"/>
        <s v="-"/>
        <m u="1"/>
        <s v="Outros" u="1"/>
        <s v="Mix Certo (Zamboni)" u="1"/>
        <s v="Descartáveis" u="1"/>
        <s v="----" u="1"/>
        <e v="#N/A" u="1"/>
        <s v="Feirinha" u="1"/>
        <s v="Selecione" u="1"/>
      </sharedItems>
    </cacheField>
    <cacheField name="FORNECEDOR" numFmtId="0">
      <sharedItems containsBlank="1"/>
    </cacheField>
    <cacheField name="PRODUTO" numFmtId="0">
      <sharedItems/>
    </cacheField>
    <cacheField name="Und MEDIDA" numFmtId="0">
      <sharedItems containsBlank="1"/>
    </cacheField>
    <cacheField name="QNT" numFmtId="0">
      <sharedItems containsString="0" containsBlank="1" containsNumber="1" minValue="0.05" maxValue="3000"/>
    </cacheField>
    <cacheField name="PREÇO _x000a_(Und.)" numFmtId="0">
      <sharedItems containsString="0" containsBlank="1" containsNumber="1" minValue="9.7000000000000003E-3" maxValue="552.88499999999999"/>
    </cacheField>
    <cacheField name="VALOR TOTAL_x000a_GÊNEROS" numFmtId="164">
      <sharedItems containsSemiMixedTypes="0" containsString="0" containsNumber="1" minValue="0" maxValue="1569.6114970000001"/>
    </cacheField>
  </cacheFields>
  <extLst>
    <ext xmlns:x14="http://schemas.microsoft.com/office/spreadsheetml/2009/9/main" uri="{725AE2AE-9491-48be-B2B4-4EB974FC3084}">
      <x14:pivotCacheDefinition pivotCacheId="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36">
  <r>
    <s v="Março"/>
    <s v="SEMANA 1"/>
    <n v="1"/>
    <x v="0"/>
    <s v="Feira"/>
    <s v="Aipim"/>
    <s v="kg"/>
    <n v="20"/>
    <n v="5"/>
    <n v="100"/>
  </r>
  <r>
    <s v="Março"/>
    <s v="SEMANA 1"/>
    <n v="1"/>
    <x v="1"/>
    <s v="Casas Pedro"/>
    <s v="Arroz Integral Curto"/>
    <s v="kg"/>
    <n v="30.172000000000001"/>
    <n v="8.4200999999999997"/>
    <n v="254.05125720000001"/>
  </r>
  <r>
    <s v="Março"/>
    <s v="SEMANA 1"/>
    <n v="1"/>
    <x v="1"/>
    <s v="Casas Pedro"/>
    <s v="Tapioca Fina"/>
    <s v="kg"/>
    <n v="6.0339999999999998"/>
    <n v="8.0096000000000007"/>
    <n v="48.329926400000005"/>
  </r>
  <r>
    <s v="Março"/>
    <s v="SEMANA 1"/>
    <n v="1"/>
    <x v="1"/>
    <s v="Casas Pedro"/>
    <s v="Vinagrete de Ervas"/>
    <s v="kg"/>
    <n v="1"/>
    <n v="43.2"/>
    <n v="43.2"/>
  </r>
  <r>
    <s v="Março"/>
    <s v="SEMANA 1"/>
    <n v="1"/>
    <x v="1"/>
    <s v="Casas Pedro"/>
    <s v="Aliche"/>
    <s v="kg"/>
    <n v="0.32600000000000001"/>
    <n v="49.417200000000001"/>
    <n v="16.110007200000002"/>
  </r>
  <r>
    <s v="Março"/>
    <s v="SEMANA 1"/>
    <n v="1"/>
    <x v="1"/>
    <s v="Casas Pedro"/>
    <s v="Chia em Grão"/>
    <s v="kg"/>
    <n v="1"/>
    <n v="13.14"/>
    <n v="13.14"/>
  </r>
  <r>
    <s v="Março"/>
    <s v="SEMANA 1"/>
    <n v="1"/>
    <x v="1"/>
    <s v="Rio Quality"/>
    <s v="Açucar Refinado"/>
    <s v="kg"/>
    <n v="38"/>
    <n v="2.4900000000000002"/>
    <n v="94.62"/>
  </r>
  <r>
    <s v="Março"/>
    <s v="SEMANA 1"/>
    <n v="1"/>
    <x v="1"/>
    <s v="Rio Quality"/>
    <s v="Maisena Amido de Milho 1 Kg"/>
    <s v="kg"/>
    <n v="10"/>
    <n v="3.3"/>
    <n v="33"/>
  </r>
  <r>
    <s v="Março"/>
    <s v="SEMANA 1"/>
    <n v="1"/>
    <x v="1"/>
    <s v="Rio Quality"/>
    <s v="Farinha de Mandioca"/>
    <s v="kg"/>
    <n v="40"/>
    <n v="5.2"/>
    <n v="208"/>
  </r>
  <r>
    <s v="Março"/>
    <s v="SEMANA 1"/>
    <n v="1"/>
    <x v="1"/>
    <s v="Rio Quality"/>
    <s v="Leite de Côco"/>
    <s v="lt"/>
    <n v="12"/>
    <n v="14.583333333333334"/>
    <n v="175"/>
  </r>
  <r>
    <s v="Março"/>
    <s v="SEMANA 1"/>
    <n v="1"/>
    <x v="1"/>
    <s v="Rio Quality"/>
    <s v="Leite Integral"/>
    <s v="lt"/>
    <n v="120"/>
    <n v="2.6553333333333331"/>
    <n v="318.64"/>
  </r>
  <r>
    <s v="Março"/>
    <s v="SEMANA 1"/>
    <n v="1"/>
    <x v="1"/>
    <s v="Rio Quality"/>
    <s v="Óleo de Soja 18 Lt"/>
    <s v="bag"/>
    <n v="1"/>
    <n v="62.5"/>
    <n v="62.5"/>
  </r>
  <r>
    <s v="Março"/>
    <s v="SEMANA 1"/>
    <n v="1"/>
    <x v="1"/>
    <s v="Rio Quality"/>
    <s v="Azeitona Azapa bd"/>
    <s v="bd"/>
    <n v="1"/>
    <n v="43.6"/>
    <n v="43.6"/>
  </r>
  <r>
    <s v="Março"/>
    <s v="SEMANA 1"/>
    <n v="1"/>
    <x v="1"/>
    <s v="Rio Quality"/>
    <s v="Catchup 3,6 Kg"/>
    <s v="bb"/>
    <n v="1"/>
    <n v="14.95"/>
    <n v="14.95"/>
  </r>
  <r>
    <s v="Março"/>
    <s v="SEMANA 1"/>
    <n v="1"/>
    <x v="1"/>
    <s v="Rio Quality"/>
    <s v="Feijão Fradinho"/>
    <s v="kg"/>
    <n v="5"/>
    <n v="3.7"/>
    <n v="18.5"/>
  </r>
  <r>
    <s v="Março"/>
    <s v="SEMANA 1"/>
    <n v="1"/>
    <x v="1"/>
    <s v="Rio Quality"/>
    <s v="Fubá de Milho "/>
    <s v="kg"/>
    <n v="2"/>
    <n v="1.65"/>
    <n v="3.3"/>
  </r>
  <r>
    <s v="Março"/>
    <s v="SEMANA 1"/>
    <n v="1"/>
    <x v="1"/>
    <s v="Rio Quality"/>
    <s v="Macarrão Espaghetti Nissim"/>
    <s v="kg"/>
    <n v="5"/>
    <n v="10.238"/>
    <n v="51.19"/>
  </r>
  <r>
    <s v="Março"/>
    <s v="SEMANA 1"/>
    <n v="1"/>
    <x v="1"/>
    <s v="Rio Quality"/>
    <s v="Vinagre Aceto Balsamico"/>
    <s v="unid"/>
    <n v="1"/>
    <n v="8.98"/>
    <n v="8.98"/>
  </r>
  <r>
    <s v="Março"/>
    <s v="SEMANA 1"/>
    <n v="1"/>
    <x v="2"/>
    <s v="Reginaves"/>
    <s v="Aves - Filé de Coxa"/>
    <s v="kg"/>
    <n v="16.799999999999997"/>
    <n v="8.6999999999999993"/>
    <n v="146.15999999999997"/>
  </r>
  <r>
    <s v="Março"/>
    <s v="SEMANA 1"/>
    <n v="1"/>
    <x v="2"/>
    <s v="Reginaves"/>
    <s v="Aves - Coração de Frango"/>
    <s v="kg"/>
    <n v="12"/>
    <n v="14.7"/>
    <n v="176.39999999999998"/>
  </r>
  <r>
    <s v="Março"/>
    <s v="SEMANA 1"/>
    <n v="1"/>
    <x v="3"/>
    <s v="Ecolab"/>
    <s v="Solid Power (Lava Louça) 4 Kg"/>
    <s v="bb"/>
    <n v="2"/>
    <n v="551.38499999999999"/>
    <n v="1102.77"/>
  </r>
  <r>
    <s v="Março"/>
    <s v="SEMANA 1"/>
    <n v="1"/>
    <x v="3"/>
    <s v="Ecolab"/>
    <s v="Antibacterial Detergentye p/ mãos Bb 5lt"/>
    <s v="bb"/>
    <n v="1"/>
    <n v="155.21"/>
    <n v="155.21"/>
  </r>
  <r>
    <s v="Março"/>
    <s v="SEMANA 1"/>
    <n v="1"/>
    <x v="3"/>
    <s v="Ecolab"/>
    <s v="Greasestrip Plus Bb 5 L"/>
    <s v="bb"/>
    <n v="1"/>
    <n v="283.04000000000002"/>
    <n v="283.04000000000002"/>
  </r>
  <r>
    <s v="Março"/>
    <s v="SEMANA 1"/>
    <n v="1"/>
    <x v="3"/>
    <s v="Ecolab"/>
    <s v="Oásis enforce (limpador clorado) Bb5lt"/>
    <s v="bb"/>
    <n v="2"/>
    <n v="349.065"/>
    <n v="698.13"/>
  </r>
  <r>
    <s v="Março"/>
    <s v="SEMANA 1"/>
    <n v="1"/>
    <x v="3"/>
    <s v="Ecolab"/>
    <s v="Vercom Detergente Bb 5 Lt"/>
    <s v="bb"/>
    <n v="4"/>
    <n v="158.47499999999999"/>
    <n v="633.9"/>
  </r>
  <r>
    <s v="Março"/>
    <s v="SEMANA 1"/>
    <n v="1"/>
    <x v="1"/>
    <s v="Planeta Gelo"/>
    <s v="Gelo em Escamas"/>
    <s v="saco"/>
    <n v="2"/>
    <n v="7.5"/>
    <n v="15"/>
  </r>
  <r>
    <s v="Março"/>
    <s v="SEMANA 1"/>
    <n v="1"/>
    <x v="1"/>
    <s v="Planeta Gelo"/>
    <s v="Gelo em Cubo"/>
    <s v="saco"/>
    <n v="3"/>
    <n v="7.5"/>
    <n v="22.5"/>
  </r>
  <r>
    <s v="Março"/>
    <s v="SEMANA 1"/>
    <n v="1"/>
    <x v="2"/>
    <s v="Truticultura"/>
    <s v="Pescados - Filé Truta Cong."/>
    <s v="kg"/>
    <n v="24"/>
    <n v="26"/>
    <n v="624"/>
  </r>
  <r>
    <s v="Março"/>
    <s v="SEMANA 1"/>
    <n v="1"/>
    <x v="1"/>
    <s v="Truticultura"/>
    <s v="Cogumelo Paris"/>
    <s v="kg"/>
    <n v="5"/>
    <n v="15.5"/>
    <n v="77.5"/>
  </r>
  <r>
    <s v="Março"/>
    <s v="SEMANA 1"/>
    <n v="1"/>
    <x v="1"/>
    <s v="Truticultura"/>
    <s v="Cogumelo Fatiado Bd 2 Kg"/>
    <s v="bd"/>
    <n v="2"/>
    <n v="37"/>
    <n v="74"/>
  </r>
  <r>
    <s v="Março"/>
    <s v="SEMANA 1"/>
    <n v="1"/>
    <x v="2"/>
    <s v="Marfrig"/>
    <s v="Carne Bovina - Picanha Grill/Churrascaria"/>
    <s v="kg"/>
    <n v="19.61"/>
    <n v="34.8673"/>
    <n v="683.74775299999999"/>
  </r>
  <r>
    <s v="Março"/>
    <s v="SEMANA 1"/>
    <n v="1"/>
    <x v="4"/>
    <s v="Top Alto"/>
    <s v="Aguardente 51"/>
    <s v="unid"/>
    <n v="1"/>
    <n v="7.98"/>
    <n v="7.98"/>
  </r>
  <r>
    <s v="Março"/>
    <s v="SEMANA 1"/>
    <n v="1"/>
    <x v="2"/>
    <s v="Top Alto"/>
    <s v="Carne Bovina - Carne Seca"/>
    <s v="kg"/>
    <n v="10"/>
    <n v="19.98"/>
    <n v="199.8"/>
  </r>
  <r>
    <s v="Março"/>
    <s v="SEMANA 1"/>
    <n v="1"/>
    <x v="2"/>
    <s v="Top Alto"/>
    <s v="Suíno - Linguiça Fina Defumada"/>
    <s v="kg"/>
    <n v="7.5"/>
    <n v="10.3"/>
    <n v="77.25"/>
  </r>
  <r>
    <s v="Março"/>
    <s v="SEMANA 1"/>
    <n v="1"/>
    <x v="1"/>
    <s v="Top Alto"/>
    <s v="Margarina Qualy 500 g"/>
    <s v="kg"/>
    <n v="6"/>
    <n v="8.17"/>
    <n v="49.019999999999996"/>
  </r>
  <r>
    <s v="Março"/>
    <s v="SEMANA 1"/>
    <n v="1"/>
    <x v="2"/>
    <s v="Top Alto"/>
    <s v="Presunto Cozido"/>
    <s v="kg"/>
    <n v="6.7"/>
    <n v="14.629850746268655"/>
    <n v="98.02"/>
  </r>
  <r>
    <s v="Março"/>
    <s v="SEMANA 1"/>
    <n v="1"/>
    <x v="5"/>
    <s v="Top Alto"/>
    <s v="Queijo Coalho"/>
    <s v="kg"/>
    <n v="6"/>
    <n v="24.13"/>
    <n v="144.78"/>
  </r>
  <r>
    <s v="Março"/>
    <s v="SEMANA 1"/>
    <n v="1"/>
    <x v="5"/>
    <s v="Top Alto"/>
    <s v="Queijo Minas Padrão"/>
    <s v="kg"/>
    <n v="8.6300000000000008"/>
    <n v="31.28"/>
    <n v="269.94640000000004"/>
  </r>
  <r>
    <s v="Março"/>
    <s v="SEMANA 1"/>
    <n v="1"/>
    <x v="4"/>
    <s v="Top Alto"/>
    <s v="Vodka Smirnoff"/>
    <s v="unid"/>
    <n v="1"/>
    <n v="29.63"/>
    <n v="29.63"/>
  </r>
  <r>
    <s v="Março"/>
    <s v="SEMANA 1"/>
    <n v="1"/>
    <x v="4"/>
    <s v="Rio de Janeiro"/>
    <s v="Coca Cola (lata)"/>
    <s v="unid"/>
    <n v="84"/>
    <n v="2.8416666666666663"/>
    <n v="238.69999999999996"/>
  </r>
  <r>
    <s v="Março"/>
    <s v="SEMANA 1"/>
    <n v="1"/>
    <x v="4"/>
    <s v="Rio de Janeiro"/>
    <s v="Coca Cola Zero (lata)"/>
    <s v="unid"/>
    <n v="96"/>
    <n v="2.8258333333333332"/>
    <n v="271.27999999999997"/>
  </r>
  <r>
    <s v="Março"/>
    <s v="SEMANA 1"/>
    <n v="1"/>
    <x v="4"/>
    <s v="Rio de Janeiro"/>
    <s v="Cerveja Heineken Long Neck 330 ml"/>
    <s v="unid"/>
    <n v="48"/>
    <n v="4"/>
    <n v="192"/>
  </r>
  <r>
    <s v="Março"/>
    <s v="SEMANA 1"/>
    <n v="1"/>
    <x v="6"/>
    <s v="Frigorifico Jahu"/>
    <s v="Pescados - Salmão Inteiro Sushi"/>
    <s v="kg"/>
    <n v="33.869999999999997"/>
    <n v="25.3"/>
    <n v="856.91099999999994"/>
  </r>
  <r>
    <s v="Março"/>
    <s v="SEMANA 1"/>
    <n v="1"/>
    <x v="1"/>
    <s v="CDI"/>
    <s v="Arroz Branco"/>
    <s v="kg"/>
    <n v="60"/>
    <n v="3.2879999999999998"/>
    <n v="197.28"/>
  </r>
  <r>
    <s v="Março"/>
    <s v="SEMANA 1"/>
    <n v="1"/>
    <x v="1"/>
    <s v="CDI"/>
    <s v="Farinha de Trigo"/>
    <s v="kg"/>
    <n v="50"/>
    <n v="1.6839999999999999"/>
    <n v="84.2"/>
  </r>
  <r>
    <s v="Março"/>
    <s v="SEMANA 1"/>
    <n v="1"/>
    <x v="1"/>
    <s v="CDI"/>
    <s v="Feijão Preto"/>
    <s v="kg"/>
    <n v="40"/>
    <n v="4.25"/>
    <n v="170"/>
  </r>
  <r>
    <s v="Março"/>
    <s v="SEMANA 1"/>
    <n v="1"/>
    <x v="1"/>
    <s v="CDI"/>
    <s v="Karo Mel"/>
    <s v="unid"/>
    <n v="24"/>
    <n v="6.35"/>
    <n v="152.39999999999998"/>
  </r>
  <r>
    <s v="Março"/>
    <s v="SEMANA 1"/>
    <n v="1"/>
    <x v="1"/>
    <s v="CDI"/>
    <s v="Lentilha"/>
    <s v="kg"/>
    <n v="5"/>
    <n v="10.4"/>
    <n v="52"/>
  </r>
  <r>
    <s v="Março"/>
    <s v="SEMANA 1"/>
    <n v="1"/>
    <x v="1"/>
    <s v="CDI"/>
    <s v="Pimenta Tabasco"/>
    <s v="unid"/>
    <n v="2"/>
    <n v="12.59"/>
    <n v="25.18"/>
  </r>
  <r>
    <s v="Março"/>
    <s v="SEMANA 1"/>
    <n v="1"/>
    <x v="1"/>
    <s v="CDI"/>
    <s v="Feijão Mulatinho"/>
    <s v="kg"/>
    <n v="20"/>
    <n v="7.5"/>
    <n v="150"/>
  </r>
  <r>
    <s v="Março"/>
    <s v="SEMANA 1"/>
    <n v="1"/>
    <x v="1"/>
    <s v="CDI"/>
    <s v="Nescau (Nestle)"/>
    <s v="kg"/>
    <n v="1"/>
    <n v="20.939999999999998"/>
    <n v="20.939999999999998"/>
  </r>
  <r>
    <s v="Março"/>
    <s v="SEMANA 1"/>
    <n v="1"/>
    <x v="1"/>
    <s v="CDI"/>
    <s v="Sal Refinado"/>
    <s v="kg"/>
    <n v="20"/>
    <n v="1.48"/>
    <n v="29.6"/>
  </r>
  <r>
    <s v="Março"/>
    <s v="SEMANA 1"/>
    <n v="1"/>
    <x v="1"/>
    <s v="CDI"/>
    <s v="Tomate Pelatti s/ Pele"/>
    <s v="unid"/>
    <n v="2"/>
    <n v="15.5"/>
    <n v="31"/>
  </r>
  <r>
    <s v="Março"/>
    <s v="SEMANA 1"/>
    <n v="1"/>
    <x v="1"/>
    <s v="CDI"/>
    <s v="Vinagre de Vinho Tinto 750 ml"/>
    <s v="unid"/>
    <n v="12"/>
    <n v="2.65"/>
    <n v="31.799999999999997"/>
  </r>
  <r>
    <s v="Março"/>
    <s v="SEMANA 1"/>
    <n v="1"/>
    <x v="2"/>
    <s v="Barrinhas"/>
    <s v="Pescados - Bacalhau Salgado"/>
    <s v="kg"/>
    <n v="25"/>
    <n v="49.98"/>
    <n v="1249.5"/>
  </r>
  <r>
    <s v="Março"/>
    <s v="SEMANA 1"/>
    <n v="1"/>
    <x v="0"/>
    <s v="Alcibiades G. Quintas"/>
    <s v="Abobrinha "/>
    <s v="kg"/>
    <n v="17.079999999999998"/>
    <n v="2.0491803278688527"/>
    <n v="35"/>
  </r>
  <r>
    <s v="Março"/>
    <s v="SEMANA 1"/>
    <n v="1"/>
    <x v="0"/>
    <s v="Alcibiades G. Quintas"/>
    <s v="Pepino Japonês"/>
    <s v="kg"/>
    <n v="17.100000000000001"/>
    <n v="2.4617067833698028"/>
    <n v="42.095185995623631"/>
  </r>
  <r>
    <s v="Março"/>
    <s v="SEMANA 1"/>
    <n v="1"/>
    <x v="0"/>
    <s v="Alcibiades G. Quintas"/>
    <s v="Vagem Manteiga"/>
    <s v="kg"/>
    <n v="5"/>
    <n v="6"/>
    <n v="30"/>
  </r>
  <r>
    <s v="Março"/>
    <s v="SEMANA 1"/>
    <n v="1"/>
    <x v="0"/>
    <s v="Alcibiades G. Quintas"/>
    <s v="Ovos Extra"/>
    <s v="unid"/>
    <n v="360"/>
    <n v="0.27777777777777779"/>
    <n v="100"/>
  </r>
  <r>
    <s v="Março"/>
    <s v="SEMANA 1"/>
    <n v="1"/>
    <x v="0"/>
    <s v="Alcibiades G. Quintas"/>
    <s v="Aipo"/>
    <s v="kg"/>
    <n v="1.2"/>
    <n v="4"/>
    <n v="4.8"/>
  </r>
  <r>
    <s v="Março"/>
    <s v="SEMANA 1"/>
    <n v="1"/>
    <x v="0"/>
    <s v="Alcibiades G. Quintas"/>
    <s v="Alface Americana    "/>
    <s v="kg"/>
    <n v="4.22"/>
    <n v="3.9810426540284363"/>
    <n v="16.8"/>
  </r>
  <r>
    <s v="Março"/>
    <s v="SEMANA 1"/>
    <n v="1"/>
    <x v="0"/>
    <s v="Alcibiades G. Quintas"/>
    <s v="Alho Poró "/>
    <s v="kg"/>
    <n v="1.5"/>
    <n v="9"/>
    <n v="13.5"/>
  </r>
  <r>
    <s v="Março"/>
    <s v="SEMANA 1"/>
    <n v="1"/>
    <x v="0"/>
    <s v="Alcibiades G. Quintas"/>
    <s v="Cebolinha Verde"/>
    <s v="kg"/>
    <n v="0.56800000000000006"/>
    <n v="7"/>
    <n v="3.9760000000000004"/>
  </r>
  <r>
    <s v="Março"/>
    <s v="SEMANA 1"/>
    <n v="1"/>
    <x v="0"/>
    <s v="Alcibiades G. Quintas"/>
    <s v="Salsa"/>
    <s v="kg"/>
    <n v="0.5"/>
    <n v="7"/>
    <n v="3.5"/>
  </r>
  <r>
    <s v="Março"/>
    <s v="SEMANA 1"/>
    <n v="1"/>
    <x v="6"/>
    <s v="Alcibiades G. Quintas"/>
    <s v="Abacate Sushi"/>
    <s v="kg"/>
    <n v="1.4"/>
    <n v="6"/>
    <n v="8.3999999999999986"/>
  </r>
  <r>
    <s v="Março"/>
    <s v="SEMANA 1"/>
    <n v="1"/>
    <x v="0"/>
    <s v="Alcibiades G. Quintas"/>
    <s v="Banana D'Água"/>
    <s v="kg"/>
    <n v="4"/>
    <n v="3.8"/>
    <n v="15.2"/>
  </r>
  <r>
    <s v="Março"/>
    <s v="SEMANA 1"/>
    <n v="1"/>
    <x v="0"/>
    <s v="Alcibiades G. Quintas"/>
    <s v="Kiwi"/>
    <s v="kg"/>
    <n v="0.5"/>
    <n v="15"/>
    <n v="7.5"/>
  </r>
  <r>
    <s v="Março"/>
    <s v="SEMANA 1"/>
    <n v="1"/>
    <x v="0"/>
    <s v="Alcibiades G. Quintas"/>
    <s v="Manga Palmer"/>
    <s v="kg"/>
    <n v="6"/>
    <n v="4.166666666666667"/>
    <n v="25"/>
  </r>
  <r>
    <s v="Março"/>
    <s v="SEMANA 1"/>
    <n v="1"/>
    <x v="0"/>
    <s v="Alcibiades G. Quintas"/>
    <s v="Manga Tommy"/>
    <s v="kg"/>
    <n v="2"/>
    <n v="3.8"/>
    <n v="7.6"/>
  </r>
  <r>
    <s v="Março"/>
    <s v="SEMANA 1"/>
    <n v="1"/>
    <x v="0"/>
    <s v="Alcibiades G. Quintas"/>
    <s v="Pera"/>
    <s v="kg"/>
    <n v="3.5"/>
    <n v="8"/>
    <n v="28"/>
  </r>
  <r>
    <s v="Março"/>
    <s v="SEMANA 1"/>
    <n v="1"/>
    <x v="0"/>
    <s v="Umehara"/>
    <s v="Abacaxi "/>
    <s v="kg"/>
    <n v="10"/>
    <n v="3.75"/>
    <n v="37.5"/>
  </r>
  <r>
    <s v="Março"/>
    <s v="SEMANA 1"/>
    <n v="1"/>
    <x v="0"/>
    <s v="Umehara"/>
    <s v="Batata Baroa"/>
    <s v="kg"/>
    <n v="7"/>
    <n v="5.0999999999999996"/>
    <n v="35.699999999999996"/>
  </r>
  <r>
    <s v="Março"/>
    <s v="SEMANA 1"/>
    <n v="1"/>
    <x v="0"/>
    <s v="Umehara"/>
    <s v="Cebola"/>
    <s v="kg"/>
    <n v="20.74"/>
    <n v="2.5506268081002896"/>
    <n v="52.900000000000006"/>
  </r>
  <r>
    <s v="Março"/>
    <s v="SEMANA 1"/>
    <n v="1"/>
    <x v="0"/>
    <s v="Umehara"/>
    <s v="Côco Verde"/>
    <s v="unid"/>
    <n v="15"/>
    <n v="1.98"/>
    <n v="29.7"/>
  </r>
  <r>
    <s v="Março"/>
    <s v="SEMANA 1"/>
    <n v="1"/>
    <x v="0"/>
    <s v="Umehara"/>
    <s v="Couve Flor"/>
    <s v="kg"/>
    <n v="2"/>
    <n v="5"/>
    <n v="10"/>
  </r>
  <r>
    <s v="Março"/>
    <s v="SEMANA 1"/>
    <n v="1"/>
    <x v="0"/>
    <s v="Umehara"/>
    <s v="Pimentão Verde"/>
    <s v="kg"/>
    <n v="3"/>
    <n v="3.6"/>
    <n v="10.8"/>
  </r>
  <r>
    <s v="Março"/>
    <s v="SEMANA 1"/>
    <n v="1"/>
    <x v="0"/>
    <s v="Umehara"/>
    <s v="Rúcula"/>
    <s v="kg"/>
    <n v="2"/>
    <n v="6.5"/>
    <n v="13"/>
  </r>
  <r>
    <s v="Março"/>
    <s v="SEMANA 1"/>
    <n v="1"/>
    <x v="0"/>
    <s v="Umehara"/>
    <s v="Couve Manteiga"/>
    <s v="kg"/>
    <n v="12"/>
    <n v="3"/>
    <n v="36"/>
  </r>
  <r>
    <s v="Março"/>
    <s v="SEMANA 1"/>
    <n v="1"/>
    <x v="6"/>
    <s v="Mirai"/>
    <s v="Arroz Japonês (sushi)"/>
    <s v="kg"/>
    <n v="60"/>
    <n v="5.166666666666667"/>
    <n v="310"/>
  </r>
  <r>
    <s v="Março"/>
    <s v="SEMANA 1"/>
    <n v="1"/>
    <x v="6"/>
    <s v="Mirai"/>
    <s v="Folha de Alga 50F"/>
    <s v="pcte"/>
    <n v="15"/>
    <n v="29"/>
    <n v="435"/>
  </r>
  <r>
    <s v="Março"/>
    <s v="SEMANA 1"/>
    <n v="1"/>
    <x v="6"/>
    <s v="Mirai"/>
    <s v="Wasabi em Pó"/>
    <s v="kg"/>
    <n v="1"/>
    <n v="30"/>
    <n v="30"/>
  </r>
  <r>
    <s v="Março"/>
    <s v="SEMANA 1"/>
    <n v="1"/>
    <x v="1"/>
    <s v="Tempero Carioca"/>
    <s v="Ameixa sem Caroço"/>
    <s v="kg"/>
    <n v="1"/>
    <n v="17.899999999999999"/>
    <n v="17.899999999999999"/>
  </r>
  <r>
    <s v="Março"/>
    <s v="SEMANA 1"/>
    <n v="1"/>
    <x v="1"/>
    <s v="Tempero Carioca"/>
    <s v="Castanha de Caju Picada"/>
    <s v="kg"/>
    <n v="1"/>
    <n v="54.9"/>
    <n v="54.9"/>
  </r>
  <r>
    <s v="Março"/>
    <s v="SEMANA 1"/>
    <n v="1"/>
    <x v="1"/>
    <s v="Tempero Carioca"/>
    <s v="Cevadinha"/>
    <s v="kg"/>
    <n v="2"/>
    <n v="5.9"/>
    <n v="11.8"/>
  </r>
  <r>
    <s v="Março"/>
    <s v="SEMANA 1"/>
    <n v="1"/>
    <x v="1"/>
    <s v="Tempero Carioca"/>
    <s v="Coloral"/>
    <s v="kg"/>
    <n v="0.3"/>
    <n v="5.5"/>
    <n v="1.65"/>
  </r>
  <r>
    <s v="Março"/>
    <s v="SEMANA 1"/>
    <n v="1"/>
    <x v="1"/>
    <s v="Tempero Carioca"/>
    <s v="Cuscus"/>
    <s v="kg"/>
    <n v="1"/>
    <n v="26.9"/>
    <n v="26.9"/>
  </r>
  <r>
    <s v="Março"/>
    <s v="SEMANA 1"/>
    <n v="1"/>
    <x v="1"/>
    <s v="Tempero Carioca"/>
    <s v="Damasco Seco"/>
    <s v="kg"/>
    <n v="1"/>
    <n v="22.9"/>
    <n v="22.9"/>
  </r>
  <r>
    <s v="Março"/>
    <s v="SEMANA 1"/>
    <n v="1"/>
    <x v="1"/>
    <s v="Tempero Carioca"/>
    <s v="Feijão Azuki"/>
    <s v="kg"/>
    <n v="1"/>
    <n v="10"/>
    <n v="10"/>
  </r>
  <r>
    <s v="Março"/>
    <s v="SEMANA 1"/>
    <n v="1"/>
    <x v="1"/>
    <s v="Tempero Carioca"/>
    <s v="Feijão de Soja"/>
    <s v="kg"/>
    <n v="2"/>
    <n v="4.5"/>
    <n v="9"/>
  </r>
  <r>
    <s v="Março"/>
    <s v="SEMANA 1"/>
    <n v="1"/>
    <x v="1"/>
    <s v="Tempero Carioca"/>
    <s v="Nozes sem casca"/>
    <s v="kg"/>
    <n v="1"/>
    <n v="69.900000000000006"/>
    <n v="69.900000000000006"/>
  </r>
  <r>
    <s v="Março"/>
    <s v="SEMANA 1"/>
    <n v="1"/>
    <x v="1"/>
    <s v="Tempero Carioca"/>
    <s v="Passas Preta"/>
    <s v="kg"/>
    <n v="1"/>
    <n v="14.3"/>
    <n v="14.3"/>
  </r>
  <r>
    <s v="Março"/>
    <s v="SEMANA 1"/>
    <n v="1"/>
    <x v="1"/>
    <s v="Tempero Carioca"/>
    <s v="Quinoa"/>
    <s v="kg"/>
    <n v="2"/>
    <n v="26.9"/>
    <n v="53.8"/>
  </r>
  <r>
    <s v="Março"/>
    <s v="SEMANA 1"/>
    <n v="1"/>
    <x v="1"/>
    <s v="Tempero Carioca"/>
    <s v="Tahine Lata 500 gr"/>
    <s v="kg"/>
    <n v="2"/>
    <n v="38"/>
    <n v="76"/>
  </r>
  <r>
    <s v="Março"/>
    <s v="SEMANA 1"/>
    <n v="1"/>
    <x v="1"/>
    <s v="Tempero Carioca"/>
    <s v="Trigo em Grão"/>
    <s v="kg"/>
    <n v="1"/>
    <n v="3.9"/>
    <n v="3.9"/>
  </r>
  <r>
    <s v="Março"/>
    <s v="SEMANA 1"/>
    <n v="1"/>
    <x v="2"/>
    <s v="Supermercados Mundial"/>
    <s v="Suíno - Linguiça Paio"/>
    <s v="kg"/>
    <n v="5"/>
    <n v="18.952000000000002"/>
    <n v="94.76"/>
  </r>
  <r>
    <s v="Março"/>
    <s v="SEMANA 1"/>
    <n v="1"/>
    <x v="1"/>
    <s v="Mercadinho Bambina"/>
    <s v="Batata Palha 140 g"/>
    <s v="pcte"/>
    <n v="1"/>
    <n v="7.5"/>
    <n v="7.5"/>
  </r>
  <r>
    <s v="Março"/>
    <s v="SEMANA 1"/>
    <n v="1"/>
    <x v="1"/>
    <s v="Mercadinho Bambina"/>
    <s v="Pão Francês"/>
    <s v="kg"/>
    <n v="0.14499999999999999"/>
    <n v="13.98"/>
    <n v="2.0270999999999999"/>
  </r>
  <r>
    <s v="Março"/>
    <s v="SEMANA 1"/>
    <n v="1"/>
    <x v="6"/>
    <s v="Alcibiades G. Quintas"/>
    <s v="Pepino Japonês Sushi"/>
    <s v="kg"/>
    <n v="1.18"/>
    <n v="2.4617067833698028"/>
    <n v="2.9048140043763673"/>
  </r>
  <r>
    <s v="Março"/>
    <s v="SEMANA 1"/>
    <n v="1"/>
    <x v="6"/>
    <s v="Alcibiades G. Quintas"/>
    <s v="Cebolinha Verde Sushi"/>
    <s v="kg"/>
    <n v="0.432"/>
    <n v="7"/>
    <n v="3.024"/>
  </r>
  <r>
    <s v="Março"/>
    <s v="SEMANA 1"/>
    <n v="1"/>
    <x v="6"/>
    <s v="Alcibiades G. Quintas"/>
    <s v="Manga Tommy Sushi"/>
    <s v="kg"/>
    <n v="1.5"/>
    <n v="3.8"/>
    <n v="5.6999999999999993"/>
  </r>
  <r>
    <s v="Março"/>
    <s v="SEMANA 1"/>
    <n v="2"/>
    <x v="1"/>
    <s v="Estrela Real"/>
    <s v="Palmito lata 500gr"/>
    <s v="unid"/>
    <n v="24"/>
    <n v="17.666666666666668"/>
    <n v="424"/>
  </r>
  <r>
    <s v="Março"/>
    <s v="SEMANA 1"/>
    <n v="2"/>
    <x v="1"/>
    <s v="Zamboni"/>
    <s v="Azeitona Verde Fatiada Bd 2 kg"/>
    <s v="bd"/>
    <n v="1"/>
    <n v="22.16"/>
    <n v="22.16"/>
  </r>
  <r>
    <s v="Março"/>
    <s v="SEMANA 1"/>
    <n v="2"/>
    <x v="1"/>
    <s v="Zamboni"/>
    <s v="Shoyu Tradicional (Cozinha) Bb 5 Lt"/>
    <s v="bb"/>
    <n v="1"/>
    <n v="50.22"/>
    <n v="50.22"/>
  </r>
  <r>
    <s v="Março"/>
    <s v="SEMANA 1"/>
    <n v="2"/>
    <x v="1"/>
    <s v="Zamboni"/>
    <s v="Misso Shiro"/>
    <s v="kg"/>
    <n v="12"/>
    <n v="13.590000000000002"/>
    <n v="163.08000000000001"/>
  </r>
  <r>
    <s v="Março"/>
    <s v="SEMANA 1"/>
    <n v="2"/>
    <x v="1"/>
    <s v="Mix Certo (Zamboni)"/>
    <s v="Vinho Branco Seco Gf 4,6 Lt"/>
    <s v="unid"/>
    <n v="1"/>
    <n v="45.87"/>
    <n v="45.87"/>
  </r>
  <r>
    <s v="Março"/>
    <s v="SEMANA 1"/>
    <n v="2"/>
    <x v="1"/>
    <s v="Mix Certo (Zamboni)"/>
    <s v="Vinho Tinto Seco Gf 4,6 Lt"/>
    <s v="unid"/>
    <n v="1"/>
    <n v="45.87"/>
    <n v="45.87"/>
  </r>
  <r>
    <s v="Março"/>
    <s v="SEMANA 1"/>
    <n v="2"/>
    <x v="1"/>
    <s v="Mix Certo (Zamboni)"/>
    <s v="Grão de Bico"/>
    <s v="kg"/>
    <n v="20"/>
    <n v="17.34"/>
    <n v="346.8"/>
  </r>
  <r>
    <s v="Março"/>
    <s v="SEMANA 1"/>
    <n v="2"/>
    <x v="1"/>
    <s v="Mix Certo (Zamboni)"/>
    <s v="Maionese Hellmanns Bd 3 Kg"/>
    <s v="bd"/>
    <n v="6"/>
    <n v="23.51"/>
    <n v="141.06"/>
  </r>
  <r>
    <s v="Março"/>
    <s v="SEMANA 1"/>
    <n v="2"/>
    <x v="1"/>
    <s v="Mix Certo (Zamboni)"/>
    <s v="Margarina Bd 15 Kg"/>
    <s v="bd"/>
    <n v="1"/>
    <n v="77.31"/>
    <n v="77.31"/>
  </r>
  <r>
    <s v="Março"/>
    <s v="SEMANA 1"/>
    <n v="2"/>
    <x v="1"/>
    <s v="Mix Certo (Zamboni)"/>
    <s v="Mostarda Bb 3,3, Kg"/>
    <s v="bb"/>
    <n v="1"/>
    <n v="13.11"/>
    <n v="13.11"/>
  </r>
  <r>
    <s v="Março"/>
    <s v="SEMANA 1"/>
    <n v="2"/>
    <x v="1"/>
    <s v="Mix Certo (Zamboni)"/>
    <s v="Orégano Chileno"/>
    <s v="kg"/>
    <n v="0.2"/>
    <n v="44.45"/>
    <n v="8.89"/>
  </r>
  <r>
    <s v="Março"/>
    <s v="SEMANA 1"/>
    <n v="2"/>
    <x v="1"/>
    <s v="Mix Certo (Zamboni)"/>
    <s v="Trigo para Kibe"/>
    <s v="kg"/>
    <n v="10"/>
    <n v="4.42"/>
    <n v="44.2"/>
  </r>
  <r>
    <s v="Março"/>
    <s v="SEMANA 1"/>
    <n v="2"/>
    <x v="6"/>
    <s v="Mix Certo (Zamboni)"/>
    <s v="Vinagre de Arroz Sushi"/>
    <s v="unid"/>
    <n v="17"/>
    <n v="3.8699999999999997"/>
    <n v="65.789999999999992"/>
  </r>
  <r>
    <s v="Março"/>
    <s v="SEMANA 1"/>
    <n v="2"/>
    <x v="7"/>
    <s v="Mamy"/>
    <s v="Bala de Alga 500 g"/>
    <s v="pcte"/>
    <n v="2"/>
    <n v="17.16"/>
    <n v="34.32"/>
  </r>
  <r>
    <s v="Março"/>
    <s v="SEMANA 1"/>
    <n v="2"/>
    <x v="1"/>
    <s v="Mamy"/>
    <s v="Chá verde 200gr"/>
    <s v="pcte"/>
    <n v="1"/>
    <n v="14.68"/>
    <n v="14.68"/>
  </r>
  <r>
    <s v="Março"/>
    <s v="SEMANA 1"/>
    <n v="2"/>
    <x v="1"/>
    <s v="Mamy"/>
    <s v="Farinha Panco"/>
    <s v="kg"/>
    <n v="9"/>
    <n v="17.7"/>
    <n v="159.29999999999998"/>
  </r>
  <r>
    <s v="Março"/>
    <s v="SEMANA 1"/>
    <n v="2"/>
    <x v="1"/>
    <s v="Mamy"/>
    <s v="Gergelim Preto"/>
    <s v="kg"/>
    <n v="1"/>
    <n v="18.38"/>
    <n v="18.38"/>
  </r>
  <r>
    <s v="Março"/>
    <s v="SEMANA 1"/>
    <n v="2"/>
    <x v="1"/>
    <s v="Mamy"/>
    <s v="Macarrão de Feijão (Harusame) 200g"/>
    <s v="pcte"/>
    <n v="3"/>
    <n v="8.48"/>
    <n v="25.44"/>
  </r>
  <r>
    <s v="Março"/>
    <s v="SEMANA 1"/>
    <n v="2"/>
    <x v="1"/>
    <s v="Mamy"/>
    <s v="Molho Ostra"/>
    <s v="unid"/>
    <n v="1"/>
    <n v="14.5"/>
    <n v="14.5"/>
  </r>
  <r>
    <s v="Março"/>
    <s v="SEMANA 1"/>
    <n v="2"/>
    <x v="1"/>
    <s v="Mamy"/>
    <s v="Óleo de Gergelim"/>
    <s v="unid"/>
    <n v="2"/>
    <n v="54"/>
    <n v="108"/>
  </r>
  <r>
    <s v="Março"/>
    <s v="SEMANA 1"/>
    <n v="2"/>
    <x v="1"/>
    <s v="Mamy"/>
    <s v="Massa de Harumaki"/>
    <s v="folha"/>
    <n v="180"/>
    <n v="0.53366666666666673"/>
    <n v="96.060000000000016"/>
  </r>
  <r>
    <s v="Março"/>
    <s v="SEMANA 1"/>
    <n v="2"/>
    <x v="1"/>
    <s v="Mamy"/>
    <s v="Gergelim Preto"/>
    <s v="kg"/>
    <n v="1"/>
    <m/>
    <n v="0"/>
  </r>
  <r>
    <s v="Março"/>
    <s v="SEMANA 1"/>
    <n v="2"/>
    <x v="4"/>
    <s v="Minalba"/>
    <s v="Água Mineral com Gás"/>
    <s v="unid"/>
    <n v="210"/>
    <n v="1.3333333333333333"/>
    <n v="280"/>
  </r>
  <r>
    <s v="Março"/>
    <s v="SEMANA 1"/>
    <n v="2"/>
    <x v="4"/>
    <s v="Minalba"/>
    <s v="Água Mineral sem Gás"/>
    <s v="unid"/>
    <n v="210"/>
    <n v="1.3333333333333333"/>
    <n v="280"/>
  </r>
  <r>
    <s v="Março"/>
    <s v="SEMANA 1"/>
    <n v="2"/>
    <x v="2"/>
    <s v="Top Alto"/>
    <s v="Carne Bovina - Lagarto Plano"/>
    <s v="kg"/>
    <n v="24.14"/>
    <n v="14"/>
    <n v="337.96000000000004"/>
  </r>
  <r>
    <s v="Março"/>
    <s v="SEMANA 1"/>
    <n v="2"/>
    <x v="2"/>
    <s v="Top Alto"/>
    <s v="Suíno - Filezinho Suíno"/>
    <s v="kg"/>
    <n v="20"/>
    <n v="9.15"/>
    <n v="183"/>
  </r>
  <r>
    <s v="Março"/>
    <s v="SEMANA 1"/>
    <n v="2"/>
    <x v="5"/>
    <s v="Top Alto"/>
    <s v="Queijo Parmezon"/>
    <s v="kg"/>
    <n v="5.9"/>
    <n v="23.7"/>
    <n v="139.83000000000001"/>
  </r>
  <r>
    <s v="Março"/>
    <s v="SEMANA 1"/>
    <n v="2"/>
    <x v="2"/>
    <s v="Top Alto"/>
    <s v="Aves - Peito de Peru Bolinha"/>
    <s v="kg"/>
    <n v="18"/>
    <n v="25.5"/>
    <n v="459"/>
  </r>
  <r>
    <s v="Março"/>
    <s v="SEMANA 1"/>
    <n v="2"/>
    <x v="1"/>
    <s v="Planeta Gelo"/>
    <s v="Gelo em Escamas"/>
    <s v="saco"/>
    <n v="2"/>
    <n v="7.5"/>
    <n v="15"/>
  </r>
  <r>
    <s v="Março"/>
    <s v="SEMANA 1"/>
    <n v="2"/>
    <x v="1"/>
    <s v="Planeta Gelo"/>
    <s v="Gelo em Cubo"/>
    <s v="saco"/>
    <n v="4"/>
    <n v="7.5"/>
    <n v="30"/>
  </r>
  <r>
    <s v="Março"/>
    <s v="SEMANA 1"/>
    <n v="2"/>
    <x v="0"/>
    <s v="Sitio do Moinho"/>
    <s v="Alface Americana Orgânica"/>
    <s v="kg"/>
    <n v="6.04"/>
    <n v="7.201986754966887"/>
    <n v="43.5"/>
  </r>
  <r>
    <s v="Março"/>
    <s v="SEMANA 1"/>
    <n v="2"/>
    <x v="0"/>
    <s v="Sitio do Moinho"/>
    <s v="Alface crespa Orgânica"/>
    <s v="kg"/>
    <n v="2.76"/>
    <n v="10.869565217391305"/>
    <n v="30"/>
  </r>
  <r>
    <s v="Março"/>
    <s v="SEMANA 1"/>
    <n v="2"/>
    <x v="0"/>
    <s v="Sitio do Moinho"/>
    <s v="Alface Roxa Orgânica"/>
    <s v="kg"/>
    <n v="1.54"/>
    <n v="16.233766233766232"/>
    <n v="25"/>
  </r>
  <r>
    <s v="Março"/>
    <s v="SEMANA 1"/>
    <n v="2"/>
    <x v="0"/>
    <s v="Sitio do Moinho"/>
    <s v="Beterraba Orgânica"/>
    <s v="kg"/>
    <n v="5"/>
    <n v="7.7"/>
    <n v="38.5"/>
  </r>
  <r>
    <s v="Março"/>
    <s v="SEMANA 1"/>
    <n v="2"/>
    <x v="0"/>
    <s v="Sitio do Moinho"/>
    <s v="Rúcula Orgânica"/>
    <s v="kg"/>
    <n v="2.14"/>
    <n v="17.289719626168225"/>
    <n v="37"/>
  </r>
  <r>
    <s v="Março"/>
    <s v="SEMANA 1"/>
    <n v="2"/>
    <x v="2"/>
    <s v="Satiro's"/>
    <s v="Pescados - Olho de Boi"/>
    <s v="kg"/>
    <n v="55.7"/>
    <n v="18"/>
    <n v="1002.6"/>
  </r>
  <r>
    <s v="Março"/>
    <s v="SEMANA 1"/>
    <n v="2"/>
    <x v="6"/>
    <s v="Satiro's"/>
    <s v="Pescados - Olho de Cão Sushi"/>
    <s v="kg"/>
    <n v="10.299999999999997"/>
    <n v="18"/>
    <n v="185.39999999999995"/>
  </r>
  <r>
    <s v="Março"/>
    <s v="SEMANA 1"/>
    <n v="2"/>
    <x v="6"/>
    <s v="Satiro's"/>
    <s v="Pescados - Atum Fresco Sushi"/>
    <s v="kg"/>
    <n v="22"/>
    <n v="16"/>
    <n v="352"/>
  </r>
  <r>
    <s v="Março"/>
    <s v="SEMANA 1"/>
    <n v="2"/>
    <x v="0"/>
    <s v="Sitio do Moinho"/>
    <s v="Cenoura Orgânica"/>
    <s v="kg"/>
    <n v="7"/>
    <n v="9.1642857142857146"/>
    <n v="64.150000000000006"/>
  </r>
  <r>
    <s v="Março"/>
    <s v="SEMANA 1"/>
    <n v="2"/>
    <x v="8"/>
    <s v="Central RJ"/>
    <s v="Toalha Bobina"/>
    <s v="unid"/>
    <n v="42"/>
    <n v="12.566666666666666"/>
    <n v="527.79999999999995"/>
  </r>
  <r>
    <s v="Março"/>
    <s v="SEMANA 1"/>
    <n v="2"/>
    <x v="8"/>
    <s v="FNS"/>
    <s v="Bandeja 3 Div. Delivery Cx 150"/>
    <s v="unid"/>
    <n v="450"/>
    <n v="2.382222222222222"/>
    <n v="1072"/>
  </r>
  <r>
    <s v="Março"/>
    <s v="SEMANA 1"/>
    <n v="2"/>
    <x v="1"/>
    <s v="Casa Flora"/>
    <s v="Azeite Deleyda 500 ml"/>
    <s v="unid"/>
    <n v="36"/>
    <n v="23.339722222222221"/>
    <n v="840.23"/>
  </r>
  <r>
    <s v="Março"/>
    <s v="SEMANA 1"/>
    <n v="2"/>
    <x v="4"/>
    <s v="CRBS"/>
    <s v="Guaraná Antarctica Zero (lata)"/>
    <s v="unid"/>
    <n v="36"/>
    <n v="1.7127777777777777"/>
    <n v="61.66"/>
  </r>
  <r>
    <s v="Março"/>
    <s v="SEMANA 1"/>
    <n v="2"/>
    <x v="4"/>
    <s v="CRBS"/>
    <s v="Ice Tea Pêssego"/>
    <s v="unid"/>
    <n v="12"/>
    <n v="2.0041666666666669"/>
    <n v="24.050000000000004"/>
  </r>
  <r>
    <s v="Março"/>
    <s v="SEMANA 1"/>
    <n v="2"/>
    <x v="4"/>
    <s v="CRBS"/>
    <s v="Água Tonica"/>
    <s v="unid"/>
    <n v="12"/>
    <n v="1.7691666666666668"/>
    <n v="21.23"/>
  </r>
  <r>
    <s v="Março"/>
    <s v="SEMANA 1"/>
    <n v="2"/>
    <x v="4"/>
    <s v="CRBS"/>
    <s v="Cerveja Bohemia Long Neck 355 ml"/>
    <s v="unid"/>
    <n v="48"/>
    <n v="2.842916666666667"/>
    <n v="136.46"/>
  </r>
  <r>
    <s v="Março"/>
    <s v="SEMANA 1"/>
    <n v="2"/>
    <x v="4"/>
    <s v="CRBS"/>
    <s v="Ice Tea Limão"/>
    <s v="unid"/>
    <n v="24"/>
    <n v="2.0054166666666666"/>
    <n v="48.129999999999995"/>
  </r>
  <r>
    <s v="Março"/>
    <s v="SEMANA 1"/>
    <n v="2"/>
    <x v="4"/>
    <s v="CRBS"/>
    <s v="Ice Tea Pêssego Light"/>
    <s v="unid"/>
    <n v="12"/>
    <n v="2.0041666666666669"/>
    <n v="24.050000000000004"/>
  </r>
  <r>
    <s v="Março"/>
    <s v="SEMANA 1"/>
    <n v="2"/>
    <x v="4"/>
    <s v="CRBS"/>
    <s v="H2O Limão"/>
    <s v="unid"/>
    <n v="36"/>
    <n v="2.0302777777777781"/>
    <n v="73.09"/>
  </r>
  <r>
    <s v="Março"/>
    <s v="SEMANA 1"/>
    <n v="2"/>
    <x v="4"/>
    <s v="CRBS"/>
    <s v="Guaraná Antarctica (lata)"/>
    <s v="unid"/>
    <n v="36"/>
    <n v="1.7127777777777777"/>
    <n v="61.66"/>
  </r>
  <r>
    <s v="Março"/>
    <s v="SEMANA 1"/>
    <n v="2"/>
    <x v="6"/>
    <s v="Frigorifico Jahu"/>
    <s v="Pescados - Salmão Inteiro Sushi"/>
    <s v="kg"/>
    <n v="30.09"/>
    <n v="25.3001"/>
    <n v="761.28000900000006"/>
  </r>
  <r>
    <s v="Março"/>
    <s v="SEMANA 1"/>
    <n v="2"/>
    <x v="2"/>
    <s v="Frigorifico Jahu"/>
    <s v="Pescados - Camarão IQF Evisc. 51/60"/>
    <s v="kg"/>
    <n v="6"/>
    <n v="69.900000000000006"/>
    <n v="419.40000000000003"/>
  </r>
  <r>
    <s v="Março"/>
    <s v="SEMANA 1"/>
    <n v="2"/>
    <x v="0"/>
    <s v="Batata, o Rei do Alho"/>
    <s v="Alho Descascado"/>
    <s v="kg"/>
    <n v="15"/>
    <n v="13.5"/>
    <n v="202.5"/>
  </r>
  <r>
    <s v="Março"/>
    <s v="SEMANA 1"/>
    <n v="2"/>
    <x v="2"/>
    <s v="Mar e Terra"/>
    <s v="Pescados - Filé Tilápia Cong."/>
    <s v="kg"/>
    <n v="24"/>
    <n v="26.3"/>
    <n v="631.20000000000005"/>
  </r>
  <r>
    <s v="Março"/>
    <s v="SEMANA 1"/>
    <n v="2"/>
    <x v="2"/>
    <s v="Reginaves"/>
    <s v="Aves - Filé de Peito de Frango"/>
    <s v="kg"/>
    <n v="47"/>
    <n v="7.8"/>
    <n v="366.59999999999997"/>
  </r>
  <r>
    <s v="Março"/>
    <s v="SEMANA 1"/>
    <n v="2"/>
    <x v="9"/>
    <s v="Atelier dos Sabores"/>
    <s v="Torta Alemã"/>
    <s v="fatia"/>
    <n v="12"/>
    <n v="5.748333333333334"/>
    <n v="68.98"/>
  </r>
  <r>
    <s v="Março"/>
    <s v="SEMANA 1"/>
    <n v="2"/>
    <x v="9"/>
    <s v="Atelier dos Sabores"/>
    <s v="Torta Bem Casado de Damasco"/>
    <s v="fatia"/>
    <n v="24"/>
    <n v="5.9258333333333333"/>
    <n v="142.22"/>
  </r>
  <r>
    <s v="Março"/>
    <s v="SEMANA 1"/>
    <n v="2"/>
    <x v="9"/>
    <s v="Atelier dos Sabores"/>
    <s v="Torta Bem Casado de Doce de Leite"/>
    <s v="fatia"/>
    <n v="12"/>
    <n v="5.9258333333333333"/>
    <n v="71.11"/>
  </r>
  <r>
    <s v="Março"/>
    <s v="SEMANA 1"/>
    <n v="2"/>
    <x v="9"/>
    <s v="Atelier dos Sabores"/>
    <s v="Torta Bem Casado de Chocolate c/ Avelã"/>
    <s v="fatia"/>
    <n v="12"/>
    <n v="5.9258333333333333"/>
    <n v="71.11"/>
  </r>
  <r>
    <s v="Março"/>
    <s v="SEMANA 1"/>
    <n v="2"/>
    <x v="9"/>
    <s v="Atelier dos Sabores"/>
    <s v="Torta Financier com Quindim"/>
    <s v="fatia"/>
    <n v="12"/>
    <n v="5.9258333333333333"/>
    <n v="71.11"/>
  </r>
  <r>
    <s v="Março"/>
    <s v="SEMANA 1"/>
    <n v="2"/>
    <x v="9"/>
    <s v="Atelier dos Sabores"/>
    <s v="Torta de Cenoura c/ Chocolate"/>
    <s v="fatia"/>
    <n v="12"/>
    <n v="5.9258333333333333"/>
    <n v="71.11"/>
  </r>
  <r>
    <s v="Março"/>
    <s v="SEMANA 1"/>
    <n v="2"/>
    <x v="0"/>
    <s v="Alcibiades G. Quintas"/>
    <s v="Cenoura"/>
    <s v="kg"/>
    <n v="20.36"/>
    <n v="2.4557956777996073"/>
    <n v="50"/>
  </r>
  <r>
    <s v="Março"/>
    <s v="SEMANA 1"/>
    <n v="2"/>
    <x v="0"/>
    <s v="Alcibiades G. Quintas"/>
    <s v="Inhame"/>
    <s v="kg"/>
    <n v="6"/>
    <n v="4.4000000000000004"/>
    <n v="26.400000000000002"/>
  </r>
  <r>
    <s v="Março"/>
    <s v="SEMANA 1"/>
    <n v="2"/>
    <x v="0"/>
    <s v="Alcibiades G. Quintas"/>
    <s v="Pimentão Amarelo"/>
    <s v="kg"/>
    <n v="1"/>
    <n v="10"/>
    <n v="10"/>
  </r>
  <r>
    <s v="Março"/>
    <s v="SEMANA 1"/>
    <n v="2"/>
    <x v="0"/>
    <s v="Alcibiades G. Quintas"/>
    <s v="Pimentão Vermelho"/>
    <s v="kg"/>
    <n v="1"/>
    <n v="10"/>
    <n v="10"/>
  </r>
  <r>
    <s v="Março"/>
    <s v="SEMANA 1"/>
    <n v="2"/>
    <x v="0"/>
    <s v="Alcibiades G. Quintas"/>
    <s v="Quiabo"/>
    <s v="kg"/>
    <n v="7"/>
    <n v="4"/>
    <n v="28"/>
  </r>
  <r>
    <s v="Março"/>
    <s v="SEMANA 1"/>
    <n v="2"/>
    <x v="0"/>
    <s v="Alcibiades G. Quintas"/>
    <s v="Tomate Salada"/>
    <s v="kg"/>
    <n v="20.32"/>
    <n v="2.9527559055118111"/>
    <n v="60"/>
  </r>
  <r>
    <s v="Março"/>
    <s v="SEMANA 1"/>
    <n v="2"/>
    <x v="0"/>
    <s v="Alcibiades G. Quintas"/>
    <s v="Vagem Macarrão"/>
    <s v="kg"/>
    <n v="2"/>
    <n v="7"/>
    <n v="14"/>
  </r>
  <r>
    <s v="Março"/>
    <s v="SEMANA 1"/>
    <n v="2"/>
    <x v="0"/>
    <s v="Alcibiades G. Quintas"/>
    <s v="Cebolinha Verde"/>
    <s v="kg"/>
    <n v="0.5"/>
    <n v="7"/>
    <n v="3.5"/>
  </r>
  <r>
    <s v="Março"/>
    <s v="SEMANA 1"/>
    <n v="2"/>
    <x v="0"/>
    <s v="Alcibiades G. Quintas"/>
    <s v="Hortelã"/>
    <s v="kg"/>
    <n v="1"/>
    <n v="4"/>
    <n v="4"/>
  </r>
  <r>
    <s v="Março"/>
    <s v="SEMANA 1"/>
    <n v="2"/>
    <x v="0"/>
    <s v="Alcibiades G. Quintas"/>
    <s v="Salsa"/>
    <s v="kg"/>
    <n v="1"/>
    <n v="7"/>
    <n v="7"/>
  </r>
  <r>
    <s v="Março"/>
    <s v="SEMANA 1"/>
    <n v="2"/>
    <x v="0"/>
    <s v="Alcibiades G. Quintas"/>
    <s v="Capim Limão"/>
    <s v="kg"/>
    <n v="0.1"/>
    <n v="15"/>
    <n v="1.5"/>
  </r>
  <r>
    <s v="Março"/>
    <s v="SEMANA 1"/>
    <n v="2"/>
    <x v="0"/>
    <s v="Alcibiades G. Quintas"/>
    <s v="Abacaxi "/>
    <s v="kg"/>
    <n v="10"/>
    <n v="3.2"/>
    <n v="32"/>
  </r>
  <r>
    <s v="Março"/>
    <s v="SEMANA 1"/>
    <n v="2"/>
    <x v="0"/>
    <s v="Alcibiades G. Quintas"/>
    <s v="Banana D'Água"/>
    <s v="kg"/>
    <n v="2"/>
    <n v="3.8"/>
    <n v="7.6"/>
  </r>
  <r>
    <s v="Março"/>
    <s v="SEMANA 1"/>
    <n v="2"/>
    <x v="0"/>
    <s v="Alcibiades G. Quintas"/>
    <s v="Kiwi"/>
    <s v="kg"/>
    <n v="0.5"/>
    <n v="15"/>
    <n v="7.5"/>
  </r>
  <r>
    <s v="Março"/>
    <s v="SEMANA 1"/>
    <n v="2"/>
    <x v="0"/>
    <s v="Alcibiades G. Quintas"/>
    <s v="Laranja Pera"/>
    <s v="kg"/>
    <n v="20.74"/>
    <n v="1.5911282545805208"/>
    <n v="33"/>
  </r>
  <r>
    <s v="Março"/>
    <s v="SEMANA 1"/>
    <n v="2"/>
    <x v="0"/>
    <s v="Umehara"/>
    <s v="Abobora Japonesa"/>
    <s v="kg"/>
    <n v="3"/>
    <n v="2.88"/>
    <n v="8.64"/>
  </r>
  <r>
    <s v="Março"/>
    <s v="SEMANA 1"/>
    <n v="2"/>
    <x v="0"/>
    <s v="Umehara"/>
    <s v="Batata Baroa"/>
    <s v="kg"/>
    <n v="2"/>
    <n v="5.0999999999999996"/>
    <n v="10.199999999999999"/>
  </r>
  <r>
    <s v="Março"/>
    <s v="SEMANA 1"/>
    <n v="2"/>
    <x v="0"/>
    <s v="Umehara"/>
    <s v="Cebola"/>
    <s v="kg"/>
    <n v="19.86"/>
    <n v="2.6636455186304131"/>
    <n v="52.900000000000006"/>
  </r>
  <r>
    <s v="Março"/>
    <s v="SEMANA 1"/>
    <n v="2"/>
    <x v="0"/>
    <s v="Umehara"/>
    <s v="Côco Verde"/>
    <s v="unid"/>
    <n v="20"/>
    <n v="1.98"/>
    <n v="39.6"/>
  </r>
  <r>
    <s v="Março"/>
    <s v="SEMANA 1"/>
    <n v="2"/>
    <x v="0"/>
    <s v="Umehara"/>
    <s v="Couve Flor"/>
    <s v="kg"/>
    <n v="2.5"/>
    <n v="5"/>
    <n v="12.5"/>
  </r>
  <r>
    <s v="Março"/>
    <s v="SEMANA 1"/>
    <n v="2"/>
    <x v="0"/>
    <s v="Umehara"/>
    <s v="Goiaba"/>
    <s v="kg"/>
    <m/>
    <m/>
    <n v="0"/>
  </r>
  <r>
    <s v="Março"/>
    <s v="SEMANA 1"/>
    <n v="2"/>
    <x v="0"/>
    <s v="Umehara"/>
    <s v="Mamão Bahia"/>
    <s v="kg"/>
    <n v="2"/>
    <n v="2.25"/>
    <n v="4.5"/>
  </r>
  <r>
    <s v="Março"/>
    <s v="SEMANA 1"/>
    <n v="2"/>
    <x v="0"/>
    <s v="Umehara"/>
    <s v="Melância"/>
    <s v="kg"/>
    <m/>
    <m/>
    <n v="0"/>
  </r>
  <r>
    <s v="Março"/>
    <s v="SEMANA 1"/>
    <n v="2"/>
    <x v="9"/>
    <s v="M2HP"/>
    <s v="Torta Mousse de Chocolate "/>
    <s v="fatia"/>
    <n v="24"/>
    <n v="4.1383333333333328"/>
    <n v="99.32"/>
  </r>
  <r>
    <s v="Março"/>
    <s v="SEMANA 1"/>
    <n v="2"/>
    <x v="1"/>
    <s v="Luisa"/>
    <s v="Clara de Ovo"/>
    <s v="kg"/>
    <n v="14.72"/>
    <n v="8.491847826086957"/>
    <n v="125.00000000000001"/>
  </r>
  <r>
    <s v="Março"/>
    <s v="SEMANA 1"/>
    <n v="2"/>
    <x v="1"/>
    <s v="Supermercados Mundial"/>
    <s v="Batata Palha 140 g"/>
    <s v="pcte"/>
    <n v="4"/>
    <n v="5.28"/>
    <n v="21.12"/>
  </r>
  <r>
    <s v="Março"/>
    <s v="SEMANA 1"/>
    <n v="2"/>
    <x v="1"/>
    <s v="Supermercados Mundial"/>
    <s v="Suco de Maracujá"/>
    <s v="unid"/>
    <n v="2"/>
    <n v="6.98"/>
    <n v="13.96"/>
  </r>
  <r>
    <s v="Março"/>
    <s v="SEMANA 1"/>
    <n v="2"/>
    <x v="5"/>
    <s v="Laticinios Alhambra"/>
    <s v="Creme de Leite Culinário 20% Bd 10 Lt"/>
    <s v="bd"/>
    <n v="2"/>
    <n v="142.44999999999999"/>
    <n v="284.89999999999998"/>
  </r>
  <r>
    <s v="Março"/>
    <s v="SEMANA 1"/>
    <n v="2"/>
    <x v="5"/>
    <s v="Laticinios Alhambra"/>
    <s v="Queijo Mussarela"/>
    <s v="kg"/>
    <n v="3.1"/>
    <n v="26"/>
    <n v="80.600000000000009"/>
  </r>
  <r>
    <s v="Março"/>
    <s v="SEMANA 1"/>
    <n v="2"/>
    <x v="5"/>
    <s v="Laticinios Alhambra"/>
    <s v="Queijo Minas"/>
    <s v="kg"/>
    <n v="1.6"/>
    <n v="20.8"/>
    <n v="33.28"/>
  </r>
  <r>
    <s v="Março"/>
    <s v="SEMANA 1"/>
    <n v="2"/>
    <x v="5"/>
    <s v="Laticinios Alhambra"/>
    <s v="Queijo Requeijão BD 3,6 Kg"/>
    <s v="bd"/>
    <n v="2"/>
    <n v="74.400000000000006"/>
    <n v="148.80000000000001"/>
  </r>
  <r>
    <s v="Março"/>
    <s v="SEMANA 1"/>
    <n v="2"/>
    <x v="1"/>
    <s v="Orfeu"/>
    <s v="Café em Grão "/>
    <s v="kg"/>
    <n v="3"/>
    <n v="47"/>
    <n v="141"/>
  </r>
  <r>
    <s v="Março"/>
    <s v="SEMANA 1"/>
    <n v="2"/>
    <x v="1"/>
    <s v="Supermercados Mundial"/>
    <s v="Óleo Composto 500ml"/>
    <s v="unid"/>
    <n v="8"/>
    <n v="5.65"/>
    <n v="45.2"/>
  </r>
  <r>
    <s v="Março"/>
    <s v="SEMANA 1"/>
    <n v="2"/>
    <x v="1"/>
    <s v="Supermercados Mundial"/>
    <s v="Tapioca Granulada "/>
    <s v="kg"/>
    <n v="1"/>
    <n v="9.9600000000000009"/>
    <n v="9.9600000000000009"/>
  </r>
  <r>
    <s v="Março"/>
    <s v="SEMANA 1"/>
    <n v="2"/>
    <x v="1"/>
    <s v="Mercadinho Bambina"/>
    <s v="Pão Árabe"/>
    <s v="pcte"/>
    <n v="6"/>
    <n v="6.7"/>
    <n v="40.200000000000003"/>
  </r>
  <r>
    <s v="Março"/>
    <s v="SEMANA 1"/>
    <n v="1"/>
    <x v="6"/>
    <s v="Rio Quality"/>
    <s v="Açucar Refinado Sushi"/>
    <s v="kg"/>
    <n v="12"/>
    <n v="2.4900000000000002"/>
    <n v="29.880000000000003"/>
  </r>
  <r>
    <s v="Março"/>
    <s v="SEMANA 1"/>
    <n v="2"/>
    <x v="6"/>
    <s v="Mamy"/>
    <s v="Farinha Panco (sushi)"/>
    <s v="kg"/>
    <n v="1"/>
    <n v="17.7"/>
    <n v="17.7"/>
  </r>
  <r>
    <s v="Março"/>
    <s v="SEMANA 1"/>
    <n v="3"/>
    <x v="1"/>
    <s v="Planeta Gelo"/>
    <s v="Gelo em Escamas"/>
    <s v="saco"/>
    <n v="1"/>
    <n v="7.5"/>
    <n v="7.5"/>
  </r>
  <r>
    <s v="Março"/>
    <s v="SEMANA 1"/>
    <n v="3"/>
    <x v="1"/>
    <s v="Planeta Gelo"/>
    <s v="Gelo em Cubo"/>
    <s v="saco"/>
    <n v="3"/>
    <n v="7.5"/>
    <n v="22.5"/>
  </r>
  <r>
    <s v="Março"/>
    <s v="SEMANA 1"/>
    <n v="3"/>
    <x v="1"/>
    <s v="Top Alto"/>
    <s v="Batata Palito 9M"/>
    <s v="kg"/>
    <n v="25"/>
    <n v="6.58"/>
    <n v="164.5"/>
  </r>
  <r>
    <s v="Março"/>
    <s v="SEMANA 1"/>
    <n v="3"/>
    <x v="2"/>
    <s v="Top Alto"/>
    <s v="Suíno - Linguiça Calabresa"/>
    <s v="kg"/>
    <n v="2.5"/>
    <n v="9.98"/>
    <n v="24.950000000000003"/>
  </r>
  <r>
    <s v="Março"/>
    <s v="SEMANA 1"/>
    <n v="3"/>
    <x v="5"/>
    <s v="Top Alto"/>
    <s v="Queijo Coalho"/>
    <s v="kg"/>
    <n v="4"/>
    <n v="24.13"/>
    <n v="96.52"/>
  </r>
  <r>
    <s v="Março"/>
    <s v="SEMANA 1"/>
    <n v="3"/>
    <x v="0"/>
    <s v="Alcibiades G. Quintas"/>
    <s v="Abobrinha "/>
    <s v="kg"/>
    <n v="18.32"/>
    <n v="1.9104803493449782"/>
    <n v="35"/>
  </r>
  <r>
    <s v="Março"/>
    <s v="SEMANA 1"/>
    <n v="3"/>
    <x v="0"/>
    <s v="Alcibiades G. Quintas"/>
    <s v="Batata Doce"/>
    <s v="kg"/>
    <n v="19.3"/>
    <n v="1.8652849740932642"/>
    <n v="36"/>
  </r>
  <r>
    <s v="Março"/>
    <s v="SEMANA 1"/>
    <n v="3"/>
    <x v="0"/>
    <s v="Alcibiades G. Quintas"/>
    <s v="Batata Yacon"/>
    <s v="kg"/>
    <n v="0.5"/>
    <n v="8"/>
    <n v="4"/>
  </r>
  <r>
    <s v="Março"/>
    <s v="SEMANA 1"/>
    <n v="3"/>
    <x v="0"/>
    <s v="Alcibiades G. Quintas"/>
    <s v="Berinjela"/>
    <s v="kg"/>
    <n v="36.92"/>
    <n v="1.2188515709642469"/>
    <n v="45"/>
  </r>
  <r>
    <s v="Março"/>
    <s v="SEMANA 1"/>
    <n v="3"/>
    <x v="0"/>
    <s v="Alcibiades G. Quintas"/>
    <s v="Pepino Japonês"/>
    <s v="kg"/>
    <n v="16.524000000000001"/>
    <n v="2.6041666666666665"/>
    <n v="43.03125"/>
  </r>
  <r>
    <s v="Março"/>
    <s v="SEMANA 1"/>
    <n v="3"/>
    <x v="0"/>
    <s v="Alcibiades G. Quintas"/>
    <s v="Pimentão Amarelo"/>
    <s v="kg"/>
    <n v="1"/>
    <n v="10"/>
    <n v="10"/>
  </r>
  <r>
    <s v="Março"/>
    <s v="SEMANA 1"/>
    <n v="3"/>
    <x v="0"/>
    <s v="Alcibiades G. Quintas"/>
    <s v="Pimentão Vermelho"/>
    <s v="kg"/>
    <n v="1"/>
    <n v="10"/>
    <n v="10"/>
  </r>
  <r>
    <s v="Março"/>
    <s v="SEMANA 1"/>
    <n v="3"/>
    <x v="0"/>
    <s v="Alcibiades G. Quintas"/>
    <s v="Tomate Salada"/>
    <s v="kg"/>
    <n v="20.66"/>
    <n v="2.9041626331074539"/>
    <n v="60"/>
  </r>
  <r>
    <s v="Março"/>
    <s v="SEMANA 1"/>
    <n v="3"/>
    <x v="0"/>
    <s v="Alcibiades G. Quintas"/>
    <s v="Vagem Macarrão"/>
    <s v="kg"/>
    <n v="3"/>
    <n v="7"/>
    <n v="21"/>
  </r>
  <r>
    <s v="Março"/>
    <s v="SEMANA 1"/>
    <n v="3"/>
    <x v="0"/>
    <s v="Alcibiades G. Quintas"/>
    <s v="Ovos Extra"/>
    <s v="unid"/>
    <n v="360"/>
    <n v="0.27777777777777779"/>
    <n v="100"/>
  </r>
  <r>
    <s v="Março"/>
    <s v="SEMANA 1"/>
    <n v="3"/>
    <x v="0"/>
    <s v="Alcibiades G. Quintas"/>
    <s v="Aipo"/>
    <s v="kg"/>
    <n v="1"/>
    <n v="4"/>
    <n v="4"/>
  </r>
  <r>
    <s v="Março"/>
    <s v="SEMANA 1"/>
    <n v="3"/>
    <x v="0"/>
    <s v="Alcibiades G. Quintas"/>
    <s v="Alface Americana    "/>
    <s v="kg"/>
    <n v="9.02"/>
    <n v="5.3215077605321515"/>
    <n v="48.000000000000007"/>
  </r>
  <r>
    <s v="Março"/>
    <s v="SEMANA 1"/>
    <n v="3"/>
    <x v="0"/>
    <s v="Alcibiades G. Quintas"/>
    <s v="Alface crespa"/>
    <s v="kg"/>
    <n v="2.68"/>
    <n v="3.9179104477611939"/>
    <n v="10.5"/>
  </r>
  <r>
    <s v="Março"/>
    <s v="SEMANA 1"/>
    <n v="3"/>
    <x v="0"/>
    <s v="Alcibiades G. Quintas"/>
    <s v="Cebolinha Verde"/>
    <s v="kg"/>
    <n v="1"/>
    <n v="7"/>
    <n v="7"/>
  </r>
  <r>
    <s v="Março"/>
    <s v="SEMANA 1"/>
    <n v="3"/>
    <x v="0"/>
    <s v="Alcibiades G. Quintas"/>
    <s v="Hortelã"/>
    <s v="kg"/>
    <n v="0.3"/>
    <n v="4"/>
    <n v="1.2"/>
  </r>
  <r>
    <s v="Março"/>
    <s v="SEMANA 1"/>
    <n v="3"/>
    <x v="0"/>
    <s v="Alcibiades G. Quintas"/>
    <s v="Manjericão"/>
    <s v="kg"/>
    <n v="0.5"/>
    <n v="10"/>
    <n v="5"/>
  </r>
  <r>
    <s v="Março"/>
    <s v="SEMANA 1"/>
    <n v="3"/>
    <x v="0"/>
    <s v="Alcibiades G. Quintas"/>
    <s v="Salsa"/>
    <s v="kg"/>
    <n v="1"/>
    <n v="7"/>
    <n v="7"/>
  </r>
  <r>
    <s v="Março"/>
    <s v="SEMANA 1"/>
    <n v="3"/>
    <x v="0"/>
    <s v="Alcibiades G. Quintas"/>
    <s v="Abacaxi "/>
    <s v="kg"/>
    <n v="15"/>
    <n v="3.2"/>
    <n v="48"/>
  </r>
  <r>
    <s v="Março"/>
    <s v="SEMANA 1"/>
    <n v="3"/>
    <x v="0"/>
    <s v="Alcibiades G. Quintas"/>
    <s v="Kiwi"/>
    <s v="kg"/>
    <n v="1"/>
    <n v="15"/>
    <n v="15"/>
  </r>
  <r>
    <s v="Março"/>
    <s v="SEMANA 1"/>
    <n v="3"/>
    <x v="0"/>
    <s v="Alcibiades G. Quintas"/>
    <s v="Laranja Pera"/>
    <s v="kg"/>
    <n v="40.08"/>
    <n v="1.6467065868263473"/>
    <n v="66"/>
  </r>
  <r>
    <s v="Março"/>
    <s v="SEMANA 1"/>
    <n v="3"/>
    <x v="0"/>
    <s v="Alcibiades G. Quintas"/>
    <s v="Melão Orange"/>
    <s v="kg"/>
    <n v="4"/>
    <n v="4.8"/>
    <n v="19.2"/>
  </r>
  <r>
    <s v="Março"/>
    <s v="SEMANA 1"/>
    <n v="3"/>
    <x v="0"/>
    <s v="Umehara"/>
    <s v="Cebola"/>
    <s v="kg"/>
    <n v="19.82"/>
    <n v="2.6690211907164478"/>
    <n v="52.9"/>
  </r>
  <r>
    <s v="Março"/>
    <s v="SEMANA 1"/>
    <n v="3"/>
    <x v="0"/>
    <s v="Umehara"/>
    <s v="Couve Flor"/>
    <s v="kg"/>
    <n v="3.5"/>
    <n v="5"/>
    <n v="17.5"/>
  </r>
  <r>
    <s v="Março"/>
    <s v="SEMANA 1"/>
    <n v="3"/>
    <x v="0"/>
    <s v="Umehara"/>
    <s v="Goiaba"/>
    <s v="kg"/>
    <n v="2.8"/>
    <n v="2.1428571428571428"/>
    <n v="5.9999999999999991"/>
  </r>
  <r>
    <s v="Março"/>
    <s v="SEMANA 1"/>
    <n v="3"/>
    <x v="0"/>
    <s v="Umehara"/>
    <s v="Mamão Bahia"/>
    <s v="kg"/>
    <n v="4"/>
    <n v="2.25"/>
    <n v="9"/>
  </r>
  <r>
    <s v="Março"/>
    <s v="SEMANA 1"/>
    <n v="3"/>
    <x v="0"/>
    <s v="Umehara"/>
    <s v="Melância"/>
    <s v="kg"/>
    <n v="10"/>
    <n v="1.52"/>
    <n v="15.2"/>
  </r>
  <r>
    <s v="Março"/>
    <s v="SEMANA 1"/>
    <n v="3"/>
    <x v="0"/>
    <s v="Umehara"/>
    <s v="Abobora"/>
    <s v="kg"/>
    <n v="15"/>
    <n v="1.95"/>
    <n v="29.25"/>
  </r>
  <r>
    <s v="Março"/>
    <s v="SEMANA 1"/>
    <n v="3"/>
    <x v="0"/>
    <s v="Umehara"/>
    <s v="Batata Calabresa"/>
    <s v="kg"/>
    <n v="0.5"/>
    <n v="3.1"/>
    <n v="1.55"/>
  </r>
  <r>
    <s v="Março"/>
    <s v="SEMANA 1"/>
    <n v="3"/>
    <x v="0"/>
    <s v="Umehara"/>
    <s v="Batata HBT"/>
    <s v="kg"/>
    <n v="25"/>
    <n v="1.7"/>
    <n v="42.5"/>
  </r>
  <r>
    <s v="Março"/>
    <s v="SEMANA 1"/>
    <n v="3"/>
    <x v="0"/>
    <s v="Umehara"/>
    <s v="Cebola Roxa"/>
    <s v="kg"/>
    <n v="4"/>
    <n v="3.15"/>
    <n v="12.6"/>
  </r>
  <r>
    <s v="Março"/>
    <s v="SEMANA 1"/>
    <n v="3"/>
    <x v="0"/>
    <s v="Umehara"/>
    <s v="Chuchu"/>
    <s v="kg"/>
    <n v="18.2"/>
    <n v="1.153846153846154"/>
    <n v="21"/>
  </r>
  <r>
    <s v="Março"/>
    <s v="SEMANA 1"/>
    <n v="3"/>
    <x v="0"/>
    <s v="Umehara"/>
    <s v="Côco Verde"/>
    <s v="unid"/>
    <n v="30"/>
    <n v="1.98"/>
    <n v="59.4"/>
  </r>
  <r>
    <s v="Março"/>
    <s v="SEMANA 1"/>
    <n v="3"/>
    <x v="0"/>
    <s v="Umehara"/>
    <s v="Coentro"/>
    <s v="kg"/>
    <n v="0.5"/>
    <n v="23"/>
    <n v="11.5"/>
  </r>
  <r>
    <s v="Março"/>
    <s v="SEMANA 1"/>
    <n v="3"/>
    <x v="0"/>
    <s v="Umehara"/>
    <s v="Limão"/>
    <s v="kg"/>
    <n v="23.66"/>
    <n v="1.6694843617920541"/>
    <n v="39.5"/>
  </r>
  <r>
    <s v="Março"/>
    <s v="SEMANA 1"/>
    <n v="3"/>
    <x v="0"/>
    <s v="Umehara"/>
    <s v="Limão Siciliano"/>
    <s v="kg"/>
    <n v="1"/>
    <n v="10.25"/>
    <n v="10.25"/>
  </r>
  <r>
    <s v="Março"/>
    <s v="SEMANA 1"/>
    <n v="3"/>
    <x v="0"/>
    <s v="Umehara"/>
    <s v="Manga Palmer"/>
    <s v="kg"/>
    <n v="11"/>
    <n v="4.5454545454545459"/>
    <n v="50.000000000000007"/>
  </r>
  <r>
    <s v="Março"/>
    <s v="SEMANA 1"/>
    <n v="3"/>
    <x v="0"/>
    <s v="Umehara"/>
    <s v="Rúcula"/>
    <s v="kg"/>
    <n v="5"/>
    <n v="4.9000000000000004"/>
    <n v="24.5"/>
  </r>
  <r>
    <s v="Março"/>
    <s v="SEMANA 1"/>
    <n v="4"/>
    <x v="1"/>
    <s v="Mercadinho Bambina"/>
    <s v="Pão Francês"/>
    <s v="kg"/>
    <n v="0.19"/>
    <n v="13.98"/>
    <n v="2.6562000000000001"/>
  </r>
  <r>
    <s v="Março"/>
    <s v="SEMANA 1"/>
    <n v="4"/>
    <x v="0"/>
    <s v="Super Mercado Zonasul"/>
    <s v="Manjericão"/>
    <s v="kg"/>
    <n v="0.23"/>
    <n v="17.304347826086957"/>
    <n v="3.9800000000000004"/>
  </r>
  <r>
    <s v="Março"/>
    <s v="SEMANA 1"/>
    <n v="4"/>
    <x v="1"/>
    <s v="Planeta Gelo"/>
    <s v="Gelo em Escamas"/>
    <s v="saco"/>
    <n v="1"/>
    <n v="7.5"/>
    <n v="7.5"/>
  </r>
  <r>
    <s v="Março"/>
    <s v="SEMANA 1"/>
    <n v="4"/>
    <x v="1"/>
    <s v="Planeta Gelo"/>
    <s v="Gelo em Cubo"/>
    <s v="saco"/>
    <n v="4"/>
    <n v="7.5"/>
    <n v="30"/>
  </r>
  <r>
    <s v="Março"/>
    <s v="SEMANA 1"/>
    <n v="2"/>
    <x v="1"/>
    <s v="Mix Certo (Zamboni)"/>
    <s v="Vinagre de Arroz (cozinha)"/>
    <s v="unid"/>
    <n v="7"/>
    <n v="3.8699999999999997"/>
    <n v="27.089999999999996"/>
  </r>
  <r>
    <s v="Março"/>
    <s v="SEMANA 2"/>
    <n v="5"/>
    <x v="8"/>
    <s v="Melhoramentos"/>
    <s v="Papel Higiênico (P.H. Interf.) Cx 60"/>
    <s v="unid"/>
    <n v="60"/>
    <n v="2.2363333333333335"/>
    <n v="134.18"/>
  </r>
  <r>
    <s v="Março"/>
    <s v="SEMANA 2"/>
    <n v="5"/>
    <x v="8"/>
    <s v="Melhoramentos"/>
    <s v="T.P. Interfolhado Melpaper"/>
    <s v="unid"/>
    <n v="45"/>
    <n v="11.20488888888889"/>
    <n v="504.22"/>
  </r>
  <r>
    <s v="Março"/>
    <s v="SEMANA 2"/>
    <n v="5"/>
    <x v="8"/>
    <s v="Melhoramentos"/>
    <s v="Guardanapo Pequeno"/>
    <s v="unid"/>
    <n v="192"/>
    <n v="1.7765625"/>
    <n v="341.1"/>
  </r>
  <r>
    <s v="Março"/>
    <s v="SEMANA 2"/>
    <n v="5"/>
    <x v="2"/>
    <s v="Frigorifico Jahu"/>
    <s v="Pescados - Camarão IQF Evisc. 51/60"/>
    <s v="kg"/>
    <n v="6"/>
    <n v="69.900000000000006"/>
    <n v="419.40000000000003"/>
  </r>
  <r>
    <s v="Março"/>
    <s v="SEMANA 2"/>
    <n v="5"/>
    <x v="1"/>
    <s v=" Arosa"/>
    <s v="Tortinha Arosa  81 unid"/>
    <s v="pcte"/>
    <n v="3"/>
    <n v="31"/>
    <n v="93"/>
  </r>
  <r>
    <s v="Março"/>
    <s v="SEMANA 2"/>
    <n v="5"/>
    <x v="1"/>
    <s v=" Arosa"/>
    <s v="Tortinha Arosa  64 unid"/>
    <s v="pcte"/>
    <n v="3"/>
    <n v="34"/>
    <n v="102"/>
  </r>
  <r>
    <s v="Março"/>
    <s v="SEMANA 2"/>
    <n v="5"/>
    <x v="1"/>
    <s v=" Arosa"/>
    <s v="Tortinha Arosa  72 unid"/>
    <s v="pcte"/>
    <n v="3"/>
    <n v="34"/>
    <n v="102"/>
  </r>
  <r>
    <s v="Março"/>
    <s v="SEMANA 2"/>
    <n v="5"/>
    <x v="2"/>
    <s v="Marfrig"/>
    <s v="Carne Bovina - Coração Alcatra"/>
    <s v="kg"/>
    <n v="21.594000000000001"/>
    <n v="18.9694"/>
    <n v="409.62522360000003"/>
  </r>
  <r>
    <s v="Março"/>
    <s v="SEMANA 2"/>
    <n v="5"/>
    <x v="1"/>
    <s v="Planeta Gelo"/>
    <s v="Gelo em Escamas"/>
    <s v="saco"/>
    <n v="2"/>
    <n v="7.5"/>
    <n v="15"/>
  </r>
  <r>
    <s v="Março"/>
    <s v="SEMANA 2"/>
    <n v="5"/>
    <x v="1"/>
    <s v="Planeta Gelo"/>
    <s v="Gelo em Cubo"/>
    <s v="saco"/>
    <n v="4"/>
    <n v="7.5"/>
    <n v="30"/>
  </r>
  <r>
    <s v="Março"/>
    <s v="SEMANA 2"/>
    <n v="5"/>
    <x v="2"/>
    <s v="Reginaves"/>
    <s v="Aves - Filé de Peito de Frango"/>
    <s v="kg"/>
    <n v="48"/>
    <n v="7.8"/>
    <n v="374.4"/>
  </r>
  <r>
    <s v="Março"/>
    <s v="SEMANA 2"/>
    <n v="5"/>
    <x v="1"/>
    <s v="Rio Quality"/>
    <s v="Óleo Composto 500ml"/>
    <s v="unid"/>
    <n v="24"/>
    <n v="3.2954166666666667"/>
    <n v="79.09"/>
  </r>
  <r>
    <s v="Março"/>
    <s v="SEMANA 2"/>
    <n v="5"/>
    <x v="1"/>
    <s v="Rio Quality"/>
    <s v="Óleo de Soja 18 Lt"/>
    <s v="bag"/>
    <n v="4"/>
    <n v="62.5"/>
    <n v="250"/>
  </r>
  <r>
    <s v="Março"/>
    <s v="SEMANA 2"/>
    <n v="5"/>
    <x v="5"/>
    <s v="Laticinios Alhambra"/>
    <s v="Creme de Leite Chantily"/>
    <s v="kg"/>
    <n v="0.5"/>
    <n v="22.28"/>
    <n v="11.14"/>
  </r>
  <r>
    <s v="Março"/>
    <s v="SEMANA 2"/>
    <n v="5"/>
    <x v="5"/>
    <s v="Laticinios Alhambra"/>
    <s v="Creme de Leite Culinário 20% Bd 10 Lt"/>
    <s v="bd"/>
    <n v="1"/>
    <n v="142.44999999999999"/>
    <n v="142.44999999999999"/>
  </r>
  <r>
    <s v="Março"/>
    <s v="SEMANA 2"/>
    <n v="5"/>
    <x v="5"/>
    <s v="Laticinios Alhambra"/>
    <s v="Queijo Mussarela"/>
    <s v="kg"/>
    <n v="3.2"/>
    <n v="26"/>
    <n v="83.2"/>
  </r>
  <r>
    <s v="Março"/>
    <s v="SEMANA 2"/>
    <n v="5"/>
    <x v="5"/>
    <s v="Laticinios Alhambra"/>
    <s v="Queijo Minas"/>
    <s v="kg"/>
    <n v="2.9"/>
    <n v="20.8"/>
    <n v="60.32"/>
  </r>
  <r>
    <s v="Março"/>
    <s v="SEMANA 2"/>
    <n v="5"/>
    <x v="5"/>
    <s v="Laticinios Alhambra"/>
    <s v="Queijo Ricota"/>
    <s v="kg"/>
    <n v="4.0999999999999996"/>
    <n v="10.6"/>
    <n v="43.459999999999994"/>
  </r>
  <r>
    <s v="Março"/>
    <s v="SEMANA 2"/>
    <n v="5"/>
    <x v="2"/>
    <s v="Peixaria Só Peixe"/>
    <s v="Pescados - Filé de Pescada"/>
    <s v="kg"/>
    <n v="24"/>
    <n v="12.9"/>
    <n v="309.60000000000002"/>
  </r>
  <r>
    <s v="Março"/>
    <s v="SEMANA 2"/>
    <n v="5"/>
    <x v="0"/>
    <s v="Sitio do Moinho"/>
    <s v="Alface crespa Orgânica"/>
    <s v="kg"/>
    <n v="1.7"/>
    <n v="18.797647058823529"/>
    <n v="31.956"/>
  </r>
  <r>
    <s v="Março"/>
    <s v="SEMANA 2"/>
    <n v="5"/>
    <x v="0"/>
    <s v="Sitio do Moinho"/>
    <s v="Alface Roxa Orgânica"/>
    <s v="kg"/>
    <n v="1.6"/>
    <n v="16.775624999999998"/>
    <n v="26.840999999999998"/>
  </r>
  <r>
    <s v="Março"/>
    <s v="SEMANA 2"/>
    <n v="5"/>
    <x v="0"/>
    <s v="Sitio do Moinho"/>
    <s v="Beterraba Orgânica"/>
    <s v="kg"/>
    <n v="3.5"/>
    <n v="8.8508571428571425"/>
    <n v="30.977999999999998"/>
  </r>
  <r>
    <s v="Março"/>
    <s v="SEMANA 2"/>
    <n v="5"/>
    <x v="0"/>
    <s v="Sitio do Moinho"/>
    <s v="Rúcula Orgânica"/>
    <s v="kg"/>
    <n v="1.8"/>
    <n v="18.928333333333331"/>
    <n v="34.070999999999998"/>
  </r>
  <r>
    <s v="Março"/>
    <s v="SEMANA 1"/>
    <n v="3"/>
    <x v="6"/>
    <s v="Alcibiades G. Quintas"/>
    <s v="Pepino Japonês Sushi"/>
    <s v="kg"/>
    <n v="0.75600000000000001"/>
    <n v="2.6041666666666665"/>
    <n v="1.96875"/>
  </r>
  <r>
    <s v="Março"/>
    <s v="SEMANA 2"/>
    <n v="5"/>
    <x v="0"/>
    <s v="Rioaves"/>
    <s v="Ovo de Codorna"/>
    <s v="pcte"/>
    <n v="20"/>
    <n v="10.6"/>
    <n v="212"/>
  </r>
  <r>
    <s v="Março"/>
    <s v="SEMANA 2"/>
    <n v="5"/>
    <x v="0"/>
    <s v="Umehara"/>
    <s v="Abacaxi "/>
    <s v="kg"/>
    <n v="10"/>
    <n v="3.75"/>
    <n v="37.5"/>
  </r>
  <r>
    <s v="Março"/>
    <s v="SEMANA 2"/>
    <n v="5"/>
    <x v="0"/>
    <s v="Umehara"/>
    <s v="Côco Verde"/>
    <s v="unid"/>
    <n v="15"/>
    <n v="1.98"/>
    <n v="29.7"/>
  </r>
  <r>
    <s v="Março"/>
    <s v="SEMANA 2"/>
    <n v="5"/>
    <x v="0"/>
    <s v="Umehara"/>
    <s v="Mamão Bahia"/>
    <s v="kg"/>
    <n v="2"/>
    <n v="2.25"/>
    <n v="4.5"/>
  </r>
  <r>
    <s v="Março"/>
    <s v="SEMANA 2"/>
    <n v="5"/>
    <x v="0"/>
    <s v="Umehara"/>
    <s v="Melância"/>
    <s v="kg"/>
    <n v="10"/>
    <n v="1.52"/>
    <n v="15.2"/>
  </r>
  <r>
    <s v="Março"/>
    <s v="SEMANA 2"/>
    <n v="5"/>
    <x v="0"/>
    <s v="Umehara"/>
    <s v="Abobora"/>
    <s v="kg"/>
    <n v="10"/>
    <n v="1.95"/>
    <n v="19.5"/>
  </r>
  <r>
    <s v="Março"/>
    <s v="SEMANA 2"/>
    <n v="5"/>
    <x v="1"/>
    <s v="Umehara"/>
    <s v="Côco Seco"/>
    <s v="kg"/>
    <n v="2"/>
    <n v="6.9"/>
    <n v="13.8"/>
  </r>
  <r>
    <s v="Março"/>
    <s v="SEMANA 2"/>
    <n v="5"/>
    <x v="0"/>
    <s v="Umehara"/>
    <s v="Manga Palmer"/>
    <s v="kg"/>
    <n v="6"/>
    <n v="4.166666666666667"/>
    <n v="25"/>
  </r>
  <r>
    <s v="Março"/>
    <s v="SEMANA 2"/>
    <n v="5"/>
    <x v="0"/>
    <s v="Alcibiades G. Quintas"/>
    <s v="Abobrinha "/>
    <s v="kg"/>
    <n v="16.96"/>
    <n v="2.3584905660377355"/>
    <n v="40"/>
  </r>
  <r>
    <s v="Março"/>
    <s v="SEMANA 2"/>
    <n v="5"/>
    <x v="0"/>
    <s v="Alcibiades G. Quintas"/>
    <s v="Berinjela"/>
    <s v="kg"/>
    <n v="10.62"/>
    <n v="1.4124293785310735"/>
    <n v="15"/>
  </r>
  <r>
    <s v="Março"/>
    <s v="SEMANA 2"/>
    <n v="5"/>
    <x v="0"/>
    <s v="Alcibiades G. Quintas"/>
    <s v="Cenoura"/>
    <s v="kg"/>
    <n v="19.940000000000001"/>
    <n v="2.5075225677031092"/>
    <n v="50"/>
  </r>
  <r>
    <s v="Março"/>
    <s v="SEMANA 2"/>
    <n v="5"/>
    <x v="0"/>
    <s v="Alcibiades G. Quintas"/>
    <s v="Tomate Salada"/>
    <s v="kg"/>
    <n v="20.04"/>
    <n v="2.9940119760479043"/>
    <n v="60"/>
  </r>
  <r>
    <s v="Março"/>
    <s v="SEMANA 2"/>
    <n v="5"/>
    <x v="0"/>
    <s v="Alcibiades G. Quintas"/>
    <s v="Alecrim"/>
    <s v="kg"/>
    <n v="0.2"/>
    <n v="14"/>
    <n v="2.8000000000000003"/>
  </r>
  <r>
    <s v="Março"/>
    <s v="SEMANA 2"/>
    <n v="5"/>
    <x v="0"/>
    <s v="Alcibiades G. Quintas"/>
    <s v="Brócolis Americano"/>
    <s v="kg"/>
    <n v="12"/>
    <n v="12"/>
    <n v="144"/>
  </r>
  <r>
    <s v="Março"/>
    <s v="SEMANA 2"/>
    <n v="5"/>
    <x v="0"/>
    <s v="Alcibiades G. Quintas"/>
    <s v="Cebolinha Verde"/>
    <s v="kg"/>
    <n v="0.5"/>
    <n v="7"/>
    <n v="3.5"/>
  </r>
  <r>
    <s v="Março"/>
    <s v="SEMANA 2"/>
    <n v="5"/>
    <x v="0"/>
    <s v="Alcibiades G. Quintas"/>
    <s v="Espinafre"/>
    <s v="kg"/>
    <n v="3"/>
    <n v="4.8"/>
    <n v="14.399999999999999"/>
  </r>
  <r>
    <s v="Março"/>
    <s v="SEMANA 2"/>
    <n v="5"/>
    <x v="0"/>
    <s v="Alcibiades G. Quintas"/>
    <s v="Manjericão"/>
    <s v="kg"/>
    <n v="0.5"/>
    <n v="10"/>
    <n v="5"/>
  </r>
  <r>
    <s v="Março"/>
    <s v="SEMANA 2"/>
    <n v="5"/>
    <x v="0"/>
    <s v="Alcibiades G. Quintas"/>
    <s v="Salsa"/>
    <s v="kg"/>
    <n v="0.5"/>
    <n v="7"/>
    <n v="3.5"/>
  </r>
  <r>
    <s v="Março"/>
    <s v="SEMANA 2"/>
    <n v="5"/>
    <x v="0"/>
    <s v="Alcibiades G. Quintas"/>
    <s v="Abacate "/>
    <s v="kg"/>
    <n v="7"/>
    <n v="6"/>
    <n v="42"/>
  </r>
  <r>
    <s v="Março"/>
    <s v="SEMANA 2"/>
    <n v="5"/>
    <x v="6"/>
    <s v="Alcibiades G. Quintas"/>
    <s v="Abacate Sushi"/>
    <s v="kg"/>
    <n v="1"/>
    <n v="6"/>
    <n v="6"/>
  </r>
  <r>
    <s v="Março"/>
    <s v="SEMANA 2"/>
    <n v="5"/>
    <x v="0"/>
    <s v="Alcibiades G. Quintas"/>
    <s v="Banana da Terra"/>
    <s v="kg"/>
    <n v="6"/>
    <n v="4.5"/>
    <n v="27"/>
  </r>
  <r>
    <s v="Março"/>
    <s v="SEMANA 2"/>
    <n v="5"/>
    <x v="0"/>
    <s v="Alcibiades G. Quintas"/>
    <s v="Kiwi"/>
    <s v="kg"/>
    <n v="0.5"/>
    <n v="15"/>
    <n v="7.5"/>
  </r>
  <r>
    <s v="Março"/>
    <s v="SEMANA 2"/>
    <n v="5"/>
    <x v="0"/>
    <s v="Alcibiades G. Quintas"/>
    <s v="Laranja Pera"/>
    <s v="kg"/>
    <n v="19.62"/>
    <n v="1.6819571865443423"/>
    <n v="33"/>
  </r>
  <r>
    <s v="Março"/>
    <s v="SEMANA 2"/>
    <n v="5"/>
    <x v="0"/>
    <s v="Alcibiades G. Quintas"/>
    <s v="Manga Tommy"/>
    <s v="kg"/>
    <n v="3"/>
    <n v="4.5"/>
    <n v="13.5"/>
  </r>
  <r>
    <s v="Março"/>
    <s v="SEMANA 2"/>
    <n v="5"/>
    <x v="6"/>
    <s v="Alcibiades G. Quintas"/>
    <s v="Manga Tommy Sushi"/>
    <s v="kg"/>
    <n v="1"/>
    <n v="4.5"/>
    <n v="4.5"/>
  </r>
  <r>
    <s v="Março"/>
    <s v="SEMANA 2"/>
    <n v="5"/>
    <x v="0"/>
    <s v="Alcibiades G. Quintas"/>
    <s v="Pera"/>
    <s v="kg"/>
    <n v="2"/>
    <n v="8"/>
    <n v="16"/>
  </r>
  <r>
    <s v="Março"/>
    <s v="SEMANA 2"/>
    <n v="5"/>
    <x v="3"/>
    <s v="Sanda"/>
    <s v="Álcool 70"/>
    <s v="unid"/>
    <n v="24"/>
    <n v="5.12"/>
    <n v="122.88"/>
  </r>
  <r>
    <s v="Março"/>
    <s v="SEMANA 2"/>
    <n v="5"/>
    <x v="8"/>
    <s v="Sanda"/>
    <s v="Bobina Picotada 30X40"/>
    <s v="unid"/>
    <n v="1"/>
    <n v="11.97"/>
    <n v="11.97"/>
  </r>
  <r>
    <s v="Março"/>
    <s v="SEMANA 2"/>
    <n v="5"/>
    <x v="8"/>
    <s v="Sanda"/>
    <s v="Bobina Picotada 40X50"/>
    <s v="unid"/>
    <n v="3"/>
    <n v="19.739999999999998"/>
    <n v="59.22"/>
  </r>
  <r>
    <s v="Março"/>
    <s v="SEMANA 2"/>
    <n v="5"/>
    <x v="8"/>
    <s v="Sanda"/>
    <s v="Copo Descartável Feijão"/>
    <s v="unid"/>
    <n v="1"/>
    <n v="2.78"/>
    <n v="2.78"/>
  </r>
  <r>
    <s v="Março"/>
    <s v="SEMANA 2"/>
    <n v="5"/>
    <x v="3"/>
    <s v="Sanda"/>
    <s v="Esponja Dupla Face"/>
    <s v="unid"/>
    <n v="10"/>
    <n v="0.94"/>
    <n v="9.3999999999999986"/>
  </r>
  <r>
    <s v="Março"/>
    <s v="SEMANA 2"/>
    <n v="5"/>
    <x v="3"/>
    <s v="Sanda"/>
    <s v="Fibraço"/>
    <s v="unid"/>
    <n v="20"/>
    <n v="1.64"/>
    <n v="32.799999999999997"/>
  </r>
  <r>
    <s v="Março"/>
    <s v="SEMANA 2"/>
    <n v="5"/>
    <x v="6"/>
    <s v="Sanda"/>
    <s v="Filme PVC 380 x 1000 Sushi"/>
    <s v="unid"/>
    <n v="1"/>
    <n v="33.35"/>
    <n v="33.35"/>
  </r>
  <r>
    <s v="Março"/>
    <s v="SEMANA 2"/>
    <n v="5"/>
    <x v="3"/>
    <s v="Sanda"/>
    <s v="Hipoclorito de Sódio Bb 5 Lt"/>
    <s v="bb"/>
    <n v="3"/>
    <n v="17.079999999999998"/>
    <n v="51.239999999999995"/>
  </r>
  <r>
    <s v="Março"/>
    <s v="SEMANA 2"/>
    <n v="5"/>
    <x v="3"/>
    <s v="Sanda"/>
    <s v="Inseticida"/>
    <s v="unid"/>
    <n v="6"/>
    <n v="10.82"/>
    <n v="64.92"/>
  </r>
  <r>
    <s v="Março"/>
    <s v="SEMANA 2"/>
    <n v="5"/>
    <x v="8"/>
    <s v="Sanda"/>
    <s v="Luva Cano Longo"/>
    <s v="unid"/>
    <n v="1"/>
    <n v="17.05"/>
    <n v="17.05"/>
  </r>
  <r>
    <s v="Março"/>
    <s v="SEMANA 2"/>
    <n v="5"/>
    <x v="8"/>
    <s v="Sanda"/>
    <s v="Luva de Borraca Forrada"/>
    <s v="unid"/>
    <n v="3"/>
    <n v="4.6900000000000004"/>
    <n v="14.07"/>
  </r>
  <r>
    <s v="Março"/>
    <s v="SEMANA 2"/>
    <n v="5"/>
    <x v="8"/>
    <s v="Sanda"/>
    <s v="Luva Descartável c/ 100"/>
    <s v="pcte"/>
    <n v="2"/>
    <n v="1.89"/>
    <n v="3.78"/>
  </r>
  <r>
    <s v="Março"/>
    <s v="SEMANA 2"/>
    <n v="5"/>
    <x v="8"/>
    <s v="Sanda"/>
    <s v="Papel Higiênico Rolo"/>
    <s v="unid"/>
    <n v="64"/>
    <n v="0.99250000000000005"/>
    <n v="63.52"/>
  </r>
  <r>
    <s v="Março"/>
    <s v="SEMANA 2"/>
    <n v="5"/>
    <x v="8"/>
    <s v="Sanda"/>
    <s v="Papel Manteiga Resma c/ 400"/>
    <s v="pcte"/>
    <n v="1"/>
    <n v="45.48"/>
    <n v="45.48"/>
  </r>
  <r>
    <s v="Março"/>
    <s v="SEMANA 2"/>
    <n v="5"/>
    <x v="3"/>
    <s v="Sanda"/>
    <s v="Saco de Lixo 100 Lt"/>
    <s v="pcte"/>
    <n v="1"/>
    <n v="37.270000000000003"/>
    <n v="37.270000000000003"/>
  </r>
  <r>
    <s v="Março"/>
    <s v="SEMANA 2"/>
    <n v="5"/>
    <x v="3"/>
    <s v="Sanda"/>
    <s v="Saco de Lixo 20 Lt"/>
    <s v="pcte"/>
    <n v="1"/>
    <n v="8.4"/>
    <n v="8.4"/>
  </r>
  <r>
    <s v="Março"/>
    <s v="SEMANA 2"/>
    <n v="5"/>
    <x v="3"/>
    <s v="Sanda"/>
    <s v="Saco de Lixo 200 Lt"/>
    <s v="pcte"/>
    <n v="2"/>
    <n v="48.19"/>
    <n v="96.38"/>
  </r>
  <r>
    <s v="Março"/>
    <s v="SEMANA 2"/>
    <n v="5"/>
    <x v="3"/>
    <s v="Sanda"/>
    <s v="Saco de Lixo 60 Lt"/>
    <s v="pcte"/>
    <n v="1"/>
    <n v="12.72"/>
    <n v="12.72"/>
  </r>
  <r>
    <s v="Março"/>
    <s v="SEMANA 2"/>
    <n v="5"/>
    <x v="8"/>
    <s v="Sanda"/>
    <s v="Saco Plástico 50x70"/>
    <s v="pcte"/>
    <n v="1"/>
    <n v="49.36"/>
    <n v="49.36"/>
  </r>
  <r>
    <s v="Março"/>
    <s v="SEMANA 2"/>
    <n v="5"/>
    <x v="3"/>
    <s v="Sanda"/>
    <s v="Sapólio"/>
    <s v="unid"/>
    <n v="1"/>
    <n v="4.8600000000000003"/>
    <n v="4.8600000000000003"/>
  </r>
  <r>
    <s v="Março"/>
    <s v="SEMANA 2"/>
    <n v="6"/>
    <x v="0"/>
    <s v="Super Mercado Zonasul"/>
    <s v="Alface Americana    "/>
    <s v="kg"/>
    <n v="4.82"/>
    <n v="7.4439834024896268"/>
    <n v="35.880000000000003"/>
  </r>
  <r>
    <s v="Março"/>
    <s v="SEMANA 2"/>
    <n v="6"/>
    <x v="1"/>
    <s v="Zamboni"/>
    <s v="Azeite Extra Virgem (Santiago) 500 ml"/>
    <s v="bb"/>
    <n v="3"/>
    <n v="130.38999999999999"/>
    <n v="391.16999999999996"/>
  </r>
  <r>
    <s v="Março"/>
    <s v="SEMANA 2"/>
    <n v="6"/>
    <x v="4"/>
    <s v="Mate e Tal"/>
    <s v="Mate Orgânico Natural"/>
    <s v="unid"/>
    <n v="240"/>
    <n v="5.1600700000000002"/>
    <n v="1238.4168"/>
  </r>
  <r>
    <s v="Março"/>
    <s v="SEMANA 2"/>
    <n v="6"/>
    <x v="4"/>
    <s v="Mate e Tal"/>
    <s v="Mate Orgânico Limão"/>
    <s v="unid"/>
    <n v="276"/>
    <n v="5.1600700000000002"/>
    <n v="1424.17932"/>
  </r>
  <r>
    <s v="Março"/>
    <s v="SEMANA 1"/>
    <n v="1"/>
    <x v="1"/>
    <s v="Mirai"/>
    <s v="Folha de Alga 50F (cozinha)"/>
    <s v="pcte"/>
    <n v="1"/>
    <n v="29"/>
    <n v="29"/>
  </r>
  <r>
    <s v="Março"/>
    <s v="SEMANA 2"/>
    <n v="5"/>
    <x v="1"/>
    <s v="Orfeu"/>
    <s v="Café em Grão "/>
    <s v="kg"/>
    <n v="24"/>
    <n v="47"/>
    <n v="1128"/>
  </r>
  <r>
    <s v="Março"/>
    <s v="SEMANA 2"/>
    <n v="6"/>
    <x v="2"/>
    <s v="Truticultura"/>
    <s v="Pescados - Filé Truta Cong."/>
    <s v="kg"/>
    <n v="36"/>
    <n v="26"/>
    <n v="936"/>
  </r>
  <r>
    <s v="Março"/>
    <s v="SEMANA 2"/>
    <n v="6"/>
    <x v="1"/>
    <s v="Ind. Caseira de Doces Helena"/>
    <s v="Biscoito de Milho Café "/>
    <s v="kg"/>
    <n v="8.1"/>
    <n v="22.19464285714286"/>
    <n v="179.77660714285716"/>
  </r>
  <r>
    <s v="Março"/>
    <s v="SEMANA 2"/>
    <n v="6"/>
    <x v="2"/>
    <s v="Top Alto"/>
    <s v="Suíno - Linguiça Paio"/>
    <s v="kg"/>
    <n v="5"/>
    <n v="11.12"/>
    <n v="55.599999999999994"/>
  </r>
  <r>
    <s v="Março"/>
    <s v="SEMANA 2"/>
    <n v="6"/>
    <x v="2"/>
    <s v="Top Alto"/>
    <s v="Carne Bovina - Peito"/>
    <s v="kg"/>
    <n v="25.4"/>
    <n v="11.98"/>
    <n v="304.29199999999997"/>
  </r>
  <r>
    <s v="Março"/>
    <s v="SEMANA 2"/>
    <n v="6"/>
    <x v="2"/>
    <s v="Top Alto"/>
    <s v="Suíno - Lombo Salgado"/>
    <s v="kg"/>
    <n v="10"/>
    <n v="10.92"/>
    <n v="109.2"/>
  </r>
  <r>
    <s v="Março"/>
    <s v="SEMANA 2"/>
    <n v="6"/>
    <x v="2"/>
    <s v="Top Alto"/>
    <s v="Carne Bovina - Carne Seca"/>
    <s v="kg"/>
    <n v="10"/>
    <n v="19.98"/>
    <n v="199.8"/>
  </r>
  <r>
    <s v="Março"/>
    <s v="SEMANA 2"/>
    <n v="6"/>
    <x v="4"/>
    <s v="Top Alto"/>
    <s v="Aguardente 51"/>
    <s v="unid"/>
    <n v="2"/>
    <n v="7.98"/>
    <n v="15.96"/>
  </r>
  <r>
    <s v="Março"/>
    <s v="SEMANA 2"/>
    <n v="6"/>
    <x v="1"/>
    <s v="Planeta Gelo"/>
    <s v="Gelo em Escamas"/>
    <s v="saco"/>
    <n v="1"/>
    <n v="7.5"/>
    <n v="7.5"/>
  </r>
  <r>
    <s v="Março"/>
    <s v="SEMANA 2"/>
    <n v="6"/>
    <x v="1"/>
    <s v="Planeta Gelo"/>
    <s v="Gelo em Cubo"/>
    <s v="saco"/>
    <n v="3"/>
    <n v="7.5"/>
    <n v="22.5"/>
  </r>
  <r>
    <s v="Março"/>
    <s v="SEMANA 2"/>
    <n v="6"/>
    <x v="2"/>
    <s v="Barrinhas"/>
    <s v="Pescados - Bacalhau Salgado"/>
    <s v="kg"/>
    <n v="25"/>
    <n v="52.983199999999997"/>
    <n v="1324.58"/>
  </r>
  <r>
    <s v="Março"/>
    <s v="SEMANA 2"/>
    <n v="6"/>
    <x v="2"/>
    <s v="Aurora"/>
    <s v="Suíno - Barriga Suína"/>
    <s v="kg"/>
    <n v="20"/>
    <n v="11.059999999999999"/>
    <n v="221.2"/>
  </r>
  <r>
    <s v="Março"/>
    <s v="SEMANA 2"/>
    <n v="6"/>
    <x v="0"/>
    <s v="Umehara"/>
    <s v="Abobora Japonesa"/>
    <s v="kg"/>
    <n v="10"/>
    <n v="2.86"/>
    <n v="28.599999999999998"/>
  </r>
  <r>
    <s v="Março"/>
    <s v="SEMANA 2"/>
    <n v="6"/>
    <x v="0"/>
    <s v="Umehara"/>
    <s v="Acelga"/>
    <s v="kg"/>
    <n v="4"/>
    <n v="2.25"/>
    <n v="9"/>
  </r>
  <r>
    <s v="Março"/>
    <s v="SEMANA 2"/>
    <n v="6"/>
    <x v="0"/>
    <s v="Umehara"/>
    <s v="Batata Baroa"/>
    <s v="kg"/>
    <n v="2"/>
    <n v="5.25"/>
    <n v="10.5"/>
  </r>
  <r>
    <s v="Março"/>
    <s v="SEMANA 2"/>
    <n v="6"/>
    <x v="0"/>
    <s v="Umehara"/>
    <s v="Batata HBT"/>
    <s v="kg"/>
    <n v="25"/>
    <n v="1.63"/>
    <n v="40.75"/>
  </r>
  <r>
    <s v="Março"/>
    <s v="SEMANA 2"/>
    <n v="6"/>
    <x v="0"/>
    <s v="Umehara"/>
    <s v="Cebola"/>
    <s v="kg"/>
    <n v="20.04"/>
    <n v="2.6397205588822357"/>
    <n v="52.9"/>
  </r>
  <r>
    <s v="Março"/>
    <s v="SEMANA 2"/>
    <n v="6"/>
    <x v="1"/>
    <s v="Umehara"/>
    <s v="Côco Seco"/>
    <s v="kg"/>
    <n v="2"/>
    <n v="5.9"/>
    <n v="11.8"/>
  </r>
  <r>
    <s v="Março"/>
    <s v="SEMANA 2"/>
    <n v="6"/>
    <x v="0"/>
    <s v="Umehara"/>
    <s v="Côco Verde"/>
    <s v="unid"/>
    <n v="15"/>
    <n v="2"/>
    <n v="30"/>
  </r>
  <r>
    <s v="Março"/>
    <s v="SEMANA 2"/>
    <n v="6"/>
    <x v="0"/>
    <s v="Umehara"/>
    <s v="Coentro"/>
    <s v="kg"/>
    <n v="0.5"/>
    <n v="23"/>
    <n v="11.5"/>
  </r>
  <r>
    <s v="Março"/>
    <s v="SEMANA 2"/>
    <n v="6"/>
    <x v="0"/>
    <s v="Umehara"/>
    <s v="Couve Flor"/>
    <s v="kg"/>
    <n v="8"/>
    <n v="6"/>
    <n v="48"/>
  </r>
  <r>
    <s v="Março"/>
    <s v="SEMANA 2"/>
    <n v="6"/>
    <x v="0"/>
    <s v="Umehara"/>
    <s v="Goiaba"/>
    <s v="kg"/>
    <n v="2.7"/>
    <n v="2.2222222222222219"/>
    <n v="5.9999999999999991"/>
  </r>
  <r>
    <s v="Março"/>
    <s v="SEMANA 2"/>
    <n v="6"/>
    <x v="0"/>
    <s v="Umehara"/>
    <s v="Kiwi"/>
    <s v="kg"/>
    <n v="0.5"/>
    <n v="14.3"/>
    <n v="7.15"/>
  </r>
  <r>
    <s v="Março"/>
    <s v="SEMANA 2"/>
    <n v="6"/>
    <x v="0"/>
    <s v="Umehara"/>
    <s v="Laranja Pera"/>
    <s v="kg"/>
    <m/>
    <m/>
    <n v="0"/>
  </r>
  <r>
    <s v="Março"/>
    <s v="SEMANA 2"/>
    <n v="6"/>
    <x v="0"/>
    <s v="Umehara"/>
    <s v="Maçã Nacional"/>
    <s v="kg"/>
    <n v="17.920000000000002"/>
    <n v="3.4598214285714284"/>
    <n v="62"/>
  </r>
  <r>
    <s v="Março"/>
    <s v="SEMANA 2"/>
    <n v="6"/>
    <x v="0"/>
    <s v="Umehara"/>
    <s v="Mamão Bahia"/>
    <s v="kg"/>
    <n v="2"/>
    <n v="2.25"/>
    <n v="4.5"/>
  </r>
  <r>
    <s v="Março"/>
    <s v="SEMANA 2"/>
    <n v="6"/>
    <x v="0"/>
    <s v="Umehara"/>
    <s v="Melância"/>
    <s v="kg"/>
    <n v="10"/>
    <n v="1.52"/>
    <n v="15.2"/>
  </r>
  <r>
    <s v="Março"/>
    <s v="SEMANA 2"/>
    <n v="6"/>
    <x v="0"/>
    <s v="Umehara"/>
    <s v="Repolho"/>
    <s v="kg"/>
    <n v="3"/>
    <n v="1.65"/>
    <n v="4.9499999999999993"/>
  </r>
  <r>
    <s v="Março"/>
    <s v="SEMANA 2"/>
    <n v="6"/>
    <x v="6"/>
    <s v="Umehara"/>
    <s v="Salsa Crespa Sushi"/>
    <s v="kg"/>
    <n v="0.1"/>
    <n v="13"/>
    <n v="1.3"/>
  </r>
  <r>
    <s v="Março"/>
    <s v="SEMANA 2"/>
    <n v="6"/>
    <x v="0"/>
    <s v="Alcibiades G. Quintas"/>
    <s v="Batata Doce"/>
    <s v="kg"/>
    <n v="18.46"/>
    <n v="1.9501625135427951"/>
    <n v="36"/>
  </r>
  <r>
    <s v="Março"/>
    <s v="SEMANA 2"/>
    <n v="6"/>
    <x v="0"/>
    <s v="Alcibiades G. Quintas"/>
    <s v="Berinjela"/>
    <s v="kg"/>
    <n v="10.6"/>
    <n v="1.4150943396226416"/>
    <n v="15"/>
  </r>
  <r>
    <s v="Março"/>
    <s v="SEMANA 2"/>
    <n v="6"/>
    <x v="0"/>
    <s v="Alcibiades G. Quintas"/>
    <s v="Pepino Japonês"/>
    <s v="kg"/>
    <n v="19.940000000000001"/>
    <n v="2.3856858846918487"/>
    <n v="47.570576540755468"/>
  </r>
  <r>
    <s v="Março"/>
    <s v="SEMANA 2"/>
    <n v="6"/>
    <x v="0"/>
    <s v="Alcibiades G. Quintas"/>
    <s v="Tomate Salada"/>
    <s v="kg"/>
    <n v="21.12"/>
    <n v="2.8409090909090908"/>
    <n v="60"/>
  </r>
  <r>
    <s v="Março"/>
    <s v="SEMANA 2"/>
    <n v="6"/>
    <x v="0"/>
    <s v="Alcibiades G. Quintas"/>
    <s v="Vagem Macarrão"/>
    <s v="kg"/>
    <n v="2.5"/>
    <n v="8"/>
    <n v="20"/>
  </r>
  <r>
    <s v="Março"/>
    <s v="SEMANA 2"/>
    <n v="6"/>
    <x v="0"/>
    <s v="Alcibiades G. Quintas"/>
    <s v="Alho Poró "/>
    <s v="kg"/>
    <n v="5"/>
    <n v="9"/>
    <n v="45"/>
  </r>
  <r>
    <s v="Março"/>
    <s v="SEMANA 2"/>
    <n v="6"/>
    <x v="0"/>
    <s v="Alcibiades G. Quintas"/>
    <s v="Brócolis Americano"/>
    <s v="kg"/>
    <n v="5"/>
    <n v="12"/>
    <n v="60"/>
  </r>
  <r>
    <s v="Março"/>
    <s v="SEMANA 2"/>
    <n v="6"/>
    <x v="0"/>
    <s v="Alcibiades G. Quintas"/>
    <s v="Cebolinha Verde"/>
    <s v="kg"/>
    <n v="0.50700000000000001"/>
    <n v="7"/>
    <n v="3.5489999999999999"/>
  </r>
  <r>
    <s v="Março"/>
    <s v="SEMANA 2"/>
    <n v="6"/>
    <x v="0"/>
    <s v="Alcibiades G. Quintas"/>
    <s v="Manjericão"/>
    <s v="kg"/>
    <n v="0.5"/>
    <n v="10"/>
    <n v="5"/>
  </r>
  <r>
    <s v="Março"/>
    <s v="SEMANA 2"/>
    <n v="6"/>
    <x v="0"/>
    <s v="Alcibiades G. Quintas"/>
    <s v="Nirá"/>
    <s v="kg"/>
    <n v="1.01"/>
    <n v="14.851485148514852"/>
    <n v="15.000000000000002"/>
  </r>
  <r>
    <s v="Março"/>
    <s v="SEMANA 2"/>
    <n v="6"/>
    <x v="0"/>
    <s v="Alcibiades G. Quintas"/>
    <s v="Salsa"/>
    <s v="kg"/>
    <n v="0.5"/>
    <n v="7"/>
    <n v="3.5"/>
  </r>
  <r>
    <s v="Março"/>
    <s v="SEMANA 2"/>
    <n v="6"/>
    <x v="0"/>
    <s v="Alcibiades G. Quintas"/>
    <s v="Broto de Feijão"/>
    <s v="kg"/>
    <n v="2"/>
    <n v="14"/>
    <n v="28"/>
  </r>
  <r>
    <s v="Março"/>
    <s v="SEMANA 2"/>
    <n v="6"/>
    <x v="0"/>
    <s v="Alcibiades G. Quintas"/>
    <s v="Tofu Kilo"/>
    <s v="kg"/>
    <n v="3"/>
    <n v="14"/>
    <n v="42"/>
  </r>
  <r>
    <s v="Março"/>
    <s v="SEMANA 2"/>
    <n v="6"/>
    <x v="0"/>
    <s v="Alcibiades G. Quintas"/>
    <s v="Abacaxi "/>
    <s v="kg"/>
    <n v="6"/>
    <n v="3"/>
    <n v="18"/>
  </r>
  <r>
    <s v="Março"/>
    <s v="SEMANA 2"/>
    <n v="6"/>
    <x v="0"/>
    <s v="Alcibiades G. Quintas"/>
    <s v="Manga Palmer"/>
    <s v="kg"/>
    <n v="5"/>
    <n v="5"/>
    <n v="25"/>
  </r>
  <r>
    <s v="Março"/>
    <s v="SEMANA 2"/>
    <n v="6"/>
    <x v="0"/>
    <s v="Alcibiades G. Quintas"/>
    <s v="Manga Tommy"/>
    <s v="kg"/>
    <n v="2"/>
    <n v="4.5"/>
    <n v="9"/>
  </r>
  <r>
    <s v="Março"/>
    <s v="SEMANA 2"/>
    <n v="6"/>
    <x v="7"/>
    <s v="Mamy"/>
    <s v="Bala de Alga 500 g"/>
    <s v="pcte"/>
    <n v="3"/>
    <n v="17.16"/>
    <n v="51.480000000000004"/>
  </r>
  <r>
    <s v="Março"/>
    <s v="SEMANA 2"/>
    <n v="6"/>
    <x v="1"/>
    <s v="Mamy"/>
    <s v="Chá verde 200gr"/>
    <s v="pcte"/>
    <n v="1"/>
    <n v="14.68"/>
    <n v="14.68"/>
  </r>
  <r>
    <s v="Março"/>
    <s v="SEMANA 2"/>
    <n v="6"/>
    <x v="1"/>
    <s v="Mamy"/>
    <s v="Farinha Panco"/>
    <s v="kg"/>
    <n v="4"/>
    <n v="17.7"/>
    <n v="70.8"/>
  </r>
  <r>
    <s v="Março"/>
    <s v="SEMANA 2"/>
    <n v="6"/>
    <x v="1"/>
    <s v="Mamy"/>
    <s v="Gergelim Branco"/>
    <s v="kg"/>
    <n v="1"/>
    <n v="11.25"/>
    <n v="11.25"/>
  </r>
  <r>
    <s v="Março"/>
    <s v="SEMANA 2"/>
    <n v="6"/>
    <x v="1"/>
    <s v="Mamy"/>
    <s v="Óleo de Gergelim"/>
    <s v="unid"/>
    <n v="1"/>
    <n v="54"/>
    <n v="54"/>
  </r>
  <r>
    <s v="Março"/>
    <s v="SEMANA 2"/>
    <n v="5"/>
    <x v="1"/>
    <s v="Mercadinho Bambina"/>
    <s v="Pão Árabe"/>
    <s v="pcte"/>
    <n v="2"/>
    <n v="6.7"/>
    <n v="13.4"/>
  </r>
  <r>
    <s v="Março"/>
    <s v="SEMANA 2"/>
    <n v="5"/>
    <x v="1"/>
    <s v="Feira"/>
    <s v="Massa de Pastel"/>
    <s v="kg"/>
    <n v="28.16"/>
    <n v="7.4573863636363633"/>
    <n v="210"/>
  </r>
  <r>
    <s v="Março"/>
    <s v="SEMANA 2"/>
    <n v="5"/>
    <x v="0"/>
    <s v="Feira"/>
    <s v="Batata Calabresa"/>
    <s v="kg"/>
    <n v="3"/>
    <n v="5"/>
    <n v="15"/>
  </r>
  <r>
    <s v="Março"/>
    <s v="SEMANA 2"/>
    <n v="5"/>
    <x v="0"/>
    <s v="Feira"/>
    <s v="Coentro"/>
    <s v="kg"/>
    <n v="0.2"/>
    <n v="30"/>
    <n v="6"/>
  </r>
  <r>
    <s v="Março"/>
    <s v="SEMANA 2"/>
    <n v="5"/>
    <x v="0"/>
    <s v="Feira"/>
    <s v="Aipim"/>
    <s v="kg"/>
    <n v="20"/>
    <n v="5"/>
    <n v="100"/>
  </r>
  <r>
    <s v="Março"/>
    <s v="SEMANA 2"/>
    <n v="7"/>
    <x v="1"/>
    <s v="Top Alto"/>
    <s v="Nescau (Nestle)"/>
    <s v="kg"/>
    <n v="2"/>
    <n v="15.95"/>
    <n v="31.9"/>
  </r>
  <r>
    <s v="Março"/>
    <s v="SEMANA 2"/>
    <n v="7"/>
    <x v="1"/>
    <s v="Top Alto"/>
    <s v="Azeitona Verde Fatiada Bd 2 kg"/>
    <s v="bd"/>
    <n v="1"/>
    <n v="24.98"/>
    <n v="24.98"/>
  </r>
  <r>
    <s v="Março"/>
    <s v="SEMANA 2"/>
    <n v="7"/>
    <x v="2"/>
    <s v="Top Alto"/>
    <s v="Aves - Sobrecoxa"/>
    <s v="kg"/>
    <n v="18"/>
    <n v="5.25"/>
    <n v="94.5"/>
  </r>
  <r>
    <s v="Março"/>
    <s v="SEMANA 2"/>
    <n v="7"/>
    <x v="1"/>
    <s v="CDI"/>
    <s v="Arroz Branco"/>
    <s v="kg"/>
    <n v="30"/>
    <n v="3.2879999999999998"/>
    <n v="98.64"/>
  </r>
  <r>
    <s v="Março"/>
    <s v="SEMANA 2"/>
    <n v="7"/>
    <x v="1"/>
    <s v="CDI"/>
    <s v="Feijão Mulatinho"/>
    <s v="kg"/>
    <n v="5"/>
    <n v="7.6"/>
    <n v="38"/>
  </r>
  <r>
    <s v="Março"/>
    <s v="SEMANA 2"/>
    <n v="7"/>
    <x v="1"/>
    <s v="CDI"/>
    <s v="Feijão Preto"/>
    <s v="kg"/>
    <n v="10"/>
    <n v="4.25"/>
    <n v="42.5"/>
  </r>
  <r>
    <s v="Março"/>
    <s v="SEMANA 2"/>
    <n v="7"/>
    <x v="1"/>
    <s v="CDI"/>
    <s v="Lentilha"/>
    <s v="kg"/>
    <n v="10"/>
    <n v="10.4"/>
    <n v="104"/>
  </r>
  <r>
    <s v="Março"/>
    <s v="SEMANA 2"/>
    <n v="7"/>
    <x v="1"/>
    <s v="CDI"/>
    <s v="Margarina Bd 15 Kg"/>
    <s v="bd"/>
    <n v="1"/>
    <n v="74.760000000000005"/>
    <n v="74.760000000000005"/>
  </r>
  <r>
    <s v="Março"/>
    <s v="SEMANA 2"/>
    <n v="7"/>
    <x v="1"/>
    <s v="CDI"/>
    <s v="Óleo Composto 500ml"/>
    <s v="unid"/>
    <n v="24"/>
    <n v="3.2866666666666666"/>
    <n v="78.88"/>
  </r>
  <r>
    <s v="Março"/>
    <s v="SEMANA 2"/>
    <n v="7"/>
    <x v="1"/>
    <s v="CDI"/>
    <s v="Vinagre de Vinho Tinto 750 ml"/>
    <s v="unid"/>
    <n v="12"/>
    <n v="2.665"/>
    <n v="31.98"/>
  </r>
  <r>
    <s v="Março"/>
    <s v="SEMANA 2"/>
    <n v="7"/>
    <x v="6"/>
    <s v="Frigorifico Jahu"/>
    <s v="Pescados - Salmão Inteiro Sushi"/>
    <s v="kg"/>
    <n v="28.31"/>
    <n v="25.5002"/>
    <n v="721.910662"/>
  </r>
  <r>
    <s v="Março"/>
    <s v="SEMANA 2"/>
    <n v="7"/>
    <x v="2"/>
    <s v="Satiro's"/>
    <s v="Pescados - Atum Fresco"/>
    <s v="kg"/>
    <n v="39.880000000000003"/>
    <n v="13"/>
    <n v="518.44000000000005"/>
  </r>
  <r>
    <s v="Março"/>
    <s v="SEMANA 2"/>
    <n v="7"/>
    <x v="6"/>
    <s v="Satiro's"/>
    <s v="Pescados - Atum Fresco Sushi"/>
    <s v="kg"/>
    <n v="15.12"/>
    <n v="13"/>
    <n v="196.56"/>
  </r>
  <r>
    <s v="Março"/>
    <s v="SEMANA 2"/>
    <n v="7"/>
    <x v="2"/>
    <s v="Reginaves"/>
    <s v="Aves - Filé de Coxa"/>
    <s v="kg"/>
    <n v="25.2"/>
    <n v="8.7000000000000011"/>
    <n v="219.24"/>
  </r>
  <r>
    <s v="Março"/>
    <s v="SEMANA 2"/>
    <n v="7"/>
    <x v="4"/>
    <s v="Minalba"/>
    <s v="Água Mineral com Gás"/>
    <s v="unid"/>
    <n v="180"/>
    <n v="1.3333333333333333"/>
    <n v="240"/>
  </r>
  <r>
    <s v="Março"/>
    <s v="SEMANA 2"/>
    <n v="7"/>
    <x v="4"/>
    <s v="Minalba"/>
    <s v="Água Mineral sem Gás"/>
    <s v="unid"/>
    <n v="156"/>
    <n v="1.3333333333333333"/>
    <n v="208"/>
  </r>
  <r>
    <s v="Março"/>
    <s v="SEMANA 2"/>
    <n v="7"/>
    <x v="5"/>
    <s v="Laticinios Alhambra"/>
    <s v="Creme de Leite Culinário 20% Bd 10 Lt"/>
    <s v="bd"/>
    <n v="2"/>
    <n v="142.44999999999999"/>
    <n v="284.89999999999998"/>
  </r>
  <r>
    <s v="Março"/>
    <s v="SEMANA 2"/>
    <n v="7"/>
    <x v="5"/>
    <s v="Laticinios Alhambra"/>
    <s v="Queijo Mussarela"/>
    <s v="kg"/>
    <n v="6.32"/>
    <n v="26"/>
    <n v="164.32"/>
  </r>
  <r>
    <s v="Março"/>
    <s v="SEMANA 2"/>
    <n v="7"/>
    <x v="5"/>
    <s v="Laticinios Alhambra"/>
    <s v="Queijo Minas"/>
    <s v="kg"/>
    <n v="1.5"/>
    <n v="20.8"/>
    <n v="31.200000000000003"/>
  </r>
  <r>
    <s v="Março"/>
    <s v="SEMANA 2"/>
    <n v="7"/>
    <x v="5"/>
    <s v="Laticinios Alhambra"/>
    <s v="Queijo Ricota"/>
    <s v="kg"/>
    <n v="2.7"/>
    <n v="10.6"/>
    <n v="28.62"/>
  </r>
  <r>
    <s v="Março"/>
    <s v="SEMANA 2"/>
    <n v="7"/>
    <x v="5"/>
    <s v="Laticinios Alhambra"/>
    <s v="Queijo Requeijão BD 3,6 Kg"/>
    <s v="bd"/>
    <n v="2"/>
    <n v="74.400000000000006"/>
    <n v="148.80000000000001"/>
  </r>
  <r>
    <s v="Março"/>
    <s v="SEMANA 2"/>
    <n v="7"/>
    <x v="1"/>
    <s v="Planeta Gelo"/>
    <s v="Gelo em Escamas"/>
    <s v="saco"/>
    <n v="2"/>
    <n v="7.5"/>
    <n v="15"/>
  </r>
  <r>
    <s v="Março"/>
    <s v="SEMANA 2"/>
    <n v="7"/>
    <x v="1"/>
    <s v="Planeta Gelo"/>
    <s v="Gelo em Cubo"/>
    <s v="saco"/>
    <n v="2"/>
    <n v="7.5"/>
    <n v="15"/>
  </r>
  <r>
    <s v="Março"/>
    <s v="SEMANA 2"/>
    <n v="7"/>
    <x v="2"/>
    <s v="Marfrig"/>
    <s v="Carne Bovina - Picanha Grill/Churrascaria"/>
    <s v="kg"/>
    <n v="38.57"/>
    <n v="33.1633"/>
    <n v="1279.108481"/>
  </r>
  <r>
    <s v="Março"/>
    <s v="SEMANA 2"/>
    <n v="7"/>
    <x v="2"/>
    <s v="Marfrig"/>
    <s v="Carne Bovina - Coração Alcatra"/>
    <s v="kg"/>
    <n v="25.913"/>
    <n v="18.9694"/>
    <n v="491.55406220000003"/>
  </r>
  <r>
    <s v="Março"/>
    <s v="SEMANA 2"/>
    <n v="7"/>
    <x v="1"/>
    <s v="Casas Pedro"/>
    <s v="Amendoa Fatiada"/>
    <s v="kg"/>
    <n v="0.504"/>
    <n v="70.654799999999994"/>
    <n v="35.610019199999996"/>
  </r>
  <r>
    <s v="Março"/>
    <s v="SEMANA 2"/>
    <n v="7"/>
    <x v="1"/>
    <s v="Casas Pedro"/>
    <s v="Arroz Integral Curto"/>
    <s v="kg"/>
    <n v="15.098000000000001"/>
    <n v="8.4202999999999992"/>
    <n v="127.12968939999999"/>
  </r>
  <r>
    <s v="Março"/>
    <s v="SEMANA 2"/>
    <n v="7"/>
    <x v="1"/>
    <s v="Casas Pedro"/>
    <s v="Funghi Seco"/>
    <s v="kg"/>
    <n v="0.5"/>
    <n v="79.819999999999993"/>
    <n v="39.909999999999997"/>
  </r>
  <r>
    <s v="Março"/>
    <s v="SEMANA 2"/>
    <n v="7"/>
    <x v="1"/>
    <s v="Casas Pedro"/>
    <s v="Flocos de Arroz (cozinha)"/>
    <s v="kg"/>
    <n v="1.01"/>
    <n v="13.485099999999999"/>
    <n v="13.619950999999999"/>
  </r>
  <r>
    <s v="Março"/>
    <s v="SEMANA 2"/>
    <n v="7"/>
    <x v="1"/>
    <s v="Casas Pedro"/>
    <s v="Pequi Fatiado"/>
    <s v="unid"/>
    <n v="1"/>
    <n v="21.59"/>
    <n v="21.59"/>
  </r>
  <r>
    <s v="Março"/>
    <s v="SEMANA 2"/>
    <n v="7"/>
    <x v="1"/>
    <s v="Casas Pedro"/>
    <s v="Vinagrete de Ervas"/>
    <s v="kg"/>
    <n v="1.002"/>
    <n v="43.203600000000002"/>
    <n v="43.290007200000005"/>
  </r>
  <r>
    <s v="Março"/>
    <s v="SEMANA 2"/>
    <n v="7"/>
    <x v="2"/>
    <s v="Mar e Terra"/>
    <s v="Pescados - Filé Tilápia Cong."/>
    <s v="kg"/>
    <n v="16"/>
    <n v="26.3"/>
    <n v="420.8"/>
  </r>
  <r>
    <s v="Março"/>
    <s v="SEMANA 2"/>
    <n v="7"/>
    <x v="4"/>
    <s v="Rio de Janeiro"/>
    <s v="Coca Cola (lata)"/>
    <s v="unid"/>
    <n v="96"/>
    <n v="2.8416666666666668"/>
    <n v="272.8"/>
  </r>
  <r>
    <s v="Março"/>
    <s v="SEMANA 2"/>
    <n v="7"/>
    <x v="4"/>
    <s v="Rio de Janeiro"/>
    <s v="Coca Cola Zero (lata)"/>
    <s v="unid"/>
    <n v="120"/>
    <n v="2.8258333333333336"/>
    <n v="339.1"/>
  </r>
  <r>
    <s v="Março"/>
    <s v="SEMANA 2"/>
    <n v="7"/>
    <x v="4"/>
    <s v="Rio de Janeiro"/>
    <s v="Cerveja Heineken Long Neck 330 ml"/>
    <s v="unid"/>
    <n v="24"/>
    <n v="4"/>
    <n v="96"/>
  </r>
  <r>
    <s v="Março"/>
    <s v="SEMANA 2"/>
    <n v="7"/>
    <x v="4"/>
    <s v="Rio de Janeiro"/>
    <s v="Cerveja Heineken 600 ml"/>
    <s v="unid"/>
    <n v="24"/>
    <n v="7"/>
    <n v="168"/>
  </r>
  <r>
    <s v="Março"/>
    <s v="SEMANA 2"/>
    <n v="7"/>
    <x v="1"/>
    <s v="Mercadinho Bambina"/>
    <s v="Pão Árabe"/>
    <s v="pcte"/>
    <n v="4"/>
    <n v="6.7"/>
    <n v="26.8"/>
  </r>
  <r>
    <s v="Março"/>
    <s v="SEMANA 2"/>
    <n v="7"/>
    <x v="0"/>
    <s v="Super Mercado Zonasul"/>
    <s v="Alface Americana    "/>
    <s v="kg"/>
    <n v="5.52"/>
    <n v="4.875"/>
    <n v="26.909999999999997"/>
  </r>
  <r>
    <s v="Março"/>
    <s v="SEMANA 2"/>
    <n v="7"/>
    <x v="0"/>
    <s v="Hortifrut São Clemente"/>
    <s v="Batata Calabresa"/>
    <s v="kg"/>
    <n v="2.34"/>
    <n v="5.98"/>
    <n v="13.9932"/>
  </r>
  <r>
    <s v="Março"/>
    <s v="SEMANA 2"/>
    <n v="7"/>
    <x v="1"/>
    <s v="Mercadinho Bambina"/>
    <s v="Geléia de Hortelã"/>
    <s v="unid"/>
    <n v="2"/>
    <n v="13.5"/>
    <n v="27"/>
  </r>
  <r>
    <s v="Março"/>
    <s v="SEMANA 2"/>
    <n v="7"/>
    <x v="0"/>
    <s v="Sitio do Moinho"/>
    <s v="Alface crespa Orgânica"/>
    <s v="kg"/>
    <n v="2.14"/>
    <n v="13.305140186915887"/>
    <n v="28.472999999999999"/>
  </r>
  <r>
    <s v="Março"/>
    <s v="SEMANA 2"/>
    <n v="7"/>
    <x v="0"/>
    <s v="Sitio do Moinho"/>
    <s v="Alface Roxa Orgânica"/>
    <s v="kg"/>
    <n v="1.76"/>
    <n v="15.827443181818182"/>
    <n v="27.856300000000001"/>
  </r>
  <r>
    <s v="Março"/>
    <s v="SEMANA 2"/>
    <n v="7"/>
    <x v="0"/>
    <s v="Sitio do Moinho"/>
    <s v="Rúcula Orgânica"/>
    <s v="kg"/>
    <n v="2.2000000000000002"/>
    <n v="16.168318181818183"/>
    <n v="35.570300000000003"/>
  </r>
  <r>
    <s v="Março"/>
    <s v="SEMANA 2"/>
    <n v="7"/>
    <x v="9"/>
    <s v="Atelier dos Sabores"/>
    <s v="Torta Alemã"/>
    <s v="fatia"/>
    <n v="12"/>
    <n v="5.7566666666666668"/>
    <n v="69.08"/>
  </r>
  <r>
    <s v="Março"/>
    <s v="SEMANA 2"/>
    <n v="7"/>
    <x v="9"/>
    <s v="Atelier dos Sabores"/>
    <s v="Torta de Brigadeiro c/ Raspas"/>
    <s v="fatia"/>
    <n v="12"/>
    <n v="5.7566666666666668"/>
    <n v="69.08"/>
  </r>
  <r>
    <s v="Março"/>
    <s v="SEMANA 2"/>
    <n v="7"/>
    <x v="9"/>
    <s v="Atelier dos Sabores"/>
    <s v="Torta Banana Crock"/>
    <s v="fatia"/>
    <n v="12"/>
    <n v="5.9341666666666661"/>
    <n v="71.209999999999994"/>
  </r>
  <r>
    <s v="Março"/>
    <s v="SEMANA 2"/>
    <n v="7"/>
    <x v="0"/>
    <s v="Alcibiades G. Quintas"/>
    <s v="Berinjela"/>
    <s v="kg"/>
    <n v="10.199999999999999"/>
    <n v="1.4705882352941178"/>
    <n v="15"/>
  </r>
  <r>
    <s v="Março"/>
    <s v="SEMANA 2"/>
    <n v="7"/>
    <x v="0"/>
    <s v="Alcibiades G. Quintas"/>
    <s v="Cenoura"/>
    <s v="kg"/>
    <n v="19.78"/>
    <n v="2.5278058645096055"/>
    <n v="50"/>
  </r>
  <r>
    <s v="Março"/>
    <s v="SEMANA 2"/>
    <n v="7"/>
    <x v="0"/>
    <s v="Alcibiades G. Quintas"/>
    <s v="Cebola Calabresa"/>
    <s v="kg"/>
    <n v="2"/>
    <n v="4"/>
    <n v="8"/>
  </r>
  <r>
    <s v="Março"/>
    <s v="SEMANA 2"/>
    <n v="7"/>
    <x v="0"/>
    <s v="Alcibiades G. Quintas"/>
    <s v="Vagem Macarrão"/>
    <s v="kg"/>
    <n v="1"/>
    <n v="8"/>
    <n v="8"/>
  </r>
  <r>
    <s v="Março"/>
    <s v="SEMANA 2"/>
    <n v="7"/>
    <x v="0"/>
    <s v="Alcibiades G. Quintas"/>
    <s v="Alho Poró "/>
    <s v="kg"/>
    <n v="1"/>
    <n v="9"/>
    <n v="9"/>
  </r>
  <r>
    <s v="Março"/>
    <s v="SEMANA 2"/>
    <n v="7"/>
    <x v="0"/>
    <s v="Alcibiades G. Quintas"/>
    <s v="Espinafre"/>
    <s v="kg"/>
    <n v="3.42"/>
    <n v="4.8"/>
    <n v="16.416"/>
  </r>
  <r>
    <s v="Março"/>
    <s v="SEMANA 2"/>
    <n v="7"/>
    <x v="0"/>
    <s v="Alcibiades G. Quintas"/>
    <s v="Hortelã"/>
    <s v="kg"/>
    <n v="0.5"/>
    <n v="4"/>
    <n v="2"/>
  </r>
  <r>
    <s v="Março"/>
    <s v="SEMANA 2"/>
    <n v="7"/>
    <x v="0"/>
    <s v="Alcibiades G. Quintas"/>
    <s v="Laranja Pera"/>
    <s v="kg"/>
    <n v="41.48"/>
    <n v="1.5911282545805208"/>
    <n v="66"/>
  </r>
  <r>
    <s v="Março"/>
    <s v="SEMANA 2"/>
    <n v="7"/>
    <x v="0"/>
    <s v="Alcibiades G. Quintas"/>
    <s v="Manga Palmer"/>
    <s v="kg"/>
    <n v="6.34"/>
    <n v="3.9432176656151419"/>
    <n v="25"/>
  </r>
  <r>
    <s v="Março"/>
    <s v="SEMANA 2"/>
    <n v="7"/>
    <x v="0"/>
    <s v="Alcibiades G. Quintas"/>
    <s v="Melão Orange"/>
    <s v="kg"/>
    <n v="1.75"/>
    <n v="4.8"/>
    <n v="8.4"/>
  </r>
  <r>
    <s v="Março"/>
    <s v="SEMANA 2"/>
    <n v="7"/>
    <x v="0"/>
    <s v="Umehara"/>
    <s v="Côco Verde"/>
    <s v="unid"/>
    <n v="15"/>
    <n v="2"/>
    <n v="30"/>
  </r>
  <r>
    <s v="Março"/>
    <s v="SEMANA 2"/>
    <n v="7"/>
    <x v="0"/>
    <s v="Umehara"/>
    <s v="Couve Flor"/>
    <s v="kg"/>
    <n v="2"/>
    <n v="6"/>
    <n v="12"/>
  </r>
  <r>
    <s v="Março"/>
    <s v="SEMANA 2"/>
    <n v="7"/>
    <x v="0"/>
    <s v="Umehara"/>
    <s v="Ovos Extra"/>
    <s v="unid"/>
    <n v="360"/>
    <n v="0.28611111111111109"/>
    <n v="103"/>
  </r>
  <r>
    <s v="Março"/>
    <s v="SEMANA 2"/>
    <n v="7"/>
    <x v="0"/>
    <s v="Umehara"/>
    <s v="Quiabo"/>
    <s v="kg"/>
    <n v="8"/>
    <n v="3.6"/>
    <n v="28.8"/>
  </r>
  <r>
    <s v="Março"/>
    <s v="SEMANA 2"/>
    <n v="7"/>
    <x v="0"/>
    <s v="Umehara"/>
    <s v="Repolho"/>
    <s v="kg"/>
    <n v="3"/>
    <n v="1.65"/>
    <n v="4.9499999999999993"/>
  </r>
  <r>
    <s v="Março"/>
    <s v="SEMANA 2"/>
    <n v="7"/>
    <x v="2"/>
    <s v="Salsicharia  Guapiense"/>
    <s v="Suíno - Salsichão Defumado c/ Ervas"/>
    <s v="kg"/>
    <n v="7.1"/>
    <n v="33.299999999999997"/>
    <n v="236.42999999999998"/>
  </r>
  <r>
    <s v="Março"/>
    <s v="SEMANA 2"/>
    <n v="7"/>
    <x v="2"/>
    <s v="Salsicharia  Guapiense"/>
    <s v="Suíno - Salsichão Branco com Ervas"/>
    <s v="kg"/>
    <n v="5.7"/>
    <n v="31.7"/>
    <n v="180.69"/>
  </r>
  <r>
    <s v="Março"/>
    <s v="SEMANA 2"/>
    <n v="7"/>
    <x v="2"/>
    <s v="Salsicharia  Guapiense"/>
    <s v="Suíno - Carre Defumado (Kassler)"/>
    <s v="kg"/>
    <n v="15.14"/>
    <n v="36.075957727873181"/>
    <n v="546.18999999999994"/>
  </r>
  <r>
    <s v="Março"/>
    <s v="SEMANA 2"/>
    <n v="6"/>
    <x v="7"/>
    <s v="Ind. Caseira de Doces Helena"/>
    <s v="Biscoito de Milho Venda "/>
    <s v="kg"/>
    <n v="3.1"/>
    <n v="22.19464285714286"/>
    <n v="68.803392857142867"/>
  </r>
  <r>
    <s v="Março"/>
    <s v="SEMANA 2"/>
    <n v="7"/>
    <x v="4"/>
    <s v="CRBS"/>
    <s v="Guaraná Antarctica Zero (lata)"/>
    <s v="unid"/>
    <n v="84"/>
    <n v="1.2729761904761905"/>
    <n v="106.93"/>
  </r>
  <r>
    <s v="Março"/>
    <s v="SEMANA 2"/>
    <n v="7"/>
    <x v="4"/>
    <s v="CRBS"/>
    <s v="Cerveja Bohemia Long Neck 355 ml"/>
    <s v="unid"/>
    <n v="24"/>
    <n v="2.842916666666667"/>
    <n v="68.23"/>
  </r>
  <r>
    <s v="Março"/>
    <s v="SEMANA 2"/>
    <n v="7"/>
    <x v="4"/>
    <s v="CRBS"/>
    <s v="Cerveja Malzbier Brahma Long Neck"/>
    <s v="unid"/>
    <n v="24"/>
    <n v="2.9691666666666667"/>
    <n v="71.260000000000005"/>
  </r>
  <r>
    <s v="Março"/>
    <s v="SEMANA 2"/>
    <n v="7"/>
    <x v="3"/>
    <s v="Ecolab"/>
    <s v="Antibacterial Detergentye p/ mãos Bb 5lt"/>
    <s v="bb"/>
    <n v="1"/>
    <n v="155.21"/>
    <n v="155.21"/>
  </r>
  <r>
    <s v="Março"/>
    <s v="SEMANA 2"/>
    <n v="7"/>
    <x v="3"/>
    <s v="Ecolab"/>
    <s v="Solid Power (Lava Louça) 4 Kg"/>
    <s v="bb"/>
    <n v="2"/>
    <n v="552.88499999999999"/>
    <n v="1105.77"/>
  </r>
  <r>
    <s v="Março"/>
    <s v="SEMANA 2"/>
    <n v="7"/>
    <x v="3"/>
    <s v="Ecolab"/>
    <s v="Vercom Detergente Bb 5 Lt"/>
    <s v="bb"/>
    <n v="2"/>
    <n v="158.47"/>
    <n v="316.94"/>
  </r>
  <r>
    <s v="Março"/>
    <s v="SEMANA 2"/>
    <n v="7"/>
    <x v="3"/>
    <s v="Ecolab"/>
    <s v="Jet Dry Secante Bb 5 Lt"/>
    <s v="bb"/>
    <n v="1"/>
    <n v="361.22"/>
    <n v="361.22"/>
  </r>
  <r>
    <s v="Março"/>
    <s v="SEMANA 2"/>
    <n v="7"/>
    <x v="3"/>
    <s v="Ecolab"/>
    <s v="Ammoniated Glas Cln (Limpa vidro) BB 5L"/>
    <s v="bb"/>
    <n v="1"/>
    <n v="479.33"/>
    <n v="479.33"/>
  </r>
  <r>
    <s v="Março"/>
    <s v="SEMANA 2"/>
    <n v="7"/>
    <x v="6"/>
    <s v="Alcibiades G. Quintas"/>
    <s v="Espinafre Sushi"/>
    <s v="kg"/>
    <n v="0.57999999999999996"/>
    <n v="4.8"/>
    <n v="2.7839999999999998"/>
  </r>
  <r>
    <s v="Março"/>
    <s v="SEMANA 2"/>
    <n v="6"/>
    <x v="6"/>
    <s v="Alcibiades G. Quintas"/>
    <s v="Cebolinha Verde Sushi"/>
    <s v="kg"/>
    <n v="0.49299999999999999"/>
    <n v="7"/>
    <n v="3.4510000000000001"/>
  </r>
  <r>
    <s v="Março"/>
    <s v="SEMANA 2"/>
    <n v="6"/>
    <x v="6"/>
    <s v="Alcibiades G. Quintas"/>
    <s v="Pepino Japonês Sushi"/>
    <s v="kg"/>
    <n v="0.18"/>
    <n v="2.3856858846918487"/>
    <n v="0.42942345924453273"/>
  </r>
  <r>
    <s v="Março"/>
    <s v="SEMANA 2"/>
    <n v="8"/>
    <x v="1"/>
    <s v="Rio Quality"/>
    <s v="Farinha de Mandioca"/>
    <s v="kg"/>
    <n v="20"/>
    <n v="5.0999999999999996"/>
    <n v="102"/>
  </r>
  <r>
    <s v="Março"/>
    <s v="SEMANA 2"/>
    <n v="8"/>
    <x v="1"/>
    <s v="Rio Quality"/>
    <s v="Farinha de Trigo"/>
    <s v="kg"/>
    <n v="10"/>
    <n v="1.76"/>
    <n v="17.600000000000001"/>
  </r>
  <r>
    <s v="Março"/>
    <s v="SEMANA 2"/>
    <n v="8"/>
    <x v="1"/>
    <s v="Rio Quality"/>
    <s v="Feijão Fradinho"/>
    <s v="kg"/>
    <n v="10"/>
    <n v="3.56"/>
    <n v="35.6"/>
  </r>
  <r>
    <s v="Março"/>
    <s v="SEMANA 2"/>
    <n v="8"/>
    <x v="1"/>
    <s v="Rio Quality"/>
    <s v="Leite Integral"/>
    <s v="lt"/>
    <n v="36"/>
    <n v="2.6997222222222224"/>
    <n v="97.19"/>
  </r>
  <r>
    <s v="Março"/>
    <s v="SEMANA 2"/>
    <n v="8"/>
    <x v="1"/>
    <s v="Rio Quality"/>
    <s v="Maionese Hellmanns Bd 3 Kg"/>
    <s v="bd"/>
    <n v="6"/>
    <n v="23.51"/>
    <n v="141.06"/>
  </r>
  <r>
    <s v="Março"/>
    <s v="SEMANA 2"/>
    <n v="8"/>
    <x v="1"/>
    <s v="Rio Quality"/>
    <s v="Sal Refinado"/>
    <s v="kg"/>
    <n v="10"/>
    <n v="1.38"/>
    <n v="13.799999999999999"/>
  </r>
  <r>
    <s v="Março"/>
    <s v="SEMANA 2"/>
    <n v="8"/>
    <x v="1"/>
    <s v="Rio Quality"/>
    <s v="Maisena Amido de Milho 1 Kg"/>
    <s v="kg"/>
    <n v="1"/>
    <n v="3.3"/>
    <n v="3.3"/>
  </r>
  <r>
    <s v="Março"/>
    <s v="SEMANA 2"/>
    <n v="8"/>
    <x v="1"/>
    <s v="Rio Quality"/>
    <s v="Fubá de Milho "/>
    <s v="kg"/>
    <n v="3"/>
    <n v="1.62"/>
    <n v="4.8600000000000003"/>
  </r>
  <r>
    <s v="Março"/>
    <s v="SEMANA 2"/>
    <n v="8"/>
    <x v="1"/>
    <s v="Rio Quality"/>
    <s v="Orégano Chileno"/>
    <s v="kg"/>
    <n v="0.4"/>
    <n v="45.499999999999993"/>
    <n v="18.2"/>
  </r>
  <r>
    <s v="Março"/>
    <s v="SEMANA 2"/>
    <n v="8"/>
    <x v="1"/>
    <s v="Zamboni"/>
    <s v="Café Moído 1 Kg"/>
    <s v="kg"/>
    <n v="5"/>
    <n v="15.24"/>
    <n v="76.2"/>
  </r>
  <r>
    <s v="Março"/>
    <s v="SEMANA 2"/>
    <n v="8"/>
    <x v="1"/>
    <s v="Mix Certo (Zamboni)"/>
    <s v="Vinho Tinto Seco Gf 4,6 Lt"/>
    <s v="unid"/>
    <n v="1"/>
    <n v="48"/>
    <n v="48"/>
  </r>
  <r>
    <s v="Março"/>
    <s v="SEMANA 2"/>
    <n v="8"/>
    <x v="1"/>
    <s v="Mix Certo (Zamboni)"/>
    <s v="Pimenta Tabasco"/>
    <s v="unid"/>
    <n v="1"/>
    <n v="12.379999999999999"/>
    <n v="12.379999999999999"/>
  </r>
  <r>
    <s v="Março"/>
    <s v="SEMANA 2"/>
    <n v="8"/>
    <x v="1"/>
    <s v="Mix Certo (Zamboni)"/>
    <s v="Mostarda Bb 3,3, Kg"/>
    <s v="bb"/>
    <n v="1"/>
    <n v="12.55"/>
    <n v="12.55"/>
  </r>
  <r>
    <s v="Março"/>
    <s v="SEMANA 2"/>
    <n v="8"/>
    <x v="1"/>
    <s v="Mix Certo (Zamboni)"/>
    <s v="Óleo de Soja 18 Lt"/>
    <s v="bag"/>
    <n v="4"/>
    <n v="62.04"/>
    <n v="248.16"/>
  </r>
  <r>
    <s v="Março"/>
    <s v="SEMANA 2"/>
    <n v="8"/>
    <x v="6"/>
    <s v="Mix Certo (Zamboni)"/>
    <s v="Vinagre de Arroz Sushi"/>
    <s v="unid"/>
    <n v="5"/>
    <n v="3.87"/>
    <n v="19.350000000000001"/>
  </r>
  <r>
    <s v="Março"/>
    <s v="SEMANA 2"/>
    <n v="8"/>
    <x v="1"/>
    <s v="Tempero Carioca"/>
    <s v="Amendoim Torrado"/>
    <s v="kg"/>
    <n v="1"/>
    <n v="14.5"/>
    <n v="14.5"/>
  </r>
  <r>
    <s v="Março"/>
    <s v="SEMANA 2"/>
    <n v="8"/>
    <x v="1"/>
    <s v="Tempero Carioca"/>
    <s v="Castanha de Caju Picada"/>
    <s v="kg"/>
    <n v="1"/>
    <n v="54.9"/>
    <n v="54.9"/>
  </r>
  <r>
    <s v="Março"/>
    <s v="SEMANA 2"/>
    <n v="8"/>
    <x v="1"/>
    <s v="Tempero Carioca"/>
    <s v="Cevadinha"/>
    <s v="kg"/>
    <n v="2"/>
    <n v="5.9"/>
    <n v="11.8"/>
  </r>
  <r>
    <s v="Março"/>
    <s v="SEMANA 2"/>
    <n v="8"/>
    <x v="1"/>
    <s v="Tempero Carioca"/>
    <s v="Coloral"/>
    <s v="kg"/>
    <n v="0.3"/>
    <n v="5.5"/>
    <n v="1.65"/>
  </r>
  <r>
    <s v="Março"/>
    <s v="SEMANA 2"/>
    <n v="8"/>
    <x v="1"/>
    <s v="Tempero Carioca"/>
    <s v="Feijão Azuki"/>
    <s v="kg"/>
    <n v="2"/>
    <n v="10"/>
    <n v="20"/>
  </r>
  <r>
    <s v="Março"/>
    <s v="SEMANA 2"/>
    <n v="8"/>
    <x v="1"/>
    <s v="Tempero Carioca"/>
    <s v="Feijão de Soja"/>
    <s v="kg"/>
    <n v="1"/>
    <n v="4.5"/>
    <n v="4.5"/>
  </r>
  <r>
    <s v="Março"/>
    <s v="SEMANA 2"/>
    <n v="8"/>
    <x v="1"/>
    <s v="Tempero Carioca"/>
    <s v="Mostarda Dijom em Grão"/>
    <s v="unid"/>
    <n v="1"/>
    <n v="22.5"/>
    <n v="22.5"/>
  </r>
  <r>
    <s v="Março"/>
    <s v="SEMANA 2"/>
    <n v="8"/>
    <x v="1"/>
    <s v="Tempero Carioca"/>
    <s v="Nozes sem casca"/>
    <s v="kg"/>
    <n v="1"/>
    <n v="69.900000000000006"/>
    <n v="69.900000000000006"/>
  </r>
  <r>
    <s v="Março"/>
    <s v="SEMANA 2"/>
    <n v="8"/>
    <x v="1"/>
    <s v="Tempero Carioca"/>
    <s v="Passas Preta"/>
    <s v="kg"/>
    <n v="1"/>
    <n v="14.3"/>
    <n v="14.3"/>
  </r>
  <r>
    <s v="Março"/>
    <s v="SEMANA 2"/>
    <n v="8"/>
    <x v="1"/>
    <s v="Tempero Carioca"/>
    <s v="Pimenta rosa"/>
    <s v="kg"/>
    <n v="0.2"/>
    <n v="70"/>
    <n v="14"/>
  </r>
  <r>
    <s v="Março"/>
    <s v="SEMANA 2"/>
    <n v="8"/>
    <x v="1"/>
    <s v="Tempero Carioca"/>
    <s v="Quinoa"/>
    <s v="kg"/>
    <n v="1"/>
    <n v="26.9"/>
    <n v="26.9"/>
  </r>
  <r>
    <s v="Março"/>
    <s v="SEMANA 2"/>
    <n v="8"/>
    <x v="1"/>
    <s v="Tempero Carioca"/>
    <s v="Tahine Lata 500 gr"/>
    <s v="kg"/>
    <n v="2"/>
    <n v="38"/>
    <n v="76"/>
  </r>
  <r>
    <s v="Março"/>
    <s v="SEMANA 2"/>
    <n v="8"/>
    <x v="1"/>
    <s v="Fabene"/>
    <s v="Massa para Lasanha"/>
    <s v="kg"/>
    <n v="14.9"/>
    <n v="9.9"/>
    <n v="147.51000000000002"/>
  </r>
  <r>
    <s v="Março"/>
    <s v="SEMANA 2"/>
    <n v="8"/>
    <x v="1"/>
    <s v="Planeta Gelo"/>
    <s v="Gelo em Escamas"/>
    <s v="saco"/>
    <n v="2"/>
    <n v="7.5"/>
    <n v="15"/>
  </r>
  <r>
    <s v="Março"/>
    <s v="SEMANA 2"/>
    <n v="8"/>
    <x v="1"/>
    <s v="Planeta Gelo"/>
    <s v="Gelo em Cubo"/>
    <s v="saco"/>
    <n v="3"/>
    <n v="7.5"/>
    <n v="22.5"/>
  </r>
  <r>
    <s v="Março"/>
    <s v="SEMANA 2"/>
    <n v="8"/>
    <x v="1"/>
    <s v="Zamboni"/>
    <s v="Azeite Extra Virgem (Santiago) 500 ml"/>
    <s v="bb"/>
    <n v="1"/>
    <n v="145.55000000000001"/>
    <n v="145.55000000000001"/>
  </r>
  <r>
    <s v="Março"/>
    <s v="SEMANA 2"/>
    <n v="8"/>
    <x v="2"/>
    <s v="Frigorifico Jahu"/>
    <s v="Pescados - Camarão IQF Evisc. 51/60"/>
    <s v="kg"/>
    <n v="12"/>
    <n v="69.900000000000006"/>
    <n v="838.80000000000007"/>
  </r>
  <r>
    <s v="Março"/>
    <s v="SEMANA 2"/>
    <n v="8"/>
    <x v="2"/>
    <s v="Frigorifico Jahu"/>
    <s v="Pescados - Lula Calamares"/>
    <s v="kg"/>
    <n v="20"/>
    <n v="27.9"/>
    <n v="558"/>
  </r>
  <r>
    <s v="Março"/>
    <s v="SEMANA 2"/>
    <n v="8"/>
    <x v="2"/>
    <s v="Frigorifico Jahu"/>
    <s v="Pescados - Salmão Inteiro"/>
    <s v="kg"/>
    <n v="30.3"/>
    <n v="24.9"/>
    <n v="754.47"/>
  </r>
  <r>
    <s v="Março"/>
    <s v="SEMANA 2"/>
    <n v="8"/>
    <x v="0"/>
    <s v="Alcibiades G. Quintas"/>
    <s v="Pepino Japonês"/>
    <s v="kg"/>
    <n v="16.144000000000002"/>
    <n v="2.8880866425992777"/>
    <n v="46.625270758122745"/>
  </r>
  <r>
    <s v="Março"/>
    <s v="SEMANA 2"/>
    <n v="8"/>
    <x v="0"/>
    <s v="Alcibiades G. Quintas"/>
    <s v="Alface Americana    "/>
    <s v="kg"/>
    <n v="7.98"/>
    <n v="6.0150375939849621"/>
    <n v="48"/>
  </r>
  <r>
    <s v="Março"/>
    <s v="SEMANA 2"/>
    <n v="8"/>
    <x v="0"/>
    <s v="Alcibiades G. Quintas"/>
    <s v="Alho Poró "/>
    <s v="kg"/>
    <n v="2"/>
    <n v="9"/>
    <n v="18"/>
  </r>
  <r>
    <s v="Março"/>
    <s v="SEMANA 2"/>
    <n v="8"/>
    <x v="0"/>
    <s v="Alcibiades G. Quintas"/>
    <s v="Brócolis Americano"/>
    <s v="kg"/>
    <n v="4"/>
    <n v="12"/>
    <n v="48"/>
  </r>
  <r>
    <s v="Março"/>
    <s v="SEMANA 2"/>
    <n v="8"/>
    <x v="0"/>
    <s v="Alcibiades G. Quintas"/>
    <s v="Cebolinha Verde"/>
    <s v="kg"/>
    <n v="1"/>
    <n v="7"/>
    <n v="7"/>
  </r>
  <r>
    <s v="Março"/>
    <s v="SEMANA 2"/>
    <n v="8"/>
    <x v="0"/>
    <s v="Alcibiades G. Quintas"/>
    <s v="Manjericão"/>
    <s v="kg"/>
    <n v="0.5"/>
    <n v="10"/>
    <n v="5"/>
  </r>
  <r>
    <s v="Março"/>
    <s v="SEMANA 2"/>
    <n v="8"/>
    <x v="0"/>
    <s v="Alcibiades G. Quintas"/>
    <s v="Salsa"/>
    <s v="kg"/>
    <n v="0.5"/>
    <n v="7"/>
    <n v="3.5"/>
  </r>
  <r>
    <s v="Março"/>
    <s v="SEMANA 2"/>
    <n v="8"/>
    <x v="0"/>
    <s v="Alcibiades G. Quintas"/>
    <s v="Tomilho"/>
    <s v="kg"/>
    <n v="0.2"/>
    <n v="20"/>
    <n v="4"/>
  </r>
  <r>
    <s v="Março"/>
    <s v="SEMANA 2"/>
    <n v="8"/>
    <x v="0"/>
    <s v="Alcibiades G. Quintas"/>
    <s v="Pimenta Dedo de Moça"/>
    <s v="kg"/>
    <n v="1"/>
    <n v="20"/>
    <n v="20"/>
  </r>
  <r>
    <s v="Março"/>
    <s v="SEMANA 2"/>
    <n v="8"/>
    <x v="0"/>
    <s v="Alcibiades G. Quintas"/>
    <s v="Banana da Terra"/>
    <s v="kg"/>
    <n v="10"/>
    <n v="4.5"/>
    <n v="45"/>
  </r>
  <r>
    <s v="Março"/>
    <s v="SEMANA 2"/>
    <n v="8"/>
    <x v="0"/>
    <s v="Alcibiades G. Quintas"/>
    <s v="Laranja Pera"/>
    <s v="kg"/>
    <n v="41.12"/>
    <n v="1.6050583657587549"/>
    <n v="66"/>
  </r>
  <r>
    <s v="Março"/>
    <s v="SEMANA 2"/>
    <n v="8"/>
    <x v="0"/>
    <s v="Alcibiades G. Quintas"/>
    <s v="Maracujá"/>
    <s v="kg"/>
    <n v="1"/>
    <n v="5"/>
    <n v="5"/>
  </r>
  <r>
    <s v="Março"/>
    <s v="SEMANA 2"/>
    <n v="8"/>
    <x v="0"/>
    <s v="Alcibiades G. Quintas"/>
    <s v="Uva s/ Caroço"/>
    <s v="kg"/>
    <n v="1.5"/>
    <n v="16"/>
    <n v="24"/>
  </r>
  <r>
    <s v="Março"/>
    <s v="SEMANA 2"/>
    <n v="8"/>
    <x v="2"/>
    <s v="Top Alto"/>
    <s v="Carnes - File de Costela (Noix)"/>
    <s v="kg"/>
    <n v="17.670000000000002"/>
    <n v="22.87"/>
    <n v="404.11290000000008"/>
  </r>
  <r>
    <s v="Março"/>
    <s v="SEMANA 2"/>
    <n v="8"/>
    <x v="0"/>
    <s v="Umehara"/>
    <s v="Abacaxi "/>
    <s v="kg"/>
    <n v="10"/>
    <n v="3.75"/>
    <n v="37.5"/>
  </r>
  <r>
    <s v="Março"/>
    <s v="SEMANA 2"/>
    <n v="8"/>
    <x v="0"/>
    <s v="Umehara"/>
    <s v="Acelga"/>
    <s v="kg"/>
    <n v="4"/>
    <n v="2.25"/>
    <n v="9"/>
  </r>
  <r>
    <s v="Março"/>
    <s v="SEMANA 2"/>
    <n v="8"/>
    <x v="0"/>
    <s v="Umehara"/>
    <s v="Batata HBT"/>
    <s v="kg"/>
    <n v="25"/>
    <n v="1.63"/>
    <n v="40.75"/>
  </r>
  <r>
    <s v="Março"/>
    <s v="SEMANA 2"/>
    <n v="8"/>
    <x v="0"/>
    <s v="Umehara"/>
    <s v="Beterraba"/>
    <s v="kg"/>
    <n v="4"/>
    <n v="1.98"/>
    <n v="7.92"/>
  </r>
  <r>
    <s v="Março"/>
    <s v="SEMANA 2"/>
    <n v="8"/>
    <x v="0"/>
    <s v="Umehara"/>
    <s v="Côco Verde"/>
    <s v="unid"/>
    <n v="13"/>
    <n v="2"/>
    <n v="26"/>
  </r>
  <r>
    <s v="Março"/>
    <s v="SEMANA 2"/>
    <n v="8"/>
    <x v="0"/>
    <s v="Umehara"/>
    <s v="Coentro"/>
    <s v="kg"/>
    <n v="0.7"/>
    <n v="23"/>
    <n v="16.099999999999998"/>
  </r>
  <r>
    <s v="Março"/>
    <s v="SEMANA 2"/>
    <n v="8"/>
    <x v="0"/>
    <s v="Umehara"/>
    <s v="Couve Flor"/>
    <s v="kg"/>
    <n v="3"/>
    <n v="6"/>
    <n v="18"/>
  </r>
  <r>
    <s v="Março"/>
    <s v="SEMANA 2"/>
    <n v="8"/>
    <x v="0"/>
    <s v="Umehara"/>
    <s v="Couve Manteiga"/>
    <s v="kg"/>
    <n v="10"/>
    <n v="3"/>
    <n v="30"/>
  </r>
  <r>
    <s v="Março"/>
    <s v="SEMANA 2"/>
    <n v="8"/>
    <x v="0"/>
    <s v="Umehara"/>
    <s v="Kiwi"/>
    <s v="kg"/>
    <n v="0.5"/>
    <n v="14.3"/>
    <n v="7.15"/>
  </r>
  <r>
    <s v="Março"/>
    <s v="SEMANA 2"/>
    <n v="8"/>
    <x v="0"/>
    <s v="Umehara"/>
    <s v="Mamão Bahia"/>
    <s v="kg"/>
    <n v="1.7"/>
    <n v="2.25"/>
    <n v="3.8249999999999997"/>
  </r>
  <r>
    <s v="Março"/>
    <s v="SEMANA 2"/>
    <n v="8"/>
    <x v="0"/>
    <s v="Umehara"/>
    <s v="Melância"/>
    <s v="kg"/>
    <n v="10"/>
    <n v="1.52"/>
    <n v="15.2"/>
  </r>
  <r>
    <s v="Março"/>
    <s v="SEMANA 2"/>
    <n v="8"/>
    <x v="0"/>
    <s v="Umehara"/>
    <s v="Quiabo"/>
    <s v="kg"/>
    <n v="1"/>
    <n v="3.6"/>
    <n v="3.6"/>
  </r>
  <r>
    <s v="Março"/>
    <s v="SEMANA 2"/>
    <n v="8"/>
    <x v="0"/>
    <s v="Umehara"/>
    <s v="Rúcula"/>
    <s v="kg"/>
    <n v="3"/>
    <n v="6.5"/>
    <n v="19.5"/>
  </r>
  <r>
    <s v="Março"/>
    <s v="SEMANA 2"/>
    <n v="8"/>
    <x v="0"/>
    <s v="Feira"/>
    <s v="Aipim"/>
    <s v="kg"/>
    <n v="20"/>
    <n v="5"/>
    <n v="100"/>
  </r>
  <r>
    <s v="Março"/>
    <s v="SEMANA 2"/>
    <n v="8"/>
    <x v="0"/>
    <s v="Hortifrut São Clemente"/>
    <s v="Batata Calabresa"/>
    <s v="kg"/>
    <n v="1.5349999999999999"/>
    <n v="5.98"/>
    <n v="9.1792999999999996"/>
  </r>
  <r>
    <s v="Março"/>
    <s v="SEMANA 2"/>
    <n v="8"/>
    <x v="1"/>
    <s v="Mercadinho Bambina"/>
    <s v="Mostarda Escura Hemmer 200 g"/>
    <s v="unid"/>
    <n v="2"/>
    <n v="5.98"/>
    <n v="11.96"/>
  </r>
  <r>
    <s v="Março"/>
    <s v="SEMANA 2"/>
    <n v="8"/>
    <x v="1"/>
    <s v="Mercadinho Bambina"/>
    <s v="Pão de Forma"/>
    <s v="pcte"/>
    <n v="2"/>
    <n v="6.59"/>
    <n v="13.18"/>
  </r>
  <r>
    <s v="Março"/>
    <s v="SEMANA 2"/>
    <n v="8"/>
    <x v="1"/>
    <s v="Mercadinho Bambina"/>
    <s v="Pão Árabe"/>
    <s v="pcte"/>
    <n v="2"/>
    <n v="6.7"/>
    <n v="13.4"/>
  </r>
  <r>
    <s v="Março"/>
    <s v="SEMANA 2"/>
    <n v="8"/>
    <x v="0"/>
    <s v="Super Mercado Zonasul"/>
    <s v="Banana D'Água"/>
    <s v="kg"/>
    <n v="3.5750000000000002"/>
    <n v="3.99"/>
    <n v="14.264250000000002"/>
  </r>
  <r>
    <s v="Março"/>
    <s v="SEMANA 2"/>
    <n v="8"/>
    <x v="1"/>
    <s v="Casa Vitana"/>
    <s v="Shoyu Light Bb 5 Lt"/>
    <s v="lt"/>
    <n v="1"/>
    <n v="24.774999999999999"/>
    <n v="24.774999999999999"/>
  </r>
  <r>
    <s v="Março"/>
    <s v="SEMANA 2"/>
    <n v="8"/>
    <x v="1"/>
    <s v="Casa Vitana"/>
    <s v="Shoyu Tradicional (Cozinha) Bb 5 Lt"/>
    <s v="lt"/>
    <n v="7"/>
    <n v="15.674999999999999"/>
    <n v="109.72499999999999"/>
  </r>
  <r>
    <s v="Março"/>
    <s v="SEMANA 2"/>
    <n v="8"/>
    <x v="8"/>
    <s v="Rio Pak"/>
    <s v="Colher Descartável Nobre Cristal"/>
    <s v="unid"/>
    <n v="2000"/>
    <n v="0.12815000000000001"/>
    <n v="256.3"/>
  </r>
  <r>
    <s v="Março"/>
    <s v="SEMANA 2"/>
    <n v="8"/>
    <x v="8"/>
    <s v="Rio Pak"/>
    <s v="Tampa Sobremesa Cristal 180 ml"/>
    <s v="unid"/>
    <n v="1000"/>
    <n v="0.21724000000000002"/>
    <n v="217.24"/>
  </r>
  <r>
    <s v="Março"/>
    <s v="SEMANA 2"/>
    <n v="9"/>
    <x v="1"/>
    <s v="Mercadinho Bambina"/>
    <s v="Suco de Maracujá"/>
    <s v="unid"/>
    <n v="1"/>
    <n v="8.75"/>
    <n v="8.75"/>
  </r>
  <r>
    <s v="Março"/>
    <s v="SEMANA 2"/>
    <n v="9"/>
    <x v="8"/>
    <s v="Mercadinho Bambina"/>
    <s v="Fósforo pacte c/ 10"/>
    <s v="pcte"/>
    <n v="1"/>
    <n v="3.5"/>
    <n v="3.5"/>
  </r>
  <r>
    <s v="Março"/>
    <s v="SEMANA 2"/>
    <n v="9"/>
    <x v="1"/>
    <s v="Super Mercado Zonasul"/>
    <s v="Tapioca Granulada "/>
    <s v="kg"/>
    <n v="1"/>
    <n v="18.78"/>
    <n v="18.78"/>
  </r>
  <r>
    <s v="Março"/>
    <s v="SEMANA 2"/>
    <n v="9"/>
    <x v="1"/>
    <s v="Super Mercado Zonasul"/>
    <s v="Batata Palha 140 g"/>
    <s v="pcte"/>
    <n v="4"/>
    <n v="5.28"/>
    <n v="21.12"/>
  </r>
  <r>
    <s v="Março"/>
    <s v="SEMANA 2"/>
    <n v="9"/>
    <x v="10"/>
    <s v="Papelex"/>
    <s v="Elástico 1 Kg"/>
    <s v="pcte"/>
    <n v="1"/>
    <n v="16.440000000000001"/>
    <n v="16.440000000000001"/>
  </r>
  <r>
    <s v="Março"/>
    <s v="SEMANA 2"/>
    <n v="9"/>
    <x v="10"/>
    <s v="Papelex"/>
    <s v="Marcador para Retro Projetor"/>
    <s v="unid"/>
    <n v="6"/>
    <n v="3.5"/>
    <n v="21"/>
  </r>
  <r>
    <s v="Março"/>
    <s v="SEMANA 2"/>
    <n v="9"/>
    <x v="10"/>
    <s v="Papelex"/>
    <s v="Papel Chamex A4 Office"/>
    <s v="pcte"/>
    <n v="10"/>
    <n v="17.5"/>
    <n v="175"/>
  </r>
  <r>
    <s v="Março"/>
    <s v="SEMANA 2"/>
    <n v="9"/>
    <x v="10"/>
    <s v="Papelex"/>
    <s v="Caneta Azul"/>
    <s v="unid"/>
    <n v="12"/>
    <n v="0.77"/>
    <n v="9.24"/>
  </r>
  <r>
    <s v="Março"/>
    <s v="SEMANA 2"/>
    <n v="9"/>
    <x v="10"/>
    <s v="Papelex"/>
    <s v="Grampo 26/6"/>
    <s v="cx"/>
    <n v="1"/>
    <n v="4.58"/>
    <n v="4.58"/>
  </r>
  <r>
    <s v="Março"/>
    <s v="SEMANA 2"/>
    <n v="9"/>
    <x v="10"/>
    <s v="Papelex"/>
    <s v="Cartão Ponto Mensal"/>
    <s v="pcte"/>
    <n v="1"/>
    <n v="16"/>
    <n v="16"/>
  </r>
  <r>
    <s v="Março"/>
    <s v="SEMANA 2"/>
    <n v="9"/>
    <x v="10"/>
    <s v="Papelex"/>
    <s v="Toner HP Ciano"/>
    <s v="unid"/>
    <n v="2"/>
    <n v="386.18"/>
    <n v="772.36"/>
  </r>
  <r>
    <s v="Março"/>
    <s v="SEMANA 2"/>
    <n v="9"/>
    <x v="10"/>
    <s v="Papelex"/>
    <s v="Toner HP Amarelo"/>
    <s v="unid"/>
    <n v="1"/>
    <n v="389.91"/>
    <n v="389.91"/>
  </r>
  <r>
    <s v="Março"/>
    <s v="SEMANA 2"/>
    <n v="9"/>
    <x v="10"/>
    <s v="Papelex"/>
    <s v="Toner HP Magenta"/>
    <s v="unid"/>
    <n v="1"/>
    <n v="386.18"/>
    <n v="386.18"/>
  </r>
  <r>
    <s v="Março"/>
    <s v="SEMANA 2"/>
    <n v="9"/>
    <x v="10"/>
    <s v="Papelex"/>
    <s v="Pasta L"/>
    <s v="pcte"/>
    <n v="1"/>
    <n v="7"/>
    <n v="7"/>
  </r>
  <r>
    <s v="Março"/>
    <s v="SEMANA 2"/>
    <n v="9"/>
    <x v="10"/>
    <s v="Papelex"/>
    <s v="Caderno Universitário 96F"/>
    <s v="unid"/>
    <n v="1"/>
    <n v="8.4700000000000006"/>
    <n v="8.4700000000000006"/>
  </r>
  <r>
    <s v="Março"/>
    <s v="SEMANA 2"/>
    <n v="9"/>
    <x v="1"/>
    <s v="Estrela Real"/>
    <s v="Palmito lata 500gr"/>
    <s v="unid"/>
    <n v="24"/>
    <n v="17.666666666666668"/>
    <n v="424"/>
  </r>
  <r>
    <s v="Março"/>
    <s v="SEMANA 2"/>
    <n v="9"/>
    <x v="5"/>
    <s v="Laticinios Alhambra"/>
    <s v="Creme de Leite Culinário 20% Bd 10 Lt"/>
    <s v="bd"/>
    <n v="1"/>
    <n v="142.44999999999999"/>
    <n v="142.44999999999999"/>
  </r>
  <r>
    <s v="Março"/>
    <s v="SEMANA 2"/>
    <n v="9"/>
    <x v="5"/>
    <s v="Laticinios Alhambra"/>
    <s v="Queijo Ricota"/>
    <s v="kg"/>
    <n v="4.08"/>
    <n v="10.6"/>
    <n v="43.247999999999998"/>
  </r>
  <r>
    <s v="Março"/>
    <s v="SEMANA 2"/>
    <n v="9"/>
    <x v="5"/>
    <s v="Laticinios Alhambra"/>
    <s v="Queijo Requeijão BD 3,6 Kg"/>
    <s v="bd"/>
    <n v="1"/>
    <n v="74.400000000000006"/>
    <n v="74.400000000000006"/>
  </r>
  <r>
    <s v="Março"/>
    <s v="SEMANA 2"/>
    <n v="9"/>
    <x v="6"/>
    <s v="LKAP"/>
    <s v="Cream Cheese Sushi"/>
    <s v="kg"/>
    <n v="6"/>
    <n v="27.6"/>
    <n v="165.60000000000002"/>
  </r>
  <r>
    <s v="Março"/>
    <s v="SEMANA 2"/>
    <n v="9"/>
    <x v="2"/>
    <s v="Peixaria Só Peixe"/>
    <s v="Pescados - Carne de siri"/>
    <s v="kg"/>
    <n v="20"/>
    <n v="22.9"/>
    <n v="458"/>
  </r>
  <r>
    <s v="Março"/>
    <s v="SEMANA 2"/>
    <n v="9"/>
    <x v="0"/>
    <s v="Batata, o Rei do Alho"/>
    <s v="Alho Descascado"/>
    <s v="kg"/>
    <n v="15"/>
    <n v="13.5"/>
    <n v="202.5"/>
  </r>
  <r>
    <s v="Março"/>
    <s v="SEMANA 2"/>
    <n v="9"/>
    <x v="6"/>
    <s v="Frigorifico Jahu"/>
    <s v="Pescados - Salmão Inteiro Sushi"/>
    <s v="kg"/>
    <n v="29.29"/>
    <n v="24.9"/>
    <n v="729.32099999999991"/>
  </r>
  <r>
    <s v="Março"/>
    <s v="SEMANA 2"/>
    <n v="9"/>
    <x v="1"/>
    <s v="Planeta Gelo"/>
    <s v="Gelo em Escamas"/>
    <s v="saco"/>
    <n v="2"/>
    <n v="7.5"/>
    <n v="15"/>
  </r>
  <r>
    <s v="Março"/>
    <s v="SEMANA 2"/>
    <n v="9"/>
    <x v="1"/>
    <s v="Planeta Gelo"/>
    <s v="Gelo em Cubo"/>
    <s v="saco"/>
    <n v="2"/>
    <n v="7.5"/>
    <n v="15"/>
  </r>
  <r>
    <s v="Março"/>
    <s v="SEMANA 2"/>
    <n v="9"/>
    <x v="0"/>
    <s v="Sitio do Moinho"/>
    <s v="Cenoura Orgânica"/>
    <s v="kg"/>
    <n v="7.2649999999999997"/>
    <n v="7.75"/>
    <n v="56.303750000000001"/>
  </r>
  <r>
    <s v="Março"/>
    <s v="SEMANA 2"/>
    <n v="9"/>
    <x v="0"/>
    <s v="Sitio do Moinho"/>
    <s v="Alface Americana Orgânica"/>
    <s v="kg"/>
    <n v="3.54"/>
    <n v="19.082498870056494"/>
    <n v="67.55204599999999"/>
  </r>
  <r>
    <s v="Março"/>
    <s v="SEMANA 2"/>
    <n v="9"/>
    <x v="0"/>
    <s v="Sitio do Moinho"/>
    <s v="Alface crespa Orgânica"/>
    <s v="kg"/>
    <n v="2.02"/>
    <n v="15.911385148514853"/>
    <n v="32.140998000000003"/>
  </r>
  <r>
    <s v="Março"/>
    <s v="SEMANA 2"/>
    <n v="9"/>
    <x v="0"/>
    <s v="Sitio do Moinho"/>
    <s v="Alface Roxa Orgânica"/>
    <s v="kg"/>
    <n v="1.78"/>
    <n v="15.104843820224719"/>
    <n v="26.886621999999999"/>
  </r>
  <r>
    <s v="Março"/>
    <s v="SEMANA 2"/>
    <n v="9"/>
    <x v="0"/>
    <s v="Sitio do Moinho"/>
    <s v="Rúcula Orgânica"/>
    <s v="kg"/>
    <n v="2"/>
    <n v="17.059899999999999"/>
    <n v="34.119799999999998"/>
  </r>
  <r>
    <s v="Março"/>
    <s v="SEMANA 2"/>
    <n v="9"/>
    <x v="6"/>
    <s v="Top Alto"/>
    <s v="Cream Cheese Sushi"/>
    <s v="kg"/>
    <n v="1.5"/>
    <n v="20.333333333333332"/>
    <n v="30.5"/>
  </r>
  <r>
    <s v="Março"/>
    <s v="SEMANA 2"/>
    <n v="9"/>
    <x v="2"/>
    <s v="Top Alto"/>
    <s v="Suíno - Linguiça Calabresa"/>
    <s v="kg"/>
    <n v="2.5"/>
    <n v="9.98"/>
    <n v="24.950000000000003"/>
  </r>
  <r>
    <s v="Março"/>
    <s v="SEMANA 2"/>
    <n v="9"/>
    <x v="2"/>
    <s v="Top Alto"/>
    <s v="Aves - Sobrecoxa"/>
    <s v="kg"/>
    <n v="18"/>
    <n v="5.98"/>
    <n v="107.64000000000001"/>
  </r>
  <r>
    <s v="Março"/>
    <s v="SEMANA 2"/>
    <n v="9"/>
    <x v="9"/>
    <s v="Atelier dos Sabores"/>
    <s v="Torta Alemã"/>
    <s v="fatia"/>
    <n v="12"/>
    <n v="5.75"/>
    <n v="69"/>
  </r>
  <r>
    <s v="Março"/>
    <s v="SEMANA 2"/>
    <n v="9"/>
    <x v="9"/>
    <s v="Atelier dos Sabores"/>
    <s v="Torta Bem Casado de Damasco"/>
    <s v="fatia"/>
    <n v="12"/>
    <n v="5.9266666666666667"/>
    <n v="71.12"/>
  </r>
  <r>
    <s v="Março"/>
    <s v="SEMANA 2"/>
    <n v="9"/>
    <x v="9"/>
    <s v="Atelier dos Sabores"/>
    <s v="Torta de Limão"/>
    <s v="fatia"/>
    <n v="12"/>
    <n v="5.5725000000000007"/>
    <n v="66.87"/>
  </r>
  <r>
    <s v="Março"/>
    <s v="SEMANA 2"/>
    <n v="9"/>
    <x v="9"/>
    <s v="Atelier dos Sabores"/>
    <s v="Quindão com Damasco"/>
    <s v="fatia"/>
    <n v="12"/>
    <n v="5.75"/>
    <n v="69"/>
  </r>
  <r>
    <s v="Março"/>
    <s v="SEMANA 2"/>
    <n v="9"/>
    <x v="9"/>
    <s v="Atelier dos Sabores"/>
    <s v="Torta Bem Casado de Chocolate c/ Avelã"/>
    <s v="fatia"/>
    <n v="12"/>
    <n v="5.9266666666666667"/>
    <n v="71.12"/>
  </r>
  <r>
    <s v="Março"/>
    <s v="SEMANA 2"/>
    <n v="9"/>
    <x v="9"/>
    <s v="Atelier dos Sabores"/>
    <s v="Torta de Cenoura c/ Chocolate"/>
    <s v="fatia"/>
    <n v="12"/>
    <n v="5.9266666666666667"/>
    <n v="71.12"/>
  </r>
  <r>
    <s v="Março"/>
    <s v="SEMANA 2"/>
    <n v="9"/>
    <x v="0"/>
    <s v="Alcibiades G. Quintas"/>
    <s v="Batata Calabresa"/>
    <s v="kg"/>
    <n v="5"/>
    <n v="4"/>
    <n v="20"/>
  </r>
  <r>
    <s v="Março"/>
    <s v="SEMANA 2"/>
    <n v="9"/>
    <x v="0"/>
    <s v="Alcibiades G. Quintas"/>
    <s v="Cenoura"/>
    <s v="kg"/>
    <n v="20.399999999999999"/>
    <n v="2.4509803921568629"/>
    <n v="50"/>
  </r>
  <r>
    <s v="Março"/>
    <s v="SEMANA 2"/>
    <n v="9"/>
    <x v="0"/>
    <s v="Alcibiades G. Quintas"/>
    <s v="Pimentão Amarelo"/>
    <s v="kg"/>
    <n v="1"/>
    <n v="12"/>
    <n v="12"/>
  </r>
  <r>
    <s v="Março"/>
    <s v="SEMANA 2"/>
    <n v="9"/>
    <x v="0"/>
    <s v="Alcibiades G. Quintas"/>
    <s v="Pimentão Vermelho"/>
    <s v="kg"/>
    <n v="1"/>
    <n v="12"/>
    <n v="12"/>
  </r>
  <r>
    <s v="Março"/>
    <s v="SEMANA 2"/>
    <n v="9"/>
    <x v="0"/>
    <s v="Alcibiades G. Quintas"/>
    <s v="Tomate Salada"/>
    <s v="kg"/>
    <n v="20.72"/>
    <n v="2.8957528957528957"/>
    <n v="59.999999999999993"/>
  </r>
  <r>
    <s v="Março"/>
    <s v="SEMANA 2"/>
    <n v="9"/>
    <x v="0"/>
    <s v="Alcibiades G. Quintas"/>
    <s v="Aipo"/>
    <s v="kg"/>
    <n v="1.3"/>
    <n v="4"/>
    <n v="5.2"/>
  </r>
  <r>
    <s v="Março"/>
    <s v="SEMANA 2"/>
    <n v="9"/>
    <x v="0"/>
    <s v="Alcibiades G. Quintas"/>
    <s v="Bertalha"/>
    <s v="kg"/>
    <n v="5"/>
    <n v="4"/>
    <n v="20"/>
  </r>
  <r>
    <s v="Março"/>
    <s v="SEMANA 2"/>
    <n v="9"/>
    <x v="0"/>
    <s v="Alcibiades G. Quintas"/>
    <s v="Brócolis Americano"/>
    <s v="kg"/>
    <n v="4"/>
    <n v="12"/>
    <n v="48"/>
  </r>
  <r>
    <s v="Março"/>
    <s v="SEMANA 2"/>
    <n v="9"/>
    <x v="0"/>
    <s v="Alcibiades G. Quintas"/>
    <s v="Cebolinha Verde"/>
    <s v="kg"/>
    <n v="0.10199999999999998"/>
    <n v="7"/>
    <n v="0.71399999999999986"/>
  </r>
  <r>
    <s v="Março"/>
    <s v="SEMANA 2"/>
    <n v="9"/>
    <x v="0"/>
    <s v="Alcibiades G. Quintas"/>
    <s v="Nabo Japonês"/>
    <s v="kg"/>
    <n v="1.5"/>
    <n v="7"/>
    <n v="10.5"/>
  </r>
  <r>
    <s v="Março"/>
    <s v="SEMANA 2"/>
    <n v="9"/>
    <x v="0"/>
    <s v="Alcibiades G. Quintas"/>
    <s v="Rabanete"/>
    <s v="kg"/>
    <n v="2"/>
    <n v="6.8"/>
    <n v="13.6"/>
  </r>
  <r>
    <s v="Março"/>
    <s v="SEMANA 2"/>
    <n v="9"/>
    <x v="0"/>
    <s v="Alcibiades G. Quintas"/>
    <s v="Manga Palmer"/>
    <s v="kg"/>
    <n v="6.38"/>
    <n v="3.9184952978056429"/>
    <n v="25"/>
  </r>
  <r>
    <s v="Março"/>
    <s v="SEMANA 2"/>
    <n v="9"/>
    <x v="0"/>
    <s v="Alcibiades G. Quintas"/>
    <s v="Endivia"/>
    <s v="kg"/>
    <n v="0.5"/>
    <n v="20"/>
    <n v="10"/>
  </r>
  <r>
    <s v="Março"/>
    <s v="SEMANA 2"/>
    <n v="9"/>
    <x v="0"/>
    <s v="Umehara"/>
    <s v="Abacaxi "/>
    <s v="kg"/>
    <n v="15"/>
    <n v="3.75"/>
    <n v="56.25"/>
  </r>
  <r>
    <s v="Março"/>
    <s v="SEMANA 2"/>
    <n v="9"/>
    <x v="0"/>
    <s v="Umehara"/>
    <s v="Côco Verde"/>
    <s v="unid"/>
    <n v="15"/>
    <n v="2"/>
    <n v="30"/>
  </r>
  <r>
    <s v="Março"/>
    <s v="SEMANA 2"/>
    <n v="9"/>
    <x v="0"/>
    <s v="Umehara"/>
    <s v="Coentro"/>
    <s v="kg"/>
    <n v="0.3"/>
    <n v="23"/>
    <n v="6.8999999999999995"/>
  </r>
  <r>
    <s v="Março"/>
    <s v="SEMANA 2"/>
    <n v="9"/>
    <x v="0"/>
    <s v="Umehara"/>
    <s v="Mamão Bahia"/>
    <s v="kg"/>
    <n v="2"/>
    <n v="2.25"/>
    <n v="4.5"/>
  </r>
  <r>
    <s v="Março"/>
    <s v="SEMANA 2"/>
    <n v="9"/>
    <x v="0"/>
    <s v="Umehara"/>
    <s v="Quiabo"/>
    <s v="kg"/>
    <n v="10"/>
    <n v="3.6"/>
    <n v="36"/>
  </r>
  <r>
    <s v="Março"/>
    <s v="SEMANA 2"/>
    <n v="9"/>
    <x v="0"/>
    <s v="Umehara"/>
    <s v="Abacate "/>
    <s v="kg"/>
    <n v="3.8"/>
    <n v="5"/>
    <n v="19"/>
  </r>
  <r>
    <s v="Março"/>
    <s v="SEMANA 2"/>
    <n v="9"/>
    <x v="0"/>
    <s v="Umehara"/>
    <s v="Cebola"/>
    <s v="kg"/>
    <n v="20.2"/>
    <n v="2.6188118811881189"/>
    <n v="52.9"/>
  </r>
  <r>
    <s v="Março"/>
    <s v="SEMANA 2"/>
    <n v="9"/>
    <x v="0"/>
    <s v="Umehara"/>
    <s v="Batata Baroa"/>
    <s v="kg"/>
    <n v="6"/>
    <n v="5.25"/>
    <n v="31.5"/>
  </r>
  <r>
    <s v="Março"/>
    <s v="SEMANA 2"/>
    <n v="9"/>
    <x v="0"/>
    <s v="Umehara"/>
    <s v="Limão"/>
    <s v="kg"/>
    <n v="23.96"/>
    <n v="1.6235392320534223"/>
    <n v="38.9"/>
  </r>
  <r>
    <s v="Março"/>
    <s v="SEMANA 2"/>
    <n v="9"/>
    <x v="0"/>
    <s v="Umehara"/>
    <s v="Limão Siciliano"/>
    <s v="kg"/>
    <n v="1"/>
    <n v="10.25"/>
    <n v="10.25"/>
  </r>
  <r>
    <s v="Março"/>
    <s v="SEMANA 2"/>
    <n v="8"/>
    <x v="1"/>
    <s v="Mix Certo (Zamboni)"/>
    <s v="Vinagre de Arroz (cozinha)"/>
    <s v="unid"/>
    <n v="7"/>
    <n v="3.87"/>
    <n v="27.09"/>
  </r>
  <r>
    <s v="Março"/>
    <s v="SEMANA 2"/>
    <n v="9"/>
    <x v="6"/>
    <s v="Alcibiades G. Quintas"/>
    <s v="Nabo Japonês Sushi"/>
    <s v="kg"/>
    <n v="1"/>
    <n v="7"/>
    <n v="7"/>
  </r>
  <r>
    <s v="Março"/>
    <s v="SEMANA 2"/>
    <n v="9"/>
    <x v="6"/>
    <s v="DM Com. Pescados"/>
    <s v="Pescados - Atum Fresco Sushi"/>
    <s v="kg"/>
    <n v="20"/>
    <n v="14.9"/>
    <n v="298"/>
  </r>
  <r>
    <s v="Março"/>
    <s v="SEMANA 2"/>
    <n v="9"/>
    <x v="9"/>
    <s v="M2HP"/>
    <s v="Torta Capuccino Diet"/>
    <s v="fatia"/>
    <n v="10"/>
    <n v="5.891"/>
    <n v="58.91"/>
  </r>
  <r>
    <s v="Março"/>
    <s v="SEMANA 2"/>
    <n v="9"/>
    <x v="9"/>
    <s v="M2HP"/>
    <s v="Torta Mousse de Chocolate Diet"/>
    <s v="fatia"/>
    <n v="12"/>
    <n v="4.9091666666666667"/>
    <n v="58.91"/>
  </r>
  <r>
    <s v="Março"/>
    <s v="SEMANA 2"/>
    <n v="9"/>
    <x v="6"/>
    <s v="Alcibiades G. Quintas"/>
    <s v="Cebolinha Verde Sushi"/>
    <s v="kg"/>
    <n v="0.39800000000000002"/>
    <n v="7"/>
    <n v="2.786"/>
  </r>
  <r>
    <s v="Março"/>
    <s v="SEMANA 2"/>
    <n v="8"/>
    <x v="6"/>
    <s v="Alcibiades G. Quintas"/>
    <s v="Pepino Japonês Sushi"/>
    <s v="kg"/>
    <n v="0.47599999999999998"/>
    <n v="2.8880866425992777"/>
    <n v="1.3747292418772561"/>
  </r>
  <r>
    <s v="Março"/>
    <s v="SEMANA 2"/>
    <n v="10"/>
    <x v="1"/>
    <s v="Planeta Gelo"/>
    <s v="Gelo em Escamas"/>
    <s v="saco"/>
    <n v="2"/>
    <n v="7.5"/>
    <n v="15"/>
  </r>
  <r>
    <s v="Março"/>
    <s v="SEMANA 2"/>
    <n v="10"/>
    <x v="1"/>
    <s v="Planeta Gelo"/>
    <s v="Gelo em Cubo"/>
    <s v="saco"/>
    <n v="3"/>
    <n v="7.5"/>
    <n v="22.5"/>
  </r>
  <r>
    <s v="Março"/>
    <s v="SEMANA 2"/>
    <n v="10"/>
    <x v="0"/>
    <s v="Alcibiades G. Quintas"/>
    <s v="Batata Doce"/>
    <s v="kg"/>
    <n v="19.96"/>
    <n v="1.8036072144288577"/>
    <n v="36"/>
  </r>
  <r>
    <s v="Março"/>
    <s v="SEMANA 2"/>
    <n v="10"/>
    <x v="0"/>
    <s v="Alcibiades G. Quintas"/>
    <s v="Batata Calabresa"/>
    <s v="kg"/>
    <n v="2"/>
    <n v="4"/>
    <n v="8"/>
  </r>
  <r>
    <s v="Março"/>
    <s v="SEMANA 2"/>
    <n v="10"/>
    <x v="0"/>
    <s v="Alcibiades G. Quintas"/>
    <s v="Pepino Japonês"/>
    <s v="kg"/>
    <n v="6"/>
    <n v="3.8"/>
    <n v="22.799999999999997"/>
  </r>
  <r>
    <s v="Março"/>
    <s v="SEMANA 2"/>
    <n v="10"/>
    <x v="0"/>
    <s v="Alcibiades G. Quintas"/>
    <s v="Pimentão Verde"/>
    <s v="kg"/>
    <n v="1"/>
    <n v="4"/>
    <n v="4"/>
  </r>
  <r>
    <s v="Março"/>
    <s v="SEMANA 2"/>
    <n v="10"/>
    <x v="0"/>
    <s v="Alcibiades G. Quintas"/>
    <s v="Pimentão Amarelo"/>
    <s v="kg"/>
    <n v="1"/>
    <n v="12"/>
    <n v="12"/>
  </r>
  <r>
    <s v="Março"/>
    <s v="SEMANA 2"/>
    <n v="10"/>
    <x v="0"/>
    <s v="Alcibiades G. Quintas"/>
    <s v="Pimentão Vermelho"/>
    <s v="kg"/>
    <n v="1"/>
    <n v="12"/>
    <n v="12"/>
  </r>
  <r>
    <s v="Março"/>
    <s v="SEMANA 2"/>
    <n v="10"/>
    <x v="0"/>
    <s v="Alcibiades G. Quintas"/>
    <s v="Tomate Molho"/>
    <s v="kg"/>
    <n v="21.6"/>
    <n v="2.7777777777777777"/>
    <n v="60"/>
  </r>
  <r>
    <s v="Março"/>
    <s v="SEMANA 2"/>
    <n v="10"/>
    <x v="0"/>
    <s v="Alcibiades G. Quintas"/>
    <s v="Tomate Salada"/>
    <s v="kg"/>
    <n v="21.62"/>
    <n v="2.7752081406105455"/>
    <n v="60"/>
  </r>
  <r>
    <s v="Março"/>
    <s v="SEMANA 2"/>
    <n v="10"/>
    <x v="0"/>
    <s v="Alcibiades G. Quintas"/>
    <s v="Alface Americana    "/>
    <s v="kg"/>
    <n v="6.44"/>
    <n v="5.5900621118012417"/>
    <n v="36"/>
  </r>
  <r>
    <s v="Março"/>
    <s v="SEMANA 2"/>
    <n v="10"/>
    <x v="0"/>
    <s v="Alcibiades G. Quintas"/>
    <s v="Cebolinha Verde"/>
    <s v="kg"/>
    <n v="1.5"/>
    <n v="7"/>
    <n v="10.5"/>
  </r>
  <r>
    <s v="Março"/>
    <s v="SEMANA 2"/>
    <n v="10"/>
    <x v="0"/>
    <s v="Alcibiades G. Quintas"/>
    <s v="Hortelã"/>
    <s v="kg"/>
    <n v="1"/>
    <n v="4"/>
    <n v="4"/>
  </r>
  <r>
    <s v="Março"/>
    <s v="SEMANA 2"/>
    <n v="10"/>
    <x v="0"/>
    <s v="Alcibiades G. Quintas"/>
    <s v="Manjericão"/>
    <s v="kg"/>
    <n v="0.3"/>
    <n v="10"/>
    <n v="3"/>
  </r>
  <r>
    <s v="Março"/>
    <s v="SEMANA 2"/>
    <n v="10"/>
    <x v="0"/>
    <s v="Alcibiades G. Quintas"/>
    <s v="Rúcula"/>
    <s v="kg"/>
    <n v="4"/>
    <n v="8"/>
    <n v="32"/>
  </r>
  <r>
    <s v="Março"/>
    <s v="SEMANA 2"/>
    <n v="10"/>
    <x v="0"/>
    <s v="Alcibiades G. Quintas"/>
    <s v="Salsa"/>
    <s v="kg"/>
    <n v="1"/>
    <n v="7"/>
    <n v="7"/>
  </r>
  <r>
    <s v="Março"/>
    <s v="SEMANA 2"/>
    <n v="10"/>
    <x v="0"/>
    <s v="Alcibiades G. Quintas"/>
    <s v="Capim Limão"/>
    <s v="kg"/>
    <n v="0.1"/>
    <n v="15"/>
    <n v="1.5"/>
  </r>
  <r>
    <s v="Março"/>
    <s v="SEMANA 2"/>
    <n v="10"/>
    <x v="0"/>
    <s v="Alcibiades G. Quintas"/>
    <s v="Abacate "/>
    <s v="kg"/>
    <n v="9"/>
    <n v="6"/>
    <n v="54"/>
  </r>
  <r>
    <s v="Março"/>
    <s v="SEMANA 2"/>
    <n v="10"/>
    <x v="0"/>
    <s v="Alcibiades G. Quintas"/>
    <s v="Laranja Pera"/>
    <s v="kg"/>
    <n v="39.86"/>
    <n v="1.6557952834922227"/>
    <n v="66"/>
  </r>
  <r>
    <s v="Março"/>
    <s v="SEMANA 2"/>
    <n v="10"/>
    <x v="0"/>
    <s v="Alcibiades G. Quintas"/>
    <s v="Manga Palmer"/>
    <s v="kg"/>
    <n v="12.7"/>
    <n v="3.9370078740157481"/>
    <n v="50"/>
  </r>
  <r>
    <s v="Março"/>
    <s v="SEMANA 2"/>
    <n v="10"/>
    <x v="6"/>
    <s v="Alcibiades G. Quintas"/>
    <s v="Manga Tommy Sushi"/>
    <s v="kg"/>
    <n v="1"/>
    <n v="4.5"/>
    <n v="4.5"/>
  </r>
  <r>
    <s v="Março"/>
    <s v="SEMANA 2"/>
    <n v="10"/>
    <x v="0"/>
    <s v="Alcibiades G. Quintas"/>
    <s v="Melão Orange"/>
    <s v="kg"/>
    <n v="2"/>
    <n v="4.8"/>
    <n v="9.6"/>
  </r>
  <r>
    <s v="Março"/>
    <s v="SEMANA 2"/>
    <n v="10"/>
    <x v="0"/>
    <s v="Alcibiades G. Quintas"/>
    <s v="Pera"/>
    <s v="kg"/>
    <n v="1"/>
    <n v="8"/>
    <n v="8"/>
  </r>
  <r>
    <s v="Março"/>
    <s v="SEMANA 2"/>
    <n v="10"/>
    <x v="0"/>
    <s v="Umehara"/>
    <s v="Abacaxi "/>
    <s v="kg"/>
    <n v="20"/>
    <n v="3.75"/>
    <n v="75"/>
  </r>
  <r>
    <s v="Março"/>
    <s v="SEMANA 2"/>
    <n v="10"/>
    <x v="0"/>
    <s v="Umehara"/>
    <s v="Beterraba"/>
    <s v="kg"/>
    <n v="8"/>
    <n v="1.98"/>
    <n v="15.84"/>
  </r>
  <r>
    <s v="Março"/>
    <s v="SEMANA 2"/>
    <n v="10"/>
    <x v="0"/>
    <s v="Umehara"/>
    <s v="Côco Verde"/>
    <s v="unid"/>
    <n v="25"/>
    <n v="2"/>
    <n v="50"/>
  </r>
  <r>
    <s v="Março"/>
    <s v="SEMANA 2"/>
    <n v="10"/>
    <x v="0"/>
    <s v="Umehara"/>
    <s v="Coentro"/>
    <s v="kg"/>
    <n v="1"/>
    <n v="23"/>
    <n v="23"/>
  </r>
  <r>
    <s v="Março"/>
    <s v="SEMANA 2"/>
    <n v="10"/>
    <x v="0"/>
    <s v="Umehara"/>
    <s v="Kiwi"/>
    <s v="kg"/>
    <n v="1"/>
    <n v="14.3"/>
    <n v="14.3"/>
  </r>
  <r>
    <s v="Março"/>
    <s v="SEMANA 2"/>
    <n v="10"/>
    <x v="0"/>
    <s v="Umehara"/>
    <s v="Mamão Bahia"/>
    <s v="kg"/>
    <n v="3"/>
    <n v="2.75"/>
    <n v="8.25"/>
  </r>
  <r>
    <s v="Março"/>
    <s v="SEMANA 2"/>
    <n v="10"/>
    <x v="0"/>
    <s v="Umehara"/>
    <s v="Melância"/>
    <s v="kg"/>
    <n v="10"/>
    <n v="1.52"/>
    <n v="15.2"/>
  </r>
  <r>
    <s v="Março"/>
    <s v="SEMANA 2"/>
    <n v="10"/>
    <x v="0"/>
    <s v="Umehara"/>
    <s v="Cebola"/>
    <s v="kg"/>
    <n v="19.96"/>
    <n v="2.6503006012024044"/>
    <n v="52.899999999999991"/>
  </r>
  <r>
    <s v="Março"/>
    <s v="SEMANA 2"/>
    <n v="10"/>
    <x v="0"/>
    <s v="Umehara"/>
    <s v="Abobora"/>
    <s v="kg"/>
    <n v="10"/>
    <n v="1.99"/>
    <n v="19.899999999999999"/>
  </r>
  <r>
    <s v="Março"/>
    <s v="SEMANA 2"/>
    <n v="10"/>
    <x v="0"/>
    <s v="Umehara"/>
    <s v="Cebola Roxa"/>
    <s v="kg"/>
    <n v="2"/>
    <n v="3.15"/>
    <n v="6.3"/>
  </r>
  <r>
    <s v="Março"/>
    <s v="SEMANA 2"/>
    <n v="10"/>
    <x v="0"/>
    <s v="Umehara"/>
    <s v="Ovos Extra"/>
    <s v="unid"/>
    <n v="360"/>
    <n v="0.29722222222222222"/>
    <n v="107"/>
  </r>
  <r>
    <s v="Março"/>
    <s v="SEMANA 2"/>
    <n v="10"/>
    <x v="6"/>
    <s v="Umehara"/>
    <s v="Salsa Crespa Sushi"/>
    <s v="kg"/>
    <n v="0.1"/>
    <n v="13"/>
    <n v="1.3"/>
  </r>
  <r>
    <s v="Março"/>
    <s v="SEMANA 2"/>
    <n v="10"/>
    <x v="1"/>
    <s v="Mercadinho Bambina"/>
    <s v="Pão Árabe"/>
    <s v="pcte"/>
    <n v="5"/>
    <n v="6.7"/>
    <n v="33.5"/>
  </r>
  <r>
    <s v="Março"/>
    <s v="SEMANA 2"/>
    <n v="10"/>
    <x v="1"/>
    <s v="Mercadinho Bambina"/>
    <s v="Yogurt de Pessego"/>
    <s v="unid"/>
    <n v="1"/>
    <n v="7.98"/>
    <n v="7.98"/>
  </r>
  <r>
    <s v="Março"/>
    <s v="SEMANA 2"/>
    <n v="11"/>
    <x v="1"/>
    <s v="Planeta Gelo"/>
    <s v="Gelo em Escamas"/>
    <s v="saco"/>
    <n v="1"/>
    <n v="7.5"/>
    <n v="7.5"/>
  </r>
  <r>
    <s v="Março"/>
    <s v="SEMANA 2"/>
    <n v="11"/>
    <x v="1"/>
    <s v="Planeta Gelo"/>
    <s v="Gelo em Cubo"/>
    <s v="saco"/>
    <n v="3"/>
    <n v="7.5"/>
    <n v="22.5"/>
  </r>
  <r>
    <s v="Março"/>
    <s v="SEMANA 2"/>
    <n v="11"/>
    <x v="1"/>
    <s v="Mercadinho Bambina"/>
    <s v="Pão de Forma"/>
    <s v="pcte"/>
    <n v="1"/>
    <n v="4.8899999999999997"/>
    <n v="4.8899999999999997"/>
  </r>
  <r>
    <s v="Março"/>
    <s v="SEMANA 2"/>
    <n v="11"/>
    <x v="1"/>
    <s v="Mercadinho Bambina"/>
    <s v="Pão Rabanada"/>
    <s v="unid"/>
    <n v="10"/>
    <n v="5.4290000000000003"/>
    <n v="54.290000000000006"/>
  </r>
  <r>
    <s v="Março"/>
    <s v="SEMANA 2"/>
    <n v="11"/>
    <x v="0"/>
    <s v="Mercadinho Bambina"/>
    <s v="Abobrinha "/>
    <s v="kg"/>
    <n v="2.2589999999999999"/>
    <n v="3.98"/>
    <n v="8.9908199999999994"/>
  </r>
  <r>
    <s v="Março"/>
    <s v="SEMANA 2"/>
    <n v="11"/>
    <x v="0"/>
    <s v="Super Mercado Zonasul"/>
    <s v="Salsa"/>
    <s v="kg"/>
    <n v="0.6"/>
    <n v="26.533333333333335"/>
    <n v="15.92"/>
  </r>
  <r>
    <s v="Março"/>
    <s v="SEMANA 2"/>
    <n v="11"/>
    <x v="1"/>
    <s v="Mercadinho Bambina"/>
    <s v="Aveia Quaker Flocos cx 200g"/>
    <s v="pcte"/>
    <n v="2"/>
    <n v="3.98"/>
    <n v="7.96"/>
  </r>
  <r>
    <s v="Março"/>
    <s v="SEMANA 2"/>
    <n v="11"/>
    <x v="0"/>
    <s v="Super Mercado Zonasul"/>
    <s v="Abobrinha "/>
    <s v="kg"/>
    <n v="6.7549999999999999"/>
    <n v="3.3886010362694301"/>
    <n v="22.89"/>
  </r>
  <r>
    <s v="Março"/>
    <s v="SEMANA 3"/>
    <n v="12"/>
    <x v="1"/>
    <s v="Feira"/>
    <s v="Massa de Pastel"/>
    <s v="kg"/>
    <n v="32.700000000000003"/>
    <n v="7.4923547400611614"/>
    <n v="245"/>
  </r>
  <r>
    <s v="Março"/>
    <s v="SEMANA 3"/>
    <n v="12"/>
    <x v="0"/>
    <s v="Feira"/>
    <s v="Aipim"/>
    <s v="kg"/>
    <n v="20"/>
    <n v="5"/>
    <n v="100"/>
  </r>
  <r>
    <s v="Março"/>
    <s v="SEMANA 3"/>
    <n v="12"/>
    <x v="0"/>
    <s v="Feira"/>
    <s v="Alface Americana    "/>
    <s v="kg"/>
    <n v="3.1859999999999999"/>
    <n v="9.4161958568738235"/>
    <n v="30"/>
  </r>
  <r>
    <s v="Março"/>
    <s v="SEMANA 3"/>
    <n v="12"/>
    <x v="1"/>
    <s v="Planeta Gelo"/>
    <s v="Gelo em Escamas"/>
    <s v="saco"/>
    <n v="1"/>
    <n v="7.5"/>
    <n v="7.5"/>
  </r>
  <r>
    <s v="Março"/>
    <s v="SEMANA 3"/>
    <n v="12"/>
    <x v="1"/>
    <s v="Planeta Gelo"/>
    <s v="Gelo em Cubo"/>
    <s v="saco"/>
    <n v="5"/>
    <n v="7.5"/>
    <n v="37.5"/>
  </r>
  <r>
    <s v="Março"/>
    <s v="SEMANA 3"/>
    <n v="12"/>
    <x v="0"/>
    <s v="Alcibiades G. Quintas"/>
    <s v="Abobrinha "/>
    <s v="kg"/>
    <n v="15.72"/>
    <n v="2.5445292620865141"/>
    <n v="40"/>
  </r>
  <r>
    <s v="Março"/>
    <s v="SEMANA 2"/>
    <n v="10"/>
    <x v="0"/>
    <s v="Alcibiades G. Quintas"/>
    <s v="Abobora"/>
    <s v="kg"/>
    <n v="7"/>
    <n v="3.2"/>
    <n v="22.400000000000002"/>
  </r>
  <r>
    <s v="Março"/>
    <s v="SEMANA 2"/>
    <n v="10"/>
    <x v="0"/>
    <s v="Alcibiades G. Quintas"/>
    <s v="Abobora Moranga"/>
    <s v="kg"/>
    <n v="10.8"/>
    <n v="3.8"/>
    <n v="41.04"/>
  </r>
  <r>
    <s v="Março"/>
    <s v="SEMANA 3"/>
    <n v="12"/>
    <x v="0"/>
    <s v="Alcibiades G. Quintas"/>
    <s v="Batata HBT"/>
    <s v="kg"/>
    <n v="25"/>
    <n v="1.8"/>
    <n v="45"/>
  </r>
  <r>
    <s v="Março"/>
    <s v="SEMANA 3"/>
    <n v="12"/>
    <x v="0"/>
    <s v="Alcibiades G. Quintas"/>
    <s v="Batata Yacon"/>
    <s v="kg"/>
    <n v="0.5"/>
    <n v="8"/>
    <n v="4"/>
  </r>
  <r>
    <s v="Março"/>
    <s v="SEMANA 3"/>
    <n v="12"/>
    <x v="0"/>
    <s v="Alcibiades G. Quintas"/>
    <s v="Berinjela"/>
    <s v="kg"/>
    <n v="10.58"/>
    <n v="1.890359168241966"/>
    <n v="20"/>
  </r>
  <r>
    <s v="Março"/>
    <s v="SEMANA 3"/>
    <n v="12"/>
    <x v="0"/>
    <s v="Alcibiades G. Quintas"/>
    <s v="Cenoura"/>
    <s v="kg"/>
    <n v="20.2"/>
    <n v="2.4752475247524752"/>
    <n v="50"/>
  </r>
  <r>
    <s v="Março"/>
    <s v="SEMANA 3"/>
    <n v="12"/>
    <x v="0"/>
    <s v="Alcibiades G. Quintas"/>
    <s v="Chuchu"/>
    <s v="kg"/>
    <n v="16.2"/>
    <n v="1.5432098765432098"/>
    <n v="25"/>
  </r>
  <r>
    <s v="Março"/>
    <s v="SEMANA 3"/>
    <n v="12"/>
    <x v="0"/>
    <s v="Alcibiades G. Quintas"/>
    <s v="Pepino Japonês"/>
    <s v="kg"/>
    <n v="18.655000000000001"/>
    <n v="2.4793388429752068"/>
    <n v="46.252066115702483"/>
  </r>
  <r>
    <s v="Março"/>
    <s v="SEMANA 3"/>
    <n v="12"/>
    <x v="0"/>
    <s v="Alcibiades G. Quintas"/>
    <s v="Tomate Salada"/>
    <s v="kg"/>
    <n v="20.86"/>
    <n v="2.8763183125599232"/>
    <n v="60"/>
  </r>
  <r>
    <s v="Março"/>
    <s v="SEMANA 3"/>
    <n v="12"/>
    <x v="0"/>
    <s v="Alcibiades G. Quintas"/>
    <s v="Vagem Macarrão"/>
    <s v="kg"/>
    <n v="4"/>
    <n v="8"/>
    <n v="32"/>
  </r>
  <r>
    <s v="Março"/>
    <s v="SEMANA 3"/>
    <n v="12"/>
    <x v="0"/>
    <s v="Alcibiades G. Quintas"/>
    <s v="Ovos Extra"/>
    <s v="kg"/>
    <n v="360"/>
    <n v="0.30555555555555558"/>
    <n v="110.00000000000001"/>
  </r>
  <r>
    <s v="Março"/>
    <s v="SEMANA 3"/>
    <n v="12"/>
    <x v="0"/>
    <s v="Alcibiades G. Quintas"/>
    <s v="Brócolis Americano"/>
    <s v="kg"/>
    <n v="20"/>
    <n v="12"/>
    <n v="240"/>
  </r>
  <r>
    <s v="Março"/>
    <s v="SEMANA 3"/>
    <n v="12"/>
    <x v="0"/>
    <s v="Alcibiades G. Quintas"/>
    <s v="Cebolinha Verde"/>
    <s v="kg"/>
    <n v="1"/>
    <n v="7"/>
    <n v="7"/>
  </r>
  <r>
    <s v="Março"/>
    <s v="SEMANA 3"/>
    <n v="12"/>
    <x v="0"/>
    <s v="Alcibiades G. Quintas"/>
    <s v="Coentro"/>
    <s v="kg"/>
    <n v="0.3"/>
    <n v="25"/>
    <n v="7.5"/>
  </r>
  <r>
    <s v="Março"/>
    <s v="SEMANA 3"/>
    <n v="12"/>
    <x v="0"/>
    <s v="Alcibiades G. Quintas"/>
    <s v="Hortelã"/>
    <s v="kg"/>
    <n v="0.5"/>
    <n v="4"/>
    <n v="2"/>
  </r>
  <r>
    <s v="Março"/>
    <s v="SEMANA 3"/>
    <n v="12"/>
    <x v="0"/>
    <s v="Alcibiades G. Quintas"/>
    <s v="Salsa"/>
    <s v="kg"/>
    <n v="1"/>
    <n v="7"/>
    <n v="7"/>
  </r>
  <r>
    <s v="Março"/>
    <s v="SEMANA 3"/>
    <n v="12"/>
    <x v="0"/>
    <s v="Alcibiades G. Quintas"/>
    <s v="Tomilho"/>
    <s v="kg"/>
    <n v="0.2"/>
    <n v="20"/>
    <n v="4"/>
  </r>
  <r>
    <s v="Março"/>
    <s v="SEMANA 3"/>
    <n v="12"/>
    <x v="0"/>
    <s v="Alcibiades G. Quintas"/>
    <s v="Goiaba"/>
    <s v="kg"/>
    <n v="2.6"/>
    <n v="7.6923076923076916"/>
    <n v="20"/>
  </r>
  <r>
    <s v="Março"/>
    <s v="SEMANA 3"/>
    <n v="12"/>
    <x v="0"/>
    <s v="Alcibiades G. Quintas"/>
    <s v="Kiwi"/>
    <s v="kg"/>
    <n v="0.5"/>
    <n v="15"/>
    <n v="7.5"/>
  </r>
  <r>
    <s v="Março"/>
    <s v="SEMANA 3"/>
    <n v="12"/>
    <x v="0"/>
    <s v="Alcibiades G. Quintas"/>
    <s v="Laranja Pera"/>
    <s v="kg"/>
    <n v="40.659999999999997"/>
    <n v="1.6232169208066898"/>
    <n v="66"/>
  </r>
  <r>
    <s v="Março"/>
    <s v="SEMANA 3"/>
    <n v="12"/>
    <x v="0"/>
    <s v="Alcibiades G. Quintas"/>
    <s v="Manga Palmer"/>
    <s v="kg"/>
    <n v="6.34"/>
    <n v="3.9432176656151419"/>
    <n v="25"/>
  </r>
  <r>
    <s v="Março"/>
    <s v="SEMANA 3"/>
    <n v="12"/>
    <x v="0"/>
    <s v="Alcibiades G. Quintas"/>
    <s v="Melão Orange"/>
    <s v="kg"/>
    <n v="1.8"/>
    <n v="4.8"/>
    <n v="8.64"/>
  </r>
  <r>
    <s v="Março"/>
    <s v="SEMANA 3"/>
    <n v="12"/>
    <x v="2"/>
    <s v="Frigorifico Jahu"/>
    <s v="Pescados - Camarão IQF Evisc. 51/60"/>
    <s v="kg"/>
    <n v="6"/>
    <n v="69.900000000000006"/>
    <n v="419.40000000000003"/>
  </r>
  <r>
    <s v="Março"/>
    <s v="SEMANA 3"/>
    <n v="12"/>
    <x v="0"/>
    <s v="Sitio do Moinho"/>
    <s v="Cenoura Orgânica"/>
    <s v="kg"/>
    <n v="6.07"/>
    <n v="7.75"/>
    <n v="47.042500000000004"/>
  </r>
  <r>
    <s v="Março"/>
    <s v="SEMANA 3"/>
    <n v="12"/>
    <x v="1"/>
    <s v="Top Alto"/>
    <s v="Batata Palito 9M"/>
    <s v="kg"/>
    <n v="12.5"/>
    <n v="6.58"/>
    <n v="82.25"/>
  </r>
  <r>
    <s v="Março"/>
    <s v="SEMANA 3"/>
    <n v="12"/>
    <x v="5"/>
    <s v="Top Alto"/>
    <s v="Queijo Parmezon"/>
    <s v="kg"/>
    <n v="6.2"/>
    <n v="24.96"/>
    <n v="154.75200000000001"/>
  </r>
  <r>
    <s v="Março"/>
    <s v="SEMANA 3"/>
    <n v="12"/>
    <x v="5"/>
    <s v="Laticinios Alhambra"/>
    <s v="Creme de Leite Culinário 20% Bd 10 Lt"/>
    <s v="bd"/>
    <n v="2"/>
    <n v="142.44999999999999"/>
    <n v="284.89999999999998"/>
  </r>
  <r>
    <s v="Março"/>
    <s v="SEMANA 3"/>
    <n v="12"/>
    <x v="5"/>
    <s v="Laticinios Alhambra"/>
    <s v="Queijo Requeijão BD 3,6 Kg"/>
    <s v="bd"/>
    <n v="1"/>
    <n v="74.400000000000006"/>
    <n v="74.400000000000006"/>
  </r>
  <r>
    <s v="Março"/>
    <s v="SEMANA 3"/>
    <n v="12"/>
    <x v="2"/>
    <s v="Reginaves"/>
    <s v="Aves - Filé de Peito de Frango"/>
    <s v="kg"/>
    <n v="48"/>
    <n v="7.8"/>
    <n v="374.4"/>
  </r>
  <r>
    <s v="Março"/>
    <s v="SEMANA 3"/>
    <n v="12"/>
    <x v="2"/>
    <s v="Marfrig"/>
    <s v="Carne Bovina - Filé Mignon 3/4"/>
    <s v="kg"/>
    <n v="20.872"/>
    <n v="32.653100000000002"/>
    <n v="681.53550319999999"/>
  </r>
  <r>
    <s v="Março"/>
    <s v="SEMANA 3"/>
    <n v="12"/>
    <x v="2"/>
    <s v="Barrinhas"/>
    <s v="Pescados - Bacalhau Salgado"/>
    <s v="kg"/>
    <n v="25"/>
    <n v="54.915200000000006"/>
    <n v="1372.88"/>
  </r>
  <r>
    <s v="Março"/>
    <s v="SEMANA 3"/>
    <n v="12"/>
    <x v="0"/>
    <s v="Sitio do Moinho"/>
    <s v="Alface crespa Orgânica"/>
    <s v="kg"/>
    <n v="2.46"/>
    <n v="11.67560162601626"/>
    <n v="28.721979999999999"/>
  </r>
  <r>
    <s v="Março"/>
    <s v="SEMANA 3"/>
    <n v="12"/>
    <x v="0"/>
    <s v="Sitio do Moinho"/>
    <s v="Alface Roxa Orgânica"/>
    <s v="kg"/>
    <n v="2.08"/>
    <n v="11.128384615384615"/>
    <n v="23.147040000000001"/>
  </r>
  <r>
    <s v="Março"/>
    <s v="SEMANA 3"/>
    <n v="12"/>
    <x v="0"/>
    <s v="Sitio do Moinho"/>
    <s v="Rúcula Orgânica"/>
    <s v="kg"/>
    <n v="2"/>
    <n v="17.512999999999998"/>
    <n v="35.025999999999996"/>
  </r>
  <r>
    <s v="Março"/>
    <s v="SEMANA 3"/>
    <n v="13"/>
    <x v="1"/>
    <s v="Super Mercado Zonasul"/>
    <s v="Tapioca Granulada "/>
    <s v="kg"/>
    <n v="1"/>
    <n v="17.100000000000001"/>
    <n v="17.100000000000001"/>
  </r>
  <r>
    <s v="Março"/>
    <s v="SEMANA 3"/>
    <n v="13"/>
    <x v="0"/>
    <s v="Rioaves"/>
    <s v="Ovo de Codorna"/>
    <s v="pcte"/>
    <n v="20"/>
    <n v="10.6"/>
    <n v="212"/>
  </r>
  <r>
    <s v="Março"/>
    <s v="SEMANA 3"/>
    <n v="12"/>
    <x v="0"/>
    <s v="Super Mercado Zonasul"/>
    <s v="Alface Americana    "/>
    <s v="kg"/>
    <n v="3.5"/>
    <n v="10.26"/>
    <n v="35.909999999999997"/>
  </r>
  <r>
    <s v="Março"/>
    <s v="SEMANA 3"/>
    <n v="13"/>
    <x v="0"/>
    <s v="Hortifrut São Clemente"/>
    <s v="Rúcula"/>
    <s v="kg"/>
    <n v="1.66"/>
    <n v="16.867469879518072"/>
    <n v="28"/>
  </r>
  <r>
    <s v="Março"/>
    <s v="SEMANA 3"/>
    <n v="13"/>
    <x v="0"/>
    <s v="Hortifrut São Clemente"/>
    <s v="Alface Americana    "/>
    <s v="kg"/>
    <n v="4.58"/>
    <n v="4.890829694323144"/>
    <n v="22.4"/>
  </r>
  <r>
    <s v="Março"/>
    <s v="SEMANA 3"/>
    <n v="13"/>
    <x v="2"/>
    <s v="Mar e Terra"/>
    <s v="Pescados - Filé Tilápia Cong."/>
    <s v="kg"/>
    <n v="24"/>
    <n v="26.3"/>
    <n v="631.20000000000005"/>
  </r>
  <r>
    <s v="Março"/>
    <s v="SEMANA 3"/>
    <n v="13"/>
    <x v="0"/>
    <s v="Alcibiades G. Quintas"/>
    <s v="Abobrinha "/>
    <s v="kg"/>
    <n v="16.14"/>
    <n v="2.4783147459727384"/>
    <n v="40"/>
  </r>
  <r>
    <s v="Março"/>
    <s v="SEMANA 3"/>
    <n v="13"/>
    <x v="0"/>
    <s v="Alcibiades G. Quintas"/>
    <s v="Batata Doce"/>
    <s v="kg"/>
    <n v="18.579999999999998"/>
    <n v="1.9375672766415502"/>
    <n v="36"/>
  </r>
  <r>
    <s v="Março"/>
    <s v="SEMANA 3"/>
    <n v="13"/>
    <x v="0"/>
    <s v="Alcibiades G. Quintas"/>
    <s v="Berinjela"/>
    <s v="kg"/>
    <n v="11.04"/>
    <n v="1.8115942028985508"/>
    <n v="20"/>
  </r>
  <r>
    <s v="Março"/>
    <s v="SEMANA 3"/>
    <n v="13"/>
    <x v="0"/>
    <s v="Alcibiades G. Quintas"/>
    <s v="Pimentão Verde"/>
    <s v="kg"/>
    <n v="1"/>
    <n v="4"/>
    <n v="4"/>
  </r>
  <r>
    <s v="Março"/>
    <s v="SEMANA 3"/>
    <n v="13"/>
    <x v="0"/>
    <s v="Alcibiades G. Quintas"/>
    <s v="Quiabo"/>
    <s v="kg"/>
    <n v="6"/>
    <n v="3.6"/>
    <n v="21.6"/>
  </r>
  <r>
    <s v="Março"/>
    <s v="SEMANA 3"/>
    <n v="13"/>
    <x v="0"/>
    <s v="Alcibiades G. Quintas"/>
    <s v="Repolho"/>
    <s v="kg"/>
    <n v="4"/>
    <n v="2"/>
    <n v="8"/>
  </r>
  <r>
    <s v="Março"/>
    <s v="SEMANA 3"/>
    <n v="13"/>
    <x v="0"/>
    <s v="Alcibiades G. Quintas"/>
    <s v="Vagem Macarrão"/>
    <s v="kg"/>
    <n v="5"/>
    <n v="8"/>
    <n v="40"/>
  </r>
  <r>
    <s v="Março"/>
    <s v="SEMANA 3"/>
    <n v="13"/>
    <x v="0"/>
    <s v="Alcibiades G. Quintas"/>
    <s v="Cebolinha Verde"/>
    <s v="kg"/>
    <n v="0.5"/>
    <n v="7"/>
    <n v="3.5"/>
  </r>
  <r>
    <s v="Março"/>
    <s v="SEMANA 3"/>
    <n v="13"/>
    <x v="0"/>
    <s v="Alcibiades G. Quintas"/>
    <s v="Espinafre"/>
    <s v="kg"/>
    <n v="5"/>
    <n v="6"/>
    <n v="30"/>
  </r>
  <r>
    <s v="Março"/>
    <s v="SEMANA 3"/>
    <n v="13"/>
    <x v="0"/>
    <s v="Alcibiades G. Quintas"/>
    <s v="Hortelã"/>
    <s v="kg"/>
    <n v="0.5"/>
    <n v="4"/>
    <n v="2"/>
  </r>
  <r>
    <s v="Março"/>
    <s v="SEMANA 3"/>
    <n v="13"/>
    <x v="0"/>
    <s v="Alcibiades G. Quintas"/>
    <s v="Manjericão"/>
    <s v="kg"/>
    <n v="0.5"/>
    <n v="10"/>
    <n v="5"/>
  </r>
  <r>
    <s v="Março"/>
    <s v="SEMANA 3"/>
    <n v="13"/>
    <x v="0"/>
    <s v="Alcibiades G. Quintas"/>
    <s v="Rabanete"/>
    <s v="kg"/>
    <n v="3.5"/>
    <n v="6.8"/>
    <n v="23.8"/>
  </r>
  <r>
    <s v="Março"/>
    <s v="SEMANA 3"/>
    <n v="13"/>
    <x v="0"/>
    <s v="Alcibiades G. Quintas"/>
    <s v="Tofu Kilo"/>
    <s v="kg"/>
    <n v="3"/>
    <n v="14"/>
    <n v="42"/>
  </r>
  <r>
    <s v="Março"/>
    <s v="SEMANA 3"/>
    <n v="13"/>
    <x v="0"/>
    <s v="Alcibiades G. Quintas"/>
    <s v="Abacaxi "/>
    <s v="kg"/>
    <n v="6"/>
    <n v="3"/>
    <n v="18"/>
  </r>
  <r>
    <s v="Março"/>
    <s v="SEMANA 3"/>
    <n v="13"/>
    <x v="0"/>
    <s v="Alcibiades G. Quintas"/>
    <s v="Laranja Pera"/>
    <s v="kg"/>
    <n v="20.88"/>
    <n v="1.5804597701149425"/>
    <n v="33"/>
  </r>
  <r>
    <s v="Março"/>
    <s v="SEMANA 3"/>
    <n v="13"/>
    <x v="0"/>
    <s v="Alcibiades G. Quintas"/>
    <s v="Mamão Bahia"/>
    <s v="kg"/>
    <n v="2"/>
    <n v="2.8"/>
    <n v="5.6"/>
  </r>
  <r>
    <s v="Março"/>
    <s v="SEMANA 3"/>
    <n v="13"/>
    <x v="0"/>
    <s v="Alcibiades G. Quintas"/>
    <s v="Manga Palmer"/>
    <s v="kg"/>
    <n v="6.16"/>
    <n v="4.0584415584415581"/>
    <n v="25"/>
  </r>
  <r>
    <s v="Março"/>
    <s v="SEMANA 3"/>
    <n v="13"/>
    <x v="0"/>
    <s v="Alcibiades G. Quintas"/>
    <s v="Manga Tommy"/>
    <s v="kg"/>
    <n v="2"/>
    <n v="4.5"/>
    <n v="9"/>
  </r>
  <r>
    <s v="Março"/>
    <s v="SEMANA 3"/>
    <n v="13"/>
    <x v="0"/>
    <s v="Alcibiades G. Quintas"/>
    <s v="Pera"/>
    <s v="kg"/>
    <n v="4"/>
    <n v="8"/>
    <n v="32"/>
  </r>
  <r>
    <s v="Março"/>
    <s v="SEMANA 3"/>
    <n v="13"/>
    <x v="0"/>
    <s v="Alcibiades G. Quintas"/>
    <s v="Endivia"/>
    <s v="kg"/>
    <n v="0.5"/>
    <n v="20"/>
    <n v="10"/>
  </r>
  <r>
    <s v="Março"/>
    <s v="SEMANA 3"/>
    <n v="13"/>
    <x v="0"/>
    <s v="Umehara"/>
    <s v="Banana da Terra"/>
    <s v="kg"/>
    <n v="6"/>
    <n v="2.8"/>
    <n v="16.799999999999997"/>
  </r>
  <r>
    <s v="Março"/>
    <s v="SEMANA 3"/>
    <n v="13"/>
    <x v="0"/>
    <s v="Umehara"/>
    <s v="Batata Baroa"/>
    <s v="kg"/>
    <n v="2"/>
    <n v="5.0999999999999996"/>
    <n v="10.199999999999999"/>
  </r>
  <r>
    <s v="Março"/>
    <s v="SEMANA 3"/>
    <n v="13"/>
    <x v="0"/>
    <s v="Umehara"/>
    <s v="Cebola"/>
    <s v="kg"/>
    <n v="19.399999999999999"/>
    <n v="2.5"/>
    <n v="48.5"/>
  </r>
  <r>
    <s v="Março"/>
    <s v="SEMANA 3"/>
    <n v="13"/>
    <x v="0"/>
    <s v="Umehara"/>
    <s v="Côco Verde"/>
    <s v="unid"/>
    <n v="15"/>
    <n v="2.25"/>
    <n v="33.75"/>
  </r>
  <r>
    <s v="Março"/>
    <s v="SEMANA 3"/>
    <n v="13"/>
    <x v="0"/>
    <s v="Umehara"/>
    <s v="Coentro"/>
    <s v="kg"/>
    <n v="0.8"/>
    <n v="23"/>
    <n v="18.400000000000002"/>
  </r>
  <r>
    <s v="Março"/>
    <s v="SEMANA 3"/>
    <n v="13"/>
    <x v="0"/>
    <s v="Umehara"/>
    <s v="Kiwi"/>
    <s v="kg"/>
    <n v="0.5"/>
    <n v="12"/>
    <n v="6"/>
  </r>
  <r>
    <s v="Março"/>
    <s v="SEMANA 3"/>
    <n v="13"/>
    <x v="0"/>
    <s v="Umehara"/>
    <s v="Limão"/>
    <s v="kg"/>
    <n v="20.76"/>
    <n v="1.7196531791907514"/>
    <n v="35.700000000000003"/>
  </r>
  <r>
    <s v="Março"/>
    <s v="SEMANA 3"/>
    <n v="13"/>
    <x v="0"/>
    <s v="Umehara"/>
    <s v="Limão Siciliano"/>
    <s v="kg"/>
    <n v="1"/>
    <n v="8.5"/>
    <n v="8.5"/>
  </r>
  <r>
    <s v="Março"/>
    <s v="SEMANA 3"/>
    <n v="13"/>
    <x v="0"/>
    <s v="Umehara"/>
    <s v="Maçã Nacional"/>
    <s v="kg"/>
    <n v="18.079999999999998"/>
    <n v="3.8440265486725669"/>
    <n v="69.5"/>
  </r>
  <r>
    <s v="Março"/>
    <s v="SEMANA 3"/>
    <n v="13"/>
    <x v="0"/>
    <s v="Umehara"/>
    <s v="Melância"/>
    <s v="kg"/>
    <n v="10"/>
    <n v="1.52"/>
    <n v="15.2"/>
  </r>
  <r>
    <s v="Março"/>
    <s v="SEMANA 3"/>
    <n v="13"/>
    <x v="0"/>
    <s v="Umehara"/>
    <s v="Pimentão Vermelho"/>
    <s v="kg"/>
    <n v="2"/>
    <n v="9.4499999999999993"/>
    <n v="18.899999999999999"/>
  </r>
  <r>
    <s v="Março"/>
    <s v="SEMANA 3"/>
    <n v="13"/>
    <x v="0"/>
    <s v="Umehara"/>
    <s v="Repolho Roxo"/>
    <s v="kg"/>
    <n v="4"/>
    <n v="2.8"/>
    <n v="11.2"/>
  </r>
  <r>
    <s v="Março"/>
    <s v="SEMANA 3"/>
    <n v="13"/>
    <x v="0"/>
    <s v="Umehara"/>
    <s v="Rúcula"/>
    <s v="kg"/>
    <m/>
    <m/>
    <n v="0"/>
  </r>
  <r>
    <s v="Março"/>
    <s v="SEMANA 3"/>
    <n v="13"/>
    <x v="1"/>
    <s v="Planeta Gelo"/>
    <s v="Gelo em Cubo"/>
    <s v="saco"/>
    <n v="3"/>
    <n v="7.5"/>
    <n v="22.5"/>
  </r>
  <r>
    <s v="Março"/>
    <s v="SEMANA 3"/>
    <n v="13"/>
    <x v="2"/>
    <s v="Top Alto"/>
    <s v="Carne Bovina - Carne Seca"/>
    <s v="kg"/>
    <n v="10"/>
    <n v="20.22"/>
    <n v="202.2"/>
  </r>
  <r>
    <s v="Março"/>
    <s v="SEMANA 3"/>
    <n v="13"/>
    <x v="2"/>
    <s v="Top Alto"/>
    <s v="Suíno - Linguiça Paio"/>
    <s v="kg"/>
    <n v="2.5"/>
    <n v="11.12"/>
    <n v="27.799999999999997"/>
  </r>
  <r>
    <s v="Março"/>
    <s v="SEMANA 3"/>
    <n v="13"/>
    <x v="2"/>
    <s v="Top Alto"/>
    <s v="Carne Bovina - Picanha Grill/Churrascaria"/>
    <s v="kg"/>
    <n v="30.15"/>
    <n v="33"/>
    <n v="994.94999999999993"/>
  </r>
  <r>
    <s v="Março"/>
    <s v="SEMANA 3"/>
    <n v="13"/>
    <x v="2"/>
    <s v="Nutry Max"/>
    <s v="Suíno - Costelinha Salgada"/>
    <s v="kg"/>
    <n v="8.9"/>
    <n v="10.47"/>
    <n v="93.183000000000007"/>
  </r>
  <r>
    <s v="Março"/>
    <s v="SEMANA 3"/>
    <n v="13"/>
    <x v="2"/>
    <s v="Nutry Max"/>
    <s v="Carne Bovina - Patinho"/>
    <s v="kg"/>
    <n v="23.963000000000001"/>
    <n v="14.59"/>
    <n v="349.62017000000003"/>
  </r>
  <r>
    <s v="Março"/>
    <s v="SEMANA 3"/>
    <n v="13"/>
    <x v="2"/>
    <s v="Nutry Max"/>
    <s v="Suíno - Lombo Salgado"/>
    <s v="kg"/>
    <n v="10"/>
    <n v="10.5"/>
    <n v="105"/>
  </r>
  <r>
    <s v="Março"/>
    <s v="SEMANA 3"/>
    <n v="13"/>
    <x v="8"/>
    <s v="Sanda"/>
    <s v="Papel Higiênico Rolo"/>
    <s v="unid"/>
    <n v="64"/>
    <n v="0.99250000000000005"/>
    <n v="63.52"/>
  </r>
  <r>
    <s v="Março"/>
    <s v="SEMANA 3"/>
    <n v="13"/>
    <x v="8"/>
    <s v="Sanda"/>
    <s v="Pano Multiuso Cross Hatch Laranja 300 M"/>
    <s v="unid"/>
    <n v="1"/>
    <n v="212.4"/>
    <n v="212.4"/>
  </r>
  <r>
    <s v="Março"/>
    <s v="SEMANA 3"/>
    <n v="13"/>
    <x v="2"/>
    <s v="União Itaipava"/>
    <s v="Aves - Magret de Pato"/>
    <s v="kg"/>
    <n v="15.8"/>
    <n v="25"/>
    <n v="395"/>
  </r>
  <r>
    <s v="Março"/>
    <s v="SEMANA 3"/>
    <n v="13"/>
    <x v="2"/>
    <s v="Frigorifico Jahu"/>
    <s v="Pescados - Salmão Inteiro"/>
    <s v="kg"/>
    <n v="31.03"/>
    <n v="25.99"/>
    <n v="806.46969999999999"/>
  </r>
  <r>
    <s v="Março"/>
    <s v="SEMANA 3"/>
    <n v="13"/>
    <x v="1"/>
    <s v="Ind. Caseira de Doces Helena"/>
    <s v="Biscoito de Milho Café "/>
    <s v="kg"/>
    <n v="7.9740000000000002"/>
    <n v="22.19464285714286"/>
    <n v="176.98008214285716"/>
  </r>
  <r>
    <s v="Março"/>
    <s v="SEMANA 3"/>
    <n v="13"/>
    <x v="4"/>
    <s v="CRBS"/>
    <s v="Ice Tea Pêssego"/>
    <s v="unid"/>
    <n v="48"/>
    <n v="2.0029166666666667"/>
    <n v="96.14"/>
  </r>
  <r>
    <s v="Março"/>
    <s v="SEMANA 3"/>
    <n v="13"/>
    <x v="4"/>
    <s v="CRBS"/>
    <s v="Ice Tea Limão"/>
    <s v="unid"/>
    <n v="48"/>
    <n v="2.0029166666666667"/>
    <n v="96.14"/>
  </r>
  <r>
    <s v="Março"/>
    <s v="SEMANA 3"/>
    <n v="13"/>
    <x v="4"/>
    <s v="CRBS"/>
    <s v="H2O Limão"/>
    <s v="unid"/>
    <n v="12"/>
    <n v="2.0266666666666668"/>
    <n v="24.32"/>
  </r>
  <r>
    <s v="Março"/>
    <s v="SEMANA 3"/>
    <n v="13"/>
    <x v="4"/>
    <s v="CRBS"/>
    <s v="Guaraná Antarctica Zero (lata)"/>
    <s v="unid"/>
    <n v="60"/>
    <n v="1.7098333333333333"/>
    <n v="102.59"/>
  </r>
  <r>
    <s v="Março"/>
    <s v="SEMANA 3"/>
    <n v="13"/>
    <x v="4"/>
    <s v="CRBS"/>
    <s v="Guaraná Antarctica (lata)"/>
    <s v="unid"/>
    <n v="48"/>
    <n v="1.7097916666666666"/>
    <n v="82.07"/>
  </r>
  <r>
    <s v="Março"/>
    <s v="SEMANA 3"/>
    <n v="13"/>
    <x v="4"/>
    <s v="CRBS"/>
    <s v="Cerveja Bohemia Long Neck 355 ml"/>
    <s v="unid"/>
    <n v="24"/>
    <n v="2.8383333333333334"/>
    <n v="68.12"/>
  </r>
  <r>
    <s v="Março"/>
    <s v="SEMANA 3"/>
    <n v="13"/>
    <x v="4"/>
    <s v="CRBS"/>
    <s v="Água Tonica Diet"/>
    <s v="unid"/>
    <n v="24"/>
    <n v="1.7666666666666666"/>
    <n v="42.4"/>
  </r>
  <r>
    <s v="Março"/>
    <s v="SEMANA 3"/>
    <n v="13"/>
    <x v="4"/>
    <s v="CRBS"/>
    <s v="Água Tonica"/>
    <s v="unid"/>
    <n v="24"/>
    <n v="1.7666666666666666"/>
    <n v="42.4"/>
  </r>
  <r>
    <s v="Março"/>
    <s v="SEMANA 3"/>
    <n v="13"/>
    <x v="9"/>
    <s v="Nossos Sabores"/>
    <s v="Torta Brownie com Nozes"/>
    <s v="unid"/>
    <n v="8"/>
    <n v="6.2374999999999998"/>
    <n v="49.9"/>
  </r>
  <r>
    <s v="Março"/>
    <s v="SEMANA 3"/>
    <n v="13"/>
    <x v="9"/>
    <s v="Atelier dos Sabores"/>
    <s v="Torta Bem Casado de Damasco"/>
    <s v="fatia"/>
    <n v="24"/>
    <n v="5.9304166666666669"/>
    <n v="142.33000000000001"/>
  </r>
  <r>
    <s v="Março"/>
    <s v="SEMANA 3"/>
    <n v="13"/>
    <x v="9"/>
    <s v="Atelier dos Sabores"/>
    <s v="Torta de Brigadeiro c/ Raspas"/>
    <s v="fatia"/>
    <n v="12"/>
    <n v="5.7533333333333339"/>
    <n v="69.040000000000006"/>
  </r>
  <r>
    <s v="Março"/>
    <s v="SEMANA 3"/>
    <n v="13"/>
    <x v="9"/>
    <s v="Atelier dos Sabores"/>
    <s v="Torta Banana Crock"/>
    <s v="fatia"/>
    <n v="12"/>
    <n v="5.93"/>
    <n v="71.16"/>
  </r>
  <r>
    <s v="Março"/>
    <s v="SEMANA 3"/>
    <n v="13"/>
    <x v="2"/>
    <s v="Pescarimarcar"/>
    <s v="Pescados - Filé Linguado Cong. M"/>
    <s v="kg"/>
    <n v="10"/>
    <n v="38"/>
    <n v="380"/>
  </r>
  <r>
    <s v="Março"/>
    <s v="SEMANA 3"/>
    <n v="6"/>
    <x v="6"/>
    <s v="Mamy"/>
    <s v="Farinha Panco (sushi)"/>
    <s v="kg"/>
    <n v="1"/>
    <n v="17.7"/>
    <n v="17.7"/>
  </r>
  <r>
    <s v="Março"/>
    <s v="SEMANA 3"/>
    <n v="13"/>
    <x v="7"/>
    <s v="Mamy"/>
    <s v="Bala de Alga 500 g"/>
    <s v="pcte"/>
    <n v="2"/>
    <n v="17.16"/>
    <n v="34.32"/>
  </r>
  <r>
    <s v="Março"/>
    <s v="SEMANA 3"/>
    <n v="13"/>
    <x v="1"/>
    <s v="Mamy"/>
    <s v="Farinha Panco"/>
    <s v="kg"/>
    <n v="9"/>
    <n v="17.7"/>
    <n v="159.29999999999998"/>
  </r>
  <r>
    <s v="Março"/>
    <s v="SEMANA 3"/>
    <n v="13"/>
    <x v="6"/>
    <s v="Mamy"/>
    <s v="Gergelim Branco Sushi"/>
    <s v="kg"/>
    <n v="1"/>
    <n v="11.25"/>
    <n v="11.25"/>
  </r>
  <r>
    <s v="Março"/>
    <s v="SEMANA 3"/>
    <n v="13"/>
    <x v="1"/>
    <s v="Mamy"/>
    <s v="Macarrão de Feijão (Harusame) 200g"/>
    <s v="pcte"/>
    <n v="3"/>
    <n v="8.48"/>
    <n v="25.44"/>
  </r>
  <r>
    <s v="Março"/>
    <s v="SEMANA 3"/>
    <n v="13"/>
    <x v="1"/>
    <s v="Mamy"/>
    <s v="Óleo de Gergelim"/>
    <s v="unid"/>
    <n v="1"/>
    <n v="54"/>
    <n v="54"/>
  </r>
  <r>
    <s v="Março"/>
    <s v="SEMANA 3"/>
    <n v="13"/>
    <x v="4"/>
    <s v="Rio de Janeiro"/>
    <s v="Coca Cola (lata)"/>
    <s v="unid"/>
    <n v="96"/>
    <n v="2.8416666666666668"/>
    <n v="272.8"/>
  </r>
  <r>
    <s v="Março"/>
    <s v="SEMANA 3"/>
    <n v="13"/>
    <x v="4"/>
    <s v="Rio de Janeiro"/>
    <s v="Coca Cola Zero (lata)"/>
    <s v="unid"/>
    <n v="96"/>
    <n v="2.8258333333333332"/>
    <n v="271.27999999999997"/>
  </r>
  <r>
    <s v="Março"/>
    <s v="SEMANA 3"/>
    <n v="13"/>
    <x v="4"/>
    <s v="Rio de Janeiro"/>
    <s v="Schweppes Citrus"/>
    <s v="unid"/>
    <n v="36"/>
    <n v="2.7833333333333332"/>
    <n v="100.19999999999999"/>
  </r>
  <r>
    <s v="Março"/>
    <s v="SEMANA 3"/>
    <n v="14"/>
    <x v="1"/>
    <s v="Zamboni"/>
    <s v="Azeite Extra Virgem (Santiago) 500 ml"/>
    <s v="bb"/>
    <n v="3"/>
    <n v="129.59"/>
    <n v="388.77"/>
  </r>
  <r>
    <s v="Março"/>
    <s v="SEMANA 3"/>
    <n v="14"/>
    <x v="1"/>
    <s v="Zamboni"/>
    <s v="Leite Condensado 395 g"/>
    <s v="unid"/>
    <n v="48"/>
    <n v="5.0552083333333329"/>
    <n v="242.64999999999998"/>
  </r>
  <r>
    <s v="Março"/>
    <s v="SEMANA 3"/>
    <n v="14"/>
    <x v="1"/>
    <s v="Mix Certo (Zamboni)"/>
    <s v="Azeitona Verde Fatiada Bd 2 kg"/>
    <s v="bd"/>
    <n v="2"/>
    <n v="23.61"/>
    <n v="47.22"/>
  </r>
  <r>
    <s v="Março"/>
    <s v="SEMANA 3"/>
    <n v="14"/>
    <x v="1"/>
    <s v="Mix Certo (Zamboni)"/>
    <s v="Vinho Branco Seco Gf 4,6 Lt"/>
    <s v="unid"/>
    <n v="1"/>
    <n v="43.85"/>
    <n v="43.85"/>
  </r>
  <r>
    <s v="Março"/>
    <s v="SEMANA 3"/>
    <n v="14"/>
    <x v="1"/>
    <s v="Mix Certo (Zamboni)"/>
    <s v="Shoyu Premium (Mesa) Bb 5 Lt"/>
    <s v="bb"/>
    <n v="1"/>
    <n v="55.49"/>
    <n v="55.49"/>
  </r>
  <r>
    <s v="Março"/>
    <s v="SEMANA 3"/>
    <n v="14"/>
    <x v="1"/>
    <s v="Mix Certo (Zamboni)"/>
    <s v="Pimenta Tabasco"/>
    <s v="unid"/>
    <n v="1"/>
    <n v="16.23"/>
    <n v="16.23"/>
  </r>
  <r>
    <s v="Março"/>
    <s v="SEMANA 3"/>
    <n v="14"/>
    <x v="1"/>
    <s v="Mix Certo (Zamboni)"/>
    <s v="Mostarda Bb 3,3, Kg"/>
    <s v="bb"/>
    <n v="1"/>
    <n v="12.7"/>
    <n v="12.7"/>
  </r>
  <r>
    <s v="Março"/>
    <s v="SEMANA 3"/>
    <n v="14"/>
    <x v="6"/>
    <s v="Mix Certo (Zamboni)"/>
    <s v="Vinagre de Arroz Sushi"/>
    <s v="unid"/>
    <n v="5"/>
    <n v="3.75"/>
    <n v="18.75"/>
  </r>
  <r>
    <s v="Março"/>
    <s v="SEMANA 3"/>
    <n v="14"/>
    <x v="1"/>
    <s v="Rio Quality"/>
    <s v="Açucar União Sache Cx 400"/>
    <s v="cx"/>
    <n v="1"/>
    <n v="13.67"/>
    <n v="13.67"/>
  </r>
  <r>
    <s v="Março"/>
    <s v="SEMANA 3"/>
    <n v="14"/>
    <x v="1"/>
    <s v="Rio Quality"/>
    <s v="Açucar Refinado"/>
    <s v="kg"/>
    <n v="24"/>
    <n v="2.44"/>
    <n v="58.56"/>
  </r>
  <r>
    <s v="Março"/>
    <s v="SEMANA 3"/>
    <n v="14"/>
    <x v="1"/>
    <s v="Rio Quality"/>
    <s v="Farinha de Mandioca"/>
    <s v="kg"/>
    <n v="20"/>
    <n v="5.0999999999999996"/>
    <n v="102"/>
  </r>
  <r>
    <s v="Março"/>
    <s v="SEMANA 3"/>
    <n v="14"/>
    <x v="1"/>
    <s v="Rio Quality"/>
    <s v="Feijão Preto"/>
    <s v="kg"/>
    <n v="20"/>
    <n v="4.46"/>
    <n v="89.2"/>
  </r>
  <r>
    <s v="Março"/>
    <s v="SEMANA 3"/>
    <n v="14"/>
    <x v="1"/>
    <s v="Rio Quality"/>
    <s v="Leite de Côco"/>
    <s v="lt"/>
    <n v="12"/>
    <n v="14.75"/>
    <n v="177"/>
  </r>
  <r>
    <s v="Março"/>
    <s v="SEMANA 3"/>
    <n v="14"/>
    <x v="1"/>
    <s v="Rio Quality"/>
    <s v="Leite Integral"/>
    <s v="lt"/>
    <n v="84"/>
    <n v="2.8395238095238096"/>
    <n v="238.52"/>
  </r>
  <r>
    <s v="Março"/>
    <s v="SEMANA 3"/>
    <n v="14"/>
    <x v="1"/>
    <s v="Rio Quality"/>
    <s v="Margarina Bd 15 Kg"/>
    <s v="bd"/>
    <n v="1"/>
    <n v="75"/>
    <n v="75"/>
  </r>
  <r>
    <s v="Março"/>
    <s v="SEMANA 3"/>
    <n v="14"/>
    <x v="1"/>
    <s v="Rio Quality"/>
    <s v="Óleo de Soja 18 Lt"/>
    <s v="bag"/>
    <n v="4"/>
    <n v="60"/>
    <n v="240"/>
  </r>
  <r>
    <s v="Março"/>
    <s v="SEMANA 3"/>
    <n v="14"/>
    <x v="1"/>
    <s v="Rio Quality"/>
    <s v="Sal Refinado"/>
    <s v="kg"/>
    <n v="10"/>
    <n v="1.38"/>
    <n v="13.799999999999999"/>
  </r>
  <r>
    <s v="Março"/>
    <s v="SEMANA 3"/>
    <n v="14"/>
    <x v="1"/>
    <s v="Rio Quality"/>
    <s v="Maisena Amido de Milho 1 Kg"/>
    <s v="kg"/>
    <n v="5"/>
    <n v="3.3"/>
    <n v="16.5"/>
  </r>
  <r>
    <s v="Março"/>
    <s v="SEMANA 3"/>
    <n v="14"/>
    <x v="1"/>
    <s v="Rio Quality"/>
    <s v="Catchup 3,6 Kg"/>
    <s v="bb"/>
    <n v="1"/>
    <n v="14.95"/>
    <n v="14.95"/>
  </r>
  <r>
    <s v="Março"/>
    <s v="SEMANA 3"/>
    <n v="14"/>
    <x v="1"/>
    <s v="Rio Quality"/>
    <s v="Farinha de Mandioca"/>
    <s v="kg"/>
    <n v="1"/>
    <n v="4.75"/>
    <n v="4.75"/>
  </r>
  <r>
    <s v="Março"/>
    <s v="SEMANA 3"/>
    <n v="14"/>
    <x v="1"/>
    <s v="Rio Quality"/>
    <s v="Fubá de Milho "/>
    <s v="kg"/>
    <n v="1"/>
    <n v="1.65"/>
    <n v="1.65"/>
  </r>
  <r>
    <s v="Março"/>
    <s v="SEMANA 3"/>
    <n v="14"/>
    <x v="1"/>
    <s v="Rio Quality"/>
    <s v="Macarrão Espaghetti Nissim"/>
    <s v="kg"/>
    <n v="3"/>
    <n v="10.236666666666666"/>
    <n v="30.71"/>
  </r>
  <r>
    <s v="Março"/>
    <s v="SEMANA 3"/>
    <n v="14"/>
    <x v="1"/>
    <s v="CDI"/>
    <s v="Adoçante Linea Suclarose Cx 1000"/>
    <s v="cx"/>
    <n v="1"/>
    <n v="48"/>
    <n v="48"/>
  </r>
  <r>
    <s v="Março"/>
    <s v="SEMANA 3"/>
    <n v="14"/>
    <x v="1"/>
    <s v="CDI"/>
    <s v="Azeite Dende"/>
    <s v="unid"/>
    <n v="3"/>
    <n v="11.88"/>
    <n v="35.64"/>
  </r>
  <r>
    <s v="Março"/>
    <s v="SEMANA 3"/>
    <n v="14"/>
    <x v="1"/>
    <s v="CDI"/>
    <s v="Chocolate Granulado 1,01 Kg"/>
    <s v="kg"/>
    <n v="1"/>
    <n v="9.5"/>
    <n v="9.5"/>
  </r>
  <r>
    <s v="Março"/>
    <s v="SEMANA 3"/>
    <n v="14"/>
    <x v="1"/>
    <s v="CDI"/>
    <s v="Farinha de Trigo"/>
    <s v="kg"/>
    <n v="40"/>
    <n v="1.7569999999999999"/>
    <n v="70.28"/>
  </r>
  <r>
    <s v="Março"/>
    <s v="SEMANA 3"/>
    <n v="14"/>
    <x v="1"/>
    <s v="CDI"/>
    <s v="Feijão Mulatinho"/>
    <s v="kg"/>
    <n v="5"/>
    <n v="7.3"/>
    <n v="36.5"/>
  </r>
  <r>
    <s v="Março"/>
    <s v="SEMANA 3"/>
    <n v="14"/>
    <x v="1"/>
    <s v="CDI"/>
    <s v="Grão de Bico"/>
    <s v="kg"/>
    <n v="10"/>
    <n v="15.2"/>
    <n v="152"/>
  </r>
  <r>
    <s v="Março"/>
    <s v="SEMANA 3"/>
    <n v="14"/>
    <x v="1"/>
    <s v="CDI"/>
    <s v="Karo Mel"/>
    <s v="unid"/>
    <n v="12"/>
    <n v="6.35"/>
    <n v="76.199999999999989"/>
  </r>
  <r>
    <s v="Março"/>
    <s v="SEMANA 3"/>
    <n v="14"/>
    <x v="1"/>
    <s v="CDI"/>
    <s v="Milho Verde 2 Kg"/>
    <s v="unid"/>
    <n v="6"/>
    <n v="9.0399999999999991"/>
    <n v="54.239999999999995"/>
  </r>
  <r>
    <s v="Março"/>
    <s v="SEMANA 3"/>
    <n v="14"/>
    <x v="1"/>
    <s v="CDI"/>
    <s v="Óleo Composto 500ml"/>
    <s v="unid"/>
    <n v="24"/>
    <n v="3.2841666666666671"/>
    <n v="78.820000000000007"/>
  </r>
  <r>
    <s v="Março"/>
    <s v="SEMANA 3"/>
    <n v="14"/>
    <x v="1"/>
    <s v="Mercadinho Bambina"/>
    <s v="Aveia Quaker Flocos cx 200g"/>
    <s v="unid"/>
    <n v="1"/>
    <n v="3.5"/>
    <n v="3.5"/>
  </r>
  <r>
    <s v="Março"/>
    <s v="SEMANA 3"/>
    <n v="14"/>
    <x v="1"/>
    <s v="Mercadinho Bambina"/>
    <s v="Gelatina em pó s/ sabor (incolor)"/>
    <s v="pcte"/>
    <n v="2"/>
    <n v="5.8"/>
    <n v="11.6"/>
  </r>
  <r>
    <s v="Março"/>
    <s v="SEMANA 3"/>
    <n v="14"/>
    <x v="1"/>
    <s v="Mercadinho Bambina"/>
    <s v="Pão Árabe"/>
    <s v="pcte"/>
    <n v="2"/>
    <n v="6.7"/>
    <n v="13.4"/>
  </r>
  <r>
    <s v="Março"/>
    <s v="SEMANA 3"/>
    <n v="13"/>
    <x v="7"/>
    <s v="Ind. Caseira de Doces Helena"/>
    <s v="Biscoito de Milho Venda "/>
    <s v="kg"/>
    <n v="3.226"/>
    <n v="22.19464285714286"/>
    <n v="71.59991785714287"/>
  </r>
  <r>
    <s v="Março"/>
    <s v="SEMANA 2"/>
    <n v="7"/>
    <x v="3"/>
    <s v="Ecolab"/>
    <s v="Solid Power (Lava Louça) 4 Kg"/>
    <s v="bb"/>
    <n v="1"/>
    <m/>
    <n v="0"/>
  </r>
  <r>
    <s v="Março"/>
    <s v="SEMANA 3"/>
    <n v="14"/>
    <x v="1"/>
    <s v="Dist. Alimentos Carioca"/>
    <s v="Shoyu Sache Premium (bisnaga)"/>
    <s v="unid"/>
    <n v="750"/>
    <n v="0.308"/>
    <n v="231"/>
  </r>
  <r>
    <s v="Março"/>
    <s v="SEMANA 3"/>
    <n v="14"/>
    <x v="1"/>
    <s v="Dist. Alimentos Carioca"/>
    <s v="Shoyu Sache Light (bisnaga)"/>
    <s v="unid"/>
    <n v="1500"/>
    <n v="0.308"/>
    <n v="462"/>
  </r>
  <r>
    <s v="Março"/>
    <s v="SEMANA 3"/>
    <n v="14"/>
    <x v="1"/>
    <s v="Tempero Carioca"/>
    <s v="Cevadinha"/>
    <s v="kg"/>
    <n v="2"/>
    <n v="5.9"/>
    <n v="11.8"/>
  </r>
  <r>
    <s v="Março"/>
    <s v="SEMANA 3"/>
    <n v="14"/>
    <x v="1"/>
    <s v="Tempero Carioca"/>
    <s v="Coloral"/>
    <s v="kg"/>
    <n v="0.6"/>
    <n v="5.5"/>
    <n v="3.3"/>
  </r>
  <r>
    <s v="Março"/>
    <s v="SEMANA 3"/>
    <n v="14"/>
    <x v="1"/>
    <s v="Tempero Carioca"/>
    <s v="Cuscus"/>
    <s v="kg"/>
    <n v="3"/>
    <n v="26.9"/>
    <n v="80.699999999999989"/>
  </r>
  <r>
    <s v="Março"/>
    <s v="SEMANA 3"/>
    <n v="14"/>
    <x v="1"/>
    <s v="Tempero Carioca"/>
    <s v="Mostarda Dijom em Grão"/>
    <s v="unid"/>
    <n v="1"/>
    <n v="21.9"/>
    <n v="21.9"/>
  </r>
  <r>
    <s v="Março"/>
    <s v="SEMANA 3"/>
    <n v="14"/>
    <x v="1"/>
    <s v="Tempero Carioca"/>
    <s v="Nozes sem casca"/>
    <s v="kg"/>
    <n v="1"/>
    <n v="69.900000000000006"/>
    <n v="69.900000000000006"/>
  </r>
  <r>
    <s v="Março"/>
    <s v="SEMANA 3"/>
    <n v="14"/>
    <x v="1"/>
    <s v="Tempero Carioca"/>
    <s v="Passas Preta"/>
    <s v="kg"/>
    <n v="1"/>
    <n v="14.3"/>
    <n v="14.3"/>
  </r>
  <r>
    <s v="Março"/>
    <s v="SEMANA 3"/>
    <n v="14"/>
    <x v="1"/>
    <s v="Tempero Carioca"/>
    <s v="Quinoa"/>
    <s v="kg"/>
    <n v="1"/>
    <n v="26.9"/>
    <n v="26.9"/>
  </r>
  <r>
    <s v="Março"/>
    <s v="SEMANA 3"/>
    <n v="14"/>
    <x v="1"/>
    <s v="Planeta Gelo"/>
    <s v="Gelo em Escamas"/>
    <s v="saco"/>
    <n v="2"/>
    <n v="7.5"/>
    <n v="15"/>
  </r>
  <r>
    <s v="Março"/>
    <s v="SEMANA 3"/>
    <n v="14"/>
    <x v="1"/>
    <s v="Planeta Gelo"/>
    <s v="Gelo em Cubo"/>
    <s v="saco"/>
    <n v="3"/>
    <n v="7.5"/>
    <n v="22.5"/>
  </r>
  <r>
    <s v="Março"/>
    <s v="SEMANA 3"/>
    <n v="14"/>
    <x v="2"/>
    <s v="Reginaves"/>
    <s v="Aves - Filé de Peito de Frango"/>
    <s v="kg"/>
    <n v="23.5"/>
    <n v="7.8"/>
    <n v="183.29999999999998"/>
  </r>
  <r>
    <s v="Março"/>
    <s v="SEMANA 3"/>
    <n v="14"/>
    <x v="2"/>
    <s v="Reginaves"/>
    <s v="Aves - Filé de Coxa"/>
    <s v="kg"/>
    <n v="16.799999999999997"/>
    <n v="8.6999999999999993"/>
    <n v="146.15999999999997"/>
  </r>
  <r>
    <s v="Março"/>
    <s v="SEMANA 3"/>
    <n v="14"/>
    <x v="2"/>
    <s v="Reginaves"/>
    <s v="Aves - Peito de Frango Defumado"/>
    <s v="kg"/>
    <n v="3.7"/>
    <n v="19"/>
    <n v="70.3"/>
  </r>
  <r>
    <s v="Março"/>
    <s v="SEMANA 3"/>
    <n v="14"/>
    <x v="4"/>
    <s v="Minalba"/>
    <s v="Água Mineral com Gás"/>
    <s v="unid"/>
    <n v="210"/>
    <n v="1.3333333333333333"/>
    <n v="280"/>
  </r>
  <r>
    <s v="Março"/>
    <s v="SEMANA 3"/>
    <n v="14"/>
    <x v="4"/>
    <s v="Minalba"/>
    <s v="Água Mineral sem Gás"/>
    <s v="unid"/>
    <n v="210"/>
    <n v="1.3333333333333333"/>
    <n v="280"/>
  </r>
  <r>
    <s v="Março"/>
    <s v="SEMANA 3"/>
    <n v="14"/>
    <x v="2"/>
    <s v="Marfrig"/>
    <s v="Carne Bovina - Coração Alcatra"/>
    <s v="kg"/>
    <n v="52.57"/>
    <n v="17.346900000000002"/>
    <n v="911.92653300000006"/>
  </r>
  <r>
    <s v="Março"/>
    <s v="SEMANA 3"/>
    <n v="14"/>
    <x v="2"/>
    <s v="Marfrig"/>
    <s v="Carne Bovina - Maminha"/>
    <s v="kg"/>
    <n v="15.789"/>
    <n v="17.438800000000001"/>
    <n v="275.34121320000003"/>
  </r>
  <r>
    <s v="Março"/>
    <s v="SEMANA 3"/>
    <n v="14"/>
    <x v="6"/>
    <s v="Frigorifico Jahu"/>
    <s v="Pescados - Salmão Inteiro Sushi"/>
    <s v="kg"/>
    <n v="26.86"/>
    <n v="25.989899999999999"/>
    <n v="698.08871399999998"/>
  </r>
  <r>
    <s v="Março"/>
    <s v="SEMANA 3"/>
    <n v="14"/>
    <x v="2"/>
    <s v="Pescarimarcar"/>
    <s v="Pescados - Filé Linguado Cong. M"/>
    <s v="kg"/>
    <n v="30"/>
    <n v="38"/>
    <n v="1140"/>
  </r>
  <r>
    <s v="Março"/>
    <s v="SEMANA 3"/>
    <n v="14"/>
    <x v="0"/>
    <s v="Sitio do Moinho"/>
    <s v="Cenoura Orgânica"/>
    <s v="kg"/>
    <n v="6.01"/>
    <n v="7.75"/>
    <n v="46.577500000000001"/>
  </r>
  <r>
    <s v="Março"/>
    <s v="SEMANA 3"/>
    <n v="14"/>
    <x v="0"/>
    <s v="Sitio do Moinho"/>
    <s v="Alface Roxa Orgânica"/>
    <s v="kg"/>
    <n v="1.74"/>
    <n v="15.630516091954023"/>
    <n v="27.197098"/>
  </r>
  <r>
    <s v="Março"/>
    <s v="SEMANA 3"/>
    <n v="14"/>
    <x v="0"/>
    <s v="Sitio do Moinho"/>
    <s v="Beterraba Orgânica"/>
    <s v="kg"/>
    <n v="4.0999999999999996"/>
    <n v="8.9626999999999999"/>
    <n v="36.747069999999994"/>
  </r>
  <r>
    <s v="Março"/>
    <s v="SEMANA 3"/>
    <n v="14"/>
    <x v="0"/>
    <s v="Sitio do Moinho"/>
    <s v="Rúcula Orgânica"/>
    <s v="kg"/>
    <n v="2"/>
    <n v="17.262699999999999"/>
    <n v="34.525399999999998"/>
  </r>
  <r>
    <s v="Março"/>
    <s v="SEMANA 3"/>
    <n v="14"/>
    <x v="5"/>
    <s v="Laticinios Alhambra"/>
    <s v="Creme de Leite Culinário 20% Bd 10 Lt"/>
    <s v="bd"/>
    <n v="1"/>
    <n v="142.44999999999999"/>
    <n v="142.44999999999999"/>
  </r>
  <r>
    <s v="Março"/>
    <s v="SEMANA 3"/>
    <n v="14"/>
    <x v="5"/>
    <s v="Laticinios Alhambra"/>
    <s v="Queijo Mussarela"/>
    <s v="kg"/>
    <n v="6.46"/>
    <n v="26"/>
    <n v="167.96"/>
  </r>
  <r>
    <s v="Março"/>
    <s v="SEMANA 3"/>
    <n v="14"/>
    <x v="5"/>
    <s v="Laticinios Alhambra"/>
    <s v="Queijo Minas"/>
    <s v="kg"/>
    <n v="1.6"/>
    <n v="20.8"/>
    <n v="33.28"/>
  </r>
  <r>
    <s v="Março"/>
    <s v="SEMANA 3"/>
    <n v="14"/>
    <x v="5"/>
    <s v="Laticinios Alhambra"/>
    <s v="Queijo Ricota"/>
    <s v="kg"/>
    <n v="4.88"/>
    <n v="10.6"/>
    <n v="51.727999999999994"/>
  </r>
  <r>
    <s v="Março"/>
    <s v="SEMANA 3"/>
    <n v="14"/>
    <x v="5"/>
    <s v="Laticinios Alhambra"/>
    <s v="Queijo Requeijão BD 3,6 Kg"/>
    <s v="bd"/>
    <n v="2"/>
    <n v="74.400000000000006"/>
    <n v="148.80000000000001"/>
  </r>
  <r>
    <s v="Março"/>
    <s v="SEMANA 3"/>
    <n v="14"/>
    <x v="1"/>
    <s v="Super Mercado Zonasul"/>
    <s v="Cogumelo Paris"/>
    <s v="kg"/>
    <n v="1"/>
    <n v="35.96"/>
    <n v="35.96"/>
  </r>
  <r>
    <s v="Março"/>
    <s v="SEMANA 3"/>
    <n v="14"/>
    <x v="0"/>
    <s v="Alcibiades G. Quintas"/>
    <s v="Abobrinha "/>
    <s v="kg"/>
    <n v="14.36"/>
    <n v="2.785515320334262"/>
    <n v="40"/>
  </r>
  <r>
    <s v="Março"/>
    <s v="SEMANA 3"/>
    <n v="14"/>
    <x v="0"/>
    <s v="Alcibiades G. Quintas"/>
    <s v="Batata Doce"/>
    <s v="kg"/>
    <n v="19.2"/>
    <n v="1.875"/>
    <n v="36"/>
  </r>
  <r>
    <s v="Março"/>
    <s v="SEMANA 3"/>
    <n v="14"/>
    <x v="0"/>
    <s v="Alcibiades G. Quintas"/>
    <s v="Batata Yacon"/>
    <s v="kg"/>
    <n v="0.5"/>
    <n v="8"/>
    <n v="4"/>
  </r>
  <r>
    <s v="Março"/>
    <s v="SEMANA 3"/>
    <n v="14"/>
    <x v="0"/>
    <s v="Alcibiades G. Quintas"/>
    <s v="Berinjela"/>
    <s v="kg"/>
    <n v="10.46"/>
    <n v="1.9120458891013383"/>
    <n v="20"/>
  </r>
  <r>
    <s v="Março"/>
    <s v="SEMANA 3"/>
    <n v="14"/>
    <x v="0"/>
    <s v="Alcibiades G. Quintas"/>
    <s v="Cará"/>
    <s v="kg"/>
    <n v="2"/>
    <n v="8"/>
    <n v="16"/>
  </r>
  <r>
    <s v="Março"/>
    <s v="SEMANA 3"/>
    <n v="14"/>
    <x v="0"/>
    <s v="Alcibiades G. Quintas"/>
    <s v="Repolho"/>
    <s v="kg"/>
    <n v="2"/>
    <n v="2"/>
    <n v="4"/>
  </r>
  <r>
    <s v="Março"/>
    <s v="SEMANA 3"/>
    <n v="14"/>
    <x v="0"/>
    <s v="Alcibiades G. Quintas"/>
    <s v="Tomate Salada"/>
    <s v="kg"/>
    <n v="20.88"/>
    <n v="2.8735632183908049"/>
    <n v="60"/>
  </r>
  <r>
    <s v="Março"/>
    <s v="SEMANA 3"/>
    <n v="14"/>
    <x v="0"/>
    <s v="Alcibiades G. Quintas"/>
    <s v="Alecrim"/>
    <s v="kg"/>
    <n v="0.2"/>
    <n v="14"/>
    <n v="2.8000000000000003"/>
  </r>
  <r>
    <s v="Março"/>
    <s v="SEMANA 3"/>
    <n v="14"/>
    <x v="0"/>
    <s v="Alcibiades G. Quintas"/>
    <s v="Cebolinha Verde"/>
    <s v="kg"/>
    <n v="0.51900000000000002"/>
    <n v="7"/>
    <n v="3.633"/>
  </r>
  <r>
    <s v="Março"/>
    <s v="SEMANA 3"/>
    <n v="14"/>
    <x v="0"/>
    <s v="Alcibiades G. Quintas"/>
    <s v="Espinafre"/>
    <s v="kg"/>
    <n v="8"/>
    <n v="6"/>
    <n v="48"/>
  </r>
  <r>
    <s v="Março"/>
    <s v="SEMANA 3"/>
    <n v="14"/>
    <x v="0"/>
    <s v="Alcibiades G. Quintas"/>
    <s v="Hortelã"/>
    <s v="kg"/>
    <n v="1"/>
    <n v="4"/>
    <n v="4"/>
  </r>
  <r>
    <s v="Março"/>
    <s v="SEMANA 3"/>
    <n v="14"/>
    <x v="0"/>
    <s v="Alcibiades G. Quintas"/>
    <s v="Manjericão"/>
    <s v="kg"/>
    <n v="0.5"/>
    <n v="10"/>
    <n v="5"/>
  </r>
  <r>
    <s v="Março"/>
    <s v="SEMANA 3"/>
    <n v="14"/>
    <x v="0"/>
    <s v="Alcibiades G. Quintas"/>
    <s v="Salsa"/>
    <s v="kg"/>
    <n v="1.5"/>
    <n v="7"/>
    <n v="10.5"/>
  </r>
  <r>
    <s v="Março"/>
    <s v="SEMANA 3"/>
    <n v="14"/>
    <x v="6"/>
    <s v="Alcibiades G. Quintas"/>
    <s v="Abacate Sushi"/>
    <s v="kg"/>
    <n v="1"/>
    <n v="6"/>
    <n v="6"/>
  </r>
  <r>
    <s v="Março"/>
    <s v="SEMANA 3"/>
    <n v="14"/>
    <x v="0"/>
    <s v="Alcibiades G. Quintas"/>
    <s v="Banana Prata"/>
    <s v="kg"/>
    <n v="2"/>
    <n v="5"/>
    <n v="10"/>
  </r>
  <r>
    <s v="Março"/>
    <s v="SEMANA 3"/>
    <n v="14"/>
    <x v="0"/>
    <s v="Alcibiades G. Quintas"/>
    <s v="Laranja Pera"/>
    <s v="kg"/>
    <n v="19.32"/>
    <n v="1.7080745341614907"/>
    <n v="33"/>
  </r>
  <r>
    <s v="Março"/>
    <s v="SEMANA 3"/>
    <n v="14"/>
    <x v="0"/>
    <s v="Alcibiades G. Quintas"/>
    <s v="Melão Orange"/>
    <s v="kg"/>
    <n v="2"/>
    <n v="4.8"/>
    <n v="9.6"/>
  </r>
  <r>
    <s v="Março"/>
    <s v="SEMANA 3"/>
    <n v="14"/>
    <x v="0"/>
    <s v="Alcibiades G. Quintas"/>
    <s v="Alface Americana    "/>
    <s v="kg"/>
    <n v="4.5999999999999996"/>
    <n v="7.8260869565217401"/>
    <n v="36"/>
  </r>
  <r>
    <s v="Março"/>
    <s v="SEMANA 3"/>
    <n v="14"/>
    <x v="0"/>
    <s v="Alcibiades G. Quintas"/>
    <s v="Alface crespa"/>
    <s v="kg"/>
    <n v="1.78"/>
    <n v="6.7415730337078648"/>
    <n v="12"/>
  </r>
  <r>
    <s v="Março"/>
    <s v="SEMANA 3"/>
    <n v="14"/>
    <x v="0"/>
    <s v="Umehara"/>
    <s v="Cebola"/>
    <s v="kg"/>
    <n v="19.84"/>
    <n v="2.444556451612903"/>
    <n v="48.499999999999993"/>
  </r>
  <r>
    <s v="Março"/>
    <s v="SEMANA 3"/>
    <n v="14"/>
    <x v="0"/>
    <s v="Umehara"/>
    <s v="Côco Verde"/>
    <s v="unid"/>
    <n v="15"/>
    <n v="2.25"/>
    <n v="33.75"/>
  </r>
  <r>
    <s v="Março"/>
    <s v="SEMANA 3"/>
    <n v="14"/>
    <x v="0"/>
    <s v="Umehara"/>
    <s v="Coentro"/>
    <s v="kg"/>
    <n v="0.3"/>
    <n v="23"/>
    <n v="6.8999999999999995"/>
  </r>
  <r>
    <s v="Março"/>
    <s v="SEMANA 3"/>
    <n v="14"/>
    <x v="0"/>
    <s v="Umehara"/>
    <s v="Kiwi"/>
    <s v="kg"/>
    <n v="0.5"/>
    <n v="12"/>
    <n v="6"/>
  </r>
  <r>
    <s v="Março"/>
    <s v="SEMANA 3"/>
    <n v="14"/>
    <x v="0"/>
    <s v="Umehara"/>
    <s v="Pimentão Vermelho"/>
    <s v="kg"/>
    <n v="1"/>
    <n v="9.4499999999999993"/>
    <n v="9.4499999999999993"/>
  </r>
  <r>
    <s v="Março"/>
    <s v="SEMANA 3"/>
    <n v="14"/>
    <x v="0"/>
    <s v="Umehara"/>
    <s v="Abobora"/>
    <s v="kg"/>
    <n v="7"/>
    <n v="1.99"/>
    <n v="13.93"/>
  </r>
  <r>
    <s v="Março"/>
    <s v="SEMANA 3"/>
    <n v="14"/>
    <x v="0"/>
    <s v="Umehara"/>
    <s v="Abobora Japonesa"/>
    <s v="kg"/>
    <n v="2"/>
    <n v="2.86"/>
    <n v="5.72"/>
  </r>
  <r>
    <s v="Março"/>
    <s v="SEMANA 3"/>
    <n v="14"/>
    <x v="0"/>
    <s v="Umehara"/>
    <s v="Batata HBT"/>
    <s v="kg"/>
    <n v="25"/>
    <n v="1.59"/>
    <n v="39.75"/>
  </r>
  <r>
    <s v="Março"/>
    <s v="SEMANA 3"/>
    <n v="14"/>
    <x v="0"/>
    <s v="Umehara"/>
    <s v="Cebola Roxa"/>
    <s v="kg"/>
    <n v="4"/>
    <n v="3.15"/>
    <n v="12.6"/>
  </r>
  <r>
    <s v="Março"/>
    <s v="SEMANA 3"/>
    <n v="14"/>
    <x v="0"/>
    <s v="Umehara"/>
    <s v="Inhame"/>
    <s v="kg"/>
    <n v="2"/>
    <n v="3.5"/>
    <n v="7"/>
  </r>
  <r>
    <s v="Março"/>
    <s v="SEMANA 3"/>
    <n v="14"/>
    <x v="0"/>
    <s v="Umehara"/>
    <s v="Pimentão Amarelo"/>
    <s v="kg"/>
    <n v="1"/>
    <n v="9.4499999999999993"/>
    <n v="9.4499999999999993"/>
  </r>
  <r>
    <s v="Março"/>
    <s v="SEMANA 3"/>
    <n v="14"/>
    <x v="6"/>
    <s v="Umehara"/>
    <s v="Salsa Crespa Sushi"/>
    <s v="kg"/>
    <n v="0.1"/>
    <n v="13"/>
    <n v="1.3"/>
  </r>
  <r>
    <s v="Março"/>
    <s v="SEMANA 3"/>
    <n v="14"/>
    <x v="5"/>
    <s v="Agropart"/>
    <s v="Queijo Mozzarela Italiana pcte 880 gr"/>
    <s v="kg"/>
    <n v="6.16"/>
    <n v="43.81818181818182"/>
    <n v="269.92"/>
  </r>
  <r>
    <s v="Março"/>
    <s v="SEMANA 3"/>
    <n v="12"/>
    <x v="6"/>
    <s v="Alcibiades G. Quintas"/>
    <s v="Pepino Japonês Sushi"/>
    <s v="kg"/>
    <n v="0.70499999999999996"/>
    <n v="2.4793388429752068"/>
    <n v="1.7479338842975207"/>
  </r>
  <r>
    <s v="Março"/>
    <s v="SEMANA 3"/>
    <n v="14"/>
    <x v="6"/>
    <s v="Alcibiades G. Quintas"/>
    <s v="Cebolinha Verde Sushi"/>
    <s v="kg"/>
    <n v="0.48099999999999998"/>
    <n v="7"/>
    <n v="3.367"/>
  </r>
  <r>
    <s v="Março"/>
    <s v="SEMANA 3"/>
    <n v="15"/>
    <x v="1"/>
    <s v="Top Alto"/>
    <s v="Nescau (Nestle)"/>
    <s v="kg"/>
    <n v="2"/>
    <n v="15.95"/>
    <n v="31.9"/>
  </r>
  <r>
    <s v="Março"/>
    <s v="SEMANA 3"/>
    <n v="15"/>
    <x v="2"/>
    <s v="Top Alto"/>
    <s v="Suíno - Bacon"/>
    <s v="kg"/>
    <n v="11.2"/>
    <n v="15.57"/>
    <n v="174.38399999999999"/>
  </r>
  <r>
    <s v="Março"/>
    <s v="SEMANA 3"/>
    <n v="15"/>
    <x v="6"/>
    <s v="Top Alto"/>
    <s v="Cream Cheese Sushi"/>
    <s v="kg"/>
    <n v="1.5"/>
    <n v="20.333333333333332"/>
    <n v="30.5"/>
  </r>
  <r>
    <s v="Março"/>
    <s v="SEMANA 3"/>
    <n v="15"/>
    <x v="4"/>
    <s v="Top Alto"/>
    <s v="Vodka Smirnoff"/>
    <s v="unid"/>
    <n v="2"/>
    <n v="29.63"/>
    <n v="59.26"/>
  </r>
  <r>
    <s v="Março"/>
    <s v="SEMANA 3"/>
    <n v="15"/>
    <x v="1"/>
    <s v="La Victoria"/>
    <s v="Arroz Integral Curto"/>
    <s v="kg"/>
    <n v="30"/>
    <n v="9"/>
    <n v="270"/>
  </r>
  <r>
    <s v="Março"/>
    <s v="SEMANA 3"/>
    <n v="15"/>
    <x v="8"/>
    <s v="Central RJ"/>
    <s v="Toalha Bobina"/>
    <s v="unid"/>
    <n v="48"/>
    <n v="12.566666666666668"/>
    <n v="603.20000000000005"/>
  </r>
  <r>
    <s v="Março"/>
    <s v="SEMANA 3"/>
    <n v="15"/>
    <x v="8"/>
    <s v="Sanda"/>
    <s v="Bobina Picotada 30X40"/>
    <s v="unid"/>
    <n v="2"/>
    <n v="11.97"/>
    <n v="23.94"/>
  </r>
  <r>
    <s v="Março"/>
    <s v="SEMANA 3"/>
    <n v="15"/>
    <x v="8"/>
    <s v="Sanda"/>
    <s v="Bobina Picotada 40X50"/>
    <s v="unid"/>
    <n v="3"/>
    <n v="19.739999999999998"/>
    <n v="59.22"/>
  </r>
  <r>
    <s v="Março"/>
    <s v="SEMANA 3"/>
    <n v="15"/>
    <x v="6"/>
    <s v="Sanda"/>
    <s v="Filme PVC 380 x 1000 Sushi"/>
    <s v="unid"/>
    <n v="1"/>
    <n v="33.35"/>
    <n v="33.35"/>
  </r>
  <r>
    <s v="Março"/>
    <s v="SEMANA 3"/>
    <n v="15"/>
    <x v="8"/>
    <s v="Sanda"/>
    <s v="Pano Multiuso Cross Hatch Azul 300 M"/>
    <s v="unid"/>
    <n v="1"/>
    <n v="212.4"/>
    <n v="212.4"/>
  </r>
  <r>
    <s v="Março"/>
    <s v="SEMANA 3"/>
    <n v="15"/>
    <x v="3"/>
    <s v="Sanda"/>
    <s v="Vassoura Nylon"/>
    <s v="unid"/>
    <n v="3"/>
    <n v="11.85"/>
    <n v="35.549999999999997"/>
  </r>
  <r>
    <s v="Março"/>
    <s v="SEMANA 3"/>
    <n v="15"/>
    <x v="8"/>
    <s v="Sanda"/>
    <s v="Sacola Camiseta Branca Doce"/>
    <s v="unid"/>
    <n v="1000"/>
    <n v="1.9649999999999997E-2"/>
    <n v="19.649999999999999"/>
  </r>
  <r>
    <s v="Março"/>
    <s v="SEMANA 3"/>
    <n v="15"/>
    <x v="8"/>
    <s v="Sanda"/>
    <s v="Sacola Camiseta Branca Sobremesa"/>
    <s v="unid"/>
    <n v="359"/>
    <n v="7.465181058495822E-2"/>
    <n v="26.8"/>
  </r>
  <r>
    <s v="Março"/>
    <s v="SEMANA 3"/>
    <n v="15"/>
    <x v="1"/>
    <s v="C. Trade"/>
    <s v="Macarrão Fusili"/>
    <s v="kg"/>
    <n v="12"/>
    <n v="7.4200000000000008"/>
    <n v="89.04"/>
  </r>
  <r>
    <s v="Março"/>
    <s v="SEMANA 3"/>
    <n v="15"/>
    <x v="1"/>
    <s v="C. Trade"/>
    <s v="Macarrão Linguine"/>
    <s v="kg"/>
    <n v="12"/>
    <n v="7.4200000000000008"/>
    <n v="89.04"/>
  </r>
  <r>
    <s v="Março"/>
    <s v="SEMANA 3"/>
    <n v="15"/>
    <x v="1"/>
    <s v="C. Trade"/>
    <s v="Macarrão Espaghetti"/>
    <s v="kg"/>
    <n v="12"/>
    <n v="7.4200000000000008"/>
    <n v="89.04"/>
  </r>
  <r>
    <s v="Março"/>
    <s v="SEMANA 3"/>
    <n v="15"/>
    <x v="1"/>
    <s v="C. Trade"/>
    <s v="Macarrão Talharim"/>
    <s v="kg"/>
    <n v="4"/>
    <n v="9.24"/>
    <n v="36.96"/>
  </r>
  <r>
    <s v="Março"/>
    <s v="SEMANA 3"/>
    <n v="15"/>
    <x v="2"/>
    <s v="Nova Peixaria Usina"/>
    <s v="Pescados - Atum Fresco"/>
    <s v="kg"/>
    <n v="44"/>
    <n v="14.9"/>
    <n v="655.6"/>
  </r>
  <r>
    <s v="Março"/>
    <s v="SEMANA 3"/>
    <n v="15"/>
    <x v="8"/>
    <s v="Copopel"/>
    <s v="Canudo Embalado"/>
    <s v="unid"/>
    <n v="3000"/>
    <n v="9.7000000000000003E-3"/>
    <n v="29.1"/>
  </r>
  <r>
    <s v="Março"/>
    <s v="SEMANA 3"/>
    <n v="15"/>
    <x v="8"/>
    <s v="Copopel"/>
    <s v="Filme PVC 380 x 300m"/>
    <s v="unid"/>
    <n v="1"/>
    <n v="23.11"/>
    <n v="23.11"/>
  </r>
  <r>
    <s v="Março"/>
    <s v="SEMANA 3"/>
    <n v="15"/>
    <x v="3"/>
    <s v="Copopel"/>
    <s v="Hipoclorito de Sódio Bb 5 Lt"/>
    <s v="bb"/>
    <n v="7"/>
    <n v="15.07"/>
    <n v="105.49000000000001"/>
  </r>
  <r>
    <s v="Março"/>
    <s v="SEMANA 3"/>
    <n v="15"/>
    <x v="8"/>
    <s v="Copopel"/>
    <s v="Luva Descartável c/ 100"/>
    <s v="pcte"/>
    <n v="3"/>
    <n v="1.34"/>
    <n v="4.0200000000000005"/>
  </r>
  <r>
    <s v="Março"/>
    <s v="SEMANA 3"/>
    <n v="15"/>
    <x v="8"/>
    <s v="Copopel"/>
    <s v="Papel Higiênico Rolo"/>
    <s v="unid"/>
    <n v="64"/>
    <n v="0.83374999999999999"/>
    <n v="53.36"/>
  </r>
  <r>
    <s v="Março"/>
    <s v="SEMANA 3"/>
    <n v="15"/>
    <x v="3"/>
    <s v="Copopel"/>
    <s v="Saco de Lixo 300 Lt"/>
    <s v="pcte"/>
    <n v="1"/>
    <n v="91.05"/>
    <n v="91.05"/>
  </r>
  <r>
    <s v="Março"/>
    <s v="SEMANA 3"/>
    <n v="15"/>
    <x v="3"/>
    <s v="Copopel"/>
    <s v="Sapólio"/>
    <s v="unid"/>
    <n v="1"/>
    <n v="2.2000000000000002"/>
    <n v="2.2000000000000002"/>
  </r>
  <r>
    <s v="Março"/>
    <s v="SEMANA 3"/>
    <n v="15"/>
    <x v="1"/>
    <s v="Bondulelle"/>
    <s v="Fundo de Alcachofra"/>
    <s v="kg"/>
    <n v="12.8"/>
    <n v="22.340624999999996"/>
    <n v="285.95999999999998"/>
  </r>
  <r>
    <s v="Março"/>
    <s v="SEMANA 3"/>
    <n v="15"/>
    <x v="1"/>
    <s v="Bondulelle"/>
    <s v="Ervilha congelada"/>
    <s v="kg"/>
    <n v="12"/>
    <n v="9.1950000000000003"/>
    <n v="110.34"/>
  </r>
  <r>
    <s v="Março"/>
    <s v="SEMANA 3"/>
    <n v="15"/>
    <x v="1"/>
    <s v="Planeta Gelo"/>
    <s v="Gelo em Escamas"/>
    <s v="saco"/>
    <n v="1"/>
    <n v="7.5"/>
    <n v="7.5"/>
  </r>
  <r>
    <s v="Março"/>
    <s v="SEMANA 3"/>
    <n v="15"/>
    <x v="1"/>
    <s v="Planeta Gelo"/>
    <s v="Gelo em Cubo"/>
    <s v="saco"/>
    <n v="2"/>
    <n v="7.5"/>
    <n v="15"/>
  </r>
  <r>
    <s v="Março"/>
    <s v="SEMANA 3"/>
    <n v="15"/>
    <x v="2"/>
    <s v="Truticultura da Serra"/>
    <s v="Pescados - Filé Truta Cong."/>
    <s v="kg"/>
    <n v="24"/>
    <n v="26"/>
    <n v="624"/>
  </r>
  <r>
    <s v="Março"/>
    <s v="SEMANA 3"/>
    <n v="15"/>
    <x v="1"/>
    <s v="Truticultura da Serra"/>
    <s v="Cogumelo Paris"/>
    <s v="kg"/>
    <n v="5"/>
    <n v="15.5"/>
    <n v="77.5"/>
  </r>
  <r>
    <s v="Março"/>
    <s v="SEMANA 3"/>
    <n v="15"/>
    <x v="1"/>
    <s v="Truticultura da Serra"/>
    <s v="Cogumelo Fatiado Bd 2 Kg"/>
    <s v="bd"/>
    <n v="1"/>
    <n v="37"/>
    <n v="37"/>
  </r>
  <r>
    <s v="Março"/>
    <s v="SEMANA 3"/>
    <n v="15"/>
    <x v="0"/>
    <s v="Umehara"/>
    <s v="Abacaxi "/>
    <s v="kg"/>
    <n v="15"/>
    <n v="3.25"/>
    <n v="48.75"/>
  </r>
  <r>
    <s v="Março"/>
    <s v="SEMANA 3"/>
    <n v="15"/>
    <x v="0"/>
    <s v="Umehara"/>
    <s v="Coentro"/>
    <s v="kg"/>
    <n v="0.3"/>
    <n v="23"/>
    <n v="6.8999999999999995"/>
  </r>
  <r>
    <s v="Março"/>
    <s v="SEMANA 3"/>
    <n v="15"/>
    <x v="0"/>
    <s v="Umehara"/>
    <s v="Rúcula"/>
    <s v="kg"/>
    <n v="3"/>
    <n v="4.9000000000000004"/>
    <n v="14.700000000000001"/>
  </r>
  <r>
    <s v="Março"/>
    <s v="SEMANA 3"/>
    <n v="15"/>
    <x v="0"/>
    <s v="Umehara"/>
    <s v="Couve Manteiga"/>
    <s v="kg"/>
    <n v="6"/>
    <n v="3"/>
    <n v="18"/>
  </r>
  <r>
    <s v="Março"/>
    <s v="SEMANA 3"/>
    <n v="15"/>
    <x v="0"/>
    <s v="Umehara"/>
    <s v="Abobora"/>
    <s v="kg"/>
    <n v="6"/>
    <n v="1.99"/>
    <n v="11.94"/>
  </r>
  <r>
    <s v="Março"/>
    <s v="SEMANA 3"/>
    <n v="15"/>
    <x v="0"/>
    <s v="Umehara"/>
    <s v="Abobora Japonesa"/>
    <s v="kg"/>
    <n v="1.8"/>
    <n v="2.86"/>
    <n v="5.1479999999999997"/>
  </r>
  <r>
    <s v="Março"/>
    <s v="SEMANA 3"/>
    <n v="15"/>
    <x v="6"/>
    <s v="Umehara"/>
    <s v="Gengibre Sushi"/>
    <s v="kg"/>
    <n v="12.8"/>
    <n v="7.03125"/>
    <n v="90"/>
  </r>
  <r>
    <s v="Março"/>
    <s v="SEMANA 3"/>
    <n v="15"/>
    <x v="0"/>
    <s v="Alcibiades G. Quintas"/>
    <s v="Berinjela"/>
    <s v="kg"/>
    <n v="10.119999999999999"/>
    <n v="1.9762845849802373"/>
    <n v="20"/>
  </r>
  <r>
    <s v="Março"/>
    <s v="SEMANA 3"/>
    <n v="15"/>
    <x v="0"/>
    <s v="Alcibiades G. Quintas"/>
    <s v="Beterraba"/>
    <s v="kg"/>
    <n v="10"/>
    <n v="2"/>
    <n v="20"/>
  </r>
  <r>
    <s v="Março"/>
    <s v="SEMANA 3"/>
    <n v="15"/>
    <x v="0"/>
    <s v="Alcibiades G. Quintas"/>
    <s v="Cará"/>
    <s v="kg"/>
    <n v="2"/>
    <n v="8"/>
    <n v="16"/>
  </r>
  <r>
    <s v="Março"/>
    <s v="SEMANA 3"/>
    <n v="15"/>
    <x v="0"/>
    <s v="Alcibiades G. Quintas"/>
    <s v="Pepino Japonês"/>
    <s v="kg"/>
    <n v="16.920000000000002"/>
    <n v="2.8368794326241131"/>
    <n v="48"/>
  </r>
  <r>
    <s v="Março"/>
    <s v="SEMANA 3"/>
    <n v="15"/>
    <x v="0"/>
    <s v="Alcibiades G. Quintas"/>
    <s v="Quiabo"/>
    <s v="kg"/>
    <n v="10"/>
    <n v="3.6"/>
    <n v="36"/>
  </r>
  <r>
    <s v="Março"/>
    <s v="SEMANA 3"/>
    <n v="15"/>
    <x v="0"/>
    <s v="Alcibiades G. Quintas"/>
    <s v="Tomate Salada"/>
    <s v="kg"/>
    <n v="19.899999999999999"/>
    <n v="3.0150753768844223"/>
    <n v="60"/>
  </r>
  <r>
    <s v="Março"/>
    <s v="SEMANA 3"/>
    <n v="15"/>
    <x v="0"/>
    <s v="Alcibiades G. Quintas"/>
    <s v="Tomate Cereja"/>
    <s v="kg"/>
    <n v="6"/>
    <n v="7"/>
    <n v="42"/>
  </r>
  <r>
    <s v="Março"/>
    <s v="SEMANA 3"/>
    <n v="15"/>
    <x v="0"/>
    <s v="Alcibiades G. Quintas"/>
    <s v="Alface Americana    "/>
    <s v="kg"/>
    <n v="3.44"/>
    <n v="6.9767441860465116"/>
    <n v="24"/>
  </r>
  <r>
    <s v="Março"/>
    <s v="SEMANA 3"/>
    <n v="15"/>
    <x v="0"/>
    <s v="Alcibiades G. Quintas"/>
    <s v="Alface crespa"/>
    <s v="kg"/>
    <n v="1.38"/>
    <n v="4.3478260869565224"/>
    <n v="6"/>
  </r>
  <r>
    <s v="Março"/>
    <s v="SEMANA 3"/>
    <n v="15"/>
    <x v="0"/>
    <s v="Alcibiades G. Quintas"/>
    <s v="Cebolinha Verde"/>
    <s v="kg"/>
    <n v="0.10999999999999999"/>
    <n v="7"/>
    <n v="0.76999999999999991"/>
  </r>
  <r>
    <s v="Março"/>
    <s v="SEMANA 3"/>
    <n v="15"/>
    <x v="0"/>
    <s v="Alcibiades G. Quintas"/>
    <s v="Espinafre"/>
    <s v="kg"/>
    <n v="6"/>
    <n v="6"/>
    <n v="36"/>
  </r>
  <r>
    <s v="Março"/>
    <s v="SEMANA 3"/>
    <n v="15"/>
    <x v="0"/>
    <s v="Alcibiades G. Quintas"/>
    <s v="Broto de Feijão"/>
    <s v="kg"/>
    <n v="3"/>
    <n v="14"/>
    <n v="42"/>
  </r>
  <r>
    <s v="Março"/>
    <s v="SEMANA 3"/>
    <n v="15"/>
    <x v="0"/>
    <s v="Alcibiades G. Quintas"/>
    <s v="Tofu Kilo"/>
    <s v="kg"/>
    <n v="1"/>
    <n v="14"/>
    <n v="14"/>
  </r>
  <r>
    <s v="Março"/>
    <s v="SEMANA 3"/>
    <n v="15"/>
    <x v="6"/>
    <s v="Alcibiades G. Quintas"/>
    <s v="Abacate Sushi"/>
    <s v="kg"/>
    <n v="1"/>
    <n v="6"/>
    <n v="6"/>
  </r>
  <r>
    <s v="Março"/>
    <s v="SEMANA 3"/>
    <n v="15"/>
    <x v="0"/>
    <s v="Alcibiades G. Quintas"/>
    <s v="Laranja Pera"/>
    <s v="kg"/>
    <n v="22.32"/>
    <n v="1.478494623655914"/>
    <n v="33"/>
  </r>
  <r>
    <s v="Março"/>
    <s v="SEMANA 3"/>
    <n v="15"/>
    <x v="0"/>
    <s v="Alcibiades G. Quintas"/>
    <s v="Mamão Bahia"/>
    <s v="kg"/>
    <n v="2.8"/>
    <n v="2.8"/>
    <n v="7.839999999999999"/>
  </r>
  <r>
    <s v="Março"/>
    <s v="SEMANA 3"/>
    <n v="15"/>
    <x v="0"/>
    <s v="Alcibiades G. Quintas"/>
    <s v="Manga Palmer"/>
    <s v="kg"/>
    <n v="6.52"/>
    <n v="3.834355828220859"/>
    <n v="25"/>
  </r>
  <r>
    <s v="Março"/>
    <s v="SEMANA 3"/>
    <n v="15"/>
    <x v="0"/>
    <s v="Alcibiades G. Quintas"/>
    <s v="Aipo"/>
    <s v="kg"/>
    <n v="1"/>
    <n v="4"/>
    <n v="4"/>
  </r>
  <r>
    <s v="Março"/>
    <s v="SEMANA 3"/>
    <n v="15"/>
    <x v="6"/>
    <s v="Alcibiades G. Quintas"/>
    <s v="Cebolinha Verde Sushi"/>
    <s v="kg"/>
    <n v="0.39"/>
    <n v="7"/>
    <n v="2.73"/>
  </r>
  <r>
    <s v="Março"/>
    <s v="SEMANA 3"/>
    <n v="15"/>
    <x v="0"/>
    <s v="Feira"/>
    <s v="Aipim"/>
    <s v="kg"/>
    <n v="20"/>
    <n v="5"/>
    <n v="100"/>
  </r>
  <r>
    <s v="Março"/>
    <s v="SEMANA 3"/>
    <n v="15"/>
    <x v="1"/>
    <s v="Mercadinho Bambina"/>
    <s v="Suco de Maracujá"/>
    <s v="unid"/>
    <n v="2"/>
    <n v="8.75"/>
    <n v="17.5"/>
  </r>
  <r>
    <s v="Março"/>
    <s v="SEMANA 3"/>
    <n v="15"/>
    <x v="0"/>
    <s v="Mercadinho Bambina"/>
    <s v="Louro"/>
    <s v="kg"/>
    <n v="0.06"/>
    <n v="82.5"/>
    <n v="4.95"/>
  </r>
  <r>
    <s v="Março"/>
    <s v="SEMANA 3"/>
    <n v="16"/>
    <x v="1"/>
    <s v="Planeta Gelo"/>
    <s v="Gelo em Escamas"/>
    <s v="saco"/>
    <n v="2"/>
    <n v="7.5"/>
    <n v="15"/>
  </r>
  <r>
    <s v="Março"/>
    <s v="SEMANA 3"/>
    <n v="16"/>
    <x v="1"/>
    <s v="Planeta Gelo"/>
    <s v="Gelo em Cubo"/>
    <s v="saco"/>
    <n v="3"/>
    <n v="7.5"/>
    <n v="22.5"/>
  </r>
  <r>
    <s v="Março"/>
    <s v="SEMANA 3"/>
    <n v="16"/>
    <x v="6"/>
    <s v="Satiro's"/>
    <s v="Pescados - Atum Fresco Sushi"/>
    <s v="kg"/>
    <n v="29"/>
    <n v="16"/>
    <n v="464"/>
  </r>
  <r>
    <s v="Março"/>
    <s v="SEMANA 3"/>
    <n v="16"/>
    <x v="2"/>
    <s v="Marfrig"/>
    <s v="Carne Bovina - Filé Mignon 3/4"/>
    <s v="kg"/>
    <n v="47.097999999999999"/>
    <n v="33.326500000000003"/>
    <n v="1569.6114970000001"/>
  </r>
  <r>
    <s v="Março"/>
    <s v="SEMANA 3"/>
    <n v="16"/>
    <x v="1"/>
    <s v="Top Alto"/>
    <s v="Arroz Branco"/>
    <s v="kg"/>
    <n v="10"/>
    <n v="3.4790000000000001"/>
    <n v="34.79"/>
  </r>
  <r>
    <s v="Março"/>
    <s v="SEMANA 3"/>
    <n v="16"/>
    <x v="1"/>
    <s v="Top Alto"/>
    <s v="Batata Palito 9M"/>
    <s v="kg"/>
    <n v="12.5"/>
    <n v="6.62"/>
    <n v="82.75"/>
  </r>
  <r>
    <s v="Março"/>
    <s v="SEMANA 3"/>
    <n v="16"/>
    <x v="2"/>
    <s v="Top Alto"/>
    <s v="Carne Bovina - Carne Seca"/>
    <s v="kg"/>
    <n v="30"/>
    <n v="20.22"/>
    <n v="606.59999999999991"/>
  </r>
  <r>
    <s v="Março"/>
    <s v="SEMANA 3"/>
    <n v="16"/>
    <x v="2"/>
    <s v="Top Alto"/>
    <s v="Suíno - Costelinha Fresca"/>
    <s v="kg"/>
    <n v="20"/>
    <n v="14.98"/>
    <n v="299.60000000000002"/>
  </r>
  <r>
    <s v="Março"/>
    <s v="SEMANA 3"/>
    <n v="16"/>
    <x v="5"/>
    <s v="Top Alto"/>
    <s v="Queijo Minas Padrão"/>
    <s v="kg"/>
    <n v="8.6999999999999993"/>
    <n v="30.5"/>
    <n v="265.34999999999997"/>
  </r>
  <r>
    <s v="Março"/>
    <s v="SEMANA 3"/>
    <n v="16"/>
    <x v="5"/>
    <s v="Laticinios Alhambra"/>
    <s v="Creme de Leite Culinário 20% Bd 10 Lt"/>
    <s v="bd"/>
    <n v="1"/>
    <n v="142.44999999999999"/>
    <n v="142.44999999999999"/>
  </r>
  <r>
    <s v="Março"/>
    <s v="SEMANA 3"/>
    <n v="16"/>
    <x v="5"/>
    <s v="Laticinios Alhambra"/>
    <s v="Queijo Prato"/>
    <s v="kg"/>
    <n v="3"/>
    <n v="26"/>
    <n v="78"/>
  </r>
  <r>
    <s v="Março"/>
    <s v="SEMANA 3"/>
    <n v="16"/>
    <x v="5"/>
    <s v="Laticinios Alhambra"/>
    <s v="Queijo Requeijão BD 3,6 Kg"/>
    <s v="kg"/>
    <n v="1"/>
    <n v="74.400000000000006"/>
    <n v="74.400000000000006"/>
  </r>
  <r>
    <s v="Março"/>
    <s v="SEMANA 3"/>
    <n v="16"/>
    <x v="2"/>
    <s v="Reginaves"/>
    <s v="Aves - Filé de Peito de Frango"/>
    <s v="kg"/>
    <n v="48"/>
    <n v="7.8"/>
    <n v="374.4"/>
  </r>
  <r>
    <s v="Março"/>
    <s v="SEMANA 3"/>
    <n v="16"/>
    <x v="2"/>
    <s v="Reginaves"/>
    <s v="Aves - Filé de Coxa"/>
    <s v="kg"/>
    <n v="16.799999999999997"/>
    <n v="8.6999999999999993"/>
    <n v="146.15999999999997"/>
  </r>
  <r>
    <s v="Março"/>
    <s v="SEMANA 3"/>
    <n v="15"/>
    <x v="3"/>
    <s v="Agilize"/>
    <s v="Álcool 70"/>
    <s v="unid"/>
    <n v="12"/>
    <n v="4.51"/>
    <n v="54.12"/>
  </r>
  <r>
    <s v="Março"/>
    <s v="SEMANA 3"/>
    <n v="15"/>
    <x v="3"/>
    <s v="Agilize"/>
    <s v="Esponja Dupla Face"/>
    <s v="unid"/>
    <n v="17"/>
    <n v="0.96599999999999997"/>
    <n v="16.422000000000001"/>
  </r>
  <r>
    <s v="Março"/>
    <s v="SEMANA 3"/>
    <n v="15"/>
    <x v="3"/>
    <s v="Agilize"/>
    <s v="Fibraço"/>
    <s v="unid"/>
    <n v="20"/>
    <n v="1.512"/>
    <n v="30.240000000000002"/>
  </r>
  <r>
    <s v="Março"/>
    <s v="SEMANA 3"/>
    <n v="15"/>
    <x v="3"/>
    <s v="Agilize"/>
    <s v="Inseticida"/>
    <s v="unid"/>
    <n v="6"/>
    <n v="7.45"/>
    <n v="44.7"/>
  </r>
  <r>
    <s v="Março"/>
    <s v="SEMANA 3"/>
    <n v="15"/>
    <x v="3"/>
    <s v="Agilize"/>
    <s v="Pá c/ Cabo para Lixo"/>
    <s v="unid"/>
    <n v="1"/>
    <n v="3.31"/>
    <n v="3.31"/>
  </r>
  <r>
    <s v="Março"/>
    <s v="SEMANA 3"/>
    <n v="15"/>
    <x v="8"/>
    <s v="Agilize"/>
    <s v="Luva de Borraca Forrada"/>
    <s v="unid"/>
    <n v="8"/>
    <n v="3.5"/>
    <n v="28"/>
  </r>
  <r>
    <s v="Março"/>
    <s v="SEMANA 3"/>
    <n v="15"/>
    <x v="3"/>
    <s v="Agilize"/>
    <s v="Sabão em Pó"/>
    <s v="pcte"/>
    <n v="1"/>
    <n v="19.670000000000002"/>
    <n v="19.670000000000002"/>
  </r>
  <r>
    <s v="Março"/>
    <s v="SEMANA 3"/>
    <n v="15"/>
    <x v="3"/>
    <s v="Agilize"/>
    <s v="Saco de Lixo 20 Lt"/>
    <s v="pcte"/>
    <n v="1"/>
    <n v="5.76"/>
    <n v="5.76"/>
  </r>
  <r>
    <s v="Março"/>
    <s v="SEMANA 3"/>
    <n v="15"/>
    <x v="3"/>
    <s v="Agilize"/>
    <s v="Saco de Lixo 200 Lt"/>
    <s v="pcte"/>
    <n v="2"/>
    <n v="44.16"/>
    <n v="88.32"/>
  </r>
  <r>
    <s v="Março"/>
    <s v="SEMANA 3"/>
    <n v="16"/>
    <x v="0"/>
    <s v="Umehara"/>
    <s v="Abacaxi "/>
    <s v="kg"/>
    <n v="10"/>
    <n v="3.25"/>
    <n v="32.5"/>
  </r>
  <r>
    <s v="Março"/>
    <s v="SEMANA 3"/>
    <n v="16"/>
    <x v="0"/>
    <s v="Umehara"/>
    <s v="Côco Verde"/>
    <s v="unid"/>
    <n v="20"/>
    <n v="2.25"/>
    <n v="45"/>
  </r>
  <r>
    <s v="Março"/>
    <s v="SEMANA 3"/>
    <n v="16"/>
    <x v="0"/>
    <s v="Umehara"/>
    <s v="Kiwi"/>
    <s v="kg"/>
    <n v="0.5"/>
    <n v="12"/>
    <n v="6"/>
  </r>
  <r>
    <s v="Março"/>
    <s v="SEMANA 3"/>
    <n v="16"/>
    <x v="0"/>
    <s v="Umehara"/>
    <s v="Melância"/>
    <s v="kg"/>
    <n v="10"/>
    <n v="1.52"/>
    <n v="15.2"/>
  </r>
  <r>
    <s v="Março"/>
    <s v="SEMANA 3"/>
    <n v="16"/>
    <x v="0"/>
    <s v="Umehara"/>
    <s v="Couve Manteiga"/>
    <s v="kg"/>
    <m/>
    <m/>
    <n v="0"/>
  </r>
  <r>
    <s v="Março"/>
    <s v="SEMANA 3"/>
    <n v="16"/>
    <x v="6"/>
    <s v="Umehara"/>
    <s v="Salsa Crespa Sushi"/>
    <s v="kg"/>
    <n v="0.1"/>
    <n v="13"/>
    <n v="1.3"/>
  </r>
  <r>
    <s v="Março"/>
    <s v="SEMANA 3"/>
    <n v="16"/>
    <x v="1"/>
    <s v="Umehara"/>
    <s v="Côco Seco"/>
    <s v="kg"/>
    <n v="3"/>
    <n v="5.9"/>
    <n v="17.700000000000003"/>
  </r>
  <r>
    <s v="Março"/>
    <s v="SEMANA 3"/>
    <n v="16"/>
    <x v="0"/>
    <s v="Umehara"/>
    <s v="Inhame"/>
    <s v="kg"/>
    <n v="4"/>
    <n v="3.5"/>
    <n v="14"/>
  </r>
  <r>
    <s v="Março"/>
    <s v="SEMANA 3"/>
    <n v="16"/>
    <x v="0"/>
    <s v="Umehara"/>
    <s v="Ovos Extra"/>
    <s v="unid"/>
    <n v="360"/>
    <n v="0.29722222222222222"/>
    <n v="107"/>
  </r>
  <r>
    <s v="Março"/>
    <s v="SEMANA 3"/>
    <n v="13"/>
    <x v="6"/>
    <s v="Mamy"/>
    <s v="Farinha Panco (sushi)"/>
    <s v="kg"/>
    <n v="1"/>
    <n v="17.7"/>
    <n v="17.7"/>
  </r>
  <r>
    <s v="Março"/>
    <s v="SEMANA 3"/>
    <n v="16"/>
    <x v="0"/>
    <s v="Batata, o Rei do Alho"/>
    <s v="Alho Descascado"/>
    <s v="kg"/>
    <n v="20"/>
    <n v="13.5"/>
    <n v="270"/>
  </r>
  <r>
    <s v="Março"/>
    <s v="SEMANA 3"/>
    <n v="16"/>
    <x v="0"/>
    <s v="Alcibiades G. Quintas"/>
    <s v="Beterraba"/>
    <s v="kg"/>
    <n v="4"/>
    <n v="2"/>
    <n v="8"/>
  </r>
  <r>
    <s v="Março"/>
    <s v="SEMANA 3"/>
    <n v="16"/>
    <x v="0"/>
    <s v="Alcibiades G. Quintas"/>
    <s v="Vagem Macarrão"/>
    <s v="kg"/>
    <n v="1"/>
    <n v="8"/>
    <n v="8"/>
  </r>
  <r>
    <s v="Março"/>
    <s v="SEMANA 3"/>
    <n v="16"/>
    <x v="0"/>
    <s v="Alcibiades G. Quintas"/>
    <s v="Alface Americana    "/>
    <s v="kg"/>
    <n v="3.4"/>
    <n v="7.0588235294117645"/>
    <n v="24"/>
  </r>
  <r>
    <s v="Março"/>
    <s v="SEMANA 3"/>
    <n v="16"/>
    <x v="0"/>
    <s v="Alcibiades G. Quintas"/>
    <s v="Alface crespa"/>
    <s v="kg"/>
    <n v="1.76"/>
    <n v="5.9659090909090908"/>
    <n v="10.5"/>
  </r>
  <r>
    <s v="Março"/>
    <s v="SEMANA 3"/>
    <n v="16"/>
    <x v="0"/>
    <s v="Alcibiades G. Quintas"/>
    <s v="Brócolis Americano"/>
    <s v="kg"/>
    <n v="6"/>
    <n v="12"/>
    <n v="72"/>
  </r>
  <r>
    <s v="Março"/>
    <s v="SEMANA 3"/>
    <n v="16"/>
    <x v="0"/>
    <s v="Alcibiades G. Quintas"/>
    <s v="Cebolinha Verde"/>
    <s v="kg"/>
    <n v="1"/>
    <n v="7"/>
    <n v="7"/>
  </r>
  <r>
    <s v="Março"/>
    <s v="SEMANA 3"/>
    <n v="16"/>
    <x v="0"/>
    <s v="Alcibiades G. Quintas"/>
    <s v="Salsa"/>
    <s v="kg"/>
    <n v="2"/>
    <n v="7"/>
    <n v="14"/>
  </r>
  <r>
    <s v="Março"/>
    <s v="SEMANA 3"/>
    <n v="16"/>
    <x v="0"/>
    <s v="Alcibiades G. Quintas"/>
    <s v="Capim Limão"/>
    <s v="kg"/>
    <n v="0.1"/>
    <n v="15"/>
    <n v="1.5"/>
  </r>
  <r>
    <s v="Março"/>
    <s v="SEMANA 3"/>
    <n v="16"/>
    <x v="0"/>
    <s v="Alcibiades G. Quintas"/>
    <s v="Laranja Pera"/>
    <s v="kg"/>
    <n v="19.2"/>
    <n v="1.71875"/>
    <n v="33"/>
  </r>
  <r>
    <s v="Março"/>
    <s v="SEMANA 3"/>
    <n v="16"/>
    <x v="0"/>
    <s v="Alcibiades G. Quintas"/>
    <s v="Mamão Bahia"/>
    <s v="kg"/>
    <n v="2"/>
    <n v="2.8"/>
    <n v="5.6"/>
  </r>
  <r>
    <s v="Março"/>
    <s v="SEMANA 3"/>
    <n v="16"/>
    <x v="0"/>
    <s v="Alcibiades G. Quintas"/>
    <s v="Manga Palmer"/>
    <s v="kg"/>
    <n v="6.08"/>
    <n v="4.1118421052631575"/>
    <n v="24.999999999999996"/>
  </r>
  <r>
    <s v="Março"/>
    <s v="SEMANA 3"/>
    <n v="16"/>
    <x v="0"/>
    <s v="Alcibiades G. Quintas"/>
    <s v="Melão Orange"/>
    <s v="kg"/>
    <n v="2"/>
    <n v="4.8"/>
    <n v="9.6"/>
  </r>
  <r>
    <s v="Março"/>
    <s v="SEMANA 3"/>
    <n v="16"/>
    <x v="2"/>
    <s v="Barrinhas"/>
    <s v="Pescados - Bacalhau Salgado"/>
    <s v="kg"/>
    <n v="25"/>
    <n v="54.915200000000006"/>
    <n v="1372.88"/>
  </r>
  <r>
    <s v="Março"/>
    <s v="SEMANA 3"/>
    <n v="16"/>
    <x v="8"/>
    <s v="Melhoramentos"/>
    <s v="Guardanapo Pequeno"/>
    <s v="kg"/>
    <n v="288"/>
    <n v="1.7765624999999998"/>
    <n v="511.65"/>
  </r>
  <r>
    <s v="Março"/>
    <s v="SEMANA 3"/>
    <n v="16"/>
    <x v="0"/>
    <s v="Mercadinho Bambina"/>
    <s v="Couve Manteiga"/>
    <s v="kg"/>
    <n v="0.18"/>
    <n v="9.1666666666666661"/>
    <n v="1.65"/>
  </r>
  <r>
    <s v="Março"/>
    <s v="SEMANA 3"/>
    <n v="16"/>
    <x v="1"/>
    <s v="Mercadinho Bambina"/>
    <s v="Pão Árabe"/>
    <s v="pcte"/>
    <n v="1"/>
    <n v="6.7"/>
    <n v="6.7"/>
  </r>
  <r>
    <s v="Março"/>
    <s v="SEMANA 3"/>
    <n v="16"/>
    <x v="1"/>
    <s v="Supermercados Mundial"/>
    <s v="Tapioca Granulada "/>
    <s v="kg"/>
    <n v="2"/>
    <n v="17.579999999999998"/>
    <n v="35.159999999999997"/>
  </r>
  <r>
    <s v="Março"/>
    <s v="SEMANA 3"/>
    <n v="16"/>
    <x v="0"/>
    <s v="Super Mercado Zonasul"/>
    <s v="Rúcula"/>
    <s v="kg"/>
    <n v="2"/>
    <n v="8.4499999999999993"/>
    <n v="16.899999999999999"/>
  </r>
  <r>
    <s v="Março"/>
    <s v="SEMANA 3"/>
    <n v="16"/>
    <x v="6"/>
    <s v="Satiro's"/>
    <s v="Pescados - Dourado Fresco Sushi"/>
    <s v="kg"/>
    <n v="3"/>
    <n v="15"/>
    <n v="45"/>
  </r>
  <r>
    <s v="Março"/>
    <s v="SEMANA 3"/>
    <n v="16"/>
    <x v="9"/>
    <s v="Piffer Torteria"/>
    <s v="Torta Xcake Framboesa"/>
    <s v="fatia"/>
    <n v="36"/>
    <n v="6.166666666666667"/>
    <n v="222"/>
  </r>
  <r>
    <s v="Março"/>
    <s v="SEMANA 3"/>
    <n v="16"/>
    <x v="9"/>
    <s v="Piffer Torteria"/>
    <s v="Geléia de Framboesa"/>
    <s v="unid"/>
    <n v="2"/>
    <m/>
    <n v="0"/>
  </r>
  <r>
    <s v="Março"/>
    <s v="SEMANA 3"/>
    <n v="16"/>
    <x v="9"/>
    <s v="Atelier dos Sabores"/>
    <s v="Torta Alemã"/>
    <s v="fatia"/>
    <n v="12"/>
    <n v="5.7491666666666665"/>
    <n v="68.989999999999995"/>
  </r>
  <r>
    <s v="Março"/>
    <s v="SEMANA 3"/>
    <n v="16"/>
    <x v="9"/>
    <s v="Atelier dos Sabores"/>
    <s v="Torta Bem Casado de Damasco"/>
    <s v="fatia"/>
    <n v="12"/>
    <n v="5.9258333333333333"/>
    <n v="71.11"/>
  </r>
  <r>
    <s v="Março"/>
    <s v="SEMANA 3"/>
    <n v="16"/>
    <x v="9"/>
    <s v="Atelier dos Sabores"/>
    <s v="Torta de Limão"/>
    <s v="fatia"/>
    <n v="12"/>
    <n v="5.5716666666666663"/>
    <n v="66.86"/>
  </r>
  <r>
    <s v="Março"/>
    <s v="SEMANA 3"/>
    <n v="16"/>
    <x v="9"/>
    <s v="Atelier dos Sabores"/>
    <s v="Torta Bem Casado de Doce de Leite"/>
    <s v="fatia"/>
    <n v="12"/>
    <n v="5.9258333333333333"/>
    <n v="71.11"/>
  </r>
  <r>
    <s v="Março"/>
    <s v="SEMANA 3"/>
    <n v="16"/>
    <x v="9"/>
    <s v="Atelier dos Sabores"/>
    <s v="Torta Bem Casado de Chocolate c/ Avelã"/>
    <s v="fatia"/>
    <n v="24"/>
    <n v="5.9258333333333333"/>
    <n v="142.22"/>
  </r>
  <r>
    <s v="Março"/>
    <s v="SEMANA 3"/>
    <n v="16"/>
    <x v="9"/>
    <s v="Atelier dos Sabores"/>
    <s v="Torta Banana Crock"/>
    <s v="fatia"/>
    <n v="12"/>
    <n v="5.9258333333333333"/>
    <n v="71.11"/>
  </r>
  <r>
    <s v="Março"/>
    <s v="SEMANA 3"/>
    <n v="16"/>
    <x v="2"/>
    <s v="Frigorifico Jahu"/>
    <s v="Pescados - Salmão Inteiro"/>
    <s v="kg"/>
    <n v="29.880000000000003"/>
    <n v="25.900099999999998"/>
    <n v="773.89498800000001"/>
  </r>
  <r>
    <s v="Março"/>
    <s v="SEMANA 3"/>
    <n v="16"/>
    <x v="6"/>
    <s v="Frigorifico Jahu"/>
    <s v="Pescados - Salmão Inteiro Sushi"/>
    <s v="kg"/>
    <n v="31.07"/>
    <n v="25.900099999999998"/>
    <n v="804.71610699999997"/>
  </r>
  <r>
    <s v="Março"/>
    <s v="SEMANA 3"/>
    <n v="16"/>
    <x v="9"/>
    <s v="M2HP"/>
    <s v="Torta Mousse de Chocolate "/>
    <s v="fatia"/>
    <n v="24"/>
    <n v="4.1383333333333328"/>
    <n v="99.32"/>
  </r>
  <r>
    <s v="Março"/>
    <s v="SEMANA 3"/>
    <n v="17"/>
    <x v="1"/>
    <s v="Mercadinho Bambina"/>
    <s v="Batata Palha 140 g"/>
    <s v="pcte"/>
    <n v="3"/>
    <n v="7.5"/>
    <n v="22.5"/>
  </r>
  <r>
    <s v="Março"/>
    <s v="SEMANA 3"/>
    <n v="17"/>
    <x v="1"/>
    <s v="Mercadinho Bambina"/>
    <s v="Pão Árabe"/>
    <s v="pcte"/>
    <n v="1"/>
    <n v="6.7"/>
    <n v="6.7"/>
  </r>
  <r>
    <s v="Março"/>
    <s v="SEMANA 3"/>
    <n v="17"/>
    <x v="1"/>
    <s v="Planeta Gelo"/>
    <s v="Gelo em Escamas"/>
    <s v="saco"/>
    <n v="2"/>
    <n v="7.5"/>
    <n v="15"/>
  </r>
  <r>
    <s v="Março"/>
    <s v="SEMANA 3"/>
    <n v="17"/>
    <x v="1"/>
    <s v="Planeta Gelo"/>
    <s v="Gelo em Cubo"/>
    <s v="saco"/>
    <n v="4"/>
    <n v="7.5"/>
    <n v="30"/>
  </r>
  <r>
    <s v="Março"/>
    <s v="SEMANA 3"/>
    <n v="17"/>
    <x v="0"/>
    <s v="Alcibiades G. Quintas"/>
    <s v="Batata Yacon"/>
    <s v="kg"/>
    <n v="1"/>
    <n v="8"/>
    <n v="8"/>
  </r>
  <r>
    <s v="Março"/>
    <s v="SEMANA 3"/>
    <n v="17"/>
    <x v="0"/>
    <s v="Alcibiades G. Quintas"/>
    <s v="Berinjela"/>
    <s v="kg"/>
    <n v="11"/>
    <n v="1.8181818181818181"/>
    <n v="20"/>
  </r>
  <r>
    <s v="Março"/>
    <s v="SEMANA 3"/>
    <n v="17"/>
    <x v="0"/>
    <s v="Alcibiades G. Quintas"/>
    <s v="Beterraba"/>
    <s v="kg"/>
    <n v="8"/>
    <n v="2"/>
    <n v="16"/>
  </r>
  <r>
    <s v="Março"/>
    <s v="SEMANA 3"/>
    <n v="17"/>
    <x v="0"/>
    <s v="Alcibiades G. Quintas"/>
    <s v="Cenoura"/>
    <s v="kg"/>
    <n v="20.420000000000002"/>
    <n v="2.4485798237022527"/>
    <n v="50.000000000000007"/>
  </r>
  <r>
    <s v="Março"/>
    <s v="SEMANA 3"/>
    <n v="17"/>
    <x v="0"/>
    <s v="Alcibiades G. Quintas"/>
    <s v="Pimentão Verde"/>
    <s v="kg"/>
    <n v="1"/>
    <n v="4"/>
    <n v="4"/>
  </r>
  <r>
    <s v="Março"/>
    <s v="SEMANA 3"/>
    <n v="17"/>
    <x v="0"/>
    <s v="Alcibiades G. Quintas"/>
    <s v="Tomate Salada"/>
    <s v="kg"/>
    <n v="20.7"/>
    <n v="2.8985507246376812"/>
    <n v="60"/>
  </r>
  <r>
    <s v="Março"/>
    <s v="SEMANA 3"/>
    <n v="17"/>
    <x v="0"/>
    <s v="Alcibiades G. Quintas"/>
    <s v="Alface Americana    "/>
    <s v="kg"/>
    <n v="7.2"/>
    <n v="6.6666666666666661"/>
    <n v="48"/>
  </r>
  <r>
    <s v="Março"/>
    <s v="SEMANA 3"/>
    <n v="17"/>
    <x v="0"/>
    <s v="Alcibiades G. Quintas"/>
    <s v="Alface crespa"/>
    <s v="kg"/>
    <n v="1.52"/>
    <n v="7.8947368421052628"/>
    <n v="12"/>
  </r>
  <r>
    <s v="Março"/>
    <s v="SEMANA 3"/>
    <n v="17"/>
    <x v="0"/>
    <s v="Alcibiades G. Quintas"/>
    <s v="Alface Roxa"/>
    <s v="kg"/>
    <n v="1.34"/>
    <n v="8.9552238805970141"/>
    <n v="12"/>
  </r>
  <r>
    <s v="Março"/>
    <s v="SEMANA 3"/>
    <n v="17"/>
    <x v="0"/>
    <s v="Alcibiades G. Quintas"/>
    <s v="Brócolis Americano"/>
    <s v="kg"/>
    <n v="5"/>
    <n v="12"/>
    <n v="60"/>
  </r>
  <r>
    <s v="Março"/>
    <s v="SEMANA 3"/>
    <n v="17"/>
    <x v="0"/>
    <s v="Alcibiades G. Quintas"/>
    <s v="Cebolinha Verde"/>
    <s v="kg"/>
    <n v="1"/>
    <n v="7"/>
    <n v="7"/>
  </r>
  <r>
    <s v="Março"/>
    <s v="SEMANA 3"/>
    <n v="17"/>
    <x v="0"/>
    <s v="Alcibiades G. Quintas"/>
    <s v="Couve Manteiga"/>
    <s v="kg"/>
    <n v="3"/>
    <n v="4.5"/>
    <n v="13.5"/>
  </r>
  <r>
    <s v="Março"/>
    <s v="SEMANA 3"/>
    <n v="17"/>
    <x v="0"/>
    <s v="Alcibiades G. Quintas"/>
    <s v="Hortelã"/>
    <s v="kg"/>
    <n v="0.5"/>
    <n v="4"/>
    <n v="2"/>
  </r>
  <r>
    <s v="Março"/>
    <s v="SEMANA 3"/>
    <n v="17"/>
    <x v="0"/>
    <s v="Alcibiades G. Quintas"/>
    <s v="Manjericão"/>
    <s v="kg"/>
    <n v="0.5"/>
    <n v="10"/>
    <n v="5"/>
  </r>
  <r>
    <s v="Março"/>
    <s v="SEMANA 3"/>
    <n v="17"/>
    <x v="0"/>
    <s v="Alcibiades G. Quintas"/>
    <s v="Nabo Japonês"/>
    <s v="kg"/>
    <n v="2"/>
    <n v="7"/>
    <n v="14"/>
  </r>
  <r>
    <s v="Março"/>
    <s v="SEMANA 3"/>
    <n v="17"/>
    <x v="0"/>
    <s v="Alcibiades G. Quintas"/>
    <s v="Mamão Bahia"/>
    <s v="kg"/>
    <n v="4"/>
    <n v="2.8"/>
    <n v="11.2"/>
  </r>
  <r>
    <s v="Março"/>
    <s v="SEMANA 3"/>
    <n v="17"/>
    <x v="0"/>
    <s v="Alcibiades G. Quintas"/>
    <s v="Manga Palmer"/>
    <s v="kg"/>
    <n v="10.11"/>
    <n v="4.9455984174085064"/>
    <n v="50"/>
  </r>
  <r>
    <s v="Março"/>
    <s v="SEMANA 3"/>
    <n v="17"/>
    <x v="6"/>
    <s v="Alcibiades G. Quintas"/>
    <s v="Manga Tommy Sushi"/>
    <s v="kg"/>
    <n v="2"/>
    <n v="4.5"/>
    <n v="9"/>
  </r>
  <r>
    <s v="Março"/>
    <s v="SEMANA 3"/>
    <n v="17"/>
    <x v="0"/>
    <s v="Umehara"/>
    <s v="Abacaxi "/>
    <s v="kg"/>
    <n v="15"/>
    <n v="3.25"/>
    <n v="48.75"/>
  </r>
  <r>
    <s v="Março"/>
    <s v="SEMANA 3"/>
    <n v="17"/>
    <x v="0"/>
    <s v="Umehara"/>
    <s v="Batata Baroa"/>
    <s v="kg"/>
    <n v="4.6400000000000006"/>
    <n v="5.0999999999999996"/>
    <n v="23.664000000000001"/>
  </r>
  <r>
    <s v="Março"/>
    <s v="SEMANA 3"/>
    <n v="17"/>
    <x v="0"/>
    <s v="Umehara"/>
    <s v="Cebola"/>
    <s v="kg"/>
    <n v="18.12"/>
    <n v="2.6766004415011038"/>
    <n v="48.5"/>
  </r>
  <r>
    <s v="Março"/>
    <s v="SEMANA 3"/>
    <n v="17"/>
    <x v="0"/>
    <s v="Umehara"/>
    <s v="Côco Verde"/>
    <s v="unid"/>
    <n v="25"/>
    <n v="2.25"/>
    <n v="56.25"/>
  </r>
  <r>
    <s v="Março"/>
    <s v="SEMANA 3"/>
    <n v="17"/>
    <x v="0"/>
    <s v="Umehara"/>
    <s v="Coentro"/>
    <s v="kg"/>
    <n v="0.3"/>
    <n v="23"/>
    <n v="6.8999999999999995"/>
  </r>
  <r>
    <s v="Março"/>
    <s v="SEMANA 3"/>
    <n v="17"/>
    <x v="0"/>
    <s v="Umehara"/>
    <s v="Kiwi"/>
    <s v="kg"/>
    <n v="1"/>
    <n v="12"/>
    <n v="12"/>
  </r>
  <r>
    <s v="Março"/>
    <s v="SEMANA 3"/>
    <n v="17"/>
    <x v="0"/>
    <s v="Umehara"/>
    <s v="Limão"/>
    <s v="kg"/>
    <n v="22.78"/>
    <n v="1.5671641791044777"/>
    <n v="35.700000000000003"/>
  </r>
  <r>
    <s v="Março"/>
    <s v="SEMANA 3"/>
    <n v="17"/>
    <x v="0"/>
    <s v="Umehara"/>
    <s v="Rúcula"/>
    <s v="kg"/>
    <n v="5"/>
    <n v="4.9000000000000004"/>
    <n v="24.5"/>
  </r>
  <r>
    <s v="Março"/>
    <s v="SEMANA 3"/>
    <n v="17"/>
    <x v="6"/>
    <s v="Umehara"/>
    <s v="Salsa Crespa Sushi"/>
    <s v="kg"/>
    <n v="0.1"/>
    <n v="13"/>
    <n v="1.3"/>
  </r>
  <r>
    <s v="Março"/>
    <s v="SEMANA 3"/>
    <n v="17"/>
    <x v="0"/>
    <s v="Umehara"/>
    <s v="Abobora Japonesa"/>
    <s v="kg"/>
    <n v="4"/>
    <n v="2.86"/>
    <n v="11.44"/>
  </r>
  <r>
    <s v="Março"/>
    <s v="SEMANA 3"/>
    <n v="17"/>
    <x v="0"/>
    <s v="Umehara"/>
    <s v="Acelga"/>
    <s v="kg"/>
    <n v="3"/>
    <n v="2.25"/>
    <n v="6.75"/>
  </r>
  <r>
    <s v="Março"/>
    <s v="SEMANA 3"/>
    <n v="17"/>
    <x v="0"/>
    <s v="Umehara"/>
    <s v="Couve Flor"/>
    <s v="kg"/>
    <n v="2"/>
    <n v="6"/>
    <n v="12"/>
  </r>
  <r>
    <s v="Março"/>
    <s v="SEMANA 3"/>
    <n v="17"/>
    <x v="0"/>
    <s v="Umehara"/>
    <s v="Goiaba"/>
    <s v="kg"/>
    <n v="2.6"/>
    <n v="2.3076923076923075"/>
    <n v="6"/>
  </r>
  <r>
    <s v="Março"/>
    <s v="SEMANA 3"/>
    <n v="17"/>
    <x v="0"/>
    <s v="Umehara"/>
    <s v="Batata HBT"/>
    <s v="kg"/>
    <n v="25"/>
    <n v="1.59"/>
    <n v="39.75"/>
  </r>
  <r>
    <s v="Março"/>
    <s v="SEMANA 3"/>
    <n v="17"/>
    <x v="0"/>
    <s v="Umehara"/>
    <s v="Inhame"/>
    <s v="kg"/>
    <n v="2"/>
    <n v="3.5"/>
    <n v="7"/>
  </r>
  <r>
    <s v="Março"/>
    <s v="SEMANA 3"/>
    <n v="17"/>
    <x v="0"/>
    <s v="Umehara"/>
    <s v="Pimentão Amarelo"/>
    <s v="kg"/>
    <n v="1"/>
    <n v="9.4499999999999993"/>
    <n v="9.4499999999999993"/>
  </r>
  <r>
    <s v="Março"/>
    <s v="SEMANA 3"/>
    <n v="17"/>
    <x v="0"/>
    <s v="Mercadinho Bambina"/>
    <s v="Couve Manteiga"/>
    <s v="kg"/>
    <n v="1"/>
    <n v="8.25"/>
    <n v="8.25"/>
  </r>
  <r>
    <s v="Março"/>
    <s v="SEMANA 3"/>
    <n v="18"/>
    <x v="1"/>
    <s v="Planeta Gelo"/>
    <s v="Gelo em Escamas"/>
    <s v="saco"/>
    <n v="1"/>
    <n v="7.5"/>
    <n v="7.5"/>
  </r>
  <r>
    <s v="Março"/>
    <s v="SEMANA 3"/>
    <n v="18"/>
    <x v="1"/>
    <s v="Planeta Gelo"/>
    <s v="Gelo em Cubo"/>
    <s v="saco"/>
    <n v="3"/>
    <n v="7.5"/>
    <n v="22.5"/>
  </r>
  <r>
    <s v="Março"/>
    <s v="SEMANA 3"/>
    <n v="17"/>
    <x v="6"/>
    <s v="Wah Sin"/>
    <s v="Arroz Japonês (sushi)"/>
    <s v="kg"/>
    <n v="60"/>
    <n v="5.166666666666667"/>
    <n v="310"/>
  </r>
  <r>
    <s v="Março"/>
    <s v="SEMANA 3"/>
    <n v="17"/>
    <x v="6"/>
    <s v="Wah Sin"/>
    <s v="Folha de Alga 50F"/>
    <s v="pcte"/>
    <n v="6"/>
    <n v="29"/>
    <n v="174"/>
  </r>
  <r>
    <s v="Março"/>
    <s v="SEMANA 3"/>
    <n v="17"/>
    <x v="6"/>
    <s v="Wah Sin"/>
    <s v="Wasabi em Pó"/>
    <s v="kg"/>
    <n v="1"/>
    <n v="30"/>
    <n v="30"/>
  </r>
  <r>
    <s v="Março"/>
    <s v="SEMANA 3"/>
    <n v="14"/>
    <x v="1"/>
    <s v="Mix Certo (Zamboni)"/>
    <s v="Vinagre de Arroz (cozinha)"/>
    <s v="unid"/>
    <n v="7"/>
    <n v="3.75"/>
    <n v="26.25"/>
  </r>
  <r>
    <s v="Março"/>
    <s v="SEMANA 4"/>
    <n v="19"/>
    <x v="0"/>
    <s v="Feira"/>
    <s v="Couve Manteiga"/>
    <s v="kg"/>
    <n v="0.32"/>
    <n v="15.625"/>
    <n v="5"/>
  </r>
  <r>
    <s v="Março"/>
    <s v="SEMANA 4"/>
    <n v="19"/>
    <x v="1"/>
    <s v="Feira"/>
    <s v="Massa de Pastel"/>
    <s v="kg"/>
    <n v="28.06"/>
    <n v="7.4839629365645051"/>
    <n v="210"/>
  </r>
  <r>
    <s v="Março"/>
    <s v="SEMANA 4"/>
    <n v="19"/>
    <x v="0"/>
    <s v="Feira"/>
    <s v="Aipim"/>
    <s v="kg"/>
    <n v="20"/>
    <n v="5"/>
    <n v="100"/>
  </r>
  <r>
    <s v="Março"/>
    <s v="SEMANA 4"/>
    <n v="19"/>
    <x v="8"/>
    <s v="R&amp;S"/>
    <s v="Garfo Descartável"/>
    <s v="unid"/>
    <n v="300"/>
    <n v="0.09"/>
    <n v="27"/>
  </r>
  <r>
    <s v="Março"/>
    <s v="SEMANA 4"/>
    <n v="19"/>
    <x v="5"/>
    <s v="Laticinios Alhambra"/>
    <s v="Creme de Leite Culinário 20% Bd 10 Lt"/>
    <s v="bd"/>
    <n v="1"/>
    <n v="142.44999999999999"/>
    <n v="142.44999999999999"/>
  </r>
  <r>
    <s v="Março"/>
    <s v="SEMANA 4"/>
    <n v="19"/>
    <x v="5"/>
    <s v="Laticinios Alhambra"/>
    <s v="Queijo Requeijão BD 3,6 Kg"/>
    <s v="bd"/>
    <n v="1"/>
    <n v="74.400000000000006"/>
    <n v="74.400000000000006"/>
  </r>
  <r>
    <s v="Março"/>
    <s v="SEMANA 4"/>
    <n v="19"/>
    <x v="5"/>
    <s v="Laticinios Alhambra"/>
    <s v="Queijo Minas"/>
    <s v="kg"/>
    <n v="2.9"/>
    <n v="20.8"/>
    <n v="60.32"/>
  </r>
  <r>
    <s v="Março"/>
    <s v="SEMANA 4"/>
    <n v="19"/>
    <x v="2"/>
    <s v="Frigorifico Jahu"/>
    <s v="Pescados - Camarão IQF Evisc. 51/60"/>
    <s v="kg"/>
    <n v="6"/>
    <n v="69.900000000000006"/>
    <n v="419.40000000000003"/>
  </r>
  <r>
    <s v="Março"/>
    <s v="SEMANA 4"/>
    <n v="19"/>
    <x v="2"/>
    <s v="Frigorifico Jahu"/>
    <s v="Pescados - Lula Calamares"/>
    <s v="kg"/>
    <n v="10"/>
    <n v="27.9"/>
    <n v="279"/>
  </r>
  <r>
    <s v="Março"/>
    <s v="SEMANA 4"/>
    <n v="19"/>
    <x v="6"/>
    <s v="Frigorifico Jahu"/>
    <s v="Pescados - Salmão Inteiro Sushi"/>
    <s v="kg"/>
    <n v="30.06"/>
    <n v="25.899899999999999"/>
    <n v="778.55099399999995"/>
  </r>
  <r>
    <s v="Março"/>
    <s v="SEMANA 4"/>
    <n v="19"/>
    <x v="2"/>
    <s v="Nutry Max"/>
    <s v="Carne Bovina - Lagarto Redondo"/>
    <s v="kg"/>
    <n v="18.57"/>
    <n v="14.98"/>
    <n v="278.17860000000002"/>
  </r>
  <r>
    <s v="Março"/>
    <s v="SEMANA 4"/>
    <n v="19"/>
    <x v="1"/>
    <s v="Planeta Gelo"/>
    <s v="Gelo em Escamas"/>
    <s v="saco"/>
    <n v="1"/>
    <n v="7.5"/>
    <n v="7.5"/>
  </r>
  <r>
    <s v="Março"/>
    <s v="SEMANA 4"/>
    <n v="19"/>
    <x v="1"/>
    <s v="Planeta Gelo"/>
    <s v="Gelo em Cubo"/>
    <s v="saco"/>
    <n v="4"/>
    <n v="7.5"/>
    <n v="30"/>
  </r>
  <r>
    <s v="Março"/>
    <s v="SEMANA 4"/>
    <n v="19"/>
    <x v="1"/>
    <s v="Orfeu"/>
    <s v="Café em Grão "/>
    <s v="kg"/>
    <n v="24"/>
    <n v="48.678750000000001"/>
    <n v="1168.29"/>
  </r>
  <r>
    <s v="Março"/>
    <s v="SEMANA 4"/>
    <n v="19"/>
    <x v="3"/>
    <s v="Ecolab"/>
    <s v="Solid Power (Lava Louça) 4 Kg"/>
    <s v="bb"/>
    <n v="2"/>
    <n v="459.25"/>
    <n v="918.5"/>
  </r>
  <r>
    <s v="Março"/>
    <s v="SEMANA 4"/>
    <n v="19"/>
    <x v="3"/>
    <s v="Ecolab"/>
    <s v="Vercom Detergente Bb 5 Lt"/>
    <s v="bb"/>
    <n v="2"/>
    <n v="167.08"/>
    <n v="334.16"/>
  </r>
  <r>
    <s v="Março"/>
    <s v="SEMANA 4"/>
    <n v="19"/>
    <x v="3"/>
    <s v="Ecolab"/>
    <s v="Greasestrip Plus Bb 5 L"/>
    <s v="bb"/>
    <n v="2"/>
    <n v="283.04500000000002"/>
    <n v="566.09"/>
  </r>
  <r>
    <s v="Março"/>
    <s v="SEMANA 4"/>
    <n v="19"/>
    <x v="3"/>
    <s v="Ecolab"/>
    <s v="Oásis enforce (limpador clorado) Bb5lt"/>
    <s v="bb"/>
    <n v="1"/>
    <n v="349.06"/>
    <n v="349.06"/>
  </r>
  <r>
    <s v="Março"/>
    <s v="SEMANA 4"/>
    <n v="19"/>
    <x v="2"/>
    <s v="Reginaves"/>
    <s v="Aves - Filé de Peito de Frango"/>
    <s v="kg"/>
    <n v="48"/>
    <n v="7.8"/>
    <n v="374.4"/>
  </r>
  <r>
    <s v="Março"/>
    <s v="SEMANA 4"/>
    <n v="19"/>
    <x v="1"/>
    <s v="Casas Pedro"/>
    <s v="Abacaxi Cristalizado"/>
    <s v="kg"/>
    <n v="0.37"/>
    <n v="32.945900000000002"/>
    <n v="12.189983"/>
  </r>
  <r>
    <s v="Março"/>
    <s v="SEMANA 4"/>
    <n v="19"/>
    <x v="1"/>
    <s v="Casas Pedro"/>
    <s v="Amendoa Fatiada"/>
    <s v="kg"/>
    <n v="0.60199999999999998"/>
    <n v="70.647800000000004"/>
    <n v="42.5299756"/>
  </r>
  <r>
    <s v="Março"/>
    <s v="SEMANA 4"/>
    <n v="19"/>
    <x v="1"/>
    <s v="Casas Pedro"/>
    <s v="Funghi Seco"/>
    <s v="kg"/>
    <n v="0.60799999999999998"/>
    <n v="79.819100000000006"/>
    <n v="48.530012800000002"/>
  </r>
  <r>
    <s v="Março"/>
    <s v="SEMANA 4"/>
    <n v="19"/>
    <x v="1"/>
    <s v="Casas Pedro"/>
    <s v="Kiwi Desidratado"/>
    <s v="kg"/>
    <n v="0.35199999999999998"/>
    <n v="44.9148"/>
    <n v="15.810009599999999"/>
  </r>
  <r>
    <s v="Março"/>
    <s v="SEMANA 4"/>
    <n v="19"/>
    <x v="1"/>
    <s v="Casas Pedro"/>
    <s v="Maçã Desidratada"/>
    <s v="kg"/>
    <n v="0.35599999999999998"/>
    <n v="48.966999999999999"/>
    <n v="17.432251999999998"/>
  </r>
  <r>
    <s v="Março"/>
    <s v="SEMANA 4"/>
    <n v="19"/>
    <x v="1"/>
    <s v="Casas Pedro"/>
    <s v="Pera Seca"/>
    <s v="kg"/>
    <n v="0.36199999999999999"/>
    <n v="53.011000000000003"/>
    <n v="19.189982000000001"/>
  </r>
  <r>
    <s v="Março"/>
    <s v="SEMANA 4"/>
    <n v="19"/>
    <x v="1"/>
    <s v="Casas Pedro"/>
    <s v="Tapioca Fina"/>
    <s v="kg"/>
    <n v="6.0460000000000003"/>
    <n v="8.0103000000000009"/>
    <n v="48.430273800000009"/>
  </r>
  <r>
    <s v="Março"/>
    <s v="SEMANA 4"/>
    <n v="19"/>
    <x v="1"/>
    <s v="Tempero Carioca"/>
    <s v="Trigo em Grão"/>
    <s v="kg"/>
    <n v="2"/>
    <n v="3.9"/>
    <n v="7.8"/>
  </r>
  <r>
    <s v="Março"/>
    <s v="SEMANA 4"/>
    <n v="19"/>
    <x v="1"/>
    <s v="Tempero Carioca"/>
    <s v="Açafrão"/>
    <s v="kg"/>
    <n v="0.3"/>
    <n v="11.5"/>
    <n v="3.4499999999999997"/>
  </r>
  <r>
    <s v="Março"/>
    <s v="SEMANA 4"/>
    <n v="19"/>
    <x v="1"/>
    <s v="Tempero Carioca"/>
    <s v="Ameixa sem Caroço"/>
    <s v="kg"/>
    <n v="1"/>
    <n v="17.899999999999999"/>
    <n v="17.899999999999999"/>
  </r>
  <r>
    <s v="Março"/>
    <s v="SEMANA 4"/>
    <n v="19"/>
    <x v="1"/>
    <s v="Tempero Carioca"/>
    <s v="Amendoim Torrado"/>
    <s v="kg"/>
    <n v="1"/>
    <n v="14.5"/>
    <n v="14.5"/>
  </r>
  <r>
    <s v="Março"/>
    <s v="SEMANA 4"/>
    <n v="19"/>
    <x v="1"/>
    <s v="Tempero Carioca"/>
    <s v="Castanha de Caju Picada"/>
    <s v="kg"/>
    <n v="2"/>
    <n v="54.9"/>
    <n v="109.8"/>
  </r>
  <r>
    <s v="Março"/>
    <s v="SEMANA 4"/>
    <n v="19"/>
    <x v="1"/>
    <s v="Tempero Carioca"/>
    <s v="Cevadinha"/>
    <s v="kg"/>
    <n v="1"/>
    <n v="5.9"/>
    <n v="5.9"/>
  </r>
  <r>
    <s v="Março"/>
    <s v="SEMANA 4"/>
    <n v="19"/>
    <x v="1"/>
    <s v="Tempero Carioca"/>
    <s v="Chimichurri"/>
    <s v="kg"/>
    <n v="0.2"/>
    <n v="26"/>
    <n v="5.2"/>
  </r>
  <r>
    <s v="Março"/>
    <s v="SEMANA 4"/>
    <n v="19"/>
    <x v="1"/>
    <s v="Tempero Carioca"/>
    <s v="Coloral"/>
    <s v="kg"/>
    <n v="0.3"/>
    <n v="5.5"/>
    <n v="1.65"/>
  </r>
  <r>
    <s v="Março"/>
    <s v="SEMANA 4"/>
    <n v="19"/>
    <x v="1"/>
    <s v="Tempero Carioca"/>
    <s v="Cuscus"/>
    <s v="kg"/>
    <n v="5"/>
    <n v="26.9"/>
    <n v="134.5"/>
  </r>
  <r>
    <s v="Março"/>
    <s v="SEMANA 4"/>
    <n v="19"/>
    <x v="1"/>
    <s v="Tempero Carioca"/>
    <s v="Damasco Seco"/>
    <s v="kg"/>
    <n v="1"/>
    <n v="26.9"/>
    <n v="26.9"/>
  </r>
  <r>
    <s v="Março"/>
    <s v="SEMANA 4"/>
    <n v="19"/>
    <x v="1"/>
    <s v="Tempero Carioca"/>
    <s v="Mostarda Dijom em Grão"/>
    <s v="unid"/>
    <n v="1"/>
    <n v="22"/>
    <n v="22"/>
  </r>
  <r>
    <s v="Março"/>
    <s v="SEMANA 4"/>
    <n v="19"/>
    <x v="1"/>
    <s v="Tempero Carioca"/>
    <s v="Nozes sem casca"/>
    <s v="kg"/>
    <n v="1"/>
    <n v="69.900000000000006"/>
    <n v="69.900000000000006"/>
  </r>
  <r>
    <s v="Março"/>
    <s v="SEMANA 4"/>
    <n v="19"/>
    <x v="1"/>
    <s v="Tempero Carioca"/>
    <s v="Paprica doce"/>
    <s v="kg"/>
    <n v="0.3"/>
    <n v="10.9"/>
    <n v="3.27"/>
  </r>
  <r>
    <s v="Março"/>
    <s v="SEMANA 4"/>
    <n v="19"/>
    <x v="1"/>
    <s v="Tempero Carioca"/>
    <s v="Passas Preta"/>
    <s v="kg"/>
    <n v="1"/>
    <n v="14.3"/>
    <n v="14.3"/>
  </r>
  <r>
    <s v="Março"/>
    <s v="SEMANA 4"/>
    <n v="19"/>
    <x v="1"/>
    <s v="Tempero Carioca"/>
    <s v="Tahine Lata 500 gr"/>
    <s v="kg"/>
    <n v="1"/>
    <n v="38"/>
    <n v="38"/>
  </r>
  <r>
    <s v="Março"/>
    <s v="SEMANA 4"/>
    <n v="19"/>
    <x v="0"/>
    <s v="Umehara"/>
    <s v="Cebola"/>
    <s v="kg"/>
    <n v="19.84"/>
    <n v="2.444556451612903"/>
    <n v="48.499999999999993"/>
  </r>
  <r>
    <s v="Março"/>
    <s v="SEMANA 4"/>
    <n v="19"/>
    <x v="0"/>
    <s v="Umehara"/>
    <s v="Côco Verde"/>
    <s v="unid"/>
    <n v="15"/>
    <n v="2.25"/>
    <n v="33.75"/>
  </r>
  <r>
    <s v="Março"/>
    <s v="SEMANA 4"/>
    <n v="19"/>
    <x v="0"/>
    <s v="Umehara"/>
    <s v="Coentro"/>
    <s v="kg"/>
    <n v="0.3"/>
    <n v="23"/>
    <n v="6.8999999999999995"/>
  </r>
  <r>
    <s v="Março"/>
    <s v="SEMANA 4"/>
    <n v="19"/>
    <x v="0"/>
    <s v="Umehara"/>
    <s v="Kiwi"/>
    <s v="kg"/>
    <n v="0.5"/>
    <n v="12"/>
    <n v="6"/>
  </r>
  <r>
    <s v="Março"/>
    <s v="SEMANA 4"/>
    <n v="19"/>
    <x v="0"/>
    <s v="Umehara"/>
    <s v="Manga Palmer"/>
    <s v="kg"/>
    <n v="6"/>
    <n v="4.166666666666667"/>
    <n v="25"/>
  </r>
  <r>
    <s v="Março"/>
    <s v="SEMANA 4"/>
    <n v="19"/>
    <x v="0"/>
    <s v="Umehara"/>
    <s v="Melância"/>
    <s v="kg"/>
    <n v="10"/>
    <n v="1.52"/>
    <n v="15.2"/>
  </r>
  <r>
    <s v="Março"/>
    <s v="SEMANA 4"/>
    <n v="19"/>
    <x v="0"/>
    <s v="Umehara"/>
    <s v="Rúcula"/>
    <s v="kg"/>
    <n v="2"/>
    <n v="4.9000000000000004"/>
    <n v="9.8000000000000007"/>
  </r>
  <r>
    <s v="Março"/>
    <s v="SEMANA 4"/>
    <n v="19"/>
    <x v="0"/>
    <s v="Umehara"/>
    <s v="Aspargos Frescos"/>
    <s v="kg"/>
    <n v="2"/>
    <n v="30"/>
    <n v="60"/>
  </r>
  <r>
    <s v="Março"/>
    <s v="SEMANA 4"/>
    <n v="19"/>
    <x v="0"/>
    <s v="Umehara"/>
    <s v="Chuchu"/>
    <s v="kg"/>
    <n v="19.059999999999999"/>
    <n v="0.87618048268625393"/>
    <n v="16.7"/>
  </r>
  <r>
    <s v="Março"/>
    <s v="SEMANA 4"/>
    <n v="19"/>
    <x v="0"/>
    <s v="Umehara"/>
    <s v="Ovos Extra"/>
    <s v="unid"/>
    <n v="360"/>
    <n v="0.29722222222222222"/>
    <n v="107"/>
  </r>
  <r>
    <s v="Março"/>
    <s v="SEMANA 4"/>
    <n v="19"/>
    <x v="0"/>
    <s v="Umehara"/>
    <s v="Pimentão Amarelo"/>
    <s v="kg"/>
    <n v="1"/>
    <n v="9.4499999999999993"/>
    <n v="9.4499999999999993"/>
  </r>
  <r>
    <s v="Março"/>
    <s v="SEMANA 4"/>
    <n v="19"/>
    <x v="0"/>
    <s v="Alcibiades G. Quintas"/>
    <s v="Abobrinha "/>
    <s v="kg"/>
    <n v="15.46"/>
    <n v="2.2639068564036222"/>
    <n v="35"/>
  </r>
  <r>
    <s v="Março"/>
    <s v="SEMANA 4"/>
    <n v="19"/>
    <x v="0"/>
    <s v="Alcibiades G. Quintas"/>
    <s v="Batata Baroa"/>
    <s v="kg"/>
    <n v="15.38"/>
    <n v="4.5513654096228864"/>
    <n v="70"/>
  </r>
  <r>
    <s v="Março"/>
    <s v="SEMANA 4"/>
    <n v="19"/>
    <x v="0"/>
    <s v="Alcibiades G. Quintas"/>
    <s v="Batata Doce"/>
    <s v="kg"/>
    <n v="19"/>
    <n v="1.8947368421052631"/>
    <n v="36"/>
  </r>
  <r>
    <s v="Março"/>
    <s v="SEMANA 4"/>
    <n v="19"/>
    <x v="0"/>
    <s v="Alcibiades G. Quintas"/>
    <s v="Berinjela"/>
    <s v="kg"/>
    <n v="10.5"/>
    <n v="1.9047619047619047"/>
    <n v="20"/>
  </r>
  <r>
    <s v="Março"/>
    <s v="SEMANA 4"/>
    <n v="19"/>
    <x v="0"/>
    <s v="Alcibiades G. Quintas"/>
    <s v="Pimentão Verde"/>
    <s v="kg"/>
    <n v="1"/>
    <n v="4"/>
    <n v="4"/>
  </r>
  <r>
    <s v="Março"/>
    <s v="SEMANA 4"/>
    <n v="19"/>
    <x v="0"/>
    <s v="Alcibiades G. Quintas"/>
    <s v="Repolho"/>
    <s v="kg"/>
    <n v="6"/>
    <n v="2"/>
    <n v="12"/>
  </r>
  <r>
    <s v="Março"/>
    <s v="SEMANA 4"/>
    <n v="19"/>
    <x v="0"/>
    <s v="Alcibiades G. Quintas"/>
    <s v="Tomate Salada"/>
    <s v="kg"/>
    <n v="21.78"/>
    <n v="3.2139577594123048"/>
    <n v="70"/>
  </r>
  <r>
    <s v="Março"/>
    <s v="SEMANA 4"/>
    <n v="19"/>
    <x v="0"/>
    <s v="Alcibiades G. Quintas"/>
    <s v="Vagem Macarrão"/>
    <s v="kg"/>
    <n v="2"/>
    <n v="8"/>
    <n v="16"/>
  </r>
  <r>
    <s v="Março"/>
    <s v="SEMANA 4"/>
    <n v="19"/>
    <x v="0"/>
    <s v="Alcibiades G. Quintas"/>
    <s v="Alface Americana    "/>
    <s v="kg"/>
    <n v="2.64"/>
    <n v="9.0909090909090899"/>
    <n v="24"/>
  </r>
  <r>
    <s v="Março"/>
    <s v="SEMANA 4"/>
    <n v="19"/>
    <x v="0"/>
    <s v="Alcibiades G. Quintas"/>
    <s v="Alface crespa"/>
    <s v="kg"/>
    <n v="1.18"/>
    <n v="6.3559322033898304"/>
    <n v="7.4999999999999991"/>
  </r>
  <r>
    <s v="Março"/>
    <s v="SEMANA 4"/>
    <n v="19"/>
    <x v="0"/>
    <s v="Alcibiades G. Quintas"/>
    <s v="Cebolinha Verde"/>
    <s v="kg"/>
    <n v="0.5"/>
    <n v="7"/>
    <n v="3.5"/>
  </r>
  <r>
    <s v="Março"/>
    <s v="SEMANA 4"/>
    <n v="19"/>
    <x v="0"/>
    <s v="Alcibiades G. Quintas"/>
    <s v="Hortelã"/>
    <s v="kg"/>
    <n v="0.3"/>
    <n v="4"/>
    <n v="1.2"/>
  </r>
  <r>
    <s v="Março"/>
    <s v="SEMANA 4"/>
    <n v="19"/>
    <x v="0"/>
    <s v="Alcibiades G. Quintas"/>
    <s v="Manjericão"/>
    <s v="kg"/>
    <n v="0.5"/>
    <n v="10"/>
    <n v="5"/>
  </r>
  <r>
    <s v="Março"/>
    <s v="SEMANA 4"/>
    <n v="19"/>
    <x v="0"/>
    <s v="Alcibiades G. Quintas"/>
    <s v="Nabo Japonês"/>
    <s v="kg"/>
    <n v="1"/>
    <n v="7"/>
    <n v="7"/>
  </r>
  <r>
    <s v="Março"/>
    <s v="SEMANA 4"/>
    <n v="19"/>
    <x v="0"/>
    <s v="Alcibiades G. Quintas"/>
    <s v="Salsa"/>
    <s v="kg"/>
    <n v="0.5"/>
    <n v="7"/>
    <n v="3.5"/>
  </r>
  <r>
    <s v="Março"/>
    <s v="SEMANA 4"/>
    <n v="19"/>
    <x v="0"/>
    <s v="Alcibiades G. Quintas"/>
    <s v="Aneto"/>
    <s v="kg"/>
    <n v="0.05"/>
    <n v="30"/>
    <n v="1.5"/>
  </r>
  <r>
    <s v="Março"/>
    <s v="SEMANA 4"/>
    <n v="19"/>
    <x v="0"/>
    <s v="Alcibiades G. Quintas"/>
    <s v="Pimenta Dedo de Moça"/>
    <s v="kg"/>
    <n v="0.2"/>
    <n v="20"/>
    <n v="4"/>
  </r>
  <r>
    <s v="Março"/>
    <s v="SEMANA 4"/>
    <n v="19"/>
    <x v="0"/>
    <s v="Alcibiades G. Quintas"/>
    <s v="Pimenta de Cheiro"/>
    <s v="kg"/>
    <n v="0.2"/>
    <n v="30"/>
    <n v="6"/>
  </r>
  <r>
    <s v="Março"/>
    <s v="SEMANA 4"/>
    <n v="19"/>
    <x v="0"/>
    <s v="Alcibiades G. Quintas"/>
    <s v="Pimenta Malagueta"/>
    <s v="kg"/>
    <n v="0.2"/>
    <n v="50"/>
    <n v="10"/>
  </r>
  <r>
    <s v="Março"/>
    <s v="SEMANA 4"/>
    <n v="19"/>
    <x v="0"/>
    <s v="Alcibiades G. Quintas"/>
    <s v="Abacate "/>
    <s v="kg"/>
    <n v="8"/>
    <n v="6"/>
    <n v="48"/>
  </r>
  <r>
    <s v="Março"/>
    <s v="SEMANA 4"/>
    <n v="19"/>
    <x v="0"/>
    <s v="Alcibiades G. Quintas"/>
    <s v="Banana da Terra"/>
    <s v="kg"/>
    <n v="6"/>
    <n v="4.5"/>
    <n v="27"/>
  </r>
  <r>
    <s v="Março"/>
    <s v="SEMANA 4"/>
    <n v="19"/>
    <x v="0"/>
    <s v="Alcibiades G. Quintas"/>
    <s v="Laranja Pera"/>
    <s v="kg"/>
    <n v="39.380000000000003"/>
    <n v="1.6759776536312847"/>
    <n v="66"/>
  </r>
  <r>
    <s v="Março"/>
    <s v="SEMANA 4"/>
    <n v="19"/>
    <x v="0"/>
    <s v="Alcibiades G. Quintas"/>
    <s v="Maracujá"/>
    <s v="kg"/>
    <n v="1"/>
    <n v="5"/>
    <n v="5"/>
  </r>
  <r>
    <s v="Março"/>
    <s v="SEMANA 4"/>
    <n v="19"/>
    <x v="0"/>
    <s v="Alcibiades G. Quintas"/>
    <s v="Mamão Bahia"/>
    <s v="kg"/>
    <n v="3.3"/>
    <n v="2.8"/>
    <n v="9.2399999999999984"/>
  </r>
  <r>
    <s v="Março"/>
    <s v="SEMANA 4"/>
    <n v="19"/>
    <x v="0"/>
    <s v="Alcibiades G. Quintas"/>
    <s v="Manga Tommy"/>
    <s v="kg"/>
    <n v="2"/>
    <n v="4.5"/>
    <n v="9"/>
  </r>
  <r>
    <s v="Março"/>
    <s v="SEMANA 4"/>
    <n v="19"/>
    <x v="0"/>
    <s v="Alcibiades G. Quintas"/>
    <s v="Pimenta Biquinho"/>
    <s v="kg"/>
    <n v="0.2"/>
    <n v="60"/>
    <n v="12"/>
  </r>
  <r>
    <s v="Março"/>
    <s v="SEMANA 4"/>
    <n v="20"/>
    <x v="1"/>
    <s v="Mercadinho Bambina"/>
    <s v="Macarrão Cabelo de Anjo"/>
    <s v="kg"/>
    <n v="2"/>
    <n v="8.5"/>
    <n v="17"/>
  </r>
  <r>
    <s v="Março"/>
    <s v="SEMANA 4"/>
    <n v="20"/>
    <x v="1"/>
    <s v="Mercadinho Bambina"/>
    <s v="Chá diversos sache"/>
    <s v="pcte"/>
    <n v="2"/>
    <n v="5.98"/>
    <n v="11.96"/>
  </r>
  <r>
    <s v="Março"/>
    <s v="SEMANA 4"/>
    <n v="20"/>
    <x v="0"/>
    <s v="Rioaves"/>
    <s v="Ovo de Codorna"/>
    <s v="pcte"/>
    <n v="18"/>
    <n v="10.6"/>
    <n v="190.79999999999998"/>
  </r>
  <r>
    <s v="Março"/>
    <s v="SEMANA 4"/>
    <n v="20"/>
    <x v="1"/>
    <s v="Rioaves"/>
    <s v="Farinha de Rosca"/>
    <s v="kg"/>
    <n v="10"/>
    <n v="9"/>
    <n v="90"/>
  </r>
  <r>
    <s v="Março"/>
    <s v="SEMANA 4"/>
    <n v="20"/>
    <x v="1"/>
    <s v="Mercadinho Bambina"/>
    <s v="Pão Árabe"/>
    <s v="pcte"/>
    <n v="3"/>
    <n v="6.7"/>
    <n v="20.100000000000001"/>
  </r>
  <r>
    <s v="Março"/>
    <s v="SEMANA 4"/>
    <n v="20"/>
    <x v="2"/>
    <s v="Peixaria Só Peixe"/>
    <s v="Pescados - Kani"/>
    <s v="kg"/>
    <n v="9.75"/>
    <n v="21.99"/>
    <n v="214.40249999999997"/>
  </r>
  <r>
    <s v="Março"/>
    <s v="SEMANA 4"/>
    <n v="20"/>
    <x v="2"/>
    <s v="DM Com. Pescados"/>
    <s v="Pescados - Polvo Tentáculos Cong. M"/>
    <s v="kg"/>
    <n v="10"/>
    <n v="39.9"/>
    <n v="399"/>
  </r>
  <r>
    <s v="Março"/>
    <s v="SEMANA 4"/>
    <n v="20"/>
    <x v="2"/>
    <s v="DM Com. Pescados"/>
    <s v="Pescados - Marisco"/>
    <s v="kg"/>
    <n v="4"/>
    <n v="22.9"/>
    <n v="91.6"/>
  </r>
  <r>
    <s v="Março"/>
    <s v="SEMANA 4"/>
    <n v="20"/>
    <x v="2"/>
    <s v="Nutry Max"/>
    <s v="Suíno - Linguiça Fina Defumada"/>
    <s v="kg"/>
    <n v="2.5"/>
    <n v="9.9"/>
    <n v="24.75"/>
  </r>
  <r>
    <s v="Março"/>
    <s v="SEMANA 4"/>
    <n v="20"/>
    <x v="2"/>
    <s v="Nutry Max"/>
    <s v="Suíno - Linguiça Paio"/>
    <s v="kg"/>
    <n v="5"/>
    <n v="10.99"/>
    <n v="54.95"/>
  </r>
  <r>
    <s v="Março"/>
    <s v="SEMANA 4"/>
    <n v="20"/>
    <x v="2"/>
    <s v="Nutry Max"/>
    <s v="Suíno - Lombo Salgado"/>
    <s v="kg"/>
    <n v="9.1"/>
    <n v="10.81"/>
    <n v="98.370999999999995"/>
  </r>
  <r>
    <s v="Março"/>
    <s v="SEMANA 4"/>
    <n v="20"/>
    <x v="2"/>
    <s v="Nutry Max"/>
    <s v="Suíno - Costelinha Salgada"/>
    <s v="kg"/>
    <m/>
    <m/>
    <n v="0"/>
  </r>
  <r>
    <s v="Março"/>
    <s v="SEMANA 4"/>
    <n v="20"/>
    <x v="2"/>
    <s v="Nutry Max"/>
    <s v="Carne Bovina - Alcatra Miolo"/>
    <s v="kg"/>
    <n v="24.408000000000001"/>
    <n v="19.2"/>
    <n v="468.6336"/>
  </r>
  <r>
    <s v="Março"/>
    <s v="SEMANA 4"/>
    <n v="20"/>
    <x v="1"/>
    <s v="Planeta Gelo"/>
    <s v="Gelo em Escamas"/>
    <s v="saco"/>
    <n v="1"/>
    <n v="7.5"/>
    <n v="7.5"/>
  </r>
  <r>
    <s v="Março"/>
    <s v="SEMANA 4"/>
    <n v="20"/>
    <x v="1"/>
    <s v="Planeta Gelo"/>
    <s v="Gelo em Cubo"/>
    <s v="saco"/>
    <n v="2"/>
    <n v="7.5"/>
    <n v="15"/>
  </r>
  <r>
    <s v="Março"/>
    <s v="SEMANA 4"/>
    <n v="20"/>
    <x v="5"/>
    <s v="Laticinios Alhambra"/>
    <s v="Creme de Leite Culinário 20% Bd 10 Lt"/>
    <s v="bd"/>
    <n v="1"/>
    <n v="142.44999999999999"/>
    <n v="142.44999999999999"/>
  </r>
  <r>
    <s v="Março"/>
    <s v="SEMANA 4"/>
    <n v="20"/>
    <x v="5"/>
    <s v="Laticinios Alhambra"/>
    <s v="Queijo Mussarela"/>
    <s v="kg"/>
    <n v="6.26"/>
    <n v="26"/>
    <n v="162.76"/>
  </r>
  <r>
    <s v="Março"/>
    <s v="SEMANA 4"/>
    <n v="20"/>
    <x v="5"/>
    <s v="Laticinios Alhambra"/>
    <s v="Queijo Requeijão BD 3,6 Kg"/>
    <s v="bd"/>
    <n v="1"/>
    <n v="74.400000000000006"/>
    <n v="74.400000000000006"/>
  </r>
  <r>
    <s v="Março"/>
    <s v="SEMANA 4"/>
    <n v="20"/>
    <x v="1"/>
    <s v="Ind. Caseira de Doces Helena"/>
    <s v="Biscoito de Milho Café "/>
    <s v="kg"/>
    <n v="10.700000000000001"/>
    <n v="22.195"/>
    <n v="237.48650000000004"/>
  </r>
  <r>
    <s v="Março"/>
    <s v="SEMANA 4"/>
    <n v="20"/>
    <x v="4"/>
    <s v="Minalba"/>
    <s v="Água Mineral com Gás"/>
    <s v="unid"/>
    <n v="138"/>
    <n v="1.3333333333333333"/>
    <n v="184"/>
  </r>
  <r>
    <s v="Março"/>
    <s v="SEMANA 4"/>
    <n v="20"/>
    <x v="4"/>
    <s v="Minalba"/>
    <s v="Água Mineral sem Gás"/>
    <s v="unid"/>
    <n v="210"/>
    <n v="1.3333333333333333"/>
    <n v="280"/>
  </r>
  <r>
    <s v="Março"/>
    <s v="SEMANA 3"/>
    <n v="14"/>
    <x v="6"/>
    <s v="Rio Quality"/>
    <s v="Açucar Refinado Sushi"/>
    <s v="kg"/>
    <n v="6"/>
    <n v="2.44"/>
    <n v="14.64"/>
  </r>
  <r>
    <s v="Março"/>
    <s v="SEMANA 4"/>
    <n v="20"/>
    <x v="6"/>
    <s v="Top Alto"/>
    <s v="Cream Cheese Sushi"/>
    <s v="kg"/>
    <n v="1.5"/>
    <n v="20.333333333333332"/>
    <n v="30.5"/>
  </r>
  <r>
    <s v="Março"/>
    <s v="SEMANA 4"/>
    <n v="20"/>
    <x v="5"/>
    <s v="Top Alto"/>
    <s v="Queijo Parmezon"/>
    <s v="kg"/>
    <n v="5.2"/>
    <n v="23.7"/>
    <n v="123.24"/>
  </r>
  <r>
    <s v="Março"/>
    <s v="SEMANA 4"/>
    <n v="20"/>
    <x v="2"/>
    <s v="Mar e Terra"/>
    <s v="Pescados - Filé Tilápia Cong."/>
    <s v="kg"/>
    <n v="24"/>
    <n v="26.3"/>
    <n v="631.20000000000005"/>
  </r>
  <r>
    <s v="Março"/>
    <s v="SEMANA 4"/>
    <n v="20"/>
    <x v="7"/>
    <s v="Mamy"/>
    <s v="Bala de Alga 500 g"/>
    <s v="pcte"/>
    <n v="2"/>
    <n v="17.16"/>
    <n v="34.32"/>
  </r>
  <r>
    <s v="Março"/>
    <s v="SEMANA 4"/>
    <n v="20"/>
    <x v="1"/>
    <s v="Mamy"/>
    <s v="Chá verde 200gr"/>
    <s v="pcte"/>
    <n v="1"/>
    <n v="14.68"/>
    <n v="14.68"/>
  </r>
  <r>
    <s v="Março"/>
    <s v="SEMANA 4"/>
    <n v="20"/>
    <x v="1"/>
    <s v="Mamy"/>
    <s v="Farinha Panco"/>
    <s v="kg"/>
    <n v="5"/>
    <n v="17.7"/>
    <n v="88.5"/>
  </r>
  <r>
    <s v="Março"/>
    <s v="SEMANA 4"/>
    <n v="20"/>
    <x v="1"/>
    <s v="Mamy"/>
    <s v="Gergelim Branco"/>
    <s v="kg"/>
    <n v="2"/>
    <n v="11.25"/>
    <n v="22.5"/>
  </r>
  <r>
    <s v="Março"/>
    <s v="SEMANA 4"/>
    <n v="20"/>
    <x v="1"/>
    <s v="Mamy"/>
    <s v="Massa de Harumaki"/>
    <s v="folha"/>
    <n v="228"/>
    <n v="0.57583333333333331"/>
    <n v="131.29"/>
  </r>
  <r>
    <s v="Março"/>
    <s v="SEMANA 4"/>
    <n v="20"/>
    <x v="1"/>
    <s v="Mamy"/>
    <s v="Óleo de Gergelim"/>
    <s v="unid"/>
    <n v="1"/>
    <n v="54"/>
    <n v="54"/>
  </r>
  <r>
    <s v="Março"/>
    <s v="SEMANA 4"/>
    <n v="20"/>
    <x v="0"/>
    <s v="Umehara"/>
    <s v="Abacaxi "/>
    <s v="kg"/>
    <n v="10"/>
    <n v="3.25"/>
    <n v="32.5"/>
  </r>
  <r>
    <s v="Março"/>
    <s v="SEMANA 4"/>
    <n v="20"/>
    <x v="0"/>
    <s v="Umehara"/>
    <s v="Abobora Japonesa"/>
    <s v="kg"/>
    <n v="2"/>
    <n v="2.86"/>
    <n v="5.72"/>
  </r>
  <r>
    <s v="Março"/>
    <s v="SEMANA 4"/>
    <n v="20"/>
    <x v="0"/>
    <s v="Umehara"/>
    <s v="Acelga"/>
    <s v="kg"/>
    <n v="1.5"/>
    <n v="2.25"/>
    <n v="3.375"/>
  </r>
  <r>
    <s v="Março"/>
    <s v="SEMANA 4"/>
    <n v="20"/>
    <x v="0"/>
    <s v="Umehara"/>
    <s v="Batata HBT"/>
    <s v="kg"/>
    <n v="25"/>
    <n v="1.59"/>
    <n v="39.75"/>
  </r>
  <r>
    <s v="Março"/>
    <s v="SEMANA 4"/>
    <n v="20"/>
    <x v="0"/>
    <s v="Umehara"/>
    <s v="Côco Verde"/>
    <s v="kg"/>
    <n v="15"/>
    <n v="2.25"/>
    <n v="33.75"/>
  </r>
  <r>
    <s v="Março"/>
    <s v="SEMANA 4"/>
    <n v="20"/>
    <x v="0"/>
    <s v="Umehara"/>
    <s v="Inhame"/>
    <s v="unid"/>
    <n v="5"/>
    <n v="3"/>
    <n v="15"/>
  </r>
  <r>
    <s v="Março"/>
    <s v="SEMANA 4"/>
    <n v="20"/>
    <x v="0"/>
    <s v="Umehara"/>
    <s v="Kiwi"/>
    <s v="kg"/>
    <n v="0.5"/>
    <n v="12"/>
    <n v="6"/>
  </r>
  <r>
    <s v="Março"/>
    <s v="SEMANA 4"/>
    <n v="20"/>
    <x v="0"/>
    <s v="Umehara"/>
    <s v="Limão Siciliano"/>
    <s v="kg"/>
    <n v="1"/>
    <n v="7.5"/>
    <n v="7.5"/>
  </r>
  <r>
    <s v="Março"/>
    <s v="SEMANA 4"/>
    <n v="20"/>
    <x v="0"/>
    <s v="Umehara"/>
    <s v="Manga Palmer"/>
    <s v="kg"/>
    <n v="1"/>
    <n v="5"/>
    <n v="5"/>
  </r>
  <r>
    <s v="Março"/>
    <s v="SEMANA 4"/>
    <n v="20"/>
    <x v="0"/>
    <s v="Alcibiades G. Quintas"/>
    <s v="Abobora"/>
    <s v="kg"/>
    <n v="10"/>
    <n v="3.2"/>
    <n v="32"/>
  </r>
  <r>
    <s v="Março"/>
    <s v="SEMANA 4"/>
    <n v="20"/>
    <x v="0"/>
    <s v="Alcibiades G. Quintas"/>
    <s v="Cenoura"/>
    <s v="kg"/>
    <n v="21.64"/>
    <n v="2.310536044362292"/>
    <n v="50"/>
  </r>
  <r>
    <s v="Março"/>
    <s v="SEMANA 4"/>
    <n v="20"/>
    <x v="0"/>
    <s v="Alcibiades G. Quintas"/>
    <s v="Pepino Japonês"/>
    <s v="kg"/>
    <n v="18.98"/>
    <n v="2.3340248962655599"/>
    <n v="44.299792531120325"/>
  </r>
  <r>
    <s v="Março"/>
    <s v="SEMANA 4"/>
    <n v="20"/>
    <x v="0"/>
    <s v="Alcibiades G. Quintas"/>
    <s v="Repolho"/>
    <s v="kg"/>
    <n v="3"/>
    <n v="2"/>
    <n v="6"/>
  </r>
  <r>
    <s v="Março"/>
    <s v="SEMANA 4"/>
    <n v="20"/>
    <x v="0"/>
    <s v="Alcibiades G. Quintas"/>
    <s v="Repolho Roxo"/>
    <s v="kg"/>
    <n v="3"/>
    <n v="3"/>
    <n v="9"/>
  </r>
  <r>
    <s v="Março"/>
    <s v="SEMANA 4"/>
    <n v="20"/>
    <x v="0"/>
    <s v="Alcibiades G. Quintas"/>
    <s v="Tomate Salada"/>
    <s v="kg"/>
    <n v="20.079999999999998"/>
    <n v="3.2370517928286855"/>
    <n v="65"/>
  </r>
  <r>
    <s v="Março"/>
    <s v="SEMANA 4"/>
    <n v="20"/>
    <x v="0"/>
    <s v="Alcibiades G. Quintas"/>
    <s v="Vagem Macarrão"/>
    <s v="kg"/>
    <n v="5"/>
    <n v="8"/>
    <n v="40"/>
  </r>
  <r>
    <s v="Março"/>
    <s v="SEMANA 4"/>
    <n v="20"/>
    <x v="0"/>
    <s v="Alcibiades G. Quintas"/>
    <s v="Alface Americana    "/>
    <s v="kg"/>
    <n v="2.86"/>
    <n v="8.3916083916083917"/>
    <n v="24"/>
  </r>
  <r>
    <s v="Março"/>
    <s v="SEMANA 4"/>
    <n v="20"/>
    <x v="0"/>
    <s v="Alcibiades G. Quintas"/>
    <s v="Alface crespa"/>
    <s v="kg"/>
    <n v="1.4419999999999999"/>
    <n v="6.2413314840499305"/>
    <n v="9"/>
  </r>
  <r>
    <s v="Março"/>
    <s v="SEMANA 4"/>
    <n v="20"/>
    <x v="0"/>
    <s v="Alcibiades G. Quintas"/>
    <s v="Alface Roxa"/>
    <s v="kg"/>
    <n v="0.44"/>
    <n v="13.636363636363637"/>
    <n v="6"/>
  </r>
  <r>
    <s v="Março"/>
    <s v="SEMANA 4"/>
    <n v="20"/>
    <x v="0"/>
    <s v="Alcibiades G. Quintas"/>
    <s v="Alho Poró "/>
    <s v="kg"/>
    <n v="4"/>
    <n v="9"/>
    <n v="36"/>
  </r>
  <r>
    <s v="Março"/>
    <s v="SEMANA 4"/>
    <n v="20"/>
    <x v="0"/>
    <s v="Alcibiades G. Quintas"/>
    <s v="Brócolis Americano"/>
    <s v="kg"/>
    <n v="5"/>
    <n v="12"/>
    <n v="60"/>
  </r>
  <r>
    <s v="Março"/>
    <s v="SEMANA 4"/>
    <n v="20"/>
    <x v="0"/>
    <s v="Alcibiades G. Quintas"/>
    <s v="Cebolinha Verde"/>
    <s v="kg"/>
    <n v="0.5"/>
    <n v="7"/>
    <n v="3.5"/>
  </r>
  <r>
    <s v="Março"/>
    <s v="SEMANA 4"/>
    <n v="20"/>
    <x v="0"/>
    <s v="Alcibiades G. Quintas"/>
    <s v="Nabo Japonês"/>
    <s v="kg"/>
    <n v="2"/>
    <n v="7"/>
    <n v="14"/>
  </r>
  <r>
    <s v="Março"/>
    <s v="SEMANA 4"/>
    <n v="20"/>
    <x v="0"/>
    <s v="Alcibiades G. Quintas"/>
    <s v="Tofu Kilo"/>
    <s v="kg"/>
    <n v="3"/>
    <n v="14"/>
    <n v="42"/>
  </r>
  <r>
    <s v="Março"/>
    <s v="SEMANA 4"/>
    <n v="20"/>
    <x v="6"/>
    <s v="Alcibiades G. Quintas"/>
    <s v="Abacate Sushi"/>
    <s v="kg"/>
    <n v="1"/>
    <n v="6"/>
    <n v="6"/>
  </r>
  <r>
    <s v="Março"/>
    <s v="SEMANA 4"/>
    <n v="20"/>
    <x v="0"/>
    <s v="Alcibiades G. Quintas"/>
    <s v="Laranja Pera"/>
    <s v="kg"/>
    <n v="21.98"/>
    <n v="1.592356687898089"/>
    <n v="35"/>
  </r>
  <r>
    <s v="Março"/>
    <s v="SEMANA 4"/>
    <n v="20"/>
    <x v="0"/>
    <s v="Alcibiades G. Quintas"/>
    <s v="Melão Orange"/>
    <s v="kg"/>
    <n v="1.8"/>
    <n v="4.8"/>
    <n v="8.64"/>
  </r>
  <r>
    <s v="Março"/>
    <s v="SEMANA 4"/>
    <n v="20"/>
    <x v="6"/>
    <s v="Mamy"/>
    <s v="Farinha Panco (sushi)"/>
    <s v="kg"/>
    <n v="1"/>
    <n v="17.7"/>
    <n v="17.7"/>
  </r>
  <r>
    <s v="Março"/>
    <s v="SEMANA 4"/>
    <n v="20"/>
    <x v="1"/>
    <s v="Luisa"/>
    <s v="Clara de Ovo"/>
    <s v="kg"/>
    <n v="14.5"/>
    <n v="5.1724137931034484"/>
    <n v="75"/>
  </r>
  <r>
    <s v="Março"/>
    <s v="SEMANA 4"/>
    <n v="20"/>
    <x v="2"/>
    <s v="Pescarimarcar"/>
    <s v="Pescados - Filé Linguado Cong. M"/>
    <s v="kg"/>
    <n v="40"/>
    <n v="38"/>
    <n v="1520"/>
  </r>
  <r>
    <s v="Março"/>
    <s v="SEMANA 4"/>
    <n v="20"/>
    <x v="2"/>
    <s v="DM Com. Pescados"/>
    <s v="Pescados - Salmão Inteiro"/>
    <s v="kg"/>
    <n v="31.8"/>
    <n v="29.9"/>
    <n v="950.81999999999994"/>
  </r>
  <r>
    <s v="Março"/>
    <s v="SEMANA 4"/>
    <n v="21"/>
    <x v="1"/>
    <s v="J. Araujo (Arcofood)"/>
    <s v="Farinha de Mandioca"/>
    <s v="kg"/>
    <n v="20"/>
    <n v="5.2424999999999997"/>
    <n v="104.85"/>
  </r>
  <r>
    <s v="Março"/>
    <s v="SEMANA 4"/>
    <n v="21"/>
    <x v="1"/>
    <s v="J. Araujo (Arcofood)"/>
    <s v="Milho Mini Conserva lata 1,5 Kg"/>
    <s v="unid"/>
    <n v="1"/>
    <n v="30.4"/>
    <n v="30.4"/>
  </r>
  <r>
    <s v="Março"/>
    <s v="SEMANA 4"/>
    <n v="21"/>
    <x v="1"/>
    <s v="J. Araujo (Arcofood)"/>
    <s v="Vinagre de Vinho Tinto 750 ml"/>
    <s v="unid"/>
    <n v="12"/>
    <n v="2.7875000000000001"/>
    <n v="33.450000000000003"/>
  </r>
  <r>
    <s v="Março"/>
    <s v="SEMANA 4"/>
    <n v="21"/>
    <x v="1"/>
    <s v="J. Araujo (Arcofood)"/>
    <s v="Sal Refinado"/>
    <s v="kg"/>
    <n v="10"/>
    <n v="1.2410000000000001"/>
    <n v="12.41"/>
  </r>
  <r>
    <s v="Março"/>
    <s v="SEMANA 4"/>
    <n v="21"/>
    <x v="1"/>
    <s v="J. Araujo (Arcofood)"/>
    <s v="Leite de Côco"/>
    <s v="lt"/>
    <n v="12"/>
    <n v="12.930833333333332"/>
    <n v="155.16999999999999"/>
  </r>
  <r>
    <s v="Março"/>
    <s v="SEMANA 4"/>
    <n v="21"/>
    <x v="1"/>
    <s v="J. Araujo (Arcofood)"/>
    <s v="Picles"/>
    <s v="bd"/>
    <n v="1"/>
    <n v="15.83"/>
    <n v="15.83"/>
  </r>
  <r>
    <s v="Março"/>
    <s v="SEMANA 4"/>
    <n v="21"/>
    <x v="1"/>
    <s v="Rio Quality"/>
    <s v="Leite Integral"/>
    <s v="lt"/>
    <n v="72"/>
    <n v="2.9591666666666665"/>
    <n v="213.06"/>
  </r>
  <r>
    <s v="Março"/>
    <s v="SEMANA 4"/>
    <n v="21"/>
    <x v="1"/>
    <s v="Rio Quality"/>
    <s v="Margarina Bd 15 Kg"/>
    <s v="bd"/>
    <n v="2"/>
    <n v="71"/>
    <n v="142"/>
  </r>
  <r>
    <s v="Março"/>
    <s v="SEMANA 4"/>
    <n v="21"/>
    <x v="1"/>
    <s v="Rio Quality"/>
    <s v="Óleo de Soja 18 Lt"/>
    <s v="bag"/>
    <n v="5"/>
    <n v="61.5"/>
    <n v="307.5"/>
  </r>
  <r>
    <s v="Março"/>
    <s v="SEMANA 4"/>
    <n v="21"/>
    <x v="1"/>
    <s v="Rio Quality"/>
    <s v="Maisena Amido de Milho 1 Kg"/>
    <s v="kg"/>
    <n v="5"/>
    <n v="3.3"/>
    <n v="16.5"/>
  </r>
  <r>
    <s v="Março"/>
    <s v="SEMANA 4"/>
    <n v="21"/>
    <x v="1"/>
    <s v="Rio Quality"/>
    <s v="Catchup 3,6 Kg"/>
    <s v="bb"/>
    <n v="2"/>
    <n v="14.95"/>
    <n v="29.9"/>
  </r>
  <r>
    <s v="Março"/>
    <s v="SEMANA 4"/>
    <n v="21"/>
    <x v="1"/>
    <s v="Rio Quality"/>
    <s v="Fubá de Milho "/>
    <s v="kg"/>
    <n v="1"/>
    <n v="1.77"/>
    <n v="1.77"/>
  </r>
  <r>
    <s v="Março"/>
    <s v="SEMANA 4"/>
    <n v="21"/>
    <x v="1"/>
    <s v="Rio Quality"/>
    <s v="Macarrão Espaghetti Nissim"/>
    <s v="kg"/>
    <n v="2"/>
    <n v="10.24"/>
    <n v="20.48"/>
  </r>
  <r>
    <s v="Março"/>
    <s v="SEMANA 4"/>
    <n v="21"/>
    <x v="1"/>
    <s v="CDI"/>
    <s v="Açucar Refinado"/>
    <s v="kg"/>
    <n v="18"/>
    <n v="1.9850000000000001"/>
    <n v="35.730000000000004"/>
  </r>
  <r>
    <s v="Março"/>
    <s v="SEMANA 4"/>
    <n v="21"/>
    <x v="1"/>
    <s v="CDI"/>
    <s v="Arroz Branco"/>
    <s v="kg"/>
    <n v="35"/>
    <n v="3.2879999999999998"/>
    <n v="115.08"/>
  </r>
  <r>
    <s v="Março"/>
    <s v="SEMANA 4"/>
    <n v="21"/>
    <x v="1"/>
    <s v="CDI"/>
    <s v="Azeite Dende"/>
    <s v="unid"/>
    <n v="1"/>
    <n v="11.78"/>
    <n v="11.78"/>
  </r>
  <r>
    <s v="Março"/>
    <s v="SEMANA 4"/>
    <n v="21"/>
    <x v="1"/>
    <s v="CDI"/>
    <s v="Farinha de Trigo"/>
    <s v="kg"/>
    <n v="30"/>
    <n v="1.6839999999999999"/>
    <n v="50.519999999999996"/>
  </r>
  <r>
    <s v="Março"/>
    <s v="SEMANA 4"/>
    <n v="21"/>
    <x v="1"/>
    <s v="CDI"/>
    <s v="Feijão Mulatinho"/>
    <s v="kg"/>
    <n v="5"/>
    <n v="7.7"/>
    <n v="38.5"/>
  </r>
  <r>
    <s v="Março"/>
    <s v="SEMANA 4"/>
    <n v="21"/>
    <x v="1"/>
    <s v="CDI"/>
    <s v="Feijão Preto"/>
    <s v="kg"/>
    <n v="30"/>
    <n v="4.25"/>
    <n v="127.5"/>
  </r>
  <r>
    <s v="Março"/>
    <s v="SEMANA 4"/>
    <n v="21"/>
    <x v="1"/>
    <s v="CDI"/>
    <s v="Grão de Bico"/>
    <s v="kg"/>
    <n v="5"/>
    <n v="15.3"/>
    <n v="76.5"/>
  </r>
  <r>
    <s v="Março"/>
    <s v="SEMANA 4"/>
    <n v="21"/>
    <x v="1"/>
    <s v="CDI"/>
    <s v="Karo Mel"/>
    <s v="unid"/>
    <n v="12"/>
    <n v="6.35"/>
    <n v="76.199999999999989"/>
  </r>
  <r>
    <s v="Março"/>
    <s v="SEMANA 4"/>
    <n v="21"/>
    <x v="1"/>
    <s v="CDI"/>
    <s v="Lentilha"/>
    <s v="kg"/>
    <n v="10"/>
    <n v="10.1"/>
    <n v="101"/>
  </r>
  <r>
    <s v="Março"/>
    <s v="SEMANA 4"/>
    <n v="21"/>
    <x v="1"/>
    <s v="CDI"/>
    <s v="Pimenta Tabasco"/>
    <s v="unid"/>
    <n v="1"/>
    <n v="11.940000000000001"/>
    <n v="11.940000000000001"/>
  </r>
  <r>
    <s v="Março"/>
    <s v="SEMANA 4"/>
    <n v="21"/>
    <x v="1"/>
    <s v="Mix Certo (Zamboni)"/>
    <s v="Nescau (Nestle)"/>
    <s v="kg"/>
    <n v="2"/>
    <n v="10.97"/>
    <n v="21.94"/>
  </r>
  <r>
    <s v="Março"/>
    <s v="SEMANA 4"/>
    <n v="21"/>
    <x v="1"/>
    <s v="Mix Certo (Zamboni)"/>
    <s v="Vinho Branco Seco Gf 4,6 Lt"/>
    <s v="unid"/>
    <n v="1"/>
    <n v="43.85"/>
    <n v="43.85"/>
  </r>
  <r>
    <s v="Março"/>
    <s v="SEMANA 4"/>
    <n v="21"/>
    <x v="1"/>
    <s v="Mix Certo (Zamboni)"/>
    <s v="Vinho Tinto Seco Gf 4,6 Lt"/>
    <s v="unid"/>
    <n v="1"/>
    <n v="43.85"/>
    <n v="43.85"/>
  </r>
  <r>
    <s v="Março"/>
    <s v="SEMANA 4"/>
    <n v="21"/>
    <x v="1"/>
    <s v="Mix Certo (Zamboni)"/>
    <s v="Maionese Hellmanns Bd 3 Kg"/>
    <s v="unid"/>
    <n v="6"/>
    <n v="23.05"/>
    <n v="138.30000000000001"/>
  </r>
  <r>
    <s v="Março"/>
    <s v="SEMANA 4"/>
    <n v="21"/>
    <x v="1"/>
    <s v="Mix Certo (Zamboni)"/>
    <s v="Milho Verde 2 Kg"/>
    <s v="unid"/>
    <n v="6"/>
    <n v="9.02"/>
    <n v="54.12"/>
  </r>
  <r>
    <s v="Março"/>
    <s v="SEMANA 4"/>
    <n v="21"/>
    <x v="1"/>
    <s v="Mix Certo (Zamboni)"/>
    <s v="Molho Inglês 1 Lt"/>
    <s v="lt"/>
    <n v="1"/>
    <n v="4.5999999999999996"/>
    <n v="4.5999999999999996"/>
  </r>
  <r>
    <s v="Março"/>
    <s v="SEMANA 4"/>
    <n v="21"/>
    <x v="1"/>
    <s v="Mix Certo (Zamboni)"/>
    <s v="Shoyu Light Bb 5 Lt"/>
    <s v="lt"/>
    <n v="3"/>
    <n v="14.52"/>
    <n v="43.56"/>
  </r>
  <r>
    <s v="Março"/>
    <s v="SEMANA 4"/>
    <n v="21"/>
    <x v="1"/>
    <s v="Mix Certo (Zamboni)"/>
    <s v="Shoyu Tradicional (Cozinha) Bb 5 Lt"/>
    <s v="bb"/>
    <n v="2"/>
    <n v="49.87"/>
    <n v="99.74"/>
  </r>
  <r>
    <s v="Março"/>
    <s v="SEMANA 4"/>
    <n v="21"/>
    <x v="1"/>
    <s v="Mix Certo (Zamboni)"/>
    <s v="Mostarda Bb 3,3, Kg"/>
    <s v="bb"/>
    <n v="2"/>
    <n v="12.7"/>
    <n v="25.4"/>
  </r>
  <r>
    <s v="Março"/>
    <s v="SEMANA 4"/>
    <n v="21"/>
    <x v="1"/>
    <s v="Mix Certo (Zamboni)"/>
    <s v="Orégano Chileno"/>
    <s v="kg"/>
    <n v="0.2"/>
    <n v="52.55"/>
    <n v="10.51"/>
  </r>
  <r>
    <s v="Março"/>
    <s v="SEMANA 4"/>
    <n v="21"/>
    <x v="6"/>
    <s v="Mix Certo (Zamboni)"/>
    <s v="Vinagre de Arroz Sushi"/>
    <s v="unid"/>
    <n v="5"/>
    <n v="3.75"/>
    <n v="18.75"/>
  </r>
  <r>
    <s v="Março"/>
    <s v="SEMANA 4"/>
    <n v="21"/>
    <x v="3"/>
    <s v="Agilize"/>
    <s v="Álcool 70"/>
    <s v="unid"/>
    <n v="12"/>
    <n v="4.51"/>
    <n v="54.12"/>
  </r>
  <r>
    <s v="Março"/>
    <s v="SEMANA 4"/>
    <n v="21"/>
    <x v="3"/>
    <s v="Agilize"/>
    <s v="Saco de Lixo 200 Lt"/>
    <s v="pcte"/>
    <n v="1"/>
    <m/>
    <n v="0"/>
  </r>
  <r>
    <s v="Março"/>
    <s v="SEMANA 4"/>
    <n v="21"/>
    <x v="9"/>
    <s v="M2HP"/>
    <s v="Torta Capuccino Diet"/>
    <s v="fatia"/>
    <n v="10"/>
    <n v="5.891"/>
    <n v="58.91"/>
  </r>
  <r>
    <s v="Março"/>
    <s v="SEMANA 4"/>
    <n v="21"/>
    <x v="9"/>
    <s v="M2HP"/>
    <s v="Torta Mousse de Chocolate Diet"/>
    <s v="fatia"/>
    <n v="12"/>
    <n v="4.9091666666666667"/>
    <n v="58.91"/>
  </r>
  <r>
    <s v="Março"/>
    <s v="SEMANA 4"/>
    <n v="21"/>
    <x v="1"/>
    <s v="Estrela Real"/>
    <s v="Palmito lata 500gr"/>
    <s v="unid"/>
    <n v="24"/>
    <n v="17.666666666666668"/>
    <n v="424"/>
  </r>
  <r>
    <s v="Março"/>
    <s v="SEMANA 4"/>
    <n v="21"/>
    <x v="4"/>
    <s v="Rio de Janeiro"/>
    <s v="Coca Cola (lata)"/>
    <s v="unid"/>
    <n v="72"/>
    <n v="2.8416666666666668"/>
    <n v="204.60000000000002"/>
  </r>
  <r>
    <s v="Março"/>
    <s v="SEMANA 4"/>
    <n v="21"/>
    <x v="4"/>
    <s v="Rio de Janeiro"/>
    <s v="Coca Cola Zero (lata)"/>
    <s v="unid"/>
    <n v="96"/>
    <n v="2.8258333333333332"/>
    <n v="271.27999999999997"/>
  </r>
  <r>
    <s v="Março"/>
    <s v="SEMANA 4"/>
    <n v="21"/>
    <x v="4"/>
    <s v="Rio de Janeiro"/>
    <s v="Schweppes Citrus"/>
    <s v="unid"/>
    <n v="12"/>
    <n v="2.7833333333333332"/>
    <n v="33.4"/>
  </r>
  <r>
    <s v="Março"/>
    <s v="SEMANA 4"/>
    <n v="21"/>
    <x v="4"/>
    <s v="Rio de Janeiro"/>
    <s v="Cerveja Heineken Long Neck 330 ml"/>
    <s v="unid"/>
    <n v="24"/>
    <n v="4"/>
    <n v="96"/>
  </r>
  <r>
    <s v="Março"/>
    <s v="SEMANA 4"/>
    <n v="21"/>
    <x v="7"/>
    <s v="Chez Bonbon"/>
    <s v="Bombom Trufado"/>
    <s v="unid"/>
    <n v="190"/>
    <n v="1.6625000000000001"/>
    <n v="315.875"/>
  </r>
  <r>
    <s v="Março"/>
    <s v="SEMANA 4"/>
    <n v="21"/>
    <x v="7"/>
    <s v="Chez Bonbon"/>
    <s v="Tablet Diet"/>
    <s v="unid"/>
    <n v="50"/>
    <n v="2.1375000000000002"/>
    <n v="106.87500000000001"/>
  </r>
  <r>
    <s v="Março"/>
    <s v="SEMANA 4"/>
    <n v="21"/>
    <x v="7"/>
    <s v="Chez Bonbon"/>
    <s v="Casquinha de Laranja com chocolate"/>
    <s v="unid"/>
    <n v="15"/>
    <n v="6.1749999999999998"/>
    <n v="92.625"/>
  </r>
  <r>
    <s v="Março"/>
    <s v="SEMANA 4"/>
    <n v="21"/>
    <x v="5"/>
    <s v="Laticinios Alhambra"/>
    <s v="Queijo Gorgonzola"/>
    <s v="kg"/>
    <n v="3.17"/>
    <n v="51"/>
    <n v="161.66999999999999"/>
  </r>
  <r>
    <s v="Março"/>
    <s v="SEMANA 4"/>
    <n v="21"/>
    <x v="5"/>
    <s v="Laticinios Alhambra"/>
    <s v="Queijo Ricota"/>
    <s v="kg"/>
    <n v="1.88"/>
    <n v="10.6"/>
    <n v="19.927999999999997"/>
  </r>
  <r>
    <s v="Março"/>
    <s v="SEMANA 4"/>
    <n v="21"/>
    <x v="1"/>
    <s v="Laticinios Alhambra"/>
    <s v="Tomate Seco Conserva Bd 3 Kg"/>
    <s v="bd"/>
    <n v="2"/>
    <n v="78.099999999999994"/>
    <n v="156.19999999999999"/>
  </r>
  <r>
    <s v="Março"/>
    <s v="SEMANA 4"/>
    <n v="21"/>
    <x v="2"/>
    <s v="Frigorifico Jahu"/>
    <s v="Pescados - Camarão IQF Evisc. 51/60"/>
    <s v="kg"/>
    <n v="6"/>
    <n v="69.900000000000006"/>
    <n v="419.40000000000003"/>
  </r>
  <r>
    <s v="Março"/>
    <s v="SEMANA 4"/>
    <n v="21"/>
    <x v="2"/>
    <s v="Marechal"/>
    <s v="Suíno - Costelinha Salgada"/>
    <s v="kg"/>
    <n v="12"/>
    <n v="12.98"/>
    <n v="155.76"/>
  </r>
  <r>
    <s v="Março"/>
    <s v="SEMANA 4"/>
    <n v="21"/>
    <x v="1"/>
    <s v="Planeta Gelo"/>
    <s v="Gelo em Escamas"/>
    <s v="saco"/>
    <n v="2"/>
    <n v="7.5"/>
    <n v="15"/>
  </r>
  <r>
    <s v="Março"/>
    <s v="SEMANA 4"/>
    <n v="21"/>
    <x v="1"/>
    <s v="Planeta Gelo"/>
    <s v="Gelo em Cubo"/>
    <s v="saco"/>
    <n v="3"/>
    <n v="7.5"/>
    <n v="22.5"/>
  </r>
  <r>
    <s v="Março"/>
    <s v="SEMANA 4"/>
    <n v="21"/>
    <x v="6"/>
    <s v="Satiro's"/>
    <s v="Pescados - Atum Fresco Sushi"/>
    <s v="kg"/>
    <n v="33"/>
    <n v="14"/>
    <n v="462"/>
  </r>
  <r>
    <s v="Março"/>
    <s v="SEMANA 4"/>
    <n v="21"/>
    <x v="6"/>
    <s v="Satiro's"/>
    <s v="Pescados - Dourado Fresco Sushi"/>
    <s v="kg"/>
    <n v="2"/>
    <n v="17"/>
    <n v="34"/>
  </r>
  <r>
    <s v="Março"/>
    <s v="SEMANA 4"/>
    <n v="21"/>
    <x v="2"/>
    <s v="Barrinhas"/>
    <s v="Pescados - Bacalhau Salgado"/>
    <s v="kg"/>
    <n v="25"/>
    <n v="54.915200000000006"/>
    <n v="1372.88"/>
  </r>
  <r>
    <s v="Março"/>
    <s v="SEMANA 4"/>
    <n v="21"/>
    <x v="2"/>
    <s v="Top Alto"/>
    <s v="Suíno - Linguiça de Pernil"/>
    <s v="kg"/>
    <n v="5"/>
    <n v="9.98"/>
    <n v="49.900000000000006"/>
  </r>
  <r>
    <s v="Março"/>
    <s v="SEMANA 4"/>
    <n v="21"/>
    <x v="2"/>
    <s v="Top Alto"/>
    <s v="Suíno - Linguiça Paio"/>
    <s v="kg"/>
    <n v="5"/>
    <n v="11.12"/>
    <n v="55.599999999999994"/>
  </r>
  <r>
    <s v="Março"/>
    <s v="SEMANA 4"/>
    <n v="21"/>
    <x v="1"/>
    <s v="Top Alto"/>
    <s v="Margarina Qualy 500 g"/>
    <s v="kg"/>
    <n v="6"/>
    <n v="8.17"/>
    <n v="49.019999999999996"/>
  </r>
  <r>
    <s v="Março"/>
    <s v="SEMANA 4"/>
    <n v="21"/>
    <x v="2"/>
    <s v="Marfrig"/>
    <s v="Carne Bovina - Picanha Grill/Churrascaria"/>
    <s v="kg"/>
    <n v="29.506"/>
    <n v="30.7653"/>
    <n v="907.76094179999996"/>
  </r>
  <r>
    <s v="Março"/>
    <s v="SEMANA 4"/>
    <n v="21"/>
    <x v="9"/>
    <s v="Atelier dos Sabores"/>
    <s v="Torta Bem Casado de Damasco"/>
    <s v="fatia"/>
    <n v="12"/>
    <n v="5.9300000000000006"/>
    <n v="71.160000000000011"/>
  </r>
  <r>
    <s v="Março"/>
    <s v="SEMANA 4"/>
    <n v="21"/>
    <x v="9"/>
    <s v="Atelier dos Sabores"/>
    <s v="Torta de Brigadeiro c/ Raspas"/>
    <s v="fatia"/>
    <n v="12"/>
    <n v="5.7533333333333339"/>
    <n v="69.040000000000006"/>
  </r>
  <r>
    <s v="Março"/>
    <s v="SEMANA 4"/>
    <n v="21"/>
    <x v="9"/>
    <s v="Atelier dos Sabores"/>
    <s v="Torta Financier com Quindim"/>
    <s v="fatia"/>
    <n v="12"/>
    <n v="5.9300000000000006"/>
    <n v="71.160000000000011"/>
  </r>
  <r>
    <s v="Março"/>
    <s v="SEMANA 4"/>
    <n v="21"/>
    <x v="9"/>
    <s v="Atelier dos Sabores"/>
    <s v="Torta de Cenoura c/ Chocolate"/>
    <s v="fatia"/>
    <n v="12"/>
    <n v="5.9300000000000006"/>
    <n v="71.160000000000011"/>
  </r>
  <r>
    <s v="Março"/>
    <s v="SEMANA 4"/>
    <n v="21"/>
    <x v="0"/>
    <s v="Umehara"/>
    <s v="Abobora"/>
    <s v="kg"/>
    <n v="6"/>
    <n v="1.99"/>
    <n v="11.94"/>
  </r>
  <r>
    <s v="Março"/>
    <s v="SEMANA 4"/>
    <n v="21"/>
    <x v="0"/>
    <s v="Umehara"/>
    <s v="Banana da Terra"/>
    <s v="kg"/>
    <n v="2"/>
    <n v="2.8"/>
    <n v="5.6"/>
  </r>
  <r>
    <s v="Março"/>
    <s v="SEMANA 4"/>
    <n v="21"/>
    <x v="0"/>
    <s v="Umehara"/>
    <s v="Beterraba"/>
    <s v="kg"/>
    <n v="4"/>
    <n v="1.98"/>
    <n v="7.92"/>
  </r>
  <r>
    <s v="Março"/>
    <s v="SEMANA 4"/>
    <n v="21"/>
    <x v="0"/>
    <s v="Umehara"/>
    <s v="Cebola"/>
    <s v="kg"/>
    <n v="20.079999999999998"/>
    <n v="2.3157370517928291"/>
    <n v="46.500000000000007"/>
  </r>
  <r>
    <s v="Março"/>
    <s v="SEMANA 4"/>
    <n v="21"/>
    <x v="0"/>
    <s v="Umehara"/>
    <s v="Côco Verde"/>
    <s v="unid"/>
    <n v="15"/>
    <n v="2.25"/>
    <n v="33.75"/>
  </r>
  <r>
    <s v="Março"/>
    <s v="SEMANA 4"/>
    <n v="21"/>
    <x v="0"/>
    <s v="Umehara"/>
    <s v="Couve Flor"/>
    <s v="kg"/>
    <n v="2"/>
    <n v="6"/>
    <n v="12"/>
  </r>
  <r>
    <s v="Março"/>
    <s v="SEMANA 4"/>
    <n v="21"/>
    <x v="6"/>
    <s v="Umehara"/>
    <s v="Gengibre Sushi"/>
    <s v="kg"/>
    <n v="10.3"/>
    <n v="7.2815533980582519"/>
    <n v="75"/>
  </r>
  <r>
    <s v="Março"/>
    <s v="SEMANA 4"/>
    <n v="21"/>
    <x v="0"/>
    <s v="Umehara"/>
    <s v="Kiwi"/>
    <s v="kg"/>
    <n v="0.5"/>
    <n v="12"/>
    <n v="6"/>
  </r>
  <r>
    <s v="Março"/>
    <s v="SEMANA 4"/>
    <n v="21"/>
    <x v="0"/>
    <s v="Umehara"/>
    <s v="Pimentão Vermelho"/>
    <s v="kg"/>
    <n v="1"/>
    <n v="7.5"/>
    <n v="7.5"/>
  </r>
  <r>
    <s v="Março"/>
    <s v="SEMANA 4"/>
    <n v="21"/>
    <x v="0"/>
    <s v="Alcibiades G. Quintas"/>
    <s v="Batata Doce"/>
    <s v="kg"/>
    <n v="19.3"/>
    <n v="1.8652849740932642"/>
    <n v="36"/>
  </r>
  <r>
    <s v="Março"/>
    <s v="SEMANA 4"/>
    <n v="21"/>
    <x v="0"/>
    <s v="Alcibiades G. Quintas"/>
    <s v="Jiló"/>
    <s v="kg"/>
    <n v="1.5"/>
    <n v="4"/>
    <n v="6"/>
  </r>
  <r>
    <s v="Março"/>
    <s v="SEMANA 4"/>
    <n v="21"/>
    <x v="0"/>
    <s v="Alcibiades G. Quintas"/>
    <s v="Pimentão Verde"/>
    <s v="kg"/>
    <n v="1"/>
    <n v="4"/>
    <n v="4"/>
  </r>
  <r>
    <s v="Março"/>
    <s v="SEMANA 4"/>
    <n v="21"/>
    <x v="0"/>
    <s v="Alcibiades G. Quintas"/>
    <s v="Quiabo"/>
    <s v="kg"/>
    <n v="2"/>
    <n v="3.6"/>
    <n v="7.2"/>
  </r>
  <r>
    <s v="Março"/>
    <s v="SEMANA 4"/>
    <n v="21"/>
    <x v="0"/>
    <s v="Alcibiades G. Quintas"/>
    <s v="Vagem Macarrão"/>
    <s v="kg"/>
    <n v="1"/>
    <n v="8"/>
    <n v="8"/>
  </r>
  <r>
    <s v="Março"/>
    <s v="SEMANA 4"/>
    <n v="21"/>
    <x v="0"/>
    <s v="Alcibiades G. Quintas"/>
    <s v="Aipo"/>
    <s v="kg"/>
    <n v="1"/>
    <n v="4"/>
    <n v="4"/>
  </r>
  <r>
    <s v="Março"/>
    <s v="SEMANA 4"/>
    <n v="21"/>
    <x v="0"/>
    <s v="Alcibiades G. Quintas"/>
    <s v="Alface Americana    "/>
    <s v="kg"/>
    <n v="3.36"/>
    <n v="8.5714285714285712"/>
    <n v="28.799999999999997"/>
  </r>
  <r>
    <s v="Março"/>
    <s v="SEMANA 4"/>
    <n v="21"/>
    <x v="0"/>
    <s v="Alcibiades G. Quintas"/>
    <s v="Alface crespa"/>
    <s v="kg"/>
    <n v="1.36"/>
    <n v="6.617647058823529"/>
    <n v="9"/>
  </r>
  <r>
    <s v="Março"/>
    <s v="SEMANA 4"/>
    <n v="21"/>
    <x v="0"/>
    <s v="Alcibiades G. Quintas"/>
    <s v="Alface Roxa"/>
    <s v="kg"/>
    <n v="0.48"/>
    <n v="12.5"/>
    <n v="6"/>
  </r>
  <r>
    <s v="Março"/>
    <s v="SEMANA 4"/>
    <n v="21"/>
    <x v="0"/>
    <s v="Alcibiades G. Quintas"/>
    <s v="Alho Poró "/>
    <s v="kg"/>
    <n v="10"/>
    <n v="9"/>
    <n v="90"/>
  </r>
  <r>
    <s v="Março"/>
    <s v="SEMANA 4"/>
    <n v="21"/>
    <x v="0"/>
    <s v="Alcibiades G. Quintas"/>
    <s v="Brócolis Nacional"/>
    <s v="kg"/>
    <n v="4"/>
    <n v="6"/>
    <n v="24"/>
  </r>
  <r>
    <s v="Março"/>
    <s v="SEMANA 4"/>
    <n v="21"/>
    <x v="0"/>
    <s v="Alcibiades G. Quintas"/>
    <s v="Cebolinha Verde"/>
    <s v="kg"/>
    <n v="0.5"/>
    <n v="7"/>
    <n v="3.5"/>
  </r>
  <r>
    <s v="Março"/>
    <s v="SEMANA 4"/>
    <n v="21"/>
    <x v="0"/>
    <s v="Alcibiades G. Quintas"/>
    <s v="Coentro"/>
    <s v="kg"/>
    <n v="0.3"/>
    <n v="25"/>
    <n v="7.5"/>
  </r>
  <r>
    <s v="Março"/>
    <s v="SEMANA 4"/>
    <n v="21"/>
    <x v="0"/>
    <s v="Alcibiades G. Quintas"/>
    <s v="Espinafre"/>
    <s v="kg"/>
    <n v="5"/>
    <n v="6"/>
    <n v="30"/>
  </r>
  <r>
    <s v="Março"/>
    <s v="SEMANA 4"/>
    <n v="21"/>
    <x v="0"/>
    <s v="Alcibiades G. Quintas"/>
    <s v="Hortelã"/>
    <s v="kg"/>
    <n v="0.5"/>
    <n v="4"/>
    <n v="2"/>
  </r>
  <r>
    <s v="Março"/>
    <s v="SEMANA 4"/>
    <n v="21"/>
    <x v="0"/>
    <s v="Alcibiades G. Quintas"/>
    <s v="Manjericão"/>
    <s v="kg"/>
    <n v="0.5"/>
    <n v="10"/>
    <n v="5"/>
  </r>
  <r>
    <s v="Março"/>
    <s v="SEMANA 4"/>
    <n v="21"/>
    <x v="0"/>
    <s v="Alcibiades G. Quintas"/>
    <s v="Rúcula"/>
    <s v="kg"/>
    <n v="6"/>
    <n v="8"/>
    <n v="48"/>
  </r>
  <r>
    <s v="Março"/>
    <s v="SEMANA 4"/>
    <n v="21"/>
    <x v="0"/>
    <s v="Alcibiades G. Quintas"/>
    <s v="Tomilho"/>
    <s v="kg"/>
    <n v="0.2"/>
    <n v="20"/>
    <n v="4"/>
  </r>
  <r>
    <s v="Março"/>
    <s v="SEMANA 4"/>
    <n v="21"/>
    <x v="0"/>
    <s v="Alcibiades G. Quintas"/>
    <s v="Broto de Feijão"/>
    <s v="kg"/>
    <n v="3.5"/>
    <n v="14"/>
    <n v="49"/>
  </r>
  <r>
    <s v="Março"/>
    <s v="SEMANA 4"/>
    <n v="21"/>
    <x v="0"/>
    <s v="Alcibiades G. Quintas"/>
    <s v="Laranja Pera"/>
    <s v="kg"/>
    <n v="20.98"/>
    <n v="1.6682554814108674"/>
    <n v="35"/>
  </r>
  <r>
    <s v="Março"/>
    <s v="SEMANA 4"/>
    <n v="21"/>
    <x v="0"/>
    <s v="Alcibiades G. Quintas"/>
    <s v="Manga Palmer"/>
    <s v="kg"/>
    <n v="6.5"/>
    <n v="3.8461538461538463"/>
    <n v="25"/>
  </r>
  <r>
    <s v="Março"/>
    <s v="SEMANA 4"/>
    <n v="21"/>
    <x v="0"/>
    <s v="Alcibiades G. Quintas"/>
    <s v="Pera"/>
    <s v="kg"/>
    <n v="1"/>
    <n v="8"/>
    <n v="8"/>
  </r>
  <r>
    <s v="Março"/>
    <s v="SEMANA 4"/>
    <n v="21"/>
    <x v="1"/>
    <s v="Super Mercado Zonasul"/>
    <s v="Batata Palha 140 g"/>
    <s v="pcte"/>
    <n v="3"/>
    <n v="6.99"/>
    <n v="20.97"/>
  </r>
  <r>
    <s v="Março"/>
    <s v="SEMANA 4"/>
    <n v="21"/>
    <x v="1"/>
    <s v="Super Mercado Zonasul"/>
    <s v="Tapioca Granulada "/>
    <s v="kg"/>
    <n v="1"/>
    <n v="18.78"/>
    <n v="18.78"/>
  </r>
  <r>
    <s v="Março"/>
    <s v="SEMANA 4"/>
    <n v="21"/>
    <x v="1"/>
    <s v="Mundo Natural"/>
    <s v="Gelatina Morango Stevia Plus Zero 10 g"/>
    <s v="unid"/>
    <n v="144"/>
    <n v="1.65"/>
    <n v="237.6"/>
  </r>
  <r>
    <s v="Março"/>
    <s v="SEMANA 4"/>
    <n v="21"/>
    <x v="4"/>
    <s v="CRBS"/>
    <s v="Cerveja Bohemia Long Neck 355 ml"/>
    <s v="unid"/>
    <n v="24"/>
    <n v="2.842916666666667"/>
    <n v="68.23"/>
  </r>
  <r>
    <s v="Março"/>
    <s v="SEMANA 4"/>
    <n v="21"/>
    <x v="4"/>
    <s v="CRBS"/>
    <s v="Guaraná Antarctica Zero (lata)"/>
    <s v="unid"/>
    <n v="96"/>
    <n v="1.7127083333333333"/>
    <n v="164.42"/>
  </r>
  <r>
    <s v="Março"/>
    <s v="SEMANA 4"/>
    <n v="21"/>
    <x v="4"/>
    <s v="CRBS"/>
    <s v="Guaraná Antarctica (lata)"/>
    <s v="unid"/>
    <n v="36"/>
    <n v="1.7127777777777777"/>
    <n v="61.66"/>
  </r>
  <r>
    <s v="Março"/>
    <s v="SEMANA 4"/>
    <n v="21"/>
    <x v="4"/>
    <s v="CRBS"/>
    <s v="Água Tonica Diet"/>
    <s v="unid"/>
    <n v="12"/>
    <n v="1.7691666666666668"/>
    <n v="21.23"/>
  </r>
  <r>
    <s v="Março"/>
    <s v="SEMANA 4"/>
    <n v="21"/>
    <x v="4"/>
    <s v="CRBS"/>
    <s v="Água Tonica"/>
    <s v="unid"/>
    <n v="24"/>
    <n v="1.7695833333333333"/>
    <n v="42.47"/>
  </r>
  <r>
    <s v="Março"/>
    <s v="SEMANA 4"/>
    <n v="22"/>
    <x v="0"/>
    <s v="Feira"/>
    <s v="Aipim"/>
    <s v="kg"/>
    <n v="20"/>
    <n v="5"/>
    <n v="100"/>
  </r>
  <r>
    <s v="Março"/>
    <s v="SEMANA 4"/>
    <n v="22"/>
    <x v="0"/>
    <s v="Hortifrut São Clemente"/>
    <s v="Alface Americana    "/>
    <s v="kg"/>
    <n v="2.46"/>
    <n v="11.707317073170731"/>
    <n v="28.8"/>
  </r>
  <r>
    <s v="Março"/>
    <s v="SEMANA 4"/>
    <n v="22"/>
    <x v="0"/>
    <s v="Hortifrut São Clemente"/>
    <s v="Alface Roxa"/>
    <s v="kg"/>
    <n v="0.42"/>
    <n v="17.857142857142858"/>
    <n v="7.5"/>
  </r>
  <r>
    <s v="Março"/>
    <s v="SEMANA 4"/>
    <n v="22"/>
    <x v="1"/>
    <s v="Planeta Gelo"/>
    <s v="Gelo em Escamas"/>
    <s v="saco"/>
    <n v="1"/>
    <n v="7.5"/>
    <n v="7.5"/>
  </r>
  <r>
    <s v="Março"/>
    <s v="SEMANA 4"/>
    <n v="22"/>
    <x v="1"/>
    <s v="Planeta Gelo"/>
    <s v="Gelo em Cubo"/>
    <s v="saco"/>
    <n v="2"/>
    <n v="7.5"/>
    <n v="15"/>
  </r>
  <r>
    <s v="Março"/>
    <s v="SEMANA 4"/>
    <n v="22"/>
    <x v="1"/>
    <s v="La Victoria"/>
    <s v="Arroz Integral Curto"/>
    <s v="kg"/>
    <n v="30"/>
    <n v="9"/>
    <n v="270"/>
  </r>
  <r>
    <s v="Março"/>
    <s v="SEMANA 4"/>
    <n v="22"/>
    <x v="0"/>
    <s v="Alcibiades G. Quintas"/>
    <s v="Batata Calabresa"/>
    <s v="kg"/>
    <n v="7"/>
    <n v="4"/>
    <n v="28"/>
  </r>
  <r>
    <s v="Março"/>
    <s v="SEMANA 4"/>
    <n v="22"/>
    <x v="0"/>
    <s v="Alcibiades G. Quintas"/>
    <s v="Cenoura"/>
    <s v="kg"/>
    <n v="20.260000000000002"/>
    <n v="2.4679170779861797"/>
    <n v="50.000000000000007"/>
  </r>
  <r>
    <s v="Março"/>
    <s v="SEMANA 4"/>
    <n v="22"/>
    <x v="0"/>
    <s v="Alcibiades G. Quintas"/>
    <s v="Tomate Salada"/>
    <s v="kg"/>
    <n v="19.920000000000002"/>
    <n v="3.2630522088353411"/>
    <n v="65"/>
  </r>
  <r>
    <s v="Março"/>
    <s v="SEMANA 4"/>
    <n v="22"/>
    <x v="0"/>
    <s v="Alcibiades G. Quintas"/>
    <s v="Alecrim"/>
    <s v="kg"/>
    <n v="0.2"/>
    <n v="14"/>
    <n v="2.8000000000000003"/>
  </r>
  <r>
    <s v="Março"/>
    <s v="SEMANA 4"/>
    <n v="22"/>
    <x v="0"/>
    <s v="Alcibiades G. Quintas"/>
    <s v="Brócolis Americano"/>
    <s v="kg"/>
    <n v="10"/>
    <n v="12"/>
    <n v="120"/>
  </r>
  <r>
    <s v="Março"/>
    <s v="SEMANA 4"/>
    <n v="22"/>
    <x v="0"/>
    <s v="Alcibiades G. Quintas"/>
    <s v="Cebolinha Verde"/>
    <s v="kg"/>
    <n v="0.5"/>
    <n v="7"/>
    <n v="3.5"/>
  </r>
  <r>
    <s v="Março"/>
    <s v="SEMANA 4"/>
    <n v="22"/>
    <x v="0"/>
    <s v="Alcibiades G. Quintas"/>
    <s v="Couve Manteiga"/>
    <s v="kg"/>
    <n v="10"/>
    <n v="6"/>
    <n v="60"/>
  </r>
  <r>
    <s v="Março"/>
    <s v="SEMANA 4"/>
    <n v="22"/>
    <x v="0"/>
    <s v="Alcibiades G. Quintas"/>
    <s v="Manjericão"/>
    <s v="kg"/>
    <n v="0.3"/>
    <n v="10"/>
    <n v="3"/>
  </r>
  <r>
    <s v="Março"/>
    <s v="SEMANA 4"/>
    <n v="22"/>
    <x v="0"/>
    <s v="Alcibiades G. Quintas"/>
    <s v="Rabanete"/>
    <s v="kg"/>
    <n v="0.5"/>
    <n v="6.8"/>
    <n v="3.4"/>
  </r>
  <r>
    <s v="Março"/>
    <s v="SEMANA 4"/>
    <n v="22"/>
    <x v="0"/>
    <s v="Alcibiades G. Quintas"/>
    <s v="Rúcula"/>
    <s v="kg"/>
    <n v="4"/>
    <n v="8"/>
    <n v="32"/>
  </r>
  <r>
    <s v="Março"/>
    <s v="SEMANA 4"/>
    <n v="22"/>
    <x v="0"/>
    <s v="Alcibiades G. Quintas"/>
    <s v="Salsa"/>
    <s v="kg"/>
    <n v="1"/>
    <n v="7"/>
    <n v="7"/>
  </r>
  <r>
    <s v="Março"/>
    <s v="SEMANA 4"/>
    <n v="22"/>
    <x v="0"/>
    <s v="Alcibiades G. Quintas"/>
    <s v="Mamão Bahia"/>
    <s v="kg"/>
    <n v="3"/>
    <n v="2.8"/>
    <n v="8.3999999999999986"/>
  </r>
  <r>
    <s v="Março"/>
    <s v="SEMANA 4"/>
    <n v="22"/>
    <x v="0"/>
    <s v="Alcibiades G. Quintas"/>
    <s v="Manga Palmer"/>
    <s v="kg"/>
    <n v="6.76"/>
    <n v="3.6982248520710059"/>
    <n v="25"/>
  </r>
  <r>
    <s v="Março"/>
    <s v="SEMANA 4"/>
    <n v="22"/>
    <x v="6"/>
    <s v="Alcibiades G. Quintas"/>
    <s v="Manga Tommy Sushi"/>
    <s v="kg"/>
    <n v="2"/>
    <n v="4.5"/>
    <n v="9"/>
  </r>
  <r>
    <s v="Março"/>
    <s v="SEMANA 4"/>
    <n v="22"/>
    <x v="0"/>
    <s v="Alcibiades G. Quintas"/>
    <s v="Melão Orange"/>
    <s v="kg"/>
    <n v="1.7"/>
    <n v="4.8"/>
    <n v="8.16"/>
  </r>
  <r>
    <s v="Março"/>
    <s v="SEMANA 4"/>
    <n v="22"/>
    <x v="2"/>
    <s v="Marfrig"/>
    <s v="Carne Bovina - Maminha"/>
    <s v="kg"/>
    <n v="15.864000000000001"/>
    <n v="17.438800000000001"/>
    <n v="276.64912320000002"/>
  </r>
  <r>
    <s v="Março"/>
    <s v="SEMANA 4"/>
    <n v="22"/>
    <x v="2"/>
    <s v="Marfrig"/>
    <s v="Carne Bovina - Filé Mignon 3/4"/>
    <s v="kg"/>
    <n v="25.056000000000001"/>
    <n v="29.591799999999999"/>
    <n v="741.45214080000005"/>
  </r>
  <r>
    <s v="Março"/>
    <s v="SEMANA 4"/>
    <n v="22"/>
    <x v="2"/>
    <s v="Top Alto"/>
    <s v="Suíno - Lombinho Fresco"/>
    <s v="kg"/>
    <n v="21.51"/>
    <n v="10.28"/>
    <n v="221.12280000000001"/>
  </r>
  <r>
    <s v="Março"/>
    <s v="SEMANA 4"/>
    <n v="22"/>
    <x v="2"/>
    <s v="Reginaves"/>
    <s v="Aves - Filé de Peito de Frango"/>
    <s v="kg"/>
    <n v="24"/>
    <n v="7.8"/>
    <n v="187.2"/>
  </r>
  <r>
    <s v="Março"/>
    <s v="SEMANA 4"/>
    <n v="22"/>
    <x v="2"/>
    <s v="Reginaves"/>
    <s v="Aves - Coração de Frango"/>
    <s v="kg"/>
    <n v="5"/>
    <n v="15.95"/>
    <n v="79.75"/>
  </r>
  <r>
    <s v="Março"/>
    <s v="SEMANA 4"/>
    <n v="22"/>
    <x v="2"/>
    <s v="Truticultura da Serra"/>
    <s v="Pescados - Filé Truta Cong."/>
    <s v="kg"/>
    <n v="36"/>
    <n v="26"/>
    <n v="936"/>
  </r>
  <r>
    <s v="Março"/>
    <s v="SEMANA 4"/>
    <n v="22"/>
    <x v="1"/>
    <s v="Truticultura da Serra"/>
    <s v="Cogumelo Paris"/>
    <s v="kg"/>
    <n v="5"/>
    <n v="15.5"/>
    <n v="77.5"/>
  </r>
  <r>
    <s v="Março"/>
    <s v="SEMANA 4"/>
    <n v="22"/>
    <x v="2"/>
    <s v="União Itaipava"/>
    <s v="Aves - Magret de Pato"/>
    <s v="kg"/>
    <n v="10.92"/>
    <n v="25"/>
    <n v="273"/>
  </r>
  <r>
    <s v="Março"/>
    <s v="SEMANA 4"/>
    <n v="22"/>
    <x v="0"/>
    <s v="Umehara"/>
    <s v="Abobora"/>
    <s v="kg"/>
    <n v="6"/>
    <n v="1.99"/>
    <n v="11.94"/>
  </r>
  <r>
    <s v="Março"/>
    <s v="SEMANA 4"/>
    <n v="22"/>
    <x v="0"/>
    <s v="Umehara"/>
    <s v="Côco Verde"/>
    <s v="unid"/>
    <n v="15"/>
    <n v="2.25"/>
    <n v="33.75"/>
  </r>
  <r>
    <s v="Março"/>
    <s v="SEMANA 4"/>
    <n v="22"/>
    <x v="0"/>
    <s v="Umehara"/>
    <s v="Berinjela"/>
    <s v="kg"/>
    <n v="11.12"/>
    <n v="2.4280575539568345"/>
    <n v="26.999999999999996"/>
  </r>
  <r>
    <s v="Março"/>
    <s v="SEMANA 4"/>
    <n v="22"/>
    <x v="0"/>
    <s v="Umehara"/>
    <s v="Maçã Nacional"/>
    <s v="kg"/>
    <n v="17.399999999999999"/>
    <n v="3.7356321839080464"/>
    <n v="65"/>
  </r>
  <r>
    <s v="Março"/>
    <s v="SEMANA 4"/>
    <n v="22"/>
    <x v="0"/>
    <s v="Umehara"/>
    <s v="Ovos Extra"/>
    <s v="kg"/>
    <n v="360"/>
    <n v="0.29722222222222222"/>
    <n v="107"/>
  </r>
  <r>
    <s v="Março"/>
    <s v="SEMANA 4"/>
    <n v="22"/>
    <x v="4"/>
    <s v="CRBS"/>
    <s v="Ice Tea Pêssego"/>
    <s v="unid"/>
    <n v="60"/>
    <n v="2.0051666666666668"/>
    <n v="120.31"/>
  </r>
  <r>
    <s v="Março"/>
    <s v="SEMANA 4"/>
    <n v="22"/>
    <x v="4"/>
    <s v="CRBS"/>
    <s v="H2O Limão"/>
    <s v="unid"/>
    <n v="12"/>
    <n v="1.2666666666666666"/>
    <n v="15.2"/>
  </r>
  <r>
    <s v="Março"/>
    <s v="SEMANA 4"/>
    <n v="20"/>
    <x v="6"/>
    <s v="Peixaria Só Peixe"/>
    <s v="Pescados - Kani Sushi"/>
    <s v="kg"/>
    <n v="0.25"/>
    <n v="21.99"/>
    <n v="5.4974999999999996"/>
  </r>
  <r>
    <s v="Março"/>
    <s v="SEMANA 4"/>
    <n v="20"/>
    <x v="6"/>
    <s v="Alcibiades G. Quintas"/>
    <s v="Pepino Japonês Sushi"/>
    <s v="kg"/>
    <n v="0.3"/>
    <n v="2.3340248962655599"/>
    <n v="0.70020746887966789"/>
  </r>
  <r>
    <s v="Março"/>
    <s v="SEMANA 4"/>
    <n v="22"/>
    <x v="7"/>
    <s v="Dep. Doces Sta Catarina"/>
    <s v="Chiclete Adams"/>
    <s v="cx"/>
    <n v="5"/>
    <n v="15.5"/>
    <n v="77.5"/>
  </r>
  <r>
    <s v="Março"/>
    <s v="SEMANA 4"/>
    <n v="22"/>
    <x v="7"/>
    <s v="Dep. Doces Sta Catarina"/>
    <s v="Trident"/>
    <s v="cx"/>
    <n v="15"/>
    <n v="17.5"/>
    <n v="262.5"/>
  </r>
  <r>
    <s v="Março"/>
    <s v="SEMANA 4"/>
    <n v="20"/>
    <x v="7"/>
    <s v="Ind. Caseira de Doces Helena"/>
    <s v="Biscoito de Milho Venda "/>
    <s v="kg"/>
    <n v="3.3000000000000003"/>
    <n v="22.195"/>
    <n v="73.243500000000012"/>
  </r>
  <r>
    <s v="Março"/>
    <s v="SEMANA 4"/>
    <n v="23"/>
    <x v="1"/>
    <s v="Planeta Gelo"/>
    <s v="Gelo em Escamas"/>
    <s v="saco"/>
    <n v="2"/>
    <n v="7.5"/>
    <n v="15"/>
  </r>
  <r>
    <s v="Março"/>
    <s v="SEMANA 4"/>
    <n v="23"/>
    <x v="1"/>
    <s v="Planeta Gelo"/>
    <s v="Gelo em Cubo"/>
    <s v="saco"/>
    <n v="3"/>
    <n v="7.5"/>
    <n v="22.5"/>
  </r>
  <r>
    <s v="Março"/>
    <s v="SEMANA 4"/>
    <n v="23"/>
    <x v="2"/>
    <s v="Reginaves"/>
    <s v="Aves - Filé de Peito de Frango"/>
    <s v="kg"/>
    <n v="24"/>
    <n v="7.8"/>
    <n v="187.2"/>
  </r>
  <r>
    <s v="Março"/>
    <s v="SEMANA 4"/>
    <n v="23"/>
    <x v="2"/>
    <s v="Reginaves"/>
    <s v="Aves - Filé de Coxa"/>
    <s v="kg"/>
    <n v="25.2"/>
    <n v="8.7000000000000011"/>
    <n v="219.24"/>
  </r>
  <r>
    <s v="Março"/>
    <s v="SEMANA 4"/>
    <n v="23"/>
    <x v="5"/>
    <s v="Laticinios Alhambra"/>
    <s v="Creme de Leite Culinário 20% Bd 10 Lt"/>
    <s v="bd"/>
    <n v="2"/>
    <n v="142.44999999999999"/>
    <n v="284.89999999999998"/>
  </r>
  <r>
    <s v="Março"/>
    <s v="SEMANA 4"/>
    <n v="23"/>
    <x v="5"/>
    <s v="Laticinios Alhambra"/>
    <s v="Queijo Mussarela"/>
    <s v="kg"/>
    <n v="3.1"/>
    <n v="26"/>
    <n v="80.600000000000009"/>
  </r>
  <r>
    <s v="Março"/>
    <s v="SEMANA 4"/>
    <n v="23"/>
    <x v="5"/>
    <s v="Laticinios Alhambra"/>
    <s v="Queijo Minas"/>
    <s v="kg"/>
    <n v="1.5"/>
    <n v="20.8"/>
    <n v="31.200000000000003"/>
  </r>
  <r>
    <s v="Março"/>
    <s v="SEMANA 4"/>
    <n v="23"/>
    <x v="5"/>
    <s v="Laticinios Alhambra"/>
    <s v="Queijo Ricota"/>
    <s v="kg"/>
    <n v="2.82"/>
    <n v="10.6"/>
    <n v="29.891999999999996"/>
  </r>
  <r>
    <s v="Março"/>
    <s v="SEMANA 4"/>
    <n v="23"/>
    <x v="5"/>
    <s v="Laticinios Alhambra"/>
    <s v="Queijo Requeijão BD 3,6 Kg"/>
    <s v="bd"/>
    <n v="2"/>
    <n v="74.400000000000006"/>
    <n v="148.80000000000001"/>
  </r>
  <r>
    <s v="Março"/>
    <s v="SEMANA 4"/>
    <n v="23"/>
    <x v="2"/>
    <s v="Frigorifico Jahu"/>
    <s v="Pescados - Salmão Inteiro"/>
    <s v="kg"/>
    <n v="30.27"/>
    <n v="28.900099999999998"/>
    <n v="874.80602699999997"/>
  </r>
  <r>
    <s v="Março"/>
    <s v="SEMANA 4"/>
    <n v="23"/>
    <x v="6"/>
    <s v="Frigorifico Jahu"/>
    <s v="Pescados - Salmão Inteiro Sushi"/>
    <s v="kg"/>
    <n v="29.38"/>
    <n v="28.900099999999998"/>
    <n v="849.08493799999997"/>
  </r>
  <r>
    <s v="Março"/>
    <s v="SEMANA 4"/>
    <n v="23"/>
    <x v="2"/>
    <s v="Frigorifico Jahu"/>
    <s v="Pescados - Camarão IQF Evisc. 51/60"/>
    <s v="kg"/>
    <n v="6"/>
    <n v="69.900000000000006"/>
    <n v="419.40000000000003"/>
  </r>
  <r>
    <s v="Março"/>
    <s v="SEMANA 4"/>
    <n v="23"/>
    <x v="1"/>
    <s v="Top Alto"/>
    <s v="Batata Palito 9M"/>
    <s v="kg"/>
    <n v="25"/>
    <n v="6.72"/>
    <n v="168"/>
  </r>
  <r>
    <s v="Março"/>
    <s v="SEMANA 4"/>
    <n v="23"/>
    <x v="6"/>
    <s v="Top Alto"/>
    <s v="Cream Cheese Sushi"/>
    <s v="kg"/>
    <n v="3"/>
    <n v="20.333333333333332"/>
    <n v="61"/>
  </r>
  <r>
    <s v="Março"/>
    <s v="SEMANA 4"/>
    <n v="23"/>
    <x v="1"/>
    <s v="Top Alto"/>
    <s v="Óleo Composto 500ml"/>
    <s v="unid"/>
    <n v="24"/>
    <n v="3.0833333333333335"/>
    <n v="74"/>
  </r>
  <r>
    <s v="Março"/>
    <s v="SEMANA 4"/>
    <n v="23"/>
    <x v="5"/>
    <s v="Top Alto"/>
    <s v="Queijo Parmezon"/>
    <s v="kg"/>
    <n v="5"/>
    <n v="23.7"/>
    <n v="118.5"/>
  </r>
  <r>
    <s v="Março"/>
    <s v="SEMANA 4"/>
    <n v="23"/>
    <x v="2"/>
    <s v="Top Alto"/>
    <s v="Presunto Cozido"/>
    <s v="kg"/>
    <n v="6.9"/>
    <n v="14.156521739130435"/>
    <n v="97.68"/>
  </r>
  <r>
    <s v="Março"/>
    <s v="SEMANA 4"/>
    <n v="23"/>
    <x v="2"/>
    <s v="Satiro's"/>
    <s v="Pescados - Atum Fresco"/>
    <s v="kg"/>
    <n v="37"/>
    <n v="15"/>
    <n v="555"/>
  </r>
  <r>
    <s v="Março"/>
    <s v="SEMANA 4"/>
    <n v="23"/>
    <x v="6"/>
    <s v="Satiro's"/>
    <s v="Pescados - Dourado Fresco Sushi"/>
    <s v="kg"/>
    <n v="2.4"/>
    <n v="17"/>
    <n v="40.799999999999997"/>
  </r>
  <r>
    <s v="Março"/>
    <s v="SEMANA 4"/>
    <n v="23"/>
    <x v="0"/>
    <s v="Alcibiades G. Quintas"/>
    <s v="Abobrinha "/>
    <s v="kg"/>
    <n v="16.82"/>
    <n v="2.0808561236623069"/>
    <n v="35"/>
  </r>
  <r>
    <s v="Março"/>
    <s v="SEMANA 4"/>
    <n v="23"/>
    <x v="0"/>
    <s v="Alcibiades G. Quintas"/>
    <s v="Batata Doce"/>
    <s v="kg"/>
    <n v="19.86"/>
    <n v="1.8126888217522659"/>
    <n v="36"/>
  </r>
  <r>
    <s v="Março"/>
    <s v="SEMANA 4"/>
    <n v="23"/>
    <x v="0"/>
    <s v="Alcibiades G. Quintas"/>
    <s v="Pimentão Verde"/>
    <s v="kg"/>
    <n v="1"/>
    <n v="4"/>
    <n v="4"/>
  </r>
  <r>
    <s v="Março"/>
    <s v="SEMANA 4"/>
    <n v="23"/>
    <x v="0"/>
    <s v="Alcibiades G. Quintas"/>
    <s v="Quiabo"/>
    <s v="kg"/>
    <n v="5"/>
    <n v="3.6"/>
    <n v="18"/>
  </r>
  <r>
    <s v="Março"/>
    <s v="SEMANA 4"/>
    <n v="23"/>
    <x v="0"/>
    <s v="Alcibiades G. Quintas"/>
    <s v="Repolho"/>
    <s v="kg"/>
    <n v="2.5"/>
    <n v="2"/>
    <n v="5"/>
  </r>
  <r>
    <s v="Março"/>
    <s v="SEMANA 4"/>
    <n v="23"/>
    <x v="0"/>
    <s v="Alcibiades G. Quintas"/>
    <s v="Repolho Roxo"/>
    <s v="kg"/>
    <n v="3"/>
    <n v="3"/>
    <n v="9"/>
  </r>
  <r>
    <s v="Março"/>
    <s v="SEMANA 4"/>
    <n v="23"/>
    <x v="0"/>
    <s v="Alcibiades G. Quintas"/>
    <s v="Tomate Salada"/>
    <s v="kg"/>
    <n v="20.48"/>
    <n v="3.173828125"/>
    <n v="65"/>
  </r>
  <r>
    <s v="Março"/>
    <s v="SEMANA 4"/>
    <n v="23"/>
    <x v="0"/>
    <s v="Alcibiades G. Quintas"/>
    <s v="Alface Americana    "/>
    <s v="kg"/>
    <n v="5.28"/>
    <n v="6.8181818181818175"/>
    <n v="36"/>
  </r>
  <r>
    <s v="Março"/>
    <s v="SEMANA 4"/>
    <n v="23"/>
    <x v="0"/>
    <s v="Alcibiades G. Quintas"/>
    <s v="Alface crespa"/>
    <s v="kg"/>
    <n v="1.7"/>
    <n v="6.1764705882352944"/>
    <n v="10.5"/>
  </r>
  <r>
    <s v="Março"/>
    <s v="SEMANA 4"/>
    <n v="23"/>
    <x v="0"/>
    <s v="Alcibiades G. Quintas"/>
    <s v="Alface Roxa"/>
    <s v="kg"/>
    <n v="0.7"/>
    <n v="8.5714285714285712"/>
    <n v="5.9999999999999991"/>
  </r>
  <r>
    <s v="Março"/>
    <s v="SEMANA 4"/>
    <n v="23"/>
    <x v="0"/>
    <s v="Alcibiades G. Quintas"/>
    <s v="Brócolis Americano"/>
    <s v="kg"/>
    <n v="2"/>
    <n v="12"/>
    <n v="24"/>
  </r>
  <r>
    <s v="Março"/>
    <s v="SEMANA 4"/>
    <n v="23"/>
    <x v="0"/>
    <s v="Alcibiades G. Quintas"/>
    <s v="Cebolinha Verde"/>
    <s v="kg"/>
    <n v="0.5"/>
    <n v="7"/>
    <n v="3.5"/>
  </r>
  <r>
    <s v="Março"/>
    <s v="SEMANA 4"/>
    <n v="23"/>
    <x v="0"/>
    <s v="Alcibiades G. Quintas"/>
    <s v="Espinafre"/>
    <s v="kg"/>
    <n v="5"/>
    <n v="6"/>
    <n v="30"/>
  </r>
  <r>
    <s v="Março"/>
    <s v="SEMANA 4"/>
    <n v="23"/>
    <x v="0"/>
    <s v="Alcibiades G. Quintas"/>
    <s v="Hortelã"/>
    <s v="kg"/>
    <n v="0.5"/>
    <n v="4"/>
    <n v="2"/>
  </r>
  <r>
    <s v="Março"/>
    <s v="SEMANA 4"/>
    <n v="23"/>
    <x v="0"/>
    <s v="Alcibiades G. Quintas"/>
    <s v="Rúcula"/>
    <s v="kg"/>
    <n v="3"/>
    <n v="8"/>
    <n v="24"/>
  </r>
  <r>
    <s v="Março"/>
    <s v="SEMANA 4"/>
    <n v="23"/>
    <x v="0"/>
    <s v="Alcibiades G. Quintas"/>
    <s v="Salsa"/>
    <s v="kg"/>
    <n v="0.5"/>
    <n v="7"/>
    <n v="3.5"/>
  </r>
  <r>
    <s v="Março"/>
    <s v="SEMANA 4"/>
    <n v="23"/>
    <x v="0"/>
    <s v="Alcibiades G. Quintas"/>
    <s v="Aneto"/>
    <s v="kg"/>
    <n v="0.05"/>
    <n v="30"/>
    <n v="1.5"/>
  </r>
  <r>
    <s v="Março"/>
    <s v="SEMANA 4"/>
    <n v="23"/>
    <x v="0"/>
    <s v="Alcibiades G. Quintas"/>
    <s v="Tofu Kilo"/>
    <s v="kg"/>
    <n v="4"/>
    <n v="14"/>
    <n v="56"/>
  </r>
  <r>
    <s v="Março"/>
    <s v="SEMANA 4"/>
    <n v="23"/>
    <x v="0"/>
    <s v="Alcibiades G. Quintas"/>
    <s v="Laranja Pera"/>
    <s v="kg"/>
    <n v="41.04"/>
    <n v="1.7056530214424952"/>
    <n v="70"/>
  </r>
  <r>
    <s v="Março"/>
    <s v="SEMANA 4"/>
    <n v="23"/>
    <x v="0"/>
    <s v="Alcibiades G. Quintas"/>
    <s v="Maçã Ácida"/>
    <s v="kg"/>
    <n v="1.5"/>
    <n v="9"/>
    <n v="13.5"/>
  </r>
  <r>
    <s v="Março"/>
    <s v="SEMANA 4"/>
    <n v="23"/>
    <x v="9"/>
    <s v="M2HP"/>
    <s v="Torta Mousse de Chocolate "/>
    <s v="fatia"/>
    <n v="24"/>
    <n v="4.1383333333333328"/>
    <n v="99.32"/>
  </r>
  <r>
    <s v="Março"/>
    <s v="SEMANA 4"/>
    <n v="23"/>
    <x v="0"/>
    <s v="Umehara"/>
    <s v="Cebola"/>
    <s v="kg"/>
    <n v="19.86"/>
    <n v="2.3413897280966767"/>
    <n v="46.5"/>
  </r>
  <r>
    <s v="Março"/>
    <s v="SEMANA 4"/>
    <n v="23"/>
    <x v="0"/>
    <s v="Umehara"/>
    <s v="Côco Verde"/>
    <s v="unid"/>
    <n v="15"/>
    <n v="2.25"/>
    <n v="33.75"/>
  </r>
  <r>
    <s v="Março"/>
    <s v="SEMANA 4"/>
    <n v="23"/>
    <x v="0"/>
    <s v="Umehara"/>
    <s v="Couve Flor"/>
    <s v="kg"/>
    <n v="2.5"/>
    <n v="6"/>
    <n v="15"/>
  </r>
  <r>
    <s v="Março"/>
    <s v="SEMANA 4"/>
    <n v="23"/>
    <x v="0"/>
    <s v="Umehara"/>
    <s v="Pimentão Vermelho"/>
    <s v="kg"/>
    <n v="2"/>
    <n v="7.5"/>
    <n v="15"/>
  </r>
  <r>
    <s v="Março"/>
    <s v="SEMANA 4"/>
    <n v="23"/>
    <x v="0"/>
    <s v="Umehara"/>
    <s v="Berinjela"/>
    <s v="kg"/>
    <n v="10.48"/>
    <n v="2.5763358778625953"/>
    <n v="27"/>
  </r>
  <r>
    <s v="Março"/>
    <s v="SEMANA 4"/>
    <n v="23"/>
    <x v="0"/>
    <s v="Umehara"/>
    <s v="Abacaxi "/>
    <s v="kg"/>
    <n v="10"/>
    <n v="3.25"/>
    <n v="32.5"/>
  </r>
  <r>
    <s v="Março"/>
    <s v="SEMANA 4"/>
    <n v="23"/>
    <x v="0"/>
    <s v="Umehara"/>
    <s v="Coentro"/>
    <s v="kg"/>
    <n v="0.5"/>
    <n v="25"/>
    <n v="12.5"/>
  </r>
  <r>
    <s v="Março"/>
    <s v="SEMANA 4"/>
    <n v="23"/>
    <x v="0"/>
    <s v="Umehara"/>
    <s v="Goiaba"/>
    <s v="kg"/>
    <n v="2.7"/>
    <n v="2.2222222222222219"/>
    <n v="5.9999999999999991"/>
  </r>
  <r>
    <s v="Março"/>
    <s v="SEMANA 4"/>
    <n v="23"/>
    <x v="0"/>
    <s v="Umehara"/>
    <s v="Limão"/>
    <s v="kg"/>
    <n v="23.8"/>
    <n v="1.5"/>
    <n v="35.700000000000003"/>
  </r>
  <r>
    <s v="Março"/>
    <s v="SEMANA 4"/>
    <n v="23"/>
    <x v="0"/>
    <s v="Umehara"/>
    <s v="Pimentão Amarelo"/>
    <s v="kg"/>
    <n v="2"/>
    <n v="7.5"/>
    <n v="15"/>
  </r>
  <r>
    <s v="Março"/>
    <s v="SEMANA 4"/>
    <n v="23"/>
    <x v="0"/>
    <s v="Batata, o Rei do Alho"/>
    <s v="Alho Descascado"/>
    <s v="kg"/>
    <n v="17"/>
    <n v="13.5"/>
    <n v="229.5"/>
  </r>
  <r>
    <s v="Março"/>
    <s v="SEMANA 4"/>
    <n v="21"/>
    <x v="6"/>
    <s v="CDI"/>
    <s v="Açucar Refinado Sushi"/>
    <s v="kg"/>
    <n v="12"/>
    <n v="1.99"/>
    <n v="23.88"/>
  </r>
  <r>
    <s v="Março"/>
    <s v="SEMANA 4"/>
    <n v="21"/>
    <x v="1"/>
    <s v="Mix Certo (Zamboni)"/>
    <s v="Vinagre de Arroz (cozinha)"/>
    <s v="unid"/>
    <n v="7"/>
    <n v="3.75"/>
    <n v="26.25"/>
  </r>
  <r>
    <s v="Março"/>
    <s v="SEMANA 4"/>
    <n v="23"/>
    <x v="2"/>
    <s v="Peixaria Só Peixe"/>
    <s v="Pescados - Carne de siri"/>
    <s v="kg"/>
    <n v="10"/>
    <n v="22.9"/>
    <n v="229"/>
  </r>
  <r>
    <s v="Março"/>
    <s v="SEMANA 4"/>
    <n v="23"/>
    <x v="10"/>
    <s v="Papelex"/>
    <s v="Toner HP Preto"/>
    <s v="unid"/>
    <n v="2"/>
    <n v="414.9"/>
    <n v="829.8"/>
  </r>
  <r>
    <s v="Março"/>
    <s v="SEMANA 4"/>
    <n v="23"/>
    <x v="1"/>
    <s v="Mercadinho Bambina"/>
    <s v="Pão Francês"/>
    <s v="kg"/>
    <n v="0.155"/>
    <n v="13.98"/>
    <n v="2.1669"/>
  </r>
  <r>
    <s v="Março"/>
    <s v="SEMANA 4"/>
    <n v="23"/>
    <x v="1"/>
    <s v="Mercadinho Bambina"/>
    <s v="Suco de Maracujá"/>
    <s v="unid"/>
    <n v="2"/>
    <n v="8.75"/>
    <n v="17.5"/>
  </r>
  <r>
    <s v="Março"/>
    <s v="SEMANA 4"/>
    <n v="23"/>
    <x v="9"/>
    <s v="Nossos Sabores"/>
    <s v="Torta Brownie com Nozes"/>
    <s v="unid"/>
    <n v="8"/>
    <n v="6.2374999999999998"/>
    <n v="49.9"/>
  </r>
  <r>
    <s v="Março"/>
    <s v="SEMANA 4"/>
    <n v="23"/>
    <x v="9"/>
    <s v="Atelier dos Sabores"/>
    <s v="Torta Alemã"/>
    <s v="fatia"/>
    <n v="12"/>
    <n v="5.7474999999999996"/>
    <n v="68.97"/>
  </r>
  <r>
    <s v="Março"/>
    <s v="SEMANA 4"/>
    <n v="23"/>
    <x v="9"/>
    <s v="Atelier dos Sabores"/>
    <s v="Torta Bem Casado de Damasco"/>
    <s v="fatia"/>
    <n v="12"/>
    <n v="5.9249999999999998"/>
    <n v="71.099999999999994"/>
  </r>
  <r>
    <s v="Março"/>
    <s v="SEMANA 4"/>
    <n v="23"/>
    <x v="9"/>
    <s v="Atelier dos Sabores"/>
    <s v="Torta de Limão"/>
    <s v="fatia"/>
    <n v="12"/>
    <n v="5.5708333333333329"/>
    <n v="66.849999999999994"/>
  </r>
  <r>
    <s v="Março"/>
    <s v="SEMANA 4"/>
    <n v="23"/>
    <x v="9"/>
    <s v="Atelier dos Sabores"/>
    <s v="Quindão com Damasco"/>
    <s v="fatia"/>
    <n v="12"/>
    <n v="5.7474999999999996"/>
    <n v="68.97"/>
  </r>
  <r>
    <s v="Março"/>
    <s v="SEMANA 4"/>
    <n v="23"/>
    <x v="9"/>
    <s v="Atelier dos Sabores"/>
    <s v="Torta Bem Casado de Doce de Leite"/>
    <s v="fatia"/>
    <n v="12"/>
    <n v="5.9249999999999998"/>
    <n v="71.099999999999994"/>
  </r>
  <r>
    <s v="Março"/>
    <s v="SEMANA 4"/>
    <n v="23"/>
    <x v="9"/>
    <s v="Atelier dos Sabores"/>
    <s v="Torta Bem Casado de Chocolate c/ Avelã"/>
    <s v="fatia"/>
    <n v="12"/>
    <n v="5.9249999999999998"/>
    <n v="71.099999999999994"/>
  </r>
  <r>
    <s v="Março"/>
    <s v="SEMANA 4"/>
    <n v="23"/>
    <x v="9"/>
    <s v="Atelier dos Sabores"/>
    <s v="Torta Banana Crock"/>
    <s v="fatia"/>
    <n v="24"/>
    <n v="5.9249999999999998"/>
    <n v="142.19999999999999"/>
  </r>
  <r>
    <s v="Março"/>
    <s v="SEMANA 4"/>
    <n v="24"/>
    <x v="1"/>
    <s v="Mercadinho Bambina"/>
    <s v="Suco de Maracujá"/>
    <s v="unid"/>
    <n v="1"/>
    <n v="8.75"/>
    <n v="8.75"/>
  </r>
  <r>
    <s v="Março"/>
    <s v="SEMANA 4"/>
    <n v="24"/>
    <x v="1"/>
    <s v="Mercadinho Bambina"/>
    <s v="Pão Árabe"/>
    <s v="pcte"/>
    <n v="2"/>
    <n v="6.7"/>
    <n v="13.4"/>
  </r>
  <r>
    <s v="Março"/>
    <s v="SEMANA 4"/>
    <n v="24"/>
    <x v="0"/>
    <s v="Mercadinho Bambina"/>
    <s v="Maracujá"/>
    <s v="kg"/>
    <n v="1.1399999999999999"/>
    <n v="6.98"/>
    <n v="7.9571999999999994"/>
  </r>
  <r>
    <s v="Março"/>
    <s v="SEMANA 4"/>
    <n v="24"/>
    <x v="1"/>
    <s v="Planeta Gelo"/>
    <s v="Gelo em Escamas"/>
    <s v="saco"/>
    <n v="2"/>
    <n v="7.5"/>
    <n v="15"/>
  </r>
  <r>
    <s v="Março"/>
    <s v="SEMANA 4"/>
    <n v="24"/>
    <x v="1"/>
    <s v="Planeta Gelo"/>
    <s v="Gelo em Cubo"/>
    <s v="saco"/>
    <n v="4"/>
    <n v="7.5"/>
    <n v="30"/>
  </r>
  <r>
    <s v="Março"/>
    <s v="SEMANA 4"/>
    <n v="24"/>
    <x v="0"/>
    <s v="Alcibiades G. Quintas"/>
    <s v="Batata Calabresa"/>
    <s v="kg"/>
    <n v="4"/>
    <n v="4"/>
    <n v="16"/>
  </r>
  <r>
    <s v="Março"/>
    <s v="SEMANA 4"/>
    <n v="24"/>
    <x v="0"/>
    <s v="Alcibiades G. Quintas"/>
    <s v="Pepino Japonês"/>
    <s v="kg"/>
    <n v="17.079999999999998"/>
    <n v="2.6346604215456679"/>
    <n v="45.000000000000007"/>
  </r>
  <r>
    <s v="Março"/>
    <s v="SEMANA 4"/>
    <n v="24"/>
    <x v="0"/>
    <s v="Alcibiades G. Quintas"/>
    <s v="Repolho"/>
    <s v="kg"/>
    <n v="4"/>
    <n v="2"/>
    <n v="8"/>
  </r>
  <r>
    <s v="Março"/>
    <s v="SEMANA 4"/>
    <n v="24"/>
    <x v="0"/>
    <s v="Alcibiades G. Quintas"/>
    <s v="Repolho Roxo"/>
    <s v="kg"/>
    <n v="4"/>
    <n v="3"/>
    <n v="12"/>
  </r>
  <r>
    <s v="Março"/>
    <s v="SEMANA 4"/>
    <n v="24"/>
    <x v="0"/>
    <s v="Alcibiades G. Quintas"/>
    <s v="Tomate Cereja"/>
    <s v="kg"/>
    <n v="6"/>
    <n v="7"/>
    <n v="42"/>
  </r>
  <r>
    <s v="Março"/>
    <s v="SEMANA 4"/>
    <n v="24"/>
    <x v="0"/>
    <s v="Alcibiades G. Quintas"/>
    <s v="Alface Americana    "/>
    <s v="kg"/>
    <n v="7.04"/>
    <n v="6.8181818181818183"/>
    <n v="48"/>
  </r>
  <r>
    <s v="Março"/>
    <s v="SEMANA 4"/>
    <n v="24"/>
    <x v="0"/>
    <s v="Alcibiades G. Quintas"/>
    <s v="Alface crespa"/>
    <s v="kg"/>
    <n v="3.26"/>
    <n v="5.9815950920245404"/>
    <n v="19.5"/>
  </r>
  <r>
    <s v="Março"/>
    <s v="SEMANA 4"/>
    <n v="24"/>
    <x v="0"/>
    <s v="Alcibiades G. Quintas"/>
    <s v="Alface Roxa"/>
    <s v="kg"/>
    <n v="1.08"/>
    <n v="11.111111111111111"/>
    <n v="12"/>
  </r>
  <r>
    <s v="Março"/>
    <s v="SEMANA 4"/>
    <n v="24"/>
    <x v="0"/>
    <s v="Alcibiades G. Quintas"/>
    <s v="Cebolinha Verde"/>
    <s v="kg"/>
    <n v="1"/>
    <n v="7"/>
    <n v="7"/>
  </r>
  <r>
    <s v="Março"/>
    <s v="SEMANA 4"/>
    <n v="24"/>
    <x v="0"/>
    <s v="Alcibiades G. Quintas"/>
    <s v="Couve Manteiga"/>
    <s v="kg"/>
    <n v="2"/>
    <n v="6"/>
    <n v="12"/>
  </r>
  <r>
    <s v="Março"/>
    <s v="SEMANA 4"/>
    <n v="24"/>
    <x v="0"/>
    <s v="Alcibiades G. Quintas"/>
    <s v="Manjericão"/>
    <s v="kg"/>
    <n v="0.5"/>
    <n v="10"/>
    <n v="5"/>
  </r>
  <r>
    <s v="Março"/>
    <s v="SEMANA 4"/>
    <n v="24"/>
    <x v="0"/>
    <s v="Alcibiades G. Quintas"/>
    <s v="Rúcula"/>
    <s v="kg"/>
    <n v="5"/>
    <n v="8"/>
    <n v="40"/>
  </r>
  <r>
    <s v="Março"/>
    <s v="SEMANA 4"/>
    <n v="24"/>
    <x v="0"/>
    <s v="Alcibiades G. Quintas"/>
    <s v="Salsa"/>
    <s v="kg"/>
    <n v="1"/>
    <n v="7"/>
    <n v="7"/>
  </r>
  <r>
    <s v="Março"/>
    <s v="SEMANA 4"/>
    <n v="24"/>
    <x v="6"/>
    <s v="Alcibiades G. Quintas"/>
    <s v="Abacate Sushi"/>
    <s v="kg"/>
    <n v="1"/>
    <n v="6"/>
    <n v="6"/>
  </r>
  <r>
    <s v="Março"/>
    <s v="SEMANA 4"/>
    <n v="24"/>
    <x v="0"/>
    <s v="Alcibiades G. Quintas"/>
    <s v="Abacaxi "/>
    <s v="kg"/>
    <n v="15"/>
    <n v="3"/>
    <n v="45"/>
  </r>
  <r>
    <s v="Março"/>
    <s v="SEMANA 4"/>
    <n v="24"/>
    <x v="0"/>
    <s v="Alcibiades G. Quintas"/>
    <s v="Laranja Pera"/>
    <s v="kg"/>
    <n v="21.92"/>
    <n v="1.5967153284671531"/>
    <n v="35"/>
  </r>
  <r>
    <s v="Março"/>
    <s v="SEMANA 4"/>
    <n v="24"/>
    <x v="0"/>
    <s v="Alcibiades G. Quintas"/>
    <s v="Mamão Bahia"/>
    <s v="kg"/>
    <n v="2"/>
    <n v="2.8"/>
    <n v="5.6"/>
  </r>
  <r>
    <s v="Março"/>
    <s v="SEMANA 4"/>
    <n v="24"/>
    <x v="0"/>
    <s v="Alcibiades G. Quintas"/>
    <s v="Manga Palmer"/>
    <s v="kg"/>
    <n v="11.12"/>
    <n v="4.4964028776978422"/>
    <n v="50"/>
  </r>
  <r>
    <s v="Março"/>
    <s v="SEMANA 4"/>
    <n v="24"/>
    <x v="0"/>
    <s v="Alcibiades G. Quintas"/>
    <s v="Melão Orange"/>
    <s v="kg"/>
    <n v="1.8"/>
    <n v="4.8"/>
    <n v="8.64"/>
  </r>
  <r>
    <s v="Março"/>
    <s v="SEMANA 4"/>
    <n v="24"/>
    <x v="0"/>
    <s v="Umehara"/>
    <s v="Beterraba"/>
    <s v="kg"/>
    <n v="7"/>
    <n v="1.98"/>
    <n v="13.86"/>
  </r>
  <r>
    <s v="Março"/>
    <s v="SEMANA 4"/>
    <n v="24"/>
    <x v="0"/>
    <s v="Umehara"/>
    <s v="Cebola"/>
    <s v="kg"/>
    <n v="19.82"/>
    <n v="2.3461150353178608"/>
    <n v="46.5"/>
  </r>
  <r>
    <s v="Março"/>
    <s v="SEMANA 4"/>
    <n v="24"/>
    <x v="0"/>
    <s v="Umehara"/>
    <s v="Côco Verde"/>
    <s v="unid"/>
    <n v="20"/>
    <n v="2.25"/>
    <n v="45"/>
  </r>
  <r>
    <s v="Março"/>
    <s v="SEMANA 4"/>
    <n v="24"/>
    <x v="0"/>
    <s v="Umehara"/>
    <s v="Couve Flor"/>
    <s v="kg"/>
    <n v="2"/>
    <n v="6"/>
    <n v="12"/>
  </r>
  <r>
    <s v="Março"/>
    <s v="SEMANA 4"/>
    <n v="24"/>
    <x v="0"/>
    <s v="Umehara"/>
    <s v="Kiwi"/>
    <s v="kg"/>
    <n v="1"/>
    <n v="12"/>
    <n v="12"/>
  </r>
  <r>
    <s v="Março"/>
    <s v="SEMANA 4"/>
    <n v="24"/>
    <x v="0"/>
    <s v="Umehara"/>
    <s v="Berinjela"/>
    <s v="kg"/>
    <n v="10.46"/>
    <n v="2.5812619502868066"/>
    <n v="27"/>
  </r>
  <r>
    <s v="Março"/>
    <s v="SEMANA 4"/>
    <n v="24"/>
    <x v="0"/>
    <s v="Umehara"/>
    <s v="Ovos Extra"/>
    <s v="unid"/>
    <n v="360"/>
    <n v="0.29722222222222222"/>
    <n v="107"/>
  </r>
  <r>
    <s v="Março"/>
    <s v="SEMANA 4"/>
    <n v="24"/>
    <x v="0"/>
    <s v="Umehara"/>
    <s v="Abobora Japonesa"/>
    <s v="kg"/>
    <n v="10"/>
    <n v="2.86"/>
    <n v="28.599999999999998"/>
  </r>
  <r>
    <s v="Março"/>
    <s v="SEMANA 4"/>
    <n v="24"/>
    <x v="0"/>
    <s v="Umehara"/>
    <s v="Batata HBT"/>
    <s v="kg"/>
    <n v="25"/>
    <n v="1.59"/>
    <n v="39.75"/>
  </r>
  <r>
    <s v="Março"/>
    <s v="SEMANA 4"/>
    <n v="24"/>
    <x v="0"/>
    <s v="Umehara"/>
    <s v="Coentro"/>
    <s v="kg"/>
    <n v="0.8"/>
    <n v="25"/>
    <n v="20"/>
  </r>
  <r>
    <s v="Março"/>
    <s v="SEMANA 4"/>
    <n v="24"/>
    <x v="0"/>
    <s v="Umehara"/>
    <s v="Melância"/>
    <s v="kg"/>
    <n v="20"/>
    <n v="1.52"/>
    <n v="30.4"/>
  </r>
  <r>
    <s v="Março"/>
    <s v="SEMANA 4"/>
    <n v="24"/>
    <x v="6"/>
    <s v="Umehara"/>
    <s v="Salsa Crespa Sushi"/>
    <s v="kg"/>
    <n v="0.1"/>
    <n v="13"/>
    <n v="1.3"/>
  </r>
  <r>
    <s v="Março"/>
    <s v="SEMANA 4"/>
    <n v="24"/>
    <x v="1"/>
    <s v="Super Mercado Zonasul"/>
    <s v="Batata Palha 140 g"/>
    <s v="pcte"/>
    <n v="2"/>
    <n v="6.99"/>
    <n v="13.98"/>
  </r>
  <r>
    <s v="Março"/>
    <s v="SEMANA 4"/>
    <n v="24"/>
    <x v="1"/>
    <s v="Super Mercado Zonasul"/>
    <s v="Tapioca Granulada "/>
    <s v="kg"/>
    <n v="1"/>
    <n v="18.78"/>
    <n v="18.78"/>
  </r>
  <r>
    <s v="Março"/>
    <s v="SEMANA 4"/>
    <n v="25"/>
    <x v="1"/>
    <s v="Planeta Gelo"/>
    <s v="Gelo em Escamas"/>
    <s v="saco"/>
    <n v="1"/>
    <n v="7.5"/>
    <n v="7.5"/>
  </r>
  <r>
    <s v="Março"/>
    <s v="SEMANA 4"/>
    <n v="25"/>
    <x v="1"/>
    <s v="Planeta Gelo"/>
    <s v="Gelo em Cubo"/>
    <s v="saco"/>
    <n v="4"/>
    <n v="7.5"/>
    <n v="30"/>
  </r>
  <r>
    <s v="Março"/>
    <s v="SEMANA 5"/>
    <n v="26"/>
    <x v="1"/>
    <s v="Mercadinho Bambina"/>
    <s v="Pão Rabanada"/>
    <s v="unid"/>
    <n v="10"/>
    <n v="4.6840000000000002"/>
    <n v="46.84"/>
  </r>
  <r>
    <s v="Março"/>
    <s v="SEMANA 5"/>
    <n v="26"/>
    <x v="1"/>
    <s v="Planeta Gelo"/>
    <s v="Gelo em Escamas"/>
    <s v="saco"/>
    <n v="2"/>
    <n v="7.5"/>
    <n v="15"/>
  </r>
  <r>
    <s v="Março"/>
    <s v="SEMANA 5"/>
    <n v="26"/>
    <x v="1"/>
    <s v="Planeta Gelo"/>
    <s v="Gelo em Cubo"/>
    <s v="saco"/>
    <n v="4"/>
    <n v="7.5"/>
    <n v="30"/>
  </r>
  <r>
    <s v="Março"/>
    <s v="SEMANA 5"/>
    <n v="26"/>
    <x v="6"/>
    <s v="Frigorifico Jahu"/>
    <s v="Pescados - Salmão Inteiro Sushi"/>
    <s v="kg"/>
    <n v="30.11"/>
    <n v="29.600100000000001"/>
    <n v="891.25901099999999"/>
  </r>
  <r>
    <s v="Março"/>
    <s v="SEMANA 5"/>
    <n v="26"/>
    <x v="2"/>
    <s v="Marfrig"/>
    <s v="Carne Bovina - Picanha Grill/Churrascaria"/>
    <s v="kg"/>
    <n v="30.756"/>
    <n v="30.7653"/>
    <n v="946.21756679999999"/>
  </r>
  <r>
    <s v="Março"/>
    <s v="SEMANA 5"/>
    <n v="26"/>
    <x v="2"/>
    <s v="Top Alto"/>
    <s v="Carne Bovina - Lagarto Redondo"/>
    <s v="kg"/>
    <n v="13"/>
    <n v="15.5"/>
    <n v="201.5"/>
  </r>
  <r>
    <s v="Março"/>
    <s v="SEMANA 5"/>
    <n v="26"/>
    <x v="2"/>
    <s v="Top Alto"/>
    <s v="Carne Bovina - Língua"/>
    <s v="kg"/>
    <n v="18"/>
    <n v="6.7"/>
    <n v="120.60000000000001"/>
  </r>
  <r>
    <s v="Março"/>
    <s v="SEMANA 5"/>
    <n v="26"/>
    <x v="5"/>
    <s v="Top Alto"/>
    <s v="Queijo Minas"/>
    <s v="kg"/>
    <n v="2.5"/>
    <n v="15"/>
    <n v="37.5"/>
  </r>
  <r>
    <s v="Março"/>
    <s v="SEMANA 5"/>
    <n v="26"/>
    <x v="5"/>
    <s v="Top Alto"/>
    <s v="Queijo Ricota"/>
    <s v="kg"/>
    <n v="9.5"/>
    <n v="6.98"/>
    <n v="66.31"/>
  </r>
  <r>
    <s v="Março"/>
    <s v="SEMANA 5"/>
    <n v="26"/>
    <x v="2"/>
    <s v="Barrinhas"/>
    <s v="Pescados - Bacalhau Salgado"/>
    <s v="kg"/>
    <n v="25"/>
    <n v="54.915200000000006"/>
    <n v="1372.88"/>
  </r>
  <r>
    <s v="Março"/>
    <s v="SEMANA 5"/>
    <n v="26"/>
    <x v="5"/>
    <s v="Laticinios Alhambra"/>
    <s v="Creme de Leite Culinário 20% Bd 10 Lt"/>
    <s v="bd"/>
    <n v="1"/>
    <n v="142.44999999999999"/>
    <n v="142.44999999999999"/>
  </r>
  <r>
    <s v="Março"/>
    <s v="SEMANA 5"/>
    <n v="26"/>
    <x v="5"/>
    <s v="Laticinios Alhambra"/>
    <s v="Queijo Requeijão BD 3,6 Kg"/>
    <s v="bd"/>
    <n v="1"/>
    <n v="74.400000000000006"/>
    <n v="74.400000000000006"/>
  </r>
  <r>
    <s v="Março"/>
    <s v="SEMANA 5"/>
    <n v="26"/>
    <x v="0"/>
    <s v="Alcibiades G. Quintas"/>
    <s v="Abobora"/>
    <s v="kg"/>
    <n v="4"/>
    <n v="3"/>
    <n v="12"/>
  </r>
  <r>
    <s v="Março"/>
    <s v="SEMANA 5"/>
    <n v="26"/>
    <x v="0"/>
    <s v="Alcibiades G. Quintas"/>
    <s v="Batata Doce"/>
    <s v="kg"/>
    <n v="19.739999999999998"/>
    <n v="1.8237082066869303"/>
    <n v="36"/>
  </r>
  <r>
    <s v="Março"/>
    <s v="SEMANA 5"/>
    <n v="26"/>
    <x v="0"/>
    <s v="Alcibiades G. Quintas"/>
    <s v="Cenoura"/>
    <s v="kg"/>
    <n v="18.7"/>
    <n v="3.2085561497326203"/>
    <n v="60"/>
  </r>
  <r>
    <s v="Março"/>
    <s v="SEMANA 5"/>
    <n v="26"/>
    <x v="0"/>
    <s v="Alcibiades G. Quintas"/>
    <s v="Repolho Roxo"/>
    <s v="kg"/>
    <n v="3"/>
    <n v="3"/>
    <n v="9"/>
  </r>
  <r>
    <s v="Março"/>
    <s v="SEMANA 5"/>
    <n v="26"/>
    <x v="0"/>
    <s v="Alcibiades G. Quintas"/>
    <s v="Tomate Salada"/>
    <s v="kg"/>
    <n v="20.94"/>
    <n v="2.6265520534861508"/>
    <n v="55"/>
  </r>
  <r>
    <s v="Março"/>
    <s v="SEMANA 5"/>
    <n v="26"/>
    <x v="0"/>
    <s v="Alcibiades G. Quintas"/>
    <s v="Vagem Macarrão"/>
    <s v="kg"/>
    <n v="3"/>
    <n v="8"/>
    <n v="24"/>
  </r>
  <r>
    <s v="Março"/>
    <s v="SEMANA 5"/>
    <n v="26"/>
    <x v="0"/>
    <s v="Alcibiades G. Quintas"/>
    <s v="Aipo"/>
    <s v="kg"/>
    <n v="1.2"/>
    <n v="4"/>
    <n v="4.8"/>
  </r>
  <r>
    <s v="Março"/>
    <s v="SEMANA 5"/>
    <n v="26"/>
    <x v="0"/>
    <s v="Alcibiades G. Quintas"/>
    <s v="Alface Americana    "/>
    <s v="kg"/>
    <n v="5.18"/>
    <n v="6.9498069498069501"/>
    <n v="36"/>
  </r>
  <r>
    <s v="Março"/>
    <s v="SEMANA 5"/>
    <n v="26"/>
    <x v="0"/>
    <s v="Alcibiades G. Quintas"/>
    <s v="Alface crespa"/>
    <s v="kg"/>
    <n v="1.74"/>
    <n v="6.0344827586206895"/>
    <n v="10.5"/>
  </r>
  <r>
    <s v="Março"/>
    <s v="SEMANA 5"/>
    <n v="26"/>
    <x v="0"/>
    <s v="Alcibiades G. Quintas"/>
    <s v="Alface Roxa"/>
    <s v="kg"/>
    <n v="0.5"/>
    <n v="12"/>
    <n v="6"/>
  </r>
  <r>
    <s v="Março"/>
    <s v="SEMANA 5"/>
    <n v="26"/>
    <x v="0"/>
    <s v="Alcibiades G. Quintas"/>
    <s v="Brócolis Americano"/>
    <s v="kg"/>
    <n v="10"/>
    <n v="12"/>
    <n v="120"/>
  </r>
  <r>
    <s v="Março"/>
    <s v="SEMANA 5"/>
    <n v="26"/>
    <x v="0"/>
    <s v="Alcibiades G. Quintas"/>
    <s v="Cebolinha Verde"/>
    <s v="kg"/>
    <n v="0.5"/>
    <n v="7"/>
    <n v="3.5"/>
  </r>
  <r>
    <s v="Março"/>
    <s v="SEMANA 5"/>
    <n v="26"/>
    <x v="0"/>
    <s v="Alcibiades G. Quintas"/>
    <s v="Hortelã"/>
    <s v="kg"/>
    <n v="0.5"/>
    <n v="4"/>
    <n v="2"/>
  </r>
  <r>
    <s v="Março"/>
    <s v="SEMANA 5"/>
    <n v="26"/>
    <x v="0"/>
    <s v="Alcibiades G. Quintas"/>
    <s v="Rúcula"/>
    <s v="kg"/>
    <n v="2"/>
    <n v="8"/>
    <n v="16"/>
  </r>
  <r>
    <s v="Março"/>
    <s v="SEMANA 5"/>
    <n v="26"/>
    <x v="0"/>
    <s v="Alcibiades G. Quintas"/>
    <s v="Capim Limão"/>
    <s v="kg"/>
    <n v="0.1"/>
    <n v="15"/>
    <n v="1.5"/>
  </r>
  <r>
    <s v="Março"/>
    <s v="SEMANA 5"/>
    <n v="26"/>
    <x v="0"/>
    <s v="Alcibiades G. Quintas"/>
    <s v="Laranja Pera"/>
    <s v="kg"/>
    <n v="20.13"/>
    <n v="1.7386984600099356"/>
    <n v="35"/>
  </r>
  <r>
    <s v="Março"/>
    <s v="SEMANA 5"/>
    <n v="26"/>
    <x v="0"/>
    <s v="Alcibiades G. Quintas"/>
    <s v="Mamão Bahia"/>
    <s v="kg"/>
    <n v="1.8"/>
    <n v="2.8"/>
    <n v="5.04"/>
  </r>
  <r>
    <s v="Março"/>
    <s v="SEMANA 5"/>
    <n v="26"/>
    <x v="0"/>
    <s v="Alcibiades G. Quintas"/>
    <s v="Manga Palmer"/>
    <s v="kg"/>
    <n v="7"/>
    <n v="3.5714285714285716"/>
    <n v="25"/>
  </r>
  <r>
    <s v="Março"/>
    <s v="SEMANA 5"/>
    <n v="26"/>
    <x v="0"/>
    <s v="Alcibiades G. Quintas"/>
    <s v="Endivia"/>
    <s v="kg"/>
    <n v="2.5"/>
    <n v="20"/>
    <n v="50"/>
  </r>
  <r>
    <s v="Março"/>
    <s v="SEMANA 5"/>
    <n v="26"/>
    <x v="0"/>
    <s v="Umehara"/>
    <s v="Abobora"/>
    <s v="kg"/>
    <n v="8"/>
    <n v="1.99"/>
    <n v="15.92"/>
  </r>
  <r>
    <s v="Março"/>
    <s v="SEMANA 5"/>
    <n v="26"/>
    <x v="0"/>
    <s v="Umehara"/>
    <s v="Côco Verde"/>
    <s v="unid"/>
    <n v="15"/>
    <n v="2.25"/>
    <n v="33.75"/>
  </r>
  <r>
    <s v="Março"/>
    <s v="SEMANA 5"/>
    <n v="26"/>
    <x v="0"/>
    <s v="Umehara"/>
    <s v="Kiwi"/>
    <s v="kg"/>
    <n v="0.5"/>
    <n v="12"/>
    <n v="6"/>
  </r>
  <r>
    <s v="Março"/>
    <s v="SEMANA 5"/>
    <n v="26"/>
    <x v="0"/>
    <s v="Umehara"/>
    <s v="Pimentão Vermelho"/>
    <s v="kg"/>
    <n v="2"/>
    <n v="7.5"/>
    <n v="15"/>
  </r>
  <r>
    <s v="Março"/>
    <s v="SEMANA 5"/>
    <n v="26"/>
    <x v="0"/>
    <s v="Umehara"/>
    <s v="Berinjela"/>
    <s v="kg"/>
    <n v="10.32"/>
    <n v="2.6162790697674416"/>
    <n v="27"/>
  </r>
  <r>
    <s v="Março"/>
    <s v="SEMANA 5"/>
    <n v="26"/>
    <x v="0"/>
    <s v="Umehara"/>
    <s v="Abacaxi "/>
    <s v="kg"/>
    <n v="15"/>
    <n v="3.25"/>
    <n v="48.75"/>
  </r>
  <r>
    <s v="Março"/>
    <s v="SEMANA 5"/>
    <n v="26"/>
    <x v="0"/>
    <s v="Umehara"/>
    <s v="Coentro"/>
    <s v="kg"/>
    <n v="0.5"/>
    <n v="25"/>
    <n v="12.5"/>
  </r>
  <r>
    <s v="Março"/>
    <s v="SEMANA 5"/>
    <n v="26"/>
    <x v="1"/>
    <s v="Umehara"/>
    <s v="Côco Seco"/>
    <s v="kg"/>
    <n v="3"/>
    <n v="5.9"/>
    <n v="17.700000000000003"/>
  </r>
  <r>
    <s v="Março"/>
    <s v="SEMANA 5"/>
    <n v="26"/>
    <x v="0"/>
    <s v="Umehara"/>
    <s v="Inhame"/>
    <s v="kg"/>
    <n v="8"/>
    <n v="3"/>
    <n v="24"/>
  </r>
  <r>
    <s v="Março"/>
    <s v="SEMANA 5"/>
    <n v="26"/>
    <x v="1"/>
    <s v="Mercadinho Bambina"/>
    <s v="Tapioca Granulada "/>
    <s v="kg"/>
    <n v="1"/>
    <n v="11"/>
    <n v="11"/>
  </r>
  <r>
    <s v="Março"/>
    <s v="SEMANA 5"/>
    <n v="26"/>
    <x v="1"/>
    <s v="Mercadinho Bambina"/>
    <s v="Batata Palha 140 g"/>
    <s v="pcte"/>
    <n v="2"/>
    <n v="7.5"/>
    <n v="15"/>
  </r>
  <r>
    <s v="Março"/>
    <s v="SEMANA 5"/>
    <n v="26"/>
    <x v="8"/>
    <s v="Mercadinho Bambina"/>
    <s v="Espetinho 15 cm c/ 100"/>
    <s v="pcte"/>
    <n v="1"/>
    <n v="5.5"/>
    <n v="5.5"/>
  </r>
  <r>
    <s v="Março"/>
    <s v="SEMANA 5"/>
    <n v="26"/>
    <x v="1"/>
    <s v="Feira"/>
    <s v="Massa de Pastel"/>
    <s v="kg"/>
    <n v="27.92"/>
    <n v="7.5214899713467043"/>
    <n v="210"/>
  </r>
  <r>
    <s v="Março"/>
    <s v="SEMANA 5"/>
    <n v="26"/>
    <x v="0"/>
    <s v="Feira"/>
    <s v="Aipim"/>
    <s v="kg"/>
    <n v="20"/>
    <n v="5"/>
    <n v="100"/>
  </r>
  <r>
    <s v="Março"/>
    <s v="SEMANA 5"/>
    <n v="26"/>
    <x v="0"/>
    <s v="Feira"/>
    <s v="Salsa"/>
    <s v="kg"/>
    <n v="0.3"/>
    <n v="20"/>
    <n v="6"/>
  </r>
  <r>
    <s v="Março"/>
    <s v="SEMANA 5"/>
    <n v="27"/>
    <x v="1"/>
    <s v="Planeta Gelo"/>
    <s v="Gelo em Escamas"/>
    <s v="saco"/>
    <n v="1"/>
    <n v="7.5"/>
    <n v="7.5"/>
  </r>
  <r>
    <s v="Março"/>
    <s v="SEMANA 5"/>
    <n v="27"/>
    <x v="1"/>
    <s v="Planeta Gelo"/>
    <s v="Gelo em Cubo"/>
    <s v="saco"/>
    <n v="3"/>
    <n v="7.5"/>
    <n v="22.5"/>
  </r>
  <r>
    <s v="Março"/>
    <s v="SEMANA 5"/>
    <n v="27"/>
    <x v="2"/>
    <s v="Marfrig"/>
    <s v="Carne Bovina - Filé Mignon 3/4"/>
    <s v="kg"/>
    <n v="36.142000000000003"/>
    <n v="29.489799999999999"/>
    <n v="1065.8203516000001"/>
  </r>
  <r>
    <s v="Março"/>
    <s v="SEMANA 5"/>
    <n v="27"/>
    <x v="2"/>
    <s v="Truticultura da Serra"/>
    <s v="Pescados - Filé Truta Cong."/>
    <s v="kg"/>
    <n v="47"/>
    <n v="26"/>
    <n v="1222"/>
  </r>
  <r>
    <s v="Março"/>
    <s v="SEMANA 5"/>
    <n v="27"/>
    <x v="1"/>
    <s v="Truticultura da Serra"/>
    <s v="Cogumelo Paris"/>
    <s v="kg"/>
    <n v="5"/>
    <n v="15.5"/>
    <n v="77.5"/>
  </r>
  <r>
    <s v="Março"/>
    <s v="SEMANA 5"/>
    <n v="27"/>
    <x v="1"/>
    <s v="Truticultura da Serra"/>
    <s v="Cogumelo Fatiado Bd 2 Kg"/>
    <s v="bd"/>
    <n v="1"/>
    <n v="37"/>
    <n v="37"/>
  </r>
  <r>
    <s v="Março"/>
    <s v="SEMANA 5"/>
    <n v="27"/>
    <x v="2"/>
    <s v="Frigorifico Jahu"/>
    <s v="Pescados - Camarão IQF Evisc. 51/60"/>
    <s v="kg"/>
    <n v="6"/>
    <n v="69.900000000000006"/>
    <n v="419.40000000000003"/>
  </r>
  <r>
    <s v="Março"/>
    <s v="SEMANA 5"/>
    <n v="26"/>
    <x v="8"/>
    <s v="Ding Show"/>
    <s v="Saco p/ Biscoito 10x15 pacte 1000"/>
    <s v="unid"/>
    <n v="1000"/>
    <n v="1.2999999999999999E-2"/>
    <n v="13"/>
  </r>
  <r>
    <s v="Março"/>
    <s v="SEMANA 5"/>
    <n v="27"/>
    <x v="8"/>
    <s v="Sanda"/>
    <s v="Saco Plástico 50x70"/>
    <s v="pcte"/>
    <n v="2"/>
    <n v="49.36"/>
    <n v="98.72"/>
  </r>
  <r>
    <s v="Março"/>
    <s v="SEMANA 5"/>
    <n v="27"/>
    <x v="3"/>
    <s v="Sanda"/>
    <s v="Esponja Dupla Face"/>
    <s v="unid"/>
    <n v="5"/>
    <n v="0.94"/>
    <n v="4.6999999999999993"/>
  </r>
  <r>
    <s v="Março"/>
    <s v="SEMANA 5"/>
    <n v="27"/>
    <x v="6"/>
    <s v="Damy"/>
    <s v="Farinha Panco (sushi)"/>
    <s v="kg"/>
    <n v="1"/>
    <n v="17.7"/>
    <n v="17.7"/>
  </r>
  <r>
    <s v="Março"/>
    <s v="SEMANA 5"/>
    <n v="27"/>
    <x v="1"/>
    <s v="Damy"/>
    <s v="Massa de Harumaki"/>
    <s v="folha"/>
    <n v="180"/>
    <n v="0.57583333333333342"/>
    <n v="103.65000000000002"/>
  </r>
  <r>
    <s v="Março"/>
    <s v="SEMANA 5"/>
    <n v="27"/>
    <x v="1"/>
    <s v="Damy"/>
    <s v="Óleo de Gergelim"/>
    <s v="unid"/>
    <n v="1"/>
    <n v="43.38"/>
    <n v="43.38"/>
  </r>
  <r>
    <s v="Março"/>
    <s v="SEMANA 5"/>
    <n v="27"/>
    <x v="0"/>
    <s v="Alcibiades G. Quintas"/>
    <s v="Beterraba"/>
    <s v="kg"/>
    <n v="12"/>
    <n v="2.6"/>
    <n v="31.200000000000003"/>
  </r>
  <r>
    <s v="Março"/>
    <s v="SEMANA 5"/>
    <n v="27"/>
    <x v="0"/>
    <s v="Alcibiades G. Quintas"/>
    <s v="Cebola Roxa"/>
    <s v="kg"/>
    <n v="1"/>
    <n v="4"/>
    <n v="4"/>
  </r>
  <r>
    <s v="Março"/>
    <s v="SEMANA 5"/>
    <n v="27"/>
    <x v="0"/>
    <s v="Alcibiades G. Quintas"/>
    <s v="Tomate Salada"/>
    <s v="kg"/>
    <n v="19.829999999999998"/>
    <n v="2.7735753908219873"/>
    <n v="55.000000000000007"/>
  </r>
  <r>
    <s v="Março"/>
    <s v="SEMANA 5"/>
    <n v="27"/>
    <x v="0"/>
    <s v="Alcibiades G. Quintas"/>
    <s v="Vagem Macarrão"/>
    <s v="kg"/>
    <n v="1"/>
    <n v="8"/>
    <n v="8"/>
  </r>
  <r>
    <s v="Março"/>
    <s v="SEMANA 5"/>
    <n v="27"/>
    <x v="0"/>
    <s v="Alcibiades G. Quintas"/>
    <s v="Brócolis Americano"/>
    <s v="kg"/>
    <n v="3"/>
    <n v="12"/>
    <n v="36"/>
  </r>
  <r>
    <s v="Março"/>
    <s v="SEMANA 5"/>
    <n v="27"/>
    <x v="0"/>
    <s v="Alcibiades G. Quintas"/>
    <s v="Cebolinha Verde"/>
    <s v="kg"/>
    <n v="0.5"/>
    <n v="7"/>
    <n v="3.5"/>
  </r>
  <r>
    <s v="Março"/>
    <s v="SEMANA 5"/>
    <n v="27"/>
    <x v="0"/>
    <s v="Alcibiades G. Quintas"/>
    <s v="Coentro"/>
    <s v="kg"/>
    <n v="0.5"/>
    <n v="25"/>
    <n v="12.5"/>
  </r>
  <r>
    <s v="Março"/>
    <s v="SEMANA 5"/>
    <n v="27"/>
    <x v="0"/>
    <s v="Alcibiades G. Quintas"/>
    <s v="Hortelã"/>
    <s v="kg"/>
    <n v="0.3"/>
    <n v="4"/>
    <n v="1.2"/>
  </r>
  <r>
    <s v="Março"/>
    <s v="SEMANA 5"/>
    <n v="27"/>
    <x v="0"/>
    <s v="Alcibiades G. Quintas"/>
    <s v="Louro"/>
    <s v="kg"/>
    <n v="0.3"/>
    <n v="20"/>
    <n v="6"/>
  </r>
  <r>
    <s v="Março"/>
    <s v="SEMANA 5"/>
    <n v="27"/>
    <x v="0"/>
    <s v="Alcibiades G. Quintas"/>
    <s v="Nirá"/>
    <s v="kg"/>
    <n v="1"/>
    <n v="15"/>
    <n v="15"/>
  </r>
  <r>
    <s v="Março"/>
    <s v="SEMANA 5"/>
    <n v="27"/>
    <x v="0"/>
    <s v="Alcibiades G. Quintas"/>
    <s v="Salsa"/>
    <s v="kg"/>
    <n v="1"/>
    <n v="7"/>
    <n v="7"/>
  </r>
  <r>
    <s v="Março"/>
    <s v="SEMANA 5"/>
    <n v="27"/>
    <x v="0"/>
    <s v="Alcibiades G. Quintas"/>
    <s v="Sálvia"/>
    <s v="kg"/>
    <n v="0.1"/>
    <n v="30"/>
    <n v="3"/>
  </r>
  <r>
    <s v="Março"/>
    <s v="SEMANA 5"/>
    <n v="27"/>
    <x v="0"/>
    <s v="Alcibiades G. Quintas"/>
    <s v="Broto de Feijão"/>
    <s v="kg"/>
    <n v="1.5"/>
    <n v="14"/>
    <n v="21"/>
  </r>
  <r>
    <s v="Março"/>
    <s v="SEMANA 5"/>
    <n v="27"/>
    <x v="0"/>
    <s v="Alcibiades G. Quintas"/>
    <s v="Alfafa"/>
    <s v="kg"/>
    <n v="0.45"/>
    <n v="43.333333333333336"/>
    <n v="19.5"/>
  </r>
  <r>
    <s v="Março"/>
    <s v="SEMANA 5"/>
    <n v="27"/>
    <x v="0"/>
    <s v="Alcibiades G. Quintas"/>
    <s v="Tofu Kilo"/>
    <s v="kg"/>
    <n v="2"/>
    <n v="14"/>
    <n v="28"/>
  </r>
  <r>
    <s v="Março"/>
    <s v="SEMANA 5"/>
    <n v="27"/>
    <x v="0"/>
    <s v="Alcibiades G. Quintas"/>
    <s v="Abacaxi "/>
    <s v="kg"/>
    <n v="7"/>
    <n v="3"/>
    <n v="21"/>
  </r>
  <r>
    <s v="Março"/>
    <s v="SEMANA 5"/>
    <n v="27"/>
    <x v="0"/>
    <s v="Alcibiades G. Quintas"/>
    <s v="Laranja Pera"/>
    <s v="kg"/>
    <n v="20.3"/>
    <n v="1.7241379310344827"/>
    <n v="35"/>
  </r>
  <r>
    <s v="Março"/>
    <s v="SEMANA 5"/>
    <n v="27"/>
    <x v="0"/>
    <s v="Alcibiades G. Quintas"/>
    <s v="Mamão Bahia"/>
    <s v="kg"/>
    <n v="2"/>
    <n v="2.8"/>
    <n v="5.6"/>
  </r>
  <r>
    <s v="Março"/>
    <s v="SEMANA 5"/>
    <n v="27"/>
    <x v="0"/>
    <s v="Alcibiades G. Quintas"/>
    <s v="Melão Orange"/>
    <s v="kg"/>
    <n v="2"/>
    <n v="4.8"/>
    <n v="9.6"/>
  </r>
  <r>
    <s v="Março"/>
    <s v="SEMANA 5"/>
    <n v="27"/>
    <x v="0"/>
    <s v="Umehara"/>
    <s v="Acelga"/>
    <s v="kg"/>
    <n v="1"/>
    <n v="2.25"/>
    <n v="2.25"/>
  </r>
  <r>
    <s v="Março"/>
    <s v="SEMANA 5"/>
    <n v="27"/>
    <x v="0"/>
    <s v="Umehara"/>
    <s v="Alface crespa"/>
    <s v="kg"/>
    <n v="0.84"/>
    <n v="4.7619047619047619"/>
    <n v="4"/>
  </r>
  <r>
    <s v="Março"/>
    <s v="SEMANA 5"/>
    <n v="27"/>
    <x v="0"/>
    <s v="Umehara"/>
    <s v="Banana da Terra"/>
    <s v="kg"/>
    <n v="6"/>
    <n v="2.8"/>
    <n v="16.799999999999997"/>
  </r>
  <r>
    <s v="Março"/>
    <s v="SEMANA 5"/>
    <n v="27"/>
    <x v="0"/>
    <s v="Umehara"/>
    <s v="Batata HBT"/>
    <s v="kg"/>
    <n v="25"/>
    <n v="1.59"/>
    <n v="39.75"/>
  </r>
  <r>
    <s v="Março"/>
    <s v="SEMANA 5"/>
    <n v="27"/>
    <x v="0"/>
    <s v="Umehara"/>
    <s v="Chicória"/>
    <s v="kg"/>
    <n v="2.4"/>
    <n v="3.9"/>
    <n v="9.36"/>
  </r>
  <r>
    <s v="Março"/>
    <s v="SEMANA 5"/>
    <n v="27"/>
    <x v="0"/>
    <s v="Umehara"/>
    <s v="Côco Verde"/>
    <s v="unid"/>
    <n v="15"/>
    <n v="2.4500000000000002"/>
    <n v="36.75"/>
  </r>
  <r>
    <s v="Março"/>
    <s v="SEMANA 5"/>
    <n v="27"/>
    <x v="0"/>
    <s v="Umehara"/>
    <s v="Goiaba"/>
    <s v="kg"/>
    <n v="2.6"/>
    <n v="2.3076923076923075"/>
    <n v="6"/>
  </r>
  <r>
    <s v="Março"/>
    <s v="SEMANA 5"/>
    <n v="27"/>
    <x v="0"/>
    <s v="Umehara"/>
    <s v="Limão Siciliano"/>
    <s v="kg"/>
    <n v="1"/>
    <n v="7.5"/>
    <n v="7.5"/>
  </r>
  <r>
    <s v="Março"/>
    <s v="SEMANA 5"/>
    <n v="27"/>
    <x v="0"/>
    <s v="Umehara"/>
    <s v="Rúcula"/>
    <s v="kg"/>
    <n v="2"/>
    <n v="4.9000000000000004"/>
    <n v="9.8000000000000007"/>
  </r>
  <r>
    <s v="Março"/>
    <s v="SEMANA 5"/>
    <n v="27"/>
    <x v="0"/>
    <s v="Cheiro Verde"/>
    <s v="Abacate "/>
    <s v="kg"/>
    <m/>
    <m/>
    <n v="0"/>
  </r>
  <r>
    <s v="Março"/>
    <s v="SEMANA 5"/>
    <n v="27"/>
    <x v="0"/>
    <s v="Cheiro Verde"/>
    <s v="Abobora Japonesa"/>
    <s v="kg"/>
    <n v="8"/>
    <n v="2.6"/>
    <n v="20.8"/>
  </r>
  <r>
    <s v="Março"/>
    <s v="SEMANA 5"/>
    <n v="27"/>
    <x v="0"/>
    <s v="Cheiro Verde"/>
    <s v="Alface Americana    "/>
    <s v="kg"/>
    <m/>
    <m/>
    <n v="0"/>
  </r>
  <r>
    <s v="Março"/>
    <s v="SEMANA 5"/>
    <n v="27"/>
    <x v="0"/>
    <s v="Cheiro Verde"/>
    <s v="Alface crespa"/>
    <s v="kg"/>
    <n v="1.1000000000000001"/>
    <n v="4.7272727272727266"/>
    <n v="5.1999999999999993"/>
  </r>
  <r>
    <s v="Março"/>
    <s v="SEMANA 5"/>
    <n v="27"/>
    <x v="0"/>
    <s v="Cheiro Verde"/>
    <s v="Cenoura"/>
    <s v="kg"/>
    <n v="15.78"/>
    <n v="4.1191381495564006"/>
    <n v="65"/>
  </r>
  <r>
    <s v="Março"/>
    <s v="SEMANA 5"/>
    <n v="27"/>
    <x v="0"/>
    <s v="Cheiro Verde"/>
    <s v="Manga Tommy"/>
    <s v="kg"/>
    <m/>
    <m/>
    <n v="0"/>
  </r>
  <r>
    <s v="Março"/>
    <s v="SEMANA 5"/>
    <n v="27"/>
    <x v="0"/>
    <s v="Cheiro Verde"/>
    <s v="Pepino Japonês"/>
    <s v="kg"/>
    <m/>
    <m/>
    <n v="0"/>
  </r>
  <r>
    <s v="Março"/>
    <s v="SEMANA 5"/>
    <n v="27"/>
    <x v="0"/>
    <s v="Rioaves"/>
    <s v="Ovo de Codorna"/>
    <s v="pcte"/>
    <n v="17"/>
    <n v="10.6"/>
    <n v="180.2"/>
  </r>
  <r>
    <s v="Março"/>
    <s v="SEMANA 5"/>
    <n v="27"/>
    <x v="0"/>
    <s v="Super Mercado Zonasul"/>
    <s v="Salsa"/>
    <s v="kg"/>
    <n v="0.28000000000000003"/>
    <n v="24.535714285714285"/>
    <n v="6.87"/>
  </r>
  <r>
    <s v="Março"/>
    <s v="SEMANA 5"/>
    <n v="27"/>
    <x v="0"/>
    <s v="Super Mercado Zonasul"/>
    <s v="Hortelã"/>
    <s v="kg"/>
    <n v="0.3"/>
    <n v="38.166666666666664"/>
    <n v="11.45"/>
  </r>
  <r>
    <s v="Março"/>
    <s v="SEMANA 5"/>
    <n v="27"/>
    <x v="1"/>
    <s v="Mercadinho Bambina"/>
    <s v="Tapioca Granulada "/>
    <s v="kg"/>
    <n v="2"/>
    <n v="11"/>
    <n v="22"/>
  </r>
  <r>
    <s v="Março"/>
    <s v="SEMANA 5"/>
    <n v="27"/>
    <x v="0"/>
    <s v="Mercadinho Bambina"/>
    <s v="Banana D'Água"/>
    <s v="kg"/>
    <n v="2.09"/>
    <n v="3.75"/>
    <n v="7.8374999999999995"/>
  </r>
  <r>
    <s v="Março"/>
    <s v="SEMANA 5"/>
    <n v="27"/>
    <x v="1"/>
    <s v="Mercadinho Bambina"/>
    <s v="Pão Árabe"/>
    <s v="pcte"/>
    <n v="3"/>
    <n v="6.7"/>
    <n v="20.100000000000001"/>
  </r>
  <r>
    <s v="Março"/>
    <s v="SEMANA 5"/>
    <n v="27"/>
    <x v="1"/>
    <s v="Mercadinho Bambina"/>
    <s v="Pão Francês"/>
    <s v="kg"/>
    <n v="0.14000000000000001"/>
    <n v="13.98"/>
    <n v="1.9572000000000003"/>
  </r>
  <r>
    <s v="Março"/>
    <s v="SEMANA 5"/>
    <n v="27"/>
    <x v="0"/>
    <s v="Mercadinho Bambina"/>
    <s v="Pepino Japonês"/>
    <s v="kg"/>
    <n v="2.9510000000000001"/>
    <n v="4.6500000000000004"/>
    <n v="13.722150000000001"/>
  </r>
  <r>
    <s v="Março"/>
    <s v="SEMANA 5"/>
    <n v="27"/>
    <x v="1"/>
    <s v="Mercadinho Bambina"/>
    <s v="Aroma de Baunilha 30ml"/>
    <s v="unid"/>
    <n v="1"/>
    <n v="7.8"/>
    <n v="7.8"/>
  </r>
  <r>
    <s v="Março"/>
    <s v="SEMANA 5"/>
    <n v="27"/>
    <x v="0"/>
    <s v="Super Mercado Zonasul"/>
    <s v="Pepino Japonês"/>
    <s v="kg"/>
    <n v="2.8650000000000002"/>
    <n v="4.99"/>
    <n v="14.296350000000002"/>
  </r>
  <r>
    <s v="Março"/>
    <s v="SEMANA 5"/>
    <n v="27"/>
    <x v="2"/>
    <s v="Peixaria Só Peixe"/>
    <s v="Pescados - Atum Fresco"/>
    <s v="kg"/>
    <n v="58"/>
    <n v="14.9"/>
    <n v="864.2"/>
  </r>
  <r>
    <s v="Março"/>
    <s v="SEMANA 3"/>
    <n v="17"/>
    <x v="1"/>
    <s v="Wah Sin"/>
    <s v="Folha de Alga 50F (cozinha)"/>
    <s v="pcte"/>
    <n v="1"/>
    <n v="29"/>
    <n v="29"/>
  </r>
  <r>
    <s v="Março"/>
    <s v="SEMANA 5"/>
    <n v="28"/>
    <x v="1"/>
    <s v="Top Alto"/>
    <s v="Azeitona Verde Fatiada Bd 2 kg"/>
    <s v="bd"/>
    <n v="1"/>
    <n v="24.98"/>
    <n v="0"/>
  </r>
  <r>
    <s v="Março"/>
    <s v="SEMANA 5"/>
    <n v="28"/>
    <x v="5"/>
    <s v="Top Alto"/>
    <s v="Queijo Parmezon"/>
    <s v="kg"/>
    <n v="5.4"/>
    <n v="23.7"/>
    <n v="127.98"/>
  </r>
  <r>
    <s v="Março"/>
    <s v="SEMANA 5"/>
    <n v="28"/>
    <x v="2"/>
    <s v="Top Alto"/>
    <s v="Presunto Cozido"/>
    <s v="kg"/>
    <m/>
    <m/>
    <n v="0"/>
  </r>
  <r>
    <s v="Março"/>
    <s v="SEMANA 5"/>
    <n v="28"/>
    <x v="5"/>
    <s v="Top Alto"/>
    <s v="Queijo Minas Padrão"/>
    <s v="kg"/>
    <n v="8.5399999999999991"/>
    <n v="30.5"/>
    <n v="260.46999999999997"/>
  </r>
  <r>
    <s v="Março"/>
    <s v="SEMANA 5"/>
    <n v="28"/>
    <x v="5"/>
    <s v="Top Alto"/>
    <s v="Queijo Mussarela"/>
    <s v="kg"/>
    <n v="8"/>
    <n v="17.54"/>
    <n v="140.32"/>
  </r>
  <r>
    <s v="Março"/>
    <s v="SEMANA 5"/>
    <n v="28"/>
    <x v="1"/>
    <s v="Top Alto"/>
    <s v="Trigo para Kibe"/>
    <s v="kg"/>
    <n v="5"/>
    <n v="4.49"/>
    <n v="22.450000000000003"/>
  </r>
  <r>
    <s v="Março"/>
    <s v="SEMANA 5"/>
    <n v="28"/>
    <x v="1"/>
    <s v="CDI"/>
    <s v="Açucar Refinado"/>
    <s v="kg"/>
    <n v="20"/>
    <n v="1.9850000000000001"/>
    <n v="39.700000000000003"/>
  </r>
  <r>
    <s v="Março"/>
    <s v="SEMANA 5"/>
    <n v="28"/>
    <x v="1"/>
    <s v="CDI"/>
    <s v="Arroz Branco"/>
    <s v="kg"/>
    <n v="25"/>
    <n v="3.2880000000000003"/>
    <n v="82.2"/>
  </r>
  <r>
    <s v="Março"/>
    <s v="SEMANA 5"/>
    <n v="28"/>
    <x v="1"/>
    <s v="CDI"/>
    <s v="Farinha de Trigo"/>
    <s v="kg"/>
    <n v="20"/>
    <n v="1.6839999999999999"/>
    <n v="33.68"/>
  </r>
  <r>
    <s v="Março"/>
    <s v="SEMANA 5"/>
    <n v="28"/>
    <x v="1"/>
    <s v="CDI"/>
    <s v="Feijão Mulatinho"/>
    <s v="kg"/>
    <n v="5"/>
    <n v="9.6999999999999993"/>
    <n v="48.5"/>
  </r>
  <r>
    <s v="Março"/>
    <s v="SEMANA 5"/>
    <n v="28"/>
    <x v="1"/>
    <s v="CDI"/>
    <s v="Feijão Preto"/>
    <s v="kg"/>
    <n v="10"/>
    <n v="4.25"/>
    <n v="42.5"/>
  </r>
  <r>
    <s v="Março"/>
    <s v="SEMANA 5"/>
    <n v="28"/>
    <x v="1"/>
    <s v="CDI"/>
    <s v="Grão de Bico"/>
    <s v="kg"/>
    <n v="10"/>
    <n v="15.3"/>
    <n v="153"/>
  </r>
  <r>
    <s v="Março"/>
    <s v="SEMANA 5"/>
    <n v="28"/>
    <x v="1"/>
    <s v="CDI"/>
    <s v="Lentilha"/>
    <s v="kg"/>
    <n v="5"/>
    <n v="10.1"/>
    <n v="50.5"/>
  </r>
  <r>
    <s v="Março"/>
    <s v="SEMANA 5"/>
    <n v="28"/>
    <x v="1"/>
    <s v="Rio Quality"/>
    <s v="Leite Integral"/>
    <s v="lt"/>
    <n v="36"/>
    <n v="3.3175000000000003"/>
    <n v="119.43"/>
  </r>
  <r>
    <s v="Março"/>
    <s v="SEMANA 5"/>
    <n v="28"/>
    <x v="1"/>
    <s v="Rio Quality"/>
    <s v="Óleo Composto 500ml"/>
    <s v="unid"/>
    <n v="12"/>
    <n v="3.4308333333333336"/>
    <n v="41.17"/>
  </r>
  <r>
    <s v="Março"/>
    <s v="SEMANA 5"/>
    <n v="28"/>
    <x v="1"/>
    <s v="Rio Quality"/>
    <s v="Óleo de Soja 18 Lt"/>
    <s v="bag"/>
    <n v="3"/>
    <n v="61.5"/>
    <n v="184.5"/>
  </r>
  <r>
    <s v="Março"/>
    <s v="SEMANA 5"/>
    <n v="28"/>
    <x v="1"/>
    <s v="Rio Quality"/>
    <s v="Sal Refinado"/>
    <s v="kg"/>
    <n v="10"/>
    <n v="1.365"/>
    <n v="13.65"/>
  </r>
  <r>
    <s v="Março"/>
    <s v="SEMANA 5"/>
    <n v="28"/>
    <x v="1"/>
    <s v="Rio Quality"/>
    <s v="Maisena Amido de Milho 1 Kg"/>
    <s v="kg"/>
    <n v="3"/>
    <n v="3.3"/>
    <n v="9.8999999999999986"/>
  </r>
  <r>
    <s v="Março"/>
    <s v="SEMANA 5"/>
    <n v="28"/>
    <x v="1"/>
    <s v="Rio Quality"/>
    <s v="Macarrão Espaghetti Nissim"/>
    <s v="kg"/>
    <n v="1"/>
    <n v="10.24"/>
    <n v="10.24"/>
  </r>
  <r>
    <s v="Março"/>
    <s v="SEMANA 5"/>
    <n v="26"/>
    <x v="1"/>
    <s v="Orfeu"/>
    <s v="Café em Grão "/>
    <s v="kg"/>
    <n v="3"/>
    <m/>
    <n v="0"/>
  </r>
  <r>
    <s v="Março"/>
    <s v="SEMANA 5"/>
    <n v="28"/>
    <x v="2"/>
    <s v="Marfrig"/>
    <s v="Carne Bovina - Peito"/>
    <s v="kg"/>
    <n v="22.419"/>
    <n v="10.051"/>
    <n v="225.333369"/>
  </r>
  <r>
    <s v="Março"/>
    <s v="SEMANA 5"/>
    <n v="27"/>
    <x v="1"/>
    <s v="Mercearia Fuji"/>
    <s v="Tonkatsu Bb 5 Lt"/>
    <s v="bb"/>
    <n v="2"/>
    <n v="40"/>
    <n v="80"/>
  </r>
  <r>
    <s v="Março"/>
    <s v="SEMANA 5"/>
    <n v="27"/>
    <x v="1"/>
    <s v="Mercearia Fuji"/>
    <s v="Macarrão de Feijão (Harusame) 200g"/>
    <s v="pcte"/>
    <n v="10"/>
    <n v="11.5"/>
    <n v="115"/>
  </r>
  <r>
    <s v="Março"/>
    <s v="SEMANA 5"/>
    <n v="27"/>
    <x v="8"/>
    <s v="Mercearia Fuji"/>
    <s v="Espetinho 15 cm c/ 100"/>
    <s v="pcte"/>
    <n v="15"/>
    <n v="4"/>
    <n v="60"/>
  </r>
  <r>
    <s v="Março"/>
    <s v="SEMANA 5"/>
    <n v="28"/>
    <x v="2"/>
    <s v="Aurora"/>
    <s v="Suíno - Barriga Suína"/>
    <s v="kg"/>
    <n v="20"/>
    <n v="10.940000000000001"/>
    <n v="218.8"/>
  </r>
  <r>
    <s v="Março"/>
    <s v="SEMANA 5"/>
    <n v="28"/>
    <x v="2"/>
    <s v="Mar e Terra"/>
    <s v="Pescados - Filé Tilápia Cong."/>
    <s v="kg"/>
    <n v="24"/>
    <n v="26.3"/>
    <n v="631.20000000000005"/>
  </r>
  <r>
    <s v="Março"/>
    <s v="SEMANA 5"/>
    <n v="28"/>
    <x v="1"/>
    <s v="Planeta Gelo"/>
    <s v="Gelo em Escamas"/>
    <s v="saco"/>
    <n v="2"/>
    <n v="7.5"/>
    <n v="15"/>
  </r>
  <r>
    <s v="Março"/>
    <s v="SEMANA 5"/>
    <n v="28"/>
    <x v="1"/>
    <s v="Planeta Gelo"/>
    <s v="Gelo em Cubo"/>
    <s v="saco"/>
    <n v="3"/>
    <n v="7.5"/>
    <n v="22.5"/>
  </r>
  <r>
    <s v="Março"/>
    <s v="SEMANA 5"/>
    <n v="28"/>
    <x v="2"/>
    <s v="Frigorifico Jahu"/>
    <s v="Pescados - Lula Calamares"/>
    <s v="kg"/>
    <n v="10"/>
    <n v="27.9"/>
    <n v="279"/>
  </r>
  <r>
    <s v="Março"/>
    <s v="SEMANA 5"/>
    <n v="28"/>
    <x v="2"/>
    <s v="Top Alto"/>
    <s v="Carnes - File de Costela (Noix)"/>
    <s v="kg"/>
    <n v="38.56"/>
    <n v="23.8"/>
    <n v="917.72800000000007"/>
  </r>
  <r>
    <s v="Março"/>
    <s v="SEMANA 5"/>
    <n v="28"/>
    <x v="0"/>
    <s v="Umehara"/>
    <s v="Abacaxi "/>
    <s v="kg"/>
    <n v="10"/>
    <n v="3.25"/>
    <n v="32.5"/>
  </r>
  <r>
    <s v="Março"/>
    <s v="SEMANA 5"/>
    <n v="28"/>
    <x v="0"/>
    <s v="Umehara"/>
    <s v="Abobora"/>
    <s v="kg"/>
    <n v="5"/>
    <n v="1.99"/>
    <n v="9.9499999999999993"/>
  </r>
  <r>
    <s v="Março"/>
    <s v="SEMANA 5"/>
    <n v="28"/>
    <x v="0"/>
    <s v="Umehara"/>
    <s v="Acelga"/>
    <s v="kg"/>
    <n v="1"/>
    <n v="2.25"/>
    <n v="2.25"/>
  </r>
  <r>
    <s v="Março"/>
    <s v="SEMANA 5"/>
    <n v="28"/>
    <x v="0"/>
    <s v="Umehara"/>
    <s v="Cebola"/>
    <s v="kg"/>
    <n v="19.82"/>
    <n v="2.3461150353178608"/>
    <n v="46.5"/>
  </r>
  <r>
    <s v="Março"/>
    <s v="SEMANA 5"/>
    <n v="28"/>
    <x v="0"/>
    <s v="Umehara"/>
    <s v="Chicória"/>
    <s v="kg"/>
    <n v="1.5"/>
    <n v="3.9"/>
    <n v="5.85"/>
  </r>
  <r>
    <s v="Março"/>
    <s v="SEMANA 5"/>
    <n v="28"/>
    <x v="0"/>
    <s v="Umehara"/>
    <s v="Chuchu"/>
    <s v="kg"/>
    <n v="16.96"/>
    <n v="0.88443396226415094"/>
    <n v="15"/>
  </r>
  <r>
    <s v="Março"/>
    <s v="SEMANA 5"/>
    <n v="28"/>
    <x v="0"/>
    <s v="Umehara"/>
    <s v="Côco Verde"/>
    <s v="unid"/>
    <n v="15"/>
    <n v="2.4500000000000002"/>
    <n v="36.75"/>
  </r>
  <r>
    <s v="Março"/>
    <s v="SEMANA 5"/>
    <n v="28"/>
    <x v="0"/>
    <s v="Umehara"/>
    <s v="Couve Flor"/>
    <s v="kg"/>
    <n v="6"/>
    <n v="6"/>
    <n v="36"/>
  </r>
  <r>
    <s v="Março"/>
    <s v="SEMANA 5"/>
    <n v="28"/>
    <x v="0"/>
    <s v="Umehara"/>
    <s v="Kiwi"/>
    <s v="kg"/>
    <n v="0.5"/>
    <n v="11.5"/>
    <n v="5.75"/>
  </r>
  <r>
    <s v="Março"/>
    <s v="SEMANA 5"/>
    <n v="28"/>
    <x v="0"/>
    <s v="Umehara"/>
    <s v="Melância"/>
    <s v="kg"/>
    <n v="10"/>
    <n v="1.52"/>
    <n v="15.2"/>
  </r>
  <r>
    <s v="Março"/>
    <s v="SEMANA 5"/>
    <n v="28"/>
    <x v="0"/>
    <s v="Umehara"/>
    <s v="Rúcula"/>
    <s v="kg"/>
    <n v="3"/>
    <n v="8"/>
    <n v="24"/>
  </r>
  <r>
    <s v="Março"/>
    <s v="SEMANA 5"/>
    <n v="28"/>
    <x v="6"/>
    <s v="Umehara"/>
    <s v="Salsa Crespa Sushi"/>
    <s v="kg"/>
    <n v="0.1"/>
    <n v="13"/>
    <n v="1.3"/>
  </r>
  <r>
    <s v="Março"/>
    <s v="SEMANA 5"/>
    <n v="28"/>
    <x v="5"/>
    <s v="Laticinios Alhambra"/>
    <s v="Creme de Leite Culinário 20% Bd 10 Lt"/>
    <s v="bd"/>
    <n v="2"/>
    <n v="142.44999999999999"/>
    <n v="284.89999999999998"/>
  </r>
  <r>
    <s v="Março"/>
    <s v="SEMANA 5"/>
    <n v="28"/>
    <x v="5"/>
    <s v="Laticinios Alhambra"/>
    <s v="Queijo Requeijão BD 3,6 Kg"/>
    <s v="bd"/>
    <n v="1"/>
    <n v="74.400000000000006"/>
    <n v="74.400000000000006"/>
  </r>
  <r>
    <s v="Março"/>
    <s v="SEMANA 5"/>
    <n v="28"/>
    <x v="0"/>
    <s v="Alcibiades G. Quintas"/>
    <s v="Abobrinha "/>
    <s v="kg"/>
    <n v="16.2"/>
    <n v="2.4691358024691361"/>
    <n v="40"/>
  </r>
  <r>
    <s v="Março"/>
    <s v="SEMANA 5"/>
    <n v="28"/>
    <x v="0"/>
    <s v="Alcibiades G. Quintas"/>
    <s v="Batata Doce"/>
    <s v="kg"/>
    <n v="19.96"/>
    <n v="1.8036072144288577"/>
    <n v="36"/>
  </r>
  <r>
    <s v="Março"/>
    <s v="SEMANA 5"/>
    <n v="28"/>
    <x v="0"/>
    <s v="Alcibiades G. Quintas"/>
    <s v="Batata Calabresa"/>
    <s v="kg"/>
    <n v="3"/>
    <n v="4"/>
    <n v="12"/>
  </r>
  <r>
    <s v="Março"/>
    <s v="SEMANA 5"/>
    <n v="28"/>
    <x v="0"/>
    <s v="Alcibiades G. Quintas"/>
    <s v="Berinjela"/>
    <s v="kg"/>
    <n v="11"/>
    <n v="1.6363636363636365"/>
    <n v="18"/>
  </r>
  <r>
    <s v="Março"/>
    <s v="SEMANA 5"/>
    <n v="28"/>
    <x v="0"/>
    <s v="Alcibiades G. Quintas"/>
    <s v="Cebola Roxa"/>
    <s v="kg"/>
    <n v="3"/>
    <n v="4"/>
    <n v="12"/>
  </r>
  <r>
    <s v="Março"/>
    <s v="SEMANA 5"/>
    <n v="28"/>
    <x v="0"/>
    <s v="Alcibiades G. Quintas"/>
    <s v="Pepino Japonês"/>
    <s v="kg"/>
    <n v="17.739999999999998"/>
    <n v="2.5366403607666292"/>
    <n v="45"/>
  </r>
  <r>
    <s v="Março"/>
    <s v="SEMANA 5"/>
    <n v="28"/>
    <x v="0"/>
    <s v="Alcibiades G. Quintas"/>
    <s v="Pimentão Verde"/>
    <s v="kg"/>
    <n v="1"/>
    <n v="4"/>
    <n v="4"/>
  </r>
  <r>
    <s v="Março"/>
    <s v="SEMANA 5"/>
    <n v="28"/>
    <x v="0"/>
    <s v="Alcibiades G. Quintas"/>
    <s v="Tomate Cereja"/>
    <s v="kg"/>
    <n v="3"/>
    <n v="7"/>
    <n v="21"/>
  </r>
  <r>
    <s v="Março"/>
    <s v="SEMANA 5"/>
    <n v="28"/>
    <x v="0"/>
    <s v="Alcibiades G. Quintas"/>
    <s v="Vagem Macarrão"/>
    <s v="kg"/>
    <n v="2.5"/>
    <n v="8"/>
    <n v="20"/>
  </r>
  <r>
    <s v="Março"/>
    <s v="SEMANA 5"/>
    <n v="28"/>
    <x v="0"/>
    <s v="Alcibiades G. Quintas"/>
    <s v="Aipo"/>
    <s v="kg"/>
    <n v="1"/>
    <n v="4"/>
    <n v="4"/>
  </r>
  <r>
    <s v="Março"/>
    <s v="SEMANA 5"/>
    <n v="28"/>
    <x v="0"/>
    <s v="Alcibiades G. Quintas"/>
    <s v="Alface Americana    "/>
    <s v="kg"/>
    <n v="5.44"/>
    <n v="8.8235294117647047"/>
    <n v="48"/>
  </r>
  <r>
    <s v="Março"/>
    <s v="SEMANA 5"/>
    <n v="28"/>
    <x v="0"/>
    <s v="Alcibiades G. Quintas"/>
    <s v="Alface crespa"/>
    <s v="kg"/>
    <n v="1.18"/>
    <n v="10.16949152542373"/>
    <n v="12.000000000000002"/>
  </r>
  <r>
    <s v="Março"/>
    <s v="SEMANA 5"/>
    <n v="28"/>
    <x v="0"/>
    <s v="Alcibiades G. Quintas"/>
    <s v="Alface Roxa"/>
    <s v="kg"/>
    <n v="0.44"/>
    <n v="13.636363636363637"/>
    <n v="6"/>
  </r>
  <r>
    <s v="Março"/>
    <s v="SEMANA 5"/>
    <n v="28"/>
    <x v="0"/>
    <s v="Alcibiades G. Quintas"/>
    <s v="Alho Poró "/>
    <s v="kg"/>
    <n v="1"/>
    <n v="9"/>
    <n v="9"/>
  </r>
  <r>
    <s v="Março"/>
    <s v="SEMANA 5"/>
    <n v="28"/>
    <x v="0"/>
    <s v="Alcibiades G. Quintas"/>
    <s v="Brócolis Americano"/>
    <s v="kg"/>
    <n v="3"/>
    <n v="12"/>
    <n v="36"/>
  </r>
  <r>
    <s v="Março"/>
    <s v="SEMANA 5"/>
    <n v="28"/>
    <x v="0"/>
    <s v="Alcibiades G. Quintas"/>
    <s v="Cebolinha Verde"/>
    <s v="kg"/>
    <n v="0.5"/>
    <n v="7"/>
    <n v="3.5"/>
  </r>
  <r>
    <s v="Março"/>
    <s v="SEMANA 5"/>
    <n v="28"/>
    <x v="0"/>
    <s v="Alcibiades G. Quintas"/>
    <s v="Coentro"/>
    <s v="kg"/>
    <n v="0.3"/>
    <n v="25"/>
    <n v="7.5"/>
  </r>
  <r>
    <s v="Março"/>
    <s v="SEMANA 5"/>
    <n v="28"/>
    <x v="0"/>
    <s v="Alcibiades G. Quintas"/>
    <s v="Espinafre"/>
    <s v="kg"/>
    <n v="3"/>
    <n v="6"/>
    <n v="18"/>
  </r>
  <r>
    <s v="Março"/>
    <s v="SEMANA 5"/>
    <n v="28"/>
    <x v="0"/>
    <s v="Alcibiades G. Quintas"/>
    <s v="Hortelã"/>
    <s v="kg"/>
    <n v="0.3"/>
    <n v="4"/>
    <n v="1.2"/>
  </r>
  <r>
    <s v="Março"/>
    <s v="SEMANA 5"/>
    <n v="28"/>
    <x v="6"/>
    <s v="Alcibiades G. Quintas"/>
    <s v="Nabo Japonês Sushi"/>
    <s v="kg"/>
    <n v="1"/>
    <n v="7"/>
    <n v="7"/>
  </r>
  <r>
    <s v="Março"/>
    <s v="SEMANA 5"/>
    <n v="28"/>
    <x v="0"/>
    <s v="Alcibiades G. Quintas"/>
    <s v="Broto de Feijão"/>
    <s v="kg"/>
    <n v="3"/>
    <n v="14"/>
    <n v="42"/>
  </r>
  <r>
    <s v="Março"/>
    <s v="SEMANA 5"/>
    <n v="28"/>
    <x v="0"/>
    <s v="Alcibiades G. Quintas"/>
    <s v="Abacate "/>
    <s v="kg"/>
    <n v="8"/>
    <n v="6"/>
    <n v="48"/>
  </r>
  <r>
    <s v="Março"/>
    <s v="SEMANA 5"/>
    <n v="28"/>
    <x v="0"/>
    <s v="Alcibiades G. Quintas"/>
    <s v="Laranja Pera"/>
    <s v="kg"/>
    <n v="20.54"/>
    <n v="1.7039922103213243"/>
    <n v="35"/>
  </r>
  <r>
    <s v="Março"/>
    <s v="SEMANA 5"/>
    <n v="28"/>
    <x v="0"/>
    <s v="Alcibiades G. Quintas"/>
    <s v="Manga Palmer"/>
    <s v="kg"/>
    <n v="7"/>
    <n v="3.5714285714285716"/>
    <n v="25"/>
  </r>
  <r>
    <s v="Março"/>
    <s v="SEMANA 5"/>
    <n v="28"/>
    <x v="6"/>
    <s v="Alcibiades G. Quintas"/>
    <s v="Abacate Sushi"/>
    <s v="kg"/>
    <n v="1"/>
    <n v="6"/>
    <n v="6"/>
  </r>
  <r>
    <s v="Março"/>
    <s v="SEMANA 4"/>
    <n v="20"/>
    <x v="5"/>
    <s v="Top Alto"/>
    <s v="Cream Cheese"/>
    <s v="kg"/>
    <n v="1.5"/>
    <n v="20.329999999999998"/>
    <n v="30.494999999999997"/>
  </r>
  <r>
    <s v="Março"/>
    <s v="SEMANA 5"/>
    <n v="28"/>
    <x v="1"/>
    <s v="Casas Pedro"/>
    <s v="Girassol s/ Casca"/>
    <s v="kg"/>
    <n v="1.012"/>
    <n v="19.600000000000001"/>
    <n v="19.8352"/>
  </r>
  <r>
    <s v="Março"/>
    <s v="SEMANA 5"/>
    <n v="28"/>
    <x v="5"/>
    <s v="Agropart"/>
    <s v="Queijo Mozzarela Italiana pcte 880 gr"/>
    <s v="kg"/>
    <n v="4.4000000000000004"/>
    <n v="43.81818181818182"/>
    <n v="192.8"/>
  </r>
  <r>
    <s v="Março"/>
    <s v="SEMANA 5"/>
    <n v="29"/>
    <x v="0"/>
    <s v="Feira"/>
    <s v="Aipim"/>
    <s v="kg"/>
    <n v="20"/>
    <n v="5"/>
    <n v="100"/>
  </r>
  <r>
    <s v="Março"/>
    <s v="SEMANA 5"/>
    <n v="29"/>
    <x v="0"/>
    <s v="Hortifrut São Clemente"/>
    <s v="Alface Americana    "/>
    <s v="kg"/>
    <n v="2.9"/>
    <n v="8.8275862068965516"/>
    <n v="25.599999999999998"/>
  </r>
  <r>
    <s v="Março"/>
    <s v="SEMANA 5"/>
    <n v="29"/>
    <x v="0"/>
    <s v="Super Mercado Zonasul"/>
    <s v="Salsa"/>
    <s v="kg"/>
    <n v="0.7"/>
    <n v="35.985714285714288"/>
    <n v="25.19"/>
  </r>
  <r>
    <s v="Março"/>
    <s v="SEMANA 5"/>
    <n v="29"/>
    <x v="0"/>
    <s v="Super Mercado Zonasul"/>
    <s v="Manjericão"/>
    <s v="kg"/>
    <n v="0.32"/>
    <n v="18.6875"/>
    <n v="5.98"/>
  </r>
  <r>
    <s v="Março"/>
    <s v="SEMANA 5"/>
    <n v="29"/>
    <x v="1"/>
    <s v="Mercadinho Bambina"/>
    <s v="Pão de Forma"/>
    <s v="pcte"/>
    <n v="2"/>
    <n v="4.8899999999999997"/>
    <n v="9.7799999999999994"/>
  </r>
  <r>
    <s v="Março"/>
    <s v="SEMANA 5"/>
    <n v="29"/>
    <x v="1"/>
    <s v="Planeta Gelo"/>
    <s v="Gelo em Escamas"/>
    <s v="saco"/>
    <n v="2"/>
    <n v="7.5"/>
    <n v="15"/>
  </r>
  <r>
    <s v="Março"/>
    <s v="SEMANA 5"/>
    <n v="29"/>
    <x v="1"/>
    <s v="Planeta Gelo"/>
    <s v="Gelo em Cubo"/>
    <s v="saco"/>
    <n v="5"/>
    <n v="7.5"/>
    <n v="37.5"/>
  </r>
  <r>
    <s v="Março"/>
    <s v="SEMANA 5"/>
    <n v="29"/>
    <x v="4"/>
    <s v="Minalba"/>
    <s v="Água Mineral com Gás"/>
    <s v="unid"/>
    <n v="60"/>
    <n v="1.3839999999999999"/>
    <n v="83.039999999999992"/>
  </r>
  <r>
    <s v="Março"/>
    <s v="SEMANA 5"/>
    <n v="29"/>
    <x v="4"/>
    <s v="Minalba"/>
    <s v="Água Mineral sem Gás"/>
    <s v="unid"/>
    <n v="60"/>
    <n v="1.3839999999999999"/>
    <n v="83.039999999999992"/>
  </r>
  <r>
    <s v="Março"/>
    <s v="SEMANA 5"/>
    <n v="29"/>
    <x v="2"/>
    <s v="Frigorifico Jahu"/>
    <s v="Pescados - Salmão Inteiro"/>
    <s v="kg"/>
    <n v="30.98"/>
    <n v="29.899899999999999"/>
    <n v="926.298902"/>
  </r>
  <r>
    <s v="Março"/>
    <s v="SEMANA 5"/>
    <n v="29"/>
    <x v="2"/>
    <s v="Frigorifico Jahu"/>
    <s v="Pescados - Camarão IQF Evisc. 51/60"/>
    <s v="kg"/>
    <n v="6"/>
    <n v="69.900000000000006"/>
    <n v="419.40000000000003"/>
  </r>
  <r>
    <s v="Março"/>
    <s v="SEMANA 5"/>
    <n v="29"/>
    <x v="2"/>
    <s v="Peixaria Só Peixe"/>
    <s v="Pescados - Carne de siri"/>
    <s v="kg"/>
    <n v="10"/>
    <n v="22.9"/>
    <n v="229"/>
  </r>
  <r>
    <s v="Março"/>
    <s v="SEMANA 5"/>
    <n v="29"/>
    <x v="2"/>
    <s v="Peixaria Só Peixe"/>
    <s v="Pescados - Dourado Fresco"/>
    <s v="kg"/>
    <n v="19.5"/>
    <n v="19.899999999999999"/>
    <n v="388.04999999999995"/>
  </r>
  <r>
    <s v="Março"/>
    <s v="SEMANA 5"/>
    <n v="29"/>
    <x v="2"/>
    <s v="Reginaves"/>
    <s v="Aves - Filé de Peito de Frango"/>
    <s v="kg"/>
    <n v="48"/>
    <n v="7.8"/>
    <n v="374.4"/>
  </r>
  <r>
    <s v="Março"/>
    <s v="SEMANA 5"/>
    <n v="29"/>
    <x v="2"/>
    <s v="Reginaves"/>
    <s v="Aves - Filé de Coxa"/>
    <s v="kg"/>
    <n v="16.799999999999997"/>
    <n v="8.6999999999999993"/>
    <n v="146.15999999999997"/>
  </r>
  <r>
    <s v="Março"/>
    <s v="SEMANA 5"/>
    <n v="29"/>
    <x v="1"/>
    <s v="Top Alto"/>
    <s v="Batata Palito 9M"/>
    <s v="kg"/>
    <n v="12.5"/>
    <n v="6.58"/>
    <n v="82.25"/>
  </r>
  <r>
    <s v="Março"/>
    <s v="SEMANA 5"/>
    <n v="29"/>
    <x v="6"/>
    <s v="Top Alto"/>
    <s v="Cream Cheese Sushi"/>
    <s v="kg"/>
    <n v="3"/>
    <n v="20.333333333333332"/>
    <n v="61"/>
  </r>
  <r>
    <s v="Março"/>
    <s v="SEMANA 5"/>
    <n v="29"/>
    <x v="5"/>
    <s v="Top Alto"/>
    <s v="Queijo Minas"/>
    <s v="kg"/>
    <n v="2.8"/>
    <n v="15"/>
    <n v="42"/>
  </r>
  <r>
    <s v="Março"/>
    <s v="SEMANA 5"/>
    <n v="29"/>
    <x v="2"/>
    <s v="Marfrig"/>
    <s v="Carne Bovina - Filé Mignon 3/4"/>
    <s v="kg"/>
    <n v="37.945"/>
    <n v="29.489799999999999"/>
    <n v="1118.9904609999999"/>
  </r>
  <r>
    <s v="Março"/>
    <s v="SEMANA 5"/>
    <n v="29"/>
    <x v="5"/>
    <s v="Laticinios Alhambra"/>
    <s v="Creme de Leite Culinário 20% Bd 10 Lt"/>
    <s v="bd"/>
    <n v="2"/>
    <n v="142.44999999999999"/>
    <n v="284.89999999999998"/>
  </r>
  <r>
    <s v="Março"/>
    <s v="SEMANA 5"/>
    <n v="29"/>
    <x v="4"/>
    <s v="CRBS"/>
    <s v="Cerveja Bohemia 600 ml"/>
    <s v="unid"/>
    <n v="24"/>
    <n v="4.3624999999999998"/>
    <n v="104.69999999999999"/>
  </r>
  <r>
    <s v="Março"/>
    <s v="SEMANA 5"/>
    <n v="29"/>
    <x v="4"/>
    <s v="CRBS"/>
    <s v="H2O Limão"/>
    <s v="unid"/>
    <n v="24"/>
    <n v="2.0304166666666665"/>
    <n v="48.73"/>
  </r>
  <r>
    <s v="Março"/>
    <s v="SEMANA 5"/>
    <n v="29"/>
    <x v="4"/>
    <s v="CRBS"/>
    <s v="Cerveja Bohemia Long Neck 355 ml"/>
    <s v="unid"/>
    <n v="24"/>
    <n v="2.842916666666667"/>
    <n v="68.23"/>
  </r>
  <r>
    <s v="Março"/>
    <s v="SEMANA 5"/>
    <n v="29"/>
    <x v="4"/>
    <s v="CRBS"/>
    <s v="Ice Tea Limão"/>
    <s v="unid"/>
    <n v="24"/>
    <n v="2.0054166666666666"/>
    <n v="48.129999999999995"/>
  </r>
  <r>
    <s v="Março"/>
    <s v="SEMANA 5"/>
    <n v="29"/>
    <x v="4"/>
    <s v="CRBS"/>
    <s v="Guaraná Antarctica Zero (lata)"/>
    <s v="unid"/>
    <n v="36"/>
    <n v="1.7127777777777777"/>
    <n v="61.66"/>
  </r>
  <r>
    <s v="Março"/>
    <s v="SEMANA 5"/>
    <n v="29"/>
    <x v="4"/>
    <s v="CRBS"/>
    <s v="Guaraná Antarctica (lata)"/>
    <s v="unid"/>
    <n v="24"/>
    <n v="1.7125000000000001"/>
    <n v="41.1"/>
  </r>
  <r>
    <s v="Março"/>
    <s v="SEMANA 5"/>
    <n v="29"/>
    <x v="0"/>
    <s v="Umehara"/>
    <s v="Batata Baroa"/>
    <s v="kg"/>
    <n v="2"/>
    <n v="5.0999999999999996"/>
    <n v="10.199999999999999"/>
  </r>
  <r>
    <s v="Março"/>
    <s v="SEMANA 5"/>
    <n v="29"/>
    <x v="0"/>
    <s v="Umehara"/>
    <s v="Batata HBT"/>
    <s v="kg"/>
    <n v="25"/>
    <n v="1.59"/>
    <n v="39.75"/>
  </r>
  <r>
    <s v="Março"/>
    <s v="SEMANA 5"/>
    <n v="29"/>
    <x v="0"/>
    <s v="Umehara"/>
    <s v="Côco Verde"/>
    <s v="unid"/>
    <n v="30"/>
    <n v="2.4500000000000002"/>
    <n v="73.5"/>
  </r>
  <r>
    <s v="Março"/>
    <s v="SEMANA 5"/>
    <n v="29"/>
    <x v="0"/>
    <s v="Umehara"/>
    <s v="Couve Flor"/>
    <s v="kg"/>
    <n v="3"/>
    <n v="6"/>
    <n v="18"/>
  </r>
  <r>
    <s v="Março"/>
    <s v="SEMANA 5"/>
    <n v="29"/>
    <x v="0"/>
    <s v="Umehara"/>
    <s v="Limão"/>
    <s v="kg"/>
    <n v="23.18"/>
    <n v="2.0276100086281277"/>
    <n v="47"/>
  </r>
  <r>
    <s v="Março"/>
    <s v="SEMANA 5"/>
    <n v="29"/>
    <x v="0"/>
    <s v="Umehara"/>
    <s v="Maçã Nacional"/>
    <s v="kg"/>
    <n v="17.940000000000001"/>
    <n v="3.3444816053511701"/>
    <n v="59.999999999999993"/>
  </r>
  <r>
    <s v="Março"/>
    <s v="SEMANA 5"/>
    <n v="29"/>
    <x v="0"/>
    <s v="Umehara"/>
    <s v="Manga Tommy"/>
    <s v="kg"/>
    <n v="1.5"/>
    <n v="4.5"/>
    <n v="6.75"/>
  </r>
  <r>
    <s v="Março"/>
    <s v="SEMANA 5"/>
    <n v="29"/>
    <x v="0"/>
    <s v="Umehara"/>
    <s v="Melância"/>
    <s v="kg"/>
    <n v="10"/>
    <n v="1.52"/>
    <n v="15.2"/>
  </r>
  <r>
    <s v="Março"/>
    <s v="SEMANA 5"/>
    <n v="29"/>
    <x v="0"/>
    <s v="Umehara"/>
    <s v="Ovos Extra"/>
    <s v="unid"/>
    <n v="360"/>
    <n v="0.29722222222222222"/>
    <n v="107"/>
  </r>
  <r>
    <s v="Março"/>
    <s v="SEMANA 5"/>
    <n v="29"/>
    <x v="0"/>
    <s v="Umehara"/>
    <s v="Pimentão Amarelo"/>
    <s v="kg"/>
    <n v="2"/>
    <n v="8.5"/>
    <n v="17"/>
  </r>
  <r>
    <s v="Março"/>
    <s v="SEMANA 5"/>
    <n v="29"/>
    <x v="0"/>
    <s v="Umehara"/>
    <s v="Pimentão Vermelho"/>
    <s v="kg"/>
    <n v="2"/>
    <n v="8.5"/>
    <n v="17"/>
  </r>
  <r>
    <s v="Março"/>
    <s v="SEMANA 5"/>
    <n v="29"/>
    <x v="0"/>
    <s v="Umehara"/>
    <s v="Abacaxi "/>
    <s v="kg"/>
    <n v="10"/>
    <n v="3.25"/>
    <n v="32.5"/>
  </r>
  <r>
    <s v="Março"/>
    <s v="SEMANA 5"/>
    <n v="29"/>
    <x v="0"/>
    <s v="Umehara"/>
    <s v="Alface Americana    "/>
    <s v="kg"/>
    <m/>
    <m/>
    <n v="0"/>
  </r>
  <r>
    <s v="Março"/>
    <s v="SEMANA 5"/>
    <n v="29"/>
    <x v="0"/>
    <s v="Umehara"/>
    <s v="Alface crespa"/>
    <s v="kg"/>
    <n v="1.62"/>
    <n v="6.5185185185185182"/>
    <n v="10.56"/>
  </r>
  <r>
    <s v="Março"/>
    <s v="SEMANA 5"/>
    <n v="29"/>
    <x v="0"/>
    <s v="Umehara"/>
    <s v="Alface Roxa"/>
    <s v="kg"/>
    <n v="0.68"/>
    <n v="5.8823529411764701"/>
    <n v="4"/>
  </r>
  <r>
    <s v="Março"/>
    <s v="SEMANA 5"/>
    <n v="29"/>
    <x v="0"/>
    <s v="Umehara"/>
    <s v="Batata Inglesa"/>
    <s v="kg"/>
    <n v="6"/>
    <n v="1.89"/>
    <n v="11.34"/>
  </r>
  <r>
    <s v="Março"/>
    <s v="SEMANA 5"/>
    <n v="29"/>
    <x v="0"/>
    <s v="Umehara"/>
    <s v="Cebola Calabresa"/>
    <s v="kg"/>
    <n v="3"/>
    <n v="2.75"/>
    <n v="8.25"/>
  </r>
  <r>
    <s v="Março"/>
    <s v="SEMANA 5"/>
    <n v="29"/>
    <x v="0"/>
    <s v="Umehara"/>
    <s v="Cebolinha Verde"/>
    <s v="kg"/>
    <n v="0.5"/>
    <n v="9.5"/>
    <n v="4.75"/>
  </r>
  <r>
    <s v="Março"/>
    <s v="SEMANA 5"/>
    <n v="29"/>
    <x v="0"/>
    <s v="Umehara"/>
    <s v="Coentro"/>
    <s v="kg"/>
    <n v="0.3"/>
    <n v="25"/>
    <n v="7.5"/>
  </r>
  <r>
    <s v="Março"/>
    <s v="SEMANA 5"/>
    <n v="29"/>
    <x v="0"/>
    <s v="Umehara"/>
    <s v="Couve Manteiga"/>
    <s v="kg"/>
    <n v="3"/>
    <n v="3.5"/>
    <n v="10.5"/>
  </r>
  <r>
    <s v="Março"/>
    <s v="SEMANA 5"/>
    <n v="29"/>
    <x v="0"/>
    <s v="Umehara"/>
    <s v="Espinafre"/>
    <s v="kg"/>
    <n v="5"/>
    <n v="9.5"/>
    <n v="47.5"/>
  </r>
  <r>
    <s v="Março"/>
    <s v="SEMANA 5"/>
    <n v="29"/>
    <x v="0"/>
    <s v="Umehara"/>
    <s v="Laranja Pera"/>
    <s v="kg"/>
    <n v="20.5"/>
    <n v="1.7317073170731707"/>
    <n v="35.5"/>
  </r>
  <r>
    <s v="Março"/>
    <s v="SEMANA 5"/>
    <n v="29"/>
    <x v="0"/>
    <s v="Umehara"/>
    <s v="Maçã Ácida"/>
    <s v="kg"/>
    <n v="0.5"/>
    <n v="9.9"/>
    <n v="4.95"/>
  </r>
  <r>
    <s v="Março"/>
    <s v="SEMANA 5"/>
    <n v="29"/>
    <x v="0"/>
    <s v="Umehara"/>
    <s v="Mamão Bahia"/>
    <s v="kg"/>
    <n v="3.5"/>
    <n v="5.75"/>
    <n v="20.125"/>
  </r>
  <r>
    <s v="Março"/>
    <s v="SEMANA 5"/>
    <n v="29"/>
    <x v="0"/>
    <s v="Umehara"/>
    <s v="Manga Palmer"/>
    <s v="kg"/>
    <n v="6"/>
    <n v="4.333333333333333"/>
    <n v="26"/>
  </r>
  <r>
    <s v="Março"/>
    <s v="SEMANA 5"/>
    <n v="29"/>
    <x v="0"/>
    <s v="Umehara"/>
    <s v="Pera"/>
    <s v="kg"/>
    <n v="2.9"/>
    <n v="8.75"/>
    <n v="25.375"/>
  </r>
  <r>
    <s v="Março"/>
    <s v="SEMANA 5"/>
    <n v="29"/>
    <x v="0"/>
    <s v="Umehara"/>
    <s v="Pimentão Verde"/>
    <s v="kg"/>
    <n v="1"/>
    <n v="4.6500000000000004"/>
    <n v="4.6500000000000004"/>
  </r>
  <r>
    <s v="Março"/>
    <s v="SEMANA 5"/>
    <n v="29"/>
    <x v="0"/>
    <s v="Umehara"/>
    <s v="Tomate Salada"/>
    <s v="kg"/>
    <n v="17.058"/>
    <n v="3.4001641458553173"/>
    <n v="58"/>
  </r>
  <r>
    <s v="Março"/>
    <s v="SEMANA 5"/>
    <n v="29"/>
    <x v="0"/>
    <s v="Umehara"/>
    <s v="Vagem Macarrão"/>
    <s v="kg"/>
    <n v="1"/>
    <n v="10.9"/>
    <n v="10.9"/>
  </r>
  <r>
    <s v="Março"/>
    <s v="SEMANA 5"/>
    <n v="29"/>
    <x v="0"/>
    <s v="Umehara"/>
    <s v="Rúcula"/>
    <s v="kg"/>
    <n v="2"/>
    <n v="10.5"/>
    <n v="21"/>
  </r>
  <r>
    <s v="Março"/>
    <s v="SEMANA 5"/>
    <n v="29"/>
    <x v="0"/>
    <s v="Batata, o Rei do Alho"/>
    <s v="Alho Descascado"/>
    <s v="kg"/>
    <n v="12"/>
    <n v="13.5"/>
    <n v="162"/>
  </r>
  <r>
    <s v="Março"/>
    <s v="SEMANA 5"/>
    <n v="29"/>
    <x v="6"/>
    <s v="Satiro's"/>
    <s v="Pescados - Atum Fresco Sushi"/>
    <s v="kg"/>
    <n v="30"/>
    <n v="17"/>
    <n v="510"/>
  </r>
  <r>
    <s v="Março"/>
    <s v="SEMANA 5"/>
    <n v="29"/>
    <x v="2"/>
    <s v="Barrinhas"/>
    <s v="Pescados - Bacalhau Salgado"/>
    <s v="kg"/>
    <n v="25"/>
    <n v="54.915200000000006"/>
    <n v="1372.88"/>
  </r>
  <r>
    <s v="Março"/>
    <s v="SEMANA 5"/>
    <m/>
    <x v="11"/>
    <m/>
    <s v="Selecione"/>
    <m/>
    <m/>
    <m/>
    <n v="0"/>
  </r>
  <r>
    <s v="Março"/>
    <s v="SEMANA 5"/>
    <m/>
    <x v="11"/>
    <m/>
    <s v="Selecione"/>
    <m/>
    <m/>
    <m/>
    <n v="0"/>
  </r>
  <r>
    <s v="Março"/>
    <s v="SEMANA 5"/>
    <m/>
    <x v="11"/>
    <m/>
    <s v="Selecione"/>
    <m/>
    <m/>
    <m/>
    <n v="0"/>
  </r>
  <r>
    <s v="Março"/>
    <s v="SEMANA 5"/>
    <m/>
    <x v="11"/>
    <m/>
    <s v="Selecione"/>
    <m/>
    <m/>
    <m/>
    <n v="0"/>
  </r>
  <r>
    <s v="Março"/>
    <s v="SEMANA 5"/>
    <m/>
    <x v="11"/>
    <m/>
    <s v="Selecione"/>
    <m/>
    <m/>
    <m/>
    <n v="0"/>
  </r>
  <r>
    <s v="Março"/>
    <s v="SEMANA 5"/>
    <m/>
    <x v="11"/>
    <m/>
    <s v="Selecione"/>
    <m/>
    <m/>
    <m/>
    <n v="0"/>
  </r>
  <r>
    <s v="Março"/>
    <s v="SEMANA 5"/>
    <m/>
    <x v="11"/>
    <m/>
    <s v="Selecione"/>
    <m/>
    <m/>
    <m/>
    <n v="0"/>
  </r>
  <r>
    <s v="Março"/>
    <s v="SEMANA 5"/>
    <m/>
    <x v="11"/>
    <m/>
    <s v="Selecione"/>
    <m/>
    <m/>
    <m/>
    <n v="0"/>
  </r>
  <r>
    <s v="Março"/>
    <s v="SEMANA 5"/>
    <m/>
    <x v="11"/>
    <m/>
    <s v="Selecione"/>
    <m/>
    <m/>
    <m/>
    <n v="0"/>
  </r>
  <r>
    <s v="Março"/>
    <s v="SEMANA 5"/>
    <m/>
    <x v="11"/>
    <m/>
    <s v="Selecione"/>
    <m/>
    <m/>
    <m/>
    <n v="0"/>
  </r>
  <r>
    <s v="Março"/>
    <s v="SEMANA 5"/>
    <m/>
    <x v="11"/>
    <m/>
    <s v="Selecione"/>
    <m/>
    <m/>
    <m/>
    <n v="0"/>
  </r>
  <r>
    <s v="Março"/>
    <s v="SEMANA 5"/>
    <m/>
    <x v="11"/>
    <m/>
    <s v="Selecione"/>
    <m/>
    <m/>
    <m/>
    <n v="0"/>
  </r>
  <r>
    <s v="Março"/>
    <s v="SEMANA 5"/>
    <m/>
    <x v="11"/>
    <m/>
    <s v="Selecione"/>
    <m/>
    <m/>
    <m/>
    <n v="0"/>
  </r>
  <r>
    <s v="Março"/>
    <s v="SEMANA 5"/>
    <m/>
    <x v="11"/>
    <m/>
    <s v="Selecione"/>
    <m/>
    <m/>
    <m/>
    <n v="0"/>
  </r>
  <r>
    <s v="Março"/>
    <s v="SEMANA 5"/>
    <m/>
    <x v="11"/>
    <m/>
    <s v="Selecione"/>
    <m/>
    <m/>
    <m/>
    <n v="0"/>
  </r>
  <r>
    <s v="Março"/>
    <s v="SEMANA 5"/>
    <m/>
    <x v="11"/>
    <m/>
    <s v="Selecione"/>
    <m/>
    <m/>
    <m/>
    <n v="0"/>
  </r>
  <r>
    <s v="Março"/>
    <s v="SEMANA 5"/>
    <m/>
    <x v="11"/>
    <m/>
    <s v="Selecione"/>
    <m/>
    <m/>
    <m/>
    <n v="0"/>
  </r>
  <r>
    <s v="Março"/>
    <s v="SEMANA 5"/>
    <m/>
    <x v="11"/>
    <m/>
    <s v="Selecione"/>
    <m/>
    <m/>
    <m/>
    <n v="0"/>
  </r>
  <r>
    <s v="Março"/>
    <s v="SEMANA 5"/>
    <m/>
    <x v="11"/>
    <m/>
    <s v="Selecione"/>
    <m/>
    <m/>
    <m/>
    <n v="0"/>
  </r>
  <r>
    <s v="Março"/>
    <s v="SEMANA 5"/>
    <m/>
    <x v="11"/>
    <m/>
    <s v="Selecione"/>
    <m/>
    <m/>
    <m/>
    <n v="0"/>
  </r>
  <r>
    <s v="Março"/>
    <s v="SEMANA 5"/>
    <m/>
    <x v="11"/>
    <m/>
    <s v="Selecione"/>
    <m/>
    <m/>
    <m/>
    <n v="0"/>
  </r>
  <r>
    <s v="Março"/>
    <s v="SEMANA 5"/>
    <m/>
    <x v="11"/>
    <m/>
    <s v="Selecione"/>
    <m/>
    <m/>
    <m/>
    <n v="0"/>
  </r>
  <r>
    <s v="Março"/>
    <s v="SEMANA 5"/>
    <m/>
    <x v="11"/>
    <m/>
    <s v="Selecione"/>
    <m/>
    <m/>
    <m/>
    <n v="0"/>
  </r>
  <r>
    <s v="Março"/>
    <s v="SEMANA 5"/>
    <m/>
    <x v="11"/>
    <m/>
    <s v="Selecione"/>
    <m/>
    <m/>
    <m/>
    <n v="0"/>
  </r>
  <r>
    <s v="Março"/>
    <s v="SEMANA 5"/>
    <m/>
    <x v="11"/>
    <m/>
    <s v="Selecione"/>
    <m/>
    <m/>
    <m/>
    <n v="0"/>
  </r>
  <r>
    <s v="Março"/>
    <s v="SEMANA 5"/>
    <m/>
    <x v="11"/>
    <m/>
    <s v="Selecione"/>
    <m/>
    <m/>
    <m/>
    <n v="0"/>
  </r>
  <r>
    <s v="Março"/>
    <s v="SEMANA 5"/>
    <m/>
    <x v="11"/>
    <m/>
    <s v="Selecione"/>
    <m/>
    <m/>
    <m/>
    <n v="0"/>
  </r>
  <r>
    <s v="Março"/>
    <s v="SEMANA 5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  <r>
    <s v="Selecione"/>
    <s v="Selecione"/>
    <m/>
    <x v="11"/>
    <m/>
    <s v="Selecione"/>
    <m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grandTotalCaption="-" updatedVersion="5" minRefreshableVersion="3" itemPrintTitles="1" createdVersion="4" indent="0" outline="1" outlineData="1" multipleFieldFilters="0" chartFormat="4" rowHeaderCaption="GRUPO">
  <location ref="B2:C15" firstHeaderRow="1" firstDataRow="1" firstDataCol="1"/>
  <pivotFields count="10">
    <pivotField showAll="0" defaultSubtotal="0"/>
    <pivotField showAll="0"/>
    <pivotField showAll="0"/>
    <pivotField axis="axisRow" showAll="0" sortType="ascending">
      <items count="21">
        <item x="11"/>
        <item m="1" x="16"/>
        <item x="4"/>
        <item x="2"/>
        <item m="1" x="15"/>
        <item x="8"/>
        <item x="10"/>
        <item m="1" x="18"/>
        <item x="0"/>
        <item x="5"/>
        <item x="3"/>
        <item x="1"/>
        <item m="1" x="14"/>
        <item m="1" x="13"/>
        <item m="1" x="19"/>
        <item x="9"/>
        <item x="6"/>
        <item x="7"/>
        <item m="1" x="17"/>
        <item m="1" x="12"/>
        <item t="default"/>
      </items>
    </pivotField>
    <pivotField showAll="0"/>
    <pivotField showAll="0"/>
    <pivotField showAll="0"/>
    <pivotField showAll="0"/>
    <pivotField showAll="0"/>
    <pivotField dataField="1" numFmtId="164" showAll="0"/>
  </pivotFields>
  <rowFields count="1">
    <field x="3"/>
  </rowFields>
  <rowItems count="13">
    <i>
      <x/>
    </i>
    <i>
      <x v="2"/>
    </i>
    <i>
      <x v="3"/>
    </i>
    <i>
      <x v="5"/>
    </i>
    <i>
      <x v="6"/>
    </i>
    <i>
      <x v="8"/>
    </i>
    <i>
      <x v="9"/>
    </i>
    <i>
      <x v="10"/>
    </i>
    <i>
      <x v="11"/>
    </i>
    <i>
      <x v="15"/>
    </i>
    <i>
      <x v="16"/>
    </i>
    <i>
      <x v="17"/>
    </i>
    <i t="grand">
      <x/>
    </i>
  </rowItems>
  <colItems count="1">
    <i/>
  </colItems>
  <dataFields count="1">
    <dataField name="TOTAL" fld="9" baseField="3" baseItem="0" numFmtId="165"/>
  </dataFields>
  <formats count="28">
    <format dxfId="32">
      <pivotArea field="3" type="button" dataOnly="0" labelOnly="1" outline="0" axis="axisRow" fieldPosition="0"/>
    </format>
    <format dxfId="31">
      <pivotArea dataOnly="0" labelOnly="1" outline="0" axis="axisValues" fieldPosition="0"/>
    </format>
    <format dxfId="30">
      <pivotArea grandRow="1" outline="0" collapsedLevelsAreSubtotals="1" fieldPosition="0"/>
    </format>
    <format dxfId="29">
      <pivotArea dataOnly="0" labelOnly="1" grandRow="1" outline="0" fieldPosition="0"/>
    </format>
    <format dxfId="28">
      <pivotArea field="3" type="button" dataOnly="0" labelOnly="1" outline="0" axis="axisRow" fieldPosition="0"/>
    </format>
    <format dxfId="27">
      <pivotArea dataOnly="0" labelOnly="1" outline="0" axis="axisValues" fieldPosition="0"/>
    </format>
    <format dxfId="26">
      <pivotArea field="3" type="button" dataOnly="0" labelOnly="1" outline="0" axis="axisRow" fieldPosition="0"/>
    </format>
    <format dxfId="25">
      <pivotArea dataOnly="0" labelOnly="1" outline="0" axis="axisValues" fieldPosition="0"/>
    </format>
    <format dxfId="24">
      <pivotArea grandRow="1" outline="0" collapsedLevelsAreSubtotals="1" fieldPosition="0"/>
    </format>
    <format dxfId="23">
      <pivotArea dataOnly="0" labelOnly="1" grandRow="1" outline="0" fieldPosition="0"/>
    </format>
    <format dxfId="22">
      <pivotArea grandRow="1" outline="0" collapsedLevelsAreSubtotals="1" fieldPosition="0"/>
    </format>
    <format dxfId="21">
      <pivotArea dataOnly="0" labelOnly="1" grandRow="1" outline="0" fieldPosition="0"/>
    </format>
    <format dxfId="20">
      <pivotArea field="3" type="button" dataOnly="0" labelOnly="1" outline="0" axis="axisRow" fieldPosition="0"/>
    </format>
    <format dxfId="19">
      <pivotArea dataOnly="0" labelOnly="1" outline="0" axis="axisValues" fieldPosition="0"/>
    </format>
    <format dxfId="18">
      <pivotArea field="3" type="button" dataOnly="0" labelOnly="1" outline="0" axis="axisRow" fieldPosition="0"/>
    </format>
    <format dxfId="17">
      <pivotArea dataOnly="0" labelOnly="1" outline="0" axis="axisValues" fieldPosition="0"/>
    </format>
    <format dxfId="16">
      <pivotArea grandRow="1" outline="0" collapsedLevelsAreSubtotals="1" fieldPosition="0"/>
    </format>
    <format dxfId="15">
      <pivotArea dataOnly="0" labelOnly="1" grandRow="1" outline="0" fieldPosition="0"/>
    </format>
    <format dxfId="14">
      <pivotArea grandRow="1" outline="0" collapsedLevelsAreSubtotals="1" fieldPosition="0"/>
    </format>
    <format dxfId="13">
      <pivotArea dataOnly="0" labelOnly="1" grandRow="1" outline="0" fieldPosition="0"/>
    </format>
    <format dxfId="12">
      <pivotArea type="all" dataOnly="0" outline="0" fieldPosition="0"/>
    </format>
    <format dxfId="11">
      <pivotArea collapsedLevelsAreSubtotals="1" fieldPosition="0">
        <references count="1">
          <reference field="3" count="0"/>
        </references>
      </pivotArea>
    </format>
    <format dxfId="10">
      <pivotArea dataOnly="0" labelOnly="1" fieldPosition="0">
        <references count="1">
          <reference field="3" count="0"/>
        </references>
      </pivotArea>
    </format>
    <format dxfId="9">
      <pivotArea field="3" type="button" dataOnly="0" labelOnly="1" outline="0" axis="axisRow" fieldPosition="0"/>
    </format>
    <format dxfId="8">
      <pivotArea dataOnly="0" labelOnly="1" outline="0" axis="axisValues" fieldPosition="0"/>
    </format>
    <format dxfId="7">
      <pivotArea type="all" dataOnly="0" outline="0" fieldPosition="0"/>
    </format>
    <format dxfId="6">
      <pivotArea dataOnly="0" grandRow="1" fieldPosition="0"/>
    </format>
    <format dxfId="5">
      <pivotArea dataOnly="0" labelOnly="1" grandRow="1" outline="0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GRUPO1" sourceName="GRUPO">
  <pivotTables>
    <pivotTable tabId="21" name="Tabela dinâmica1"/>
  </pivotTables>
  <data>
    <tabular pivotCacheId="4" showMissing="0">
      <items count="20">
        <i x="11" s="1"/>
        <i x="4" s="1"/>
        <i x="2" s="1"/>
        <i x="8" s="1"/>
        <i x="10" s="1"/>
        <i x="0" s="1"/>
        <i x="5" s="1"/>
        <i x="3" s="1"/>
        <i x="1" s="1"/>
        <i x="9" s="1"/>
        <i x="6" s="1"/>
        <i x="7" s="1"/>
        <i x="16" s="1" nd="1"/>
        <i x="15" s="1" nd="1"/>
        <i x="18" s="1" nd="1"/>
        <i x="14" s="1" nd="1"/>
        <i x="13" s="1" nd="1"/>
        <i x="19" s="1" nd="1"/>
        <i x="17" s="1" nd="1"/>
        <i x="1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GRUPO 1" cache="SegmentaçãodeDados_GRUPO1" caption="GRUPO" startItem="2" style="SlicerStyleLight5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 filterMode="1"/>
  <dimension ref="A1:S1048576"/>
  <sheetViews>
    <sheetView showGridLines="0" topLeftCell="D1" zoomScale="110" zoomScaleNormal="110" workbookViewId="0">
      <pane ySplit="1" topLeftCell="A2" activePane="bottomLeft" state="frozen"/>
      <selection activeCell="B1" sqref="B1"/>
      <selection pane="bottomLeft" activeCell="G69" sqref="G69"/>
    </sheetView>
  </sheetViews>
  <sheetFormatPr defaultColWidth="12.42578125" defaultRowHeight="15" x14ac:dyDescent="0.25"/>
  <cols>
    <col min="1" max="1" width="6.85546875" style="84" hidden="1" customWidth="1"/>
    <col min="2" max="2" width="11" style="84" bestFit="1" customWidth="1"/>
    <col min="3" max="3" width="14.85546875" style="84" bestFit="1" customWidth="1"/>
    <col min="4" max="4" width="9.7109375" style="94" bestFit="1" customWidth="1"/>
    <col min="5" max="5" width="13.7109375" style="84" bestFit="1" customWidth="1"/>
    <col min="6" max="6" width="32.85546875" style="84" customWidth="1"/>
    <col min="7" max="7" width="37" style="84" bestFit="1" customWidth="1"/>
    <col min="8" max="8" width="15.42578125" style="84" customWidth="1"/>
    <col min="9" max="9" width="11.140625" style="84" customWidth="1"/>
    <col min="10" max="10" width="15.140625" style="95" customWidth="1"/>
    <col min="11" max="11" width="19" style="95" bestFit="1" customWidth="1"/>
    <col min="12" max="12" width="58.42578125" style="84" bestFit="1" customWidth="1"/>
    <col min="13" max="13" width="48.42578125" style="120" hidden="1" customWidth="1"/>
    <col min="14" max="14" width="9.7109375" style="115" hidden="1" customWidth="1"/>
    <col min="15" max="15" width="12.85546875" style="84" hidden="1" customWidth="1"/>
    <col min="16" max="19" width="5.7109375" style="84" hidden="1" customWidth="1"/>
    <col min="20" max="20" width="12.42578125" style="84" customWidth="1"/>
    <col min="21" max="16384" width="12.42578125" style="84"/>
  </cols>
  <sheetData>
    <row r="1" spans="1:19" s="81" customFormat="1" ht="30" x14ac:dyDescent="0.25">
      <c r="A1" s="2" t="s">
        <v>11</v>
      </c>
      <c r="B1" s="77" t="s">
        <v>887</v>
      </c>
      <c r="C1" s="77" t="s">
        <v>26</v>
      </c>
      <c r="D1" s="78" t="s">
        <v>12</v>
      </c>
      <c r="E1" s="77" t="s">
        <v>13</v>
      </c>
      <c r="F1" s="77" t="s">
        <v>14</v>
      </c>
      <c r="G1" s="77" t="s">
        <v>0</v>
      </c>
      <c r="H1" s="77" t="s">
        <v>15</v>
      </c>
      <c r="I1" s="77" t="s">
        <v>16</v>
      </c>
      <c r="J1" s="79" t="s">
        <v>17</v>
      </c>
      <c r="K1" s="80" t="s">
        <v>18</v>
      </c>
      <c r="L1" s="77" t="s">
        <v>61</v>
      </c>
      <c r="M1" s="117" t="s">
        <v>19</v>
      </c>
      <c r="N1" s="83"/>
      <c r="O1" s="83" t="s">
        <v>41</v>
      </c>
      <c r="R1" s="82" t="s">
        <v>19</v>
      </c>
    </row>
    <row r="2" spans="1:19" x14ac:dyDescent="0.25">
      <c r="A2" s="84" t="str">
        <f t="shared" ref="A2:A65" si="0">CONCATENATE(B2,C2,G2)</f>
        <v>MarçoSEMANA 1Aipim</v>
      </c>
      <c r="B2" s="85" t="s">
        <v>31</v>
      </c>
      <c r="C2" s="85" t="s">
        <v>20</v>
      </c>
      <c r="D2" s="86">
        <v>1</v>
      </c>
      <c r="E2" s="116" t="str">
        <f t="shared" ref="E2:E65" si="1">VLOOKUP(G2,$M$1:$O$993,3,0)</f>
        <v>Hortifruti</v>
      </c>
      <c r="F2" s="85" t="s">
        <v>1082</v>
      </c>
      <c r="G2" s="85" t="s">
        <v>95</v>
      </c>
      <c r="H2" s="85" t="s">
        <v>1083</v>
      </c>
      <c r="I2" s="85">
        <v>20</v>
      </c>
      <c r="J2" s="87">
        <v>5</v>
      </c>
      <c r="K2" s="88">
        <f t="shared" ref="K2:K65" si="2">I2*J2</f>
        <v>100</v>
      </c>
      <c r="L2" s="85"/>
      <c r="M2" s="118" t="s">
        <v>62</v>
      </c>
      <c r="N2" s="84"/>
      <c r="O2" s="84" t="s">
        <v>45</v>
      </c>
      <c r="R2" s="84" t="s">
        <v>47</v>
      </c>
    </row>
    <row r="3" spans="1:19" hidden="1" x14ac:dyDescent="0.2">
      <c r="A3" s="84" t="str">
        <f t="shared" si="0"/>
        <v>MarçoSEMANA 1Arroz Integral Curto</v>
      </c>
      <c r="B3" s="85" t="s">
        <v>31</v>
      </c>
      <c r="C3" s="85" t="s">
        <v>20</v>
      </c>
      <c r="D3" s="86">
        <v>1</v>
      </c>
      <c r="E3" s="116" t="str">
        <f t="shared" si="1"/>
        <v>Mercado</v>
      </c>
      <c r="F3" s="85" t="s">
        <v>1084</v>
      </c>
      <c r="G3" s="85" t="s">
        <v>127</v>
      </c>
      <c r="H3" s="85" t="s">
        <v>1083</v>
      </c>
      <c r="I3" s="85">
        <v>30.172000000000001</v>
      </c>
      <c r="J3" s="87">
        <v>8.4200999999999997</v>
      </c>
      <c r="K3" s="88">
        <f t="shared" si="2"/>
        <v>254.05125720000001</v>
      </c>
      <c r="L3" s="85">
        <v>1190</v>
      </c>
      <c r="M3" s="118" t="s">
        <v>1007</v>
      </c>
      <c r="O3" s="84" t="s">
        <v>874</v>
      </c>
      <c r="R3" s="84" t="s">
        <v>44</v>
      </c>
    </row>
    <row r="4" spans="1:19" hidden="1" x14ac:dyDescent="0.2">
      <c r="A4" s="84" t="str">
        <f t="shared" si="0"/>
        <v>MarçoSEMANA 1Tapioca Fina</v>
      </c>
      <c r="B4" s="85" t="s">
        <v>31</v>
      </c>
      <c r="C4" s="85" t="s">
        <v>20</v>
      </c>
      <c r="D4" s="86">
        <v>1</v>
      </c>
      <c r="E4" s="116" t="str">
        <f t="shared" si="1"/>
        <v>Mercado</v>
      </c>
      <c r="F4" s="85" t="s">
        <v>1084</v>
      </c>
      <c r="G4" s="85" t="s">
        <v>1022</v>
      </c>
      <c r="H4" s="85" t="s">
        <v>1083</v>
      </c>
      <c r="I4" s="85">
        <v>6.0339999999999998</v>
      </c>
      <c r="J4" s="87">
        <v>8.0096000000000007</v>
      </c>
      <c r="K4" s="88">
        <f t="shared" si="2"/>
        <v>48.329926400000005</v>
      </c>
      <c r="L4" s="85">
        <v>1190</v>
      </c>
      <c r="M4" s="118" t="s">
        <v>63</v>
      </c>
      <c r="N4" s="84"/>
      <c r="O4" s="84" t="s">
        <v>45</v>
      </c>
      <c r="R4" s="84" t="s">
        <v>872</v>
      </c>
    </row>
    <row r="5" spans="1:19" hidden="1" x14ac:dyDescent="0.2">
      <c r="A5" s="84" t="str">
        <f t="shared" si="0"/>
        <v>MarçoSEMANA 1Vinagrete de Ervas</v>
      </c>
      <c r="B5" s="85" t="s">
        <v>31</v>
      </c>
      <c r="C5" s="85" t="s">
        <v>20</v>
      </c>
      <c r="D5" s="86">
        <v>1</v>
      </c>
      <c r="E5" s="116" t="str">
        <f t="shared" si="1"/>
        <v>Mercado</v>
      </c>
      <c r="F5" s="85" t="s">
        <v>1084</v>
      </c>
      <c r="G5" s="85" t="s">
        <v>842</v>
      </c>
      <c r="H5" s="85" t="s">
        <v>1083</v>
      </c>
      <c r="I5" s="85">
        <v>1</v>
      </c>
      <c r="J5" s="87">
        <v>43.2</v>
      </c>
      <c r="K5" s="88">
        <f t="shared" si="2"/>
        <v>43.2</v>
      </c>
      <c r="L5" s="85">
        <v>1190</v>
      </c>
      <c r="M5" s="118" t="s">
        <v>64</v>
      </c>
      <c r="N5" s="84"/>
      <c r="O5" s="84" t="s">
        <v>60</v>
      </c>
      <c r="R5" s="84" t="s">
        <v>873</v>
      </c>
    </row>
    <row r="6" spans="1:19" hidden="1" x14ac:dyDescent="0.2">
      <c r="A6" s="84" t="str">
        <f t="shared" si="0"/>
        <v>MarçoSEMANA 1Aliche</v>
      </c>
      <c r="B6" s="85" t="s">
        <v>31</v>
      </c>
      <c r="C6" s="85" t="s">
        <v>20</v>
      </c>
      <c r="D6" s="86">
        <v>1</v>
      </c>
      <c r="E6" s="116" t="str">
        <f t="shared" si="1"/>
        <v>Mercado</v>
      </c>
      <c r="F6" s="85" t="s">
        <v>1084</v>
      </c>
      <c r="G6" s="85" t="s">
        <v>115</v>
      </c>
      <c r="H6" s="85" t="s">
        <v>1083</v>
      </c>
      <c r="I6" s="85">
        <v>0.32600000000000001</v>
      </c>
      <c r="J6" s="87">
        <v>49.417200000000001</v>
      </c>
      <c r="K6" s="88">
        <f t="shared" si="2"/>
        <v>16.110007200000002</v>
      </c>
      <c r="L6" s="85">
        <v>1190</v>
      </c>
      <c r="M6" s="118" t="s">
        <v>65</v>
      </c>
      <c r="N6" s="84"/>
      <c r="O6" s="84" t="s">
        <v>45</v>
      </c>
      <c r="R6" s="84" t="s">
        <v>874</v>
      </c>
    </row>
    <row r="7" spans="1:19" hidden="1" x14ac:dyDescent="0.2">
      <c r="A7" s="84" t="str">
        <f t="shared" si="0"/>
        <v>MarçoSEMANA 1Chia em Grão</v>
      </c>
      <c r="B7" s="85" t="s">
        <v>31</v>
      </c>
      <c r="C7" s="85" t="s">
        <v>20</v>
      </c>
      <c r="D7" s="86">
        <v>1</v>
      </c>
      <c r="E7" s="116" t="str">
        <f t="shared" si="1"/>
        <v>Mercado</v>
      </c>
      <c r="F7" s="85" t="s">
        <v>1084</v>
      </c>
      <c r="G7" s="85" t="s">
        <v>272</v>
      </c>
      <c r="H7" s="85" t="s">
        <v>1083</v>
      </c>
      <c r="I7" s="85">
        <v>1</v>
      </c>
      <c r="J7" s="87">
        <v>13.14</v>
      </c>
      <c r="K7" s="88">
        <f t="shared" si="2"/>
        <v>13.14</v>
      </c>
      <c r="L7" s="85">
        <v>1190</v>
      </c>
      <c r="M7" s="118" t="s">
        <v>990</v>
      </c>
      <c r="N7" s="84"/>
      <c r="O7" s="84" t="s">
        <v>60</v>
      </c>
      <c r="R7" s="84" t="s">
        <v>45</v>
      </c>
    </row>
    <row r="8" spans="1:19" hidden="1" x14ac:dyDescent="0.2">
      <c r="A8" s="84" t="str">
        <f t="shared" si="0"/>
        <v>MarçoSEMANA 1Açucar Refinado</v>
      </c>
      <c r="B8" s="85" t="s">
        <v>31</v>
      </c>
      <c r="C8" s="85" t="s">
        <v>20</v>
      </c>
      <c r="D8" s="86">
        <v>1</v>
      </c>
      <c r="E8" s="116" t="str">
        <f t="shared" si="1"/>
        <v>Mercado</v>
      </c>
      <c r="F8" s="85" t="s">
        <v>1085</v>
      </c>
      <c r="G8" s="85" t="s">
        <v>79</v>
      </c>
      <c r="H8" s="85" t="s">
        <v>1083</v>
      </c>
      <c r="I8" s="85">
        <f>50-6-6</f>
        <v>38</v>
      </c>
      <c r="J8" s="87">
        <v>2.4900000000000002</v>
      </c>
      <c r="K8" s="88">
        <f t="shared" si="2"/>
        <v>94.62</v>
      </c>
      <c r="L8" s="85" t="s">
        <v>1091</v>
      </c>
      <c r="M8" s="118" t="s">
        <v>66</v>
      </c>
      <c r="N8" s="84"/>
      <c r="O8" s="84" t="s">
        <v>42</v>
      </c>
      <c r="R8" s="84" t="s">
        <v>1079</v>
      </c>
    </row>
    <row r="9" spans="1:19" hidden="1" x14ac:dyDescent="0.2">
      <c r="A9" s="84" t="str">
        <f t="shared" si="0"/>
        <v>MarçoSEMANA 1Maisena Amido de Milho 1 Kg</v>
      </c>
      <c r="B9" s="85" t="s">
        <v>31</v>
      </c>
      <c r="C9" s="85" t="s">
        <v>20</v>
      </c>
      <c r="D9" s="86">
        <v>1</v>
      </c>
      <c r="E9" s="116" t="str">
        <f t="shared" si="1"/>
        <v>Mercado</v>
      </c>
      <c r="F9" s="85" t="s">
        <v>1085</v>
      </c>
      <c r="G9" s="85" t="s">
        <v>492</v>
      </c>
      <c r="H9" s="85" t="s">
        <v>1083</v>
      </c>
      <c r="I9" s="85">
        <v>10</v>
      </c>
      <c r="J9" s="87">
        <v>3.3</v>
      </c>
      <c r="K9" s="88">
        <f t="shared" si="2"/>
        <v>33</v>
      </c>
      <c r="L9" s="85" t="s">
        <v>1091</v>
      </c>
      <c r="M9" s="118" t="s">
        <v>67</v>
      </c>
      <c r="N9" s="84"/>
      <c r="O9" s="84" t="s">
        <v>42</v>
      </c>
      <c r="R9" s="84" t="s">
        <v>46</v>
      </c>
    </row>
    <row r="10" spans="1:19" hidden="1" x14ac:dyDescent="0.2">
      <c r="A10" s="84" t="str">
        <f t="shared" si="0"/>
        <v>MarçoSEMANA 1Farinha de Mandioca</v>
      </c>
      <c r="B10" s="85" t="s">
        <v>31</v>
      </c>
      <c r="C10" s="85" t="s">
        <v>20</v>
      </c>
      <c r="D10" s="86">
        <v>1</v>
      </c>
      <c r="E10" s="116" t="str">
        <f t="shared" si="1"/>
        <v>Mercado</v>
      </c>
      <c r="F10" s="85" t="s">
        <v>1085</v>
      </c>
      <c r="G10" s="85" t="s">
        <v>341</v>
      </c>
      <c r="H10" s="85" t="s">
        <v>1083</v>
      </c>
      <c r="I10" s="85">
        <v>40</v>
      </c>
      <c r="J10" s="87">
        <v>5.2</v>
      </c>
      <c r="K10" s="88">
        <f t="shared" si="2"/>
        <v>208</v>
      </c>
      <c r="L10" s="85" t="s">
        <v>1091</v>
      </c>
      <c r="M10" s="118" t="s">
        <v>68</v>
      </c>
      <c r="N10" s="84"/>
      <c r="O10" s="84" t="s">
        <v>45</v>
      </c>
      <c r="R10" s="84" t="s">
        <v>42</v>
      </c>
    </row>
    <row r="11" spans="1:19" hidden="1" x14ac:dyDescent="0.2">
      <c r="A11" s="84" t="str">
        <f t="shared" si="0"/>
        <v>MarçoSEMANA 1Leite de Côco</v>
      </c>
      <c r="B11" s="85" t="s">
        <v>31</v>
      </c>
      <c r="C11" s="85" t="s">
        <v>20</v>
      </c>
      <c r="D11" s="86">
        <v>1</v>
      </c>
      <c r="E11" s="116" t="str">
        <f t="shared" si="1"/>
        <v>Mercado</v>
      </c>
      <c r="F11" s="85" t="s">
        <v>1085</v>
      </c>
      <c r="G11" s="85" t="s">
        <v>459</v>
      </c>
      <c r="H11" s="85" t="s">
        <v>1086</v>
      </c>
      <c r="I11" s="85">
        <v>12</v>
      </c>
      <c r="J11" s="87">
        <f>175/12</f>
        <v>14.583333333333334</v>
      </c>
      <c r="K11" s="88">
        <f t="shared" si="2"/>
        <v>175</v>
      </c>
      <c r="L11" s="85" t="s">
        <v>1091</v>
      </c>
      <c r="M11" s="118" t="s">
        <v>69</v>
      </c>
      <c r="N11" s="84"/>
      <c r="O11" s="84" t="s">
        <v>45</v>
      </c>
      <c r="R11" s="84" t="s">
        <v>43</v>
      </c>
    </row>
    <row r="12" spans="1:19" hidden="1" x14ac:dyDescent="0.2">
      <c r="A12" s="84" t="str">
        <f t="shared" si="0"/>
        <v>MarçoSEMANA 1Leite Integral</v>
      </c>
      <c r="B12" s="85" t="s">
        <v>31</v>
      </c>
      <c r="C12" s="85" t="s">
        <v>20</v>
      </c>
      <c r="D12" s="86">
        <v>1</v>
      </c>
      <c r="E12" s="116" t="str">
        <f t="shared" si="1"/>
        <v>Mercado</v>
      </c>
      <c r="F12" s="85" t="s">
        <v>1085</v>
      </c>
      <c r="G12" s="85" t="s">
        <v>460</v>
      </c>
      <c r="H12" s="85" t="s">
        <v>1086</v>
      </c>
      <c r="I12" s="85">
        <f>10*12</f>
        <v>120</v>
      </c>
      <c r="J12" s="87">
        <f>318.64/120</f>
        <v>2.6553333333333331</v>
      </c>
      <c r="K12" s="88">
        <f t="shared" si="2"/>
        <v>318.64</v>
      </c>
      <c r="L12" s="85" t="s">
        <v>1091</v>
      </c>
      <c r="M12" s="118" t="s">
        <v>70</v>
      </c>
      <c r="N12" s="96"/>
      <c r="O12" s="96" t="s">
        <v>45</v>
      </c>
      <c r="R12" s="84" t="s">
        <v>60</v>
      </c>
    </row>
    <row r="13" spans="1:19" hidden="1" x14ac:dyDescent="0.2">
      <c r="A13" s="84" t="str">
        <f t="shared" si="0"/>
        <v>MarçoSEMANA 1Óleo de Soja 18 Lt</v>
      </c>
      <c r="B13" s="85" t="s">
        <v>31</v>
      </c>
      <c r="C13" s="85" t="s">
        <v>20</v>
      </c>
      <c r="D13" s="86">
        <v>1</v>
      </c>
      <c r="E13" s="116" t="str">
        <f t="shared" si="1"/>
        <v>Mercado</v>
      </c>
      <c r="F13" s="85" t="s">
        <v>1085</v>
      </c>
      <c r="G13" s="85" t="s">
        <v>544</v>
      </c>
      <c r="H13" s="85" t="s">
        <v>1087</v>
      </c>
      <c r="I13" s="85">
        <v>1</v>
      </c>
      <c r="J13" s="87">
        <v>62.5</v>
      </c>
      <c r="K13" s="88">
        <f t="shared" si="2"/>
        <v>62.5</v>
      </c>
      <c r="L13" s="85" t="s">
        <v>1091</v>
      </c>
      <c r="M13" s="118" t="s">
        <v>71</v>
      </c>
      <c r="N13" s="96"/>
      <c r="O13" s="96" t="s">
        <v>45</v>
      </c>
      <c r="R13" s="84" t="s">
        <v>871</v>
      </c>
    </row>
    <row r="14" spans="1:19" hidden="1" x14ac:dyDescent="0.2">
      <c r="A14" s="84" t="str">
        <f t="shared" si="0"/>
        <v>MarçoSEMANA 1Azeitona Azapa bd</v>
      </c>
      <c r="B14" s="85" t="s">
        <v>31</v>
      </c>
      <c r="C14" s="85" t="s">
        <v>20</v>
      </c>
      <c r="D14" s="86">
        <v>1</v>
      </c>
      <c r="E14" s="116" t="str">
        <f t="shared" si="1"/>
        <v>Mercado</v>
      </c>
      <c r="F14" s="85" t="s">
        <v>1085</v>
      </c>
      <c r="G14" s="85" t="s">
        <v>154</v>
      </c>
      <c r="H14" s="85" t="s">
        <v>1088</v>
      </c>
      <c r="I14" s="85">
        <v>1</v>
      </c>
      <c r="J14" s="87">
        <v>43.6</v>
      </c>
      <c r="K14" s="88">
        <f t="shared" si="2"/>
        <v>43.6</v>
      </c>
      <c r="L14" s="85" t="s">
        <v>1091</v>
      </c>
      <c r="M14" s="118" t="s">
        <v>72</v>
      </c>
      <c r="N14" s="96"/>
      <c r="O14" s="96" t="s">
        <v>45</v>
      </c>
      <c r="R14"/>
      <c r="S14" s="156" t="s">
        <v>1048</v>
      </c>
    </row>
    <row r="15" spans="1:19" hidden="1" x14ac:dyDescent="0.2">
      <c r="A15" s="84" t="str">
        <f t="shared" si="0"/>
        <v>MarçoSEMANA 1Catchup 3,6 Kg</v>
      </c>
      <c r="B15" s="85" t="s">
        <v>31</v>
      </c>
      <c r="C15" s="85" t="s">
        <v>20</v>
      </c>
      <c r="D15" s="86">
        <v>1</v>
      </c>
      <c r="E15" s="116" t="str">
        <f t="shared" si="1"/>
        <v>Mercado</v>
      </c>
      <c r="F15" s="85" t="s">
        <v>1085</v>
      </c>
      <c r="G15" s="85" t="s">
        <v>240</v>
      </c>
      <c r="H15" s="85" t="s">
        <v>1089</v>
      </c>
      <c r="I15" s="85">
        <v>1</v>
      </c>
      <c r="J15" s="87">
        <v>14.95</v>
      </c>
      <c r="K15" s="88">
        <f t="shared" si="2"/>
        <v>14.95</v>
      </c>
      <c r="L15" s="85" t="s">
        <v>1091</v>
      </c>
      <c r="M15" s="118" t="s">
        <v>980</v>
      </c>
      <c r="O15" s="115" t="s">
        <v>874</v>
      </c>
      <c r="R15"/>
    </row>
    <row r="16" spans="1:19" hidden="1" x14ac:dyDescent="0.2">
      <c r="A16" s="84" t="str">
        <f t="shared" si="0"/>
        <v>MarçoSEMANA 1Feijão Fradinho</v>
      </c>
      <c r="B16" s="85" t="s">
        <v>31</v>
      </c>
      <c r="C16" s="85" t="s">
        <v>20</v>
      </c>
      <c r="D16" s="86">
        <v>1</v>
      </c>
      <c r="E16" s="116" t="str">
        <f t="shared" si="1"/>
        <v>Mercado</v>
      </c>
      <c r="F16" s="85" t="s">
        <v>1085</v>
      </c>
      <c r="G16" s="85" t="s">
        <v>350</v>
      </c>
      <c r="H16" s="85" t="s">
        <v>1083</v>
      </c>
      <c r="I16" s="85">
        <f>10*0.5</f>
        <v>5</v>
      </c>
      <c r="J16" s="87">
        <f>18.5/5</f>
        <v>3.7</v>
      </c>
      <c r="K16" s="88">
        <f t="shared" si="2"/>
        <v>18.5</v>
      </c>
      <c r="L16" s="85" t="s">
        <v>1091</v>
      </c>
      <c r="M16" s="118" t="s">
        <v>73</v>
      </c>
      <c r="N16" s="96"/>
      <c r="O16" s="96" t="s">
        <v>45</v>
      </c>
      <c r="R16"/>
    </row>
    <row r="17" spans="1:18" hidden="1" x14ac:dyDescent="0.2">
      <c r="A17" s="84" t="str">
        <f t="shared" si="0"/>
        <v xml:space="preserve">MarçoSEMANA 1Fubá de Milho </v>
      </c>
      <c r="B17" s="85" t="s">
        <v>31</v>
      </c>
      <c r="C17" s="85" t="s">
        <v>20</v>
      </c>
      <c r="D17" s="86">
        <v>1</v>
      </c>
      <c r="E17" s="116" t="str">
        <f t="shared" si="1"/>
        <v>Mercado</v>
      </c>
      <c r="F17" s="85" t="s">
        <v>1085</v>
      </c>
      <c r="G17" s="85" t="s">
        <v>373</v>
      </c>
      <c r="H17" s="85" t="s">
        <v>1083</v>
      </c>
      <c r="I17" s="85">
        <v>2</v>
      </c>
      <c r="J17" s="87">
        <v>1.65</v>
      </c>
      <c r="K17" s="88">
        <f t="shared" si="2"/>
        <v>3.3</v>
      </c>
      <c r="L17" s="85" t="s">
        <v>1091</v>
      </c>
      <c r="M17" s="118" t="s">
        <v>898</v>
      </c>
      <c r="N17" s="96"/>
      <c r="O17" s="96" t="s">
        <v>60</v>
      </c>
      <c r="R17"/>
    </row>
    <row r="18" spans="1:18" hidden="1" x14ac:dyDescent="0.2">
      <c r="A18" s="84" t="str">
        <f t="shared" si="0"/>
        <v>MarçoSEMANA 1Macarrão Espaghetti Nissim</v>
      </c>
      <c r="B18" s="85" t="s">
        <v>31</v>
      </c>
      <c r="C18" s="85" t="s">
        <v>20</v>
      </c>
      <c r="D18" s="86">
        <v>1</v>
      </c>
      <c r="E18" s="116" t="str">
        <f t="shared" si="1"/>
        <v>Mercado</v>
      </c>
      <c r="F18" s="85" t="s">
        <v>1085</v>
      </c>
      <c r="G18" s="85" t="s">
        <v>482</v>
      </c>
      <c r="H18" s="85" t="s">
        <v>1083</v>
      </c>
      <c r="I18" s="85">
        <f>10*0.5</f>
        <v>5</v>
      </c>
      <c r="J18" s="87">
        <f>51.19/5</f>
        <v>10.238</v>
      </c>
      <c r="K18" s="88">
        <f t="shared" si="2"/>
        <v>51.19</v>
      </c>
      <c r="L18" s="85" t="s">
        <v>1091</v>
      </c>
      <c r="M18" s="118" t="s">
        <v>74</v>
      </c>
      <c r="N18" s="96"/>
      <c r="O18" s="96" t="s">
        <v>42</v>
      </c>
      <c r="R18"/>
    </row>
    <row r="19" spans="1:18" hidden="1" x14ac:dyDescent="0.2">
      <c r="A19" s="84" t="str">
        <f t="shared" si="0"/>
        <v>MarçoSEMANA 1Vinagre Aceto Balsamico</v>
      </c>
      <c r="B19" s="85" t="s">
        <v>31</v>
      </c>
      <c r="C19" s="85" t="s">
        <v>20</v>
      </c>
      <c r="D19" s="86">
        <v>1</v>
      </c>
      <c r="E19" s="116" t="str">
        <f t="shared" si="1"/>
        <v>Mercado</v>
      </c>
      <c r="F19" s="85" t="s">
        <v>1085</v>
      </c>
      <c r="G19" s="85" t="s">
        <v>837</v>
      </c>
      <c r="H19" s="85" t="s">
        <v>1090</v>
      </c>
      <c r="I19" s="85">
        <v>1</v>
      </c>
      <c r="J19" s="87">
        <v>8.98</v>
      </c>
      <c r="K19" s="88">
        <f t="shared" si="2"/>
        <v>8.98</v>
      </c>
      <c r="L19" s="85" t="s">
        <v>1091</v>
      </c>
      <c r="M19" s="118" t="s">
        <v>75</v>
      </c>
      <c r="N19" s="96"/>
      <c r="O19" s="96" t="s">
        <v>45</v>
      </c>
      <c r="R19"/>
    </row>
    <row r="20" spans="1:18" hidden="1" x14ac:dyDescent="0.2">
      <c r="A20" s="84" t="str">
        <f t="shared" si="0"/>
        <v>MarçoSEMANA 1Aves - Filé de Coxa</v>
      </c>
      <c r="B20" s="85" t="s">
        <v>31</v>
      </c>
      <c r="C20" s="85" t="s">
        <v>20</v>
      </c>
      <c r="D20" s="86">
        <v>1</v>
      </c>
      <c r="E20" s="116" t="str">
        <f t="shared" si="1"/>
        <v>Carnes</v>
      </c>
      <c r="F20" s="85" t="s">
        <v>1092</v>
      </c>
      <c r="G20" s="85" t="s">
        <v>137</v>
      </c>
      <c r="H20" s="85" t="s">
        <v>1083</v>
      </c>
      <c r="I20" s="85">
        <f>24*0.7</f>
        <v>16.799999999999997</v>
      </c>
      <c r="J20" s="87">
        <f>146.16/16.8</f>
        <v>8.6999999999999993</v>
      </c>
      <c r="K20" s="88">
        <f t="shared" si="2"/>
        <v>146.15999999999997</v>
      </c>
      <c r="L20" s="85" t="s">
        <v>1093</v>
      </c>
      <c r="M20" s="118" t="s">
        <v>76</v>
      </c>
      <c r="N20" s="96"/>
      <c r="O20" s="96" t="s">
        <v>60</v>
      </c>
      <c r="R20"/>
    </row>
    <row r="21" spans="1:18" hidden="1" x14ac:dyDescent="0.2">
      <c r="A21" s="84" t="str">
        <f t="shared" si="0"/>
        <v>MarçoSEMANA 1Aves - Coração de Frango</v>
      </c>
      <c r="B21" s="85" t="s">
        <v>31</v>
      </c>
      <c r="C21" s="85" t="s">
        <v>20</v>
      </c>
      <c r="D21" s="86">
        <v>1</v>
      </c>
      <c r="E21" s="116" t="str">
        <f t="shared" si="1"/>
        <v>Carnes</v>
      </c>
      <c r="F21" s="85" t="s">
        <v>1092</v>
      </c>
      <c r="G21" s="85" t="s">
        <v>136</v>
      </c>
      <c r="H21" s="85" t="s">
        <v>1083</v>
      </c>
      <c r="I21" s="85">
        <v>12</v>
      </c>
      <c r="J21" s="87">
        <v>14.7</v>
      </c>
      <c r="K21" s="88">
        <f t="shared" si="2"/>
        <v>176.39999999999998</v>
      </c>
      <c r="L21" s="85" t="s">
        <v>1093</v>
      </c>
      <c r="M21" s="118" t="s">
        <v>77</v>
      </c>
      <c r="N21" s="96"/>
      <c r="O21" s="96" t="s">
        <v>42</v>
      </c>
      <c r="R21"/>
    </row>
    <row r="22" spans="1:18" hidden="1" x14ac:dyDescent="0.2">
      <c r="A22" s="84" t="str">
        <f t="shared" si="0"/>
        <v>MarçoSEMANA 1Solid Power (Lava Louça) 4 Kg</v>
      </c>
      <c r="B22" s="85" t="s">
        <v>31</v>
      </c>
      <c r="C22" s="85" t="s">
        <v>20</v>
      </c>
      <c r="D22" s="86">
        <v>1</v>
      </c>
      <c r="E22" s="116" t="str">
        <f t="shared" si="1"/>
        <v>Limpeza</v>
      </c>
      <c r="F22" s="85" t="s">
        <v>1094</v>
      </c>
      <c r="G22" s="85" t="s">
        <v>747</v>
      </c>
      <c r="H22" s="85" t="s">
        <v>1089</v>
      </c>
      <c r="I22" s="85">
        <v>2</v>
      </c>
      <c r="J22" s="87">
        <f>1102.77/2</f>
        <v>551.38499999999999</v>
      </c>
      <c r="K22" s="88">
        <f t="shared" si="2"/>
        <v>1102.77</v>
      </c>
      <c r="L22" s="85">
        <v>66409</v>
      </c>
      <c r="M22" s="118" t="s">
        <v>78</v>
      </c>
      <c r="N22" s="96"/>
      <c r="O22" s="96" t="s">
        <v>42</v>
      </c>
      <c r="R22"/>
    </row>
    <row r="23" spans="1:18" hidden="1" x14ac:dyDescent="0.2">
      <c r="A23" s="84" t="str">
        <f t="shared" si="0"/>
        <v>MarçoSEMANA 1Antibacterial Detergentye p/ mãos Bb 5lt</v>
      </c>
      <c r="B23" s="85" t="s">
        <v>31</v>
      </c>
      <c r="C23" s="85" t="s">
        <v>20</v>
      </c>
      <c r="D23" s="86">
        <v>1</v>
      </c>
      <c r="E23" s="116" t="str">
        <f t="shared" si="1"/>
        <v>Limpeza</v>
      </c>
      <c r="F23" s="85" t="s">
        <v>1094</v>
      </c>
      <c r="G23" s="85" t="s">
        <v>125</v>
      </c>
      <c r="H23" s="85" t="s">
        <v>1089</v>
      </c>
      <c r="I23" s="85">
        <v>1</v>
      </c>
      <c r="J23" s="87">
        <v>155.21</v>
      </c>
      <c r="K23" s="88">
        <f t="shared" si="2"/>
        <v>155.21</v>
      </c>
      <c r="L23" s="85">
        <v>66407</v>
      </c>
      <c r="M23" s="118" t="s">
        <v>79</v>
      </c>
      <c r="N23" s="96"/>
      <c r="O23" s="96" t="s">
        <v>42</v>
      </c>
      <c r="R23"/>
    </row>
    <row r="24" spans="1:18" hidden="1" x14ac:dyDescent="0.2">
      <c r="A24" s="84" t="str">
        <f t="shared" si="0"/>
        <v>MarçoSEMANA 1Greasestrip Plus Bb 5 L</v>
      </c>
      <c r="B24" s="85" t="s">
        <v>31</v>
      </c>
      <c r="C24" s="85" t="s">
        <v>20</v>
      </c>
      <c r="D24" s="86">
        <v>1</v>
      </c>
      <c r="E24" s="116" t="str">
        <f t="shared" si="1"/>
        <v>Limpeza</v>
      </c>
      <c r="F24" s="85" t="s">
        <v>1094</v>
      </c>
      <c r="G24" s="85" t="s">
        <v>983</v>
      </c>
      <c r="H24" s="85" t="s">
        <v>1089</v>
      </c>
      <c r="I24" s="85">
        <v>1</v>
      </c>
      <c r="J24" s="87">
        <v>283.04000000000002</v>
      </c>
      <c r="K24" s="88">
        <f t="shared" si="2"/>
        <v>283.04000000000002</v>
      </c>
      <c r="L24" s="85">
        <v>66408</v>
      </c>
      <c r="M24" s="118" t="s">
        <v>80</v>
      </c>
      <c r="N24" s="96"/>
      <c r="O24" s="96" t="s">
        <v>60</v>
      </c>
      <c r="R24"/>
    </row>
    <row r="25" spans="1:18" hidden="1" x14ac:dyDescent="0.2">
      <c r="A25" s="84" t="str">
        <f t="shared" si="0"/>
        <v>MarçoSEMANA 1Oásis enforce (limpador clorado) Bb5lt</v>
      </c>
      <c r="B25" s="85" t="s">
        <v>31</v>
      </c>
      <c r="C25" s="85" t="s">
        <v>20</v>
      </c>
      <c r="D25" s="86">
        <v>1</v>
      </c>
      <c r="E25" s="116" t="str">
        <f t="shared" si="1"/>
        <v>Limpeza</v>
      </c>
      <c r="F25" s="85" t="s">
        <v>1094</v>
      </c>
      <c r="G25" s="85" t="s">
        <v>540</v>
      </c>
      <c r="H25" s="85" t="s">
        <v>1089</v>
      </c>
      <c r="I25" s="85">
        <v>2</v>
      </c>
      <c r="J25" s="87">
        <f>698.13/2</f>
        <v>349.065</v>
      </c>
      <c r="K25" s="88">
        <f t="shared" si="2"/>
        <v>698.13</v>
      </c>
      <c r="L25" s="85" t="s">
        <v>1095</v>
      </c>
      <c r="M25" s="118" t="s">
        <v>1021</v>
      </c>
      <c r="O25" s="84" t="s">
        <v>42</v>
      </c>
      <c r="R25"/>
    </row>
    <row r="26" spans="1:18" hidden="1" x14ac:dyDescent="0.2">
      <c r="A26" s="84" t="str">
        <f t="shared" si="0"/>
        <v>MarçoSEMANA 1Vercom Detergente Bb 5 Lt</v>
      </c>
      <c r="B26" s="85" t="s">
        <v>31</v>
      </c>
      <c r="C26" s="85" t="s">
        <v>20</v>
      </c>
      <c r="D26" s="86">
        <v>1</v>
      </c>
      <c r="E26" s="116" t="str">
        <f t="shared" si="1"/>
        <v>Limpeza</v>
      </c>
      <c r="F26" s="85" t="s">
        <v>1094</v>
      </c>
      <c r="G26" s="85" t="s">
        <v>836</v>
      </c>
      <c r="H26" s="85" t="s">
        <v>1089</v>
      </c>
      <c r="I26" s="85">
        <v>4</v>
      </c>
      <c r="J26" s="87">
        <f>633.9/4</f>
        <v>158.47499999999999</v>
      </c>
      <c r="K26" s="88">
        <f t="shared" si="2"/>
        <v>633.9</v>
      </c>
      <c r="L26" s="85" t="s">
        <v>1095</v>
      </c>
      <c r="M26" s="118" t="s">
        <v>81</v>
      </c>
      <c r="N26" s="96"/>
      <c r="O26" s="96" t="s">
        <v>42</v>
      </c>
      <c r="R26"/>
    </row>
    <row r="27" spans="1:18" hidden="1" x14ac:dyDescent="0.2">
      <c r="A27" s="84" t="str">
        <f t="shared" si="0"/>
        <v>MarçoSEMANA 1Gelo em Escamas</v>
      </c>
      <c r="B27" s="85" t="s">
        <v>31</v>
      </c>
      <c r="C27" s="85" t="s">
        <v>20</v>
      </c>
      <c r="D27" s="86">
        <v>1</v>
      </c>
      <c r="E27" s="116" t="str">
        <f t="shared" si="1"/>
        <v>Mercado</v>
      </c>
      <c r="F27" s="85" t="s">
        <v>1096</v>
      </c>
      <c r="G27" s="85" t="s">
        <v>384</v>
      </c>
      <c r="H27" s="85" t="s">
        <v>1097</v>
      </c>
      <c r="I27" s="85">
        <v>2</v>
      </c>
      <c r="J27" s="87">
        <v>7.5</v>
      </c>
      <c r="K27" s="88">
        <f t="shared" si="2"/>
        <v>15</v>
      </c>
      <c r="L27" s="85">
        <v>2288</v>
      </c>
      <c r="M27" s="118" t="s">
        <v>82</v>
      </c>
      <c r="N27" s="96"/>
      <c r="O27" s="96" t="s">
        <v>42</v>
      </c>
      <c r="R27"/>
    </row>
    <row r="28" spans="1:18" hidden="1" x14ac:dyDescent="0.2">
      <c r="A28" s="84" t="str">
        <f t="shared" si="0"/>
        <v>MarçoSEMANA 1Gelo em Cubo</v>
      </c>
      <c r="B28" s="85" t="s">
        <v>31</v>
      </c>
      <c r="C28" s="85" t="s">
        <v>20</v>
      </c>
      <c r="D28" s="86">
        <v>1</v>
      </c>
      <c r="E28" s="116" t="str">
        <f t="shared" si="1"/>
        <v>Mercado</v>
      </c>
      <c r="F28" s="85" t="s">
        <v>1096</v>
      </c>
      <c r="G28" s="85" t="s">
        <v>383</v>
      </c>
      <c r="H28" s="85" t="s">
        <v>1097</v>
      </c>
      <c r="I28" s="85">
        <v>3</v>
      </c>
      <c r="J28" s="87">
        <v>7.5</v>
      </c>
      <c r="K28" s="88">
        <f t="shared" si="2"/>
        <v>22.5</v>
      </c>
      <c r="L28" s="85">
        <v>2288</v>
      </c>
      <c r="M28" s="118" t="s">
        <v>83</v>
      </c>
      <c r="N28" s="96"/>
      <c r="O28" s="96" t="s">
        <v>42</v>
      </c>
      <c r="R28"/>
    </row>
    <row r="29" spans="1:18" hidden="1" x14ac:dyDescent="0.2">
      <c r="A29" s="84" t="str">
        <f t="shared" si="0"/>
        <v>MarçoSEMANA 1Pescados - Filé Truta Cong.</v>
      </c>
      <c r="B29" s="85" t="s">
        <v>31</v>
      </c>
      <c r="C29" s="85" t="s">
        <v>20</v>
      </c>
      <c r="D29" s="86">
        <v>1</v>
      </c>
      <c r="E29" s="116" t="str">
        <f t="shared" si="1"/>
        <v>Carnes</v>
      </c>
      <c r="F29" s="85" t="s">
        <v>1098</v>
      </c>
      <c r="G29" s="85" t="s">
        <v>616</v>
      </c>
      <c r="H29" s="85" t="s">
        <v>1083</v>
      </c>
      <c r="I29" s="85">
        <v>24</v>
      </c>
      <c r="J29" s="87">
        <v>26</v>
      </c>
      <c r="K29" s="88">
        <f t="shared" si="2"/>
        <v>624</v>
      </c>
      <c r="L29" s="85" t="s">
        <v>1099</v>
      </c>
      <c r="M29" s="118" t="s">
        <v>84</v>
      </c>
      <c r="N29" s="96"/>
      <c r="O29" s="96" t="s">
        <v>46</v>
      </c>
      <c r="R29"/>
    </row>
    <row r="30" spans="1:18" hidden="1" x14ac:dyDescent="0.2">
      <c r="A30" s="84" t="str">
        <f t="shared" si="0"/>
        <v>MarçoSEMANA 1Cogumelo Paris</v>
      </c>
      <c r="B30" s="85" t="s">
        <v>31</v>
      </c>
      <c r="C30" s="85" t="s">
        <v>20</v>
      </c>
      <c r="D30" s="86">
        <v>1</v>
      </c>
      <c r="E30" s="116" t="str">
        <f t="shared" si="1"/>
        <v>Mercado</v>
      </c>
      <c r="F30" s="85" t="s">
        <v>1098</v>
      </c>
      <c r="G30" s="85" t="s">
        <v>292</v>
      </c>
      <c r="H30" s="85" t="s">
        <v>1083</v>
      </c>
      <c r="I30" s="90">
        <v>5</v>
      </c>
      <c r="J30" s="87">
        <v>15.5</v>
      </c>
      <c r="K30" s="88">
        <f t="shared" ref="K30:K39" si="3">I30*J30</f>
        <v>77.5</v>
      </c>
      <c r="L30" s="85" t="s">
        <v>1099</v>
      </c>
      <c r="M30" s="118" t="s">
        <v>974</v>
      </c>
      <c r="N30" s="96"/>
      <c r="O30" s="96" t="s">
        <v>873</v>
      </c>
      <c r="R30"/>
    </row>
    <row r="31" spans="1:18" hidden="1" x14ac:dyDescent="0.2">
      <c r="A31" s="84" t="str">
        <f t="shared" si="0"/>
        <v>MarçoSEMANA 1Cogumelo Fatiado Bd 2 Kg</v>
      </c>
      <c r="B31" s="85" t="s">
        <v>31</v>
      </c>
      <c r="C31" s="85" t="s">
        <v>20</v>
      </c>
      <c r="D31" s="86">
        <v>1</v>
      </c>
      <c r="E31" s="116" t="str">
        <f t="shared" si="1"/>
        <v>Mercado</v>
      </c>
      <c r="F31" s="85" t="s">
        <v>1098</v>
      </c>
      <c r="G31" s="85" t="s">
        <v>291</v>
      </c>
      <c r="H31" s="85" t="s">
        <v>1088</v>
      </c>
      <c r="I31" s="90">
        <v>2</v>
      </c>
      <c r="J31" s="87">
        <v>37</v>
      </c>
      <c r="K31" s="88">
        <f t="shared" si="3"/>
        <v>74</v>
      </c>
      <c r="L31" s="85" t="s">
        <v>1099</v>
      </c>
      <c r="M31" s="118" t="s">
        <v>85</v>
      </c>
      <c r="N31" s="96"/>
      <c r="O31" s="96" t="s">
        <v>45</v>
      </c>
      <c r="R31"/>
    </row>
    <row r="32" spans="1:18" hidden="1" x14ac:dyDescent="0.2">
      <c r="A32" s="84" t="str">
        <f t="shared" si="0"/>
        <v>MarçoSEMANA 1Carne Bovina - Picanha Grill/Churrascaria</v>
      </c>
      <c r="B32" s="85" t="s">
        <v>31</v>
      </c>
      <c r="C32" s="85" t="s">
        <v>20</v>
      </c>
      <c r="D32" s="86">
        <v>1</v>
      </c>
      <c r="E32" s="116" t="str">
        <f t="shared" si="1"/>
        <v>Carnes</v>
      </c>
      <c r="F32" s="85" t="s">
        <v>1100</v>
      </c>
      <c r="G32" s="85" t="s">
        <v>233</v>
      </c>
      <c r="H32" s="85" t="s">
        <v>1083</v>
      </c>
      <c r="I32" s="90">
        <v>19.61</v>
      </c>
      <c r="J32" s="87">
        <v>34.8673</v>
      </c>
      <c r="K32" s="88">
        <f t="shared" si="3"/>
        <v>683.74775299999999</v>
      </c>
      <c r="L32" s="85">
        <v>108756</v>
      </c>
      <c r="M32" s="118" t="s">
        <v>86</v>
      </c>
      <c r="N32" s="96"/>
      <c r="O32" s="96" t="s">
        <v>45</v>
      </c>
      <c r="R32"/>
    </row>
    <row r="33" spans="1:18" hidden="1" x14ac:dyDescent="0.2">
      <c r="A33" s="84" t="str">
        <f t="shared" si="0"/>
        <v>MarçoSEMANA 1Aguardente 51</v>
      </c>
      <c r="B33" s="85" t="s">
        <v>31</v>
      </c>
      <c r="C33" s="85" t="s">
        <v>20</v>
      </c>
      <c r="D33" s="86">
        <v>1</v>
      </c>
      <c r="E33" s="116" t="str">
        <f t="shared" si="1"/>
        <v>Bebidas</v>
      </c>
      <c r="F33" s="85" t="s">
        <v>1101</v>
      </c>
      <c r="G33" s="85" t="s">
        <v>94</v>
      </c>
      <c r="H33" s="85" t="s">
        <v>1090</v>
      </c>
      <c r="I33" s="85">
        <v>1</v>
      </c>
      <c r="J33" s="87">
        <v>7.98</v>
      </c>
      <c r="K33" s="88">
        <f t="shared" si="3"/>
        <v>7.98</v>
      </c>
      <c r="L33" s="85" t="s">
        <v>1102</v>
      </c>
      <c r="M33" s="118" t="s">
        <v>87</v>
      </c>
      <c r="N33" s="96"/>
      <c r="O33" s="96" t="s">
        <v>60</v>
      </c>
      <c r="R33"/>
    </row>
    <row r="34" spans="1:18" hidden="1" x14ac:dyDescent="0.2">
      <c r="A34" s="84" t="str">
        <f t="shared" si="0"/>
        <v>MarçoSEMANA 1Carne Bovina - Carne Seca</v>
      </c>
      <c r="B34" s="85" t="s">
        <v>31</v>
      </c>
      <c r="C34" s="85" t="s">
        <v>20</v>
      </c>
      <c r="D34" s="86">
        <v>1</v>
      </c>
      <c r="E34" s="116" t="str">
        <f t="shared" si="1"/>
        <v>Carnes</v>
      </c>
      <c r="F34" s="85" t="s">
        <v>1101</v>
      </c>
      <c r="G34" s="85" t="s">
        <v>218</v>
      </c>
      <c r="H34" s="85" t="s">
        <v>1083</v>
      </c>
      <c r="I34" s="85">
        <v>10</v>
      </c>
      <c r="J34" s="87">
        <v>19.98</v>
      </c>
      <c r="K34" s="88">
        <f t="shared" si="3"/>
        <v>199.8</v>
      </c>
      <c r="L34" s="85" t="s">
        <v>1102</v>
      </c>
      <c r="M34" s="118" t="s">
        <v>88</v>
      </c>
      <c r="N34" s="96"/>
      <c r="O34" s="96" t="s">
        <v>45</v>
      </c>
      <c r="R34"/>
    </row>
    <row r="35" spans="1:18" hidden="1" x14ac:dyDescent="0.2">
      <c r="A35" s="84" t="str">
        <f t="shared" si="0"/>
        <v>MarçoSEMANA 1Suíno - Linguiça Fina Defumada</v>
      </c>
      <c r="B35" s="85" t="s">
        <v>31</v>
      </c>
      <c r="C35" s="85" t="s">
        <v>20</v>
      </c>
      <c r="D35" s="86">
        <v>1</v>
      </c>
      <c r="E35" s="116" t="str">
        <f t="shared" si="1"/>
        <v>Carnes</v>
      </c>
      <c r="F35" s="85" t="s">
        <v>1101</v>
      </c>
      <c r="G35" s="85" t="s">
        <v>763</v>
      </c>
      <c r="H35" s="85" t="s">
        <v>1083</v>
      </c>
      <c r="I35" s="85">
        <v>7.5</v>
      </c>
      <c r="J35" s="87">
        <v>10.3</v>
      </c>
      <c r="K35" s="88">
        <f t="shared" si="3"/>
        <v>77.25</v>
      </c>
      <c r="L35" s="85" t="s">
        <v>1102</v>
      </c>
      <c r="M35" s="118" t="s">
        <v>89</v>
      </c>
      <c r="N35" s="96"/>
      <c r="O35" s="96" t="s">
        <v>47</v>
      </c>
      <c r="R35"/>
    </row>
    <row r="36" spans="1:18" hidden="1" x14ac:dyDescent="0.2">
      <c r="A36" s="84" t="str">
        <f t="shared" si="0"/>
        <v>MarçoSEMANA 1Margarina Qualy 500 g</v>
      </c>
      <c r="B36" s="85" t="s">
        <v>31</v>
      </c>
      <c r="C36" s="85" t="s">
        <v>20</v>
      </c>
      <c r="D36" s="86">
        <v>1</v>
      </c>
      <c r="E36" s="116" t="str">
        <f t="shared" si="1"/>
        <v>Mercado</v>
      </c>
      <c r="F36" s="85" t="s">
        <v>1101</v>
      </c>
      <c r="G36" s="85" t="s">
        <v>505</v>
      </c>
      <c r="H36" s="85" t="s">
        <v>1083</v>
      </c>
      <c r="I36" s="85">
        <v>6</v>
      </c>
      <c r="J36" s="87">
        <v>8.17</v>
      </c>
      <c r="K36" s="88">
        <f t="shared" si="3"/>
        <v>49.019999999999996</v>
      </c>
      <c r="L36" s="85" t="s">
        <v>1102</v>
      </c>
      <c r="M36" s="118" t="s">
        <v>90</v>
      </c>
      <c r="N36" s="96"/>
      <c r="O36" s="96" t="s">
        <v>47</v>
      </c>
      <c r="R36"/>
    </row>
    <row r="37" spans="1:18" hidden="1" x14ac:dyDescent="0.2">
      <c r="A37" s="84" t="str">
        <f t="shared" si="0"/>
        <v>MarçoSEMANA 1Presunto Cozido</v>
      </c>
      <c r="B37" s="85" t="s">
        <v>31</v>
      </c>
      <c r="C37" s="85" t="s">
        <v>20</v>
      </c>
      <c r="D37" s="86">
        <v>1</v>
      </c>
      <c r="E37" s="116" t="str">
        <f t="shared" si="1"/>
        <v>Carnes</v>
      </c>
      <c r="F37" s="85" t="s">
        <v>1101</v>
      </c>
      <c r="G37" s="85" t="s">
        <v>669</v>
      </c>
      <c r="H37" s="85" t="s">
        <v>1083</v>
      </c>
      <c r="I37" s="85">
        <v>6.7</v>
      </c>
      <c r="J37" s="87">
        <f>98.02/6.7</f>
        <v>14.629850746268655</v>
      </c>
      <c r="K37" s="88">
        <f t="shared" si="3"/>
        <v>98.02</v>
      </c>
      <c r="L37" s="85" t="s">
        <v>1102</v>
      </c>
      <c r="M37" s="118" t="s">
        <v>91</v>
      </c>
      <c r="N37" s="96"/>
      <c r="O37" s="96" t="s">
        <v>47</v>
      </c>
      <c r="R37"/>
    </row>
    <row r="38" spans="1:18" hidden="1" x14ac:dyDescent="0.2">
      <c r="A38" s="84" t="str">
        <f t="shared" si="0"/>
        <v>MarçoSEMANA 1Queijo Coalho</v>
      </c>
      <c r="B38" s="85" t="s">
        <v>31</v>
      </c>
      <c r="C38" s="85" t="s">
        <v>20</v>
      </c>
      <c r="D38" s="86">
        <v>1</v>
      </c>
      <c r="E38" s="116" t="str">
        <f t="shared" si="1"/>
        <v>Laticínios</v>
      </c>
      <c r="F38" s="85" t="s">
        <v>1101</v>
      </c>
      <c r="G38" s="85" t="s">
        <v>675</v>
      </c>
      <c r="H38" s="85" t="s">
        <v>1083</v>
      </c>
      <c r="I38" s="85">
        <v>6</v>
      </c>
      <c r="J38" s="87">
        <v>24.13</v>
      </c>
      <c r="K38" s="88">
        <f t="shared" si="3"/>
        <v>144.78</v>
      </c>
      <c r="L38" s="85" t="s">
        <v>1102</v>
      </c>
      <c r="M38" s="118" t="s">
        <v>92</v>
      </c>
      <c r="N38" s="96"/>
      <c r="O38" s="96" t="s">
        <v>47</v>
      </c>
      <c r="R38"/>
    </row>
    <row r="39" spans="1:18" hidden="1" x14ac:dyDescent="0.2">
      <c r="A39" s="84" t="str">
        <f t="shared" si="0"/>
        <v>MarçoSEMANA 1Queijo Minas Padrão</v>
      </c>
      <c r="B39" s="85" t="s">
        <v>31</v>
      </c>
      <c r="C39" s="85" t="s">
        <v>20</v>
      </c>
      <c r="D39" s="86">
        <v>1</v>
      </c>
      <c r="E39" s="116" t="str">
        <f t="shared" si="1"/>
        <v>Laticínios</v>
      </c>
      <c r="F39" s="85" t="s">
        <v>1101</v>
      </c>
      <c r="G39" s="85" t="s">
        <v>682</v>
      </c>
      <c r="H39" s="85" t="s">
        <v>1083</v>
      </c>
      <c r="I39" s="85">
        <v>8.6300000000000008</v>
      </c>
      <c r="J39" s="87">
        <v>31.28</v>
      </c>
      <c r="K39" s="88">
        <f t="shared" si="3"/>
        <v>269.94640000000004</v>
      </c>
      <c r="L39" s="85" t="s">
        <v>1102</v>
      </c>
      <c r="M39" s="118" t="s">
        <v>93</v>
      </c>
      <c r="N39" s="96"/>
      <c r="O39" s="96" t="s">
        <v>47</v>
      </c>
      <c r="R39"/>
    </row>
    <row r="40" spans="1:18" hidden="1" x14ac:dyDescent="0.2">
      <c r="A40" s="84" t="str">
        <f t="shared" si="0"/>
        <v>MarçoSEMANA 1Vodka Smirnoff</v>
      </c>
      <c r="B40" s="85" t="s">
        <v>31</v>
      </c>
      <c r="C40" s="85" t="s">
        <v>20</v>
      </c>
      <c r="D40" s="86">
        <v>1</v>
      </c>
      <c r="E40" s="116" t="str">
        <f t="shared" si="1"/>
        <v>Bebidas</v>
      </c>
      <c r="F40" s="85" t="s">
        <v>1101</v>
      </c>
      <c r="G40" s="85" t="s">
        <v>866</v>
      </c>
      <c r="H40" s="85" t="s">
        <v>1090</v>
      </c>
      <c r="I40" s="85">
        <v>1</v>
      </c>
      <c r="J40" s="87">
        <v>29.63</v>
      </c>
      <c r="K40" s="88">
        <f t="shared" si="2"/>
        <v>29.63</v>
      </c>
      <c r="L40" s="85" t="s">
        <v>1102</v>
      </c>
      <c r="M40" s="118" t="s">
        <v>94</v>
      </c>
      <c r="N40" s="96"/>
      <c r="O40" s="96" t="s">
        <v>47</v>
      </c>
      <c r="R40"/>
    </row>
    <row r="41" spans="1:18" hidden="1" x14ac:dyDescent="0.2">
      <c r="A41" s="84" t="str">
        <f t="shared" si="0"/>
        <v>MarçoSEMANA 1Coca Cola (lata)</v>
      </c>
      <c r="B41" s="85" t="s">
        <v>31</v>
      </c>
      <c r="C41" s="85" t="s">
        <v>20</v>
      </c>
      <c r="D41" s="86">
        <v>1</v>
      </c>
      <c r="E41" s="116" t="str">
        <f t="shared" si="1"/>
        <v>Bebidas</v>
      </c>
      <c r="F41" s="85" t="s">
        <v>1103</v>
      </c>
      <c r="G41" s="85" t="s">
        <v>285</v>
      </c>
      <c r="H41" s="85" t="s">
        <v>1090</v>
      </c>
      <c r="I41" s="85">
        <f>7*12</f>
        <v>84</v>
      </c>
      <c r="J41" s="87">
        <f>238.7/84</f>
        <v>2.8416666666666663</v>
      </c>
      <c r="K41" s="88">
        <f t="shared" si="2"/>
        <v>238.69999999999996</v>
      </c>
      <c r="L41" s="85">
        <v>1474329</v>
      </c>
      <c r="M41" s="118" t="s">
        <v>95</v>
      </c>
      <c r="N41" s="96"/>
      <c r="O41" s="96" t="s">
        <v>45</v>
      </c>
      <c r="R41"/>
    </row>
    <row r="42" spans="1:18" hidden="1" x14ac:dyDescent="0.2">
      <c r="A42" s="84" t="str">
        <f t="shared" si="0"/>
        <v>MarçoSEMANA 1Coca Cola Zero (lata)</v>
      </c>
      <c r="B42" s="85" t="s">
        <v>31</v>
      </c>
      <c r="C42" s="85" t="s">
        <v>20</v>
      </c>
      <c r="D42" s="86">
        <v>1</v>
      </c>
      <c r="E42" s="116" t="str">
        <f t="shared" si="1"/>
        <v>Bebidas</v>
      </c>
      <c r="F42" s="85" t="s">
        <v>1103</v>
      </c>
      <c r="G42" s="85" t="s">
        <v>286</v>
      </c>
      <c r="H42" s="85" t="s">
        <v>1090</v>
      </c>
      <c r="I42" s="85">
        <f>8*12</f>
        <v>96</v>
      </c>
      <c r="J42" s="87">
        <f>271.28/96</f>
        <v>2.8258333333333332</v>
      </c>
      <c r="K42" s="88">
        <f t="shared" si="2"/>
        <v>271.27999999999997</v>
      </c>
      <c r="L42" s="85">
        <v>1474329</v>
      </c>
      <c r="M42" s="118" t="s">
        <v>96</v>
      </c>
      <c r="N42" s="96"/>
      <c r="O42" s="96" t="s">
        <v>45</v>
      </c>
      <c r="R42"/>
    </row>
    <row r="43" spans="1:18" hidden="1" x14ac:dyDescent="0.2">
      <c r="A43" s="84" t="str">
        <f t="shared" si="0"/>
        <v>MarçoSEMANA 1Cerveja Heineken Long Neck 330 ml</v>
      </c>
      <c r="B43" s="85" t="s">
        <v>31</v>
      </c>
      <c r="C43" s="85" t="s">
        <v>20</v>
      </c>
      <c r="D43" s="86">
        <v>1</v>
      </c>
      <c r="E43" s="116" t="str">
        <f t="shared" si="1"/>
        <v>Bebidas</v>
      </c>
      <c r="F43" s="85" t="s">
        <v>1103</v>
      </c>
      <c r="G43" s="85" t="s">
        <v>264</v>
      </c>
      <c r="H43" s="85" t="s">
        <v>1090</v>
      </c>
      <c r="I43" s="85">
        <f>24*2</f>
        <v>48</v>
      </c>
      <c r="J43" s="87">
        <f>192/48</f>
        <v>4</v>
      </c>
      <c r="K43" s="88">
        <f t="shared" si="2"/>
        <v>192</v>
      </c>
      <c r="L43" s="85">
        <v>1474329</v>
      </c>
      <c r="M43" s="118" t="s">
        <v>97</v>
      </c>
      <c r="N43" s="96"/>
      <c r="O43" s="96" t="s">
        <v>42</v>
      </c>
      <c r="R43"/>
    </row>
    <row r="44" spans="1:18" hidden="1" x14ac:dyDescent="0.2">
      <c r="A44" s="84" t="str">
        <f t="shared" si="0"/>
        <v>MarçoSEMANA 1Pescados - Salmão Inteiro Sushi</v>
      </c>
      <c r="B44" s="85" t="s">
        <v>31</v>
      </c>
      <c r="C44" s="85" t="s">
        <v>20</v>
      </c>
      <c r="D44" s="86">
        <v>1</v>
      </c>
      <c r="E44" s="116" t="str">
        <f t="shared" si="1"/>
        <v>Sushi</v>
      </c>
      <c r="F44" s="85" t="s">
        <v>1104</v>
      </c>
      <c r="G44" s="85" t="s">
        <v>644</v>
      </c>
      <c r="H44" s="85" t="s">
        <v>1083</v>
      </c>
      <c r="I44" s="85">
        <v>33.869999999999997</v>
      </c>
      <c r="J44" s="87">
        <v>25.3</v>
      </c>
      <c r="K44" s="88">
        <f t="shared" si="2"/>
        <v>856.91099999999994</v>
      </c>
      <c r="L44" s="85" t="s">
        <v>1105</v>
      </c>
      <c r="M44" s="118" t="s">
        <v>98</v>
      </c>
      <c r="N44" s="96"/>
      <c r="O44" s="96" t="s">
        <v>42</v>
      </c>
      <c r="R44"/>
    </row>
    <row r="45" spans="1:18" hidden="1" x14ac:dyDescent="0.2">
      <c r="A45" s="84" t="str">
        <f t="shared" si="0"/>
        <v>MarçoSEMANA 1Arroz Branco</v>
      </c>
      <c r="B45" s="85" t="s">
        <v>31</v>
      </c>
      <c r="C45" s="85" t="s">
        <v>20</v>
      </c>
      <c r="D45" s="86">
        <v>1</v>
      </c>
      <c r="E45" s="116" t="str">
        <f t="shared" si="1"/>
        <v>Mercado</v>
      </c>
      <c r="F45" s="85" t="s">
        <v>1106</v>
      </c>
      <c r="G45" s="85" t="s">
        <v>126</v>
      </c>
      <c r="H45" s="85" t="s">
        <v>1083</v>
      </c>
      <c r="I45" s="85">
        <v>60</v>
      </c>
      <c r="J45" s="87">
        <f>197.28/60</f>
        <v>3.2879999999999998</v>
      </c>
      <c r="K45" s="88">
        <f t="shared" si="2"/>
        <v>197.28</v>
      </c>
      <c r="L45" s="85" t="s">
        <v>1107</v>
      </c>
      <c r="M45" s="118" t="s">
        <v>99</v>
      </c>
      <c r="N45" s="96"/>
      <c r="O45" s="96" t="s">
        <v>46</v>
      </c>
      <c r="R45"/>
    </row>
    <row r="46" spans="1:18" hidden="1" x14ac:dyDescent="0.2">
      <c r="A46" s="84" t="str">
        <f t="shared" si="0"/>
        <v>MarçoSEMANA 1Farinha de Trigo</v>
      </c>
      <c r="B46" s="85" t="s">
        <v>31</v>
      </c>
      <c r="C46" s="85" t="s">
        <v>20</v>
      </c>
      <c r="D46" s="86">
        <v>1</v>
      </c>
      <c r="E46" s="116" t="str">
        <f t="shared" si="1"/>
        <v>Mercado</v>
      </c>
      <c r="F46" s="85" t="s">
        <v>1106</v>
      </c>
      <c r="G46" s="85" t="s">
        <v>343</v>
      </c>
      <c r="H46" s="85" t="s">
        <v>1083</v>
      </c>
      <c r="I46" s="85">
        <v>50</v>
      </c>
      <c r="J46" s="89">
        <v>1.6839999999999999</v>
      </c>
      <c r="K46" s="88">
        <f t="shared" si="2"/>
        <v>84.2</v>
      </c>
      <c r="L46" s="85" t="s">
        <v>1107</v>
      </c>
      <c r="M46" s="118" t="s">
        <v>100</v>
      </c>
      <c r="O46" s="115" t="s">
        <v>46</v>
      </c>
      <c r="R46"/>
    </row>
    <row r="47" spans="1:18" hidden="1" x14ac:dyDescent="0.2">
      <c r="A47" s="84" t="str">
        <f t="shared" si="0"/>
        <v>MarçoSEMANA 1Feijão Preto</v>
      </c>
      <c r="B47" s="85" t="s">
        <v>31</v>
      </c>
      <c r="C47" s="85" t="s">
        <v>20</v>
      </c>
      <c r="D47" s="86">
        <v>1</v>
      </c>
      <c r="E47" s="116" t="str">
        <f t="shared" si="1"/>
        <v>Mercado</v>
      </c>
      <c r="F47" s="85" t="s">
        <v>1106</v>
      </c>
      <c r="G47" s="85" t="s">
        <v>352</v>
      </c>
      <c r="H47" s="85" t="s">
        <v>1083</v>
      </c>
      <c r="I47" s="85">
        <v>40</v>
      </c>
      <c r="J47" s="87">
        <v>4.25</v>
      </c>
      <c r="K47" s="88">
        <f t="shared" si="2"/>
        <v>170</v>
      </c>
      <c r="L47" s="85" t="s">
        <v>1107</v>
      </c>
      <c r="M47" s="118" t="s">
        <v>991</v>
      </c>
      <c r="N47" s="96"/>
      <c r="O47" s="96" t="s">
        <v>46</v>
      </c>
      <c r="R47"/>
    </row>
    <row r="48" spans="1:18" hidden="1" x14ac:dyDescent="0.2">
      <c r="A48" s="84" t="str">
        <f t="shared" si="0"/>
        <v>MarçoSEMANA 1Karo Mel</v>
      </c>
      <c r="B48" s="85" t="s">
        <v>31</v>
      </c>
      <c r="C48" s="85" t="s">
        <v>20</v>
      </c>
      <c r="D48" s="86">
        <v>1</v>
      </c>
      <c r="E48" s="116" t="str">
        <f t="shared" si="1"/>
        <v>Mercado</v>
      </c>
      <c r="F48" s="85" t="s">
        <v>1106</v>
      </c>
      <c r="G48" s="85" t="s">
        <v>452</v>
      </c>
      <c r="H48" s="85" t="s">
        <v>1090</v>
      </c>
      <c r="I48" s="85">
        <v>24</v>
      </c>
      <c r="J48" s="87">
        <v>6.35</v>
      </c>
      <c r="K48" s="88">
        <f t="shared" si="2"/>
        <v>152.39999999999998</v>
      </c>
      <c r="L48" s="85" t="s">
        <v>1107</v>
      </c>
      <c r="M48" s="118" t="s">
        <v>101</v>
      </c>
      <c r="N48" s="96"/>
      <c r="O48" s="96" t="s">
        <v>45</v>
      </c>
      <c r="R48"/>
    </row>
    <row r="49" spans="1:18" hidden="1" x14ac:dyDescent="0.2">
      <c r="A49" s="84" t="str">
        <f t="shared" si="0"/>
        <v>MarçoSEMANA 1Lentilha</v>
      </c>
      <c r="B49" s="85" t="s">
        <v>31</v>
      </c>
      <c r="C49" s="85" t="s">
        <v>20</v>
      </c>
      <c r="D49" s="86">
        <v>1</v>
      </c>
      <c r="E49" s="116" t="str">
        <f t="shared" si="1"/>
        <v>Mercado</v>
      </c>
      <c r="F49" s="85" t="s">
        <v>1106</v>
      </c>
      <c r="G49" s="85" t="s">
        <v>461</v>
      </c>
      <c r="H49" s="85" t="s">
        <v>1083</v>
      </c>
      <c r="I49" s="85">
        <f>10*0.5</f>
        <v>5</v>
      </c>
      <c r="J49" s="89">
        <f>52/5</f>
        <v>10.4</v>
      </c>
      <c r="K49" s="88">
        <f t="shared" si="2"/>
        <v>52</v>
      </c>
      <c r="L49" s="85" t="s">
        <v>1107</v>
      </c>
      <c r="M49" s="118" t="s">
        <v>102</v>
      </c>
      <c r="O49" s="115" t="s">
        <v>45</v>
      </c>
      <c r="R49"/>
    </row>
    <row r="50" spans="1:18" hidden="1" x14ac:dyDescent="0.2">
      <c r="A50" s="84" t="str">
        <f t="shared" si="0"/>
        <v>MarçoSEMANA 1Pimenta Tabasco</v>
      </c>
      <c r="B50" s="85" t="s">
        <v>31</v>
      </c>
      <c r="C50" s="85" t="s">
        <v>20</v>
      </c>
      <c r="D50" s="86">
        <v>1</v>
      </c>
      <c r="E50" s="116" t="str">
        <f t="shared" si="1"/>
        <v>Mercado</v>
      </c>
      <c r="F50" s="85" t="s">
        <v>1106</v>
      </c>
      <c r="G50" s="85" t="s">
        <v>661</v>
      </c>
      <c r="H50" s="85" t="s">
        <v>1090</v>
      </c>
      <c r="I50" s="85">
        <f>2</f>
        <v>2</v>
      </c>
      <c r="J50" s="89">
        <f>25.18/2</f>
        <v>12.59</v>
      </c>
      <c r="K50" s="88">
        <f t="shared" si="2"/>
        <v>25.18</v>
      </c>
      <c r="L50" s="85" t="s">
        <v>1107</v>
      </c>
      <c r="M50" s="118" t="s">
        <v>877</v>
      </c>
      <c r="N50" s="96"/>
      <c r="O50" s="96" t="s">
        <v>874</v>
      </c>
      <c r="R50"/>
    </row>
    <row r="51" spans="1:18" hidden="1" x14ac:dyDescent="0.2">
      <c r="A51" s="84" t="str">
        <f t="shared" si="0"/>
        <v>MarçoSEMANA 1Feijão Mulatinho</v>
      </c>
      <c r="B51" s="85" t="s">
        <v>31</v>
      </c>
      <c r="C51" s="85" t="s">
        <v>20</v>
      </c>
      <c r="D51" s="86">
        <v>1</v>
      </c>
      <c r="E51" s="116" t="str">
        <f t="shared" si="1"/>
        <v>Mercado</v>
      </c>
      <c r="F51" s="85" t="s">
        <v>1106</v>
      </c>
      <c r="G51" s="85" t="s">
        <v>351</v>
      </c>
      <c r="H51" s="85" t="s">
        <v>1083</v>
      </c>
      <c r="I51" s="85">
        <v>20</v>
      </c>
      <c r="J51" s="87">
        <f>150/20</f>
        <v>7.5</v>
      </c>
      <c r="K51" s="88">
        <f t="shared" si="2"/>
        <v>150</v>
      </c>
      <c r="L51" s="85" t="s">
        <v>1107</v>
      </c>
      <c r="M51" s="118" t="s">
        <v>103</v>
      </c>
      <c r="N51" s="96"/>
      <c r="O51" s="96" t="s">
        <v>45</v>
      </c>
      <c r="R51"/>
    </row>
    <row r="52" spans="1:18" hidden="1" x14ac:dyDescent="0.2">
      <c r="A52" s="84" t="str">
        <f t="shared" si="0"/>
        <v>MarçoSEMANA 1Nescau (Nestle)</v>
      </c>
      <c r="B52" s="85" t="s">
        <v>31</v>
      </c>
      <c r="C52" s="85" t="s">
        <v>20</v>
      </c>
      <c r="D52" s="86">
        <v>1</v>
      </c>
      <c r="E52" s="116" t="str">
        <f t="shared" si="1"/>
        <v>Mercado</v>
      </c>
      <c r="F52" s="85" t="s">
        <v>1106</v>
      </c>
      <c r="G52" s="85" t="s">
        <v>537</v>
      </c>
      <c r="H52" s="85" t="s">
        <v>1083</v>
      </c>
      <c r="I52" s="85">
        <v>1</v>
      </c>
      <c r="J52" s="87">
        <f>20.45+0.49</f>
        <v>20.939999999999998</v>
      </c>
      <c r="K52" s="88">
        <f t="shared" si="2"/>
        <v>20.939999999999998</v>
      </c>
      <c r="L52" s="85" t="s">
        <v>1107</v>
      </c>
      <c r="M52" s="118" t="s">
        <v>104</v>
      </c>
      <c r="O52" s="115" t="s">
        <v>45</v>
      </c>
      <c r="R52"/>
    </row>
    <row r="53" spans="1:18" hidden="1" x14ac:dyDescent="0.2">
      <c r="A53" s="84" t="str">
        <f t="shared" si="0"/>
        <v>MarçoSEMANA 1Sal Refinado</v>
      </c>
      <c r="B53" s="85" t="s">
        <v>31</v>
      </c>
      <c r="C53" s="85" t="s">
        <v>20</v>
      </c>
      <c r="D53" s="86">
        <v>1</v>
      </c>
      <c r="E53" s="116" t="str">
        <f t="shared" si="1"/>
        <v>Mercado</v>
      </c>
      <c r="F53" s="85" t="s">
        <v>1106</v>
      </c>
      <c r="G53" s="85" t="s">
        <v>724</v>
      </c>
      <c r="H53" s="85" t="s">
        <v>1083</v>
      </c>
      <c r="I53" s="85">
        <v>20</v>
      </c>
      <c r="J53" s="87">
        <v>1.48</v>
      </c>
      <c r="K53" s="88">
        <f t="shared" si="2"/>
        <v>29.6</v>
      </c>
      <c r="L53" s="85" t="s">
        <v>1107</v>
      </c>
      <c r="M53" s="118" t="s">
        <v>878</v>
      </c>
      <c r="N53" s="96"/>
      <c r="O53" s="96" t="s">
        <v>874</v>
      </c>
      <c r="R53"/>
    </row>
    <row r="54" spans="1:18" hidden="1" x14ac:dyDescent="0.2">
      <c r="A54" s="84" t="str">
        <f t="shared" si="0"/>
        <v>MarçoSEMANA 1Tomate Pelatti s/ Pele</v>
      </c>
      <c r="B54" s="85" t="s">
        <v>31</v>
      </c>
      <c r="C54" s="85" t="s">
        <v>20</v>
      </c>
      <c r="D54" s="86">
        <v>1</v>
      </c>
      <c r="E54" s="116" t="str">
        <f t="shared" si="1"/>
        <v>Mercado</v>
      </c>
      <c r="F54" s="85" t="s">
        <v>1106</v>
      </c>
      <c r="G54" s="85" t="s">
        <v>793</v>
      </c>
      <c r="H54" s="85" t="s">
        <v>1090</v>
      </c>
      <c r="I54" s="85">
        <v>2</v>
      </c>
      <c r="J54" s="87">
        <v>15.5</v>
      </c>
      <c r="K54" s="88">
        <f t="shared" si="2"/>
        <v>31</v>
      </c>
      <c r="L54" s="85" t="s">
        <v>1107</v>
      </c>
      <c r="M54" s="118" t="s">
        <v>105</v>
      </c>
      <c r="N54" s="96"/>
      <c r="O54" s="96" t="s">
        <v>45</v>
      </c>
      <c r="R54"/>
    </row>
    <row r="55" spans="1:18" hidden="1" x14ac:dyDescent="0.2">
      <c r="A55" s="84" t="str">
        <f t="shared" si="0"/>
        <v>MarçoSEMANA 1Vinagre de Vinho Tinto 750 ml</v>
      </c>
      <c r="B55" s="85" t="s">
        <v>31</v>
      </c>
      <c r="C55" s="85" t="s">
        <v>20</v>
      </c>
      <c r="D55" s="86">
        <v>1</v>
      </c>
      <c r="E55" s="116" t="str">
        <f t="shared" si="1"/>
        <v>Mercado</v>
      </c>
      <c r="F55" s="85" t="s">
        <v>1106</v>
      </c>
      <c r="G55" s="85" t="s">
        <v>841</v>
      </c>
      <c r="H55" s="85" t="s">
        <v>1090</v>
      </c>
      <c r="I55" s="85">
        <v>12</v>
      </c>
      <c r="J55" s="87">
        <f>31.8/12</f>
        <v>2.65</v>
      </c>
      <c r="K55" s="88">
        <f t="shared" si="2"/>
        <v>31.799999999999997</v>
      </c>
      <c r="L55" s="85" t="s">
        <v>1107</v>
      </c>
      <c r="M55" s="118" t="s">
        <v>106</v>
      </c>
      <c r="O55" s="115" t="s">
        <v>60</v>
      </c>
      <c r="R55"/>
    </row>
    <row r="56" spans="1:18" hidden="1" x14ac:dyDescent="0.2">
      <c r="A56" s="84" t="str">
        <f t="shared" si="0"/>
        <v>MarçoSEMANA 1Pescados - Bacalhau Salgado</v>
      </c>
      <c r="B56" s="85" t="s">
        <v>31</v>
      </c>
      <c r="C56" s="85" t="s">
        <v>20</v>
      </c>
      <c r="D56" s="86">
        <v>1</v>
      </c>
      <c r="E56" s="116" t="str">
        <f t="shared" si="1"/>
        <v>Carnes</v>
      </c>
      <c r="F56" s="85" t="s">
        <v>1108</v>
      </c>
      <c r="G56" s="85" t="s">
        <v>588</v>
      </c>
      <c r="H56" s="85" t="s">
        <v>1083</v>
      </c>
      <c r="I56" s="85">
        <v>25</v>
      </c>
      <c r="J56" s="87">
        <f>1249.5/25</f>
        <v>49.98</v>
      </c>
      <c r="K56" s="88">
        <f t="shared" si="2"/>
        <v>1249.5</v>
      </c>
      <c r="L56" s="85" t="s">
        <v>1109</v>
      </c>
      <c r="M56" s="118" t="s">
        <v>958</v>
      </c>
      <c r="N56" s="96"/>
      <c r="O56" s="96" t="s">
        <v>45</v>
      </c>
      <c r="R56"/>
    </row>
    <row r="57" spans="1:18" x14ac:dyDescent="0.25">
      <c r="A57" s="84" t="str">
        <f t="shared" si="0"/>
        <v xml:space="preserve">MarçoSEMANA 1Abobrinha </v>
      </c>
      <c r="B57" s="85" t="s">
        <v>31</v>
      </c>
      <c r="C57" s="85" t="s">
        <v>20</v>
      </c>
      <c r="D57" s="86">
        <v>1</v>
      </c>
      <c r="E57" s="116" t="str">
        <f t="shared" si="1"/>
        <v>Hortifruti</v>
      </c>
      <c r="F57" s="85" t="s">
        <v>1110</v>
      </c>
      <c r="G57" s="85" t="s">
        <v>72</v>
      </c>
      <c r="H57" s="85" t="s">
        <v>1083</v>
      </c>
      <c r="I57" s="85">
        <v>17.079999999999998</v>
      </c>
      <c r="J57" s="87">
        <f>35/17.08</f>
        <v>2.0491803278688527</v>
      </c>
      <c r="K57" s="88">
        <f t="shared" si="2"/>
        <v>35</v>
      </c>
      <c r="L57" s="85">
        <v>3294</v>
      </c>
      <c r="M57" s="118" t="s">
        <v>107</v>
      </c>
      <c r="N57" s="96"/>
      <c r="O57" s="96" t="s">
        <v>45</v>
      </c>
      <c r="R57"/>
    </row>
    <row r="58" spans="1:18" x14ac:dyDescent="0.25">
      <c r="A58" s="84" t="str">
        <f t="shared" si="0"/>
        <v>MarçoSEMANA 1Pepino Japonês</v>
      </c>
      <c r="B58" s="85" t="s">
        <v>31</v>
      </c>
      <c r="C58" s="85" t="s">
        <v>20</v>
      </c>
      <c r="D58" s="86">
        <v>1</v>
      </c>
      <c r="E58" s="116" t="str">
        <f t="shared" si="1"/>
        <v>Hortifruti</v>
      </c>
      <c r="F58" s="85" t="s">
        <v>1110</v>
      </c>
      <c r="G58" s="85" t="s">
        <v>576</v>
      </c>
      <c r="H58" s="85" t="s">
        <v>1083</v>
      </c>
      <c r="I58" s="85">
        <f>18.28-1.18</f>
        <v>17.100000000000001</v>
      </c>
      <c r="J58" s="87">
        <f>45/18.28</f>
        <v>2.4617067833698028</v>
      </c>
      <c r="K58" s="88">
        <f t="shared" si="2"/>
        <v>42.095185995623631</v>
      </c>
      <c r="L58" s="85">
        <v>3294</v>
      </c>
      <c r="M58" s="118" t="s">
        <v>108</v>
      </c>
      <c r="N58" s="96"/>
      <c r="O58" s="96" t="s">
        <v>45</v>
      </c>
      <c r="R58"/>
    </row>
    <row r="59" spans="1:18" x14ac:dyDescent="0.25">
      <c r="A59" s="84" t="str">
        <f t="shared" si="0"/>
        <v>MarçoSEMANA 1Vagem Manteiga</v>
      </c>
      <c r="B59" s="85" t="s">
        <v>31</v>
      </c>
      <c r="C59" s="85" t="s">
        <v>20</v>
      </c>
      <c r="D59" s="86">
        <v>1</v>
      </c>
      <c r="E59" s="116" t="str">
        <f t="shared" si="1"/>
        <v>Hortifruti</v>
      </c>
      <c r="F59" s="85" t="s">
        <v>1110</v>
      </c>
      <c r="G59" s="85" t="s">
        <v>982</v>
      </c>
      <c r="H59" s="85" t="s">
        <v>1083</v>
      </c>
      <c r="I59" s="85">
        <v>5</v>
      </c>
      <c r="J59" s="87">
        <v>6</v>
      </c>
      <c r="K59" s="88">
        <f t="shared" si="2"/>
        <v>30</v>
      </c>
      <c r="L59" s="85">
        <v>3294</v>
      </c>
      <c r="M59" s="118" t="s">
        <v>879</v>
      </c>
      <c r="N59" s="96"/>
      <c r="O59" s="96" t="s">
        <v>874</v>
      </c>
      <c r="R59"/>
    </row>
    <row r="60" spans="1:18" x14ac:dyDescent="0.25">
      <c r="A60" s="84" t="str">
        <f t="shared" si="0"/>
        <v>MarçoSEMANA 1Ovos Extra</v>
      </c>
      <c r="B60" s="85" t="s">
        <v>31</v>
      </c>
      <c r="C60" s="85" t="s">
        <v>20</v>
      </c>
      <c r="D60" s="86">
        <v>1</v>
      </c>
      <c r="E60" s="116" t="str">
        <f t="shared" si="1"/>
        <v>Hortifruti</v>
      </c>
      <c r="F60" s="85" t="s">
        <v>1110</v>
      </c>
      <c r="G60" s="85" t="s">
        <v>549</v>
      </c>
      <c r="H60" s="85" t="s">
        <v>1090</v>
      </c>
      <c r="I60" s="85">
        <v>360</v>
      </c>
      <c r="J60" s="87">
        <f>100/360</f>
        <v>0.27777777777777779</v>
      </c>
      <c r="K60" s="88">
        <f t="shared" si="2"/>
        <v>100</v>
      </c>
      <c r="L60" s="85">
        <v>3294</v>
      </c>
      <c r="M60" s="118" t="s">
        <v>109</v>
      </c>
      <c r="N60" s="96"/>
      <c r="O60" s="96" t="s">
        <v>45</v>
      </c>
      <c r="R60"/>
    </row>
    <row r="61" spans="1:18" x14ac:dyDescent="0.25">
      <c r="A61" s="84" t="str">
        <f t="shared" si="0"/>
        <v>MarçoSEMANA 1Aipo</v>
      </c>
      <c r="B61" s="85" t="s">
        <v>31</v>
      </c>
      <c r="C61" s="85" t="s">
        <v>20</v>
      </c>
      <c r="D61" s="86">
        <v>1</v>
      </c>
      <c r="E61" s="116" t="str">
        <f t="shared" si="1"/>
        <v>Hortifruti</v>
      </c>
      <c r="F61" s="85" t="s">
        <v>1110</v>
      </c>
      <c r="G61" s="85" t="s">
        <v>96</v>
      </c>
      <c r="H61" s="85" t="s">
        <v>1083</v>
      </c>
      <c r="I61" s="85">
        <v>1.2</v>
      </c>
      <c r="J61" s="87">
        <v>4</v>
      </c>
      <c r="K61" s="88">
        <f t="shared" si="2"/>
        <v>4.8</v>
      </c>
      <c r="L61" s="85">
        <v>3294</v>
      </c>
      <c r="M61" s="118" t="s">
        <v>110</v>
      </c>
      <c r="N61" s="96"/>
      <c r="O61" s="96" t="s">
        <v>45</v>
      </c>
      <c r="R61"/>
    </row>
    <row r="62" spans="1:18" x14ac:dyDescent="0.25">
      <c r="A62" s="84" t="str">
        <f t="shared" si="0"/>
        <v xml:space="preserve">MarçoSEMANA 1Alface Americana    </v>
      </c>
      <c r="B62" s="85" t="s">
        <v>31</v>
      </c>
      <c r="C62" s="85" t="s">
        <v>20</v>
      </c>
      <c r="D62" s="86">
        <v>1</v>
      </c>
      <c r="E62" s="116" t="str">
        <f t="shared" si="1"/>
        <v>Hortifruti</v>
      </c>
      <c r="F62" s="85" t="s">
        <v>1110</v>
      </c>
      <c r="G62" s="85" t="s">
        <v>102</v>
      </c>
      <c r="H62" s="85" t="s">
        <v>1083</v>
      </c>
      <c r="I62" s="85">
        <v>4.22</v>
      </c>
      <c r="J62" s="87">
        <f>16.8/4.22</f>
        <v>3.9810426540284363</v>
      </c>
      <c r="K62" s="88">
        <f t="shared" si="2"/>
        <v>16.8</v>
      </c>
      <c r="L62" s="85">
        <v>3294</v>
      </c>
      <c r="M62" s="118" t="s">
        <v>111</v>
      </c>
      <c r="O62" s="115" t="s">
        <v>45</v>
      </c>
      <c r="R62"/>
    </row>
    <row r="63" spans="1:18" x14ac:dyDescent="0.25">
      <c r="A63" s="84" t="str">
        <f t="shared" si="0"/>
        <v xml:space="preserve">MarçoSEMANA 1Alho Poró </v>
      </c>
      <c r="B63" s="85" t="s">
        <v>31</v>
      </c>
      <c r="C63" s="85" t="s">
        <v>20</v>
      </c>
      <c r="D63" s="86">
        <v>1</v>
      </c>
      <c r="E63" s="116" t="str">
        <f t="shared" si="1"/>
        <v>Hortifruti</v>
      </c>
      <c r="F63" s="85" t="s">
        <v>1110</v>
      </c>
      <c r="G63" s="85" t="s">
        <v>113</v>
      </c>
      <c r="H63" s="85" t="s">
        <v>1083</v>
      </c>
      <c r="I63" s="85">
        <v>1.5</v>
      </c>
      <c r="J63" s="87">
        <v>9</v>
      </c>
      <c r="K63" s="88">
        <f t="shared" si="2"/>
        <v>13.5</v>
      </c>
      <c r="L63" s="85">
        <v>3294</v>
      </c>
      <c r="M63" s="118" t="s">
        <v>112</v>
      </c>
      <c r="N63" s="96"/>
      <c r="O63" s="96" t="s">
        <v>45</v>
      </c>
      <c r="R63"/>
    </row>
    <row r="64" spans="1:18" x14ac:dyDescent="0.25">
      <c r="A64" s="84" t="str">
        <f t="shared" si="0"/>
        <v>MarçoSEMANA 1Cebolinha Verde</v>
      </c>
      <c r="B64" s="85" t="s">
        <v>31</v>
      </c>
      <c r="C64" s="85" t="s">
        <v>20</v>
      </c>
      <c r="D64" s="86">
        <v>1</v>
      </c>
      <c r="E64" s="116" t="str">
        <f t="shared" si="1"/>
        <v>Hortifruti</v>
      </c>
      <c r="F64" s="85" t="s">
        <v>1110</v>
      </c>
      <c r="G64" s="85" t="s">
        <v>247</v>
      </c>
      <c r="H64" s="85" t="s">
        <v>1083</v>
      </c>
      <c r="I64" s="85">
        <f>1-0.432</f>
        <v>0.56800000000000006</v>
      </c>
      <c r="J64" s="87">
        <v>7</v>
      </c>
      <c r="K64" s="88">
        <f t="shared" si="2"/>
        <v>3.9760000000000004</v>
      </c>
      <c r="L64" s="85">
        <v>3294</v>
      </c>
      <c r="M64" s="118" t="s">
        <v>113</v>
      </c>
      <c r="N64" s="96"/>
      <c r="O64" s="96" t="s">
        <v>45</v>
      </c>
      <c r="R64"/>
    </row>
    <row r="65" spans="1:18" x14ac:dyDescent="0.25">
      <c r="A65" s="84" t="str">
        <f t="shared" si="0"/>
        <v>MarçoSEMANA 1Salsa</v>
      </c>
      <c r="B65" s="85" t="s">
        <v>31</v>
      </c>
      <c r="C65" s="85" t="s">
        <v>20</v>
      </c>
      <c r="D65" s="86">
        <v>1</v>
      </c>
      <c r="E65" s="116" t="str">
        <f t="shared" si="1"/>
        <v>Hortifruti</v>
      </c>
      <c r="F65" s="85" t="s">
        <v>1110</v>
      </c>
      <c r="G65" s="85" t="s">
        <v>728</v>
      </c>
      <c r="H65" s="85" t="s">
        <v>1083</v>
      </c>
      <c r="I65" s="85">
        <v>0.5</v>
      </c>
      <c r="J65" s="87">
        <v>7</v>
      </c>
      <c r="K65" s="88">
        <f t="shared" si="2"/>
        <v>3.5</v>
      </c>
      <c r="L65" s="85">
        <v>3294</v>
      </c>
      <c r="M65" s="118" t="s">
        <v>114</v>
      </c>
      <c r="N65" s="96"/>
      <c r="O65" s="96" t="s">
        <v>45</v>
      </c>
      <c r="R65"/>
    </row>
    <row r="66" spans="1:18" hidden="1" x14ac:dyDescent="0.2">
      <c r="A66" s="84" t="str">
        <f t="shared" ref="A66:A129" si="4">CONCATENATE(B66,C66,G66)</f>
        <v>MarçoSEMANA 1Abacate Sushi</v>
      </c>
      <c r="B66" s="85" t="s">
        <v>31</v>
      </c>
      <c r="C66" s="85" t="s">
        <v>20</v>
      </c>
      <c r="D66" s="86">
        <v>1</v>
      </c>
      <c r="E66" s="116" t="str">
        <f t="shared" ref="E66:E129" si="5">VLOOKUP(G66,$M$1:$O$993,3,0)</f>
        <v>Sushi</v>
      </c>
      <c r="F66" s="85" t="s">
        <v>1110</v>
      </c>
      <c r="G66" s="85" t="s">
        <v>64</v>
      </c>
      <c r="H66" s="85" t="s">
        <v>1083</v>
      </c>
      <c r="I66" s="85">
        <v>1.4</v>
      </c>
      <c r="J66" s="87">
        <v>6</v>
      </c>
      <c r="K66" s="88">
        <f t="shared" ref="K66:K129" si="6">I66*J66</f>
        <v>8.3999999999999986</v>
      </c>
      <c r="L66" s="85">
        <v>3294</v>
      </c>
      <c r="M66" s="118" t="s">
        <v>897</v>
      </c>
      <c r="N66" s="96"/>
      <c r="O66" s="96" t="s">
        <v>60</v>
      </c>
      <c r="R66"/>
    </row>
    <row r="67" spans="1:18" x14ac:dyDescent="0.25">
      <c r="A67" s="84" t="str">
        <f t="shared" si="4"/>
        <v>MarçoSEMANA 1Banana D'Água</v>
      </c>
      <c r="B67" s="85" t="s">
        <v>31</v>
      </c>
      <c r="C67" s="85" t="s">
        <v>20</v>
      </c>
      <c r="D67" s="86">
        <v>1</v>
      </c>
      <c r="E67" s="116" t="str">
        <f t="shared" si="5"/>
        <v>Hortifruti</v>
      </c>
      <c r="F67" s="85" t="s">
        <v>1110</v>
      </c>
      <c r="G67" s="85" t="s">
        <v>162</v>
      </c>
      <c r="H67" s="85" t="s">
        <v>1083</v>
      </c>
      <c r="I67" s="85">
        <v>4</v>
      </c>
      <c r="J67" s="87">
        <v>3.8</v>
      </c>
      <c r="K67" s="88">
        <f t="shared" si="6"/>
        <v>15.2</v>
      </c>
      <c r="L67" s="85">
        <v>3294</v>
      </c>
      <c r="M67" s="118" t="s">
        <v>115</v>
      </c>
      <c r="N67" s="96"/>
      <c r="O67" s="96" t="s">
        <v>42</v>
      </c>
      <c r="R67"/>
    </row>
    <row r="68" spans="1:18" x14ac:dyDescent="0.25">
      <c r="A68" s="84" t="str">
        <f t="shared" si="4"/>
        <v>MarçoSEMANA 1Kiwi</v>
      </c>
      <c r="B68" s="85" t="s">
        <v>31</v>
      </c>
      <c r="C68" s="85" t="s">
        <v>20</v>
      </c>
      <c r="D68" s="86">
        <v>1</v>
      </c>
      <c r="E68" s="116" t="str">
        <f t="shared" si="5"/>
        <v>Hortifruti</v>
      </c>
      <c r="F68" s="85" t="s">
        <v>1110</v>
      </c>
      <c r="G68" s="85" t="s">
        <v>453</v>
      </c>
      <c r="H68" s="85" t="s">
        <v>1083</v>
      </c>
      <c r="I68" s="85">
        <v>0.5</v>
      </c>
      <c r="J68" s="87">
        <v>15</v>
      </c>
      <c r="K68" s="88">
        <f t="shared" si="6"/>
        <v>7.5</v>
      </c>
      <c r="L68" s="85">
        <v>3294</v>
      </c>
      <c r="M68" s="118" t="s">
        <v>981</v>
      </c>
      <c r="N68" s="96"/>
      <c r="O68" s="96" t="s">
        <v>45</v>
      </c>
      <c r="R68"/>
    </row>
    <row r="69" spans="1:18" x14ac:dyDescent="0.25">
      <c r="A69" s="84" t="str">
        <f t="shared" si="4"/>
        <v>MarçoSEMANA 1Manga Palmer</v>
      </c>
      <c r="B69" s="85" t="s">
        <v>31</v>
      </c>
      <c r="C69" s="85" t="s">
        <v>20</v>
      </c>
      <c r="D69" s="86">
        <v>1</v>
      </c>
      <c r="E69" s="116" t="str">
        <f t="shared" si="5"/>
        <v>Hortifruti</v>
      </c>
      <c r="F69" s="85" t="s">
        <v>1110</v>
      </c>
      <c r="G69" s="85" t="s">
        <v>495</v>
      </c>
      <c r="H69" s="85" t="s">
        <v>1083</v>
      </c>
      <c r="I69" s="85">
        <v>6</v>
      </c>
      <c r="J69" s="87">
        <f>25/6</f>
        <v>4.166666666666667</v>
      </c>
      <c r="K69" s="88">
        <f t="shared" si="6"/>
        <v>25</v>
      </c>
      <c r="L69" s="85">
        <v>3294</v>
      </c>
      <c r="M69" s="118" t="s">
        <v>116</v>
      </c>
      <c r="N69" s="96"/>
      <c r="O69" s="96" t="s">
        <v>42</v>
      </c>
      <c r="R69"/>
    </row>
    <row r="70" spans="1:18" x14ac:dyDescent="0.25">
      <c r="A70" s="84" t="str">
        <f t="shared" si="4"/>
        <v>MarçoSEMANA 1Manga Tommy</v>
      </c>
      <c r="B70" s="85" t="s">
        <v>31</v>
      </c>
      <c r="C70" s="85" t="s">
        <v>20</v>
      </c>
      <c r="D70" s="86">
        <v>1</v>
      </c>
      <c r="E70" s="116" t="str">
        <f t="shared" si="5"/>
        <v>Hortifruti</v>
      </c>
      <c r="F70" s="85" t="s">
        <v>1110</v>
      </c>
      <c r="G70" s="85" t="s">
        <v>496</v>
      </c>
      <c r="H70" s="85" t="s">
        <v>1083</v>
      </c>
      <c r="I70" s="85">
        <f>3.5-1.5</f>
        <v>2</v>
      </c>
      <c r="J70" s="87">
        <v>3.8</v>
      </c>
      <c r="K70" s="88">
        <f t="shared" si="6"/>
        <v>7.6</v>
      </c>
      <c r="L70" s="85">
        <v>3294</v>
      </c>
      <c r="M70" s="118" t="s">
        <v>117</v>
      </c>
      <c r="N70" s="96"/>
      <c r="O70" s="96" t="s">
        <v>42</v>
      </c>
      <c r="R70"/>
    </row>
    <row r="71" spans="1:18" x14ac:dyDescent="0.25">
      <c r="A71" s="84" t="str">
        <f t="shared" si="4"/>
        <v>MarçoSEMANA 1Pera</v>
      </c>
      <c r="B71" s="85" t="s">
        <v>31</v>
      </c>
      <c r="C71" s="85" t="s">
        <v>20</v>
      </c>
      <c r="D71" s="86">
        <v>1</v>
      </c>
      <c r="E71" s="116" t="str">
        <f t="shared" si="5"/>
        <v>Hortifruti</v>
      </c>
      <c r="F71" s="85" t="s">
        <v>1110</v>
      </c>
      <c r="G71" s="85" t="s">
        <v>580</v>
      </c>
      <c r="H71" s="85" t="s">
        <v>1083</v>
      </c>
      <c r="I71" s="85">
        <v>3.5</v>
      </c>
      <c r="J71" s="87">
        <v>8</v>
      </c>
      <c r="K71" s="88">
        <f t="shared" si="6"/>
        <v>28</v>
      </c>
      <c r="L71" s="85">
        <v>3294</v>
      </c>
      <c r="M71" s="118" t="s">
        <v>118</v>
      </c>
      <c r="N71" s="96"/>
      <c r="O71" s="96" t="s">
        <v>42</v>
      </c>
      <c r="R71"/>
    </row>
    <row r="72" spans="1:18" x14ac:dyDescent="0.25">
      <c r="A72" s="84" t="str">
        <f t="shared" si="4"/>
        <v xml:space="preserve">MarçoSEMANA 1Abacaxi </v>
      </c>
      <c r="B72" s="85" t="s">
        <v>31</v>
      </c>
      <c r="C72" s="85" t="s">
        <v>20</v>
      </c>
      <c r="D72" s="86">
        <v>1</v>
      </c>
      <c r="E72" s="116" t="str">
        <f t="shared" si="5"/>
        <v>Hortifruti</v>
      </c>
      <c r="F72" s="85" t="s">
        <v>1111</v>
      </c>
      <c r="G72" s="85" t="s">
        <v>65</v>
      </c>
      <c r="H72" s="85" t="s">
        <v>1083</v>
      </c>
      <c r="I72" s="85">
        <v>10</v>
      </c>
      <c r="J72" s="87">
        <v>3.75</v>
      </c>
      <c r="K72" s="88">
        <f t="shared" si="6"/>
        <v>37.5</v>
      </c>
      <c r="L72" s="85">
        <v>17311</v>
      </c>
      <c r="M72" s="118" t="s">
        <v>119</v>
      </c>
      <c r="N72" s="96"/>
      <c r="O72" s="96" t="s">
        <v>42</v>
      </c>
      <c r="R72"/>
    </row>
    <row r="73" spans="1:18" x14ac:dyDescent="0.25">
      <c r="A73" s="84" t="str">
        <f t="shared" si="4"/>
        <v>MarçoSEMANA 1Batata Baroa</v>
      </c>
      <c r="B73" s="85" t="s">
        <v>31</v>
      </c>
      <c r="C73" s="85" t="s">
        <v>20</v>
      </c>
      <c r="D73" s="86">
        <v>1</v>
      </c>
      <c r="E73" s="116" t="str">
        <f t="shared" si="5"/>
        <v>Hortifruti</v>
      </c>
      <c r="F73" s="85" t="s">
        <v>1111</v>
      </c>
      <c r="G73" s="85" t="s">
        <v>169</v>
      </c>
      <c r="H73" s="85" t="s">
        <v>1083</v>
      </c>
      <c r="I73" s="85">
        <v>7</v>
      </c>
      <c r="J73" s="87">
        <v>5.0999999999999996</v>
      </c>
      <c r="K73" s="88">
        <f t="shared" si="6"/>
        <v>35.699999999999996</v>
      </c>
      <c r="L73" s="85">
        <v>17311</v>
      </c>
      <c r="M73" s="118" t="s">
        <v>120</v>
      </c>
      <c r="N73" s="96"/>
      <c r="O73" s="96" t="s">
        <v>46</v>
      </c>
      <c r="R73"/>
    </row>
    <row r="74" spans="1:18" x14ac:dyDescent="0.25">
      <c r="A74" s="84" t="str">
        <f t="shared" si="4"/>
        <v>MarçoSEMANA 1Cebola</v>
      </c>
      <c r="B74" s="85" t="s">
        <v>31</v>
      </c>
      <c r="C74" s="85" t="s">
        <v>20</v>
      </c>
      <c r="D74" s="86">
        <v>1</v>
      </c>
      <c r="E74" s="116" t="str">
        <f t="shared" si="5"/>
        <v>Hortifruti</v>
      </c>
      <c r="F74" s="85" t="s">
        <v>1111</v>
      </c>
      <c r="G74" s="85" t="s">
        <v>241</v>
      </c>
      <c r="H74" s="85" t="s">
        <v>1083</v>
      </c>
      <c r="I74" s="85">
        <v>20.74</v>
      </c>
      <c r="J74" s="87">
        <f>52.9/20.74</f>
        <v>2.5506268081002896</v>
      </c>
      <c r="K74" s="88">
        <f t="shared" si="6"/>
        <v>52.900000000000006</v>
      </c>
      <c r="L74" s="85">
        <v>17311</v>
      </c>
      <c r="M74" s="118" t="s">
        <v>121</v>
      </c>
      <c r="N74" s="96"/>
      <c r="O74" s="96" t="s">
        <v>45</v>
      </c>
      <c r="R74"/>
    </row>
    <row r="75" spans="1:18" x14ac:dyDescent="0.25">
      <c r="A75" s="84" t="str">
        <f t="shared" si="4"/>
        <v>MarçoSEMANA 1Côco Verde</v>
      </c>
      <c r="B75" s="85" t="s">
        <v>31</v>
      </c>
      <c r="C75" s="85" t="s">
        <v>20</v>
      </c>
      <c r="D75" s="86">
        <v>1</v>
      </c>
      <c r="E75" s="116" t="str">
        <f t="shared" si="5"/>
        <v>Hortifruti</v>
      </c>
      <c r="F75" s="85" t="s">
        <v>1111</v>
      </c>
      <c r="G75" s="85" t="s">
        <v>288</v>
      </c>
      <c r="H75" s="85" t="s">
        <v>1090</v>
      </c>
      <c r="I75" s="85">
        <v>15</v>
      </c>
      <c r="J75" s="87">
        <v>1.98</v>
      </c>
      <c r="K75" s="88">
        <f t="shared" si="6"/>
        <v>29.7</v>
      </c>
      <c r="L75" s="85">
        <v>17311</v>
      </c>
      <c r="M75" s="118" t="s">
        <v>122</v>
      </c>
      <c r="N75" s="96"/>
      <c r="O75" s="96" t="s">
        <v>60</v>
      </c>
      <c r="R75"/>
    </row>
    <row r="76" spans="1:18" x14ac:dyDescent="0.25">
      <c r="A76" s="84" t="str">
        <f t="shared" si="4"/>
        <v>MarçoSEMANA 1Couve Flor</v>
      </c>
      <c r="B76" s="85" t="s">
        <v>31</v>
      </c>
      <c r="C76" s="85" t="s">
        <v>20</v>
      </c>
      <c r="D76" s="86">
        <v>1</v>
      </c>
      <c r="E76" s="116" t="str">
        <f t="shared" si="5"/>
        <v>Hortifruti</v>
      </c>
      <c r="F76" s="85" t="s">
        <v>1111</v>
      </c>
      <c r="G76" s="85" t="s">
        <v>306</v>
      </c>
      <c r="H76" s="85" t="s">
        <v>1083</v>
      </c>
      <c r="I76" s="85">
        <v>2</v>
      </c>
      <c r="J76" s="87">
        <v>5</v>
      </c>
      <c r="K76" s="88">
        <f t="shared" si="6"/>
        <v>10</v>
      </c>
      <c r="L76" s="85">
        <v>17311</v>
      </c>
      <c r="M76" s="118" t="s">
        <v>123</v>
      </c>
      <c r="N76" s="96"/>
      <c r="O76" s="96" t="s">
        <v>45</v>
      </c>
      <c r="R76"/>
    </row>
    <row r="77" spans="1:18" x14ac:dyDescent="0.25">
      <c r="A77" s="84" t="str">
        <f t="shared" si="4"/>
        <v>MarçoSEMANA 1Pimentão Verde</v>
      </c>
      <c r="B77" s="85" t="s">
        <v>31</v>
      </c>
      <c r="C77" s="85" t="s">
        <v>20</v>
      </c>
      <c r="D77" s="86">
        <v>1</v>
      </c>
      <c r="E77" s="116" t="str">
        <f t="shared" si="5"/>
        <v>Hortifruti</v>
      </c>
      <c r="F77" s="85" t="s">
        <v>1111</v>
      </c>
      <c r="G77" s="85" t="s">
        <v>665</v>
      </c>
      <c r="H77" s="85" t="s">
        <v>1083</v>
      </c>
      <c r="I77" s="85">
        <v>3</v>
      </c>
      <c r="J77" s="87">
        <v>3.6</v>
      </c>
      <c r="K77" s="88">
        <f t="shared" si="6"/>
        <v>10.8</v>
      </c>
      <c r="L77" s="85">
        <v>17311</v>
      </c>
      <c r="M77" s="118" t="s">
        <v>124</v>
      </c>
      <c r="O77" s="115" t="s">
        <v>42</v>
      </c>
      <c r="R77"/>
    </row>
    <row r="78" spans="1:18" x14ac:dyDescent="0.25">
      <c r="A78" s="84" t="str">
        <f t="shared" si="4"/>
        <v>MarçoSEMANA 1Rúcula</v>
      </c>
      <c r="B78" s="85" t="s">
        <v>31</v>
      </c>
      <c r="C78" s="85" t="s">
        <v>20</v>
      </c>
      <c r="D78" s="86">
        <v>1</v>
      </c>
      <c r="E78" s="116" t="str">
        <f t="shared" si="5"/>
        <v>Hortifruti</v>
      </c>
      <c r="F78" s="85" t="s">
        <v>1111</v>
      </c>
      <c r="G78" s="85" t="s">
        <v>705</v>
      </c>
      <c r="H78" s="85" t="s">
        <v>1083</v>
      </c>
      <c r="I78" s="85">
        <v>2</v>
      </c>
      <c r="J78" s="87">
        <v>6.5</v>
      </c>
      <c r="K78" s="88">
        <f t="shared" si="6"/>
        <v>13</v>
      </c>
      <c r="L78" s="85" t="s">
        <v>1112</v>
      </c>
      <c r="M78" s="118" t="s">
        <v>125</v>
      </c>
      <c r="N78" s="96"/>
      <c r="O78" s="96" t="s">
        <v>46</v>
      </c>
      <c r="R78"/>
    </row>
    <row r="79" spans="1:18" x14ac:dyDescent="0.25">
      <c r="A79" s="84" t="str">
        <f t="shared" si="4"/>
        <v>MarçoSEMANA 1Couve Manteiga</v>
      </c>
      <c r="B79" s="85" t="s">
        <v>31</v>
      </c>
      <c r="C79" s="85" t="s">
        <v>20</v>
      </c>
      <c r="D79" s="86">
        <v>1</v>
      </c>
      <c r="E79" s="116" t="str">
        <f t="shared" si="5"/>
        <v>Hortifruti</v>
      </c>
      <c r="F79" s="85" t="s">
        <v>1111</v>
      </c>
      <c r="G79" s="85" t="s">
        <v>307</v>
      </c>
      <c r="H79" s="85" t="s">
        <v>1083</v>
      </c>
      <c r="I79" s="85">
        <v>12</v>
      </c>
      <c r="J79" s="87">
        <v>3</v>
      </c>
      <c r="K79" s="88">
        <f t="shared" si="6"/>
        <v>36</v>
      </c>
      <c r="L79" s="85">
        <v>17311</v>
      </c>
      <c r="M79" s="118" t="s">
        <v>1052</v>
      </c>
      <c r="O79" s="84" t="s">
        <v>42</v>
      </c>
      <c r="R79"/>
    </row>
    <row r="80" spans="1:18" hidden="1" x14ac:dyDescent="0.2">
      <c r="A80" s="84" t="str">
        <f t="shared" si="4"/>
        <v>MarçoSEMANA 1Arroz Japonês (sushi)</v>
      </c>
      <c r="B80" s="85" t="s">
        <v>31</v>
      </c>
      <c r="C80" s="85" t="s">
        <v>20</v>
      </c>
      <c r="D80" s="86">
        <v>1</v>
      </c>
      <c r="E80" s="116" t="str">
        <f t="shared" si="5"/>
        <v>Sushi</v>
      </c>
      <c r="F80" s="85" t="s">
        <v>1113</v>
      </c>
      <c r="G80" s="85" t="s">
        <v>900</v>
      </c>
      <c r="H80" s="85" t="s">
        <v>1083</v>
      </c>
      <c r="I80" s="85">
        <v>60</v>
      </c>
      <c r="J80" s="87">
        <f>310/60</f>
        <v>5.166666666666667</v>
      </c>
      <c r="K80" s="88">
        <f t="shared" si="6"/>
        <v>310</v>
      </c>
      <c r="L80" s="85">
        <v>230</v>
      </c>
      <c r="M80" s="118" t="s">
        <v>126</v>
      </c>
      <c r="N80" s="96"/>
      <c r="O80" s="96" t="s">
        <v>42</v>
      </c>
      <c r="R80"/>
    </row>
    <row r="81" spans="1:18" hidden="1" x14ac:dyDescent="0.2">
      <c r="A81" s="84" t="str">
        <f t="shared" si="4"/>
        <v>MarçoSEMANA 1Folha de Alga 50F</v>
      </c>
      <c r="B81" s="85" t="s">
        <v>31</v>
      </c>
      <c r="C81" s="85" t="s">
        <v>20</v>
      </c>
      <c r="D81" s="86">
        <v>1</v>
      </c>
      <c r="E81" s="116" t="str">
        <f t="shared" si="5"/>
        <v>Sushi</v>
      </c>
      <c r="F81" s="85" t="s">
        <v>1113</v>
      </c>
      <c r="G81" s="85" t="s">
        <v>965</v>
      </c>
      <c r="H81" s="85" t="s">
        <v>1114</v>
      </c>
      <c r="I81" s="85">
        <f>16-1</f>
        <v>15</v>
      </c>
      <c r="J81" s="87">
        <v>29</v>
      </c>
      <c r="K81" s="88">
        <f t="shared" si="6"/>
        <v>435</v>
      </c>
      <c r="L81" s="85">
        <v>230</v>
      </c>
      <c r="M81" s="118" t="s">
        <v>127</v>
      </c>
      <c r="N81" s="96"/>
      <c r="O81" s="96" t="s">
        <v>42</v>
      </c>
      <c r="R81"/>
    </row>
    <row r="82" spans="1:18" hidden="1" x14ac:dyDescent="0.2">
      <c r="A82" s="84" t="str">
        <f t="shared" si="4"/>
        <v>MarçoSEMANA 1Wasabi em Pó</v>
      </c>
      <c r="B82" s="85" t="s">
        <v>31</v>
      </c>
      <c r="C82" s="85" t="s">
        <v>20</v>
      </c>
      <c r="D82" s="86">
        <v>1</v>
      </c>
      <c r="E82" s="116" t="str">
        <f t="shared" si="5"/>
        <v>Sushi</v>
      </c>
      <c r="F82" s="85" t="s">
        <v>1113</v>
      </c>
      <c r="G82" s="85" t="s">
        <v>867</v>
      </c>
      <c r="H82" s="85" t="s">
        <v>1083</v>
      </c>
      <c r="I82" s="85">
        <v>1</v>
      </c>
      <c r="J82" s="87">
        <v>30</v>
      </c>
      <c r="K82" s="88">
        <f t="shared" si="6"/>
        <v>30</v>
      </c>
      <c r="L82" s="85">
        <v>230</v>
      </c>
      <c r="M82" s="118" t="s">
        <v>893</v>
      </c>
      <c r="N82" s="96"/>
      <c r="O82" s="96" t="s">
        <v>42</v>
      </c>
      <c r="R82"/>
    </row>
    <row r="83" spans="1:18" hidden="1" x14ac:dyDescent="0.2">
      <c r="A83" s="84" t="str">
        <f t="shared" si="4"/>
        <v>MarçoSEMANA 1Ameixa sem Caroço</v>
      </c>
      <c r="B83" s="85" t="s">
        <v>31</v>
      </c>
      <c r="C83" s="85" t="s">
        <v>20</v>
      </c>
      <c r="D83" s="86">
        <v>1</v>
      </c>
      <c r="E83" s="116" t="str">
        <f t="shared" si="5"/>
        <v>Mercado</v>
      </c>
      <c r="F83" s="85" t="s">
        <v>1115</v>
      </c>
      <c r="G83" s="85" t="s">
        <v>116</v>
      </c>
      <c r="H83" s="85" t="s">
        <v>1083</v>
      </c>
      <c r="I83" s="85">
        <v>1</v>
      </c>
      <c r="J83" s="87">
        <v>17.899999999999999</v>
      </c>
      <c r="K83" s="88">
        <f t="shared" si="6"/>
        <v>17.899999999999999</v>
      </c>
      <c r="L83" s="85" t="s">
        <v>1116</v>
      </c>
      <c r="M83" s="118" t="s">
        <v>900</v>
      </c>
      <c r="N83" s="96"/>
      <c r="O83" s="96" t="s">
        <v>60</v>
      </c>
      <c r="R83"/>
    </row>
    <row r="84" spans="1:18" hidden="1" x14ac:dyDescent="0.2">
      <c r="A84" s="84" t="str">
        <f t="shared" si="4"/>
        <v>MarçoSEMANA 1Castanha de Caju Picada</v>
      </c>
      <c r="B84" s="85" t="s">
        <v>31</v>
      </c>
      <c r="C84" s="85" t="s">
        <v>20</v>
      </c>
      <c r="D84" s="86">
        <v>1</v>
      </c>
      <c r="E84" s="116" t="str">
        <f t="shared" si="5"/>
        <v>Mercado</v>
      </c>
      <c r="F84" s="85" t="s">
        <v>1115</v>
      </c>
      <c r="G84" s="85" t="s">
        <v>238</v>
      </c>
      <c r="H84" s="85" t="s">
        <v>1083</v>
      </c>
      <c r="I84" s="85">
        <v>1</v>
      </c>
      <c r="J84" s="89">
        <v>54.9</v>
      </c>
      <c r="K84" s="88">
        <f t="shared" si="6"/>
        <v>54.9</v>
      </c>
      <c r="L84" s="85" t="s">
        <v>1116</v>
      </c>
      <c r="M84" s="118" t="s">
        <v>128</v>
      </c>
      <c r="N84" s="96"/>
      <c r="O84" s="96" t="s">
        <v>42</v>
      </c>
      <c r="R84"/>
    </row>
    <row r="85" spans="1:18" hidden="1" x14ac:dyDescent="0.2">
      <c r="A85" s="84" t="str">
        <f t="shared" si="4"/>
        <v>MarçoSEMANA 1Cevadinha</v>
      </c>
      <c r="B85" s="85" t="s">
        <v>31</v>
      </c>
      <c r="C85" s="85" t="s">
        <v>20</v>
      </c>
      <c r="D85" s="86">
        <v>1</v>
      </c>
      <c r="E85" s="116" t="str">
        <f t="shared" si="5"/>
        <v>Mercado</v>
      </c>
      <c r="F85" s="85" t="s">
        <v>1115</v>
      </c>
      <c r="G85" s="85" t="s">
        <v>269</v>
      </c>
      <c r="H85" s="85" t="s">
        <v>1083</v>
      </c>
      <c r="I85" s="85">
        <v>2</v>
      </c>
      <c r="J85" s="87">
        <v>5.9</v>
      </c>
      <c r="K85" s="88">
        <f t="shared" si="6"/>
        <v>11.8</v>
      </c>
      <c r="L85" s="85" t="s">
        <v>1116</v>
      </c>
      <c r="M85" s="118" t="s">
        <v>129</v>
      </c>
      <c r="N85" s="96"/>
      <c r="O85" s="96" t="s">
        <v>42</v>
      </c>
      <c r="R85"/>
    </row>
    <row r="86" spans="1:18" hidden="1" x14ac:dyDescent="0.2">
      <c r="A86" s="84" t="str">
        <f t="shared" si="4"/>
        <v>MarçoSEMANA 1Coloral</v>
      </c>
      <c r="B86" s="85" t="s">
        <v>31</v>
      </c>
      <c r="C86" s="85" t="s">
        <v>20</v>
      </c>
      <c r="D86" s="86">
        <v>1</v>
      </c>
      <c r="E86" s="116" t="str">
        <f t="shared" si="5"/>
        <v>Mercado</v>
      </c>
      <c r="F86" s="85" t="s">
        <v>1115</v>
      </c>
      <c r="G86" s="85" t="s">
        <v>295</v>
      </c>
      <c r="H86" s="85" t="s">
        <v>1083</v>
      </c>
      <c r="I86" s="85">
        <v>0.3</v>
      </c>
      <c r="J86" s="87">
        <v>5.5</v>
      </c>
      <c r="K86" s="88">
        <f t="shared" si="6"/>
        <v>1.65</v>
      </c>
      <c r="L86" s="85" t="s">
        <v>1116</v>
      </c>
      <c r="M86" s="118" t="s">
        <v>130</v>
      </c>
      <c r="N86" s="96"/>
      <c r="O86" s="96" t="s">
        <v>60</v>
      </c>
      <c r="R86"/>
    </row>
    <row r="87" spans="1:18" hidden="1" x14ac:dyDescent="0.2">
      <c r="A87" s="84" t="str">
        <f t="shared" si="4"/>
        <v>MarçoSEMANA 1Cuscus</v>
      </c>
      <c r="B87" s="85" t="s">
        <v>31</v>
      </c>
      <c r="C87" s="85" t="s">
        <v>20</v>
      </c>
      <c r="D87" s="86">
        <v>1</v>
      </c>
      <c r="E87" s="116" t="str">
        <f t="shared" si="5"/>
        <v>Mercado</v>
      </c>
      <c r="F87" s="85" t="s">
        <v>1115</v>
      </c>
      <c r="G87" s="85" t="s">
        <v>318</v>
      </c>
      <c r="H87" s="85" t="s">
        <v>1083</v>
      </c>
      <c r="I87" s="85">
        <v>1</v>
      </c>
      <c r="J87" s="87">
        <v>26.9</v>
      </c>
      <c r="K87" s="88">
        <f t="shared" si="6"/>
        <v>26.9</v>
      </c>
      <c r="L87" s="85" t="s">
        <v>1116</v>
      </c>
      <c r="M87" s="118" t="s">
        <v>1040</v>
      </c>
      <c r="N87" s="96"/>
      <c r="O87" s="96" t="s">
        <v>45</v>
      </c>
      <c r="R87"/>
    </row>
    <row r="88" spans="1:18" hidden="1" x14ac:dyDescent="0.2">
      <c r="A88" s="84" t="str">
        <f t="shared" si="4"/>
        <v>MarçoSEMANA 1Damasco Seco</v>
      </c>
      <c r="B88" s="85" t="s">
        <v>31</v>
      </c>
      <c r="C88" s="85" t="s">
        <v>20</v>
      </c>
      <c r="D88" s="86">
        <v>1</v>
      </c>
      <c r="E88" s="116" t="str">
        <f t="shared" si="5"/>
        <v>Mercado</v>
      </c>
      <c r="F88" s="85" t="s">
        <v>1115</v>
      </c>
      <c r="G88" s="85" t="s">
        <v>319</v>
      </c>
      <c r="H88" s="85" t="s">
        <v>1083</v>
      </c>
      <c r="I88" s="85">
        <v>1</v>
      </c>
      <c r="J88" s="87">
        <v>22.9</v>
      </c>
      <c r="K88" s="88">
        <f t="shared" si="6"/>
        <v>22.9</v>
      </c>
      <c r="L88" s="85" t="s">
        <v>1116</v>
      </c>
      <c r="M88" s="118" t="s">
        <v>131</v>
      </c>
      <c r="N88" s="96"/>
      <c r="O88" s="96" t="s">
        <v>42</v>
      </c>
      <c r="R88"/>
    </row>
    <row r="89" spans="1:18" hidden="1" x14ac:dyDescent="0.2">
      <c r="A89" s="84" t="str">
        <f t="shared" si="4"/>
        <v>MarçoSEMANA 1Feijão Azuki</v>
      </c>
      <c r="B89" s="85" t="s">
        <v>31</v>
      </c>
      <c r="C89" s="85" t="s">
        <v>20</v>
      </c>
      <c r="D89" s="86">
        <v>1</v>
      </c>
      <c r="E89" s="116" t="str">
        <f t="shared" si="5"/>
        <v>Mercado</v>
      </c>
      <c r="F89" s="85" t="s">
        <v>1115</v>
      </c>
      <c r="G89" s="85" t="s">
        <v>347</v>
      </c>
      <c r="H89" s="85" t="s">
        <v>1083</v>
      </c>
      <c r="I89" s="90">
        <v>1</v>
      </c>
      <c r="J89" s="89">
        <v>10</v>
      </c>
      <c r="K89" s="88">
        <f t="shared" si="6"/>
        <v>10</v>
      </c>
      <c r="L89" s="85" t="s">
        <v>1116</v>
      </c>
      <c r="M89" s="118" t="s">
        <v>132</v>
      </c>
      <c r="O89" s="115" t="s">
        <v>42</v>
      </c>
      <c r="R89"/>
    </row>
    <row r="90" spans="1:18" hidden="1" x14ac:dyDescent="0.2">
      <c r="A90" s="84" t="str">
        <f t="shared" si="4"/>
        <v>MarçoSEMANA 1Feijão de Soja</v>
      </c>
      <c r="B90" s="85" t="s">
        <v>31</v>
      </c>
      <c r="C90" s="85" t="s">
        <v>20</v>
      </c>
      <c r="D90" s="86">
        <v>1</v>
      </c>
      <c r="E90" s="116" t="str">
        <f t="shared" si="5"/>
        <v>Mercado</v>
      </c>
      <c r="F90" s="85" t="s">
        <v>1115</v>
      </c>
      <c r="G90" s="85" t="s">
        <v>349</v>
      </c>
      <c r="H90" s="85" t="s">
        <v>1083</v>
      </c>
      <c r="I90" s="90">
        <v>2</v>
      </c>
      <c r="J90" s="89">
        <v>4.5</v>
      </c>
      <c r="K90" s="88">
        <f t="shared" si="6"/>
        <v>9</v>
      </c>
      <c r="L90" s="85" t="s">
        <v>1116</v>
      </c>
      <c r="M90" s="118" t="s">
        <v>133</v>
      </c>
      <c r="N90" s="96"/>
      <c r="O90" s="96" t="s">
        <v>42</v>
      </c>
      <c r="R90"/>
    </row>
    <row r="91" spans="1:18" hidden="1" x14ac:dyDescent="0.2">
      <c r="A91" s="84" t="str">
        <f t="shared" si="4"/>
        <v>MarçoSEMANA 1Nozes sem casca</v>
      </c>
      <c r="B91" s="85" t="s">
        <v>31</v>
      </c>
      <c r="C91" s="85" t="s">
        <v>20</v>
      </c>
      <c r="D91" s="86">
        <v>1</v>
      </c>
      <c r="E91" s="116" t="str">
        <f t="shared" si="5"/>
        <v>Mercado</v>
      </c>
      <c r="F91" s="85" t="s">
        <v>1115</v>
      </c>
      <c r="G91" s="85" t="s">
        <v>539</v>
      </c>
      <c r="H91" s="85" t="s">
        <v>1083</v>
      </c>
      <c r="I91" s="85">
        <v>1</v>
      </c>
      <c r="J91" s="87">
        <v>69.900000000000006</v>
      </c>
      <c r="K91" s="88">
        <f t="shared" si="6"/>
        <v>69.900000000000006</v>
      </c>
      <c r="L91" s="85" t="s">
        <v>1116</v>
      </c>
      <c r="M91" s="118" t="s">
        <v>134</v>
      </c>
      <c r="N91" s="96"/>
      <c r="O91" s="96" t="s">
        <v>44</v>
      </c>
      <c r="R91"/>
    </row>
    <row r="92" spans="1:18" hidden="1" x14ac:dyDescent="0.2">
      <c r="A92" s="84" t="str">
        <f t="shared" si="4"/>
        <v>MarçoSEMANA 1Passas Preta</v>
      </c>
      <c r="B92" s="85" t="s">
        <v>31</v>
      </c>
      <c r="C92" s="85" t="s">
        <v>20</v>
      </c>
      <c r="D92" s="86">
        <v>1</v>
      </c>
      <c r="E92" s="116" t="str">
        <f t="shared" si="5"/>
        <v>Mercado</v>
      </c>
      <c r="F92" s="85" t="s">
        <v>1115</v>
      </c>
      <c r="G92" s="85" t="s">
        <v>573</v>
      </c>
      <c r="H92" s="85" t="s">
        <v>1083</v>
      </c>
      <c r="I92" s="85">
        <v>1</v>
      </c>
      <c r="J92" s="87">
        <v>14.3</v>
      </c>
      <c r="K92" s="88">
        <f t="shared" si="6"/>
        <v>14.3</v>
      </c>
      <c r="L92" s="85" t="s">
        <v>1116</v>
      </c>
      <c r="M92" s="118" t="s">
        <v>135</v>
      </c>
      <c r="O92" s="115" t="s">
        <v>44</v>
      </c>
      <c r="R92"/>
    </row>
    <row r="93" spans="1:18" hidden="1" x14ac:dyDescent="0.2">
      <c r="A93" s="84" t="str">
        <f t="shared" si="4"/>
        <v>MarçoSEMANA 1Quinoa</v>
      </c>
      <c r="B93" s="85" t="s">
        <v>31</v>
      </c>
      <c r="C93" s="85" t="s">
        <v>20</v>
      </c>
      <c r="D93" s="86">
        <v>1</v>
      </c>
      <c r="E93" s="116" t="str">
        <f t="shared" si="5"/>
        <v>Mercado</v>
      </c>
      <c r="F93" s="85" t="s">
        <v>1115</v>
      </c>
      <c r="G93" s="85" t="s">
        <v>692</v>
      </c>
      <c r="H93" s="85" t="s">
        <v>1083</v>
      </c>
      <c r="I93" s="85">
        <v>2</v>
      </c>
      <c r="J93" s="87">
        <v>26.9</v>
      </c>
      <c r="K93" s="88">
        <f t="shared" si="6"/>
        <v>53.8</v>
      </c>
      <c r="L93" s="85" t="s">
        <v>1116</v>
      </c>
      <c r="M93" s="118" t="s">
        <v>136</v>
      </c>
      <c r="N93" s="96"/>
      <c r="O93" s="96" t="s">
        <v>44</v>
      </c>
      <c r="R93"/>
    </row>
    <row r="94" spans="1:18" hidden="1" x14ac:dyDescent="0.2">
      <c r="A94" s="84" t="str">
        <f t="shared" si="4"/>
        <v>MarçoSEMANA 1Tahine Lata 500 gr</v>
      </c>
      <c r="B94" s="85" t="s">
        <v>31</v>
      </c>
      <c r="C94" s="85" t="s">
        <v>20</v>
      </c>
      <c r="D94" s="86">
        <v>1</v>
      </c>
      <c r="E94" s="116" t="str">
        <f t="shared" si="5"/>
        <v>Mercado</v>
      </c>
      <c r="F94" s="85" t="s">
        <v>1115</v>
      </c>
      <c r="G94" s="85" t="s">
        <v>778</v>
      </c>
      <c r="H94" s="85" t="s">
        <v>1083</v>
      </c>
      <c r="I94" s="85">
        <v>2</v>
      </c>
      <c r="J94" s="87">
        <v>38</v>
      </c>
      <c r="K94" s="88">
        <f t="shared" si="6"/>
        <v>76</v>
      </c>
      <c r="L94" s="85" t="s">
        <v>1116</v>
      </c>
      <c r="M94" s="118" t="s">
        <v>938</v>
      </c>
      <c r="N94" s="96"/>
      <c r="O94" s="96" t="s">
        <v>44</v>
      </c>
      <c r="R94"/>
    </row>
    <row r="95" spans="1:18" hidden="1" x14ac:dyDescent="0.2">
      <c r="A95" s="84" t="str">
        <f t="shared" si="4"/>
        <v>MarçoSEMANA 1Trigo em Grão</v>
      </c>
      <c r="B95" s="85" t="s">
        <v>31</v>
      </c>
      <c r="C95" s="85" t="s">
        <v>20</v>
      </c>
      <c r="D95" s="86">
        <v>1</v>
      </c>
      <c r="E95" s="116" t="str">
        <f t="shared" si="5"/>
        <v>Mercado</v>
      </c>
      <c r="F95" s="85" t="s">
        <v>1115</v>
      </c>
      <c r="G95" s="85" t="s">
        <v>824</v>
      </c>
      <c r="H95" s="85" t="s">
        <v>1083</v>
      </c>
      <c r="I95" s="85">
        <v>1</v>
      </c>
      <c r="J95" s="87">
        <v>3.9</v>
      </c>
      <c r="K95" s="88">
        <f t="shared" si="6"/>
        <v>3.9</v>
      </c>
      <c r="L95" s="85" t="s">
        <v>1116</v>
      </c>
      <c r="M95" s="118" t="s">
        <v>137</v>
      </c>
      <c r="N95" s="96"/>
      <c r="O95" s="96" t="s">
        <v>44</v>
      </c>
      <c r="R95"/>
    </row>
    <row r="96" spans="1:18" hidden="1" x14ac:dyDescent="0.2">
      <c r="A96" s="84" t="str">
        <f t="shared" si="4"/>
        <v>MarçoSEMANA 1Suíno - Linguiça Paio</v>
      </c>
      <c r="B96" s="85" t="s">
        <v>31</v>
      </c>
      <c r="C96" s="85" t="s">
        <v>20</v>
      </c>
      <c r="D96" s="86">
        <v>1</v>
      </c>
      <c r="E96" s="116" t="str">
        <f t="shared" si="5"/>
        <v>Carnes</v>
      </c>
      <c r="F96" s="85" t="s">
        <v>1117</v>
      </c>
      <c r="G96" s="85" t="s">
        <v>764</v>
      </c>
      <c r="H96" s="85" t="s">
        <v>1083</v>
      </c>
      <c r="I96" s="85">
        <f>2*2.5</f>
        <v>5</v>
      </c>
      <c r="J96" s="87">
        <f>94.76/5</f>
        <v>18.952000000000002</v>
      </c>
      <c r="K96" s="88">
        <f t="shared" si="6"/>
        <v>94.76</v>
      </c>
      <c r="L96" s="85">
        <v>86412</v>
      </c>
      <c r="M96" s="118" t="s">
        <v>138</v>
      </c>
      <c r="N96" s="96"/>
      <c r="O96" s="96" t="s">
        <v>44</v>
      </c>
      <c r="R96"/>
    </row>
    <row r="97" spans="1:18" hidden="1" x14ac:dyDescent="0.2">
      <c r="A97" s="84" t="str">
        <f t="shared" si="4"/>
        <v>MarçoSEMANA 1Batata Palha 140 g</v>
      </c>
      <c r="B97" s="85" t="s">
        <v>31</v>
      </c>
      <c r="C97" s="85" t="s">
        <v>20</v>
      </c>
      <c r="D97" s="86">
        <v>1</v>
      </c>
      <c r="E97" s="116" t="str">
        <f t="shared" si="5"/>
        <v>Mercado</v>
      </c>
      <c r="F97" s="85" t="s">
        <v>1118</v>
      </c>
      <c r="G97" s="85" t="s">
        <v>174</v>
      </c>
      <c r="H97" s="85" t="s">
        <v>1114</v>
      </c>
      <c r="I97" s="85">
        <v>1</v>
      </c>
      <c r="J97" s="87">
        <v>7.5</v>
      </c>
      <c r="K97" s="88">
        <f t="shared" si="6"/>
        <v>7.5</v>
      </c>
      <c r="L97" s="85">
        <v>83011</v>
      </c>
      <c r="M97" s="118" t="s">
        <v>883</v>
      </c>
      <c r="N97" s="96"/>
      <c r="O97" s="96" t="s">
        <v>44</v>
      </c>
      <c r="R97"/>
    </row>
    <row r="98" spans="1:18" hidden="1" x14ac:dyDescent="0.2">
      <c r="A98" s="84" t="str">
        <f t="shared" si="4"/>
        <v>MarçoSEMANA 1Pão Francês</v>
      </c>
      <c r="B98" s="85" t="s">
        <v>31</v>
      </c>
      <c r="C98" s="85" t="s">
        <v>20</v>
      </c>
      <c r="D98" s="86">
        <v>1</v>
      </c>
      <c r="E98" s="116" t="str">
        <f t="shared" si="5"/>
        <v>Mercado</v>
      </c>
      <c r="F98" s="85" t="s">
        <v>1118</v>
      </c>
      <c r="G98" s="85" t="s">
        <v>564</v>
      </c>
      <c r="H98" s="85" t="s">
        <v>1083</v>
      </c>
      <c r="I98" s="85">
        <v>0.14499999999999999</v>
      </c>
      <c r="J98" s="87">
        <v>13.98</v>
      </c>
      <c r="K98" s="88">
        <f t="shared" si="6"/>
        <v>2.0270999999999999</v>
      </c>
      <c r="L98" s="85">
        <v>83011</v>
      </c>
      <c r="M98" s="118" t="s">
        <v>139</v>
      </c>
      <c r="N98" s="96"/>
      <c r="O98" s="96" t="s">
        <v>44</v>
      </c>
      <c r="R98"/>
    </row>
    <row r="99" spans="1:18" hidden="1" x14ac:dyDescent="0.2">
      <c r="A99" s="84" t="str">
        <f t="shared" si="4"/>
        <v>MarçoSEMANA 1Pepino Japonês Sushi</v>
      </c>
      <c r="B99" s="85" t="s">
        <v>31</v>
      </c>
      <c r="C99" s="85" t="s">
        <v>20</v>
      </c>
      <c r="D99" s="86">
        <v>1</v>
      </c>
      <c r="E99" s="116" t="str">
        <f t="shared" si="5"/>
        <v>Sushi</v>
      </c>
      <c r="F99" s="85" t="s">
        <v>1110</v>
      </c>
      <c r="G99" s="85" t="s">
        <v>578</v>
      </c>
      <c r="H99" s="85" t="s">
        <v>1083</v>
      </c>
      <c r="I99" s="85">
        <v>1.18</v>
      </c>
      <c r="J99" s="87">
        <f>45/18.28</f>
        <v>2.4617067833698028</v>
      </c>
      <c r="K99" s="88">
        <f t="shared" si="6"/>
        <v>2.9048140043763673</v>
      </c>
      <c r="L99" s="85">
        <v>3294</v>
      </c>
      <c r="M99" s="118" t="s">
        <v>140</v>
      </c>
      <c r="O99" s="115" t="s">
        <v>44</v>
      </c>
      <c r="R99"/>
    </row>
    <row r="100" spans="1:18" hidden="1" x14ac:dyDescent="0.2">
      <c r="A100" s="84" t="str">
        <f t="shared" si="4"/>
        <v>MarçoSEMANA 1Cebolinha Verde Sushi</v>
      </c>
      <c r="B100" s="85" t="s">
        <v>31</v>
      </c>
      <c r="C100" s="85" t="s">
        <v>20</v>
      </c>
      <c r="D100" s="86">
        <v>1</v>
      </c>
      <c r="E100" s="116" t="str">
        <f t="shared" si="5"/>
        <v>Sushi</v>
      </c>
      <c r="F100" s="85" t="s">
        <v>1110</v>
      </c>
      <c r="G100" s="85" t="s">
        <v>248</v>
      </c>
      <c r="H100" s="85" t="s">
        <v>1083</v>
      </c>
      <c r="I100" s="85">
        <v>0.432</v>
      </c>
      <c r="J100" s="87">
        <v>7</v>
      </c>
      <c r="K100" s="88">
        <f t="shared" si="6"/>
        <v>3.024</v>
      </c>
      <c r="L100" s="85">
        <v>3294</v>
      </c>
      <c r="M100" s="118" t="s">
        <v>141</v>
      </c>
      <c r="N100" s="96"/>
      <c r="O100" s="96" t="s">
        <v>44</v>
      </c>
      <c r="R100"/>
    </row>
    <row r="101" spans="1:18" hidden="1" x14ac:dyDescent="0.2">
      <c r="A101" s="84" t="str">
        <f t="shared" si="4"/>
        <v>MarçoSEMANA 1Manga Tommy Sushi</v>
      </c>
      <c r="B101" s="85" t="s">
        <v>31</v>
      </c>
      <c r="C101" s="85" t="s">
        <v>20</v>
      </c>
      <c r="D101" s="86">
        <v>1</v>
      </c>
      <c r="E101" s="116" t="str">
        <f t="shared" si="5"/>
        <v>Sushi</v>
      </c>
      <c r="F101" s="85" t="s">
        <v>1110</v>
      </c>
      <c r="G101" s="85" t="s">
        <v>497</v>
      </c>
      <c r="H101" s="85" t="s">
        <v>1083</v>
      </c>
      <c r="I101" s="85">
        <v>1.5</v>
      </c>
      <c r="J101" s="87">
        <v>3.8</v>
      </c>
      <c r="K101" s="88">
        <f t="shared" si="6"/>
        <v>5.6999999999999993</v>
      </c>
      <c r="L101" s="85">
        <v>3294</v>
      </c>
      <c r="M101" s="118" t="s">
        <v>142</v>
      </c>
      <c r="N101" s="96"/>
      <c r="O101" s="96" t="s">
        <v>44</v>
      </c>
      <c r="R101"/>
    </row>
    <row r="102" spans="1:18" hidden="1" x14ac:dyDescent="0.2">
      <c r="A102" s="84" t="str">
        <f t="shared" si="4"/>
        <v>MarçoSEMANA 1Palmito lata 500gr</v>
      </c>
      <c r="B102" s="85" t="s">
        <v>31</v>
      </c>
      <c r="C102" s="85" t="s">
        <v>20</v>
      </c>
      <c r="D102" s="86">
        <v>2</v>
      </c>
      <c r="E102" s="116" t="str">
        <f t="shared" si="5"/>
        <v>Mercado</v>
      </c>
      <c r="F102" s="85" t="s">
        <v>1119</v>
      </c>
      <c r="G102" s="85" t="s">
        <v>555</v>
      </c>
      <c r="H102" s="85" t="s">
        <v>1090</v>
      </c>
      <c r="I102" s="85">
        <v>24</v>
      </c>
      <c r="J102" s="87">
        <f>424/24</f>
        <v>17.666666666666668</v>
      </c>
      <c r="K102" s="88">
        <f t="shared" si="6"/>
        <v>424</v>
      </c>
      <c r="L102" s="85">
        <v>5351</v>
      </c>
      <c r="M102" s="118" t="s">
        <v>143</v>
      </c>
      <c r="N102" s="96"/>
      <c r="O102" s="96" t="s">
        <v>44</v>
      </c>
      <c r="R102"/>
    </row>
    <row r="103" spans="1:18" hidden="1" x14ac:dyDescent="0.2">
      <c r="A103" s="84" t="str">
        <f t="shared" si="4"/>
        <v>MarçoSEMANA 1Azeitona Verde Fatiada Bd 2 kg</v>
      </c>
      <c r="B103" s="85" t="s">
        <v>31</v>
      </c>
      <c r="C103" s="85" t="s">
        <v>20</v>
      </c>
      <c r="D103" s="86">
        <v>2</v>
      </c>
      <c r="E103" s="116" t="str">
        <f t="shared" si="5"/>
        <v>Mercado</v>
      </c>
      <c r="F103" s="85" t="s">
        <v>1120</v>
      </c>
      <c r="G103" s="85" t="s">
        <v>158</v>
      </c>
      <c r="H103" s="85" t="s">
        <v>1088</v>
      </c>
      <c r="I103" s="85">
        <v>1</v>
      </c>
      <c r="J103" s="87">
        <v>22.16</v>
      </c>
      <c r="K103" s="88">
        <f t="shared" si="6"/>
        <v>22.16</v>
      </c>
      <c r="L103" s="85" t="s">
        <v>1121</v>
      </c>
      <c r="M103" s="118" t="s">
        <v>144</v>
      </c>
      <c r="N103" s="96"/>
      <c r="O103" s="96" t="s">
        <v>44</v>
      </c>
      <c r="R103"/>
    </row>
    <row r="104" spans="1:18" hidden="1" x14ac:dyDescent="0.2">
      <c r="A104" s="84" t="str">
        <f t="shared" si="4"/>
        <v>MarçoSEMANA 1Shoyu Tradicional (Cozinha) Bb 5 Lt</v>
      </c>
      <c r="B104" s="85" t="s">
        <v>31</v>
      </c>
      <c r="C104" s="85" t="s">
        <v>20</v>
      </c>
      <c r="D104" s="86">
        <v>2</v>
      </c>
      <c r="E104" s="116" t="str">
        <f t="shared" si="5"/>
        <v>Mercado</v>
      </c>
      <c r="F104" s="85" t="s">
        <v>1120</v>
      </c>
      <c r="G104" s="85" t="s">
        <v>744</v>
      </c>
      <c r="H104" s="85" t="s">
        <v>1089</v>
      </c>
      <c r="I104" s="85">
        <v>1</v>
      </c>
      <c r="J104" s="87">
        <v>50.22</v>
      </c>
      <c r="K104" s="88">
        <f t="shared" si="6"/>
        <v>50.22</v>
      </c>
      <c r="L104" s="85" t="s">
        <v>1121</v>
      </c>
      <c r="M104" s="118" t="s">
        <v>888</v>
      </c>
      <c r="N104" s="96"/>
      <c r="O104" s="96" t="s">
        <v>44</v>
      </c>
      <c r="R104"/>
    </row>
    <row r="105" spans="1:18" hidden="1" x14ac:dyDescent="0.2">
      <c r="A105" s="84" t="str">
        <f t="shared" si="4"/>
        <v>MarçoSEMANA 1Misso Shiro</v>
      </c>
      <c r="B105" s="85" t="s">
        <v>31</v>
      </c>
      <c r="C105" s="85" t="s">
        <v>20</v>
      </c>
      <c r="D105" s="86">
        <v>2</v>
      </c>
      <c r="E105" s="116" t="str">
        <f t="shared" si="5"/>
        <v>Mercado</v>
      </c>
      <c r="F105" s="85" t="s">
        <v>1120</v>
      </c>
      <c r="G105" s="85" t="s">
        <v>523</v>
      </c>
      <c r="H105" s="85" t="s">
        <v>1083</v>
      </c>
      <c r="I105" s="85">
        <v>12</v>
      </c>
      <c r="J105" s="87">
        <f>163.08/12</f>
        <v>13.590000000000002</v>
      </c>
      <c r="K105" s="88">
        <f t="shared" si="6"/>
        <v>163.08000000000001</v>
      </c>
      <c r="L105" s="85" t="s">
        <v>1122</v>
      </c>
      <c r="M105" s="118" t="s">
        <v>145</v>
      </c>
      <c r="N105" s="96"/>
      <c r="O105" s="96" t="s">
        <v>44</v>
      </c>
      <c r="R105"/>
    </row>
    <row r="106" spans="1:18" hidden="1" x14ac:dyDescent="0.2">
      <c r="A106" s="84" t="str">
        <f t="shared" si="4"/>
        <v>MarçoSEMANA 1Vinho Branco Seco Gf 4,6 Lt</v>
      </c>
      <c r="B106" s="85" t="s">
        <v>31</v>
      </c>
      <c r="C106" s="85" t="s">
        <v>20</v>
      </c>
      <c r="D106" s="86">
        <v>2</v>
      </c>
      <c r="E106" s="116" t="str">
        <f t="shared" si="5"/>
        <v>Mercado</v>
      </c>
      <c r="F106" s="85" t="s">
        <v>1123</v>
      </c>
      <c r="G106" s="85" t="s">
        <v>850</v>
      </c>
      <c r="H106" s="85" t="s">
        <v>1090</v>
      </c>
      <c r="I106" s="85">
        <v>1</v>
      </c>
      <c r="J106" s="87">
        <f>37.87+8</f>
        <v>45.87</v>
      </c>
      <c r="K106" s="88">
        <f t="shared" si="6"/>
        <v>45.87</v>
      </c>
      <c r="L106" s="85" t="s">
        <v>1124</v>
      </c>
      <c r="M106" s="118" t="s">
        <v>146</v>
      </c>
      <c r="N106" s="96"/>
      <c r="O106" s="96" t="s">
        <v>44</v>
      </c>
      <c r="R106"/>
    </row>
    <row r="107" spans="1:18" hidden="1" x14ac:dyDescent="0.2">
      <c r="A107" s="84" t="str">
        <f t="shared" si="4"/>
        <v>MarçoSEMANA 1Vinho Tinto Seco Gf 4,6 Lt</v>
      </c>
      <c r="B107" s="85" t="s">
        <v>31</v>
      </c>
      <c r="C107" s="85" t="s">
        <v>20</v>
      </c>
      <c r="D107" s="86">
        <v>2</v>
      </c>
      <c r="E107" s="116" t="str">
        <f t="shared" si="5"/>
        <v>Mercado</v>
      </c>
      <c r="F107" s="85" t="s">
        <v>1123</v>
      </c>
      <c r="G107" s="85" t="s">
        <v>865</v>
      </c>
      <c r="H107" s="85" t="s">
        <v>1090</v>
      </c>
      <c r="I107" s="85">
        <v>1</v>
      </c>
      <c r="J107" s="87">
        <f>37.87+8</f>
        <v>45.87</v>
      </c>
      <c r="K107" s="88">
        <f t="shared" si="6"/>
        <v>45.87</v>
      </c>
      <c r="L107" s="85" t="s">
        <v>1124</v>
      </c>
      <c r="M107" s="118" t="s">
        <v>147</v>
      </c>
      <c r="N107" s="96"/>
      <c r="O107" s="96" t="s">
        <v>44</v>
      </c>
      <c r="R107"/>
    </row>
    <row r="108" spans="1:18" hidden="1" x14ac:dyDescent="0.2">
      <c r="A108" s="84" t="str">
        <f t="shared" si="4"/>
        <v>MarçoSEMANA 1Grão de Bico</v>
      </c>
      <c r="B108" s="85" t="s">
        <v>31</v>
      </c>
      <c r="C108" s="85" t="s">
        <v>20</v>
      </c>
      <c r="D108" s="86">
        <v>2</v>
      </c>
      <c r="E108" s="116" t="str">
        <f t="shared" si="5"/>
        <v>Mercado</v>
      </c>
      <c r="F108" s="85" t="s">
        <v>1123</v>
      </c>
      <c r="G108" s="85" t="s">
        <v>396</v>
      </c>
      <c r="H108" s="85" t="s">
        <v>1083</v>
      </c>
      <c r="I108" s="85">
        <f>40*0.5</f>
        <v>20</v>
      </c>
      <c r="J108" s="87">
        <f>346.8/20</f>
        <v>17.34</v>
      </c>
      <c r="K108" s="88">
        <f t="shared" si="6"/>
        <v>346.8</v>
      </c>
      <c r="L108" s="85" t="s">
        <v>1124</v>
      </c>
      <c r="M108" s="118" t="s">
        <v>148</v>
      </c>
      <c r="N108" s="96"/>
      <c r="O108" s="96" t="s">
        <v>44</v>
      </c>
      <c r="R108"/>
    </row>
    <row r="109" spans="1:18" hidden="1" x14ac:dyDescent="0.2">
      <c r="A109" s="84" t="str">
        <f t="shared" si="4"/>
        <v>MarçoSEMANA 1Maionese Hellmanns Bd 3 Kg</v>
      </c>
      <c r="B109" s="85" t="s">
        <v>31</v>
      </c>
      <c r="C109" s="85" t="s">
        <v>20</v>
      </c>
      <c r="D109" s="86">
        <v>2</v>
      </c>
      <c r="E109" s="116" t="str">
        <f t="shared" si="5"/>
        <v>Mercado</v>
      </c>
      <c r="F109" s="85" t="s">
        <v>1123</v>
      </c>
      <c r="G109" s="85" t="s">
        <v>491</v>
      </c>
      <c r="H109" s="85" t="s">
        <v>1088</v>
      </c>
      <c r="I109" s="85">
        <v>6</v>
      </c>
      <c r="J109" s="87">
        <v>23.51</v>
      </c>
      <c r="K109" s="88">
        <f t="shared" si="6"/>
        <v>141.06</v>
      </c>
      <c r="L109" s="85" t="s">
        <v>1124</v>
      </c>
      <c r="M109" s="118" t="s">
        <v>149</v>
      </c>
      <c r="N109" s="96"/>
      <c r="O109" s="96" t="s">
        <v>44</v>
      </c>
      <c r="R109"/>
    </row>
    <row r="110" spans="1:18" hidden="1" x14ac:dyDescent="0.2">
      <c r="A110" s="84" t="str">
        <f t="shared" si="4"/>
        <v>MarçoSEMANA 1Margarina Bd 15 Kg</v>
      </c>
      <c r="B110" s="85" t="s">
        <v>31</v>
      </c>
      <c r="C110" s="85" t="s">
        <v>20</v>
      </c>
      <c r="D110" s="86">
        <v>2</v>
      </c>
      <c r="E110" s="116" t="str">
        <f t="shared" si="5"/>
        <v>Mercado</v>
      </c>
      <c r="F110" s="85" t="s">
        <v>1123</v>
      </c>
      <c r="G110" s="85" t="s">
        <v>504</v>
      </c>
      <c r="H110" s="85" t="s">
        <v>1088</v>
      </c>
      <c r="I110" s="85">
        <v>1</v>
      </c>
      <c r="J110" s="87">
        <v>77.31</v>
      </c>
      <c r="K110" s="88">
        <f t="shared" si="6"/>
        <v>77.31</v>
      </c>
      <c r="L110" s="85" t="s">
        <v>1124</v>
      </c>
      <c r="M110" s="118" t="s">
        <v>1053</v>
      </c>
      <c r="O110" s="84" t="s">
        <v>44</v>
      </c>
      <c r="R110"/>
    </row>
    <row r="111" spans="1:18" hidden="1" x14ac:dyDescent="0.2">
      <c r="A111" s="84" t="str">
        <f t="shared" si="4"/>
        <v>MarçoSEMANA 1Mostarda Bb 3,3, Kg</v>
      </c>
      <c r="B111" s="85" t="s">
        <v>31</v>
      </c>
      <c r="C111" s="85" t="s">
        <v>20</v>
      </c>
      <c r="D111" s="86">
        <v>2</v>
      </c>
      <c r="E111" s="116" t="str">
        <f t="shared" si="5"/>
        <v>Mercado</v>
      </c>
      <c r="F111" s="85" t="s">
        <v>1123</v>
      </c>
      <c r="G111" s="85" t="s">
        <v>531</v>
      </c>
      <c r="H111" s="85" t="s">
        <v>1089</v>
      </c>
      <c r="I111" s="85">
        <v>1</v>
      </c>
      <c r="J111" s="87">
        <v>13.11</v>
      </c>
      <c r="K111" s="88">
        <f t="shared" si="6"/>
        <v>13.11</v>
      </c>
      <c r="L111" s="85" t="s">
        <v>1124</v>
      </c>
      <c r="M111" s="118" t="s">
        <v>150</v>
      </c>
      <c r="N111" s="96"/>
      <c r="O111" s="96" t="s">
        <v>44</v>
      </c>
      <c r="R111"/>
    </row>
    <row r="112" spans="1:18" hidden="1" x14ac:dyDescent="0.2">
      <c r="A112" s="84" t="str">
        <f t="shared" si="4"/>
        <v>MarçoSEMANA 1Orégano Chileno</v>
      </c>
      <c r="B112" s="85" t="s">
        <v>31</v>
      </c>
      <c r="C112" s="85" t="s">
        <v>20</v>
      </c>
      <c r="D112" s="86">
        <v>2</v>
      </c>
      <c r="E112" s="116" t="str">
        <f t="shared" si="5"/>
        <v>Mercado</v>
      </c>
      <c r="F112" s="85" t="s">
        <v>1123</v>
      </c>
      <c r="G112" s="85" t="s">
        <v>546</v>
      </c>
      <c r="H112" s="85" t="s">
        <v>1083</v>
      </c>
      <c r="I112" s="85">
        <v>0.2</v>
      </c>
      <c r="J112" s="87">
        <f>8.89/0.2</f>
        <v>44.45</v>
      </c>
      <c r="K112" s="88">
        <f t="shared" si="6"/>
        <v>8.89</v>
      </c>
      <c r="L112" s="85" t="s">
        <v>1124</v>
      </c>
      <c r="M112" s="118" t="s">
        <v>151</v>
      </c>
      <c r="N112" s="96"/>
      <c r="O112" s="96" t="s">
        <v>42</v>
      </c>
      <c r="R112"/>
    </row>
    <row r="113" spans="1:18" hidden="1" x14ac:dyDescent="0.2">
      <c r="A113" s="84" t="str">
        <f t="shared" si="4"/>
        <v>MarçoSEMANA 1Trigo para Kibe</v>
      </c>
      <c r="B113" s="85" t="s">
        <v>31</v>
      </c>
      <c r="C113" s="85" t="s">
        <v>20</v>
      </c>
      <c r="D113" s="86">
        <v>2</v>
      </c>
      <c r="E113" s="116" t="str">
        <f t="shared" si="5"/>
        <v>Mercado</v>
      </c>
      <c r="F113" s="85" t="s">
        <v>1123</v>
      </c>
      <c r="G113" s="85" t="s">
        <v>825</v>
      </c>
      <c r="H113" s="85" t="s">
        <v>1083</v>
      </c>
      <c r="I113" s="85">
        <f>20*0.5</f>
        <v>10</v>
      </c>
      <c r="J113" s="87">
        <f>44.2/10</f>
        <v>4.42</v>
      </c>
      <c r="K113" s="88">
        <f t="shared" si="6"/>
        <v>44.2</v>
      </c>
      <c r="L113" s="85" t="s">
        <v>1124</v>
      </c>
      <c r="M113" s="118" t="s">
        <v>152</v>
      </c>
      <c r="N113" s="96"/>
      <c r="O113" s="96" t="s">
        <v>42</v>
      </c>
      <c r="R113"/>
    </row>
    <row r="114" spans="1:18" hidden="1" x14ac:dyDescent="0.2">
      <c r="A114" s="84" t="str">
        <f t="shared" si="4"/>
        <v>MarçoSEMANA 1Vinagre de Arroz Sushi</v>
      </c>
      <c r="B114" s="85" t="s">
        <v>31</v>
      </c>
      <c r="C114" s="85" t="s">
        <v>20</v>
      </c>
      <c r="D114" s="86">
        <v>2</v>
      </c>
      <c r="E114" s="116" t="str">
        <f t="shared" si="5"/>
        <v>Sushi</v>
      </c>
      <c r="F114" s="85" t="s">
        <v>1123</v>
      </c>
      <c r="G114" s="85" t="s">
        <v>839</v>
      </c>
      <c r="H114" s="85" t="s">
        <v>1090</v>
      </c>
      <c r="I114" s="85">
        <f>24-7</f>
        <v>17</v>
      </c>
      <c r="J114" s="87">
        <f>92.88/24</f>
        <v>3.8699999999999997</v>
      </c>
      <c r="K114" s="88">
        <f t="shared" si="6"/>
        <v>65.789999999999992</v>
      </c>
      <c r="L114" s="85" t="s">
        <v>1124</v>
      </c>
      <c r="M114" s="118" t="s">
        <v>153</v>
      </c>
      <c r="N114" s="96"/>
      <c r="O114" s="96" t="s">
        <v>42</v>
      </c>
      <c r="R114"/>
    </row>
    <row r="115" spans="1:18" hidden="1" x14ac:dyDescent="0.2">
      <c r="A115" s="84" t="str">
        <f t="shared" si="4"/>
        <v>MarçoSEMANA 1Bala de Alga 500 g</v>
      </c>
      <c r="B115" s="85" t="s">
        <v>31</v>
      </c>
      <c r="C115" s="85" t="s">
        <v>20</v>
      </c>
      <c r="D115" s="86">
        <v>2</v>
      </c>
      <c r="E115" s="116" t="str">
        <f t="shared" si="5"/>
        <v>Vendas Caixa</v>
      </c>
      <c r="F115" s="90" t="s">
        <v>1125</v>
      </c>
      <c r="G115" s="85" t="s">
        <v>159</v>
      </c>
      <c r="H115" s="85" t="s">
        <v>1114</v>
      </c>
      <c r="I115" s="85">
        <v>2</v>
      </c>
      <c r="J115" s="87">
        <v>17.16</v>
      </c>
      <c r="K115" s="88">
        <f t="shared" si="6"/>
        <v>34.32</v>
      </c>
      <c r="L115" s="85">
        <v>64010</v>
      </c>
      <c r="M115" s="118" t="s">
        <v>154</v>
      </c>
      <c r="N115" s="96"/>
      <c r="O115" s="96" t="s">
        <v>42</v>
      </c>
      <c r="R115"/>
    </row>
    <row r="116" spans="1:18" hidden="1" x14ac:dyDescent="0.2">
      <c r="A116" s="84" t="str">
        <f t="shared" si="4"/>
        <v>MarçoSEMANA 1Chá verde 200gr</v>
      </c>
      <c r="B116" s="85" t="s">
        <v>31</v>
      </c>
      <c r="C116" s="85" t="s">
        <v>20</v>
      </c>
      <c r="D116" s="86">
        <v>2</v>
      </c>
      <c r="E116" s="116" t="str">
        <f t="shared" si="5"/>
        <v>Mercado</v>
      </c>
      <c r="F116" s="90" t="s">
        <v>1125</v>
      </c>
      <c r="G116" s="85" t="s">
        <v>271</v>
      </c>
      <c r="H116" s="85" t="s">
        <v>1114</v>
      </c>
      <c r="I116" s="85">
        <v>1</v>
      </c>
      <c r="J116" s="87">
        <v>14.68</v>
      </c>
      <c r="K116" s="88">
        <f t="shared" si="6"/>
        <v>14.68</v>
      </c>
      <c r="L116" s="85">
        <v>64010</v>
      </c>
      <c r="M116" s="118" t="s">
        <v>155</v>
      </c>
      <c r="N116" s="96"/>
      <c r="O116" s="96" t="s">
        <v>42</v>
      </c>
      <c r="R116"/>
    </row>
    <row r="117" spans="1:18" hidden="1" x14ac:dyDescent="0.2">
      <c r="A117" s="84" t="str">
        <f t="shared" si="4"/>
        <v>MarçoSEMANA 1Farinha Panco</v>
      </c>
      <c r="B117" s="85" t="s">
        <v>31</v>
      </c>
      <c r="C117" s="85" t="s">
        <v>20</v>
      </c>
      <c r="D117" s="86">
        <v>2</v>
      </c>
      <c r="E117" s="116" t="str">
        <f t="shared" si="5"/>
        <v>Mercado</v>
      </c>
      <c r="F117" s="90" t="s">
        <v>1125</v>
      </c>
      <c r="G117" s="85" t="s">
        <v>345</v>
      </c>
      <c r="H117" s="85" t="s">
        <v>1083</v>
      </c>
      <c r="I117" s="85">
        <v>9</v>
      </c>
      <c r="J117" s="87">
        <v>17.7</v>
      </c>
      <c r="K117" s="88">
        <f t="shared" si="6"/>
        <v>159.29999999999998</v>
      </c>
      <c r="L117" s="85">
        <v>64010</v>
      </c>
      <c r="M117" s="118" t="s">
        <v>156</v>
      </c>
      <c r="N117" s="96"/>
      <c r="O117" s="96" t="s">
        <v>42</v>
      </c>
      <c r="R117"/>
    </row>
    <row r="118" spans="1:18" hidden="1" x14ac:dyDescent="0.2">
      <c r="A118" s="84" t="str">
        <f t="shared" si="4"/>
        <v>MarçoSEMANA 1Gergelim Preto</v>
      </c>
      <c r="B118" s="85" t="s">
        <v>31</v>
      </c>
      <c r="C118" s="85" t="s">
        <v>20</v>
      </c>
      <c r="D118" s="86">
        <v>2</v>
      </c>
      <c r="E118" s="116" t="str">
        <f t="shared" si="5"/>
        <v>Mercado</v>
      </c>
      <c r="F118" s="90" t="s">
        <v>1125</v>
      </c>
      <c r="G118" s="85" t="s">
        <v>389</v>
      </c>
      <c r="H118" s="85" t="s">
        <v>1083</v>
      </c>
      <c r="I118" s="85">
        <v>1</v>
      </c>
      <c r="J118" s="87">
        <v>18.38</v>
      </c>
      <c r="K118" s="88">
        <f t="shared" si="6"/>
        <v>18.38</v>
      </c>
      <c r="L118" s="85">
        <v>64010</v>
      </c>
      <c r="M118" s="118" t="s">
        <v>157</v>
      </c>
      <c r="N118" s="96"/>
      <c r="O118" s="96" t="s">
        <v>42</v>
      </c>
      <c r="R118"/>
    </row>
    <row r="119" spans="1:18" hidden="1" x14ac:dyDescent="0.2">
      <c r="A119" s="84" t="str">
        <f t="shared" si="4"/>
        <v>MarçoSEMANA 1Macarrão de Feijão (Harusame) 200g</v>
      </c>
      <c r="B119" s="85" t="s">
        <v>31</v>
      </c>
      <c r="C119" s="85" t="s">
        <v>20</v>
      </c>
      <c r="D119" s="86">
        <v>2</v>
      </c>
      <c r="E119" s="116" t="str">
        <f t="shared" si="5"/>
        <v>Mercado</v>
      </c>
      <c r="F119" s="90" t="s">
        <v>1125</v>
      </c>
      <c r="G119" s="85" t="s">
        <v>480</v>
      </c>
      <c r="H119" s="85" t="s">
        <v>1114</v>
      </c>
      <c r="I119" s="85">
        <v>3</v>
      </c>
      <c r="J119" s="87">
        <v>8.48</v>
      </c>
      <c r="K119" s="88">
        <f t="shared" si="6"/>
        <v>25.44</v>
      </c>
      <c r="L119" s="85">
        <v>64010</v>
      </c>
      <c r="M119" s="118" t="s">
        <v>158</v>
      </c>
      <c r="N119" s="96"/>
      <c r="O119" s="96" t="s">
        <v>42</v>
      </c>
      <c r="R119"/>
    </row>
    <row r="120" spans="1:18" hidden="1" x14ac:dyDescent="0.2">
      <c r="A120" s="84" t="str">
        <f t="shared" si="4"/>
        <v>MarçoSEMANA 1Molho Ostra</v>
      </c>
      <c r="B120" s="85" t="s">
        <v>31</v>
      </c>
      <c r="C120" s="85" t="s">
        <v>20</v>
      </c>
      <c r="D120" s="86">
        <v>2</v>
      </c>
      <c r="E120" s="116" t="str">
        <f t="shared" si="5"/>
        <v>Mercado</v>
      </c>
      <c r="F120" s="90" t="s">
        <v>1125</v>
      </c>
      <c r="G120" s="85" t="s">
        <v>529</v>
      </c>
      <c r="H120" s="85" t="s">
        <v>1090</v>
      </c>
      <c r="I120" s="85">
        <v>1</v>
      </c>
      <c r="J120" s="87">
        <v>14.5</v>
      </c>
      <c r="K120" s="88">
        <f t="shared" si="6"/>
        <v>14.5</v>
      </c>
      <c r="L120" s="85">
        <v>64010</v>
      </c>
      <c r="M120" s="118" t="s">
        <v>159</v>
      </c>
      <c r="O120" s="115" t="s">
        <v>871</v>
      </c>
      <c r="R120"/>
    </row>
    <row r="121" spans="1:18" hidden="1" x14ac:dyDescent="0.2">
      <c r="A121" s="84" t="str">
        <f t="shared" si="4"/>
        <v>MarçoSEMANA 1Óleo de Gergelim</v>
      </c>
      <c r="B121" s="85" t="s">
        <v>31</v>
      </c>
      <c r="C121" s="85" t="s">
        <v>20</v>
      </c>
      <c r="D121" s="86">
        <v>2</v>
      </c>
      <c r="E121" s="116" t="str">
        <f t="shared" si="5"/>
        <v>Mercado</v>
      </c>
      <c r="F121" s="90" t="s">
        <v>1125</v>
      </c>
      <c r="G121" s="85" t="s">
        <v>543</v>
      </c>
      <c r="H121" s="85" t="s">
        <v>1090</v>
      </c>
      <c r="I121" s="85">
        <v>2</v>
      </c>
      <c r="J121" s="87">
        <v>54</v>
      </c>
      <c r="K121" s="88">
        <f t="shared" si="6"/>
        <v>108</v>
      </c>
      <c r="L121" s="85">
        <v>64010</v>
      </c>
      <c r="M121" s="118" t="s">
        <v>160</v>
      </c>
      <c r="N121" s="96"/>
      <c r="O121" s="96" t="s">
        <v>871</v>
      </c>
      <c r="R121"/>
    </row>
    <row r="122" spans="1:18" hidden="1" x14ac:dyDescent="0.2">
      <c r="A122" s="84" t="str">
        <f t="shared" si="4"/>
        <v>MarçoSEMANA 1Massa de Harumaki</v>
      </c>
      <c r="B122" s="85" t="s">
        <v>31</v>
      </c>
      <c r="C122" s="85" t="s">
        <v>20</v>
      </c>
      <c r="D122" s="86">
        <v>2</v>
      </c>
      <c r="E122" s="116" t="str">
        <f t="shared" si="5"/>
        <v>Mercado</v>
      </c>
      <c r="F122" s="90" t="s">
        <v>1125</v>
      </c>
      <c r="G122" s="85" t="s">
        <v>506</v>
      </c>
      <c r="H122" s="85" t="s">
        <v>1126</v>
      </c>
      <c r="I122" s="85">
        <f>6*30</f>
        <v>180</v>
      </c>
      <c r="J122" s="87">
        <f>96.06/180</f>
        <v>0.53366666666666673</v>
      </c>
      <c r="K122" s="88">
        <f t="shared" si="6"/>
        <v>96.060000000000016</v>
      </c>
      <c r="L122" s="85">
        <v>64010</v>
      </c>
      <c r="M122" s="118" t="s">
        <v>161</v>
      </c>
      <c r="N122" s="96"/>
      <c r="O122" s="96" t="s">
        <v>45</v>
      </c>
      <c r="R122"/>
    </row>
    <row r="123" spans="1:18" hidden="1" x14ac:dyDescent="0.2">
      <c r="A123" s="84" t="str">
        <f t="shared" si="4"/>
        <v>MarçoSEMANA 1Gergelim Preto</v>
      </c>
      <c r="B123" s="85" t="s">
        <v>31</v>
      </c>
      <c r="C123" s="85" t="s">
        <v>20</v>
      </c>
      <c r="D123" s="86">
        <v>2</v>
      </c>
      <c r="E123" s="116" t="str">
        <f t="shared" si="5"/>
        <v>Mercado</v>
      </c>
      <c r="F123" s="90" t="s">
        <v>1125</v>
      </c>
      <c r="G123" s="85" t="s">
        <v>389</v>
      </c>
      <c r="H123" s="85" t="s">
        <v>1083</v>
      </c>
      <c r="I123" s="85">
        <v>1</v>
      </c>
      <c r="J123" s="87"/>
      <c r="K123" s="88">
        <f t="shared" si="6"/>
        <v>0</v>
      </c>
      <c r="L123" s="85" t="s">
        <v>1154</v>
      </c>
      <c r="M123" s="118" t="s">
        <v>162</v>
      </c>
      <c r="N123" s="96"/>
      <c r="O123" s="96" t="s">
        <v>45</v>
      </c>
      <c r="R123"/>
    </row>
    <row r="124" spans="1:18" hidden="1" x14ac:dyDescent="0.2">
      <c r="A124" s="84" t="str">
        <f t="shared" si="4"/>
        <v>MarçoSEMANA 1Água Mineral com Gás</v>
      </c>
      <c r="B124" s="85" t="s">
        <v>31</v>
      </c>
      <c r="C124" s="85" t="s">
        <v>20</v>
      </c>
      <c r="D124" s="86">
        <v>2</v>
      </c>
      <c r="E124" s="116" t="str">
        <f t="shared" si="5"/>
        <v>Bebidas</v>
      </c>
      <c r="F124" s="90" t="s">
        <v>1127</v>
      </c>
      <c r="G124" s="85" t="s">
        <v>90</v>
      </c>
      <c r="H124" s="85" t="s">
        <v>1090</v>
      </c>
      <c r="I124" s="85">
        <f>6*35</f>
        <v>210</v>
      </c>
      <c r="J124" s="87">
        <f>280/210</f>
        <v>1.3333333333333333</v>
      </c>
      <c r="K124" s="88">
        <f t="shared" si="6"/>
        <v>280</v>
      </c>
      <c r="L124" s="85" t="s">
        <v>1128</v>
      </c>
      <c r="M124" s="118" t="s">
        <v>163</v>
      </c>
      <c r="N124" s="96"/>
      <c r="O124" s="96" t="s">
        <v>45</v>
      </c>
      <c r="R124"/>
    </row>
    <row r="125" spans="1:18" hidden="1" x14ac:dyDescent="0.2">
      <c r="A125" s="84" t="str">
        <f t="shared" si="4"/>
        <v>MarçoSEMANA 1Água Mineral sem Gás</v>
      </c>
      <c r="B125" s="85" t="s">
        <v>31</v>
      </c>
      <c r="C125" s="85" t="s">
        <v>20</v>
      </c>
      <c r="D125" s="86">
        <v>2</v>
      </c>
      <c r="E125" s="116" t="str">
        <f t="shared" si="5"/>
        <v>Bebidas</v>
      </c>
      <c r="F125" s="90" t="s">
        <v>1127</v>
      </c>
      <c r="G125" s="85" t="s">
        <v>91</v>
      </c>
      <c r="H125" s="85" t="s">
        <v>1090</v>
      </c>
      <c r="I125" s="85">
        <f>35*6</f>
        <v>210</v>
      </c>
      <c r="J125" s="87">
        <f>280/210</f>
        <v>1.3333333333333333</v>
      </c>
      <c r="K125" s="88">
        <f t="shared" si="6"/>
        <v>280</v>
      </c>
      <c r="L125" s="85" t="s">
        <v>1128</v>
      </c>
      <c r="M125" s="118" t="s">
        <v>895</v>
      </c>
      <c r="N125" s="96"/>
      <c r="O125" s="96" t="s">
        <v>874</v>
      </c>
      <c r="R125"/>
    </row>
    <row r="126" spans="1:18" hidden="1" x14ac:dyDescent="0.2">
      <c r="A126" s="84" t="str">
        <f t="shared" si="4"/>
        <v>MarçoSEMANA 1Carne Bovina - Lagarto Plano</v>
      </c>
      <c r="B126" s="85" t="s">
        <v>31</v>
      </c>
      <c r="C126" s="85" t="s">
        <v>20</v>
      </c>
      <c r="D126" s="86">
        <v>2</v>
      </c>
      <c r="E126" s="116" t="str">
        <f t="shared" si="5"/>
        <v>Carnes</v>
      </c>
      <c r="F126" s="90" t="s">
        <v>1101</v>
      </c>
      <c r="G126" s="85" t="s">
        <v>225</v>
      </c>
      <c r="H126" s="85" t="s">
        <v>1083</v>
      </c>
      <c r="I126" s="85">
        <v>24.14</v>
      </c>
      <c r="J126" s="87">
        <v>14</v>
      </c>
      <c r="K126" s="88">
        <f t="shared" si="6"/>
        <v>337.96000000000004</v>
      </c>
      <c r="L126" s="85" t="s">
        <v>1129</v>
      </c>
      <c r="M126" s="118" t="s">
        <v>164</v>
      </c>
      <c r="N126" s="96"/>
      <c r="O126" s="96" t="s">
        <v>45</v>
      </c>
      <c r="R126"/>
    </row>
    <row r="127" spans="1:18" hidden="1" x14ac:dyDescent="0.2">
      <c r="A127" s="84" t="str">
        <f t="shared" si="4"/>
        <v>MarçoSEMANA 1Suíno - Filezinho Suíno</v>
      </c>
      <c r="B127" s="85" t="s">
        <v>31</v>
      </c>
      <c r="C127" s="85" t="s">
        <v>20</v>
      </c>
      <c r="D127" s="86">
        <v>2</v>
      </c>
      <c r="E127" s="116" t="str">
        <f t="shared" si="5"/>
        <v>Carnes</v>
      </c>
      <c r="F127" s="90" t="s">
        <v>1101</v>
      </c>
      <c r="G127" s="85" t="s">
        <v>973</v>
      </c>
      <c r="H127" s="85" t="s">
        <v>1083</v>
      </c>
      <c r="I127" s="85">
        <v>20</v>
      </c>
      <c r="J127" s="87">
        <v>9.15</v>
      </c>
      <c r="K127" s="88">
        <f t="shared" si="6"/>
        <v>183</v>
      </c>
      <c r="L127" s="85" t="s">
        <v>1129</v>
      </c>
      <c r="M127" s="118" t="s">
        <v>165</v>
      </c>
      <c r="N127" s="96"/>
      <c r="O127" s="96" t="s">
        <v>872</v>
      </c>
      <c r="R127"/>
    </row>
    <row r="128" spans="1:18" hidden="1" x14ac:dyDescent="0.2">
      <c r="A128" s="84" t="str">
        <f t="shared" si="4"/>
        <v>MarçoSEMANA 1Queijo Parmezon</v>
      </c>
      <c r="B128" s="85" t="s">
        <v>31</v>
      </c>
      <c r="C128" s="85" t="s">
        <v>20</v>
      </c>
      <c r="D128" s="86">
        <v>2</v>
      </c>
      <c r="E128" s="116" t="str">
        <f t="shared" si="5"/>
        <v>Laticínios</v>
      </c>
      <c r="F128" s="90" t="s">
        <v>1101</v>
      </c>
      <c r="G128" s="85" t="s">
        <v>685</v>
      </c>
      <c r="H128" s="85" t="s">
        <v>1083</v>
      </c>
      <c r="I128" s="85">
        <v>5.9</v>
      </c>
      <c r="J128" s="87">
        <v>23.7</v>
      </c>
      <c r="K128" s="88">
        <f t="shared" si="6"/>
        <v>139.83000000000001</v>
      </c>
      <c r="L128" s="85" t="s">
        <v>1129</v>
      </c>
      <c r="M128" s="118" t="s">
        <v>166</v>
      </c>
      <c r="N128" s="96"/>
      <c r="O128" s="96" t="s">
        <v>872</v>
      </c>
      <c r="R128"/>
    </row>
    <row r="129" spans="1:18" hidden="1" x14ac:dyDescent="0.2">
      <c r="A129" s="84" t="str">
        <f t="shared" si="4"/>
        <v>MarçoSEMANA 1Aves - Peito de Peru Bolinha</v>
      </c>
      <c r="B129" s="85" t="s">
        <v>31</v>
      </c>
      <c r="C129" s="85" t="s">
        <v>20</v>
      </c>
      <c r="D129" s="86">
        <v>2</v>
      </c>
      <c r="E129" s="116" t="str">
        <f t="shared" si="5"/>
        <v>Carnes</v>
      </c>
      <c r="F129" s="90" t="s">
        <v>1101</v>
      </c>
      <c r="G129" s="85" t="s">
        <v>146</v>
      </c>
      <c r="H129" s="85" t="s">
        <v>1083</v>
      </c>
      <c r="I129" s="85">
        <v>18</v>
      </c>
      <c r="J129" s="87">
        <v>25.5</v>
      </c>
      <c r="K129" s="88">
        <f t="shared" si="6"/>
        <v>459</v>
      </c>
      <c r="L129" s="85" t="s">
        <v>1129</v>
      </c>
      <c r="M129" s="118" t="s">
        <v>167</v>
      </c>
      <c r="N129" s="96"/>
      <c r="O129" s="96" t="s">
        <v>872</v>
      </c>
      <c r="R129"/>
    </row>
    <row r="130" spans="1:18" hidden="1" x14ac:dyDescent="0.2">
      <c r="A130" s="84" t="str">
        <f t="shared" ref="A130:A193" si="7">CONCATENATE(B130,C130,G130)</f>
        <v>MarçoSEMANA 1Gelo em Escamas</v>
      </c>
      <c r="B130" s="85" t="s">
        <v>31</v>
      </c>
      <c r="C130" s="85" t="s">
        <v>20</v>
      </c>
      <c r="D130" s="86">
        <v>2</v>
      </c>
      <c r="E130" s="116" t="str">
        <f t="shared" ref="E130:E193" si="8">VLOOKUP(G130,$M$1:$O$993,3,0)</f>
        <v>Mercado</v>
      </c>
      <c r="F130" s="90" t="s">
        <v>1096</v>
      </c>
      <c r="G130" s="85" t="s">
        <v>384</v>
      </c>
      <c r="H130" s="85" t="s">
        <v>1097</v>
      </c>
      <c r="I130" s="85">
        <v>2</v>
      </c>
      <c r="J130" s="87">
        <v>7.5</v>
      </c>
      <c r="K130" s="88">
        <f t="shared" ref="K130:K193" si="9">I130*J130</f>
        <v>15</v>
      </c>
      <c r="L130" s="85">
        <v>2557</v>
      </c>
      <c r="M130" s="118" t="s">
        <v>1055</v>
      </c>
      <c r="O130" s="84" t="s">
        <v>872</v>
      </c>
      <c r="R130"/>
    </row>
    <row r="131" spans="1:18" hidden="1" x14ac:dyDescent="0.2">
      <c r="A131" s="84" t="str">
        <f t="shared" si="7"/>
        <v>MarçoSEMANA 1Gelo em Cubo</v>
      </c>
      <c r="B131" s="85" t="s">
        <v>31</v>
      </c>
      <c r="C131" s="85" t="s">
        <v>20</v>
      </c>
      <c r="D131" s="86">
        <v>2</v>
      </c>
      <c r="E131" s="116" t="str">
        <f t="shared" si="8"/>
        <v>Mercado</v>
      </c>
      <c r="F131" s="90" t="s">
        <v>1096</v>
      </c>
      <c r="G131" s="85" t="s">
        <v>383</v>
      </c>
      <c r="H131" s="85" t="s">
        <v>1097</v>
      </c>
      <c r="I131" s="85">
        <v>4</v>
      </c>
      <c r="J131" s="87">
        <v>7.5</v>
      </c>
      <c r="K131" s="88">
        <f t="shared" si="9"/>
        <v>30</v>
      </c>
      <c r="L131" s="85">
        <v>2557</v>
      </c>
      <c r="M131" s="118" t="s">
        <v>1038</v>
      </c>
      <c r="O131" s="84" t="s">
        <v>42</v>
      </c>
      <c r="R131"/>
    </row>
    <row r="132" spans="1:18" x14ac:dyDescent="0.25">
      <c r="A132" s="84" t="str">
        <f t="shared" si="7"/>
        <v>MarçoSEMANA 1Alface Americana Orgânica</v>
      </c>
      <c r="B132" s="85" t="s">
        <v>31</v>
      </c>
      <c r="C132" s="85" t="s">
        <v>20</v>
      </c>
      <c r="D132" s="86">
        <v>2</v>
      </c>
      <c r="E132" s="116" t="str">
        <f t="shared" si="8"/>
        <v>Hortifruti</v>
      </c>
      <c r="F132" s="90" t="s">
        <v>1130</v>
      </c>
      <c r="G132" s="85" t="s">
        <v>103</v>
      </c>
      <c r="H132" s="85" t="s">
        <v>1083</v>
      </c>
      <c r="I132" s="85">
        <v>6.04</v>
      </c>
      <c r="J132" s="87">
        <f>43.5/6.04</f>
        <v>7.201986754966887</v>
      </c>
      <c r="K132" s="88">
        <f t="shared" si="9"/>
        <v>43.5</v>
      </c>
      <c r="L132" s="85">
        <v>103827</v>
      </c>
      <c r="M132" s="118" t="s">
        <v>168</v>
      </c>
      <c r="N132" s="96"/>
      <c r="O132" s="96" t="s">
        <v>42</v>
      </c>
      <c r="R132"/>
    </row>
    <row r="133" spans="1:18" x14ac:dyDescent="0.25">
      <c r="A133" s="84" t="str">
        <f t="shared" si="7"/>
        <v>MarçoSEMANA 1Alface crespa Orgânica</v>
      </c>
      <c r="B133" s="85" t="s">
        <v>31</v>
      </c>
      <c r="C133" s="85" t="s">
        <v>20</v>
      </c>
      <c r="D133" s="86">
        <v>2</v>
      </c>
      <c r="E133" s="116" t="str">
        <f t="shared" si="8"/>
        <v>Hortifruti</v>
      </c>
      <c r="F133" s="90" t="s">
        <v>1130</v>
      </c>
      <c r="G133" s="85" t="s">
        <v>105</v>
      </c>
      <c r="H133" s="85" t="s">
        <v>1083</v>
      </c>
      <c r="I133" s="85">
        <v>2.76</v>
      </c>
      <c r="J133" s="87">
        <f>30/2.76</f>
        <v>10.869565217391305</v>
      </c>
      <c r="K133" s="88">
        <f t="shared" si="9"/>
        <v>30</v>
      </c>
      <c r="L133" s="85">
        <v>103827</v>
      </c>
      <c r="M133" s="118" t="s">
        <v>169</v>
      </c>
      <c r="N133" s="96"/>
      <c r="O133" s="96" t="s">
        <v>45</v>
      </c>
      <c r="R133"/>
    </row>
    <row r="134" spans="1:18" x14ac:dyDescent="0.25">
      <c r="A134" s="84" t="str">
        <f t="shared" si="7"/>
        <v>MarçoSEMANA 1Alface Roxa Orgânica</v>
      </c>
      <c r="B134" s="85" t="s">
        <v>31</v>
      </c>
      <c r="C134" s="85" t="s">
        <v>20</v>
      </c>
      <c r="D134" s="86">
        <v>2</v>
      </c>
      <c r="E134" s="116" t="str">
        <f t="shared" si="8"/>
        <v>Hortifruti</v>
      </c>
      <c r="F134" s="90" t="s">
        <v>1130</v>
      </c>
      <c r="G134" s="85" t="s">
        <v>109</v>
      </c>
      <c r="H134" s="85" t="s">
        <v>1083</v>
      </c>
      <c r="I134" s="85">
        <v>1.54</v>
      </c>
      <c r="J134" s="87">
        <f>25/1.54</f>
        <v>16.233766233766232</v>
      </c>
      <c r="K134" s="88">
        <f t="shared" si="9"/>
        <v>25</v>
      </c>
      <c r="L134" s="85">
        <v>103827</v>
      </c>
      <c r="M134" s="118" t="s">
        <v>901</v>
      </c>
      <c r="N134" s="96"/>
      <c r="O134" s="96" t="s">
        <v>45</v>
      </c>
      <c r="R134"/>
    </row>
    <row r="135" spans="1:18" x14ac:dyDescent="0.25">
      <c r="A135" s="84" t="str">
        <f t="shared" si="7"/>
        <v>MarçoSEMANA 1Beterraba Orgânica</v>
      </c>
      <c r="B135" s="85" t="s">
        <v>31</v>
      </c>
      <c r="C135" s="85" t="s">
        <v>20</v>
      </c>
      <c r="D135" s="86">
        <v>2</v>
      </c>
      <c r="E135" s="116" t="str">
        <f t="shared" si="8"/>
        <v>Hortifruti</v>
      </c>
      <c r="F135" s="90" t="s">
        <v>1130</v>
      </c>
      <c r="G135" s="85" t="s">
        <v>182</v>
      </c>
      <c r="H135" s="85" t="s">
        <v>1083</v>
      </c>
      <c r="I135" s="85">
        <v>5</v>
      </c>
      <c r="J135" s="87">
        <v>7.7</v>
      </c>
      <c r="K135" s="88">
        <f t="shared" si="9"/>
        <v>38.5</v>
      </c>
      <c r="L135" s="85">
        <v>103827</v>
      </c>
      <c r="M135" s="118" t="s">
        <v>170</v>
      </c>
      <c r="N135" s="96"/>
      <c r="O135" s="96" t="s">
        <v>45</v>
      </c>
      <c r="R135"/>
    </row>
    <row r="136" spans="1:18" x14ac:dyDescent="0.25">
      <c r="A136" s="84" t="str">
        <f t="shared" si="7"/>
        <v>MarçoSEMANA 1Rúcula Orgânica</v>
      </c>
      <c r="B136" s="85" t="s">
        <v>31</v>
      </c>
      <c r="C136" s="85" t="s">
        <v>20</v>
      </c>
      <c r="D136" s="86">
        <v>2</v>
      </c>
      <c r="E136" s="116" t="str">
        <f t="shared" si="8"/>
        <v>Hortifruti</v>
      </c>
      <c r="F136" s="90" t="s">
        <v>1130</v>
      </c>
      <c r="G136" s="85" t="s">
        <v>706</v>
      </c>
      <c r="H136" s="85" t="s">
        <v>1083</v>
      </c>
      <c r="I136" s="85">
        <v>2.14</v>
      </c>
      <c r="J136" s="87">
        <f>37/2.14</f>
        <v>17.289719626168225</v>
      </c>
      <c r="K136" s="88">
        <f t="shared" si="9"/>
        <v>37</v>
      </c>
      <c r="L136" s="85">
        <v>103827</v>
      </c>
      <c r="M136" s="118" t="s">
        <v>1008</v>
      </c>
      <c r="O136" s="84" t="s">
        <v>874</v>
      </c>
      <c r="R136"/>
    </row>
    <row r="137" spans="1:18" hidden="1" x14ac:dyDescent="0.2">
      <c r="A137" s="84" t="str">
        <f t="shared" si="7"/>
        <v>MarçoSEMANA 1Pescados - Olho de Boi</v>
      </c>
      <c r="B137" s="85" t="s">
        <v>31</v>
      </c>
      <c r="C137" s="85" t="s">
        <v>20</v>
      </c>
      <c r="D137" s="86">
        <v>2</v>
      </c>
      <c r="E137" s="116" t="str">
        <f t="shared" si="8"/>
        <v>Carnes</v>
      </c>
      <c r="F137" s="90" t="s">
        <v>1131</v>
      </c>
      <c r="G137" s="85" t="s">
        <v>629</v>
      </c>
      <c r="H137" s="85" t="s">
        <v>1083</v>
      </c>
      <c r="I137" s="85">
        <v>55.7</v>
      </c>
      <c r="J137" s="87">
        <v>18</v>
      </c>
      <c r="K137" s="88">
        <f t="shared" si="9"/>
        <v>1002.6</v>
      </c>
      <c r="L137" s="85">
        <v>4915</v>
      </c>
      <c r="M137" s="118" t="s">
        <v>171</v>
      </c>
      <c r="N137" s="96"/>
      <c r="O137" s="96" t="s">
        <v>45</v>
      </c>
      <c r="R137"/>
    </row>
    <row r="138" spans="1:18" hidden="1" x14ac:dyDescent="0.2">
      <c r="A138" s="84" t="str">
        <f t="shared" si="7"/>
        <v>MarçoSEMANA 1Pescados - Olho de Cão Sushi</v>
      </c>
      <c r="B138" s="85" t="s">
        <v>31</v>
      </c>
      <c r="C138" s="85" t="s">
        <v>20</v>
      </c>
      <c r="D138" s="86">
        <v>2</v>
      </c>
      <c r="E138" s="116" t="str">
        <f t="shared" si="8"/>
        <v>Sushi</v>
      </c>
      <c r="F138" s="90" t="s">
        <v>1131</v>
      </c>
      <c r="G138" s="85" t="s">
        <v>630</v>
      </c>
      <c r="H138" s="85" t="s">
        <v>1083</v>
      </c>
      <c r="I138" s="85">
        <f>66-55.7</f>
        <v>10.299999999999997</v>
      </c>
      <c r="J138" s="87">
        <v>18</v>
      </c>
      <c r="K138" s="88">
        <f t="shared" si="9"/>
        <v>185.39999999999995</v>
      </c>
      <c r="L138" s="85" t="s">
        <v>1132</v>
      </c>
      <c r="M138" s="118" t="s">
        <v>172</v>
      </c>
      <c r="N138" s="96"/>
      <c r="O138" s="96" t="s">
        <v>45</v>
      </c>
      <c r="R138"/>
    </row>
    <row r="139" spans="1:18" hidden="1" x14ac:dyDescent="0.2">
      <c r="A139" s="84" t="str">
        <f t="shared" si="7"/>
        <v>MarçoSEMANA 1Pescados - Atum Fresco Sushi</v>
      </c>
      <c r="B139" s="85" t="s">
        <v>31</v>
      </c>
      <c r="C139" s="85" t="s">
        <v>20</v>
      </c>
      <c r="D139" s="86">
        <v>2</v>
      </c>
      <c r="E139" s="116" t="str">
        <f t="shared" si="8"/>
        <v>Sushi</v>
      </c>
      <c r="F139" s="90" t="s">
        <v>1131</v>
      </c>
      <c r="G139" s="85" t="s">
        <v>586</v>
      </c>
      <c r="H139" s="85" t="s">
        <v>1083</v>
      </c>
      <c r="I139" s="85">
        <v>22</v>
      </c>
      <c r="J139" s="87">
        <v>16</v>
      </c>
      <c r="K139" s="88">
        <f t="shared" si="9"/>
        <v>352</v>
      </c>
      <c r="L139" s="85">
        <v>4915</v>
      </c>
      <c r="M139" s="118" t="s">
        <v>173</v>
      </c>
      <c r="N139" s="96"/>
      <c r="O139" s="96" t="s">
        <v>42</v>
      </c>
      <c r="R139"/>
    </row>
    <row r="140" spans="1:18" x14ac:dyDescent="0.25">
      <c r="A140" s="84" t="str">
        <f t="shared" si="7"/>
        <v>MarçoSEMANA 1Cenoura Orgânica</v>
      </c>
      <c r="B140" s="85" t="s">
        <v>31</v>
      </c>
      <c r="C140" s="85" t="s">
        <v>20</v>
      </c>
      <c r="D140" s="86">
        <v>2</v>
      </c>
      <c r="E140" s="116" t="str">
        <f t="shared" si="8"/>
        <v>Hortifruti</v>
      </c>
      <c r="F140" s="90" t="s">
        <v>1130</v>
      </c>
      <c r="G140" s="85" t="s">
        <v>252</v>
      </c>
      <c r="H140" s="85" t="s">
        <v>1083</v>
      </c>
      <c r="I140" s="85">
        <v>7</v>
      </c>
      <c r="J140" s="87">
        <f>64.15/7</f>
        <v>9.1642857142857146</v>
      </c>
      <c r="K140" s="88">
        <f t="shared" si="9"/>
        <v>64.150000000000006</v>
      </c>
      <c r="L140" s="85">
        <v>97188</v>
      </c>
      <c r="M140" s="118" t="s">
        <v>174</v>
      </c>
      <c r="N140" s="96"/>
      <c r="O140" s="96" t="s">
        <v>42</v>
      </c>
      <c r="R140"/>
    </row>
    <row r="141" spans="1:18" hidden="1" x14ac:dyDescent="0.2">
      <c r="A141" s="84" t="str">
        <f t="shared" si="7"/>
        <v>MarçoSEMANA 1Toalha Bobina</v>
      </c>
      <c r="B141" s="85" t="s">
        <v>31</v>
      </c>
      <c r="C141" s="85" t="s">
        <v>20</v>
      </c>
      <c r="D141" s="86">
        <v>2</v>
      </c>
      <c r="E141" s="116" t="str">
        <f t="shared" si="8"/>
        <v>Descartável</v>
      </c>
      <c r="F141" s="90" t="s">
        <v>1133</v>
      </c>
      <c r="G141" s="85" t="s">
        <v>786</v>
      </c>
      <c r="H141" s="85" t="s">
        <v>1090</v>
      </c>
      <c r="I141" s="85">
        <f>7*6</f>
        <v>42</v>
      </c>
      <c r="J141" s="87">
        <f>527.8/42</f>
        <v>12.566666666666666</v>
      </c>
      <c r="K141" s="88">
        <f t="shared" si="9"/>
        <v>527.79999999999995</v>
      </c>
      <c r="L141" s="85" t="s">
        <v>1134</v>
      </c>
      <c r="M141" s="118" t="s">
        <v>902</v>
      </c>
      <c r="O141" s="115" t="s">
        <v>42</v>
      </c>
      <c r="R141"/>
    </row>
    <row r="142" spans="1:18" hidden="1" x14ac:dyDescent="0.2">
      <c r="A142" s="84" t="str">
        <f t="shared" si="7"/>
        <v>MarçoSEMANA 1Bandeja 3 Div. Delivery Cx 150</v>
      </c>
      <c r="B142" s="85" t="s">
        <v>31</v>
      </c>
      <c r="C142" s="85" t="s">
        <v>20</v>
      </c>
      <c r="D142" s="86">
        <v>2</v>
      </c>
      <c r="E142" s="116" t="str">
        <f t="shared" si="8"/>
        <v>Descartável</v>
      </c>
      <c r="F142" s="90" t="s">
        <v>1135</v>
      </c>
      <c r="G142" s="85" t="s">
        <v>165</v>
      </c>
      <c r="H142" s="85" t="s">
        <v>1090</v>
      </c>
      <c r="I142" s="85">
        <f>3*150</f>
        <v>450</v>
      </c>
      <c r="J142" s="87">
        <f>1072/450</f>
        <v>2.382222222222222</v>
      </c>
      <c r="K142" s="88">
        <f t="shared" si="9"/>
        <v>1072</v>
      </c>
      <c r="L142" s="85" t="s">
        <v>1136</v>
      </c>
      <c r="M142" s="118" t="s">
        <v>175</v>
      </c>
      <c r="N142" s="96"/>
      <c r="O142" s="96" t="s">
        <v>42</v>
      </c>
      <c r="R142"/>
    </row>
    <row r="143" spans="1:18" hidden="1" x14ac:dyDescent="0.2">
      <c r="A143" s="84" t="str">
        <f t="shared" si="7"/>
        <v>MarçoSEMANA 1Azeite Deleyda 500 ml</v>
      </c>
      <c r="B143" s="85" t="s">
        <v>31</v>
      </c>
      <c r="C143" s="85" t="s">
        <v>20</v>
      </c>
      <c r="D143" s="86">
        <v>2</v>
      </c>
      <c r="E143" s="116" t="str">
        <f t="shared" si="8"/>
        <v>Mercado</v>
      </c>
      <c r="F143" s="90" t="s">
        <v>1137</v>
      </c>
      <c r="G143" s="85" t="s">
        <v>151</v>
      </c>
      <c r="H143" s="85" t="s">
        <v>1090</v>
      </c>
      <c r="I143" s="85">
        <f>36</f>
        <v>36</v>
      </c>
      <c r="J143" s="87">
        <f>840.23/36</f>
        <v>23.339722222222221</v>
      </c>
      <c r="K143" s="88">
        <f t="shared" si="9"/>
        <v>840.23</v>
      </c>
      <c r="L143" s="85" t="s">
        <v>1138</v>
      </c>
      <c r="M143" s="118" t="s">
        <v>176</v>
      </c>
      <c r="N143" s="96"/>
      <c r="O143" s="96" t="s">
        <v>42</v>
      </c>
      <c r="R143"/>
    </row>
    <row r="144" spans="1:18" hidden="1" x14ac:dyDescent="0.2">
      <c r="A144" s="84" t="str">
        <f t="shared" si="7"/>
        <v>MarçoSEMANA 1Guaraná Antarctica Zero (lata)</v>
      </c>
      <c r="B144" s="85" t="s">
        <v>31</v>
      </c>
      <c r="C144" s="85" t="s">
        <v>20</v>
      </c>
      <c r="D144" s="86">
        <v>2</v>
      </c>
      <c r="E144" s="116" t="str">
        <f t="shared" si="8"/>
        <v>Bebidas</v>
      </c>
      <c r="F144" s="90" t="s">
        <v>1139</v>
      </c>
      <c r="G144" s="85" t="s">
        <v>398</v>
      </c>
      <c r="H144" s="85" t="s">
        <v>1090</v>
      </c>
      <c r="I144" s="85">
        <f>3*12</f>
        <v>36</v>
      </c>
      <c r="J144" s="87">
        <f>61.66/36</f>
        <v>1.7127777777777777</v>
      </c>
      <c r="K144" s="88">
        <f t="shared" si="9"/>
        <v>61.66</v>
      </c>
      <c r="L144" s="85" t="s">
        <v>1140</v>
      </c>
      <c r="M144" s="118" t="s">
        <v>177</v>
      </c>
      <c r="N144" s="96"/>
      <c r="O144" s="96" t="s">
        <v>45</v>
      </c>
      <c r="R144"/>
    </row>
    <row r="145" spans="1:18" hidden="1" x14ac:dyDescent="0.2">
      <c r="A145" s="84" t="str">
        <f t="shared" si="7"/>
        <v>MarçoSEMANA 1Ice Tea Pêssego</v>
      </c>
      <c r="B145" s="85" t="s">
        <v>31</v>
      </c>
      <c r="C145" s="85" t="s">
        <v>20</v>
      </c>
      <c r="D145" s="86">
        <v>2</v>
      </c>
      <c r="E145" s="116" t="str">
        <f t="shared" si="8"/>
        <v>Bebidas</v>
      </c>
      <c r="F145" s="90" t="s">
        <v>1139</v>
      </c>
      <c r="G145" s="85" t="s">
        <v>445</v>
      </c>
      <c r="H145" s="85" t="s">
        <v>1090</v>
      </c>
      <c r="I145" s="85">
        <v>12</v>
      </c>
      <c r="J145" s="87">
        <f>24.05/12</f>
        <v>2.0041666666666669</v>
      </c>
      <c r="K145" s="88">
        <f t="shared" si="9"/>
        <v>24.050000000000004</v>
      </c>
      <c r="L145" s="85" t="s">
        <v>1141</v>
      </c>
      <c r="M145" s="118" t="s">
        <v>178</v>
      </c>
      <c r="N145" s="96"/>
      <c r="O145" s="96" t="s">
        <v>45</v>
      </c>
      <c r="R145"/>
    </row>
    <row r="146" spans="1:18" hidden="1" x14ac:dyDescent="0.2">
      <c r="A146" s="84" t="str">
        <f t="shared" si="7"/>
        <v>MarçoSEMANA 1Água Tonica</v>
      </c>
      <c r="B146" s="85" t="s">
        <v>31</v>
      </c>
      <c r="C146" s="85" t="s">
        <v>20</v>
      </c>
      <c r="D146" s="86">
        <v>2</v>
      </c>
      <c r="E146" s="116" t="str">
        <f t="shared" si="8"/>
        <v>Bebidas</v>
      </c>
      <c r="F146" s="90" t="s">
        <v>1139</v>
      </c>
      <c r="G146" s="85" t="s">
        <v>92</v>
      </c>
      <c r="H146" s="85" t="s">
        <v>1090</v>
      </c>
      <c r="I146" s="85">
        <v>12</v>
      </c>
      <c r="J146" s="87">
        <f>21.23/12</f>
        <v>1.7691666666666668</v>
      </c>
      <c r="K146" s="88">
        <f t="shared" si="9"/>
        <v>21.23</v>
      </c>
      <c r="L146" s="85" t="s">
        <v>1141</v>
      </c>
      <c r="M146" s="118" t="s">
        <v>880</v>
      </c>
      <c r="O146" s="115" t="s">
        <v>874</v>
      </c>
      <c r="R146"/>
    </row>
    <row r="147" spans="1:18" hidden="1" x14ac:dyDescent="0.2">
      <c r="A147" s="84" t="str">
        <f t="shared" si="7"/>
        <v>MarçoSEMANA 1Cerveja Bohemia Long Neck 355 ml</v>
      </c>
      <c r="B147" s="85" t="s">
        <v>31</v>
      </c>
      <c r="C147" s="85" t="s">
        <v>20</v>
      </c>
      <c r="D147" s="86">
        <v>2</v>
      </c>
      <c r="E147" s="116" t="str">
        <f t="shared" si="8"/>
        <v>Bebidas</v>
      </c>
      <c r="F147" s="90" t="s">
        <v>1139</v>
      </c>
      <c r="G147" s="85" t="s">
        <v>260</v>
      </c>
      <c r="H147" s="85" t="s">
        <v>1090</v>
      </c>
      <c r="I147" s="85">
        <f>24*2</f>
        <v>48</v>
      </c>
      <c r="J147" s="87">
        <f>136.46/48</f>
        <v>2.842916666666667</v>
      </c>
      <c r="K147" s="88">
        <f t="shared" si="9"/>
        <v>136.46</v>
      </c>
      <c r="L147" s="85" t="s">
        <v>1141</v>
      </c>
      <c r="M147" s="118" t="s">
        <v>179</v>
      </c>
      <c r="N147" s="96"/>
      <c r="O147" s="96" t="s">
        <v>45</v>
      </c>
      <c r="R147"/>
    </row>
    <row r="148" spans="1:18" hidden="1" x14ac:dyDescent="0.2">
      <c r="A148" s="84" t="str">
        <f t="shared" si="7"/>
        <v>MarçoSEMANA 1Ice Tea Limão</v>
      </c>
      <c r="B148" s="85" t="s">
        <v>31</v>
      </c>
      <c r="C148" s="85" t="s">
        <v>20</v>
      </c>
      <c r="D148" s="86">
        <v>2</v>
      </c>
      <c r="E148" s="116" t="str">
        <f t="shared" si="8"/>
        <v>Bebidas</v>
      </c>
      <c r="F148" s="90" t="s">
        <v>1139</v>
      </c>
      <c r="G148" s="85" t="s">
        <v>443</v>
      </c>
      <c r="H148" s="85" t="s">
        <v>1090</v>
      </c>
      <c r="I148" s="85">
        <f>2*12</f>
        <v>24</v>
      </c>
      <c r="J148" s="87">
        <f>48.13/24</f>
        <v>2.0054166666666666</v>
      </c>
      <c r="K148" s="88">
        <f t="shared" si="9"/>
        <v>48.129999999999995</v>
      </c>
      <c r="L148" s="85" t="s">
        <v>1141</v>
      </c>
      <c r="M148" s="118" t="s">
        <v>180</v>
      </c>
      <c r="N148" s="96"/>
      <c r="O148" s="96" t="s">
        <v>45</v>
      </c>
      <c r="R148"/>
    </row>
    <row r="149" spans="1:18" hidden="1" x14ac:dyDescent="0.2">
      <c r="A149" s="84" t="str">
        <f t="shared" si="7"/>
        <v>MarçoSEMANA 1Ice Tea Pêssego Light</v>
      </c>
      <c r="B149" s="85" t="s">
        <v>31</v>
      </c>
      <c r="C149" s="85" t="s">
        <v>20</v>
      </c>
      <c r="D149" s="86">
        <v>2</v>
      </c>
      <c r="E149" s="116" t="str">
        <f t="shared" si="8"/>
        <v>Bebidas</v>
      </c>
      <c r="F149" s="90" t="s">
        <v>1139</v>
      </c>
      <c r="G149" s="85" t="s">
        <v>446</v>
      </c>
      <c r="H149" s="85" t="s">
        <v>1090</v>
      </c>
      <c r="I149" s="85">
        <v>12</v>
      </c>
      <c r="J149" s="87">
        <f>24.05/12</f>
        <v>2.0041666666666669</v>
      </c>
      <c r="K149" s="88">
        <f t="shared" si="9"/>
        <v>24.050000000000004</v>
      </c>
      <c r="L149" s="85" t="s">
        <v>1141</v>
      </c>
      <c r="M149" s="118" t="s">
        <v>181</v>
      </c>
      <c r="N149" s="96"/>
      <c r="O149" s="96" t="s">
        <v>45</v>
      </c>
      <c r="R149"/>
    </row>
    <row r="150" spans="1:18" hidden="1" x14ac:dyDescent="0.2">
      <c r="A150" s="84" t="str">
        <f t="shared" si="7"/>
        <v>MarçoSEMANA 1H2O Limão</v>
      </c>
      <c r="B150" s="85" t="s">
        <v>31</v>
      </c>
      <c r="C150" s="85" t="s">
        <v>20</v>
      </c>
      <c r="D150" s="86">
        <v>2</v>
      </c>
      <c r="E150" s="116" t="str">
        <f t="shared" si="8"/>
        <v>Bebidas</v>
      </c>
      <c r="F150" s="90" t="s">
        <v>1139</v>
      </c>
      <c r="G150" s="85" t="s">
        <v>400</v>
      </c>
      <c r="H150" s="85" t="s">
        <v>1090</v>
      </c>
      <c r="I150" s="85">
        <f>3*12</f>
        <v>36</v>
      </c>
      <c r="J150" s="87">
        <f>73.09/36</f>
        <v>2.0302777777777781</v>
      </c>
      <c r="K150" s="88">
        <f t="shared" si="9"/>
        <v>73.09</v>
      </c>
      <c r="L150" s="85" t="s">
        <v>1141</v>
      </c>
      <c r="M150" s="118" t="s">
        <v>182</v>
      </c>
      <c r="N150" s="96"/>
      <c r="O150" s="96" t="s">
        <v>45</v>
      </c>
      <c r="R150"/>
    </row>
    <row r="151" spans="1:18" hidden="1" x14ac:dyDescent="0.2">
      <c r="A151" s="84" t="str">
        <f t="shared" si="7"/>
        <v>MarçoSEMANA 1Guaraná Antarctica (lata)</v>
      </c>
      <c r="B151" s="85" t="s">
        <v>31</v>
      </c>
      <c r="C151" s="85" t="s">
        <v>20</v>
      </c>
      <c r="D151" s="86">
        <v>2</v>
      </c>
      <c r="E151" s="116" t="str">
        <f t="shared" si="8"/>
        <v>Bebidas</v>
      </c>
      <c r="F151" s="90" t="s">
        <v>1139</v>
      </c>
      <c r="G151" s="85" t="s">
        <v>397</v>
      </c>
      <c r="H151" s="85" t="s">
        <v>1090</v>
      </c>
      <c r="I151" s="85">
        <f>3*12</f>
        <v>36</v>
      </c>
      <c r="J151" s="87">
        <f>61.66/36</f>
        <v>1.7127777777777777</v>
      </c>
      <c r="K151" s="88">
        <f t="shared" si="9"/>
        <v>61.66</v>
      </c>
      <c r="L151" s="85" t="s">
        <v>1141</v>
      </c>
      <c r="M151" s="118" t="s">
        <v>891</v>
      </c>
      <c r="N151" s="96"/>
      <c r="O151" s="96" t="s">
        <v>874</v>
      </c>
      <c r="R151"/>
    </row>
    <row r="152" spans="1:18" hidden="1" x14ac:dyDescent="0.2">
      <c r="A152" s="84" t="str">
        <f t="shared" si="7"/>
        <v>MarçoSEMANA 1Pescados - Salmão Inteiro Sushi</v>
      </c>
      <c r="B152" s="85" t="s">
        <v>31</v>
      </c>
      <c r="C152" s="85" t="s">
        <v>20</v>
      </c>
      <c r="D152" s="86">
        <v>2</v>
      </c>
      <c r="E152" s="116" t="str">
        <f t="shared" si="8"/>
        <v>Sushi</v>
      </c>
      <c r="F152" s="90" t="s">
        <v>1104</v>
      </c>
      <c r="G152" s="85" t="s">
        <v>644</v>
      </c>
      <c r="H152" s="85" t="s">
        <v>1083</v>
      </c>
      <c r="I152" s="85">
        <v>30.09</v>
      </c>
      <c r="J152" s="87">
        <v>25.3001</v>
      </c>
      <c r="K152" s="88">
        <f t="shared" si="9"/>
        <v>761.28000900000006</v>
      </c>
      <c r="L152" s="85" t="s">
        <v>1142</v>
      </c>
      <c r="M152" s="118" t="s">
        <v>183</v>
      </c>
      <c r="N152" s="96"/>
      <c r="O152" s="96" t="s">
        <v>42</v>
      </c>
      <c r="R152"/>
    </row>
    <row r="153" spans="1:18" hidden="1" x14ac:dyDescent="0.2">
      <c r="A153" s="84" t="str">
        <f t="shared" si="7"/>
        <v>MarçoSEMANA 1Pescados - Camarão IQF Evisc. 51/60</v>
      </c>
      <c r="B153" s="85" t="s">
        <v>31</v>
      </c>
      <c r="C153" s="85" t="s">
        <v>20</v>
      </c>
      <c r="D153" s="86">
        <v>2</v>
      </c>
      <c r="E153" s="116" t="str">
        <f t="shared" si="8"/>
        <v>Carnes</v>
      </c>
      <c r="F153" s="90" t="s">
        <v>1104</v>
      </c>
      <c r="G153" s="85" t="s">
        <v>593</v>
      </c>
      <c r="H153" s="85" t="s">
        <v>1083</v>
      </c>
      <c r="I153" s="85">
        <v>6</v>
      </c>
      <c r="J153" s="87">
        <v>69.900000000000006</v>
      </c>
      <c r="K153" s="88">
        <f t="shared" si="9"/>
        <v>419.40000000000003</v>
      </c>
      <c r="L153" s="85" t="s">
        <v>1143</v>
      </c>
      <c r="M153" s="118" t="s">
        <v>184</v>
      </c>
      <c r="N153" s="96"/>
      <c r="O153" s="96" t="s">
        <v>871</v>
      </c>
      <c r="R153"/>
    </row>
    <row r="154" spans="1:18" x14ac:dyDescent="0.25">
      <c r="A154" s="84" t="str">
        <f t="shared" si="7"/>
        <v>MarçoSEMANA 1Alho Descascado</v>
      </c>
      <c r="B154" s="85" t="s">
        <v>31</v>
      </c>
      <c r="C154" s="85" t="s">
        <v>20</v>
      </c>
      <c r="D154" s="86">
        <v>2</v>
      </c>
      <c r="E154" s="116" t="str">
        <f t="shared" si="8"/>
        <v>Hortifruti</v>
      </c>
      <c r="F154" s="90" t="s">
        <v>1144</v>
      </c>
      <c r="G154" s="85" t="s">
        <v>112</v>
      </c>
      <c r="H154" s="85" t="s">
        <v>1083</v>
      </c>
      <c r="I154" s="85">
        <v>15</v>
      </c>
      <c r="J154" s="87">
        <v>13.5</v>
      </c>
      <c r="K154" s="88">
        <f t="shared" si="9"/>
        <v>202.5</v>
      </c>
      <c r="L154" s="85"/>
      <c r="M154" s="118" t="s">
        <v>185</v>
      </c>
      <c r="N154" s="96"/>
      <c r="O154" s="96" t="s">
        <v>873</v>
      </c>
      <c r="R154"/>
    </row>
    <row r="155" spans="1:18" hidden="1" x14ac:dyDescent="0.2">
      <c r="A155" s="84" t="str">
        <f t="shared" si="7"/>
        <v>MarçoSEMANA 1Pescados - Filé Tilápia Cong.</v>
      </c>
      <c r="B155" s="85" t="s">
        <v>31</v>
      </c>
      <c r="C155" s="85" t="s">
        <v>20</v>
      </c>
      <c r="D155" s="86">
        <v>2</v>
      </c>
      <c r="E155" s="116" t="str">
        <f t="shared" si="8"/>
        <v>Carnes</v>
      </c>
      <c r="F155" s="90" t="s">
        <v>1145</v>
      </c>
      <c r="G155" s="85" t="s">
        <v>613</v>
      </c>
      <c r="H155" s="85" t="s">
        <v>1083</v>
      </c>
      <c r="I155" s="85">
        <v>24</v>
      </c>
      <c r="J155" s="87">
        <v>26.3</v>
      </c>
      <c r="K155" s="88">
        <f t="shared" si="9"/>
        <v>631.20000000000005</v>
      </c>
      <c r="L155" s="85">
        <v>60827</v>
      </c>
      <c r="M155" s="118" t="s">
        <v>975</v>
      </c>
      <c r="O155" s="115" t="s">
        <v>873</v>
      </c>
      <c r="R155"/>
    </row>
    <row r="156" spans="1:18" hidden="1" x14ac:dyDescent="0.2">
      <c r="A156" s="84" t="str">
        <f t="shared" si="7"/>
        <v>MarçoSEMANA 1Aves - Filé de Peito de Frango</v>
      </c>
      <c r="B156" s="85" t="s">
        <v>31</v>
      </c>
      <c r="C156" s="85" t="s">
        <v>20</v>
      </c>
      <c r="D156" s="86">
        <v>2</v>
      </c>
      <c r="E156" s="116" t="str">
        <f t="shared" si="8"/>
        <v>Carnes</v>
      </c>
      <c r="F156" s="90" t="s">
        <v>1092</v>
      </c>
      <c r="G156" s="85" t="s">
        <v>139</v>
      </c>
      <c r="H156" s="85" t="s">
        <v>1083</v>
      </c>
      <c r="I156" s="85">
        <f>48-1</f>
        <v>47</v>
      </c>
      <c r="J156" s="87">
        <v>7.8</v>
      </c>
      <c r="K156" s="88">
        <f t="shared" si="9"/>
        <v>366.59999999999997</v>
      </c>
      <c r="L156" s="85">
        <v>3398016</v>
      </c>
      <c r="M156" s="118" t="s">
        <v>186</v>
      </c>
      <c r="O156" s="115" t="s">
        <v>873</v>
      </c>
      <c r="R156"/>
    </row>
    <row r="157" spans="1:18" hidden="1" x14ac:dyDescent="0.2">
      <c r="A157" s="84" t="str">
        <f t="shared" si="7"/>
        <v>MarçoSEMANA 1Torta Alemã</v>
      </c>
      <c r="B157" s="85" t="s">
        <v>31</v>
      </c>
      <c r="C157" s="85" t="s">
        <v>20</v>
      </c>
      <c r="D157" s="86">
        <v>2</v>
      </c>
      <c r="E157" s="116" t="str">
        <f t="shared" si="8"/>
        <v>Sobremesa</v>
      </c>
      <c r="F157" s="90" t="s">
        <v>1146</v>
      </c>
      <c r="G157" s="85" t="s">
        <v>803</v>
      </c>
      <c r="H157" s="85" t="s">
        <v>1147</v>
      </c>
      <c r="I157" s="85">
        <v>12</v>
      </c>
      <c r="J157" s="87">
        <f>68.98/12</f>
        <v>5.748333333333334</v>
      </c>
      <c r="K157" s="88">
        <f t="shared" si="9"/>
        <v>68.98</v>
      </c>
      <c r="L157" s="85">
        <v>149785</v>
      </c>
      <c r="M157" s="118" t="s">
        <v>187</v>
      </c>
      <c r="O157" s="115" t="s">
        <v>872</v>
      </c>
      <c r="R157"/>
    </row>
    <row r="158" spans="1:18" hidden="1" x14ac:dyDescent="0.2">
      <c r="A158" s="84" t="str">
        <f t="shared" si="7"/>
        <v>MarçoSEMANA 1Torta Bem Casado de Damasco</v>
      </c>
      <c r="B158" s="85" t="s">
        <v>31</v>
      </c>
      <c r="C158" s="85" t="s">
        <v>20</v>
      </c>
      <c r="D158" s="86">
        <v>2</v>
      </c>
      <c r="E158" s="116" t="str">
        <f t="shared" si="8"/>
        <v>Sobremesa</v>
      </c>
      <c r="F158" s="90" t="s">
        <v>1146</v>
      </c>
      <c r="G158" s="85" t="s">
        <v>807</v>
      </c>
      <c r="H158" s="85" t="s">
        <v>1147</v>
      </c>
      <c r="I158" s="85">
        <f>2*12</f>
        <v>24</v>
      </c>
      <c r="J158" s="87">
        <f>142.22/24</f>
        <v>5.9258333333333333</v>
      </c>
      <c r="K158" s="88">
        <f t="shared" si="9"/>
        <v>142.22</v>
      </c>
      <c r="L158" s="85">
        <v>149785</v>
      </c>
      <c r="M158" s="118" t="s">
        <v>188</v>
      </c>
      <c r="O158" s="115" t="s">
        <v>872</v>
      </c>
      <c r="R158"/>
    </row>
    <row r="159" spans="1:18" hidden="1" x14ac:dyDescent="0.2">
      <c r="A159" s="84" t="str">
        <f t="shared" si="7"/>
        <v>MarçoSEMANA 1Torta Bem Casado de Doce de Leite</v>
      </c>
      <c r="B159" s="85" t="s">
        <v>31</v>
      </c>
      <c r="C159" s="85" t="s">
        <v>20</v>
      </c>
      <c r="D159" s="86">
        <v>2</v>
      </c>
      <c r="E159" s="116" t="str">
        <f t="shared" si="8"/>
        <v>Sobremesa</v>
      </c>
      <c r="F159" s="90" t="s">
        <v>1146</v>
      </c>
      <c r="G159" s="85" t="s">
        <v>808</v>
      </c>
      <c r="H159" s="85" t="s">
        <v>1147</v>
      </c>
      <c r="I159" s="85">
        <v>12</v>
      </c>
      <c r="J159" s="87">
        <f>71.11/12</f>
        <v>5.9258333333333333</v>
      </c>
      <c r="K159" s="88">
        <f t="shared" si="9"/>
        <v>71.11</v>
      </c>
      <c r="L159" s="85">
        <v>149785</v>
      </c>
      <c r="M159" s="118" t="s">
        <v>189</v>
      </c>
      <c r="N159" s="96"/>
      <c r="O159" s="96" t="s">
        <v>872</v>
      </c>
      <c r="R159"/>
    </row>
    <row r="160" spans="1:18" hidden="1" x14ac:dyDescent="0.2">
      <c r="A160" s="84" t="str">
        <f t="shared" si="7"/>
        <v>MarçoSEMANA 1Torta Bem Casado de Chocolate c/ Avelã</v>
      </c>
      <c r="B160" s="85" t="s">
        <v>31</v>
      </c>
      <c r="C160" s="85" t="s">
        <v>20</v>
      </c>
      <c r="D160" s="86">
        <v>2</v>
      </c>
      <c r="E160" s="116" t="str">
        <f t="shared" si="8"/>
        <v>Sobremesa</v>
      </c>
      <c r="F160" s="90" t="s">
        <v>1146</v>
      </c>
      <c r="G160" s="85" t="s">
        <v>806</v>
      </c>
      <c r="H160" s="85" t="s">
        <v>1147</v>
      </c>
      <c r="I160" s="85">
        <v>12</v>
      </c>
      <c r="J160" s="87">
        <f>71.11/12</f>
        <v>5.9258333333333333</v>
      </c>
      <c r="K160" s="88">
        <f t="shared" si="9"/>
        <v>71.11</v>
      </c>
      <c r="L160" s="85">
        <v>149785</v>
      </c>
      <c r="M160" s="118" t="s">
        <v>190</v>
      </c>
      <c r="N160" s="96"/>
      <c r="O160" s="96" t="s">
        <v>872</v>
      </c>
      <c r="R160"/>
    </row>
    <row r="161" spans="1:18" hidden="1" x14ac:dyDescent="0.2">
      <c r="A161" s="84" t="str">
        <f t="shared" si="7"/>
        <v>MarçoSEMANA 1Torta Financier com Quindim</v>
      </c>
      <c r="B161" s="85" t="s">
        <v>31</v>
      </c>
      <c r="C161" s="85" t="s">
        <v>20</v>
      </c>
      <c r="D161" s="86">
        <v>2</v>
      </c>
      <c r="E161" s="116" t="str">
        <f t="shared" si="8"/>
        <v>Sobremesa</v>
      </c>
      <c r="F161" s="90" t="s">
        <v>1146</v>
      </c>
      <c r="G161" s="85" t="s">
        <v>988</v>
      </c>
      <c r="H161" s="85" t="s">
        <v>1147</v>
      </c>
      <c r="I161" s="85">
        <v>12</v>
      </c>
      <c r="J161" s="87">
        <f>71.11/12</f>
        <v>5.9258333333333333</v>
      </c>
      <c r="K161" s="88">
        <f t="shared" si="9"/>
        <v>71.11</v>
      </c>
      <c r="L161" s="85">
        <v>149785</v>
      </c>
      <c r="M161" s="118" t="s">
        <v>976</v>
      </c>
      <c r="N161" s="96"/>
      <c r="O161" s="96" t="s">
        <v>873</v>
      </c>
      <c r="R161"/>
    </row>
    <row r="162" spans="1:18" hidden="1" x14ac:dyDescent="0.2">
      <c r="A162" s="84" t="str">
        <f t="shared" si="7"/>
        <v>MarçoSEMANA 1Torta de Cenoura c/ Chocolate</v>
      </c>
      <c r="B162" s="85" t="s">
        <v>31</v>
      </c>
      <c r="C162" s="85" t="s">
        <v>20</v>
      </c>
      <c r="D162" s="86">
        <v>2</v>
      </c>
      <c r="E162" s="116" t="str">
        <f t="shared" si="8"/>
        <v>Sobremesa</v>
      </c>
      <c r="F162" s="90" t="s">
        <v>1146</v>
      </c>
      <c r="G162" s="85" t="s">
        <v>1002</v>
      </c>
      <c r="H162" s="85" t="s">
        <v>1147</v>
      </c>
      <c r="I162" s="85">
        <v>12</v>
      </c>
      <c r="J162" s="87">
        <f>71.11/12</f>
        <v>5.9258333333333333</v>
      </c>
      <c r="K162" s="88">
        <f t="shared" si="9"/>
        <v>71.11</v>
      </c>
      <c r="L162" s="85">
        <v>149785</v>
      </c>
      <c r="M162" s="118" t="s">
        <v>992</v>
      </c>
      <c r="N162" s="96"/>
      <c r="O162" s="96" t="s">
        <v>874</v>
      </c>
      <c r="R162"/>
    </row>
    <row r="163" spans="1:18" x14ac:dyDescent="0.25">
      <c r="A163" s="84" t="str">
        <f t="shared" si="7"/>
        <v>MarçoSEMANA 1Cenoura</v>
      </c>
      <c r="B163" s="85" t="s">
        <v>31</v>
      </c>
      <c r="C163" s="85" t="s">
        <v>20</v>
      </c>
      <c r="D163" s="86">
        <v>2</v>
      </c>
      <c r="E163" s="116" t="str">
        <f t="shared" si="8"/>
        <v>Hortifruti</v>
      </c>
      <c r="F163" s="90" t="s">
        <v>1110</v>
      </c>
      <c r="G163" s="85" t="s">
        <v>249</v>
      </c>
      <c r="H163" s="85" t="s">
        <v>1083</v>
      </c>
      <c r="I163" s="85">
        <v>20.36</v>
      </c>
      <c r="J163" s="87">
        <f>50/20.36</f>
        <v>2.4557956777996073</v>
      </c>
      <c r="K163" s="88">
        <f t="shared" si="9"/>
        <v>50</v>
      </c>
      <c r="L163" s="85">
        <v>3308</v>
      </c>
      <c r="M163" s="118" t="s">
        <v>940</v>
      </c>
      <c r="N163" s="96"/>
      <c r="O163" s="96" t="s">
        <v>874</v>
      </c>
      <c r="R163"/>
    </row>
    <row r="164" spans="1:18" x14ac:dyDescent="0.25">
      <c r="A164" s="84" t="str">
        <f t="shared" si="7"/>
        <v>MarçoSEMANA 1Inhame</v>
      </c>
      <c r="B164" s="85" t="s">
        <v>31</v>
      </c>
      <c r="C164" s="85" t="s">
        <v>20</v>
      </c>
      <c r="D164" s="86">
        <v>2</v>
      </c>
      <c r="E164" s="116" t="str">
        <f t="shared" si="8"/>
        <v>Hortifruti</v>
      </c>
      <c r="F164" s="90" t="s">
        <v>1110</v>
      </c>
      <c r="G164" s="85" t="s">
        <v>448</v>
      </c>
      <c r="H164" s="85" t="s">
        <v>1083</v>
      </c>
      <c r="I164" s="85">
        <v>6</v>
      </c>
      <c r="J164" s="87">
        <v>4.4000000000000004</v>
      </c>
      <c r="K164" s="88">
        <f t="shared" si="9"/>
        <v>26.400000000000002</v>
      </c>
      <c r="L164" s="85">
        <v>3308</v>
      </c>
      <c r="M164" s="118" t="s">
        <v>941</v>
      </c>
      <c r="O164" s="115" t="s">
        <v>874</v>
      </c>
      <c r="R164"/>
    </row>
    <row r="165" spans="1:18" x14ac:dyDescent="0.25">
      <c r="A165" s="84" t="str">
        <f t="shared" si="7"/>
        <v>MarçoSEMANA 1Pimentão Amarelo</v>
      </c>
      <c r="B165" s="85" t="s">
        <v>31</v>
      </c>
      <c r="C165" s="85" t="s">
        <v>20</v>
      </c>
      <c r="D165" s="86">
        <v>2</v>
      </c>
      <c r="E165" s="116" t="str">
        <f t="shared" si="8"/>
        <v>Hortifruti</v>
      </c>
      <c r="F165" s="90" t="s">
        <v>1110</v>
      </c>
      <c r="G165" s="85" t="s">
        <v>663</v>
      </c>
      <c r="H165" s="85" t="s">
        <v>1083</v>
      </c>
      <c r="I165" s="85">
        <v>1</v>
      </c>
      <c r="J165" s="87">
        <v>10</v>
      </c>
      <c r="K165" s="88">
        <f t="shared" si="9"/>
        <v>10</v>
      </c>
      <c r="L165" s="85">
        <v>3308</v>
      </c>
      <c r="M165" s="118" t="s">
        <v>942</v>
      </c>
      <c r="N165" s="96"/>
      <c r="O165" s="96" t="s">
        <v>874</v>
      </c>
      <c r="R165"/>
    </row>
    <row r="166" spans="1:18" x14ac:dyDescent="0.25">
      <c r="A166" s="84" t="str">
        <f t="shared" si="7"/>
        <v>MarçoSEMANA 1Pimentão Vermelho</v>
      </c>
      <c r="B166" s="85" t="s">
        <v>31</v>
      </c>
      <c r="C166" s="85" t="s">
        <v>20</v>
      </c>
      <c r="D166" s="86">
        <v>2</v>
      </c>
      <c r="E166" s="116" t="str">
        <f t="shared" si="8"/>
        <v>Hortifruti</v>
      </c>
      <c r="F166" s="90" t="s">
        <v>1110</v>
      </c>
      <c r="G166" s="85" t="s">
        <v>666</v>
      </c>
      <c r="H166" s="85" t="s">
        <v>1083</v>
      </c>
      <c r="I166" s="85">
        <v>1</v>
      </c>
      <c r="J166" s="87">
        <v>10</v>
      </c>
      <c r="K166" s="88">
        <f t="shared" si="9"/>
        <v>10</v>
      </c>
      <c r="L166" s="85">
        <v>3308</v>
      </c>
      <c r="M166" s="118" t="s">
        <v>943</v>
      </c>
      <c r="N166" s="96"/>
      <c r="O166" s="96" t="s">
        <v>874</v>
      </c>
      <c r="R166"/>
    </row>
    <row r="167" spans="1:18" x14ac:dyDescent="0.25">
      <c r="A167" s="84" t="str">
        <f t="shared" si="7"/>
        <v>MarçoSEMANA 1Quiabo</v>
      </c>
      <c r="B167" s="85" t="s">
        <v>31</v>
      </c>
      <c r="C167" s="85" t="s">
        <v>20</v>
      </c>
      <c r="D167" s="86">
        <v>2</v>
      </c>
      <c r="E167" s="116" t="str">
        <f t="shared" si="8"/>
        <v>Hortifruti</v>
      </c>
      <c r="F167" s="90" t="s">
        <v>1110</v>
      </c>
      <c r="G167" s="85" t="s">
        <v>689</v>
      </c>
      <c r="H167" s="85" t="s">
        <v>1083</v>
      </c>
      <c r="I167" s="85">
        <v>7</v>
      </c>
      <c r="J167" s="87">
        <v>4</v>
      </c>
      <c r="K167" s="88">
        <f t="shared" si="9"/>
        <v>28</v>
      </c>
      <c r="L167" s="85">
        <v>3308</v>
      </c>
      <c r="M167" s="118" t="s">
        <v>191</v>
      </c>
      <c r="O167" s="115" t="s">
        <v>43</v>
      </c>
      <c r="R167"/>
    </row>
    <row r="168" spans="1:18" x14ac:dyDescent="0.25">
      <c r="A168" s="84" t="str">
        <f t="shared" si="7"/>
        <v>MarçoSEMANA 1Tomate Salada</v>
      </c>
      <c r="B168" s="85" t="s">
        <v>31</v>
      </c>
      <c r="C168" s="85" t="s">
        <v>20</v>
      </c>
      <c r="D168" s="86">
        <v>2</v>
      </c>
      <c r="E168" s="116" t="str">
        <f t="shared" si="8"/>
        <v>Hortifruti</v>
      </c>
      <c r="F168" s="90" t="s">
        <v>1110</v>
      </c>
      <c r="G168" s="85" t="s">
        <v>794</v>
      </c>
      <c r="H168" s="85" t="s">
        <v>1083</v>
      </c>
      <c r="I168" s="85">
        <v>20.32</v>
      </c>
      <c r="J168" s="87">
        <f>60/20.32</f>
        <v>2.9527559055118111</v>
      </c>
      <c r="K168" s="88">
        <f t="shared" si="9"/>
        <v>60</v>
      </c>
      <c r="L168" s="85">
        <v>3308</v>
      </c>
      <c r="M168" s="118" t="s">
        <v>192</v>
      </c>
      <c r="O168" s="115" t="s">
        <v>871</v>
      </c>
      <c r="R168"/>
    </row>
    <row r="169" spans="1:18" x14ac:dyDescent="0.25">
      <c r="A169" s="84" t="str">
        <f t="shared" si="7"/>
        <v>MarçoSEMANA 1Vagem Macarrão</v>
      </c>
      <c r="B169" s="85" t="s">
        <v>31</v>
      </c>
      <c r="C169" s="85" t="s">
        <v>20</v>
      </c>
      <c r="D169" s="86">
        <v>2</v>
      </c>
      <c r="E169" s="116" t="str">
        <f t="shared" si="8"/>
        <v>Hortifruti</v>
      </c>
      <c r="F169" s="90" t="s">
        <v>1110</v>
      </c>
      <c r="G169" s="85" t="s">
        <v>831</v>
      </c>
      <c r="H169" s="85" t="s">
        <v>1083</v>
      </c>
      <c r="I169" s="85">
        <v>2</v>
      </c>
      <c r="J169" s="87">
        <v>7</v>
      </c>
      <c r="K169" s="88">
        <f t="shared" si="9"/>
        <v>14</v>
      </c>
      <c r="L169" s="85">
        <v>3308</v>
      </c>
      <c r="M169" s="118" t="s">
        <v>193</v>
      </c>
      <c r="N169" s="96"/>
      <c r="O169" s="96" t="s">
        <v>873</v>
      </c>
      <c r="R169"/>
    </row>
    <row r="170" spans="1:18" x14ac:dyDescent="0.25">
      <c r="A170" s="84" t="str">
        <f t="shared" si="7"/>
        <v>MarçoSEMANA 1Cebolinha Verde</v>
      </c>
      <c r="B170" s="85" t="s">
        <v>31</v>
      </c>
      <c r="C170" s="85" t="s">
        <v>20</v>
      </c>
      <c r="D170" s="86">
        <v>2</v>
      </c>
      <c r="E170" s="116" t="str">
        <f t="shared" si="8"/>
        <v>Hortifruti</v>
      </c>
      <c r="F170" s="90" t="s">
        <v>1110</v>
      </c>
      <c r="G170" s="85" t="s">
        <v>247</v>
      </c>
      <c r="H170" s="85" t="s">
        <v>1083</v>
      </c>
      <c r="I170" s="85">
        <v>0.5</v>
      </c>
      <c r="J170" s="87">
        <v>7</v>
      </c>
      <c r="K170" s="88">
        <f t="shared" si="9"/>
        <v>3.5</v>
      </c>
      <c r="L170" s="85">
        <v>3308</v>
      </c>
      <c r="M170" s="118" t="s">
        <v>194</v>
      </c>
      <c r="N170" s="96"/>
      <c r="O170" s="96" t="s">
        <v>45</v>
      </c>
      <c r="R170"/>
    </row>
    <row r="171" spans="1:18" x14ac:dyDescent="0.25">
      <c r="A171" s="84" t="str">
        <f t="shared" si="7"/>
        <v>MarçoSEMANA 1Hortelã</v>
      </c>
      <c r="B171" s="85" t="s">
        <v>31</v>
      </c>
      <c r="C171" s="85" t="s">
        <v>20</v>
      </c>
      <c r="D171" s="86">
        <v>2</v>
      </c>
      <c r="E171" s="116" t="str">
        <f t="shared" si="8"/>
        <v>Hortifruti</v>
      </c>
      <c r="F171" s="90" t="s">
        <v>1110</v>
      </c>
      <c r="G171" s="85" t="s">
        <v>405</v>
      </c>
      <c r="H171" s="85" t="s">
        <v>1083</v>
      </c>
      <c r="I171" s="85">
        <v>1</v>
      </c>
      <c r="J171" s="87">
        <v>4</v>
      </c>
      <c r="K171" s="88">
        <f t="shared" si="9"/>
        <v>4</v>
      </c>
      <c r="L171" s="85">
        <v>3308</v>
      </c>
      <c r="M171" s="118" t="s">
        <v>195</v>
      </c>
      <c r="N171" s="96"/>
      <c r="O171" s="96" t="s">
        <v>42</v>
      </c>
      <c r="R171"/>
    </row>
    <row r="172" spans="1:18" x14ac:dyDescent="0.25">
      <c r="A172" s="84" t="str">
        <f t="shared" si="7"/>
        <v>MarçoSEMANA 1Salsa</v>
      </c>
      <c r="B172" s="85" t="s">
        <v>31</v>
      </c>
      <c r="C172" s="85" t="s">
        <v>20</v>
      </c>
      <c r="D172" s="86">
        <v>2</v>
      </c>
      <c r="E172" s="116" t="str">
        <f t="shared" si="8"/>
        <v>Hortifruti</v>
      </c>
      <c r="F172" s="90" t="s">
        <v>1110</v>
      </c>
      <c r="G172" s="85" t="s">
        <v>728</v>
      </c>
      <c r="H172" s="85" t="s">
        <v>1083</v>
      </c>
      <c r="I172" s="85">
        <v>1</v>
      </c>
      <c r="J172" s="87">
        <v>7</v>
      </c>
      <c r="K172" s="88">
        <f t="shared" si="9"/>
        <v>7</v>
      </c>
      <c r="L172" s="85">
        <v>3308</v>
      </c>
      <c r="M172" s="118" t="s">
        <v>889</v>
      </c>
      <c r="O172" s="115" t="s">
        <v>45</v>
      </c>
      <c r="R172"/>
    </row>
    <row r="173" spans="1:18" x14ac:dyDescent="0.25">
      <c r="A173" s="84" t="str">
        <f t="shared" si="7"/>
        <v>MarçoSEMANA 1Capim Limão</v>
      </c>
      <c r="B173" s="85" t="s">
        <v>31</v>
      </c>
      <c r="C173" s="85" t="s">
        <v>20</v>
      </c>
      <c r="D173" s="86">
        <v>2</v>
      </c>
      <c r="E173" s="116" t="str">
        <f t="shared" si="8"/>
        <v>Hortifruti</v>
      </c>
      <c r="F173" s="90" t="s">
        <v>1110</v>
      </c>
      <c r="G173" s="85" t="s">
        <v>211</v>
      </c>
      <c r="H173" s="85" t="s">
        <v>1083</v>
      </c>
      <c r="I173" s="85">
        <v>0.1</v>
      </c>
      <c r="J173" s="87">
        <v>15</v>
      </c>
      <c r="K173" s="88">
        <f t="shared" si="9"/>
        <v>1.5</v>
      </c>
      <c r="L173" s="85">
        <v>3308</v>
      </c>
      <c r="M173" s="118" t="s">
        <v>196</v>
      </c>
      <c r="O173" s="115" t="s">
        <v>45</v>
      </c>
      <c r="R173"/>
    </row>
    <row r="174" spans="1:18" x14ac:dyDescent="0.25">
      <c r="A174" s="84" t="str">
        <f t="shared" si="7"/>
        <v xml:space="preserve">MarçoSEMANA 1Abacaxi </v>
      </c>
      <c r="B174" s="85" t="s">
        <v>31</v>
      </c>
      <c r="C174" s="85" t="s">
        <v>20</v>
      </c>
      <c r="D174" s="86">
        <v>2</v>
      </c>
      <c r="E174" s="116" t="str">
        <f t="shared" si="8"/>
        <v>Hortifruti</v>
      </c>
      <c r="F174" s="90" t="s">
        <v>1110</v>
      </c>
      <c r="G174" s="85" t="s">
        <v>65</v>
      </c>
      <c r="H174" s="85" t="s">
        <v>1083</v>
      </c>
      <c r="I174" s="85">
        <v>10</v>
      </c>
      <c r="J174" s="87">
        <v>3.2</v>
      </c>
      <c r="K174" s="88">
        <f t="shared" si="9"/>
        <v>32</v>
      </c>
      <c r="L174" s="85">
        <v>3308</v>
      </c>
      <c r="M174" s="118" t="s">
        <v>197</v>
      </c>
      <c r="N174" s="96"/>
      <c r="O174" s="96" t="s">
        <v>45</v>
      </c>
      <c r="R174"/>
    </row>
    <row r="175" spans="1:18" x14ac:dyDescent="0.25">
      <c r="A175" s="84" t="str">
        <f t="shared" si="7"/>
        <v>MarçoSEMANA 1Banana D'Água</v>
      </c>
      <c r="B175" s="85" t="s">
        <v>31</v>
      </c>
      <c r="C175" s="85" t="s">
        <v>20</v>
      </c>
      <c r="D175" s="86">
        <v>2</v>
      </c>
      <c r="E175" s="116" t="str">
        <f t="shared" si="8"/>
        <v>Hortifruti</v>
      </c>
      <c r="F175" s="90" t="s">
        <v>1110</v>
      </c>
      <c r="G175" s="85" t="s">
        <v>162</v>
      </c>
      <c r="H175" s="85" t="s">
        <v>1083</v>
      </c>
      <c r="I175" s="85">
        <v>2</v>
      </c>
      <c r="J175" s="87">
        <v>3.8</v>
      </c>
      <c r="K175" s="88">
        <f t="shared" si="9"/>
        <v>7.6</v>
      </c>
      <c r="L175" s="85">
        <v>3308</v>
      </c>
      <c r="M175" s="118" t="s">
        <v>933</v>
      </c>
      <c r="N175" s="96"/>
      <c r="O175" s="96" t="s">
        <v>47</v>
      </c>
      <c r="R175"/>
    </row>
    <row r="176" spans="1:18" x14ac:dyDescent="0.25">
      <c r="A176" s="84" t="str">
        <f t="shared" si="7"/>
        <v>MarçoSEMANA 1Kiwi</v>
      </c>
      <c r="B176" s="85" t="s">
        <v>31</v>
      </c>
      <c r="C176" s="85" t="s">
        <v>20</v>
      </c>
      <c r="D176" s="86">
        <v>2</v>
      </c>
      <c r="E176" s="116" t="str">
        <f t="shared" si="8"/>
        <v>Hortifruti</v>
      </c>
      <c r="F176" s="90" t="s">
        <v>1110</v>
      </c>
      <c r="G176" s="85" t="s">
        <v>453</v>
      </c>
      <c r="H176" s="85" t="s">
        <v>1083</v>
      </c>
      <c r="I176" s="85">
        <v>0.5</v>
      </c>
      <c r="J176" s="87">
        <v>15</v>
      </c>
      <c r="K176" s="88">
        <f t="shared" si="9"/>
        <v>7.5</v>
      </c>
      <c r="L176" s="85">
        <v>3308</v>
      </c>
      <c r="M176" s="118" t="s">
        <v>934</v>
      </c>
      <c r="N176" s="96"/>
      <c r="O176" s="96" t="s">
        <v>47</v>
      </c>
      <c r="R176"/>
    </row>
    <row r="177" spans="1:18" x14ac:dyDescent="0.25">
      <c r="A177" s="84" t="str">
        <f t="shared" si="7"/>
        <v>MarçoSEMANA 1Laranja Pera</v>
      </c>
      <c r="B177" s="85" t="s">
        <v>31</v>
      </c>
      <c r="C177" s="85" t="s">
        <v>20</v>
      </c>
      <c r="D177" s="86">
        <v>2</v>
      </c>
      <c r="E177" s="116" t="str">
        <f t="shared" si="8"/>
        <v>Hortifruti</v>
      </c>
      <c r="F177" s="90" t="s">
        <v>1110</v>
      </c>
      <c r="G177" s="85" t="s">
        <v>456</v>
      </c>
      <c r="H177" s="85" t="s">
        <v>1083</v>
      </c>
      <c r="I177" s="85">
        <v>20.74</v>
      </c>
      <c r="J177" s="87">
        <f>33/20.74</f>
        <v>1.5911282545805208</v>
      </c>
      <c r="K177" s="88">
        <f t="shared" si="9"/>
        <v>33</v>
      </c>
      <c r="L177" s="85">
        <v>3308</v>
      </c>
      <c r="M177" s="118" t="s">
        <v>977</v>
      </c>
      <c r="N177" s="96"/>
      <c r="O177" s="96" t="s">
        <v>873</v>
      </c>
      <c r="R177"/>
    </row>
    <row r="178" spans="1:18" x14ac:dyDescent="0.25">
      <c r="A178" s="84" t="str">
        <f t="shared" si="7"/>
        <v>MarçoSEMANA 1Abobora Japonesa</v>
      </c>
      <c r="B178" s="85" t="s">
        <v>31</v>
      </c>
      <c r="C178" s="85" t="s">
        <v>20</v>
      </c>
      <c r="D178" s="86">
        <v>2</v>
      </c>
      <c r="E178" s="116" t="str">
        <f t="shared" si="8"/>
        <v>Hortifruti</v>
      </c>
      <c r="F178" s="90" t="s">
        <v>1111</v>
      </c>
      <c r="G178" s="85" t="s">
        <v>69</v>
      </c>
      <c r="H178" s="85" t="s">
        <v>1083</v>
      </c>
      <c r="I178" s="85">
        <v>3</v>
      </c>
      <c r="J178" s="87">
        <v>2.88</v>
      </c>
      <c r="K178" s="88">
        <f t="shared" si="9"/>
        <v>8.64</v>
      </c>
      <c r="L178" s="85">
        <v>17455</v>
      </c>
      <c r="M178" s="118" t="s">
        <v>1028</v>
      </c>
      <c r="N178" s="96"/>
      <c r="O178" s="96" t="s">
        <v>42</v>
      </c>
      <c r="R178"/>
    </row>
    <row r="179" spans="1:18" x14ac:dyDescent="0.25">
      <c r="A179" s="84" t="str">
        <f t="shared" si="7"/>
        <v>MarçoSEMANA 1Batata Baroa</v>
      </c>
      <c r="B179" s="85" t="s">
        <v>31</v>
      </c>
      <c r="C179" s="85" t="s">
        <v>20</v>
      </c>
      <c r="D179" s="86">
        <v>2</v>
      </c>
      <c r="E179" s="116" t="str">
        <f t="shared" si="8"/>
        <v>Hortifruti</v>
      </c>
      <c r="F179" s="90" t="s">
        <v>1111</v>
      </c>
      <c r="G179" s="85" t="s">
        <v>169</v>
      </c>
      <c r="H179" s="85" t="s">
        <v>1083</v>
      </c>
      <c r="I179" s="85">
        <v>2</v>
      </c>
      <c r="J179" s="87">
        <v>5.0999999999999996</v>
      </c>
      <c r="K179" s="88">
        <f t="shared" si="9"/>
        <v>10.199999999999999</v>
      </c>
      <c r="L179" s="85">
        <v>17455</v>
      </c>
      <c r="M179" s="118" t="s">
        <v>198</v>
      </c>
      <c r="N179" s="96"/>
      <c r="O179" s="96" t="s">
        <v>42</v>
      </c>
      <c r="R179"/>
    </row>
    <row r="180" spans="1:18" x14ac:dyDescent="0.25">
      <c r="A180" s="84" t="str">
        <f t="shared" si="7"/>
        <v>MarçoSEMANA 1Cebola</v>
      </c>
      <c r="B180" s="85" t="s">
        <v>31</v>
      </c>
      <c r="C180" s="85" t="s">
        <v>20</v>
      </c>
      <c r="D180" s="86">
        <v>2</v>
      </c>
      <c r="E180" s="116" t="str">
        <f t="shared" si="8"/>
        <v>Hortifruti</v>
      </c>
      <c r="F180" s="90" t="s">
        <v>1111</v>
      </c>
      <c r="G180" s="85" t="s">
        <v>241</v>
      </c>
      <c r="H180" s="85" t="s">
        <v>1083</v>
      </c>
      <c r="I180" s="85">
        <v>19.86</v>
      </c>
      <c r="J180" s="87">
        <f>52.9/19.86</f>
        <v>2.6636455186304131</v>
      </c>
      <c r="K180" s="88">
        <f t="shared" si="9"/>
        <v>52.900000000000006</v>
      </c>
      <c r="L180" s="85">
        <v>17455</v>
      </c>
      <c r="M180" s="118" t="s">
        <v>199</v>
      </c>
      <c r="N180" s="96"/>
      <c r="O180" s="96" t="s">
        <v>42</v>
      </c>
      <c r="R180"/>
    </row>
    <row r="181" spans="1:18" x14ac:dyDescent="0.25">
      <c r="A181" s="84" t="str">
        <f t="shared" si="7"/>
        <v>MarçoSEMANA 1Côco Verde</v>
      </c>
      <c r="B181" s="85" t="s">
        <v>31</v>
      </c>
      <c r="C181" s="85" t="s">
        <v>20</v>
      </c>
      <c r="D181" s="86">
        <v>2</v>
      </c>
      <c r="E181" s="116" t="str">
        <f t="shared" si="8"/>
        <v>Hortifruti</v>
      </c>
      <c r="F181" s="90" t="s">
        <v>1111</v>
      </c>
      <c r="G181" s="85" t="s">
        <v>288</v>
      </c>
      <c r="H181" s="85" t="s">
        <v>1090</v>
      </c>
      <c r="I181" s="85">
        <v>20</v>
      </c>
      <c r="J181" s="87">
        <v>1.98</v>
      </c>
      <c r="K181" s="88">
        <f t="shared" si="9"/>
        <v>39.6</v>
      </c>
      <c r="L181" s="85">
        <v>17455</v>
      </c>
      <c r="M181" s="118" t="s">
        <v>1004</v>
      </c>
      <c r="O181" s="84" t="s">
        <v>872</v>
      </c>
      <c r="R181"/>
    </row>
    <row r="182" spans="1:18" x14ac:dyDescent="0.25">
      <c r="A182" s="84" t="str">
        <f t="shared" si="7"/>
        <v>MarçoSEMANA 1Couve Flor</v>
      </c>
      <c r="B182" s="85" t="s">
        <v>31</v>
      </c>
      <c r="C182" s="85" t="s">
        <v>20</v>
      </c>
      <c r="D182" s="86">
        <v>2</v>
      </c>
      <c r="E182" s="116" t="str">
        <f t="shared" si="8"/>
        <v>Hortifruti</v>
      </c>
      <c r="F182" s="90" t="s">
        <v>1111</v>
      </c>
      <c r="G182" s="85" t="s">
        <v>306</v>
      </c>
      <c r="H182" s="85" t="s">
        <v>1083</v>
      </c>
      <c r="I182" s="85">
        <v>2.5</v>
      </c>
      <c r="J182" s="87">
        <v>5</v>
      </c>
      <c r="K182" s="88">
        <f t="shared" si="9"/>
        <v>12.5</v>
      </c>
      <c r="L182" s="85">
        <v>17455</v>
      </c>
      <c r="M182" s="118" t="s">
        <v>959</v>
      </c>
      <c r="N182" s="96"/>
      <c r="O182" s="96" t="s">
        <v>45</v>
      </c>
      <c r="R182"/>
    </row>
    <row r="183" spans="1:18" x14ac:dyDescent="0.25">
      <c r="A183" s="84" t="str">
        <f t="shared" si="7"/>
        <v>MarçoSEMANA 1Goiaba</v>
      </c>
      <c r="B183" s="85" t="s">
        <v>31</v>
      </c>
      <c r="C183" s="85" t="s">
        <v>20</v>
      </c>
      <c r="D183" s="86">
        <v>2</v>
      </c>
      <c r="E183" s="116" t="str">
        <f t="shared" si="8"/>
        <v>Hortifruti</v>
      </c>
      <c r="F183" s="90" t="s">
        <v>1111</v>
      </c>
      <c r="G183" s="85" t="s">
        <v>391</v>
      </c>
      <c r="H183" s="85" t="s">
        <v>1083</v>
      </c>
      <c r="I183" s="85"/>
      <c r="J183" s="87"/>
      <c r="K183" s="88">
        <f t="shared" si="9"/>
        <v>0</v>
      </c>
      <c r="L183" s="85" t="s">
        <v>1148</v>
      </c>
      <c r="M183" s="118" t="s">
        <v>961</v>
      </c>
      <c r="N183" s="96"/>
      <c r="O183" s="96" t="s">
        <v>42</v>
      </c>
      <c r="R183"/>
    </row>
    <row r="184" spans="1:18" x14ac:dyDescent="0.25">
      <c r="A184" s="84" t="str">
        <f t="shared" si="7"/>
        <v>MarçoSEMANA 1Mamão Bahia</v>
      </c>
      <c r="B184" s="85" t="s">
        <v>31</v>
      </c>
      <c r="C184" s="85" t="s">
        <v>20</v>
      </c>
      <c r="D184" s="86">
        <v>2</v>
      </c>
      <c r="E184" s="116" t="str">
        <f t="shared" si="8"/>
        <v>Hortifruti</v>
      </c>
      <c r="F184" s="90" t="s">
        <v>1111</v>
      </c>
      <c r="G184" s="85" t="s">
        <v>493</v>
      </c>
      <c r="H184" s="85" t="s">
        <v>1083</v>
      </c>
      <c r="I184" s="85">
        <v>2</v>
      </c>
      <c r="J184" s="87">
        <v>2.25</v>
      </c>
      <c r="K184" s="88">
        <f t="shared" si="9"/>
        <v>4.5</v>
      </c>
      <c r="L184" s="85">
        <v>17455</v>
      </c>
      <c r="M184" s="118" t="s">
        <v>200</v>
      </c>
      <c r="N184" s="96"/>
      <c r="O184" s="96" t="s">
        <v>42</v>
      </c>
      <c r="R184"/>
    </row>
    <row r="185" spans="1:18" x14ac:dyDescent="0.25">
      <c r="A185" s="84" t="str">
        <f t="shared" si="7"/>
        <v>MarçoSEMANA 1Melância</v>
      </c>
      <c r="B185" s="85" t="s">
        <v>31</v>
      </c>
      <c r="C185" s="85" t="s">
        <v>20</v>
      </c>
      <c r="D185" s="86">
        <v>2</v>
      </c>
      <c r="E185" s="116" t="str">
        <f t="shared" si="8"/>
        <v>Hortifruti</v>
      </c>
      <c r="F185" s="90" t="s">
        <v>1111</v>
      </c>
      <c r="G185" s="85" t="s">
        <v>516</v>
      </c>
      <c r="H185" s="85" t="s">
        <v>1083</v>
      </c>
      <c r="I185" s="85"/>
      <c r="J185" s="87"/>
      <c r="K185" s="88">
        <f t="shared" si="9"/>
        <v>0</v>
      </c>
      <c r="L185" s="85" t="s">
        <v>1149</v>
      </c>
      <c r="M185" s="118" t="s">
        <v>201</v>
      </c>
      <c r="N185" s="96"/>
      <c r="O185" s="96" t="s">
        <v>42</v>
      </c>
      <c r="R185"/>
    </row>
    <row r="186" spans="1:18" hidden="1" x14ac:dyDescent="0.2">
      <c r="A186" s="84" t="str">
        <f t="shared" si="7"/>
        <v xml:space="preserve">MarçoSEMANA 1Torta Mousse de Chocolate </v>
      </c>
      <c r="B186" s="85" t="s">
        <v>31</v>
      </c>
      <c r="C186" s="85" t="s">
        <v>20</v>
      </c>
      <c r="D186" s="86">
        <v>2</v>
      </c>
      <c r="E186" s="116" t="str">
        <f t="shared" si="8"/>
        <v>Sobremesa</v>
      </c>
      <c r="F186" s="90" t="s">
        <v>1150</v>
      </c>
      <c r="G186" s="85" t="s">
        <v>816</v>
      </c>
      <c r="H186" s="85" t="s">
        <v>1147</v>
      </c>
      <c r="I186" s="85">
        <f>2*12</f>
        <v>24</v>
      </c>
      <c r="J186" s="87">
        <f>99.32/24</f>
        <v>4.1383333333333328</v>
      </c>
      <c r="K186" s="88">
        <f t="shared" si="9"/>
        <v>99.32</v>
      </c>
      <c r="L186" s="85">
        <v>101563</v>
      </c>
      <c r="M186" s="118" t="s">
        <v>202</v>
      </c>
      <c r="N186" s="96"/>
      <c r="O186" s="96" t="s">
        <v>42</v>
      </c>
      <c r="R186"/>
    </row>
    <row r="187" spans="1:18" hidden="1" x14ac:dyDescent="0.2">
      <c r="A187" s="84" t="str">
        <f t="shared" si="7"/>
        <v>MarçoSEMANA 1Clara de Ovo</v>
      </c>
      <c r="B187" s="85" t="s">
        <v>31</v>
      </c>
      <c r="C187" s="85" t="s">
        <v>20</v>
      </c>
      <c r="D187" s="86">
        <v>2</v>
      </c>
      <c r="E187" s="116" t="str">
        <f t="shared" si="8"/>
        <v>Mercado</v>
      </c>
      <c r="F187" s="90" t="s">
        <v>1151</v>
      </c>
      <c r="G187" s="85" t="s">
        <v>282</v>
      </c>
      <c r="H187" s="85" t="s">
        <v>1083</v>
      </c>
      <c r="I187" s="85">
        <v>14.72</v>
      </c>
      <c r="J187" s="87">
        <f>125/14.72</f>
        <v>8.491847826086957</v>
      </c>
      <c r="K187" s="88">
        <f t="shared" si="9"/>
        <v>125.00000000000001</v>
      </c>
      <c r="L187" s="85"/>
      <c r="M187" s="118" t="s">
        <v>203</v>
      </c>
      <c r="N187" s="96"/>
      <c r="O187" s="96" t="s">
        <v>42</v>
      </c>
      <c r="R187"/>
    </row>
    <row r="188" spans="1:18" hidden="1" x14ac:dyDescent="0.2">
      <c r="A188" s="84" t="str">
        <f t="shared" si="7"/>
        <v>MarçoSEMANA 1Batata Palha 140 g</v>
      </c>
      <c r="B188" s="85" t="s">
        <v>31</v>
      </c>
      <c r="C188" s="85" t="s">
        <v>20</v>
      </c>
      <c r="D188" s="86">
        <v>2</v>
      </c>
      <c r="E188" s="116" t="str">
        <f t="shared" si="8"/>
        <v>Mercado</v>
      </c>
      <c r="F188" s="85" t="s">
        <v>1117</v>
      </c>
      <c r="G188" s="85" t="s">
        <v>174</v>
      </c>
      <c r="H188" s="85" t="s">
        <v>1114</v>
      </c>
      <c r="I188" s="85">
        <v>4</v>
      </c>
      <c r="J188" s="87">
        <v>5.28</v>
      </c>
      <c r="K188" s="88">
        <f t="shared" si="9"/>
        <v>21.12</v>
      </c>
      <c r="L188" s="85">
        <v>90809</v>
      </c>
      <c r="M188" s="118" t="s">
        <v>204</v>
      </c>
      <c r="N188" s="96"/>
      <c r="O188" s="96" t="s">
        <v>42</v>
      </c>
      <c r="R188"/>
    </row>
    <row r="189" spans="1:18" hidden="1" x14ac:dyDescent="0.2">
      <c r="A189" s="84" t="str">
        <f t="shared" si="7"/>
        <v>MarçoSEMANA 1Suco de Maracujá</v>
      </c>
      <c r="B189" s="85" t="s">
        <v>31</v>
      </c>
      <c r="C189" s="85" t="s">
        <v>20</v>
      </c>
      <c r="D189" s="86">
        <v>2</v>
      </c>
      <c r="E189" s="116" t="str">
        <f t="shared" si="8"/>
        <v>Mercado</v>
      </c>
      <c r="F189" s="85" t="s">
        <v>1117</v>
      </c>
      <c r="G189" s="85" t="s">
        <v>752</v>
      </c>
      <c r="H189" s="85" t="s">
        <v>1090</v>
      </c>
      <c r="I189" s="85">
        <v>2</v>
      </c>
      <c r="J189" s="87">
        <v>6.98</v>
      </c>
      <c r="K189" s="88">
        <f t="shared" si="9"/>
        <v>13.96</v>
      </c>
      <c r="L189" s="85">
        <v>90809</v>
      </c>
      <c r="M189" s="118" t="s">
        <v>205</v>
      </c>
      <c r="N189" s="96"/>
      <c r="O189" s="96" t="s">
        <v>873</v>
      </c>
      <c r="R189"/>
    </row>
    <row r="190" spans="1:18" hidden="1" x14ac:dyDescent="0.2">
      <c r="A190" s="84" t="str">
        <f t="shared" si="7"/>
        <v>MarçoSEMANA 1Creme de Leite Culinário 20% Bd 10 Lt</v>
      </c>
      <c r="B190" s="85" t="s">
        <v>31</v>
      </c>
      <c r="C190" s="85" t="s">
        <v>20</v>
      </c>
      <c r="D190" s="86">
        <v>2</v>
      </c>
      <c r="E190" s="116" t="str">
        <f t="shared" si="8"/>
        <v>Laticínios</v>
      </c>
      <c r="F190" s="85" t="s">
        <v>1152</v>
      </c>
      <c r="G190" s="85" t="s">
        <v>315</v>
      </c>
      <c r="H190" s="85" t="s">
        <v>1088</v>
      </c>
      <c r="I190" s="85">
        <v>2</v>
      </c>
      <c r="J190" s="87">
        <v>142.44999999999999</v>
      </c>
      <c r="K190" s="88">
        <f t="shared" si="9"/>
        <v>284.89999999999998</v>
      </c>
      <c r="L190" s="85">
        <v>857045</v>
      </c>
      <c r="M190" s="118" t="s">
        <v>206</v>
      </c>
      <c r="N190" s="96"/>
      <c r="O190" s="96" t="s">
        <v>873</v>
      </c>
      <c r="R190"/>
    </row>
    <row r="191" spans="1:18" hidden="1" x14ac:dyDescent="0.2">
      <c r="A191" s="84" t="str">
        <f t="shared" si="7"/>
        <v>MarçoSEMANA 1Queijo Mussarela</v>
      </c>
      <c r="B191" s="85" t="s">
        <v>31</v>
      </c>
      <c r="C191" s="85" t="s">
        <v>20</v>
      </c>
      <c r="D191" s="86">
        <v>2</v>
      </c>
      <c r="E191" s="116" t="str">
        <f t="shared" si="8"/>
        <v>Laticínios</v>
      </c>
      <c r="F191" s="85" t="s">
        <v>1152</v>
      </c>
      <c r="G191" s="85" t="s">
        <v>684</v>
      </c>
      <c r="H191" s="85" t="s">
        <v>1083</v>
      </c>
      <c r="I191" s="85">
        <v>3.1</v>
      </c>
      <c r="J191" s="87">
        <v>26</v>
      </c>
      <c r="K191" s="88">
        <f t="shared" si="9"/>
        <v>80.600000000000009</v>
      </c>
      <c r="L191" s="85">
        <v>857045</v>
      </c>
      <c r="M191" s="118" t="s">
        <v>207</v>
      </c>
      <c r="N191" s="96"/>
      <c r="O191" s="96" t="s">
        <v>873</v>
      </c>
      <c r="R191"/>
    </row>
    <row r="192" spans="1:18" hidden="1" x14ac:dyDescent="0.2">
      <c r="A192" s="84" t="str">
        <f t="shared" si="7"/>
        <v>MarçoSEMANA 1Queijo Minas</v>
      </c>
      <c r="B192" s="85" t="s">
        <v>31</v>
      </c>
      <c r="C192" s="85" t="s">
        <v>20</v>
      </c>
      <c r="D192" s="86">
        <v>2</v>
      </c>
      <c r="E192" s="116" t="str">
        <f t="shared" si="8"/>
        <v>Laticínios</v>
      </c>
      <c r="F192" s="85" t="s">
        <v>1152</v>
      </c>
      <c r="G192" s="85" t="s">
        <v>681</v>
      </c>
      <c r="H192" s="85" t="s">
        <v>1083</v>
      </c>
      <c r="I192" s="85">
        <v>1.6</v>
      </c>
      <c r="J192" s="87">
        <v>20.8</v>
      </c>
      <c r="K192" s="88">
        <f t="shared" si="9"/>
        <v>33.28</v>
      </c>
      <c r="L192" s="85">
        <v>857045</v>
      </c>
      <c r="M192" s="118" t="s">
        <v>208</v>
      </c>
      <c r="N192" s="96"/>
      <c r="O192" s="96" t="s">
        <v>42</v>
      </c>
      <c r="R192"/>
    </row>
    <row r="193" spans="1:18" hidden="1" x14ac:dyDescent="0.2">
      <c r="A193" s="84" t="str">
        <f t="shared" si="7"/>
        <v>MarçoSEMANA 1Queijo Requeijão BD 3,6 Kg</v>
      </c>
      <c r="B193" s="85" t="s">
        <v>31</v>
      </c>
      <c r="C193" s="85" t="s">
        <v>20</v>
      </c>
      <c r="D193" s="86">
        <v>2</v>
      </c>
      <c r="E193" s="116" t="str">
        <f t="shared" si="8"/>
        <v>Laticínios</v>
      </c>
      <c r="F193" s="85" t="s">
        <v>1152</v>
      </c>
      <c r="G193" s="85" t="s">
        <v>687</v>
      </c>
      <c r="H193" s="85" t="s">
        <v>1088</v>
      </c>
      <c r="I193" s="85">
        <v>2</v>
      </c>
      <c r="J193" s="87">
        <v>74.400000000000006</v>
      </c>
      <c r="K193" s="88">
        <f t="shared" si="9"/>
        <v>148.80000000000001</v>
      </c>
      <c r="L193" s="85">
        <v>857045</v>
      </c>
      <c r="M193" s="118" t="s">
        <v>209</v>
      </c>
      <c r="N193" s="96"/>
      <c r="O193" s="96" t="s">
        <v>872</v>
      </c>
      <c r="R193"/>
    </row>
    <row r="194" spans="1:18" hidden="1" x14ac:dyDescent="0.2">
      <c r="A194" s="84" t="str">
        <f t="shared" ref="A194:A257" si="10">CONCATENATE(B194,C194,G194)</f>
        <v xml:space="preserve">MarçoSEMANA 1Café em Grão </v>
      </c>
      <c r="B194" s="85" t="s">
        <v>31</v>
      </c>
      <c r="C194" s="85" t="s">
        <v>20</v>
      </c>
      <c r="D194" s="86">
        <v>2</v>
      </c>
      <c r="E194" s="116" t="str">
        <f t="shared" ref="E194:E257" si="11">VLOOKUP(G194,$M$1:$O$993,3,0)</f>
        <v>Mercado</v>
      </c>
      <c r="F194" s="85" t="s">
        <v>1153</v>
      </c>
      <c r="G194" s="85" t="s">
        <v>1028</v>
      </c>
      <c r="H194" s="85" t="s">
        <v>1083</v>
      </c>
      <c r="I194" s="85">
        <v>3</v>
      </c>
      <c r="J194" s="87">
        <v>47</v>
      </c>
      <c r="K194" s="88">
        <f t="shared" ref="K194:K257" si="12">I194*J194</f>
        <v>141</v>
      </c>
      <c r="L194" s="85" t="s">
        <v>1254</v>
      </c>
      <c r="M194" s="118" t="s">
        <v>210</v>
      </c>
      <c r="N194" s="96"/>
      <c r="O194" s="96" t="s">
        <v>42</v>
      </c>
      <c r="R194"/>
    </row>
    <row r="195" spans="1:18" hidden="1" x14ac:dyDescent="0.2">
      <c r="A195" s="84" t="str">
        <f t="shared" si="10"/>
        <v>MarçoSEMANA 1Óleo Composto 500ml</v>
      </c>
      <c r="B195" s="85" t="s">
        <v>31</v>
      </c>
      <c r="C195" s="85" t="s">
        <v>20</v>
      </c>
      <c r="D195" s="86">
        <v>2</v>
      </c>
      <c r="E195" s="116" t="str">
        <f t="shared" si="11"/>
        <v>Mercado</v>
      </c>
      <c r="F195" s="85" t="s">
        <v>1117</v>
      </c>
      <c r="G195" s="85" t="s">
        <v>541</v>
      </c>
      <c r="H195" s="85" t="s">
        <v>1090</v>
      </c>
      <c r="I195" s="91">
        <v>8</v>
      </c>
      <c r="J195" s="87">
        <v>5.65</v>
      </c>
      <c r="K195" s="88">
        <f t="shared" si="12"/>
        <v>45.2</v>
      </c>
      <c r="L195" s="85">
        <v>98529</v>
      </c>
      <c r="M195" s="118" t="s">
        <v>211</v>
      </c>
      <c r="N195" s="96"/>
      <c r="O195" s="96" t="s">
        <v>45</v>
      </c>
      <c r="R195"/>
    </row>
    <row r="196" spans="1:18" hidden="1" x14ac:dyDescent="0.2">
      <c r="A196" s="84" t="str">
        <f t="shared" si="10"/>
        <v xml:space="preserve">MarçoSEMANA 1Tapioca Granulada </v>
      </c>
      <c r="B196" s="85" t="s">
        <v>31</v>
      </c>
      <c r="C196" s="85" t="s">
        <v>20</v>
      </c>
      <c r="D196" s="86">
        <v>2</v>
      </c>
      <c r="E196" s="116" t="str">
        <f t="shared" si="11"/>
        <v>Mercado</v>
      </c>
      <c r="F196" s="85" t="s">
        <v>1117</v>
      </c>
      <c r="G196" s="85" t="s">
        <v>784</v>
      </c>
      <c r="H196" s="85" t="s">
        <v>1083</v>
      </c>
      <c r="I196" s="85">
        <v>1</v>
      </c>
      <c r="J196" s="87">
        <v>9.9600000000000009</v>
      </c>
      <c r="K196" s="88">
        <f t="shared" si="12"/>
        <v>9.9600000000000009</v>
      </c>
      <c r="L196" s="85">
        <v>98529</v>
      </c>
      <c r="M196" s="118" t="s">
        <v>212</v>
      </c>
      <c r="N196" s="96"/>
      <c r="O196" s="96" t="s">
        <v>45</v>
      </c>
      <c r="R196"/>
    </row>
    <row r="197" spans="1:18" hidden="1" x14ac:dyDescent="0.2">
      <c r="A197" s="84" t="str">
        <f t="shared" si="10"/>
        <v>MarçoSEMANA 1Pão Árabe</v>
      </c>
      <c r="B197" s="85" t="s">
        <v>31</v>
      </c>
      <c r="C197" s="85" t="s">
        <v>20</v>
      </c>
      <c r="D197" s="86">
        <v>2</v>
      </c>
      <c r="E197" s="116" t="str">
        <f t="shared" si="11"/>
        <v>Mercado</v>
      </c>
      <c r="F197" s="85" t="s">
        <v>1118</v>
      </c>
      <c r="G197" s="85" t="s">
        <v>560</v>
      </c>
      <c r="H197" s="85" t="s">
        <v>1114</v>
      </c>
      <c r="I197" s="85">
        <v>6</v>
      </c>
      <c r="J197" s="87">
        <v>6.7</v>
      </c>
      <c r="K197" s="88">
        <f t="shared" si="12"/>
        <v>40.200000000000003</v>
      </c>
      <c r="L197" s="85">
        <v>120268</v>
      </c>
      <c r="M197" s="118" t="s">
        <v>213</v>
      </c>
      <c r="N197" s="96"/>
      <c r="O197" s="96" t="s">
        <v>45</v>
      </c>
      <c r="R197"/>
    </row>
    <row r="198" spans="1:18" hidden="1" x14ac:dyDescent="0.2">
      <c r="A198" s="84" t="str">
        <f t="shared" si="10"/>
        <v>MarçoSEMANA 1Açucar Refinado Sushi</v>
      </c>
      <c r="B198" s="85" t="s">
        <v>31</v>
      </c>
      <c r="C198" s="85" t="s">
        <v>20</v>
      </c>
      <c r="D198" s="86">
        <v>1</v>
      </c>
      <c r="E198" s="116" t="str">
        <f t="shared" si="11"/>
        <v>Sushi</v>
      </c>
      <c r="F198" s="85" t="s">
        <v>1085</v>
      </c>
      <c r="G198" s="85" t="s">
        <v>80</v>
      </c>
      <c r="H198" s="85" t="s">
        <v>1083</v>
      </c>
      <c r="I198" s="85">
        <f>6+6</f>
        <v>12</v>
      </c>
      <c r="J198" s="87">
        <v>2.4900000000000002</v>
      </c>
      <c r="K198" s="88">
        <f t="shared" si="12"/>
        <v>29.880000000000003</v>
      </c>
      <c r="L198" s="85" t="s">
        <v>1091</v>
      </c>
      <c r="M198" s="118" t="s">
        <v>214</v>
      </c>
      <c r="N198" s="96"/>
      <c r="O198" s="96" t="s">
        <v>42</v>
      </c>
      <c r="R198"/>
    </row>
    <row r="199" spans="1:18" hidden="1" x14ac:dyDescent="0.2">
      <c r="A199" s="84" t="str">
        <f t="shared" si="10"/>
        <v>MarçoSEMANA 1Farinha Panco (sushi)</v>
      </c>
      <c r="B199" s="85" t="s">
        <v>31</v>
      </c>
      <c r="C199" s="85" t="s">
        <v>20</v>
      </c>
      <c r="D199" s="86">
        <v>2</v>
      </c>
      <c r="E199" s="116" t="str">
        <f t="shared" si="11"/>
        <v>Sushi</v>
      </c>
      <c r="F199" s="85" t="s">
        <v>1125</v>
      </c>
      <c r="G199" s="85" t="s">
        <v>1031</v>
      </c>
      <c r="H199" s="85" t="s">
        <v>1083</v>
      </c>
      <c r="I199" s="85">
        <v>1</v>
      </c>
      <c r="J199" s="87">
        <v>17.7</v>
      </c>
      <c r="K199" s="88">
        <f t="shared" si="12"/>
        <v>17.7</v>
      </c>
      <c r="L199" s="85">
        <v>64010</v>
      </c>
      <c r="M199" s="118" t="s">
        <v>215</v>
      </c>
      <c r="N199" s="96"/>
      <c r="O199" s="96" t="s">
        <v>44</v>
      </c>
      <c r="R199"/>
    </row>
    <row r="200" spans="1:18" hidden="1" x14ac:dyDescent="0.2">
      <c r="A200" s="84" t="str">
        <f t="shared" si="10"/>
        <v>MarçoSEMANA 1Gelo em Escamas</v>
      </c>
      <c r="B200" s="85" t="s">
        <v>31</v>
      </c>
      <c r="C200" s="85" t="s">
        <v>20</v>
      </c>
      <c r="D200" s="86">
        <v>3</v>
      </c>
      <c r="E200" s="116" t="str">
        <f t="shared" si="11"/>
        <v>Mercado</v>
      </c>
      <c r="F200" s="85" t="s">
        <v>1096</v>
      </c>
      <c r="G200" s="85" t="s">
        <v>384</v>
      </c>
      <c r="H200" s="85" t="s">
        <v>1097</v>
      </c>
      <c r="I200" s="85">
        <v>1</v>
      </c>
      <c r="J200" s="87">
        <v>7.5</v>
      </c>
      <c r="K200" s="88">
        <f t="shared" si="12"/>
        <v>7.5</v>
      </c>
      <c r="L200" s="85">
        <v>2604</v>
      </c>
      <c r="M200" s="118" t="s">
        <v>216</v>
      </c>
      <c r="N200" s="96"/>
      <c r="O200" s="96" t="s">
        <v>44</v>
      </c>
      <c r="R200"/>
    </row>
    <row r="201" spans="1:18" hidden="1" x14ac:dyDescent="0.2">
      <c r="A201" s="84" t="str">
        <f t="shared" si="10"/>
        <v>MarçoSEMANA 1Gelo em Cubo</v>
      </c>
      <c r="B201" s="85" t="s">
        <v>31</v>
      </c>
      <c r="C201" s="85" t="s">
        <v>20</v>
      </c>
      <c r="D201" s="86">
        <v>3</v>
      </c>
      <c r="E201" s="116" t="str">
        <f t="shared" si="11"/>
        <v>Mercado</v>
      </c>
      <c r="F201" s="85" t="s">
        <v>1096</v>
      </c>
      <c r="G201" s="85" t="s">
        <v>383</v>
      </c>
      <c r="H201" s="85" t="s">
        <v>1097</v>
      </c>
      <c r="I201" s="85">
        <v>3</v>
      </c>
      <c r="J201" s="87">
        <v>7.5</v>
      </c>
      <c r="K201" s="88">
        <f t="shared" si="12"/>
        <v>22.5</v>
      </c>
      <c r="L201" s="85">
        <v>2604</v>
      </c>
      <c r="M201" s="118" t="s">
        <v>217</v>
      </c>
      <c r="N201" s="96"/>
      <c r="O201" s="96" t="s">
        <v>44</v>
      </c>
      <c r="R201"/>
    </row>
    <row r="202" spans="1:18" hidden="1" x14ac:dyDescent="0.2">
      <c r="A202" s="84" t="str">
        <f t="shared" si="10"/>
        <v>MarçoSEMANA 1Batata Palito 9M</v>
      </c>
      <c r="B202" s="85" t="s">
        <v>31</v>
      </c>
      <c r="C202" s="85" t="s">
        <v>20</v>
      </c>
      <c r="D202" s="86">
        <v>3</v>
      </c>
      <c r="E202" s="116" t="str">
        <f t="shared" si="11"/>
        <v>Mercado</v>
      </c>
      <c r="F202" s="85" t="s">
        <v>1101</v>
      </c>
      <c r="G202" s="85" t="s">
        <v>175</v>
      </c>
      <c r="H202" s="85" t="s">
        <v>1083</v>
      </c>
      <c r="I202" s="85">
        <v>25</v>
      </c>
      <c r="J202" s="87">
        <v>6.58</v>
      </c>
      <c r="K202" s="88">
        <f t="shared" si="12"/>
        <v>164.5</v>
      </c>
      <c r="L202" s="85" t="s">
        <v>1155</v>
      </c>
      <c r="M202" s="118" t="s">
        <v>218</v>
      </c>
      <c r="N202" s="96"/>
      <c r="O202" s="96" t="s">
        <v>44</v>
      </c>
      <c r="R202"/>
    </row>
    <row r="203" spans="1:18" hidden="1" x14ac:dyDescent="0.2">
      <c r="A203" s="84" t="str">
        <f t="shared" si="10"/>
        <v>MarçoSEMANA 1Suíno - Linguiça Calabresa</v>
      </c>
      <c r="B203" s="85" t="s">
        <v>31</v>
      </c>
      <c r="C203" s="85" t="s">
        <v>20</v>
      </c>
      <c r="D203" s="86">
        <v>3</v>
      </c>
      <c r="E203" s="116" t="str">
        <f t="shared" si="11"/>
        <v>Carnes</v>
      </c>
      <c r="F203" s="85" t="s">
        <v>1101</v>
      </c>
      <c r="G203" s="85" t="s">
        <v>761</v>
      </c>
      <c r="H203" s="85" t="s">
        <v>1083</v>
      </c>
      <c r="I203" s="85">
        <v>2.5</v>
      </c>
      <c r="J203" s="87">
        <v>9.98</v>
      </c>
      <c r="K203" s="88">
        <f t="shared" si="12"/>
        <v>24.950000000000003</v>
      </c>
      <c r="L203" s="85" t="s">
        <v>1155</v>
      </c>
      <c r="M203" s="118" t="s">
        <v>971</v>
      </c>
      <c r="N203" s="96"/>
      <c r="O203" s="96" t="s">
        <v>44</v>
      </c>
      <c r="R203"/>
    </row>
    <row r="204" spans="1:18" hidden="1" x14ac:dyDescent="0.2">
      <c r="A204" s="84" t="str">
        <f t="shared" si="10"/>
        <v>MarçoSEMANA 1Queijo Coalho</v>
      </c>
      <c r="B204" s="85" t="s">
        <v>31</v>
      </c>
      <c r="C204" s="85" t="s">
        <v>20</v>
      </c>
      <c r="D204" s="86">
        <v>3</v>
      </c>
      <c r="E204" s="116" t="str">
        <f t="shared" si="11"/>
        <v>Laticínios</v>
      </c>
      <c r="F204" s="85" t="s">
        <v>1101</v>
      </c>
      <c r="G204" s="85" t="s">
        <v>675</v>
      </c>
      <c r="H204" s="85" t="s">
        <v>1083</v>
      </c>
      <c r="I204" s="85">
        <v>4</v>
      </c>
      <c r="J204" s="87">
        <v>24.13</v>
      </c>
      <c r="K204" s="88">
        <f t="shared" si="12"/>
        <v>96.52</v>
      </c>
      <c r="L204" s="85" t="s">
        <v>1155</v>
      </c>
      <c r="M204" s="118" t="s">
        <v>219</v>
      </c>
      <c r="N204" s="96"/>
      <c r="O204" s="96" t="s">
        <v>44</v>
      </c>
      <c r="R204"/>
    </row>
    <row r="205" spans="1:18" x14ac:dyDescent="0.25">
      <c r="A205" s="84" t="str">
        <f t="shared" si="10"/>
        <v xml:space="preserve">MarçoSEMANA 1Abobrinha </v>
      </c>
      <c r="B205" s="85" t="s">
        <v>31</v>
      </c>
      <c r="C205" s="85" t="s">
        <v>20</v>
      </c>
      <c r="D205" s="86">
        <v>3</v>
      </c>
      <c r="E205" s="116" t="str">
        <f t="shared" si="11"/>
        <v>Hortifruti</v>
      </c>
      <c r="F205" s="85" t="s">
        <v>1110</v>
      </c>
      <c r="G205" s="85" t="s">
        <v>72</v>
      </c>
      <c r="H205" s="85" t="s">
        <v>1083</v>
      </c>
      <c r="I205" s="85">
        <v>18.32</v>
      </c>
      <c r="J205" s="87">
        <f>35/18.32</f>
        <v>1.9104803493449782</v>
      </c>
      <c r="K205" s="88">
        <f t="shared" si="12"/>
        <v>35</v>
      </c>
      <c r="L205" s="85">
        <v>3314</v>
      </c>
      <c r="M205" s="118" t="s">
        <v>220</v>
      </c>
      <c r="N205" s="96"/>
      <c r="O205" s="96" t="s">
        <v>44</v>
      </c>
      <c r="R205"/>
    </row>
    <row r="206" spans="1:18" x14ac:dyDescent="0.25">
      <c r="A206" s="84" t="str">
        <f t="shared" si="10"/>
        <v>MarçoSEMANA 1Batata Doce</v>
      </c>
      <c r="B206" s="85" t="s">
        <v>31</v>
      </c>
      <c r="C206" s="85" t="s">
        <v>20</v>
      </c>
      <c r="D206" s="86">
        <v>3</v>
      </c>
      <c r="E206" s="116" t="str">
        <f t="shared" si="11"/>
        <v>Hortifruti</v>
      </c>
      <c r="F206" s="85" t="s">
        <v>1110</v>
      </c>
      <c r="G206" s="85" t="s">
        <v>170</v>
      </c>
      <c r="H206" s="85" t="s">
        <v>1083</v>
      </c>
      <c r="I206" s="85">
        <v>19.3</v>
      </c>
      <c r="J206" s="87">
        <f>36/19.3</f>
        <v>1.8652849740932642</v>
      </c>
      <c r="K206" s="88">
        <f t="shared" si="12"/>
        <v>36</v>
      </c>
      <c r="L206" s="85">
        <v>3314</v>
      </c>
      <c r="M206" s="118" t="s">
        <v>221</v>
      </c>
      <c r="N206" s="96"/>
      <c r="O206" s="96" t="s">
        <v>44</v>
      </c>
      <c r="R206"/>
    </row>
    <row r="207" spans="1:18" x14ac:dyDescent="0.25">
      <c r="A207" s="84" t="str">
        <f t="shared" si="10"/>
        <v>MarçoSEMANA 1Batata Yacon</v>
      </c>
      <c r="B207" s="85" t="s">
        <v>31</v>
      </c>
      <c r="C207" s="85" t="s">
        <v>20</v>
      </c>
      <c r="D207" s="86">
        <v>3</v>
      </c>
      <c r="E207" s="116" t="str">
        <f t="shared" si="11"/>
        <v>Hortifruti</v>
      </c>
      <c r="F207" s="85" t="s">
        <v>1110</v>
      </c>
      <c r="G207" s="85" t="s">
        <v>177</v>
      </c>
      <c r="H207" s="85" t="s">
        <v>1083</v>
      </c>
      <c r="I207" s="85">
        <v>0.5</v>
      </c>
      <c r="J207" s="87">
        <v>8</v>
      </c>
      <c r="K207" s="88">
        <f t="shared" si="12"/>
        <v>4</v>
      </c>
      <c r="L207" s="85">
        <v>3314</v>
      </c>
      <c r="M207" s="118" t="s">
        <v>222</v>
      </c>
      <c r="N207" s="96"/>
      <c r="O207" s="96" t="s">
        <v>44</v>
      </c>
      <c r="R207"/>
    </row>
    <row r="208" spans="1:18" x14ac:dyDescent="0.25">
      <c r="A208" s="84" t="str">
        <f t="shared" si="10"/>
        <v>MarçoSEMANA 1Berinjela</v>
      </c>
      <c r="B208" s="85" t="s">
        <v>31</v>
      </c>
      <c r="C208" s="85" t="s">
        <v>20</v>
      </c>
      <c r="D208" s="86">
        <v>3</v>
      </c>
      <c r="E208" s="116" t="str">
        <f t="shared" si="11"/>
        <v>Hortifruti</v>
      </c>
      <c r="F208" s="85" t="s">
        <v>1110</v>
      </c>
      <c r="G208" s="85" t="s">
        <v>178</v>
      </c>
      <c r="H208" s="85" t="s">
        <v>1083</v>
      </c>
      <c r="I208" s="85">
        <v>36.92</v>
      </c>
      <c r="J208" s="87">
        <f>45/36.92</f>
        <v>1.2188515709642469</v>
      </c>
      <c r="K208" s="88">
        <f t="shared" si="12"/>
        <v>45</v>
      </c>
      <c r="L208" s="85">
        <v>3314</v>
      </c>
      <c r="M208" s="118" t="s">
        <v>223</v>
      </c>
      <c r="N208" s="96"/>
      <c r="O208" s="96" t="s">
        <v>44</v>
      </c>
      <c r="R208"/>
    </row>
    <row r="209" spans="1:18" x14ac:dyDescent="0.25">
      <c r="A209" s="84" t="str">
        <f t="shared" si="10"/>
        <v>MarçoSEMANA 1Pepino Japonês</v>
      </c>
      <c r="B209" s="85" t="s">
        <v>31</v>
      </c>
      <c r="C209" s="85" t="s">
        <v>20</v>
      </c>
      <c r="D209" s="86">
        <v>3</v>
      </c>
      <c r="E209" s="116" t="str">
        <f t="shared" si="11"/>
        <v>Hortifruti</v>
      </c>
      <c r="F209" s="85" t="s">
        <v>1110</v>
      </c>
      <c r="G209" s="85" t="s">
        <v>576</v>
      </c>
      <c r="H209" s="85" t="s">
        <v>1083</v>
      </c>
      <c r="I209" s="85">
        <f>17.28-0.756</f>
        <v>16.524000000000001</v>
      </c>
      <c r="J209" s="87">
        <f>45/17.28</f>
        <v>2.6041666666666665</v>
      </c>
      <c r="K209" s="88">
        <f t="shared" si="12"/>
        <v>43.03125</v>
      </c>
      <c r="L209" s="85">
        <v>3314</v>
      </c>
      <c r="M209" s="118" t="s">
        <v>224</v>
      </c>
      <c r="N209" s="96"/>
      <c r="O209" s="96" t="s">
        <v>44</v>
      </c>
      <c r="R209"/>
    </row>
    <row r="210" spans="1:18" x14ac:dyDescent="0.25">
      <c r="A210" s="84" t="str">
        <f t="shared" si="10"/>
        <v>MarçoSEMANA 1Pimentão Amarelo</v>
      </c>
      <c r="B210" s="85" t="s">
        <v>31</v>
      </c>
      <c r="C210" s="85" t="s">
        <v>20</v>
      </c>
      <c r="D210" s="86">
        <v>3</v>
      </c>
      <c r="E210" s="116" t="str">
        <f t="shared" si="11"/>
        <v>Hortifruti</v>
      </c>
      <c r="F210" s="85" t="s">
        <v>1110</v>
      </c>
      <c r="G210" s="85" t="s">
        <v>663</v>
      </c>
      <c r="H210" s="85" t="s">
        <v>1083</v>
      </c>
      <c r="I210" s="85">
        <v>1</v>
      </c>
      <c r="J210" s="87">
        <v>10</v>
      </c>
      <c r="K210" s="88">
        <f t="shared" si="12"/>
        <v>10</v>
      </c>
      <c r="L210" s="85">
        <v>3314</v>
      </c>
      <c r="M210" s="118" t="s">
        <v>225</v>
      </c>
      <c r="O210" s="115" t="s">
        <v>44</v>
      </c>
      <c r="R210"/>
    </row>
    <row r="211" spans="1:18" x14ac:dyDescent="0.25">
      <c r="A211" s="84" t="str">
        <f t="shared" si="10"/>
        <v>MarçoSEMANA 1Pimentão Vermelho</v>
      </c>
      <c r="B211" s="85" t="s">
        <v>31</v>
      </c>
      <c r="C211" s="85" t="s">
        <v>20</v>
      </c>
      <c r="D211" s="86">
        <v>3</v>
      </c>
      <c r="E211" s="116" t="str">
        <f t="shared" si="11"/>
        <v>Hortifruti</v>
      </c>
      <c r="F211" s="85" t="s">
        <v>1110</v>
      </c>
      <c r="G211" s="85" t="s">
        <v>666</v>
      </c>
      <c r="H211" s="85" t="s">
        <v>1083</v>
      </c>
      <c r="I211" s="85">
        <v>1</v>
      </c>
      <c r="J211" s="87">
        <v>10</v>
      </c>
      <c r="K211" s="88">
        <f t="shared" si="12"/>
        <v>10</v>
      </c>
      <c r="L211" s="85">
        <v>3314</v>
      </c>
      <c r="M211" s="118" t="s">
        <v>226</v>
      </c>
      <c r="N211" s="96"/>
      <c r="O211" s="96" t="s">
        <v>44</v>
      </c>
      <c r="R211"/>
    </row>
    <row r="212" spans="1:18" x14ac:dyDescent="0.25">
      <c r="A212" s="84" t="str">
        <f t="shared" si="10"/>
        <v>MarçoSEMANA 1Tomate Salada</v>
      </c>
      <c r="B212" s="85" t="s">
        <v>31</v>
      </c>
      <c r="C212" s="85" t="s">
        <v>20</v>
      </c>
      <c r="D212" s="86">
        <v>3</v>
      </c>
      <c r="E212" s="116" t="str">
        <f t="shared" si="11"/>
        <v>Hortifruti</v>
      </c>
      <c r="F212" s="85" t="s">
        <v>1110</v>
      </c>
      <c r="G212" s="85" t="s">
        <v>794</v>
      </c>
      <c r="H212" s="85" t="s">
        <v>1083</v>
      </c>
      <c r="I212" s="85">
        <v>20.66</v>
      </c>
      <c r="J212" s="87">
        <f>60/20.66</f>
        <v>2.9041626331074539</v>
      </c>
      <c r="K212" s="88">
        <f t="shared" si="12"/>
        <v>60</v>
      </c>
      <c r="L212" s="85">
        <v>3314</v>
      </c>
      <c r="M212" s="118" t="s">
        <v>227</v>
      </c>
      <c r="N212" s="96"/>
      <c r="O212" s="96" t="s">
        <v>44</v>
      </c>
      <c r="R212"/>
    </row>
    <row r="213" spans="1:18" x14ac:dyDescent="0.25">
      <c r="A213" s="84" t="str">
        <f t="shared" si="10"/>
        <v>MarçoSEMANA 1Vagem Macarrão</v>
      </c>
      <c r="B213" s="85" t="s">
        <v>31</v>
      </c>
      <c r="C213" s="85" t="s">
        <v>20</v>
      </c>
      <c r="D213" s="86">
        <v>3</v>
      </c>
      <c r="E213" s="116" t="str">
        <f t="shared" si="11"/>
        <v>Hortifruti</v>
      </c>
      <c r="F213" s="85" t="s">
        <v>1110</v>
      </c>
      <c r="G213" s="85" t="s">
        <v>831</v>
      </c>
      <c r="H213" s="85" t="s">
        <v>1083</v>
      </c>
      <c r="I213" s="85">
        <v>3</v>
      </c>
      <c r="J213" s="87">
        <v>7</v>
      </c>
      <c r="K213" s="88">
        <f t="shared" si="12"/>
        <v>21</v>
      </c>
      <c r="L213" s="85">
        <v>3314</v>
      </c>
      <c r="M213" s="118" t="s">
        <v>228</v>
      </c>
      <c r="N213" s="96"/>
      <c r="O213" s="96" t="s">
        <v>44</v>
      </c>
      <c r="R213"/>
    </row>
    <row r="214" spans="1:18" x14ac:dyDescent="0.25">
      <c r="A214" s="84" t="str">
        <f t="shared" si="10"/>
        <v>MarçoSEMANA 1Ovos Extra</v>
      </c>
      <c r="B214" s="85" t="s">
        <v>31</v>
      </c>
      <c r="C214" s="85" t="s">
        <v>20</v>
      </c>
      <c r="D214" s="86">
        <v>3</v>
      </c>
      <c r="E214" s="116" t="str">
        <f t="shared" si="11"/>
        <v>Hortifruti</v>
      </c>
      <c r="F214" s="85" t="s">
        <v>1110</v>
      </c>
      <c r="G214" s="85" t="s">
        <v>549</v>
      </c>
      <c r="H214" s="85" t="s">
        <v>1090</v>
      </c>
      <c r="I214" s="85">
        <v>360</v>
      </c>
      <c r="J214" s="87">
        <f>100/360</f>
        <v>0.27777777777777779</v>
      </c>
      <c r="K214" s="88">
        <f t="shared" si="12"/>
        <v>100</v>
      </c>
      <c r="L214" s="85">
        <v>3314</v>
      </c>
      <c r="M214" s="118" t="s">
        <v>229</v>
      </c>
      <c r="N214" s="96"/>
      <c r="O214" s="96" t="s">
        <v>44</v>
      </c>
      <c r="R214"/>
    </row>
    <row r="215" spans="1:18" x14ac:dyDescent="0.25">
      <c r="A215" s="84" t="str">
        <f t="shared" si="10"/>
        <v>MarçoSEMANA 1Aipo</v>
      </c>
      <c r="B215" s="85" t="s">
        <v>31</v>
      </c>
      <c r="C215" s="85" t="s">
        <v>20</v>
      </c>
      <c r="D215" s="86">
        <v>3</v>
      </c>
      <c r="E215" s="116" t="str">
        <f t="shared" si="11"/>
        <v>Hortifruti</v>
      </c>
      <c r="F215" s="85" t="s">
        <v>1110</v>
      </c>
      <c r="G215" s="85" t="s">
        <v>96</v>
      </c>
      <c r="H215" s="85" t="s">
        <v>1083</v>
      </c>
      <c r="I215" s="85">
        <v>1</v>
      </c>
      <c r="J215" s="87">
        <v>4</v>
      </c>
      <c r="K215" s="88">
        <f t="shared" si="12"/>
        <v>4</v>
      </c>
      <c r="L215" s="85">
        <v>3314</v>
      </c>
      <c r="M215" s="118" t="s">
        <v>230</v>
      </c>
      <c r="N215" s="96"/>
      <c r="O215" s="96" t="s">
        <v>44</v>
      </c>
      <c r="R215"/>
    </row>
    <row r="216" spans="1:18" x14ac:dyDescent="0.25">
      <c r="A216" s="84" t="str">
        <f t="shared" si="10"/>
        <v xml:space="preserve">MarçoSEMANA 1Alface Americana    </v>
      </c>
      <c r="B216" s="85" t="s">
        <v>31</v>
      </c>
      <c r="C216" s="85" t="s">
        <v>20</v>
      </c>
      <c r="D216" s="86">
        <v>3</v>
      </c>
      <c r="E216" s="116" t="str">
        <f t="shared" si="11"/>
        <v>Hortifruti</v>
      </c>
      <c r="F216" s="85" t="s">
        <v>1110</v>
      </c>
      <c r="G216" s="85" t="s">
        <v>102</v>
      </c>
      <c r="H216" s="85" t="s">
        <v>1083</v>
      </c>
      <c r="I216" s="85">
        <v>9.02</v>
      </c>
      <c r="J216" s="87">
        <f>48/9.02</f>
        <v>5.3215077605321515</v>
      </c>
      <c r="K216" s="88">
        <f t="shared" si="12"/>
        <v>48.000000000000007</v>
      </c>
      <c r="L216" s="85">
        <v>3314</v>
      </c>
      <c r="M216" s="118" t="s">
        <v>231</v>
      </c>
      <c r="N216" s="96"/>
      <c r="O216" s="96" t="s">
        <v>44</v>
      </c>
      <c r="R216"/>
    </row>
    <row r="217" spans="1:18" x14ac:dyDescent="0.25">
      <c r="A217" s="84" t="str">
        <f t="shared" si="10"/>
        <v>MarçoSEMANA 1Alface crespa</v>
      </c>
      <c r="B217" s="85" t="s">
        <v>31</v>
      </c>
      <c r="C217" s="85" t="s">
        <v>20</v>
      </c>
      <c r="D217" s="86">
        <v>3</v>
      </c>
      <c r="E217" s="116" t="str">
        <f t="shared" si="11"/>
        <v>Hortifruti</v>
      </c>
      <c r="F217" s="85" t="s">
        <v>1110</v>
      </c>
      <c r="G217" s="85" t="s">
        <v>104</v>
      </c>
      <c r="H217" s="85" t="s">
        <v>1083</v>
      </c>
      <c r="I217" s="85">
        <v>2.68</v>
      </c>
      <c r="J217" s="87">
        <f>10.5/2.68</f>
        <v>3.9179104477611939</v>
      </c>
      <c r="K217" s="88">
        <f t="shared" si="12"/>
        <v>10.5</v>
      </c>
      <c r="L217" s="85">
        <v>3314</v>
      </c>
      <c r="M217" s="118" t="s">
        <v>972</v>
      </c>
      <c r="N217" s="96"/>
      <c r="O217" s="96" t="s">
        <v>44</v>
      </c>
      <c r="R217"/>
    </row>
    <row r="218" spans="1:18" x14ac:dyDescent="0.25">
      <c r="A218" s="84" t="str">
        <f t="shared" si="10"/>
        <v>MarçoSEMANA 1Cebolinha Verde</v>
      </c>
      <c r="B218" s="85" t="s">
        <v>31</v>
      </c>
      <c r="C218" s="85" t="s">
        <v>20</v>
      </c>
      <c r="D218" s="86">
        <v>3</v>
      </c>
      <c r="E218" s="116" t="str">
        <f t="shared" si="11"/>
        <v>Hortifruti</v>
      </c>
      <c r="F218" s="85" t="s">
        <v>1110</v>
      </c>
      <c r="G218" s="85" t="s">
        <v>247</v>
      </c>
      <c r="H218" s="85" t="s">
        <v>1083</v>
      </c>
      <c r="I218" s="85">
        <v>1</v>
      </c>
      <c r="J218" s="87">
        <v>7</v>
      </c>
      <c r="K218" s="88">
        <f t="shared" si="12"/>
        <v>7</v>
      </c>
      <c r="L218" s="85">
        <v>3314</v>
      </c>
      <c r="M218" s="118" t="s">
        <v>232</v>
      </c>
      <c r="N218" s="96"/>
      <c r="O218" s="96" t="s">
        <v>44</v>
      </c>
      <c r="R218"/>
    </row>
    <row r="219" spans="1:18" x14ac:dyDescent="0.25">
      <c r="A219" s="84" t="str">
        <f t="shared" si="10"/>
        <v>MarçoSEMANA 1Hortelã</v>
      </c>
      <c r="B219" s="85" t="s">
        <v>31</v>
      </c>
      <c r="C219" s="85" t="s">
        <v>20</v>
      </c>
      <c r="D219" s="86">
        <v>3</v>
      </c>
      <c r="E219" s="116" t="str">
        <f t="shared" si="11"/>
        <v>Hortifruti</v>
      </c>
      <c r="F219" s="85" t="s">
        <v>1110</v>
      </c>
      <c r="G219" s="85" t="s">
        <v>405</v>
      </c>
      <c r="H219" s="85" t="s">
        <v>1083</v>
      </c>
      <c r="I219" s="85">
        <v>0.3</v>
      </c>
      <c r="J219" s="87">
        <v>4</v>
      </c>
      <c r="K219" s="88">
        <f t="shared" si="12"/>
        <v>1.2</v>
      </c>
      <c r="L219" s="85">
        <v>3314</v>
      </c>
      <c r="M219" s="118" t="s">
        <v>233</v>
      </c>
      <c r="N219" s="96"/>
      <c r="O219" s="96" t="s">
        <v>44</v>
      </c>
      <c r="R219"/>
    </row>
    <row r="220" spans="1:18" x14ac:dyDescent="0.25">
      <c r="A220" s="84" t="str">
        <f t="shared" si="10"/>
        <v>MarçoSEMANA 1Manjericão</v>
      </c>
      <c r="B220" s="85" t="s">
        <v>31</v>
      </c>
      <c r="C220" s="85" t="s">
        <v>20</v>
      </c>
      <c r="D220" s="86">
        <v>3</v>
      </c>
      <c r="E220" s="116" t="str">
        <f t="shared" si="11"/>
        <v>Hortifruti</v>
      </c>
      <c r="F220" s="85" t="s">
        <v>1110</v>
      </c>
      <c r="G220" s="85" t="s">
        <v>498</v>
      </c>
      <c r="H220" s="85" t="s">
        <v>1083</v>
      </c>
      <c r="I220" s="85">
        <v>0.5</v>
      </c>
      <c r="J220" s="87">
        <v>10</v>
      </c>
      <c r="K220" s="88">
        <f t="shared" si="12"/>
        <v>5</v>
      </c>
      <c r="L220" s="85">
        <v>3314</v>
      </c>
      <c r="M220" s="118" t="s">
        <v>234</v>
      </c>
      <c r="N220" s="96"/>
      <c r="O220" s="96" t="s">
        <v>44</v>
      </c>
      <c r="R220"/>
    </row>
    <row r="221" spans="1:18" x14ac:dyDescent="0.25">
      <c r="A221" s="84" t="str">
        <f t="shared" si="10"/>
        <v>MarçoSEMANA 1Salsa</v>
      </c>
      <c r="B221" s="85" t="s">
        <v>31</v>
      </c>
      <c r="C221" s="85" t="s">
        <v>20</v>
      </c>
      <c r="D221" s="86">
        <v>3</v>
      </c>
      <c r="E221" s="116" t="str">
        <f t="shared" si="11"/>
        <v>Hortifruti</v>
      </c>
      <c r="F221" s="85" t="s">
        <v>1110</v>
      </c>
      <c r="G221" s="85" t="s">
        <v>728</v>
      </c>
      <c r="H221" s="85" t="s">
        <v>1083</v>
      </c>
      <c r="I221" s="85">
        <v>1</v>
      </c>
      <c r="J221" s="87">
        <v>7</v>
      </c>
      <c r="K221" s="88">
        <f t="shared" si="12"/>
        <v>7</v>
      </c>
      <c r="L221" s="85">
        <v>3314</v>
      </c>
      <c r="M221" s="118" t="s">
        <v>939</v>
      </c>
      <c r="N221" s="96"/>
      <c r="O221" s="96" t="s">
        <v>44</v>
      </c>
      <c r="R221"/>
    </row>
    <row r="222" spans="1:18" x14ac:dyDescent="0.25">
      <c r="A222" s="84" t="str">
        <f t="shared" si="10"/>
        <v xml:space="preserve">MarçoSEMANA 1Abacaxi </v>
      </c>
      <c r="B222" s="85" t="s">
        <v>31</v>
      </c>
      <c r="C222" s="85" t="s">
        <v>20</v>
      </c>
      <c r="D222" s="86">
        <v>3</v>
      </c>
      <c r="E222" s="116" t="str">
        <f t="shared" si="11"/>
        <v>Hortifruti</v>
      </c>
      <c r="F222" s="85" t="s">
        <v>1110</v>
      </c>
      <c r="G222" s="85" t="s">
        <v>65</v>
      </c>
      <c r="H222" s="85" t="s">
        <v>1083</v>
      </c>
      <c r="I222" s="85">
        <v>15</v>
      </c>
      <c r="J222" s="87">
        <v>3.2</v>
      </c>
      <c r="K222" s="88">
        <f t="shared" si="12"/>
        <v>48</v>
      </c>
      <c r="L222" s="85">
        <v>3314</v>
      </c>
      <c r="M222" s="118" t="s">
        <v>235</v>
      </c>
      <c r="N222" s="96"/>
      <c r="O222" s="96" t="s">
        <v>873</v>
      </c>
      <c r="R222"/>
    </row>
    <row r="223" spans="1:18" x14ac:dyDescent="0.25">
      <c r="A223" s="84" t="str">
        <f t="shared" si="10"/>
        <v>MarçoSEMANA 1Kiwi</v>
      </c>
      <c r="B223" s="85" t="s">
        <v>31</v>
      </c>
      <c r="C223" s="85" t="s">
        <v>20</v>
      </c>
      <c r="D223" s="86">
        <v>3</v>
      </c>
      <c r="E223" s="116" t="str">
        <f t="shared" si="11"/>
        <v>Hortifruti</v>
      </c>
      <c r="F223" s="85" t="s">
        <v>1110</v>
      </c>
      <c r="G223" s="85" t="s">
        <v>453</v>
      </c>
      <c r="H223" s="85" t="s">
        <v>1083</v>
      </c>
      <c r="I223" s="85">
        <v>1</v>
      </c>
      <c r="J223" s="87">
        <v>15</v>
      </c>
      <c r="K223" s="88">
        <f t="shared" si="12"/>
        <v>15</v>
      </c>
      <c r="L223" s="85">
        <v>3314</v>
      </c>
      <c r="M223" s="118" t="s">
        <v>236</v>
      </c>
      <c r="N223" s="96"/>
      <c r="O223" s="96" t="s">
        <v>873</v>
      </c>
      <c r="R223"/>
    </row>
    <row r="224" spans="1:18" x14ac:dyDescent="0.25">
      <c r="A224" s="84" t="str">
        <f t="shared" si="10"/>
        <v>MarçoSEMANA 1Laranja Pera</v>
      </c>
      <c r="B224" s="85" t="s">
        <v>31</v>
      </c>
      <c r="C224" s="85" t="s">
        <v>20</v>
      </c>
      <c r="D224" s="86">
        <v>3</v>
      </c>
      <c r="E224" s="116" t="str">
        <f t="shared" si="11"/>
        <v>Hortifruti</v>
      </c>
      <c r="F224" s="85" t="s">
        <v>1110</v>
      </c>
      <c r="G224" s="85" t="s">
        <v>456</v>
      </c>
      <c r="H224" s="85" t="s">
        <v>1083</v>
      </c>
      <c r="I224" s="85">
        <v>40.08</v>
      </c>
      <c r="J224" s="87">
        <f>66/40.08</f>
        <v>1.6467065868263473</v>
      </c>
      <c r="K224" s="88">
        <f t="shared" si="12"/>
        <v>66</v>
      </c>
      <c r="L224" s="85">
        <v>3314</v>
      </c>
      <c r="M224" s="118" t="s">
        <v>237</v>
      </c>
      <c r="N224" s="96"/>
      <c r="O224" s="96" t="s">
        <v>871</v>
      </c>
      <c r="R224"/>
    </row>
    <row r="225" spans="1:18" x14ac:dyDescent="0.25">
      <c r="A225" s="84" t="str">
        <f t="shared" si="10"/>
        <v>MarçoSEMANA 1Melão Orange</v>
      </c>
      <c r="B225" s="85" t="s">
        <v>31</v>
      </c>
      <c r="C225" s="85" t="s">
        <v>20</v>
      </c>
      <c r="D225" s="86">
        <v>3</v>
      </c>
      <c r="E225" s="116" t="str">
        <f t="shared" si="11"/>
        <v>Hortifruti</v>
      </c>
      <c r="F225" s="85" t="s">
        <v>1110</v>
      </c>
      <c r="G225" s="85" t="s">
        <v>518</v>
      </c>
      <c r="H225" s="85" t="s">
        <v>1083</v>
      </c>
      <c r="I225" s="85">
        <v>4</v>
      </c>
      <c r="J225" s="87">
        <v>4.8</v>
      </c>
      <c r="K225" s="88">
        <f t="shared" si="12"/>
        <v>19.2</v>
      </c>
      <c r="L225" s="85">
        <v>3314</v>
      </c>
      <c r="M225" s="118" t="s">
        <v>1023</v>
      </c>
      <c r="O225" s="84" t="s">
        <v>42</v>
      </c>
      <c r="R225"/>
    </row>
    <row r="226" spans="1:18" x14ac:dyDescent="0.25">
      <c r="A226" s="84" t="str">
        <f t="shared" si="10"/>
        <v>MarçoSEMANA 1Cebola</v>
      </c>
      <c r="B226" s="85" t="s">
        <v>31</v>
      </c>
      <c r="C226" s="85" t="s">
        <v>20</v>
      </c>
      <c r="D226" s="86">
        <v>3</v>
      </c>
      <c r="E226" s="116" t="str">
        <f t="shared" si="11"/>
        <v>Hortifruti</v>
      </c>
      <c r="F226" s="85" t="s">
        <v>1111</v>
      </c>
      <c r="G226" s="85" t="s">
        <v>241</v>
      </c>
      <c r="H226" s="85" t="s">
        <v>1083</v>
      </c>
      <c r="I226" s="85">
        <v>19.82</v>
      </c>
      <c r="J226" s="87">
        <f>52.9/19.82</f>
        <v>2.6690211907164478</v>
      </c>
      <c r="K226" s="88">
        <f t="shared" si="12"/>
        <v>52.9</v>
      </c>
      <c r="L226" s="85" t="s">
        <v>1156</v>
      </c>
      <c r="M226" s="118" t="s">
        <v>238</v>
      </c>
      <c r="N226" s="96"/>
      <c r="O226" s="96" t="s">
        <v>42</v>
      </c>
      <c r="R226"/>
    </row>
    <row r="227" spans="1:18" x14ac:dyDescent="0.25">
      <c r="A227" s="84" t="str">
        <f t="shared" si="10"/>
        <v>MarçoSEMANA 1Couve Flor</v>
      </c>
      <c r="B227" s="85" t="s">
        <v>31</v>
      </c>
      <c r="C227" s="85" t="s">
        <v>20</v>
      </c>
      <c r="D227" s="86">
        <v>3</v>
      </c>
      <c r="E227" s="116" t="str">
        <f t="shared" si="11"/>
        <v>Hortifruti</v>
      </c>
      <c r="F227" s="85" t="s">
        <v>1111</v>
      </c>
      <c r="G227" s="85" t="s">
        <v>306</v>
      </c>
      <c r="H227" s="85" t="s">
        <v>1083</v>
      </c>
      <c r="I227" s="85">
        <v>3.5</v>
      </c>
      <c r="J227" s="87">
        <v>5</v>
      </c>
      <c r="K227" s="88">
        <f t="shared" si="12"/>
        <v>17.5</v>
      </c>
      <c r="L227" s="85" t="s">
        <v>1156</v>
      </c>
      <c r="M227" s="118" t="s">
        <v>239</v>
      </c>
      <c r="N227" s="96"/>
      <c r="O227" s="96" t="s">
        <v>42</v>
      </c>
      <c r="R227"/>
    </row>
    <row r="228" spans="1:18" x14ac:dyDescent="0.25">
      <c r="A228" s="84" t="str">
        <f t="shared" si="10"/>
        <v>MarçoSEMANA 1Goiaba</v>
      </c>
      <c r="B228" s="85" t="s">
        <v>31</v>
      </c>
      <c r="C228" s="85" t="s">
        <v>20</v>
      </c>
      <c r="D228" s="86">
        <v>3</v>
      </c>
      <c r="E228" s="116" t="str">
        <f t="shared" si="11"/>
        <v>Hortifruti</v>
      </c>
      <c r="F228" s="85" t="s">
        <v>1111</v>
      </c>
      <c r="G228" s="85" t="s">
        <v>391</v>
      </c>
      <c r="H228" s="85" t="s">
        <v>1083</v>
      </c>
      <c r="I228" s="85">
        <v>2.8</v>
      </c>
      <c r="J228" s="87">
        <f>6/2.8</f>
        <v>2.1428571428571428</v>
      </c>
      <c r="K228" s="88">
        <f t="shared" si="12"/>
        <v>5.9999999999999991</v>
      </c>
      <c r="L228" s="85" t="s">
        <v>1156</v>
      </c>
      <c r="M228" s="118" t="s">
        <v>240</v>
      </c>
      <c r="N228" s="96"/>
      <c r="O228" s="96" t="s">
        <v>42</v>
      </c>
      <c r="R228"/>
    </row>
    <row r="229" spans="1:18" x14ac:dyDescent="0.25">
      <c r="A229" s="84" t="str">
        <f t="shared" si="10"/>
        <v>MarçoSEMANA 1Mamão Bahia</v>
      </c>
      <c r="B229" s="85" t="s">
        <v>31</v>
      </c>
      <c r="C229" s="85" t="s">
        <v>20</v>
      </c>
      <c r="D229" s="86">
        <v>3</v>
      </c>
      <c r="E229" s="116" t="str">
        <f t="shared" si="11"/>
        <v>Hortifruti</v>
      </c>
      <c r="F229" s="85" t="s">
        <v>1111</v>
      </c>
      <c r="G229" s="85" t="s">
        <v>493</v>
      </c>
      <c r="H229" s="85" t="s">
        <v>1083</v>
      </c>
      <c r="I229" s="85">
        <v>4</v>
      </c>
      <c r="J229" s="87">
        <v>2.25</v>
      </c>
      <c r="K229" s="88">
        <f t="shared" si="12"/>
        <v>9</v>
      </c>
      <c r="L229" s="85" t="s">
        <v>1156</v>
      </c>
      <c r="M229" s="118" t="s">
        <v>241</v>
      </c>
      <c r="O229" s="115" t="s">
        <v>45</v>
      </c>
      <c r="R229"/>
    </row>
    <row r="230" spans="1:18" x14ac:dyDescent="0.25">
      <c r="A230" s="84" t="str">
        <f t="shared" si="10"/>
        <v>MarçoSEMANA 1Melância</v>
      </c>
      <c r="B230" s="85" t="s">
        <v>31</v>
      </c>
      <c r="C230" s="85" t="s">
        <v>20</v>
      </c>
      <c r="D230" s="86">
        <v>3</v>
      </c>
      <c r="E230" s="116" t="str">
        <f t="shared" si="11"/>
        <v>Hortifruti</v>
      </c>
      <c r="F230" s="85" t="s">
        <v>1111</v>
      </c>
      <c r="G230" s="85" t="s">
        <v>516</v>
      </c>
      <c r="H230" s="85" t="s">
        <v>1083</v>
      </c>
      <c r="I230" s="85">
        <v>10</v>
      </c>
      <c r="J230" s="87">
        <v>1.52</v>
      </c>
      <c r="K230" s="88">
        <f t="shared" si="12"/>
        <v>15.2</v>
      </c>
      <c r="L230" s="85" t="s">
        <v>1156</v>
      </c>
      <c r="M230" s="118" t="s">
        <v>1033</v>
      </c>
      <c r="O230" s="84" t="s">
        <v>60</v>
      </c>
      <c r="R230"/>
    </row>
    <row r="231" spans="1:18" x14ac:dyDescent="0.25">
      <c r="A231" s="84" t="str">
        <f t="shared" si="10"/>
        <v>MarçoSEMANA 1Abobora</v>
      </c>
      <c r="B231" s="85" t="s">
        <v>31</v>
      </c>
      <c r="C231" s="85" t="s">
        <v>20</v>
      </c>
      <c r="D231" s="86">
        <v>3</v>
      </c>
      <c r="E231" s="116" t="str">
        <f t="shared" si="11"/>
        <v>Hortifruti</v>
      </c>
      <c r="F231" s="85" t="s">
        <v>1111</v>
      </c>
      <c r="G231" s="85" t="s">
        <v>68</v>
      </c>
      <c r="H231" s="85" t="s">
        <v>1083</v>
      </c>
      <c r="I231" s="85">
        <v>15</v>
      </c>
      <c r="J231" s="87">
        <v>1.95</v>
      </c>
      <c r="K231" s="88">
        <f t="shared" si="12"/>
        <v>29.25</v>
      </c>
      <c r="L231" s="85" t="s">
        <v>1156</v>
      </c>
      <c r="M231" s="118" t="s">
        <v>242</v>
      </c>
      <c r="N231" s="96"/>
      <c r="O231" s="96" t="s">
        <v>45</v>
      </c>
      <c r="R231"/>
    </row>
    <row r="232" spans="1:18" x14ac:dyDescent="0.25">
      <c r="A232" s="84" t="str">
        <f t="shared" si="10"/>
        <v>MarçoSEMANA 1Batata Calabresa</v>
      </c>
      <c r="B232" s="85" t="s">
        <v>31</v>
      </c>
      <c r="C232" s="85" t="s">
        <v>20</v>
      </c>
      <c r="D232" s="86">
        <v>3</v>
      </c>
      <c r="E232" s="116" t="str">
        <f t="shared" si="11"/>
        <v>Hortifruti</v>
      </c>
      <c r="F232" s="85" t="s">
        <v>1111</v>
      </c>
      <c r="G232" s="85" t="s">
        <v>901</v>
      </c>
      <c r="H232" s="85" t="s">
        <v>1083</v>
      </c>
      <c r="I232" s="85">
        <v>0.5</v>
      </c>
      <c r="J232" s="87">
        <v>3.1</v>
      </c>
      <c r="K232" s="88">
        <f t="shared" si="12"/>
        <v>1.55</v>
      </c>
      <c r="L232" s="85" t="s">
        <v>1156</v>
      </c>
      <c r="M232" s="118" t="s">
        <v>243</v>
      </c>
      <c r="N232" s="96"/>
      <c r="O232" s="96" t="s">
        <v>45</v>
      </c>
      <c r="R232"/>
    </row>
    <row r="233" spans="1:18" x14ac:dyDescent="0.25">
      <c r="A233" s="84" t="str">
        <f t="shared" si="10"/>
        <v>MarçoSEMANA 1Batata HBT</v>
      </c>
      <c r="B233" s="85" t="s">
        <v>31</v>
      </c>
      <c r="C233" s="85" t="s">
        <v>20</v>
      </c>
      <c r="D233" s="86">
        <v>3</v>
      </c>
      <c r="E233" s="116" t="str">
        <f t="shared" si="11"/>
        <v>Hortifruti</v>
      </c>
      <c r="F233" s="85" t="s">
        <v>1111</v>
      </c>
      <c r="G233" s="85" t="s">
        <v>171</v>
      </c>
      <c r="H233" s="85" t="s">
        <v>1083</v>
      </c>
      <c r="I233" s="85">
        <v>25</v>
      </c>
      <c r="J233" s="87">
        <v>1.7</v>
      </c>
      <c r="K233" s="88">
        <f t="shared" si="12"/>
        <v>42.5</v>
      </c>
      <c r="L233" s="85" t="s">
        <v>1156</v>
      </c>
      <c r="M233" s="118" t="s">
        <v>244</v>
      </c>
      <c r="N233" s="96"/>
      <c r="O233" s="96" t="s">
        <v>45</v>
      </c>
      <c r="R233"/>
    </row>
    <row r="234" spans="1:18" x14ac:dyDescent="0.25">
      <c r="A234" s="84" t="str">
        <f t="shared" si="10"/>
        <v>MarçoSEMANA 1Cebola Roxa</v>
      </c>
      <c r="B234" s="85" t="s">
        <v>31</v>
      </c>
      <c r="C234" s="85" t="s">
        <v>20</v>
      </c>
      <c r="D234" s="86">
        <v>3</v>
      </c>
      <c r="E234" s="116" t="str">
        <f t="shared" si="11"/>
        <v>Hortifruti</v>
      </c>
      <c r="F234" s="85" t="s">
        <v>1111</v>
      </c>
      <c r="G234" s="85" t="s">
        <v>244</v>
      </c>
      <c r="H234" s="85" t="s">
        <v>1083</v>
      </c>
      <c r="I234" s="85">
        <v>4</v>
      </c>
      <c r="J234" s="87">
        <v>3.15</v>
      </c>
      <c r="K234" s="88">
        <f t="shared" si="12"/>
        <v>12.6</v>
      </c>
      <c r="L234" s="85" t="s">
        <v>1156</v>
      </c>
      <c r="M234" s="118" t="s">
        <v>245</v>
      </c>
      <c r="N234" s="96"/>
      <c r="O234" s="96" t="s">
        <v>42</v>
      </c>
      <c r="R234"/>
    </row>
    <row r="235" spans="1:18" x14ac:dyDescent="0.25">
      <c r="A235" s="84" t="str">
        <f t="shared" si="10"/>
        <v>MarçoSEMANA 1Chuchu</v>
      </c>
      <c r="B235" s="85" t="s">
        <v>31</v>
      </c>
      <c r="C235" s="85" t="s">
        <v>20</v>
      </c>
      <c r="D235" s="86">
        <v>3</v>
      </c>
      <c r="E235" s="116" t="str">
        <f t="shared" si="11"/>
        <v>Hortifruti</v>
      </c>
      <c r="F235" s="85" t="s">
        <v>1111</v>
      </c>
      <c r="G235" s="85" t="s">
        <v>280</v>
      </c>
      <c r="H235" s="85" t="s">
        <v>1083</v>
      </c>
      <c r="I235" s="85">
        <v>18.2</v>
      </c>
      <c r="J235" s="87">
        <f>21/18.2</f>
        <v>1.153846153846154</v>
      </c>
      <c r="K235" s="88">
        <f t="shared" si="12"/>
        <v>21</v>
      </c>
      <c r="L235" s="85" t="s">
        <v>1156</v>
      </c>
      <c r="M235" s="118" t="s">
        <v>246</v>
      </c>
      <c r="N235" s="96"/>
      <c r="O235" s="96" t="s">
        <v>45</v>
      </c>
      <c r="R235"/>
    </row>
    <row r="236" spans="1:18" x14ac:dyDescent="0.25">
      <c r="A236" s="84" t="str">
        <f t="shared" si="10"/>
        <v>MarçoSEMANA 1Côco Verde</v>
      </c>
      <c r="B236" s="85" t="s">
        <v>31</v>
      </c>
      <c r="C236" s="85" t="s">
        <v>20</v>
      </c>
      <c r="D236" s="86">
        <v>3</v>
      </c>
      <c r="E236" s="116" t="str">
        <f t="shared" si="11"/>
        <v>Hortifruti</v>
      </c>
      <c r="F236" s="85" t="s">
        <v>1111</v>
      </c>
      <c r="G236" s="85" t="s">
        <v>288</v>
      </c>
      <c r="H236" s="85" t="s">
        <v>1090</v>
      </c>
      <c r="I236" s="85">
        <v>30</v>
      </c>
      <c r="J236" s="87">
        <v>1.98</v>
      </c>
      <c r="K236" s="88">
        <f t="shared" si="12"/>
        <v>59.4</v>
      </c>
      <c r="L236" s="85" t="s">
        <v>1156</v>
      </c>
      <c r="M236" s="118" t="s">
        <v>247</v>
      </c>
      <c r="N236" s="96"/>
      <c r="O236" s="96" t="s">
        <v>45</v>
      </c>
      <c r="R236"/>
    </row>
    <row r="237" spans="1:18" x14ac:dyDescent="0.25">
      <c r="A237" s="84" t="str">
        <f t="shared" si="10"/>
        <v>MarçoSEMANA 1Coentro</v>
      </c>
      <c r="B237" s="85" t="s">
        <v>31</v>
      </c>
      <c r="C237" s="85" t="s">
        <v>20</v>
      </c>
      <c r="D237" s="86">
        <v>3</v>
      </c>
      <c r="E237" s="116" t="str">
        <f t="shared" si="11"/>
        <v>Hortifruti</v>
      </c>
      <c r="F237" s="85" t="s">
        <v>1111</v>
      </c>
      <c r="G237" s="85" t="s">
        <v>289</v>
      </c>
      <c r="H237" s="85" t="s">
        <v>1083</v>
      </c>
      <c r="I237" s="85">
        <v>0.5</v>
      </c>
      <c r="J237" s="87">
        <v>23</v>
      </c>
      <c r="K237" s="88">
        <f t="shared" si="12"/>
        <v>11.5</v>
      </c>
      <c r="L237" s="85" t="s">
        <v>1156</v>
      </c>
      <c r="M237" s="118" t="s">
        <v>248</v>
      </c>
      <c r="N237" s="96"/>
      <c r="O237" s="96" t="s">
        <v>60</v>
      </c>
      <c r="R237"/>
    </row>
    <row r="238" spans="1:18" x14ac:dyDescent="0.25">
      <c r="A238" s="84" t="str">
        <f t="shared" si="10"/>
        <v>MarçoSEMANA 1Limão</v>
      </c>
      <c r="B238" s="85" t="s">
        <v>31</v>
      </c>
      <c r="C238" s="85" t="s">
        <v>20</v>
      </c>
      <c r="D238" s="86">
        <v>3</v>
      </c>
      <c r="E238" s="116" t="str">
        <f t="shared" si="11"/>
        <v>Hortifruti</v>
      </c>
      <c r="F238" s="85" t="s">
        <v>1111</v>
      </c>
      <c r="G238" s="85" t="s">
        <v>463</v>
      </c>
      <c r="H238" s="85" t="s">
        <v>1083</v>
      </c>
      <c r="I238" s="85">
        <v>23.66</v>
      </c>
      <c r="J238" s="87">
        <f>39.5/23.66</f>
        <v>1.6694843617920541</v>
      </c>
      <c r="K238" s="88">
        <f t="shared" si="12"/>
        <v>39.5</v>
      </c>
      <c r="L238" s="85" t="s">
        <v>1156</v>
      </c>
      <c r="M238" s="118" t="s">
        <v>1074</v>
      </c>
      <c r="O238" s="84" t="s">
        <v>45</v>
      </c>
      <c r="R238"/>
    </row>
    <row r="239" spans="1:18" x14ac:dyDescent="0.25">
      <c r="A239" s="84" t="str">
        <f t="shared" si="10"/>
        <v>MarçoSEMANA 1Limão Siciliano</v>
      </c>
      <c r="B239" s="85" t="s">
        <v>31</v>
      </c>
      <c r="C239" s="85" t="s">
        <v>20</v>
      </c>
      <c r="D239" s="86">
        <v>3</v>
      </c>
      <c r="E239" s="116" t="str">
        <f t="shared" si="11"/>
        <v>Hortifruti</v>
      </c>
      <c r="F239" s="85" t="s">
        <v>1111</v>
      </c>
      <c r="G239" s="85" t="s">
        <v>465</v>
      </c>
      <c r="H239" s="85" t="s">
        <v>1083</v>
      </c>
      <c r="I239" s="85">
        <v>1</v>
      </c>
      <c r="J239" s="87">
        <v>10.25</v>
      </c>
      <c r="K239" s="88">
        <f t="shared" si="12"/>
        <v>10.25</v>
      </c>
      <c r="L239" s="85" t="s">
        <v>1156</v>
      </c>
      <c r="M239" s="118" t="s">
        <v>249</v>
      </c>
      <c r="N239" s="96"/>
      <c r="O239" s="96" t="s">
        <v>45</v>
      </c>
      <c r="R239"/>
    </row>
    <row r="240" spans="1:18" x14ac:dyDescent="0.25">
      <c r="A240" s="84" t="str">
        <f t="shared" si="10"/>
        <v>MarçoSEMANA 1Manga Palmer</v>
      </c>
      <c r="B240" s="85" t="s">
        <v>31</v>
      </c>
      <c r="C240" s="85" t="s">
        <v>20</v>
      </c>
      <c r="D240" s="86">
        <v>3</v>
      </c>
      <c r="E240" s="116" t="str">
        <f t="shared" si="11"/>
        <v>Hortifruti</v>
      </c>
      <c r="F240" s="85" t="s">
        <v>1111</v>
      </c>
      <c r="G240" s="85" t="s">
        <v>495</v>
      </c>
      <c r="H240" s="85" t="s">
        <v>1083</v>
      </c>
      <c r="I240" s="85">
        <v>11</v>
      </c>
      <c r="J240" s="87">
        <f>50/11</f>
        <v>4.5454545454545459</v>
      </c>
      <c r="K240" s="88">
        <f t="shared" si="12"/>
        <v>50.000000000000007</v>
      </c>
      <c r="L240" s="85" t="s">
        <v>1156</v>
      </c>
      <c r="M240" s="118" t="s">
        <v>250</v>
      </c>
      <c r="N240" s="96"/>
      <c r="O240" s="96" t="s">
        <v>60</v>
      </c>
      <c r="R240"/>
    </row>
    <row r="241" spans="1:18" x14ac:dyDescent="0.25">
      <c r="A241" s="84" t="str">
        <f t="shared" si="10"/>
        <v>MarçoSEMANA 1Rúcula</v>
      </c>
      <c r="B241" s="85" t="s">
        <v>31</v>
      </c>
      <c r="C241" s="85" t="s">
        <v>20</v>
      </c>
      <c r="D241" s="86">
        <v>3</v>
      </c>
      <c r="E241" s="116" t="str">
        <f t="shared" si="11"/>
        <v>Hortifruti</v>
      </c>
      <c r="F241" s="85" t="s">
        <v>1111</v>
      </c>
      <c r="G241" s="85" t="s">
        <v>705</v>
      </c>
      <c r="H241" s="85" t="s">
        <v>1083</v>
      </c>
      <c r="I241" s="85">
        <v>5</v>
      </c>
      <c r="J241" s="87">
        <v>4.9000000000000004</v>
      </c>
      <c r="K241" s="88">
        <f t="shared" si="12"/>
        <v>24.5</v>
      </c>
      <c r="L241" s="85" t="s">
        <v>1156</v>
      </c>
      <c r="M241" s="118" t="s">
        <v>251</v>
      </c>
      <c r="N241" s="96"/>
      <c r="O241" s="96" t="s">
        <v>42</v>
      </c>
      <c r="R241"/>
    </row>
    <row r="242" spans="1:18" hidden="1" x14ac:dyDescent="0.2">
      <c r="A242" s="84" t="str">
        <f t="shared" si="10"/>
        <v>MarçoSEMANA 1Pão Francês</v>
      </c>
      <c r="B242" s="85" t="s">
        <v>31</v>
      </c>
      <c r="C242" s="85" t="s">
        <v>20</v>
      </c>
      <c r="D242" s="86">
        <v>4</v>
      </c>
      <c r="E242" s="116" t="str">
        <f t="shared" si="11"/>
        <v>Mercado</v>
      </c>
      <c r="F242" s="85" t="s">
        <v>1118</v>
      </c>
      <c r="G242" s="85" t="s">
        <v>564</v>
      </c>
      <c r="H242" s="85" t="s">
        <v>1083</v>
      </c>
      <c r="I242" s="85">
        <v>0.19</v>
      </c>
      <c r="J242" s="87">
        <v>13.98</v>
      </c>
      <c r="K242" s="88">
        <f t="shared" si="12"/>
        <v>2.6562000000000001</v>
      </c>
      <c r="L242" s="85">
        <v>120814</v>
      </c>
      <c r="M242" s="118" t="s">
        <v>881</v>
      </c>
      <c r="N242" s="96"/>
      <c r="O242" s="96" t="s">
        <v>874</v>
      </c>
      <c r="R242"/>
    </row>
    <row r="243" spans="1:18" x14ac:dyDescent="0.25">
      <c r="A243" s="84" t="str">
        <f t="shared" si="10"/>
        <v>MarçoSEMANA 1Manjericão</v>
      </c>
      <c r="B243" s="85" t="s">
        <v>31</v>
      </c>
      <c r="C243" s="85" t="s">
        <v>20</v>
      </c>
      <c r="D243" s="86">
        <v>4</v>
      </c>
      <c r="E243" s="116" t="str">
        <f t="shared" si="11"/>
        <v>Hortifruti</v>
      </c>
      <c r="F243" s="85" t="s">
        <v>1158</v>
      </c>
      <c r="G243" s="85" t="s">
        <v>498</v>
      </c>
      <c r="H243" s="85" t="s">
        <v>1083</v>
      </c>
      <c r="I243" s="85">
        <v>0.23</v>
      </c>
      <c r="J243" s="87">
        <f>3.98/0.23</f>
        <v>17.304347826086957</v>
      </c>
      <c r="K243" s="88">
        <f t="shared" si="12"/>
        <v>3.9800000000000004</v>
      </c>
      <c r="L243" s="85">
        <v>19591</v>
      </c>
      <c r="M243" s="118" t="s">
        <v>252</v>
      </c>
      <c r="N243" s="96"/>
      <c r="O243" s="96" t="s">
        <v>45</v>
      </c>
      <c r="R243"/>
    </row>
    <row r="244" spans="1:18" hidden="1" x14ac:dyDescent="0.2">
      <c r="A244" s="84" t="str">
        <f t="shared" si="10"/>
        <v>MarçoSEMANA 1Gelo em Escamas</v>
      </c>
      <c r="B244" s="85" t="s">
        <v>31</v>
      </c>
      <c r="C244" s="85" t="s">
        <v>20</v>
      </c>
      <c r="D244" s="86">
        <v>4</v>
      </c>
      <c r="E244" s="116" t="str">
        <f t="shared" si="11"/>
        <v>Mercado</v>
      </c>
      <c r="F244" s="85" t="s">
        <v>1096</v>
      </c>
      <c r="G244" s="85" t="s">
        <v>384</v>
      </c>
      <c r="H244" s="85" t="s">
        <v>1097</v>
      </c>
      <c r="I244" s="85">
        <v>1</v>
      </c>
      <c r="J244" s="87">
        <v>7.5</v>
      </c>
      <c r="K244" s="88">
        <f t="shared" si="12"/>
        <v>7.5</v>
      </c>
      <c r="L244" s="85">
        <v>2710</v>
      </c>
      <c r="M244" s="118" t="s">
        <v>253</v>
      </c>
      <c r="N244" s="96"/>
      <c r="O244" s="96" t="s">
        <v>42</v>
      </c>
      <c r="R244"/>
    </row>
    <row r="245" spans="1:18" hidden="1" x14ac:dyDescent="0.2">
      <c r="A245" s="84" t="str">
        <f t="shared" si="10"/>
        <v>MarçoSEMANA 1Gelo em Cubo</v>
      </c>
      <c r="B245" s="85" t="s">
        <v>31</v>
      </c>
      <c r="C245" s="85" t="s">
        <v>20</v>
      </c>
      <c r="D245" s="86">
        <v>4</v>
      </c>
      <c r="E245" s="116" t="str">
        <f t="shared" si="11"/>
        <v>Mercado</v>
      </c>
      <c r="F245" s="85" t="s">
        <v>1096</v>
      </c>
      <c r="G245" s="85" t="s">
        <v>383</v>
      </c>
      <c r="H245" s="85" t="s">
        <v>1097</v>
      </c>
      <c r="I245" s="85">
        <v>4</v>
      </c>
      <c r="J245" s="87">
        <v>7.5</v>
      </c>
      <c r="K245" s="88">
        <f t="shared" si="12"/>
        <v>30</v>
      </c>
      <c r="L245" s="85">
        <v>2710</v>
      </c>
      <c r="M245" s="118" t="s">
        <v>254</v>
      </c>
      <c r="N245" s="96"/>
      <c r="O245" s="96" t="s">
        <v>47</v>
      </c>
      <c r="R245"/>
    </row>
    <row r="246" spans="1:18" hidden="1" x14ac:dyDescent="0.2">
      <c r="A246" s="84" t="str">
        <f t="shared" si="10"/>
        <v>MarçoSEMANA 1Vinagre de Arroz (cozinha)</v>
      </c>
      <c r="B246" s="85" t="s">
        <v>31</v>
      </c>
      <c r="C246" s="85" t="s">
        <v>20</v>
      </c>
      <c r="D246" s="86">
        <v>2</v>
      </c>
      <c r="E246" s="116" t="str">
        <f t="shared" si="11"/>
        <v>Mercado</v>
      </c>
      <c r="F246" s="85" t="s">
        <v>1123</v>
      </c>
      <c r="G246" s="85" t="s">
        <v>894</v>
      </c>
      <c r="H246" s="85" t="s">
        <v>1090</v>
      </c>
      <c r="I246" s="85">
        <v>7</v>
      </c>
      <c r="J246" s="87">
        <f>92.88/24</f>
        <v>3.8699999999999997</v>
      </c>
      <c r="K246" s="88">
        <f t="shared" si="12"/>
        <v>27.089999999999996</v>
      </c>
      <c r="L246" s="85" t="s">
        <v>1124</v>
      </c>
      <c r="M246" s="118" t="s">
        <v>255</v>
      </c>
      <c r="N246" s="96"/>
      <c r="O246" s="96" t="s">
        <v>47</v>
      </c>
      <c r="R246"/>
    </row>
    <row r="247" spans="1:18" hidden="1" x14ac:dyDescent="0.2">
      <c r="A247" s="84" t="str">
        <f t="shared" si="10"/>
        <v>MarçoSEMANA 2Papel Higiênico (P.H. Interf.) Cx 60</v>
      </c>
      <c r="B247" s="85" t="s">
        <v>31</v>
      </c>
      <c r="C247" s="85" t="s">
        <v>21</v>
      </c>
      <c r="D247" s="86">
        <v>5</v>
      </c>
      <c r="E247" s="116" t="str">
        <f t="shared" si="11"/>
        <v>Descartável</v>
      </c>
      <c r="F247" s="85" t="s">
        <v>1159</v>
      </c>
      <c r="G247" s="85" t="s">
        <v>569</v>
      </c>
      <c r="H247" s="85" t="s">
        <v>1090</v>
      </c>
      <c r="I247" s="85">
        <v>60</v>
      </c>
      <c r="J247" s="87">
        <f>134.18/60</f>
        <v>2.2363333333333335</v>
      </c>
      <c r="K247" s="88">
        <f t="shared" si="12"/>
        <v>134.18</v>
      </c>
      <c r="L247" s="85">
        <v>39741</v>
      </c>
      <c r="M247" s="118" t="s">
        <v>256</v>
      </c>
      <c r="N247" s="96"/>
      <c r="O247" s="96" t="s">
        <v>47</v>
      </c>
      <c r="R247"/>
    </row>
    <row r="248" spans="1:18" hidden="1" x14ac:dyDescent="0.2">
      <c r="A248" s="84" t="str">
        <f t="shared" si="10"/>
        <v>MarçoSEMANA 2T.P. Interfolhado Melpaper</v>
      </c>
      <c r="B248" s="85" t="s">
        <v>31</v>
      </c>
      <c r="C248" s="85" t="s">
        <v>21</v>
      </c>
      <c r="D248" s="86">
        <v>5</v>
      </c>
      <c r="E248" s="116" t="str">
        <f t="shared" si="11"/>
        <v>Descartável</v>
      </c>
      <c r="F248" s="85" t="s">
        <v>1159</v>
      </c>
      <c r="G248" s="85" t="s">
        <v>776</v>
      </c>
      <c r="H248" s="85" t="s">
        <v>1090</v>
      </c>
      <c r="I248" s="85">
        <f>3*15</f>
        <v>45</v>
      </c>
      <c r="J248" s="87">
        <f>504.22/45</f>
        <v>11.20488888888889</v>
      </c>
      <c r="K248" s="88">
        <f t="shared" si="12"/>
        <v>504.22</v>
      </c>
      <c r="L248" s="85">
        <v>39741</v>
      </c>
      <c r="M248" s="118" t="s">
        <v>257</v>
      </c>
      <c r="N248" s="96"/>
      <c r="O248" s="96" t="s">
        <v>47</v>
      </c>
      <c r="R248"/>
    </row>
    <row r="249" spans="1:18" hidden="1" x14ac:dyDescent="0.2">
      <c r="A249" s="84" t="str">
        <f t="shared" si="10"/>
        <v>MarçoSEMANA 2Guardanapo Pequeno</v>
      </c>
      <c r="B249" s="85" t="s">
        <v>31</v>
      </c>
      <c r="C249" s="85" t="s">
        <v>21</v>
      </c>
      <c r="D249" s="86">
        <v>5</v>
      </c>
      <c r="E249" s="116" t="str">
        <f t="shared" si="11"/>
        <v>Descartável</v>
      </c>
      <c r="F249" s="85" t="s">
        <v>1159</v>
      </c>
      <c r="G249" s="85" t="s">
        <v>399</v>
      </c>
      <c r="H249" s="85" t="s">
        <v>1090</v>
      </c>
      <c r="I249" s="85">
        <f>2*96</f>
        <v>192</v>
      </c>
      <c r="J249" s="87">
        <f>341.1/192</f>
        <v>1.7765625</v>
      </c>
      <c r="K249" s="88">
        <f t="shared" si="12"/>
        <v>341.1</v>
      </c>
      <c r="L249" s="85">
        <v>39741</v>
      </c>
      <c r="M249" s="118" t="s">
        <v>258</v>
      </c>
      <c r="N249" s="96"/>
      <c r="O249" s="96" t="s">
        <v>47</v>
      </c>
      <c r="R249"/>
    </row>
    <row r="250" spans="1:18" hidden="1" x14ac:dyDescent="0.2">
      <c r="A250" s="84" t="str">
        <f t="shared" si="10"/>
        <v>MarçoSEMANA 2Pescados - Camarão IQF Evisc. 51/60</v>
      </c>
      <c r="B250" s="85" t="s">
        <v>31</v>
      </c>
      <c r="C250" s="85" t="s">
        <v>21</v>
      </c>
      <c r="D250" s="86">
        <v>5</v>
      </c>
      <c r="E250" s="116" t="str">
        <f t="shared" si="11"/>
        <v>Carnes</v>
      </c>
      <c r="F250" s="85" t="s">
        <v>1104</v>
      </c>
      <c r="G250" s="85" t="s">
        <v>593</v>
      </c>
      <c r="H250" s="85" t="s">
        <v>1083</v>
      </c>
      <c r="I250" s="85">
        <v>6</v>
      </c>
      <c r="J250" s="87">
        <v>69.900000000000006</v>
      </c>
      <c r="K250" s="88">
        <f t="shared" si="12"/>
        <v>419.40000000000003</v>
      </c>
      <c r="L250" s="85" t="s">
        <v>1160</v>
      </c>
      <c r="M250" s="118" t="s">
        <v>259</v>
      </c>
      <c r="N250" s="96"/>
      <c r="O250" s="96" t="s">
        <v>47</v>
      </c>
      <c r="R250"/>
    </row>
    <row r="251" spans="1:18" hidden="1" x14ac:dyDescent="0.2">
      <c r="A251" s="84" t="str">
        <f t="shared" si="10"/>
        <v>MarçoSEMANA 2Tortinha Arosa  81 unid</v>
      </c>
      <c r="B251" s="85" t="s">
        <v>31</v>
      </c>
      <c r="C251" s="85" t="s">
        <v>21</v>
      </c>
      <c r="D251" s="86">
        <v>5</v>
      </c>
      <c r="E251" s="116" t="str">
        <f t="shared" si="11"/>
        <v>Mercado</v>
      </c>
      <c r="F251" s="85" t="s">
        <v>1161</v>
      </c>
      <c r="G251" s="85" t="s">
        <v>821</v>
      </c>
      <c r="H251" s="85" t="s">
        <v>1114</v>
      </c>
      <c r="I251" s="85">
        <v>3</v>
      </c>
      <c r="J251" s="87">
        <v>31</v>
      </c>
      <c r="K251" s="88">
        <f t="shared" si="12"/>
        <v>93</v>
      </c>
      <c r="L251" s="85" t="s">
        <v>1162</v>
      </c>
      <c r="M251" s="118" t="s">
        <v>260</v>
      </c>
      <c r="N251" s="96"/>
      <c r="O251" s="96" t="s">
        <v>47</v>
      </c>
      <c r="R251"/>
    </row>
    <row r="252" spans="1:18" hidden="1" x14ac:dyDescent="0.2">
      <c r="A252" s="84" t="str">
        <f t="shared" si="10"/>
        <v>MarçoSEMANA 2Tortinha Arosa  64 unid</v>
      </c>
      <c r="B252" s="85" t="s">
        <v>31</v>
      </c>
      <c r="C252" s="85" t="s">
        <v>21</v>
      </c>
      <c r="D252" s="86">
        <v>5</v>
      </c>
      <c r="E252" s="116" t="str">
        <f t="shared" si="11"/>
        <v>Mercado</v>
      </c>
      <c r="F252" s="85" t="s">
        <v>1161</v>
      </c>
      <c r="G252" s="85" t="s">
        <v>819</v>
      </c>
      <c r="H252" s="85" t="s">
        <v>1114</v>
      </c>
      <c r="I252" s="85">
        <v>3</v>
      </c>
      <c r="J252" s="87">
        <v>34</v>
      </c>
      <c r="K252" s="88">
        <f t="shared" si="12"/>
        <v>102</v>
      </c>
      <c r="L252" s="85" t="s">
        <v>1162</v>
      </c>
      <c r="M252" s="118" t="s">
        <v>261</v>
      </c>
      <c r="N252" s="96"/>
      <c r="O252" s="96" t="s">
        <v>47</v>
      </c>
      <c r="R252"/>
    </row>
    <row r="253" spans="1:18" hidden="1" x14ac:dyDescent="0.2">
      <c r="A253" s="84" t="str">
        <f t="shared" si="10"/>
        <v>MarçoSEMANA 2Tortinha Arosa  72 unid</v>
      </c>
      <c r="B253" s="85" t="s">
        <v>31</v>
      </c>
      <c r="C253" s="85" t="s">
        <v>21</v>
      </c>
      <c r="D253" s="86">
        <v>5</v>
      </c>
      <c r="E253" s="116" t="str">
        <f t="shared" si="11"/>
        <v>Mercado</v>
      </c>
      <c r="F253" s="85" t="s">
        <v>1161</v>
      </c>
      <c r="G253" s="85" t="s">
        <v>820</v>
      </c>
      <c r="H253" s="85" t="s">
        <v>1114</v>
      </c>
      <c r="I253" s="85">
        <v>3</v>
      </c>
      <c r="J253" s="87">
        <v>34</v>
      </c>
      <c r="K253" s="88">
        <f t="shared" si="12"/>
        <v>102</v>
      </c>
      <c r="L253" s="85" t="s">
        <v>1162</v>
      </c>
      <c r="M253" s="118" t="s">
        <v>262</v>
      </c>
      <c r="N253" s="96"/>
      <c r="O253" s="96" t="s">
        <v>47</v>
      </c>
      <c r="R253"/>
    </row>
    <row r="254" spans="1:18" hidden="1" x14ac:dyDescent="0.2">
      <c r="A254" s="84" t="str">
        <f t="shared" si="10"/>
        <v>MarçoSEMANA 2Carne Bovina - Coração Alcatra</v>
      </c>
      <c r="B254" s="85" t="s">
        <v>31</v>
      </c>
      <c r="C254" s="85" t="s">
        <v>21</v>
      </c>
      <c r="D254" s="86">
        <v>5</v>
      </c>
      <c r="E254" s="116" t="str">
        <f t="shared" si="11"/>
        <v>Carnes</v>
      </c>
      <c r="F254" s="85" t="s">
        <v>1100</v>
      </c>
      <c r="G254" s="85" t="s">
        <v>219</v>
      </c>
      <c r="H254" s="85" t="s">
        <v>1083</v>
      </c>
      <c r="I254" s="85">
        <v>21.594000000000001</v>
      </c>
      <c r="J254" s="87">
        <v>18.9694</v>
      </c>
      <c r="K254" s="88">
        <f t="shared" si="12"/>
        <v>409.62522360000003</v>
      </c>
      <c r="L254" s="85" t="s">
        <v>1163</v>
      </c>
      <c r="M254" s="118" t="s">
        <v>263</v>
      </c>
      <c r="N254" s="96"/>
      <c r="O254" s="96" t="s">
        <v>47</v>
      </c>
      <c r="R254"/>
    </row>
    <row r="255" spans="1:18" hidden="1" x14ac:dyDescent="0.2">
      <c r="A255" s="84" t="str">
        <f t="shared" si="10"/>
        <v>MarçoSEMANA 2Gelo em Escamas</v>
      </c>
      <c r="B255" s="85" t="s">
        <v>31</v>
      </c>
      <c r="C255" s="85" t="s">
        <v>21</v>
      </c>
      <c r="D255" s="86">
        <v>5</v>
      </c>
      <c r="E255" s="116" t="str">
        <f t="shared" si="11"/>
        <v>Mercado</v>
      </c>
      <c r="F255" s="85" t="s">
        <v>1096</v>
      </c>
      <c r="G255" s="85" t="s">
        <v>384</v>
      </c>
      <c r="H255" s="85" t="s">
        <v>1097</v>
      </c>
      <c r="I255" s="85">
        <v>2</v>
      </c>
      <c r="J255" s="87">
        <v>7.5</v>
      </c>
      <c r="K255" s="88">
        <f t="shared" si="12"/>
        <v>15</v>
      </c>
      <c r="L255" s="85">
        <v>2629</v>
      </c>
      <c r="M255" s="118" t="s">
        <v>264</v>
      </c>
      <c r="N255" s="96"/>
      <c r="O255" s="96" t="s">
        <v>47</v>
      </c>
      <c r="R255"/>
    </row>
    <row r="256" spans="1:18" hidden="1" x14ac:dyDescent="0.2">
      <c r="A256" s="84" t="str">
        <f t="shared" si="10"/>
        <v>MarçoSEMANA 2Gelo em Cubo</v>
      </c>
      <c r="B256" s="85" t="s">
        <v>31</v>
      </c>
      <c r="C256" s="85" t="s">
        <v>21</v>
      </c>
      <c r="D256" s="86">
        <v>5</v>
      </c>
      <c r="E256" s="116" t="str">
        <f t="shared" si="11"/>
        <v>Mercado</v>
      </c>
      <c r="F256" s="85" t="s">
        <v>1096</v>
      </c>
      <c r="G256" s="85" t="s">
        <v>383</v>
      </c>
      <c r="H256" s="85" t="s">
        <v>1097</v>
      </c>
      <c r="I256" s="85">
        <v>4</v>
      </c>
      <c r="J256" s="87">
        <v>7.5</v>
      </c>
      <c r="K256" s="88">
        <f t="shared" si="12"/>
        <v>30</v>
      </c>
      <c r="L256" s="85">
        <v>2629</v>
      </c>
      <c r="M256" s="118" t="s">
        <v>265</v>
      </c>
      <c r="N256" s="96"/>
      <c r="O256" s="96" t="s">
        <v>47</v>
      </c>
      <c r="R256"/>
    </row>
    <row r="257" spans="1:18" hidden="1" x14ac:dyDescent="0.2">
      <c r="A257" s="84" t="str">
        <f t="shared" si="10"/>
        <v>MarçoSEMANA 2Aves - Filé de Peito de Frango</v>
      </c>
      <c r="B257" s="85" t="s">
        <v>31</v>
      </c>
      <c r="C257" s="85" t="s">
        <v>21</v>
      </c>
      <c r="D257" s="86">
        <v>5</v>
      </c>
      <c r="E257" s="116" t="str">
        <f t="shared" si="11"/>
        <v>Carnes</v>
      </c>
      <c r="F257" s="85" t="s">
        <v>1092</v>
      </c>
      <c r="G257" s="85" t="s">
        <v>139</v>
      </c>
      <c r="H257" s="85" t="s">
        <v>1083</v>
      </c>
      <c r="I257" s="85">
        <v>48</v>
      </c>
      <c r="J257" s="87">
        <v>7.8</v>
      </c>
      <c r="K257" s="88">
        <f t="shared" si="12"/>
        <v>374.4</v>
      </c>
      <c r="L257" s="85" t="s">
        <v>1164</v>
      </c>
      <c r="M257" s="118" t="s">
        <v>266</v>
      </c>
      <c r="O257" s="115" t="s">
        <v>47</v>
      </c>
      <c r="R257"/>
    </row>
    <row r="258" spans="1:18" hidden="1" x14ac:dyDescent="0.2">
      <c r="A258" s="84" t="str">
        <f t="shared" ref="A258:A321" si="13">CONCATENATE(B258,C258,G258)</f>
        <v>MarçoSEMANA 2Óleo Composto 500ml</v>
      </c>
      <c r="B258" s="85" t="s">
        <v>31</v>
      </c>
      <c r="C258" s="85" t="s">
        <v>21</v>
      </c>
      <c r="D258" s="86">
        <v>5</v>
      </c>
      <c r="E258" s="116" t="str">
        <f t="shared" ref="E258:E321" si="14">VLOOKUP(G258,$M$1:$O$993,3,0)</f>
        <v>Mercado</v>
      </c>
      <c r="F258" s="85" t="s">
        <v>1085</v>
      </c>
      <c r="G258" s="85" t="s">
        <v>541</v>
      </c>
      <c r="H258" s="85" t="s">
        <v>1090</v>
      </c>
      <c r="I258" s="85">
        <v>24</v>
      </c>
      <c r="J258" s="87">
        <f>79.09/24</f>
        <v>3.2954166666666667</v>
      </c>
      <c r="K258" s="88">
        <f t="shared" ref="K258:K321" si="15">I258*J258</f>
        <v>79.09</v>
      </c>
      <c r="L258" s="85">
        <v>1256463</v>
      </c>
      <c r="M258" s="118" t="s">
        <v>267</v>
      </c>
      <c r="N258" s="96"/>
      <c r="O258" s="96" t="s">
        <v>47</v>
      </c>
      <c r="R258"/>
    </row>
    <row r="259" spans="1:18" hidden="1" x14ac:dyDescent="0.2">
      <c r="A259" s="84" t="str">
        <f t="shared" si="13"/>
        <v>MarçoSEMANA 2Óleo de Soja 18 Lt</v>
      </c>
      <c r="B259" s="85" t="s">
        <v>31</v>
      </c>
      <c r="C259" s="85" t="s">
        <v>21</v>
      </c>
      <c r="D259" s="86">
        <v>5</v>
      </c>
      <c r="E259" s="116" t="str">
        <f t="shared" si="14"/>
        <v>Mercado</v>
      </c>
      <c r="F259" s="85" t="s">
        <v>1085</v>
      </c>
      <c r="G259" s="85" t="s">
        <v>544</v>
      </c>
      <c r="H259" s="85" t="s">
        <v>1087</v>
      </c>
      <c r="I259" s="85">
        <v>4</v>
      </c>
      <c r="J259" s="87">
        <v>62.5</v>
      </c>
      <c r="K259" s="88">
        <f t="shared" si="15"/>
        <v>250</v>
      </c>
      <c r="L259" s="85">
        <v>1256463</v>
      </c>
      <c r="M259" s="118" t="s">
        <v>268</v>
      </c>
      <c r="N259" s="96"/>
      <c r="O259" s="96" t="s">
        <v>47</v>
      </c>
      <c r="R259"/>
    </row>
    <row r="260" spans="1:18" hidden="1" x14ac:dyDescent="0.2">
      <c r="A260" s="84" t="str">
        <f t="shared" si="13"/>
        <v>MarçoSEMANA 2Creme de Leite Chantily</v>
      </c>
      <c r="B260" s="85" t="s">
        <v>31</v>
      </c>
      <c r="C260" s="85" t="s">
        <v>21</v>
      </c>
      <c r="D260" s="86">
        <v>5</v>
      </c>
      <c r="E260" s="116" t="str">
        <f t="shared" si="14"/>
        <v>Laticínios</v>
      </c>
      <c r="F260" s="85" t="s">
        <v>1152</v>
      </c>
      <c r="G260" s="85" t="s">
        <v>314</v>
      </c>
      <c r="H260" s="85" t="s">
        <v>1083</v>
      </c>
      <c r="I260" s="85">
        <v>0.5</v>
      </c>
      <c r="J260" s="87">
        <f>11.14/0.5</f>
        <v>22.28</v>
      </c>
      <c r="K260" s="88">
        <f t="shared" si="15"/>
        <v>11.14</v>
      </c>
      <c r="L260" s="85" t="s">
        <v>1165</v>
      </c>
      <c r="M260" s="118" t="s">
        <v>269</v>
      </c>
      <c r="N260" s="96"/>
      <c r="O260" s="96" t="s">
        <v>42</v>
      </c>
      <c r="R260"/>
    </row>
    <row r="261" spans="1:18" hidden="1" x14ac:dyDescent="0.2">
      <c r="A261" s="84" t="str">
        <f t="shared" si="13"/>
        <v>MarçoSEMANA 2Creme de Leite Culinário 20% Bd 10 Lt</v>
      </c>
      <c r="B261" s="85" t="s">
        <v>31</v>
      </c>
      <c r="C261" s="85" t="s">
        <v>21</v>
      </c>
      <c r="D261" s="86">
        <v>5</v>
      </c>
      <c r="E261" s="116" t="str">
        <f t="shared" si="14"/>
        <v>Laticínios</v>
      </c>
      <c r="F261" s="85" t="s">
        <v>1152</v>
      </c>
      <c r="G261" s="85" t="s">
        <v>315</v>
      </c>
      <c r="H261" s="85" t="s">
        <v>1088</v>
      </c>
      <c r="I261" s="85">
        <v>1</v>
      </c>
      <c r="J261" s="87">
        <v>142.44999999999999</v>
      </c>
      <c r="K261" s="88">
        <f t="shared" si="15"/>
        <v>142.44999999999999</v>
      </c>
      <c r="L261" s="85" t="s">
        <v>1165</v>
      </c>
      <c r="M261" s="118" t="s">
        <v>270</v>
      </c>
      <c r="N261" s="96"/>
      <c r="O261" s="96" t="s">
        <v>42</v>
      </c>
      <c r="R261"/>
    </row>
    <row r="262" spans="1:18" hidden="1" x14ac:dyDescent="0.2">
      <c r="A262" s="84" t="str">
        <f t="shared" si="13"/>
        <v>MarçoSEMANA 2Queijo Mussarela</v>
      </c>
      <c r="B262" s="85" t="s">
        <v>31</v>
      </c>
      <c r="C262" s="85" t="s">
        <v>21</v>
      </c>
      <c r="D262" s="86">
        <v>5</v>
      </c>
      <c r="E262" s="116" t="str">
        <f t="shared" si="14"/>
        <v>Laticínios</v>
      </c>
      <c r="F262" s="85" t="s">
        <v>1152</v>
      </c>
      <c r="G262" s="85" t="s">
        <v>684</v>
      </c>
      <c r="H262" s="85" t="s">
        <v>1083</v>
      </c>
      <c r="I262" s="85">
        <v>3.2</v>
      </c>
      <c r="J262" s="87">
        <v>26</v>
      </c>
      <c r="K262" s="88">
        <f t="shared" si="15"/>
        <v>83.2</v>
      </c>
      <c r="L262" s="85" t="s">
        <v>1165</v>
      </c>
      <c r="M262" s="118" t="s">
        <v>271</v>
      </c>
      <c r="N262" s="96"/>
      <c r="O262" s="96" t="s">
        <v>42</v>
      </c>
      <c r="R262"/>
    </row>
    <row r="263" spans="1:18" hidden="1" x14ac:dyDescent="0.2">
      <c r="A263" s="84" t="str">
        <f t="shared" si="13"/>
        <v>MarçoSEMANA 2Queijo Minas</v>
      </c>
      <c r="B263" s="85" t="s">
        <v>31</v>
      </c>
      <c r="C263" s="85" t="s">
        <v>21</v>
      </c>
      <c r="D263" s="86">
        <v>5</v>
      </c>
      <c r="E263" s="116" t="str">
        <f t="shared" si="14"/>
        <v>Laticínios</v>
      </c>
      <c r="F263" s="85" t="s">
        <v>1152</v>
      </c>
      <c r="G263" s="85" t="s">
        <v>681</v>
      </c>
      <c r="H263" s="85" t="s">
        <v>1083</v>
      </c>
      <c r="I263" s="85">
        <v>2.9</v>
      </c>
      <c r="J263" s="87">
        <v>20.8</v>
      </c>
      <c r="K263" s="88">
        <f t="shared" si="15"/>
        <v>60.32</v>
      </c>
      <c r="L263" s="85" t="s">
        <v>1165</v>
      </c>
      <c r="M263" s="118" t="s">
        <v>272</v>
      </c>
      <c r="O263" s="115" t="s">
        <v>42</v>
      </c>
      <c r="R263"/>
    </row>
    <row r="264" spans="1:18" hidden="1" x14ac:dyDescent="0.2">
      <c r="A264" s="84" t="str">
        <f t="shared" si="13"/>
        <v>MarçoSEMANA 2Queijo Ricota</v>
      </c>
      <c r="B264" s="85" t="s">
        <v>31</v>
      </c>
      <c r="C264" s="85" t="s">
        <v>21</v>
      </c>
      <c r="D264" s="86">
        <v>5</v>
      </c>
      <c r="E264" s="116" t="str">
        <f t="shared" si="14"/>
        <v>Laticínios</v>
      </c>
      <c r="F264" s="85" t="s">
        <v>1152</v>
      </c>
      <c r="G264" s="85" t="s">
        <v>688</v>
      </c>
      <c r="H264" s="85" t="s">
        <v>1083</v>
      </c>
      <c r="I264" s="85">
        <v>4.0999999999999996</v>
      </c>
      <c r="J264" s="87">
        <v>10.6</v>
      </c>
      <c r="K264" s="88">
        <f t="shared" si="15"/>
        <v>43.459999999999994</v>
      </c>
      <c r="L264" s="85" t="s">
        <v>1165</v>
      </c>
      <c r="M264" s="118" t="s">
        <v>273</v>
      </c>
      <c r="N264" s="96"/>
      <c r="O264" s="96" t="s">
        <v>871</v>
      </c>
      <c r="R264"/>
    </row>
    <row r="265" spans="1:18" hidden="1" x14ac:dyDescent="0.2">
      <c r="A265" s="84" t="str">
        <f t="shared" si="13"/>
        <v>MarçoSEMANA 2Pescados - Filé de Pescada</v>
      </c>
      <c r="B265" s="85" t="s">
        <v>31</v>
      </c>
      <c r="C265" s="85" t="s">
        <v>21</v>
      </c>
      <c r="D265" s="86">
        <v>5</v>
      </c>
      <c r="E265" s="116" t="str">
        <f t="shared" si="14"/>
        <v>Carnes</v>
      </c>
      <c r="F265" s="85" t="s">
        <v>1166</v>
      </c>
      <c r="G265" s="85" t="s">
        <v>605</v>
      </c>
      <c r="H265" s="85" t="s">
        <v>1083</v>
      </c>
      <c r="I265" s="85">
        <v>24</v>
      </c>
      <c r="J265" s="87">
        <v>12.9</v>
      </c>
      <c r="K265" s="88">
        <f t="shared" si="15"/>
        <v>309.60000000000002</v>
      </c>
      <c r="L265" s="85">
        <v>328778</v>
      </c>
      <c r="M265" s="118" t="s">
        <v>274</v>
      </c>
      <c r="N265" s="96"/>
      <c r="O265" s="96" t="s">
        <v>871</v>
      </c>
      <c r="R265"/>
    </row>
    <row r="266" spans="1:18" x14ac:dyDescent="0.25">
      <c r="A266" s="84" t="str">
        <f t="shared" si="13"/>
        <v>MarçoSEMANA 2Alface crespa Orgânica</v>
      </c>
      <c r="B266" s="85" t="s">
        <v>31</v>
      </c>
      <c r="C266" s="85" t="s">
        <v>21</v>
      </c>
      <c r="D266" s="86">
        <v>5</v>
      </c>
      <c r="E266" s="116" t="str">
        <f t="shared" si="14"/>
        <v>Hortifruti</v>
      </c>
      <c r="F266" s="85" t="s">
        <v>1130</v>
      </c>
      <c r="G266" s="85" t="s">
        <v>105</v>
      </c>
      <c r="H266" s="85" t="s">
        <v>1083</v>
      </c>
      <c r="I266" s="85">
        <v>1.7</v>
      </c>
      <c r="J266" s="87">
        <f>(30+1.956)/1.7</f>
        <v>18.797647058823529</v>
      </c>
      <c r="K266" s="88">
        <f t="shared" si="15"/>
        <v>31.956</v>
      </c>
      <c r="L266" s="85">
        <v>103852</v>
      </c>
      <c r="M266" s="118" t="s">
        <v>275</v>
      </c>
      <c r="N266" s="96"/>
      <c r="O266" s="96" t="s">
        <v>45</v>
      </c>
      <c r="R266"/>
    </row>
    <row r="267" spans="1:18" x14ac:dyDescent="0.25">
      <c r="A267" s="84" t="str">
        <f t="shared" si="13"/>
        <v>MarçoSEMANA 2Alface Roxa Orgânica</v>
      </c>
      <c r="B267" s="85" t="s">
        <v>31</v>
      </c>
      <c r="C267" s="85" t="s">
        <v>21</v>
      </c>
      <c r="D267" s="86">
        <v>5</v>
      </c>
      <c r="E267" s="116" t="str">
        <f t="shared" si="14"/>
        <v>Hortifruti</v>
      </c>
      <c r="F267" s="85" t="s">
        <v>1130</v>
      </c>
      <c r="G267" s="85" t="s">
        <v>109</v>
      </c>
      <c r="H267" s="85" t="s">
        <v>1083</v>
      </c>
      <c r="I267" s="85">
        <v>1.6</v>
      </c>
      <c r="J267" s="87">
        <f>(25+1.841)/1.6</f>
        <v>16.775624999999998</v>
      </c>
      <c r="K267" s="88">
        <f t="shared" si="15"/>
        <v>26.840999999999998</v>
      </c>
      <c r="L267" s="85">
        <v>103852</v>
      </c>
      <c r="M267" s="118" t="s">
        <v>960</v>
      </c>
      <c r="O267" s="115" t="s">
        <v>45</v>
      </c>
      <c r="R267"/>
    </row>
    <row r="268" spans="1:18" x14ac:dyDescent="0.25">
      <c r="A268" s="84" t="str">
        <f t="shared" si="13"/>
        <v>MarçoSEMANA 2Beterraba Orgânica</v>
      </c>
      <c r="B268" s="85" t="s">
        <v>31</v>
      </c>
      <c r="C268" s="85" t="s">
        <v>21</v>
      </c>
      <c r="D268" s="86">
        <v>5</v>
      </c>
      <c r="E268" s="116" t="str">
        <f t="shared" si="14"/>
        <v>Hortifruti</v>
      </c>
      <c r="F268" s="85" t="s">
        <v>1130</v>
      </c>
      <c r="G268" s="85" t="s">
        <v>182</v>
      </c>
      <c r="H268" s="85" t="s">
        <v>1083</v>
      </c>
      <c r="I268" s="85">
        <v>3.5</v>
      </c>
      <c r="J268" s="87">
        <f>(26.95+4.028)/3.5</f>
        <v>8.8508571428571425</v>
      </c>
      <c r="K268" s="88">
        <f t="shared" si="15"/>
        <v>30.977999999999998</v>
      </c>
      <c r="L268" s="85">
        <v>103852</v>
      </c>
      <c r="M268" s="118" t="s">
        <v>1009</v>
      </c>
      <c r="O268" s="84" t="s">
        <v>874</v>
      </c>
      <c r="R268"/>
    </row>
    <row r="269" spans="1:18" x14ac:dyDescent="0.25">
      <c r="A269" s="84" t="str">
        <f t="shared" si="13"/>
        <v>MarçoSEMANA 2Rúcula Orgânica</v>
      </c>
      <c r="B269" s="85" t="s">
        <v>31</v>
      </c>
      <c r="C269" s="85" t="s">
        <v>21</v>
      </c>
      <c r="D269" s="86">
        <v>5</v>
      </c>
      <c r="E269" s="116" t="str">
        <f t="shared" si="14"/>
        <v>Hortifruti</v>
      </c>
      <c r="F269" s="85" t="s">
        <v>1130</v>
      </c>
      <c r="G269" s="85" t="s">
        <v>706</v>
      </c>
      <c r="H269" s="85" t="s">
        <v>1083</v>
      </c>
      <c r="I269" s="85">
        <v>1.8</v>
      </c>
      <c r="J269" s="87">
        <f>(32+2.071)/1.8</f>
        <v>18.928333333333331</v>
      </c>
      <c r="K269" s="88">
        <f t="shared" si="15"/>
        <v>34.070999999999998</v>
      </c>
      <c r="L269" s="85">
        <v>103852</v>
      </c>
      <c r="M269" s="118" t="s">
        <v>276</v>
      </c>
      <c r="N269" s="96"/>
      <c r="O269" s="96" t="s">
        <v>45</v>
      </c>
      <c r="R269"/>
    </row>
    <row r="270" spans="1:18" hidden="1" x14ac:dyDescent="0.2">
      <c r="A270" s="84" t="str">
        <f t="shared" si="13"/>
        <v>MarçoSEMANA 1Pepino Japonês Sushi</v>
      </c>
      <c r="B270" s="85" t="s">
        <v>31</v>
      </c>
      <c r="C270" s="85" t="s">
        <v>20</v>
      </c>
      <c r="D270" s="86">
        <v>3</v>
      </c>
      <c r="E270" s="116" t="str">
        <f t="shared" si="14"/>
        <v>Sushi</v>
      </c>
      <c r="F270" s="85" t="s">
        <v>1110</v>
      </c>
      <c r="G270" s="85" t="s">
        <v>578</v>
      </c>
      <c r="H270" s="85" t="s">
        <v>1083</v>
      </c>
      <c r="I270" s="85">
        <v>0.75600000000000001</v>
      </c>
      <c r="J270" s="87">
        <f>45/17.28</f>
        <v>2.6041666666666665</v>
      </c>
      <c r="K270" s="88">
        <f t="shared" si="15"/>
        <v>1.96875</v>
      </c>
      <c r="L270" s="85">
        <v>3314</v>
      </c>
      <c r="M270" s="118" t="s">
        <v>277</v>
      </c>
      <c r="N270" s="96"/>
      <c r="O270" s="96" t="s">
        <v>42</v>
      </c>
      <c r="R270"/>
    </row>
    <row r="271" spans="1:18" x14ac:dyDescent="0.25">
      <c r="A271" s="84" t="str">
        <f t="shared" si="13"/>
        <v>MarçoSEMANA 2Ovo de Codorna</v>
      </c>
      <c r="B271" s="85" t="s">
        <v>31</v>
      </c>
      <c r="C271" s="85" t="s">
        <v>21</v>
      </c>
      <c r="D271" s="86">
        <v>5</v>
      </c>
      <c r="E271" s="116" t="str">
        <f t="shared" si="14"/>
        <v>Hortifruti</v>
      </c>
      <c r="F271" s="85" t="s">
        <v>1170</v>
      </c>
      <c r="G271" s="85" t="s">
        <v>548</v>
      </c>
      <c r="H271" s="85" t="s">
        <v>1114</v>
      </c>
      <c r="I271" s="85">
        <v>20</v>
      </c>
      <c r="J271" s="87">
        <v>10.6</v>
      </c>
      <c r="K271" s="88">
        <f t="shared" si="15"/>
        <v>212</v>
      </c>
      <c r="L271" s="85"/>
      <c r="M271" s="118" t="s">
        <v>278</v>
      </c>
      <c r="N271" s="96"/>
      <c r="O271" s="96" t="s">
        <v>871</v>
      </c>
      <c r="R271"/>
    </row>
    <row r="272" spans="1:18" x14ac:dyDescent="0.25">
      <c r="A272" s="84" t="str">
        <f t="shared" si="13"/>
        <v xml:space="preserve">MarçoSEMANA 2Abacaxi </v>
      </c>
      <c r="B272" s="85" t="s">
        <v>31</v>
      </c>
      <c r="C272" s="85" t="s">
        <v>21</v>
      </c>
      <c r="D272" s="86">
        <v>5</v>
      </c>
      <c r="E272" s="116" t="str">
        <f t="shared" si="14"/>
        <v>Hortifruti</v>
      </c>
      <c r="F272" s="85" t="s">
        <v>1111</v>
      </c>
      <c r="G272" s="85" t="s">
        <v>65</v>
      </c>
      <c r="H272" s="85" t="s">
        <v>1083</v>
      </c>
      <c r="I272" s="85">
        <v>10</v>
      </c>
      <c r="J272" s="87">
        <v>3.75</v>
      </c>
      <c r="K272" s="88">
        <f t="shared" si="15"/>
        <v>37.5</v>
      </c>
      <c r="L272" s="85" t="s">
        <v>1167</v>
      </c>
      <c r="M272" s="118" t="s">
        <v>930</v>
      </c>
      <c r="O272" s="115" t="s">
        <v>42</v>
      </c>
      <c r="R272"/>
    </row>
    <row r="273" spans="1:18" x14ac:dyDescent="0.25">
      <c r="A273" s="84" t="str">
        <f t="shared" si="13"/>
        <v>MarçoSEMANA 2Côco Verde</v>
      </c>
      <c r="B273" s="85" t="s">
        <v>31</v>
      </c>
      <c r="C273" s="85" t="s">
        <v>21</v>
      </c>
      <c r="D273" s="86">
        <v>5</v>
      </c>
      <c r="E273" s="116" t="str">
        <f t="shared" si="14"/>
        <v>Hortifruti</v>
      </c>
      <c r="F273" s="85" t="s">
        <v>1111</v>
      </c>
      <c r="G273" s="85" t="s">
        <v>288</v>
      </c>
      <c r="H273" s="85" t="s">
        <v>1090</v>
      </c>
      <c r="I273" s="85">
        <v>15</v>
      </c>
      <c r="J273" s="87">
        <v>1.98</v>
      </c>
      <c r="K273" s="88">
        <f t="shared" si="15"/>
        <v>29.7</v>
      </c>
      <c r="L273" s="85">
        <v>17633</v>
      </c>
      <c r="M273" s="118" t="s">
        <v>279</v>
      </c>
      <c r="N273" s="96"/>
      <c r="O273" s="96" t="s">
        <v>42</v>
      </c>
      <c r="R273"/>
    </row>
    <row r="274" spans="1:18" x14ac:dyDescent="0.25">
      <c r="A274" s="84" t="str">
        <f t="shared" si="13"/>
        <v>MarçoSEMANA 2Mamão Bahia</v>
      </c>
      <c r="B274" s="85" t="s">
        <v>31</v>
      </c>
      <c r="C274" s="85" t="s">
        <v>21</v>
      </c>
      <c r="D274" s="86">
        <v>5</v>
      </c>
      <c r="E274" s="116" t="str">
        <f t="shared" si="14"/>
        <v>Hortifruti</v>
      </c>
      <c r="F274" s="85" t="s">
        <v>1111</v>
      </c>
      <c r="G274" s="85" t="s">
        <v>493</v>
      </c>
      <c r="H274" s="85" t="s">
        <v>1083</v>
      </c>
      <c r="I274" s="85">
        <v>2</v>
      </c>
      <c r="J274" s="87">
        <v>2.25</v>
      </c>
      <c r="K274" s="88">
        <f t="shared" si="15"/>
        <v>4.5</v>
      </c>
      <c r="L274" s="85">
        <v>17633</v>
      </c>
      <c r="M274" s="118" t="s">
        <v>280</v>
      </c>
      <c r="N274" s="96"/>
      <c r="O274" s="96" t="s">
        <v>45</v>
      </c>
      <c r="R274"/>
    </row>
    <row r="275" spans="1:18" x14ac:dyDescent="0.25">
      <c r="A275" s="84" t="str">
        <f t="shared" si="13"/>
        <v>MarçoSEMANA 2Melância</v>
      </c>
      <c r="B275" s="85" t="s">
        <v>31</v>
      </c>
      <c r="C275" s="85" t="s">
        <v>21</v>
      </c>
      <c r="D275" s="86">
        <v>5</v>
      </c>
      <c r="E275" s="116" t="str">
        <f t="shared" si="14"/>
        <v>Hortifruti</v>
      </c>
      <c r="F275" s="85" t="s">
        <v>1111</v>
      </c>
      <c r="G275" s="85" t="s">
        <v>516</v>
      </c>
      <c r="H275" s="85" t="s">
        <v>1083</v>
      </c>
      <c r="I275" s="85">
        <v>10</v>
      </c>
      <c r="J275" s="87">
        <v>1.52</v>
      </c>
      <c r="K275" s="88">
        <f t="shared" si="15"/>
        <v>15.2</v>
      </c>
      <c r="L275" s="85">
        <v>17633</v>
      </c>
      <c r="M275" s="118" t="s">
        <v>944</v>
      </c>
      <c r="N275" s="96"/>
      <c r="O275" s="96" t="s">
        <v>874</v>
      </c>
      <c r="R275"/>
    </row>
    <row r="276" spans="1:18" x14ac:dyDescent="0.25">
      <c r="A276" s="84" t="str">
        <f t="shared" si="13"/>
        <v>MarçoSEMANA 2Abobora</v>
      </c>
      <c r="B276" s="85" t="s">
        <v>31</v>
      </c>
      <c r="C276" s="85" t="s">
        <v>21</v>
      </c>
      <c r="D276" s="86">
        <v>5</v>
      </c>
      <c r="E276" s="116" t="str">
        <f t="shared" si="14"/>
        <v>Hortifruti</v>
      </c>
      <c r="F276" s="85" t="s">
        <v>1111</v>
      </c>
      <c r="G276" s="85" t="s">
        <v>68</v>
      </c>
      <c r="H276" s="85" t="s">
        <v>1083</v>
      </c>
      <c r="I276" s="85">
        <v>10</v>
      </c>
      <c r="J276" s="87">
        <v>1.95</v>
      </c>
      <c r="K276" s="88">
        <f t="shared" si="15"/>
        <v>19.5</v>
      </c>
      <c r="L276" s="85">
        <v>17633</v>
      </c>
      <c r="M276" s="118" t="s">
        <v>281</v>
      </c>
      <c r="N276" s="96"/>
      <c r="O276" s="96" t="s">
        <v>45</v>
      </c>
      <c r="R276"/>
    </row>
    <row r="277" spans="1:18" hidden="1" x14ac:dyDescent="0.2">
      <c r="A277" s="84" t="str">
        <f t="shared" si="13"/>
        <v>MarçoSEMANA 2Côco Seco</v>
      </c>
      <c r="B277" s="85" t="s">
        <v>31</v>
      </c>
      <c r="C277" s="85" t="s">
        <v>21</v>
      </c>
      <c r="D277" s="86">
        <v>5</v>
      </c>
      <c r="E277" s="116" t="str">
        <f t="shared" si="14"/>
        <v>Mercado</v>
      </c>
      <c r="F277" s="85" t="s">
        <v>1111</v>
      </c>
      <c r="G277" s="85" t="s">
        <v>287</v>
      </c>
      <c r="H277" s="85" t="s">
        <v>1083</v>
      </c>
      <c r="I277" s="85">
        <v>2</v>
      </c>
      <c r="J277" s="87">
        <v>6.9</v>
      </c>
      <c r="K277" s="88">
        <f t="shared" si="15"/>
        <v>13.8</v>
      </c>
      <c r="L277" s="85">
        <v>17633</v>
      </c>
      <c r="M277" s="118" t="s">
        <v>282</v>
      </c>
      <c r="N277" s="96"/>
      <c r="O277" s="96" t="s">
        <v>42</v>
      </c>
      <c r="R277"/>
    </row>
    <row r="278" spans="1:18" x14ac:dyDescent="0.25">
      <c r="A278" s="84" t="str">
        <f t="shared" si="13"/>
        <v>MarçoSEMANA 2Manga Palmer</v>
      </c>
      <c r="B278" s="85" t="s">
        <v>31</v>
      </c>
      <c r="C278" s="85" t="s">
        <v>21</v>
      </c>
      <c r="D278" s="86">
        <v>5</v>
      </c>
      <c r="E278" s="116" t="str">
        <f t="shared" si="14"/>
        <v>Hortifruti</v>
      </c>
      <c r="F278" s="85" t="s">
        <v>1111</v>
      </c>
      <c r="G278" s="85" t="s">
        <v>495</v>
      </c>
      <c r="H278" s="85" t="s">
        <v>1083</v>
      </c>
      <c r="I278" s="85">
        <v>6</v>
      </c>
      <c r="J278" s="87">
        <f>25/6</f>
        <v>4.166666666666667</v>
      </c>
      <c r="K278" s="88">
        <f t="shared" si="15"/>
        <v>25</v>
      </c>
      <c r="L278" s="85">
        <v>17633</v>
      </c>
      <c r="M278" s="118" t="s">
        <v>283</v>
      </c>
      <c r="N278" s="96"/>
      <c r="O278" s="96" t="s">
        <v>873</v>
      </c>
      <c r="R278"/>
    </row>
    <row r="279" spans="1:18" x14ac:dyDescent="0.25">
      <c r="A279" s="84" t="str">
        <f t="shared" si="13"/>
        <v xml:space="preserve">MarçoSEMANA 2Abobrinha </v>
      </c>
      <c r="B279" s="85" t="s">
        <v>31</v>
      </c>
      <c r="C279" s="85" t="s">
        <v>21</v>
      </c>
      <c r="D279" s="86">
        <v>5</v>
      </c>
      <c r="E279" s="116" t="str">
        <f t="shared" si="14"/>
        <v>Hortifruti</v>
      </c>
      <c r="F279" s="85" t="s">
        <v>1110</v>
      </c>
      <c r="G279" s="85" t="s">
        <v>72</v>
      </c>
      <c r="H279" s="85" t="s">
        <v>1083</v>
      </c>
      <c r="I279" s="85">
        <v>16.96</v>
      </c>
      <c r="J279" s="87">
        <f>40/16.96</f>
        <v>2.3584905660377355</v>
      </c>
      <c r="K279" s="88">
        <f t="shared" si="15"/>
        <v>40</v>
      </c>
      <c r="L279" s="85">
        <v>3324</v>
      </c>
      <c r="M279" s="118" t="s">
        <v>284</v>
      </c>
      <c r="O279" s="115" t="s">
        <v>46</v>
      </c>
      <c r="R279"/>
    </row>
    <row r="280" spans="1:18" x14ac:dyDescent="0.25">
      <c r="A280" s="84" t="str">
        <f t="shared" si="13"/>
        <v>MarçoSEMANA 2Berinjela</v>
      </c>
      <c r="B280" s="85" t="s">
        <v>31</v>
      </c>
      <c r="C280" s="85" t="s">
        <v>21</v>
      </c>
      <c r="D280" s="86">
        <v>5</v>
      </c>
      <c r="E280" s="116" t="str">
        <f t="shared" si="14"/>
        <v>Hortifruti</v>
      </c>
      <c r="F280" s="85" t="s">
        <v>1110</v>
      </c>
      <c r="G280" s="85" t="s">
        <v>178</v>
      </c>
      <c r="H280" s="85" t="s">
        <v>1083</v>
      </c>
      <c r="I280" s="85">
        <v>10.62</v>
      </c>
      <c r="J280" s="87">
        <f>15/10.62</f>
        <v>1.4124293785310735</v>
      </c>
      <c r="K280" s="88">
        <f t="shared" si="15"/>
        <v>15</v>
      </c>
      <c r="L280" s="85">
        <v>3324</v>
      </c>
      <c r="M280" s="118" t="s">
        <v>886</v>
      </c>
      <c r="N280" s="96"/>
      <c r="O280" s="96" t="s">
        <v>872</v>
      </c>
      <c r="R280"/>
    </row>
    <row r="281" spans="1:18" x14ac:dyDescent="0.25">
      <c r="A281" s="84" t="str">
        <f t="shared" si="13"/>
        <v>MarçoSEMANA 2Cenoura</v>
      </c>
      <c r="B281" s="85" t="s">
        <v>31</v>
      </c>
      <c r="C281" s="85" t="s">
        <v>21</v>
      </c>
      <c r="D281" s="86">
        <v>5</v>
      </c>
      <c r="E281" s="116" t="str">
        <f t="shared" si="14"/>
        <v>Hortifruti</v>
      </c>
      <c r="F281" s="85" t="s">
        <v>1110</v>
      </c>
      <c r="G281" s="85" t="s">
        <v>249</v>
      </c>
      <c r="H281" s="85" t="s">
        <v>1083</v>
      </c>
      <c r="I281" s="85">
        <v>19.940000000000001</v>
      </c>
      <c r="J281" s="87">
        <f>50/19.94</f>
        <v>2.5075225677031092</v>
      </c>
      <c r="K281" s="88">
        <f t="shared" si="15"/>
        <v>50</v>
      </c>
      <c r="L281" s="85">
        <v>3324</v>
      </c>
      <c r="M281" s="118" t="s">
        <v>285</v>
      </c>
      <c r="N281" s="96"/>
      <c r="O281" s="96" t="s">
        <v>47</v>
      </c>
      <c r="R281"/>
    </row>
    <row r="282" spans="1:18" x14ac:dyDescent="0.25">
      <c r="A282" s="84" t="str">
        <f t="shared" si="13"/>
        <v>MarçoSEMANA 2Tomate Salada</v>
      </c>
      <c r="B282" s="85" t="s">
        <v>31</v>
      </c>
      <c r="C282" s="85" t="s">
        <v>21</v>
      </c>
      <c r="D282" s="86">
        <v>5</v>
      </c>
      <c r="E282" s="116" t="str">
        <f t="shared" si="14"/>
        <v>Hortifruti</v>
      </c>
      <c r="F282" s="85" t="s">
        <v>1110</v>
      </c>
      <c r="G282" s="85" t="s">
        <v>794</v>
      </c>
      <c r="H282" s="85" t="s">
        <v>1083</v>
      </c>
      <c r="I282" s="85">
        <v>20.04</v>
      </c>
      <c r="J282" s="87">
        <f>60/20.04</f>
        <v>2.9940119760479043</v>
      </c>
      <c r="K282" s="88">
        <f t="shared" si="15"/>
        <v>60</v>
      </c>
      <c r="L282" s="85">
        <v>3324</v>
      </c>
      <c r="M282" s="118" t="s">
        <v>286</v>
      </c>
      <c r="N282" s="96"/>
      <c r="O282" s="96" t="s">
        <v>47</v>
      </c>
      <c r="R282"/>
    </row>
    <row r="283" spans="1:18" x14ac:dyDescent="0.25">
      <c r="A283" s="84" t="str">
        <f t="shared" si="13"/>
        <v>MarçoSEMANA 2Alecrim</v>
      </c>
      <c r="B283" s="85" t="s">
        <v>31</v>
      </c>
      <c r="C283" s="85" t="s">
        <v>21</v>
      </c>
      <c r="D283" s="86">
        <v>5</v>
      </c>
      <c r="E283" s="116" t="str">
        <f t="shared" si="14"/>
        <v>Hortifruti</v>
      </c>
      <c r="F283" s="85" t="s">
        <v>1110</v>
      </c>
      <c r="G283" s="85" t="s">
        <v>101</v>
      </c>
      <c r="H283" s="85" t="s">
        <v>1083</v>
      </c>
      <c r="I283" s="85">
        <v>0.2</v>
      </c>
      <c r="J283" s="87">
        <v>14</v>
      </c>
      <c r="K283" s="88">
        <f t="shared" si="15"/>
        <v>2.8000000000000003</v>
      </c>
      <c r="L283" s="85">
        <v>3324</v>
      </c>
      <c r="M283" s="118" t="s">
        <v>935</v>
      </c>
      <c r="N283" s="96"/>
      <c r="O283" s="96" t="s">
        <v>47</v>
      </c>
      <c r="R283"/>
    </row>
    <row r="284" spans="1:18" x14ac:dyDescent="0.25">
      <c r="A284" s="84" t="str">
        <f t="shared" si="13"/>
        <v>MarçoSEMANA 2Brócolis Americano</v>
      </c>
      <c r="B284" s="85" t="s">
        <v>31</v>
      </c>
      <c r="C284" s="85" t="s">
        <v>21</v>
      </c>
      <c r="D284" s="86">
        <v>5</v>
      </c>
      <c r="E284" s="116" t="str">
        <f t="shared" si="14"/>
        <v>Hortifruti</v>
      </c>
      <c r="F284" s="85" t="s">
        <v>1110</v>
      </c>
      <c r="G284" s="85" t="s">
        <v>194</v>
      </c>
      <c r="H284" s="85" t="s">
        <v>1083</v>
      </c>
      <c r="I284" s="85">
        <v>12</v>
      </c>
      <c r="J284" s="87">
        <v>12</v>
      </c>
      <c r="K284" s="88">
        <f t="shared" si="15"/>
        <v>144</v>
      </c>
      <c r="L284" s="85">
        <v>3324</v>
      </c>
      <c r="M284" s="118" t="s">
        <v>287</v>
      </c>
      <c r="N284" s="96"/>
      <c r="O284" s="96" t="s">
        <v>42</v>
      </c>
      <c r="R284"/>
    </row>
    <row r="285" spans="1:18" x14ac:dyDescent="0.25">
      <c r="A285" s="84" t="str">
        <f t="shared" si="13"/>
        <v>MarçoSEMANA 2Cebolinha Verde</v>
      </c>
      <c r="B285" s="85" t="s">
        <v>31</v>
      </c>
      <c r="C285" s="85" t="s">
        <v>21</v>
      </c>
      <c r="D285" s="86">
        <v>5</v>
      </c>
      <c r="E285" s="116" t="str">
        <f t="shared" si="14"/>
        <v>Hortifruti</v>
      </c>
      <c r="F285" s="85" t="s">
        <v>1110</v>
      </c>
      <c r="G285" s="85" t="s">
        <v>247</v>
      </c>
      <c r="H285" s="85" t="s">
        <v>1083</v>
      </c>
      <c r="I285" s="85">
        <v>0.5</v>
      </c>
      <c r="J285" s="87">
        <v>7</v>
      </c>
      <c r="K285" s="88">
        <f t="shared" si="15"/>
        <v>3.5</v>
      </c>
      <c r="L285" s="85">
        <v>3324</v>
      </c>
      <c r="M285" s="118" t="s">
        <v>288</v>
      </c>
      <c r="N285" s="96"/>
      <c r="O285" s="96" t="s">
        <v>45</v>
      </c>
      <c r="R285"/>
    </row>
    <row r="286" spans="1:18" x14ac:dyDescent="0.25">
      <c r="A286" s="84" t="str">
        <f t="shared" si="13"/>
        <v>MarçoSEMANA 2Espinafre</v>
      </c>
      <c r="B286" s="85" t="s">
        <v>31</v>
      </c>
      <c r="C286" s="85" t="s">
        <v>21</v>
      </c>
      <c r="D286" s="86">
        <v>5</v>
      </c>
      <c r="E286" s="116" t="str">
        <f t="shared" si="14"/>
        <v>Hortifruti</v>
      </c>
      <c r="F286" s="85" t="s">
        <v>1110</v>
      </c>
      <c r="G286" s="85" t="s">
        <v>332</v>
      </c>
      <c r="H286" s="85" t="s">
        <v>1083</v>
      </c>
      <c r="I286" s="85">
        <v>3</v>
      </c>
      <c r="J286" s="87">
        <v>4.8</v>
      </c>
      <c r="K286" s="88">
        <f t="shared" si="15"/>
        <v>14.399999999999999</v>
      </c>
      <c r="L286" s="85">
        <v>3324</v>
      </c>
      <c r="M286" s="118" t="s">
        <v>289</v>
      </c>
      <c r="N286" s="96"/>
      <c r="O286" s="96" t="s">
        <v>45</v>
      </c>
      <c r="R286"/>
    </row>
    <row r="287" spans="1:18" x14ac:dyDescent="0.25">
      <c r="A287" s="84" t="str">
        <f t="shared" si="13"/>
        <v>MarçoSEMANA 2Manjericão</v>
      </c>
      <c r="B287" s="85" t="s">
        <v>31</v>
      </c>
      <c r="C287" s="85" t="s">
        <v>21</v>
      </c>
      <c r="D287" s="86">
        <v>5</v>
      </c>
      <c r="E287" s="116" t="str">
        <f t="shared" si="14"/>
        <v>Hortifruti</v>
      </c>
      <c r="F287" s="85" t="s">
        <v>1110</v>
      </c>
      <c r="G287" s="85" t="s">
        <v>498</v>
      </c>
      <c r="H287" s="85" t="s">
        <v>1083</v>
      </c>
      <c r="I287" s="85">
        <v>0.5</v>
      </c>
      <c r="J287" s="87">
        <v>10</v>
      </c>
      <c r="K287" s="88">
        <f t="shared" si="15"/>
        <v>5</v>
      </c>
      <c r="L287" s="85">
        <v>3324</v>
      </c>
      <c r="M287" s="118" t="s">
        <v>290</v>
      </c>
      <c r="N287" s="96"/>
      <c r="O287" s="96" t="s">
        <v>45</v>
      </c>
      <c r="R287"/>
    </row>
    <row r="288" spans="1:18" x14ac:dyDescent="0.25">
      <c r="A288" s="84" t="str">
        <f t="shared" si="13"/>
        <v>MarçoSEMANA 2Salsa</v>
      </c>
      <c r="B288" s="85" t="s">
        <v>31</v>
      </c>
      <c r="C288" s="85" t="s">
        <v>21</v>
      </c>
      <c r="D288" s="86">
        <v>5</v>
      </c>
      <c r="E288" s="116" t="str">
        <f t="shared" si="14"/>
        <v>Hortifruti</v>
      </c>
      <c r="F288" s="85" t="s">
        <v>1110</v>
      </c>
      <c r="G288" s="85" t="s">
        <v>728</v>
      </c>
      <c r="H288" s="85" t="s">
        <v>1083</v>
      </c>
      <c r="I288" s="85">
        <v>0.5</v>
      </c>
      <c r="J288" s="87">
        <v>7</v>
      </c>
      <c r="K288" s="88">
        <f t="shared" si="15"/>
        <v>3.5</v>
      </c>
      <c r="L288" s="85">
        <v>3324</v>
      </c>
      <c r="M288" s="118" t="s">
        <v>291</v>
      </c>
      <c r="N288" s="96"/>
      <c r="O288" s="96" t="s">
        <v>42</v>
      </c>
      <c r="R288"/>
    </row>
    <row r="289" spans="1:18" x14ac:dyDescent="0.25">
      <c r="A289" s="84" t="str">
        <f t="shared" si="13"/>
        <v xml:space="preserve">MarçoSEMANA 2Abacate </v>
      </c>
      <c r="B289" s="85" t="s">
        <v>31</v>
      </c>
      <c r="C289" s="85" t="s">
        <v>21</v>
      </c>
      <c r="D289" s="86">
        <v>5</v>
      </c>
      <c r="E289" s="116" t="str">
        <f t="shared" si="14"/>
        <v>Hortifruti</v>
      </c>
      <c r="F289" s="85" t="s">
        <v>1110</v>
      </c>
      <c r="G289" s="85" t="s">
        <v>62</v>
      </c>
      <c r="H289" s="85" t="s">
        <v>1083</v>
      </c>
      <c r="I289" s="85">
        <v>7</v>
      </c>
      <c r="J289" s="87">
        <v>6</v>
      </c>
      <c r="K289" s="88">
        <f t="shared" si="15"/>
        <v>42</v>
      </c>
      <c r="L289" s="85">
        <v>3324</v>
      </c>
      <c r="M289" s="118" t="s">
        <v>292</v>
      </c>
      <c r="N289" s="96"/>
      <c r="O289" s="96" t="s">
        <v>42</v>
      </c>
      <c r="R289"/>
    </row>
    <row r="290" spans="1:18" hidden="1" x14ac:dyDescent="0.2">
      <c r="A290" s="84" t="str">
        <f t="shared" si="13"/>
        <v>MarçoSEMANA 2Abacate Sushi</v>
      </c>
      <c r="B290" s="85" t="s">
        <v>31</v>
      </c>
      <c r="C290" s="85" t="s">
        <v>21</v>
      </c>
      <c r="D290" s="86">
        <v>5</v>
      </c>
      <c r="E290" s="116" t="str">
        <f t="shared" si="14"/>
        <v>Sushi</v>
      </c>
      <c r="F290" s="85" t="s">
        <v>1110</v>
      </c>
      <c r="G290" s="85" t="s">
        <v>64</v>
      </c>
      <c r="H290" s="85" t="s">
        <v>1083</v>
      </c>
      <c r="I290" s="85">
        <v>1</v>
      </c>
      <c r="J290" s="87">
        <v>6</v>
      </c>
      <c r="K290" s="88">
        <f t="shared" si="15"/>
        <v>6</v>
      </c>
      <c r="L290" s="85">
        <v>3324</v>
      </c>
      <c r="M290" s="118" t="s">
        <v>993</v>
      </c>
      <c r="N290" s="96"/>
      <c r="O290" s="96" t="s">
        <v>60</v>
      </c>
      <c r="R290"/>
    </row>
    <row r="291" spans="1:18" x14ac:dyDescent="0.25">
      <c r="A291" s="84" t="str">
        <f t="shared" si="13"/>
        <v>MarçoSEMANA 2Banana da Terra</v>
      </c>
      <c r="B291" s="85" t="s">
        <v>31</v>
      </c>
      <c r="C291" s="85" t="s">
        <v>21</v>
      </c>
      <c r="D291" s="86">
        <v>5</v>
      </c>
      <c r="E291" s="116" t="str">
        <f t="shared" si="14"/>
        <v>Hortifruti</v>
      </c>
      <c r="F291" s="85" t="s">
        <v>1110</v>
      </c>
      <c r="G291" s="85" t="s">
        <v>161</v>
      </c>
      <c r="H291" s="85" t="s">
        <v>1083</v>
      </c>
      <c r="I291" s="85">
        <v>6</v>
      </c>
      <c r="J291" s="87">
        <v>4.5</v>
      </c>
      <c r="K291" s="88">
        <f t="shared" si="15"/>
        <v>27</v>
      </c>
      <c r="L291" s="85">
        <v>3324</v>
      </c>
      <c r="M291" s="118" t="s">
        <v>964</v>
      </c>
      <c r="N291" s="96"/>
      <c r="O291" s="96" t="s">
        <v>60</v>
      </c>
      <c r="R291"/>
    </row>
    <row r="292" spans="1:18" x14ac:dyDescent="0.25">
      <c r="A292" s="84" t="str">
        <f t="shared" si="13"/>
        <v>MarçoSEMANA 2Kiwi</v>
      </c>
      <c r="B292" s="85" t="s">
        <v>31</v>
      </c>
      <c r="C292" s="85" t="s">
        <v>21</v>
      </c>
      <c r="D292" s="86">
        <v>5</v>
      </c>
      <c r="E292" s="116" t="str">
        <f t="shared" si="14"/>
        <v>Hortifruti</v>
      </c>
      <c r="F292" s="85" t="s">
        <v>1110</v>
      </c>
      <c r="G292" s="85" t="s">
        <v>453</v>
      </c>
      <c r="H292" s="85" t="s">
        <v>1083</v>
      </c>
      <c r="I292" s="85">
        <v>0.5</v>
      </c>
      <c r="J292" s="87">
        <v>15</v>
      </c>
      <c r="K292" s="88">
        <f t="shared" si="15"/>
        <v>7.5</v>
      </c>
      <c r="L292" s="85">
        <v>3324</v>
      </c>
      <c r="M292" s="118" t="s">
        <v>293</v>
      </c>
      <c r="N292" s="96"/>
      <c r="O292" s="96" t="s">
        <v>42</v>
      </c>
      <c r="R292"/>
    </row>
    <row r="293" spans="1:18" x14ac:dyDescent="0.25">
      <c r="A293" s="84" t="str">
        <f t="shared" si="13"/>
        <v>MarçoSEMANA 2Laranja Pera</v>
      </c>
      <c r="B293" s="85" t="s">
        <v>31</v>
      </c>
      <c r="C293" s="85" t="s">
        <v>21</v>
      </c>
      <c r="D293" s="86">
        <v>5</v>
      </c>
      <c r="E293" s="116" t="str">
        <f t="shared" si="14"/>
        <v>Hortifruti</v>
      </c>
      <c r="F293" s="85" t="s">
        <v>1110</v>
      </c>
      <c r="G293" s="85" t="s">
        <v>456</v>
      </c>
      <c r="H293" s="85" t="s">
        <v>1083</v>
      </c>
      <c r="I293" s="85">
        <v>19.62</v>
      </c>
      <c r="J293" s="87">
        <f>33/19.62</f>
        <v>1.6819571865443423</v>
      </c>
      <c r="K293" s="88">
        <f t="shared" si="15"/>
        <v>33</v>
      </c>
      <c r="L293" s="85">
        <v>3324</v>
      </c>
      <c r="M293" s="118" t="s">
        <v>294</v>
      </c>
      <c r="N293" s="96"/>
      <c r="O293" s="96" t="s">
        <v>872</v>
      </c>
      <c r="R293"/>
    </row>
    <row r="294" spans="1:18" x14ac:dyDescent="0.25">
      <c r="A294" s="84" t="str">
        <f t="shared" si="13"/>
        <v>MarçoSEMANA 2Manga Tommy</v>
      </c>
      <c r="B294" s="85" t="s">
        <v>31</v>
      </c>
      <c r="C294" s="85" t="s">
        <v>21</v>
      </c>
      <c r="D294" s="86">
        <v>5</v>
      </c>
      <c r="E294" s="116" t="str">
        <f t="shared" si="14"/>
        <v>Hortifruti</v>
      </c>
      <c r="F294" s="85" t="s">
        <v>1110</v>
      </c>
      <c r="G294" s="85" t="s">
        <v>496</v>
      </c>
      <c r="H294" s="85" t="s">
        <v>1083</v>
      </c>
      <c r="I294" s="85">
        <v>3</v>
      </c>
      <c r="J294" s="87">
        <v>4.5</v>
      </c>
      <c r="K294" s="88">
        <f t="shared" si="15"/>
        <v>13.5</v>
      </c>
      <c r="L294" s="85">
        <v>3324</v>
      </c>
      <c r="M294" s="118" t="s">
        <v>295</v>
      </c>
      <c r="N294" s="96"/>
      <c r="O294" s="96" t="s">
        <v>42</v>
      </c>
      <c r="R294"/>
    </row>
    <row r="295" spans="1:18" hidden="1" x14ac:dyDescent="0.2">
      <c r="A295" s="84" t="str">
        <f t="shared" si="13"/>
        <v>MarçoSEMANA 2Manga Tommy Sushi</v>
      </c>
      <c r="B295" s="85" t="s">
        <v>31</v>
      </c>
      <c r="C295" s="85" t="s">
        <v>21</v>
      </c>
      <c r="D295" s="86">
        <v>5</v>
      </c>
      <c r="E295" s="116" t="str">
        <f t="shared" si="14"/>
        <v>Sushi</v>
      </c>
      <c r="F295" s="85" t="s">
        <v>1110</v>
      </c>
      <c r="G295" s="85" t="s">
        <v>497</v>
      </c>
      <c r="H295" s="85" t="s">
        <v>1083</v>
      </c>
      <c r="I295" s="85">
        <v>1</v>
      </c>
      <c r="J295" s="87">
        <v>4.5</v>
      </c>
      <c r="K295" s="88">
        <f t="shared" si="15"/>
        <v>4.5</v>
      </c>
      <c r="L295" s="85">
        <v>3324</v>
      </c>
      <c r="M295" s="118" t="s">
        <v>296</v>
      </c>
      <c r="O295" s="115" t="s">
        <v>42</v>
      </c>
      <c r="R295"/>
    </row>
    <row r="296" spans="1:18" x14ac:dyDescent="0.25">
      <c r="A296" s="84" t="str">
        <f t="shared" si="13"/>
        <v>MarçoSEMANA 2Pera</v>
      </c>
      <c r="B296" s="85" t="s">
        <v>31</v>
      </c>
      <c r="C296" s="85" t="s">
        <v>21</v>
      </c>
      <c r="D296" s="86">
        <v>5</v>
      </c>
      <c r="E296" s="116" t="str">
        <f t="shared" si="14"/>
        <v>Hortifruti</v>
      </c>
      <c r="F296" s="85" t="s">
        <v>1110</v>
      </c>
      <c r="G296" s="85" t="s">
        <v>580</v>
      </c>
      <c r="H296" s="85" t="s">
        <v>1083</v>
      </c>
      <c r="I296" s="85">
        <v>2</v>
      </c>
      <c r="J296" s="87">
        <v>8</v>
      </c>
      <c r="K296" s="88">
        <f t="shared" si="15"/>
        <v>16</v>
      </c>
      <c r="L296" s="85">
        <v>3324</v>
      </c>
      <c r="M296" s="118" t="s">
        <v>1050</v>
      </c>
      <c r="O296" s="84" t="s">
        <v>47</v>
      </c>
      <c r="R296"/>
    </row>
    <row r="297" spans="1:18" hidden="1" x14ac:dyDescent="0.2">
      <c r="A297" s="84" t="str">
        <f t="shared" si="13"/>
        <v>MarçoSEMANA 2Álcool 70</v>
      </c>
      <c r="B297" s="85" t="s">
        <v>31</v>
      </c>
      <c r="C297" s="85" t="s">
        <v>21</v>
      </c>
      <c r="D297" s="86">
        <v>5</v>
      </c>
      <c r="E297" s="116" t="str">
        <f t="shared" si="14"/>
        <v>Limpeza</v>
      </c>
      <c r="F297" s="85" t="s">
        <v>1168</v>
      </c>
      <c r="G297" s="85" t="s">
        <v>99</v>
      </c>
      <c r="H297" s="85" t="s">
        <v>1090</v>
      </c>
      <c r="I297" s="85">
        <v>24</v>
      </c>
      <c r="J297" s="87">
        <v>5.12</v>
      </c>
      <c r="K297" s="88">
        <f t="shared" si="15"/>
        <v>122.88</v>
      </c>
      <c r="L297" s="85" t="s">
        <v>1169</v>
      </c>
      <c r="M297" s="118" t="s">
        <v>994</v>
      </c>
      <c r="N297" s="96"/>
      <c r="O297" s="96" t="s">
        <v>874</v>
      </c>
      <c r="R297"/>
    </row>
    <row r="298" spans="1:18" hidden="1" x14ac:dyDescent="0.2">
      <c r="A298" s="84" t="str">
        <f t="shared" si="13"/>
        <v>MarçoSEMANA 2Bobina Picotada 30X40</v>
      </c>
      <c r="B298" s="85" t="s">
        <v>31</v>
      </c>
      <c r="C298" s="85" t="s">
        <v>21</v>
      </c>
      <c r="D298" s="86">
        <v>5</v>
      </c>
      <c r="E298" s="116" t="str">
        <f t="shared" si="14"/>
        <v>Descartável</v>
      </c>
      <c r="F298" s="85" t="s">
        <v>1168</v>
      </c>
      <c r="G298" s="85" t="s">
        <v>188</v>
      </c>
      <c r="H298" s="85" t="s">
        <v>1090</v>
      </c>
      <c r="I298" s="85">
        <v>1</v>
      </c>
      <c r="J298" s="87">
        <v>11.97</v>
      </c>
      <c r="K298" s="88">
        <f t="shared" si="15"/>
        <v>11.97</v>
      </c>
      <c r="L298" s="85" t="s">
        <v>1169</v>
      </c>
      <c r="M298" s="118" t="s">
        <v>297</v>
      </c>
      <c r="N298" s="96"/>
      <c r="O298" s="96" t="s">
        <v>872</v>
      </c>
      <c r="R298"/>
    </row>
    <row r="299" spans="1:18" hidden="1" x14ac:dyDescent="0.2">
      <c r="A299" s="84" t="str">
        <f t="shared" si="13"/>
        <v>MarçoSEMANA 2Bobina Picotada 40X50</v>
      </c>
      <c r="B299" s="85" t="s">
        <v>31</v>
      </c>
      <c r="C299" s="85" t="s">
        <v>21</v>
      </c>
      <c r="D299" s="86">
        <v>5</v>
      </c>
      <c r="E299" s="116" t="str">
        <f t="shared" si="14"/>
        <v>Descartável</v>
      </c>
      <c r="F299" s="85" t="s">
        <v>1168</v>
      </c>
      <c r="G299" s="85" t="s">
        <v>189</v>
      </c>
      <c r="H299" s="85" t="s">
        <v>1090</v>
      </c>
      <c r="I299" s="85">
        <v>3</v>
      </c>
      <c r="J299" s="87">
        <v>19.739999999999998</v>
      </c>
      <c r="K299" s="88">
        <f t="shared" si="15"/>
        <v>59.22</v>
      </c>
      <c r="L299" s="85" t="s">
        <v>1169</v>
      </c>
      <c r="M299" s="118" t="s">
        <v>298</v>
      </c>
      <c r="O299" s="115" t="s">
        <v>872</v>
      </c>
      <c r="R299"/>
    </row>
    <row r="300" spans="1:18" hidden="1" x14ac:dyDescent="0.2">
      <c r="A300" s="84" t="str">
        <f t="shared" si="13"/>
        <v>MarçoSEMANA 2Copo Descartável Feijão</v>
      </c>
      <c r="B300" s="85" t="s">
        <v>31</v>
      </c>
      <c r="C300" s="85" t="s">
        <v>21</v>
      </c>
      <c r="D300" s="86">
        <v>5</v>
      </c>
      <c r="E300" s="116" t="str">
        <f t="shared" si="14"/>
        <v>Descartável</v>
      </c>
      <c r="F300" s="85" t="s">
        <v>1168</v>
      </c>
      <c r="G300" s="85" t="s">
        <v>300</v>
      </c>
      <c r="H300" s="85" t="s">
        <v>1090</v>
      </c>
      <c r="I300" s="85">
        <v>100</v>
      </c>
      <c r="J300" s="87">
        <f>2.78/100</f>
        <v>2.7799999999999998E-2</v>
      </c>
      <c r="K300" s="88">
        <f t="shared" si="15"/>
        <v>2.78</v>
      </c>
      <c r="L300" s="85" t="s">
        <v>1169</v>
      </c>
      <c r="M300" s="118" t="s">
        <v>299</v>
      </c>
      <c r="N300" s="96"/>
      <c r="O300" s="96" t="s">
        <v>872</v>
      </c>
      <c r="R300"/>
    </row>
    <row r="301" spans="1:18" hidden="1" x14ac:dyDescent="0.2">
      <c r="A301" s="84" t="str">
        <f t="shared" si="13"/>
        <v>MarçoSEMANA 2Esponja Dupla Face</v>
      </c>
      <c r="B301" s="85" t="s">
        <v>31</v>
      </c>
      <c r="C301" s="85" t="s">
        <v>21</v>
      </c>
      <c r="D301" s="86">
        <v>5</v>
      </c>
      <c r="E301" s="116" t="str">
        <f t="shared" si="14"/>
        <v>Limpeza</v>
      </c>
      <c r="F301" s="85" t="s">
        <v>1168</v>
      </c>
      <c r="G301" s="85" t="s">
        <v>335</v>
      </c>
      <c r="H301" s="85" t="s">
        <v>1090</v>
      </c>
      <c r="I301" s="85">
        <v>10</v>
      </c>
      <c r="J301" s="87">
        <v>0.94</v>
      </c>
      <c r="K301" s="88">
        <f t="shared" si="15"/>
        <v>9.3999999999999986</v>
      </c>
      <c r="L301" s="85" t="s">
        <v>1169</v>
      </c>
      <c r="M301" s="118" t="s">
        <v>300</v>
      </c>
      <c r="N301" s="96"/>
      <c r="O301" s="96" t="s">
        <v>872</v>
      </c>
      <c r="R301"/>
    </row>
    <row r="302" spans="1:18" hidden="1" x14ac:dyDescent="0.2">
      <c r="A302" s="84" t="str">
        <f t="shared" si="13"/>
        <v>MarçoSEMANA 2Fibraço</v>
      </c>
      <c r="B302" s="85" t="s">
        <v>31</v>
      </c>
      <c r="C302" s="85" t="s">
        <v>21</v>
      </c>
      <c r="D302" s="86">
        <v>5</v>
      </c>
      <c r="E302" s="116" t="str">
        <f t="shared" si="14"/>
        <v>Limpeza</v>
      </c>
      <c r="F302" s="85" t="s">
        <v>1168</v>
      </c>
      <c r="G302" s="85" t="s">
        <v>355</v>
      </c>
      <c r="H302" s="85" t="s">
        <v>1090</v>
      </c>
      <c r="I302" s="85">
        <v>20</v>
      </c>
      <c r="J302" s="87">
        <v>1.64</v>
      </c>
      <c r="K302" s="88">
        <f t="shared" si="15"/>
        <v>32.799999999999997</v>
      </c>
      <c r="L302" s="85" t="s">
        <v>1169</v>
      </c>
      <c r="M302" s="118" t="s">
        <v>301</v>
      </c>
      <c r="N302" s="96"/>
      <c r="O302" s="96" t="s">
        <v>872</v>
      </c>
      <c r="R302"/>
    </row>
    <row r="303" spans="1:18" hidden="1" x14ac:dyDescent="0.2">
      <c r="A303" s="84" t="str">
        <f t="shared" si="13"/>
        <v>MarçoSEMANA 2Filme PVC 380 x 1000 Sushi</v>
      </c>
      <c r="B303" s="85" t="s">
        <v>31</v>
      </c>
      <c r="C303" s="85" t="s">
        <v>21</v>
      </c>
      <c r="D303" s="86">
        <v>5</v>
      </c>
      <c r="E303" s="116" t="str">
        <f t="shared" si="14"/>
        <v>Sushi</v>
      </c>
      <c r="F303" s="85" t="s">
        <v>1168</v>
      </c>
      <c r="G303" s="85" t="s">
        <v>361</v>
      </c>
      <c r="H303" s="85" t="s">
        <v>1090</v>
      </c>
      <c r="I303" s="85">
        <v>1</v>
      </c>
      <c r="J303" s="87">
        <v>33.35</v>
      </c>
      <c r="K303" s="88">
        <f t="shared" si="15"/>
        <v>33.35</v>
      </c>
      <c r="L303" s="85" t="s">
        <v>1169</v>
      </c>
      <c r="M303" s="118" t="s">
        <v>1072</v>
      </c>
      <c r="O303" s="84" t="s">
        <v>1078</v>
      </c>
      <c r="R303"/>
    </row>
    <row r="304" spans="1:18" hidden="1" x14ac:dyDescent="0.2">
      <c r="A304" s="84" t="str">
        <f t="shared" si="13"/>
        <v>MarçoSEMANA 2Hipoclorito de Sódio Bb 5 Lt</v>
      </c>
      <c r="B304" s="85" t="s">
        <v>31</v>
      </c>
      <c r="C304" s="85" t="s">
        <v>21</v>
      </c>
      <c r="D304" s="86">
        <v>5</v>
      </c>
      <c r="E304" s="116" t="str">
        <f t="shared" si="14"/>
        <v>Limpeza</v>
      </c>
      <c r="F304" s="85" t="s">
        <v>1168</v>
      </c>
      <c r="G304" s="85" t="s">
        <v>402</v>
      </c>
      <c r="H304" s="85" t="s">
        <v>1089</v>
      </c>
      <c r="I304" s="85">
        <v>3</v>
      </c>
      <c r="J304" s="87">
        <v>17.079999999999998</v>
      </c>
      <c r="K304" s="88">
        <f t="shared" si="15"/>
        <v>51.239999999999995</v>
      </c>
      <c r="L304" s="85" t="s">
        <v>1169</v>
      </c>
      <c r="M304" s="118" t="s">
        <v>302</v>
      </c>
      <c r="N304" s="96"/>
      <c r="O304" s="96" t="s">
        <v>44</v>
      </c>
      <c r="R304"/>
    </row>
    <row r="305" spans="1:18" hidden="1" x14ac:dyDescent="0.2">
      <c r="A305" s="84" t="str">
        <f t="shared" si="13"/>
        <v>MarçoSEMANA 2Inseticida</v>
      </c>
      <c r="B305" s="85" t="s">
        <v>31</v>
      </c>
      <c r="C305" s="85" t="s">
        <v>21</v>
      </c>
      <c r="D305" s="86">
        <v>5</v>
      </c>
      <c r="E305" s="116" t="str">
        <f t="shared" si="14"/>
        <v>Limpeza</v>
      </c>
      <c r="F305" s="85" t="s">
        <v>1168</v>
      </c>
      <c r="G305" s="85" t="s">
        <v>449</v>
      </c>
      <c r="H305" s="85" t="s">
        <v>1090</v>
      </c>
      <c r="I305" s="85">
        <v>6</v>
      </c>
      <c r="J305" s="87">
        <v>10.82</v>
      </c>
      <c r="K305" s="88">
        <f t="shared" si="15"/>
        <v>64.92</v>
      </c>
      <c r="L305" s="85" t="s">
        <v>1169</v>
      </c>
      <c r="M305" s="118" t="s">
        <v>303</v>
      </c>
      <c r="N305" s="96"/>
      <c r="O305" s="96" t="s">
        <v>44</v>
      </c>
      <c r="R305"/>
    </row>
    <row r="306" spans="1:18" hidden="1" x14ac:dyDescent="0.2">
      <c r="A306" s="84" t="str">
        <f t="shared" si="13"/>
        <v>MarçoSEMANA 2Luva Cano Longo</v>
      </c>
      <c r="B306" s="85" t="s">
        <v>31</v>
      </c>
      <c r="C306" s="85" t="s">
        <v>21</v>
      </c>
      <c r="D306" s="86">
        <v>5</v>
      </c>
      <c r="E306" s="116" t="str">
        <f t="shared" si="14"/>
        <v>Descartável</v>
      </c>
      <c r="F306" s="85" t="s">
        <v>1168</v>
      </c>
      <c r="G306" s="85" t="s">
        <v>470</v>
      </c>
      <c r="H306" s="85" t="s">
        <v>1090</v>
      </c>
      <c r="I306" s="85">
        <v>1</v>
      </c>
      <c r="J306" s="87">
        <v>17.05</v>
      </c>
      <c r="K306" s="88">
        <f t="shared" si="15"/>
        <v>17.05</v>
      </c>
      <c r="L306" s="85" t="s">
        <v>1169</v>
      </c>
      <c r="M306" s="118" t="s">
        <v>304</v>
      </c>
      <c r="N306" s="96"/>
      <c r="O306" s="96" t="s">
        <v>873</v>
      </c>
      <c r="R306"/>
    </row>
    <row r="307" spans="1:18" hidden="1" x14ac:dyDescent="0.2">
      <c r="A307" s="84" t="str">
        <f t="shared" si="13"/>
        <v>MarçoSEMANA 2Luva de Borraca Forrada</v>
      </c>
      <c r="B307" s="85" t="s">
        <v>31</v>
      </c>
      <c r="C307" s="85" t="s">
        <v>21</v>
      </c>
      <c r="D307" s="86">
        <v>5</v>
      </c>
      <c r="E307" s="116" t="str">
        <f t="shared" si="14"/>
        <v>Descartável</v>
      </c>
      <c r="F307" s="85" t="s">
        <v>1168</v>
      </c>
      <c r="G307" s="85" t="s">
        <v>471</v>
      </c>
      <c r="H307" s="85" t="s">
        <v>1090</v>
      </c>
      <c r="I307" s="85">
        <v>3</v>
      </c>
      <c r="J307" s="87">
        <v>4.6900000000000004</v>
      </c>
      <c r="K307" s="88">
        <f t="shared" si="15"/>
        <v>14.07</v>
      </c>
      <c r="L307" s="85" t="s">
        <v>1169</v>
      </c>
      <c r="M307" s="118" t="s">
        <v>305</v>
      </c>
      <c r="N307" s="96"/>
      <c r="O307" s="96" t="s">
        <v>45</v>
      </c>
      <c r="R307"/>
    </row>
    <row r="308" spans="1:18" hidden="1" x14ac:dyDescent="0.2">
      <c r="A308" s="84" t="str">
        <f t="shared" si="13"/>
        <v>MarçoSEMANA 2Luva Descartável c/ 100</v>
      </c>
      <c r="B308" s="85" t="s">
        <v>31</v>
      </c>
      <c r="C308" s="85" t="s">
        <v>21</v>
      </c>
      <c r="D308" s="86">
        <v>5</v>
      </c>
      <c r="E308" s="116" t="str">
        <f t="shared" si="14"/>
        <v>Descartável</v>
      </c>
      <c r="F308" s="85" t="s">
        <v>1168</v>
      </c>
      <c r="G308" s="85" t="s">
        <v>472</v>
      </c>
      <c r="H308" s="85" t="s">
        <v>1114</v>
      </c>
      <c r="I308" s="85">
        <v>2</v>
      </c>
      <c r="J308" s="87">
        <v>1.89</v>
      </c>
      <c r="K308" s="88">
        <f t="shared" si="15"/>
        <v>3.78</v>
      </c>
      <c r="L308" s="85" t="s">
        <v>1169</v>
      </c>
      <c r="M308" s="118" t="s">
        <v>306</v>
      </c>
      <c r="N308" s="96"/>
      <c r="O308" s="96" t="s">
        <v>45</v>
      </c>
      <c r="R308"/>
    </row>
    <row r="309" spans="1:18" hidden="1" x14ac:dyDescent="0.2">
      <c r="A309" s="84" t="str">
        <f t="shared" si="13"/>
        <v>MarçoSEMANA 2Papel Higiênico Rolo</v>
      </c>
      <c r="B309" s="85" t="s">
        <v>31</v>
      </c>
      <c r="C309" s="85" t="s">
        <v>21</v>
      </c>
      <c r="D309" s="86">
        <v>5</v>
      </c>
      <c r="E309" s="116" t="str">
        <f t="shared" si="14"/>
        <v>Descartável</v>
      </c>
      <c r="F309" s="85" t="s">
        <v>1168</v>
      </c>
      <c r="G309" s="85" t="s">
        <v>570</v>
      </c>
      <c r="H309" s="85" t="s">
        <v>1090</v>
      </c>
      <c r="I309" s="85">
        <v>64</v>
      </c>
      <c r="J309" s="87">
        <f>63.52/64</f>
        <v>0.99250000000000005</v>
      </c>
      <c r="K309" s="88">
        <f t="shared" si="15"/>
        <v>63.52</v>
      </c>
      <c r="L309" s="85" t="s">
        <v>1169</v>
      </c>
      <c r="M309" s="118" t="s">
        <v>307</v>
      </c>
      <c r="N309" s="96"/>
      <c r="O309" s="96" t="s">
        <v>45</v>
      </c>
      <c r="R309"/>
    </row>
    <row r="310" spans="1:18" hidden="1" x14ac:dyDescent="0.2">
      <c r="A310" s="84" t="str">
        <f t="shared" si="13"/>
        <v>MarçoSEMANA 2Papel Manteiga Resma c/ 400</v>
      </c>
      <c r="B310" s="85" t="s">
        <v>31</v>
      </c>
      <c r="C310" s="85" t="s">
        <v>21</v>
      </c>
      <c r="D310" s="86">
        <v>5</v>
      </c>
      <c r="E310" s="116" t="str">
        <f t="shared" si="14"/>
        <v>Descartável</v>
      </c>
      <c r="F310" s="85" t="s">
        <v>1168</v>
      </c>
      <c r="G310" s="85" t="s">
        <v>571</v>
      </c>
      <c r="H310" s="85" t="s">
        <v>1114</v>
      </c>
      <c r="I310" s="85">
        <v>1</v>
      </c>
      <c r="J310" s="87">
        <v>45.48</v>
      </c>
      <c r="K310" s="88">
        <f t="shared" si="15"/>
        <v>45.48</v>
      </c>
      <c r="L310" s="85" t="s">
        <v>1169</v>
      </c>
      <c r="M310" s="118" t="s">
        <v>308</v>
      </c>
      <c r="N310" s="96"/>
      <c r="O310" s="96" t="s">
        <v>45</v>
      </c>
      <c r="R310"/>
    </row>
    <row r="311" spans="1:18" hidden="1" x14ac:dyDescent="0.2">
      <c r="A311" s="84" t="str">
        <f t="shared" si="13"/>
        <v>MarçoSEMANA 2Saco de Lixo 100 Lt</v>
      </c>
      <c r="B311" s="85" t="s">
        <v>31</v>
      </c>
      <c r="C311" s="85" t="s">
        <v>21</v>
      </c>
      <c r="D311" s="86">
        <v>5</v>
      </c>
      <c r="E311" s="116" t="str">
        <f t="shared" si="14"/>
        <v>Limpeza</v>
      </c>
      <c r="F311" s="85" t="s">
        <v>1168</v>
      </c>
      <c r="G311" s="85" t="s">
        <v>709</v>
      </c>
      <c r="H311" s="85" t="s">
        <v>1114</v>
      </c>
      <c r="I311" s="85">
        <v>1</v>
      </c>
      <c r="J311" s="87">
        <v>37.270000000000003</v>
      </c>
      <c r="K311" s="88">
        <f t="shared" si="15"/>
        <v>37.270000000000003</v>
      </c>
      <c r="L311" s="85" t="s">
        <v>1169</v>
      </c>
      <c r="M311" s="118" t="s">
        <v>890</v>
      </c>
      <c r="N311" s="96"/>
      <c r="O311" s="96" t="s">
        <v>874</v>
      </c>
      <c r="R311"/>
    </row>
    <row r="312" spans="1:18" hidden="1" x14ac:dyDescent="0.2">
      <c r="A312" s="84" t="str">
        <f t="shared" si="13"/>
        <v>MarçoSEMANA 2Saco de Lixo 20 Lt</v>
      </c>
      <c r="B312" s="85" t="s">
        <v>31</v>
      </c>
      <c r="C312" s="85" t="s">
        <v>21</v>
      </c>
      <c r="D312" s="86">
        <v>5</v>
      </c>
      <c r="E312" s="116" t="str">
        <f t="shared" si="14"/>
        <v>Limpeza</v>
      </c>
      <c r="F312" s="85" t="s">
        <v>1168</v>
      </c>
      <c r="G312" s="85" t="s">
        <v>710</v>
      </c>
      <c r="H312" s="85" t="s">
        <v>1114</v>
      </c>
      <c r="I312" s="85">
        <v>1</v>
      </c>
      <c r="J312" s="87">
        <v>8.4</v>
      </c>
      <c r="K312" s="88">
        <f t="shared" si="15"/>
        <v>8.4</v>
      </c>
      <c r="L312" s="85" t="s">
        <v>1169</v>
      </c>
      <c r="M312" s="118" t="s">
        <v>309</v>
      </c>
      <c r="N312" s="96"/>
      <c r="O312" s="96" t="s">
        <v>42</v>
      </c>
      <c r="R312"/>
    </row>
    <row r="313" spans="1:18" hidden="1" x14ac:dyDescent="0.2">
      <c r="A313" s="84" t="str">
        <f t="shared" si="13"/>
        <v>MarçoSEMANA 2Saco de Lixo 200 Lt</v>
      </c>
      <c r="B313" s="85" t="s">
        <v>31</v>
      </c>
      <c r="C313" s="85" t="s">
        <v>21</v>
      </c>
      <c r="D313" s="86">
        <v>5</v>
      </c>
      <c r="E313" s="116" t="str">
        <f t="shared" si="14"/>
        <v>Limpeza</v>
      </c>
      <c r="F313" s="85" t="s">
        <v>1168</v>
      </c>
      <c r="G313" s="85" t="s">
        <v>711</v>
      </c>
      <c r="H313" s="85" t="s">
        <v>1114</v>
      </c>
      <c r="I313" s="85">
        <v>2</v>
      </c>
      <c r="J313" s="87">
        <v>48.19</v>
      </c>
      <c r="K313" s="88">
        <f t="shared" si="15"/>
        <v>96.38</v>
      </c>
      <c r="L313" s="85" t="s">
        <v>1169</v>
      </c>
      <c r="M313" s="118" t="s">
        <v>962</v>
      </c>
      <c r="N313" s="96"/>
      <c r="O313" s="96" t="s">
        <v>42</v>
      </c>
      <c r="R313"/>
    </row>
    <row r="314" spans="1:18" hidden="1" x14ac:dyDescent="0.2">
      <c r="A314" s="84" t="str">
        <f t="shared" si="13"/>
        <v>MarçoSEMANA 2Saco de Lixo 60 Lt</v>
      </c>
      <c r="B314" s="85" t="s">
        <v>31</v>
      </c>
      <c r="C314" s="85" t="s">
        <v>21</v>
      </c>
      <c r="D314" s="86">
        <v>5</v>
      </c>
      <c r="E314" s="116" t="str">
        <f t="shared" si="14"/>
        <v>Limpeza</v>
      </c>
      <c r="F314" s="85" t="s">
        <v>1168</v>
      </c>
      <c r="G314" s="85" t="s">
        <v>713</v>
      </c>
      <c r="H314" s="85" t="s">
        <v>1114</v>
      </c>
      <c r="I314" s="85">
        <v>1</v>
      </c>
      <c r="J314" s="87">
        <v>12.72</v>
      </c>
      <c r="K314" s="88">
        <f t="shared" si="15"/>
        <v>12.72</v>
      </c>
      <c r="L314" s="85" t="s">
        <v>1169</v>
      </c>
      <c r="M314" s="118" t="s">
        <v>310</v>
      </c>
      <c r="N314" s="96"/>
      <c r="O314" s="96" t="s">
        <v>1079</v>
      </c>
      <c r="R314"/>
    </row>
    <row r="315" spans="1:18" hidden="1" x14ac:dyDescent="0.2">
      <c r="A315" s="84" t="str">
        <f t="shared" si="13"/>
        <v>MarçoSEMANA 2Saco Plástico 50x70</v>
      </c>
      <c r="B315" s="85" t="s">
        <v>31</v>
      </c>
      <c r="C315" s="85" t="s">
        <v>21</v>
      </c>
      <c r="D315" s="86">
        <v>5</v>
      </c>
      <c r="E315" s="116" t="str">
        <f t="shared" si="14"/>
        <v>Descartável</v>
      </c>
      <c r="F315" s="85" t="s">
        <v>1168</v>
      </c>
      <c r="G315" s="85" t="s">
        <v>718</v>
      </c>
      <c r="H315" s="85" t="s">
        <v>1114</v>
      </c>
      <c r="I315" s="85">
        <v>1</v>
      </c>
      <c r="J315" s="87">
        <v>49.36</v>
      </c>
      <c r="K315" s="88">
        <f t="shared" si="15"/>
        <v>49.36</v>
      </c>
      <c r="L315" s="85" t="s">
        <v>1169</v>
      </c>
      <c r="M315" s="118" t="s">
        <v>311</v>
      </c>
      <c r="N315" s="96"/>
      <c r="O315" s="96" t="s">
        <v>60</v>
      </c>
      <c r="R315"/>
    </row>
    <row r="316" spans="1:18" hidden="1" x14ac:dyDescent="0.2">
      <c r="A316" s="84" t="str">
        <f t="shared" si="13"/>
        <v>MarçoSEMANA 2Sapólio</v>
      </c>
      <c r="B316" s="85" t="s">
        <v>31</v>
      </c>
      <c r="C316" s="85" t="s">
        <v>21</v>
      </c>
      <c r="D316" s="86">
        <v>5</v>
      </c>
      <c r="E316" s="116" t="str">
        <f t="shared" si="14"/>
        <v>Limpeza</v>
      </c>
      <c r="F316" s="85" t="s">
        <v>1168</v>
      </c>
      <c r="G316" s="85" t="s">
        <v>733</v>
      </c>
      <c r="H316" s="85" t="s">
        <v>1090</v>
      </c>
      <c r="I316" s="85">
        <v>1</v>
      </c>
      <c r="J316" s="87">
        <v>4.8600000000000003</v>
      </c>
      <c r="K316" s="88">
        <f t="shared" si="15"/>
        <v>4.8600000000000003</v>
      </c>
      <c r="L316" s="85" t="s">
        <v>1169</v>
      </c>
      <c r="M316" s="118" t="s">
        <v>312</v>
      </c>
      <c r="N316" s="96"/>
      <c r="O316" s="96" t="s">
        <v>42</v>
      </c>
      <c r="R316"/>
    </row>
    <row r="317" spans="1:18" x14ac:dyDescent="0.25">
      <c r="A317" s="84" t="str">
        <f t="shared" si="13"/>
        <v xml:space="preserve">MarçoSEMANA 2Alface Americana    </v>
      </c>
      <c r="B317" s="85" t="s">
        <v>31</v>
      </c>
      <c r="C317" s="85" t="s">
        <v>21</v>
      </c>
      <c r="D317" s="86">
        <v>6</v>
      </c>
      <c r="E317" s="116" t="str">
        <f t="shared" si="14"/>
        <v>Hortifruti</v>
      </c>
      <c r="F317" s="85" t="s">
        <v>1158</v>
      </c>
      <c r="G317" s="85" t="s">
        <v>102</v>
      </c>
      <c r="H317" s="85" t="s">
        <v>1083</v>
      </c>
      <c r="I317" s="85">
        <v>4.82</v>
      </c>
      <c r="J317" s="87">
        <f>35.88/4.82</f>
        <v>7.4439834024896268</v>
      </c>
      <c r="K317" s="88">
        <f t="shared" si="15"/>
        <v>35.880000000000003</v>
      </c>
      <c r="L317" s="85">
        <v>73796</v>
      </c>
      <c r="M317" s="118" t="s">
        <v>313</v>
      </c>
      <c r="N317" s="96"/>
      <c r="O317" s="96" t="s">
        <v>1079</v>
      </c>
      <c r="R317"/>
    </row>
    <row r="318" spans="1:18" hidden="1" x14ac:dyDescent="0.2">
      <c r="A318" s="84" t="str">
        <f t="shared" si="13"/>
        <v>MarçoSEMANA 2Azeite Extra Virgem (Santiago) 500 ml</v>
      </c>
      <c r="B318" s="85" t="s">
        <v>31</v>
      </c>
      <c r="C318" s="85" t="s">
        <v>21</v>
      </c>
      <c r="D318" s="86">
        <v>6</v>
      </c>
      <c r="E318" s="116" t="str">
        <f t="shared" si="14"/>
        <v>Mercado</v>
      </c>
      <c r="F318" s="85" t="s">
        <v>1120</v>
      </c>
      <c r="G318" s="85" t="s">
        <v>153</v>
      </c>
      <c r="H318" s="85" t="s">
        <v>1089</v>
      </c>
      <c r="I318" s="85">
        <v>3</v>
      </c>
      <c r="J318" s="87">
        <v>130.38999999999999</v>
      </c>
      <c r="K318" s="88">
        <f t="shared" si="15"/>
        <v>391.16999999999996</v>
      </c>
      <c r="L318" s="85" t="s">
        <v>1171</v>
      </c>
      <c r="M318" s="118" t="s">
        <v>314</v>
      </c>
      <c r="N318" s="96"/>
      <c r="O318" s="96" t="s">
        <v>1079</v>
      </c>
      <c r="R318"/>
    </row>
    <row r="319" spans="1:18" hidden="1" x14ac:dyDescent="0.2">
      <c r="A319" s="84" t="str">
        <f t="shared" si="13"/>
        <v>MarçoSEMANA 2Mate Orgânico Natural</v>
      </c>
      <c r="B319" s="85" t="s">
        <v>31</v>
      </c>
      <c r="C319" s="85" t="s">
        <v>21</v>
      </c>
      <c r="D319" s="86">
        <v>6</v>
      </c>
      <c r="E319" s="116" t="str">
        <f t="shared" si="14"/>
        <v>Bebidas</v>
      </c>
      <c r="F319" s="85" t="s">
        <v>1172</v>
      </c>
      <c r="G319" s="85" t="s">
        <v>511</v>
      </c>
      <c r="H319" s="85" t="s">
        <v>1090</v>
      </c>
      <c r="I319" s="85">
        <f>20*12</f>
        <v>240</v>
      </c>
      <c r="J319" s="87">
        <v>5.1600700000000002</v>
      </c>
      <c r="K319" s="88">
        <f t="shared" si="15"/>
        <v>1238.4168</v>
      </c>
      <c r="L319" s="85" t="s">
        <v>1173</v>
      </c>
      <c r="M319" s="118" t="s">
        <v>315</v>
      </c>
      <c r="N319" s="96"/>
      <c r="O319" s="96" t="s">
        <v>1079</v>
      </c>
      <c r="R319"/>
    </row>
    <row r="320" spans="1:18" hidden="1" x14ac:dyDescent="0.2">
      <c r="A320" s="84" t="str">
        <f t="shared" si="13"/>
        <v>MarçoSEMANA 2Mate Orgânico Limão</v>
      </c>
      <c r="B320" s="85" t="s">
        <v>31</v>
      </c>
      <c r="C320" s="85" t="s">
        <v>21</v>
      </c>
      <c r="D320" s="86">
        <v>6</v>
      </c>
      <c r="E320" s="116" t="str">
        <f t="shared" si="14"/>
        <v>Bebidas</v>
      </c>
      <c r="F320" s="85" t="s">
        <v>1172</v>
      </c>
      <c r="G320" s="85" t="s">
        <v>510</v>
      </c>
      <c r="H320" s="85" t="s">
        <v>1090</v>
      </c>
      <c r="I320" s="85">
        <f>23*12</f>
        <v>276</v>
      </c>
      <c r="J320" s="87">
        <v>5.1600700000000002</v>
      </c>
      <c r="K320" s="88">
        <f t="shared" si="15"/>
        <v>1424.17932</v>
      </c>
      <c r="L320" s="85" t="s">
        <v>1173</v>
      </c>
      <c r="M320" s="118" t="s">
        <v>316</v>
      </c>
      <c r="N320" s="96"/>
      <c r="O320" s="96" t="s">
        <v>871</v>
      </c>
      <c r="R320"/>
    </row>
    <row r="321" spans="1:18" hidden="1" x14ac:dyDescent="0.2">
      <c r="A321" s="84" t="str">
        <f t="shared" si="13"/>
        <v>MarçoSEMANA 1Folha de Alga 50F (cozinha)</v>
      </c>
      <c r="B321" s="85" t="s">
        <v>31</v>
      </c>
      <c r="C321" s="85" t="s">
        <v>20</v>
      </c>
      <c r="D321" s="86">
        <v>1</v>
      </c>
      <c r="E321" s="116" t="str">
        <f t="shared" si="14"/>
        <v>Mercado</v>
      </c>
      <c r="F321" s="85" t="s">
        <v>1113</v>
      </c>
      <c r="G321" s="85" t="s">
        <v>1039</v>
      </c>
      <c r="H321" s="85" t="s">
        <v>1114</v>
      </c>
      <c r="I321" s="85">
        <v>1</v>
      </c>
      <c r="J321" s="87">
        <v>29</v>
      </c>
      <c r="K321" s="88">
        <f t="shared" si="15"/>
        <v>29</v>
      </c>
      <c r="L321" s="85">
        <v>230</v>
      </c>
      <c r="M321" s="118" t="s">
        <v>317</v>
      </c>
      <c r="N321" s="96"/>
      <c r="O321" s="96" t="s">
        <v>42</v>
      </c>
      <c r="R321"/>
    </row>
    <row r="322" spans="1:18" hidden="1" x14ac:dyDescent="0.2">
      <c r="A322" s="84" t="str">
        <f t="shared" ref="A322:A385" si="16">CONCATENATE(B322,C322,G322)</f>
        <v xml:space="preserve">MarçoSEMANA 2Café em Grão </v>
      </c>
      <c r="B322" s="85" t="s">
        <v>31</v>
      </c>
      <c r="C322" s="85" t="s">
        <v>21</v>
      </c>
      <c r="D322" s="86">
        <v>5</v>
      </c>
      <c r="E322" s="116" t="str">
        <f t="shared" ref="E322:E385" si="17">VLOOKUP(G322,$M$1:$O$993,3,0)</f>
        <v>Mercado</v>
      </c>
      <c r="F322" s="85" t="s">
        <v>1153</v>
      </c>
      <c r="G322" s="85" t="s">
        <v>1028</v>
      </c>
      <c r="H322" s="85" t="s">
        <v>1083</v>
      </c>
      <c r="I322" s="85">
        <v>24</v>
      </c>
      <c r="J322" s="87">
        <f>1128/24</f>
        <v>47</v>
      </c>
      <c r="K322" s="88">
        <f t="shared" ref="K322:K385" si="18">I322*J322</f>
        <v>1128</v>
      </c>
      <c r="L322" s="85">
        <v>8552</v>
      </c>
      <c r="M322" s="118" t="s">
        <v>318</v>
      </c>
      <c r="N322" s="96"/>
      <c r="O322" s="96" t="s">
        <v>42</v>
      </c>
      <c r="R322"/>
    </row>
    <row r="323" spans="1:18" hidden="1" x14ac:dyDescent="0.2">
      <c r="A323" s="84" t="str">
        <f t="shared" si="16"/>
        <v>MarçoSEMANA 2Pescados - Filé Truta Cong.</v>
      </c>
      <c r="B323" s="85" t="s">
        <v>31</v>
      </c>
      <c r="C323" s="85" t="s">
        <v>21</v>
      </c>
      <c r="D323" s="86">
        <v>6</v>
      </c>
      <c r="E323" s="116" t="str">
        <f t="shared" si="17"/>
        <v>Carnes</v>
      </c>
      <c r="F323" s="85" t="s">
        <v>1098</v>
      </c>
      <c r="G323" s="85" t="s">
        <v>616</v>
      </c>
      <c r="H323" s="85" t="s">
        <v>1083</v>
      </c>
      <c r="I323" s="85">
        <v>36</v>
      </c>
      <c r="J323" s="87">
        <v>26</v>
      </c>
      <c r="K323" s="88">
        <f t="shared" si="18"/>
        <v>936</v>
      </c>
      <c r="L323" s="85" t="s">
        <v>1174</v>
      </c>
      <c r="M323" s="118" t="s">
        <v>319</v>
      </c>
      <c r="N323" s="96"/>
      <c r="O323" s="96" t="s">
        <v>42</v>
      </c>
      <c r="R323"/>
    </row>
    <row r="324" spans="1:18" hidden="1" x14ac:dyDescent="0.2">
      <c r="A324" s="84" t="str">
        <f t="shared" si="16"/>
        <v xml:space="preserve">MarçoSEMANA 2Biscoito de Milho Café </v>
      </c>
      <c r="B324" s="85" t="s">
        <v>31</v>
      </c>
      <c r="C324" s="85" t="s">
        <v>21</v>
      </c>
      <c r="D324" s="86">
        <v>6</v>
      </c>
      <c r="E324" s="116" t="str">
        <f t="shared" si="17"/>
        <v>Mercado</v>
      </c>
      <c r="F324" s="85" t="s">
        <v>1175</v>
      </c>
      <c r="G324" s="85" t="s">
        <v>183</v>
      </c>
      <c r="H324" s="85" t="s">
        <v>1083</v>
      </c>
      <c r="I324" s="85">
        <f>(4*2.8)-1-1-1.1</f>
        <v>8.1</v>
      </c>
      <c r="J324" s="87">
        <f>248.58/11.2</f>
        <v>22.19464285714286</v>
      </c>
      <c r="K324" s="88">
        <f t="shared" si="18"/>
        <v>179.77660714285716</v>
      </c>
      <c r="L324" s="85">
        <v>32421</v>
      </c>
      <c r="M324" s="118" t="s">
        <v>320</v>
      </c>
      <c r="N324" s="96"/>
      <c r="O324" s="96" t="s">
        <v>46</v>
      </c>
      <c r="R324"/>
    </row>
    <row r="325" spans="1:18" hidden="1" x14ac:dyDescent="0.2">
      <c r="A325" s="84" t="str">
        <f t="shared" si="16"/>
        <v>MarçoSEMANA 2Suíno - Linguiça Paio</v>
      </c>
      <c r="B325" s="85" t="s">
        <v>31</v>
      </c>
      <c r="C325" s="85" t="s">
        <v>21</v>
      </c>
      <c r="D325" s="86">
        <v>6</v>
      </c>
      <c r="E325" s="116" t="str">
        <f t="shared" si="17"/>
        <v>Carnes</v>
      </c>
      <c r="F325" s="85" t="s">
        <v>1101</v>
      </c>
      <c r="G325" s="85" t="s">
        <v>764</v>
      </c>
      <c r="H325" s="85" t="s">
        <v>1083</v>
      </c>
      <c r="I325" s="85">
        <v>5</v>
      </c>
      <c r="J325" s="87">
        <v>11.12</v>
      </c>
      <c r="K325" s="88">
        <f t="shared" si="18"/>
        <v>55.599999999999994</v>
      </c>
      <c r="L325" s="85" t="s">
        <v>1176</v>
      </c>
      <c r="M325" s="118" t="s">
        <v>321</v>
      </c>
      <c r="N325" s="96"/>
      <c r="O325" s="96" t="s">
        <v>872</v>
      </c>
      <c r="R325"/>
    </row>
    <row r="326" spans="1:18" hidden="1" x14ac:dyDescent="0.2">
      <c r="A326" s="84" t="str">
        <f t="shared" si="16"/>
        <v>MarçoSEMANA 2Carne Bovina - Peito</v>
      </c>
      <c r="B326" s="85" t="s">
        <v>31</v>
      </c>
      <c r="C326" s="85" t="s">
        <v>21</v>
      </c>
      <c r="D326" s="86">
        <v>6</v>
      </c>
      <c r="E326" s="116" t="str">
        <f t="shared" si="17"/>
        <v>Carnes</v>
      </c>
      <c r="F326" s="85" t="s">
        <v>1101</v>
      </c>
      <c r="G326" s="85" t="s">
        <v>231</v>
      </c>
      <c r="H326" s="85" t="s">
        <v>1083</v>
      </c>
      <c r="I326" s="85">
        <v>25.4</v>
      </c>
      <c r="J326" s="87">
        <v>11.98</v>
      </c>
      <c r="K326" s="88">
        <f t="shared" si="18"/>
        <v>304.29199999999997</v>
      </c>
      <c r="L326" s="85" t="s">
        <v>1176</v>
      </c>
      <c r="M326" s="118" t="s">
        <v>322</v>
      </c>
      <c r="O326" s="115" t="s">
        <v>873</v>
      </c>
      <c r="R326"/>
    </row>
    <row r="327" spans="1:18" hidden="1" x14ac:dyDescent="0.2">
      <c r="A327" s="84" t="str">
        <f t="shared" si="16"/>
        <v>MarçoSEMANA 2Suíno - Lombo Salgado</v>
      </c>
      <c r="B327" s="85" t="s">
        <v>31</v>
      </c>
      <c r="C327" s="85" t="s">
        <v>21</v>
      </c>
      <c r="D327" s="86">
        <v>6</v>
      </c>
      <c r="E327" s="116" t="str">
        <f t="shared" si="17"/>
        <v>Carnes</v>
      </c>
      <c r="F327" s="85" t="s">
        <v>1101</v>
      </c>
      <c r="G327" s="85" t="s">
        <v>767</v>
      </c>
      <c r="H327" s="85" t="s">
        <v>1083</v>
      </c>
      <c r="I327" s="85">
        <v>10</v>
      </c>
      <c r="J327" s="87">
        <v>10.92</v>
      </c>
      <c r="K327" s="88">
        <f t="shared" si="18"/>
        <v>109.2</v>
      </c>
      <c r="L327" s="85" t="s">
        <v>1176</v>
      </c>
      <c r="M327" s="118" t="s">
        <v>1051</v>
      </c>
      <c r="O327" s="84" t="s">
        <v>872</v>
      </c>
      <c r="R327"/>
    </row>
    <row r="328" spans="1:18" hidden="1" x14ac:dyDescent="0.2">
      <c r="A328" s="84" t="str">
        <f t="shared" si="16"/>
        <v>MarçoSEMANA 2Carne Bovina - Carne Seca</v>
      </c>
      <c r="B328" s="85" t="s">
        <v>31</v>
      </c>
      <c r="C328" s="85" t="s">
        <v>21</v>
      </c>
      <c r="D328" s="86">
        <v>6</v>
      </c>
      <c r="E328" s="116" t="str">
        <f t="shared" si="17"/>
        <v>Carnes</v>
      </c>
      <c r="F328" s="85" t="s">
        <v>1101</v>
      </c>
      <c r="G328" s="85" t="s">
        <v>218</v>
      </c>
      <c r="H328" s="85" t="s">
        <v>1083</v>
      </c>
      <c r="I328" s="85">
        <v>10</v>
      </c>
      <c r="J328" s="87">
        <v>19.98</v>
      </c>
      <c r="K328" s="88">
        <f t="shared" si="18"/>
        <v>199.8</v>
      </c>
      <c r="L328" s="85" t="s">
        <v>1176</v>
      </c>
      <c r="M328" s="118" t="s">
        <v>323</v>
      </c>
      <c r="N328" s="96"/>
      <c r="O328" s="96" t="s">
        <v>872</v>
      </c>
      <c r="R328"/>
    </row>
    <row r="329" spans="1:18" hidden="1" x14ac:dyDescent="0.2">
      <c r="A329" s="84" t="str">
        <f t="shared" si="16"/>
        <v>MarçoSEMANA 2Aguardente 51</v>
      </c>
      <c r="B329" s="85" t="s">
        <v>31</v>
      </c>
      <c r="C329" s="85" t="s">
        <v>21</v>
      </c>
      <c r="D329" s="86">
        <v>6</v>
      </c>
      <c r="E329" s="116" t="str">
        <f t="shared" si="17"/>
        <v>Bebidas</v>
      </c>
      <c r="F329" s="85" t="s">
        <v>1101</v>
      </c>
      <c r="G329" s="85" t="s">
        <v>94</v>
      </c>
      <c r="H329" s="85" t="s">
        <v>1090</v>
      </c>
      <c r="I329" s="92">
        <v>2</v>
      </c>
      <c r="J329" s="87">
        <v>7.98</v>
      </c>
      <c r="K329" s="88">
        <f t="shared" si="18"/>
        <v>15.96</v>
      </c>
      <c r="L329" s="85" t="s">
        <v>1176</v>
      </c>
      <c r="M329" s="118" t="s">
        <v>324</v>
      </c>
      <c r="N329" s="96"/>
      <c r="O329" s="96" t="s">
        <v>872</v>
      </c>
      <c r="R329"/>
    </row>
    <row r="330" spans="1:18" hidden="1" x14ac:dyDescent="0.2">
      <c r="A330" s="84" t="str">
        <f t="shared" si="16"/>
        <v>MarçoSEMANA 2Gelo em Escamas</v>
      </c>
      <c r="B330" s="85" t="s">
        <v>31</v>
      </c>
      <c r="C330" s="85" t="s">
        <v>21</v>
      </c>
      <c r="D330" s="86">
        <v>6</v>
      </c>
      <c r="E330" s="116" t="str">
        <f t="shared" si="17"/>
        <v>Mercado</v>
      </c>
      <c r="F330" s="85" t="s">
        <v>1096</v>
      </c>
      <c r="G330" s="85" t="s">
        <v>384</v>
      </c>
      <c r="H330" s="85" t="s">
        <v>1097</v>
      </c>
      <c r="I330" s="92">
        <v>1</v>
      </c>
      <c r="J330" s="87">
        <v>7.5</v>
      </c>
      <c r="K330" s="88">
        <f t="shared" si="18"/>
        <v>7.5</v>
      </c>
      <c r="L330" s="85">
        <v>2765</v>
      </c>
      <c r="M330" s="118" t="s">
        <v>325</v>
      </c>
      <c r="N330" s="96"/>
      <c r="O330" s="96" t="s">
        <v>872</v>
      </c>
      <c r="R330"/>
    </row>
    <row r="331" spans="1:18" hidden="1" x14ac:dyDescent="0.2">
      <c r="A331" s="84" t="str">
        <f t="shared" si="16"/>
        <v>MarçoSEMANA 2Gelo em Cubo</v>
      </c>
      <c r="B331" s="85" t="s">
        <v>31</v>
      </c>
      <c r="C331" s="85" t="s">
        <v>21</v>
      </c>
      <c r="D331" s="86">
        <v>6</v>
      </c>
      <c r="E331" s="116" t="str">
        <f t="shared" si="17"/>
        <v>Mercado</v>
      </c>
      <c r="F331" s="85" t="s">
        <v>1096</v>
      </c>
      <c r="G331" s="85" t="s">
        <v>383</v>
      </c>
      <c r="H331" s="85" t="s">
        <v>1097</v>
      </c>
      <c r="I331" s="85">
        <v>3</v>
      </c>
      <c r="J331" s="87">
        <v>7.5</v>
      </c>
      <c r="K331" s="88">
        <f t="shared" si="18"/>
        <v>22.5</v>
      </c>
      <c r="L331" s="85">
        <v>2765</v>
      </c>
      <c r="M331" s="118" t="s">
        <v>1027</v>
      </c>
      <c r="N331" s="96"/>
      <c r="O331" s="96" t="s">
        <v>872</v>
      </c>
      <c r="R331"/>
    </row>
    <row r="332" spans="1:18" hidden="1" x14ac:dyDescent="0.2">
      <c r="A332" s="84" t="str">
        <f t="shared" si="16"/>
        <v>MarçoSEMANA 2Pescados - Bacalhau Salgado</v>
      </c>
      <c r="B332" s="85" t="s">
        <v>31</v>
      </c>
      <c r="C332" s="85" t="s">
        <v>21</v>
      </c>
      <c r="D332" s="86">
        <v>6</v>
      </c>
      <c r="E332" s="116" t="str">
        <f t="shared" si="17"/>
        <v>Carnes</v>
      </c>
      <c r="F332" s="85" t="s">
        <v>1108</v>
      </c>
      <c r="G332" s="85" t="s">
        <v>588</v>
      </c>
      <c r="H332" s="85" t="s">
        <v>1083</v>
      </c>
      <c r="I332" s="85">
        <v>25</v>
      </c>
      <c r="J332" s="87">
        <f>1324.58/25</f>
        <v>52.983199999999997</v>
      </c>
      <c r="K332" s="88">
        <f t="shared" si="18"/>
        <v>1324.58</v>
      </c>
      <c r="L332" s="85" t="s">
        <v>1177</v>
      </c>
      <c r="M332" s="118" t="s">
        <v>326</v>
      </c>
      <c r="N332" s="96"/>
      <c r="O332" s="96" t="s">
        <v>45</v>
      </c>
      <c r="R332"/>
    </row>
    <row r="333" spans="1:18" hidden="1" x14ac:dyDescent="0.2">
      <c r="A333" s="84" t="str">
        <f t="shared" si="16"/>
        <v>MarçoSEMANA 2Suíno - Barriga Suína</v>
      </c>
      <c r="B333" s="85" t="s">
        <v>31</v>
      </c>
      <c r="C333" s="85" t="s">
        <v>21</v>
      </c>
      <c r="D333" s="86">
        <v>6</v>
      </c>
      <c r="E333" s="116" t="str">
        <f t="shared" si="17"/>
        <v>Carnes</v>
      </c>
      <c r="F333" s="85" t="s">
        <v>1178</v>
      </c>
      <c r="G333" s="85" t="s">
        <v>756</v>
      </c>
      <c r="H333" s="85" t="s">
        <v>1083</v>
      </c>
      <c r="I333" s="85">
        <v>20</v>
      </c>
      <c r="J333" s="87">
        <f>221.2/20</f>
        <v>11.059999999999999</v>
      </c>
      <c r="K333" s="88">
        <f t="shared" si="18"/>
        <v>221.2</v>
      </c>
      <c r="L333" s="85" t="s">
        <v>1179</v>
      </c>
      <c r="M333" s="118" t="s">
        <v>327</v>
      </c>
      <c r="N333" s="96"/>
      <c r="O333" s="96" t="s">
        <v>873</v>
      </c>
      <c r="R333"/>
    </row>
    <row r="334" spans="1:18" x14ac:dyDescent="0.25">
      <c r="A334" s="84" t="str">
        <f t="shared" si="16"/>
        <v>MarçoSEMANA 2Abobora Japonesa</v>
      </c>
      <c r="B334" s="85" t="s">
        <v>31</v>
      </c>
      <c r="C334" s="85" t="s">
        <v>21</v>
      </c>
      <c r="D334" s="86">
        <v>6</v>
      </c>
      <c r="E334" s="116" t="str">
        <f t="shared" si="17"/>
        <v>Hortifruti</v>
      </c>
      <c r="F334" s="85" t="s">
        <v>1111</v>
      </c>
      <c r="G334" s="85" t="s">
        <v>69</v>
      </c>
      <c r="H334" s="85" t="s">
        <v>1083</v>
      </c>
      <c r="I334" s="85">
        <v>10</v>
      </c>
      <c r="J334" s="87">
        <v>2.86</v>
      </c>
      <c r="K334" s="88">
        <f t="shared" si="18"/>
        <v>28.599999999999998</v>
      </c>
      <c r="L334" s="85">
        <v>17693</v>
      </c>
      <c r="M334" s="118" t="s">
        <v>328</v>
      </c>
      <c r="N334" s="96"/>
      <c r="O334" s="96" t="s">
        <v>45</v>
      </c>
      <c r="R334"/>
    </row>
    <row r="335" spans="1:18" x14ac:dyDescent="0.25">
      <c r="A335" s="84" t="str">
        <f t="shared" si="16"/>
        <v>MarçoSEMANA 2Acelga</v>
      </c>
      <c r="B335" s="85" t="s">
        <v>31</v>
      </c>
      <c r="C335" s="85" t="s">
        <v>21</v>
      </c>
      <c r="D335" s="86">
        <v>6</v>
      </c>
      <c r="E335" s="116" t="str">
        <f t="shared" si="17"/>
        <v>Hortifruti</v>
      </c>
      <c r="F335" s="85" t="s">
        <v>1111</v>
      </c>
      <c r="G335" s="85" t="s">
        <v>75</v>
      </c>
      <c r="H335" s="85" t="s">
        <v>1083</v>
      </c>
      <c r="I335" s="85">
        <v>4</v>
      </c>
      <c r="J335" s="87">
        <v>2.25</v>
      </c>
      <c r="K335" s="88">
        <f t="shared" si="18"/>
        <v>9</v>
      </c>
      <c r="L335" s="85">
        <v>17693</v>
      </c>
      <c r="M335" s="118" t="s">
        <v>329</v>
      </c>
      <c r="N335" s="96"/>
      <c r="O335" s="96" t="s">
        <v>42</v>
      </c>
      <c r="R335"/>
    </row>
    <row r="336" spans="1:18" x14ac:dyDescent="0.25">
      <c r="A336" s="84" t="str">
        <f t="shared" si="16"/>
        <v>MarçoSEMANA 2Batata Baroa</v>
      </c>
      <c r="B336" s="85" t="s">
        <v>31</v>
      </c>
      <c r="C336" s="85" t="s">
        <v>21</v>
      </c>
      <c r="D336" s="86">
        <v>6</v>
      </c>
      <c r="E336" s="116" t="str">
        <f t="shared" si="17"/>
        <v>Hortifruti</v>
      </c>
      <c r="F336" s="85" t="s">
        <v>1111</v>
      </c>
      <c r="G336" s="85" t="s">
        <v>169</v>
      </c>
      <c r="H336" s="85" t="s">
        <v>1083</v>
      </c>
      <c r="I336" s="85">
        <v>2</v>
      </c>
      <c r="J336" s="87">
        <v>5.25</v>
      </c>
      <c r="K336" s="88">
        <f t="shared" si="18"/>
        <v>10.5</v>
      </c>
      <c r="L336" s="85">
        <v>17693</v>
      </c>
      <c r="M336" s="118" t="s">
        <v>330</v>
      </c>
      <c r="N336" s="96"/>
      <c r="O336" s="96" t="s">
        <v>42</v>
      </c>
      <c r="R336"/>
    </row>
    <row r="337" spans="1:18" x14ac:dyDescent="0.25">
      <c r="A337" s="84" t="str">
        <f t="shared" si="16"/>
        <v>MarçoSEMANA 2Batata HBT</v>
      </c>
      <c r="B337" s="85" t="s">
        <v>31</v>
      </c>
      <c r="C337" s="85" t="s">
        <v>21</v>
      </c>
      <c r="D337" s="86">
        <v>6</v>
      </c>
      <c r="E337" s="116" t="str">
        <f t="shared" si="17"/>
        <v>Hortifruti</v>
      </c>
      <c r="F337" s="85" t="s">
        <v>1111</v>
      </c>
      <c r="G337" s="85" t="s">
        <v>171</v>
      </c>
      <c r="H337" s="85" t="s">
        <v>1083</v>
      </c>
      <c r="I337" s="85">
        <v>25</v>
      </c>
      <c r="J337" s="87">
        <v>1.63</v>
      </c>
      <c r="K337" s="88">
        <f t="shared" si="18"/>
        <v>40.75</v>
      </c>
      <c r="L337" s="85">
        <v>17693</v>
      </c>
      <c r="M337" s="118" t="s">
        <v>929</v>
      </c>
      <c r="N337" s="96"/>
      <c r="O337" s="96" t="s">
        <v>45</v>
      </c>
      <c r="R337"/>
    </row>
    <row r="338" spans="1:18" x14ac:dyDescent="0.25">
      <c r="A338" s="84" t="str">
        <f t="shared" si="16"/>
        <v>MarçoSEMANA 2Cebola</v>
      </c>
      <c r="B338" s="85" t="s">
        <v>31</v>
      </c>
      <c r="C338" s="85" t="s">
        <v>21</v>
      </c>
      <c r="D338" s="86">
        <v>6</v>
      </c>
      <c r="E338" s="116" t="str">
        <f t="shared" si="17"/>
        <v>Hortifruti</v>
      </c>
      <c r="F338" s="85" t="s">
        <v>1111</v>
      </c>
      <c r="G338" s="85" t="s">
        <v>241</v>
      </c>
      <c r="H338" s="85" t="s">
        <v>1083</v>
      </c>
      <c r="I338" s="85">
        <v>20.04</v>
      </c>
      <c r="J338" s="87">
        <f>52.9/20.04</f>
        <v>2.6397205588822357</v>
      </c>
      <c r="K338" s="88">
        <f t="shared" si="18"/>
        <v>52.9</v>
      </c>
      <c r="L338" s="85">
        <v>17693</v>
      </c>
      <c r="M338" s="118" t="s">
        <v>1010</v>
      </c>
      <c r="O338" s="84" t="s">
        <v>874</v>
      </c>
      <c r="R338"/>
    </row>
    <row r="339" spans="1:18" ht="15.95" hidden="1" thickBot="1" x14ac:dyDescent="0.25">
      <c r="A339" s="84" t="str">
        <f t="shared" si="16"/>
        <v>MarçoSEMANA 2Côco Seco</v>
      </c>
      <c r="B339" s="85" t="s">
        <v>31</v>
      </c>
      <c r="C339" s="85" t="s">
        <v>21</v>
      </c>
      <c r="D339" s="86">
        <v>6</v>
      </c>
      <c r="E339" s="116" t="str">
        <f t="shared" si="17"/>
        <v>Mercado</v>
      </c>
      <c r="F339" s="85" t="s">
        <v>1111</v>
      </c>
      <c r="G339" s="85" t="s">
        <v>287</v>
      </c>
      <c r="H339" s="85" t="s">
        <v>1083</v>
      </c>
      <c r="I339" s="85">
        <v>2</v>
      </c>
      <c r="J339" s="87">
        <v>5.9</v>
      </c>
      <c r="K339" s="88">
        <f t="shared" si="18"/>
        <v>11.8</v>
      </c>
      <c r="L339" s="85">
        <v>17693</v>
      </c>
      <c r="M339" s="119" t="s">
        <v>331</v>
      </c>
      <c r="N339" s="96"/>
      <c r="O339" s="96" t="s">
        <v>872</v>
      </c>
      <c r="R339"/>
    </row>
    <row r="340" spans="1:18" x14ac:dyDescent="0.25">
      <c r="A340" s="84" t="str">
        <f t="shared" si="16"/>
        <v>MarçoSEMANA 2Côco Verde</v>
      </c>
      <c r="B340" s="85" t="s">
        <v>31</v>
      </c>
      <c r="C340" s="85" t="s">
        <v>21</v>
      </c>
      <c r="D340" s="86">
        <v>6</v>
      </c>
      <c r="E340" s="116" t="str">
        <f t="shared" si="17"/>
        <v>Hortifruti</v>
      </c>
      <c r="F340" s="85" t="s">
        <v>1111</v>
      </c>
      <c r="G340" s="85" t="s">
        <v>288</v>
      </c>
      <c r="H340" s="85" t="s">
        <v>1090</v>
      </c>
      <c r="I340" s="85">
        <v>15</v>
      </c>
      <c r="J340" s="87">
        <v>2</v>
      </c>
      <c r="K340" s="88">
        <f t="shared" si="18"/>
        <v>30</v>
      </c>
      <c r="L340" s="85">
        <v>17693</v>
      </c>
      <c r="M340" s="118" t="s">
        <v>332</v>
      </c>
      <c r="N340" s="96"/>
      <c r="O340" s="96" t="s">
        <v>45</v>
      </c>
      <c r="R340"/>
    </row>
    <row r="341" spans="1:18" x14ac:dyDescent="0.25">
      <c r="A341" s="84" t="str">
        <f t="shared" si="16"/>
        <v>MarçoSEMANA 2Coentro</v>
      </c>
      <c r="B341" s="85" t="s">
        <v>31</v>
      </c>
      <c r="C341" s="85" t="s">
        <v>21</v>
      </c>
      <c r="D341" s="86">
        <v>6</v>
      </c>
      <c r="E341" s="116" t="str">
        <f t="shared" si="17"/>
        <v>Hortifruti</v>
      </c>
      <c r="F341" s="85" t="s">
        <v>1111</v>
      </c>
      <c r="G341" s="85" t="s">
        <v>289</v>
      </c>
      <c r="H341" s="85" t="s">
        <v>1083</v>
      </c>
      <c r="I341" s="85">
        <v>0.5</v>
      </c>
      <c r="J341" s="87">
        <v>23</v>
      </c>
      <c r="K341" s="88">
        <f t="shared" si="18"/>
        <v>11.5</v>
      </c>
      <c r="L341" s="85">
        <v>17693</v>
      </c>
      <c r="M341" s="118" t="s">
        <v>945</v>
      </c>
      <c r="N341" s="96"/>
      <c r="O341" s="96" t="s">
        <v>874</v>
      </c>
      <c r="R341"/>
    </row>
    <row r="342" spans="1:18" x14ac:dyDescent="0.25">
      <c r="A342" s="84" t="str">
        <f t="shared" si="16"/>
        <v>MarçoSEMANA 2Couve Flor</v>
      </c>
      <c r="B342" s="85" t="s">
        <v>31</v>
      </c>
      <c r="C342" s="85" t="s">
        <v>21</v>
      </c>
      <c r="D342" s="86">
        <v>6</v>
      </c>
      <c r="E342" s="116" t="str">
        <f t="shared" si="17"/>
        <v>Hortifruti</v>
      </c>
      <c r="F342" s="85" t="s">
        <v>1111</v>
      </c>
      <c r="G342" s="85" t="s">
        <v>306</v>
      </c>
      <c r="H342" s="85" t="s">
        <v>1083</v>
      </c>
      <c r="I342" s="85">
        <v>8</v>
      </c>
      <c r="J342" s="87">
        <v>6</v>
      </c>
      <c r="K342" s="88">
        <f t="shared" si="18"/>
        <v>48</v>
      </c>
      <c r="L342" s="85">
        <v>17693</v>
      </c>
      <c r="M342" s="118" t="s">
        <v>333</v>
      </c>
      <c r="N342" s="96"/>
      <c r="O342" s="96" t="s">
        <v>45</v>
      </c>
      <c r="R342"/>
    </row>
    <row r="343" spans="1:18" x14ac:dyDescent="0.25">
      <c r="A343" s="84" t="str">
        <f t="shared" si="16"/>
        <v>MarçoSEMANA 2Goiaba</v>
      </c>
      <c r="B343" s="85" t="s">
        <v>31</v>
      </c>
      <c r="C343" s="85" t="s">
        <v>21</v>
      </c>
      <c r="D343" s="86">
        <v>6</v>
      </c>
      <c r="E343" s="116" t="str">
        <f t="shared" si="17"/>
        <v>Hortifruti</v>
      </c>
      <c r="F343" s="85" t="s">
        <v>1111</v>
      </c>
      <c r="G343" s="85" t="s">
        <v>391</v>
      </c>
      <c r="H343" s="85" t="s">
        <v>1083</v>
      </c>
      <c r="I343" s="85">
        <v>2.7</v>
      </c>
      <c r="J343" s="87">
        <f>6/2.7</f>
        <v>2.2222222222222219</v>
      </c>
      <c r="K343" s="88">
        <f t="shared" si="18"/>
        <v>5.9999999999999991</v>
      </c>
      <c r="L343" s="85">
        <v>17693</v>
      </c>
      <c r="M343" s="118" t="s">
        <v>334</v>
      </c>
      <c r="N343" s="96"/>
      <c r="O343" s="96" t="s">
        <v>60</v>
      </c>
      <c r="R343"/>
    </row>
    <row r="344" spans="1:18" x14ac:dyDescent="0.25">
      <c r="A344" s="84" t="str">
        <f t="shared" si="16"/>
        <v>MarçoSEMANA 2Kiwi</v>
      </c>
      <c r="B344" s="85" t="s">
        <v>31</v>
      </c>
      <c r="C344" s="85" t="s">
        <v>21</v>
      </c>
      <c r="D344" s="86">
        <v>6</v>
      </c>
      <c r="E344" s="116" t="str">
        <f t="shared" si="17"/>
        <v>Hortifruti</v>
      </c>
      <c r="F344" s="85" t="s">
        <v>1111</v>
      </c>
      <c r="G344" s="85" t="s">
        <v>453</v>
      </c>
      <c r="H344" s="85" t="s">
        <v>1083</v>
      </c>
      <c r="I344" s="85">
        <v>0.5</v>
      </c>
      <c r="J344" s="87">
        <v>14.3</v>
      </c>
      <c r="K344" s="88">
        <f t="shared" si="18"/>
        <v>7.15</v>
      </c>
      <c r="L344" s="85">
        <v>17693</v>
      </c>
      <c r="M344" s="118" t="s">
        <v>335</v>
      </c>
      <c r="N344" s="96"/>
      <c r="O344" s="96" t="s">
        <v>46</v>
      </c>
      <c r="R344"/>
    </row>
    <row r="345" spans="1:18" x14ac:dyDescent="0.25">
      <c r="A345" s="84" t="str">
        <f t="shared" si="16"/>
        <v>MarçoSEMANA 2Laranja Pera</v>
      </c>
      <c r="B345" s="85" t="s">
        <v>31</v>
      </c>
      <c r="C345" s="85" t="s">
        <v>21</v>
      </c>
      <c r="D345" s="86">
        <v>6</v>
      </c>
      <c r="E345" s="116" t="str">
        <f t="shared" si="17"/>
        <v>Hortifruti</v>
      </c>
      <c r="F345" s="85" t="s">
        <v>1111</v>
      </c>
      <c r="G345" s="85" t="s">
        <v>456</v>
      </c>
      <c r="H345" s="85" t="s">
        <v>1083</v>
      </c>
      <c r="I345" s="85"/>
      <c r="J345" s="87"/>
      <c r="K345" s="88">
        <f t="shared" si="18"/>
        <v>0</v>
      </c>
      <c r="L345" s="85" t="s">
        <v>1180</v>
      </c>
      <c r="M345" s="118" t="s">
        <v>336</v>
      </c>
      <c r="N345" s="96"/>
      <c r="O345" s="96" t="s">
        <v>45</v>
      </c>
      <c r="R345"/>
    </row>
    <row r="346" spans="1:18" x14ac:dyDescent="0.25">
      <c r="A346" s="84" t="str">
        <f t="shared" si="16"/>
        <v>MarçoSEMANA 2Maçã Nacional</v>
      </c>
      <c r="B346" s="85" t="s">
        <v>31</v>
      </c>
      <c r="C346" s="85" t="s">
        <v>21</v>
      </c>
      <c r="D346" s="86">
        <v>6</v>
      </c>
      <c r="E346" s="116" t="str">
        <f t="shared" si="17"/>
        <v>Hortifruti</v>
      </c>
      <c r="F346" s="85" t="s">
        <v>1111</v>
      </c>
      <c r="G346" s="85" t="s">
        <v>476</v>
      </c>
      <c r="H346" s="85" t="s">
        <v>1083</v>
      </c>
      <c r="I346" s="85">
        <v>17.920000000000002</v>
      </c>
      <c r="J346" s="87">
        <f>62/17.92</f>
        <v>3.4598214285714284</v>
      </c>
      <c r="K346" s="88">
        <f t="shared" si="18"/>
        <v>62</v>
      </c>
      <c r="L346" s="85">
        <v>17693</v>
      </c>
      <c r="M346" s="118" t="s">
        <v>337</v>
      </c>
      <c r="N346" s="96"/>
      <c r="O346" s="96" t="s">
        <v>872</v>
      </c>
      <c r="R346"/>
    </row>
    <row r="347" spans="1:18" x14ac:dyDescent="0.25">
      <c r="A347" s="84" t="str">
        <f t="shared" si="16"/>
        <v>MarçoSEMANA 2Mamão Bahia</v>
      </c>
      <c r="B347" s="85" t="s">
        <v>31</v>
      </c>
      <c r="C347" s="85" t="s">
        <v>21</v>
      </c>
      <c r="D347" s="86">
        <v>6</v>
      </c>
      <c r="E347" s="116" t="str">
        <f t="shared" si="17"/>
        <v>Hortifruti</v>
      </c>
      <c r="F347" s="85" t="s">
        <v>1111</v>
      </c>
      <c r="G347" s="85" t="s">
        <v>493</v>
      </c>
      <c r="H347" s="85" t="s">
        <v>1083</v>
      </c>
      <c r="I347" s="85">
        <v>2</v>
      </c>
      <c r="J347" s="87">
        <v>2.25</v>
      </c>
      <c r="K347" s="88">
        <f t="shared" si="18"/>
        <v>4.5</v>
      </c>
      <c r="L347" s="85">
        <v>17693</v>
      </c>
      <c r="M347" s="118" t="s">
        <v>995</v>
      </c>
      <c r="N347" s="96"/>
      <c r="O347" s="96" t="s">
        <v>873</v>
      </c>
      <c r="R347"/>
    </row>
    <row r="348" spans="1:18" x14ac:dyDescent="0.25">
      <c r="A348" s="84" t="str">
        <f t="shared" si="16"/>
        <v>MarçoSEMANA 2Melância</v>
      </c>
      <c r="B348" s="85" t="s">
        <v>31</v>
      </c>
      <c r="C348" s="85" t="s">
        <v>21</v>
      </c>
      <c r="D348" s="86">
        <v>6</v>
      </c>
      <c r="E348" s="116" t="str">
        <f t="shared" si="17"/>
        <v>Hortifruti</v>
      </c>
      <c r="F348" s="85" t="s">
        <v>1111</v>
      </c>
      <c r="G348" s="85" t="s">
        <v>516</v>
      </c>
      <c r="H348" s="85" t="s">
        <v>1083</v>
      </c>
      <c r="I348" s="85">
        <v>10</v>
      </c>
      <c r="J348" s="87">
        <v>1.52</v>
      </c>
      <c r="K348" s="88">
        <f t="shared" si="18"/>
        <v>15.2</v>
      </c>
      <c r="L348" s="85">
        <v>17693</v>
      </c>
      <c r="M348" s="118" t="s">
        <v>338</v>
      </c>
      <c r="N348" s="96"/>
      <c r="O348" s="96" t="s">
        <v>873</v>
      </c>
      <c r="R348"/>
    </row>
    <row r="349" spans="1:18" x14ac:dyDescent="0.25">
      <c r="A349" s="84" t="str">
        <f t="shared" si="16"/>
        <v>MarçoSEMANA 2Repolho</v>
      </c>
      <c r="B349" s="85" t="s">
        <v>31</v>
      </c>
      <c r="C349" s="85" t="s">
        <v>21</v>
      </c>
      <c r="D349" s="86">
        <v>6</v>
      </c>
      <c r="E349" s="116" t="str">
        <f t="shared" si="17"/>
        <v>Hortifruti</v>
      </c>
      <c r="F349" s="85" t="s">
        <v>1111</v>
      </c>
      <c r="G349" s="85" t="s">
        <v>700</v>
      </c>
      <c r="H349" s="85" t="s">
        <v>1083</v>
      </c>
      <c r="I349" s="85">
        <v>3</v>
      </c>
      <c r="J349" s="87">
        <v>1.65</v>
      </c>
      <c r="K349" s="88">
        <f t="shared" si="18"/>
        <v>4.9499999999999993</v>
      </c>
      <c r="L349" s="85">
        <v>17693</v>
      </c>
      <c r="M349" s="118" t="s">
        <v>339</v>
      </c>
      <c r="N349" s="96"/>
      <c r="O349" s="96" t="s">
        <v>872</v>
      </c>
      <c r="R349"/>
    </row>
    <row r="350" spans="1:18" hidden="1" x14ac:dyDescent="0.2">
      <c r="A350" s="84" t="str">
        <f t="shared" si="16"/>
        <v>MarçoSEMANA 2Salsa Crespa Sushi</v>
      </c>
      <c r="B350" s="85" t="s">
        <v>31</v>
      </c>
      <c r="C350" s="85" t="s">
        <v>21</v>
      </c>
      <c r="D350" s="86">
        <v>6</v>
      </c>
      <c r="E350" s="116" t="str">
        <f t="shared" si="17"/>
        <v>Sushi</v>
      </c>
      <c r="F350" s="85" t="s">
        <v>1111</v>
      </c>
      <c r="G350" s="85" t="s">
        <v>730</v>
      </c>
      <c r="H350" s="85" t="s">
        <v>1083</v>
      </c>
      <c r="I350" s="85">
        <v>0.1</v>
      </c>
      <c r="J350" s="87">
        <v>13</v>
      </c>
      <c r="K350" s="88">
        <f t="shared" si="18"/>
        <v>1.3</v>
      </c>
      <c r="L350" s="85">
        <v>17693</v>
      </c>
      <c r="M350" s="118" t="s">
        <v>340</v>
      </c>
      <c r="N350" s="96"/>
      <c r="O350" s="96" t="s">
        <v>872</v>
      </c>
      <c r="R350"/>
    </row>
    <row r="351" spans="1:18" x14ac:dyDescent="0.25">
      <c r="A351" s="84" t="str">
        <f t="shared" si="16"/>
        <v>MarçoSEMANA 2Batata Doce</v>
      </c>
      <c r="B351" s="85" t="s">
        <v>31</v>
      </c>
      <c r="C351" s="85" t="s">
        <v>21</v>
      </c>
      <c r="D351" s="86">
        <v>6</v>
      </c>
      <c r="E351" s="116" t="str">
        <f t="shared" si="17"/>
        <v>Hortifruti</v>
      </c>
      <c r="F351" s="85" t="s">
        <v>1110</v>
      </c>
      <c r="G351" s="85" t="s">
        <v>170</v>
      </c>
      <c r="H351" s="85" t="s">
        <v>1083</v>
      </c>
      <c r="I351" s="85">
        <v>18.46</v>
      </c>
      <c r="J351" s="87">
        <f>36/18.46</f>
        <v>1.9501625135427951</v>
      </c>
      <c r="K351" s="88">
        <f t="shared" si="18"/>
        <v>36</v>
      </c>
      <c r="L351" s="85">
        <v>3342</v>
      </c>
      <c r="M351" s="118" t="s">
        <v>1062</v>
      </c>
      <c r="O351" s="84" t="s">
        <v>47</v>
      </c>
      <c r="R351"/>
    </row>
    <row r="352" spans="1:18" x14ac:dyDescent="0.25">
      <c r="A352" s="84" t="str">
        <f t="shared" si="16"/>
        <v>MarçoSEMANA 2Berinjela</v>
      </c>
      <c r="B352" s="85" t="s">
        <v>31</v>
      </c>
      <c r="C352" s="85" t="s">
        <v>21</v>
      </c>
      <c r="D352" s="86">
        <v>6</v>
      </c>
      <c r="E352" s="116" t="str">
        <f t="shared" si="17"/>
        <v>Hortifruti</v>
      </c>
      <c r="F352" s="85" t="s">
        <v>1110</v>
      </c>
      <c r="G352" s="85" t="s">
        <v>178</v>
      </c>
      <c r="H352" s="85" t="s">
        <v>1083</v>
      </c>
      <c r="I352" s="85">
        <v>10.6</v>
      </c>
      <c r="J352" s="87">
        <f>15/10.6</f>
        <v>1.4150943396226416</v>
      </c>
      <c r="K352" s="88">
        <f t="shared" si="18"/>
        <v>15</v>
      </c>
      <c r="L352" s="85">
        <v>3342</v>
      </c>
      <c r="M352" s="118" t="s">
        <v>1061</v>
      </c>
      <c r="O352" s="84" t="s">
        <v>47</v>
      </c>
      <c r="R352"/>
    </row>
    <row r="353" spans="1:18" x14ac:dyDescent="0.25">
      <c r="A353" s="84" t="str">
        <f t="shared" si="16"/>
        <v>MarçoSEMANA 2Pepino Japonês</v>
      </c>
      <c r="B353" s="85" t="s">
        <v>31</v>
      </c>
      <c r="C353" s="85" t="s">
        <v>21</v>
      </c>
      <c r="D353" s="86">
        <v>6</v>
      </c>
      <c r="E353" s="116" t="str">
        <f t="shared" si="17"/>
        <v>Hortifruti</v>
      </c>
      <c r="F353" s="85" t="s">
        <v>1110</v>
      </c>
      <c r="G353" s="85" t="s">
        <v>576</v>
      </c>
      <c r="H353" s="85" t="s">
        <v>1083</v>
      </c>
      <c r="I353" s="85">
        <f>20.12-0.18</f>
        <v>19.940000000000001</v>
      </c>
      <c r="J353" s="87">
        <f>48/20.12</f>
        <v>2.3856858846918487</v>
      </c>
      <c r="K353" s="88">
        <f t="shared" si="18"/>
        <v>47.570576540755468</v>
      </c>
      <c r="L353" s="85">
        <v>3342</v>
      </c>
      <c r="M353" s="118" t="s">
        <v>1063</v>
      </c>
      <c r="O353" s="84" t="s">
        <v>47</v>
      </c>
      <c r="R353"/>
    </row>
    <row r="354" spans="1:18" x14ac:dyDescent="0.25">
      <c r="A354" s="84" t="str">
        <f t="shared" si="16"/>
        <v>MarçoSEMANA 2Tomate Salada</v>
      </c>
      <c r="B354" s="85" t="s">
        <v>31</v>
      </c>
      <c r="C354" s="85" t="s">
        <v>21</v>
      </c>
      <c r="D354" s="86">
        <v>6</v>
      </c>
      <c r="E354" s="116" t="str">
        <f t="shared" si="17"/>
        <v>Hortifruti</v>
      </c>
      <c r="F354" s="85" t="s">
        <v>1110</v>
      </c>
      <c r="G354" s="85" t="s">
        <v>794</v>
      </c>
      <c r="H354" s="85" t="s">
        <v>1083</v>
      </c>
      <c r="I354" s="85">
        <v>21.12</v>
      </c>
      <c r="J354" s="89">
        <f>60/21.12</f>
        <v>2.8409090909090908</v>
      </c>
      <c r="K354" s="88">
        <f t="shared" si="18"/>
        <v>60</v>
      </c>
      <c r="L354" s="85">
        <v>3342</v>
      </c>
      <c r="M354" s="118" t="s">
        <v>341</v>
      </c>
      <c r="N354" s="96"/>
      <c r="O354" s="96" t="s">
        <v>42</v>
      </c>
      <c r="R354"/>
    </row>
    <row r="355" spans="1:18" x14ac:dyDescent="0.25">
      <c r="A355" s="84" t="str">
        <f t="shared" si="16"/>
        <v>MarçoSEMANA 2Vagem Macarrão</v>
      </c>
      <c r="B355" s="85" t="s">
        <v>31</v>
      </c>
      <c r="C355" s="85" t="s">
        <v>21</v>
      </c>
      <c r="D355" s="86">
        <v>6</v>
      </c>
      <c r="E355" s="116" t="str">
        <f t="shared" si="17"/>
        <v>Hortifruti</v>
      </c>
      <c r="F355" s="85" t="s">
        <v>1110</v>
      </c>
      <c r="G355" s="85" t="s">
        <v>831</v>
      </c>
      <c r="H355" s="85" t="s">
        <v>1083</v>
      </c>
      <c r="I355" s="85">
        <v>2.5</v>
      </c>
      <c r="J355" s="87">
        <v>8</v>
      </c>
      <c r="K355" s="88">
        <f t="shared" si="18"/>
        <v>20</v>
      </c>
      <c r="L355" s="85">
        <v>3342</v>
      </c>
      <c r="M355" s="118" t="s">
        <v>342</v>
      </c>
      <c r="N355" s="96"/>
      <c r="O355" s="96" t="s">
        <v>42</v>
      </c>
      <c r="R355"/>
    </row>
    <row r="356" spans="1:18" x14ac:dyDescent="0.25">
      <c r="A356" s="84" t="str">
        <f t="shared" si="16"/>
        <v xml:space="preserve">MarçoSEMANA 2Alho Poró </v>
      </c>
      <c r="B356" s="85" t="s">
        <v>31</v>
      </c>
      <c r="C356" s="85" t="s">
        <v>21</v>
      </c>
      <c r="D356" s="86">
        <v>6</v>
      </c>
      <c r="E356" s="116" t="str">
        <f t="shared" si="17"/>
        <v>Hortifruti</v>
      </c>
      <c r="F356" s="85" t="s">
        <v>1110</v>
      </c>
      <c r="G356" s="85" t="s">
        <v>113</v>
      </c>
      <c r="H356" s="85" t="s">
        <v>1083</v>
      </c>
      <c r="I356" s="85">
        <v>5</v>
      </c>
      <c r="J356" s="87">
        <v>9</v>
      </c>
      <c r="K356" s="88">
        <f t="shared" si="18"/>
        <v>45</v>
      </c>
      <c r="L356" s="85">
        <v>3342</v>
      </c>
      <c r="M356" s="118" t="s">
        <v>343</v>
      </c>
      <c r="N356" s="96"/>
      <c r="O356" s="96" t="s">
        <v>42</v>
      </c>
      <c r="R356"/>
    </row>
    <row r="357" spans="1:18" x14ac:dyDescent="0.25">
      <c r="A357" s="84" t="str">
        <f t="shared" si="16"/>
        <v>MarçoSEMANA 2Brócolis Americano</v>
      </c>
      <c r="B357" s="85" t="s">
        <v>31</v>
      </c>
      <c r="C357" s="85" t="s">
        <v>21</v>
      </c>
      <c r="D357" s="86">
        <v>6</v>
      </c>
      <c r="E357" s="116" t="str">
        <f t="shared" si="17"/>
        <v>Hortifruti</v>
      </c>
      <c r="F357" s="85" t="s">
        <v>1110</v>
      </c>
      <c r="G357" s="85" t="s">
        <v>194</v>
      </c>
      <c r="H357" s="85" t="s">
        <v>1083</v>
      </c>
      <c r="I357" s="85">
        <v>5</v>
      </c>
      <c r="J357" s="87">
        <v>12</v>
      </c>
      <c r="K357" s="88">
        <f t="shared" si="18"/>
        <v>60</v>
      </c>
      <c r="L357" s="85">
        <v>3342</v>
      </c>
      <c r="M357" s="118" t="s">
        <v>1035</v>
      </c>
      <c r="O357" s="84" t="s">
        <v>60</v>
      </c>
      <c r="R357"/>
    </row>
    <row r="358" spans="1:18" x14ac:dyDescent="0.25">
      <c r="A358" s="84" t="str">
        <f t="shared" si="16"/>
        <v>MarçoSEMANA 2Cebolinha Verde</v>
      </c>
      <c r="B358" s="85" t="s">
        <v>31</v>
      </c>
      <c r="C358" s="85" t="s">
        <v>21</v>
      </c>
      <c r="D358" s="86">
        <v>6</v>
      </c>
      <c r="E358" s="116" t="str">
        <f t="shared" si="17"/>
        <v>Hortifruti</v>
      </c>
      <c r="F358" s="85" t="s">
        <v>1110</v>
      </c>
      <c r="G358" s="85" t="s">
        <v>247</v>
      </c>
      <c r="H358" s="85" t="s">
        <v>1083</v>
      </c>
      <c r="I358" s="85">
        <f>1-0.493</f>
        <v>0.50700000000000001</v>
      </c>
      <c r="J358" s="87">
        <v>7</v>
      </c>
      <c r="K358" s="88">
        <f t="shared" si="18"/>
        <v>3.5489999999999999</v>
      </c>
      <c r="L358" s="85">
        <v>3342</v>
      </c>
      <c r="M358" s="118" t="s">
        <v>344</v>
      </c>
      <c r="N358" s="96"/>
      <c r="O358" s="96" t="s">
        <v>42</v>
      </c>
      <c r="R358"/>
    </row>
    <row r="359" spans="1:18" x14ac:dyDescent="0.25">
      <c r="A359" s="84" t="str">
        <f t="shared" si="16"/>
        <v>MarçoSEMANA 2Manjericão</v>
      </c>
      <c r="B359" s="85" t="s">
        <v>31</v>
      </c>
      <c r="C359" s="85" t="s">
        <v>21</v>
      </c>
      <c r="D359" s="86">
        <v>6</v>
      </c>
      <c r="E359" s="116" t="str">
        <f t="shared" si="17"/>
        <v>Hortifruti</v>
      </c>
      <c r="F359" s="85" t="s">
        <v>1110</v>
      </c>
      <c r="G359" s="85" t="s">
        <v>498</v>
      </c>
      <c r="H359" s="85" t="s">
        <v>1083</v>
      </c>
      <c r="I359" s="85">
        <v>0.5</v>
      </c>
      <c r="J359" s="87">
        <v>10</v>
      </c>
      <c r="K359" s="88">
        <f t="shared" si="18"/>
        <v>5</v>
      </c>
      <c r="L359" s="85">
        <v>3342</v>
      </c>
      <c r="M359" s="118" t="s">
        <v>345</v>
      </c>
      <c r="N359" s="96"/>
      <c r="O359" s="96" t="s">
        <v>42</v>
      </c>
      <c r="R359"/>
    </row>
    <row r="360" spans="1:18" x14ac:dyDescent="0.25">
      <c r="A360" s="84" t="str">
        <f t="shared" si="16"/>
        <v>MarçoSEMANA 2Nirá</v>
      </c>
      <c r="B360" s="85" t="s">
        <v>31</v>
      </c>
      <c r="C360" s="85" t="s">
        <v>21</v>
      </c>
      <c r="D360" s="86">
        <v>6</v>
      </c>
      <c r="E360" s="116" t="str">
        <f t="shared" si="17"/>
        <v>Hortifruti</v>
      </c>
      <c r="F360" s="85" t="s">
        <v>1110</v>
      </c>
      <c r="G360" s="85" t="s">
        <v>538</v>
      </c>
      <c r="H360" s="85" t="s">
        <v>1083</v>
      </c>
      <c r="I360" s="85">
        <v>1.01</v>
      </c>
      <c r="J360" s="87">
        <f>15/1.01</f>
        <v>14.851485148514852</v>
      </c>
      <c r="K360" s="88">
        <f t="shared" si="18"/>
        <v>15.000000000000002</v>
      </c>
      <c r="L360" s="85">
        <v>3342</v>
      </c>
      <c r="M360" s="118" t="s">
        <v>1031</v>
      </c>
      <c r="O360" s="84" t="s">
        <v>60</v>
      </c>
      <c r="R360"/>
    </row>
    <row r="361" spans="1:18" x14ac:dyDescent="0.25">
      <c r="A361" s="84" t="str">
        <f t="shared" si="16"/>
        <v>MarçoSEMANA 2Salsa</v>
      </c>
      <c r="B361" s="85" t="s">
        <v>31</v>
      </c>
      <c r="C361" s="85" t="s">
        <v>21</v>
      </c>
      <c r="D361" s="86">
        <v>6</v>
      </c>
      <c r="E361" s="116" t="str">
        <f t="shared" si="17"/>
        <v>Hortifruti</v>
      </c>
      <c r="F361" s="85" t="s">
        <v>1110</v>
      </c>
      <c r="G361" s="85" t="s">
        <v>728</v>
      </c>
      <c r="H361" s="85" t="s">
        <v>1083</v>
      </c>
      <c r="I361" s="85">
        <v>0.5</v>
      </c>
      <c r="J361" s="87">
        <v>7</v>
      </c>
      <c r="K361" s="88">
        <f t="shared" si="18"/>
        <v>3.5</v>
      </c>
      <c r="L361" s="85">
        <v>3342</v>
      </c>
      <c r="M361" s="118" t="s">
        <v>346</v>
      </c>
      <c r="N361" s="96"/>
      <c r="O361" s="96" t="s">
        <v>42</v>
      </c>
      <c r="R361"/>
    </row>
    <row r="362" spans="1:18" x14ac:dyDescent="0.25">
      <c r="A362" s="84" t="str">
        <f t="shared" si="16"/>
        <v>MarçoSEMANA 2Broto de Feijão</v>
      </c>
      <c r="B362" s="85" t="s">
        <v>31</v>
      </c>
      <c r="C362" s="85" t="s">
        <v>21</v>
      </c>
      <c r="D362" s="86">
        <v>6</v>
      </c>
      <c r="E362" s="116" t="str">
        <f t="shared" si="17"/>
        <v>Hortifruti</v>
      </c>
      <c r="F362" s="85" t="s">
        <v>1110</v>
      </c>
      <c r="G362" s="85" t="s">
        <v>197</v>
      </c>
      <c r="H362" s="85" t="s">
        <v>1083</v>
      </c>
      <c r="I362" s="85">
        <v>2</v>
      </c>
      <c r="J362" s="87">
        <v>14</v>
      </c>
      <c r="K362" s="88">
        <f t="shared" si="18"/>
        <v>28</v>
      </c>
      <c r="L362" s="85">
        <v>3342</v>
      </c>
      <c r="M362" s="118" t="s">
        <v>347</v>
      </c>
      <c r="N362" s="96"/>
      <c r="O362" s="96" t="s">
        <v>42</v>
      </c>
      <c r="R362"/>
    </row>
    <row r="363" spans="1:18" x14ac:dyDescent="0.25">
      <c r="A363" s="84" t="str">
        <f t="shared" si="16"/>
        <v>MarçoSEMANA 2Tofu Kilo</v>
      </c>
      <c r="B363" s="85" t="s">
        <v>31</v>
      </c>
      <c r="C363" s="85" t="s">
        <v>21</v>
      </c>
      <c r="D363" s="86">
        <v>6</v>
      </c>
      <c r="E363" s="116" t="str">
        <f t="shared" si="17"/>
        <v>Hortifruti</v>
      </c>
      <c r="F363" s="85" t="s">
        <v>1110</v>
      </c>
      <c r="G363" s="85" t="s">
        <v>788</v>
      </c>
      <c r="H363" s="85" t="s">
        <v>1083</v>
      </c>
      <c r="I363" s="85">
        <v>3</v>
      </c>
      <c r="J363" s="87">
        <v>14</v>
      </c>
      <c r="K363" s="88">
        <f t="shared" si="18"/>
        <v>42</v>
      </c>
      <c r="L363" s="85">
        <v>3342</v>
      </c>
      <c r="M363" s="118" t="s">
        <v>348</v>
      </c>
      <c r="N363" s="96"/>
      <c r="O363" s="96" t="s">
        <v>42</v>
      </c>
      <c r="R363"/>
    </row>
    <row r="364" spans="1:18" x14ac:dyDescent="0.25">
      <c r="A364" s="84" t="str">
        <f t="shared" si="16"/>
        <v xml:space="preserve">MarçoSEMANA 2Abacaxi </v>
      </c>
      <c r="B364" s="85" t="s">
        <v>31</v>
      </c>
      <c r="C364" s="85" t="s">
        <v>21</v>
      </c>
      <c r="D364" s="86">
        <v>6</v>
      </c>
      <c r="E364" s="116" t="str">
        <f t="shared" si="17"/>
        <v>Hortifruti</v>
      </c>
      <c r="F364" s="85" t="s">
        <v>1110</v>
      </c>
      <c r="G364" s="85" t="s">
        <v>65</v>
      </c>
      <c r="H364" s="85" t="s">
        <v>1083</v>
      </c>
      <c r="I364" s="85">
        <v>6</v>
      </c>
      <c r="J364" s="87">
        <v>3</v>
      </c>
      <c r="K364" s="88">
        <f t="shared" si="18"/>
        <v>18</v>
      </c>
      <c r="L364" s="85">
        <v>3342</v>
      </c>
      <c r="M364" s="118" t="s">
        <v>349</v>
      </c>
      <c r="O364" s="115" t="s">
        <v>42</v>
      </c>
      <c r="R364"/>
    </row>
    <row r="365" spans="1:18" x14ac:dyDescent="0.25">
      <c r="A365" s="84" t="str">
        <f t="shared" si="16"/>
        <v>MarçoSEMANA 2Manga Palmer</v>
      </c>
      <c r="B365" s="85" t="s">
        <v>31</v>
      </c>
      <c r="C365" s="85" t="s">
        <v>21</v>
      </c>
      <c r="D365" s="86">
        <v>6</v>
      </c>
      <c r="E365" s="116" t="str">
        <f t="shared" si="17"/>
        <v>Hortifruti</v>
      </c>
      <c r="F365" s="85" t="s">
        <v>1110</v>
      </c>
      <c r="G365" s="85" t="s">
        <v>495</v>
      </c>
      <c r="H365" s="85" t="s">
        <v>1083</v>
      </c>
      <c r="I365" s="85">
        <v>5</v>
      </c>
      <c r="J365" s="87">
        <f>25/5</f>
        <v>5</v>
      </c>
      <c r="K365" s="88">
        <f t="shared" si="18"/>
        <v>25</v>
      </c>
      <c r="L365" s="85">
        <v>3342</v>
      </c>
      <c r="M365" s="118" t="s">
        <v>350</v>
      </c>
      <c r="N365" s="96"/>
      <c r="O365" s="96" t="s">
        <v>42</v>
      </c>
      <c r="R365"/>
    </row>
    <row r="366" spans="1:18" x14ac:dyDescent="0.25">
      <c r="A366" s="84" t="str">
        <f t="shared" si="16"/>
        <v>MarçoSEMANA 2Manga Tommy</v>
      </c>
      <c r="B366" s="85" t="s">
        <v>31</v>
      </c>
      <c r="C366" s="85" t="s">
        <v>21</v>
      </c>
      <c r="D366" s="86">
        <v>6</v>
      </c>
      <c r="E366" s="116" t="str">
        <f t="shared" si="17"/>
        <v>Hortifruti</v>
      </c>
      <c r="F366" s="85" t="s">
        <v>1110</v>
      </c>
      <c r="G366" s="85" t="s">
        <v>496</v>
      </c>
      <c r="H366" s="85" t="s">
        <v>1083</v>
      </c>
      <c r="I366" s="85">
        <v>2</v>
      </c>
      <c r="J366" s="87">
        <v>4.5</v>
      </c>
      <c r="K366" s="88">
        <f t="shared" si="18"/>
        <v>9</v>
      </c>
      <c r="L366" s="85">
        <v>3342</v>
      </c>
      <c r="M366" s="118" t="s">
        <v>351</v>
      </c>
      <c r="N366" s="96"/>
      <c r="O366" s="96" t="s">
        <v>42</v>
      </c>
      <c r="R366"/>
    </row>
    <row r="367" spans="1:18" hidden="1" x14ac:dyDescent="0.2">
      <c r="A367" s="84" t="str">
        <f t="shared" si="16"/>
        <v>MarçoSEMANA 2Bala de Alga 500 g</v>
      </c>
      <c r="B367" s="85" t="s">
        <v>31</v>
      </c>
      <c r="C367" s="85" t="s">
        <v>21</v>
      </c>
      <c r="D367" s="86">
        <v>6</v>
      </c>
      <c r="E367" s="116" t="str">
        <f t="shared" si="17"/>
        <v>Vendas Caixa</v>
      </c>
      <c r="F367" s="85" t="s">
        <v>1125</v>
      </c>
      <c r="G367" s="85" t="s">
        <v>159</v>
      </c>
      <c r="H367" s="85" t="s">
        <v>1114</v>
      </c>
      <c r="I367" s="85">
        <v>3</v>
      </c>
      <c r="J367" s="87">
        <v>17.16</v>
      </c>
      <c r="K367" s="88">
        <f t="shared" si="18"/>
        <v>51.480000000000004</v>
      </c>
      <c r="L367" s="85" t="s">
        <v>1181</v>
      </c>
      <c r="M367" s="118" t="s">
        <v>352</v>
      </c>
      <c r="N367" s="96"/>
      <c r="O367" s="96" t="s">
        <v>42</v>
      </c>
      <c r="R367"/>
    </row>
    <row r="368" spans="1:18" hidden="1" x14ac:dyDescent="0.2">
      <c r="A368" s="84" t="str">
        <f t="shared" si="16"/>
        <v>MarçoSEMANA 2Chá verde 200gr</v>
      </c>
      <c r="B368" s="85" t="s">
        <v>31</v>
      </c>
      <c r="C368" s="85" t="s">
        <v>21</v>
      </c>
      <c r="D368" s="86">
        <v>6</v>
      </c>
      <c r="E368" s="116" t="str">
        <f t="shared" si="17"/>
        <v>Mercado</v>
      </c>
      <c r="F368" s="85" t="s">
        <v>1125</v>
      </c>
      <c r="G368" s="85" t="s">
        <v>271</v>
      </c>
      <c r="H368" s="85" t="s">
        <v>1114</v>
      </c>
      <c r="I368" s="85">
        <v>1</v>
      </c>
      <c r="J368" s="87">
        <v>14.68</v>
      </c>
      <c r="K368" s="88">
        <f t="shared" si="18"/>
        <v>14.68</v>
      </c>
      <c r="L368" s="85" t="s">
        <v>1181</v>
      </c>
      <c r="M368" s="118" t="s">
        <v>353</v>
      </c>
      <c r="N368" s="96"/>
      <c r="O368" s="96" t="s">
        <v>42</v>
      </c>
      <c r="R368"/>
    </row>
    <row r="369" spans="1:18" hidden="1" x14ac:dyDescent="0.2">
      <c r="A369" s="84" t="str">
        <f t="shared" si="16"/>
        <v>MarçoSEMANA 2Farinha Panco</v>
      </c>
      <c r="B369" s="85" t="s">
        <v>31</v>
      </c>
      <c r="C369" s="85" t="s">
        <v>21</v>
      </c>
      <c r="D369" s="86">
        <v>6</v>
      </c>
      <c r="E369" s="116" t="str">
        <f t="shared" si="17"/>
        <v>Mercado</v>
      </c>
      <c r="F369" s="85" t="s">
        <v>1125</v>
      </c>
      <c r="G369" s="85" t="s">
        <v>345</v>
      </c>
      <c r="H369" s="85" t="s">
        <v>1083</v>
      </c>
      <c r="I369" s="85">
        <f>5-1</f>
        <v>4</v>
      </c>
      <c r="J369" s="87">
        <v>17.7</v>
      </c>
      <c r="K369" s="88">
        <f t="shared" si="18"/>
        <v>70.8</v>
      </c>
      <c r="L369" s="85" t="s">
        <v>1181</v>
      </c>
      <c r="M369" s="118" t="s">
        <v>354</v>
      </c>
      <c r="N369" s="96"/>
      <c r="O369" s="96" t="s">
        <v>42</v>
      </c>
      <c r="R369"/>
    </row>
    <row r="370" spans="1:18" hidden="1" x14ac:dyDescent="0.2">
      <c r="A370" s="84" t="str">
        <f t="shared" si="16"/>
        <v>MarçoSEMANA 2Gergelim Branco</v>
      </c>
      <c r="B370" s="85" t="s">
        <v>31</v>
      </c>
      <c r="C370" s="85" t="s">
        <v>21</v>
      </c>
      <c r="D370" s="86">
        <v>6</v>
      </c>
      <c r="E370" s="116" t="str">
        <f t="shared" si="17"/>
        <v>Mercado</v>
      </c>
      <c r="F370" s="85" t="s">
        <v>1125</v>
      </c>
      <c r="G370" s="85" t="s">
        <v>387</v>
      </c>
      <c r="H370" s="85" t="s">
        <v>1083</v>
      </c>
      <c r="I370" s="85">
        <v>1</v>
      </c>
      <c r="J370" s="87">
        <v>11.25</v>
      </c>
      <c r="K370" s="88">
        <f t="shared" si="18"/>
        <v>11.25</v>
      </c>
      <c r="L370" s="85" t="s">
        <v>1181</v>
      </c>
      <c r="M370" s="118" t="s">
        <v>355</v>
      </c>
      <c r="N370" s="96"/>
      <c r="O370" s="96" t="s">
        <v>46</v>
      </c>
      <c r="R370"/>
    </row>
    <row r="371" spans="1:18" hidden="1" x14ac:dyDescent="0.2">
      <c r="A371" s="84" t="str">
        <f t="shared" si="16"/>
        <v>MarçoSEMANA 2Óleo de Gergelim</v>
      </c>
      <c r="B371" s="85" t="s">
        <v>31</v>
      </c>
      <c r="C371" s="85" t="s">
        <v>21</v>
      </c>
      <c r="D371" s="86">
        <v>6</v>
      </c>
      <c r="E371" s="116" t="str">
        <f t="shared" si="17"/>
        <v>Mercado</v>
      </c>
      <c r="F371" s="85" t="s">
        <v>1125</v>
      </c>
      <c r="G371" s="85" t="s">
        <v>543</v>
      </c>
      <c r="H371" s="85" t="s">
        <v>1090</v>
      </c>
      <c r="I371" s="85">
        <v>1</v>
      </c>
      <c r="J371" s="87">
        <v>54</v>
      </c>
      <c r="K371" s="88">
        <f t="shared" si="18"/>
        <v>54</v>
      </c>
      <c r="L371" s="85" t="s">
        <v>1181</v>
      </c>
      <c r="M371" s="118" t="s">
        <v>356</v>
      </c>
      <c r="O371" s="115" t="s">
        <v>42</v>
      </c>
      <c r="R371"/>
    </row>
    <row r="372" spans="1:18" hidden="1" x14ac:dyDescent="0.2">
      <c r="A372" s="84" t="str">
        <f t="shared" si="16"/>
        <v>MarçoSEMANA 2Pão Árabe</v>
      </c>
      <c r="B372" s="85" t="s">
        <v>31</v>
      </c>
      <c r="C372" s="85" t="s">
        <v>21</v>
      </c>
      <c r="D372" s="86">
        <v>5</v>
      </c>
      <c r="E372" s="116" t="str">
        <f t="shared" si="17"/>
        <v>Mercado</v>
      </c>
      <c r="F372" s="85" t="s">
        <v>1118</v>
      </c>
      <c r="G372" s="85" t="s">
        <v>560</v>
      </c>
      <c r="H372" s="85" t="s">
        <v>1114</v>
      </c>
      <c r="I372" s="85">
        <v>2</v>
      </c>
      <c r="J372" s="87">
        <v>6.7</v>
      </c>
      <c r="K372" s="88">
        <f t="shared" si="18"/>
        <v>13.4</v>
      </c>
      <c r="L372" s="85"/>
      <c r="M372" s="118" t="s">
        <v>357</v>
      </c>
      <c r="O372" s="115" t="s">
        <v>45</v>
      </c>
      <c r="R372"/>
    </row>
    <row r="373" spans="1:18" hidden="1" x14ac:dyDescent="0.2">
      <c r="A373" s="84" t="str">
        <f t="shared" si="16"/>
        <v>MarçoSEMANA 2Massa de Pastel</v>
      </c>
      <c r="B373" s="85" t="s">
        <v>31</v>
      </c>
      <c r="C373" s="85" t="s">
        <v>21</v>
      </c>
      <c r="D373" s="86">
        <v>5</v>
      </c>
      <c r="E373" s="116" t="str">
        <f t="shared" si="17"/>
        <v>Mercado</v>
      </c>
      <c r="F373" s="85" t="s">
        <v>1082</v>
      </c>
      <c r="G373" s="85" t="s">
        <v>507</v>
      </c>
      <c r="H373" s="85" t="s">
        <v>1083</v>
      </c>
      <c r="I373" s="85">
        <v>28.16</v>
      </c>
      <c r="J373" s="87">
        <f>210/28.16</f>
        <v>7.4573863636363633</v>
      </c>
      <c r="K373" s="88">
        <f t="shared" si="18"/>
        <v>210</v>
      </c>
      <c r="L373" s="85"/>
      <c r="M373" s="118" t="s">
        <v>358</v>
      </c>
      <c r="N373" s="96"/>
      <c r="O373" s="96" t="s">
        <v>42</v>
      </c>
      <c r="R373"/>
    </row>
    <row r="374" spans="1:18" x14ac:dyDescent="0.25">
      <c r="A374" s="84" t="str">
        <f t="shared" si="16"/>
        <v>MarçoSEMANA 2Batata Calabresa</v>
      </c>
      <c r="B374" s="85" t="s">
        <v>31</v>
      </c>
      <c r="C374" s="85" t="s">
        <v>21</v>
      </c>
      <c r="D374" s="86">
        <v>5</v>
      </c>
      <c r="E374" s="116" t="str">
        <f t="shared" si="17"/>
        <v>Hortifruti</v>
      </c>
      <c r="F374" s="85" t="s">
        <v>1082</v>
      </c>
      <c r="G374" s="85" t="s">
        <v>901</v>
      </c>
      <c r="H374" s="85" t="s">
        <v>1083</v>
      </c>
      <c r="I374" s="85">
        <v>3</v>
      </c>
      <c r="J374" s="87">
        <v>5</v>
      </c>
      <c r="K374" s="88">
        <f t="shared" si="18"/>
        <v>15</v>
      </c>
      <c r="L374" s="85"/>
      <c r="M374" s="118" t="s">
        <v>359</v>
      </c>
      <c r="N374" s="96"/>
      <c r="O374" s="96" t="s">
        <v>872</v>
      </c>
      <c r="R374"/>
    </row>
    <row r="375" spans="1:18" x14ac:dyDescent="0.25">
      <c r="A375" s="84" t="str">
        <f t="shared" si="16"/>
        <v>MarçoSEMANA 2Coentro</v>
      </c>
      <c r="B375" s="85" t="s">
        <v>31</v>
      </c>
      <c r="C375" s="85" t="s">
        <v>21</v>
      </c>
      <c r="D375" s="86">
        <v>5</v>
      </c>
      <c r="E375" s="116" t="str">
        <f t="shared" si="17"/>
        <v>Hortifruti</v>
      </c>
      <c r="F375" s="85" t="s">
        <v>1082</v>
      </c>
      <c r="G375" s="85" t="s">
        <v>289</v>
      </c>
      <c r="H375" s="85" t="s">
        <v>1083</v>
      </c>
      <c r="I375" s="85">
        <v>0.2</v>
      </c>
      <c r="J375" s="87">
        <f>6/0.2</f>
        <v>30</v>
      </c>
      <c r="K375" s="88">
        <f t="shared" si="18"/>
        <v>6</v>
      </c>
      <c r="L375" s="85"/>
      <c r="M375" s="118" t="s">
        <v>914</v>
      </c>
      <c r="N375" s="96"/>
      <c r="O375" s="96" t="s">
        <v>872</v>
      </c>
      <c r="R375"/>
    </row>
    <row r="376" spans="1:18" x14ac:dyDescent="0.25">
      <c r="A376" s="84" t="str">
        <f t="shared" si="16"/>
        <v>MarçoSEMANA 2Aipim</v>
      </c>
      <c r="B376" s="85" t="s">
        <v>31</v>
      </c>
      <c r="C376" s="85" t="s">
        <v>21</v>
      </c>
      <c r="D376" s="86">
        <v>5</v>
      </c>
      <c r="E376" s="116" t="str">
        <f t="shared" si="17"/>
        <v>Hortifruti</v>
      </c>
      <c r="F376" s="85" t="s">
        <v>1082</v>
      </c>
      <c r="G376" s="85" t="s">
        <v>95</v>
      </c>
      <c r="H376" s="85" t="s">
        <v>1083</v>
      </c>
      <c r="I376" s="85">
        <v>20</v>
      </c>
      <c r="J376" s="87">
        <v>5</v>
      </c>
      <c r="K376" s="88">
        <f t="shared" si="18"/>
        <v>100</v>
      </c>
      <c r="L376" s="85"/>
      <c r="M376" s="118" t="s">
        <v>360</v>
      </c>
      <c r="N376" s="96"/>
      <c r="O376" s="96" t="s">
        <v>872</v>
      </c>
      <c r="R376"/>
    </row>
    <row r="377" spans="1:18" hidden="1" x14ac:dyDescent="0.2">
      <c r="A377" s="84" t="str">
        <f t="shared" si="16"/>
        <v>MarçoSEMANA 2Nescau (Nestle)</v>
      </c>
      <c r="B377" s="85" t="s">
        <v>31</v>
      </c>
      <c r="C377" s="85" t="s">
        <v>21</v>
      </c>
      <c r="D377" s="86">
        <v>7</v>
      </c>
      <c r="E377" s="116" t="str">
        <f t="shared" si="17"/>
        <v>Mercado</v>
      </c>
      <c r="F377" s="85" t="s">
        <v>1101</v>
      </c>
      <c r="G377" s="85" t="s">
        <v>537</v>
      </c>
      <c r="H377" s="85" t="s">
        <v>1083</v>
      </c>
      <c r="I377" s="85">
        <v>2</v>
      </c>
      <c r="J377" s="87">
        <f>31.9/2</f>
        <v>15.95</v>
      </c>
      <c r="K377" s="88">
        <f t="shared" si="18"/>
        <v>31.9</v>
      </c>
      <c r="L377" s="85" t="s">
        <v>1182</v>
      </c>
      <c r="M377" s="118" t="s">
        <v>361</v>
      </c>
      <c r="N377" s="96"/>
      <c r="O377" s="96" t="s">
        <v>60</v>
      </c>
      <c r="R377"/>
    </row>
    <row r="378" spans="1:18" hidden="1" x14ac:dyDescent="0.2">
      <c r="A378" s="84" t="str">
        <f t="shared" si="16"/>
        <v>MarçoSEMANA 2Azeitona Verde Fatiada Bd 2 kg</v>
      </c>
      <c r="B378" s="85" t="s">
        <v>31</v>
      </c>
      <c r="C378" s="85" t="s">
        <v>21</v>
      </c>
      <c r="D378" s="86">
        <v>7</v>
      </c>
      <c r="E378" s="116" t="str">
        <f t="shared" si="17"/>
        <v>Mercado</v>
      </c>
      <c r="F378" s="85" t="s">
        <v>1101</v>
      </c>
      <c r="G378" s="85" t="s">
        <v>158</v>
      </c>
      <c r="H378" s="85" t="s">
        <v>1088</v>
      </c>
      <c r="I378" s="85">
        <v>1</v>
      </c>
      <c r="J378" s="87">
        <v>24.98</v>
      </c>
      <c r="K378" s="88">
        <f t="shared" si="18"/>
        <v>24.98</v>
      </c>
      <c r="L378" s="85" t="s">
        <v>1182</v>
      </c>
      <c r="M378" s="118" t="s">
        <v>1003</v>
      </c>
      <c r="N378" s="96"/>
      <c r="O378" s="96" t="s">
        <v>872</v>
      </c>
      <c r="R378"/>
    </row>
    <row r="379" spans="1:18" hidden="1" x14ac:dyDescent="0.2">
      <c r="A379" s="84" t="str">
        <f t="shared" si="16"/>
        <v>MarçoSEMANA 2Aves - Sobrecoxa</v>
      </c>
      <c r="B379" s="85" t="s">
        <v>31</v>
      </c>
      <c r="C379" s="85" t="s">
        <v>21</v>
      </c>
      <c r="D379" s="86">
        <v>7</v>
      </c>
      <c r="E379" s="116" t="str">
        <f t="shared" si="17"/>
        <v>Carnes</v>
      </c>
      <c r="F379" s="85" t="s">
        <v>1101</v>
      </c>
      <c r="G379" s="85" t="s">
        <v>150</v>
      </c>
      <c r="H379" s="85" t="s">
        <v>1083</v>
      </c>
      <c r="I379" s="85">
        <v>18</v>
      </c>
      <c r="J379" s="87">
        <v>5.25</v>
      </c>
      <c r="K379" s="88">
        <f t="shared" si="18"/>
        <v>94.5</v>
      </c>
      <c r="L379" s="85" t="s">
        <v>1182</v>
      </c>
      <c r="M379" s="118" t="s">
        <v>362</v>
      </c>
      <c r="N379" s="96"/>
      <c r="O379" s="96" t="s">
        <v>873</v>
      </c>
      <c r="R379"/>
    </row>
    <row r="380" spans="1:18" hidden="1" x14ac:dyDescent="0.2">
      <c r="A380" s="84" t="str">
        <f t="shared" si="16"/>
        <v>MarçoSEMANA 2Arroz Branco</v>
      </c>
      <c r="B380" s="85" t="s">
        <v>31</v>
      </c>
      <c r="C380" s="85" t="s">
        <v>21</v>
      </c>
      <c r="D380" s="86">
        <v>7</v>
      </c>
      <c r="E380" s="116" t="str">
        <f t="shared" si="17"/>
        <v>Mercado</v>
      </c>
      <c r="F380" s="85" t="s">
        <v>1106</v>
      </c>
      <c r="G380" s="85" t="s">
        <v>126</v>
      </c>
      <c r="H380" s="85" t="s">
        <v>1083</v>
      </c>
      <c r="I380" s="85">
        <v>30</v>
      </c>
      <c r="J380" s="87">
        <f>98.64/30</f>
        <v>3.2879999999999998</v>
      </c>
      <c r="K380" s="88">
        <f t="shared" si="18"/>
        <v>98.64</v>
      </c>
      <c r="L380" s="85" t="s">
        <v>1183</v>
      </c>
      <c r="M380" s="118" t="s">
        <v>978</v>
      </c>
      <c r="N380" s="96"/>
      <c r="O380" s="96" t="s">
        <v>873</v>
      </c>
      <c r="R380"/>
    </row>
    <row r="381" spans="1:18" hidden="1" x14ac:dyDescent="0.2">
      <c r="A381" s="84" t="str">
        <f t="shared" si="16"/>
        <v>MarçoSEMANA 2Feijão Mulatinho</v>
      </c>
      <c r="B381" s="85" t="s">
        <v>31</v>
      </c>
      <c r="C381" s="85" t="s">
        <v>21</v>
      </c>
      <c r="D381" s="86">
        <v>7</v>
      </c>
      <c r="E381" s="116" t="str">
        <f t="shared" si="17"/>
        <v>Mercado</v>
      </c>
      <c r="F381" s="85" t="s">
        <v>1106</v>
      </c>
      <c r="G381" s="85" t="s">
        <v>351</v>
      </c>
      <c r="H381" s="85" t="s">
        <v>1083</v>
      </c>
      <c r="I381" s="85">
        <f>10*0.5</f>
        <v>5</v>
      </c>
      <c r="J381" s="87">
        <f>38/5</f>
        <v>7.6</v>
      </c>
      <c r="K381" s="88">
        <f t="shared" si="18"/>
        <v>38</v>
      </c>
      <c r="L381" s="85" t="s">
        <v>1183</v>
      </c>
      <c r="M381" s="118" t="s">
        <v>892</v>
      </c>
      <c r="N381" s="96"/>
      <c r="O381" s="96" t="s">
        <v>42</v>
      </c>
      <c r="R381"/>
    </row>
    <row r="382" spans="1:18" hidden="1" x14ac:dyDescent="0.2">
      <c r="A382" s="84" t="str">
        <f t="shared" si="16"/>
        <v>MarçoSEMANA 2Feijão Preto</v>
      </c>
      <c r="B382" s="85" t="s">
        <v>31</v>
      </c>
      <c r="C382" s="85" t="s">
        <v>21</v>
      </c>
      <c r="D382" s="86">
        <v>7</v>
      </c>
      <c r="E382" s="116" t="str">
        <f t="shared" si="17"/>
        <v>Mercado</v>
      </c>
      <c r="F382" s="85" t="s">
        <v>1106</v>
      </c>
      <c r="G382" s="85" t="s">
        <v>352</v>
      </c>
      <c r="H382" s="85" t="s">
        <v>1083</v>
      </c>
      <c r="I382" s="85">
        <v>10</v>
      </c>
      <c r="J382" s="87">
        <v>4.25</v>
      </c>
      <c r="K382" s="88">
        <f t="shared" si="18"/>
        <v>42.5</v>
      </c>
      <c r="L382" s="85" t="s">
        <v>1183</v>
      </c>
      <c r="M382" s="118" t="s">
        <v>363</v>
      </c>
      <c r="N382" s="96"/>
      <c r="O382" s="96" t="s">
        <v>60</v>
      </c>
      <c r="R382"/>
    </row>
    <row r="383" spans="1:18" hidden="1" x14ac:dyDescent="0.2">
      <c r="A383" s="84" t="str">
        <f t="shared" si="16"/>
        <v>MarçoSEMANA 2Lentilha</v>
      </c>
      <c r="B383" s="85" t="s">
        <v>31</v>
      </c>
      <c r="C383" s="85" t="s">
        <v>21</v>
      </c>
      <c r="D383" s="86">
        <v>7</v>
      </c>
      <c r="E383" s="116" t="str">
        <f t="shared" si="17"/>
        <v>Mercado</v>
      </c>
      <c r="F383" s="85" t="s">
        <v>1106</v>
      </c>
      <c r="G383" s="85" t="s">
        <v>461</v>
      </c>
      <c r="H383" s="85" t="s">
        <v>1083</v>
      </c>
      <c r="I383" s="85">
        <f>20*0.5</f>
        <v>10</v>
      </c>
      <c r="J383" s="87">
        <f>104/10</f>
        <v>10.4</v>
      </c>
      <c r="K383" s="88">
        <f t="shared" si="18"/>
        <v>104</v>
      </c>
      <c r="L383" s="85" t="s">
        <v>1183</v>
      </c>
      <c r="M383" s="118" t="s">
        <v>364</v>
      </c>
      <c r="N383" s="96"/>
      <c r="O383" s="96" t="s">
        <v>42</v>
      </c>
      <c r="R383"/>
    </row>
    <row r="384" spans="1:18" hidden="1" x14ac:dyDescent="0.2">
      <c r="A384" s="84" t="str">
        <f t="shared" si="16"/>
        <v>MarçoSEMANA 2Margarina Bd 15 Kg</v>
      </c>
      <c r="B384" s="85" t="s">
        <v>31</v>
      </c>
      <c r="C384" s="85" t="s">
        <v>21</v>
      </c>
      <c r="D384" s="86">
        <v>7</v>
      </c>
      <c r="E384" s="116" t="str">
        <f t="shared" si="17"/>
        <v>Mercado</v>
      </c>
      <c r="F384" s="85" t="s">
        <v>1106</v>
      </c>
      <c r="G384" s="85" t="s">
        <v>504</v>
      </c>
      <c r="H384" s="85" t="s">
        <v>1088</v>
      </c>
      <c r="I384" s="85">
        <v>1</v>
      </c>
      <c r="J384" s="87">
        <v>74.760000000000005</v>
      </c>
      <c r="K384" s="88">
        <f t="shared" si="18"/>
        <v>74.760000000000005</v>
      </c>
      <c r="L384" s="85" t="s">
        <v>1183</v>
      </c>
      <c r="M384" s="118" t="s">
        <v>365</v>
      </c>
      <c r="N384" s="96"/>
      <c r="O384" s="96" t="s">
        <v>45</v>
      </c>
      <c r="R384"/>
    </row>
    <row r="385" spans="1:18" hidden="1" x14ac:dyDescent="0.2">
      <c r="A385" s="84" t="str">
        <f t="shared" si="16"/>
        <v>MarçoSEMANA 2Óleo Composto 500ml</v>
      </c>
      <c r="B385" s="85" t="s">
        <v>31</v>
      </c>
      <c r="C385" s="85" t="s">
        <v>21</v>
      </c>
      <c r="D385" s="86">
        <v>7</v>
      </c>
      <c r="E385" s="116" t="str">
        <f t="shared" si="17"/>
        <v>Mercado</v>
      </c>
      <c r="F385" s="85" t="s">
        <v>1106</v>
      </c>
      <c r="G385" s="85" t="s">
        <v>541</v>
      </c>
      <c r="H385" s="85" t="s">
        <v>1090</v>
      </c>
      <c r="I385" s="85">
        <v>24</v>
      </c>
      <c r="J385" s="87">
        <f>(77.28+1.6)/24</f>
        <v>3.2866666666666666</v>
      </c>
      <c r="K385" s="88">
        <f t="shared" si="18"/>
        <v>78.88</v>
      </c>
      <c r="L385" s="85" t="s">
        <v>1183</v>
      </c>
      <c r="M385" s="118" t="s">
        <v>366</v>
      </c>
      <c r="N385" s="84"/>
      <c r="O385" s="84" t="s">
        <v>60</v>
      </c>
      <c r="R385"/>
    </row>
    <row r="386" spans="1:18" hidden="1" x14ac:dyDescent="0.2">
      <c r="A386" s="84" t="str">
        <f t="shared" ref="A386:A449" si="19">CONCATENATE(B386,C386,G386)</f>
        <v>MarçoSEMANA 2Vinagre de Vinho Tinto 750 ml</v>
      </c>
      <c r="B386" s="85" t="s">
        <v>31</v>
      </c>
      <c r="C386" s="85" t="s">
        <v>21</v>
      </c>
      <c r="D386" s="86">
        <v>7</v>
      </c>
      <c r="E386" s="116" t="str">
        <f t="shared" ref="E386:E449" si="20">VLOOKUP(G386,$M$1:$O$993,3,0)</f>
        <v>Mercado</v>
      </c>
      <c r="F386" s="85" t="s">
        <v>1106</v>
      </c>
      <c r="G386" s="85" t="s">
        <v>841</v>
      </c>
      <c r="H386" s="85" t="s">
        <v>1090</v>
      </c>
      <c r="I386" s="85">
        <v>12</v>
      </c>
      <c r="J386" s="87">
        <f>31.98/12</f>
        <v>2.665</v>
      </c>
      <c r="K386" s="88">
        <f t="shared" ref="K386:K449" si="21">I386*J386</f>
        <v>31.98</v>
      </c>
      <c r="L386" s="85" t="s">
        <v>1183</v>
      </c>
      <c r="M386" s="118" t="s">
        <v>965</v>
      </c>
      <c r="N386" s="84"/>
      <c r="O386" s="84" t="s">
        <v>60</v>
      </c>
      <c r="R386"/>
    </row>
    <row r="387" spans="1:18" hidden="1" x14ac:dyDescent="0.2">
      <c r="A387" s="84" t="str">
        <f t="shared" si="19"/>
        <v>MarçoSEMANA 2Pescados - Salmão Inteiro Sushi</v>
      </c>
      <c r="B387" s="85" t="s">
        <v>31</v>
      </c>
      <c r="C387" s="85" t="s">
        <v>21</v>
      </c>
      <c r="D387" s="86">
        <v>7</v>
      </c>
      <c r="E387" s="116" t="str">
        <f t="shared" si="20"/>
        <v>Sushi</v>
      </c>
      <c r="F387" s="85" t="s">
        <v>1104</v>
      </c>
      <c r="G387" s="85" t="s">
        <v>644</v>
      </c>
      <c r="H387" s="85" t="s">
        <v>1083</v>
      </c>
      <c r="I387" s="85">
        <v>28.31</v>
      </c>
      <c r="J387" s="87">
        <v>25.5002</v>
      </c>
      <c r="K387" s="88">
        <f t="shared" si="21"/>
        <v>721.910662</v>
      </c>
      <c r="L387" s="85" t="s">
        <v>1184</v>
      </c>
      <c r="M387" s="118" t="s">
        <v>1039</v>
      </c>
      <c r="O387" s="84" t="s">
        <v>42</v>
      </c>
      <c r="R387"/>
    </row>
    <row r="388" spans="1:18" hidden="1" x14ac:dyDescent="0.2">
      <c r="A388" s="84" t="str">
        <f t="shared" si="19"/>
        <v>MarçoSEMANA 2Pescados - Atum Fresco</v>
      </c>
      <c r="B388" s="85" t="s">
        <v>31</v>
      </c>
      <c r="C388" s="85" t="s">
        <v>21</v>
      </c>
      <c r="D388" s="86">
        <v>7</v>
      </c>
      <c r="E388" s="116" t="str">
        <f t="shared" si="20"/>
        <v>Carnes</v>
      </c>
      <c r="F388" s="85" t="s">
        <v>1131</v>
      </c>
      <c r="G388" s="85" t="s">
        <v>585</v>
      </c>
      <c r="H388" s="85" t="s">
        <v>1083</v>
      </c>
      <c r="I388" s="85">
        <v>39.880000000000003</v>
      </c>
      <c r="J388" s="87">
        <v>13</v>
      </c>
      <c r="K388" s="88">
        <f t="shared" si="21"/>
        <v>518.44000000000005</v>
      </c>
      <c r="L388" s="85">
        <v>4921</v>
      </c>
      <c r="M388" s="118" t="s">
        <v>966</v>
      </c>
      <c r="O388" s="115" t="s">
        <v>60</v>
      </c>
      <c r="R388"/>
    </row>
    <row r="389" spans="1:18" hidden="1" x14ac:dyDescent="0.2">
      <c r="A389" s="84" t="str">
        <f t="shared" si="19"/>
        <v>MarçoSEMANA 2Pescados - Atum Fresco Sushi</v>
      </c>
      <c r="B389" s="85" t="s">
        <v>31</v>
      </c>
      <c r="C389" s="85" t="s">
        <v>21</v>
      </c>
      <c r="D389" s="86">
        <v>7</v>
      </c>
      <c r="E389" s="116" t="str">
        <f t="shared" si="20"/>
        <v>Sushi</v>
      </c>
      <c r="F389" s="85" t="s">
        <v>1131</v>
      </c>
      <c r="G389" s="85" t="s">
        <v>586</v>
      </c>
      <c r="H389" s="85" t="s">
        <v>1083</v>
      </c>
      <c r="I389" s="85">
        <v>15.12</v>
      </c>
      <c r="J389" s="87">
        <v>13</v>
      </c>
      <c r="K389" s="88">
        <f t="shared" si="21"/>
        <v>196.56</v>
      </c>
      <c r="L389" s="85">
        <v>4921</v>
      </c>
      <c r="M389" s="118" t="s">
        <v>367</v>
      </c>
      <c r="N389" s="84"/>
      <c r="O389" s="84" t="s">
        <v>873</v>
      </c>
      <c r="R389"/>
    </row>
    <row r="390" spans="1:18" hidden="1" x14ac:dyDescent="0.2">
      <c r="A390" s="84" t="str">
        <f t="shared" si="19"/>
        <v>MarçoSEMANA 2Aves - Filé de Coxa</v>
      </c>
      <c r="B390" s="85" t="s">
        <v>31</v>
      </c>
      <c r="C390" s="85" t="s">
        <v>21</v>
      </c>
      <c r="D390" s="86">
        <v>7</v>
      </c>
      <c r="E390" s="116" t="str">
        <f t="shared" si="20"/>
        <v>Carnes</v>
      </c>
      <c r="F390" s="85" t="s">
        <v>1092</v>
      </c>
      <c r="G390" s="85" t="s">
        <v>137</v>
      </c>
      <c r="H390" s="85" t="s">
        <v>1083</v>
      </c>
      <c r="I390" s="85">
        <f>36*0.7</f>
        <v>25.2</v>
      </c>
      <c r="J390" s="87">
        <f>219.24/25.2</f>
        <v>8.7000000000000011</v>
      </c>
      <c r="K390" s="88">
        <f t="shared" si="21"/>
        <v>219.24</v>
      </c>
      <c r="L390" s="85" t="s">
        <v>1185</v>
      </c>
      <c r="M390" s="118" t="s">
        <v>368</v>
      </c>
      <c r="N390" s="84"/>
      <c r="O390" s="84" t="s">
        <v>872</v>
      </c>
      <c r="R390"/>
    </row>
    <row r="391" spans="1:18" hidden="1" x14ac:dyDescent="0.2">
      <c r="A391" s="84" t="str">
        <f t="shared" si="19"/>
        <v>MarçoSEMANA 2Água Mineral com Gás</v>
      </c>
      <c r="B391" s="85" t="s">
        <v>31</v>
      </c>
      <c r="C391" s="85" t="s">
        <v>21</v>
      </c>
      <c r="D391" s="86">
        <v>7</v>
      </c>
      <c r="E391" s="116" t="str">
        <f t="shared" si="20"/>
        <v>Bebidas</v>
      </c>
      <c r="F391" s="85" t="s">
        <v>1127</v>
      </c>
      <c r="G391" s="85" t="s">
        <v>90</v>
      </c>
      <c r="H391" s="85" t="s">
        <v>1090</v>
      </c>
      <c r="I391" s="85">
        <f>30*6</f>
        <v>180</v>
      </c>
      <c r="J391" s="87">
        <f>240/180</f>
        <v>1.3333333333333333</v>
      </c>
      <c r="K391" s="88">
        <f t="shared" si="21"/>
        <v>240</v>
      </c>
      <c r="L391" s="85">
        <v>434590</v>
      </c>
      <c r="M391" s="118" t="s">
        <v>369</v>
      </c>
      <c r="N391" s="84"/>
      <c r="O391" s="84" t="s">
        <v>872</v>
      </c>
      <c r="R391"/>
    </row>
    <row r="392" spans="1:18" hidden="1" x14ac:dyDescent="0.2">
      <c r="A392" s="84" t="str">
        <f t="shared" si="19"/>
        <v>MarçoSEMANA 2Água Mineral sem Gás</v>
      </c>
      <c r="B392" s="85" t="s">
        <v>31</v>
      </c>
      <c r="C392" s="85" t="s">
        <v>21</v>
      </c>
      <c r="D392" s="86">
        <v>7</v>
      </c>
      <c r="E392" s="116" t="str">
        <f t="shared" si="20"/>
        <v>Bebidas</v>
      </c>
      <c r="F392" s="85" t="s">
        <v>1127</v>
      </c>
      <c r="G392" s="85" t="s">
        <v>91</v>
      </c>
      <c r="H392" s="85" t="s">
        <v>1090</v>
      </c>
      <c r="I392" s="85">
        <f>26*6</f>
        <v>156</v>
      </c>
      <c r="J392" s="87">
        <f>208/156</f>
        <v>1.3333333333333333</v>
      </c>
      <c r="K392" s="88">
        <f t="shared" si="21"/>
        <v>208</v>
      </c>
      <c r="L392" s="85">
        <v>434590</v>
      </c>
      <c r="M392" s="118" t="s">
        <v>370</v>
      </c>
      <c r="N392" s="84"/>
      <c r="O392" s="84" t="s">
        <v>872</v>
      </c>
      <c r="R392"/>
    </row>
    <row r="393" spans="1:18" hidden="1" x14ac:dyDescent="0.2">
      <c r="A393" s="84" t="str">
        <f t="shared" si="19"/>
        <v>MarçoSEMANA 2Creme de Leite Culinário 20% Bd 10 Lt</v>
      </c>
      <c r="B393" s="85" t="s">
        <v>31</v>
      </c>
      <c r="C393" s="85" t="s">
        <v>21</v>
      </c>
      <c r="D393" s="86">
        <v>7</v>
      </c>
      <c r="E393" s="116" t="str">
        <f t="shared" si="20"/>
        <v>Laticínios</v>
      </c>
      <c r="F393" s="85" t="s">
        <v>1152</v>
      </c>
      <c r="G393" s="85" t="s">
        <v>315</v>
      </c>
      <c r="H393" s="85" t="s">
        <v>1088</v>
      </c>
      <c r="I393" s="85">
        <v>2</v>
      </c>
      <c r="J393" s="87">
        <v>142.44999999999999</v>
      </c>
      <c r="K393" s="88">
        <f t="shared" si="21"/>
        <v>284.89999999999998</v>
      </c>
      <c r="L393" s="85" t="s">
        <v>1186</v>
      </c>
      <c r="M393" s="118" t="s">
        <v>371</v>
      </c>
      <c r="O393" s="115" t="s">
        <v>45</v>
      </c>
      <c r="R393"/>
    </row>
    <row r="394" spans="1:18" hidden="1" x14ac:dyDescent="0.2">
      <c r="A394" s="84" t="str">
        <f t="shared" si="19"/>
        <v>MarçoSEMANA 2Queijo Mussarela</v>
      </c>
      <c r="B394" s="85" t="s">
        <v>31</v>
      </c>
      <c r="C394" s="85" t="s">
        <v>21</v>
      </c>
      <c r="D394" s="86">
        <v>7</v>
      </c>
      <c r="E394" s="116" t="str">
        <f t="shared" si="20"/>
        <v>Laticínios</v>
      </c>
      <c r="F394" s="85" t="s">
        <v>1152</v>
      </c>
      <c r="G394" s="85" t="s">
        <v>684</v>
      </c>
      <c r="H394" s="85" t="s">
        <v>1083</v>
      </c>
      <c r="I394" s="85">
        <v>6.32</v>
      </c>
      <c r="J394" s="87">
        <v>26</v>
      </c>
      <c r="K394" s="88">
        <f t="shared" si="21"/>
        <v>164.32</v>
      </c>
      <c r="L394" s="85" t="s">
        <v>1186</v>
      </c>
      <c r="M394" s="118" t="s">
        <v>372</v>
      </c>
      <c r="N394" s="84"/>
      <c r="O394" s="84" t="s">
        <v>42</v>
      </c>
      <c r="R394"/>
    </row>
    <row r="395" spans="1:18" hidden="1" x14ac:dyDescent="0.2">
      <c r="A395" s="84" t="str">
        <f t="shared" si="19"/>
        <v>MarçoSEMANA 2Queijo Minas</v>
      </c>
      <c r="B395" s="85" t="s">
        <v>31</v>
      </c>
      <c r="C395" s="85" t="s">
        <v>21</v>
      </c>
      <c r="D395" s="86">
        <v>7</v>
      </c>
      <c r="E395" s="116" t="str">
        <f t="shared" si="20"/>
        <v>Laticínios</v>
      </c>
      <c r="F395" s="85" t="s">
        <v>1152</v>
      </c>
      <c r="G395" s="85" t="s">
        <v>681</v>
      </c>
      <c r="H395" s="85" t="s">
        <v>1083</v>
      </c>
      <c r="I395" s="85">
        <v>1.5</v>
      </c>
      <c r="J395" s="87">
        <v>20.8</v>
      </c>
      <c r="K395" s="88">
        <f t="shared" si="21"/>
        <v>31.200000000000003</v>
      </c>
      <c r="L395" s="85" t="s">
        <v>1186</v>
      </c>
      <c r="M395" s="118" t="s">
        <v>373</v>
      </c>
      <c r="N395" s="84"/>
      <c r="O395" s="84" t="s">
        <v>42</v>
      </c>
      <c r="R395"/>
    </row>
    <row r="396" spans="1:18" hidden="1" x14ac:dyDescent="0.2">
      <c r="A396" s="84" t="str">
        <f t="shared" si="19"/>
        <v>MarçoSEMANA 2Queijo Ricota</v>
      </c>
      <c r="B396" s="85" t="s">
        <v>31</v>
      </c>
      <c r="C396" s="85" t="s">
        <v>21</v>
      </c>
      <c r="D396" s="86">
        <v>7</v>
      </c>
      <c r="E396" s="116" t="str">
        <f t="shared" si="20"/>
        <v>Laticínios</v>
      </c>
      <c r="F396" s="85" t="s">
        <v>1152</v>
      </c>
      <c r="G396" s="85" t="s">
        <v>688</v>
      </c>
      <c r="H396" s="85" t="s">
        <v>1083</v>
      </c>
      <c r="I396" s="85">
        <v>2.7</v>
      </c>
      <c r="J396" s="87">
        <v>10.6</v>
      </c>
      <c r="K396" s="88">
        <f t="shared" si="21"/>
        <v>28.62</v>
      </c>
      <c r="L396" s="85" t="s">
        <v>1186</v>
      </c>
      <c r="M396" s="118" t="s">
        <v>374</v>
      </c>
      <c r="N396" s="84"/>
      <c r="O396" s="84" t="s">
        <v>45</v>
      </c>
      <c r="R396"/>
    </row>
    <row r="397" spans="1:18" hidden="1" x14ac:dyDescent="0.2">
      <c r="A397" s="84" t="str">
        <f t="shared" si="19"/>
        <v>MarçoSEMANA 2Queijo Requeijão BD 3,6 Kg</v>
      </c>
      <c r="B397" s="85" t="s">
        <v>31</v>
      </c>
      <c r="C397" s="85" t="s">
        <v>21</v>
      </c>
      <c r="D397" s="86">
        <v>7</v>
      </c>
      <c r="E397" s="116" t="str">
        <f t="shared" si="20"/>
        <v>Laticínios</v>
      </c>
      <c r="F397" s="85" t="s">
        <v>1152</v>
      </c>
      <c r="G397" s="85" t="s">
        <v>687</v>
      </c>
      <c r="H397" s="85" t="s">
        <v>1088</v>
      </c>
      <c r="I397" s="85">
        <v>2</v>
      </c>
      <c r="J397" s="87">
        <v>74.400000000000006</v>
      </c>
      <c r="K397" s="88">
        <f t="shared" si="21"/>
        <v>148.80000000000001</v>
      </c>
      <c r="L397" s="85" t="s">
        <v>1186</v>
      </c>
      <c r="M397" s="118" t="s">
        <v>375</v>
      </c>
      <c r="N397" s="84"/>
      <c r="O397" s="84" t="s">
        <v>42</v>
      </c>
      <c r="R397"/>
    </row>
    <row r="398" spans="1:18" hidden="1" x14ac:dyDescent="0.2">
      <c r="A398" s="84" t="str">
        <f t="shared" si="19"/>
        <v>MarçoSEMANA 2Gelo em Escamas</v>
      </c>
      <c r="B398" s="85" t="s">
        <v>31</v>
      </c>
      <c r="C398" s="85" t="s">
        <v>21</v>
      </c>
      <c r="D398" s="86">
        <v>7</v>
      </c>
      <c r="E398" s="116" t="str">
        <f t="shared" si="20"/>
        <v>Mercado</v>
      </c>
      <c r="F398" s="85" t="s">
        <v>1096</v>
      </c>
      <c r="G398" s="85" t="s">
        <v>384</v>
      </c>
      <c r="H398" s="85" t="s">
        <v>1097</v>
      </c>
      <c r="I398" s="85">
        <v>2</v>
      </c>
      <c r="J398" s="87">
        <v>7.5</v>
      </c>
      <c r="K398" s="88">
        <f t="shared" si="21"/>
        <v>15</v>
      </c>
      <c r="L398" s="85">
        <v>2528</v>
      </c>
      <c r="M398" s="118" t="s">
        <v>376</v>
      </c>
      <c r="N398" s="84"/>
      <c r="O398" s="84" t="s">
        <v>42</v>
      </c>
      <c r="R398"/>
    </row>
    <row r="399" spans="1:18" hidden="1" x14ac:dyDescent="0.2">
      <c r="A399" s="84" t="str">
        <f t="shared" si="19"/>
        <v>MarçoSEMANA 2Gelo em Cubo</v>
      </c>
      <c r="B399" s="85" t="s">
        <v>31</v>
      </c>
      <c r="C399" s="85" t="s">
        <v>21</v>
      </c>
      <c r="D399" s="86">
        <v>7</v>
      </c>
      <c r="E399" s="116" t="str">
        <f t="shared" si="20"/>
        <v>Mercado</v>
      </c>
      <c r="F399" s="85" t="s">
        <v>1096</v>
      </c>
      <c r="G399" s="85" t="s">
        <v>383</v>
      </c>
      <c r="H399" s="85" t="s">
        <v>1097</v>
      </c>
      <c r="I399" s="85">
        <v>2</v>
      </c>
      <c r="J399" s="87">
        <v>7.5</v>
      </c>
      <c r="K399" s="88">
        <f t="shared" si="21"/>
        <v>15</v>
      </c>
      <c r="L399" s="85">
        <v>2528</v>
      </c>
      <c r="M399" s="118" t="s">
        <v>1068</v>
      </c>
      <c r="N399" s="84"/>
      <c r="O399" s="84" t="s">
        <v>60</v>
      </c>
      <c r="R399"/>
    </row>
    <row r="400" spans="1:18" hidden="1" x14ac:dyDescent="0.2">
      <c r="A400" s="84" t="str">
        <f t="shared" si="19"/>
        <v>MarçoSEMANA 2Carne Bovina - Picanha Grill/Churrascaria</v>
      </c>
      <c r="B400" s="85" t="s">
        <v>31</v>
      </c>
      <c r="C400" s="85" t="s">
        <v>21</v>
      </c>
      <c r="D400" s="86">
        <v>7</v>
      </c>
      <c r="E400" s="116" t="str">
        <f t="shared" si="20"/>
        <v>Carnes</v>
      </c>
      <c r="F400" s="85" t="s">
        <v>1100</v>
      </c>
      <c r="G400" s="85" t="s">
        <v>233</v>
      </c>
      <c r="H400" s="85" t="s">
        <v>1083</v>
      </c>
      <c r="I400" s="85">
        <v>38.57</v>
      </c>
      <c r="J400" s="87">
        <v>33.1633</v>
      </c>
      <c r="K400" s="88">
        <f t="shared" si="21"/>
        <v>1279.108481</v>
      </c>
      <c r="L400" s="85">
        <v>109997</v>
      </c>
      <c r="M400" s="118" t="s">
        <v>377</v>
      </c>
      <c r="N400" s="84"/>
      <c r="O400" s="84" t="s">
        <v>872</v>
      </c>
      <c r="R400"/>
    </row>
    <row r="401" spans="1:18" hidden="1" x14ac:dyDescent="0.2">
      <c r="A401" s="84" t="str">
        <f t="shared" si="19"/>
        <v>MarçoSEMANA 2Carne Bovina - Coração Alcatra</v>
      </c>
      <c r="B401" s="85" t="s">
        <v>31</v>
      </c>
      <c r="C401" s="85" t="s">
        <v>21</v>
      </c>
      <c r="D401" s="86">
        <v>7</v>
      </c>
      <c r="E401" s="116" t="str">
        <f t="shared" si="20"/>
        <v>Carnes</v>
      </c>
      <c r="F401" s="85" t="s">
        <v>1100</v>
      </c>
      <c r="G401" s="85" t="s">
        <v>219</v>
      </c>
      <c r="H401" s="85" t="s">
        <v>1083</v>
      </c>
      <c r="I401" s="85">
        <v>25.913</v>
      </c>
      <c r="J401" s="87">
        <v>18.9694</v>
      </c>
      <c r="K401" s="88">
        <f t="shared" si="21"/>
        <v>491.55406220000003</v>
      </c>
      <c r="L401" s="85">
        <v>109997</v>
      </c>
      <c r="M401" s="118" t="s">
        <v>378</v>
      </c>
      <c r="N401" s="84"/>
      <c r="O401" s="84" t="s">
        <v>60</v>
      </c>
      <c r="R401"/>
    </row>
    <row r="402" spans="1:18" hidden="1" x14ac:dyDescent="0.2">
      <c r="A402" s="84" t="str">
        <f t="shared" si="19"/>
        <v>MarçoSEMANA 2Amendoa Fatiada</v>
      </c>
      <c r="B402" s="85" t="s">
        <v>31</v>
      </c>
      <c r="C402" s="85" t="s">
        <v>21</v>
      </c>
      <c r="D402" s="86">
        <v>7</v>
      </c>
      <c r="E402" s="116" t="str">
        <f t="shared" si="20"/>
        <v>Mercado</v>
      </c>
      <c r="F402" s="85" t="s">
        <v>1084</v>
      </c>
      <c r="G402" s="85" t="s">
        <v>117</v>
      </c>
      <c r="H402" s="85" t="s">
        <v>1083</v>
      </c>
      <c r="I402" s="85">
        <v>0.504</v>
      </c>
      <c r="J402" s="87">
        <v>70.654799999999994</v>
      </c>
      <c r="K402" s="88">
        <f t="shared" si="21"/>
        <v>35.610019199999996</v>
      </c>
      <c r="L402" s="85" t="s">
        <v>1187</v>
      </c>
      <c r="M402" s="118" t="s">
        <v>379</v>
      </c>
      <c r="N402" s="84"/>
      <c r="O402" s="84" t="s">
        <v>42</v>
      </c>
      <c r="R402"/>
    </row>
    <row r="403" spans="1:18" hidden="1" x14ac:dyDescent="0.2">
      <c r="A403" s="84" t="str">
        <f t="shared" si="19"/>
        <v>MarçoSEMANA 2Arroz Integral Curto</v>
      </c>
      <c r="B403" s="85" t="s">
        <v>31</v>
      </c>
      <c r="C403" s="85" t="s">
        <v>21</v>
      </c>
      <c r="D403" s="86">
        <v>7</v>
      </c>
      <c r="E403" s="116" t="str">
        <f t="shared" si="20"/>
        <v>Mercado</v>
      </c>
      <c r="F403" s="85" t="s">
        <v>1084</v>
      </c>
      <c r="G403" s="85" t="s">
        <v>127</v>
      </c>
      <c r="H403" s="85" t="s">
        <v>1083</v>
      </c>
      <c r="I403" s="85">
        <v>15.098000000000001</v>
      </c>
      <c r="J403" s="87">
        <v>8.4202999999999992</v>
      </c>
      <c r="K403" s="88">
        <f t="shared" si="21"/>
        <v>127.12968939999999</v>
      </c>
      <c r="L403" s="85" t="s">
        <v>1187</v>
      </c>
      <c r="M403" s="118" t="s">
        <v>380</v>
      </c>
      <c r="N403" s="84"/>
      <c r="O403" s="84" t="s">
        <v>42</v>
      </c>
      <c r="R403"/>
    </row>
    <row r="404" spans="1:18" hidden="1" x14ac:dyDescent="0.2">
      <c r="A404" s="84" t="str">
        <f t="shared" si="19"/>
        <v>MarçoSEMANA 2Funghi Seco</v>
      </c>
      <c r="B404" s="85" t="s">
        <v>31</v>
      </c>
      <c r="C404" s="85" t="s">
        <v>21</v>
      </c>
      <c r="D404" s="86">
        <v>7</v>
      </c>
      <c r="E404" s="116" t="str">
        <f t="shared" si="20"/>
        <v>Mercado</v>
      </c>
      <c r="F404" s="85" t="s">
        <v>1084</v>
      </c>
      <c r="G404" s="85" t="s">
        <v>376</v>
      </c>
      <c r="H404" s="85" t="s">
        <v>1083</v>
      </c>
      <c r="I404" s="85">
        <v>0.5</v>
      </c>
      <c r="J404" s="87">
        <v>79.819999999999993</v>
      </c>
      <c r="K404" s="88">
        <f t="shared" si="21"/>
        <v>39.909999999999997</v>
      </c>
      <c r="L404" s="85" t="s">
        <v>1187</v>
      </c>
      <c r="M404" s="118" t="s">
        <v>381</v>
      </c>
      <c r="N404" s="84"/>
      <c r="O404" s="84" t="s">
        <v>42</v>
      </c>
      <c r="R404"/>
    </row>
    <row r="405" spans="1:18" hidden="1" x14ac:dyDescent="0.2">
      <c r="A405" s="84" t="str">
        <f t="shared" si="19"/>
        <v>MarçoSEMANA 2Flocos de Arroz (cozinha)</v>
      </c>
      <c r="B405" s="85" t="s">
        <v>31</v>
      </c>
      <c r="C405" s="85" t="s">
        <v>21</v>
      </c>
      <c r="D405" s="86">
        <v>7</v>
      </c>
      <c r="E405" s="116" t="str">
        <f t="shared" si="20"/>
        <v>Mercado</v>
      </c>
      <c r="F405" s="85" t="s">
        <v>1084</v>
      </c>
      <c r="G405" s="85" t="s">
        <v>892</v>
      </c>
      <c r="H405" s="85" t="s">
        <v>1083</v>
      </c>
      <c r="I405" s="85">
        <v>1.01</v>
      </c>
      <c r="J405" s="87">
        <v>13.485099999999999</v>
      </c>
      <c r="K405" s="88">
        <f t="shared" si="21"/>
        <v>13.619950999999999</v>
      </c>
      <c r="L405" s="85" t="s">
        <v>1187</v>
      </c>
      <c r="M405" s="118" t="s">
        <v>382</v>
      </c>
      <c r="N405" s="84"/>
      <c r="O405" s="84" t="s">
        <v>42</v>
      </c>
      <c r="R405"/>
    </row>
    <row r="406" spans="1:18" hidden="1" x14ac:dyDescent="0.2">
      <c r="A406" s="84" t="str">
        <f t="shared" si="19"/>
        <v>MarçoSEMANA 2Pequi Fatiado</v>
      </c>
      <c r="B406" s="85" t="s">
        <v>31</v>
      </c>
      <c r="C406" s="85" t="s">
        <v>21</v>
      </c>
      <c r="D406" s="86">
        <v>7</v>
      </c>
      <c r="E406" s="116" t="str">
        <f t="shared" si="20"/>
        <v>Mercado</v>
      </c>
      <c r="F406" s="85" t="s">
        <v>1084</v>
      </c>
      <c r="G406" s="85" t="s">
        <v>579</v>
      </c>
      <c r="H406" s="85" t="s">
        <v>1090</v>
      </c>
      <c r="I406" s="85">
        <v>1</v>
      </c>
      <c r="J406" s="87">
        <v>21.59</v>
      </c>
      <c r="K406" s="88">
        <f t="shared" si="21"/>
        <v>21.59</v>
      </c>
      <c r="L406" s="85" t="s">
        <v>1187</v>
      </c>
      <c r="M406" s="118" t="s">
        <v>903</v>
      </c>
      <c r="N406" s="84"/>
      <c r="O406" s="84" t="s">
        <v>43</v>
      </c>
      <c r="R406"/>
    </row>
    <row r="407" spans="1:18" hidden="1" x14ac:dyDescent="0.2">
      <c r="A407" s="84" t="str">
        <f t="shared" si="19"/>
        <v>MarçoSEMANA 2Vinagrete de Ervas</v>
      </c>
      <c r="B407" s="85" t="s">
        <v>31</v>
      </c>
      <c r="C407" s="85" t="s">
        <v>21</v>
      </c>
      <c r="D407" s="86">
        <v>7</v>
      </c>
      <c r="E407" s="116" t="str">
        <f t="shared" si="20"/>
        <v>Mercado</v>
      </c>
      <c r="F407" s="85" t="s">
        <v>1084</v>
      </c>
      <c r="G407" s="85" t="s">
        <v>842</v>
      </c>
      <c r="H407" s="85" t="s">
        <v>1083</v>
      </c>
      <c r="I407" s="90">
        <v>1.002</v>
      </c>
      <c r="J407" s="89">
        <v>43.203600000000002</v>
      </c>
      <c r="K407" s="88">
        <f t="shared" si="21"/>
        <v>43.290007200000005</v>
      </c>
      <c r="L407" s="85" t="s">
        <v>1187</v>
      </c>
      <c r="M407" s="118" t="s">
        <v>876</v>
      </c>
      <c r="O407" s="115" t="s">
        <v>42</v>
      </c>
      <c r="R407"/>
    </row>
    <row r="408" spans="1:18" hidden="1" x14ac:dyDescent="0.2">
      <c r="A408" s="84" t="str">
        <f t="shared" si="19"/>
        <v>MarçoSEMANA 2Pescados - Filé Tilápia Cong.</v>
      </c>
      <c r="B408" s="85" t="s">
        <v>31</v>
      </c>
      <c r="C408" s="85" t="s">
        <v>21</v>
      </c>
      <c r="D408" s="86">
        <v>7</v>
      </c>
      <c r="E408" s="116" t="str">
        <f t="shared" si="20"/>
        <v>Carnes</v>
      </c>
      <c r="F408" s="85" t="s">
        <v>1145</v>
      </c>
      <c r="G408" s="85" t="s">
        <v>613</v>
      </c>
      <c r="H408" s="85" t="s">
        <v>1083</v>
      </c>
      <c r="I408" s="85">
        <v>16</v>
      </c>
      <c r="J408" s="89">
        <v>26.3</v>
      </c>
      <c r="K408" s="88">
        <f t="shared" si="21"/>
        <v>420.8</v>
      </c>
      <c r="L408" s="85">
        <v>60933</v>
      </c>
      <c r="M408" s="118" t="s">
        <v>967</v>
      </c>
      <c r="N408" s="84"/>
      <c r="O408" s="84" t="s">
        <v>60</v>
      </c>
      <c r="R408"/>
    </row>
    <row r="409" spans="1:18" hidden="1" x14ac:dyDescent="0.2">
      <c r="A409" s="84" t="str">
        <f t="shared" si="19"/>
        <v>MarçoSEMANA 2Coca Cola (lata)</v>
      </c>
      <c r="B409" s="85" t="s">
        <v>31</v>
      </c>
      <c r="C409" s="85" t="s">
        <v>21</v>
      </c>
      <c r="D409" s="86">
        <v>7</v>
      </c>
      <c r="E409" s="116" t="str">
        <f t="shared" si="20"/>
        <v>Bebidas</v>
      </c>
      <c r="F409" s="85" t="s">
        <v>1103</v>
      </c>
      <c r="G409" s="85" t="s">
        <v>285</v>
      </c>
      <c r="H409" s="85" t="s">
        <v>1090</v>
      </c>
      <c r="I409" s="85">
        <f>12*8</f>
        <v>96</v>
      </c>
      <c r="J409" s="87">
        <f>272.8/96</f>
        <v>2.8416666666666668</v>
      </c>
      <c r="K409" s="88">
        <f t="shared" si="21"/>
        <v>272.8</v>
      </c>
      <c r="L409" s="85" t="s">
        <v>1188</v>
      </c>
      <c r="M409" s="118" t="s">
        <v>383</v>
      </c>
      <c r="O409" s="115" t="s">
        <v>42</v>
      </c>
      <c r="R409"/>
    </row>
    <row r="410" spans="1:18" hidden="1" x14ac:dyDescent="0.2">
      <c r="A410" s="84" t="str">
        <f t="shared" si="19"/>
        <v>MarçoSEMANA 2Coca Cola Zero (lata)</v>
      </c>
      <c r="B410" s="85" t="s">
        <v>31</v>
      </c>
      <c r="C410" s="85" t="s">
        <v>21</v>
      </c>
      <c r="D410" s="86">
        <v>7</v>
      </c>
      <c r="E410" s="116" t="str">
        <f t="shared" si="20"/>
        <v>Bebidas</v>
      </c>
      <c r="F410" s="85" t="s">
        <v>1103</v>
      </c>
      <c r="G410" s="85" t="s">
        <v>286</v>
      </c>
      <c r="H410" s="85" t="s">
        <v>1090</v>
      </c>
      <c r="I410" s="85">
        <f>10*12</f>
        <v>120</v>
      </c>
      <c r="J410" s="87">
        <f>339.1/120</f>
        <v>2.8258333333333336</v>
      </c>
      <c r="K410" s="88">
        <f t="shared" si="21"/>
        <v>339.1</v>
      </c>
      <c r="L410" s="85" t="s">
        <v>1188</v>
      </c>
      <c r="M410" s="118" t="s">
        <v>384</v>
      </c>
      <c r="N410" s="84"/>
      <c r="O410" s="84" t="s">
        <v>42</v>
      </c>
      <c r="R410"/>
    </row>
    <row r="411" spans="1:18" hidden="1" x14ac:dyDescent="0.2">
      <c r="A411" s="84" t="str">
        <f t="shared" si="19"/>
        <v>MarçoSEMANA 2Cerveja Heineken Long Neck 330 ml</v>
      </c>
      <c r="B411" s="85" t="s">
        <v>31</v>
      </c>
      <c r="C411" s="85" t="s">
        <v>21</v>
      </c>
      <c r="D411" s="86">
        <v>7</v>
      </c>
      <c r="E411" s="116" t="str">
        <f t="shared" si="20"/>
        <v>Bebidas</v>
      </c>
      <c r="F411" s="85" t="s">
        <v>1103</v>
      </c>
      <c r="G411" s="85" t="s">
        <v>264</v>
      </c>
      <c r="H411" s="85" t="s">
        <v>1090</v>
      </c>
      <c r="I411" s="85">
        <v>24</v>
      </c>
      <c r="J411" s="87">
        <f>96/24</f>
        <v>4</v>
      </c>
      <c r="K411" s="88">
        <f t="shared" si="21"/>
        <v>96</v>
      </c>
      <c r="L411" s="85" t="s">
        <v>1188</v>
      </c>
      <c r="M411" s="118" t="s">
        <v>385</v>
      </c>
      <c r="N411" s="84"/>
      <c r="O411" s="84" t="s">
        <v>45</v>
      </c>
      <c r="R411"/>
    </row>
    <row r="412" spans="1:18" hidden="1" x14ac:dyDescent="0.2">
      <c r="A412" s="84" t="str">
        <f t="shared" si="19"/>
        <v>MarçoSEMANA 2Cerveja Heineken 600 ml</v>
      </c>
      <c r="B412" s="85" t="s">
        <v>31</v>
      </c>
      <c r="C412" s="85" t="s">
        <v>21</v>
      </c>
      <c r="D412" s="86">
        <v>7</v>
      </c>
      <c r="E412" s="116" t="str">
        <f t="shared" si="20"/>
        <v>Bebidas</v>
      </c>
      <c r="F412" s="85" t="s">
        <v>1103</v>
      </c>
      <c r="G412" s="85" t="s">
        <v>263</v>
      </c>
      <c r="H412" s="85" t="s">
        <v>1090</v>
      </c>
      <c r="I412" s="85">
        <v>24</v>
      </c>
      <c r="J412" s="87">
        <f>168/24</f>
        <v>7</v>
      </c>
      <c r="K412" s="88">
        <f t="shared" si="21"/>
        <v>168</v>
      </c>
      <c r="L412" s="85" t="s">
        <v>1188</v>
      </c>
      <c r="M412" s="118" t="s">
        <v>386</v>
      </c>
      <c r="O412" s="115" t="s">
        <v>60</v>
      </c>
      <c r="R412"/>
    </row>
    <row r="413" spans="1:18" hidden="1" x14ac:dyDescent="0.2">
      <c r="A413" s="84" t="str">
        <f t="shared" si="19"/>
        <v>MarçoSEMANA 2Pão Árabe</v>
      </c>
      <c r="B413" s="85" t="s">
        <v>31</v>
      </c>
      <c r="C413" s="85" t="s">
        <v>21</v>
      </c>
      <c r="D413" s="86">
        <v>7</v>
      </c>
      <c r="E413" s="116" t="str">
        <f t="shared" si="20"/>
        <v>Mercado</v>
      </c>
      <c r="F413" s="85" t="s">
        <v>1118</v>
      </c>
      <c r="G413" s="85" t="s">
        <v>560</v>
      </c>
      <c r="H413" s="85" t="s">
        <v>1114</v>
      </c>
      <c r="I413" s="85">
        <v>4</v>
      </c>
      <c r="J413" s="87">
        <v>6.7</v>
      </c>
      <c r="K413" s="88">
        <f t="shared" si="21"/>
        <v>26.8</v>
      </c>
      <c r="L413" s="85">
        <v>85972</v>
      </c>
      <c r="M413" s="118" t="s">
        <v>387</v>
      </c>
      <c r="N413" s="84"/>
      <c r="O413" s="84" t="s">
        <v>42</v>
      </c>
      <c r="R413"/>
    </row>
    <row r="414" spans="1:18" x14ac:dyDescent="0.25">
      <c r="A414" s="84" t="str">
        <f t="shared" si="19"/>
        <v xml:space="preserve">MarçoSEMANA 2Alface Americana    </v>
      </c>
      <c r="B414" s="85" t="s">
        <v>31</v>
      </c>
      <c r="C414" s="85" t="s">
        <v>21</v>
      </c>
      <c r="D414" s="86">
        <v>7</v>
      </c>
      <c r="E414" s="116" t="str">
        <f t="shared" si="20"/>
        <v>Hortifruti</v>
      </c>
      <c r="F414" s="85" t="s">
        <v>1158</v>
      </c>
      <c r="G414" s="85" t="s">
        <v>1189</v>
      </c>
      <c r="H414" s="85" t="s">
        <v>1083</v>
      </c>
      <c r="I414" s="85">
        <v>5.52</v>
      </c>
      <c r="J414" s="87">
        <f>26.91/5.52</f>
        <v>4.875</v>
      </c>
      <c r="K414" s="88">
        <f t="shared" si="21"/>
        <v>26.909999999999997</v>
      </c>
      <c r="L414" s="85">
        <v>59911</v>
      </c>
      <c r="M414" s="118" t="s">
        <v>388</v>
      </c>
      <c r="N414" s="84"/>
      <c r="O414" s="84" t="s">
        <v>60</v>
      </c>
      <c r="R414"/>
    </row>
    <row r="415" spans="1:18" x14ac:dyDescent="0.25">
      <c r="A415" s="84" t="str">
        <f t="shared" si="19"/>
        <v>MarçoSEMANA 2Batata Calabresa</v>
      </c>
      <c r="B415" s="85" t="s">
        <v>31</v>
      </c>
      <c r="C415" s="85" t="s">
        <v>21</v>
      </c>
      <c r="D415" s="86">
        <v>7</v>
      </c>
      <c r="E415" s="116" t="str">
        <f t="shared" si="20"/>
        <v>Hortifruti</v>
      </c>
      <c r="F415" s="85" t="s">
        <v>1190</v>
      </c>
      <c r="G415" s="85" t="s">
        <v>901</v>
      </c>
      <c r="H415" s="85" t="s">
        <v>1083</v>
      </c>
      <c r="I415" s="85">
        <v>2.34</v>
      </c>
      <c r="J415" s="87">
        <v>5.98</v>
      </c>
      <c r="K415" s="88">
        <f t="shared" si="21"/>
        <v>13.9932</v>
      </c>
      <c r="L415" s="85">
        <v>159970</v>
      </c>
      <c r="M415" s="118" t="s">
        <v>389</v>
      </c>
      <c r="N415" s="84"/>
      <c r="O415" s="84" t="s">
        <v>42</v>
      </c>
      <c r="R415"/>
    </row>
    <row r="416" spans="1:18" hidden="1" x14ac:dyDescent="0.2">
      <c r="A416" s="84" t="str">
        <f t="shared" si="19"/>
        <v>MarçoSEMANA 2Geléia de Hortelã</v>
      </c>
      <c r="B416" s="85" t="s">
        <v>31</v>
      </c>
      <c r="C416" s="85" t="s">
        <v>21</v>
      </c>
      <c r="D416" s="86">
        <v>7</v>
      </c>
      <c r="E416" s="116" t="str">
        <f t="shared" si="20"/>
        <v>Mercado</v>
      </c>
      <c r="F416" s="85" t="s">
        <v>1118</v>
      </c>
      <c r="G416" s="85" t="s">
        <v>876</v>
      </c>
      <c r="H416" s="85" t="s">
        <v>1090</v>
      </c>
      <c r="I416" s="85">
        <v>2</v>
      </c>
      <c r="J416" s="87">
        <v>13.5</v>
      </c>
      <c r="K416" s="88">
        <f t="shared" si="21"/>
        <v>27</v>
      </c>
      <c r="L416" s="85" t="s">
        <v>1191</v>
      </c>
      <c r="M416" s="118" t="s">
        <v>390</v>
      </c>
      <c r="N416" s="84"/>
      <c r="O416" s="84" t="s">
        <v>60</v>
      </c>
      <c r="R416"/>
    </row>
    <row r="417" spans="1:18" x14ac:dyDescent="0.25">
      <c r="A417" s="84" t="str">
        <f t="shared" si="19"/>
        <v>MarçoSEMANA 2Alface crespa Orgânica</v>
      </c>
      <c r="B417" s="85" t="s">
        <v>31</v>
      </c>
      <c r="C417" s="85" t="s">
        <v>21</v>
      </c>
      <c r="D417" s="86">
        <v>7</v>
      </c>
      <c r="E417" s="116" t="str">
        <f t="shared" si="20"/>
        <v>Hortifruti</v>
      </c>
      <c r="F417" s="85" t="s">
        <v>1130</v>
      </c>
      <c r="G417" s="85" t="s">
        <v>105</v>
      </c>
      <c r="H417" s="85" t="s">
        <v>1083</v>
      </c>
      <c r="I417" s="85">
        <v>2.14</v>
      </c>
      <c r="J417" s="87">
        <f>(25+3.473)/2.14</f>
        <v>13.305140186915887</v>
      </c>
      <c r="K417" s="88">
        <f t="shared" si="21"/>
        <v>28.472999999999999</v>
      </c>
      <c r="L417" s="85" t="s">
        <v>1192</v>
      </c>
      <c r="M417" s="118" t="s">
        <v>1024</v>
      </c>
      <c r="O417" s="84" t="s">
        <v>42</v>
      </c>
      <c r="R417"/>
    </row>
    <row r="418" spans="1:18" x14ac:dyDescent="0.25">
      <c r="A418" s="84" t="str">
        <f t="shared" si="19"/>
        <v>MarçoSEMANA 2Alface Roxa Orgânica</v>
      </c>
      <c r="B418" s="85" t="s">
        <v>31</v>
      </c>
      <c r="C418" s="85" t="s">
        <v>21</v>
      </c>
      <c r="D418" s="86">
        <v>7</v>
      </c>
      <c r="E418" s="116" t="str">
        <f t="shared" si="20"/>
        <v>Hortifruti</v>
      </c>
      <c r="F418" s="85" t="s">
        <v>1130</v>
      </c>
      <c r="G418" s="85" t="s">
        <v>109</v>
      </c>
      <c r="H418" s="85" t="s">
        <v>1083</v>
      </c>
      <c r="I418" s="85">
        <v>1.76</v>
      </c>
      <c r="J418" s="87">
        <f>(25+2.8563)/1.76</f>
        <v>15.827443181818182</v>
      </c>
      <c r="K418" s="88">
        <f t="shared" si="21"/>
        <v>27.856300000000001</v>
      </c>
      <c r="L418" s="85" t="s">
        <v>1192</v>
      </c>
      <c r="M418" s="118" t="s">
        <v>1054</v>
      </c>
      <c r="O418" s="84" t="s">
        <v>873</v>
      </c>
      <c r="R418"/>
    </row>
    <row r="419" spans="1:18" x14ac:dyDescent="0.25">
      <c r="A419" s="84" t="str">
        <f t="shared" si="19"/>
        <v>MarçoSEMANA 2Rúcula Orgânica</v>
      </c>
      <c r="B419" s="85" t="s">
        <v>31</v>
      </c>
      <c r="C419" s="85" t="s">
        <v>21</v>
      </c>
      <c r="D419" s="86">
        <v>7</v>
      </c>
      <c r="E419" s="116" t="str">
        <f t="shared" si="20"/>
        <v>Hortifruti</v>
      </c>
      <c r="F419" s="85" t="s">
        <v>1130</v>
      </c>
      <c r="G419" s="85" t="s">
        <v>706</v>
      </c>
      <c r="H419" s="85" t="s">
        <v>1083</v>
      </c>
      <c r="I419" s="85">
        <v>2.2000000000000002</v>
      </c>
      <c r="J419" s="87">
        <f>(32+3.5703)/2.2</f>
        <v>16.168318181818183</v>
      </c>
      <c r="K419" s="88">
        <f t="shared" si="21"/>
        <v>35.570300000000003</v>
      </c>
      <c r="L419" s="85" t="s">
        <v>1192</v>
      </c>
      <c r="M419" s="118" t="s">
        <v>391</v>
      </c>
      <c r="N419" s="84"/>
      <c r="O419" s="84" t="s">
        <v>45</v>
      </c>
      <c r="R419"/>
    </row>
    <row r="420" spans="1:18" hidden="1" x14ac:dyDescent="0.2">
      <c r="A420" s="84" t="str">
        <f t="shared" si="19"/>
        <v>MarçoSEMANA 2Torta Alemã</v>
      </c>
      <c r="B420" s="85" t="s">
        <v>31</v>
      </c>
      <c r="C420" s="85" t="s">
        <v>21</v>
      </c>
      <c r="D420" s="86">
        <v>7</v>
      </c>
      <c r="E420" s="116" t="str">
        <f t="shared" si="20"/>
        <v>Sobremesa</v>
      </c>
      <c r="F420" s="85" t="s">
        <v>1146</v>
      </c>
      <c r="G420" s="85" t="s">
        <v>803</v>
      </c>
      <c r="H420" s="85" t="s">
        <v>1147</v>
      </c>
      <c r="I420" s="85">
        <v>12</v>
      </c>
      <c r="J420" s="87">
        <f>69.08/12</f>
        <v>5.7566666666666668</v>
      </c>
      <c r="K420" s="88">
        <f t="shared" si="21"/>
        <v>69.08</v>
      </c>
      <c r="L420" s="85">
        <v>149974</v>
      </c>
      <c r="M420" s="118" t="s">
        <v>996</v>
      </c>
      <c r="N420" s="84"/>
      <c r="O420" s="84" t="s">
        <v>42</v>
      </c>
      <c r="R420"/>
    </row>
    <row r="421" spans="1:18" hidden="1" x14ac:dyDescent="0.2">
      <c r="A421" s="84" t="str">
        <f t="shared" si="19"/>
        <v>MarçoSEMANA 2Torta de Brigadeiro c/ Raspas</v>
      </c>
      <c r="B421" s="85" t="s">
        <v>31</v>
      </c>
      <c r="C421" s="85" t="s">
        <v>21</v>
      </c>
      <c r="D421" s="86">
        <v>7</v>
      </c>
      <c r="E421" s="116" t="str">
        <f t="shared" si="20"/>
        <v>Sobremesa</v>
      </c>
      <c r="F421" s="85" t="s">
        <v>1146</v>
      </c>
      <c r="G421" s="85" t="s">
        <v>812</v>
      </c>
      <c r="H421" s="85" t="s">
        <v>1147</v>
      </c>
      <c r="I421" s="85">
        <v>12</v>
      </c>
      <c r="J421" s="87">
        <f>69.08/12</f>
        <v>5.7566666666666668</v>
      </c>
      <c r="K421" s="88">
        <f t="shared" si="21"/>
        <v>69.08</v>
      </c>
      <c r="L421" s="85">
        <v>149974</v>
      </c>
      <c r="M421" s="118" t="s">
        <v>392</v>
      </c>
      <c r="N421" s="84"/>
      <c r="O421" s="84" t="s">
        <v>42</v>
      </c>
      <c r="R421"/>
    </row>
    <row r="422" spans="1:18" hidden="1" x14ac:dyDescent="0.2">
      <c r="A422" s="84" t="str">
        <f t="shared" si="19"/>
        <v>MarçoSEMANA 2Torta Banana Crock</v>
      </c>
      <c r="B422" s="85" t="s">
        <v>31</v>
      </c>
      <c r="C422" s="85" t="s">
        <v>21</v>
      </c>
      <c r="D422" s="86">
        <v>7</v>
      </c>
      <c r="E422" s="116" t="str">
        <f t="shared" si="20"/>
        <v>Sobremesa</v>
      </c>
      <c r="F422" s="85" t="s">
        <v>1146</v>
      </c>
      <c r="G422" s="85" t="s">
        <v>804</v>
      </c>
      <c r="H422" s="85" t="s">
        <v>1147</v>
      </c>
      <c r="I422" s="85">
        <v>12</v>
      </c>
      <c r="J422" s="87">
        <f>71.21/12</f>
        <v>5.9341666666666661</v>
      </c>
      <c r="K422" s="88">
        <f t="shared" si="21"/>
        <v>71.209999999999994</v>
      </c>
      <c r="L422" s="85">
        <v>149974</v>
      </c>
      <c r="M422" s="118" t="s">
        <v>393</v>
      </c>
      <c r="N422" s="84"/>
      <c r="O422" s="84" t="s">
        <v>42</v>
      </c>
      <c r="R422"/>
    </row>
    <row r="423" spans="1:18" x14ac:dyDescent="0.25">
      <c r="A423" s="84" t="str">
        <f t="shared" si="19"/>
        <v>MarçoSEMANA 2Berinjela</v>
      </c>
      <c r="B423" s="85" t="s">
        <v>31</v>
      </c>
      <c r="C423" s="85" t="s">
        <v>21</v>
      </c>
      <c r="D423" s="86">
        <v>7</v>
      </c>
      <c r="E423" s="116" t="str">
        <f t="shared" si="20"/>
        <v>Hortifruti</v>
      </c>
      <c r="F423" s="85" t="s">
        <v>1110</v>
      </c>
      <c r="G423" s="85" t="s">
        <v>178</v>
      </c>
      <c r="H423" s="85" t="s">
        <v>1083</v>
      </c>
      <c r="I423" s="85">
        <v>10.199999999999999</v>
      </c>
      <c r="J423" s="87">
        <f>15/10.2</f>
        <v>1.4705882352941178</v>
      </c>
      <c r="K423" s="88">
        <f t="shared" si="21"/>
        <v>15</v>
      </c>
      <c r="L423" s="85">
        <v>3357</v>
      </c>
      <c r="M423" s="118" t="s">
        <v>394</v>
      </c>
      <c r="N423" s="84"/>
      <c r="O423" s="84" t="s">
        <v>873</v>
      </c>
      <c r="R423"/>
    </row>
    <row r="424" spans="1:18" x14ac:dyDescent="0.25">
      <c r="A424" s="84" t="str">
        <f t="shared" si="19"/>
        <v>MarçoSEMANA 2Cenoura</v>
      </c>
      <c r="B424" s="85" t="s">
        <v>31</v>
      </c>
      <c r="C424" s="85" t="s">
        <v>21</v>
      </c>
      <c r="D424" s="86">
        <v>7</v>
      </c>
      <c r="E424" s="116" t="str">
        <f t="shared" si="20"/>
        <v>Hortifruti</v>
      </c>
      <c r="F424" s="85" t="s">
        <v>1110</v>
      </c>
      <c r="G424" s="85" t="s">
        <v>249</v>
      </c>
      <c r="H424" s="85" t="s">
        <v>1083</v>
      </c>
      <c r="I424" s="85">
        <v>19.78</v>
      </c>
      <c r="J424" s="87">
        <f>50/19.78</f>
        <v>2.5278058645096055</v>
      </c>
      <c r="K424" s="88">
        <f t="shared" si="21"/>
        <v>50</v>
      </c>
      <c r="L424" s="85">
        <v>3357</v>
      </c>
      <c r="M424" s="118" t="s">
        <v>395</v>
      </c>
      <c r="N424" s="84"/>
      <c r="O424" s="84" t="s">
        <v>873</v>
      </c>
      <c r="R424"/>
    </row>
    <row r="425" spans="1:18" x14ac:dyDescent="0.25">
      <c r="A425" s="84" t="str">
        <f t="shared" si="19"/>
        <v>MarçoSEMANA 2Cebola Calabresa</v>
      </c>
      <c r="B425" s="85" t="s">
        <v>31</v>
      </c>
      <c r="C425" s="85" t="s">
        <v>21</v>
      </c>
      <c r="D425" s="86">
        <v>7</v>
      </c>
      <c r="E425" s="116" t="str">
        <f t="shared" si="20"/>
        <v>Hortifruti</v>
      </c>
      <c r="F425" s="85" t="s">
        <v>1110</v>
      </c>
      <c r="G425" s="85" t="s">
        <v>242</v>
      </c>
      <c r="H425" s="85" t="s">
        <v>1083</v>
      </c>
      <c r="I425" s="85">
        <v>2</v>
      </c>
      <c r="J425" s="87">
        <v>4</v>
      </c>
      <c r="K425" s="88">
        <f t="shared" si="21"/>
        <v>8</v>
      </c>
      <c r="L425" s="85">
        <v>3357</v>
      </c>
      <c r="M425" s="118" t="s">
        <v>963</v>
      </c>
      <c r="N425" s="84"/>
      <c r="O425" s="84" t="s">
        <v>42</v>
      </c>
      <c r="R425"/>
    </row>
    <row r="426" spans="1:18" x14ac:dyDescent="0.25">
      <c r="A426" s="84" t="str">
        <f t="shared" si="19"/>
        <v>MarçoSEMANA 2Vagem Macarrão</v>
      </c>
      <c r="B426" s="85" t="s">
        <v>31</v>
      </c>
      <c r="C426" s="85" t="s">
        <v>21</v>
      </c>
      <c r="D426" s="86">
        <v>7</v>
      </c>
      <c r="E426" s="116" t="str">
        <f t="shared" si="20"/>
        <v>Hortifruti</v>
      </c>
      <c r="F426" s="85" t="s">
        <v>1110</v>
      </c>
      <c r="G426" s="85" t="s">
        <v>831</v>
      </c>
      <c r="H426" s="85" t="s">
        <v>1083</v>
      </c>
      <c r="I426" s="85">
        <v>1</v>
      </c>
      <c r="J426" s="87">
        <v>8</v>
      </c>
      <c r="K426" s="88">
        <f t="shared" si="21"/>
        <v>8</v>
      </c>
      <c r="L426" s="85">
        <v>3357</v>
      </c>
      <c r="M426" s="118" t="s">
        <v>396</v>
      </c>
      <c r="N426" s="84"/>
      <c r="O426" s="84" t="s">
        <v>42</v>
      </c>
      <c r="R426"/>
    </row>
    <row r="427" spans="1:18" x14ac:dyDescent="0.25">
      <c r="A427" s="84" t="str">
        <f t="shared" si="19"/>
        <v xml:space="preserve">MarçoSEMANA 2Alho Poró </v>
      </c>
      <c r="B427" s="85" t="s">
        <v>31</v>
      </c>
      <c r="C427" s="85" t="s">
        <v>21</v>
      </c>
      <c r="D427" s="86">
        <v>7</v>
      </c>
      <c r="E427" s="116" t="str">
        <f t="shared" si="20"/>
        <v>Hortifruti</v>
      </c>
      <c r="F427" s="85" t="s">
        <v>1110</v>
      </c>
      <c r="G427" s="85" t="s">
        <v>113</v>
      </c>
      <c r="H427" s="85" t="s">
        <v>1083</v>
      </c>
      <c r="I427" s="85">
        <v>1</v>
      </c>
      <c r="J427" s="87">
        <v>9</v>
      </c>
      <c r="K427" s="88">
        <f t="shared" si="21"/>
        <v>9</v>
      </c>
      <c r="L427" s="85">
        <v>3357</v>
      </c>
      <c r="M427" s="118" t="s">
        <v>983</v>
      </c>
      <c r="N427" s="84"/>
      <c r="O427" s="84" t="s">
        <v>46</v>
      </c>
      <c r="R427"/>
    </row>
    <row r="428" spans="1:18" x14ac:dyDescent="0.25">
      <c r="A428" s="84" t="str">
        <f t="shared" si="19"/>
        <v>MarçoSEMANA 2Espinafre</v>
      </c>
      <c r="B428" s="85" t="s">
        <v>31</v>
      </c>
      <c r="C428" s="85" t="s">
        <v>21</v>
      </c>
      <c r="D428" s="86">
        <v>7</v>
      </c>
      <c r="E428" s="116" t="str">
        <f t="shared" si="20"/>
        <v>Hortifruti</v>
      </c>
      <c r="F428" s="85" t="s">
        <v>1110</v>
      </c>
      <c r="G428" s="85" t="s">
        <v>332</v>
      </c>
      <c r="H428" s="85" t="s">
        <v>1083</v>
      </c>
      <c r="I428" s="90">
        <f>4-0.58</f>
        <v>3.42</v>
      </c>
      <c r="J428" s="87">
        <v>4.8</v>
      </c>
      <c r="K428" s="88">
        <f t="shared" si="21"/>
        <v>16.416</v>
      </c>
      <c r="L428" s="85">
        <v>3357</v>
      </c>
      <c r="M428" s="118" t="s">
        <v>397</v>
      </c>
      <c r="N428" s="84"/>
      <c r="O428" s="84" t="s">
        <v>47</v>
      </c>
      <c r="R428"/>
    </row>
    <row r="429" spans="1:18" x14ac:dyDescent="0.25">
      <c r="A429" s="84" t="str">
        <f t="shared" si="19"/>
        <v>MarçoSEMANA 2Hortelã</v>
      </c>
      <c r="B429" s="85" t="s">
        <v>31</v>
      </c>
      <c r="C429" s="85" t="s">
        <v>21</v>
      </c>
      <c r="D429" s="86">
        <v>7</v>
      </c>
      <c r="E429" s="116" t="str">
        <f t="shared" si="20"/>
        <v>Hortifruti</v>
      </c>
      <c r="F429" s="85" t="s">
        <v>1110</v>
      </c>
      <c r="G429" s="85" t="s">
        <v>405</v>
      </c>
      <c r="H429" s="85" t="s">
        <v>1083</v>
      </c>
      <c r="I429" s="85">
        <v>0.5</v>
      </c>
      <c r="J429" s="87">
        <v>4</v>
      </c>
      <c r="K429" s="88">
        <f t="shared" si="21"/>
        <v>2</v>
      </c>
      <c r="L429" s="85">
        <v>3357</v>
      </c>
      <c r="M429" s="118" t="s">
        <v>936</v>
      </c>
      <c r="N429" s="84"/>
      <c r="O429" s="84" t="s">
        <v>47</v>
      </c>
      <c r="R429"/>
    </row>
    <row r="430" spans="1:18" x14ac:dyDescent="0.25">
      <c r="A430" s="84" t="str">
        <f t="shared" si="19"/>
        <v>MarçoSEMANA 2Laranja Pera</v>
      </c>
      <c r="B430" s="85" t="s">
        <v>31</v>
      </c>
      <c r="C430" s="85" t="s">
        <v>21</v>
      </c>
      <c r="D430" s="86">
        <v>7</v>
      </c>
      <c r="E430" s="116" t="str">
        <f t="shared" si="20"/>
        <v>Hortifruti</v>
      </c>
      <c r="F430" s="85" t="s">
        <v>1110</v>
      </c>
      <c r="G430" s="85" t="s">
        <v>456</v>
      </c>
      <c r="H430" s="85" t="s">
        <v>1083</v>
      </c>
      <c r="I430" s="85">
        <v>41.48</v>
      </c>
      <c r="J430" s="87">
        <f>66/41.48</f>
        <v>1.5911282545805208</v>
      </c>
      <c r="K430" s="88">
        <f t="shared" si="21"/>
        <v>66</v>
      </c>
      <c r="L430" s="85">
        <v>3357</v>
      </c>
      <c r="M430" s="118" t="s">
        <v>398</v>
      </c>
      <c r="N430" s="84"/>
      <c r="O430" s="84" t="s">
        <v>47</v>
      </c>
      <c r="R430"/>
    </row>
    <row r="431" spans="1:18" x14ac:dyDescent="0.25">
      <c r="A431" s="84" t="str">
        <f t="shared" si="19"/>
        <v>MarçoSEMANA 2Manga Palmer</v>
      </c>
      <c r="B431" s="85" t="s">
        <v>31</v>
      </c>
      <c r="C431" s="85" t="s">
        <v>21</v>
      </c>
      <c r="D431" s="86">
        <v>7</v>
      </c>
      <c r="E431" s="116" t="str">
        <f t="shared" si="20"/>
        <v>Hortifruti</v>
      </c>
      <c r="F431" s="85" t="s">
        <v>1110</v>
      </c>
      <c r="G431" s="85" t="s">
        <v>495</v>
      </c>
      <c r="H431" s="85" t="s">
        <v>1083</v>
      </c>
      <c r="I431" s="85">
        <v>6.34</v>
      </c>
      <c r="J431" s="87">
        <f>25/6.34</f>
        <v>3.9432176656151419</v>
      </c>
      <c r="K431" s="88">
        <f t="shared" si="21"/>
        <v>25</v>
      </c>
      <c r="L431" s="85">
        <v>3357</v>
      </c>
      <c r="M431" s="118" t="s">
        <v>875</v>
      </c>
      <c r="N431" s="84"/>
      <c r="O431" s="84" t="s">
        <v>872</v>
      </c>
      <c r="R431"/>
    </row>
    <row r="432" spans="1:18" x14ac:dyDescent="0.25">
      <c r="A432" s="84" t="str">
        <f t="shared" si="19"/>
        <v>MarçoSEMANA 2Melão Orange</v>
      </c>
      <c r="B432" s="85" t="s">
        <v>31</v>
      </c>
      <c r="C432" s="85" t="s">
        <v>21</v>
      </c>
      <c r="D432" s="86">
        <v>7</v>
      </c>
      <c r="E432" s="116" t="str">
        <f t="shared" si="20"/>
        <v>Hortifruti</v>
      </c>
      <c r="F432" s="85" t="s">
        <v>1110</v>
      </c>
      <c r="G432" s="85" t="s">
        <v>518</v>
      </c>
      <c r="H432" s="85" t="s">
        <v>1083</v>
      </c>
      <c r="I432" s="85">
        <v>1.75</v>
      </c>
      <c r="J432" s="87">
        <v>4.8</v>
      </c>
      <c r="K432" s="88">
        <f t="shared" si="21"/>
        <v>8.4</v>
      </c>
      <c r="L432" s="85">
        <v>3357</v>
      </c>
      <c r="M432" s="118" t="s">
        <v>399</v>
      </c>
      <c r="N432" s="84"/>
      <c r="O432" s="84" t="s">
        <v>872</v>
      </c>
      <c r="R432"/>
    </row>
    <row r="433" spans="1:18" x14ac:dyDescent="0.25">
      <c r="A433" s="84" t="str">
        <f t="shared" si="19"/>
        <v>MarçoSEMANA 2Côco Verde</v>
      </c>
      <c r="B433" s="85" t="s">
        <v>31</v>
      </c>
      <c r="C433" s="85" t="s">
        <v>21</v>
      </c>
      <c r="D433" s="86">
        <v>7</v>
      </c>
      <c r="E433" s="116" t="str">
        <f t="shared" si="20"/>
        <v>Hortifruti</v>
      </c>
      <c r="F433" s="85" t="s">
        <v>1111</v>
      </c>
      <c r="G433" s="85" t="s">
        <v>288</v>
      </c>
      <c r="H433" s="85" t="s">
        <v>1090</v>
      </c>
      <c r="I433" s="85">
        <v>15</v>
      </c>
      <c r="J433" s="87">
        <v>2</v>
      </c>
      <c r="K433" s="88">
        <f t="shared" si="21"/>
        <v>30</v>
      </c>
      <c r="L433" s="85">
        <v>17853</v>
      </c>
      <c r="M433" s="118" t="s">
        <v>400</v>
      </c>
      <c r="N433" s="84"/>
      <c r="O433" s="84" t="s">
        <v>47</v>
      </c>
      <c r="R433"/>
    </row>
    <row r="434" spans="1:18" x14ac:dyDescent="0.25">
      <c r="A434" s="84" t="str">
        <f t="shared" si="19"/>
        <v>MarçoSEMANA 2Couve Flor</v>
      </c>
      <c r="B434" s="85" t="s">
        <v>31</v>
      </c>
      <c r="C434" s="85" t="s">
        <v>21</v>
      </c>
      <c r="D434" s="86">
        <v>7</v>
      </c>
      <c r="E434" s="116" t="str">
        <f t="shared" si="20"/>
        <v>Hortifruti</v>
      </c>
      <c r="F434" s="85" t="s">
        <v>1111</v>
      </c>
      <c r="G434" s="85" t="s">
        <v>306</v>
      </c>
      <c r="H434" s="85" t="s">
        <v>1083</v>
      </c>
      <c r="I434" s="85">
        <v>2</v>
      </c>
      <c r="J434" s="87">
        <v>6</v>
      </c>
      <c r="K434" s="88">
        <f t="shared" si="21"/>
        <v>12</v>
      </c>
      <c r="L434" s="85">
        <v>17853</v>
      </c>
      <c r="M434" s="118" t="s">
        <v>401</v>
      </c>
      <c r="N434" s="84"/>
      <c r="O434" s="84" t="s">
        <v>46</v>
      </c>
      <c r="R434"/>
    </row>
    <row r="435" spans="1:18" x14ac:dyDescent="0.25">
      <c r="A435" s="84" t="str">
        <f t="shared" si="19"/>
        <v>MarçoSEMANA 2Ovos Extra</v>
      </c>
      <c r="B435" s="85" t="s">
        <v>31</v>
      </c>
      <c r="C435" s="85" t="s">
        <v>21</v>
      </c>
      <c r="D435" s="86">
        <v>7</v>
      </c>
      <c r="E435" s="116" t="str">
        <f t="shared" si="20"/>
        <v>Hortifruti</v>
      </c>
      <c r="F435" s="85" t="s">
        <v>1111</v>
      </c>
      <c r="G435" s="85" t="s">
        <v>549</v>
      </c>
      <c r="H435" s="85" t="s">
        <v>1090</v>
      </c>
      <c r="I435" s="85">
        <v>360</v>
      </c>
      <c r="J435" s="87">
        <f>103/360</f>
        <v>0.28611111111111109</v>
      </c>
      <c r="K435" s="88">
        <f t="shared" si="21"/>
        <v>103</v>
      </c>
      <c r="L435" s="85">
        <v>17853</v>
      </c>
      <c r="M435" s="118" t="s">
        <v>402</v>
      </c>
      <c r="N435" s="84"/>
      <c r="O435" s="84" t="s">
        <v>46</v>
      </c>
      <c r="R435"/>
    </row>
    <row r="436" spans="1:18" x14ac:dyDescent="0.25">
      <c r="A436" s="84" t="str">
        <f t="shared" si="19"/>
        <v>MarçoSEMANA 2Quiabo</v>
      </c>
      <c r="B436" s="85" t="s">
        <v>31</v>
      </c>
      <c r="C436" s="85" t="s">
        <v>21</v>
      </c>
      <c r="D436" s="86">
        <v>7</v>
      </c>
      <c r="E436" s="116" t="str">
        <f t="shared" si="20"/>
        <v>Hortifruti</v>
      </c>
      <c r="F436" s="85" t="s">
        <v>1111</v>
      </c>
      <c r="G436" s="85" t="s">
        <v>689</v>
      </c>
      <c r="H436" s="85" t="s">
        <v>1083</v>
      </c>
      <c r="I436" s="85">
        <v>8</v>
      </c>
      <c r="J436" s="87">
        <v>3.6</v>
      </c>
      <c r="K436" s="88">
        <f t="shared" si="21"/>
        <v>28.8</v>
      </c>
      <c r="L436" s="85">
        <v>17853</v>
      </c>
      <c r="M436" s="118" t="s">
        <v>403</v>
      </c>
      <c r="N436" s="84"/>
      <c r="O436" s="84" t="s">
        <v>42</v>
      </c>
      <c r="R436"/>
    </row>
    <row r="437" spans="1:18" x14ac:dyDescent="0.25">
      <c r="A437" s="84" t="str">
        <f t="shared" si="19"/>
        <v>MarçoSEMANA 2Repolho</v>
      </c>
      <c r="B437" s="85" t="s">
        <v>31</v>
      </c>
      <c r="C437" s="85" t="s">
        <v>21</v>
      </c>
      <c r="D437" s="86">
        <v>7</v>
      </c>
      <c r="E437" s="116" t="str">
        <f t="shared" si="20"/>
        <v>Hortifruti</v>
      </c>
      <c r="F437" s="85" t="s">
        <v>1111</v>
      </c>
      <c r="G437" s="85" t="s">
        <v>700</v>
      </c>
      <c r="H437" s="85" t="s">
        <v>1083</v>
      </c>
      <c r="I437" s="85">
        <v>3</v>
      </c>
      <c r="J437" s="87">
        <v>1.65</v>
      </c>
      <c r="K437" s="88">
        <f t="shared" si="21"/>
        <v>4.9499999999999993</v>
      </c>
      <c r="L437" s="85">
        <v>17853</v>
      </c>
      <c r="M437" s="118" t="s">
        <v>404</v>
      </c>
      <c r="N437" s="84"/>
      <c r="O437" s="84" t="s">
        <v>60</v>
      </c>
      <c r="R437"/>
    </row>
    <row r="438" spans="1:18" hidden="1" x14ac:dyDescent="0.2">
      <c r="A438" s="84" t="str">
        <f t="shared" si="19"/>
        <v>MarçoSEMANA 2Suíno - Salsichão Defumado c/ Ervas</v>
      </c>
      <c r="B438" s="85" t="s">
        <v>31</v>
      </c>
      <c r="C438" s="85" t="s">
        <v>21</v>
      </c>
      <c r="D438" s="86">
        <v>7</v>
      </c>
      <c r="E438" s="116" t="str">
        <f t="shared" si="20"/>
        <v>Carnes</v>
      </c>
      <c r="F438" s="85" t="s">
        <v>1193</v>
      </c>
      <c r="G438" s="85" t="s">
        <v>772</v>
      </c>
      <c r="H438" s="85" t="s">
        <v>1083</v>
      </c>
      <c r="I438" s="85">
        <v>7.1</v>
      </c>
      <c r="J438" s="87">
        <v>33.299999999999997</v>
      </c>
      <c r="K438" s="88">
        <f t="shared" si="21"/>
        <v>236.42999999999998</v>
      </c>
      <c r="L438" s="85">
        <v>35640</v>
      </c>
      <c r="M438" s="118" t="s">
        <v>405</v>
      </c>
      <c r="N438" s="84"/>
      <c r="O438" s="84" t="s">
        <v>45</v>
      </c>
      <c r="R438"/>
    </row>
    <row r="439" spans="1:18" hidden="1" x14ac:dyDescent="0.2">
      <c r="A439" s="84" t="str">
        <f t="shared" si="19"/>
        <v>MarçoSEMANA 2Suíno - Salsichão Branco com Ervas</v>
      </c>
      <c r="B439" s="85" t="s">
        <v>31</v>
      </c>
      <c r="C439" s="85" t="s">
        <v>21</v>
      </c>
      <c r="D439" s="86">
        <v>7</v>
      </c>
      <c r="E439" s="116" t="str">
        <f t="shared" si="20"/>
        <v>Carnes</v>
      </c>
      <c r="F439" s="85" t="s">
        <v>1193</v>
      </c>
      <c r="G439" s="85" t="s">
        <v>770</v>
      </c>
      <c r="H439" s="85" t="s">
        <v>1083</v>
      </c>
      <c r="I439" s="85">
        <v>5.7</v>
      </c>
      <c r="J439" s="87">
        <v>31.7</v>
      </c>
      <c r="K439" s="88">
        <f t="shared" si="21"/>
        <v>180.69</v>
      </c>
      <c r="L439" s="85">
        <v>35640</v>
      </c>
      <c r="M439" s="118" t="s">
        <v>406</v>
      </c>
      <c r="N439" s="84"/>
      <c r="O439" s="84" t="s">
        <v>45</v>
      </c>
      <c r="R439"/>
    </row>
    <row r="440" spans="1:18" hidden="1" x14ac:dyDescent="0.2">
      <c r="A440" s="84" t="str">
        <f t="shared" si="19"/>
        <v>MarçoSEMANA 2Suíno - Carre Defumado (Kassler)</v>
      </c>
      <c r="B440" s="85" t="s">
        <v>31</v>
      </c>
      <c r="C440" s="85" t="s">
        <v>21</v>
      </c>
      <c r="D440" s="86">
        <v>7</v>
      </c>
      <c r="E440" s="116" t="str">
        <f t="shared" si="20"/>
        <v>Carnes</v>
      </c>
      <c r="F440" s="85" t="s">
        <v>1193</v>
      </c>
      <c r="G440" s="85" t="s">
        <v>757</v>
      </c>
      <c r="H440" s="85" t="s">
        <v>1083</v>
      </c>
      <c r="I440" s="85">
        <v>15.14</v>
      </c>
      <c r="J440" s="87">
        <f>(519.3+26.89)/15.14</f>
        <v>36.075957727873181</v>
      </c>
      <c r="K440" s="88">
        <f t="shared" si="21"/>
        <v>546.18999999999994</v>
      </c>
      <c r="L440" s="85">
        <v>35640</v>
      </c>
      <c r="M440" s="118" t="s">
        <v>407</v>
      </c>
      <c r="N440" s="84"/>
      <c r="O440" s="84" t="s">
        <v>874</v>
      </c>
      <c r="R440"/>
    </row>
    <row r="441" spans="1:18" hidden="1" x14ac:dyDescent="0.2">
      <c r="A441" s="84" t="str">
        <f t="shared" si="19"/>
        <v xml:space="preserve">MarçoSEMANA 2Biscoito de Milho Venda </v>
      </c>
      <c r="B441" s="85" t="s">
        <v>31</v>
      </c>
      <c r="C441" s="85" t="s">
        <v>21</v>
      </c>
      <c r="D441" s="86">
        <v>6</v>
      </c>
      <c r="E441" s="116" t="str">
        <f t="shared" si="20"/>
        <v>Vendas Caixa</v>
      </c>
      <c r="F441" s="85" t="s">
        <v>1175</v>
      </c>
      <c r="G441" s="85" t="s">
        <v>184</v>
      </c>
      <c r="H441" s="85" t="s">
        <v>1083</v>
      </c>
      <c r="I441" s="85">
        <f>1+1+1.1</f>
        <v>3.1</v>
      </c>
      <c r="J441" s="87">
        <f>248.58/11.2</f>
        <v>22.19464285714286</v>
      </c>
      <c r="K441" s="88">
        <f t="shared" si="21"/>
        <v>68.803392857142867</v>
      </c>
      <c r="L441" s="85">
        <v>32421</v>
      </c>
      <c r="M441" s="118" t="s">
        <v>408</v>
      </c>
      <c r="O441" s="115" t="s">
        <v>874</v>
      </c>
      <c r="R441"/>
    </row>
    <row r="442" spans="1:18" hidden="1" x14ac:dyDescent="0.2">
      <c r="A442" s="84" t="str">
        <f t="shared" si="19"/>
        <v>MarçoSEMANA 2Guaraná Antarctica Zero (lata)</v>
      </c>
      <c r="B442" s="85" t="s">
        <v>31</v>
      </c>
      <c r="C442" s="85" t="s">
        <v>21</v>
      </c>
      <c r="D442" s="86">
        <v>7</v>
      </c>
      <c r="E442" s="116" t="str">
        <f t="shared" si="20"/>
        <v>Bebidas</v>
      </c>
      <c r="F442" s="85" t="s">
        <v>1139</v>
      </c>
      <c r="G442" s="85" t="s">
        <v>398</v>
      </c>
      <c r="H442" s="85" t="s">
        <v>1090</v>
      </c>
      <c r="I442" s="85">
        <f>7*12</f>
        <v>84</v>
      </c>
      <c r="J442" s="87">
        <f>106.93/84</f>
        <v>1.2729761904761905</v>
      </c>
      <c r="K442" s="88">
        <f t="shared" si="21"/>
        <v>106.93</v>
      </c>
      <c r="L442" s="85" t="s">
        <v>1194</v>
      </c>
      <c r="M442" s="118" t="s">
        <v>409</v>
      </c>
      <c r="N442" s="84"/>
      <c r="O442" s="84" t="s">
        <v>874</v>
      </c>
      <c r="R442"/>
    </row>
    <row r="443" spans="1:18" hidden="1" x14ac:dyDescent="0.2">
      <c r="A443" s="84" t="str">
        <f t="shared" si="19"/>
        <v>MarçoSEMANA 2Cerveja Bohemia Long Neck 355 ml</v>
      </c>
      <c r="B443" s="85" t="s">
        <v>31</v>
      </c>
      <c r="C443" s="85" t="s">
        <v>21</v>
      </c>
      <c r="D443" s="86">
        <v>7</v>
      </c>
      <c r="E443" s="116" t="str">
        <f t="shared" si="20"/>
        <v>Bebidas</v>
      </c>
      <c r="F443" s="85" t="s">
        <v>1139</v>
      </c>
      <c r="G443" s="85" t="s">
        <v>260</v>
      </c>
      <c r="H443" s="85" t="s">
        <v>1090</v>
      </c>
      <c r="I443" s="85">
        <v>24</v>
      </c>
      <c r="J443" s="87">
        <f>68.23/24</f>
        <v>2.842916666666667</v>
      </c>
      <c r="K443" s="88">
        <f t="shared" si="21"/>
        <v>68.23</v>
      </c>
      <c r="L443" s="85" t="s">
        <v>1194</v>
      </c>
      <c r="M443" s="118" t="s">
        <v>410</v>
      </c>
      <c r="N443" s="84"/>
      <c r="O443" s="84" t="s">
        <v>874</v>
      </c>
      <c r="R443"/>
    </row>
    <row r="444" spans="1:18" hidden="1" x14ac:dyDescent="0.2">
      <c r="A444" s="84" t="str">
        <f t="shared" si="19"/>
        <v>MarçoSEMANA 2Cerveja Malzbier Brahma Long Neck</v>
      </c>
      <c r="B444" s="85" t="s">
        <v>31</v>
      </c>
      <c r="C444" s="85" t="s">
        <v>21</v>
      </c>
      <c r="D444" s="86">
        <v>7</v>
      </c>
      <c r="E444" s="116" t="str">
        <f t="shared" si="20"/>
        <v>Bebidas</v>
      </c>
      <c r="F444" s="85" t="s">
        <v>1139</v>
      </c>
      <c r="G444" s="85" t="s">
        <v>266</v>
      </c>
      <c r="H444" s="85" t="s">
        <v>1090</v>
      </c>
      <c r="I444" s="85">
        <v>24</v>
      </c>
      <c r="J444" s="87">
        <f>71.26/24</f>
        <v>2.9691666666666667</v>
      </c>
      <c r="K444" s="88">
        <f t="shared" si="21"/>
        <v>71.260000000000005</v>
      </c>
      <c r="L444" s="85" t="s">
        <v>1194</v>
      </c>
      <c r="M444" s="118" t="s">
        <v>411</v>
      </c>
      <c r="O444" s="115" t="s">
        <v>874</v>
      </c>
      <c r="R444"/>
    </row>
    <row r="445" spans="1:18" hidden="1" x14ac:dyDescent="0.2">
      <c r="A445" s="84" t="str">
        <f t="shared" si="19"/>
        <v>MarçoSEMANA 2Antibacterial Detergentye p/ mãos Bb 5lt</v>
      </c>
      <c r="B445" s="85" t="s">
        <v>31</v>
      </c>
      <c r="C445" s="85" t="s">
        <v>21</v>
      </c>
      <c r="D445" s="86">
        <v>7</v>
      </c>
      <c r="E445" s="116" t="str">
        <f t="shared" si="20"/>
        <v>Limpeza</v>
      </c>
      <c r="F445" s="85" t="s">
        <v>1094</v>
      </c>
      <c r="G445" s="85" t="s">
        <v>125</v>
      </c>
      <c r="H445" s="85" t="s">
        <v>1089</v>
      </c>
      <c r="I445" s="85">
        <v>1</v>
      </c>
      <c r="J445" s="87">
        <v>155.21</v>
      </c>
      <c r="K445" s="88">
        <f t="shared" si="21"/>
        <v>155.21</v>
      </c>
      <c r="L445" s="85" t="s">
        <v>1195</v>
      </c>
      <c r="M445" s="118" t="s">
        <v>412</v>
      </c>
      <c r="N445" s="84"/>
      <c r="O445" s="84" t="s">
        <v>874</v>
      </c>
      <c r="R445"/>
    </row>
    <row r="446" spans="1:18" hidden="1" x14ac:dyDescent="0.2">
      <c r="A446" s="84" t="str">
        <f t="shared" si="19"/>
        <v>MarçoSEMANA 2Solid Power (Lava Louça) 4 Kg</v>
      </c>
      <c r="B446" s="85" t="s">
        <v>31</v>
      </c>
      <c r="C446" s="85" t="s">
        <v>21</v>
      </c>
      <c r="D446" s="86">
        <v>7</v>
      </c>
      <c r="E446" s="116" t="str">
        <f t="shared" si="20"/>
        <v>Limpeza</v>
      </c>
      <c r="F446" s="85" t="s">
        <v>1094</v>
      </c>
      <c r="G446" s="85" t="s">
        <v>747</v>
      </c>
      <c r="H446" s="85" t="s">
        <v>1089</v>
      </c>
      <c r="I446" s="85">
        <v>2</v>
      </c>
      <c r="J446" s="87">
        <f>1105.77/2</f>
        <v>552.88499999999999</v>
      </c>
      <c r="K446" s="88">
        <f t="shared" si="21"/>
        <v>1105.77</v>
      </c>
      <c r="L446" s="85" t="s">
        <v>1196</v>
      </c>
      <c r="M446" s="118" t="s">
        <v>413</v>
      </c>
      <c r="N446" s="84"/>
      <c r="O446" s="84" t="s">
        <v>874</v>
      </c>
      <c r="R446"/>
    </row>
    <row r="447" spans="1:18" hidden="1" x14ac:dyDescent="0.2">
      <c r="A447" s="84" t="str">
        <f t="shared" si="19"/>
        <v>MarçoSEMANA 2Vercom Detergente Bb 5 Lt</v>
      </c>
      <c r="B447" s="85" t="s">
        <v>31</v>
      </c>
      <c r="C447" s="85" t="s">
        <v>21</v>
      </c>
      <c r="D447" s="86">
        <v>7</v>
      </c>
      <c r="E447" s="116" t="str">
        <f t="shared" si="20"/>
        <v>Limpeza</v>
      </c>
      <c r="F447" s="85" t="s">
        <v>1094</v>
      </c>
      <c r="G447" s="85" t="s">
        <v>836</v>
      </c>
      <c r="H447" s="85" t="s">
        <v>1089</v>
      </c>
      <c r="I447" s="85">
        <v>2</v>
      </c>
      <c r="J447" s="87">
        <f>316.94/2</f>
        <v>158.47</v>
      </c>
      <c r="K447" s="88">
        <f t="shared" si="21"/>
        <v>316.94</v>
      </c>
      <c r="L447" s="85">
        <v>68930</v>
      </c>
      <c r="M447" s="118" t="s">
        <v>414</v>
      </c>
      <c r="N447" s="84"/>
      <c r="O447" s="84" t="s">
        <v>874</v>
      </c>
      <c r="R447"/>
    </row>
    <row r="448" spans="1:18" hidden="1" x14ac:dyDescent="0.2">
      <c r="A448" s="84" t="str">
        <f t="shared" si="19"/>
        <v>MarçoSEMANA 2Jet Dry Secante Bb 5 Lt</v>
      </c>
      <c r="B448" s="85" t="s">
        <v>31</v>
      </c>
      <c r="C448" s="85" t="s">
        <v>21</v>
      </c>
      <c r="D448" s="86">
        <v>7</v>
      </c>
      <c r="E448" s="116" t="str">
        <f t="shared" si="20"/>
        <v>Limpeza</v>
      </c>
      <c r="F448" s="85" t="s">
        <v>1094</v>
      </c>
      <c r="G448" s="85" t="s">
        <v>450</v>
      </c>
      <c r="H448" s="85" t="s">
        <v>1089</v>
      </c>
      <c r="I448" s="85">
        <v>1</v>
      </c>
      <c r="J448" s="87">
        <v>361.22</v>
      </c>
      <c r="K448" s="88">
        <f t="shared" si="21"/>
        <v>361.22</v>
      </c>
      <c r="L448" s="85">
        <v>68930</v>
      </c>
      <c r="M448" s="118" t="s">
        <v>415</v>
      </c>
      <c r="N448" s="84"/>
      <c r="O448" s="84" t="s">
        <v>874</v>
      </c>
      <c r="R448"/>
    </row>
    <row r="449" spans="1:18" hidden="1" x14ac:dyDescent="0.2">
      <c r="A449" s="84" t="str">
        <f t="shared" si="19"/>
        <v>MarçoSEMANA 2Ammoniated Glas Cln (Limpa vidro) BB 5L</v>
      </c>
      <c r="B449" s="85" t="s">
        <v>31</v>
      </c>
      <c r="C449" s="85" t="s">
        <v>21</v>
      </c>
      <c r="D449" s="86">
        <v>7</v>
      </c>
      <c r="E449" s="116" t="str">
        <f t="shared" si="20"/>
        <v>Limpeza</v>
      </c>
      <c r="F449" s="85" t="s">
        <v>1094</v>
      </c>
      <c r="G449" s="85" t="s">
        <v>120</v>
      </c>
      <c r="H449" s="90" t="s">
        <v>1089</v>
      </c>
      <c r="I449" s="85">
        <v>1</v>
      </c>
      <c r="J449" s="87">
        <v>479.33</v>
      </c>
      <c r="K449" s="88">
        <f t="shared" si="21"/>
        <v>479.33</v>
      </c>
      <c r="L449" s="85">
        <v>68930</v>
      </c>
      <c r="M449" s="118" t="s">
        <v>416</v>
      </c>
      <c r="N449" s="84"/>
      <c r="O449" s="84" t="s">
        <v>874</v>
      </c>
      <c r="R449"/>
    </row>
    <row r="450" spans="1:18" hidden="1" x14ac:dyDescent="0.2">
      <c r="A450" s="84" t="str">
        <f t="shared" ref="A450:A513" si="22">CONCATENATE(B450,C450,G450)</f>
        <v>MarçoSEMANA 2Espinafre Sushi</v>
      </c>
      <c r="B450" s="85" t="s">
        <v>31</v>
      </c>
      <c r="C450" s="85" t="s">
        <v>21</v>
      </c>
      <c r="D450" s="86">
        <v>7</v>
      </c>
      <c r="E450" s="116" t="str">
        <f t="shared" ref="E450:E513" si="23">VLOOKUP(G450,$M$1:$O$993,3,0)</f>
        <v>Sushi</v>
      </c>
      <c r="F450" s="85" t="s">
        <v>1110</v>
      </c>
      <c r="G450" s="85" t="s">
        <v>334</v>
      </c>
      <c r="H450" s="90" t="s">
        <v>1083</v>
      </c>
      <c r="I450" s="85">
        <v>0.57999999999999996</v>
      </c>
      <c r="J450" s="87">
        <v>4.8</v>
      </c>
      <c r="K450" s="88">
        <f t="shared" ref="K450:K513" si="24">I450*J450</f>
        <v>2.7839999999999998</v>
      </c>
      <c r="L450" s="85">
        <v>3357</v>
      </c>
      <c r="M450" s="118" t="s">
        <v>417</v>
      </c>
      <c r="N450" s="84"/>
      <c r="O450" s="84" t="s">
        <v>874</v>
      </c>
      <c r="R450"/>
    </row>
    <row r="451" spans="1:18" hidden="1" x14ac:dyDescent="0.2">
      <c r="A451" s="84" t="str">
        <f t="shared" si="22"/>
        <v>MarçoSEMANA 2Cebolinha Verde Sushi</v>
      </c>
      <c r="B451" s="85" t="s">
        <v>31</v>
      </c>
      <c r="C451" s="85" t="s">
        <v>21</v>
      </c>
      <c r="D451" s="86">
        <v>6</v>
      </c>
      <c r="E451" s="116" t="str">
        <f t="shared" si="23"/>
        <v>Sushi</v>
      </c>
      <c r="F451" s="85" t="s">
        <v>1110</v>
      </c>
      <c r="G451" s="85" t="s">
        <v>248</v>
      </c>
      <c r="H451" s="90" t="s">
        <v>1083</v>
      </c>
      <c r="I451" s="85">
        <v>0.49299999999999999</v>
      </c>
      <c r="J451" s="87">
        <v>7</v>
      </c>
      <c r="K451" s="88">
        <f t="shared" si="24"/>
        <v>3.4510000000000001</v>
      </c>
      <c r="L451" s="85">
        <v>3342</v>
      </c>
      <c r="M451" s="118" t="s">
        <v>1018</v>
      </c>
      <c r="O451" s="84" t="s">
        <v>874</v>
      </c>
      <c r="R451"/>
    </row>
    <row r="452" spans="1:18" hidden="1" x14ac:dyDescent="0.2">
      <c r="A452" s="84" t="str">
        <f t="shared" si="22"/>
        <v>MarçoSEMANA 2Pepino Japonês Sushi</v>
      </c>
      <c r="B452" s="85" t="s">
        <v>31</v>
      </c>
      <c r="C452" s="85" t="s">
        <v>21</v>
      </c>
      <c r="D452" s="86">
        <v>6</v>
      </c>
      <c r="E452" s="116" t="str">
        <f t="shared" si="23"/>
        <v>Sushi</v>
      </c>
      <c r="F452" s="85" t="s">
        <v>1110</v>
      </c>
      <c r="G452" s="85" t="s">
        <v>578</v>
      </c>
      <c r="H452" s="90" t="s">
        <v>1083</v>
      </c>
      <c r="I452" s="85">
        <v>0.18</v>
      </c>
      <c r="J452" s="87">
        <f>48/20.12</f>
        <v>2.3856858846918487</v>
      </c>
      <c r="K452" s="88">
        <f t="shared" si="24"/>
        <v>0.42942345924453273</v>
      </c>
      <c r="L452" s="85">
        <v>3342</v>
      </c>
      <c r="M452" s="118" t="s">
        <v>418</v>
      </c>
      <c r="N452" s="84"/>
      <c r="O452" s="84" t="s">
        <v>874</v>
      </c>
      <c r="R452"/>
    </row>
    <row r="453" spans="1:18" hidden="1" x14ac:dyDescent="0.2">
      <c r="A453" s="84" t="str">
        <f t="shared" si="22"/>
        <v>MarçoSEMANA 2Farinha de Mandioca</v>
      </c>
      <c r="B453" s="85" t="s">
        <v>31</v>
      </c>
      <c r="C453" s="85" t="s">
        <v>21</v>
      </c>
      <c r="D453" s="86">
        <v>8</v>
      </c>
      <c r="E453" s="116" t="str">
        <f t="shared" si="23"/>
        <v>Mercado</v>
      </c>
      <c r="F453" s="85" t="s">
        <v>1085</v>
      </c>
      <c r="G453" s="85" t="s">
        <v>341</v>
      </c>
      <c r="H453" s="90" t="s">
        <v>1083</v>
      </c>
      <c r="I453" s="85">
        <v>20</v>
      </c>
      <c r="J453" s="87">
        <v>5.0999999999999996</v>
      </c>
      <c r="K453" s="88">
        <f t="shared" si="24"/>
        <v>102</v>
      </c>
      <c r="L453" s="85" t="s">
        <v>1197</v>
      </c>
      <c r="M453" s="118" t="s">
        <v>419</v>
      </c>
      <c r="N453" s="84"/>
      <c r="O453" s="84" t="s">
        <v>874</v>
      </c>
      <c r="R453"/>
    </row>
    <row r="454" spans="1:18" hidden="1" x14ac:dyDescent="0.2">
      <c r="A454" s="84" t="str">
        <f t="shared" si="22"/>
        <v>MarçoSEMANA 2Farinha de Trigo</v>
      </c>
      <c r="B454" s="85" t="s">
        <v>31</v>
      </c>
      <c r="C454" s="85" t="s">
        <v>21</v>
      </c>
      <c r="D454" s="86">
        <v>8</v>
      </c>
      <c r="E454" s="116" t="str">
        <f t="shared" si="23"/>
        <v>Mercado</v>
      </c>
      <c r="F454" s="85" t="s">
        <v>1085</v>
      </c>
      <c r="G454" s="85" t="s">
        <v>343</v>
      </c>
      <c r="H454" s="90" t="s">
        <v>1083</v>
      </c>
      <c r="I454" s="85">
        <v>10</v>
      </c>
      <c r="J454" s="87">
        <v>1.76</v>
      </c>
      <c r="K454" s="88">
        <f t="shared" si="24"/>
        <v>17.600000000000001</v>
      </c>
      <c r="L454" s="85" t="s">
        <v>1197</v>
      </c>
      <c r="M454" s="118" t="s">
        <v>420</v>
      </c>
      <c r="N454" s="84"/>
      <c r="O454" s="84" t="s">
        <v>874</v>
      </c>
      <c r="R454"/>
    </row>
    <row r="455" spans="1:18" hidden="1" x14ac:dyDescent="0.2">
      <c r="A455" s="84" t="str">
        <f t="shared" si="22"/>
        <v>MarçoSEMANA 2Feijão Fradinho</v>
      </c>
      <c r="B455" s="85" t="s">
        <v>31</v>
      </c>
      <c r="C455" s="85" t="s">
        <v>21</v>
      </c>
      <c r="D455" s="86">
        <v>8</v>
      </c>
      <c r="E455" s="116" t="str">
        <f t="shared" si="23"/>
        <v>Mercado</v>
      </c>
      <c r="F455" s="85" t="s">
        <v>1085</v>
      </c>
      <c r="G455" s="85" t="s">
        <v>350</v>
      </c>
      <c r="H455" s="90" t="s">
        <v>1083</v>
      </c>
      <c r="I455" s="85">
        <v>10</v>
      </c>
      <c r="J455" s="87">
        <v>3.56</v>
      </c>
      <c r="K455" s="88">
        <f t="shared" si="24"/>
        <v>35.6</v>
      </c>
      <c r="L455" s="85" t="s">
        <v>1197</v>
      </c>
      <c r="M455" s="118" t="s">
        <v>421</v>
      </c>
      <c r="N455" s="84"/>
      <c r="O455" s="84" t="s">
        <v>874</v>
      </c>
      <c r="R455"/>
    </row>
    <row r="456" spans="1:18" hidden="1" x14ac:dyDescent="0.2">
      <c r="A456" s="84" t="str">
        <f t="shared" si="22"/>
        <v>MarçoSEMANA 2Leite Integral</v>
      </c>
      <c r="B456" s="85" t="s">
        <v>31</v>
      </c>
      <c r="C456" s="85" t="s">
        <v>21</v>
      </c>
      <c r="D456" s="86">
        <v>8</v>
      </c>
      <c r="E456" s="116" t="str">
        <f t="shared" si="23"/>
        <v>Mercado</v>
      </c>
      <c r="F456" s="85" t="s">
        <v>1085</v>
      </c>
      <c r="G456" s="85" t="s">
        <v>460</v>
      </c>
      <c r="H456" s="90" t="s">
        <v>1086</v>
      </c>
      <c r="I456" s="85">
        <v>36</v>
      </c>
      <c r="J456" s="87">
        <f>(92.64+4.55)/36</f>
        <v>2.6997222222222224</v>
      </c>
      <c r="K456" s="88">
        <f t="shared" si="24"/>
        <v>97.19</v>
      </c>
      <c r="L456" s="85" t="s">
        <v>1197</v>
      </c>
      <c r="M456" s="118" t="s">
        <v>422</v>
      </c>
      <c r="N456" s="84"/>
      <c r="O456" s="84" t="s">
        <v>874</v>
      </c>
      <c r="R456"/>
    </row>
    <row r="457" spans="1:18" hidden="1" x14ac:dyDescent="0.2">
      <c r="A457" s="84" t="str">
        <f t="shared" si="22"/>
        <v>MarçoSEMANA 2Maionese Hellmanns Bd 3 Kg</v>
      </c>
      <c r="B457" s="85" t="s">
        <v>31</v>
      </c>
      <c r="C457" s="85" t="s">
        <v>21</v>
      </c>
      <c r="D457" s="86">
        <v>8</v>
      </c>
      <c r="E457" s="116" t="str">
        <f t="shared" si="23"/>
        <v>Mercado</v>
      </c>
      <c r="F457" s="85" t="s">
        <v>1085</v>
      </c>
      <c r="G457" s="85" t="s">
        <v>491</v>
      </c>
      <c r="H457" s="90" t="s">
        <v>1088</v>
      </c>
      <c r="I457" s="85">
        <v>6</v>
      </c>
      <c r="J457" s="87">
        <v>23.51</v>
      </c>
      <c r="K457" s="88">
        <f t="shared" si="24"/>
        <v>141.06</v>
      </c>
      <c r="L457" s="85" t="s">
        <v>1197</v>
      </c>
      <c r="M457" s="118" t="s">
        <v>423</v>
      </c>
      <c r="N457" s="84"/>
      <c r="O457" s="84" t="s">
        <v>874</v>
      </c>
      <c r="R457"/>
    </row>
    <row r="458" spans="1:18" hidden="1" x14ac:dyDescent="0.2">
      <c r="A458" s="84" t="str">
        <f t="shared" si="22"/>
        <v>MarçoSEMANA 2Sal Refinado</v>
      </c>
      <c r="B458" s="85" t="s">
        <v>31</v>
      </c>
      <c r="C458" s="85" t="s">
        <v>21</v>
      </c>
      <c r="D458" s="86">
        <v>8</v>
      </c>
      <c r="E458" s="116" t="str">
        <f t="shared" si="23"/>
        <v>Mercado</v>
      </c>
      <c r="F458" s="85" t="s">
        <v>1085</v>
      </c>
      <c r="G458" s="85" t="s">
        <v>724</v>
      </c>
      <c r="H458" s="90" t="s">
        <v>1083</v>
      </c>
      <c r="I458" s="85">
        <v>10</v>
      </c>
      <c r="J458" s="87">
        <v>1.38</v>
      </c>
      <c r="K458" s="88">
        <f t="shared" si="24"/>
        <v>13.799999999999999</v>
      </c>
      <c r="L458" s="85" t="s">
        <v>1197</v>
      </c>
      <c r="M458" s="118" t="s">
        <v>946</v>
      </c>
      <c r="N458" s="84"/>
      <c r="O458" s="84" t="s">
        <v>874</v>
      </c>
      <c r="R458"/>
    </row>
    <row r="459" spans="1:18" hidden="1" x14ac:dyDescent="0.2">
      <c r="A459" s="84" t="str">
        <f t="shared" si="22"/>
        <v>MarçoSEMANA 2Maisena Amido de Milho 1 Kg</v>
      </c>
      <c r="B459" s="85" t="s">
        <v>31</v>
      </c>
      <c r="C459" s="85" t="s">
        <v>21</v>
      </c>
      <c r="D459" s="86">
        <v>8</v>
      </c>
      <c r="E459" s="116" t="str">
        <f t="shared" si="23"/>
        <v>Mercado</v>
      </c>
      <c r="F459" s="85" t="s">
        <v>1085</v>
      </c>
      <c r="G459" s="85" t="s">
        <v>492</v>
      </c>
      <c r="H459" s="90" t="s">
        <v>1083</v>
      </c>
      <c r="I459" s="85">
        <v>1</v>
      </c>
      <c r="J459" s="87">
        <v>3.3</v>
      </c>
      <c r="K459" s="88">
        <f t="shared" si="24"/>
        <v>3.3</v>
      </c>
      <c r="L459" s="85" t="s">
        <v>1197</v>
      </c>
      <c r="M459" s="118" t="s">
        <v>424</v>
      </c>
      <c r="N459" s="84"/>
      <c r="O459" s="84" t="s">
        <v>874</v>
      </c>
      <c r="R459"/>
    </row>
    <row r="460" spans="1:18" hidden="1" x14ac:dyDescent="0.2">
      <c r="A460" s="84" t="str">
        <f t="shared" si="22"/>
        <v xml:space="preserve">MarçoSEMANA 2Fubá de Milho </v>
      </c>
      <c r="B460" s="85" t="s">
        <v>31</v>
      </c>
      <c r="C460" s="85" t="s">
        <v>21</v>
      </c>
      <c r="D460" s="86">
        <v>8</v>
      </c>
      <c r="E460" s="116" t="str">
        <f t="shared" si="23"/>
        <v>Mercado</v>
      </c>
      <c r="F460" s="85" t="s">
        <v>1085</v>
      </c>
      <c r="G460" s="85" t="s">
        <v>373</v>
      </c>
      <c r="H460" s="90" t="s">
        <v>1083</v>
      </c>
      <c r="I460" s="85">
        <v>3</v>
      </c>
      <c r="J460" s="87">
        <v>1.62</v>
      </c>
      <c r="K460" s="88">
        <f t="shared" si="24"/>
        <v>4.8600000000000003</v>
      </c>
      <c r="L460" s="85" t="s">
        <v>1197</v>
      </c>
      <c r="M460" s="118" t="s">
        <v>425</v>
      </c>
      <c r="N460" s="84"/>
      <c r="O460" s="84" t="s">
        <v>874</v>
      </c>
      <c r="R460"/>
    </row>
    <row r="461" spans="1:18" hidden="1" x14ac:dyDescent="0.2">
      <c r="A461" s="84" t="str">
        <f t="shared" si="22"/>
        <v>MarçoSEMANA 2Orégano Chileno</v>
      </c>
      <c r="B461" s="85" t="s">
        <v>31</v>
      </c>
      <c r="C461" s="85" t="s">
        <v>21</v>
      </c>
      <c r="D461" s="86">
        <v>8</v>
      </c>
      <c r="E461" s="116" t="str">
        <f t="shared" si="23"/>
        <v>Mercado</v>
      </c>
      <c r="F461" s="85" t="s">
        <v>1085</v>
      </c>
      <c r="G461" s="85" t="s">
        <v>546</v>
      </c>
      <c r="H461" s="90" t="s">
        <v>1083</v>
      </c>
      <c r="I461" s="85">
        <f>2*0.2</f>
        <v>0.4</v>
      </c>
      <c r="J461" s="87">
        <f>18.2/0.4</f>
        <v>45.499999999999993</v>
      </c>
      <c r="K461" s="88">
        <f t="shared" si="24"/>
        <v>18.2</v>
      </c>
      <c r="L461" s="85" t="s">
        <v>1197</v>
      </c>
      <c r="M461" s="118" t="s">
        <v>947</v>
      </c>
      <c r="N461" s="84"/>
      <c r="O461" s="84" t="s">
        <v>874</v>
      </c>
      <c r="R461"/>
    </row>
    <row r="462" spans="1:18" hidden="1" x14ac:dyDescent="0.2">
      <c r="A462" s="84" t="str">
        <f t="shared" si="22"/>
        <v>MarçoSEMANA 2Café Moído 1 Kg</v>
      </c>
      <c r="B462" s="85" t="s">
        <v>31</v>
      </c>
      <c r="C462" s="85" t="s">
        <v>21</v>
      </c>
      <c r="D462" s="86">
        <v>8</v>
      </c>
      <c r="E462" s="116" t="str">
        <f t="shared" si="23"/>
        <v>Mercado</v>
      </c>
      <c r="F462" s="85" t="s">
        <v>1120</v>
      </c>
      <c r="G462" s="85" t="s">
        <v>198</v>
      </c>
      <c r="H462" s="90" t="s">
        <v>1083</v>
      </c>
      <c r="I462" s="85">
        <v>5</v>
      </c>
      <c r="J462" s="87">
        <f>76.2/5</f>
        <v>15.24</v>
      </c>
      <c r="K462" s="88">
        <f t="shared" si="24"/>
        <v>76.2</v>
      </c>
      <c r="L462" s="85" t="s">
        <v>1198</v>
      </c>
      <c r="M462" s="118" t="s">
        <v>426</v>
      </c>
      <c r="N462" s="84"/>
      <c r="O462" s="84" t="s">
        <v>874</v>
      </c>
      <c r="R462"/>
    </row>
    <row r="463" spans="1:18" hidden="1" x14ac:dyDescent="0.2">
      <c r="A463" s="84" t="str">
        <f t="shared" si="22"/>
        <v>MarçoSEMANA 2Vinho Tinto Seco Gf 4,6 Lt</v>
      </c>
      <c r="B463" s="85" t="s">
        <v>31</v>
      </c>
      <c r="C463" s="85" t="s">
        <v>21</v>
      </c>
      <c r="D463" s="86">
        <v>8</v>
      </c>
      <c r="E463" s="116" t="str">
        <f t="shared" si="23"/>
        <v>Mercado</v>
      </c>
      <c r="F463" s="85" t="s">
        <v>1123</v>
      </c>
      <c r="G463" s="85" t="s">
        <v>865</v>
      </c>
      <c r="H463" s="90" t="s">
        <v>1090</v>
      </c>
      <c r="I463" s="85">
        <v>1</v>
      </c>
      <c r="J463" s="87">
        <f>(40.35+7.65)</f>
        <v>48</v>
      </c>
      <c r="K463" s="88">
        <f t="shared" si="24"/>
        <v>48</v>
      </c>
      <c r="L463" s="85" t="s">
        <v>1199</v>
      </c>
      <c r="M463" s="118" t="s">
        <v>1015</v>
      </c>
      <c r="O463" s="84" t="s">
        <v>874</v>
      </c>
      <c r="R463"/>
    </row>
    <row r="464" spans="1:18" hidden="1" x14ac:dyDescent="0.2">
      <c r="A464" s="84" t="str">
        <f t="shared" si="22"/>
        <v>MarçoSEMANA 2Pimenta Tabasco</v>
      </c>
      <c r="B464" s="85" t="s">
        <v>31</v>
      </c>
      <c r="C464" s="85" t="s">
        <v>21</v>
      </c>
      <c r="D464" s="86">
        <v>8</v>
      </c>
      <c r="E464" s="116" t="str">
        <f t="shared" si="23"/>
        <v>Mercado</v>
      </c>
      <c r="F464" s="85" t="s">
        <v>1123</v>
      </c>
      <c r="G464" s="85" t="s">
        <v>661</v>
      </c>
      <c r="H464" s="90" t="s">
        <v>1090</v>
      </c>
      <c r="I464" s="85">
        <v>1</v>
      </c>
      <c r="J464" s="87">
        <f>10.77+1.61</f>
        <v>12.379999999999999</v>
      </c>
      <c r="K464" s="88">
        <f t="shared" si="24"/>
        <v>12.379999999999999</v>
      </c>
      <c r="L464" s="85">
        <v>4</v>
      </c>
      <c r="M464" s="118" t="s">
        <v>904</v>
      </c>
      <c r="N464" s="84"/>
      <c r="O464" s="84" t="s">
        <v>874</v>
      </c>
      <c r="R464"/>
    </row>
    <row r="465" spans="1:18" hidden="1" x14ac:dyDescent="0.2">
      <c r="A465" s="84" t="str">
        <f t="shared" si="22"/>
        <v>MarçoSEMANA 2Mostarda Bb 3,3, Kg</v>
      </c>
      <c r="B465" s="85" t="s">
        <v>31</v>
      </c>
      <c r="C465" s="85" t="s">
        <v>21</v>
      </c>
      <c r="D465" s="86">
        <v>8</v>
      </c>
      <c r="E465" s="116" t="str">
        <f t="shared" si="23"/>
        <v>Mercado</v>
      </c>
      <c r="F465" s="85" t="s">
        <v>1123</v>
      </c>
      <c r="G465" s="85" t="s">
        <v>531</v>
      </c>
      <c r="H465" s="90" t="s">
        <v>1089</v>
      </c>
      <c r="I465" s="85">
        <v>1</v>
      </c>
      <c r="J465" s="87">
        <v>12.55</v>
      </c>
      <c r="K465" s="88">
        <f t="shared" si="24"/>
        <v>12.55</v>
      </c>
      <c r="L465" s="85" t="s">
        <v>1199</v>
      </c>
      <c r="M465" s="118" t="s">
        <v>905</v>
      </c>
      <c r="N465" s="84"/>
      <c r="O465" s="84" t="s">
        <v>874</v>
      </c>
      <c r="R465"/>
    </row>
    <row r="466" spans="1:18" hidden="1" x14ac:dyDescent="0.2">
      <c r="A466" s="84" t="str">
        <f t="shared" si="22"/>
        <v>MarçoSEMANA 2Óleo de Soja 18 Lt</v>
      </c>
      <c r="B466" s="85" t="s">
        <v>31</v>
      </c>
      <c r="C466" s="85" t="s">
        <v>21</v>
      </c>
      <c r="D466" s="86">
        <v>8</v>
      </c>
      <c r="E466" s="116" t="str">
        <f t="shared" si="23"/>
        <v>Mercado</v>
      </c>
      <c r="F466" s="85" t="s">
        <v>1123</v>
      </c>
      <c r="G466" s="85" t="s">
        <v>544</v>
      </c>
      <c r="H466" s="90" t="s">
        <v>1087</v>
      </c>
      <c r="I466" s="85">
        <v>4</v>
      </c>
      <c r="J466" s="87">
        <v>62.04</v>
      </c>
      <c r="K466" s="88">
        <f t="shared" si="24"/>
        <v>248.16</v>
      </c>
      <c r="L466" s="85" t="s">
        <v>1199</v>
      </c>
      <c r="M466" s="118" t="s">
        <v>906</v>
      </c>
      <c r="N466" s="84"/>
      <c r="O466" s="84" t="s">
        <v>874</v>
      </c>
      <c r="R466"/>
    </row>
    <row r="467" spans="1:18" hidden="1" x14ac:dyDescent="0.2">
      <c r="A467" s="84" t="str">
        <f t="shared" si="22"/>
        <v>MarçoSEMANA 2Vinagre de Arroz Sushi</v>
      </c>
      <c r="B467" s="85" t="s">
        <v>31</v>
      </c>
      <c r="C467" s="85" t="s">
        <v>21</v>
      </c>
      <c r="D467" s="86">
        <v>8</v>
      </c>
      <c r="E467" s="116" t="str">
        <f t="shared" si="23"/>
        <v>Sushi</v>
      </c>
      <c r="F467" s="85" t="s">
        <v>1123</v>
      </c>
      <c r="G467" s="85" t="s">
        <v>839</v>
      </c>
      <c r="H467" s="90" t="s">
        <v>1090</v>
      </c>
      <c r="I467" s="85">
        <f>12-7</f>
        <v>5</v>
      </c>
      <c r="J467" s="87">
        <v>3.87</v>
      </c>
      <c r="K467" s="88">
        <f t="shared" si="24"/>
        <v>19.350000000000001</v>
      </c>
      <c r="L467" s="85" t="s">
        <v>1199</v>
      </c>
      <c r="M467" s="118" t="s">
        <v>907</v>
      </c>
      <c r="N467" s="84"/>
      <c r="O467" s="84" t="s">
        <v>874</v>
      </c>
      <c r="R467"/>
    </row>
    <row r="468" spans="1:18" hidden="1" x14ac:dyDescent="0.2">
      <c r="A468" s="84" t="str">
        <f t="shared" si="22"/>
        <v>MarçoSEMANA 2Amendoim Torrado</v>
      </c>
      <c r="B468" s="85" t="s">
        <v>31</v>
      </c>
      <c r="C468" s="85" t="s">
        <v>21</v>
      </c>
      <c r="D468" s="86">
        <v>8</v>
      </c>
      <c r="E468" s="116" t="str">
        <f t="shared" si="23"/>
        <v>Mercado</v>
      </c>
      <c r="F468" s="85" t="s">
        <v>1115</v>
      </c>
      <c r="G468" s="85" t="s">
        <v>119</v>
      </c>
      <c r="H468" s="90" t="s">
        <v>1083</v>
      </c>
      <c r="I468" s="85">
        <v>1</v>
      </c>
      <c r="J468" s="87">
        <v>14.5</v>
      </c>
      <c r="K468" s="88">
        <f t="shared" si="24"/>
        <v>14.5</v>
      </c>
      <c r="L468" s="85" t="s">
        <v>1200</v>
      </c>
      <c r="M468" s="118" t="s">
        <v>908</v>
      </c>
      <c r="N468" s="84"/>
      <c r="O468" s="84" t="s">
        <v>874</v>
      </c>
      <c r="R468"/>
    </row>
    <row r="469" spans="1:18" hidden="1" x14ac:dyDescent="0.2">
      <c r="A469" s="84" t="str">
        <f t="shared" si="22"/>
        <v>MarçoSEMANA 2Castanha de Caju Picada</v>
      </c>
      <c r="B469" s="85" t="s">
        <v>31</v>
      </c>
      <c r="C469" s="85" t="s">
        <v>21</v>
      </c>
      <c r="D469" s="86">
        <v>8</v>
      </c>
      <c r="E469" s="116" t="str">
        <f t="shared" si="23"/>
        <v>Mercado</v>
      </c>
      <c r="F469" s="85" t="s">
        <v>1115</v>
      </c>
      <c r="G469" s="85" t="s">
        <v>238</v>
      </c>
      <c r="H469" s="90" t="s">
        <v>1083</v>
      </c>
      <c r="I469" s="85">
        <v>1</v>
      </c>
      <c r="J469" s="87">
        <v>54.9</v>
      </c>
      <c r="K469" s="88">
        <f t="shared" si="24"/>
        <v>54.9</v>
      </c>
      <c r="L469" s="85" t="s">
        <v>1200</v>
      </c>
      <c r="M469" s="118" t="s">
        <v>909</v>
      </c>
      <c r="N469" s="84"/>
      <c r="O469" s="84" t="s">
        <v>874</v>
      </c>
      <c r="R469"/>
    </row>
    <row r="470" spans="1:18" hidden="1" x14ac:dyDescent="0.2">
      <c r="A470" s="84" t="str">
        <f t="shared" si="22"/>
        <v>MarçoSEMANA 2Cevadinha</v>
      </c>
      <c r="B470" s="85" t="s">
        <v>31</v>
      </c>
      <c r="C470" s="85" t="s">
        <v>21</v>
      </c>
      <c r="D470" s="86">
        <v>8</v>
      </c>
      <c r="E470" s="116" t="str">
        <f t="shared" si="23"/>
        <v>Mercado</v>
      </c>
      <c r="F470" s="85" t="s">
        <v>1115</v>
      </c>
      <c r="G470" s="85" t="s">
        <v>269</v>
      </c>
      <c r="H470" s="90" t="s">
        <v>1083</v>
      </c>
      <c r="I470" s="85">
        <v>2</v>
      </c>
      <c r="J470" s="87">
        <v>5.9</v>
      </c>
      <c r="K470" s="88">
        <f t="shared" si="24"/>
        <v>11.8</v>
      </c>
      <c r="L470" s="85" t="s">
        <v>1200</v>
      </c>
      <c r="M470" s="118" t="s">
        <v>910</v>
      </c>
      <c r="N470" s="84"/>
      <c r="O470" s="84" t="s">
        <v>874</v>
      </c>
      <c r="R470"/>
    </row>
    <row r="471" spans="1:18" hidden="1" x14ac:dyDescent="0.2">
      <c r="A471" s="84" t="str">
        <f t="shared" si="22"/>
        <v>MarçoSEMANA 2Coloral</v>
      </c>
      <c r="B471" s="85" t="s">
        <v>31</v>
      </c>
      <c r="C471" s="85" t="s">
        <v>21</v>
      </c>
      <c r="D471" s="86">
        <v>8</v>
      </c>
      <c r="E471" s="116" t="str">
        <f t="shared" si="23"/>
        <v>Mercado</v>
      </c>
      <c r="F471" s="85" t="s">
        <v>1115</v>
      </c>
      <c r="G471" s="85" t="s">
        <v>295</v>
      </c>
      <c r="H471" s="90" t="s">
        <v>1083</v>
      </c>
      <c r="I471" s="85">
        <v>0.3</v>
      </c>
      <c r="J471" s="87">
        <v>5.5</v>
      </c>
      <c r="K471" s="88">
        <f t="shared" si="24"/>
        <v>1.65</v>
      </c>
      <c r="L471" s="85" t="s">
        <v>1200</v>
      </c>
      <c r="M471" s="118" t="s">
        <v>911</v>
      </c>
      <c r="O471" s="115" t="s">
        <v>874</v>
      </c>
      <c r="R471"/>
    </row>
    <row r="472" spans="1:18" hidden="1" x14ac:dyDescent="0.2">
      <c r="A472" s="84" t="str">
        <f t="shared" si="22"/>
        <v>MarçoSEMANA 2Feijão Azuki</v>
      </c>
      <c r="B472" s="85" t="s">
        <v>31</v>
      </c>
      <c r="C472" s="85" t="s">
        <v>21</v>
      </c>
      <c r="D472" s="86">
        <v>8</v>
      </c>
      <c r="E472" s="116" t="str">
        <f t="shared" si="23"/>
        <v>Mercado</v>
      </c>
      <c r="F472" s="85" t="s">
        <v>1115</v>
      </c>
      <c r="G472" s="85" t="s">
        <v>347</v>
      </c>
      <c r="H472" s="90" t="s">
        <v>1083</v>
      </c>
      <c r="I472" s="85">
        <v>2</v>
      </c>
      <c r="J472" s="87">
        <v>10</v>
      </c>
      <c r="K472" s="88">
        <f t="shared" si="24"/>
        <v>20</v>
      </c>
      <c r="L472" s="85" t="s">
        <v>1200</v>
      </c>
      <c r="M472" s="118" t="s">
        <v>427</v>
      </c>
      <c r="N472" s="84"/>
      <c r="O472" s="84" t="s">
        <v>874</v>
      </c>
      <c r="R472"/>
    </row>
    <row r="473" spans="1:18" hidden="1" x14ac:dyDescent="0.2">
      <c r="A473" s="84" t="str">
        <f t="shared" si="22"/>
        <v>MarçoSEMANA 2Feijão de Soja</v>
      </c>
      <c r="B473" s="85" t="s">
        <v>31</v>
      </c>
      <c r="C473" s="85" t="s">
        <v>21</v>
      </c>
      <c r="D473" s="86">
        <v>8</v>
      </c>
      <c r="E473" s="116" t="str">
        <f t="shared" si="23"/>
        <v>Mercado</v>
      </c>
      <c r="F473" s="85" t="s">
        <v>1115</v>
      </c>
      <c r="G473" s="85" t="s">
        <v>349</v>
      </c>
      <c r="H473" s="90" t="s">
        <v>1083</v>
      </c>
      <c r="I473" s="85">
        <v>1</v>
      </c>
      <c r="J473" s="89">
        <v>4.5</v>
      </c>
      <c r="K473" s="88">
        <f t="shared" si="24"/>
        <v>4.5</v>
      </c>
      <c r="L473" s="85" t="s">
        <v>1200</v>
      </c>
      <c r="M473" s="118" t="s">
        <v>428</v>
      </c>
      <c r="N473" s="84"/>
      <c r="O473" s="84" t="s">
        <v>874</v>
      </c>
      <c r="R473"/>
    </row>
    <row r="474" spans="1:18" hidden="1" x14ac:dyDescent="0.2">
      <c r="A474" s="84" t="str">
        <f t="shared" si="22"/>
        <v>MarçoSEMANA 2Mostarda Dijom em Grão</v>
      </c>
      <c r="B474" s="85" t="s">
        <v>31</v>
      </c>
      <c r="C474" s="85" t="s">
        <v>21</v>
      </c>
      <c r="D474" s="86">
        <v>8</v>
      </c>
      <c r="E474" s="116" t="str">
        <f t="shared" si="23"/>
        <v>Mercado</v>
      </c>
      <c r="F474" s="85" t="s">
        <v>1115</v>
      </c>
      <c r="G474" s="85" t="s">
        <v>532</v>
      </c>
      <c r="H474" s="90" t="s">
        <v>1090</v>
      </c>
      <c r="I474" s="85">
        <v>1</v>
      </c>
      <c r="J474" s="87">
        <v>22.5</v>
      </c>
      <c r="K474" s="88">
        <f t="shared" si="24"/>
        <v>22.5</v>
      </c>
      <c r="L474" s="85" t="s">
        <v>1200</v>
      </c>
      <c r="M474" s="118" t="s">
        <v>429</v>
      </c>
      <c r="N474" s="84"/>
      <c r="O474" s="84" t="s">
        <v>874</v>
      </c>
      <c r="R474"/>
    </row>
    <row r="475" spans="1:18" hidden="1" x14ac:dyDescent="0.2">
      <c r="A475" s="84" t="str">
        <f t="shared" si="22"/>
        <v>MarçoSEMANA 2Nozes sem casca</v>
      </c>
      <c r="B475" s="85" t="s">
        <v>31</v>
      </c>
      <c r="C475" s="85" t="s">
        <v>21</v>
      </c>
      <c r="D475" s="86">
        <v>8</v>
      </c>
      <c r="E475" s="116" t="str">
        <f t="shared" si="23"/>
        <v>Mercado</v>
      </c>
      <c r="F475" s="85" t="s">
        <v>1115</v>
      </c>
      <c r="G475" s="85" t="s">
        <v>539</v>
      </c>
      <c r="H475" s="90" t="s">
        <v>1083</v>
      </c>
      <c r="I475" s="85">
        <v>1</v>
      </c>
      <c r="J475" s="87">
        <v>69.900000000000006</v>
      </c>
      <c r="K475" s="88">
        <f t="shared" si="24"/>
        <v>69.900000000000006</v>
      </c>
      <c r="L475" s="85" t="s">
        <v>1200</v>
      </c>
      <c r="M475" s="118" t="s">
        <v>430</v>
      </c>
      <c r="N475" s="84"/>
      <c r="O475" s="84" t="s">
        <v>874</v>
      </c>
      <c r="R475"/>
    </row>
    <row r="476" spans="1:18" hidden="1" x14ac:dyDescent="0.2">
      <c r="A476" s="84" t="str">
        <f t="shared" si="22"/>
        <v>MarçoSEMANA 2Passas Preta</v>
      </c>
      <c r="B476" s="85" t="s">
        <v>31</v>
      </c>
      <c r="C476" s="85" t="s">
        <v>21</v>
      </c>
      <c r="D476" s="86">
        <v>8</v>
      </c>
      <c r="E476" s="116" t="str">
        <f t="shared" si="23"/>
        <v>Mercado</v>
      </c>
      <c r="F476" s="85" t="s">
        <v>1115</v>
      </c>
      <c r="G476" s="85" t="s">
        <v>573</v>
      </c>
      <c r="H476" s="90" t="s">
        <v>1083</v>
      </c>
      <c r="I476" s="85">
        <v>1</v>
      </c>
      <c r="J476" s="87">
        <v>14.3</v>
      </c>
      <c r="K476" s="88">
        <f t="shared" si="24"/>
        <v>14.3</v>
      </c>
      <c r="L476" s="85" t="s">
        <v>1200</v>
      </c>
      <c r="M476" s="118" t="s">
        <v>431</v>
      </c>
      <c r="N476" s="84"/>
      <c r="O476" s="84" t="s">
        <v>874</v>
      </c>
      <c r="R476"/>
    </row>
    <row r="477" spans="1:18" hidden="1" x14ac:dyDescent="0.2">
      <c r="A477" s="84" t="str">
        <f t="shared" si="22"/>
        <v>MarçoSEMANA 2Pimenta rosa</v>
      </c>
      <c r="B477" s="85" t="s">
        <v>31</v>
      </c>
      <c r="C477" s="85" t="s">
        <v>21</v>
      </c>
      <c r="D477" s="86">
        <v>8</v>
      </c>
      <c r="E477" s="116" t="str">
        <f t="shared" si="23"/>
        <v>Mercado</v>
      </c>
      <c r="F477" s="85" t="s">
        <v>1115</v>
      </c>
      <c r="G477" s="85" t="s">
        <v>660</v>
      </c>
      <c r="H477" s="90" t="s">
        <v>1083</v>
      </c>
      <c r="I477" s="85">
        <v>0.2</v>
      </c>
      <c r="J477" s="87">
        <v>70</v>
      </c>
      <c r="K477" s="88">
        <f t="shared" si="24"/>
        <v>14</v>
      </c>
      <c r="L477" s="85" t="s">
        <v>1200</v>
      </c>
      <c r="M477" s="118" t="s">
        <v>432</v>
      </c>
      <c r="N477" s="84"/>
      <c r="O477" s="84" t="s">
        <v>874</v>
      </c>
      <c r="R477"/>
    </row>
    <row r="478" spans="1:18" hidden="1" x14ac:dyDescent="0.2">
      <c r="A478" s="84" t="str">
        <f t="shared" si="22"/>
        <v>MarçoSEMANA 2Quinoa</v>
      </c>
      <c r="B478" s="85" t="s">
        <v>31</v>
      </c>
      <c r="C478" s="85" t="s">
        <v>21</v>
      </c>
      <c r="D478" s="86">
        <v>8</v>
      </c>
      <c r="E478" s="116" t="str">
        <f t="shared" si="23"/>
        <v>Mercado</v>
      </c>
      <c r="F478" s="85" t="s">
        <v>1115</v>
      </c>
      <c r="G478" s="85" t="s">
        <v>692</v>
      </c>
      <c r="H478" s="90" t="s">
        <v>1083</v>
      </c>
      <c r="I478" s="85">
        <v>1</v>
      </c>
      <c r="J478" s="87">
        <v>26.9</v>
      </c>
      <c r="K478" s="88">
        <f t="shared" si="24"/>
        <v>26.9</v>
      </c>
      <c r="L478" s="85" t="s">
        <v>1200</v>
      </c>
      <c r="M478" s="118" t="s">
        <v>433</v>
      </c>
      <c r="N478" s="84"/>
      <c r="O478" s="84" t="s">
        <v>874</v>
      </c>
      <c r="R478"/>
    </row>
    <row r="479" spans="1:18" hidden="1" x14ac:dyDescent="0.2">
      <c r="A479" s="84" t="str">
        <f t="shared" si="22"/>
        <v>MarçoSEMANA 2Tahine Lata 500 gr</v>
      </c>
      <c r="B479" s="85" t="s">
        <v>31</v>
      </c>
      <c r="C479" s="85" t="s">
        <v>21</v>
      </c>
      <c r="D479" s="86">
        <v>8</v>
      </c>
      <c r="E479" s="116" t="str">
        <f t="shared" si="23"/>
        <v>Mercado</v>
      </c>
      <c r="F479" s="85" t="s">
        <v>1115</v>
      </c>
      <c r="G479" s="85" t="s">
        <v>778</v>
      </c>
      <c r="H479" s="90" t="s">
        <v>1083</v>
      </c>
      <c r="I479" s="85">
        <v>2</v>
      </c>
      <c r="J479" s="87">
        <v>38</v>
      </c>
      <c r="K479" s="88">
        <f t="shared" si="24"/>
        <v>76</v>
      </c>
      <c r="L479" s="85" t="s">
        <v>1200</v>
      </c>
      <c r="M479" s="118" t="s">
        <v>434</v>
      </c>
      <c r="N479" s="84"/>
      <c r="O479" s="84" t="s">
        <v>874</v>
      </c>
      <c r="R479"/>
    </row>
    <row r="480" spans="1:18" hidden="1" x14ac:dyDescent="0.2">
      <c r="A480" s="84" t="str">
        <f t="shared" si="22"/>
        <v>MarçoSEMANA 2Massa para Lasanha</v>
      </c>
      <c r="B480" s="85" t="s">
        <v>31</v>
      </c>
      <c r="C480" s="85" t="s">
        <v>21</v>
      </c>
      <c r="D480" s="86">
        <v>8</v>
      </c>
      <c r="E480" s="116" t="str">
        <f t="shared" si="23"/>
        <v>Mercado</v>
      </c>
      <c r="F480" s="85" t="s">
        <v>1201</v>
      </c>
      <c r="G480" s="85" t="s">
        <v>509</v>
      </c>
      <c r="H480" s="90" t="s">
        <v>1083</v>
      </c>
      <c r="I480" s="85">
        <v>14.9</v>
      </c>
      <c r="J480" s="87">
        <v>9.9</v>
      </c>
      <c r="K480" s="88">
        <f t="shared" si="24"/>
        <v>147.51000000000002</v>
      </c>
      <c r="L480" s="85">
        <v>16651</v>
      </c>
      <c r="M480" s="118" t="s">
        <v>435</v>
      </c>
      <c r="N480" s="84"/>
      <c r="O480" s="84" t="s">
        <v>874</v>
      </c>
      <c r="R480"/>
    </row>
    <row r="481" spans="1:18" hidden="1" x14ac:dyDescent="0.2">
      <c r="A481" s="84" t="str">
        <f t="shared" si="22"/>
        <v>MarçoSEMANA 2Gelo em Escamas</v>
      </c>
      <c r="B481" s="85" t="s">
        <v>31</v>
      </c>
      <c r="C481" s="85" t="s">
        <v>21</v>
      </c>
      <c r="D481" s="86">
        <v>8</v>
      </c>
      <c r="E481" s="116" t="str">
        <f t="shared" si="23"/>
        <v>Mercado</v>
      </c>
      <c r="F481" s="85" t="s">
        <v>1096</v>
      </c>
      <c r="G481" s="85" t="s">
        <v>384</v>
      </c>
      <c r="H481" s="90" t="s">
        <v>1097</v>
      </c>
      <c r="I481" s="85">
        <v>2</v>
      </c>
      <c r="J481" s="87">
        <v>7.5</v>
      </c>
      <c r="K481" s="88">
        <f t="shared" si="24"/>
        <v>15</v>
      </c>
      <c r="L481" s="85">
        <v>2858</v>
      </c>
      <c r="M481" s="118" t="s">
        <v>436</v>
      </c>
      <c r="N481" s="84"/>
      <c r="O481" s="84" t="s">
        <v>874</v>
      </c>
      <c r="R481"/>
    </row>
    <row r="482" spans="1:18" hidden="1" x14ac:dyDescent="0.2">
      <c r="A482" s="84" t="str">
        <f t="shared" si="22"/>
        <v>MarçoSEMANA 2Gelo em Cubo</v>
      </c>
      <c r="B482" s="85" t="s">
        <v>31</v>
      </c>
      <c r="C482" s="85" t="s">
        <v>21</v>
      </c>
      <c r="D482" s="86">
        <v>8</v>
      </c>
      <c r="E482" s="116" t="str">
        <f t="shared" si="23"/>
        <v>Mercado</v>
      </c>
      <c r="F482" s="85" t="s">
        <v>1096</v>
      </c>
      <c r="G482" s="85" t="s">
        <v>383</v>
      </c>
      <c r="H482" s="90" t="s">
        <v>1097</v>
      </c>
      <c r="I482" s="85">
        <v>3</v>
      </c>
      <c r="J482" s="87">
        <v>7.5</v>
      </c>
      <c r="K482" s="88">
        <f t="shared" si="24"/>
        <v>22.5</v>
      </c>
      <c r="L482" s="85">
        <v>2858</v>
      </c>
      <c r="M482" s="118" t="s">
        <v>437</v>
      </c>
      <c r="N482" s="84"/>
      <c r="O482" s="84" t="s">
        <v>874</v>
      </c>
      <c r="R482"/>
    </row>
    <row r="483" spans="1:18" hidden="1" x14ac:dyDescent="0.2">
      <c r="A483" s="84" t="str">
        <f t="shared" si="22"/>
        <v>MarçoSEMANA 2Azeite Extra Virgem (Santiago) 500 ml</v>
      </c>
      <c r="B483" s="85" t="s">
        <v>31</v>
      </c>
      <c r="C483" s="85" t="s">
        <v>21</v>
      </c>
      <c r="D483" s="86">
        <v>8</v>
      </c>
      <c r="E483" s="116" t="str">
        <f t="shared" si="23"/>
        <v>Mercado</v>
      </c>
      <c r="F483" s="85" t="s">
        <v>1120</v>
      </c>
      <c r="G483" s="85" t="s">
        <v>153</v>
      </c>
      <c r="H483" s="90" t="s">
        <v>1089</v>
      </c>
      <c r="I483" s="85">
        <v>1</v>
      </c>
      <c r="J483" s="87">
        <v>145.55000000000001</v>
      </c>
      <c r="K483" s="88">
        <f t="shared" si="24"/>
        <v>145.55000000000001</v>
      </c>
      <c r="L483" s="85" t="s">
        <v>1202</v>
      </c>
      <c r="M483" s="118" t="s">
        <v>438</v>
      </c>
      <c r="N483" s="84"/>
      <c r="O483" s="84" t="s">
        <v>874</v>
      </c>
      <c r="R483"/>
    </row>
    <row r="484" spans="1:18" hidden="1" x14ac:dyDescent="0.2">
      <c r="A484" s="84" t="str">
        <f t="shared" si="22"/>
        <v>MarçoSEMANA 2Pescados - Camarão IQF Evisc. 51/60</v>
      </c>
      <c r="B484" s="85" t="s">
        <v>31</v>
      </c>
      <c r="C484" s="85" t="s">
        <v>21</v>
      </c>
      <c r="D484" s="86">
        <v>8</v>
      </c>
      <c r="E484" s="116" t="str">
        <f t="shared" si="23"/>
        <v>Carnes</v>
      </c>
      <c r="F484" s="85" t="s">
        <v>1104</v>
      </c>
      <c r="G484" s="85" t="s">
        <v>593</v>
      </c>
      <c r="H484" s="90" t="s">
        <v>1083</v>
      </c>
      <c r="I484" s="85">
        <v>12</v>
      </c>
      <c r="J484" s="87">
        <v>69.900000000000006</v>
      </c>
      <c r="K484" s="88">
        <f t="shared" si="24"/>
        <v>838.80000000000007</v>
      </c>
      <c r="L484" s="85" t="s">
        <v>1204</v>
      </c>
      <c r="M484" s="118" t="s">
        <v>439</v>
      </c>
      <c r="N484" s="84"/>
      <c r="O484" s="84" t="s">
        <v>874</v>
      </c>
      <c r="R484"/>
    </row>
    <row r="485" spans="1:18" hidden="1" x14ac:dyDescent="0.2">
      <c r="A485" s="84" t="str">
        <f t="shared" si="22"/>
        <v>MarçoSEMANA 2Pescados - Lula Calamares</v>
      </c>
      <c r="B485" s="85" t="s">
        <v>31</v>
      </c>
      <c r="C485" s="85" t="s">
        <v>21</v>
      </c>
      <c r="D485" s="86">
        <v>8</v>
      </c>
      <c r="E485" s="116" t="str">
        <f t="shared" si="23"/>
        <v>Carnes</v>
      </c>
      <c r="F485" s="85" t="s">
        <v>1104</v>
      </c>
      <c r="G485" s="85" t="s">
        <v>620</v>
      </c>
      <c r="H485" s="90" t="s">
        <v>1083</v>
      </c>
      <c r="I485" s="85">
        <v>20</v>
      </c>
      <c r="J485" s="87">
        <v>27.9</v>
      </c>
      <c r="K485" s="88">
        <f t="shared" si="24"/>
        <v>558</v>
      </c>
      <c r="L485" s="85" t="s">
        <v>1203</v>
      </c>
      <c r="M485" s="118" t="s">
        <v>440</v>
      </c>
      <c r="N485" s="84"/>
      <c r="O485" s="84" t="s">
        <v>874</v>
      </c>
      <c r="R485"/>
    </row>
    <row r="486" spans="1:18" hidden="1" x14ac:dyDescent="0.2">
      <c r="A486" s="84" t="str">
        <f t="shared" si="22"/>
        <v>MarçoSEMANA 2Pescados - Salmão Inteiro</v>
      </c>
      <c r="B486" s="85" t="s">
        <v>31</v>
      </c>
      <c r="C486" s="85" t="s">
        <v>21</v>
      </c>
      <c r="D486" s="86">
        <v>8</v>
      </c>
      <c r="E486" s="116" t="str">
        <f t="shared" si="23"/>
        <v>Carnes</v>
      </c>
      <c r="F486" s="85" t="s">
        <v>1104</v>
      </c>
      <c r="G486" s="85" t="s">
        <v>643</v>
      </c>
      <c r="H486" s="90" t="s">
        <v>1083</v>
      </c>
      <c r="I486" s="85">
        <v>30.3</v>
      </c>
      <c r="J486" s="87">
        <v>24.9</v>
      </c>
      <c r="K486" s="88">
        <f t="shared" si="24"/>
        <v>754.47</v>
      </c>
      <c r="L486" s="85">
        <v>1305509</v>
      </c>
      <c r="M486" s="118" t="s">
        <v>441</v>
      </c>
      <c r="N486" s="84"/>
      <c r="O486" s="84" t="s">
        <v>874</v>
      </c>
      <c r="R486"/>
    </row>
    <row r="487" spans="1:18" x14ac:dyDescent="0.25">
      <c r="A487" s="84" t="str">
        <f t="shared" si="22"/>
        <v>MarçoSEMANA 2Pepino Japonês</v>
      </c>
      <c r="B487" s="85" t="s">
        <v>31</v>
      </c>
      <c r="C487" s="85" t="s">
        <v>21</v>
      </c>
      <c r="D487" s="86">
        <v>8</v>
      </c>
      <c r="E487" s="116" t="str">
        <f t="shared" si="23"/>
        <v>Hortifruti</v>
      </c>
      <c r="F487" s="85" t="s">
        <v>1110</v>
      </c>
      <c r="G487" s="85" t="s">
        <v>576</v>
      </c>
      <c r="H487" s="90" t="s">
        <v>1083</v>
      </c>
      <c r="I487" s="85">
        <f>16.62-0.476</f>
        <v>16.144000000000002</v>
      </c>
      <c r="J487" s="87">
        <f>48/16.62</f>
        <v>2.8880866425992777</v>
      </c>
      <c r="K487" s="88">
        <f t="shared" si="24"/>
        <v>46.625270758122745</v>
      </c>
      <c r="L487" s="85">
        <v>3371</v>
      </c>
      <c r="M487" s="118" t="s">
        <v>1016</v>
      </c>
      <c r="O487" s="84" t="s">
        <v>874</v>
      </c>
      <c r="R487"/>
    </row>
    <row r="488" spans="1:18" x14ac:dyDescent="0.25">
      <c r="A488" s="84" t="str">
        <f t="shared" si="22"/>
        <v xml:space="preserve">MarçoSEMANA 2Alface Americana    </v>
      </c>
      <c r="B488" s="85" t="s">
        <v>31</v>
      </c>
      <c r="C488" s="85" t="s">
        <v>21</v>
      </c>
      <c r="D488" s="86">
        <v>8</v>
      </c>
      <c r="E488" s="116" t="str">
        <f t="shared" si="23"/>
        <v>Hortifruti</v>
      </c>
      <c r="F488" s="85" t="s">
        <v>1110</v>
      </c>
      <c r="G488" s="85" t="s">
        <v>102</v>
      </c>
      <c r="H488" s="90" t="s">
        <v>1083</v>
      </c>
      <c r="I488" s="85">
        <v>7.98</v>
      </c>
      <c r="J488" s="87">
        <f>48/7.98</f>
        <v>6.0150375939849621</v>
      </c>
      <c r="K488" s="88">
        <f t="shared" si="24"/>
        <v>48</v>
      </c>
      <c r="L488" s="85">
        <v>3371</v>
      </c>
      <c r="M488" s="118" t="s">
        <v>948</v>
      </c>
      <c r="N488" s="84"/>
      <c r="O488" s="84" t="s">
        <v>874</v>
      </c>
      <c r="R488"/>
    </row>
    <row r="489" spans="1:18" x14ac:dyDescent="0.25">
      <c r="A489" s="84" t="str">
        <f t="shared" si="22"/>
        <v xml:space="preserve">MarçoSEMANA 2Alho Poró </v>
      </c>
      <c r="B489" s="85" t="s">
        <v>31</v>
      </c>
      <c r="C489" s="85" t="s">
        <v>21</v>
      </c>
      <c r="D489" s="86">
        <v>8</v>
      </c>
      <c r="E489" s="116" t="str">
        <f t="shared" si="23"/>
        <v>Hortifruti</v>
      </c>
      <c r="F489" s="85" t="s">
        <v>1110</v>
      </c>
      <c r="G489" s="85" t="s">
        <v>113</v>
      </c>
      <c r="H489" s="90" t="s">
        <v>1083</v>
      </c>
      <c r="I489" s="85">
        <v>2</v>
      </c>
      <c r="J489" s="87">
        <v>9</v>
      </c>
      <c r="K489" s="88">
        <f t="shared" si="24"/>
        <v>18</v>
      </c>
      <c r="L489" s="85">
        <v>3371</v>
      </c>
      <c r="M489" s="118" t="s">
        <v>1030</v>
      </c>
      <c r="O489" s="84" t="s">
        <v>874</v>
      </c>
      <c r="R489"/>
    </row>
    <row r="490" spans="1:18" x14ac:dyDescent="0.25">
      <c r="A490" s="84" t="str">
        <f t="shared" si="22"/>
        <v>MarçoSEMANA 2Brócolis Americano</v>
      </c>
      <c r="B490" s="85" t="s">
        <v>31</v>
      </c>
      <c r="C490" s="85" t="s">
        <v>21</v>
      </c>
      <c r="D490" s="86">
        <v>8</v>
      </c>
      <c r="E490" s="116" t="str">
        <f t="shared" si="23"/>
        <v>Hortifruti</v>
      </c>
      <c r="F490" s="85" t="s">
        <v>1110</v>
      </c>
      <c r="G490" s="85" t="s">
        <v>194</v>
      </c>
      <c r="H490" s="90" t="s">
        <v>1083</v>
      </c>
      <c r="I490" s="85">
        <v>4</v>
      </c>
      <c r="J490" s="87">
        <v>12</v>
      </c>
      <c r="K490" s="88">
        <f t="shared" si="24"/>
        <v>48</v>
      </c>
      <c r="L490" s="85">
        <v>3371</v>
      </c>
      <c r="M490" s="118" t="s">
        <v>442</v>
      </c>
      <c r="N490" s="84"/>
      <c r="O490" s="84" t="s">
        <v>874</v>
      </c>
      <c r="R490"/>
    </row>
    <row r="491" spans="1:18" x14ac:dyDescent="0.25">
      <c r="A491" s="84" t="str">
        <f t="shared" si="22"/>
        <v>MarçoSEMANA 2Cebolinha Verde</v>
      </c>
      <c r="B491" s="85" t="s">
        <v>31</v>
      </c>
      <c r="C491" s="85" t="s">
        <v>21</v>
      </c>
      <c r="D491" s="86">
        <v>8</v>
      </c>
      <c r="E491" s="116" t="str">
        <f t="shared" si="23"/>
        <v>Hortifruti</v>
      </c>
      <c r="F491" s="85" t="s">
        <v>1110</v>
      </c>
      <c r="G491" s="85" t="s">
        <v>247</v>
      </c>
      <c r="H491" s="90" t="s">
        <v>1083</v>
      </c>
      <c r="I491" s="85">
        <v>1</v>
      </c>
      <c r="J491" s="87">
        <v>7</v>
      </c>
      <c r="K491" s="88">
        <f t="shared" si="24"/>
        <v>7</v>
      </c>
      <c r="L491" s="85">
        <v>3371</v>
      </c>
      <c r="M491" s="118" t="s">
        <v>1017</v>
      </c>
      <c r="O491" s="84" t="s">
        <v>874</v>
      </c>
      <c r="R491"/>
    </row>
    <row r="492" spans="1:18" x14ac:dyDescent="0.25">
      <c r="A492" s="84" t="str">
        <f t="shared" si="22"/>
        <v>MarçoSEMANA 2Manjericão</v>
      </c>
      <c r="B492" s="85" t="s">
        <v>31</v>
      </c>
      <c r="C492" s="85" t="s">
        <v>21</v>
      </c>
      <c r="D492" s="86">
        <v>8</v>
      </c>
      <c r="E492" s="116" t="str">
        <f t="shared" si="23"/>
        <v>Hortifruti</v>
      </c>
      <c r="F492" s="85" t="s">
        <v>1110</v>
      </c>
      <c r="G492" s="85" t="s">
        <v>498</v>
      </c>
      <c r="H492" s="90" t="s">
        <v>1083</v>
      </c>
      <c r="I492" s="85">
        <v>0.5</v>
      </c>
      <c r="J492" s="87">
        <v>10</v>
      </c>
      <c r="K492" s="88">
        <f t="shared" si="24"/>
        <v>5</v>
      </c>
      <c r="L492" s="85">
        <v>3371</v>
      </c>
      <c r="M492" s="118" t="s">
        <v>443</v>
      </c>
      <c r="N492" s="84"/>
      <c r="O492" s="84" t="s">
        <v>47</v>
      </c>
      <c r="R492"/>
    </row>
    <row r="493" spans="1:18" x14ac:dyDescent="0.25">
      <c r="A493" s="84" t="str">
        <f t="shared" si="22"/>
        <v>MarçoSEMANA 2Salsa</v>
      </c>
      <c r="B493" s="85" t="s">
        <v>31</v>
      </c>
      <c r="C493" s="85" t="s">
        <v>21</v>
      </c>
      <c r="D493" s="86">
        <v>8</v>
      </c>
      <c r="E493" s="116" t="str">
        <f t="shared" si="23"/>
        <v>Hortifruti</v>
      </c>
      <c r="F493" s="85" t="s">
        <v>1110</v>
      </c>
      <c r="G493" s="85" t="s">
        <v>728</v>
      </c>
      <c r="H493" s="90" t="s">
        <v>1083</v>
      </c>
      <c r="I493" s="85">
        <v>0.5</v>
      </c>
      <c r="J493" s="87">
        <v>7</v>
      </c>
      <c r="K493" s="88">
        <f t="shared" si="24"/>
        <v>3.5</v>
      </c>
      <c r="L493" s="85">
        <v>3371</v>
      </c>
      <c r="M493" s="118" t="s">
        <v>444</v>
      </c>
      <c r="N493" s="84"/>
      <c r="O493" s="84" t="s">
        <v>47</v>
      </c>
      <c r="R493"/>
    </row>
    <row r="494" spans="1:18" x14ac:dyDescent="0.25">
      <c r="A494" s="84" t="str">
        <f t="shared" si="22"/>
        <v>MarçoSEMANA 2Tomilho</v>
      </c>
      <c r="B494" s="85" t="s">
        <v>31</v>
      </c>
      <c r="C494" s="85" t="s">
        <v>21</v>
      </c>
      <c r="D494" s="86">
        <v>8</v>
      </c>
      <c r="E494" s="116" t="str">
        <f t="shared" si="23"/>
        <v>Hortifruti</v>
      </c>
      <c r="F494" s="85" t="s">
        <v>1110</v>
      </c>
      <c r="G494" s="85" t="s">
        <v>797</v>
      </c>
      <c r="H494" s="90" t="s">
        <v>1083</v>
      </c>
      <c r="I494" s="85">
        <v>0.2</v>
      </c>
      <c r="J494" s="87">
        <v>20</v>
      </c>
      <c r="K494" s="88">
        <f t="shared" si="24"/>
        <v>4</v>
      </c>
      <c r="L494" s="85">
        <v>3371</v>
      </c>
      <c r="M494" s="118" t="s">
        <v>445</v>
      </c>
      <c r="N494" s="84"/>
      <c r="O494" s="84" t="s">
        <v>47</v>
      </c>
      <c r="R494"/>
    </row>
    <row r="495" spans="1:18" x14ac:dyDescent="0.25">
      <c r="A495" s="84" t="str">
        <f t="shared" si="22"/>
        <v>MarçoSEMANA 2Pimenta Dedo de Moça</v>
      </c>
      <c r="B495" s="85" t="s">
        <v>31</v>
      </c>
      <c r="C495" s="85" t="s">
        <v>21</v>
      </c>
      <c r="D495" s="86">
        <v>8</v>
      </c>
      <c r="E495" s="116" t="str">
        <f t="shared" si="23"/>
        <v>Hortifruti</v>
      </c>
      <c r="F495" s="85" t="s">
        <v>1110</v>
      </c>
      <c r="G495" s="85" t="s">
        <v>656</v>
      </c>
      <c r="H495" s="90" t="s">
        <v>1083</v>
      </c>
      <c r="I495" s="85">
        <v>1</v>
      </c>
      <c r="J495" s="87">
        <v>20</v>
      </c>
      <c r="K495" s="88">
        <f t="shared" si="24"/>
        <v>20</v>
      </c>
      <c r="L495" s="85">
        <v>3371</v>
      </c>
      <c r="M495" s="118" t="s">
        <v>446</v>
      </c>
      <c r="N495" s="84"/>
      <c r="O495" s="84" t="s">
        <v>47</v>
      </c>
      <c r="R495"/>
    </row>
    <row r="496" spans="1:18" x14ac:dyDescent="0.25">
      <c r="A496" s="84" t="str">
        <f t="shared" si="22"/>
        <v>MarçoSEMANA 2Banana da Terra</v>
      </c>
      <c r="B496" s="85" t="s">
        <v>31</v>
      </c>
      <c r="C496" s="85" t="s">
        <v>21</v>
      </c>
      <c r="D496" s="86">
        <v>8</v>
      </c>
      <c r="E496" s="116" t="str">
        <f t="shared" si="23"/>
        <v>Hortifruti</v>
      </c>
      <c r="F496" s="85" t="s">
        <v>1110</v>
      </c>
      <c r="G496" s="85" t="s">
        <v>161</v>
      </c>
      <c r="H496" s="90" t="s">
        <v>1083</v>
      </c>
      <c r="I496" s="85">
        <v>10</v>
      </c>
      <c r="J496" s="87">
        <v>4.5</v>
      </c>
      <c r="K496" s="88">
        <f t="shared" si="24"/>
        <v>45</v>
      </c>
      <c r="L496" s="85">
        <v>3371</v>
      </c>
      <c r="M496" s="118" t="s">
        <v>447</v>
      </c>
      <c r="N496" s="84"/>
      <c r="O496" s="84" t="s">
        <v>60</v>
      </c>
      <c r="R496"/>
    </row>
    <row r="497" spans="1:18" x14ac:dyDescent="0.25">
      <c r="A497" s="84" t="str">
        <f t="shared" si="22"/>
        <v>MarçoSEMANA 2Laranja Pera</v>
      </c>
      <c r="B497" s="85" t="s">
        <v>31</v>
      </c>
      <c r="C497" s="85" t="s">
        <v>21</v>
      </c>
      <c r="D497" s="86">
        <v>8</v>
      </c>
      <c r="E497" s="116" t="str">
        <f t="shared" si="23"/>
        <v>Hortifruti</v>
      </c>
      <c r="F497" s="85" t="s">
        <v>1110</v>
      </c>
      <c r="G497" s="85" t="s">
        <v>456</v>
      </c>
      <c r="H497" s="90" t="s">
        <v>1083</v>
      </c>
      <c r="I497" s="85">
        <v>41.12</v>
      </c>
      <c r="J497" s="87">
        <f>66/41.12</f>
        <v>1.6050583657587549</v>
      </c>
      <c r="K497" s="88">
        <f t="shared" si="24"/>
        <v>66</v>
      </c>
      <c r="L497" s="85">
        <v>3371</v>
      </c>
      <c r="M497" s="118" t="s">
        <v>448</v>
      </c>
      <c r="N497" s="84"/>
      <c r="O497" s="84" t="s">
        <v>45</v>
      </c>
      <c r="R497"/>
    </row>
    <row r="498" spans="1:18" x14ac:dyDescent="0.25">
      <c r="A498" s="84" t="str">
        <f t="shared" si="22"/>
        <v>MarçoSEMANA 2Maracujá</v>
      </c>
      <c r="B498" s="85" t="s">
        <v>31</v>
      </c>
      <c r="C498" s="85" t="s">
        <v>21</v>
      </c>
      <c r="D498" s="86">
        <v>8</v>
      </c>
      <c r="E498" s="116" t="str">
        <f t="shared" si="23"/>
        <v>Hortifruti</v>
      </c>
      <c r="F498" s="85" t="s">
        <v>1110</v>
      </c>
      <c r="G498" s="85" t="s">
        <v>503</v>
      </c>
      <c r="H498" s="90" t="s">
        <v>1083</v>
      </c>
      <c r="I498" s="85">
        <v>1</v>
      </c>
      <c r="J498" s="87">
        <v>5</v>
      </c>
      <c r="K498" s="88">
        <f t="shared" si="24"/>
        <v>5</v>
      </c>
      <c r="L498" s="85">
        <v>3371</v>
      </c>
      <c r="M498" s="118" t="s">
        <v>449</v>
      </c>
      <c r="N498" s="84"/>
      <c r="O498" s="84" t="s">
        <v>46</v>
      </c>
      <c r="R498"/>
    </row>
    <row r="499" spans="1:18" x14ac:dyDescent="0.25">
      <c r="A499" s="84" t="str">
        <f t="shared" si="22"/>
        <v>MarçoSEMANA 2Uva s/ Caroço</v>
      </c>
      <c r="B499" s="85" t="s">
        <v>31</v>
      </c>
      <c r="C499" s="85" t="s">
        <v>21</v>
      </c>
      <c r="D499" s="86">
        <v>8</v>
      </c>
      <c r="E499" s="116" t="str">
        <f t="shared" si="23"/>
        <v>Hortifruti</v>
      </c>
      <c r="F499" s="85" t="s">
        <v>1110</v>
      </c>
      <c r="G499" s="85" t="s">
        <v>829</v>
      </c>
      <c r="H499" s="90" t="s">
        <v>1083</v>
      </c>
      <c r="I499" s="85">
        <v>1.5</v>
      </c>
      <c r="J499" s="87">
        <v>16</v>
      </c>
      <c r="K499" s="88">
        <f t="shared" si="24"/>
        <v>24</v>
      </c>
      <c r="L499" s="85">
        <v>3371</v>
      </c>
      <c r="M499" s="118" t="s">
        <v>450</v>
      </c>
      <c r="N499" s="84"/>
      <c r="O499" s="84" t="s">
        <v>46</v>
      </c>
      <c r="R499"/>
    </row>
    <row r="500" spans="1:18" hidden="1" x14ac:dyDescent="0.2">
      <c r="A500" s="84" t="str">
        <f t="shared" si="22"/>
        <v>MarçoSEMANA 2Carnes - File de Costela (Noix)</v>
      </c>
      <c r="B500" s="85" t="s">
        <v>31</v>
      </c>
      <c r="C500" s="85" t="s">
        <v>21</v>
      </c>
      <c r="D500" s="86">
        <v>8</v>
      </c>
      <c r="E500" s="116" t="str">
        <f t="shared" si="23"/>
        <v>Carnes</v>
      </c>
      <c r="F500" s="85" t="s">
        <v>1101</v>
      </c>
      <c r="G500" s="85" t="s">
        <v>939</v>
      </c>
      <c r="H500" s="90" t="s">
        <v>1083</v>
      </c>
      <c r="I500" s="85">
        <v>17.670000000000002</v>
      </c>
      <c r="J500" s="87">
        <v>22.87</v>
      </c>
      <c r="K500" s="88">
        <f t="shared" si="24"/>
        <v>404.11290000000008</v>
      </c>
      <c r="L500" s="85" t="s">
        <v>1205</v>
      </c>
      <c r="M500" s="118" t="s">
        <v>451</v>
      </c>
      <c r="N500" s="84"/>
      <c r="O500" s="84" t="s">
        <v>45</v>
      </c>
      <c r="R500"/>
    </row>
    <row r="501" spans="1:18" x14ac:dyDescent="0.25">
      <c r="A501" s="84" t="str">
        <f t="shared" si="22"/>
        <v xml:space="preserve">MarçoSEMANA 2Abacaxi </v>
      </c>
      <c r="B501" s="85" t="s">
        <v>31</v>
      </c>
      <c r="C501" s="85" t="s">
        <v>21</v>
      </c>
      <c r="D501" s="86">
        <v>8</v>
      </c>
      <c r="E501" s="116" t="str">
        <f t="shared" si="23"/>
        <v>Hortifruti</v>
      </c>
      <c r="F501" s="85" t="s">
        <v>1111</v>
      </c>
      <c r="G501" s="85" t="s">
        <v>65</v>
      </c>
      <c r="H501" s="90" t="s">
        <v>1083</v>
      </c>
      <c r="I501" s="85">
        <v>10</v>
      </c>
      <c r="J501" s="87">
        <v>3.75</v>
      </c>
      <c r="K501" s="88">
        <f t="shared" si="24"/>
        <v>37.5</v>
      </c>
      <c r="L501" s="85">
        <v>18014</v>
      </c>
      <c r="M501" s="118" t="s">
        <v>1069</v>
      </c>
      <c r="N501" s="84"/>
      <c r="O501" s="84" t="s">
        <v>60</v>
      </c>
      <c r="R501"/>
    </row>
    <row r="502" spans="1:18" x14ac:dyDescent="0.25">
      <c r="A502" s="84" t="str">
        <f t="shared" si="22"/>
        <v>MarçoSEMANA 2Acelga</v>
      </c>
      <c r="B502" s="85" t="s">
        <v>31</v>
      </c>
      <c r="C502" s="85" t="s">
        <v>21</v>
      </c>
      <c r="D502" s="86">
        <v>8</v>
      </c>
      <c r="E502" s="116" t="str">
        <f t="shared" si="23"/>
        <v>Hortifruti</v>
      </c>
      <c r="F502" s="85" t="s">
        <v>1111</v>
      </c>
      <c r="G502" s="85" t="s">
        <v>75</v>
      </c>
      <c r="H502" s="90" t="s">
        <v>1083</v>
      </c>
      <c r="I502" s="85">
        <v>4</v>
      </c>
      <c r="J502" s="87">
        <v>2.25</v>
      </c>
      <c r="K502" s="88">
        <f t="shared" si="24"/>
        <v>9</v>
      </c>
      <c r="L502" s="85">
        <v>18014</v>
      </c>
      <c r="M502" s="118" t="s">
        <v>452</v>
      </c>
      <c r="N502" s="84"/>
      <c r="O502" s="84" t="s">
        <v>42</v>
      </c>
      <c r="R502"/>
    </row>
    <row r="503" spans="1:18" x14ac:dyDescent="0.25">
      <c r="A503" s="84" t="str">
        <f t="shared" si="22"/>
        <v>MarçoSEMANA 2Batata HBT</v>
      </c>
      <c r="B503" s="85" t="s">
        <v>31</v>
      </c>
      <c r="C503" s="85" t="s">
        <v>21</v>
      </c>
      <c r="D503" s="86">
        <v>8</v>
      </c>
      <c r="E503" s="116" t="str">
        <f t="shared" si="23"/>
        <v>Hortifruti</v>
      </c>
      <c r="F503" s="85" t="s">
        <v>1111</v>
      </c>
      <c r="G503" s="85" t="s">
        <v>171</v>
      </c>
      <c r="H503" s="90" t="s">
        <v>1083</v>
      </c>
      <c r="I503" s="85">
        <v>25</v>
      </c>
      <c r="J503" s="87">
        <v>1.63</v>
      </c>
      <c r="K503" s="88">
        <f t="shared" si="24"/>
        <v>40.75</v>
      </c>
      <c r="L503" s="85">
        <v>18014</v>
      </c>
      <c r="M503" s="118" t="s">
        <v>1075</v>
      </c>
      <c r="O503" s="84" t="s">
        <v>46</v>
      </c>
      <c r="R503"/>
    </row>
    <row r="504" spans="1:18" x14ac:dyDescent="0.25">
      <c r="A504" s="84" t="str">
        <f t="shared" si="22"/>
        <v>MarçoSEMANA 2Beterraba</v>
      </c>
      <c r="B504" s="85" t="s">
        <v>31</v>
      </c>
      <c r="C504" s="85" t="s">
        <v>21</v>
      </c>
      <c r="D504" s="86">
        <v>8</v>
      </c>
      <c r="E504" s="116" t="str">
        <f t="shared" si="23"/>
        <v>Hortifruti</v>
      </c>
      <c r="F504" s="85" t="s">
        <v>1111</v>
      </c>
      <c r="G504" s="85" t="s">
        <v>181</v>
      </c>
      <c r="H504" s="90" t="s">
        <v>1083</v>
      </c>
      <c r="I504" s="85">
        <v>4</v>
      </c>
      <c r="J504" s="87">
        <v>1.98</v>
      </c>
      <c r="K504" s="88">
        <f t="shared" si="24"/>
        <v>7.92</v>
      </c>
      <c r="L504" s="85">
        <v>18014</v>
      </c>
      <c r="M504" s="118" t="s">
        <v>453</v>
      </c>
      <c r="N504" s="84"/>
      <c r="O504" s="84" t="s">
        <v>45</v>
      </c>
      <c r="R504"/>
    </row>
    <row r="505" spans="1:18" x14ac:dyDescent="0.25">
      <c r="A505" s="84" t="str">
        <f t="shared" si="22"/>
        <v>MarçoSEMANA 2Côco Verde</v>
      </c>
      <c r="B505" s="85" t="s">
        <v>31</v>
      </c>
      <c r="C505" s="85" t="s">
        <v>21</v>
      </c>
      <c r="D505" s="86">
        <v>8</v>
      </c>
      <c r="E505" s="116" t="str">
        <f t="shared" si="23"/>
        <v>Hortifruti</v>
      </c>
      <c r="F505" s="85" t="s">
        <v>1111</v>
      </c>
      <c r="G505" s="85" t="s">
        <v>288</v>
      </c>
      <c r="H505" s="90" t="s">
        <v>1090</v>
      </c>
      <c r="I505" s="85">
        <v>13</v>
      </c>
      <c r="J505" s="87">
        <v>2</v>
      </c>
      <c r="K505" s="88">
        <f t="shared" si="24"/>
        <v>26</v>
      </c>
      <c r="L505" s="85">
        <v>18014</v>
      </c>
      <c r="M505" s="118" t="s">
        <v>454</v>
      </c>
      <c r="N505" s="84"/>
      <c r="O505" s="84" t="s">
        <v>42</v>
      </c>
      <c r="R505"/>
    </row>
    <row r="506" spans="1:18" x14ac:dyDescent="0.25">
      <c r="A506" s="84" t="str">
        <f t="shared" si="22"/>
        <v>MarçoSEMANA 2Coentro</v>
      </c>
      <c r="B506" s="85" t="s">
        <v>31</v>
      </c>
      <c r="C506" s="85" t="s">
        <v>21</v>
      </c>
      <c r="D506" s="86">
        <v>8</v>
      </c>
      <c r="E506" s="116" t="str">
        <f t="shared" si="23"/>
        <v>Hortifruti</v>
      </c>
      <c r="F506" s="85" t="s">
        <v>1111</v>
      </c>
      <c r="G506" s="85" t="s">
        <v>289</v>
      </c>
      <c r="H506" s="90" t="s">
        <v>1083</v>
      </c>
      <c r="I506" s="85">
        <v>0.7</v>
      </c>
      <c r="J506" s="87">
        <v>23</v>
      </c>
      <c r="K506" s="88">
        <f t="shared" si="24"/>
        <v>16.099999999999998</v>
      </c>
      <c r="L506" s="85">
        <v>18014</v>
      </c>
      <c r="M506" s="118" t="s">
        <v>455</v>
      </c>
      <c r="N506" s="84"/>
      <c r="O506" s="84" t="s">
        <v>873</v>
      </c>
      <c r="R506"/>
    </row>
    <row r="507" spans="1:18" x14ac:dyDescent="0.25">
      <c r="A507" s="84" t="str">
        <f t="shared" si="22"/>
        <v>MarçoSEMANA 2Couve Flor</v>
      </c>
      <c r="B507" s="85" t="s">
        <v>31</v>
      </c>
      <c r="C507" s="85" t="s">
        <v>21</v>
      </c>
      <c r="D507" s="86">
        <v>8</v>
      </c>
      <c r="E507" s="116" t="str">
        <f t="shared" si="23"/>
        <v>Hortifruti</v>
      </c>
      <c r="F507" s="85" t="s">
        <v>1111</v>
      </c>
      <c r="G507" s="85" t="s">
        <v>306</v>
      </c>
      <c r="H507" s="90" t="s">
        <v>1083</v>
      </c>
      <c r="I507" s="85">
        <v>3</v>
      </c>
      <c r="J507" s="87">
        <v>6</v>
      </c>
      <c r="K507" s="88">
        <f t="shared" si="24"/>
        <v>18</v>
      </c>
      <c r="L507" s="85">
        <v>18014</v>
      </c>
      <c r="M507" s="118" t="s">
        <v>1011</v>
      </c>
      <c r="O507" s="84" t="s">
        <v>874</v>
      </c>
      <c r="R507"/>
    </row>
    <row r="508" spans="1:18" x14ac:dyDescent="0.25">
      <c r="A508" s="84" t="str">
        <f t="shared" si="22"/>
        <v>MarçoSEMANA 2Couve Manteiga</v>
      </c>
      <c r="B508" s="85" t="s">
        <v>31</v>
      </c>
      <c r="C508" s="85" t="s">
        <v>21</v>
      </c>
      <c r="D508" s="86">
        <v>8</v>
      </c>
      <c r="E508" s="116" t="str">
        <f t="shared" si="23"/>
        <v>Hortifruti</v>
      </c>
      <c r="F508" s="85" t="s">
        <v>1111</v>
      </c>
      <c r="G508" s="85" t="s">
        <v>307</v>
      </c>
      <c r="H508" s="90" t="s">
        <v>1083</v>
      </c>
      <c r="I508" s="85">
        <v>10</v>
      </c>
      <c r="J508" s="87">
        <v>3</v>
      </c>
      <c r="K508" s="88">
        <f t="shared" si="24"/>
        <v>30</v>
      </c>
      <c r="L508" s="85">
        <v>18014</v>
      </c>
      <c r="M508" s="118" t="s">
        <v>456</v>
      </c>
      <c r="N508" s="84"/>
      <c r="O508" s="84" t="s">
        <v>45</v>
      </c>
      <c r="R508"/>
    </row>
    <row r="509" spans="1:18" x14ac:dyDescent="0.25">
      <c r="A509" s="84" t="str">
        <f t="shared" si="22"/>
        <v>MarçoSEMANA 2Kiwi</v>
      </c>
      <c r="B509" s="85" t="s">
        <v>31</v>
      </c>
      <c r="C509" s="85" t="s">
        <v>21</v>
      </c>
      <c r="D509" s="86">
        <v>8</v>
      </c>
      <c r="E509" s="116" t="str">
        <f t="shared" si="23"/>
        <v>Hortifruti</v>
      </c>
      <c r="F509" s="85" t="s">
        <v>1111</v>
      </c>
      <c r="G509" s="85" t="s">
        <v>453</v>
      </c>
      <c r="H509" s="90" t="s">
        <v>1083</v>
      </c>
      <c r="I509" s="85">
        <v>0.5</v>
      </c>
      <c r="J509" s="87">
        <v>14.3</v>
      </c>
      <c r="K509" s="88">
        <f t="shared" si="24"/>
        <v>7.15</v>
      </c>
      <c r="L509" s="85">
        <v>18014</v>
      </c>
      <c r="M509" s="118" t="s">
        <v>1012</v>
      </c>
      <c r="O509" s="84" t="s">
        <v>874</v>
      </c>
      <c r="R509"/>
    </row>
    <row r="510" spans="1:18" x14ac:dyDescent="0.25">
      <c r="A510" s="84" t="str">
        <f t="shared" si="22"/>
        <v>MarçoSEMANA 2Mamão Bahia</v>
      </c>
      <c r="B510" s="85" t="s">
        <v>31</v>
      </c>
      <c r="C510" s="85" t="s">
        <v>21</v>
      </c>
      <c r="D510" s="86">
        <v>8</v>
      </c>
      <c r="E510" s="116" t="str">
        <f t="shared" si="23"/>
        <v>Hortifruti</v>
      </c>
      <c r="F510" s="85" t="s">
        <v>1111</v>
      </c>
      <c r="G510" s="85" t="s">
        <v>493</v>
      </c>
      <c r="H510" s="90" t="s">
        <v>1083</v>
      </c>
      <c r="I510" s="85">
        <v>1.7</v>
      </c>
      <c r="J510" s="87">
        <v>2.25</v>
      </c>
      <c r="K510" s="88">
        <f t="shared" si="24"/>
        <v>3.8249999999999997</v>
      </c>
      <c r="L510" s="85">
        <v>18014</v>
      </c>
      <c r="M510" s="118" t="s">
        <v>457</v>
      </c>
      <c r="N510" s="84"/>
      <c r="O510" s="84" t="s">
        <v>45</v>
      </c>
      <c r="R510"/>
    </row>
    <row r="511" spans="1:18" x14ac:dyDescent="0.25">
      <c r="A511" s="84" t="str">
        <f t="shared" si="22"/>
        <v>MarçoSEMANA 2Melância</v>
      </c>
      <c r="B511" s="85" t="s">
        <v>31</v>
      </c>
      <c r="C511" s="85" t="s">
        <v>21</v>
      </c>
      <c r="D511" s="86">
        <v>8</v>
      </c>
      <c r="E511" s="116" t="str">
        <f t="shared" si="23"/>
        <v>Hortifruti</v>
      </c>
      <c r="F511" s="85" t="s">
        <v>1111</v>
      </c>
      <c r="G511" s="85" t="s">
        <v>516</v>
      </c>
      <c r="H511" s="90" t="s">
        <v>1083</v>
      </c>
      <c r="I511" s="85">
        <v>10</v>
      </c>
      <c r="J511" s="87">
        <v>1.52</v>
      </c>
      <c r="K511" s="88">
        <f t="shared" si="24"/>
        <v>15.2</v>
      </c>
      <c r="L511" s="85">
        <v>18014</v>
      </c>
      <c r="M511" s="118" t="s">
        <v>458</v>
      </c>
      <c r="N511" s="84"/>
      <c r="O511" s="84" t="s">
        <v>42</v>
      </c>
      <c r="R511"/>
    </row>
    <row r="512" spans="1:18" x14ac:dyDescent="0.25">
      <c r="A512" s="84" t="str">
        <f t="shared" si="22"/>
        <v>MarçoSEMANA 2Quiabo</v>
      </c>
      <c r="B512" s="85" t="s">
        <v>31</v>
      </c>
      <c r="C512" s="85" t="s">
        <v>21</v>
      </c>
      <c r="D512" s="86">
        <v>8</v>
      </c>
      <c r="E512" s="116" t="str">
        <f t="shared" si="23"/>
        <v>Hortifruti</v>
      </c>
      <c r="F512" s="85" t="s">
        <v>1111</v>
      </c>
      <c r="G512" s="85" t="s">
        <v>689</v>
      </c>
      <c r="H512" s="90" t="s">
        <v>1083</v>
      </c>
      <c r="I512" s="85">
        <v>1</v>
      </c>
      <c r="J512" s="87">
        <v>3.6</v>
      </c>
      <c r="K512" s="88">
        <f t="shared" si="24"/>
        <v>3.6</v>
      </c>
      <c r="L512" s="85">
        <v>18014</v>
      </c>
      <c r="M512" s="118" t="s">
        <v>459</v>
      </c>
      <c r="N512" s="84"/>
      <c r="O512" s="84" t="s">
        <v>42</v>
      </c>
      <c r="R512"/>
    </row>
    <row r="513" spans="1:18" x14ac:dyDescent="0.25">
      <c r="A513" s="84" t="str">
        <f t="shared" si="22"/>
        <v>MarçoSEMANA 2Rúcula</v>
      </c>
      <c r="B513" s="85" t="s">
        <v>31</v>
      </c>
      <c r="C513" s="85" t="s">
        <v>21</v>
      </c>
      <c r="D513" s="86">
        <v>8</v>
      </c>
      <c r="E513" s="116" t="str">
        <f t="shared" si="23"/>
        <v>Hortifruti</v>
      </c>
      <c r="F513" s="85" t="s">
        <v>1111</v>
      </c>
      <c r="G513" s="85" t="s">
        <v>705</v>
      </c>
      <c r="H513" s="90" t="s">
        <v>1083</v>
      </c>
      <c r="I513" s="85">
        <v>3</v>
      </c>
      <c r="J513" s="87">
        <v>6.5</v>
      </c>
      <c r="K513" s="88">
        <f t="shared" si="24"/>
        <v>19.5</v>
      </c>
      <c r="L513" s="85">
        <v>18014</v>
      </c>
      <c r="M513" s="118" t="s">
        <v>460</v>
      </c>
      <c r="N513" s="84"/>
      <c r="O513" s="84" t="s">
        <v>42</v>
      </c>
      <c r="R513"/>
    </row>
    <row r="514" spans="1:18" x14ac:dyDescent="0.25">
      <c r="A514" s="84" t="str">
        <f t="shared" ref="A514:A577" si="25">CONCATENATE(B514,C514,G514)</f>
        <v>MarçoSEMANA 2Aipim</v>
      </c>
      <c r="B514" s="85" t="s">
        <v>31</v>
      </c>
      <c r="C514" s="85" t="s">
        <v>21</v>
      </c>
      <c r="D514" s="86">
        <v>8</v>
      </c>
      <c r="E514" s="116" t="str">
        <f t="shared" ref="E514:E577" si="26">VLOOKUP(G514,$M$1:$O$993,3,0)</f>
        <v>Hortifruti</v>
      </c>
      <c r="F514" s="85" t="s">
        <v>1082</v>
      </c>
      <c r="G514" s="85" t="s">
        <v>95</v>
      </c>
      <c r="H514" s="90" t="s">
        <v>1083</v>
      </c>
      <c r="I514" s="85">
        <v>20</v>
      </c>
      <c r="J514" s="87">
        <v>5</v>
      </c>
      <c r="K514" s="88">
        <f t="shared" ref="K514:K577" si="27">I514*J514</f>
        <v>100</v>
      </c>
      <c r="L514" s="85"/>
      <c r="M514" s="118" t="s">
        <v>461</v>
      </c>
      <c r="N514" s="84"/>
      <c r="O514" s="84" t="s">
        <v>42</v>
      </c>
      <c r="R514"/>
    </row>
    <row r="515" spans="1:18" x14ac:dyDescent="0.25">
      <c r="A515" s="84" t="str">
        <f t="shared" si="25"/>
        <v>MarçoSEMANA 2Batata Calabresa</v>
      </c>
      <c r="B515" s="85" t="s">
        <v>31</v>
      </c>
      <c r="C515" s="85" t="s">
        <v>21</v>
      </c>
      <c r="D515" s="86">
        <v>8</v>
      </c>
      <c r="E515" s="116" t="str">
        <f t="shared" si="26"/>
        <v>Hortifruti</v>
      </c>
      <c r="F515" s="85" t="s">
        <v>1190</v>
      </c>
      <c r="G515" s="85" t="s">
        <v>901</v>
      </c>
      <c r="H515" s="90" t="s">
        <v>1083</v>
      </c>
      <c r="I515" s="85">
        <v>1.5349999999999999</v>
      </c>
      <c r="J515" s="87">
        <v>5.98</v>
      </c>
      <c r="K515" s="88">
        <f t="shared" si="27"/>
        <v>9.1792999999999996</v>
      </c>
      <c r="L515" s="85">
        <v>217769</v>
      </c>
      <c r="M515" s="118" t="s">
        <v>462</v>
      </c>
      <c r="N515" s="84"/>
      <c r="O515" s="84" t="s">
        <v>42</v>
      </c>
      <c r="R515"/>
    </row>
    <row r="516" spans="1:18" hidden="1" x14ac:dyDescent="0.2">
      <c r="A516" s="84" t="str">
        <f t="shared" si="25"/>
        <v>MarçoSEMANA 2Mostarda Escura Hemmer 200 g</v>
      </c>
      <c r="B516" s="85" t="s">
        <v>31</v>
      </c>
      <c r="C516" s="85" t="s">
        <v>21</v>
      </c>
      <c r="D516" s="86">
        <v>8</v>
      </c>
      <c r="E516" s="116" t="str">
        <f t="shared" si="26"/>
        <v>Mercado</v>
      </c>
      <c r="F516" s="85" t="s">
        <v>1118</v>
      </c>
      <c r="G516" s="85" t="s">
        <v>533</v>
      </c>
      <c r="H516" s="90" t="s">
        <v>1090</v>
      </c>
      <c r="I516" s="85">
        <v>2</v>
      </c>
      <c r="J516" s="87">
        <v>5.98</v>
      </c>
      <c r="K516" s="88">
        <f t="shared" si="27"/>
        <v>11.96</v>
      </c>
      <c r="L516" s="85">
        <v>122764</v>
      </c>
      <c r="M516" s="118" t="s">
        <v>463</v>
      </c>
      <c r="N516" s="84"/>
      <c r="O516" s="84" t="s">
        <v>45</v>
      </c>
      <c r="R516"/>
    </row>
    <row r="517" spans="1:18" hidden="1" x14ac:dyDescent="0.2">
      <c r="A517" s="84" t="str">
        <f t="shared" si="25"/>
        <v>MarçoSEMANA 2Pão de Forma</v>
      </c>
      <c r="B517" s="85" t="s">
        <v>31</v>
      </c>
      <c r="C517" s="85" t="s">
        <v>21</v>
      </c>
      <c r="D517" s="86">
        <v>8</v>
      </c>
      <c r="E517" s="116" t="str">
        <f t="shared" si="26"/>
        <v>Mercado</v>
      </c>
      <c r="F517" s="85" t="s">
        <v>1118</v>
      </c>
      <c r="G517" s="85" t="s">
        <v>561</v>
      </c>
      <c r="H517" s="90" t="s">
        <v>1114</v>
      </c>
      <c r="I517" s="85">
        <v>2</v>
      </c>
      <c r="J517" s="87">
        <v>6.59</v>
      </c>
      <c r="K517" s="88">
        <f t="shared" si="27"/>
        <v>13.18</v>
      </c>
      <c r="L517" s="85">
        <v>122764</v>
      </c>
      <c r="M517" s="118" t="s">
        <v>464</v>
      </c>
      <c r="N517" s="84"/>
      <c r="O517" s="84" t="s">
        <v>45</v>
      </c>
      <c r="R517"/>
    </row>
    <row r="518" spans="1:18" hidden="1" x14ac:dyDescent="0.2">
      <c r="A518" s="84" t="str">
        <f t="shared" si="25"/>
        <v>MarçoSEMANA 2Pão Árabe</v>
      </c>
      <c r="B518" s="85" t="s">
        <v>31</v>
      </c>
      <c r="C518" s="85" t="s">
        <v>21</v>
      </c>
      <c r="D518" s="86">
        <v>8</v>
      </c>
      <c r="E518" s="116" t="str">
        <f t="shared" si="26"/>
        <v>Mercado</v>
      </c>
      <c r="F518" s="85" t="s">
        <v>1118</v>
      </c>
      <c r="G518" s="85" t="s">
        <v>560</v>
      </c>
      <c r="H518" s="90" t="s">
        <v>1114</v>
      </c>
      <c r="I518" s="85">
        <v>2</v>
      </c>
      <c r="J518" s="87">
        <v>6.7</v>
      </c>
      <c r="K518" s="88">
        <f t="shared" si="27"/>
        <v>13.4</v>
      </c>
      <c r="L518" s="85">
        <v>122764</v>
      </c>
      <c r="M518" s="118" t="s">
        <v>465</v>
      </c>
      <c r="N518" s="84"/>
      <c r="O518" s="84" t="s">
        <v>45</v>
      </c>
      <c r="R518"/>
    </row>
    <row r="519" spans="1:18" x14ac:dyDescent="0.25">
      <c r="A519" s="84" t="str">
        <f t="shared" si="25"/>
        <v>MarçoSEMANA 2Banana D'Água</v>
      </c>
      <c r="B519" s="85" t="s">
        <v>31</v>
      </c>
      <c r="C519" s="85" t="s">
        <v>21</v>
      </c>
      <c r="D519" s="86">
        <v>8</v>
      </c>
      <c r="E519" s="116" t="str">
        <f t="shared" si="26"/>
        <v>Hortifruti</v>
      </c>
      <c r="F519" s="85" t="s">
        <v>1158</v>
      </c>
      <c r="G519" s="85" t="s">
        <v>162</v>
      </c>
      <c r="H519" s="90" t="s">
        <v>1083</v>
      </c>
      <c r="I519" s="85">
        <v>3.5750000000000002</v>
      </c>
      <c r="J519" s="87">
        <v>3.99</v>
      </c>
      <c r="K519" s="88">
        <f t="shared" si="27"/>
        <v>14.264250000000002</v>
      </c>
      <c r="L519" s="85">
        <v>60230</v>
      </c>
      <c r="M519" s="118" t="s">
        <v>466</v>
      </c>
      <c r="N519" s="84"/>
      <c r="O519" s="84" t="s">
        <v>42</v>
      </c>
      <c r="R519"/>
    </row>
    <row r="520" spans="1:18" hidden="1" x14ac:dyDescent="0.2">
      <c r="A520" s="84" t="str">
        <f t="shared" si="25"/>
        <v>MarçoSEMANA 2Shoyu Light Bb 5 Lt</v>
      </c>
      <c r="B520" s="85" t="s">
        <v>31</v>
      </c>
      <c r="C520" s="85" t="s">
        <v>21</v>
      </c>
      <c r="D520" s="86">
        <v>8</v>
      </c>
      <c r="E520" s="116" t="str">
        <f t="shared" si="26"/>
        <v>Mercado</v>
      </c>
      <c r="F520" s="85" t="s">
        <v>1206</v>
      </c>
      <c r="G520" s="85" t="s">
        <v>741</v>
      </c>
      <c r="H520" s="90" t="s">
        <v>1086</v>
      </c>
      <c r="I520" s="85">
        <v>1</v>
      </c>
      <c r="J520" s="87">
        <f>23.9+0.875</f>
        <v>24.774999999999999</v>
      </c>
      <c r="K520" s="88">
        <f t="shared" si="27"/>
        <v>24.774999999999999</v>
      </c>
      <c r="L520" s="85" t="s">
        <v>1207</v>
      </c>
      <c r="M520" s="118" t="s">
        <v>467</v>
      </c>
      <c r="N520" s="84"/>
      <c r="O520" s="84" t="s">
        <v>42</v>
      </c>
      <c r="R520"/>
    </row>
    <row r="521" spans="1:18" hidden="1" x14ac:dyDescent="0.2">
      <c r="A521" s="84" t="str">
        <f t="shared" si="25"/>
        <v>MarçoSEMANA 2Shoyu Tradicional (Cozinha) Bb 5 Lt</v>
      </c>
      <c r="B521" s="85" t="s">
        <v>31</v>
      </c>
      <c r="C521" s="85" t="s">
        <v>21</v>
      </c>
      <c r="D521" s="86">
        <v>8</v>
      </c>
      <c r="E521" s="116" t="str">
        <f t="shared" si="26"/>
        <v>Mercado</v>
      </c>
      <c r="F521" s="85" t="s">
        <v>1206</v>
      </c>
      <c r="G521" s="85" t="s">
        <v>744</v>
      </c>
      <c r="H521" s="90" t="s">
        <v>1086</v>
      </c>
      <c r="I521" s="85">
        <v>7</v>
      </c>
      <c r="J521" s="87">
        <f>(103.6+6.125)/7</f>
        <v>15.674999999999999</v>
      </c>
      <c r="K521" s="88">
        <f t="shared" si="27"/>
        <v>109.72499999999999</v>
      </c>
      <c r="L521" s="85" t="s">
        <v>1207</v>
      </c>
      <c r="M521" s="118" t="s">
        <v>468</v>
      </c>
      <c r="N521" s="84"/>
      <c r="O521" s="84" t="s">
        <v>45</v>
      </c>
      <c r="R521"/>
    </row>
    <row r="522" spans="1:18" hidden="1" x14ac:dyDescent="0.2">
      <c r="A522" s="84" t="str">
        <f t="shared" si="25"/>
        <v>MarçoSEMANA 2Colher Descartável Nobre Cristal</v>
      </c>
      <c r="B522" s="85" t="s">
        <v>31</v>
      </c>
      <c r="C522" s="85" t="s">
        <v>21</v>
      </c>
      <c r="D522" s="86">
        <v>8</v>
      </c>
      <c r="E522" s="116" t="str">
        <f t="shared" si="26"/>
        <v>Descartável</v>
      </c>
      <c r="F522" s="85" t="s">
        <v>1208</v>
      </c>
      <c r="G522" s="85" t="s">
        <v>294</v>
      </c>
      <c r="H522" s="90" t="s">
        <v>1090</v>
      </c>
      <c r="I522" s="85">
        <f>5*400</f>
        <v>2000</v>
      </c>
      <c r="J522" s="87">
        <f>256.3/2000</f>
        <v>0.12815000000000001</v>
      </c>
      <c r="K522" s="88">
        <f t="shared" si="27"/>
        <v>256.3</v>
      </c>
      <c r="L522" s="85">
        <v>15132</v>
      </c>
      <c r="M522" s="118" t="s">
        <v>469</v>
      </c>
      <c r="N522" s="84"/>
      <c r="O522" s="84" t="s">
        <v>46</v>
      </c>
      <c r="R522"/>
    </row>
    <row r="523" spans="1:18" hidden="1" x14ac:dyDescent="0.2">
      <c r="A523" s="84" t="str">
        <f t="shared" si="25"/>
        <v>MarçoSEMANA 2Tampa Sobremesa Cristal 180 ml</v>
      </c>
      <c r="B523" s="85" t="s">
        <v>31</v>
      </c>
      <c r="C523" s="85" t="s">
        <v>21</v>
      </c>
      <c r="D523" s="86">
        <v>8</v>
      </c>
      <c r="E523" s="116" t="str">
        <f t="shared" si="26"/>
        <v>Descartável</v>
      </c>
      <c r="F523" s="85" t="s">
        <v>1208</v>
      </c>
      <c r="G523" s="85" t="s">
        <v>782</v>
      </c>
      <c r="H523" s="90" t="s">
        <v>1090</v>
      </c>
      <c r="I523" s="85">
        <v>1000</v>
      </c>
      <c r="J523" s="87">
        <f>217.24/1000</f>
        <v>0.21724000000000002</v>
      </c>
      <c r="K523" s="88">
        <f t="shared" si="27"/>
        <v>217.24</v>
      </c>
      <c r="L523" s="85">
        <v>15132</v>
      </c>
      <c r="M523" s="118" t="s">
        <v>470</v>
      </c>
      <c r="N523" s="84"/>
      <c r="O523" s="84" t="s">
        <v>872</v>
      </c>
      <c r="R523"/>
    </row>
    <row r="524" spans="1:18" hidden="1" x14ac:dyDescent="0.2">
      <c r="A524" s="84" t="str">
        <f t="shared" si="25"/>
        <v>MarçoSEMANA 2Suco de Maracujá</v>
      </c>
      <c r="B524" s="85" t="s">
        <v>31</v>
      </c>
      <c r="C524" s="85" t="s">
        <v>21</v>
      </c>
      <c r="D524" s="86">
        <v>9</v>
      </c>
      <c r="E524" s="116" t="str">
        <f t="shared" si="26"/>
        <v>Mercado</v>
      </c>
      <c r="F524" s="85" t="s">
        <v>1118</v>
      </c>
      <c r="G524" s="85" t="s">
        <v>752</v>
      </c>
      <c r="H524" s="90" t="s">
        <v>1090</v>
      </c>
      <c r="I524" s="85">
        <v>1</v>
      </c>
      <c r="J524" s="87">
        <v>8.75</v>
      </c>
      <c r="K524" s="88">
        <f t="shared" si="27"/>
        <v>8.75</v>
      </c>
      <c r="L524" s="85">
        <v>123293</v>
      </c>
      <c r="M524" s="118" t="s">
        <v>471</v>
      </c>
      <c r="N524" s="84"/>
      <c r="O524" s="84" t="s">
        <v>872</v>
      </c>
      <c r="R524"/>
    </row>
    <row r="525" spans="1:18" hidden="1" x14ac:dyDescent="0.2">
      <c r="A525" s="84" t="str">
        <f t="shared" si="25"/>
        <v>MarçoSEMANA 2Fósforo pacte c/ 10</v>
      </c>
      <c r="B525" s="85" t="s">
        <v>31</v>
      </c>
      <c r="C525" s="85" t="s">
        <v>21</v>
      </c>
      <c r="D525" s="86">
        <v>9</v>
      </c>
      <c r="E525" s="116" t="str">
        <f t="shared" si="26"/>
        <v>Descartável</v>
      </c>
      <c r="F525" s="85" t="s">
        <v>1118</v>
      </c>
      <c r="G525" s="85" t="s">
        <v>368</v>
      </c>
      <c r="H525" s="90" t="s">
        <v>1114</v>
      </c>
      <c r="I525" s="85">
        <v>1</v>
      </c>
      <c r="J525" s="87">
        <v>3.5</v>
      </c>
      <c r="K525" s="88">
        <f t="shared" si="27"/>
        <v>3.5</v>
      </c>
      <c r="L525" s="85">
        <v>123293</v>
      </c>
      <c r="M525" s="118" t="s">
        <v>472</v>
      </c>
      <c r="N525" s="84"/>
      <c r="O525" s="84" t="s">
        <v>872</v>
      </c>
      <c r="R525"/>
    </row>
    <row r="526" spans="1:18" hidden="1" x14ac:dyDescent="0.2">
      <c r="A526" s="84" t="str">
        <f t="shared" si="25"/>
        <v xml:space="preserve">MarçoSEMANA 2Tapioca Granulada </v>
      </c>
      <c r="B526" s="85" t="s">
        <v>31</v>
      </c>
      <c r="C526" s="85" t="s">
        <v>21</v>
      </c>
      <c r="D526" s="86">
        <v>9</v>
      </c>
      <c r="E526" s="116" t="str">
        <f t="shared" si="26"/>
        <v>Mercado</v>
      </c>
      <c r="F526" s="85" t="s">
        <v>1158</v>
      </c>
      <c r="G526" s="85" t="s">
        <v>784</v>
      </c>
      <c r="H526" s="90" t="s">
        <v>1083</v>
      </c>
      <c r="I526" s="85">
        <v>1</v>
      </c>
      <c r="J526" s="87">
        <v>18.78</v>
      </c>
      <c r="K526" s="88">
        <f t="shared" si="27"/>
        <v>18.78</v>
      </c>
      <c r="L526" s="85">
        <v>74916</v>
      </c>
      <c r="M526" s="118" t="s">
        <v>473</v>
      </c>
      <c r="N526" s="84"/>
      <c r="O526" s="84" t="s">
        <v>872</v>
      </c>
      <c r="R526"/>
    </row>
    <row r="527" spans="1:18" hidden="1" x14ac:dyDescent="0.2">
      <c r="A527" s="84" t="str">
        <f t="shared" si="25"/>
        <v>MarçoSEMANA 2Batata Palha 140 g</v>
      </c>
      <c r="B527" s="85" t="s">
        <v>31</v>
      </c>
      <c r="C527" s="85" t="s">
        <v>21</v>
      </c>
      <c r="D527" s="86">
        <v>9</v>
      </c>
      <c r="E527" s="116" t="str">
        <f t="shared" si="26"/>
        <v>Mercado</v>
      </c>
      <c r="F527" s="85" t="s">
        <v>1158</v>
      </c>
      <c r="G527" s="85" t="s">
        <v>174</v>
      </c>
      <c r="H527" s="90" t="s">
        <v>1114</v>
      </c>
      <c r="I527" s="85">
        <v>4</v>
      </c>
      <c r="J527" s="87">
        <f>21.12/4</f>
        <v>5.28</v>
      </c>
      <c r="K527" s="88">
        <f t="shared" si="27"/>
        <v>21.12</v>
      </c>
      <c r="L527" s="85">
        <v>74916</v>
      </c>
      <c r="M527" s="118" t="s">
        <v>1034</v>
      </c>
      <c r="O527" s="84" t="s">
        <v>60</v>
      </c>
      <c r="R527"/>
    </row>
    <row r="528" spans="1:18" hidden="1" x14ac:dyDescent="0.2">
      <c r="A528" s="84" t="str">
        <f t="shared" si="25"/>
        <v>MarçoSEMANA 2Elástico 1 Kg</v>
      </c>
      <c r="B528" s="85" t="s">
        <v>31</v>
      </c>
      <c r="C528" s="85" t="s">
        <v>21</v>
      </c>
      <c r="D528" s="86">
        <v>9</v>
      </c>
      <c r="E528" s="116" t="str">
        <f t="shared" si="26"/>
        <v>Escritório</v>
      </c>
      <c r="F528" s="85" t="s">
        <v>1210</v>
      </c>
      <c r="G528" s="85" t="s">
        <v>322</v>
      </c>
      <c r="H528" s="90" t="s">
        <v>1114</v>
      </c>
      <c r="I528" s="85">
        <v>1</v>
      </c>
      <c r="J528" s="87">
        <v>16.440000000000001</v>
      </c>
      <c r="K528" s="88">
        <f t="shared" si="27"/>
        <v>16.440000000000001</v>
      </c>
      <c r="L528" s="85">
        <v>1078516</v>
      </c>
      <c r="M528" s="118" t="s">
        <v>474</v>
      </c>
      <c r="N528" s="84"/>
      <c r="O528" s="84" t="s">
        <v>45</v>
      </c>
      <c r="R528"/>
    </row>
    <row r="529" spans="1:18" hidden="1" x14ac:dyDescent="0.2">
      <c r="A529" s="84" t="str">
        <f t="shared" si="25"/>
        <v>MarçoSEMANA 2Marcador para Retro Projetor</v>
      </c>
      <c r="B529" s="85" t="s">
        <v>31</v>
      </c>
      <c r="C529" s="85" t="s">
        <v>21</v>
      </c>
      <c r="D529" s="86">
        <v>9</v>
      </c>
      <c r="E529" s="116" t="str">
        <f t="shared" si="26"/>
        <v>Escritório</v>
      </c>
      <c r="F529" s="85" t="s">
        <v>1210</v>
      </c>
      <c r="G529" s="85" t="s">
        <v>997</v>
      </c>
      <c r="H529" s="90" t="s">
        <v>1090</v>
      </c>
      <c r="I529" s="85">
        <v>6</v>
      </c>
      <c r="J529" s="87">
        <v>3.5</v>
      </c>
      <c r="K529" s="88">
        <f t="shared" si="27"/>
        <v>21</v>
      </c>
      <c r="L529" s="85">
        <v>1078516</v>
      </c>
      <c r="M529" s="118" t="s">
        <v>475</v>
      </c>
      <c r="N529" s="84"/>
      <c r="O529" s="84" t="s">
        <v>42</v>
      </c>
      <c r="R529"/>
    </row>
    <row r="530" spans="1:18" hidden="1" x14ac:dyDescent="0.2">
      <c r="A530" s="84" t="str">
        <f t="shared" si="25"/>
        <v>MarçoSEMANA 2Papel Chamex A4 Office</v>
      </c>
      <c r="B530" s="85" t="s">
        <v>31</v>
      </c>
      <c r="C530" s="85" t="s">
        <v>21</v>
      </c>
      <c r="D530" s="86">
        <v>9</v>
      </c>
      <c r="E530" s="116" t="str">
        <f t="shared" si="26"/>
        <v>Escritório</v>
      </c>
      <c r="F530" s="85" t="s">
        <v>1210</v>
      </c>
      <c r="G530" s="85" t="s">
        <v>567</v>
      </c>
      <c r="H530" s="90" t="s">
        <v>1114</v>
      </c>
      <c r="I530" s="85">
        <v>10</v>
      </c>
      <c r="J530" s="87">
        <v>17.5</v>
      </c>
      <c r="K530" s="88">
        <f t="shared" si="27"/>
        <v>175</v>
      </c>
      <c r="L530" s="85">
        <v>1078516</v>
      </c>
      <c r="M530" s="118" t="s">
        <v>476</v>
      </c>
      <c r="N530" s="84"/>
      <c r="O530" s="84" t="s">
        <v>45</v>
      </c>
      <c r="R530"/>
    </row>
    <row r="531" spans="1:18" hidden="1" x14ac:dyDescent="0.2">
      <c r="A531" s="84" t="str">
        <f t="shared" si="25"/>
        <v>MarçoSEMANA 2Caneta Azul</v>
      </c>
      <c r="B531" s="85" t="s">
        <v>31</v>
      </c>
      <c r="C531" s="85" t="s">
        <v>21</v>
      </c>
      <c r="D531" s="86">
        <v>9</v>
      </c>
      <c r="E531" s="116" t="str">
        <f t="shared" si="26"/>
        <v>Escritório</v>
      </c>
      <c r="F531" s="85" t="s">
        <v>1210</v>
      </c>
      <c r="G531" s="85" t="s">
        <v>205</v>
      </c>
      <c r="H531" s="85" t="s">
        <v>1090</v>
      </c>
      <c r="I531" s="85">
        <v>12</v>
      </c>
      <c r="J531" s="87">
        <v>0.77</v>
      </c>
      <c r="K531" s="88">
        <f t="shared" si="27"/>
        <v>9.24</v>
      </c>
      <c r="L531" s="85">
        <v>1078516</v>
      </c>
      <c r="M531" s="118" t="s">
        <v>477</v>
      </c>
      <c r="N531" s="84"/>
      <c r="O531" s="84" t="s">
        <v>42</v>
      </c>
      <c r="R531"/>
    </row>
    <row r="532" spans="1:18" hidden="1" x14ac:dyDescent="0.2">
      <c r="A532" s="84" t="str">
        <f t="shared" si="25"/>
        <v>MarçoSEMANA 2Grampo 26/6</v>
      </c>
      <c r="B532" s="85" t="s">
        <v>31</v>
      </c>
      <c r="C532" s="85" t="s">
        <v>21</v>
      </c>
      <c r="D532" s="86">
        <v>9</v>
      </c>
      <c r="E532" s="116" t="str">
        <f t="shared" si="26"/>
        <v>Escritório</v>
      </c>
      <c r="F532" s="85" t="s">
        <v>1210</v>
      </c>
      <c r="G532" s="85" t="s">
        <v>395</v>
      </c>
      <c r="H532" s="85" t="s">
        <v>1209</v>
      </c>
      <c r="I532" s="85">
        <v>1</v>
      </c>
      <c r="J532" s="87">
        <v>4.58</v>
      </c>
      <c r="K532" s="88">
        <f t="shared" si="27"/>
        <v>4.58</v>
      </c>
      <c r="L532" s="85">
        <v>1078516</v>
      </c>
      <c r="M532" s="118" t="s">
        <v>478</v>
      </c>
      <c r="N532" s="84"/>
      <c r="O532" s="84" t="s">
        <v>42</v>
      </c>
      <c r="R532"/>
    </row>
    <row r="533" spans="1:18" hidden="1" x14ac:dyDescent="0.2">
      <c r="A533" s="84" t="str">
        <f t="shared" si="25"/>
        <v>MarçoSEMANA 2Cartão Ponto Mensal</v>
      </c>
      <c r="B533" s="85" t="s">
        <v>31</v>
      </c>
      <c r="C533" s="85" t="s">
        <v>21</v>
      </c>
      <c r="D533" s="86">
        <v>9</v>
      </c>
      <c r="E533" s="116" t="str">
        <f t="shared" si="26"/>
        <v>Escritório</v>
      </c>
      <c r="F533" s="85" t="s">
        <v>1210</v>
      </c>
      <c r="G533" s="85" t="s">
        <v>235</v>
      </c>
      <c r="H533" s="85" t="s">
        <v>1114</v>
      </c>
      <c r="I533" s="85">
        <v>1</v>
      </c>
      <c r="J533" s="87">
        <v>16</v>
      </c>
      <c r="K533" s="88">
        <f t="shared" si="27"/>
        <v>16</v>
      </c>
      <c r="L533" s="85">
        <v>1078516</v>
      </c>
      <c r="M533" s="118" t="s">
        <v>479</v>
      </c>
      <c r="N533" s="84"/>
      <c r="O533" s="84" t="s">
        <v>42</v>
      </c>
      <c r="R533"/>
    </row>
    <row r="534" spans="1:18" hidden="1" x14ac:dyDescent="0.2">
      <c r="A534" s="84" t="str">
        <f t="shared" si="25"/>
        <v>MarçoSEMANA 2Toner HP Ciano</v>
      </c>
      <c r="B534" s="85" t="s">
        <v>31</v>
      </c>
      <c r="C534" s="85" t="s">
        <v>21</v>
      </c>
      <c r="D534" s="86">
        <v>9</v>
      </c>
      <c r="E534" s="116" t="str">
        <f t="shared" si="26"/>
        <v>Escritório</v>
      </c>
      <c r="F534" s="85" t="s">
        <v>1210</v>
      </c>
      <c r="G534" s="85" t="s">
        <v>799</v>
      </c>
      <c r="H534" s="85" t="s">
        <v>1090</v>
      </c>
      <c r="I534" s="85">
        <v>2</v>
      </c>
      <c r="J534" s="87">
        <v>386.18</v>
      </c>
      <c r="K534" s="88">
        <f t="shared" si="27"/>
        <v>772.36</v>
      </c>
      <c r="L534" s="85">
        <v>1078516</v>
      </c>
      <c r="M534" s="118" t="s">
        <v>480</v>
      </c>
      <c r="N534" s="84"/>
      <c r="O534" s="84" t="s">
        <v>42</v>
      </c>
      <c r="R534"/>
    </row>
    <row r="535" spans="1:18" hidden="1" x14ac:dyDescent="0.2">
      <c r="A535" s="84" t="str">
        <f t="shared" si="25"/>
        <v>MarçoSEMANA 2Toner HP Amarelo</v>
      </c>
      <c r="B535" s="85" t="s">
        <v>31</v>
      </c>
      <c r="C535" s="85" t="s">
        <v>21</v>
      </c>
      <c r="D535" s="86">
        <v>9</v>
      </c>
      <c r="E535" s="116" t="str">
        <f t="shared" si="26"/>
        <v>Escritório</v>
      </c>
      <c r="F535" s="85" t="s">
        <v>1210</v>
      </c>
      <c r="G535" s="85" t="s">
        <v>798</v>
      </c>
      <c r="H535" s="85" t="s">
        <v>1090</v>
      </c>
      <c r="I535" s="85">
        <v>1</v>
      </c>
      <c r="J535" s="87">
        <v>389.91</v>
      </c>
      <c r="K535" s="88">
        <f t="shared" si="27"/>
        <v>389.91</v>
      </c>
      <c r="L535" s="85">
        <v>1078516</v>
      </c>
      <c r="M535" s="118" t="s">
        <v>481</v>
      </c>
      <c r="N535" s="84"/>
      <c r="O535" s="84" t="s">
        <v>42</v>
      </c>
      <c r="R535"/>
    </row>
    <row r="536" spans="1:18" hidden="1" x14ac:dyDescent="0.2">
      <c r="A536" s="84" t="str">
        <f t="shared" si="25"/>
        <v>MarçoSEMANA 2Toner HP Magenta</v>
      </c>
      <c r="B536" s="85" t="s">
        <v>31</v>
      </c>
      <c r="C536" s="85" t="s">
        <v>21</v>
      </c>
      <c r="D536" s="86">
        <v>9</v>
      </c>
      <c r="E536" s="116" t="str">
        <f t="shared" si="26"/>
        <v>Escritório</v>
      </c>
      <c r="F536" s="85" t="s">
        <v>1210</v>
      </c>
      <c r="G536" s="85" t="s">
        <v>800</v>
      </c>
      <c r="H536" s="85" t="s">
        <v>1090</v>
      </c>
      <c r="I536" s="85">
        <v>1</v>
      </c>
      <c r="J536" s="87">
        <v>386.18</v>
      </c>
      <c r="K536" s="88">
        <f t="shared" si="27"/>
        <v>386.18</v>
      </c>
      <c r="L536" s="85">
        <v>1078516</v>
      </c>
      <c r="M536" s="118" t="s">
        <v>482</v>
      </c>
      <c r="N536" s="84"/>
      <c r="O536" s="84" t="s">
        <v>42</v>
      </c>
      <c r="R536"/>
    </row>
    <row r="537" spans="1:18" hidden="1" x14ac:dyDescent="0.2">
      <c r="A537" s="84" t="str">
        <f t="shared" si="25"/>
        <v>MarçoSEMANA 2Pasta L</v>
      </c>
      <c r="B537" s="85" t="s">
        <v>31</v>
      </c>
      <c r="C537" s="85" t="s">
        <v>21</v>
      </c>
      <c r="D537" s="86">
        <v>9</v>
      </c>
      <c r="E537" s="116" t="str">
        <f t="shared" si="26"/>
        <v>Escritório</v>
      </c>
      <c r="F537" s="85" t="s">
        <v>1210</v>
      </c>
      <c r="G537" s="85" t="s">
        <v>1037</v>
      </c>
      <c r="H537" s="85" t="s">
        <v>1114</v>
      </c>
      <c r="I537" s="85">
        <v>1</v>
      </c>
      <c r="J537" s="87">
        <v>7</v>
      </c>
      <c r="K537" s="88">
        <f t="shared" si="27"/>
        <v>7</v>
      </c>
      <c r="L537" s="85">
        <v>1078516</v>
      </c>
      <c r="M537" s="118" t="s">
        <v>483</v>
      </c>
      <c r="N537" s="84"/>
      <c r="O537" s="84" t="s">
        <v>42</v>
      </c>
      <c r="R537"/>
    </row>
    <row r="538" spans="1:18" hidden="1" x14ac:dyDescent="0.2">
      <c r="A538" s="84" t="str">
        <f t="shared" si="25"/>
        <v>MarçoSEMANA 2Caderno Universitário 96F</v>
      </c>
      <c r="B538" s="85" t="s">
        <v>31</v>
      </c>
      <c r="C538" s="85" t="s">
        <v>21</v>
      </c>
      <c r="D538" s="86">
        <v>9</v>
      </c>
      <c r="E538" s="116" t="str">
        <f t="shared" si="26"/>
        <v>Escritório</v>
      </c>
      <c r="F538" s="85" t="s">
        <v>1210</v>
      </c>
      <c r="G538" s="85" t="s">
        <v>977</v>
      </c>
      <c r="H538" s="85" t="s">
        <v>1090</v>
      </c>
      <c r="I538" s="85">
        <v>1</v>
      </c>
      <c r="J538" s="87">
        <v>8.4700000000000006</v>
      </c>
      <c r="K538" s="88">
        <f t="shared" si="27"/>
        <v>8.4700000000000006</v>
      </c>
      <c r="L538" s="85">
        <v>1078516</v>
      </c>
      <c r="M538" s="118" t="s">
        <v>1066</v>
      </c>
      <c r="O538" s="84" t="s">
        <v>42</v>
      </c>
      <c r="R538"/>
    </row>
    <row r="539" spans="1:18" hidden="1" x14ac:dyDescent="0.2">
      <c r="A539" s="84" t="str">
        <f t="shared" si="25"/>
        <v>MarçoSEMANA 2Palmito lata 500gr</v>
      </c>
      <c r="B539" s="85" t="s">
        <v>31</v>
      </c>
      <c r="C539" s="85" t="s">
        <v>21</v>
      </c>
      <c r="D539" s="86">
        <v>9</v>
      </c>
      <c r="E539" s="116" t="str">
        <f t="shared" si="26"/>
        <v>Mercado</v>
      </c>
      <c r="F539" s="85" t="s">
        <v>1119</v>
      </c>
      <c r="G539" s="85" t="s">
        <v>555</v>
      </c>
      <c r="H539" s="85" t="s">
        <v>1090</v>
      </c>
      <c r="I539" s="85">
        <v>24</v>
      </c>
      <c r="J539" s="87">
        <f>424/24</f>
        <v>17.666666666666668</v>
      </c>
      <c r="K539" s="88">
        <f t="shared" si="27"/>
        <v>424</v>
      </c>
      <c r="L539" s="85">
        <v>5404</v>
      </c>
      <c r="M539" s="118" t="s">
        <v>484</v>
      </c>
      <c r="N539" s="84"/>
      <c r="O539" s="84" t="s">
        <v>42</v>
      </c>
      <c r="R539"/>
    </row>
    <row r="540" spans="1:18" hidden="1" x14ac:dyDescent="0.2">
      <c r="A540" s="84" t="str">
        <f t="shared" si="25"/>
        <v>MarçoSEMANA 2Creme de Leite Culinário 20% Bd 10 Lt</v>
      </c>
      <c r="B540" s="85" t="s">
        <v>31</v>
      </c>
      <c r="C540" s="85" t="s">
        <v>21</v>
      </c>
      <c r="D540" s="86">
        <v>9</v>
      </c>
      <c r="E540" s="116" t="str">
        <f t="shared" si="26"/>
        <v>Laticínios</v>
      </c>
      <c r="F540" s="85" t="s">
        <v>1152</v>
      </c>
      <c r="G540" s="85" t="s">
        <v>315</v>
      </c>
      <c r="H540" s="85" t="s">
        <v>1088</v>
      </c>
      <c r="I540" s="85">
        <v>1</v>
      </c>
      <c r="J540" s="87">
        <v>142.44999999999999</v>
      </c>
      <c r="K540" s="88">
        <f t="shared" si="27"/>
        <v>142.44999999999999</v>
      </c>
      <c r="L540" s="85" t="s">
        <v>1211</v>
      </c>
      <c r="M540" s="118" t="s">
        <v>485</v>
      </c>
      <c r="N540" s="84"/>
      <c r="O540" s="84" t="s">
        <v>42</v>
      </c>
      <c r="R540"/>
    </row>
    <row r="541" spans="1:18" hidden="1" x14ac:dyDescent="0.2">
      <c r="A541" s="84" t="str">
        <f t="shared" si="25"/>
        <v>MarçoSEMANA 2Queijo Ricota</v>
      </c>
      <c r="B541" s="85" t="s">
        <v>31</v>
      </c>
      <c r="C541" s="85" t="s">
        <v>21</v>
      </c>
      <c r="D541" s="86">
        <v>9</v>
      </c>
      <c r="E541" s="116" t="str">
        <f t="shared" si="26"/>
        <v>Laticínios</v>
      </c>
      <c r="F541" s="85" t="s">
        <v>1152</v>
      </c>
      <c r="G541" s="85" t="s">
        <v>688</v>
      </c>
      <c r="H541" s="85" t="s">
        <v>1083</v>
      </c>
      <c r="I541" s="85">
        <v>4.08</v>
      </c>
      <c r="J541" s="87">
        <v>10.6</v>
      </c>
      <c r="K541" s="88">
        <f t="shared" si="27"/>
        <v>43.247999999999998</v>
      </c>
      <c r="L541" s="85" t="s">
        <v>1211</v>
      </c>
      <c r="M541" s="118" t="s">
        <v>984</v>
      </c>
      <c r="N541" s="84"/>
      <c r="O541" s="84" t="s">
        <v>42</v>
      </c>
      <c r="R541"/>
    </row>
    <row r="542" spans="1:18" hidden="1" x14ac:dyDescent="0.2">
      <c r="A542" s="84" t="str">
        <f t="shared" si="25"/>
        <v>MarçoSEMANA 2Queijo Requeijão BD 3,6 Kg</v>
      </c>
      <c r="B542" s="85" t="s">
        <v>31</v>
      </c>
      <c r="C542" s="85" t="s">
        <v>21</v>
      </c>
      <c r="D542" s="86">
        <v>9</v>
      </c>
      <c r="E542" s="116" t="str">
        <f t="shared" si="26"/>
        <v>Laticínios</v>
      </c>
      <c r="F542" s="85" t="s">
        <v>1152</v>
      </c>
      <c r="G542" s="85" t="s">
        <v>687</v>
      </c>
      <c r="H542" s="85" t="s">
        <v>1088</v>
      </c>
      <c r="I542" s="85">
        <v>1</v>
      </c>
      <c r="J542" s="87">
        <v>74.400000000000006</v>
      </c>
      <c r="K542" s="88">
        <f t="shared" si="27"/>
        <v>74.400000000000006</v>
      </c>
      <c r="L542" s="85" t="s">
        <v>1211</v>
      </c>
      <c r="M542" s="118" t="s">
        <v>486</v>
      </c>
      <c r="N542" s="84"/>
      <c r="O542" s="84" t="s">
        <v>42</v>
      </c>
      <c r="R542"/>
    </row>
    <row r="543" spans="1:18" hidden="1" x14ac:dyDescent="0.2">
      <c r="A543" s="84" t="str">
        <f t="shared" si="25"/>
        <v>MarçoSEMANA 2Cream Cheese Sushi</v>
      </c>
      <c r="B543" s="85" t="s">
        <v>31</v>
      </c>
      <c r="C543" s="85" t="s">
        <v>21</v>
      </c>
      <c r="D543" s="86">
        <v>9</v>
      </c>
      <c r="E543" s="116" t="str">
        <f t="shared" si="26"/>
        <v>Sushi</v>
      </c>
      <c r="F543" s="85" t="s">
        <v>1212</v>
      </c>
      <c r="G543" s="85" t="s">
        <v>311</v>
      </c>
      <c r="H543" s="85" t="s">
        <v>1083</v>
      </c>
      <c r="I543" s="85">
        <v>6</v>
      </c>
      <c r="J543" s="87">
        <v>27.6</v>
      </c>
      <c r="K543" s="88">
        <f t="shared" si="27"/>
        <v>165.60000000000002</v>
      </c>
      <c r="L543" s="85">
        <v>318105</v>
      </c>
      <c r="M543" s="118" t="s">
        <v>487</v>
      </c>
      <c r="N543" s="84"/>
      <c r="O543" s="84" t="s">
        <v>42</v>
      </c>
      <c r="R543"/>
    </row>
    <row r="544" spans="1:18" hidden="1" x14ac:dyDescent="0.2">
      <c r="A544" s="84" t="str">
        <f t="shared" si="25"/>
        <v>MarçoSEMANA 2Pescados - Carne de siri</v>
      </c>
      <c r="B544" s="85" t="s">
        <v>31</v>
      </c>
      <c r="C544" s="85" t="s">
        <v>21</v>
      </c>
      <c r="D544" s="86">
        <v>9</v>
      </c>
      <c r="E544" s="116" t="str">
        <f t="shared" si="26"/>
        <v>Carnes</v>
      </c>
      <c r="F544" s="85" t="s">
        <v>1166</v>
      </c>
      <c r="G544" s="85" t="s">
        <v>599</v>
      </c>
      <c r="H544" s="85" t="s">
        <v>1083</v>
      </c>
      <c r="I544" s="85">
        <v>20</v>
      </c>
      <c r="J544" s="87">
        <v>22.9</v>
      </c>
      <c r="K544" s="88">
        <f t="shared" si="27"/>
        <v>458</v>
      </c>
      <c r="L544" s="85">
        <v>329383</v>
      </c>
      <c r="M544" s="118" t="s">
        <v>488</v>
      </c>
      <c r="N544" s="84"/>
      <c r="O544" s="84" t="s">
        <v>42</v>
      </c>
      <c r="R544"/>
    </row>
    <row r="545" spans="1:18" x14ac:dyDescent="0.25">
      <c r="A545" s="84" t="str">
        <f t="shared" si="25"/>
        <v>MarçoSEMANA 2Alho Descascado</v>
      </c>
      <c r="B545" s="85" t="s">
        <v>31</v>
      </c>
      <c r="C545" s="85" t="s">
        <v>21</v>
      </c>
      <c r="D545" s="86">
        <v>9</v>
      </c>
      <c r="E545" s="116" t="str">
        <f t="shared" si="26"/>
        <v>Hortifruti</v>
      </c>
      <c r="F545" s="85" t="s">
        <v>1144</v>
      </c>
      <c r="G545" s="85" t="s">
        <v>112</v>
      </c>
      <c r="H545" s="85" t="s">
        <v>1083</v>
      </c>
      <c r="I545" s="85">
        <v>15</v>
      </c>
      <c r="J545" s="87">
        <v>13.5</v>
      </c>
      <c r="K545" s="88">
        <f t="shared" si="27"/>
        <v>202.5</v>
      </c>
      <c r="L545" s="85" t="s">
        <v>1157</v>
      </c>
      <c r="M545" s="118" t="s">
        <v>489</v>
      </c>
      <c r="N545" s="84"/>
      <c r="O545" s="84" t="s">
        <v>42</v>
      </c>
      <c r="R545"/>
    </row>
    <row r="546" spans="1:18" hidden="1" x14ac:dyDescent="0.2">
      <c r="A546" s="84" t="str">
        <f t="shared" si="25"/>
        <v>MarçoSEMANA 2Pescados - Salmão Inteiro Sushi</v>
      </c>
      <c r="B546" s="85" t="s">
        <v>31</v>
      </c>
      <c r="C546" s="85" t="s">
        <v>21</v>
      </c>
      <c r="D546" s="86">
        <v>9</v>
      </c>
      <c r="E546" s="116" t="str">
        <f t="shared" si="26"/>
        <v>Sushi</v>
      </c>
      <c r="F546" s="85" t="s">
        <v>1104</v>
      </c>
      <c r="G546" s="85" t="s">
        <v>644</v>
      </c>
      <c r="H546" s="85" t="s">
        <v>1083</v>
      </c>
      <c r="I546" s="85">
        <v>29.29</v>
      </c>
      <c r="J546" s="87">
        <v>24.9</v>
      </c>
      <c r="K546" s="88">
        <f t="shared" si="27"/>
        <v>729.32099999999991</v>
      </c>
      <c r="L546" s="85" t="s">
        <v>1213</v>
      </c>
      <c r="M546" s="118" t="s">
        <v>1076</v>
      </c>
      <c r="O546" s="84" t="s">
        <v>42</v>
      </c>
      <c r="R546"/>
    </row>
    <row r="547" spans="1:18" hidden="1" x14ac:dyDescent="0.2">
      <c r="A547" s="84" t="str">
        <f t="shared" si="25"/>
        <v>MarçoSEMANA 2Gelo em Escamas</v>
      </c>
      <c r="B547" s="85" t="s">
        <v>31</v>
      </c>
      <c r="C547" s="85" t="s">
        <v>21</v>
      </c>
      <c r="D547" s="86">
        <v>9</v>
      </c>
      <c r="E547" s="116" t="str">
        <f t="shared" si="26"/>
        <v>Mercado</v>
      </c>
      <c r="F547" s="85" t="s">
        <v>1096</v>
      </c>
      <c r="G547" s="85" t="s">
        <v>384</v>
      </c>
      <c r="H547" s="85" t="s">
        <v>1097</v>
      </c>
      <c r="I547" s="85">
        <v>2</v>
      </c>
      <c r="J547" s="87">
        <v>7.5</v>
      </c>
      <c r="K547" s="88">
        <f t="shared" si="27"/>
        <v>15</v>
      </c>
      <c r="L547" s="85">
        <v>3110</v>
      </c>
      <c r="M547" s="118" t="s">
        <v>490</v>
      </c>
      <c r="N547" s="84"/>
      <c r="O547" s="84" t="s">
        <v>42</v>
      </c>
      <c r="R547"/>
    </row>
    <row r="548" spans="1:18" hidden="1" x14ac:dyDescent="0.2">
      <c r="A548" s="84" t="str">
        <f t="shared" si="25"/>
        <v>MarçoSEMANA 2Gelo em Cubo</v>
      </c>
      <c r="B548" s="85" t="s">
        <v>31</v>
      </c>
      <c r="C548" s="85" t="s">
        <v>21</v>
      </c>
      <c r="D548" s="86">
        <v>9</v>
      </c>
      <c r="E548" s="116" t="str">
        <f t="shared" si="26"/>
        <v>Mercado</v>
      </c>
      <c r="F548" s="85" t="s">
        <v>1096</v>
      </c>
      <c r="G548" s="85" t="s">
        <v>383</v>
      </c>
      <c r="H548" s="85" t="s">
        <v>1097</v>
      </c>
      <c r="I548" s="85">
        <v>2</v>
      </c>
      <c r="J548" s="87">
        <v>7.5</v>
      </c>
      <c r="K548" s="88">
        <f t="shared" si="27"/>
        <v>15</v>
      </c>
      <c r="L548" s="85">
        <v>3110</v>
      </c>
      <c r="M548" s="118" t="s">
        <v>491</v>
      </c>
      <c r="N548" s="84"/>
      <c r="O548" s="84" t="s">
        <v>42</v>
      </c>
      <c r="R548"/>
    </row>
    <row r="549" spans="1:18" x14ac:dyDescent="0.25">
      <c r="A549" s="84" t="str">
        <f t="shared" si="25"/>
        <v>MarçoSEMANA 2Cenoura Orgânica</v>
      </c>
      <c r="B549" s="85" t="s">
        <v>31</v>
      </c>
      <c r="C549" s="85" t="s">
        <v>21</v>
      </c>
      <c r="D549" s="86">
        <v>9</v>
      </c>
      <c r="E549" s="116" t="str">
        <f t="shared" si="26"/>
        <v>Hortifruti</v>
      </c>
      <c r="F549" s="85" t="s">
        <v>1130</v>
      </c>
      <c r="G549" s="85" t="s">
        <v>252</v>
      </c>
      <c r="H549" s="85" t="s">
        <v>1083</v>
      </c>
      <c r="I549" s="85">
        <v>7.2649999999999997</v>
      </c>
      <c r="J549" s="87">
        <v>7.75</v>
      </c>
      <c r="K549" s="88">
        <f t="shared" si="27"/>
        <v>56.303750000000001</v>
      </c>
      <c r="L549" s="85">
        <v>97455</v>
      </c>
      <c r="M549" s="118" t="s">
        <v>492</v>
      </c>
      <c r="N549" s="84"/>
      <c r="O549" s="84" t="s">
        <v>42</v>
      </c>
      <c r="R549"/>
    </row>
    <row r="550" spans="1:18" x14ac:dyDescent="0.25">
      <c r="A550" s="84" t="str">
        <f t="shared" si="25"/>
        <v>MarçoSEMANA 2Alface Americana Orgânica</v>
      </c>
      <c r="B550" s="85" t="s">
        <v>31</v>
      </c>
      <c r="C550" s="85" t="s">
        <v>21</v>
      </c>
      <c r="D550" s="86">
        <v>9</v>
      </c>
      <c r="E550" s="116" t="str">
        <f t="shared" si="26"/>
        <v>Hortifruti</v>
      </c>
      <c r="F550" s="85" t="s">
        <v>1130</v>
      </c>
      <c r="G550" s="85" t="s">
        <v>103</v>
      </c>
      <c r="H550" s="85" t="s">
        <v>1083</v>
      </c>
      <c r="I550" s="85">
        <v>3.54</v>
      </c>
      <c r="J550" s="87">
        <f>(63.8/3.54)+1.0599</f>
        <v>19.082498870056494</v>
      </c>
      <c r="K550" s="88">
        <f t="shared" si="27"/>
        <v>67.55204599999999</v>
      </c>
      <c r="L550" s="85" t="s">
        <v>1214</v>
      </c>
      <c r="M550" s="118" t="s">
        <v>493</v>
      </c>
      <c r="N550" s="84"/>
      <c r="O550" s="84" t="s">
        <v>45</v>
      </c>
      <c r="R550"/>
    </row>
    <row r="551" spans="1:18" x14ac:dyDescent="0.25">
      <c r="A551" s="84" t="str">
        <f t="shared" si="25"/>
        <v>MarçoSEMANA 2Alface crespa Orgânica</v>
      </c>
      <c r="B551" s="85" t="s">
        <v>31</v>
      </c>
      <c r="C551" s="85" t="s">
        <v>21</v>
      </c>
      <c r="D551" s="86">
        <v>9</v>
      </c>
      <c r="E551" s="116" t="str">
        <f t="shared" si="26"/>
        <v>Hortifruti</v>
      </c>
      <c r="F551" s="85" t="s">
        <v>1130</v>
      </c>
      <c r="G551" s="85" t="s">
        <v>105</v>
      </c>
      <c r="H551" s="85" t="s">
        <v>1083</v>
      </c>
      <c r="I551" s="85">
        <v>2.02</v>
      </c>
      <c r="J551" s="87">
        <f>(30/2.02)+1.0599</f>
        <v>15.911385148514853</v>
      </c>
      <c r="K551" s="88">
        <f t="shared" si="27"/>
        <v>32.140998000000003</v>
      </c>
      <c r="L551" s="85" t="s">
        <v>1214</v>
      </c>
      <c r="M551" s="118" t="s">
        <v>494</v>
      </c>
      <c r="N551" s="84"/>
      <c r="O551" s="84" t="s">
        <v>45</v>
      </c>
      <c r="R551"/>
    </row>
    <row r="552" spans="1:18" x14ac:dyDescent="0.25">
      <c r="A552" s="84" t="str">
        <f t="shared" si="25"/>
        <v>MarçoSEMANA 2Alface Roxa Orgânica</v>
      </c>
      <c r="B552" s="85" t="s">
        <v>31</v>
      </c>
      <c r="C552" s="85" t="s">
        <v>21</v>
      </c>
      <c r="D552" s="86">
        <v>9</v>
      </c>
      <c r="E552" s="116" t="str">
        <f t="shared" si="26"/>
        <v>Hortifruti</v>
      </c>
      <c r="F552" s="85" t="s">
        <v>1130</v>
      </c>
      <c r="G552" s="85" t="s">
        <v>109</v>
      </c>
      <c r="H552" s="85" t="s">
        <v>1083</v>
      </c>
      <c r="I552" s="85">
        <v>1.78</v>
      </c>
      <c r="J552" s="87">
        <f>(25/1.78)+1.0599</f>
        <v>15.104843820224719</v>
      </c>
      <c r="K552" s="88">
        <f t="shared" si="27"/>
        <v>26.886621999999999</v>
      </c>
      <c r="L552" s="85" t="s">
        <v>1214</v>
      </c>
      <c r="M552" s="118" t="s">
        <v>495</v>
      </c>
      <c r="N552" s="84"/>
      <c r="O552" s="84" t="s">
        <v>45</v>
      </c>
      <c r="R552"/>
    </row>
    <row r="553" spans="1:18" x14ac:dyDescent="0.25">
      <c r="A553" s="84" t="str">
        <f t="shared" si="25"/>
        <v>MarçoSEMANA 2Rúcula Orgânica</v>
      </c>
      <c r="B553" s="85" t="s">
        <v>31</v>
      </c>
      <c r="C553" s="85" t="s">
        <v>21</v>
      </c>
      <c r="D553" s="86">
        <v>9</v>
      </c>
      <c r="E553" s="116" t="str">
        <f t="shared" si="26"/>
        <v>Hortifruti</v>
      </c>
      <c r="F553" s="85" t="s">
        <v>1130</v>
      </c>
      <c r="G553" s="85" t="s">
        <v>706</v>
      </c>
      <c r="H553" s="85" t="s">
        <v>1083</v>
      </c>
      <c r="I553" s="85">
        <v>2</v>
      </c>
      <c r="J553" s="87">
        <f>(32/2)+1.0599</f>
        <v>17.059899999999999</v>
      </c>
      <c r="K553" s="88">
        <f t="shared" si="27"/>
        <v>34.119799999999998</v>
      </c>
      <c r="L553" s="85" t="s">
        <v>1214</v>
      </c>
      <c r="M553" s="118" t="s">
        <v>496</v>
      </c>
      <c r="N553" s="84"/>
      <c r="O553" s="84" t="s">
        <v>45</v>
      </c>
      <c r="R553"/>
    </row>
    <row r="554" spans="1:18" hidden="1" x14ac:dyDescent="0.2">
      <c r="A554" s="84" t="str">
        <f t="shared" si="25"/>
        <v>MarçoSEMANA 2Cream Cheese Sushi</v>
      </c>
      <c r="B554" s="85" t="s">
        <v>31</v>
      </c>
      <c r="C554" s="85" t="s">
        <v>21</v>
      </c>
      <c r="D554" s="86">
        <v>9</v>
      </c>
      <c r="E554" s="116" t="str">
        <f t="shared" si="26"/>
        <v>Sushi</v>
      </c>
      <c r="F554" s="85" t="s">
        <v>1101</v>
      </c>
      <c r="G554" s="85" t="s">
        <v>311</v>
      </c>
      <c r="H554" s="85" t="s">
        <v>1083</v>
      </c>
      <c r="I554" s="85">
        <v>1.5</v>
      </c>
      <c r="J554" s="87">
        <f>30.5/1.5</f>
        <v>20.333333333333332</v>
      </c>
      <c r="K554" s="88">
        <f t="shared" si="27"/>
        <v>30.5</v>
      </c>
      <c r="L554" s="85" t="s">
        <v>1215</v>
      </c>
      <c r="M554" s="118" t="s">
        <v>497</v>
      </c>
      <c r="N554" s="84"/>
      <c r="O554" s="84" t="s">
        <v>60</v>
      </c>
      <c r="R554"/>
    </row>
    <row r="555" spans="1:18" hidden="1" x14ac:dyDescent="0.2">
      <c r="A555" s="84" t="str">
        <f t="shared" si="25"/>
        <v>MarçoSEMANA 2Suíno - Linguiça Calabresa</v>
      </c>
      <c r="B555" s="85" t="s">
        <v>31</v>
      </c>
      <c r="C555" s="85" t="s">
        <v>21</v>
      </c>
      <c r="D555" s="86">
        <v>9</v>
      </c>
      <c r="E555" s="116" t="str">
        <f t="shared" si="26"/>
        <v>Carnes</v>
      </c>
      <c r="F555" s="85" t="s">
        <v>1101</v>
      </c>
      <c r="G555" s="85" t="s">
        <v>761</v>
      </c>
      <c r="H555" s="85" t="s">
        <v>1083</v>
      </c>
      <c r="I555" s="85">
        <v>2.5</v>
      </c>
      <c r="J555" s="87">
        <v>9.98</v>
      </c>
      <c r="K555" s="88">
        <f t="shared" si="27"/>
        <v>24.950000000000003</v>
      </c>
      <c r="L555" s="85" t="s">
        <v>1215</v>
      </c>
      <c r="M555" s="118" t="s">
        <v>498</v>
      </c>
      <c r="N555" s="84"/>
      <c r="O555" s="84" t="s">
        <v>45</v>
      </c>
      <c r="R555"/>
    </row>
    <row r="556" spans="1:18" hidden="1" x14ac:dyDescent="0.2">
      <c r="A556" s="84" t="str">
        <f t="shared" si="25"/>
        <v>MarçoSEMANA 2Aves - Sobrecoxa</v>
      </c>
      <c r="B556" s="85" t="s">
        <v>31</v>
      </c>
      <c r="C556" s="85" t="s">
        <v>21</v>
      </c>
      <c r="D556" s="86">
        <v>9</v>
      </c>
      <c r="E556" s="116" t="str">
        <f t="shared" si="26"/>
        <v>Carnes</v>
      </c>
      <c r="F556" s="85" t="s">
        <v>1101</v>
      </c>
      <c r="G556" s="85" t="s">
        <v>150</v>
      </c>
      <c r="H556" s="85" t="s">
        <v>1083</v>
      </c>
      <c r="I556" s="85">
        <v>18</v>
      </c>
      <c r="J556" s="87">
        <v>5.98</v>
      </c>
      <c r="K556" s="88">
        <f t="shared" si="27"/>
        <v>107.64000000000001</v>
      </c>
      <c r="L556" s="85" t="s">
        <v>1215</v>
      </c>
      <c r="M556" s="118" t="s">
        <v>499</v>
      </c>
      <c r="N556" s="84"/>
      <c r="O556" s="84" t="s">
        <v>45</v>
      </c>
      <c r="R556"/>
    </row>
    <row r="557" spans="1:18" hidden="1" x14ac:dyDescent="0.2">
      <c r="A557" s="84" t="str">
        <f t="shared" si="25"/>
        <v>MarçoSEMANA 2Torta Alemã</v>
      </c>
      <c r="B557" s="85" t="s">
        <v>31</v>
      </c>
      <c r="C557" s="85" t="s">
        <v>21</v>
      </c>
      <c r="D557" s="86">
        <v>9</v>
      </c>
      <c r="E557" s="116" t="str">
        <f t="shared" si="26"/>
        <v>Sobremesa</v>
      </c>
      <c r="F557" s="85" t="s">
        <v>1146</v>
      </c>
      <c r="G557" s="85" t="s">
        <v>803</v>
      </c>
      <c r="H557" s="85" t="s">
        <v>1147</v>
      </c>
      <c r="I557" s="85">
        <v>12</v>
      </c>
      <c r="J557" s="87">
        <f>69/12</f>
        <v>5.75</v>
      </c>
      <c r="K557" s="88">
        <f t="shared" si="27"/>
        <v>69</v>
      </c>
      <c r="L557" s="85">
        <v>150092</v>
      </c>
      <c r="M557" s="118" t="s">
        <v>500</v>
      </c>
      <c r="O557" s="115" t="s">
        <v>45</v>
      </c>
      <c r="R557"/>
    </row>
    <row r="558" spans="1:18" hidden="1" x14ac:dyDescent="0.2">
      <c r="A558" s="84" t="str">
        <f t="shared" si="25"/>
        <v>MarçoSEMANA 2Torta Bem Casado de Damasco</v>
      </c>
      <c r="B558" s="85" t="s">
        <v>31</v>
      </c>
      <c r="C558" s="85" t="s">
        <v>21</v>
      </c>
      <c r="D558" s="86">
        <v>9</v>
      </c>
      <c r="E558" s="116" t="str">
        <f t="shared" si="26"/>
        <v>Sobremesa</v>
      </c>
      <c r="F558" s="85" t="s">
        <v>1146</v>
      </c>
      <c r="G558" s="85" t="s">
        <v>807</v>
      </c>
      <c r="H558" s="85" t="s">
        <v>1147</v>
      </c>
      <c r="I558" s="85">
        <v>12</v>
      </c>
      <c r="J558" s="87">
        <f>71.12/12</f>
        <v>5.9266666666666667</v>
      </c>
      <c r="K558" s="88">
        <f t="shared" si="27"/>
        <v>71.12</v>
      </c>
      <c r="L558" s="85">
        <v>150092</v>
      </c>
      <c r="M558" s="118" t="s">
        <v>501</v>
      </c>
      <c r="N558" s="84"/>
      <c r="O558" s="84" t="s">
        <v>45</v>
      </c>
      <c r="R558"/>
    </row>
    <row r="559" spans="1:18" hidden="1" x14ac:dyDescent="0.2">
      <c r="A559" s="84" t="str">
        <f t="shared" si="25"/>
        <v>MarçoSEMANA 2Torta de Limão</v>
      </c>
      <c r="B559" s="85" t="s">
        <v>31</v>
      </c>
      <c r="C559" s="85" t="s">
        <v>21</v>
      </c>
      <c r="D559" s="86">
        <v>9</v>
      </c>
      <c r="E559" s="116" t="str">
        <f t="shared" si="26"/>
        <v>Sobremesa</v>
      </c>
      <c r="F559" s="85" t="s">
        <v>1146</v>
      </c>
      <c r="G559" s="85" t="s">
        <v>813</v>
      </c>
      <c r="H559" s="85" t="s">
        <v>1147</v>
      </c>
      <c r="I559" s="85">
        <v>12</v>
      </c>
      <c r="J559" s="87">
        <f>66.87/12</f>
        <v>5.5725000000000007</v>
      </c>
      <c r="K559" s="88">
        <f t="shared" si="27"/>
        <v>66.87</v>
      </c>
      <c r="L559" s="85">
        <v>150092</v>
      </c>
      <c r="M559" s="118" t="s">
        <v>502</v>
      </c>
      <c r="N559" s="84"/>
      <c r="O559" s="84" t="s">
        <v>42</v>
      </c>
      <c r="R559"/>
    </row>
    <row r="560" spans="1:18" hidden="1" x14ac:dyDescent="0.2">
      <c r="A560" s="84" t="str">
        <f t="shared" si="25"/>
        <v>MarçoSEMANA 2Quindão com Damasco</v>
      </c>
      <c r="B560" s="85" t="s">
        <v>31</v>
      </c>
      <c r="C560" s="85" t="s">
        <v>21</v>
      </c>
      <c r="D560" s="86">
        <v>9</v>
      </c>
      <c r="E560" s="116" t="str">
        <f t="shared" si="26"/>
        <v>Sobremesa</v>
      </c>
      <c r="F560" s="85" t="s">
        <v>1146</v>
      </c>
      <c r="G560" s="85" t="s">
        <v>690</v>
      </c>
      <c r="H560" s="85" t="s">
        <v>1147</v>
      </c>
      <c r="I560" s="85">
        <v>12</v>
      </c>
      <c r="J560" s="87">
        <f>69/12</f>
        <v>5.75</v>
      </c>
      <c r="K560" s="88">
        <f t="shared" si="27"/>
        <v>69</v>
      </c>
      <c r="L560" s="85">
        <v>150092</v>
      </c>
      <c r="M560" s="118" t="s">
        <v>503</v>
      </c>
      <c r="N560" s="84"/>
      <c r="O560" s="84" t="s">
        <v>45</v>
      </c>
      <c r="R560"/>
    </row>
    <row r="561" spans="1:18" hidden="1" x14ac:dyDescent="0.2">
      <c r="A561" s="84" t="str">
        <f t="shared" si="25"/>
        <v>MarçoSEMANA 2Torta Bem Casado de Chocolate c/ Avelã</v>
      </c>
      <c r="B561" s="85" t="s">
        <v>31</v>
      </c>
      <c r="C561" s="85" t="s">
        <v>21</v>
      </c>
      <c r="D561" s="86">
        <v>9</v>
      </c>
      <c r="E561" s="116" t="str">
        <f t="shared" si="26"/>
        <v>Sobremesa</v>
      </c>
      <c r="F561" s="85" t="s">
        <v>1146</v>
      </c>
      <c r="G561" s="85" t="s">
        <v>806</v>
      </c>
      <c r="H561" s="85" t="s">
        <v>1147</v>
      </c>
      <c r="I561" s="85">
        <v>12</v>
      </c>
      <c r="J561" s="87">
        <f>71.12/12</f>
        <v>5.9266666666666667</v>
      </c>
      <c r="K561" s="88">
        <f t="shared" si="27"/>
        <v>71.12</v>
      </c>
      <c r="L561" s="85">
        <v>150092</v>
      </c>
      <c r="M561" s="118" t="s">
        <v>1036</v>
      </c>
      <c r="O561" s="84" t="s">
        <v>873</v>
      </c>
      <c r="R561"/>
    </row>
    <row r="562" spans="1:18" hidden="1" x14ac:dyDescent="0.2">
      <c r="A562" s="84" t="str">
        <f t="shared" si="25"/>
        <v>MarçoSEMANA 2Torta de Cenoura c/ Chocolate</v>
      </c>
      <c r="B562" s="85" t="s">
        <v>31</v>
      </c>
      <c r="C562" s="85" t="s">
        <v>21</v>
      </c>
      <c r="D562" s="86">
        <v>9</v>
      </c>
      <c r="E562" s="116" t="str">
        <f t="shared" si="26"/>
        <v>Sobremesa</v>
      </c>
      <c r="F562" s="85" t="s">
        <v>1146</v>
      </c>
      <c r="G562" s="85" t="s">
        <v>1002</v>
      </c>
      <c r="H562" s="85" t="s">
        <v>1147</v>
      </c>
      <c r="I562" s="85">
        <v>12</v>
      </c>
      <c r="J562" s="87">
        <f>71.12/12</f>
        <v>5.9266666666666667</v>
      </c>
      <c r="K562" s="88">
        <f t="shared" si="27"/>
        <v>71.12</v>
      </c>
      <c r="L562" s="85">
        <v>150092</v>
      </c>
      <c r="M562" s="118" t="s">
        <v>997</v>
      </c>
      <c r="N562" s="84"/>
      <c r="O562" s="84" t="s">
        <v>873</v>
      </c>
      <c r="R562"/>
    </row>
    <row r="563" spans="1:18" x14ac:dyDescent="0.25">
      <c r="A563" s="84" t="str">
        <f t="shared" si="25"/>
        <v>MarçoSEMANA 2Batata Calabresa</v>
      </c>
      <c r="B563" s="85" t="s">
        <v>31</v>
      </c>
      <c r="C563" s="85" t="s">
        <v>21</v>
      </c>
      <c r="D563" s="86">
        <v>9</v>
      </c>
      <c r="E563" s="116" t="str">
        <f t="shared" si="26"/>
        <v>Hortifruti</v>
      </c>
      <c r="F563" s="85" t="s">
        <v>1110</v>
      </c>
      <c r="G563" s="85" t="s">
        <v>901</v>
      </c>
      <c r="H563" s="85" t="s">
        <v>1083</v>
      </c>
      <c r="I563" s="85">
        <v>5</v>
      </c>
      <c r="J563" s="87">
        <v>4</v>
      </c>
      <c r="K563" s="88">
        <f t="shared" si="27"/>
        <v>20</v>
      </c>
      <c r="L563" s="85">
        <v>3390</v>
      </c>
      <c r="M563" s="118" t="s">
        <v>504</v>
      </c>
      <c r="N563" s="84"/>
      <c r="O563" s="84" t="s">
        <v>42</v>
      </c>
      <c r="R563"/>
    </row>
    <row r="564" spans="1:18" x14ac:dyDescent="0.25">
      <c r="A564" s="84" t="str">
        <f t="shared" si="25"/>
        <v>MarçoSEMANA 2Cenoura</v>
      </c>
      <c r="B564" s="85" t="s">
        <v>31</v>
      </c>
      <c r="C564" s="85" t="s">
        <v>21</v>
      </c>
      <c r="D564" s="86">
        <v>9</v>
      </c>
      <c r="E564" s="116" t="str">
        <f t="shared" si="26"/>
        <v>Hortifruti</v>
      </c>
      <c r="F564" s="85" t="s">
        <v>1110</v>
      </c>
      <c r="G564" s="85" t="s">
        <v>249</v>
      </c>
      <c r="H564" s="85" t="s">
        <v>1083</v>
      </c>
      <c r="I564" s="85">
        <v>20.399999999999999</v>
      </c>
      <c r="J564" s="87">
        <f>50/20.4</f>
        <v>2.4509803921568629</v>
      </c>
      <c r="K564" s="88">
        <f t="shared" si="27"/>
        <v>50</v>
      </c>
      <c r="L564" s="85">
        <v>3390</v>
      </c>
      <c r="M564" s="118" t="s">
        <v>505</v>
      </c>
      <c r="N564" s="84"/>
      <c r="O564" s="84" t="s">
        <v>42</v>
      </c>
      <c r="R564"/>
    </row>
    <row r="565" spans="1:18" x14ac:dyDescent="0.25">
      <c r="A565" s="84" t="str">
        <f t="shared" si="25"/>
        <v>MarçoSEMANA 2Pimentão Amarelo</v>
      </c>
      <c r="B565" s="85" t="s">
        <v>31</v>
      </c>
      <c r="C565" s="85" t="s">
        <v>21</v>
      </c>
      <c r="D565" s="86">
        <v>9</v>
      </c>
      <c r="E565" s="116" t="str">
        <f t="shared" si="26"/>
        <v>Hortifruti</v>
      </c>
      <c r="F565" s="85" t="s">
        <v>1110</v>
      </c>
      <c r="G565" s="85" t="s">
        <v>663</v>
      </c>
      <c r="H565" s="85" t="s">
        <v>1083</v>
      </c>
      <c r="I565" s="85">
        <v>1</v>
      </c>
      <c r="J565" s="87">
        <v>12</v>
      </c>
      <c r="K565" s="88">
        <f t="shared" si="27"/>
        <v>12</v>
      </c>
      <c r="L565" s="85">
        <v>3390</v>
      </c>
      <c r="M565" s="118" t="s">
        <v>506</v>
      </c>
      <c r="N565" s="84"/>
      <c r="O565" s="84" t="s">
        <v>42</v>
      </c>
      <c r="R565"/>
    </row>
    <row r="566" spans="1:18" x14ac:dyDescent="0.25">
      <c r="A566" s="84" t="str">
        <f t="shared" si="25"/>
        <v>MarçoSEMANA 2Pimentão Vermelho</v>
      </c>
      <c r="B566" s="85" t="s">
        <v>31</v>
      </c>
      <c r="C566" s="85" t="s">
        <v>21</v>
      </c>
      <c r="D566" s="86">
        <v>9</v>
      </c>
      <c r="E566" s="116" t="str">
        <f t="shared" si="26"/>
        <v>Hortifruti</v>
      </c>
      <c r="F566" s="85" t="s">
        <v>1110</v>
      </c>
      <c r="G566" s="85" t="s">
        <v>666</v>
      </c>
      <c r="H566" s="85" t="s">
        <v>1083</v>
      </c>
      <c r="I566" s="85">
        <v>1</v>
      </c>
      <c r="J566" s="87">
        <v>12</v>
      </c>
      <c r="K566" s="88">
        <f t="shared" si="27"/>
        <v>12</v>
      </c>
      <c r="L566" s="85">
        <v>3390</v>
      </c>
      <c r="M566" s="118" t="s">
        <v>1032</v>
      </c>
      <c r="O566" s="84" t="s">
        <v>60</v>
      </c>
      <c r="R566"/>
    </row>
    <row r="567" spans="1:18" x14ac:dyDescent="0.25">
      <c r="A567" s="84" t="str">
        <f t="shared" si="25"/>
        <v>MarçoSEMANA 2Tomate Salada</v>
      </c>
      <c r="B567" s="85" t="s">
        <v>31</v>
      </c>
      <c r="C567" s="85" t="s">
        <v>21</v>
      </c>
      <c r="D567" s="86">
        <v>9</v>
      </c>
      <c r="E567" s="116" t="str">
        <f t="shared" si="26"/>
        <v>Hortifruti</v>
      </c>
      <c r="F567" s="85" t="s">
        <v>1110</v>
      </c>
      <c r="G567" s="85" t="s">
        <v>794</v>
      </c>
      <c r="H567" s="85" t="s">
        <v>1083</v>
      </c>
      <c r="I567" s="85">
        <v>20.72</v>
      </c>
      <c r="J567" s="87">
        <f>60/20.72</f>
        <v>2.8957528957528957</v>
      </c>
      <c r="K567" s="88">
        <f t="shared" si="27"/>
        <v>59.999999999999993</v>
      </c>
      <c r="L567" s="85">
        <v>3390</v>
      </c>
      <c r="M567" s="118" t="s">
        <v>507</v>
      </c>
      <c r="O567" s="115" t="s">
        <v>42</v>
      </c>
      <c r="R567"/>
    </row>
    <row r="568" spans="1:18" x14ac:dyDescent="0.25">
      <c r="A568" s="84" t="str">
        <f t="shared" si="25"/>
        <v>MarçoSEMANA 2Aipo</v>
      </c>
      <c r="B568" s="85" t="s">
        <v>31</v>
      </c>
      <c r="C568" s="85" t="s">
        <v>21</v>
      </c>
      <c r="D568" s="86">
        <v>9</v>
      </c>
      <c r="E568" s="116" t="str">
        <f t="shared" si="26"/>
        <v>Hortifruti</v>
      </c>
      <c r="F568" s="85" t="s">
        <v>1110</v>
      </c>
      <c r="G568" s="85" t="s">
        <v>96</v>
      </c>
      <c r="H568" s="85" t="s">
        <v>1083</v>
      </c>
      <c r="I568" s="85">
        <v>1.3</v>
      </c>
      <c r="J568" s="87">
        <v>4</v>
      </c>
      <c r="K568" s="88">
        <f t="shared" si="27"/>
        <v>5.2</v>
      </c>
      <c r="L568" s="85">
        <v>3390</v>
      </c>
      <c r="M568" s="118" t="s">
        <v>508</v>
      </c>
      <c r="O568" s="115" t="s">
        <v>42</v>
      </c>
      <c r="R568"/>
    </row>
    <row r="569" spans="1:18" x14ac:dyDescent="0.25">
      <c r="A569" s="84" t="str">
        <f t="shared" si="25"/>
        <v>MarçoSEMANA 2Bertalha</v>
      </c>
      <c r="B569" s="85" t="s">
        <v>31</v>
      </c>
      <c r="C569" s="85" t="s">
        <v>21</v>
      </c>
      <c r="D569" s="86">
        <v>9</v>
      </c>
      <c r="E569" s="116" t="str">
        <f t="shared" si="26"/>
        <v>Hortifruti</v>
      </c>
      <c r="F569" s="85" t="s">
        <v>1110</v>
      </c>
      <c r="G569" s="85" t="s">
        <v>180</v>
      </c>
      <c r="H569" s="85" t="s">
        <v>1083</v>
      </c>
      <c r="I569" s="85">
        <v>5</v>
      </c>
      <c r="J569" s="87">
        <v>4</v>
      </c>
      <c r="K569" s="88">
        <f t="shared" si="27"/>
        <v>20</v>
      </c>
      <c r="L569" s="85">
        <v>3390</v>
      </c>
      <c r="M569" s="118" t="s">
        <v>509</v>
      </c>
      <c r="O569" s="115" t="s">
        <v>42</v>
      </c>
      <c r="R569"/>
    </row>
    <row r="570" spans="1:18" x14ac:dyDescent="0.25">
      <c r="A570" s="84" t="str">
        <f t="shared" si="25"/>
        <v>MarçoSEMANA 2Brócolis Americano</v>
      </c>
      <c r="B570" s="85" t="s">
        <v>31</v>
      </c>
      <c r="C570" s="85" t="s">
        <v>21</v>
      </c>
      <c r="D570" s="86">
        <v>9</v>
      </c>
      <c r="E570" s="116" t="str">
        <f t="shared" si="26"/>
        <v>Hortifruti</v>
      </c>
      <c r="F570" s="85" t="s">
        <v>1110</v>
      </c>
      <c r="G570" s="85" t="s">
        <v>194</v>
      </c>
      <c r="H570" s="85" t="s">
        <v>1083</v>
      </c>
      <c r="I570" s="85">
        <v>4</v>
      </c>
      <c r="J570" s="87">
        <v>12</v>
      </c>
      <c r="K570" s="88">
        <f t="shared" si="27"/>
        <v>48</v>
      </c>
      <c r="L570" s="85">
        <v>3390</v>
      </c>
      <c r="M570" s="118" t="s">
        <v>510</v>
      </c>
      <c r="O570" s="115" t="s">
        <v>47</v>
      </c>
      <c r="R570"/>
    </row>
    <row r="571" spans="1:18" x14ac:dyDescent="0.25">
      <c r="A571" s="84" t="str">
        <f t="shared" si="25"/>
        <v>MarçoSEMANA 2Cebolinha Verde</v>
      </c>
      <c r="B571" s="85" t="s">
        <v>31</v>
      </c>
      <c r="C571" s="85" t="s">
        <v>21</v>
      </c>
      <c r="D571" s="86">
        <v>9</v>
      </c>
      <c r="E571" s="116" t="str">
        <f t="shared" si="26"/>
        <v>Hortifruti</v>
      </c>
      <c r="F571" s="85" t="s">
        <v>1110</v>
      </c>
      <c r="G571" s="85" t="s">
        <v>247</v>
      </c>
      <c r="H571" s="85" t="s">
        <v>1083</v>
      </c>
      <c r="I571" s="85">
        <f>0.5-0.398</f>
        <v>0.10199999999999998</v>
      </c>
      <c r="J571" s="87">
        <v>7</v>
      </c>
      <c r="K571" s="88">
        <f t="shared" si="27"/>
        <v>0.71399999999999986</v>
      </c>
      <c r="L571" s="85">
        <v>3390</v>
      </c>
      <c r="M571" s="118" t="s">
        <v>511</v>
      </c>
      <c r="N571" s="84"/>
      <c r="O571" s="84" t="s">
        <v>47</v>
      </c>
      <c r="R571"/>
    </row>
    <row r="572" spans="1:18" x14ac:dyDescent="0.25">
      <c r="A572" s="84" t="str">
        <f t="shared" si="25"/>
        <v>MarçoSEMANA 2Nabo Japonês</v>
      </c>
      <c r="B572" s="85" t="s">
        <v>31</v>
      </c>
      <c r="C572" s="85" t="s">
        <v>21</v>
      </c>
      <c r="D572" s="86">
        <v>9</v>
      </c>
      <c r="E572" s="116" t="str">
        <f t="shared" si="26"/>
        <v>Hortifruti</v>
      </c>
      <c r="F572" s="85" t="s">
        <v>1110</v>
      </c>
      <c r="G572" s="85" t="s">
        <v>535</v>
      </c>
      <c r="H572" s="85" t="s">
        <v>1083</v>
      </c>
      <c r="I572" s="85">
        <f>2.5-1</f>
        <v>1.5</v>
      </c>
      <c r="J572" s="87">
        <v>7</v>
      </c>
      <c r="K572" s="88">
        <f t="shared" si="27"/>
        <v>10.5</v>
      </c>
      <c r="L572" s="85">
        <v>3390</v>
      </c>
      <c r="M572" s="118" t="s">
        <v>512</v>
      </c>
      <c r="N572" s="84"/>
      <c r="O572" s="84" t="s">
        <v>47</v>
      </c>
      <c r="R572"/>
    </row>
    <row r="573" spans="1:18" x14ac:dyDescent="0.25">
      <c r="A573" s="84" t="str">
        <f t="shared" si="25"/>
        <v>MarçoSEMANA 2Rabanete</v>
      </c>
      <c r="B573" s="85" t="s">
        <v>31</v>
      </c>
      <c r="C573" s="85" t="s">
        <v>21</v>
      </c>
      <c r="D573" s="86">
        <v>9</v>
      </c>
      <c r="E573" s="116" t="str">
        <f t="shared" si="26"/>
        <v>Hortifruti</v>
      </c>
      <c r="F573" s="85" t="s">
        <v>1110</v>
      </c>
      <c r="G573" s="85" t="s">
        <v>693</v>
      </c>
      <c r="H573" s="85" t="s">
        <v>1083</v>
      </c>
      <c r="I573" s="85">
        <v>2</v>
      </c>
      <c r="J573" s="87">
        <v>6.8</v>
      </c>
      <c r="K573" s="88">
        <f t="shared" si="27"/>
        <v>13.6</v>
      </c>
      <c r="L573" s="85">
        <v>3390</v>
      </c>
      <c r="M573" s="118" t="s">
        <v>513</v>
      </c>
      <c r="N573" s="84"/>
      <c r="O573" s="84" t="s">
        <v>47</v>
      </c>
      <c r="R573"/>
    </row>
    <row r="574" spans="1:18" x14ac:dyDescent="0.25">
      <c r="A574" s="84" t="str">
        <f t="shared" si="25"/>
        <v>MarçoSEMANA 2Manga Palmer</v>
      </c>
      <c r="B574" s="85" t="s">
        <v>31</v>
      </c>
      <c r="C574" s="85" t="s">
        <v>21</v>
      </c>
      <c r="D574" s="86">
        <v>9</v>
      </c>
      <c r="E574" s="116" t="str">
        <f t="shared" si="26"/>
        <v>Hortifruti</v>
      </c>
      <c r="F574" s="85" t="s">
        <v>1110</v>
      </c>
      <c r="G574" s="85" t="s">
        <v>495</v>
      </c>
      <c r="H574" s="85" t="s">
        <v>1083</v>
      </c>
      <c r="I574" s="85">
        <v>6.38</v>
      </c>
      <c r="J574" s="87">
        <f>25/6.38</f>
        <v>3.9184952978056429</v>
      </c>
      <c r="K574" s="88">
        <f t="shared" si="27"/>
        <v>25</v>
      </c>
      <c r="L574" s="85">
        <v>3390</v>
      </c>
      <c r="M574" s="118" t="s">
        <v>514</v>
      </c>
      <c r="N574" s="84"/>
      <c r="O574" s="84" t="s">
        <v>45</v>
      </c>
      <c r="R574"/>
    </row>
    <row r="575" spans="1:18" x14ac:dyDescent="0.25">
      <c r="A575" s="84" t="str">
        <f t="shared" si="25"/>
        <v>MarçoSEMANA 2Endivia</v>
      </c>
      <c r="B575" s="85" t="s">
        <v>31</v>
      </c>
      <c r="C575" s="85" t="s">
        <v>21</v>
      </c>
      <c r="D575" s="86">
        <v>9</v>
      </c>
      <c r="E575" s="116" t="str">
        <f t="shared" si="26"/>
        <v>Hortifruti</v>
      </c>
      <c r="F575" s="85" t="s">
        <v>1110</v>
      </c>
      <c r="G575" s="85" t="s">
        <v>326</v>
      </c>
      <c r="H575" s="85" t="s">
        <v>1083</v>
      </c>
      <c r="I575" s="85">
        <v>0.5</v>
      </c>
      <c r="J575" s="87">
        <v>20</v>
      </c>
      <c r="K575" s="88">
        <f t="shared" si="27"/>
        <v>10</v>
      </c>
      <c r="L575" s="85">
        <v>3390</v>
      </c>
      <c r="M575" s="118" t="s">
        <v>515</v>
      </c>
      <c r="N575" s="84"/>
      <c r="O575" s="84" t="s">
        <v>42</v>
      </c>
      <c r="R575"/>
    </row>
    <row r="576" spans="1:18" x14ac:dyDescent="0.25">
      <c r="A576" s="84" t="str">
        <f t="shared" si="25"/>
        <v xml:space="preserve">MarçoSEMANA 2Abacaxi </v>
      </c>
      <c r="B576" s="85" t="s">
        <v>31</v>
      </c>
      <c r="C576" s="85" t="s">
        <v>21</v>
      </c>
      <c r="D576" s="86">
        <v>9</v>
      </c>
      <c r="E576" s="116" t="str">
        <f t="shared" si="26"/>
        <v>Hortifruti</v>
      </c>
      <c r="F576" s="85" t="s">
        <v>1111</v>
      </c>
      <c r="G576" s="85" t="s">
        <v>65</v>
      </c>
      <c r="H576" s="85" t="s">
        <v>1083</v>
      </c>
      <c r="I576" s="85">
        <v>15</v>
      </c>
      <c r="J576" s="87">
        <v>3.75</v>
      </c>
      <c r="K576" s="88">
        <f t="shared" si="27"/>
        <v>56.25</v>
      </c>
      <c r="L576" s="85">
        <v>18041</v>
      </c>
      <c r="M576" s="118" t="s">
        <v>516</v>
      </c>
      <c r="N576" s="84"/>
      <c r="O576" s="84" t="s">
        <v>45</v>
      </c>
      <c r="R576"/>
    </row>
    <row r="577" spans="1:18" x14ac:dyDescent="0.25">
      <c r="A577" s="84" t="str">
        <f t="shared" si="25"/>
        <v>MarçoSEMANA 2Côco Verde</v>
      </c>
      <c r="B577" s="85" t="s">
        <v>31</v>
      </c>
      <c r="C577" s="85" t="s">
        <v>21</v>
      </c>
      <c r="D577" s="86">
        <v>9</v>
      </c>
      <c r="E577" s="116" t="str">
        <f t="shared" si="26"/>
        <v>Hortifruti</v>
      </c>
      <c r="F577" s="85" t="s">
        <v>1111</v>
      </c>
      <c r="G577" s="85" t="s">
        <v>288</v>
      </c>
      <c r="H577" s="85" t="s">
        <v>1090</v>
      </c>
      <c r="I577" s="85">
        <v>15</v>
      </c>
      <c r="J577" s="87">
        <v>2</v>
      </c>
      <c r="K577" s="88">
        <f t="shared" si="27"/>
        <v>30</v>
      </c>
      <c r="L577" s="85">
        <v>18041</v>
      </c>
      <c r="M577" s="118" t="s">
        <v>517</v>
      </c>
      <c r="N577" s="84"/>
      <c r="O577" s="84" t="s">
        <v>45</v>
      </c>
      <c r="R577"/>
    </row>
    <row r="578" spans="1:18" x14ac:dyDescent="0.25">
      <c r="A578" s="84" t="str">
        <f t="shared" ref="A578:A641" si="28">CONCATENATE(B578,C578,G578)</f>
        <v>MarçoSEMANA 2Coentro</v>
      </c>
      <c r="B578" s="85" t="s">
        <v>31</v>
      </c>
      <c r="C578" s="85" t="s">
        <v>21</v>
      </c>
      <c r="D578" s="86">
        <v>9</v>
      </c>
      <c r="E578" s="116" t="str">
        <f t="shared" ref="E578:E641" si="29">VLOOKUP(G578,$M$1:$O$993,3,0)</f>
        <v>Hortifruti</v>
      </c>
      <c r="F578" s="85" t="s">
        <v>1111</v>
      </c>
      <c r="G578" s="85" t="s">
        <v>289</v>
      </c>
      <c r="H578" s="85" t="s">
        <v>1083</v>
      </c>
      <c r="I578" s="85">
        <v>0.3</v>
      </c>
      <c r="J578" s="87">
        <v>23</v>
      </c>
      <c r="K578" s="88">
        <f t="shared" ref="K578:K641" si="30">I578*J578</f>
        <v>6.8999999999999995</v>
      </c>
      <c r="L578" s="85">
        <v>18041</v>
      </c>
      <c r="M578" s="118" t="s">
        <v>518</v>
      </c>
      <c r="N578" s="84"/>
      <c r="O578" s="84" t="s">
        <v>45</v>
      </c>
      <c r="R578"/>
    </row>
    <row r="579" spans="1:18" x14ac:dyDescent="0.25">
      <c r="A579" s="84" t="str">
        <f t="shared" si="28"/>
        <v>MarçoSEMANA 2Mamão Bahia</v>
      </c>
      <c r="B579" s="85" t="s">
        <v>31</v>
      </c>
      <c r="C579" s="85" t="s">
        <v>21</v>
      </c>
      <c r="D579" s="86">
        <v>9</v>
      </c>
      <c r="E579" s="116" t="str">
        <f t="shared" si="29"/>
        <v>Hortifruti</v>
      </c>
      <c r="F579" s="85" t="s">
        <v>1111</v>
      </c>
      <c r="G579" s="85" t="s">
        <v>493</v>
      </c>
      <c r="H579" s="85" t="s">
        <v>1083</v>
      </c>
      <c r="I579" s="85">
        <v>2</v>
      </c>
      <c r="J579" s="87">
        <v>2.25</v>
      </c>
      <c r="K579" s="88">
        <f t="shared" si="30"/>
        <v>4.5</v>
      </c>
      <c r="L579" s="85">
        <v>18041</v>
      </c>
      <c r="M579" s="118" t="s">
        <v>899</v>
      </c>
      <c r="N579" s="84"/>
      <c r="O579" s="84" t="s">
        <v>45</v>
      </c>
      <c r="R579"/>
    </row>
    <row r="580" spans="1:18" x14ac:dyDescent="0.25">
      <c r="A580" s="84" t="str">
        <f t="shared" si="28"/>
        <v>MarçoSEMANA 2Quiabo</v>
      </c>
      <c r="B580" s="85" t="s">
        <v>31</v>
      </c>
      <c r="C580" s="85" t="s">
        <v>21</v>
      </c>
      <c r="D580" s="86">
        <v>9</v>
      </c>
      <c r="E580" s="116" t="str">
        <f t="shared" si="29"/>
        <v>Hortifruti</v>
      </c>
      <c r="F580" s="85" t="s">
        <v>1111</v>
      </c>
      <c r="G580" s="85" t="s">
        <v>689</v>
      </c>
      <c r="H580" s="85" t="s">
        <v>1083</v>
      </c>
      <c r="I580" s="85">
        <v>10</v>
      </c>
      <c r="J580" s="87">
        <v>3.6</v>
      </c>
      <c r="K580" s="88">
        <f t="shared" si="30"/>
        <v>36</v>
      </c>
      <c r="L580" s="85">
        <v>18041</v>
      </c>
      <c r="M580" s="118" t="s">
        <v>519</v>
      </c>
      <c r="N580" s="84"/>
      <c r="O580" s="84" t="s">
        <v>46</v>
      </c>
      <c r="R580"/>
    </row>
    <row r="581" spans="1:18" x14ac:dyDescent="0.25">
      <c r="A581" s="84" t="str">
        <f t="shared" si="28"/>
        <v xml:space="preserve">MarçoSEMANA 2Abacate </v>
      </c>
      <c r="B581" s="85" t="s">
        <v>31</v>
      </c>
      <c r="C581" s="85" t="s">
        <v>21</v>
      </c>
      <c r="D581" s="86">
        <v>9</v>
      </c>
      <c r="E581" s="116" t="str">
        <f t="shared" si="29"/>
        <v>Hortifruti</v>
      </c>
      <c r="F581" s="85" t="s">
        <v>1111</v>
      </c>
      <c r="G581" s="85" t="s">
        <v>62</v>
      </c>
      <c r="H581" s="85" t="s">
        <v>1083</v>
      </c>
      <c r="I581" s="90">
        <v>3.8</v>
      </c>
      <c r="J581" s="89">
        <v>5</v>
      </c>
      <c r="K581" s="88">
        <f t="shared" si="30"/>
        <v>19</v>
      </c>
      <c r="L581" s="85">
        <v>18041</v>
      </c>
      <c r="M581" s="118" t="s">
        <v>520</v>
      </c>
      <c r="N581" s="84"/>
      <c r="O581" s="84" t="s">
        <v>45</v>
      </c>
      <c r="R581"/>
    </row>
    <row r="582" spans="1:18" x14ac:dyDescent="0.25">
      <c r="A582" s="84" t="str">
        <f t="shared" si="28"/>
        <v>MarçoSEMANA 2Cebola</v>
      </c>
      <c r="B582" s="85" t="s">
        <v>31</v>
      </c>
      <c r="C582" s="85" t="s">
        <v>21</v>
      </c>
      <c r="D582" s="86">
        <v>9</v>
      </c>
      <c r="E582" s="116" t="str">
        <f t="shared" si="29"/>
        <v>Hortifruti</v>
      </c>
      <c r="F582" s="85" t="s">
        <v>1111</v>
      </c>
      <c r="G582" s="85" t="s">
        <v>241</v>
      </c>
      <c r="H582" s="85" t="s">
        <v>1083</v>
      </c>
      <c r="I582" s="85">
        <v>20.2</v>
      </c>
      <c r="J582" s="87">
        <f>52.9/20.2</f>
        <v>2.6188118811881189</v>
      </c>
      <c r="K582" s="88">
        <f t="shared" si="30"/>
        <v>52.9</v>
      </c>
      <c r="L582" s="85">
        <v>18041</v>
      </c>
      <c r="M582" s="118" t="s">
        <v>521</v>
      </c>
      <c r="N582" s="84"/>
      <c r="O582" s="84" t="s">
        <v>42</v>
      </c>
      <c r="R582"/>
    </row>
    <row r="583" spans="1:18" x14ac:dyDescent="0.25">
      <c r="A583" s="84" t="str">
        <f t="shared" si="28"/>
        <v>MarçoSEMANA 2Batata Baroa</v>
      </c>
      <c r="B583" s="85" t="s">
        <v>31</v>
      </c>
      <c r="C583" s="85" t="s">
        <v>21</v>
      </c>
      <c r="D583" s="86">
        <v>9</v>
      </c>
      <c r="E583" s="116" t="str">
        <f t="shared" si="29"/>
        <v>Hortifruti</v>
      </c>
      <c r="F583" s="85" t="s">
        <v>1111</v>
      </c>
      <c r="G583" s="85" t="s">
        <v>169</v>
      </c>
      <c r="H583" s="85" t="s">
        <v>1083</v>
      </c>
      <c r="I583" s="85">
        <v>6</v>
      </c>
      <c r="J583" s="87">
        <v>5.25</v>
      </c>
      <c r="K583" s="88">
        <f t="shared" si="30"/>
        <v>31.5</v>
      </c>
      <c r="L583" s="85">
        <v>18041</v>
      </c>
      <c r="M583" s="118" t="s">
        <v>522</v>
      </c>
      <c r="N583" s="84"/>
      <c r="O583" s="84" t="s">
        <v>42</v>
      </c>
      <c r="R583"/>
    </row>
    <row r="584" spans="1:18" x14ac:dyDescent="0.25">
      <c r="A584" s="84" t="str">
        <f t="shared" si="28"/>
        <v>MarçoSEMANA 2Limão</v>
      </c>
      <c r="B584" s="85" t="s">
        <v>31</v>
      </c>
      <c r="C584" s="85" t="s">
        <v>21</v>
      </c>
      <c r="D584" s="86">
        <v>9</v>
      </c>
      <c r="E584" s="116" t="str">
        <f t="shared" si="29"/>
        <v>Hortifruti</v>
      </c>
      <c r="F584" s="85" t="s">
        <v>1111</v>
      </c>
      <c r="G584" s="85" t="s">
        <v>463</v>
      </c>
      <c r="H584" s="85" t="s">
        <v>1083</v>
      </c>
      <c r="I584" s="85">
        <v>23.96</v>
      </c>
      <c r="J584" s="87">
        <f>38.9/23.96</f>
        <v>1.6235392320534223</v>
      </c>
      <c r="K584" s="88">
        <f t="shared" si="30"/>
        <v>38.9</v>
      </c>
      <c r="L584" s="85">
        <v>18041</v>
      </c>
      <c r="M584" s="118" t="s">
        <v>949</v>
      </c>
      <c r="O584" s="115" t="s">
        <v>874</v>
      </c>
      <c r="R584"/>
    </row>
    <row r="585" spans="1:18" x14ac:dyDescent="0.25">
      <c r="A585" s="84" t="str">
        <f t="shared" si="28"/>
        <v>MarçoSEMANA 2Limão Siciliano</v>
      </c>
      <c r="B585" s="85" t="s">
        <v>31</v>
      </c>
      <c r="C585" s="85" t="s">
        <v>21</v>
      </c>
      <c r="D585" s="86">
        <v>9</v>
      </c>
      <c r="E585" s="116" t="str">
        <f t="shared" si="29"/>
        <v>Hortifruti</v>
      </c>
      <c r="F585" s="85" t="s">
        <v>1111</v>
      </c>
      <c r="G585" s="85" t="s">
        <v>465</v>
      </c>
      <c r="H585" s="85" t="s">
        <v>1083</v>
      </c>
      <c r="I585" s="85">
        <v>1</v>
      </c>
      <c r="J585" s="87">
        <v>10.25</v>
      </c>
      <c r="K585" s="88">
        <f t="shared" si="30"/>
        <v>10.25</v>
      </c>
      <c r="L585" s="85">
        <v>18041</v>
      </c>
      <c r="M585" s="118" t="s">
        <v>950</v>
      </c>
      <c r="N585" s="84"/>
      <c r="O585" s="84" t="s">
        <v>874</v>
      </c>
      <c r="R585"/>
    </row>
    <row r="586" spans="1:18" hidden="1" x14ac:dyDescent="0.2">
      <c r="A586" s="84" t="str">
        <f t="shared" si="28"/>
        <v>MarçoSEMANA 2Vinagre de Arroz (cozinha)</v>
      </c>
      <c r="B586" s="85" t="s">
        <v>31</v>
      </c>
      <c r="C586" s="85" t="s">
        <v>21</v>
      </c>
      <c r="D586" s="86">
        <v>8</v>
      </c>
      <c r="E586" s="116" t="str">
        <f t="shared" si="29"/>
        <v>Mercado</v>
      </c>
      <c r="F586" s="85" t="s">
        <v>1123</v>
      </c>
      <c r="G586" s="85" t="s">
        <v>894</v>
      </c>
      <c r="H586" s="85" t="s">
        <v>1090</v>
      </c>
      <c r="I586" s="85">
        <v>7</v>
      </c>
      <c r="J586" s="87">
        <v>3.87</v>
      </c>
      <c r="K586" s="88">
        <f t="shared" si="30"/>
        <v>27.09</v>
      </c>
      <c r="L586" s="85" t="s">
        <v>1199</v>
      </c>
      <c r="M586" s="118" t="s">
        <v>951</v>
      </c>
      <c r="N586" s="84"/>
      <c r="O586" s="84" t="s">
        <v>874</v>
      </c>
      <c r="R586"/>
    </row>
    <row r="587" spans="1:18" hidden="1" x14ac:dyDescent="0.2">
      <c r="A587" s="84" t="str">
        <f t="shared" si="28"/>
        <v>MarçoSEMANA 2Nabo Japonês Sushi</v>
      </c>
      <c r="B587" s="85" t="s">
        <v>31</v>
      </c>
      <c r="C587" s="85" t="s">
        <v>21</v>
      </c>
      <c r="D587" s="86">
        <v>9</v>
      </c>
      <c r="E587" s="116" t="str">
        <f t="shared" si="29"/>
        <v>Sushi</v>
      </c>
      <c r="F587" s="85" t="s">
        <v>1110</v>
      </c>
      <c r="G587" s="85" t="s">
        <v>536</v>
      </c>
      <c r="H587" s="85" t="s">
        <v>1083</v>
      </c>
      <c r="I587" s="85">
        <v>1</v>
      </c>
      <c r="J587" s="87">
        <v>7</v>
      </c>
      <c r="K587" s="88">
        <f t="shared" si="30"/>
        <v>7</v>
      </c>
      <c r="L587" s="85">
        <v>3390</v>
      </c>
      <c r="M587" s="118" t="s">
        <v>952</v>
      </c>
      <c r="N587" s="84"/>
      <c r="O587" s="84" t="s">
        <v>874</v>
      </c>
      <c r="R587"/>
    </row>
    <row r="588" spans="1:18" hidden="1" x14ac:dyDescent="0.2">
      <c r="A588" s="84" t="str">
        <f t="shared" si="28"/>
        <v>MarçoSEMANA 2Pescados - Atum Fresco Sushi</v>
      </c>
      <c r="B588" s="85" t="s">
        <v>31</v>
      </c>
      <c r="C588" s="85" t="s">
        <v>21</v>
      </c>
      <c r="D588" s="86">
        <v>9</v>
      </c>
      <c r="E588" s="116" t="str">
        <f t="shared" si="29"/>
        <v>Sushi</v>
      </c>
      <c r="F588" s="85" t="s">
        <v>1216</v>
      </c>
      <c r="G588" s="85" t="s">
        <v>586</v>
      </c>
      <c r="H588" s="85" t="s">
        <v>1083</v>
      </c>
      <c r="I588" s="85">
        <v>20</v>
      </c>
      <c r="J588" s="87">
        <v>14.9</v>
      </c>
      <c r="K588" s="88">
        <f t="shared" si="30"/>
        <v>298</v>
      </c>
      <c r="L588" s="85" t="s">
        <v>1217</v>
      </c>
      <c r="M588" s="118" t="s">
        <v>523</v>
      </c>
      <c r="N588" s="84"/>
      <c r="O588" s="84" t="s">
        <v>42</v>
      </c>
      <c r="R588"/>
    </row>
    <row r="589" spans="1:18" hidden="1" x14ac:dyDescent="0.2">
      <c r="A589" s="84" t="str">
        <f t="shared" si="28"/>
        <v>MarçoSEMANA 2Torta Capuccino Diet</v>
      </c>
      <c r="B589" s="85" t="s">
        <v>31</v>
      </c>
      <c r="C589" s="85" t="s">
        <v>21</v>
      </c>
      <c r="D589" s="86">
        <v>9</v>
      </c>
      <c r="E589" s="116" t="str">
        <f t="shared" si="29"/>
        <v>Sobremesa</v>
      </c>
      <c r="F589" s="85" t="s">
        <v>1150</v>
      </c>
      <c r="G589" s="85" t="s">
        <v>811</v>
      </c>
      <c r="H589" s="85" t="s">
        <v>1147</v>
      </c>
      <c r="I589" s="85">
        <v>10</v>
      </c>
      <c r="J589" s="87">
        <f>58.91/10</f>
        <v>5.891</v>
      </c>
      <c r="K589" s="88">
        <f t="shared" si="30"/>
        <v>58.91</v>
      </c>
      <c r="L589" s="85">
        <v>102170</v>
      </c>
      <c r="M589" s="118" t="s">
        <v>524</v>
      </c>
      <c r="N589" s="84"/>
      <c r="O589" s="84" t="s">
        <v>873</v>
      </c>
      <c r="R589"/>
    </row>
    <row r="590" spans="1:18" hidden="1" x14ac:dyDescent="0.2">
      <c r="A590" s="84" t="str">
        <f t="shared" si="28"/>
        <v>MarçoSEMANA 2Torta Mousse de Chocolate Diet</v>
      </c>
      <c r="B590" s="85" t="s">
        <v>31</v>
      </c>
      <c r="C590" s="85" t="s">
        <v>21</v>
      </c>
      <c r="D590" s="86">
        <v>9</v>
      </c>
      <c r="E590" s="116" t="str">
        <f t="shared" si="29"/>
        <v>Sobremesa</v>
      </c>
      <c r="F590" s="85" t="s">
        <v>1150</v>
      </c>
      <c r="G590" s="85" t="s">
        <v>817</v>
      </c>
      <c r="H590" s="85" t="s">
        <v>1147</v>
      </c>
      <c r="I590" s="85">
        <v>12</v>
      </c>
      <c r="J590" s="87">
        <f>58.91/12</f>
        <v>4.9091666666666667</v>
      </c>
      <c r="K590" s="88">
        <f t="shared" si="30"/>
        <v>58.91</v>
      </c>
      <c r="L590" s="85">
        <v>102170</v>
      </c>
      <c r="M590" s="118" t="s">
        <v>525</v>
      </c>
      <c r="N590" s="84"/>
      <c r="O590" s="84" t="s">
        <v>42</v>
      </c>
      <c r="R590"/>
    </row>
    <row r="591" spans="1:18" hidden="1" x14ac:dyDescent="0.2">
      <c r="A591" s="84" t="str">
        <f t="shared" si="28"/>
        <v>MarçoSEMANA 2Cebolinha Verde Sushi</v>
      </c>
      <c r="B591" s="85" t="s">
        <v>31</v>
      </c>
      <c r="C591" s="85" t="s">
        <v>21</v>
      </c>
      <c r="D591" s="86">
        <v>9</v>
      </c>
      <c r="E591" s="116" t="str">
        <f t="shared" si="29"/>
        <v>Sushi</v>
      </c>
      <c r="F591" s="85" t="s">
        <v>1110</v>
      </c>
      <c r="G591" s="85" t="s">
        <v>248</v>
      </c>
      <c r="H591" s="85" t="s">
        <v>1083</v>
      </c>
      <c r="I591" s="85">
        <v>0.39800000000000002</v>
      </c>
      <c r="J591" s="87">
        <v>7</v>
      </c>
      <c r="K591" s="88">
        <f t="shared" si="30"/>
        <v>2.786</v>
      </c>
      <c r="L591" s="85">
        <v>3390</v>
      </c>
      <c r="M591" s="118" t="s">
        <v>526</v>
      </c>
      <c r="N591" s="84"/>
      <c r="O591" s="84" t="s">
        <v>42</v>
      </c>
      <c r="R591"/>
    </row>
    <row r="592" spans="1:18" hidden="1" x14ac:dyDescent="0.2">
      <c r="A592" s="84" t="str">
        <f t="shared" si="28"/>
        <v>MarçoSEMANA 2Pepino Japonês Sushi</v>
      </c>
      <c r="B592" s="85" t="s">
        <v>31</v>
      </c>
      <c r="C592" s="85" t="s">
        <v>21</v>
      </c>
      <c r="D592" s="86">
        <v>8</v>
      </c>
      <c r="E592" s="116" t="str">
        <f t="shared" si="29"/>
        <v>Sushi</v>
      </c>
      <c r="F592" s="85" t="s">
        <v>1110</v>
      </c>
      <c r="G592" s="85" t="s">
        <v>578</v>
      </c>
      <c r="H592" s="85" t="s">
        <v>1083</v>
      </c>
      <c r="I592" s="85">
        <v>0.47599999999999998</v>
      </c>
      <c r="J592" s="87">
        <f>48/16.62</f>
        <v>2.8880866425992777</v>
      </c>
      <c r="K592" s="88">
        <f t="shared" si="30"/>
        <v>1.3747292418772561</v>
      </c>
      <c r="L592" s="85">
        <v>3371</v>
      </c>
      <c r="M592" s="118" t="s">
        <v>527</v>
      </c>
      <c r="N592" s="84"/>
      <c r="O592" s="84" t="s">
        <v>42</v>
      </c>
      <c r="R592"/>
    </row>
    <row r="593" spans="1:18" hidden="1" x14ac:dyDescent="0.2">
      <c r="A593" s="84" t="str">
        <f t="shared" si="28"/>
        <v>MarçoSEMANA 2Gelo em Escamas</v>
      </c>
      <c r="B593" s="85" t="s">
        <v>31</v>
      </c>
      <c r="C593" s="85" t="s">
        <v>21</v>
      </c>
      <c r="D593" s="86">
        <v>10</v>
      </c>
      <c r="E593" s="116" t="str">
        <f t="shared" si="29"/>
        <v>Mercado</v>
      </c>
      <c r="F593" s="85" t="s">
        <v>1096</v>
      </c>
      <c r="G593" s="85" t="s">
        <v>384</v>
      </c>
      <c r="H593" s="85" t="s">
        <v>1097</v>
      </c>
      <c r="I593" s="85">
        <v>2</v>
      </c>
      <c r="J593" s="87">
        <v>7.5</v>
      </c>
      <c r="K593" s="88">
        <f t="shared" si="30"/>
        <v>15</v>
      </c>
      <c r="L593" s="85">
        <v>2875</v>
      </c>
      <c r="M593" s="118" t="s">
        <v>528</v>
      </c>
      <c r="N593" s="84"/>
      <c r="O593" s="84" t="s">
        <v>42</v>
      </c>
      <c r="R593"/>
    </row>
    <row r="594" spans="1:18" hidden="1" x14ac:dyDescent="0.2">
      <c r="A594" s="84" t="str">
        <f t="shared" si="28"/>
        <v>MarçoSEMANA 2Gelo em Cubo</v>
      </c>
      <c r="B594" s="85" t="s">
        <v>31</v>
      </c>
      <c r="C594" s="85" t="s">
        <v>21</v>
      </c>
      <c r="D594" s="86">
        <v>10</v>
      </c>
      <c r="E594" s="116" t="str">
        <f t="shared" si="29"/>
        <v>Mercado</v>
      </c>
      <c r="F594" s="85" t="s">
        <v>1096</v>
      </c>
      <c r="G594" s="85" t="s">
        <v>383</v>
      </c>
      <c r="H594" s="85" t="s">
        <v>1097</v>
      </c>
      <c r="I594" s="85">
        <v>3</v>
      </c>
      <c r="J594" s="87">
        <v>7.5</v>
      </c>
      <c r="K594" s="88">
        <f t="shared" si="30"/>
        <v>22.5</v>
      </c>
      <c r="L594" s="85">
        <v>2875</v>
      </c>
      <c r="M594" s="118" t="s">
        <v>529</v>
      </c>
      <c r="N594" s="84"/>
      <c r="O594" s="84" t="s">
        <v>42</v>
      </c>
      <c r="R594"/>
    </row>
    <row r="595" spans="1:18" x14ac:dyDescent="0.25">
      <c r="A595" s="84" t="str">
        <f t="shared" si="28"/>
        <v>MarçoSEMANA 2Batata Doce</v>
      </c>
      <c r="B595" s="85" t="s">
        <v>31</v>
      </c>
      <c r="C595" s="85" t="s">
        <v>21</v>
      </c>
      <c r="D595" s="86">
        <v>10</v>
      </c>
      <c r="E595" s="116" t="str">
        <f t="shared" si="29"/>
        <v>Hortifruti</v>
      </c>
      <c r="F595" s="85" t="s">
        <v>1110</v>
      </c>
      <c r="G595" s="85" t="s">
        <v>170</v>
      </c>
      <c r="H595" s="85" t="s">
        <v>1083</v>
      </c>
      <c r="I595" s="85">
        <v>19.96</v>
      </c>
      <c r="J595" s="87">
        <f>36/19.96</f>
        <v>1.8036072144288577</v>
      </c>
      <c r="K595" s="88">
        <f t="shared" si="30"/>
        <v>36</v>
      </c>
      <c r="L595" s="85">
        <v>3397</v>
      </c>
      <c r="M595" s="118" t="s">
        <v>530</v>
      </c>
      <c r="N595" s="84"/>
      <c r="O595" s="84" t="s">
        <v>45</v>
      </c>
      <c r="R595"/>
    </row>
    <row r="596" spans="1:18" x14ac:dyDescent="0.25">
      <c r="A596" s="84" t="str">
        <f t="shared" si="28"/>
        <v>MarçoSEMANA 2Batata Calabresa</v>
      </c>
      <c r="B596" s="85" t="s">
        <v>31</v>
      </c>
      <c r="C596" s="85" t="s">
        <v>21</v>
      </c>
      <c r="D596" s="86">
        <v>10</v>
      </c>
      <c r="E596" s="116" t="str">
        <f t="shared" si="29"/>
        <v>Hortifruti</v>
      </c>
      <c r="F596" s="85" t="s">
        <v>1110</v>
      </c>
      <c r="G596" s="85" t="s">
        <v>901</v>
      </c>
      <c r="H596" s="85" t="s">
        <v>1083</v>
      </c>
      <c r="I596" s="85">
        <v>2</v>
      </c>
      <c r="J596" s="87">
        <v>4</v>
      </c>
      <c r="K596" s="88">
        <f t="shared" si="30"/>
        <v>8</v>
      </c>
      <c r="L596" s="85">
        <v>3397</v>
      </c>
      <c r="M596" s="118" t="s">
        <v>1006</v>
      </c>
      <c r="O596" s="84" t="s">
        <v>874</v>
      </c>
      <c r="R596"/>
    </row>
    <row r="597" spans="1:18" x14ac:dyDescent="0.25">
      <c r="A597" s="84" t="str">
        <f t="shared" si="28"/>
        <v>MarçoSEMANA 2Pepino Japonês</v>
      </c>
      <c r="B597" s="85" t="s">
        <v>31</v>
      </c>
      <c r="C597" s="85" t="s">
        <v>21</v>
      </c>
      <c r="D597" s="86">
        <v>10</v>
      </c>
      <c r="E597" s="116" t="str">
        <f t="shared" si="29"/>
        <v>Hortifruti</v>
      </c>
      <c r="F597" s="85" t="s">
        <v>1110</v>
      </c>
      <c r="G597" s="85" t="s">
        <v>576</v>
      </c>
      <c r="H597" s="85" t="s">
        <v>1083</v>
      </c>
      <c r="I597" s="85">
        <v>6</v>
      </c>
      <c r="J597" s="87">
        <v>3.8</v>
      </c>
      <c r="K597" s="88">
        <f t="shared" si="30"/>
        <v>22.799999999999997</v>
      </c>
      <c r="L597" s="85">
        <v>3397</v>
      </c>
      <c r="M597" s="118" t="s">
        <v>531</v>
      </c>
      <c r="N597" s="84"/>
      <c r="O597" s="84" t="s">
        <v>42</v>
      </c>
      <c r="R597"/>
    </row>
    <row r="598" spans="1:18" x14ac:dyDescent="0.25">
      <c r="A598" s="84" t="str">
        <f t="shared" si="28"/>
        <v>MarçoSEMANA 2Pimentão Verde</v>
      </c>
      <c r="B598" s="85" t="s">
        <v>31</v>
      </c>
      <c r="C598" s="85" t="s">
        <v>21</v>
      </c>
      <c r="D598" s="86">
        <v>10</v>
      </c>
      <c r="E598" s="116" t="str">
        <f t="shared" si="29"/>
        <v>Hortifruti</v>
      </c>
      <c r="F598" s="85" t="s">
        <v>1110</v>
      </c>
      <c r="G598" s="85" t="s">
        <v>665</v>
      </c>
      <c r="H598" s="85" t="s">
        <v>1083</v>
      </c>
      <c r="I598" s="85">
        <v>1</v>
      </c>
      <c r="J598" s="87">
        <v>4</v>
      </c>
      <c r="K598" s="88">
        <f t="shared" si="30"/>
        <v>4</v>
      </c>
      <c r="L598" s="85">
        <v>3397</v>
      </c>
      <c r="M598" s="118" t="s">
        <v>532</v>
      </c>
      <c r="N598" s="84"/>
      <c r="O598" s="84" t="s">
        <v>42</v>
      </c>
      <c r="R598"/>
    </row>
    <row r="599" spans="1:18" x14ac:dyDescent="0.25">
      <c r="A599" s="84" t="str">
        <f t="shared" si="28"/>
        <v>MarçoSEMANA 2Pimentão Amarelo</v>
      </c>
      <c r="B599" s="85" t="s">
        <v>31</v>
      </c>
      <c r="C599" s="85" t="s">
        <v>21</v>
      </c>
      <c r="D599" s="86">
        <v>10</v>
      </c>
      <c r="E599" s="116" t="str">
        <f t="shared" si="29"/>
        <v>Hortifruti</v>
      </c>
      <c r="F599" s="85" t="s">
        <v>1110</v>
      </c>
      <c r="G599" s="85" t="s">
        <v>663</v>
      </c>
      <c r="H599" s="85" t="s">
        <v>1083</v>
      </c>
      <c r="I599" s="85">
        <v>1</v>
      </c>
      <c r="J599" s="87">
        <v>12</v>
      </c>
      <c r="K599" s="88">
        <f t="shared" si="30"/>
        <v>12</v>
      </c>
      <c r="L599" s="85">
        <v>3397</v>
      </c>
      <c r="M599" s="118" t="s">
        <v>533</v>
      </c>
      <c r="N599" s="84"/>
      <c r="O599" s="84" t="s">
        <v>42</v>
      </c>
      <c r="R599"/>
    </row>
    <row r="600" spans="1:18" x14ac:dyDescent="0.25">
      <c r="A600" s="84" t="str">
        <f t="shared" si="28"/>
        <v>MarçoSEMANA 2Pimentão Vermelho</v>
      </c>
      <c r="B600" s="85" t="s">
        <v>31</v>
      </c>
      <c r="C600" s="85" t="s">
        <v>21</v>
      </c>
      <c r="D600" s="86">
        <v>10</v>
      </c>
      <c r="E600" s="116" t="str">
        <f t="shared" si="29"/>
        <v>Hortifruti</v>
      </c>
      <c r="F600" s="85" t="s">
        <v>1110</v>
      </c>
      <c r="G600" s="85" t="s">
        <v>666</v>
      </c>
      <c r="H600" s="85" t="s">
        <v>1083</v>
      </c>
      <c r="I600" s="85">
        <v>1</v>
      </c>
      <c r="J600" s="87">
        <v>12</v>
      </c>
      <c r="K600" s="88">
        <f t="shared" si="30"/>
        <v>12</v>
      </c>
      <c r="L600" s="85">
        <v>3397</v>
      </c>
      <c r="M600" s="118" t="s">
        <v>534</v>
      </c>
      <c r="N600" s="84"/>
      <c r="O600" s="84" t="s">
        <v>45</v>
      </c>
      <c r="R600"/>
    </row>
    <row r="601" spans="1:18" x14ac:dyDescent="0.25">
      <c r="A601" s="84" t="str">
        <f t="shared" si="28"/>
        <v>MarçoSEMANA 2Tomate Molho</v>
      </c>
      <c r="B601" s="85" t="s">
        <v>31</v>
      </c>
      <c r="C601" s="85" t="s">
        <v>21</v>
      </c>
      <c r="D601" s="86">
        <v>10</v>
      </c>
      <c r="E601" s="116" t="str">
        <f t="shared" si="29"/>
        <v>Hortifruti</v>
      </c>
      <c r="F601" s="85" t="s">
        <v>1110</v>
      </c>
      <c r="G601" s="85" t="s">
        <v>791</v>
      </c>
      <c r="H601" s="85" t="s">
        <v>1083</v>
      </c>
      <c r="I601" s="85">
        <v>21.6</v>
      </c>
      <c r="J601" s="87">
        <f>60/21.6</f>
        <v>2.7777777777777777</v>
      </c>
      <c r="K601" s="88">
        <f t="shared" si="30"/>
        <v>60</v>
      </c>
      <c r="L601" s="85">
        <v>3397</v>
      </c>
      <c r="M601" s="118" t="s">
        <v>535</v>
      </c>
      <c r="N601" s="84"/>
      <c r="O601" s="84" t="s">
        <v>45</v>
      </c>
      <c r="R601"/>
    </row>
    <row r="602" spans="1:18" x14ac:dyDescent="0.25">
      <c r="A602" s="84" t="str">
        <f t="shared" si="28"/>
        <v>MarçoSEMANA 2Tomate Salada</v>
      </c>
      <c r="B602" s="85" t="s">
        <v>31</v>
      </c>
      <c r="C602" s="85" t="s">
        <v>21</v>
      </c>
      <c r="D602" s="86">
        <v>10</v>
      </c>
      <c r="E602" s="116" t="str">
        <f t="shared" si="29"/>
        <v>Hortifruti</v>
      </c>
      <c r="F602" s="85" t="s">
        <v>1110</v>
      </c>
      <c r="G602" s="85" t="s">
        <v>794</v>
      </c>
      <c r="H602" s="85" t="s">
        <v>1083</v>
      </c>
      <c r="I602" s="85">
        <v>21.62</v>
      </c>
      <c r="J602" s="87">
        <f>60/21.62</f>
        <v>2.7752081406105455</v>
      </c>
      <c r="K602" s="88">
        <f t="shared" si="30"/>
        <v>60</v>
      </c>
      <c r="L602" s="85">
        <v>3397</v>
      </c>
      <c r="M602" s="118" t="s">
        <v>536</v>
      </c>
      <c r="N602" s="84"/>
      <c r="O602" s="84" t="s">
        <v>60</v>
      </c>
      <c r="R602"/>
    </row>
    <row r="603" spans="1:18" x14ac:dyDescent="0.25">
      <c r="A603" s="84" t="str">
        <f t="shared" si="28"/>
        <v xml:space="preserve">MarçoSEMANA 2Alface Americana    </v>
      </c>
      <c r="B603" s="85" t="s">
        <v>31</v>
      </c>
      <c r="C603" s="85" t="s">
        <v>21</v>
      </c>
      <c r="D603" s="86">
        <v>10</v>
      </c>
      <c r="E603" s="116" t="str">
        <f t="shared" si="29"/>
        <v>Hortifruti</v>
      </c>
      <c r="F603" s="85" t="s">
        <v>1110</v>
      </c>
      <c r="G603" s="85" t="s">
        <v>102</v>
      </c>
      <c r="H603" s="85" t="s">
        <v>1083</v>
      </c>
      <c r="I603" s="85">
        <v>6.44</v>
      </c>
      <c r="J603" s="87">
        <f>36/6.44</f>
        <v>5.5900621118012417</v>
      </c>
      <c r="K603" s="88">
        <f t="shared" si="30"/>
        <v>36</v>
      </c>
      <c r="L603" s="85">
        <v>3397</v>
      </c>
      <c r="M603" s="118" t="s">
        <v>928</v>
      </c>
      <c r="N603" s="84"/>
      <c r="O603" s="84" t="s">
        <v>60</v>
      </c>
      <c r="R603"/>
    </row>
    <row r="604" spans="1:18" x14ac:dyDescent="0.25">
      <c r="A604" s="84" t="str">
        <f t="shared" si="28"/>
        <v>MarçoSEMANA 2Cebolinha Verde</v>
      </c>
      <c r="B604" s="85" t="s">
        <v>31</v>
      </c>
      <c r="C604" s="85" t="s">
        <v>21</v>
      </c>
      <c r="D604" s="86">
        <v>10</v>
      </c>
      <c r="E604" s="116" t="str">
        <f t="shared" si="29"/>
        <v>Hortifruti</v>
      </c>
      <c r="F604" s="85" t="s">
        <v>1110</v>
      </c>
      <c r="G604" s="85" t="s">
        <v>247</v>
      </c>
      <c r="H604" s="85" t="s">
        <v>1083</v>
      </c>
      <c r="I604" s="85">
        <v>1.5</v>
      </c>
      <c r="J604" s="87">
        <v>7</v>
      </c>
      <c r="K604" s="88">
        <f t="shared" si="30"/>
        <v>10.5</v>
      </c>
      <c r="L604" s="85">
        <v>3397</v>
      </c>
      <c r="M604" s="118" t="s">
        <v>537</v>
      </c>
      <c r="N604" s="84"/>
      <c r="O604" s="84" t="s">
        <v>42</v>
      </c>
      <c r="R604"/>
    </row>
    <row r="605" spans="1:18" x14ac:dyDescent="0.25">
      <c r="A605" s="84" t="str">
        <f t="shared" si="28"/>
        <v>MarçoSEMANA 2Hortelã</v>
      </c>
      <c r="B605" s="85" t="s">
        <v>31</v>
      </c>
      <c r="C605" s="85" t="s">
        <v>21</v>
      </c>
      <c r="D605" s="86">
        <v>10</v>
      </c>
      <c r="E605" s="116" t="str">
        <f t="shared" si="29"/>
        <v>Hortifruti</v>
      </c>
      <c r="F605" s="85" t="s">
        <v>1110</v>
      </c>
      <c r="G605" s="85" t="s">
        <v>405</v>
      </c>
      <c r="H605" s="85" t="s">
        <v>1083</v>
      </c>
      <c r="I605" s="85">
        <v>1</v>
      </c>
      <c r="J605" s="87">
        <v>4</v>
      </c>
      <c r="K605" s="88">
        <f t="shared" si="30"/>
        <v>4</v>
      </c>
      <c r="L605" s="85">
        <v>3397</v>
      </c>
      <c r="M605" s="118" t="s">
        <v>538</v>
      </c>
      <c r="N605" s="84"/>
      <c r="O605" s="84" t="s">
        <v>45</v>
      </c>
      <c r="R605"/>
    </row>
    <row r="606" spans="1:18" x14ac:dyDescent="0.25">
      <c r="A606" s="84" t="str">
        <f t="shared" si="28"/>
        <v>MarçoSEMANA 2Manjericão</v>
      </c>
      <c r="B606" s="85" t="s">
        <v>31</v>
      </c>
      <c r="C606" s="85" t="s">
        <v>21</v>
      </c>
      <c r="D606" s="86">
        <v>10</v>
      </c>
      <c r="E606" s="116" t="str">
        <f t="shared" si="29"/>
        <v>Hortifruti</v>
      </c>
      <c r="F606" s="85" t="s">
        <v>1110</v>
      </c>
      <c r="G606" s="85" t="s">
        <v>498</v>
      </c>
      <c r="H606" s="85" t="s">
        <v>1083</v>
      </c>
      <c r="I606" s="85">
        <v>0.3</v>
      </c>
      <c r="J606" s="87">
        <v>10</v>
      </c>
      <c r="K606" s="88">
        <f t="shared" si="30"/>
        <v>3</v>
      </c>
      <c r="L606" s="85">
        <v>3397</v>
      </c>
      <c r="M606" s="118" t="s">
        <v>896</v>
      </c>
      <c r="N606" s="84"/>
      <c r="O606" s="84" t="s">
        <v>60</v>
      </c>
      <c r="R606"/>
    </row>
    <row r="607" spans="1:18" x14ac:dyDescent="0.25">
      <c r="A607" s="84" t="str">
        <f t="shared" si="28"/>
        <v>MarçoSEMANA 2Rúcula</v>
      </c>
      <c r="B607" s="85" t="s">
        <v>31</v>
      </c>
      <c r="C607" s="85" t="s">
        <v>21</v>
      </c>
      <c r="D607" s="86">
        <v>10</v>
      </c>
      <c r="E607" s="116" t="str">
        <f t="shared" si="29"/>
        <v>Hortifruti</v>
      </c>
      <c r="F607" s="85" t="s">
        <v>1110</v>
      </c>
      <c r="G607" s="85" t="s">
        <v>705</v>
      </c>
      <c r="H607" s="85" t="s">
        <v>1083</v>
      </c>
      <c r="I607" s="85">
        <v>4</v>
      </c>
      <c r="J607" s="87">
        <v>8</v>
      </c>
      <c r="K607" s="88">
        <f t="shared" si="30"/>
        <v>32</v>
      </c>
      <c r="L607" s="85">
        <v>3397</v>
      </c>
      <c r="M607" s="118" t="s">
        <v>539</v>
      </c>
      <c r="N607" s="84"/>
      <c r="O607" s="84" t="s">
        <v>42</v>
      </c>
      <c r="R607"/>
    </row>
    <row r="608" spans="1:18" x14ac:dyDescent="0.25">
      <c r="A608" s="84" t="str">
        <f t="shared" si="28"/>
        <v>MarçoSEMANA 2Salsa</v>
      </c>
      <c r="B608" s="85" t="s">
        <v>31</v>
      </c>
      <c r="C608" s="85" t="s">
        <v>21</v>
      </c>
      <c r="D608" s="86">
        <v>10</v>
      </c>
      <c r="E608" s="116" t="str">
        <f t="shared" si="29"/>
        <v>Hortifruti</v>
      </c>
      <c r="F608" s="85" t="s">
        <v>1110</v>
      </c>
      <c r="G608" s="85" t="s">
        <v>728</v>
      </c>
      <c r="H608" s="85" t="s">
        <v>1083</v>
      </c>
      <c r="I608" s="85">
        <v>1</v>
      </c>
      <c r="J608" s="87">
        <v>7</v>
      </c>
      <c r="K608" s="88">
        <f t="shared" si="30"/>
        <v>7</v>
      </c>
      <c r="L608" s="85">
        <v>3397</v>
      </c>
      <c r="M608" s="118" t="s">
        <v>540</v>
      </c>
      <c r="N608" s="84"/>
      <c r="O608" s="84" t="s">
        <v>46</v>
      </c>
      <c r="R608"/>
    </row>
    <row r="609" spans="1:18" x14ac:dyDescent="0.25">
      <c r="A609" s="84" t="str">
        <f t="shared" si="28"/>
        <v>MarçoSEMANA 2Capim Limão</v>
      </c>
      <c r="B609" s="85" t="s">
        <v>31</v>
      </c>
      <c r="C609" s="85" t="s">
        <v>21</v>
      </c>
      <c r="D609" s="86">
        <v>10</v>
      </c>
      <c r="E609" s="116" t="str">
        <f t="shared" si="29"/>
        <v>Hortifruti</v>
      </c>
      <c r="F609" s="85" t="s">
        <v>1110</v>
      </c>
      <c r="G609" s="85" t="s">
        <v>211</v>
      </c>
      <c r="H609" s="85" t="s">
        <v>1083</v>
      </c>
      <c r="I609" s="85">
        <v>0.1</v>
      </c>
      <c r="J609" s="87">
        <v>15</v>
      </c>
      <c r="K609" s="88">
        <f t="shared" si="30"/>
        <v>1.5</v>
      </c>
      <c r="L609" s="85">
        <v>3397</v>
      </c>
      <c r="M609" s="118" t="s">
        <v>541</v>
      </c>
      <c r="N609" s="84"/>
      <c r="O609" s="84" t="s">
        <v>42</v>
      </c>
      <c r="R609"/>
    </row>
    <row r="610" spans="1:18" x14ac:dyDescent="0.25">
      <c r="A610" s="84" t="str">
        <f t="shared" si="28"/>
        <v xml:space="preserve">MarçoSEMANA 2Abacate </v>
      </c>
      <c r="B610" s="85" t="s">
        <v>31</v>
      </c>
      <c r="C610" s="85" t="s">
        <v>21</v>
      </c>
      <c r="D610" s="86">
        <v>10</v>
      </c>
      <c r="E610" s="116" t="str">
        <f t="shared" si="29"/>
        <v>Hortifruti</v>
      </c>
      <c r="F610" s="85" t="s">
        <v>1110</v>
      </c>
      <c r="G610" s="85" t="s">
        <v>62</v>
      </c>
      <c r="H610" s="85" t="s">
        <v>1083</v>
      </c>
      <c r="I610" s="85">
        <v>9</v>
      </c>
      <c r="J610" s="87">
        <v>6</v>
      </c>
      <c r="K610" s="88">
        <f t="shared" si="30"/>
        <v>54</v>
      </c>
      <c r="L610" s="85">
        <v>3397</v>
      </c>
      <c r="M610" s="118" t="s">
        <v>542</v>
      </c>
      <c r="N610" s="84"/>
      <c r="O610" s="84" t="s">
        <v>42</v>
      </c>
      <c r="R610"/>
    </row>
    <row r="611" spans="1:18" x14ac:dyDescent="0.25">
      <c r="A611" s="84" t="str">
        <f t="shared" si="28"/>
        <v>MarçoSEMANA 2Laranja Pera</v>
      </c>
      <c r="B611" s="85" t="s">
        <v>31</v>
      </c>
      <c r="C611" s="85" t="s">
        <v>21</v>
      </c>
      <c r="D611" s="86">
        <v>10</v>
      </c>
      <c r="E611" s="116" t="str">
        <f t="shared" si="29"/>
        <v>Hortifruti</v>
      </c>
      <c r="F611" s="85" t="s">
        <v>1110</v>
      </c>
      <c r="G611" s="85" t="s">
        <v>456</v>
      </c>
      <c r="H611" s="85" t="s">
        <v>1083</v>
      </c>
      <c r="I611" s="85">
        <v>39.86</v>
      </c>
      <c r="J611" s="87">
        <f>66/39.86</f>
        <v>1.6557952834922227</v>
      </c>
      <c r="K611" s="88">
        <f t="shared" si="30"/>
        <v>66</v>
      </c>
      <c r="L611" s="85">
        <v>3397</v>
      </c>
      <c r="M611" s="118" t="s">
        <v>543</v>
      </c>
      <c r="N611" s="84"/>
      <c r="O611" s="84" t="s">
        <v>42</v>
      </c>
      <c r="R611"/>
    </row>
    <row r="612" spans="1:18" x14ac:dyDescent="0.25">
      <c r="A612" s="84" t="str">
        <f t="shared" si="28"/>
        <v>MarçoSEMANA 2Manga Palmer</v>
      </c>
      <c r="B612" s="85" t="s">
        <v>31</v>
      </c>
      <c r="C612" s="85" t="s">
        <v>21</v>
      </c>
      <c r="D612" s="86">
        <v>10</v>
      </c>
      <c r="E612" s="116" t="str">
        <f t="shared" si="29"/>
        <v>Hortifruti</v>
      </c>
      <c r="F612" s="85" t="s">
        <v>1110</v>
      </c>
      <c r="G612" s="85" t="s">
        <v>495</v>
      </c>
      <c r="H612" s="85" t="s">
        <v>1083</v>
      </c>
      <c r="I612" s="85">
        <v>12.7</v>
      </c>
      <c r="J612" s="87">
        <f>50/12.7</f>
        <v>3.9370078740157481</v>
      </c>
      <c r="K612" s="88">
        <f t="shared" si="30"/>
        <v>50</v>
      </c>
      <c r="L612" s="85">
        <v>3397</v>
      </c>
      <c r="M612" s="118" t="s">
        <v>544</v>
      </c>
      <c r="N612" s="84"/>
      <c r="O612" s="84" t="s">
        <v>42</v>
      </c>
      <c r="R612"/>
    </row>
    <row r="613" spans="1:18" hidden="1" x14ac:dyDescent="0.2">
      <c r="A613" s="84" t="str">
        <f t="shared" si="28"/>
        <v>MarçoSEMANA 2Manga Tommy Sushi</v>
      </c>
      <c r="B613" s="85" t="s">
        <v>31</v>
      </c>
      <c r="C613" s="85" t="s">
        <v>21</v>
      </c>
      <c r="D613" s="86">
        <v>10</v>
      </c>
      <c r="E613" s="116" t="str">
        <f t="shared" si="29"/>
        <v>Sushi</v>
      </c>
      <c r="F613" s="85" t="s">
        <v>1110</v>
      </c>
      <c r="G613" s="85" t="s">
        <v>497</v>
      </c>
      <c r="H613" s="85" t="s">
        <v>1083</v>
      </c>
      <c r="I613" s="85">
        <v>1</v>
      </c>
      <c r="J613" s="87">
        <v>4.5</v>
      </c>
      <c r="K613" s="88">
        <f t="shared" si="30"/>
        <v>4.5</v>
      </c>
      <c r="L613" s="85">
        <v>3397</v>
      </c>
      <c r="M613" s="118" t="s">
        <v>545</v>
      </c>
      <c r="N613" s="84"/>
      <c r="O613" s="84" t="s">
        <v>42</v>
      </c>
      <c r="R613"/>
    </row>
    <row r="614" spans="1:18" x14ac:dyDescent="0.25">
      <c r="A614" s="84" t="str">
        <f t="shared" si="28"/>
        <v>MarçoSEMANA 2Melão Orange</v>
      </c>
      <c r="B614" s="85" t="s">
        <v>31</v>
      </c>
      <c r="C614" s="85" t="s">
        <v>21</v>
      </c>
      <c r="D614" s="86">
        <v>10</v>
      </c>
      <c r="E614" s="116" t="str">
        <f t="shared" si="29"/>
        <v>Hortifruti</v>
      </c>
      <c r="F614" s="85" t="s">
        <v>1110</v>
      </c>
      <c r="G614" s="85" t="s">
        <v>518</v>
      </c>
      <c r="H614" s="85" t="s">
        <v>1083</v>
      </c>
      <c r="I614" s="85">
        <v>2</v>
      </c>
      <c r="J614" s="87">
        <v>4.8</v>
      </c>
      <c r="K614" s="88">
        <f t="shared" si="30"/>
        <v>9.6</v>
      </c>
      <c r="L614" s="85">
        <v>3397</v>
      </c>
      <c r="M614" s="118" t="s">
        <v>546</v>
      </c>
      <c r="N614" s="84"/>
      <c r="O614" s="84" t="s">
        <v>42</v>
      </c>
      <c r="R614"/>
    </row>
    <row r="615" spans="1:18" x14ac:dyDescent="0.25">
      <c r="A615" s="84" t="str">
        <f t="shared" si="28"/>
        <v>MarçoSEMANA 2Pera</v>
      </c>
      <c r="B615" s="85" t="s">
        <v>31</v>
      </c>
      <c r="C615" s="85" t="s">
        <v>21</v>
      </c>
      <c r="D615" s="86">
        <v>10</v>
      </c>
      <c r="E615" s="116" t="str">
        <f t="shared" si="29"/>
        <v>Hortifruti</v>
      </c>
      <c r="F615" s="85" t="s">
        <v>1110</v>
      </c>
      <c r="G615" s="85" t="s">
        <v>580</v>
      </c>
      <c r="H615" s="85" t="s">
        <v>1083</v>
      </c>
      <c r="I615" s="85">
        <v>1</v>
      </c>
      <c r="J615" s="87">
        <v>8</v>
      </c>
      <c r="K615" s="88">
        <f t="shared" si="30"/>
        <v>8</v>
      </c>
      <c r="L615" s="85">
        <v>3397</v>
      </c>
      <c r="M615" s="118" t="s">
        <v>1019</v>
      </c>
      <c r="O615" s="84" t="s">
        <v>45</v>
      </c>
      <c r="R615"/>
    </row>
    <row r="616" spans="1:18" x14ac:dyDescent="0.25">
      <c r="A616" s="84" t="str">
        <f t="shared" si="28"/>
        <v xml:space="preserve">MarçoSEMANA 2Abacaxi </v>
      </c>
      <c r="B616" s="85" t="s">
        <v>31</v>
      </c>
      <c r="C616" s="85" t="s">
        <v>21</v>
      </c>
      <c r="D616" s="86">
        <v>10</v>
      </c>
      <c r="E616" s="116" t="str">
        <f t="shared" si="29"/>
        <v>Hortifruti</v>
      </c>
      <c r="F616" s="85" t="s">
        <v>1111</v>
      </c>
      <c r="G616" s="85" t="s">
        <v>65</v>
      </c>
      <c r="H616" s="85" t="s">
        <v>1083</v>
      </c>
      <c r="I616" s="85">
        <v>20</v>
      </c>
      <c r="J616" s="87">
        <v>3.75</v>
      </c>
      <c r="K616" s="88">
        <f t="shared" si="30"/>
        <v>75</v>
      </c>
      <c r="L616" s="85">
        <v>18166</v>
      </c>
      <c r="M616" s="118" t="s">
        <v>547</v>
      </c>
      <c r="N616" s="84"/>
      <c r="O616" s="84" t="s">
        <v>45</v>
      </c>
      <c r="R616"/>
    </row>
    <row r="617" spans="1:18" x14ac:dyDescent="0.25">
      <c r="A617" s="84" t="str">
        <f t="shared" si="28"/>
        <v>MarçoSEMANA 2Beterraba</v>
      </c>
      <c r="B617" s="85" t="s">
        <v>31</v>
      </c>
      <c r="C617" s="85" t="s">
        <v>21</v>
      </c>
      <c r="D617" s="86">
        <v>10</v>
      </c>
      <c r="E617" s="116" t="str">
        <f t="shared" si="29"/>
        <v>Hortifruti</v>
      </c>
      <c r="F617" s="85" t="s">
        <v>1111</v>
      </c>
      <c r="G617" s="85" t="s">
        <v>181</v>
      </c>
      <c r="H617" s="85" t="s">
        <v>1083</v>
      </c>
      <c r="I617" s="85">
        <v>8</v>
      </c>
      <c r="J617" s="87">
        <v>1.98</v>
      </c>
      <c r="K617" s="88">
        <f t="shared" si="30"/>
        <v>15.84</v>
      </c>
      <c r="L617" s="85">
        <v>18166</v>
      </c>
      <c r="M617" s="118" t="s">
        <v>548</v>
      </c>
      <c r="N617" s="84"/>
      <c r="O617" s="84" t="s">
        <v>45</v>
      </c>
      <c r="R617"/>
    </row>
    <row r="618" spans="1:18" x14ac:dyDescent="0.25">
      <c r="A618" s="84" t="str">
        <f t="shared" si="28"/>
        <v>MarçoSEMANA 2Côco Verde</v>
      </c>
      <c r="B618" s="85" t="s">
        <v>31</v>
      </c>
      <c r="C618" s="85" t="s">
        <v>21</v>
      </c>
      <c r="D618" s="86">
        <v>10</v>
      </c>
      <c r="E618" s="116" t="str">
        <f t="shared" si="29"/>
        <v>Hortifruti</v>
      </c>
      <c r="F618" s="85" t="s">
        <v>1111</v>
      </c>
      <c r="G618" s="85" t="s">
        <v>288</v>
      </c>
      <c r="H618" s="85" t="s">
        <v>1090</v>
      </c>
      <c r="I618" s="85">
        <v>25</v>
      </c>
      <c r="J618" s="87">
        <v>2</v>
      </c>
      <c r="K618" s="88">
        <f t="shared" si="30"/>
        <v>50</v>
      </c>
      <c r="L618" s="85">
        <v>18166</v>
      </c>
      <c r="M618" s="118" t="s">
        <v>549</v>
      </c>
      <c r="N618" s="84"/>
      <c r="O618" s="84" t="s">
        <v>45</v>
      </c>
      <c r="R618"/>
    </row>
    <row r="619" spans="1:18" x14ac:dyDescent="0.25">
      <c r="A619" s="84" t="str">
        <f t="shared" si="28"/>
        <v>MarçoSEMANA 2Coentro</v>
      </c>
      <c r="B619" s="85" t="s">
        <v>31</v>
      </c>
      <c r="C619" s="85" t="s">
        <v>21</v>
      </c>
      <c r="D619" s="86">
        <v>10</v>
      </c>
      <c r="E619" s="116" t="str">
        <f t="shared" si="29"/>
        <v>Hortifruti</v>
      </c>
      <c r="F619" s="85" t="s">
        <v>1111</v>
      </c>
      <c r="G619" s="85" t="s">
        <v>289</v>
      </c>
      <c r="H619" s="85" t="s">
        <v>1083</v>
      </c>
      <c r="I619" s="85">
        <v>1</v>
      </c>
      <c r="J619" s="87">
        <v>23</v>
      </c>
      <c r="K619" s="88">
        <f t="shared" si="30"/>
        <v>23</v>
      </c>
      <c r="L619" s="85">
        <v>18166</v>
      </c>
      <c r="M619" s="118" t="s">
        <v>550</v>
      </c>
      <c r="N619" s="84"/>
      <c r="O619" s="84" t="s">
        <v>60</v>
      </c>
      <c r="R619"/>
    </row>
    <row r="620" spans="1:18" x14ac:dyDescent="0.25">
      <c r="A620" s="84" t="str">
        <f t="shared" si="28"/>
        <v>MarçoSEMANA 2Kiwi</v>
      </c>
      <c r="B620" s="85" t="s">
        <v>31</v>
      </c>
      <c r="C620" s="85" t="s">
        <v>21</v>
      </c>
      <c r="D620" s="86">
        <v>10</v>
      </c>
      <c r="E620" s="116" t="str">
        <f t="shared" si="29"/>
        <v>Hortifruti</v>
      </c>
      <c r="F620" s="85" t="s">
        <v>1111</v>
      </c>
      <c r="G620" s="85" t="s">
        <v>453</v>
      </c>
      <c r="H620" s="85" t="s">
        <v>1083</v>
      </c>
      <c r="I620" s="85">
        <v>1</v>
      </c>
      <c r="J620" s="87">
        <v>14.3</v>
      </c>
      <c r="K620" s="88">
        <f t="shared" si="30"/>
        <v>14.3</v>
      </c>
      <c r="L620" s="85">
        <v>18166</v>
      </c>
      <c r="M620" s="118" t="s">
        <v>551</v>
      </c>
      <c r="N620" s="84"/>
      <c r="O620" s="84" t="s">
        <v>871</v>
      </c>
      <c r="R620"/>
    </row>
    <row r="621" spans="1:18" x14ac:dyDescent="0.25">
      <c r="A621" s="84" t="str">
        <f t="shared" si="28"/>
        <v>MarçoSEMANA 2Mamão Bahia</v>
      </c>
      <c r="B621" s="85" t="s">
        <v>31</v>
      </c>
      <c r="C621" s="85" t="s">
        <v>21</v>
      </c>
      <c r="D621" s="86">
        <v>10</v>
      </c>
      <c r="E621" s="116" t="str">
        <f t="shared" si="29"/>
        <v>Hortifruti</v>
      </c>
      <c r="F621" s="85" t="s">
        <v>1111</v>
      </c>
      <c r="G621" s="85" t="s">
        <v>493</v>
      </c>
      <c r="H621" s="85" t="s">
        <v>1083</v>
      </c>
      <c r="I621" s="85">
        <v>3</v>
      </c>
      <c r="J621" s="87">
        <v>2.75</v>
      </c>
      <c r="K621" s="88">
        <f t="shared" si="30"/>
        <v>8.25</v>
      </c>
      <c r="L621" s="85">
        <v>18166</v>
      </c>
      <c r="M621" s="118" t="s">
        <v>552</v>
      </c>
      <c r="N621" s="84"/>
      <c r="O621" s="84" t="s">
        <v>46</v>
      </c>
      <c r="R621"/>
    </row>
    <row r="622" spans="1:18" x14ac:dyDescent="0.25">
      <c r="A622" s="84" t="str">
        <f t="shared" si="28"/>
        <v>MarçoSEMANA 2Melância</v>
      </c>
      <c r="B622" s="85" t="s">
        <v>31</v>
      </c>
      <c r="C622" s="85" t="s">
        <v>21</v>
      </c>
      <c r="D622" s="86">
        <v>10</v>
      </c>
      <c r="E622" s="116" t="str">
        <f t="shared" si="29"/>
        <v>Hortifruti</v>
      </c>
      <c r="F622" s="85" t="s">
        <v>1111</v>
      </c>
      <c r="G622" s="85" t="s">
        <v>516</v>
      </c>
      <c r="H622" s="85" t="s">
        <v>1083</v>
      </c>
      <c r="I622" s="85">
        <v>10</v>
      </c>
      <c r="J622" s="87">
        <v>1.52</v>
      </c>
      <c r="K622" s="88">
        <f t="shared" si="30"/>
        <v>15.2</v>
      </c>
      <c r="L622" s="85">
        <v>18166</v>
      </c>
      <c r="M622" s="118" t="s">
        <v>553</v>
      </c>
      <c r="N622" s="84"/>
      <c r="O622" s="84" t="s">
        <v>872</v>
      </c>
      <c r="R622"/>
    </row>
    <row r="623" spans="1:18" x14ac:dyDescent="0.25">
      <c r="A623" s="84" t="str">
        <f t="shared" si="28"/>
        <v>MarçoSEMANA 2Cebola</v>
      </c>
      <c r="B623" s="85" t="s">
        <v>31</v>
      </c>
      <c r="C623" s="85" t="s">
        <v>21</v>
      </c>
      <c r="D623" s="86">
        <v>10</v>
      </c>
      <c r="E623" s="116" t="str">
        <f t="shared" si="29"/>
        <v>Hortifruti</v>
      </c>
      <c r="F623" s="85" t="s">
        <v>1111</v>
      </c>
      <c r="G623" s="85" t="s">
        <v>241</v>
      </c>
      <c r="H623" s="85" t="s">
        <v>1083</v>
      </c>
      <c r="I623" s="85">
        <v>19.96</v>
      </c>
      <c r="J623" s="87">
        <f>52.9/19.96</f>
        <v>2.6503006012024044</v>
      </c>
      <c r="K623" s="88">
        <f t="shared" si="30"/>
        <v>52.899999999999991</v>
      </c>
      <c r="L623" s="85">
        <v>18166</v>
      </c>
      <c r="M623" s="118" t="s">
        <v>554</v>
      </c>
      <c r="N623" s="84"/>
      <c r="O623" s="84" t="s">
        <v>872</v>
      </c>
      <c r="R623"/>
    </row>
    <row r="624" spans="1:18" x14ac:dyDescent="0.25">
      <c r="A624" s="84" t="str">
        <f t="shared" si="28"/>
        <v>MarçoSEMANA 2Abobora</v>
      </c>
      <c r="B624" s="85" t="s">
        <v>31</v>
      </c>
      <c r="C624" s="85" t="s">
        <v>21</v>
      </c>
      <c r="D624" s="86">
        <v>10</v>
      </c>
      <c r="E624" s="116" t="str">
        <f t="shared" si="29"/>
        <v>Hortifruti</v>
      </c>
      <c r="F624" s="85" t="s">
        <v>1111</v>
      </c>
      <c r="G624" s="85" t="s">
        <v>68</v>
      </c>
      <c r="H624" s="85" t="s">
        <v>1083</v>
      </c>
      <c r="I624" s="85">
        <v>10</v>
      </c>
      <c r="J624" s="87">
        <v>1.99</v>
      </c>
      <c r="K624" s="88">
        <f t="shared" si="30"/>
        <v>19.899999999999999</v>
      </c>
      <c r="L624" s="85">
        <v>18166</v>
      </c>
      <c r="M624" s="118" t="s">
        <v>1005</v>
      </c>
      <c r="O624" s="84" t="s">
        <v>872</v>
      </c>
      <c r="R624"/>
    </row>
    <row r="625" spans="1:18" x14ac:dyDescent="0.25">
      <c r="A625" s="84" t="str">
        <f t="shared" si="28"/>
        <v>MarçoSEMANA 2Cebola Roxa</v>
      </c>
      <c r="B625" s="85" t="s">
        <v>31</v>
      </c>
      <c r="C625" s="85" t="s">
        <v>21</v>
      </c>
      <c r="D625" s="86">
        <v>10</v>
      </c>
      <c r="E625" s="116" t="str">
        <f t="shared" si="29"/>
        <v>Hortifruti</v>
      </c>
      <c r="F625" s="85" t="s">
        <v>1111</v>
      </c>
      <c r="G625" s="85" t="s">
        <v>244</v>
      </c>
      <c r="H625" s="85" t="s">
        <v>1083</v>
      </c>
      <c r="I625" s="85">
        <v>2</v>
      </c>
      <c r="J625" s="87">
        <v>3.15</v>
      </c>
      <c r="K625" s="88">
        <f t="shared" si="30"/>
        <v>6.3</v>
      </c>
      <c r="L625" s="85">
        <v>18166</v>
      </c>
      <c r="M625" s="118" t="s">
        <v>555</v>
      </c>
      <c r="N625" s="84"/>
      <c r="O625" s="84" t="s">
        <v>42</v>
      </c>
      <c r="R625"/>
    </row>
    <row r="626" spans="1:18" x14ac:dyDescent="0.25">
      <c r="A626" s="84" t="str">
        <f t="shared" si="28"/>
        <v>MarçoSEMANA 2Ovos Extra</v>
      </c>
      <c r="B626" s="85" t="s">
        <v>31</v>
      </c>
      <c r="C626" s="85" t="s">
        <v>21</v>
      </c>
      <c r="D626" s="86">
        <v>10</v>
      </c>
      <c r="E626" s="116" t="str">
        <f t="shared" si="29"/>
        <v>Hortifruti</v>
      </c>
      <c r="F626" s="85" t="s">
        <v>1111</v>
      </c>
      <c r="G626" s="85" t="s">
        <v>549</v>
      </c>
      <c r="H626" s="85" t="s">
        <v>1090</v>
      </c>
      <c r="I626" s="85">
        <v>360</v>
      </c>
      <c r="J626" s="87">
        <f>107/360</f>
        <v>0.29722222222222222</v>
      </c>
      <c r="K626" s="88">
        <f t="shared" si="30"/>
        <v>107</v>
      </c>
      <c r="L626" s="85">
        <v>18166</v>
      </c>
      <c r="M626" s="118" t="s">
        <v>556</v>
      </c>
      <c r="O626" s="115" t="s">
        <v>45</v>
      </c>
      <c r="R626"/>
    </row>
    <row r="627" spans="1:18" hidden="1" x14ac:dyDescent="0.2">
      <c r="A627" s="84" t="str">
        <f t="shared" si="28"/>
        <v>MarçoSEMANA 2Salsa Crespa Sushi</v>
      </c>
      <c r="B627" s="85" t="s">
        <v>31</v>
      </c>
      <c r="C627" s="85" t="s">
        <v>21</v>
      </c>
      <c r="D627" s="86">
        <v>10</v>
      </c>
      <c r="E627" s="116" t="str">
        <f t="shared" si="29"/>
        <v>Sushi</v>
      </c>
      <c r="F627" s="85" t="s">
        <v>1111</v>
      </c>
      <c r="G627" s="85" t="s">
        <v>730</v>
      </c>
      <c r="H627" s="85" t="s">
        <v>1083</v>
      </c>
      <c r="I627" s="85">
        <v>0.1</v>
      </c>
      <c r="J627" s="87">
        <v>13</v>
      </c>
      <c r="K627" s="88">
        <f t="shared" si="30"/>
        <v>1.3</v>
      </c>
      <c r="L627" s="85">
        <v>18166</v>
      </c>
      <c r="M627" s="118" t="s">
        <v>557</v>
      </c>
      <c r="N627" s="84"/>
      <c r="O627" s="84" t="s">
        <v>42</v>
      </c>
      <c r="R627"/>
    </row>
    <row r="628" spans="1:18" hidden="1" x14ac:dyDescent="0.2">
      <c r="A628" s="84" t="str">
        <f>CONCATENATE(B628,C628,G628)</f>
        <v>MarçoSEMANA 2Pão Árabe</v>
      </c>
      <c r="B628" s="85" t="s">
        <v>31</v>
      </c>
      <c r="C628" s="85" t="s">
        <v>21</v>
      </c>
      <c r="D628" s="86">
        <v>10</v>
      </c>
      <c r="E628" s="116" t="str">
        <f t="shared" si="29"/>
        <v>Mercado</v>
      </c>
      <c r="F628" s="85" t="s">
        <v>1118</v>
      </c>
      <c r="G628" s="85" t="s">
        <v>560</v>
      </c>
      <c r="H628" s="85" t="s">
        <v>1114</v>
      </c>
      <c r="I628" s="85">
        <v>5</v>
      </c>
      <c r="J628" s="87">
        <v>6.7</v>
      </c>
      <c r="K628" s="88">
        <f t="shared" si="30"/>
        <v>33.5</v>
      </c>
      <c r="L628" s="85">
        <v>87620</v>
      </c>
      <c r="M628" s="118" t="s">
        <v>558</v>
      </c>
      <c r="N628" s="84"/>
      <c r="O628" s="84" t="s">
        <v>872</v>
      </c>
      <c r="R628"/>
    </row>
    <row r="629" spans="1:18" hidden="1" x14ac:dyDescent="0.2">
      <c r="A629" s="84" t="str">
        <f t="shared" si="28"/>
        <v>MarçoSEMANA 2Yogurt de Pessego</v>
      </c>
      <c r="B629" s="85" t="s">
        <v>31</v>
      </c>
      <c r="C629" s="85" t="s">
        <v>21</v>
      </c>
      <c r="D629" s="86">
        <v>10</v>
      </c>
      <c r="E629" s="116" t="str">
        <f t="shared" si="29"/>
        <v>Mercado</v>
      </c>
      <c r="F629" s="85" t="s">
        <v>1118</v>
      </c>
      <c r="G629" s="85" t="s">
        <v>869</v>
      </c>
      <c r="H629" s="85" t="s">
        <v>1090</v>
      </c>
      <c r="I629" s="85">
        <v>1</v>
      </c>
      <c r="J629" s="87">
        <v>7.98</v>
      </c>
      <c r="K629" s="88">
        <f t="shared" si="30"/>
        <v>7.98</v>
      </c>
      <c r="L629" s="85">
        <v>87620</v>
      </c>
      <c r="M629" s="118" t="s">
        <v>559</v>
      </c>
      <c r="N629" s="84"/>
      <c r="O629" s="84" t="s">
        <v>872</v>
      </c>
      <c r="R629"/>
    </row>
    <row r="630" spans="1:18" hidden="1" x14ac:dyDescent="0.2">
      <c r="A630" s="84" t="str">
        <f t="shared" si="28"/>
        <v>MarçoSEMANA 2Gelo em Escamas</v>
      </c>
      <c r="B630" s="85" t="s">
        <v>31</v>
      </c>
      <c r="C630" s="85" t="s">
        <v>21</v>
      </c>
      <c r="D630" s="85">
        <v>11</v>
      </c>
      <c r="E630" s="116" t="str">
        <f t="shared" si="29"/>
        <v>Mercado</v>
      </c>
      <c r="F630" s="85" t="s">
        <v>1096</v>
      </c>
      <c r="G630" s="85" t="s">
        <v>384</v>
      </c>
      <c r="H630" s="85" t="s">
        <v>1097</v>
      </c>
      <c r="I630" s="85">
        <v>1</v>
      </c>
      <c r="J630" s="87">
        <v>7.5</v>
      </c>
      <c r="K630" s="88">
        <f t="shared" si="30"/>
        <v>7.5</v>
      </c>
      <c r="L630" s="85">
        <v>3176</v>
      </c>
      <c r="M630" s="118" t="s">
        <v>560</v>
      </c>
      <c r="N630" s="84"/>
      <c r="O630" s="84" t="s">
        <v>42</v>
      </c>
      <c r="R630"/>
    </row>
    <row r="631" spans="1:18" hidden="1" x14ac:dyDescent="0.2">
      <c r="A631" s="84" t="str">
        <f t="shared" si="28"/>
        <v>MarçoSEMANA 2Gelo em Cubo</v>
      </c>
      <c r="B631" s="85" t="s">
        <v>31</v>
      </c>
      <c r="C631" s="85" t="s">
        <v>21</v>
      </c>
      <c r="D631" s="85">
        <v>11</v>
      </c>
      <c r="E631" s="116" t="str">
        <f t="shared" si="29"/>
        <v>Mercado</v>
      </c>
      <c r="F631" s="85" t="s">
        <v>1096</v>
      </c>
      <c r="G631" s="85" t="s">
        <v>383</v>
      </c>
      <c r="H631" s="85" t="s">
        <v>1097</v>
      </c>
      <c r="I631" s="85">
        <v>3</v>
      </c>
      <c r="J631" s="87">
        <v>7.5</v>
      </c>
      <c r="K631" s="88">
        <f t="shared" si="30"/>
        <v>22.5</v>
      </c>
      <c r="L631" s="85">
        <v>3176</v>
      </c>
      <c r="M631" s="118" t="s">
        <v>561</v>
      </c>
      <c r="N631" s="84"/>
      <c r="O631" s="84" t="s">
        <v>42</v>
      </c>
      <c r="R631"/>
    </row>
    <row r="632" spans="1:18" hidden="1" x14ac:dyDescent="0.2">
      <c r="A632" s="84" t="str">
        <f t="shared" si="28"/>
        <v>MarçoSEMANA 2Pão de Forma</v>
      </c>
      <c r="B632" s="85" t="s">
        <v>31</v>
      </c>
      <c r="C632" s="85" t="s">
        <v>21</v>
      </c>
      <c r="D632" s="85">
        <v>11</v>
      </c>
      <c r="E632" s="116" t="str">
        <f t="shared" si="29"/>
        <v>Mercado</v>
      </c>
      <c r="F632" s="85" t="s">
        <v>1118</v>
      </c>
      <c r="G632" s="85" t="s">
        <v>561</v>
      </c>
      <c r="H632" s="85" t="s">
        <v>1114</v>
      </c>
      <c r="I632" s="85">
        <v>1</v>
      </c>
      <c r="J632" s="87">
        <v>4.8899999999999997</v>
      </c>
      <c r="K632" s="88">
        <f t="shared" si="30"/>
        <v>4.8899999999999997</v>
      </c>
      <c r="L632" s="85">
        <v>88031</v>
      </c>
      <c r="M632" s="118" t="s">
        <v>562</v>
      </c>
      <c r="N632" s="84"/>
      <c r="O632" s="84" t="s">
        <v>42</v>
      </c>
      <c r="R632"/>
    </row>
    <row r="633" spans="1:18" hidden="1" x14ac:dyDescent="0.2">
      <c r="A633" s="84" t="str">
        <f t="shared" si="28"/>
        <v>MarçoSEMANA 2Pão Rabanada</v>
      </c>
      <c r="B633" s="85" t="s">
        <v>31</v>
      </c>
      <c r="C633" s="85" t="s">
        <v>21</v>
      </c>
      <c r="D633" s="85">
        <v>11</v>
      </c>
      <c r="E633" s="116" t="str">
        <f t="shared" si="29"/>
        <v>Mercado</v>
      </c>
      <c r="F633" s="85" t="s">
        <v>1118</v>
      </c>
      <c r="G633" s="85" t="s">
        <v>565</v>
      </c>
      <c r="H633" s="85" t="s">
        <v>1090</v>
      </c>
      <c r="I633" s="85">
        <v>10</v>
      </c>
      <c r="J633" s="87">
        <f>54.29/10</f>
        <v>5.4290000000000003</v>
      </c>
      <c r="K633" s="88">
        <f t="shared" si="30"/>
        <v>54.290000000000006</v>
      </c>
      <c r="L633" s="85">
        <v>88031</v>
      </c>
      <c r="M633" s="118" t="s">
        <v>998</v>
      </c>
      <c r="N633" s="84"/>
      <c r="O633" s="84" t="s">
        <v>874</v>
      </c>
      <c r="R633"/>
    </row>
    <row r="634" spans="1:18" x14ac:dyDescent="0.25">
      <c r="A634" s="84" t="str">
        <f t="shared" si="28"/>
        <v xml:space="preserve">MarçoSEMANA 2Abobrinha </v>
      </c>
      <c r="B634" s="85" t="s">
        <v>31</v>
      </c>
      <c r="C634" s="85" t="s">
        <v>21</v>
      </c>
      <c r="D634" s="85">
        <v>11</v>
      </c>
      <c r="E634" s="116" t="str">
        <f t="shared" si="29"/>
        <v>Hortifruti</v>
      </c>
      <c r="F634" s="85" t="s">
        <v>1118</v>
      </c>
      <c r="G634" s="85" t="s">
        <v>72</v>
      </c>
      <c r="H634" s="85" t="s">
        <v>1083</v>
      </c>
      <c r="I634" s="85">
        <f>0.827+0.643+0.789</f>
        <v>2.2589999999999999</v>
      </c>
      <c r="J634" s="87">
        <v>3.98</v>
      </c>
      <c r="K634" s="88">
        <f t="shared" si="30"/>
        <v>8.9908199999999994</v>
      </c>
      <c r="L634" s="85">
        <v>88155</v>
      </c>
      <c r="M634" s="118" t="s">
        <v>999</v>
      </c>
      <c r="N634" s="84"/>
      <c r="O634" s="84" t="s">
        <v>874</v>
      </c>
      <c r="R634"/>
    </row>
    <row r="635" spans="1:18" x14ac:dyDescent="0.25">
      <c r="A635" s="84" t="str">
        <f t="shared" si="28"/>
        <v>MarçoSEMANA 2Salsa</v>
      </c>
      <c r="B635" s="85" t="s">
        <v>31</v>
      </c>
      <c r="C635" s="85" t="s">
        <v>21</v>
      </c>
      <c r="D635" s="85">
        <v>11</v>
      </c>
      <c r="E635" s="116" t="str">
        <f t="shared" si="29"/>
        <v>Hortifruti</v>
      </c>
      <c r="F635" s="85" t="s">
        <v>1158</v>
      </c>
      <c r="G635" s="85" t="s">
        <v>728</v>
      </c>
      <c r="H635" s="85" t="s">
        <v>1083</v>
      </c>
      <c r="I635" s="85">
        <v>0.6</v>
      </c>
      <c r="J635" s="87">
        <f>15.92/0.6</f>
        <v>26.533333333333335</v>
      </c>
      <c r="K635" s="88">
        <f t="shared" si="30"/>
        <v>15.92</v>
      </c>
      <c r="L635" s="85">
        <v>75665</v>
      </c>
      <c r="M635" s="118" t="s">
        <v>563</v>
      </c>
      <c r="N635" s="84"/>
      <c r="O635" s="84" t="s">
        <v>42</v>
      </c>
      <c r="R635"/>
    </row>
    <row r="636" spans="1:18" hidden="1" x14ac:dyDescent="0.2">
      <c r="A636" s="84" t="str">
        <f t="shared" si="28"/>
        <v>MarçoSEMANA 2Aveia Quaker Flocos cx 200g</v>
      </c>
      <c r="B636" s="85" t="s">
        <v>31</v>
      </c>
      <c r="C636" s="85" t="s">
        <v>21</v>
      </c>
      <c r="D636" s="85">
        <v>11</v>
      </c>
      <c r="E636" s="116" t="str">
        <f t="shared" si="29"/>
        <v>Mercado</v>
      </c>
      <c r="F636" s="85" t="s">
        <v>1118</v>
      </c>
      <c r="G636" s="85" t="s">
        <v>132</v>
      </c>
      <c r="H636" s="85" t="s">
        <v>1114</v>
      </c>
      <c r="I636" s="85">
        <v>2</v>
      </c>
      <c r="J636" s="87">
        <v>3.98</v>
      </c>
      <c r="K636" s="88">
        <f t="shared" si="30"/>
        <v>7.96</v>
      </c>
      <c r="L636" s="85">
        <v>88053</v>
      </c>
      <c r="M636" s="118" t="s">
        <v>564</v>
      </c>
      <c r="N636" s="84"/>
      <c r="O636" s="84" t="s">
        <v>42</v>
      </c>
      <c r="R636"/>
    </row>
    <row r="637" spans="1:18" x14ac:dyDescent="0.25">
      <c r="A637" s="84" t="str">
        <f t="shared" si="28"/>
        <v xml:space="preserve">MarçoSEMANA 2Abobrinha </v>
      </c>
      <c r="B637" s="85" t="s">
        <v>31</v>
      </c>
      <c r="C637" s="85" t="s">
        <v>21</v>
      </c>
      <c r="D637" s="85">
        <v>11</v>
      </c>
      <c r="E637" s="116" t="str">
        <f t="shared" si="29"/>
        <v>Hortifruti</v>
      </c>
      <c r="F637" s="85" t="s">
        <v>1158</v>
      </c>
      <c r="G637" s="85" t="s">
        <v>72</v>
      </c>
      <c r="H637" s="85" t="s">
        <v>1083</v>
      </c>
      <c r="I637" s="85">
        <v>6.7549999999999999</v>
      </c>
      <c r="J637" s="87">
        <f>22.89/6.755</f>
        <v>3.3886010362694301</v>
      </c>
      <c r="K637" s="88">
        <f t="shared" si="30"/>
        <v>22.89</v>
      </c>
      <c r="L637" s="85"/>
      <c r="M637" s="118" t="s">
        <v>565</v>
      </c>
      <c r="N637" s="84"/>
      <c r="O637" s="84" t="s">
        <v>42</v>
      </c>
      <c r="R637"/>
    </row>
    <row r="638" spans="1:18" hidden="1" x14ac:dyDescent="0.2">
      <c r="A638" s="84" t="str">
        <f t="shared" si="28"/>
        <v>MarçoSEMANA 3Massa de Pastel</v>
      </c>
      <c r="B638" s="85" t="s">
        <v>31</v>
      </c>
      <c r="C638" s="85" t="s">
        <v>22</v>
      </c>
      <c r="D638" s="85">
        <v>12</v>
      </c>
      <c r="E638" s="116" t="str">
        <f t="shared" si="29"/>
        <v>Mercado</v>
      </c>
      <c r="F638" s="85" t="s">
        <v>1082</v>
      </c>
      <c r="G638" s="85" t="s">
        <v>507</v>
      </c>
      <c r="H638" s="85" t="s">
        <v>1083</v>
      </c>
      <c r="I638" s="85">
        <v>32.700000000000003</v>
      </c>
      <c r="J638" s="87">
        <f>245/32.7</f>
        <v>7.4923547400611614</v>
      </c>
      <c r="K638" s="88">
        <f t="shared" si="30"/>
        <v>245</v>
      </c>
      <c r="L638" s="85"/>
      <c r="M638" s="118" t="s">
        <v>979</v>
      </c>
      <c r="N638" s="84"/>
      <c r="O638" s="84" t="s">
        <v>873</v>
      </c>
      <c r="R638"/>
    </row>
    <row r="639" spans="1:18" x14ac:dyDescent="0.25">
      <c r="A639" s="84" t="str">
        <f t="shared" si="28"/>
        <v>MarçoSEMANA 3Aipim</v>
      </c>
      <c r="B639" s="85" t="s">
        <v>31</v>
      </c>
      <c r="C639" s="85" t="s">
        <v>22</v>
      </c>
      <c r="D639" s="85">
        <v>12</v>
      </c>
      <c r="E639" s="116" t="str">
        <f t="shared" si="29"/>
        <v>Hortifruti</v>
      </c>
      <c r="F639" s="85" t="s">
        <v>1082</v>
      </c>
      <c r="G639" s="85" t="s">
        <v>95</v>
      </c>
      <c r="H639" s="85" t="s">
        <v>1083</v>
      </c>
      <c r="I639" s="85">
        <v>20</v>
      </c>
      <c r="J639" s="87">
        <v>5</v>
      </c>
      <c r="K639" s="88">
        <f t="shared" si="30"/>
        <v>100</v>
      </c>
      <c r="L639" s="85"/>
      <c r="M639" s="118" t="s">
        <v>566</v>
      </c>
      <c r="N639" s="84"/>
      <c r="O639" s="84" t="s">
        <v>872</v>
      </c>
      <c r="R639"/>
    </row>
    <row r="640" spans="1:18" x14ac:dyDescent="0.25">
      <c r="A640" s="84" t="str">
        <f t="shared" si="28"/>
        <v xml:space="preserve">MarçoSEMANA 3Alface Americana    </v>
      </c>
      <c r="B640" s="85" t="s">
        <v>31</v>
      </c>
      <c r="C640" s="85" t="s">
        <v>22</v>
      </c>
      <c r="D640" s="85">
        <v>12</v>
      </c>
      <c r="E640" s="116" t="str">
        <f t="shared" si="29"/>
        <v>Hortifruti</v>
      </c>
      <c r="F640" s="85" t="s">
        <v>1082</v>
      </c>
      <c r="G640" s="85" t="s">
        <v>102</v>
      </c>
      <c r="H640" s="85" t="s">
        <v>1083</v>
      </c>
      <c r="I640" s="85">
        <v>3.1859999999999999</v>
      </c>
      <c r="J640" s="87">
        <f>30/3.186</f>
        <v>9.4161958568738235</v>
      </c>
      <c r="K640" s="88">
        <f t="shared" si="30"/>
        <v>30</v>
      </c>
      <c r="L640" s="85"/>
      <c r="M640" s="118" t="s">
        <v>567</v>
      </c>
      <c r="N640" s="84"/>
      <c r="O640" s="84" t="s">
        <v>873</v>
      </c>
      <c r="R640"/>
    </row>
    <row r="641" spans="1:18" hidden="1" x14ac:dyDescent="0.2">
      <c r="A641" s="84" t="str">
        <f t="shared" si="28"/>
        <v>MarçoSEMANA 3Gelo em Escamas</v>
      </c>
      <c r="B641" s="85" t="s">
        <v>31</v>
      </c>
      <c r="C641" s="85" t="s">
        <v>22</v>
      </c>
      <c r="D641" s="85">
        <v>12</v>
      </c>
      <c r="E641" s="116" t="str">
        <f t="shared" si="29"/>
        <v>Mercado</v>
      </c>
      <c r="F641" s="85" t="s">
        <v>1096</v>
      </c>
      <c r="G641" s="85" t="s">
        <v>384</v>
      </c>
      <c r="H641" s="85" t="s">
        <v>1097</v>
      </c>
      <c r="I641" s="85">
        <v>1</v>
      </c>
      <c r="J641" s="87">
        <v>7.5</v>
      </c>
      <c r="K641" s="88">
        <f t="shared" si="30"/>
        <v>7.5</v>
      </c>
      <c r="L641" s="85">
        <v>3256</v>
      </c>
      <c r="M641" s="118" t="s">
        <v>568</v>
      </c>
      <c r="N641" s="84"/>
      <c r="O641" s="84" t="s">
        <v>60</v>
      </c>
      <c r="R641"/>
    </row>
    <row r="642" spans="1:18" hidden="1" x14ac:dyDescent="0.2">
      <c r="A642" s="84" t="str">
        <f t="shared" ref="A642:A705" si="31">CONCATENATE(B642,C642,G642)</f>
        <v>MarçoSEMANA 3Gelo em Cubo</v>
      </c>
      <c r="B642" s="85" t="s">
        <v>31</v>
      </c>
      <c r="C642" s="85" t="s">
        <v>22</v>
      </c>
      <c r="D642" s="85">
        <v>12</v>
      </c>
      <c r="E642" s="116" t="str">
        <f t="shared" ref="E642:E705" si="32">VLOOKUP(G642,$M$1:$O$993,3,0)</f>
        <v>Mercado</v>
      </c>
      <c r="F642" s="85" t="s">
        <v>1096</v>
      </c>
      <c r="G642" s="85" t="s">
        <v>383</v>
      </c>
      <c r="H642" s="85" t="s">
        <v>1097</v>
      </c>
      <c r="I642" s="85">
        <v>5</v>
      </c>
      <c r="J642" s="87">
        <v>7.5</v>
      </c>
      <c r="K642" s="88">
        <f t="shared" ref="K642:K705" si="33">I642*J642</f>
        <v>37.5</v>
      </c>
      <c r="L642" s="85">
        <v>3256</v>
      </c>
      <c r="M642" s="118" t="s">
        <v>569</v>
      </c>
      <c r="N642" s="84"/>
      <c r="O642" s="84" t="s">
        <v>872</v>
      </c>
      <c r="R642"/>
    </row>
    <row r="643" spans="1:18" x14ac:dyDescent="0.25">
      <c r="A643" s="84" t="str">
        <f t="shared" si="31"/>
        <v xml:space="preserve">MarçoSEMANA 3Abobrinha </v>
      </c>
      <c r="B643" s="85" t="s">
        <v>31</v>
      </c>
      <c r="C643" s="85" t="s">
        <v>22</v>
      </c>
      <c r="D643" s="85">
        <v>12</v>
      </c>
      <c r="E643" s="116" t="str">
        <f t="shared" si="32"/>
        <v>Hortifruti</v>
      </c>
      <c r="F643" s="85" t="s">
        <v>1110</v>
      </c>
      <c r="G643" s="85" t="s">
        <v>72</v>
      </c>
      <c r="H643" s="85" t="s">
        <v>1083</v>
      </c>
      <c r="I643" s="85">
        <v>15.72</v>
      </c>
      <c r="J643" s="87">
        <f>40/15.72</f>
        <v>2.5445292620865141</v>
      </c>
      <c r="K643" s="88">
        <f t="shared" si="33"/>
        <v>40</v>
      </c>
      <c r="L643" s="85">
        <v>3409</v>
      </c>
      <c r="M643" s="118" t="s">
        <v>570</v>
      </c>
      <c r="N643" s="84"/>
      <c r="O643" s="84" t="s">
        <v>872</v>
      </c>
      <c r="R643"/>
    </row>
    <row r="644" spans="1:18" x14ac:dyDescent="0.25">
      <c r="A644" s="84" t="str">
        <f t="shared" si="31"/>
        <v>MarçoSEMANA 2Abobora</v>
      </c>
      <c r="B644" s="85" t="s">
        <v>31</v>
      </c>
      <c r="C644" s="85" t="s">
        <v>21</v>
      </c>
      <c r="D644" s="85">
        <v>10</v>
      </c>
      <c r="E644" s="116" t="str">
        <f t="shared" si="32"/>
        <v>Hortifruti</v>
      </c>
      <c r="F644" s="85" t="s">
        <v>1110</v>
      </c>
      <c r="G644" s="85" t="s">
        <v>68</v>
      </c>
      <c r="H644" s="85" t="s">
        <v>1083</v>
      </c>
      <c r="I644" s="85">
        <v>7</v>
      </c>
      <c r="J644" s="87">
        <v>3.2</v>
      </c>
      <c r="K644" s="88">
        <f t="shared" si="33"/>
        <v>22.400000000000002</v>
      </c>
      <c r="L644" s="85">
        <v>3409</v>
      </c>
      <c r="M644" s="118" t="s">
        <v>571</v>
      </c>
      <c r="N644" s="84"/>
      <c r="O644" s="84" t="s">
        <v>872</v>
      </c>
      <c r="R644"/>
    </row>
    <row r="645" spans="1:18" x14ac:dyDescent="0.25">
      <c r="A645" s="84" t="str">
        <f t="shared" si="31"/>
        <v>MarçoSEMANA 2Abobora Moranga</v>
      </c>
      <c r="B645" s="85" t="s">
        <v>31</v>
      </c>
      <c r="C645" s="85" t="s">
        <v>21</v>
      </c>
      <c r="D645" s="85">
        <v>10</v>
      </c>
      <c r="E645" s="116" t="str">
        <f t="shared" si="32"/>
        <v>Hortifruti</v>
      </c>
      <c r="F645" s="85" t="s">
        <v>1110</v>
      </c>
      <c r="G645" s="85" t="s">
        <v>70</v>
      </c>
      <c r="H645" s="85" t="s">
        <v>1083</v>
      </c>
      <c r="I645" s="85">
        <v>10.8</v>
      </c>
      <c r="J645" s="87">
        <v>3.8</v>
      </c>
      <c r="K645" s="88">
        <f t="shared" si="33"/>
        <v>41.04</v>
      </c>
      <c r="L645" s="85">
        <v>3409</v>
      </c>
      <c r="M645" s="118" t="s">
        <v>572</v>
      </c>
      <c r="N645" s="84"/>
      <c r="O645" s="84" t="s">
        <v>42</v>
      </c>
      <c r="R645"/>
    </row>
    <row r="646" spans="1:18" x14ac:dyDescent="0.25">
      <c r="A646" s="84" t="str">
        <f t="shared" si="31"/>
        <v>MarçoSEMANA 3Batata HBT</v>
      </c>
      <c r="B646" s="85" t="s">
        <v>31</v>
      </c>
      <c r="C646" s="85" t="s">
        <v>22</v>
      </c>
      <c r="D646" s="85">
        <v>12</v>
      </c>
      <c r="E646" s="116" t="str">
        <f t="shared" si="32"/>
        <v>Hortifruti</v>
      </c>
      <c r="F646" s="85" t="s">
        <v>1110</v>
      </c>
      <c r="G646" s="85" t="s">
        <v>171</v>
      </c>
      <c r="H646" s="85" t="s">
        <v>1083</v>
      </c>
      <c r="I646" s="85">
        <v>25</v>
      </c>
      <c r="J646" s="87">
        <v>1.8</v>
      </c>
      <c r="K646" s="88">
        <f t="shared" si="33"/>
        <v>45</v>
      </c>
      <c r="L646" s="85">
        <v>3409</v>
      </c>
      <c r="M646" s="118" t="s">
        <v>573</v>
      </c>
      <c r="N646" s="84"/>
      <c r="O646" s="84" t="s">
        <v>42</v>
      </c>
      <c r="R646"/>
    </row>
    <row r="647" spans="1:18" x14ac:dyDescent="0.25">
      <c r="A647" s="84" t="str">
        <f t="shared" si="31"/>
        <v>MarçoSEMANA 3Batata Yacon</v>
      </c>
      <c r="B647" s="85" t="s">
        <v>31</v>
      </c>
      <c r="C647" s="85" t="s">
        <v>22</v>
      </c>
      <c r="D647" s="85">
        <v>12</v>
      </c>
      <c r="E647" s="116" t="str">
        <f t="shared" si="32"/>
        <v>Hortifruti</v>
      </c>
      <c r="F647" s="85" t="s">
        <v>1110</v>
      </c>
      <c r="G647" s="85" t="s">
        <v>177</v>
      </c>
      <c r="H647" s="85" t="s">
        <v>1083</v>
      </c>
      <c r="I647" s="85">
        <v>0.5</v>
      </c>
      <c r="J647" s="87">
        <v>8</v>
      </c>
      <c r="K647" s="88">
        <f t="shared" si="33"/>
        <v>4</v>
      </c>
      <c r="L647" s="85">
        <v>3409</v>
      </c>
      <c r="M647" s="118" t="s">
        <v>1037</v>
      </c>
      <c r="O647" s="84" t="s">
        <v>873</v>
      </c>
      <c r="R647"/>
    </row>
    <row r="648" spans="1:18" x14ac:dyDescent="0.25">
      <c r="A648" s="84" t="str">
        <f t="shared" si="31"/>
        <v>MarçoSEMANA 3Berinjela</v>
      </c>
      <c r="B648" s="85" t="s">
        <v>31</v>
      </c>
      <c r="C648" s="85" t="s">
        <v>22</v>
      </c>
      <c r="D648" s="85">
        <v>12</v>
      </c>
      <c r="E648" s="116" t="str">
        <f t="shared" si="32"/>
        <v>Hortifruti</v>
      </c>
      <c r="F648" s="85" t="s">
        <v>1110</v>
      </c>
      <c r="G648" s="85" t="s">
        <v>178</v>
      </c>
      <c r="H648" s="85" t="s">
        <v>1083</v>
      </c>
      <c r="I648" s="85">
        <v>10.58</v>
      </c>
      <c r="J648" s="87">
        <f>20/10.58</f>
        <v>1.890359168241966</v>
      </c>
      <c r="K648" s="88">
        <f t="shared" si="33"/>
        <v>20</v>
      </c>
      <c r="L648" s="85">
        <v>3409</v>
      </c>
      <c r="M648" s="118" t="s">
        <v>574</v>
      </c>
      <c r="N648" s="84"/>
      <c r="O648" s="84" t="s">
        <v>46</v>
      </c>
      <c r="R648"/>
    </row>
    <row r="649" spans="1:18" x14ac:dyDescent="0.25">
      <c r="A649" s="84" t="str">
        <f t="shared" si="31"/>
        <v>MarçoSEMANA 3Cenoura</v>
      </c>
      <c r="B649" s="85" t="s">
        <v>31</v>
      </c>
      <c r="C649" s="85" t="s">
        <v>22</v>
      </c>
      <c r="D649" s="85">
        <v>12</v>
      </c>
      <c r="E649" s="116" t="str">
        <f t="shared" si="32"/>
        <v>Hortifruti</v>
      </c>
      <c r="F649" s="85" t="s">
        <v>1110</v>
      </c>
      <c r="G649" s="85" t="s">
        <v>249</v>
      </c>
      <c r="H649" s="85" t="s">
        <v>1083</v>
      </c>
      <c r="I649" s="85">
        <v>20.2</v>
      </c>
      <c r="J649" s="87">
        <f>50/20.2</f>
        <v>2.4752475247524752</v>
      </c>
      <c r="K649" s="88">
        <f t="shared" si="33"/>
        <v>50</v>
      </c>
      <c r="L649" s="85">
        <v>3409</v>
      </c>
      <c r="M649" s="118" t="s">
        <v>575</v>
      </c>
      <c r="N649" s="84"/>
      <c r="O649" s="84" t="s">
        <v>46</v>
      </c>
      <c r="R649"/>
    </row>
    <row r="650" spans="1:18" x14ac:dyDescent="0.25">
      <c r="A650" s="84" t="str">
        <f t="shared" si="31"/>
        <v>MarçoSEMANA 3Chuchu</v>
      </c>
      <c r="B650" s="85" t="s">
        <v>31</v>
      </c>
      <c r="C650" s="85" t="s">
        <v>22</v>
      </c>
      <c r="D650" s="85">
        <v>12</v>
      </c>
      <c r="E650" s="116" t="str">
        <f t="shared" si="32"/>
        <v>Hortifruti</v>
      </c>
      <c r="F650" s="85" t="s">
        <v>1110</v>
      </c>
      <c r="G650" s="85" t="s">
        <v>280</v>
      </c>
      <c r="H650" s="85" t="s">
        <v>1083</v>
      </c>
      <c r="I650" s="85">
        <v>16.2</v>
      </c>
      <c r="J650" s="87">
        <f>25/16.2</f>
        <v>1.5432098765432098</v>
      </c>
      <c r="K650" s="88">
        <f t="shared" si="33"/>
        <v>25</v>
      </c>
      <c r="L650" s="85">
        <v>3409</v>
      </c>
      <c r="M650" s="118" t="s">
        <v>576</v>
      </c>
      <c r="N650" s="84"/>
      <c r="O650" s="84" t="s">
        <v>45</v>
      </c>
      <c r="R650"/>
    </row>
    <row r="651" spans="1:18" x14ac:dyDescent="0.25">
      <c r="A651" s="84" t="str">
        <f t="shared" si="31"/>
        <v>MarçoSEMANA 3Pepino Japonês</v>
      </c>
      <c r="B651" s="85" t="s">
        <v>31</v>
      </c>
      <c r="C651" s="85" t="s">
        <v>22</v>
      </c>
      <c r="D651" s="85">
        <v>12</v>
      </c>
      <c r="E651" s="116" t="str">
        <f t="shared" si="32"/>
        <v>Hortifruti</v>
      </c>
      <c r="F651" s="85" t="s">
        <v>1110</v>
      </c>
      <c r="G651" s="85" t="s">
        <v>576</v>
      </c>
      <c r="H651" s="85" t="s">
        <v>1083</v>
      </c>
      <c r="I651" s="85">
        <f>19.36-0.705</f>
        <v>18.655000000000001</v>
      </c>
      <c r="J651" s="87">
        <f>48/19.36</f>
        <v>2.4793388429752068</v>
      </c>
      <c r="K651" s="88">
        <f t="shared" si="33"/>
        <v>46.252066115702483</v>
      </c>
      <c r="L651" s="85">
        <v>3409</v>
      </c>
      <c r="M651" s="118" t="s">
        <v>885</v>
      </c>
      <c r="N651" s="84"/>
      <c r="O651" s="84" t="s">
        <v>874</v>
      </c>
      <c r="R651"/>
    </row>
    <row r="652" spans="1:18" x14ac:dyDescent="0.25">
      <c r="A652" s="84" t="str">
        <f t="shared" si="31"/>
        <v>MarçoSEMANA 3Tomate Salada</v>
      </c>
      <c r="B652" s="85" t="s">
        <v>31</v>
      </c>
      <c r="C652" s="85" t="s">
        <v>22</v>
      </c>
      <c r="D652" s="85">
        <v>12</v>
      </c>
      <c r="E652" s="116" t="str">
        <f t="shared" si="32"/>
        <v>Hortifruti</v>
      </c>
      <c r="F652" s="85" t="s">
        <v>1110</v>
      </c>
      <c r="G652" s="85" t="s">
        <v>794</v>
      </c>
      <c r="H652" s="85" t="s">
        <v>1083</v>
      </c>
      <c r="I652" s="85">
        <v>20.86</v>
      </c>
      <c r="J652" s="87">
        <f>60/20.86</f>
        <v>2.8763183125599232</v>
      </c>
      <c r="K652" s="88">
        <f t="shared" si="33"/>
        <v>60</v>
      </c>
      <c r="L652" s="85">
        <v>3409</v>
      </c>
      <c r="M652" s="118" t="s">
        <v>577</v>
      </c>
      <c r="N652" s="84"/>
      <c r="O652" s="84" t="s">
        <v>45</v>
      </c>
      <c r="R652"/>
    </row>
    <row r="653" spans="1:18" x14ac:dyDescent="0.25">
      <c r="A653" s="84" t="str">
        <f t="shared" si="31"/>
        <v>MarçoSEMANA 3Vagem Macarrão</v>
      </c>
      <c r="B653" s="85" t="s">
        <v>31</v>
      </c>
      <c r="C653" s="85" t="s">
        <v>22</v>
      </c>
      <c r="D653" s="85">
        <v>12</v>
      </c>
      <c r="E653" s="116" t="str">
        <f t="shared" si="32"/>
        <v>Hortifruti</v>
      </c>
      <c r="F653" s="85" t="s">
        <v>1110</v>
      </c>
      <c r="G653" s="85" t="s">
        <v>831</v>
      </c>
      <c r="H653" s="85" t="s">
        <v>1083</v>
      </c>
      <c r="I653" s="85">
        <v>4</v>
      </c>
      <c r="J653" s="87">
        <v>8</v>
      </c>
      <c r="K653" s="88">
        <f t="shared" si="33"/>
        <v>32</v>
      </c>
      <c r="L653" s="85">
        <v>3409</v>
      </c>
      <c r="M653" s="118" t="s">
        <v>578</v>
      </c>
      <c r="N653" s="84"/>
      <c r="O653" s="84" t="s">
        <v>60</v>
      </c>
      <c r="R653"/>
    </row>
    <row r="654" spans="1:18" x14ac:dyDescent="0.25">
      <c r="A654" s="84" t="str">
        <f t="shared" si="31"/>
        <v>MarçoSEMANA 3Ovos Extra</v>
      </c>
      <c r="B654" s="85" t="s">
        <v>31</v>
      </c>
      <c r="C654" s="85" t="s">
        <v>22</v>
      </c>
      <c r="D654" s="85">
        <v>12</v>
      </c>
      <c r="E654" s="116" t="str">
        <f t="shared" si="32"/>
        <v>Hortifruti</v>
      </c>
      <c r="F654" s="85" t="s">
        <v>1110</v>
      </c>
      <c r="G654" s="85" t="s">
        <v>549</v>
      </c>
      <c r="H654" s="85" t="s">
        <v>1083</v>
      </c>
      <c r="I654" s="85">
        <v>360</v>
      </c>
      <c r="J654" s="87">
        <f>110/360</f>
        <v>0.30555555555555558</v>
      </c>
      <c r="K654" s="88">
        <f t="shared" si="33"/>
        <v>110.00000000000001</v>
      </c>
      <c r="L654" s="85">
        <v>3409</v>
      </c>
      <c r="M654" s="118" t="s">
        <v>579</v>
      </c>
      <c r="N654" s="84"/>
      <c r="O654" s="84" t="s">
        <v>42</v>
      </c>
      <c r="R654"/>
    </row>
    <row r="655" spans="1:18" x14ac:dyDescent="0.25">
      <c r="A655" s="84" t="str">
        <f t="shared" si="31"/>
        <v>MarçoSEMANA 3Brócolis Americano</v>
      </c>
      <c r="B655" s="85" t="s">
        <v>31</v>
      </c>
      <c r="C655" s="85" t="s">
        <v>22</v>
      </c>
      <c r="D655" s="85">
        <v>12</v>
      </c>
      <c r="E655" s="116" t="str">
        <f t="shared" si="32"/>
        <v>Hortifruti</v>
      </c>
      <c r="F655" s="85" t="s">
        <v>1110</v>
      </c>
      <c r="G655" s="85" t="s">
        <v>194</v>
      </c>
      <c r="H655" s="85" t="s">
        <v>1083</v>
      </c>
      <c r="I655" s="85">
        <v>20</v>
      </c>
      <c r="J655" s="87">
        <v>12</v>
      </c>
      <c r="K655" s="88">
        <f t="shared" si="33"/>
        <v>240</v>
      </c>
      <c r="L655" s="85">
        <v>3409</v>
      </c>
      <c r="M655" s="118" t="s">
        <v>580</v>
      </c>
      <c r="N655" s="84"/>
      <c r="O655" s="84" t="s">
        <v>45</v>
      </c>
      <c r="R655"/>
    </row>
    <row r="656" spans="1:18" x14ac:dyDescent="0.25">
      <c r="A656" s="84" t="str">
        <f t="shared" si="31"/>
        <v>MarçoSEMANA 3Cebolinha Verde</v>
      </c>
      <c r="B656" s="85" t="s">
        <v>31</v>
      </c>
      <c r="C656" s="85" t="s">
        <v>22</v>
      </c>
      <c r="D656" s="85">
        <v>12</v>
      </c>
      <c r="E656" s="116" t="str">
        <f t="shared" si="32"/>
        <v>Hortifruti</v>
      </c>
      <c r="F656" s="85" t="s">
        <v>1110</v>
      </c>
      <c r="G656" s="85" t="s">
        <v>247</v>
      </c>
      <c r="H656" s="85" t="s">
        <v>1083</v>
      </c>
      <c r="I656" s="85">
        <v>1</v>
      </c>
      <c r="J656" s="87">
        <v>7</v>
      </c>
      <c r="K656" s="88">
        <f t="shared" si="33"/>
        <v>7</v>
      </c>
      <c r="L656" s="85">
        <v>3409</v>
      </c>
      <c r="M656" s="118" t="s">
        <v>581</v>
      </c>
      <c r="N656" s="84"/>
      <c r="O656" s="84" t="s">
        <v>42</v>
      </c>
      <c r="R656"/>
    </row>
    <row r="657" spans="1:18" x14ac:dyDescent="0.25">
      <c r="A657" s="84" t="str">
        <f t="shared" si="31"/>
        <v>MarçoSEMANA 3Coentro</v>
      </c>
      <c r="B657" s="85" t="s">
        <v>31</v>
      </c>
      <c r="C657" s="85" t="s">
        <v>22</v>
      </c>
      <c r="D657" s="85">
        <v>12</v>
      </c>
      <c r="E657" s="116" t="str">
        <f t="shared" si="32"/>
        <v>Hortifruti</v>
      </c>
      <c r="F657" s="85" t="s">
        <v>1110</v>
      </c>
      <c r="G657" s="85" t="s">
        <v>289</v>
      </c>
      <c r="H657" s="85" t="s">
        <v>1083</v>
      </c>
      <c r="I657" s="85">
        <v>0.3</v>
      </c>
      <c r="J657" s="87">
        <v>25</v>
      </c>
      <c r="K657" s="88">
        <f t="shared" si="33"/>
        <v>7.5</v>
      </c>
      <c r="L657" s="85">
        <v>3409</v>
      </c>
      <c r="M657" s="118" t="s">
        <v>582</v>
      </c>
      <c r="N657" s="84"/>
      <c r="O657" s="84" t="s">
        <v>46</v>
      </c>
      <c r="R657"/>
    </row>
    <row r="658" spans="1:18" x14ac:dyDescent="0.25">
      <c r="A658" s="84" t="str">
        <f t="shared" si="31"/>
        <v>MarçoSEMANA 3Hortelã</v>
      </c>
      <c r="B658" s="85" t="s">
        <v>31</v>
      </c>
      <c r="C658" s="85" t="s">
        <v>22</v>
      </c>
      <c r="D658" s="85">
        <v>12</v>
      </c>
      <c r="E658" s="116" t="str">
        <f t="shared" si="32"/>
        <v>Hortifruti</v>
      </c>
      <c r="F658" s="85" t="s">
        <v>1110</v>
      </c>
      <c r="G658" s="85" t="s">
        <v>405</v>
      </c>
      <c r="H658" s="85" t="s">
        <v>1083</v>
      </c>
      <c r="I658" s="85">
        <v>0.5</v>
      </c>
      <c r="J658" s="87">
        <v>4</v>
      </c>
      <c r="K658" s="88">
        <f t="shared" si="33"/>
        <v>2</v>
      </c>
      <c r="L658" s="85">
        <v>3409</v>
      </c>
      <c r="M658" s="118" t="s">
        <v>1070</v>
      </c>
      <c r="O658" s="84" t="s">
        <v>44</v>
      </c>
      <c r="R658"/>
    </row>
    <row r="659" spans="1:18" x14ac:dyDescent="0.25">
      <c r="A659" s="84" t="str">
        <f t="shared" si="31"/>
        <v>MarçoSEMANA 3Salsa</v>
      </c>
      <c r="B659" s="85" t="s">
        <v>31</v>
      </c>
      <c r="C659" s="85" t="s">
        <v>22</v>
      </c>
      <c r="D659" s="85">
        <v>12</v>
      </c>
      <c r="E659" s="116" t="str">
        <f t="shared" si="32"/>
        <v>Hortifruti</v>
      </c>
      <c r="F659" s="85" t="s">
        <v>1110</v>
      </c>
      <c r="G659" s="85" t="s">
        <v>728</v>
      </c>
      <c r="H659" s="85" t="s">
        <v>1083</v>
      </c>
      <c r="I659" s="85">
        <v>1</v>
      </c>
      <c r="J659" s="87">
        <v>7</v>
      </c>
      <c r="K659" s="88">
        <f t="shared" si="33"/>
        <v>7</v>
      </c>
      <c r="L659" s="85">
        <v>3409</v>
      </c>
      <c r="M659" s="118" t="s">
        <v>1077</v>
      </c>
      <c r="O659" s="84" t="s">
        <v>60</v>
      </c>
      <c r="R659"/>
    </row>
    <row r="660" spans="1:18" x14ac:dyDescent="0.25">
      <c r="A660" s="84" t="str">
        <f t="shared" si="31"/>
        <v>MarçoSEMANA 3Tomilho</v>
      </c>
      <c r="B660" s="85" t="s">
        <v>31</v>
      </c>
      <c r="C660" s="85" t="s">
        <v>22</v>
      </c>
      <c r="D660" s="85">
        <v>12</v>
      </c>
      <c r="E660" s="116" t="str">
        <f t="shared" si="32"/>
        <v>Hortifruti</v>
      </c>
      <c r="F660" s="85" t="s">
        <v>1110</v>
      </c>
      <c r="G660" s="85" t="s">
        <v>797</v>
      </c>
      <c r="H660" s="85" t="s">
        <v>1083</v>
      </c>
      <c r="I660" s="85">
        <v>0.2</v>
      </c>
      <c r="J660" s="87">
        <v>20</v>
      </c>
      <c r="K660" s="88">
        <f t="shared" si="33"/>
        <v>4</v>
      </c>
      <c r="L660" s="85">
        <v>3409</v>
      </c>
      <c r="M660" s="118" t="s">
        <v>583</v>
      </c>
      <c r="N660" s="84"/>
      <c r="O660" s="84" t="s">
        <v>44</v>
      </c>
      <c r="R660"/>
    </row>
    <row r="661" spans="1:18" x14ac:dyDescent="0.25">
      <c r="A661" s="84" t="str">
        <f t="shared" si="31"/>
        <v>MarçoSEMANA 3Goiaba</v>
      </c>
      <c r="B661" s="85" t="s">
        <v>31</v>
      </c>
      <c r="C661" s="85" t="s">
        <v>22</v>
      </c>
      <c r="D661" s="85">
        <v>12</v>
      </c>
      <c r="E661" s="116" t="str">
        <f t="shared" si="32"/>
        <v>Hortifruti</v>
      </c>
      <c r="F661" s="85" t="s">
        <v>1110</v>
      </c>
      <c r="G661" s="85" t="s">
        <v>391</v>
      </c>
      <c r="H661" s="85" t="s">
        <v>1083</v>
      </c>
      <c r="I661" s="85">
        <v>2.6</v>
      </c>
      <c r="J661" s="87">
        <f>20/2.6</f>
        <v>7.6923076923076916</v>
      </c>
      <c r="K661" s="88">
        <f t="shared" si="33"/>
        <v>20</v>
      </c>
      <c r="L661" s="85">
        <v>3409</v>
      </c>
      <c r="M661" s="118" t="s">
        <v>584</v>
      </c>
      <c r="N661" s="84"/>
      <c r="O661" s="84" t="s">
        <v>44</v>
      </c>
      <c r="R661"/>
    </row>
    <row r="662" spans="1:18" x14ac:dyDescent="0.25">
      <c r="A662" s="84" t="str">
        <f t="shared" si="31"/>
        <v>MarçoSEMANA 3Kiwi</v>
      </c>
      <c r="B662" s="85" t="s">
        <v>31</v>
      </c>
      <c r="C662" s="85" t="s">
        <v>22</v>
      </c>
      <c r="D662" s="85">
        <v>12</v>
      </c>
      <c r="E662" s="116" t="str">
        <f t="shared" si="32"/>
        <v>Hortifruti</v>
      </c>
      <c r="F662" s="85" t="s">
        <v>1110</v>
      </c>
      <c r="G662" s="85" t="s">
        <v>453</v>
      </c>
      <c r="H662" s="85" t="s">
        <v>1083</v>
      </c>
      <c r="I662" s="85">
        <v>0.5</v>
      </c>
      <c r="J662" s="87">
        <v>15</v>
      </c>
      <c r="K662" s="88">
        <f t="shared" si="33"/>
        <v>7.5</v>
      </c>
      <c r="L662" s="85">
        <v>3409</v>
      </c>
      <c r="M662" s="118" t="s">
        <v>585</v>
      </c>
      <c r="N662" s="84"/>
      <c r="O662" s="84" t="s">
        <v>44</v>
      </c>
      <c r="R662"/>
    </row>
    <row r="663" spans="1:18" x14ac:dyDescent="0.25">
      <c r="A663" s="84" t="str">
        <f t="shared" si="31"/>
        <v>MarçoSEMANA 3Laranja Pera</v>
      </c>
      <c r="B663" s="85" t="s">
        <v>31</v>
      </c>
      <c r="C663" s="85" t="s">
        <v>22</v>
      </c>
      <c r="D663" s="85">
        <v>12</v>
      </c>
      <c r="E663" s="116" t="str">
        <f t="shared" si="32"/>
        <v>Hortifruti</v>
      </c>
      <c r="F663" s="85" t="s">
        <v>1110</v>
      </c>
      <c r="G663" s="85" t="s">
        <v>456</v>
      </c>
      <c r="H663" s="85" t="s">
        <v>1083</v>
      </c>
      <c r="I663" s="85">
        <v>40.659999999999997</v>
      </c>
      <c r="J663" s="87">
        <f>66/40.66</f>
        <v>1.6232169208066898</v>
      </c>
      <c r="K663" s="88">
        <f t="shared" si="33"/>
        <v>66</v>
      </c>
      <c r="L663" s="85">
        <v>3409</v>
      </c>
      <c r="M663" s="118" t="s">
        <v>586</v>
      </c>
      <c r="N663" s="84"/>
      <c r="O663" s="84" t="s">
        <v>60</v>
      </c>
      <c r="R663"/>
    </row>
    <row r="664" spans="1:18" x14ac:dyDescent="0.25">
      <c r="A664" s="84" t="str">
        <f t="shared" si="31"/>
        <v>MarçoSEMANA 3Manga Palmer</v>
      </c>
      <c r="B664" s="85" t="s">
        <v>31</v>
      </c>
      <c r="C664" s="85" t="s">
        <v>22</v>
      </c>
      <c r="D664" s="85">
        <v>12</v>
      </c>
      <c r="E664" s="116" t="str">
        <f t="shared" si="32"/>
        <v>Hortifruti</v>
      </c>
      <c r="F664" s="85" t="s">
        <v>1110</v>
      </c>
      <c r="G664" s="85" t="s">
        <v>495</v>
      </c>
      <c r="H664" s="85" t="s">
        <v>1083</v>
      </c>
      <c r="I664" s="85">
        <v>6.34</v>
      </c>
      <c r="J664" s="87">
        <f>25/6.34</f>
        <v>3.9432176656151419</v>
      </c>
      <c r="K664" s="88">
        <f t="shared" si="33"/>
        <v>25</v>
      </c>
      <c r="L664" s="85">
        <v>3409</v>
      </c>
      <c r="M664" s="118" t="s">
        <v>587</v>
      </c>
      <c r="N664" s="84"/>
      <c r="O664" s="84" t="s">
        <v>44</v>
      </c>
      <c r="R664"/>
    </row>
    <row r="665" spans="1:18" x14ac:dyDescent="0.25">
      <c r="A665" s="84" t="str">
        <f t="shared" si="31"/>
        <v>MarçoSEMANA 3Melão Orange</v>
      </c>
      <c r="B665" s="85" t="s">
        <v>31</v>
      </c>
      <c r="C665" s="85" t="s">
        <v>22</v>
      </c>
      <c r="D665" s="85">
        <v>12</v>
      </c>
      <c r="E665" s="116" t="str">
        <f t="shared" si="32"/>
        <v>Hortifruti</v>
      </c>
      <c r="F665" s="85" t="s">
        <v>1110</v>
      </c>
      <c r="G665" s="85" t="s">
        <v>518</v>
      </c>
      <c r="H665" s="85" t="s">
        <v>1083</v>
      </c>
      <c r="I665" s="85">
        <v>1.8</v>
      </c>
      <c r="J665" s="87">
        <v>4.8</v>
      </c>
      <c r="K665" s="88">
        <f t="shared" si="33"/>
        <v>8.64</v>
      </c>
      <c r="L665" s="85">
        <v>3409</v>
      </c>
      <c r="M665" s="118" t="s">
        <v>588</v>
      </c>
      <c r="N665" s="84"/>
      <c r="O665" s="84" t="s">
        <v>44</v>
      </c>
      <c r="R665"/>
    </row>
    <row r="666" spans="1:18" hidden="1" x14ac:dyDescent="0.2">
      <c r="A666" s="84" t="str">
        <f t="shared" si="31"/>
        <v>MarçoSEMANA 3Pescados - Camarão IQF Evisc. 51/60</v>
      </c>
      <c r="B666" s="85" t="s">
        <v>31</v>
      </c>
      <c r="C666" s="85" t="s">
        <v>22</v>
      </c>
      <c r="D666" s="85">
        <v>12</v>
      </c>
      <c r="E666" s="116" t="str">
        <f t="shared" si="32"/>
        <v>Carnes</v>
      </c>
      <c r="F666" s="85" t="s">
        <v>1104</v>
      </c>
      <c r="G666" s="85" t="s">
        <v>593</v>
      </c>
      <c r="H666" s="85" t="s">
        <v>1083</v>
      </c>
      <c r="I666" s="85">
        <v>6</v>
      </c>
      <c r="J666" s="87">
        <v>69.900000000000006</v>
      </c>
      <c r="K666" s="88">
        <f t="shared" si="33"/>
        <v>419.40000000000003</v>
      </c>
      <c r="L666" s="85" t="s">
        <v>1218</v>
      </c>
      <c r="M666" s="118" t="s">
        <v>589</v>
      </c>
      <c r="N666" s="84"/>
      <c r="O666" s="84" t="s">
        <v>44</v>
      </c>
      <c r="R666"/>
    </row>
    <row r="667" spans="1:18" x14ac:dyDescent="0.25">
      <c r="A667" s="84" t="str">
        <f t="shared" si="31"/>
        <v>MarçoSEMANA 3Cenoura Orgânica</v>
      </c>
      <c r="B667" s="85" t="s">
        <v>31</v>
      </c>
      <c r="C667" s="85" t="s">
        <v>22</v>
      </c>
      <c r="D667" s="85">
        <v>12</v>
      </c>
      <c r="E667" s="116" t="str">
        <f t="shared" si="32"/>
        <v>Hortifruti</v>
      </c>
      <c r="F667" s="85" t="s">
        <v>1130</v>
      </c>
      <c r="G667" s="85" t="s">
        <v>252</v>
      </c>
      <c r="H667" s="85" t="s">
        <v>1083</v>
      </c>
      <c r="I667" s="85">
        <v>6.07</v>
      </c>
      <c r="J667" s="87">
        <v>7.75</v>
      </c>
      <c r="K667" s="88">
        <f t="shared" si="33"/>
        <v>47.042500000000004</v>
      </c>
      <c r="L667" s="85">
        <v>97518</v>
      </c>
      <c r="M667" s="118" t="s">
        <v>590</v>
      </c>
      <c r="N667" s="84"/>
      <c r="O667" s="84" t="s">
        <v>44</v>
      </c>
      <c r="R667"/>
    </row>
    <row r="668" spans="1:18" hidden="1" x14ac:dyDescent="0.2">
      <c r="A668" s="84" t="str">
        <f t="shared" si="31"/>
        <v>MarçoSEMANA 3Batata Palito 9M</v>
      </c>
      <c r="B668" s="85" t="s">
        <v>31</v>
      </c>
      <c r="C668" s="85" t="s">
        <v>22</v>
      </c>
      <c r="D668" s="85">
        <v>12</v>
      </c>
      <c r="E668" s="116" t="str">
        <f t="shared" si="32"/>
        <v>Mercado</v>
      </c>
      <c r="F668" s="85" t="s">
        <v>1101</v>
      </c>
      <c r="G668" s="85" t="s">
        <v>175</v>
      </c>
      <c r="H668" s="85" t="s">
        <v>1083</v>
      </c>
      <c r="I668" s="85">
        <v>12.5</v>
      </c>
      <c r="J668" s="87">
        <v>6.58</v>
      </c>
      <c r="K668" s="88">
        <f t="shared" si="33"/>
        <v>82.25</v>
      </c>
      <c r="L668" s="85" t="s">
        <v>1219</v>
      </c>
      <c r="M668" s="118" t="s">
        <v>591</v>
      </c>
      <c r="N668" s="84"/>
      <c r="O668" s="84" t="s">
        <v>44</v>
      </c>
      <c r="R668"/>
    </row>
    <row r="669" spans="1:18" hidden="1" x14ac:dyDescent="0.2">
      <c r="A669" s="84" t="str">
        <f t="shared" si="31"/>
        <v>MarçoSEMANA 3Queijo Parmezon</v>
      </c>
      <c r="B669" s="85" t="s">
        <v>31</v>
      </c>
      <c r="C669" s="85" t="s">
        <v>22</v>
      </c>
      <c r="D669" s="85">
        <v>12</v>
      </c>
      <c r="E669" s="116" t="str">
        <f t="shared" si="32"/>
        <v>Laticínios</v>
      </c>
      <c r="F669" s="85" t="s">
        <v>1101</v>
      </c>
      <c r="G669" s="85" t="s">
        <v>685</v>
      </c>
      <c r="H669" s="85" t="s">
        <v>1083</v>
      </c>
      <c r="I669" s="85">
        <v>6.2</v>
      </c>
      <c r="J669" s="87">
        <v>24.96</v>
      </c>
      <c r="K669" s="88">
        <f t="shared" si="33"/>
        <v>154.75200000000001</v>
      </c>
      <c r="L669" s="85" t="s">
        <v>1219</v>
      </c>
      <c r="M669" s="118" t="s">
        <v>592</v>
      </c>
      <c r="N669" s="84"/>
      <c r="O669" s="84" t="s">
        <v>44</v>
      </c>
      <c r="R669"/>
    </row>
    <row r="670" spans="1:18" hidden="1" x14ac:dyDescent="0.2">
      <c r="A670" s="84" t="str">
        <f t="shared" si="31"/>
        <v>MarçoSEMANA 3Creme de Leite Culinário 20% Bd 10 Lt</v>
      </c>
      <c r="B670" s="85" t="s">
        <v>31</v>
      </c>
      <c r="C670" s="85" t="s">
        <v>22</v>
      </c>
      <c r="D670" s="85">
        <v>12</v>
      </c>
      <c r="E670" s="116" t="str">
        <f t="shared" si="32"/>
        <v>Laticínios</v>
      </c>
      <c r="F670" s="85" t="s">
        <v>1152</v>
      </c>
      <c r="G670" s="85" t="s">
        <v>315</v>
      </c>
      <c r="H670" s="85" t="s">
        <v>1088</v>
      </c>
      <c r="I670" s="85">
        <v>2</v>
      </c>
      <c r="J670" s="87">
        <v>142.44999999999999</v>
      </c>
      <c r="K670" s="88">
        <f t="shared" si="33"/>
        <v>284.89999999999998</v>
      </c>
      <c r="L670" s="85" t="s">
        <v>1220</v>
      </c>
      <c r="M670" s="118" t="s">
        <v>593</v>
      </c>
      <c r="N670" s="84"/>
      <c r="O670" s="84" t="s">
        <v>44</v>
      </c>
      <c r="R670"/>
    </row>
    <row r="671" spans="1:18" hidden="1" x14ac:dyDescent="0.2">
      <c r="A671" s="84" t="str">
        <f t="shared" si="31"/>
        <v>MarçoSEMANA 3Queijo Requeijão BD 3,6 Kg</v>
      </c>
      <c r="B671" s="85" t="s">
        <v>31</v>
      </c>
      <c r="C671" s="85" t="s">
        <v>22</v>
      </c>
      <c r="D671" s="85">
        <v>12</v>
      </c>
      <c r="E671" s="116" t="str">
        <f t="shared" si="32"/>
        <v>Laticínios</v>
      </c>
      <c r="F671" s="85" t="s">
        <v>1152</v>
      </c>
      <c r="G671" s="85" t="s">
        <v>687</v>
      </c>
      <c r="H671" s="85" t="s">
        <v>1088</v>
      </c>
      <c r="I671" s="85">
        <v>1</v>
      </c>
      <c r="J671" s="87">
        <v>74.400000000000006</v>
      </c>
      <c r="K671" s="88">
        <f t="shared" si="33"/>
        <v>74.400000000000006</v>
      </c>
      <c r="L671" s="85" t="s">
        <v>1220</v>
      </c>
      <c r="M671" s="118" t="s">
        <v>594</v>
      </c>
      <c r="N671" s="84"/>
      <c r="O671" s="84" t="s">
        <v>44</v>
      </c>
      <c r="R671"/>
    </row>
    <row r="672" spans="1:18" hidden="1" x14ac:dyDescent="0.2">
      <c r="A672" s="84" t="str">
        <f t="shared" si="31"/>
        <v>MarçoSEMANA 3Aves - Filé de Peito de Frango</v>
      </c>
      <c r="B672" s="85" t="s">
        <v>31</v>
      </c>
      <c r="C672" s="85" t="s">
        <v>22</v>
      </c>
      <c r="D672" s="85">
        <v>12</v>
      </c>
      <c r="E672" s="116" t="str">
        <f t="shared" si="32"/>
        <v>Carnes</v>
      </c>
      <c r="F672" s="85" t="s">
        <v>1092</v>
      </c>
      <c r="G672" s="85" t="s">
        <v>139</v>
      </c>
      <c r="H672" s="85" t="s">
        <v>1083</v>
      </c>
      <c r="I672" s="85">
        <v>48</v>
      </c>
      <c r="J672" s="87">
        <v>7.8</v>
      </c>
      <c r="K672" s="88">
        <f t="shared" si="33"/>
        <v>374.4</v>
      </c>
      <c r="L672" s="85">
        <v>3406438</v>
      </c>
      <c r="M672" s="118" t="s">
        <v>595</v>
      </c>
      <c r="N672" s="84"/>
      <c r="O672" s="84" t="s">
        <v>44</v>
      </c>
      <c r="R672"/>
    </row>
    <row r="673" spans="1:18" hidden="1" x14ac:dyDescent="0.2">
      <c r="A673" s="84" t="str">
        <f t="shared" si="31"/>
        <v>MarçoSEMANA 3Carne Bovina - Filé Mignon 3/4</v>
      </c>
      <c r="B673" s="85" t="s">
        <v>31</v>
      </c>
      <c r="C673" s="85" t="s">
        <v>22</v>
      </c>
      <c r="D673" s="85">
        <v>12</v>
      </c>
      <c r="E673" s="116" t="str">
        <f t="shared" si="32"/>
        <v>Carnes</v>
      </c>
      <c r="F673" s="85" t="s">
        <v>1100</v>
      </c>
      <c r="G673" s="85" t="s">
        <v>223</v>
      </c>
      <c r="H673" s="85" t="s">
        <v>1083</v>
      </c>
      <c r="I673" s="85">
        <v>20.872</v>
      </c>
      <c r="J673" s="87">
        <v>32.653100000000002</v>
      </c>
      <c r="K673" s="88">
        <f t="shared" si="33"/>
        <v>681.53550319999999</v>
      </c>
      <c r="L673" s="85" t="s">
        <v>1221</v>
      </c>
      <c r="M673" s="118" t="s">
        <v>596</v>
      </c>
      <c r="N673" s="84"/>
      <c r="O673" s="84" t="s">
        <v>44</v>
      </c>
      <c r="R673"/>
    </row>
    <row r="674" spans="1:18" hidden="1" x14ac:dyDescent="0.2">
      <c r="A674" s="84" t="str">
        <f t="shared" si="31"/>
        <v>MarçoSEMANA 3Pescados - Bacalhau Salgado</v>
      </c>
      <c r="B674" s="85" t="s">
        <v>31</v>
      </c>
      <c r="C674" s="85" t="s">
        <v>22</v>
      </c>
      <c r="D674" s="85">
        <v>12</v>
      </c>
      <c r="E674" s="116" t="str">
        <f t="shared" si="32"/>
        <v>Carnes</v>
      </c>
      <c r="F674" s="85" t="s">
        <v>1108</v>
      </c>
      <c r="G674" s="85" t="s">
        <v>588</v>
      </c>
      <c r="H674" s="85" t="s">
        <v>1083</v>
      </c>
      <c r="I674" s="85">
        <v>25</v>
      </c>
      <c r="J674" s="87">
        <f>1372.88/25</f>
        <v>54.915200000000006</v>
      </c>
      <c r="K674" s="88">
        <f t="shared" si="33"/>
        <v>1372.88</v>
      </c>
      <c r="L674" s="85" t="s">
        <v>1222</v>
      </c>
      <c r="M674" s="118" t="s">
        <v>597</v>
      </c>
      <c r="N674" s="84"/>
      <c r="O674" s="84" t="s">
        <v>44</v>
      </c>
      <c r="R674"/>
    </row>
    <row r="675" spans="1:18" x14ac:dyDescent="0.25">
      <c r="A675" s="84" t="str">
        <f t="shared" si="31"/>
        <v>MarçoSEMANA 3Alface crespa Orgânica</v>
      </c>
      <c r="B675" s="85" t="s">
        <v>31</v>
      </c>
      <c r="C675" s="85" t="s">
        <v>22</v>
      </c>
      <c r="D675" s="85">
        <v>12</v>
      </c>
      <c r="E675" s="116" t="str">
        <f t="shared" si="32"/>
        <v>Hortifruti</v>
      </c>
      <c r="F675" s="85" t="s">
        <v>1130</v>
      </c>
      <c r="G675" s="85" t="s">
        <v>105</v>
      </c>
      <c r="H675" s="85" t="s">
        <v>1083</v>
      </c>
      <c r="I675" s="85">
        <v>2.46</v>
      </c>
      <c r="J675" s="87">
        <f>(25/2.46)+1.513</f>
        <v>11.67560162601626</v>
      </c>
      <c r="K675" s="88">
        <f t="shared" si="33"/>
        <v>28.721979999999999</v>
      </c>
      <c r="L675" s="85" t="s">
        <v>1223</v>
      </c>
      <c r="M675" s="118" t="s">
        <v>598</v>
      </c>
      <c r="N675" s="84"/>
      <c r="O675" s="84" t="s">
        <v>44</v>
      </c>
      <c r="R675"/>
    </row>
    <row r="676" spans="1:18" x14ac:dyDescent="0.25">
      <c r="A676" s="84" t="str">
        <f t="shared" si="31"/>
        <v>MarçoSEMANA 3Alface Roxa Orgânica</v>
      </c>
      <c r="B676" s="85" t="s">
        <v>31</v>
      </c>
      <c r="C676" s="85" t="s">
        <v>22</v>
      </c>
      <c r="D676" s="85">
        <v>12</v>
      </c>
      <c r="E676" s="116" t="str">
        <f t="shared" si="32"/>
        <v>Hortifruti</v>
      </c>
      <c r="F676" s="85" t="s">
        <v>1130</v>
      </c>
      <c r="G676" s="85" t="s">
        <v>109</v>
      </c>
      <c r="H676" s="85" t="s">
        <v>1083</v>
      </c>
      <c r="I676" s="85">
        <v>2.08</v>
      </c>
      <c r="J676" s="87">
        <f>(20/2.08)+1.513</f>
        <v>11.128384615384615</v>
      </c>
      <c r="K676" s="88">
        <f t="shared" si="33"/>
        <v>23.147040000000001</v>
      </c>
      <c r="L676" s="85" t="s">
        <v>1223</v>
      </c>
      <c r="M676" s="118" t="s">
        <v>599</v>
      </c>
      <c r="N676" s="84"/>
      <c r="O676" s="84" t="s">
        <v>44</v>
      </c>
      <c r="R676"/>
    </row>
    <row r="677" spans="1:18" x14ac:dyDescent="0.25">
      <c r="A677" s="84" t="str">
        <f t="shared" si="31"/>
        <v>MarçoSEMANA 3Rúcula Orgânica</v>
      </c>
      <c r="B677" s="85" t="s">
        <v>31</v>
      </c>
      <c r="C677" s="85" t="s">
        <v>22</v>
      </c>
      <c r="D677" s="85">
        <v>12</v>
      </c>
      <c r="E677" s="116" t="str">
        <f t="shared" si="32"/>
        <v>Hortifruti</v>
      </c>
      <c r="F677" s="85" t="s">
        <v>1130</v>
      </c>
      <c r="G677" s="85" t="s">
        <v>706</v>
      </c>
      <c r="H677" s="85" t="s">
        <v>1083</v>
      </c>
      <c r="I677" s="85">
        <v>2</v>
      </c>
      <c r="J677" s="87">
        <f>(32/2)+1.513</f>
        <v>17.512999999999998</v>
      </c>
      <c r="K677" s="88">
        <f t="shared" si="33"/>
        <v>35.025999999999996</v>
      </c>
      <c r="L677" s="85" t="s">
        <v>1223</v>
      </c>
      <c r="M677" s="118" t="s">
        <v>600</v>
      </c>
      <c r="N677" s="84"/>
      <c r="O677" s="84" t="s">
        <v>44</v>
      </c>
      <c r="R677"/>
    </row>
    <row r="678" spans="1:18" hidden="1" x14ac:dyDescent="0.2">
      <c r="A678" s="84" t="str">
        <f t="shared" si="31"/>
        <v xml:space="preserve">MarçoSEMANA 3Tapioca Granulada </v>
      </c>
      <c r="B678" s="85" t="s">
        <v>31</v>
      </c>
      <c r="C678" s="85" t="s">
        <v>22</v>
      </c>
      <c r="D678" s="85">
        <v>13</v>
      </c>
      <c r="E678" s="116" t="str">
        <f t="shared" si="32"/>
        <v>Mercado</v>
      </c>
      <c r="F678" s="85" t="s">
        <v>1158</v>
      </c>
      <c r="G678" s="85" t="s">
        <v>784</v>
      </c>
      <c r="H678" s="85" t="s">
        <v>1083</v>
      </c>
      <c r="I678" s="85">
        <v>1</v>
      </c>
      <c r="J678" s="87">
        <f>8.55/0.5</f>
        <v>17.100000000000001</v>
      </c>
      <c r="K678" s="88">
        <f t="shared" si="33"/>
        <v>17.100000000000001</v>
      </c>
      <c r="L678" s="85">
        <v>83204</v>
      </c>
      <c r="M678" s="118" t="s">
        <v>601</v>
      </c>
      <c r="N678" s="84"/>
      <c r="O678" s="84" t="s">
        <v>44</v>
      </c>
      <c r="R678"/>
    </row>
    <row r="679" spans="1:18" x14ac:dyDescent="0.25">
      <c r="A679" s="84" t="str">
        <f t="shared" si="31"/>
        <v>MarçoSEMANA 3Ovo de Codorna</v>
      </c>
      <c r="B679" s="85" t="s">
        <v>31</v>
      </c>
      <c r="C679" s="85" t="s">
        <v>22</v>
      </c>
      <c r="D679" s="85">
        <v>13</v>
      </c>
      <c r="E679" s="116" t="str">
        <f t="shared" si="32"/>
        <v>Hortifruti</v>
      </c>
      <c r="F679" s="85" t="s">
        <v>1170</v>
      </c>
      <c r="G679" s="85" t="s">
        <v>548</v>
      </c>
      <c r="H679" s="85" t="s">
        <v>1114</v>
      </c>
      <c r="I679" s="85">
        <v>20</v>
      </c>
      <c r="J679" s="87">
        <v>10.6</v>
      </c>
      <c r="K679" s="88">
        <f t="shared" si="33"/>
        <v>212</v>
      </c>
      <c r="L679" s="85"/>
      <c r="M679" s="118" t="s">
        <v>602</v>
      </c>
      <c r="N679" s="84"/>
      <c r="O679" s="84" t="s">
        <v>44</v>
      </c>
      <c r="R679"/>
    </row>
    <row r="680" spans="1:18" x14ac:dyDescent="0.25">
      <c r="A680" s="84" t="str">
        <f t="shared" si="31"/>
        <v xml:space="preserve">MarçoSEMANA 3Alface Americana    </v>
      </c>
      <c r="B680" s="85" t="s">
        <v>31</v>
      </c>
      <c r="C680" s="85" t="s">
        <v>22</v>
      </c>
      <c r="D680" s="85">
        <v>12</v>
      </c>
      <c r="E680" s="116" t="str">
        <f t="shared" si="32"/>
        <v>Hortifruti</v>
      </c>
      <c r="F680" s="85" t="s">
        <v>1158</v>
      </c>
      <c r="G680" s="85" t="s">
        <v>102</v>
      </c>
      <c r="H680" s="85" t="s">
        <v>1083</v>
      </c>
      <c r="I680" s="85">
        <v>3.5</v>
      </c>
      <c r="J680" s="87">
        <f>35.91/3.5</f>
        <v>10.26</v>
      </c>
      <c r="K680" s="88">
        <f t="shared" si="33"/>
        <v>35.909999999999997</v>
      </c>
      <c r="L680" s="85"/>
      <c r="M680" s="118" t="s">
        <v>603</v>
      </c>
      <c r="N680" s="84"/>
      <c r="O680" s="84" t="s">
        <v>44</v>
      </c>
      <c r="R680"/>
    </row>
    <row r="681" spans="1:18" x14ac:dyDescent="0.25">
      <c r="A681" s="84" t="str">
        <f t="shared" si="31"/>
        <v>MarçoSEMANA 3Rúcula</v>
      </c>
      <c r="B681" s="85" t="s">
        <v>31</v>
      </c>
      <c r="C681" s="85" t="s">
        <v>22</v>
      </c>
      <c r="D681" s="85">
        <v>13</v>
      </c>
      <c r="E681" s="116" t="str">
        <f t="shared" si="32"/>
        <v>Hortifruti</v>
      </c>
      <c r="F681" s="85" t="s">
        <v>1190</v>
      </c>
      <c r="G681" s="85" t="s">
        <v>705</v>
      </c>
      <c r="H681" s="85" t="s">
        <v>1083</v>
      </c>
      <c r="I681" s="85">
        <v>1.66</v>
      </c>
      <c r="J681" s="87">
        <f>28/1.66</f>
        <v>16.867469879518072</v>
      </c>
      <c r="K681" s="88">
        <f t="shared" si="33"/>
        <v>28</v>
      </c>
      <c r="L681" s="85">
        <v>218871</v>
      </c>
      <c r="M681" s="118" t="s">
        <v>604</v>
      </c>
      <c r="N681" s="84"/>
      <c r="O681" s="84" t="s">
        <v>60</v>
      </c>
      <c r="R681"/>
    </row>
    <row r="682" spans="1:18" x14ac:dyDescent="0.25">
      <c r="A682" s="84" t="str">
        <f t="shared" si="31"/>
        <v xml:space="preserve">MarçoSEMANA 3Alface Americana    </v>
      </c>
      <c r="B682" s="85" t="s">
        <v>31</v>
      </c>
      <c r="C682" s="85" t="s">
        <v>22</v>
      </c>
      <c r="D682" s="85">
        <v>13</v>
      </c>
      <c r="E682" s="116" t="str">
        <f t="shared" si="32"/>
        <v>Hortifruti</v>
      </c>
      <c r="F682" s="85" t="s">
        <v>1190</v>
      </c>
      <c r="G682" s="85" t="s">
        <v>102</v>
      </c>
      <c r="H682" s="85" t="s">
        <v>1083</v>
      </c>
      <c r="I682" s="85">
        <v>4.58</v>
      </c>
      <c r="J682" s="87">
        <f>22.4/4.58</f>
        <v>4.890829694323144</v>
      </c>
      <c r="K682" s="88">
        <f t="shared" si="33"/>
        <v>22.4</v>
      </c>
      <c r="L682" s="85">
        <v>218871</v>
      </c>
      <c r="M682" s="118" t="s">
        <v>605</v>
      </c>
      <c r="N682" s="84"/>
      <c r="O682" s="84" t="s">
        <v>44</v>
      </c>
      <c r="R682"/>
    </row>
    <row r="683" spans="1:18" hidden="1" x14ac:dyDescent="0.2">
      <c r="A683" s="84" t="str">
        <f t="shared" si="31"/>
        <v>MarçoSEMANA 3Pescados - Filé Tilápia Cong.</v>
      </c>
      <c r="B683" s="85" t="s">
        <v>31</v>
      </c>
      <c r="C683" s="85" t="s">
        <v>22</v>
      </c>
      <c r="D683" s="85">
        <v>13</v>
      </c>
      <c r="E683" s="116" t="str">
        <f t="shared" si="32"/>
        <v>Carnes</v>
      </c>
      <c r="F683" s="85" t="s">
        <v>1145</v>
      </c>
      <c r="G683" s="85" t="s">
        <v>613</v>
      </c>
      <c r="H683" s="85" t="s">
        <v>1083</v>
      </c>
      <c r="I683" s="85">
        <v>24</v>
      </c>
      <c r="J683" s="87">
        <v>26.3</v>
      </c>
      <c r="K683" s="88">
        <f t="shared" si="33"/>
        <v>631.20000000000005</v>
      </c>
      <c r="L683" s="85">
        <v>61062</v>
      </c>
      <c r="M683" s="118" t="s">
        <v>606</v>
      </c>
      <c r="N683" s="84"/>
      <c r="O683" s="84" t="s">
        <v>44</v>
      </c>
      <c r="R683"/>
    </row>
    <row r="684" spans="1:18" x14ac:dyDescent="0.25">
      <c r="A684" s="84" t="str">
        <f t="shared" si="31"/>
        <v xml:space="preserve">MarçoSEMANA 3Abobrinha </v>
      </c>
      <c r="B684" s="85" t="s">
        <v>31</v>
      </c>
      <c r="C684" s="85" t="s">
        <v>22</v>
      </c>
      <c r="D684" s="85">
        <v>13</v>
      </c>
      <c r="E684" s="116" t="str">
        <f t="shared" si="32"/>
        <v>Hortifruti</v>
      </c>
      <c r="F684" s="85" t="s">
        <v>1110</v>
      </c>
      <c r="G684" s="85" t="s">
        <v>72</v>
      </c>
      <c r="H684" s="85" t="s">
        <v>1083</v>
      </c>
      <c r="I684" s="85">
        <v>16.14</v>
      </c>
      <c r="J684" s="87">
        <f>40/16.14</f>
        <v>2.4783147459727384</v>
      </c>
      <c r="K684" s="88">
        <f t="shared" si="33"/>
        <v>40</v>
      </c>
      <c r="L684" s="85">
        <v>3422</v>
      </c>
      <c r="M684" s="118" t="s">
        <v>607</v>
      </c>
      <c r="N684" s="84"/>
      <c r="O684" s="84" t="s">
        <v>44</v>
      </c>
      <c r="R684"/>
    </row>
    <row r="685" spans="1:18" x14ac:dyDescent="0.25">
      <c r="A685" s="84" t="str">
        <f t="shared" si="31"/>
        <v>MarçoSEMANA 3Batata Doce</v>
      </c>
      <c r="B685" s="85" t="s">
        <v>31</v>
      </c>
      <c r="C685" s="85" t="s">
        <v>22</v>
      </c>
      <c r="D685" s="85">
        <v>13</v>
      </c>
      <c r="E685" s="116" t="str">
        <f t="shared" si="32"/>
        <v>Hortifruti</v>
      </c>
      <c r="F685" s="85" t="s">
        <v>1110</v>
      </c>
      <c r="G685" s="85" t="s">
        <v>170</v>
      </c>
      <c r="H685" s="85" t="s">
        <v>1083</v>
      </c>
      <c r="I685" s="85">
        <v>18.579999999999998</v>
      </c>
      <c r="J685" s="87">
        <f>36/18.58</f>
        <v>1.9375672766415502</v>
      </c>
      <c r="K685" s="88">
        <f t="shared" si="33"/>
        <v>36</v>
      </c>
      <c r="L685" s="85">
        <v>3422</v>
      </c>
      <c r="M685" s="118" t="s">
        <v>608</v>
      </c>
      <c r="N685" s="84"/>
      <c r="O685" s="84" t="s">
        <v>44</v>
      </c>
      <c r="R685"/>
    </row>
    <row r="686" spans="1:18" x14ac:dyDescent="0.25">
      <c r="A686" s="84" t="str">
        <f t="shared" si="31"/>
        <v>MarçoSEMANA 3Berinjela</v>
      </c>
      <c r="B686" s="85" t="s">
        <v>31</v>
      </c>
      <c r="C686" s="85" t="s">
        <v>22</v>
      </c>
      <c r="D686" s="85">
        <v>13</v>
      </c>
      <c r="E686" s="116" t="str">
        <f t="shared" si="32"/>
        <v>Hortifruti</v>
      </c>
      <c r="F686" s="85" t="s">
        <v>1110</v>
      </c>
      <c r="G686" s="85" t="s">
        <v>178</v>
      </c>
      <c r="H686" s="85" t="s">
        <v>1083</v>
      </c>
      <c r="I686" s="85">
        <v>11.04</v>
      </c>
      <c r="J686" s="87">
        <f>20/11.04</f>
        <v>1.8115942028985508</v>
      </c>
      <c r="K686" s="88">
        <f t="shared" si="33"/>
        <v>20</v>
      </c>
      <c r="L686" s="85">
        <v>3422</v>
      </c>
      <c r="M686" s="118" t="s">
        <v>609</v>
      </c>
      <c r="N686" s="84"/>
      <c r="O686" s="84" t="s">
        <v>44</v>
      </c>
      <c r="R686"/>
    </row>
    <row r="687" spans="1:18" x14ac:dyDescent="0.25">
      <c r="A687" s="84" t="str">
        <f t="shared" si="31"/>
        <v>MarçoSEMANA 3Pimentão Verde</v>
      </c>
      <c r="B687" s="85" t="s">
        <v>31</v>
      </c>
      <c r="C687" s="85" t="s">
        <v>22</v>
      </c>
      <c r="D687" s="85">
        <v>13</v>
      </c>
      <c r="E687" s="116" t="str">
        <f t="shared" si="32"/>
        <v>Hortifruti</v>
      </c>
      <c r="F687" s="85" t="s">
        <v>1110</v>
      </c>
      <c r="G687" s="85" t="s">
        <v>665</v>
      </c>
      <c r="H687" s="85" t="s">
        <v>1083</v>
      </c>
      <c r="I687" s="85">
        <v>1</v>
      </c>
      <c r="J687" s="87">
        <v>4</v>
      </c>
      <c r="K687" s="88">
        <f t="shared" si="33"/>
        <v>4</v>
      </c>
      <c r="L687" s="85">
        <v>3422</v>
      </c>
      <c r="M687" s="118" t="s">
        <v>610</v>
      </c>
      <c r="N687" s="84"/>
      <c r="O687" s="84" t="s">
        <v>44</v>
      </c>
      <c r="R687"/>
    </row>
    <row r="688" spans="1:18" x14ac:dyDescent="0.25">
      <c r="A688" s="84" t="str">
        <f t="shared" si="31"/>
        <v>MarçoSEMANA 3Quiabo</v>
      </c>
      <c r="B688" s="85" t="s">
        <v>31</v>
      </c>
      <c r="C688" s="85" t="s">
        <v>22</v>
      </c>
      <c r="D688" s="85">
        <v>13</v>
      </c>
      <c r="E688" s="116" t="str">
        <f t="shared" si="32"/>
        <v>Hortifruti</v>
      </c>
      <c r="F688" s="85" t="s">
        <v>1110</v>
      </c>
      <c r="G688" s="85" t="s">
        <v>689</v>
      </c>
      <c r="H688" s="85" t="s">
        <v>1083</v>
      </c>
      <c r="I688" s="85">
        <v>6</v>
      </c>
      <c r="J688" s="87">
        <v>3.6</v>
      </c>
      <c r="K688" s="88">
        <f t="shared" si="33"/>
        <v>21.6</v>
      </c>
      <c r="L688" s="85">
        <v>3422</v>
      </c>
      <c r="M688" s="118" t="s">
        <v>611</v>
      </c>
      <c r="N688" s="84"/>
      <c r="O688" s="84" t="s">
        <v>60</v>
      </c>
      <c r="R688"/>
    </row>
    <row r="689" spans="1:18" x14ac:dyDescent="0.25">
      <c r="A689" s="84" t="str">
        <f t="shared" si="31"/>
        <v>MarçoSEMANA 3Repolho</v>
      </c>
      <c r="B689" s="85" t="s">
        <v>31</v>
      </c>
      <c r="C689" s="85" t="s">
        <v>22</v>
      </c>
      <c r="D689" s="85">
        <v>13</v>
      </c>
      <c r="E689" s="116" t="str">
        <f t="shared" si="32"/>
        <v>Hortifruti</v>
      </c>
      <c r="F689" s="85" t="s">
        <v>1110</v>
      </c>
      <c r="G689" s="85" t="s">
        <v>700</v>
      </c>
      <c r="H689" s="85" t="s">
        <v>1083</v>
      </c>
      <c r="I689" s="85">
        <v>4</v>
      </c>
      <c r="J689" s="87">
        <v>2</v>
      </c>
      <c r="K689" s="88">
        <f t="shared" si="33"/>
        <v>8</v>
      </c>
      <c r="L689" s="85">
        <v>3422</v>
      </c>
      <c r="M689" s="118" t="s">
        <v>612</v>
      </c>
      <c r="N689" s="84"/>
      <c r="O689" s="84" t="s">
        <v>44</v>
      </c>
      <c r="R689"/>
    </row>
    <row r="690" spans="1:18" x14ac:dyDescent="0.25">
      <c r="A690" s="84" t="str">
        <f t="shared" si="31"/>
        <v>MarçoSEMANA 3Vagem Macarrão</v>
      </c>
      <c r="B690" s="85" t="s">
        <v>31</v>
      </c>
      <c r="C690" s="85" t="s">
        <v>22</v>
      </c>
      <c r="D690" s="85">
        <v>13</v>
      </c>
      <c r="E690" s="116" t="str">
        <f t="shared" si="32"/>
        <v>Hortifruti</v>
      </c>
      <c r="F690" s="85" t="s">
        <v>1110</v>
      </c>
      <c r="G690" s="85" t="s">
        <v>831</v>
      </c>
      <c r="H690" s="85" t="s">
        <v>1083</v>
      </c>
      <c r="I690" s="85">
        <v>5</v>
      </c>
      <c r="J690" s="87">
        <v>8</v>
      </c>
      <c r="K690" s="88">
        <f t="shared" si="33"/>
        <v>40</v>
      </c>
      <c r="L690" s="85">
        <v>3422</v>
      </c>
      <c r="M690" s="118" t="s">
        <v>613</v>
      </c>
      <c r="N690" s="84"/>
      <c r="O690" s="84" t="s">
        <v>44</v>
      </c>
      <c r="R690"/>
    </row>
    <row r="691" spans="1:18" x14ac:dyDescent="0.25">
      <c r="A691" s="84" t="str">
        <f t="shared" si="31"/>
        <v>MarçoSEMANA 3Cebolinha Verde</v>
      </c>
      <c r="B691" s="85" t="s">
        <v>31</v>
      </c>
      <c r="C691" s="85" t="s">
        <v>22</v>
      </c>
      <c r="D691" s="85">
        <v>13</v>
      </c>
      <c r="E691" s="116" t="str">
        <f t="shared" si="32"/>
        <v>Hortifruti</v>
      </c>
      <c r="F691" s="85" t="s">
        <v>1110</v>
      </c>
      <c r="G691" s="85" t="s">
        <v>247</v>
      </c>
      <c r="H691" s="85" t="s">
        <v>1083</v>
      </c>
      <c r="I691" s="85">
        <v>0.5</v>
      </c>
      <c r="J691" s="87">
        <v>7</v>
      </c>
      <c r="K691" s="88">
        <f t="shared" si="33"/>
        <v>3.5</v>
      </c>
      <c r="L691" s="85">
        <v>3422</v>
      </c>
      <c r="M691" s="118" t="s">
        <v>614</v>
      </c>
      <c r="N691" s="84"/>
      <c r="O691" s="84" t="s">
        <v>44</v>
      </c>
      <c r="R691"/>
    </row>
    <row r="692" spans="1:18" x14ac:dyDescent="0.25">
      <c r="A692" s="84" t="str">
        <f t="shared" si="31"/>
        <v>MarçoSEMANA 3Espinafre</v>
      </c>
      <c r="B692" s="85" t="s">
        <v>31</v>
      </c>
      <c r="C692" s="85" t="s">
        <v>22</v>
      </c>
      <c r="D692" s="85">
        <v>13</v>
      </c>
      <c r="E692" s="116" t="str">
        <f t="shared" si="32"/>
        <v>Hortifruti</v>
      </c>
      <c r="F692" s="85" t="s">
        <v>1110</v>
      </c>
      <c r="G692" s="85" t="s">
        <v>332</v>
      </c>
      <c r="H692" s="85" t="s">
        <v>1083</v>
      </c>
      <c r="I692" s="85">
        <v>5</v>
      </c>
      <c r="J692" s="87">
        <v>6</v>
      </c>
      <c r="K692" s="88">
        <f t="shared" si="33"/>
        <v>30</v>
      </c>
      <c r="L692" s="85">
        <v>3422</v>
      </c>
      <c r="M692" s="118" t="s">
        <v>615</v>
      </c>
      <c r="N692" s="84"/>
      <c r="O692" s="84" t="s">
        <v>60</v>
      </c>
      <c r="R692"/>
    </row>
    <row r="693" spans="1:18" x14ac:dyDescent="0.25">
      <c r="A693" s="84" t="str">
        <f t="shared" si="31"/>
        <v>MarçoSEMANA 3Hortelã</v>
      </c>
      <c r="B693" s="85" t="s">
        <v>31</v>
      </c>
      <c r="C693" s="85" t="s">
        <v>22</v>
      </c>
      <c r="D693" s="85">
        <v>13</v>
      </c>
      <c r="E693" s="116" t="str">
        <f t="shared" si="32"/>
        <v>Hortifruti</v>
      </c>
      <c r="F693" s="85" t="s">
        <v>1110</v>
      </c>
      <c r="G693" s="85" t="s">
        <v>405</v>
      </c>
      <c r="H693" s="85" t="s">
        <v>1083</v>
      </c>
      <c r="I693" s="85">
        <v>0.5</v>
      </c>
      <c r="J693" s="87">
        <v>4</v>
      </c>
      <c r="K693" s="88">
        <f t="shared" si="33"/>
        <v>2</v>
      </c>
      <c r="L693" s="85">
        <v>3422</v>
      </c>
      <c r="M693" s="118" t="s">
        <v>616</v>
      </c>
      <c r="N693" s="84"/>
      <c r="O693" s="84" t="s">
        <v>44</v>
      </c>
      <c r="R693"/>
    </row>
    <row r="694" spans="1:18" x14ac:dyDescent="0.25">
      <c r="A694" s="84" t="str">
        <f t="shared" si="31"/>
        <v>MarçoSEMANA 3Manjericão</v>
      </c>
      <c r="B694" s="85" t="s">
        <v>31</v>
      </c>
      <c r="C694" s="85" t="s">
        <v>22</v>
      </c>
      <c r="D694" s="85">
        <v>13</v>
      </c>
      <c r="E694" s="116" t="str">
        <f t="shared" si="32"/>
        <v>Hortifruti</v>
      </c>
      <c r="F694" s="85" t="s">
        <v>1110</v>
      </c>
      <c r="G694" s="85" t="s">
        <v>498</v>
      </c>
      <c r="H694" s="85" t="s">
        <v>1083</v>
      </c>
      <c r="I694" s="85">
        <v>0.5</v>
      </c>
      <c r="J694" s="87">
        <v>10</v>
      </c>
      <c r="K694" s="88">
        <f t="shared" si="33"/>
        <v>5</v>
      </c>
      <c r="L694" s="85">
        <v>3422</v>
      </c>
      <c r="M694" s="118" t="s">
        <v>617</v>
      </c>
      <c r="N694" s="84"/>
      <c r="O694" s="84" t="s">
        <v>44</v>
      </c>
      <c r="R694"/>
    </row>
    <row r="695" spans="1:18" x14ac:dyDescent="0.25">
      <c r="A695" s="84" t="str">
        <f t="shared" si="31"/>
        <v>MarçoSEMANA 3Rabanete</v>
      </c>
      <c r="B695" s="85" t="s">
        <v>31</v>
      </c>
      <c r="C695" s="85" t="s">
        <v>22</v>
      </c>
      <c r="D695" s="85">
        <v>13</v>
      </c>
      <c r="E695" s="116" t="str">
        <f t="shared" si="32"/>
        <v>Hortifruti</v>
      </c>
      <c r="F695" s="85" t="s">
        <v>1110</v>
      </c>
      <c r="G695" s="85" t="s">
        <v>693</v>
      </c>
      <c r="H695" s="85" t="s">
        <v>1083</v>
      </c>
      <c r="I695" s="85">
        <v>3.5</v>
      </c>
      <c r="J695" s="87">
        <v>6.8</v>
      </c>
      <c r="K695" s="88">
        <f t="shared" si="33"/>
        <v>23.8</v>
      </c>
      <c r="L695" s="85">
        <v>3422</v>
      </c>
      <c r="M695" s="118" t="s">
        <v>618</v>
      </c>
      <c r="N695" s="84"/>
      <c r="O695" s="84" t="s">
        <v>44</v>
      </c>
      <c r="R695"/>
    </row>
    <row r="696" spans="1:18" x14ac:dyDescent="0.25">
      <c r="A696" s="84" t="str">
        <f t="shared" si="31"/>
        <v>MarçoSEMANA 3Tofu Kilo</v>
      </c>
      <c r="B696" s="85" t="s">
        <v>31</v>
      </c>
      <c r="C696" s="85" t="s">
        <v>22</v>
      </c>
      <c r="D696" s="85">
        <v>13</v>
      </c>
      <c r="E696" s="116" t="str">
        <f t="shared" si="32"/>
        <v>Hortifruti</v>
      </c>
      <c r="F696" s="85" t="s">
        <v>1110</v>
      </c>
      <c r="G696" s="85" t="s">
        <v>788</v>
      </c>
      <c r="H696" s="85" t="s">
        <v>1083</v>
      </c>
      <c r="I696" s="85">
        <v>3</v>
      </c>
      <c r="J696" s="87">
        <v>14</v>
      </c>
      <c r="K696" s="88">
        <f t="shared" si="33"/>
        <v>42</v>
      </c>
      <c r="L696" s="85">
        <v>3422</v>
      </c>
      <c r="M696" s="118" t="s">
        <v>619</v>
      </c>
      <c r="N696" s="84"/>
      <c r="O696" s="84" t="s">
        <v>60</v>
      </c>
      <c r="R696"/>
    </row>
    <row r="697" spans="1:18" x14ac:dyDescent="0.25">
      <c r="A697" s="84" t="str">
        <f t="shared" si="31"/>
        <v xml:space="preserve">MarçoSEMANA 3Abacaxi </v>
      </c>
      <c r="B697" s="85" t="s">
        <v>31</v>
      </c>
      <c r="C697" s="85" t="s">
        <v>22</v>
      </c>
      <c r="D697" s="85">
        <v>13</v>
      </c>
      <c r="E697" s="116" t="str">
        <f t="shared" si="32"/>
        <v>Hortifruti</v>
      </c>
      <c r="F697" s="85" t="s">
        <v>1110</v>
      </c>
      <c r="G697" s="85" t="s">
        <v>65</v>
      </c>
      <c r="H697" s="85" t="s">
        <v>1083</v>
      </c>
      <c r="I697" s="85">
        <v>6</v>
      </c>
      <c r="J697" s="87">
        <v>3</v>
      </c>
      <c r="K697" s="88">
        <f t="shared" si="33"/>
        <v>18</v>
      </c>
      <c r="L697" s="85">
        <v>3422</v>
      </c>
      <c r="M697" s="118" t="s">
        <v>620</v>
      </c>
      <c r="N697" s="84"/>
      <c r="O697" s="84" t="s">
        <v>44</v>
      </c>
      <c r="R697"/>
    </row>
    <row r="698" spans="1:18" x14ac:dyDescent="0.25">
      <c r="A698" s="84" t="str">
        <f t="shared" si="31"/>
        <v>MarçoSEMANA 3Laranja Pera</v>
      </c>
      <c r="B698" s="85" t="s">
        <v>31</v>
      </c>
      <c r="C698" s="85" t="s">
        <v>22</v>
      </c>
      <c r="D698" s="85">
        <v>13</v>
      </c>
      <c r="E698" s="116" t="str">
        <f t="shared" si="32"/>
        <v>Hortifruti</v>
      </c>
      <c r="F698" s="85" t="s">
        <v>1110</v>
      </c>
      <c r="G698" s="85" t="s">
        <v>456</v>
      </c>
      <c r="H698" s="85" t="s">
        <v>1083</v>
      </c>
      <c r="I698" s="85">
        <v>20.88</v>
      </c>
      <c r="J698" s="87">
        <f>33/20.88</f>
        <v>1.5804597701149425</v>
      </c>
      <c r="K698" s="88">
        <f t="shared" si="33"/>
        <v>33</v>
      </c>
      <c r="L698" s="85">
        <v>3422</v>
      </c>
      <c r="M698" s="118" t="s">
        <v>621</v>
      </c>
      <c r="N698" s="84"/>
      <c r="O698" s="84" t="s">
        <v>60</v>
      </c>
      <c r="R698"/>
    </row>
    <row r="699" spans="1:18" x14ac:dyDescent="0.25">
      <c r="A699" s="84" t="str">
        <f t="shared" si="31"/>
        <v>MarçoSEMANA 3Mamão Bahia</v>
      </c>
      <c r="B699" s="85" t="s">
        <v>31</v>
      </c>
      <c r="C699" s="85" t="s">
        <v>22</v>
      </c>
      <c r="D699" s="85">
        <v>13</v>
      </c>
      <c r="E699" s="116" t="str">
        <f t="shared" si="32"/>
        <v>Hortifruti</v>
      </c>
      <c r="F699" s="85" t="s">
        <v>1110</v>
      </c>
      <c r="G699" s="85" t="s">
        <v>493</v>
      </c>
      <c r="H699" s="85" t="s">
        <v>1083</v>
      </c>
      <c r="I699" s="85">
        <v>2</v>
      </c>
      <c r="J699" s="87">
        <v>2.8</v>
      </c>
      <c r="K699" s="88">
        <f t="shared" si="33"/>
        <v>5.6</v>
      </c>
      <c r="L699" s="85">
        <v>3422</v>
      </c>
      <c r="M699" s="118" t="s">
        <v>622</v>
      </c>
      <c r="N699" s="84"/>
      <c r="O699" s="84" t="s">
        <v>44</v>
      </c>
      <c r="R699"/>
    </row>
    <row r="700" spans="1:18" x14ac:dyDescent="0.25">
      <c r="A700" s="84" t="str">
        <f t="shared" si="31"/>
        <v>MarçoSEMANA 3Manga Palmer</v>
      </c>
      <c r="B700" s="85" t="s">
        <v>31</v>
      </c>
      <c r="C700" s="85" t="s">
        <v>22</v>
      </c>
      <c r="D700" s="85">
        <v>13</v>
      </c>
      <c r="E700" s="116" t="str">
        <f t="shared" si="32"/>
        <v>Hortifruti</v>
      </c>
      <c r="F700" s="85" t="s">
        <v>1110</v>
      </c>
      <c r="G700" s="85" t="s">
        <v>495</v>
      </c>
      <c r="H700" s="85" t="s">
        <v>1083</v>
      </c>
      <c r="I700" s="85">
        <v>6.16</v>
      </c>
      <c r="J700" s="87">
        <f>25/6.16</f>
        <v>4.0584415584415581</v>
      </c>
      <c r="K700" s="88">
        <f t="shared" si="33"/>
        <v>25</v>
      </c>
      <c r="L700" s="85">
        <v>3422</v>
      </c>
      <c r="M700" s="118" t="s">
        <v>623</v>
      </c>
      <c r="N700" s="84"/>
      <c r="O700" s="84" t="s">
        <v>44</v>
      </c>
      <c r="R700"/>
    </row>
    <row r="701" spans="1:18" x14ac:dyDescent="0.25">
      <c r="A701" s="84" t="str">
        <f t="shared" si="31"/>
        <v>MarçoSEMANA 3Manga Tommy</v>
      </c>
      <c r="B701" s="85" t="s">
        <v>31</v>
      </c>
      <c r="C701" s="85" t="s">
        <v>22</v>
      </c>
      <c r="D701" s="85">
        <v>13</v>
      </c>
      <c r="E701" s="116" t="str">
        <f t="shared" si="32"/>
        <v>Hortifruti</v>
      </c>
      <c r="F701" s="85" t="s">
        <v>1110</v>
      </c>
      <c r="G701" s="85" t="s">
        <v>496</v>
      </c>
      <c r="H701" s="85" t="s">
        <v>1083</v>
      </c>
      <c r="I701" s="85">
        <v>2</v>
      </c>
      <c r="J701" s="87">
        <v>4.5</v>
      </c>
      <c r="K701" s="88">
        <f t="shared" si="33"/>
        <v>9</v>
      </c>
      <c r="L701" s="85">
        <v>3422</v>
      </c>
      <c r="M701" s="118" t="s">
        <v>624</v>
      </c>
      <c r="N701" s="84"/>
      <c r="O701" s="84" t="s">
        <v>44</v>
      </c>
      <c r="R701"/>
    </row>
    <row r="702" spans="1:18" x14ac:dyDescent="0.25">
      <c r="A702" s="84" t="str">
        <f t="shared" si="31"/>
        <v>MarçoSEMANA 3Pera</v>
      </c>
      <c r="B702" s="85" t="s">
        <v>31</v>
      </c>
      <c r="C702" s="85" t="s">
        <v>22</v>
      </c>
      <c r="D702" s="85">
        <v>13</v>
      </c>
      <c r="E702" s="116" t="str">
        <f t="shared" si="32"/>
        <v>Hortifruti</v>
      </c>
      <c r="F702" s="85" t="s">
        <v>1110</v>
      </c>
      <c r="G702" s="85" t="s">
        <v>580</v>
      </c>
      <c r="H702" s="85" t="s">
        <v>1083</v>
      </c>
      <c r="I702" s="85">
        <v>4</v>
      </c>
      <c r="J702" s="87">
        <v>8</v>
      </c>
      <c r="K702" s="88">
        <f t="shared" si="33"/>
        <v>32</v>
      </c>
      <c r="L702" s="85">
        <v>3422</v>
      </c>
      <c r="M702" s="118" t="s">
        <v>625</v>
      </c>
      <c r="N702" s="84"/>
      <c r="O702" s="84" t="s">
        <v>44</v>
      </c>
      <c r="R702"/>
    </row>
    <row r="703" spans="1:18" x14ac:dyDescent="0.25">
      <c r="A703" s="84" t="str">
        <f t="shared" si="31"/>
        <v>MarçoSEMANA 3Endivia</v>
      </c>
      <c r="B703" s="85" t="s">
        <v>31</v>
      </c>
      <c r="C703" s="85" t="s">
        <v>22</v>
      </c>
      <c r="D703" s="85">
        <v>13</v>
      </c>
      <c r="E703" s="116" t="str">
        <f t="shared" si="32"/>
        <v>Hortifruti</v>
      </c>
      <c r="F703" s="85" t="s">
        <v>1110</v>
      </c>
      <c r="G703" s="85" t="s">
        <v>326</v>
      </c>
      <c r="H703" s="85" t="s">
        <v>1083</v>
      </c>
      <c r="I703" s="85">
        <v>0.5</v>
      </c>
      <c r="J703" s="87">
        <v>20</v>
      </c>
      <c r="K703" s="88">
        <f t="shared" si="33"/>
        <v>10</v>
      </c>
      <c r="L703" s="85">
        <v>3422</v>
      </c>
      <c r="M703" s="118" t="s">
        <v>626</v>
      </c>
      <c r="N703" s="84"/>
      <c r="O703" s="84" t="s">
        <v>60</v>
      </c>
      <c r="R703"/>
    </row>
    <row r="704" spans="1:18" x14ac:dyDescent="0.25">
      <c r="A704" s="84" t="str">
        <f t="shared" si="31"/>
        <v>MarçoSEMANA 3Banana da Terra</v>
      </c>
      <c r="B704" s="85" t="s">
        <v>31</v>
      </c>
      <c r="C704" s="85" t="s">
        <v>22</v>
      </c>
      <c r="D704" s="85">
        <v>13</v>
      </c>
      <c r="E704" s="116" t="str">
        <f t="shared" si="32"/>
        <v>Hortifruti</v>
      </c>
      <c r="F704" s="85" t="s">
        <v>1111</v>
      </c>
      <c r="G704" s="85" t="s">
        <v>161</v>
      </c>
      <c r="H704" s="85" t="s">
        <v>1083</v>
      </c>
      <c r="I704" s="85">
        <v>6</v>
      </c>
      <c r="J704" s="87">
        <v>2.8</v>
      </c>
      <c r="K704" s="88">
        <f t="shared" si="33"/>
        <v>16.799999999999997</v>
      </c>
      <c r="L704" s="85">
        <v>18472</v>
      </c>
      <c r="M704" s="118" t="s">
        <v>627</v>
      </c>
      <c r="N704" s="84"/>
      <c r="O704" s="84" t="s">
        <v>44</v>
      </c>
      <c r="R704"/>
    </row>
    <row r="705" spans="1:18" x14ac:dyDescent="0.25">
      <c r="A705" s="84" t="str">
        <f t="shared" si="31"/>
        <v>MarçoSEMANA 3Batata Baroa</v>
      </c>
      <c r="B705" s="85" t="s">
        <v>31</v>
      </c>
      <c r="C705" s="85" t="s">
        <v>22</v>
      </c>
      <c r="D705" s="85">
        <v>13</v>
      </c>
      <c r="E705" s="116" t="str">
        <f t="shared" si="32"/>
        <v>Hortifruti</v>
      </c>
      <c r="F705" s="85" t="s">
        <v>1111</v>
      </c>
      <c r="G705" s="85" t="s">
        <v>169</v>
      </c>
      <c r="H705" s="85" t="s">
        <v>1083</v>
      </c>
      <c r="I705" s="85">
        <v>2</v>
      </c>
      <c r="J705" s="87">
        <v>5.0999999999999996</v>
      </c>
      <c r="K705" s="88">
        <f t="shared" si="33"/>
        <v>10.199999999999999</v>
      </c>
      <c r="L705" s="85">
        <v>18472</v>
      </c>
      <c r="M705" s="118" t="s">
        <v>628</v>
      </c>
      <c r="N705" s="84"/>
      <c r="O705" s="84" t="s">
        <v>60</v>
      </c>
      <c r="R705"/>
    </row>
    <row r="706" spans="1:18" x14ac:dyDescent="0.25">
      <c r="A706" s="84" t="str">
        <f t="shared" ref="A706:A769" si="34">CONCATENATE(B706,C706,G706)</f>
        <v>MarçoSEMANA 3Cebola</v>
      </c>
      <c r="B706" s="85" t="s">
        <v>31</v>
      </c>
      <c r="C706" s="85" t="s">
        <v>22</v>
      </c>
      <c r="D706" s="85">
        <v>13</v>
      </c>
      <c r="E706" s="116" t="str">
        <f t="shared" ref="E706:E769" si="35">VLOOKUP(G706,$M$1:$O$993,3,0)</f>
        <v>Hortifruti</v>
      </c>
      <c r="F706" s="85" t="s">
        <v>1111</v>
      </c>
      <c r="G706" s="85" t="s">
        <v>241</v>
      </c>
      <c r="H706" s="85" t="s">
        <v>1083</v>
      </c>
      <c r="I706" s="85">
        <v>19.399999999999999</v>
      </c>
      <c r="J706" s="87">
        <f>48.5/19.4</f>
        <v>2.5</v>
      </c>
      <c r="K706" s="88">
        <f t="shared" ref="K706:K769" si="36">I706*J706</f>
        <v>48.5</v>
      </c>
      <c r="L706" s="85">
        <v>18472</v>
      </c>
      <c r="M706" s="118" t="s">
        <v>629</v>
      </c>
      <c r="N706" s="84"/>
      <c r="O706" s="84" t="s">
        <v>44</v>
      </c>
      <c r="R706"/>
    </row>
    <row r="707" spans="1:18" x14ac:dyDescent="0.25">
      <c r="A707" s="84" t="str">
        <f t="shared" si="34"/>
        <v>MarçoSEMANA 3Côco Verde</v>
      </c>
      <c r="B707" s="85" t="s">
        <v>31</v>
      </c>
      <c r="C707" s="85" t="s">
        <v>22</v>
      </c>
      <c r="D707" s="85">
        <v>13</v>
      </c>
      <c r="E707" s="116" t="str">
        <f t="shared" si="35"/>
        <v>Hortifruti</v>
      </c>
      <c r="F707" s="85" t="s">
        <v>1111</v>
      </c>
      <c r="G707" s="85" t="s">
        <v>288</v>
      </c>
      <c r="H707" s="85" t="s">
        <v>1090</v>
      </c>
      <c r="I707" s="85">
        <v>15</v>
      </c>
      <c r="J707" s="87">
        <v>2.25</v>
      </c>
      <c r="K707" s="88">
        <f t="shared" si="36"/>
        <v>33.75</v>
      </c>
      <c r="L707" s="85">
        <v>18472</v>
      </c>
      <c r="M707" s="118" t="s">
        <v>630</v>
      </c>
      <c r="N707" s="84"/>
      <c r="O707" s="84" t="s">
        <v>60</v>
      </c>
      <c r="R707"/>
    </row>
    <row r="708" spans="1:18" x14ac:dyDescent="0.25">
      <c r="A708" s="84" t="str">
        <f t="shared" si="34"/>
        <v>MarçoSEMANA 3Coentro</v>
      </c>
      <c r="B708" s="85" t="s">
        <v>31</v>
      </c>
      <c r="C708" s="85" t="s">
        <v>22</v>
      </c>
      <c r="D708" s="85">
        <v>13</v>
      </c>
      <c r="E708" s="116" t="str">
        <f t="shared" si="35"/>
        <v>Hortifruti</v>
      </c>
      <c r="F708" s="85" t="s">
        <v>1111</v>
      </c>
      <c r="G708" s="85" t="s">
        <v>289</v>
      </c>
      <c r="H708" s="85" t="s">
        <v>1083</v>
      </c>
      <c r="I708" s="85">
        <f>1-0.2</f>
        <v>0.8</v>
      </c>
      <c r="J708" s="87">
        <v>23</v>
      </c>
      <c r="K708" s="88">
        <f t="shared" si="36"/>
        <v>18.400000000000002</v>
      </c>
      <c r="L708" s="85" t="s">
        <v>1224</v>
      </c>
      <c r="M708" s="118" t="s">
        <v>631</v>
      </c>
      <c r="N708" s="84"/>
      <c r="O708" s="84" t="s">
        <v>44</v>
      </c>
      <c r="R708"/>
    </row>
    <row r="709" spans="1:18" x14ac:dyDescent="0.25">
      <c r="A709" s="84" t="str">
        <f t="shared" si="34"/>
        <v>MarçoSEMANA 3Kiwi</v>
      </c>
      <c r="B709" s="85" t="s">
        <v>31</v>
      </c>
      <c r="C709" s="85" t="s">
        <v>22</v>
      </c>
      <c r="D709" s="85">
        <v>13</v>
      </c>
      <c r="E709" s="116" t="str">
        <f t="shared" si="35"/>
        <v>Hortifruti</v>
      </c>
      <c r="F709" s="85" t="s">
        <v>1111</v>
      </c>
      <c r="G709" s="85" t="s">
        <v>453</v>
      </c>
      <c r="H709" s="85" t="s">
        <v>1083</v>
      </c>
      <c r="I709" s="85">
        <v>0.5</v>
      </c>
      <c r="J709" s="87">
        <v>12</v>
      </c>
      <c r="K709" s="88">
        <f t="shared" si="36"/>
        <v>6</v>
      </c>
      <c r="L709" s="85">
        <v>18472</v>
      </c>
      <c r="M709" s="118" t="s">
        <v>632</v>
      </c>
      <c r="O709" s="115" t="s">
        <v>60</v>
      </c>
      <c r="R709"/>
    </row>
    <row r="710" spans="1:18" x14ac:dyDescent="0.25">
      <c r="A710" s="84" t="str">
        <f t="shared" si="34"/>
        <v>MarçoSEMANA 3Limão</v>
      </c>
      <c r="B710" s="85" t="s">
        <v>31</v>
      </c>
      <c r="C710" s="85" t="s">
        <v>22</v>
      </c>
      <c r="D710" s="85">
        <v>13</v>
      </c>
      <c r="E710" s="116" t="str">
        <f t="shared" si="35"/>
        <v>Hortifruti</v>
      </c>
      <c r="F710" s="85" t="s">
        <v>1111</v>
      </c>
      <c r="G710" s="85" t="s">
        <v>463</v>
      </c>
      <c r="H710" s="85" t="s">
        <v>1083</v>
      </c>
      <c r="I710" s="85">
        <v>20.76</v>
      </c>
      <c r="J710" s="87">
        <f>35.7/20.76</f>
        <v>1.7196531791907514</v>
      </c>
      <c r="K710" s="88">
        <f t="shared" si="36"/>
        <v>35.700000000000003</v>
      </c>
      <c r="L710" s="85">
        <v>18472</v>
      </c>
      <c r="M710" s="118" t="s">
        <v>633</v>
      </c>
      <c r="O710" s="115" t="s">
        <v>44</v>
      </c>
      <c r="R710"/>
    </row>
    <row r="711" spans="1:18" x14ac:dyDescent="0.25">
      <c r="A711" s="84" t="str">
        <f t="shared" si="34"/>
        <v>MarçoSEMANA 3Limão Siciliano</v>
      </c>
      <c r="B711" s="85" t="s">
        <v>31</v>
      </c>
      <c r="C711" s="85" t="s">
        <v>22</v>
      </c>
      <c r="D711" s="85">
        <v>13</v>
      </c>
      <c r="E711" s="116" t="str">
        <f t="shared" si="35"/>
        <v>Hortifruti</v>
      </c>
      <c r="F711" s="85" t="s">
        <v>1111</v>
      </c>
      <c r="G711" s="85" t="s">
        <v>465</v>
      </c>
      <c r="H711" s="85" t="s">
        <v>1083</v>
      </c>
      <c r="I711" s="85">
        <v>1</v>
      </c>
      <c r="J711" s="87">
        <v>8.5</v>
      </c>
      <c r="K711" s="88">
        <f t="shared" si="36"/>
        <v>8.5</v>
      </c>
      <c r="L711" s="85">
        <v>18472</v>
      </c>
      <c r="M711" s="118" t="s">
        <v>634</v>
      </c>
      <c r="O711" s="115" t="s">
        <v>44</v>
      </c>
      <c r="R711"/>
    </row>
    <row r="712" spans="1:18" x14ac:dyDescent="0.25">
      <c r="A712" s="84" t="str">
        <f t="shared" si="34"/>
        <v>MarçoSEMANA 3Maçã Nacional</v>
      </c>
      <c r="B712" s="85" t="s">
        <v>31</v>
      </c>
      <c r="C712" s="85" t="s">
        <v>22</v>
      </c>
      <c r="D712" s="85">
        <v>13</v>
      </c>
      <c r="E712" s="116" t="str">
        <f t="shared" si="35"/>
        <v>Hortifruti</v>
      </c>
      <c r="F712" s="85" t="s">
        <v>1111</v>
      </c>
      <c r="G712" s="85" t="s">
        <v>476</v>
      </c>
      <c r="H712" s="85" t="s">
        <v>1083</v>
      </c>
      <c r="I712" s="85">
        <v>18.079999999999998</v>
      </c>
      <c r="J712" s="87">
        <f>69.5/18.08</f>
        <v>3.8440265486725669</v>
      </c>
      <c r="K712" s="88">
        <f t="shared" si="36"/>
        <v>69.5</v>
      </c>
      <c r="L712" s="85">
        <v>18472</v>
      </c>
      <c r="M712" s="118" t="s">
        <v>635</v>
      </c>
      <c r="N712" s="84"/>
      <c r="O712" s="84" t="s">
        <v>44</v>
      </c>
      <c r="R712"/>
    </row>
    <row r="713" spans="1:18" x14ac:dyDescent="0.25">
      <c r="A713" s="84" t="str">
        <f t="shared" si="34"/>
        <v>MarçoSEMANA 3Melância</v>
      </c>
      <c r="B713" s="85" t="s">
        <v>31</v>
      </c>
      <c r="C713" s="85" t="s">
        <v>22</v>
      </c>
      <c r="D713" s="85">
        <v>13</v>
      </c>
      <c r="E713" s="116" t="str">
        <f t="shared" si="35"/>
        <v>Hortifruti</v>
      </c>
      <c r="F713" s="85" t="s">
        <v>1111</v>
      </c>
      <c r="G713" s="85" t="s">
        <v>516</v>
      </c>
      <c r="H713" s="85" t="s">
        <v>1083</v>
      </c>
      <c r="I713" s="85">
        <v>10</v>
      </c>
      <c r="J713" s="87">
        <v>1.52</v>
      </c>
      <c r="K713" s="88">
        <f t="shared" si="36"/>
        <v>15.2</v>
      </c>
      <c r="L713" s="85">
        <v>18472</v>
      </c>
      <c r="M713" s="118" t="s">
        <v>636</v>
      </c>
      <c r="N713" s="84"/>
      <c r="O713" s="84" t="s">
        <v>60</v>
      </c>
      <c r="R713"/>
    </row>
    <row r="714" spans="1:18" x14ac:dyDescent="0.25">
      <c r="A714" s="84" t="str">
        <f t="shared" si="34"/>
        <v>MarçoSEMANA 3Pimentão Vermelho</v>
      </c>
      <c r="B714" s="85" t="s">
        <v>31</v>
      </c>
      <c r="C714" s="85" t="s">
        <v>22</v>
      </c>
      <c r="D714" s="85">
        <v>13</v>
      </c>
      <c r="E714" s="116" t="str">
        <f t="shared" si="35"/>
        <v>Hortifruti</v>
      </c>
      <c r="F714" s="85" t="s">
        <v>1111</v>
      </c>
      <c r="G714" s="85" t="s">
        <v>666</v>
      </c>
      <c r="H714" s="85" t="s">
        <v>1083</v>
      </c>
      <c r="I714" s="85">
        <v>2</v>
      </c>
      <c r="J714" s="87">
        <v>9.4499999999999993</v>
      </c>
      <c r="K714" s="88">
        <f t="shared" si="36"/>
        <v>18.899999999999999</v>
      </c>
      <c r="L714" s="85">
        <v>18472</v>
      </c>
      <c r="M714" s="118" t="s">
        <v>637</v>
      </c>
      <c r="N714" s="84"/>
      <c r="O714" s="84" t="s">
        <v>44</v>
      </c>
      <c r="R714"/>
    </row>
    <row r="715" spans="1:18" x14ac:dyDescent="0.25">
      <c r="A715" s="84" t="str">
        <f t="shared" si="34"/>
        <v>MarçoSEMANA 3Repolho Roxo</v>
      </c>
      <c r="B715" s="85" t="s">
        <v>31</v>
      </c>
      <c r="C715" s="85" t="s">
        <v>22</v>
      </c>
      <c r="D715" s="85">
        <v>13</v>
      </c>
      <c r="E715" s="116" t="str">
        <f t="shared" si="35"/>
        <v>Hortifruti</v>
      </c>
      <c r="F715" s="85" t="s">
        <v>1111</v>
      </c>
      <c r="G715" s="85" t="s">
        <v>702</v>
      </c>
      <c r="H715" s="85" t="s">
        <v>1083</v>
      </c>
      <c r="I715" s="85">
        <v>4</v>
      </c>
      <c r="J715" s="87">
        <v>2.8</v>
      </c>
      <c r="K715" s="88">
        <f t="shared" si="36"/>
        <v>11.2</v>
      </c>
      <c r="L715" s="85">
        <v>18472</v>
      </c>
      <c r="M715" s="118" t="s">
        <v>638</v>
      </c>
      <c r="N715" s="84"/>
      <c r="O715" s="84" t="s">
        <v>60</v>
      </c>
      <c r="R715"/>
    </row>
    <row r="716" spans="1:18" x14ac:dyDescent="0.25">
      <c r="A716" s="84" t="str">
        <f t="shared" si="34"/>
        <v>MarçoSEMANA 3Rúcula</v>
      </c>
      <c r="B716" s="85" t="s">
        <v>31</v>
      </c>
      <c r="C716" s="85" t="s">
        <v>22</v>
      </c>
      <c r="D716" s="85">
        <v>13</v>
      </c>
      <c r="E716" s="116" t="str">
        <f t="shared" si="35"/>
        <v>Hortifruti</v>
      </c>
      <c r="F716" s="85" t="s">
        <v>1111</v>
      </c>
      <c r="G716" s="85" t="s">
        <v>705</v>
      </c>
      <c r="H716" s="85" t="s">
        <v>1083</v>
      </c>
      <c r="I716" s="85"/>
      <c r="J716" s="87"/>
      <c r="K716" s="88">
        <f t="shared" si="36"/>
        <v>0</v>
      </c>
      <c r="L716" s="85" t="s">
        <v>1225</v>
      </c>
      <c r="M716" s="118" t="s">
        <v>639</v>
      </c>
      <c r="N716" s="84"/>
      <c r="O716" s="84" t="s">
        <v>44</v>
      </c>
      <c r="R716"/>
    </row>
    <row r="717" spans="1:18" hidden="1" x14ac:dyDescent="0.2">
      <c r="A717" s="84" t="str">
        <f t="shared" si="34"/>
        <v>MarçoSEMANA 3Gelo em Cubo</v>
      </c>
      <c r="B717" s="85" t="s">
        <v>31</v>
      </c>
      <c r="C717" s="85" t="s">
        <v>22</v>
      </c>
      <c r="D717" s="86">
        <v>13</v>
      </c>
      <c r="E717" s="116" t="str">
        <f t="shared" si="35"/>
        <v>Mercado</v>
      </c>
      <c r="F717" s="85" t="s">
        <v>1096</v>
      </c>
      <c r="G717" s="85" t="s">
        <v>383</v>
      </c>
      <c r="H717" s="85" t="s">
        <v>1097</v>
      </c>
      <c r="I717" s="85">
        <v>3</v>
      </c>
      <c r="J717" s="87">
        <v>7.5</v>
      </c>
      <c r="K717" s="88">
        <f t="shared" si="36"/>
        <v>22.5</v>
      </c>
      <c r="L717" s="85">
        <v>2980</v>
      </c>
      <c r="M717" s="118" t="s">
        <v>640</v>
      </c>
      <c r="N717" s="84"/>
      <c r="O717" s="84" t="s">
        <v>44</v>
      </c>
      <c r="R717"/>
    </row>
    <row r="718" spans="1:18" hidden="1" x14ac:dyDescent="0.2">
      <c r="A718" s="84" t="str">
        <f t="shared" si="34"/>
        <v>MarçoSEMANA 3Carne Bovina - Carne Seca</v>
      </c>
      <c r="B718" s="85" t="s">
        <v>31</v>
      </c>
      <c r="C718" s="85" t="s">
        <v>22</v>
      </c>
      <c r="D718" s="86">
        <v>13</v>
      </c>
      <c r="E718" s="116" t="str">
        <f t="shared" si="35"/>
        <v>Carnes</v>
      </c>
      <c r="F718" s="85" t="s">
        <v>1101</v>
      </c>
      <c r="G718" s="85" t="s">
        <v>218</v>
      </c>
      <c r="H718" s="85" t="s">
        <v>1083</v>
      </c>
      <c r="I718" s="85">
        <v>10</v>
      </c>
      <c r="J718" s="87">
        <v>20.22</v>
      </c>
      <c r="K718" s="88">
        <f t="shared" si="36"/>
        <v>202.2</v>
      </c>
      <c r="L718" s="85" t="s">
        <v>1226</v>
      </c>
      <c r="M718" s="118" t="s">
        <v>641</v>
      </c>
      <c r="N718" s="84"/>
      <c r="O718" s="84" t="s">
        <v>44</v>
      </c>
      <c r="R718"/>
    </row>
    <row r="719" spans="1:18" hidden="1" x14ac:dyDescent="0.2">
      <c r="A719" s="84" t="str">
        <f t="shared" si="34"/>
        <v>MarçoSEMANA 3Suíno - Linguiça Paio</v>
      </c>
      <c r="B719" s="85" t="s">
        <v>31</v>
      </c>
      <c r="C719" s="85" t="s">
        <v>22</v>
      </c>
      <c r="D719" s="86">
        <v>13</v>
      </c>
      <c r="E719" s="116" t="str">
        <f t="shared" si="35"/>
        <v>Carnes</v>
      </c>
      <c r="F719" s="85" t="s">
        <v>1101</v>
      </c>
      <c r="G719" s="85" t="s">
        <v>764</v>
      </c>
      <c r="H719" s="85" t="s">
        <v>1083</v>
      </c>
      <c r="I719" s="85">
        <v>2.5</v>
      </c>
      <c r="J719" s="87">
        <v>11.12</v>
      </c>
      <c r="K719" s="88">
        <f t="shared" si="36"/>
        <v>27.799999999999997</v>
      </c>
      <c r="L719" s="85" t="s">
        <v>1226</v>
      </c>
      <c r="M719" s="118" t="s">
        <v>642</v>
      </c>
      <c r="N719" s="84"/>
      <c r="O719" s="84" t="s">
        <v>44</v>
      </c>
      <c r="R719"/>
    </row>
    <row r="720" spans="1:18" hidden="1" x14ac:dyDescent="0.2">
      <c r="A720" s="84" t="str">
        <f t="shared" si="34"/>
        <v>MarçoSEMANA 3Carne Bovina - Picanha Grill/Churrascaria</v>
      </c>
      <c r="B720" s="85" t="s">
        <v>31</v>
      </c>
      <c r="C720" s="85" t="s">
        <v>22</v>
      </c>
      <c r="D720" s="86">
        <v>13</v>
      </c>
      <c r="E720" s="116" t="str">
        <f t="shared" si="35"/>
        <v>Carnes</v>
      </c>
      <c r="F720" s="85" t="s">
        <v>1101</v>
      </c>
      <c r="G720" s="85" t="s">
        <v>233</v>
      </c>
      <c r="H720" s="85" t="s">
        <v>1083</v>
      </c>
      <c r="I720" s="85">
        <v>30.15</v>
      </c>
      <c r="J720" s="87">
        <v>33</v>
      </c>
      <c r="K720" s="88">
        <f t="shared" si="36"/>
        <v>994.94999999999993</v>
      </c>
      <c r="L720" s="85" t="s">
        <v>1226</v>
      </c>
      <c r="M720" s="118" t="s">
        <v>643</v>
      </c>
      <c r="N720" s="84"/>
      <c r="O720" s="84" t="s">
        <v>44</v>
      </c>
      <c r="R720"/>
    </row>
    <row r="721" spans="1:18" hidden="1" x14ac:dyDescent="0.2">
      <c r="A721" s="84" t="str">
        <f t="shared" si="34"/>
        <v>MarçoSEMANA 3Suíno - Costelinha Salgada</v>
      </c>
      <c r="B721" s="85" t="s">
        <v>31</v>
      </c>
      <c r="C721" s="85" t="s">
        <v>22</v>
      </c>
      <c r="D721" s="86">
        <v>13</v>
      </c>
      <c r="E721" s="116" t="str">
        <f t="shared" si="35"/>
        <v>Carnes</v>
      </c>
      <c r="F721" s="85" t="s">
        <v>1227</v>
      </c>
      <c r="G721" s="85" t="s">
        <v>759</v>
      </c>
      <c r="H721" s="85" t="s">
        <v>1083</v>
      </c>
      <c r="I721" s="85">
        <v>8.9</v>
      </c>
      <c r="J721" s="87">
        <v>10.47</v>
      </c>
      <c r="K721" s="88">
        <f t="shared" si="36"/>
        <v>93.183000000000007</v>
      </c>
      <c r="L721" s="85">
        <v>89998</v>
      </c>
      <c r="M721" s="118" t="s">
        <v>644</v>
      </c>
      <c r="N721" s="84"/>
      <c r="O721" s="84" t="s">
        <v>60</v>
      </c>
      <c r="R721"/>
    </row>
    <row r="722" spans="1:18" hidden="1" x14ac:dyDescent="0.2">
      <c r="A722" s="84" t="str">
        <f t="shared" si="34"/>
        <v>MarçoSEMANA 3Carne Bovina - Patinho</v>
      </c>
      <c r="B722" s="85" t="s">
        <v>31</v>
      </c>
      <c r="C722" s="85" t="s">
        <v>22</v>
      </c>
      <c r="D722" s="86">
        <v>13</v>
      </c>
      <c r="E722" s="116" t="str">
        <f t="shared" si="35"/>
        <v>Carnes</v>
      </c>
      <c r="F722" s="85" t="s">
        <v>1227</v>
      </c>
      <c r="G722" s="85" t="s">
        <v>230</v>
      </c>
      <c r="H722" s="85" t="s">
        <v>1083</v>
      </c>
      <c r="I722" s="85">
        <v>23.963000000000001</v>
      </c>
      <c r="J722" s="87">
        <v>14.59</v>
      </c>
      <c r="K722" s="88">
        <f t="shared" si="36"/>
        <v>349.62017000000003</v>
      </c>
      <c r="L722" s="85">
        <v>89998</v>
      </c>
      <c r="M722" s="118" t="s">
        <v>645</v>
      </c>
      <c r="N722" s="84"/>
      <c r="O722" s="84" t="s">
        <v>44</v>
      </c>
      <c r="R722"/>
    </row>
    <row r="723" spans="1:18" hidden="1" x14ac:dyDescent="0.2">
      <c r="A723" s="84" t="str">
        <f t="shared" si="34"/>
        <v>MarçoSEMANA 3Suíno - Lombo Salgado</v>
      </c>
      <c r="B723" s="85" t="s">
        <v>31</v>
      </c>
      <c r="C723" s="85" t="s">
        <v>22</v>
      </c>
      <c r="D723" s="86">
        <v>13</v>
      </c>
      <c r="E723" s="116" t="str">
        <f t="shared" si="35"/>
        <v>Carnes</v>
      </c>
      <c r="F723" s="85" t="s">
        <v>1227</v>
      </c>
      <c r="G723" s="85" t="s">
        <v>767</v>
      </c>
      <c r="H723" s="85" t="s">
        <v>1083</v>
      </c>
      <c r="I723" s="85">
        <v>10</v>
      </c>
      <c r="J723" s="87">
        <v>10.5</v>
      </c>
      <c r="K723" s="88">
        <f t="shared" si="36"/>
        <v>105</v>
      </c>
      <c r="L723" s="85">
        <v>89998</v>
      </c>
      <c r="M723" s="118" t="s">
        <v>646</v>
      </c>
      <c r="N723" s="84"/>
      <c r="O723" s="84" t="s">
        <v>60</v>
      </c>
      <c r="R723"/>
    </row>
    <row r="724" spans="1:18" hidden="1" x14ac:dyDescent="0.2">
      <c r="A724" s="84" t="str">
        <f t="shared" si="34"/>
        <v>MarçoSEMANA 3Papel Higiênico Rolo</v>
      </c>
      <c r="B724" s="85" t="s">
        <v>31</v>
      </c>
      <c r="C724" s="85" t="s">
        <v>22</v>
      </c>
      <c r="D724" s="86">
        <v>13</v>
      </c>
      <c r="E724" s="116" t="str">
        <f t="shared" si="35"/>
        <v>Descartável</v>
      </c>
      <c r="F724" s="85" t="s">
        <v>1168</v>
      </c>
      <c r="G724" s="85" t="s">
        <v>570</v>
      </c>
      <c r="H724" s="85" t="s">
        <v>1090</v>
      </c>
      <c r="I724" s="85">
        <v>64</v>
      </c>
      <c r="J724" s="87">
        <f>63.52/64</f>
        <v>0.99250000000000005</v>
      </c>
      <c r="K724" s="88">
        <f t="shared" si="36"/>
        <v>63.52</v>
      </c>
      <c r="L724" s="85" t="s">
        <v>1228</v>
      </c>
      <c r="M724" s="118" t="s">
        <v>647</v>
      </c>
      <c r="N724" s="84"/>
      <c r="O724" s="84" t="s">
        <v>44</v>
      </c>
      <c r="R724"/>
    </row>
    <row r="725" spans="1:18" hidden="1" x14ac:dyDescent="0.2">
      <c r="A725" s="84" t="str">
        <f t="shared" si="34"/>
        <v>MarçoSEMANA 3Pano Multiuso Cross Hatch Laranja 300 M</v>
      </c>
      <c r="B725" s="85" t="s">
        <v>31</v>
      </c>
      <c r="C725" s="85" t="s">
        <v>22</v>
      </c>
      <c r="D725" s="86">
        <v>13</v>
      </c>
      <c r="E725" s="116" t="str">
        <f t="shared" si="35"/>
        <v>Descartável</v>
      </c>
      <c r="F725" s="85" t="s">
        <v>1168</v>
      </c>
      <c r="G725" s="85" t="s">
        <v>559</v>
      </c>
      <c r="H725" s="85" t="s">
        <v>1090</v>
      </c>
      <c r="I725" s="85">
        <v>1</v>
      </c>
      <c r="J725" s="87">
        <v>212.4</v>
      </c>
      <c r="K725" s="88">
        <f t="shared" si="36"/>
        <v>212.4</v>
      </c>
      <c r="L725" s="85" t="s">
        <v>1228</v>
      </c>
      <c r="M725" s="118" t="s">
        <v>648</v>
      </c>
      <c r="N725" s="84"/>
      <c r="O725" s="84" t="s">
        <v>60</v>
      </c>
      <c r="R725"/>
    </row>
    <row r="726" spans="1:18" hidden="1" x14ac:dyDescent="0.2">
      <c r="A726" s="84" t="str">
        <f t="shared" si="34"/>
        <v>MarçoSEMANA 3Aves - Magret de Pato</v>
      </c>
      <c r="B726" s="85" t="s">
        <v>31</v>
      </c>
      <c r="C726" s="85" t="s">
        <v>22</v>
      </c>
      <c r="D726" s="86">
        <v>13</v>
      </c>
      <c r="E726" s="116" t="str">
        <f t="shared" si="35"/>
        <v>Carnes</v>
      </c>
      <c r="F726" s="85" t="s">
        <v>1229</v>
      </c>
      <c r="G726" s="85" t="s">
        <v>144</v>
      </c>
      <c r="H726" s="85" t="s">
        <v>1083</v>
      </c>
      <c r="I726" s="85">
        <v>15.8</v>
      </c>
      <c r="J726" s="87">
        <v>25</v>
      </c>
      <c r="K726" s="88">
        <f t="shared" si="36"/>
        <v>395</v>
      </c>
      <c r="L726" s="85">
        <v>35316</v>
      </c>
      <c r="M726" s="118" t="s">
        <v>649</v>
      </c>
      <c r="N726" s="84"/>
      <c r="O726" s="84" t="s">
        <v>60</v>
      </c>
      <c r="R726"/>
    </row>
    <row r="727" spans="1:18" hidden="1" x14ac:dyDescent="0.2">
      <c r="A727" s="84" t="str">
        <f t="shared" si="34"/>
        <v>MarçoSEMANA 3Pescados - Salmão Inteiro</v>
      </c>
      <c r="B727" s="85" t="s">
        <v>31</v>
      </c>
      <c r="C727" s="85" t="s">
        <v>22</v>
      </c>
      <c r="D727" s="86">
        <v>13</v>
      </c>
      <c r="E727" s="116" t="str">
        <f t="shared" si="35"/>
        <v>Carnes</v>
      </c>
      <c r="F727" s="85" t="s">
        <v>1104</v>
      </c>
      <c r="G727" s="85" t="s">
        <v>643</v>
      </c>
      <c r="H727" s="85" t="s">
        <v>1083</v>
      </c>
      <c r="I727" s="85">
        <v>31.03</v>
      </c>
      <c r="J727" s="87">
        <v>25.99</v>
      </c>
      <c r="K727" s="88">
        <f t="shared" si="36"/>
        <v>806.46969999999999</v>
      </c>
      <c r="L727" s="85" t="s">
        <v>1230</v>
      </c>
      <c r="M727" s="118" t="s">
        <v>650</v>
      </c>
      <c r="N727" s="84"/>
      <c r="O727" s="84" t="s">
        <v>45</v>
      </c>
      <c r="R727"/>
    </row>
    <row r="728" spans="1:18" hidden="1" x14ac:dyDescent="0.2">
      <c r="A728" s="84" t="str">
        <f t="shared" si="34"/>
        <v xml:space="preserve">MarçoSEMANA 3Biscoito de Milho Café </v>
      </c>
      <c r="B728" s="85" t="s">
        <v>31</v>
      </c>
      <c r="C728" s="85" t="s">
        <v>22</v>
      </c>
      <c r="D728" s="86">
        <v>13</v>
      </c>
      <c r="E728" s="116" t="str">
        <f t="shared" si="35"/>
        <v>Mercado</v>
      </c>
      <c r="F728" s="85" t="s">
        <v>1175</v>
      </c>
      <c r="G728" s="85" t="s">
        <v>183</v>
      </c>
      <c r="H728" s="85" t="s">
        <v>1083</v>
      </c>
      <c r="I728" s="85">
        <f>(4*2.8)-1.1-1-1.126</f>
        <v>7.9740000000000002</v>
      </c>
      <c r="J728" s="87">
        <f>248.58/11.2</f>
        <v>22.19464285714286</v>
      </c>
      <c r="K728" s="88">
        <f t="shared" si="36"/>
        <v>176.98008214285716</v>
      </c>
      <c r="L728" s="85">
        <v>32516</v>
      </c>
      <c r="M728" s="118" t="s">
        <v>651</v>
      </c>
      <c r="N728" s="84"/>
      <c r="O728" s="84" t="s">
        <v>42</v>
      </c>
      <c r="R728"/>
    </row>
    <row r="729" spans="1:18" hidden="1" x14ac:dyDescent="0.2">
      <c r="A729" s="84" t="str">
        <f t="shared" si="34"/>
        <v>MarçoSEMANA 3Ice Tea Pêssego</v>
      </c>
      <c r="B729" s="85" t="s">
        <v>31</v>
      </c>
      <c r="C729" s="85" t="s">
        <v>22</v>
      </c>
      <c r="D729" s="86">
        <v>13</v>
      </c>
      <c r="E729" s="116" t="str">
        <f t="shared" si="35"/>
        <v>Bebidas</v>
      </c>
      <c r="F729" s="85" t="s">
        <v>1139</v>
      </c>
      <c r="G729" s="85" t="s">
        <v>445</v>
      </c>
      <c r="H729" s="85" t="s">
        <v>1090</v>
      </c>
      <c r="I729" s="85">
        <f>4*12</f>
        <v>48</v>
      </c>
      <c r="J729" s="87">
        <f>96.14/48</f>
        <v>2.0029166666666667</v>
      </c>
      <c r="K729" s="88">
        <f t="shared" si="36"/>
        <v>96.14</v>
      </c>
      <c r="L729" s="85" t="s">
        <v>1231</v>
      </c>
      <c r="M729" s="118" t="s">
        <v>953</v>
      </c>
      <c r="N729" s="84"/>
      <c r="O729" s="84" t="s">
        <v>874</v>
      </c>
      <c r="R729"/>
    </row>
    <row r="730" spans="1:18" hidden="1" x14ac:dyDescent="0.2">
      <c r="A730" s="84" t="str">
        <f t="shared" si="34"/>
        <v>MarçoSEMANA 3Ice Tea Limão</v>
      </c>
      <c r="B730" s="85" t="s">
        <v>31</v>
      </c>
      <c r="C730" s="85" t="s">
        <v>22</v>
      </c>
      <c r="D730" s="86">
        <v>13</v>
      </c>
      <c r="E730" s="116" t="str">
        <f t="shared" si="35"/>
        <v>Bebidas</v>
      </c>
      <c r="F730" s="85" t="s">
        <v>1139</v>
      </c>
      <c r="G730" s="85" t="s">
        <v>443</v>
      </c>
      <c r="H730" s="85" t="s">
        <v>1090</v>
      </c>
      <c r="I730" s="85">
        <f>4*12</f>
        <v>48</v>
      </c>
      <c r="J730" s="87">
        <f>96.14/48</f>
        <v>2.0029166666666667</v>
      </c>
      <c r="K730" s="88">
        <f t="shared" si="36"/>
        <v>96.14</v>
      </c>
      <c r="L730" s="85" t="s">
        <v>1231</v>
      </c>
      <c r="M730" s="118" t="s">
        <v>954</v>
      </c>
      <c r="N730" s="84"/>
      <c r="O730" s="84" t="s">
        <v>874</v>
      </c>
      <c r="R730"/>
    </row>
    <row r="731" spans="1:18" hidden="1" x14ac:dyDescent="0.2">
      <c r="A731" s="84" t="str">
        <f t="shared" si="34"/>
        <v>MarçoSEMANA 3H2O Limão</v>
      </c>
      <c r="B731" s="85" t="s">
        <v>31</v>
      </c>
      <c r="C731" s="85" t="s">
        <v>22</v>
      </c>
      <c r="D731" s="86">
        <v>13</v>
      </c>
      <c r="E731" s="116" t="str">
        <f t="shared" si="35"/>
        <v>Bebidas</v>
      </c>
      <c r="F731" s="85" t="s">
        <v>1139</v>
      </c>
      <c r="G731" s="85" t="s">
        <v>400</v>
      </c>
      <c r="H731" s="85" t="s">
        <v>1090</v>
      </c>
      <c r="I731" s="85">
        <v>12</v>
      </c>
      <c r="J731" s="87">
        <f>24.32/12</f>
        <v>2.0266666666666668</v>
      </c>
      <c r="K731" s="88">
        <f t="shared" si="36"/>
        <v>24.32</v>
      </c>
      <c r="L731" s="85" t="s">
        <v>1231</v>
      </c>
      <c r="M731" s="118" t="s">
        <v>955</v>
      </c>
      <c r="N731" s="84"/>
      <c r="O731" s="84" t="s">
        <v>874</v>
      </c>
      <c r="R731"/>
    </row>
    <row r="732" spans="1:18" hidden="1" x14ac:dyDescent="0.2">
      <c r="A732" s="84" t="str">
        <f t="shared" si="34"/>
        <v>MarçoSEMANA 3Guaraná Antarctica Zero (lata)</v>
      </c>
      <c r="B732" s="85" t="s">
        <v>31</v>
      </c>
      <c r="C732" s="85" t="s">
        <v>22</v>
      </c>
      <c r="D732" s="86">
        <v>13</v>
      </c>
      <c r="E732" s="116" t="str">
        <f t="shared" si="35"/>
        <v>Bebidas</v>
      </c>
      <c r="F732" s="85" t="s">
        <v>1139</v>
      </c>
      <c r="G732" s="85" t="s">
        <v>398</v>
      </c>
      <c r="H732" s="85" t="s">
        <v>1090</v>
      </c>
      <c r="I732" s="85">
        <f>5*12</f>
        <v>60</v>
      </c>
      <c r="J732" s="87">
        <f>102.59/60</f>
        <v>1.7098333333333333</v>
      </c>
      <c r="K732" s="88">
        <f t="shared" si="36"/>
        <v>102.59</v>
      </c>
      <c r="L732" s="85" t="s">
        <v>1231</v>
      </c>
      <c r="M732" s="118" t="s">
        <v>652</v>
      </c>
      <c r="N732" s="84"/>
      <c r="O732" s="84" t="s">
        <v>42</v>
      </c>
      <c r="R732"/>
    </row>
    <row r="733" spans="1:18" hidden="1" x14ac:dyDescent="0.2">
      <c r="A733" s="84" t="str">
        <f t="shared" si="34"/>
        <v>MarçoSEMANA 3Guaraná Antarctica (lata)</v>
      </c>
      <c r="B733" s="85" t="s">
        <v>31</v>
      </c>
      <c r="C733" s="85" t="s">
        <v>22</v>
      </c>
      <c r="D733" s="86">
        <v>13</v>
      </c>
      <c r="E733" s="116" t="str">
        <f t="shared" si="35"/>
        <v>Bebidas</v>
      </c>
      <c r="F733" s="85" t="s">
        <v>1139</v>
      </c>
      <c r="G733" s="85" t="s">
        <v>397</v>
      </c>
      <c r="H733" s="85" t="s">
        <v>1090</v>
      </c>
      <c r="I733" s="85">
        <f>4*12</f>
        <v>48</v>
      </c>
      <c r="J733" s="87">
        <f>82.07/48</f>
        <v>1.7097916666666666</v>
      </c>
      <c r="K733" s="88">
        <f t="shared" si="36"/>
        <v>82.07</v>
      </c>
      <c r="L733" s="85" t="s">
        <v>1231</v>
      </c>
      <c r="M733" s="118" t="s">
        <v>1065</v>
      </c>
      <c r="O733" s="84" t="s">
        <v>873</v>
      </c>
      <c r="R733"/>
    </row>
    <row r="734" spans="1:18" hidden="1" x14ac:dyDescent="0.2">
      <c r="A734" s="84" t="str">
        <f t="shared" si="34"/>
        <v>MarçoSEMANA 3Cerveja Bohemia Long Neck 355 ml</v>
      </c>
      <c r="B734" s="85" t="s">
        <v>31</v>
      </c>
      <c r="C734" s="85" t="s">
        <v>22</v>
      </c>
      <c r="D734" s="86">
        <v>13</v>
      </c>
      <c r="E734" s="116" t="str">
        <f t="shared" si="35"/>
        <v>Bebidas</v>
      </c>
      <c r="F734" s="85" t="s">
        <v>1139</v>
      </c>
      <c r="G734" s="85" t="s">
        <v>260</v>
      </c>
      <c r="H734" s="85" t="s">
        <v>1090</v>
      </c>
      <c r="I734" s="85">
        <v>24</v>
      </c>
      <c r="J734" s="87">
        <f>68.12/24</f>
        <v>2.8383333333333334</v>
      </c>
      <c r="K734" s="88">
        <f t="shared" si="36"/>
        <v>68.12</v>
      </c>
      <c r="L734" s="85" t="s">
        <v>1231</v>
      </c>
      <c r="M734" s="118" t="s">
        <v>653</v>
      </c>
      <c r="N734" s="84"/>
      <c r="O734" s="84" t="s">
        <v>45</v>
      </c>
      <c r="R734"/>
    </row>
    <row r="735" spans="1:18" hidden="1" x14ac:dyDescent="0.2">
      <c r="A735" s="84" t="str">
        <f t="shared" si="34"/>
        <v>MarçoSEMANA 3Água Tonica Diet</v>
      </c>
      <c r="B735" s="85" t="s">
        <v>31</v>
      </c>
      <c r="C735" s="85" t="s">
        <v>22</v>
      </c>
      <c r="D735" s="86">
        <v>13</v>
      </c>
      <c r="E735" s="116" t="str">
        <f t="shared" si="35"/>
        <v>Bebidas</v>
      </c>
      <c r="F735" s="85" t="s">
        <v>1139</v>
      </c>
      <c r="G735" s="85" t="s">
        <v>93</v>
      </c>
      <c r="H735" s="85" t="s">
        <v>1090</v>
      </c>
      <c r="I735" s="85">
        <f>2*12</f>
        <v>24</v>
      </c>
      <c r="J735" s="87">
        <f>42.4/24</f>
        <v>1.7666666666666666</v>
      </c>
      <c r="K735" s="88">
        <f t="shared" si="36"/>
        <v>42.4</v>
      </c>
      <c r="L735" s="85" t="s">
        <v>1232</v>
      </c>
      <c r="M735" s="118" t="s">
        <v>654</v>
      </c>
      <c r="N735" s="84"/>
      <c r="O735" s="84" t="s">
        <v>42</v>
      </c>
      <c r="R735"/>
    </row>
    <row r="736" spans="1:18" hidden="1" x14ac:dyDescent="0.2">
      <c r="A736" s="84" t="str">
        <f t="shared" si="34"/>
        <v>MarçoSEMANA 3Água Tonica</v>
      </c>
      <c r="B736" s="85" t="s">
        <v>31</v>
      </c>
      <c r="C736" s="85" t="s">
        <v>22</v>
      </c>
      <c r="D736" s="86">
        <v>13</v>
      </c>
      <c r="E736" s="116" t="str">
        <f t="shared" si="35"/>
        <v>Bebidas</v>
      </c>
      <c r="F736" s="85" t="s">
        <v>1139</v>
      </c>
      <c r="G736" s="85" t="s">
        <v>92</v>
      </c>
      <c r="H736" s="85" t="s">
        <v>1090</v>
      </c>
      <c r="I736" s="85">
        <f>2*12</f>
        <v>24</v>
      </c>
      <c r="J736" s="87">
        <f>42.4/24</f>
        <v>1.7666666666666666</v>
      </c>
      <c r="K736" s="88">
        <f t="shared" si="36"/>
        <v>42.4</v>
      </c>
      <c r="L736" s="85" t="s">
        <v>1232</v>
      </c>
      <c r="M736" s="118" t="s">
        <v>655</v>
      </c>
      <c r="N736" s="84"/>
      <c r="O736" s="84" t="s">
        <v>45</v>
      </c>
      <c r="R736"/>
    </row>
    <row r="737" spans="1:18" hidden="1" x14ac:dyDescent="0.2">
      <c r="A737" s="84" t="str">
        <f t="shared" si="34"/>
        <v>MarçoSEMANA 3Torta Brownie com Nozes</v>
      </c>
      <c r="B737" s="85" t="s">
        <v>31</v>
      </c>
      <c r="C737" s="85" t="s">
        <v>22</v>
      </c>
      <c r="D737" s="86">
        <v>13</v>
      </c>
      <c r="E737" s="116" t="str">
        <f t="shared" si="35"/>
        <v>Sobremesa</v>
      </c>
      <c r="F737" s="85" t="s">
        <v>1233</v>
      </c>
      <c r="G737" s="85" t="s">
        <v>810</v>
      </c>
      <c r="H737" s="85" t="s">
        <v>1090</v>
      </c>
      <c r="I737" s="85">
        <v>8</v>
      </c>
      <c r="J737" s="87">
        <f>49.9/8</f>
        <v>6.2374999999999998</v>
      </c>
      <c r="K737" s="88">
        <f t="shared" si="36"/>
        <v>49.9</v>
      </c>
      <c r="L737" s="85">
        <v>38622</v>
      </c>
      <c r="M737" s="118" t="s">
        <v>656</v>
      </c>
      <c r="N737" s="84"/>
      <c r="O737" s="84" t="s">
        <v>45</v>
      </c>
      <c r="R737"/>
    </row>
    <row r="738" spans="1:18" hidden="1" x14ac:dyDescent="0.2">
      <c r="A738" s="84" t="str">
        <f t="shared" si="34"/>
        <v>MarçoSEMANA 3Torta Bem Casado de Damasco</v>
      </c>
      <c r="B738" s="85" t="s">
        <v>31</v>
      </c>
      <c r="C738" s="85" t="s">
        <v>22</v>
      </c>
      <c r="D738" s="86">
        <v>13</v>
      </c>
      <c r="E738" s="116" t="str">
        <f t="shared" si="35"/>
        <v>Sobremesa</v>
      </c>
      <c r="F738" s="85" t="s">
        <v>1146</v>
      </c>
      <c r="G738" s="85" t="s">
        <v>807</v>
      </c>
      <c r="H738" s="85" t="s">
        <v>1147</v>
      </c>
      <c r="I738" s="85">
        <f>2*12</f>
        <v>24</v>
      </c>
      <c r="J738" s="87">
        <f>142.33/24</f>
        <v>5.9304166666666669</v>
      </c>
      <c r="K738" s="88">
        <f t="shared" si="36"/>
        <v>142.33000000000001</v>
      </c>
      <c r="L738" s="85">
        <v>150233</v>
      </c>
      <c r="M738" s="118" t="s">
        <v>1059</v>
      </c>
      <c r="O738" s="84" t="s">
        <v>42</v>
      </c>
      <c r="R738"/>
    </row>
    <row r="739" spans="1:18" hidden="1" x14ac:dyDescent="0.2">
      <c r="A739" s="84" t="str">
        <f t="shared" si="34"/>
        <v>MarçoSEMANA 3Torta de Brigadeiro c/ Raspas</v>
      </c>
      <c r="B739" s="85" t="s">
        <v>31</v>
      </c>
      <c r="C739" s="85" t="s">
        <v>22</v>
      </c>
      <c r="D739" s="86">
        <v>13</v>
      </c>
      <c r="E739" s="116" t="str">
        <f t="shared" si="35"/>
        <v>Sobremesa</v>
      </c>
      <c r="F739" s="85" t="s">
        <v>1146</v>
      </c>
      <c r="G739" s="85" t="s">
        <v>812</v>
      </c>
      <c r="H739" s="85" t="s">
        <v>1147</v>
      </c>
      <c r="I739" s="85">
        <v>12</v>
      </c>
      <c r="J739" s="87">
        <f>69.04/12</f>
        <v>5.7533333333333339</v>
      </c>
      <c r="K739" s="88">
        <f t="shared" si="36"/>
        <v>69.040000000000006</v>
      </c>
      <c r="L739" s="85">
        <v>150233</v>
      </c>
      <c r="M739" s="118" t="s">
        <v>657</v>
      </c>
      <c r="N739" s="84"/>
      <c r="O739" s="84" t="s">
        <v>42</v>
      </c>
      <c r="R739"/>
    </row>
    <row r="740" spans="1:18" hidden="1" x14ac:dyDescent="0.2">
      <c r="A740" s="84" t="str">
        <f t="shared" si="34"/>
        <v>MarçoSEMANA 3Torta Banana Crock</v>
      </c>
      <c r="B740" s="85" t="s">
        <v>31</v>
      </c>
      <c r="C740" s="85" t="s">
        <v>22</v>
      </c>
      <c r="D740" s="86">
        <v>13</v>
      </c>
      <c r="E740" s="116" t="str">
        <f t="shared" si="35"/>
        <v>Sobremesa</v>
      </c>
      <c r="F740" s="85" t="s">
        <v>1146</v>
      </c>
      <c r="G740" s="85" t="s">
        <v>804</v>
      </c>
      <c r="H740" s="85" t="s">
        <v>1147</v>
      </c>
      <c r="I740" s="85">
        <v>12</v>
      </c>
      <c r="J740" s="87">
        <f>71.16/12</f>
        <v>5.93</v>
      </c>
      <c r="K740" s="88">
        <f t="shared" si="36"/>
        <v>71.16</v>
      </c>
      <c r="L740" s="85">
        <v>150233</v>
      </c>
      <c r="M740" s="118" t="s">
        <v>658</v>
      </c>
      <c r="N740" s="84"/>
      <c r="O740" s="84" t="s">
        <v>60</v>
      </c>
      <c r="R740"/>
    </row>
    <row r="741" spans="1:18" hidden="1" x14ac:dyDescent="0.2">
      <c r="A741" s="84" t="str">
        <f t="shared" si="34"/>
        <v>MarçoSEMANA 3Pescados - Filé Linguado Cong. M</v>
      </c>
      <c r="B741" s="85" t="s">
        <v>31</v>
      </c>
      <c r="C741" s="85" t="s">
        <v>22</v>
      </c>
      <c r="D741" s="86">
        <v>13</v>
      </c>
      <c r="E741" s="116" t="str">
        <f t="shared" si="35"/>
        <v>Carnes</v>
      </c>
      <c r="F741" s="85" t="s">
        <v>1234</v>
      </c>
      <c r="G741" s="85" t="s">
        <v>607</v>
      </c>
      <c r="H741" s="85" t="s">
        <v>1083</v>
      </c>
      <c r="I741" s="85">
        <v>10</v>
      </c>
      <c r="J741" s="87">
        <v>38</v>
      </c>
      <c r="K741" s="88">
        <f t="shared" si="36"/>
        <v>380</v>
      </c>
      <c r="L741" s="85">
        <v>301371</v>
      </c>
      <c r="M741" s="118" t="s">
        <v>659</v>
      </c>
      <c r="N741" s="84"/>
      <c r="O741" s="84" t="s">
        <v>45</v>
      </c>
      <c r="R741"/>
    </row>
    <row r="742" spans="1:18" hidden="1" x14ac:dyDescent="0.2">
      <c r="A742" s="84" t="str">
        <f t="shared" si="34"/>
        <v>MarçoSEMANA 3Farinha Panco (sushi)</v>
      </c>
      <c r="B742" s="85" t="s">
        <v>31</v>
      </c>
      <c r="C742" s="85" t="s">
        <v>22</v>
      </c>
      <c r="D742" s="86">
        <v>6</v>
      </c>
      <c r="E742" s="116" t="str">
        <f t="shared" si="35"/>
        <v>Sushi</v>
      </c>
      <c r="F742" s="85" t="s">
        <v>1125</v>
      </c>
      <c r="G742" s="85" t="s">
        <v>1031</v>
      </c>
      <c r="H742" s="85" t="s">
        <v>1083</v>
      </c>
      <c r="I742" s="85">
        <v>1</v>
      </c>
      <c r="J742" s="87">
        <v>17.7</v>
      </c>
      <c r="K742" s="88">
        <f t="shared" si="36"/>
        <v>17.7</v>
      </c>
      <c r="L742" s="85" t="s">
        <v>1181</v>
      </c>
      <c r="M742" s="118" t="s">
        <v>660</v>
      </c>
      <c r="N742" s="84"/>
      <c r="O742" s="84" t="s">
        <v>42</v>
      </c>
      <c r="R742"/>
    </row>
    <row r="743" spans="1:18" hidden="1" x14ac:dyDescent="0.2">
      <c r="A743" s="84" t="str">
        <f t="shared" si="34"/>
        <v>MarçoSEMANA 3Bala de Alga 500 g</v>
      </c>
      <c r="B743" s="85" t="s">
        <v>31</v>
      </c>
      <c r="C743" s="85" t="s">
        <v>22</v>
      </c>
      <c r="D743" s="86">
        <v>13</v>
      </c>
      <c r="E743" s="116" t="str">
        <f t="shared" si="35"/>
        <v>Vendas Caixa</v>
      </c>
      <c r="F743" s="85" t="s">
        <v>1125</v>
      </c>
      <c r="G743" s="85" t="s">
        <v>159</v>
      </c>
      <c r="H743" s="85" t="s">
        <v>1114</v>
      </c>
      <c r="I743" s="85">
        <v>2</v>
      </c>
      <c r="J743" s="87">
        <v>17.16</v>
      </c>
      <c r="K743" s="88">
        <f t="shared" si="36"/>
        <v>34.32</v>
      </c>
      <c r="L743" s="85" t="s">
        <v>1235</v>
      </c>
      <c r="M743" s="118" t="s">
        <v>661</v>
      </c>
      <c r="N743" s="84"/>
      <c r="O743" s="84" t="s">
        <v>42</v>
      </c>
      <c r="R743"/>
    </row>
    <row r="744" spans="1:18" hidden="1" x14ac:dyDescent="0.2">
      <c r="A744" s="84" t="str">
        <f t="shared" si="34"/>
        <v>MarçoSEMANA 3Farinha Panco</v>
      </c>
      <c r="B744" s="85" t="s">
        <v>31</v>
      </c>
      <c r="C744" s="85" t="s">
        <v>22</v>
      </c>
      <c r="D744" s="86">
        <v>13</v>
      </c>
      <c r="E744" s="116" t="str">
        <f t="shared" si="35"/>
        <v>Mercado</v>
      </c>
      <c r="F744" s="85" t="s">
        <v>1125</v>
      </c>
      <c r="G744" s="85" t="s">
        <v>345</v>
      </c>
      <c r="H744" s="85" t="s">
        <v>1083</v>
      </c>
      <c r="I744" s="85">
        <f>10-1</f>
        <v>9</v>
      </c>
      <c r="J744" s="87">
        <v>17.7</v>
      </c>
      <c r="K744" s="88">
        <f t="shared" si="36"/>
        <v>159.29999999999998</v>
      </c>
      <c r="L744" s="85" t="s">
        <v>1235</v>
      </c>
      <c r="M744" s="118" t="s">
        <v>662</v>
      </c>
      <c r="N744" s="84"/>
      <c r="O744" s="84" t="s">
        <v>60</v>
      </c>
      <c r="R744"/>
    </row>
    <row r="745" spans="1:18" hidden="1" x14ac:dyDescent="0.2">
      <c r="A745" s="84" t="str">
        <f t="shared" si="34"/>
        <v>MarçoSEMANA 3Gergelim Branco Sushi</v>
      </c>
      <c r="B745" s="85" t="s">
        <v>31</v>
      </c>
      <c r="C745" s="85" t="s">
        <v>22</v>
      </c>
      <c r="D745" s="86">
        <v>13</v>
      </c>
      <c r="E745" s="116" t="str">
        <f t="shared" si="35"/>
        <v>Sushi</v>
      </c>
      <c r="F745" s="85" t="s">
        <v>1125</v>
      </c>
      <c r="G745" s="85" t="s">
        <v>388</v>
      </c>
      <c r="H745" s="85" t="s">
        <v>1083</v>
      </c>
      <c r="I745" s="85">
        <v>1</v>
      </c>
      <c r="J745" s="87">
        <v>11.25</v>
      </c>
      <c r="K745" s="88">
        <f t="shared" si="36"/>
        <v>11.25</v>
      </c>
      <c r="L745" s="85" t="s">
        <v>1235</v>
      </c>
      <c r="M745" s="118" t="s">
        <v>1000</v>
      </c>
      <c r="N745" s="84"/>
      <c r="O745" s="84" t="s">
        <v>42</v>
      </c>
      <c r="R745"/>
    </row>
    <row r="746" spans="1:18" hidden="1" x14ac:dyDescent="0.2">
      <c r="A746" s="84" t="str">
        <f t="shared" si="34"/>
        <v>MarçoSEMANA 3Macarrão de Feijão (Harusame) 200g</v>
      </c>
      <c r="B746" s="85" t="s">
        <v>31</v>
      </c>
      <c r="C746" s="85" t="s">
        <v>22</v>
      </c>
      <c r="D746" s="86">
        <v>13</v>
      </c>
      <c r="E746" s="116" t="str">
        <f t="shared" si="35"/>
        <v>Mercado</v>
      </c>
      <c r="F746" s="85" t="s">
        <v>1125</v>
      </c>
      <c r="G746" s="85" t="s">
        <v>480</v>
      </c>
      <c r="H746" s="85" t="s">
        <v>1114</v>
      </c>
      <c r="I746" s="85">
        <v>3</v>
      </c>
      <c r="J746" s="87">
        <v>8.48</v>
      </c>
      <c r="K746" s="88">
        <f t="shared" si="36"/>
        <v>25.44</v>
      </c>
      <c r="L746" s="85" t="s">
        <v>1235</v>
      </c>
      <c r="M746" s="118" t="s">
        <v>663</v>
      </c>
      <c r="N746" s="84"/>
      <c r="O746" s="84" t="s">
        <v>45</v>
      </c>
      <c r="R746"/>
    </row>
    <row r="747" spans="1:18" hidden="1" x14ac:dyDescent="0.2">
      <c r="A747" s="84" t="str">
        <f t="shared" si="34"/>
        <v>MarçoSEMANA 3Óleo de Gergelim</v>
      </c>
      <c r="B747" s="85" t="s">
        <v>31</v>
      </c>
      <c r="C747" s="85" t="s">
        <v>22</v>
      </c>
      <c r="D747" s="86">
        <v>13</v>
      </c>
      <c r="E747" s="116" t="str">
        <f t="shared" si="35"/>
        <v>Mercado</v>
      </c>
      <c r="F747" s="85" t="s">
        <v>1125</v>
      </c>
      <c r="G747" s="85" t="s">
        <v>543</v>
      </c>
      <c r="H747" s="85" t="s">
        <v>1090</v>
      </c>
      <c r="I747" s="85">
        <v>1</v>
      </c>
      <c r="J747" s="87">
        <v>54</v>
      </c>
      <c r="K747" s="88">
        <f t="shared" si="36"/>
        <v>54</v>
      </c>
      <c r="L747" s="85" t="s">
        <v>1235</v>
      </c>
      <c r="M747" s="118" t="s">
        <v>664</v>
      </c>
      <c r="N747" s="84"/>
      <c r="O747" s="84" t="s">
        <v>45</v>
      </c>
      <c r="R747"/>
    </row>
    <row r="748" spans="1:18" hidden="1" x14ac:dyDescent="0.2">
      <c r="A748" s="84" t="str">
        <f t="shared" si="34"/>
        <v>MarçoSEMANA 3Coca Cola (lata)</v>
      </c>
      <c r="B748" s="85" t="s">
        <v>31</v>
      </c>
      <c r="C748" s="85" t="s">
        <v>22</v>
      </c>
      <c r="D748" s="86">
        <v>13</v>
      </c>
      <c r="E748" s="116" t="str">
        <f t="shared" si="35"/>
        <v>Bebidas</v>
      </c>
      <c r="F748" s="85" t="s">
        <v>1103</v>
      </c>
      <c r="G748" s="85" t="s">
        <v>285</v>
      </c>
      <c r="H748" s="85" t="s">
        <v>1090</v>
      </c>
      <c r="I748" s="85">
        <f>8*12</f>
        <v>96</v>
      </c>
      <c r="J748" s="87">
        <f>272.8/96</f>
        <v>2.8416666666666668</v>
      </c>
      <c r="K748" s="88">
        <f t="shared" si="36"/>
        <v>272.8</v>
      </c>
      <c r="L748" s="85">
        <v>1501611</v>
      </c>
      <c r="M748" s="118" t="s">
        <v>665</v>
      </c>
      <c r="N748" s="84"/>
      <c r="O748" s="84" t="s">
        <v>45</v>
      </c>
      <c r="R748"/>
    </row>
    <row r="749" spans="1:18" hidden="1" x14ac:dyDescent="0.2">
      <c r="A749" s="84" t="str">
        <f t="shared" si="34"/>
        <v>MarçoSEMANA 3Coca Cola Zero (lata)</v>
      </c>
      <c r="B749" s="85" t="s">
        <v>31</v>
      </c>
      <c r="C749" s="85" t="s">
        <v>22</v>
      </c>
      <c r="D749" s="86">
        <v>13</v>
      </c>
      <c r="E749" s="116" t="str">
        <f t="shared" si="35"/>
        <v>Bebidas</v>
      </c>
      <c r="F749" s="85" t="s">
        <v>1103</v>
      </c>
      <c r="G749" s="85" t="s">
        <v>286</v>
      </c>
      <c r="H749" s="85" t="s">
        <v>1090</v>
      </c>
      <c r="I749" s="85">
        <f>8*12</f>
        <v>96</v>
      </c>
      <c r="J749" s="87">
        <f>271.28/96</f>
        <v>2.8258333333333332</v>
      </c>
      <c r="K749" s="88">
        <f t="shared" si="36"/>
        <v>271.27999999999997</v>
      </c>
      <c r="L749" s="85">
        <v>1501611</v>
      </c>
      <c r="M749" s="118" t="s">
        <v>666</v>
      </c>
      <c r="N749" s="84"/>
      <c r="O749" s="84" t="s">
        <v>45</v>
      </c>
      <c r="R749"/>
    </row>
    <row r="750" spans="1:18" hidden="1" x14ac:dyDescent="0.2">
      <c r="A750" s="84" t="str">
        <f t="shared" si="34"/>
        <v>MarçoSEMANA 3Schweppes Citrus</v>
      </c>
      <c r="B750" s="85" t="s">
        <v>31</v>
      </c>
      <c r="C750" s="85" t="s">
        <v>22</v>
      </c>
      <c r="D750" s="86">
        <v>13</v>
      </c>
      <c r="E750" s="116" t="str">
        <f t="shared" si="35"/>
        <v>Bebidas</v>
      </c>
      <c r="F750" s="85" t="s">
        <v>1103</v>
      </c>
      <c r="G750" s="85" t="s">
        <v>738</v>
      </c>
      <c r="H750" s="85" t="s">
        <v>1090</v>
      </c>
      <c r="I750" s="85">
        <f>3*12</f>
        <v>36</v>
      </c>
      <c r="J750" s="87">
        <f>100.2/36</f>
        <v>2.7833333333333332</v>
      </c>
      <c r="K750" s="88">
        <f t="shared" si="36"/>
        <v>100.19999999999999</v>
      </c>
      <c r="L750" s="85">
        <v>1501611</v>
      </c>
      <c r="M750" s="118" t="s">
        <v>667</v>
      </c>
      <c r="N750" s="84"/>
      <c r="O750" s="84" t="s">
        <v>42</v>
      </c>
      <c r="R750"/>
    </row>
    <row r="751" spans="1:18" hidden="1" x14ac:dyDescent="0.2">
      <c r="A751" s="84" t="str">
        <f t="shared" si="34"/>
        <v>MarçoSEMANA 3Azeite Extra Virgem (Santiago) 500 ml</v>
      </c>
      <c r="B751" s="85" t="s">
        <v>31</v>
      </c>
      <c r="C751" s="85" t="s">
        <v>22</v>
      </c>
      <c r="D751" s="86">
        <v>14</v>
      </c>
      <c r="E751" s="116" t="str">
        <f t="shared" si="35"/>
        <v>Mercado</v>
      </c>
      <c r="F751" s="85" t="s">
        <v>1120</v>
      </c>
      <c r="G751" s="85" t="s">
        <v>153</v>
      </c>
      <c r="H751" s="85" t="s">
        <v>1089</v>
      </c>
      <c r="I751" s="85">
        <v>3</v>
      </c>
      <c r="J751" s="87">
        <v>129.59</v>
      </c>
      <c r="K751" s="88">
        <f t="shared" si="36"/>
        <v>388.77</v>
      </c>
      <c r="L751" s="85" t="s">
        <v>1236</v>
      </c>
      <c r="M751" s="118" t="s">
        <v>668</v>
      </c>
      <c r="N751" s="84"/>
      <c r="O751" s="84" t="s">
        <v>873</v>
      </c>
      <c r="R751"/>
    </row>
    <row r="752" spans="1:18" hidden="1" x14ac:dyDescent="0.2">
      <c r="A752" s="84" t="str">
        <f t="shared" si="34"/>
        <v>MarçoSEMANA 3Leite Condensado 395 g</v>
      </c>
      <c r="B752" s="85" t="s">
        <v>31</v>
      </c>
      <c r="C752" s="85" t="s">
        <v>22</v>
      </c>
      <c r="D752" s="86">
        <v>14</v>
      </c>
      <c r="E752" s="116" t="str">
        <f t="shared" si="35"/>
        <v>Mercado</v>
      </c>
      <c r="F752" s="85" t="s">
        <v>1120</v>
      </c>
      <c r="G752" s="85" t="s">
        <v>458</v>
      </c>
      <c r="H752" s="85" t="s">
        <v>1090</v>
      </c>
      <c r="I752" s="85">
        <v>48</v>
      </c>
      <c r="J752" s="87">
        <f>(217.92+24.73)/48</f>
        <v>5.0552083333333329</v>
      </c>
      <c r="K752" s="88">
        <f t="shared" si="36"/>
        <v>242.64999999999998</v>
      </c>
      <c r="L752" s="85" t="s">
        <v>1236</v>
      </c>
      <c r="M752" s="118" t="s">
        <v>1057</v>
      </c>
      <c r="O752" s="84" t="s">
        <v>872</v>
      </c>
      <c r="R752"/>
    </row>
    <row r="753" spans="1:18" hidden="1" x14ac:dyDescent="0.2">
      <c r="A753" s="84" t="str">
        <f t="shared" si="34"/>
        <v>MarçoSEMANA 3Azeitona Verde Fatiada Bd 2 kg</v>
      </c>
      <c r="B753" s="85" t="s">
        <v>31</v>
      </c>
      <c r="C753" s="85" t="s">
        <v>22</v>
      </c>
      <c r="D753" s="86">
        <v>14</v>
      </c>
      <c r="E753" s="116" t="str">
        <f t="shared" si="35"/>
        <v>Mercado</v>
      </c>
      <c r="F753" s="85" t="s">
        <v>1123</v>
      </c>
      <c r="G753" s="85" t="s">
        <v>158</v>
      </c>
      <c r="H753" s="85" t="s">
        <v>1088</v>
      </c>
      <c r="I753" s="85">
        <v>2</v>
      </c>
      <c r="J753" s="87">
        <v>23.61</v>
      </c>
      <c r="K753" s="88">
        <f t="shared" si="36"/>
        <v>47.22</v>
      </c>
      <c r="L753" s="85" t="s">
        <v>1237</v>
      </c>
      <c r="M753" s="118" t="s">
        <v>669</v>
      </c>
      <c r="N753" s="84"/>
      <c r="O753" s="84" t="s">
        <v>44</v>
      </c>
      <c r="R753"/>
    </row>
    <row r="754" spans="1:18" hidden="1" x14ac:dyDescent="0.2">
      <c r="A754" s="84" t="str">
        <f t="shared" si="34"/>
        <v>MarçoSEMANA 3Vinho Branco Seco Gf 4,6 Lt</v>
      </c>
      <c r="B754" s="85" t="s">
        <v>31</v>
      </c>
      <c r="C754" s="85" t="s">
        <v>22</v>
      </c>
      <c r="D754" s="86">
        <v>14</v>
      </c>
      <c r="E754" s="116" t="str">
        <f t="shared" si="35"/>
        <v>Mercado</v>
      </c>
      <c r="F754" s="85" t="s">
        <v>1123</v>
      </c>
      <c r="G754" s="85" t="s">
        <v>850</v>
      </c>
      <c r="H754" s="85" t="s">
        <v>1090</v>
      </c>
      <c r="I754" s="85">
        <v>1</v>
      </c>
      <c r="J754" s="87">
        <f>35.52+8.33</f>
        <v>43.85</v>
      </c>
      <c r="K754" s="88">
        <f t="shared" si="36"/>
        <v>43.85</v>
      </c>
      <c r="L754" s="85" t="s">
        <v>1237</v>
      </c>
      <c r="M754" s="118" t="s">
        <v>670</v>
      </c>
      <c r="N754" s="84"/>
      <c r="O754" s="84" t="s">
        <v>44</v>
      </c>
      <c r="R754"/>
    </row>
    <row r="755" spans="1:18" hidden="1" x14ac:dyDescent="0.2">
      <c r="A755" s="84" t="str">
        <f t="shared" si="34"/>
        <v>MarçoSEMANA 3Shoyu Premium (Mesa) Bb 5 Lt</v>
      </c>
      <c r="B755" s="85" t="s">
        <v>31</v>
      </c>
      <c r="C755" s="85" t="s">
        <v>22</v>
      </c>
      <c r="D755" s="86">
        <v>14</v>
      </c>
      <c r="E755" s="116" t="str">
        <f t="shared" si="35"/>
        <v>Mercado</v>
      </c>
      <c r="F755" s="85" t="s">
        <v>1123</v>
      </c>
      <c r="G755" s="85" t="s">
        <v>743</v>
      </c>
      <c r="H755" s="85" t="s">
        <v>1089</v>
      </c>
      <c r="I755" s="85">
        <v>1</v>
      </c>
      <c r="J755" s="87">
        <v>55.49</v>
      </c>
      <c r="K755" s="88">
        <f t="shared" si="36"/>
        <v>55.49</v>
      </c>
      <c r="L755" s="85" t="s">
        <v>1237</v>
      </c>
      <c r="M755" s="118" t="s">
        <v>1026</v>
      </c>
      <c r="O755" s="84" t="s">
        <v>42</v>
      </c>
      <c r="R755"/>
    </row>
    <row r="756" spans="1:18" hidden="1" x14ac:dyDescent="0.2">
      <c r="A756" s="84" t="str">
        <f t="shared" si="34"/>
        <v>MarçoSEMANA 3Pimenta Tabasco</v>
      </c>
      <c r="B756" s="85" t="s">
        <v>31</v>
      </c>
      <c r="C756" s="85" t="s">
        <v>22</v>
      </c>
      <c r="D756" s="86">
        <v>14</v>
      </c>
      <c r="E756" s="116" t="str">
        <f t="shared" si="35"/>
        <v>Mercado</v>
      </c>
      <c r="F756" s="85" t="s">
        <v>1123</v>
      </c>
      <c r="G756" s="85" t="s">
        <v>661</v>
      </c>
      <c r="H756" s="85" t="s">
        <v>1090</v>
      </c>
      <c r="I756" s="85">
        <v>1</v>
      </c>
      <c r="J756" s="87">
        <f>14.12+2.11</f>
        <v>16.23</v>
      </c>
      <c r="K756" s="88">
        <f t="shared" si="36"/>
        <v>16.23</v>
      </c>
      <c r="L756" s="85" t="s">
        <v>1237</v>
      </c>
      <c r="M756" s="118" t="s">
        <v>671</v>
      </c>
      <c r="N756" s="84"/>
      <c r="O756" s="84" t="s">
        <v>46</v>
      </c>
      <c r="R756"/>
    </row>
    <row r="757" spans="1:18" hidden="1" x14ac:dyDescent="0.2">
      <c r="A757" s="84" t="str">
        <f t="shared" si="34"/>
        <v>MarçoSEMANA 3Mostarda Bb 3,3, Kg</v>
      </c>
      <c r="B757" s="85" t="s">
        <v>31</v>
      </c>
      <c r="C757" s="85" t="s">
        <v>22</v>
      </c>
      <c r="D757" s="86">
        <v>14</v>
      </c>
      <c r="E757" s="116" t="str">
        <f t="shared" si="35"/>
        <v>Mercado</v>
      </c>
      <c r="F757" s="85" t="s">
        <v>1123</v>
      </c>
      <c r="G757" s="85" t="s">
        <v>531</v>
      </c>
      <c r="H757" s="85" t="s">
        <v>1089</v>
      </c>
      <c r="I757" s="85">
        <v>1</v>
      </c>
      <c r="J757" s="87">
        <v>12.7</v>
      </c>
      <c r="K757" s="88">
        <f t="shared" si="36"/>
        <v>12.7</v>
      </c>
      <c r="L757" s="85" t="s">
        <v>1237</v>
      </c>
      <c r="M757" s="118" t="s">
        <v>672</v>
      </c>
      <c r="N757" s="84"/>
      <c r="O757" s="84" t="s">
        <v>1079</v>
      </c>
      <c r="R757"/>
    </row>
    <row r="758" spans="1:18" hidden="1" x14ac:dyDescent="0.2">
      <c r="A758" s="84" t="str">
        <f t="shared" si="34"/>
        <v>MarçoSEMANA 3Vinagre de Arroz Sushi</v>
      </c>
      <c r="B758" s="85" t="s">
        <v>31</v>
      </c>
      <c r="C758" s="85" t="s">
        <v>22</v>
      </c>
      <c r="D758" s="86">
        <v>14</v>
      </c>
      <c r="E758" s="116" t="str">
        <f t="shared" si="35"/>
        <v>Sushi</v>
      </c>
      <c r="F758" s="85" t="s">
        <v>1123</v>
      </c>
      <c r="G758" s="85" t="s">
        <v>839</v>
      </c>
      <c r="H758" s="85" t="s">
        <v>1090</v>
      </c>
      <c r="I758" s="85">
        <f>12-7</f>
        <v>5</v>
      </c>
      <c r="J758" s="87">
        <v>3.75</v>
      </c>
      <c r="K758" s="88">
        <f t="shared" si="36"/>
        <v>18.75</v>
      </c>
      <c r="L758" s="85" t="s">
        <v>1237</v>
      </c>
      <c r="M758" s="118" t="s">
        <v>673</v>
      </c>
      <c r="N758" s="84"/>
      <c r="O758" s="84" t="s">
        <v>1079</v>
      </c>
      <c r="R758"/>
    </row>
    <row r="759" spans="1:18" hidden="1" x14ac:dyDescent="0.2">
      <c r="A759" s="84" t="str">
        <f t="shared" si="34"/>
        <v>MarçoSEMANA 3Açucar União Sache Cx 400</v>
      </c>
      <c r="B759" s="85" t="s">
        <v>31</v>
      </c>
      <c r="C759" s="85" t="s">
        <v>22</v>
      </c>
      <c r="D759" s="86">
        <v>14</v>
      </c>
      <c r="E759" s="116" t="str">
        <f t="shared" si="35"/>
        <v>Mercado</v>
      </c>
      <c r="F759" s="85" t="s">
        <v>1085</v>
      </c>
      <c r="G759" s="85" t="s">
        <v>81</v>
      </c>
      <c r="H759" s="85" t="s">
        <v>1209</v>
      </c>
      <c r="I759" s="85">
        <v>1</v>
      </c>
      <c r="J759" s="87">
        <v>13.67</v>
      </c>
      <c r="K759" s="88">
        <f t="shared" si="36"/>
        <v>13.67</v>
      </c>
      <c r="L759" s="85" t="s">
        <v>1238</v>
      </c>
      <c r="M759" s="118" t="s">
        <v>674</v>
      </c>
      <c r="N759" s="84"/>
      <c r="O759" s="84" t="s">
        <v>1079</v>
      </c>
      <c r="R759"/>
    </row>
    <row r="760" spans="1:18" hidden="1" x14ac:dyDescent="0.2">
      <c r="A760" s="84" t="str">
        <f t="shared" si="34"/>
        <v>MarçoSEMANA 3Açucar Refinado</v>
      </c>
      <c r="B760" s="85" t="s">
        <v>31</v>
      </c>
      <c r="C760" s="85" t="s">
        <v>22</v>
      </c>
      <c r="D760" s="86">
        <v>14</v>
      </c>
      <c r="E760" s="116" t="str">
        <f t="shared" si="35"/>
        <v>Mercado</v>
      </c>
      <c r="F760" s="85" t="s">
        <v>1085</v>
      </c>
      <c r="G760" s="85" t="s">
        <v>79</v>
      </c>
      <c r="H760" s="85" t="s">
        <v>1083</v>
      </c>
      <c r="I760" s="85">
        <f>30-6</f>
        <v>24</v>
      </c>
      <c r="J760" s="87">
        <v>2.44</v>
      </c>
      <c r="K760" s="88">
        <f t="shared" si="36"/>
        <v>58.56</v>
      </c>
      <c r="L760" s="85" t="s">
        <v>1238</v>
      </c>
      <c r="M760" s="118" t="s">
        <v>985</v>
      </c>
      <c r="N760" s="84"/>
      <c r="O760" s="84" t="s">
        <v>1079</v>
      </c>
      <c r="R760"/>
    </row>
    <row r="761" spans="1:18" hidden="1" x14ac:dyDescent="0.2">
      <c r="A761" s="84" t="str">
        <f t="shared" si="34"/>
        <v>MarçoSEMANA 3Farinha de Mandioca</v>
      </c>
      <c r="B761" s="85" t="s">
        <v>31</v>
      </c>
      <c r="C761" s="85" t="s">
        <v>22</v>
      </c>
      <c r="D761" s="86">
        <v>14</v>
      </c>
      <c r="E761" s="116" t="str">
        <f t="shared" si="35"/>
        <v>Mercado</v>
      </c>
      <c r="F761" s="85" t="s">
        <v>1085</v>
      </c>
      <c r="G761" s="85" t="s">
        <v>341</v>
      </c>
      <c r="H761" s="85" t="s">
        <v>1083</v>
      </c>
      <c r="I761" s="85">
        <v>20</v>
      </c>
      <c r="J761" s="87">
        <v>5.0999999999999996</v>
      </c>
      <c r="K761" s="88">
        <f t="shared" si="36"/>
        <v>102</v>
      </c>
      <c r="L761" s="85" t="s">
        <v>1238</v>
      </c>
      <c r="M761" s="118" t="s">
        <v>675</v>
      </c>
      <c r="N761" s="84"/>
      <c r="O761" s="84" t="s">
        <v>1079</v>
      </c>
      <c r="R761"/>
    </row>
    <row r="762" spans="1:18" hidden="1" x14ac:dyDescent="0.2">
      <c r="A762" s="84" t="str">
        <f t="shared" si="34"/>
        <v>MarçoSEMANA 3Feijão Preto</v>
      </c>
      <c r="B762" s="85" t="s">
        <v>31</v>
      </c>
      <c r="C762" s="85" t="s">
        <v>22</v>
      </c>
      <c r="D762" s="86">
        <v>14</v>
      </c>
      <c r="E762" s="116" t="str">
        <f t="shared" si="35"/>
        <v>Mercado</v>
      </c>
      <c r="F762" s="85" t="s">
        <v>1085</v>
      </c>
      <c r="G762" s="85" t="s">
        <v>352</v>
      </c>
      <c r="H762" s="85" t="s">
        <v>1083</v>
      </c>
      <c r="I762" s="85">
        <v>20</v>
      </c>
      <c r="J762" s="87">
        <v>4.46</v>
      </c>
      <c r="K762" s="88">
        <f t="shared" si="36"/>
        <v>89.2</v>
      </c>
      <c r="L762" s="85" t="s">
        <v>1238</v>
      </c>
      <c r="M762" s="118" t="s">
        <v>676</v>
      </c>
      <c r="N762" s="84"/>
      <c r="O762" s="84" t="s">
        <v>1079</v>
      </c>
      <c r="R762"/>
    </row>
    <row r="763" spans="1:18" hidden="1" x14ac:dyDescent="0.2">
      <c r="A763" s="84" t="str">
        <f t="shared" si="34"/>
        <v>MarçoSEMANA 3Leite de Côco</v>
      </c>
      <c r="B763" s="85" t="s">
        <v>31</v>
      </c>
      <c r="C763" s="85" t="s">
        <v>22</v>
      </c>
      <c r="D763" s="86">
        <v>14</v>
      </c>
      <c r="E763" s="116" t="str">
        <f t="shared" si="35"/>
        <v>Mercado</v>
      </c>
      <c r="F763" s="85" t="s">
        <v>1085</v>
      </c>
      <c r="G763" s="85" t="s">
        <v>459</v>
      </c>
      <c r="H763" s="85" t="s">
        <v>1086</v>
      </c>
      <c r="I763" s="85">
        <v>12</v>
      </c>
      <c r="J763" s="87">
        <f>177/12</f>
        <v>14.75</v>
      </c>
      <c r="K763" s="88">
        <f t="shared" si="36"/>
        <v>177</v>
      </c>
      <c r="L763" s="85" t="s">
        <v>1238</v>
      </c>
      <c r="M763" s="118" t="s">
        <v>677</v>
      </c>
      <c r="N763" s="84"/>
      <c r="O763" s="84" t="s">
        <v>1079</v>
      </c>
      <c r="R763"/>
    </row>
    <row r="764" spans="1:18" hidden="1" x14ac:dyDescent="0.2">
      <c r="A764" s="84" t="str">
        <f t="shared" si="34"/>
        <v>MarçoSEMANA 3Leite Integral</v>
      </c>
      <c r="B764" s="85" t="s">
        <v>31</v>
      </c>
      <c r="C764" s="85" t="s">
        <v>22</v>
      </c>
      <c r="D764" s="86">
        <v>14</v>
      </c>
      <c r="E764" s="116" t="str">
        <f t="shared" si="35"/>
        <v>Mercado</v>
      </c>
      <c r="F764" s="85" t="s">
        <v>1085</v>
      </c>
      <c r="G764" s="85" t="s">
        <v>460</v>
      </c>
      <c r="H764" s="85" t="s">
        <v>1086</v>
      </c>
      <c r="I764" s="85">
        <f>7*12</f>
        <v>84</v>
      </c>
      <c r="J764" s="87">
        <f>(229.81+8.71)/84</f>
        <v>2.8395238095238096</v>
      </c>
      <c r="K764" s="88">
        <f t="shared" si="36"/>
        <v>238.52</v>
      </c>
      <c r="L764" s="85" t="s">
        <v>1238</v>
      </c>
      <c r="M764" s="118" t="s">
        <v>678</v>
      </c>
      <c r="N764" s="84"/>
      <c r="O764" s="84" t="s">
        <v>1079</v>
      </c>
      <c r="R764"/>
    </row>
    <row r="765" spans="1:18" hidden="1" x14ac:dyDescent="0.2">
      <c r="A765" s="84" t="str">
        <f t="shared" si="34"/>
        <v>MarçoSEMANA 3Margarina Bd 15 Kg</v>
      </c>
      <c r="B765" s="85" t="s">
        <v>31</v>
      </c>
      <c r="C765" s="85" t="s">
        <v>22</v>
      </c>
      <c r="D765" s="86">
        <v>14</v>
      </c>
      <c r="E765" s="116" t="str">
        <f t="shared" si="35"/>
        <v>Mercado</v>
      </c>
      <c r="F765" s="85" t="s">
        <v>1085</v>
      </c>
      <c r="G765" s="85" t="s">
        <v>504</v>
      </c>
      <c r="H765" s="85" t="s">
        <v>1088</v>
      </c>
      <c r="I765" s="85">
        <v>1</v>
      </c>
      <c r="J765" s="87">
        <v>75</v>
      </c>
      <c r="K765" s="88">
        <f t="shared" si="36"/>
        <v>75</v>
      </c>
      <c r="L765" s="85" t="s">
        <v>1238</v>
      </c>
      <c r="M765" s="118" t="s">
        <v>679</v>
      </c>
      <c r="N765" s="84"/>
      <c r="O765" s="84" t="s">
        <v>1079</v>
      </c>
      <c r="R765"/>
    </row>
    <row r="766" spans="1:18" hidden="1" x14ac:dyDescent="0.2">
      <c r="A766" s="84" t="str">
        <f t="shared" si="34"/>
        <v>MarçoSEMANA 3Óleo de Soja 18 Lt</v>
      </c>
      <c r="B766" s="85" t="s">
        <v>31</v>
      </c>
      <c r="C766" s="85" t="s">
        <v>22</v>
      </c>
      <c r="D766" s="86">
        <v>14</v>
      </c>
      <c r="E766" s="116" t="str">
        <f t="shared" si="35"/>
        <v>Mercado</v>
      </c>
      <c r="F766" s="85" t="s">
        <v>1085</v>
      </c>
      <c r="G766" s="85" t="s">
        <v>544</v>
      </c>
      <c r="H766" s="85" t="s">
        <v>1087</v>
      </c>
      <c r="I766" s="85">
        <v>4</v>
      </c>
      <c r="J766" s="87">
        <v>60</v>
      </c>
      <c r="K766" s="88">
        <f t="shared" si="36"/>
        <v>240</v>
      </c>
      <c r="L766" s="85" t="s">
        <v>1238</v>
      </c>
      <c r="M766" s="118" t="s">
        <v>680</v>
      </c>
      <c r="N766" s="84"/>
      <c r="O766" s="84" t="s">
        <v>1079</v>
      </c>
      <c r="R766"/>
    </row>
    <row r="767" spans="1:18" hidden="1" x14ac:dyDescent="0.2">
      <c r="A767" s="84" t="str">
        <f t="shared" si="34"/>
        <v>MarçoSEMANA 3Sal Refinado</v>
      </c>
      <c r="B767" s="85" t="s">
        <v>31</v>
      </c>
      <c r="C767" s="85" t="s">
        <v>22</v>
      </c>
      <c r="D767" s="86">
        <v>14</v>
      </c>
      <c r="E767" s="116" t="str">
        <f t="shared" si="35"/>
        <v>Mercado</v>
      </c>
      <c r="F767" s="85" t="s">
        <v>1085</v>
      </c>
      <c r="G767" s="85" t="s">
        <v>724</v>
      </c>
      <c r="H767" s="85" t="s">
        <v>1083</v>
      </c>
      <c r="I767" s="85">
        <v>10</v>
      </c>
      <c r="J767" s="87">
        <v>1.38</v>
      </c>
      <c r="K767" s="88">
        <f t="shared" si="36"/>
        <v>13.799999999999999</v>
      </c>
      <c r="L767" s="85" t="s">
        <v>1238</v>
      </c>
      <c r="M767" s="118" t="s">
        <v>681</v>
      </c>
      <c r="N767" s="84"/>
      <c r="O767" s="84" t="s">
        <v>1079</v>
      </c>
      <c r="R767"/>
    </row>
    <row r="768" spans="1:18" hidden="1" x14ac:dyDescent="0.2">
      <c r="A768" s="84" t="str">
        <f t="shared" si="34"/>
        <v>MarçoSEMANA 3Maisena Amido de Milho 1 Kg</v>
      </c>
      <c r="B768" s="85" t="s">
        <v>31</v>
      </c>
      <c r="C768" s="85" t="s">
        <v>22</v>
      </c>
      <c r="D768" s="86">
        <v>14</v>
      </c>
      <c r="E768" s="116" t="str">
        <f t="shared" si="35"/>
        <v>Mercado</v>
      </c>
      <c r="F768" s="85" t="s">
        <v>1085</v>
      </c>
      <c r="G768" s="85" t="s">
        <v>492</v>
      </c>
      <c r="H768" s="85" t="s">
        <v>1083</v>
      </c>
      <c r="I768" s="85">
        <v>5</v>
      </c>
      <c r="J768" s="87">
        <v>3.3</v>
      </c>
      <c r="K768" s="88">
        <f t="shared" si="36"/>
        <v>16.5</v>
      </c>
      <c r="L768" s="85" t="s">
        <v>1238</v>
      </c>
      <c r="M768" s="118" t="s">
        <v>682</v>
      </c>
      <c r="O768" s="115" t="s">
        <v>1079</v>
      </c>
      <c r="R768"/>
    </row>
    <row r="769" spans="1:18" hidden="1" x14ac:dyDescent="0.2">
      <c r="A769" s="84" t="str">
        <f t="shared" si="34"/>
        <v>MarçoSEMANA 3Catchup 3,6 Kg</v>
      </c>
      <c r="B769" s="85" t="s">
        <v>31</v>
      </c>
      <c r="C769" s="85" t="s">
        <v>22</v>
      </c>
      <c r="D769" s="86">
        <v>14</v>
      </c>
      <c r="E769" s="116" t="str">
        <f t="shared" si="35"/>
        <v>Mercado</v>
      </c>
      <c r="F769" s="85" t="s">
        <v>1085</v>
      </c>
      <c r="G769" s="85" t="s">
        <v>240</v>
      </c>
      <c r="H769" s="85" t="s">
        <v>1089</v>
      </c>
      <c r="I769" s="85">
        <v>1</v>
      </c>
      <c r="J769" s="87">
        <v>14.95</v>
      </c>
      <c r="K769" s="88">
        <f t="shared" si="36"/>
        <v>14.95</v>
      </c>
      <c r="L769" s="85" t="s">
        <v>1238</v>
      </c>
      <c r="M769" s="118" t="s">
        <v>683</v>
      </c>
      <c r="N769" s="84"/>
      <c r="O769" s="84" t="s">
        <v>1079</v>
      </c>
      <c r="R769"/>
    </row>
    <row r="770" spans="1:18" hidden="1" x14ac:dyDescent="0.2">
      <c r="A770" s="84" t="str">
        <f t="shared" ref="A770:A833" si="37">CONCATENATE(B770,C770,G770)</f>
        <v>MarçoSEMANA 3Farinha de Mandioca</v>
      </c>
      <c r="B770" s="85" t="s">
        <v>31</v>
      </c>
      <c r="C770" s="85" t="s">
        <v>22</v>
      </c>
      <c r="D770" s="86">
        <v>14</v>
      </c>
      <c r="E770" s="116" t="str">
        <f t="shared" ref="E770:E833" si="38">VLOOKUP(G770,$M$1:$O$993,3,0)</f>
        <v>Mercado</v>
      </c>
      <c r="F770" s="85" t="s">
        <v>1085</v>
      </c>
      <c r="G770" s="85" t="s">
        <v>341</v>
      </c>
      <c r="H770" s="85" t="s">
        <v>1083</v>
      </c>
      <c r="I770" s="85">
        <v>1</v>
      </c>
      <c r="J770" s="87">
        <v>4.75</v>
      </c>
      <c r="K770" s="88">
        <f t="shared" ref="K770:K833" si="39">I770*J770</f>
        <v>4.75</v>
      </c>
      <c r="L770" s="85" t="s">
        <v>1239</v>
      </c>
      <c r="M770" s="118" t="s">
        <v>684</v>
      </c>
      <c r="N770" s="84"/>
      <c r="O770" s="84" t="s">
        <v>1079</v>
      </c>
      <c r="R770"/>
    </row>
    <row r="771" spans="1:18" hidden="1" x14ac:dyDescent="0.2">
      <c r="A771" s="84" t="str">
        <f t="shared" si="37"/>
        <v xml:space="preserve">MarçoSEMANA 3Fubá de Milho </v>
      </c>
      <c r="B771" s="85" t="s">
        <v>31</v>
      </c>
      <c r="C771" s="85" t="s">
        <v>22</v>
      </c>
      <c r="D771" s="86">
        <v>14</v>
      </c>
      <c r="E771" s="116" t="str">
        <f t="shared" si="38"/>
        <v>Mercado</v>
      </c>
      <c r="F771" s="85" t="s">
        <v>1085</v>
      </c>
      <c r="G771" s="85" t="s">
        <v>373</v>
      </c>
      <c r="H771" s="85" t="s">
        <v>1083</v>
      </c>
      <c r="I771" s="85">
        <v>1</v>
      </c>
      <c r="J771" s="87">
        <v>1.65</v>
      </c>
      <c r="K771" s="88">
        <f t="shared" si="39"/>
        <v>1.65</v>
      </c>
      <c r="L771" s="85" t="s">
        <v>1238</v>
      </c>
      <c r="M771" s="118" t="s">
        <v>685</v>
      </c>
      <c r="N771" s="84"/>
      <c r="O771" s="84" t="s">
        <v>1079</v>
      </c>
      <c r="R771"/>
    </row>
    <row r="772" spans="1:18" hidden="1" x14ac:dyDescent="0.2">
      <c r="A772" s="84" t="str">
        <f t="shared" si="37"/>
        <v>MarçoSEMANA 3Macarrão Espaghetti Nissim</v>
      </c>
      <c r="B772" s="85" t="s">
        <v>31</v>
      </c>
      <c r="C772" s="85" t="s">
        <v>22</v>
      </c>
      <c r="D772" s="86">
        <v>14</v>
      </c>
      <c r="E772" s="116" t="str">
        <f t="shared" si="38"/>
        <v>Mercado</v>
      </c>
      <c r="F772" s="85" t="s">
        <v>1085</v>
      </c>
      <c r="G772" s="85" t="s">
        <v>482</v>
      </c>
      <c r="H772" s="85" t="s">
        <v>1083</v>
      </c>
      <c r="I772" s="85">
        <v>3</v>
      </c>
      <c r="J772" s="87">
        <f>(27.9+2.81)/3</f>
        <v>10.236666666666666</v>
      </c>
      <c r="K772" s="88">
        <f t="shared" si="39"/>
        <v>30.71</v>
      </c>
      <c r="L772" s="85" t="s">
        <v>1238</v>
      </c>
      <c r="M772" s="118" t="s">
        <v>686</v>
      </c>
      <c r="N772" s="84"/>
      <c r="O772" s="84" t="s">
        <v>1079</v>
      </c>
      <c r="R772"/>
    </row>
    <row r="773" spans="1:18" hidden="1" x14ac:dyDescent="0.2">
      <c r="A773" s="84" t="str">
        <f t="shared" si="37"/>
        <v>MarçoSEMANA 3Adoçante Linea Suclarose Cx 1000</v>
      </c>
      <c r="B773" s="85" t="s">
        <v>31</v>
      </c>
      <c r="C773" s="85" t="s">
        <v>22</v>
      </c>
      <c r="D773" s="86">
        <v>14</v>
      </c>
      <c r="E773" s="116" t="str">
        <f t="shared" si="38"/>
        <v>Mercado</v>
      </c>
      <c r="F773" s="85" t="s">
        <v>1106</v>
      </c>
      <c r="G773" s="85" t="s">
        <v>83</v>
      </c>
      <c r="H773" s="85" t="s">
        <v>1209</v>
      </c>
      <c r="I773" s="85">
        <v>1</v>
      </c>
      <c r="J773" s="87">
        <v>48</v>
      </c>
      <c r="K773" s="88">
        <f t="shared" si="39"/>
        <v>48</v>
      </c>
      <c r="L773" s="85" t="s">
        <v>1240</v>
      </c>
      <c r="M773" s="118" t="s">
        <v>986</v>
      </c>
      <c r="N773" s="84"/>
      <c r="O773" s="84" t="s">
        <v>1079</v>
      </c>
      <c r="R773"/>
    </row>
    <row r="774" spans="1:18" hidden="1" x14ac:dyDescent="0.2">
      <c r="A774" s="84" t="str">
        <f t="shared" si="37"/>
        <v>MarçoSEMANA 3Azeite Dende</v>
      </c>
      <c r="B774" s="85" t="s">
        <v>31</v>
      </c>
      <c r="C774" s="85" t="s">
        <v>22</v>
      </c>
      <c r="D774" s="86">
        <v>14</v>
      </c>
      <c r="E774" s="116" t="str">
        <f t="shared" si="38"/>
        <v>Mercado</v>
      </c>
      <c r="F774" s="85" t="s">
        <v>1106</v>
      </c>
      <c r="G774" s="85" t="s">
        <v>152</v>
      </c>
      <c r="H774" s="85" t="s">
        <v>1090</v>
      </c>
      <c r="I774" s="85">
        <v>3</v>
      </c>
      <c r="J774" s="87">
        <v>11.88</v>
      </c>
      <c r="K774" s="88">
        <f t="shared" si="39"/>
        <v>35.64</v>
      </c>
      <c r="L774" s="85" t="s">
        <v>1240</v>
      </c>
      <c r="M774" s="118" t="s">
        <v>687</v>
      </c>
      <c r="N774" s="84"/>
      <c r="O774" s="84" t="s">
        <v>1079</v>
      </c>
      <c r="R774"/>
    </row>
    <row r="775" spans="1:18" hidden="1" x14ac:dyDescent="0.2">
      <c r="A775" s="84" t="str">
        <f t="shared" si="37"/>
        <v>MarçoSEMANA 3Chocolate Granulado 1,01 Kg</v>
      </c>
      <c r="B775" s="85" t="s">
        <v>31</v>
      </c>
      <c r="C775" s="85" t="s">
        <v>22</v>
      </c>
      <c r="D775" s="86">
        <v>14</v>
      </c>
      <c r="E775" s="116" t="str">
        <f t="shared" si="38"/>
        <v>Mercado</v>
      </c>
      <c r="F775" s="85" t="s">
        <v>1106</v>
      </c>
      <c r="G775" s="85" t="s">
        <v>279</v>
      </c>
      <c r="H775" s="85" t="s">
        <v>1083</v>
      </c>
      <c r="I775" s="85">
        <v>1</v>
      </c>
      <c r="J775" s="87">
        <f>(9.2+0.3)</f>
        <v>9.5</v>
      </c>
      <c r="K775" s="88">
        <f t="shared" si="39"/>
        <v>9.5</v>
      </c>
      <c r="L775" s="85" t="s">
        <v>1240</v>
      </c>
      <c r="M775" s="118" t="s">
        <v>688</v>
      </c>
      <c r="N775" s="84"/>
      <c r="O775" s="84" t="s">
        <v>1079</v>
      </c>
      <c r="R775"/>
    </row>
    <row r="776" spans="1:18" hidden="1" x14ac:dyDescent="0.2">
      <c r="A776" s="84" t="str">
        <f t="shared" si="37"/>
        <v>MarçoSEMANA 3Farinha de Trigo</v>
      </c>
      <c r="B776" s="85" t="s">
        <v>31</v>
      </c>
      <c r="C776" s="85" t="s">
        <v>22</v>
      </c>
      <c r="D776" s="86">
        <v>14</v>
      </c>
      <c r="E776" s="116" t="str">
        <f t="shared" si="38"/>
        <v>Mercado</v>
      </c>
      <c r="F776" s="85" t="s">
        <v>1106</v>
      </c>
      <c r="G776" s="85" t="s">
        <v>343</v>
      </c>
      <c r="H776" s="85" t="s">
        <v>1083</v>
      </c>
      <c r="I776" s="85">
        <v>40</v>
      </c>
      <c r="J776" s="87">
        <v>1.7569999999999999</v>
      </c>
      <c r="K776" s="88">
        <f t="shared" si="39"/>
        <v>70.28</v>
      </c>
      <c r="L776" s="85" t="s">
        <v>1240</v>
      </c>
      <c r="M776" s="118" t="s">
        <v>689</v>
      </c>
      <c r="N776" s="84"/>
      <c r="O776" s="84" t="s">
        <v>45</v>
      </c>
      <c r="R776"/>
    </row>
    <row r="777" spans="1:18" hidden="1" x14ac:dyDescent="0.2">
      <c r="A777" s="84" t="str">
        <f t="shared" si="37"/>
        <v>MarçoSEMANA 3Feijão Mulatinho</v>
      </c>
      <c r="B777" s="85" t="s">
        <v>31</v>
      </c>
      <c r="C777" s="85" t="s">
        <v>22</v>
      </c>
      <c r="D777" s="86">
        <v>14</v>
      </c>
      <c r="E777" s="116" t="str">
        <f t="shared" si="38"/>
        <v>Mercado</v>
      </c>
      <c r="F777" s="85" t="s">
        <v>1106</v>
      </c>
      <c r="G777" s="85" t="s">
        <v>351</v>
      </c>
      <c r="H777" s="85" t="s">
        <v>1083</v>
      </c>
      <c r="I777" s="85">
        <v>5</v>
      </c>
      <c r="J777" s="87">
        <f>36.5/5</f>
        <v>7.3</v>
      </c>
      <c r="K777" s="88">
        <f t="shared" si="39"/>
        <v>36.5</v>
      </c>
      <c r="L777" s="85" t="s">
        <v>1240</v>
      </c>
      <c r="M777" s="118" t="s">
        <v>690</v>
      </c>
      <c r="N777" s="84"/>
      <c r="O777" s="84" t="s">
        <v>43</v>
      </c>
      <c r="R777"/>
    </row>
    <row r="778" spans="1:18" hidden="1" x14ac:dyDescent="0.2">
      <c r="A778" s="84" t="str">
        <f t="shared" si="37"/>
        <v>MarçoSEMANA 3Grão de Bico</v>
      </c>
      <c r="B778" s="85" t="s">
        <v>31</v>
      </c>
      <c r="C778" s="85" t="s">
        <v>22</v>
      </c>
      <c r="D778" s="86">
        <v>14</v>
      </c>
      <c r="E778" s="116" t="str">
        <f t="shared" si="38"/>
        <v>Mercado</v>
      </c>
      <c r="F778" s="85" t="s">
        <v>1106</v>
      </c>
      <c r="G778" s="85" t="s">
        <v>396</v>
      </c>
      <c r="H778" s="85" t="s">
        <v>1083</v>
      </c>
      <c r="I778" s="85">
        <v>10</v>
      </c>
      <c r="J778" s="87">
        <f>152/10</f>
        <v>15.2</v>
      </c>
      <c r="K778" s="88">
        <f t="shared" si="39"/>
        <v>152</v>
      </c>
      <c r="L778" s="85" t="s">
        <v>1240</v>
      </c>
      <c r="M778" s="118" t="s">
        <v>691</v>
      </c>
      <c r="N778" s="84"/>
      <c r="O778" s="84" t="s">
        <v>43</v>
      </c>
      <c r="R778"/>
    </row>
    <row r="779" spans="1:18" hidden="1" x14ac:dyDescent="0.2">
      <c r="A779" s="84" t="str">
        <f t="shared" si="37"/>
        <v>MarçoSEMANA 3Karo Mel</v>
      </c>
      <c r="B779" s="85" t="s">
        <v>31</v>
      </c>
      <c r="C779" s="85" t="s">
        <v>22</v>
      </c>
      <c r="D779" s="86">
        <v>14</v>
      </c>
      <c r="E779" s="116" t="str">
        <f t="shared" si="38"/>
        <v>Mercado</v>
      </c>
      <c r="F779" s="85" t="s">
        <v>1106</v>
      </c>
      <c r="G779" s="85" t="s">
        <v>452</v>
      </c>
      <c r="H779" s="85" t="s">
        <v>1090</v>
      </c>
      <c r="I779" s="85">
        <v>12</v>
      </c>
      <c r="J779" s="87">
        <v>6.35</v>
      </c>
      <c r="K779" s="88">
        <f t="shared" si="39"/>
        <v>76.199999999999989</v>
      </c>
      <c r="L779" s="85" t="s">
        <v>1240</v>
      </c>
      <c r="M779" s="118" t="s">
        <v>692</v>
      </c>
      <c r="N779" s="84"/>
      <c r="O779" s="84" t="s">
        <v>42</v>
      </c>
      <c r="R779"/>
    </row>
    <row r="780" spans="1:18" hidden="1" x14ac:dyDescent="0.2">
      <c r="A780" s="84" t="str">
        <f t="shared" si="37"/>
        <v>MarçoSEMANA 3Milho Verde 2 Kg</v>
      </c>
      <c r="B780" s="85" t="s">
        <v>31</v>
      </c>
      <c r="C780" s="85" t="s">
        <v>22</v>
      </c>
      <c r="D780" s="86">
        <v>14</v>
      </c>
      <c r="E780" s="116" t="str">
        <f t="shared" si="38"/>
        <v>Mercado</v>
      </c>
      <c r="F780" s="85" t="s">
        <v>1106</v>
      </c>
      <c r="G780" s="85" t="s">
        <v>522</v>
      </c>
      <c r="H780" s="85" t="s">
        <v>1090</v>
      </c>
      <c r="I780" s="90">
        <v>6</v>
      </c>
      <c r="J780" s="89">
        <v>9.0399999999999991</v>
      </c>
      <c r="K780" s="88">
        <f t="shared" si="39"/>
        <v>54.239999999999995</v>
      </c>
      <c r="L780" s="85" t="s">
        <v>1240</v>
      </c>
      <c r="M780" s="118" t="s">
        <v>693</v>
      </c>
      <c r="N780" s="84"/>
      <c r="O780" s="84" t="s">
        <v>45</v>
      </c>
      <c r="R780"/>
    </row>
    <row r="781" spans="1:18" hidden="1" x14ac:dyDescent="0.2">
      <c r="A781" s="84" t="str">
        <f t="shared" si="37"/>
        <v>MarçoSEMANA 3Óleo Composto 500ml</v>
      </c>
      <c r="B781" s="85" t="s">
        <v>31</v>
      </c>
      <c r="C781" s="85" t="s">
        <v>22</v>
      </c>
      <c r="D781" s="86">
        <v>14</v>
      </c>
      <c r="E781" s="116" t="str">
        <f t="shared" si="38"/>
        <v>Mercado</v>
      </c>
      <c r="F781" s="85" t="s">
        <v>1106</v>
      </c>
      <c r="G781" s="85" t="s">
        <v>541</v>
      </c>
      <c r="H781" s="85" t="s">
        <v>1090</v>
      </c>
      <c r="I781" s="85">
        <v>24</v>
      </c>
      <c r="J781" s="87">
        <f>(77.28+1.54)/24</f>
        <v>3.2841666666666671</v>
      </c>
      <c r="K781" s="88">
        <f t="shared" si="39"/>
        <v>78.820000000000007</v>
      </c>
      <c r="L781" s="85" t="s">
        <v>1240</v>
      </c>
      <c r="M781" s="118" t="s">
        <v>694</v>
      </c>
      <c r="N781" s="84"/>
      <c r="O781" s="84" t="s">
        <v>45</v>
      </c>
      <c r="R781"/>
    </row>
    <row r="782" spans="1:18" hidden="1" x14ac:dyDescent="0.2">
      <c r="A782" s="84" t="str">
        <f t="shared" si="37"/>
        <v>MarçoSEMANA 3Aveia Quaker Flocos cx 200g</v>
      </c>
      <c r="B782" s="85" t="s">
        <v>31</v>
      </c>
      <c r="C782" s="85" t="s">
        <v>22</v>
      </c>
      <c r="D782" s="86">
        <v>14</v>
      </c>
      <c r="E782" s="116" t="str">
        <f t="shared" si="38"/>
        <v>Mercado</v>
      </c>
      <c r="F782" s="85" t="s">
        <v>1118</v>
      </c>
      <c r="G782" s="85" t="s">
        <v>132</v>
      </c>
      <c r="H782" s="85" t="s">
        <v>1090</v>
      </c>
      <c r="I782" s="85">
        <v>1</v>
      </c>
      <c r="J782" s="87">
        <v>3.5</v>
      </c>
      <c r="K782" s="88">
        <f t="shared" si="39"/>
        <v>3.5</v>
      </c>
      <c r="L782" s="85">
        <v>137073</v>
      </c>
      <c r="M782" s="118" t="s">
        <v>695</v>
      </c>
      <c r="N782" s="84"/>
      <c r="O782" s="84" t="s">
        <v>45</v>
      </c>
      <c r="R782"/>
    </row>
    <row r="783" spans="1:18" hidden="1" x14ac:dyDescent="0.2">
      <c r="A783" s="84" t="str">
        <f t="shared" si="37"/>
        <v>MarçoSEMANA 3Gelatina em pó s/ sabor (incolor)</v>
      </c>
      <c r="B783" s="85" t="s">
        <v>31</v>
      </c>
      <c r="C783" s="85" t="s">
        <v>22</v>
      </c>
      <c r="D783" s="86">
        <v>14</v>
      </c>
      <c r="E783" s="116" t="str">
        <f t="shared" si="38"/>
        <v>Mercado</v>
      </c>
      <c r="F783" s="85" t="s">
        <v>1118</v>
      </c>
      <c r="G783" s="85" t="s">
        <v>380</v>
      </c>
      <c r="H783" s="85" t="s">
        <v>1114</v>
      </c>
      <c r="I783" s="85">
        <v>2</v>
      </c>
      <c r="J783" s="87">
        <v>5.8</v>
      </c>
      <c r="K783" s="88">
        <f t="shared" si="39"/>
        <v>11.6</v>
      </c>
      <c r="L783" s="85">
        <v>137073</v>
      </c>
      <c r="M783" s="118" t="s">
        <v>696</v>
      </c>
      <c r="N783" s="84"/>
      <c r="O783" s="84" t="s">
        <v>45</v>
      </c>
      <c r="R783"/>
    </row>
    <row r="784" spans="1:18" hidden="1" x14ac:dyDescent="0.2">
      <c r="A784" s="84" t="str">
        <f t="shared" si="37"/>
        <v>MarçoSEMANA 3Pão Árabe</v>
      </c>
      <c r="B784" s="85" t="s">
        <v>31</v>
      </c>
      <c r="C784" s="85" t="s">
        <v>22</v>
      </c>
      <c r="D784" s="86">
        <v>14</v>
      </c>
      <c r="E784" s="116" t="str">
        <f t="shared" si="38"/>
        <v>Mercado</v>
      </c>
      <c r="F784" s="85" t="s">
        <v>1118</v>
      </c>
      <c r="G784" s="85" t="s">
        <v>560</v>
      </c>
      <c r="H784" s="85" t="s">
        <v>1114</v>
      </c>
      <c r="I784" s="85">
        <v>2</v>
      </c>
      <c r="J784" s="87">
        <v>6.7</v>
      </c>
      <c r="K784" s="88">
        <f t="shared" si="39"/>
        <v>13.4</v>
      </c>
      <c r="L784" s="85">
        <v>137073</v>
      </c>
      <c r="M784" s="118" t="s">
        <v>697</v>
      </c>
      <c r="N784" s="84"/>
      <c r="O784" s="84" t="s">
        <v>42</v>
      </c>
      <c r="R784"/>
    </row>
    <row r="785" spans="1:18" hidden="1" x14ac:dyDescent="0.2">
      <c r="A785" s="84" t="str">
        <f t="shared" si="37"/>
        <v xml:space="preserve">MarçoSEMANA 3Biscoito de Milho Venda </v>
      </c>
      <c r="B785" s="85" t="s">
        <v>31</v>
      </c>
      <c r="C785" s="85" t="s">
        <v>22</v>
      </c>
      <c r="D785" s="86">
        <v>13</v>
      </c>
      <c r="E785" s="116" t="str">
        <f t="shared" si="38"/>
        <v>Vendas Caixa</v>
      </c>
      <c r="F785" s="85" t="s">
        <v>1175</v>
      </c>
      <c r="G785" s="85" t="s">
        <v>184</v>
      </c>
      <c r="H785" s="85" t="s">
        <v>1083</v>
      </c>
      <c r="I785" s="85">
        <f>1.1+1+1.126</f>
        <v>3.226</v>
      </c>
      <c r="J785" s="87">
        <f>248.58/11.2</f>
        <v>22.19464285714286</v>
      </c>
      <c r="K785" s="88">
        <f t="shared" si="39"/>
        <v>71.59991785714287</v>
      </c>
      <c r="L785" s="85">
        <v>32516</v>
      </c>
      <c r="M785" s="118" t="s">
        <v>698</v>
      </c>
      <c r="N785" s="84"/>
      <c r="O785" s="84" t="s">
        <v>42</v>
      </c>
      <c r="R785"/>
    </row>
    <row r="786" spans="1:18" hidden="1" x14ac:dyDescent="0.2">
      <c r="A786" s="84" t="str">
        <f t="shared" si="37"/>
        <v>MarçoSEMANA 2Solid Power (Lava Louça) 4 Kg</v>
      </c>
      <c r="B786" s="85" t="s">
        <v>31</v>
      </c>
      <c r="C786" s="85" t="s">
        <v>21</v>
      </c>
      <c r="D786" s="86">
        <v>7</v>
      </c>
      <c r="E786" s="116" t="str">
        <f t="shared" si="38"/>
        <v>Limpeza</v>
      </c>
      <c r="F786" s="85" t="s">
        <v>1094</v>
      </c>
      <c r="G786" s="85" t="s">
        <v>747</v>
      </c>
      <c r="H786" s="85" t="s">
        <v>1089</v>
      </c>
      <c r="I786" s="85">
        <v>1</v>
      </c>
      <c r="J786" s="87"/>
      <c r="K786" s="88">
        <f t="shared" si="39"/>
        <v>0</v>
      </c>
      <c r="L786" s="85" t="s">
        <v>1241</v>
      </c>
      <c r="M786" s="118" t="s">
        <v>699</v>
      </c>
      <c r="N786" s="84"/>
      <c r="O786" s="84" t="s">
        <v>42</v>
      </c>
      <c r="R786"/>
    </row>
    <row r="787" spans="1:18" hidden="1" x14ac:dyDescent="0.2">
      <c r="A787" s="84" t="str">
        <f t="shared" si="37"/>
        <v>MarçoSEMANA 3Shoyu Sache Premium (bisnaga)</v>
      </c>
      <c r="B787" s="85" t="s">
        <v>31</v>
      </c>
      <c r="C787" s="85" t="s">
        <v>22</v>
      </c>
      <c r="D787" s="86">
        <v>14</v>
      </c>
      <c r="E787" s="116" t="str">
        <f t="shared" si="38"/>
        <v>Mercado</v>
      </c>
      <c r="F787" s="85" t="s">
        <v>1242</v>
      </c>
      <c r="G787" s="85" t="s">
        <v>1060</v>
      </c>
      <c r="H787" s="85" t="s">
        <v>1090</v>
      </c>
      <c r="I787" s="85">
        <f>3*250</f>
        <v>750</v>
      </c>
      <c r="J787" s="87">
        <f>231/750</f>
        <v>0.308</v>
      </c>
      <c r="K787" s="88">
        <f t="shared" si="39"/>
        <v>231</v>
      </c>
      <c r="L787" s="85">
        <v>34834</v>
      </c>
      <c r="M787" s="118" t="s">
        <v>1073</v>
      </c>
      <c r="O787" s="84" t="s">
        <v>1078</v>
      </c>
      <c r="R787"/>
    </row>
    <row r="788" spans="1:18" hidden="1" x14ac:dyDescent="0.2">
      <c r="A788" s="84" t="str">
        <f t="shared" si="37"/>
        <v>MarçoSEMANA 3Shoyu Sache Light (bisnaga)</v>
      </c>
      <c r="B788" s="85" t="s">
        <v>31</v>
      </c>
      <c r="C788" s="85" t="s">
        <v>22</v>
      </c>
      <c r="D788" s="86">
        <v>14</v>
      </c>
      <c r="E788" s="116" t="str">
        <f t="shared" si="38"/>
        <v>Mercado</v>
      </c>
      <c r="F788" s="85" t="s">
        <v>1242</v>
      </c>
      <c r="G788" s="85" t="s">
        <v>1067</v>
      </c>
      <c r="H788" s="85" t="s">
        <v>1090</v>
      </c>
      <c r="I788" s="85">
        <f>6*250</f>
        <v>1500</v>
      </c>
      <c r="J788" s="87">
        <f>462/1500</f>
        <v>0.308</v>
      </c>
      <c r="K788" s="88">
        <f t="shared" si="39"/>
        <v>462</v>
      </c>
      <c r="L788" s="85">
        <v>34834</v>
      </c>
      <c r="M788" s="118" t="s">
        <v>931</v>
      </c>
      <c r="O788" s="115" t="s">
        <v>46</v>
      </c>
      <c r="R788"/>
    </row>
    <row r="789" spans="1:18" hidden="1" x14ac:dyDescent="0.2">
      <c r="A789" s="84" t="str">
        <f t="shared" si="37"/>
        <v>MarçoSEMANA 3Cevadinha</v>
      </c>
      <c r="B789" s="85" t="s">
        <v>31</v>
      </c>
      <c r="C789" s="85" t="s">
        <v>22</v>
      </c>
      <c r="D789" s="86">
        <v>14</v>
      </c>
      <c r="E789" s="116" t="str">
        <f t="shared" si="38"/>
        <v>Mercado</v>
      </c>
      <c r="F789" s="85" t="s">
        <v>1115</v>
      </c>
      <c r="G789" s="85" t="s">
        <v>269</v>
      </c>
      <c r="H789" s="85" t="s">
        <v>1083</v>
      </c>
      <c r="I789" s="85">
        <v>2</v>
      </c>
      <c r="J789" s="87">
        <v>5.9</v>
      </c>
      <c r="K789" s="88">
        <f t="shared" si="39"/>
        <v>11.8</v>
      </c>
      <c r="L789" s="85" t="s">
        <v>1244</v>
      </c>
      <c r="M789" s="118" t="s">
        <v>700</v>
      </c>
      <c r="N789" s="84"/>
      <c r="O789" s="84" t="s">
        <v>45</v>
      </c>
      <c r="R789"/>
    </row>
    <row r="790" spans="1:18" hidden="1" x14ac:dyDescent="0.2">
      <c r="A790" s="84" t="str">
        <f t="shared" si="37"/>
        <v>MarçoSEMANA 3Coloral</v>
      </c>
      <c r="B790" s="85" t="s">
        <v>31</v>
      </c>
      <c r="C790" s="85" t="s">
        <v>22</v>
      </c>
      <c r="D790" s="86">
        <v>14</v>
      </c>
      <c r="E790" s="116" t="str">
        <f t="shared" si="38"/>
        <v>Mercado</v>
      </c>
      <c r="F790" s="85" t="s">
        <v>1115</v>
      </c>
      <c r="G790" s="85" t="s">
        <v>295</v>
      </c>
      <c r="H790" s="85" t="s">
        <v>1083</v>
      </c>
      <c r="I790" s="85">
        <v>0.6</v>
      </c>
      <c r="J790" s="87">
        <v>5.5</v>
      </c>
      <c r="K790" s="88">
        <f t="shared" si="39"/>
        <v>3.3</v>
      </c>
      <c r="L790" s="85" t="s">
        <v>1243</v>
      </c>
      <c r="M790" s="118" t="s">
        <v>701</v>
      </c>
      <c r="N790" s="84"/>
      <c r="O790" s="84" t="s">
        <v>45</v>
      </c>
      <c r="R790"/>
    </row>
    <row r="791" spans="1:18" hidden="1" x14ac:dyDescent="0.2">
      <c r="A791" s="84" t="str">
        <f t="shared" si="37"/>
        <v>MarçoSEMANA 3Cuscus</v>
      </c>
      <c r="B791" s="85" t="s">
        <v>31</v>
      </c>
      <c r="C791" s="85" t="s">
        <v>22</v>
      </c>
      <c r="D791" s="86">
        <v>14</v>
      </c>
      <c r="E791" s="116" t="str">
        <f t="shared" si="38"/>
        <v>Mercado</v>
      </c>
      <c r="F791" s="85" t="s">
        <v>1115</v>
      </c>
      <c r="G791" s="85" t="s">
        <v>318</v>
      </c>
      <c r="H791" s="85" t="s">
        <v>1083</v>
      </c>
      <c r="I791" s="85">
        <v>3</v>
      </c>
      <c r="J791" s="87">
        <v>26.9</v>
      </c>
      <c r="K791" s="88">
        <f t="shared" si="39"/>
        <v>80.699999999999989</v>
      </c>
      <c r="L791" s="85" t="s">
        <v>1243</v>
      </c>
      <c r="M791" s="118" t="s">
        <v>702</v>
      </c>
      <c r="N791" s="84"/>
      <c r="O791" s="84" t="s">
        <v>45</v>
      </c>
      <c r="R791"/>
    </row>
    <row r="792" spans="1:18" hidden="1" x14ac:dyDescent="0.2">
      <c r="A792" s="84" t="str">
        <f t="shared" si="37"/>
        <v>MarçoSEMANA 3Mostarda Dijom em Grão</v>
      </c>
      <c r="B792" s="85" t="s">
        <v>31</v>
      </c>
      <c r="C792" s="85" t="s">
        <v>22</v>
      </c>
      <c r="D792" s="86">
        <v>14</v>
      </c>
      <c r="E792" s="116" t="str">
        <f t="shared" si="38"/>
        <v>Mercado</v>
      </c>
      <c r="F792" s="85" t="s">
        <v>1115</v>
      </c>
      <c r="G792" s="85" t="s">
        <v>532</v>
      </c>
      <c r="H792" s="85" t="s">
        <v>1090</v>
      </c>
      <c r="I792" s="85">
        <v>1</v>
      </c>
      <c r="J792" s="87">
        <v>21.9</v>
      </c>
      <c r="K792" s="88">
        <f t="shared" si="39"/>
        <v>21.9</v>
      </c>
      <c r="L792" s="85" t="s">
        <v>1243</v>
      </c>
      <c r="M792" s="118" t="s">
        <v>1013</v>
      </c>
      <c r="O792" s="84" t="s">
        <v>874</v>
      </c>
      <c r="R792"/>
    </row>
    <row r="793" spans="1:18" hidden="1" x14ac:dyDescent="0.2">
      <c r="A793" s="84" t="str">
        <f t="shared" si="37"/>
        <v>MarçoSEMANA 3Nozes sem casca</v>
      </c>
      <c r="B793" s="85" t="s">
        <v>31</v>
      </c>
      <c r="C793" s="85" t="s">
        <v>22</v>
      </c>
      <c r="D793" s="86">
        <v>14</v>
      </c>
      <c r="E793" s="116" t="str">
        <f t="shared" si="38"/>
        <v>Mercado</v>
      </c>
      <c r="F793" s="85" t="s">
        <v>1115</v>
      </c>
      <c r="G793" s="85" t="s">
        <v>539</v>
      </c>
      <c r="H793" s="85" t="s">
        <v>1083</v>
      </c>
      <c r="I793" s="85">
        <v>1</v>
      </c>
      <c r="J793" s="87">
        <v>69.900000000000006</v>
      </c>
      <c r="K793" s="88">
        <f t="shared" si="39"/>
        <v>69.900000000000006</v>
      </c>
      <c r="L793" s="85" t="s">
        <v>1243</v>
      </c>
      <c r="M793" s="118" t="s">
        <v>1014</v>
      </c>
      <c r="O793" s="84" t="s">
        <v>874</v>
      </c>
      <c r="R793"/>
    </row>
    <row r="794" spans="1:18" hidden="1" x14ac:dyDescent="0.2">
      <c r="A794" s="84" t="str">
        <f t="shared" si="37"/>
        <v>MarçoSEMANA 3Passas Preta</v>
      </c>
      <c r="B794" s="85" t="s">
        <v>31</v>
      </c>
      <c r="C794" s="85" t="s">
        <v>22</v>
      </c>
      <c r="D794" s="86">
        <v>14</v>
      </c>
      <c r="E794" s="116" t="str">
        <f t="shared" si="38"/>
        <v>Mercado</v>
      </c>
      <c r="F794" s="85" t="s">
        <v>1115</v>
      </c>
      <c r="G794" s="85" t="s">
        <v>573</v>
      </c>
      <c r="H794" s="85" t="s">
        <v>1083</v>
      </c>
      <c r="I794" s="85">
        <v>1</v>
      </c>
      <c r="J794" s="87">
        <v>14.3</v>
      </c>
      <c r="K794" s="88">
        <f t="shared" si="39"/>
        <v>14.3</v>
      </c>
      <c r="L794" s="85" t="s">
        <v>1243</v>
      </c>
      <c r="M794" s="118" t="s">
        <v>703</v>
      </c>
      <c r="N794" s="84"/>
      <c r="O794" s="84" t="s">
        <v>42</v>
      </c>
      <c r="R794"/>
    </row>
    <row r="795" spans="1:18" hidden="1" x14ac:dyDescent="0.2">
      <c r="A795" s="84" t="str">
        <f t="shared" si="37"/>
        <v>MarçoSEMANA 3Quinoa</v>
      </c>
      <c r="B795" s="85" t="s">
        <v>31</v>
      </c>
      <c r="C795" s="85" t="s">
        <v>22</v>
      </c>
      <c r="D795" s="86">
        <v>14</v>
      </c>
      <c r="E795" s="116" t="str">
        <f t="shared" si="38"/>
        <v>Mercado</v>
      </c>
      <c r="F795" s="85" t="s">
        <v>1115</v>
      </c>
      <c r="G795" s="85" t="s">
        <v>692</v>
      </c>
      <c r="H795" s="85" t="s">
        <v>1083</v>
      </c>
      <c r="I795" s="85">
        <v>1</v>
      </c>
      <c r="J795" s="87">
        <v>26.9</v>
      </c>
      <c r="K795" s="88">
        <f t="shared" si="39"/>
        <v>26.9</v>
      </c>
      <c r="L795" s="85" t="s">
        <v>1243</v>
      </c>
      <c r="M795" s="118" t="s">
        <v>704</v>
      </c>
      <c r="N795" s="84"/>
      <c r="O795" s="84" t="s">
        <v>42</v>
      </c>
      <c r="R795"/>
    </row>
    <row r="796" spans="1:18" hidden="1" x14ac:dyDescent="0.2">
      <c r="A796" s="84" t="str">
        <f t="shared" si="37"/>
        <v>MarçoSEMANA 3Gelo em Escamas</v>
      </c>
      <c r="B796" s="85" t="s">
        <v>31</v>
      </c>
      <c r="C796" s="85" t="s">
        <v>22</v>
      </c>
      <c r="D796" s="86">
        <v>14</v>
      </c>
      <c r="E796" s="116" t="str">
        <f t="shared" si="38"/>
        <v>Mercado</v>
      </c>
      <c r="F796" s="85" t="s">
        <v>1096</v>
      </c>
      <c r="G796" s="85" t="s">
        <v>384</v>
      </c>
      <c r="H796" s="85" t="s">
        <v>1097</v>
      </c>
      <c r="I796" s="85">
        <v>2</v>
      </c>
      <c r="J796" s="87">
        <v>7.5</v>
      </c>
      <c r="K796" s="88">
        <f t="shared" si="39"/>
        <v>15</v>
      </c>
      <c r="L796" s="85">
        <v>3355</v>
      </c>
      <c r="M796" s="118" t="s">
        <v>705</v>
      </c>
      <c r="N796" s="84"/>
      <c r="O796" s="84" t="s">
        <v>45</v>
      </c>
      <c r="R796"/>
    </row>
    <row r="797" spans="1:18" hidden="1" x14ac:dyDescent="0.2">
      <c r="A797" s="84" t="str">
        <f t="shared" si="37"/>
        <v>MarçoSEMANA 3Gelo em Cubo</v>
      </c>
      <c r="B797" s="85" t="s">
        <v>31</v>
      </c>
      <c r="C797" s="85" t="s">
        <v>22</v>
      </c>
      <c r="D797" s="86">
        <v>14</v>
      </c>
      <c r="E797" s="116" t="str">
        <f t="shared" si="38"/>
        <v>Mercado</v>
      </c>
      <c r="F797" s="85" t="s">
        <v>1096</v>
      </c>
      <c r="G797" s="85" t="s">
        <v>383</v>
      </c>
      <c r="H797" s="85" t="s">
        <v>1097</v>
      </c>
      <c r="I797" s="85">
        <v>3</v>
      </c>
      <c r="J797" s="87">
        <v>7.5</v>
      </c>
      <c r="K797" s="88">
        <f t="shared" si="39"/>
        <v>22.5</v>
      </c>
      <c r="L797" s="85">
        <v>3355</v>
      </c>
      <c r="M797" s="118" t="s">
        <v>882</v>
      </c>
      <c r="N797" s="84"/>
      <c r="O797" s="84" t="s">
        <v>874</v>
      </c>
      <c r="R797"/>
    </row>
    <row r="798" spans="1:18" hidden="1" x14ac:dyDescent="0.2">
      <c r="A798" s="84" t="str">
        <f t="shared" si="37"/>
        <v>MarçoSEMANA 3Aves - Filé de Peito de Frango</v>
      </c>
      <c r="B798" s="85" t="s">
        <v>31</v>
      </c>
      <c r="C798" s="85" t="s">
        <v>22</v>
      </c>
      <c r="D798" s="86">
        <v>14</v>
      </c>
      <c r="E798" s="116" t="str">
        <f t="shared" si="38"/>
        <v>Carnes</v>
      </c>
      <c r="F798" s="85" t="s">
        <v>1092</v>
      </c>
      <c r="G798" s="85" t="s">
        <v>139</v>
      </c>
      <c r="H798" s="85" t="s">
        <v>1083</v>
      </c>
      <c r="I798" s="85">
        <f>24-0.5</f>
        <v>23.5</v>
      </c>
      <c r="J798" s="87">
        <v>7.8</v>
      </c>
      <c r="K798" s="88">
        <f t="shared" si="39"/>
        <v>183.29999999999998</v>
      </c>
      <c r="L798" s="85" t="s">
        <v>1245</v>
      </c>
      <c r="M798" s="118" t="s">
        <v>706</v>
      </c>
      <c r="N798" s="84"/>
      <c r="O798" s="84" t="s">
        <v>45</v>
      </c>
      <c r="R798"/>
    </row>
    <row r="799" spans="1:18" hidden="1" x14ac:dyDescent="0.2">
      <c r="A799" s="84" t="str">
        <f t="shared" si="37"/>
        <v>MarçoSEMANA 3Aves - Filé de Coxa</v>
      </c>
      <c r="B799" s="85" t="s">
        <v>31</v>
      </c>
      <c r="C799" s="85" t="s">
        <v>22</v>
      </c>
      <c r="D799" s="86">
        <v>14</v>
      </c>
      <c r="E799" s="116" t="str">
        <f t="shared" si="38"/>
        <v>Carnes</v>
      </c>
      <c r="F799" s="85" t="s">
        <v>1092</v>
      </c>
      <c r="G799" s="85" t="s">
        <v>137</v>
      </c>
      <c r="H799" s="85" t="s">
        <v>1083</v>
      </c>
      <c r="I799" s="85">
        <f>24*0.7</f>
        <v>16.799999999999997</v>
      </c>
      <c r="J799" s="87">
        <f>146.16/16.8</f>
        <v>8.6999999999999993</v>
      </c>
      <c r="K799" s="88">
        <f t="shared" si="39"/>
        <v>146.15999999999997</v>
      </c>
      <c r="L799" s="85" t="s">
        <v>1245</v>
      </c>
      <c r="M799" s="118" t="s">
        <v>707</v>
      </c>
      <c r="N799" s="84"/>
      <c r="O799" s="84" t="s">
        <v>46</v>
      </c>
      <c r="R799"/>
    </row>
    <row r="800" spans="1:18" hidden="1" x14ac:dyDescent="0.2">
      <c r="A800" s="84" t="str">
        <f t="shared" si="37"/>
        <v>MarçoSEMANA 3Aves - Peito de Frango Defumado</v>
      </c>
      <c r="B800" s="85" t="s">
        <v>31</v>
      </c>
      <c r="C800" s="85" t="s">
        <v>22</v>
      </c>
      <c r="D800" s="86">
        <v>14</v>
      </c>
      <c r="E800" s="116" t="str">
        <f t="shared" si="38"/>
        <v>Carnes</v>
      </c>
      <c r="F800" s="85" t="s">
        <v>1092</v>
      </c>
      <c r="G800" s="85" t="s">
        <v>145</v>
      </c>
      <c r="H800" s="85" t="s">
        <v>1083</v>
      </c>
      <c r="I800" s="85">
        <v>3.7</v>
      </c>
      <c r="J800" s="87">
        <v>19</v>
      </c>
      <c r="K800" s="88">
        <f t="shared" si="39"/>
        <v>70.3</v>
      </c>
      <c r="L800" s="85" t="s">
        <v>1245</v>
      </c>
      <c r="M800" s="118" t="s">
        <v>708</v>
      </c>
      <c r="N800" s="84"/>
      <c r="O800" s="84" t="s">
        <v>46</v>
      </c>
      <c r="R800"/>
    </row>
    <row r="801" spans="1:18" hidden="1" x14ac:dyDescent="0.2">
      <c r="A801" s="84" t="str">
        <f t="shared" si="37"/>
        <v>MarçoSEMANA 3Água Mineral com Gás</v>
      </c>
      <c r="B801" s="85" t="s">
        <v>31</v>
      </c>
      <c r="C801" s="85" t="s">
        <v>22</v>
      </c>
      <c r="D801" s="86">
        <v>14</v>
      </c>
      <c r="E801" s="116" t="str">
        <f t="shared" si="38"/>
        <v>Bebidas</v>
      </c>
      <c r="F801" s="85" t="s">
        <v>1127</v>
      </c>
      <c r="G801" s="85" t="s">
        <v>90</v>
      </c>
      <c r="H801" s="85" t="s">
        <v>1090</v>
      </c>
      <c r="I801" s="85">
        <f>35*6</f>
        <v>210</v>
      </c>
      <c r="J801" s="87">
        <f>280/210</f>
        <v>1.3333333333333333</v>
      </c>
      <c r="K801" s="88">
        <f t="shared" si="39"/>
        <v>280</v>
      </c>
      <c r="L801" s="85" t="s">
        <v>1246</v>
      </c>
      <c r="M801" s="118" t="s">
        <v>1058</v>
      </c>
      <c r="O801" s="84" t="s">
        <v>872</v>
      </c>
      <c r="R801"/>
    </row>
    <row r="802" spans="1:18" hidden="1" x14ac:dyDescent="0.2">
      <c r="A802" s="84" t="str">
        <f t="shared" si="37"/>
        <v>MarçoSEMANA 3Água Mineral sem Gás</v>
      </c>
      <c r="B802" s="85" t="s">
        <v>31</v>
      </c>
      <c r="C802" s="85" t="s">
        <v>22</v>
      </c>
      <c r="D802" s="86">
        <v>14</v>
      </c>
      <c r="E802" s="116" t="str">
        <f t="shared" si="38"/>
        <v>Bebidas</v>
      </c>
      <c r="F802" s="85" t="s">
        <v>1127</v>
      </c>
      <c r="G802" s="85" t="s">
        <v>91</v>
      </c>
      <c r="H802" s="85" t="s">
        <v>1090</v>
      </c>
      <c r="I802" s="85">
        <f>35*6</f>
        <v>210</v>
      </c>
      <c r="J802" s="87">
        <f>280/210</f>
        <v>1.3333333333333333</v>
      </c>
      <c r="K802" s="88">
        <f t="shared" si="39"/>
        <v>280</v>
      </c>
      <c r="L802" s="85" t="s">
        <v>1246</v>
      </c>
      <c r="M802" s="118" t="s">
        <v>709</v>
      </c>
      <c r="N802" s="84"/>
      <c r="O802" s="84" t="s">
        <v>46</v>
      </c>
      <c r="R802"/>
    </row>
    <row r="803" spans="1:18" hidden="1" x14ac:dyDescent="0.2">
      <c r="A803" s="84" t="str">
        <f t="shared" si="37"/>
        <v>MarçoSEMANA 3Carne Bovina - Coração Alcatra</v>
      </c>
      <c r="B803" s="85" t="s">
        <v>31</v>
      </c>
      <c r="C803" s="85" t="s">
        <v>22</v>
      </c>
      <c r="D803" s="86">
        <v>14</v>
      </c>
      <c r="E803" s="116" t="str">
        <f t="shared" si="38"/>
        <v>Carnes</v>
      </c>
      <c r="F803" s="85" t="s">
        <v>1100</v>
      </c>
      <c r="G803" s="85" t="s">
        <v>219</v>
      </c>
      <c r="H803" s="85" t="s">
        <v>1083</v>
      </c>
      <c r="I803" s="85">
        <v>52.57</v>
      </c>
      <c r="J803" s="87">
        <v>17.346900000000002</v>
      </c>
      <c r="K803" s="88">
        <f t="shared" si="39"/>
        <v>911.92653300000006</v>
      </c>
      <c r="L803" s="85">
        <v>112370</v>
      </c>
      <c r="M803" s="118" t="s">
        <v>710</v>
      </c>
      <c r="N803" s="84"/>
      <c r="O803" s="84" t="s">
        <v>46</v>
      </c>
      <c r="R803"/>
    </row>
    <row r="804" spans="1:18" hidden="1" x14ac:dyDescent="0.2">
      <c r="A804" s="84" t="str">
        <f t="shared" si="37"/>
        <v>MarçoSEMANA 3Carne Bovina - Maminha</v>
      </c>
      <c r="B804" s="85" t="s">
        <v>31</v>
      </c>
      <c r="C804" s="85" t="s">
        <v>22</v>
      </c>
      <c r="D804" s="86">
        <v>14</v>
      </c>
      <c r="E804" s="116" t="str">
        <f t="shared" si="38"/>
        <v>Carnes</v>
      </c>
      <c r="F804" s="85" t="s">
        <v>1100</v>
      </c>
      <c r="G804" s="85" t="s">
        <v>228</v>
      </c>
      <c r="H804" s="85" t="s">
        <v>1083</v>
      </c>
      <c r="I804" s="85">
        <v>15.789</v>
      </c>
      <c r="J804" s="87">
        <v>17.438800000000001</v>
      </c>
      <c r="K804" s="88">
        <f t="shared" si="39"/>
        <v>275.34121320000003</v>
      </c>
      <c r="L804" s="85" t="s">
        <v>1247</v>
      </c>
      <c r="M804" s="118" t="s">
        <v>711</v>
      </c>
      <c r="N804" s="84"/>
      <c r="O804" s="84" t="s">
        <v>46</v>
      </c>
      <c r="R804"/>
    </row>
    <row r="805" spans="1:18" hidden="1" x14ac:dyDescent="0.2">
      <c r="A805" s="84" t="str">
        <f t="shared" si="37"/>
        <v>MarçoSEMANA 3Pescados - Salmão Inteiro Sushi</v>
      </c>
      <c r="B805" s="85" t="s">
        <v>31</v>
      </c>
      <c r="C805" s="85" t="s">
        <v>22</v>
      </c>
      <c r="D805" s="86">
        <v>14</v>
      </c>
      <c r="E805" s="116" t="str">
        <f t="shared" si="38"/>
        <v>Sushi</v>
      </c>
      <c r="F805" s="85" t="s">
        <v>1104</v>
      </c>
      <c r="G805" s="85" t="s">
        <v>644</v>
      </c>
      <c r="H805" s="85" t="s">
        <v>1083</v>
      </c>
      <c r="I805" s="85">
        <v>26.86</v>
      </c>
      <c r="J805" s="87">
        <v>25.989899999999999</v>
      </c>
      <c r="K805" s="88">
        <f t="shared" si="39"/>
        <v>698.08871399999998</v>
      </c>
      <c r="L805" s="85" t="s">
        <v>1248</v>
      </c>
      <c r="M805" s="118" t="s">
        <v>712</v>
      </c>
      <c r="N805" s="84"/>
      <c r="O805" s="84" t="s">
        <v>46</v>
      </c>
      <c r="R805"/>
    </row>
    <row r="806" spans="1:18" hidden="1" x14ac:dyDescent="0.2">
      <c r="A806" s="84" t="str">
        <f t="shared" si="37"/>
        <v>MarçoSEMANA 3Pescados - Filé Linguado Cong. M</v>
      </c>
      <c r="B806" s="85" t="s">
        <v>31</v>
      </c>
      <c r="C806" s="85" t="s">
        <v>22</v>
      </c>
      <c r="D806" s="86">
        <v>14</v>
      </c>
      <c r="E806" s="116" t="str">
        <f t="shared" si="38"/>
        <v>Carnes</v>
      </c>
      <c r="F806" s="85" t="s">
        <v>1234</v>
      </c>
      <c r="G806" s="85" t="s">
        <v>607</v>
      </c>
      <c r="H806" s="85" t="s">
        <v>1083</v>
      </c>
      <c r="I806" s="85">
        <v>30</v>
      </c>
      <c r="J806" s="87">
        <v>38</v>
      </c>
      <c r="K806" s="88">
        <f t="shared" si="39"/>
        <v>1140</v>
      </c>
      <c r="L806" s="85">
        <v>301421</v>
      </c>
      <c r="M806" s="118" t="s">
        <v>713</v>
      </c>
      <c r="N806" s="84"/>
      <c r="O806" s="84" t="s">
        <v>46</v>
      </c>
      <c r="R806"/>
    </row>
    <row r="807" spans="1:18" x14ac:dyDescent="0.25">
      <c r="A807" s="84" t="str">
        <f t="shared" si="37"/>
        <v>MarçoSEMANA 3Cenoura Orgânica</v>
      </c>
      <c r="B807" s="85" t="s">
        <v>31</v>
      </c>
      <c r="C807" s="85" t="s">
        <v>22</v>
      </c>
      <c r="D807" s="86">
        <v>14</v>
      </c>
      <c r="E807" s="116" t="str">
        <f t="shared" si="38"/>
        <v>Hortifruti</v>
      </c>
      <c r="F807" s="85" t="s">
        <v>1130</v>
      </c>
      <c r="G807" s="85" t="s">
        <v>252</v>
      </c>
      <c r="H807" s="85" t="s">
        <v>1083</v>
      </c>
      <c r="I807" s="85">
        <v>6.01</v>
      </c>
      <c r="J807" s="87">
        <v>7.75</v>
      </c>
      <c r="K807" s="88">
        <f t="shared" si="39"/>
        <v>46.577500000000001</v>
      </c>
      <c r="L807" s="85">
        <v>97586</v>
      </c>
      <c r="M807" s="118" t="s">
        <v>714</v>
      </c>
      <c r="N807" s="84"/>
      <c r="O807" s="84" t="s">
        <v>874</v>
      </c>
      <c r="R807"/>
    </row>
    <row r="808" spans="1:18" x14ac:dyDescent="0.25">
      <c r="A808" s="84" t="str">
        <f t="shared" si="37"/>
        <v>MarçoSEMANA 3Alface Roxa Orgânica</v>
      </c>
      <c r="B808" s="85" t="s">
        <v>31</v>
      </c>
      <c r="C808" s="85" t="s">
        <v>22</v>
      </c>
      <c r="D808" s="86">
        <v>14</v>
      </c>
      <c r="E808" s="116" t="str">
        <f t="shared" si="38"/>
        <v>Hortifruti</v>
      </c>
      <c r="F808" s="85" t="s">
        <v>1130</v>
      </c>
      <c r="G808" s="85" t="s">
        <v>109</v>
      </c>
      <c r="H808" s="85" t="s">
        <v>1083</v>
      </c>
      <c r="I808" s="85">
        <v>1.74</v>
      </c>
      <c r="J808" s="87">
        <f>(25/1.74)+1.2627</f>
        <v>15.630516091954023</v>
      </c>
      <c r="K808" s="88">
        <f t="shared" si="39"/>
        <v>27.197098</v>
      </c>
      <c r="L808" s="85">
        <v>104009</v>
      </c>
      <c r="M808" s="118" t="s">
        <v>715</v>
      </c>
      <c r="N808" s="84"/>
      <c r="O808" s="84" t="s">
        <v>874</v>
      </c>
      <c r="R808"/>
    </row>
    <row r="809" spans="1:18" x14ac:dyDescent="0.25">
      <c r="A809" s="84" t="str">
        <f t="shared" si="37"/>
        <v>MarçoSEMANA 3Beterraba Orgânica</v>
      </c>
      <c r="B809" s="85" t="s">
        <v>31</v>
      </c>
      <c r="C809" s="85" t="s">
        <v>22</v>
      </c>
      <c r="D809" s="86">
        <v>14</v>
      </c>
      <c r="E809" s="116" t="str">
        <f t="shared" si="38"/>
        <v>Hortifruti</v>
      </c>
      <c r="F809" s="85" t="s">
        <v>1130</v>
      </c>
      <c r="G809" s="85" t="s">
        <v>182</v>
      </c>
      <c r="H809" s="85" t="s">
        <v>1083</v>
      </c>
      <c r="I809" s="85">
        <v>4.0999999999999996</v>
      </c>
      <c r="J809" s="87">
        <f>(7.7)+1.2627</f>
        <v>8.9626999999999999</v>
      </c>
      <c r="K809" s="88">
        <f t="shared" si="39"/>
        <v>36.747069999999994</v>
      </c>
      <c r="L809" s="85">
        <v>104009</v>
      </c>
      <c r="M809" s="118" t="s">
        <v>716</v>
      </c>
      <c r="N809" s="84"/>
      <c r="O809" s="84" t="s">
        <v>872</v>
      </c>
      <c r="R809"/>
    </row>
    <row r="810" spans="1:18" x14ac:dyDescent="0.25">
      <c r="A810" s="84" t="str">
        <f t="shared" si="37"/>
        <v>MarçoSEMANA 3Rúcula Orgânica</v>
      </c>
      <c r="B810" s="85" t="s">
        <v>31</v>
      </c>
      <c r="C810" s="85" t="s">
        <v>22</v>
      </c>
      <c r="D810" s="86">
        <v>14</v>
      </c>
      <c r="E810" s="116" t="str">
        <f t="shared" si="38"/>
        <v>Hortifruti</v>
      </c>
      <c r="F810" s="85" t="s">
        <v>1130</v>
      </c>
      <c r="G810" s="85" t="s">
        <v>706</v>
      </c>
      <c r="H810" s="85" t="s">
        <v>1083</v>
      </c>
      <c r="I810" s="85">
        <v>2</v>
      </c>
      <c r="J810" s="87">
        <f>(32/2)+1.2627</f>
        <v>17.262699999999999</v>
      </c>
      <c r="K810" s="88">
        <f t="shared" si="39"/>
        <v>34.525399999999998</v>
      </c>
      <c r="L810" s="85">
        <v>104009</v>
      </c>
      <c r="M810" s="118" t="s">
        <v>717</v>
      </c>
      <c r="N810" s="84"/>
      <c r="O810" s="84" t="s">
        <v>872</v>
      </c>
      <c r="R810"/>
    </row>
    <row r="811" spans="1:18" hidden="1" x14ac:dyDescent="0.2">
      <c r="A811" s="84" t="str">
        <f t="shared" si="37"/>
        <v>MarçoSEMANA 3Creme de Leite Culinário 20% Bd 10 Lt</v>
      </c>
      <c r="B811" s="85" t="s">
        <v>31</v>
      </c>
      <c r="C811" s="85" t="s">
        <v>22</v>
      </c>
      <c r="D811" s="86">
        <v>14</v>
      </c>
      <c r="E811" s="116" t="str">
        <f t="shared" si="38"/>
        <v>Laticínios</v>
      </c>
      <c r="F811" s="85" t="s">
        <v>1152</v>
      </c>
      <c r="G811" s="85" t="s">
        <v>315</v>
      </c>
      <c r="H811" s="85" t="s">
        <v>1088</v>
      </c>
      <c r="I811" s="85">
        <v>1</v>
      </c>
      <c r="J811" s="87">
        <v>142.44999999999999</v>
      </c>
      <c r="K811" s="88">
        <f t="shared" si="39"/>
        <v>142.44999999999999</v>
      </c>
      <c r="L811" s="85" t="s">
        <v>1249</v>
      </c>
      <c r="M811" s="118" t="s">
        <v>718</v>
      </c>
      <c r="N811" s="84"/>
      <c r="O811" s="84" t="s">
        <v>872</v>
      </c>
      <c r="R811"/>
    </row>
    <row r="812" spans="1:18" hidden="1" x14ac:dyDescent="0.2">
      <c r="A812" s="84" t="str">
        <f t="shared" si="37"/>
        <v>MarçoSEMANA 3Queijo Mussarela</v>
      </c>
      <c r="B812" s="85" t="s">
        <v>31</v>
      </c>
      <c r="C812" s="85" t="s">
        <v>22</v>
      </c>
      <c r="D812" s="86">
        <v>14</v>
      </c>
      <c r="E812" s="116" t="str">
        <f t="shared" si="38"/>
        <v>Laticínios</v>
      </c>
      <c r="F812" s="85" t="s">
        <v>1152</v>
      </c>
      <c r="G812" s="85" t="s">
        <v>684</v>
      </c>
      <c r="H812" s="85" t="s">
        <v>1083</v>
      </c>
      <c r="I812" s="85">
        <v>6.46</v>
      </c>
      <c r="J812" s="87">
        <v>26</v>
      </c>
      <c r="K812" s="88">
        <f t="shared" si="39"/>
        <v>167.96</v>
      </c>
      <c r="L812" s="85" t="s">
        <v>1249</v>
      </c>
      <c r="M812" s="118" t="s">
        <v>969</v>
      </c>
      <c r="N812" s="84"/>
      <c r="O812" s="84" t="s">
        <v>874</v>
      </c>
      <c r="R812"/>
    </row>
    <row r="813" spans="1:18" hidden="1" x14ac:dyDescent="0.2">
      <c r="A813" s="84" t="str">
        <f t="shared" si="37"/>
        <v>MarçoSEMANA 3Queijo Minas</v>
      </c>
      <c r="B813" s="85" t="s">
        <v>31</v>
      </c>
      <c r="C813" s="85" t="s">
        <v>22</v>
      </c>
      <c r="D813" s="86">
        <v>14</v>
      </c>
      <c r="E813" s="116" t="str">
        <f t="shared" si="38"/>
        <v>Laticínios</v>
      </c>
      <c r="F813" s="85" t="s">
        <v>1152</v>
      </c>
      <c r="G813" s="85" t="s">
        <v>681</v>
      </c>
      <c r="H813" s="85" t="s">
        <v>1083</v>
      </c>
      <c r="I813" s="85">
        <v>1.6</v>
      </c>
      <c r="J813" s="87">
        <v>20.8</v>
      </c>
      <c r="K813" s="88">
        <f t="shared" si="39"/>
        <v>33.28</v>
      </c>
      <c r="L813" s="85" t="s">
        <v>1249</v>
      </c>
      <c r="M813" s="118" t="s">
        <v>719</v>
      </c>
      <c r="N813" s="84"/>
      <c r="O813" s="84" t="s">
        <v>872</v>
      </c>
      <c r="R813"/>
    </row>
    <row r="814" spans="1:18" hidden="1" x14ac:dyDescent="0.2">
      <c r="A814" s="84" t="str">
        <f t="shared" si="37"/>
        <v>MarçoSEMANA 3Queijo Ricota</v>
      </c>
      <c r="B814" s="85" t="s">
        <v>31</v>
      </c>
      <c r="C814" s="85" t="s">
        <v>22</v>
      </c>
      <c r="D814" s="86">
        <v>14</v>
      </c>
      <c r="E814" s="116" t="str">
        <f t="shared" si="38"/>
        <v>Laticínios</v>
      </c>
      <c r="F814" s="85" t="s">
        <v>1152</v>
      </c>
      <c r="G814" s="85" t="s">
        <v>688</v>
      </c>
      <c r="H814" s="85" t="s">
        <v>1083</v>
      </c>
      <c r="I814" s="85">
        <v>4.88</v>
      </c>
      <c r="J814" s="87">
        <v>10.6</v>
      </c>
      <c r="K814" s="88">
        <f t="shared" si="39"/>
        <v>51.727999999999994</v>
      </c>
      <c r="L814" s="85" t="s">
        <v>1249</v>
      </c>
      <c r="M814" s="118" t="s">
        <v>720</v>
      </c>
      <c r="N814" s="84"/>
      <c r="O814" s="84" t="s">
        <v>872</v>
      </c>
      <c r="R814"/>
    </row>
    <row r="815" spans="1:18" hidden="1" x14ac:dyDescent="0.2">
      <c r="A815" s="84" t="str">
        <f t="shared" si="37"/>
        <v>MarçoSEMANA 3Queijo Requeijão BD 3,6 Kg</v>
      </c>
      <c r="B815" s="85" t="s">
        <v>31</v>
      </c>
      <c r="C815" s="85" t="s">
        <v>22</v>
      </c>
      <c r="D815" s="86">
        <v>14</v>
      </c>
      <c r="E815" s="116" t="str">
        <f t="shared" si="38"/>
        <v>Laticínios</v>
      </c>
      <c r="F815" s="85" t="s">
        <v>1152</v>
      </c>
      <c r="G815" s="85" t="s">
        <v>687</v>
      </c>
      <c r="H815" s="85" t="s">
        <v>1088</v>
      </c>
      <c r="I815" s="85">
        <v>2</v>
      </c>
      <c r="J815" s="87">
        <v>74.400000000000006</v>
      </c>
      <c r="K815" s="88">
        <f t="shared" si="39"/>
        <v>148.80000000000001</v>
      </c>
      <c r="L815" s="85" t="s">
        <v>1249</v>
      </c>
      <c r="M815" s="118" t="s">
        <v>721</v>
      </c>
      <c r="N815" s="84"/>
      <c r="O815" s="84" t="s">
        <v>872</v>
      </c>
      <c r="R815"/>
    </row>
    <row r="816" spans="1:18" hidden="1" x14ac:dyDescent="0.2">
      <c r="A816" s="84" t="str">
        <f t="shared" si="37"/>
        <v>MarçoSEMANA 3Cogumelo Paris</v>
      </c>
      <c r="B816" s="85" t="s">
        <v>31</v>
      </c>
      <c r="C816" s="85" t="s">
        <v>22</v>
      </c>
      <c r="D816" s="86">
        <v>14</v>
      </c>
      <c r="E816" s="116" t="str">
        <f t="shared" si="38"/>
        <v>Mercado</v>
      </c>
      <c r="F816" s="85" t="s">
        <v>1158</v>
      </c>
      <c r="G816" s="85" t="s">
        <v>292</v>
      </c>
      <c r="H816" s="85" t="s">
        <v>1083</v>
      </c>
      <c r="I816" s="85">
        <f>4*0.25</f>
        <v>1</v>
      </c>
      <c r="J816" s="87">
        <v>35.96</v>
      </c>
      <c r="K816" s="88">
        <f t="shared" si="39"/>
        <v>35.96</v>
      </c>
      <c r="L816" s="85">
        <v>49866</v>
      </c>
      <c r="M816" s="118" t="s">
        <v>722</v>
      </c>
      <c r="N816" s="84"/>
      <c r="O816" s="84" t="s">
        <v>42</v>
      </c>
      <c r="R816"/>
    </row>
    <row r="817" spans="1:18" x14ac:dyDescent="0.25">
      <c r="A817" s="84" t="str">
        <f t="shared" si="37"/>
        <v xml:space="preserve">MarçoSEMANA 3Abobrinha </v>
      </c>
      <c r="B817" s="85" t="s">
        <v>31</v>
      </c>
      <c r="C817" s="85" t="s">
        <v>22</v>
      </c>
      <c r="D817" s="86">
        <v>14</v>
      </c>
      <c r="E817" s="116" t="str">
        <f t="shared" si="38"/>
        <v>Hortifruti</v>
      </c>
      <c r="F817" s="85" t="s">
        <v>1110</v>
      </c>
      <c r="G817" s="85" t="s">
        <v>72</v>
      </c>
      <c r="H817" s="85" t="s">
        <v>1083</v>
      </c>
      <c r="I817" s="85">
        <v>14.36</v>
      </c>
      <c r="J817" s="87">
        <f>40/14.36</f>
        <v>2.785515320334262</v>
      </c>
      <c r="K817" s="88">
        <f t="shared" si="39"/>
        <v>40</v>
      </c>
      <c r="L817" s="85">
        <v>3437</v>
      </c>
      <c r="M817" s="118" t="s">
        <v>723</v>
      </c>
      <c r="O817" s="115" t="s">
        <v>42</v>
      </c>
      <c r="R817"/>
    </row>
    <row r="818" spans="1:18" x14ac:dyDescent="0.25">
      <c r="A818" s="84" t="str">
        <f t="shared" si="37"/>
        <v>MarçoSEMANA 3Batata Doce</v>
      </c>
      <c r="B818" s="85" t="s">
        <v>31</v>
      </c>
      <c r="C818" s="85" t="s">
        <v>22</v>
      </c>
      <c r="D818" s="86">
        <v>14</v>
      </c>
      <c r="E818" s="116" t="str">
        <f t="shared" si="38"/>
        <v>Hortifruti</v>
      </c>
      <c r="F818" s="85" t="s">
        <v>1110</v>
      </c>
      <c r="G818" s="85" t="s">
        <v>170</v>
      </c>
      <c r="H818" s="85" t="s">
        <v>1083</v>
      </c>
      <c r="I818" s="85">
        <v>19.2</v>
      </c>
      <c r="J818" s="87">
        <f>36/19.2</f>
        <v>1.875</v>
      </c>
      <c r="K818" s="88">
        <f t="shared" si="39"/>
        <v>36</v>
      </c>
      <c r="L818" s="85">
        <v>3437</v>
      </c>
      <c r="M818" s="118" t="s">
        <v>912</v>
      </c>
      <c r="N818" s="84"/>
      <c r="O818" s="84" t="s">
        <v>42</v>
      </c>
      <c r="R818"/>
    </row>
    <row r="819" spans="1:18" x14ac:dyDescent="0.25">
      <c r="A819" s="84" t="str">
        <f t="shared" si="37"/>
        <v>MarçoSEMANA 3Batata Yacon</v>
      </c>
      <c r="B819" s="85" t="s">
        <v>31</v>
      </c>
      <c r="C819" s="85" t="s">
        <v>22</v>
      </c>
      <c r="D819" s="86">
        <v>14</v>
      </c>
      <c r="E819" s="116" t="str">
        <f t="shared" si="38"/>
        <v>Hortifruti</v>
      </c>
      <c r="F819" s="85" t="s">
        <v>1110</v>
      </c>
      <c r="G819" s="85" t="s">
        <v>177</v>
      </c>
      <c r="H819" s="85" t="s">
        <v>1083</v>
      </c>
      <c r="I819" s="90">
        <v>0.5</v>
      </c>
      <c r="J819" s="87">
        <v>8</v>
      </c>
      <c r="K819" s="88">
        <f t="shared" si="39"/>
        <v>4</v>
      </c>
      <c r="L819" s="85">
        <v>3437</v>
      </c>
      <c r="M819" s="118" t="s">
        <v>724</v>
      </c>
      <c r="N819" s="84"/>
      <c r="O819" s="84" t="s">
        <v>42</v>
      </c>
      <c r="R819"/>
    </row>
    <row r="820" spans="1:18" x14ac:dyDescent="0.25">
      <c r="A820" s="84" t="str">
        <f t="shared" si="37"/>
        <v>MarçoSEMANA 3Berinjela</v>
      </c>
      <c r="B820" s="85" t="s">
        <v>31</v>
      </c>
      <c r="C820" s="85" t="s">
        <v>22</v>
      </c>
      <c r="D820" s="86">
        <v>14</v>
      </c>
      <c r="E820" s="116" t="str">
        <f t="shared" si="38"/>
        <v>Hortifruti</v>
      </c>
      <c r="F820" s="85" t="s">
        <v>1110</v>
      </c>
      <c r="G820" s="85" t="s">
        <v>178</v>
      </c>
      <c r="H820" s="85" t="s">
        <v>1083</v>
      </c>
      <c r="I820" s="85">
        <v>10.46</v>
      </c>
      <c r="J820" s="87">
        <f>20/10.46</f>
        <v>1.9120458891013383</v>
      </c>
      <c r="K820" s="88">
        <f t="shared" si="39"/>
        <v>20</v>
      </c>
      <c r="L820" s="85">
        <v>3437</v>
      </c>
      <c r="M820" s="118" t="s">
        <v>725</v>
      </c>
      <c r="N820" s="84"/>
      <c r="O820" s="84" t="s">
        <v>42</v>
      </c>
      <c r="R820"/>
    </row>
    <row r="821" spans="1:18" x14ac:dyDescent="0.25">
      <c r="A821" s="84" t="str">
        <f t="shared" si="37"/>
        <v>MarçoSEMANA 3Cará</v>
      </c>
      <c r="B821" s="85" t="s">
        <v>31</v>
      </c>
      <c r="C821" s="85" t="s">
        <v>22</v>
      </c>
      <c r="D821" s="86">
        <v>14</v>
      </c>
      <c r="E821" s="116" t="str">
        <f t="shared" si="38"/>
        <v>Hortifruti</v>
      </c>
      <c r="F821" s="85" t="s">
        <v>1110</v>
      </c>
      <c r="G821" s="85" t="s">
        <v>213</v>
      </c>
      <c r="H821" s="85" t="s">
        <v>1083</v>
      </c>
      <c r="I821" s="85">
        <v>2</v>
      </c>
      <c r="J821" s="87">
        <v>8</v>
      </c>
      <c r="K821" s="88">
        <f t="shared" si="39"/>
        <v>16</v>
      </c>
      <c r="L821" s="85">
        <v>3437</v>
      </c>
      <c r="M821" s="118" t="s">
        <v>726</v>
      </c>
      <c r="N821" s="84"/>
      <c r="O821" s="84" t="s">
        <v>60</v>
      </c>
      <c r="R821"/>
    </row>
    <row r="822" spans="1:18" x14ac:dyDescent="0.25">
      <c r="A822" s="84" t="str">
        <f t="shared" si="37"/>
        <v>MarçoSEMANA 3Repolho</v>
      </c>
      <c r="B822" s="85" t="s">
        <v>31</v>
      </c>
      <c r="C822" s="85" t="s">
        <v>22</v>
      </c>
      <c r="D822" s="86">
        <v>14</v>
      </c>
      <c r="E822" s="116" t="str">
        <f t="shared" si="38"/>
        <v>Hortifruti</v>
      </c>
      <c r="F822" s="85" t="s">
        <v>1110</v>
      </c>
      <c r="G822" s="85" t="s">
        <v>700</v>
      </c>
      <c r="H822" s="85" t="s">
        <v>1083</v>
      </c>
      <c r="I822" s="85">
        <v>2</v>
      </c>
      <c r="J822" s="87">
        <v>2</v>
      </c>
      <c r="K822" s="88">
        <f t="shared" si="39"/>
        <v>4</v>
      </c>
      <c r="L822" s="85">
        <v>3437</v>
      </c>
      <c r="M822" s="118" t="s">
        <v>727</v>
      </c>
      <c r="N822" s="84"/>
      <c r="O822" s="84" t="s">
        <v>42</v>
      </c>
      <c r="R822"/>
    </row>
    <row r="823" spans="1:18" x14ac:dyDescent="0.25">
      <c r="A823" s="84" t="str">
        <f t="shared" si="37"/>
        <v>MarçoSEMANA 3Tomate Salada</v>
      </c>
      <c r="B823" s="85" t="s">
        <v>31</v>
      </c>
      <c r="C823" s="85" t="s">
        <v>22</v>
      </c>
      <c r="D823" s="86">
        <v>14</v>
      </c>
      <c r="E823" s="116" t="str">
        <f t="shared" si="38"/>
        <v>Hortifruti</v>
      </c>
      <c r="F823" s="85" t="s">
        <v>1110</v>
      </c>
      <c r="G823" s="85" t="s">
        <v>794</v>
      </c>
      <c r="H823" s="85" t="s">
        <v>1083</v>
      </c>
      <c r="I823" s="85">
        <v>20.88</v>
      </c>
      <c r="J823" s="87">
        <f>60/20.88</f>
        <v>2.8735632183908049</v>
      </c>
      <c r="K823" s="88">
        <f t="shared" si="39"/>
        <v>60</v>
      </c>
      <c r="L823" s="85">
        <v>3437</v>
      </c>
      <c r="M823" s="118" t="s">
        <v>728</v>
      </c>
      <c r="N823" s="84"/>
      <c r="O823" s="84" t="s">
        <v>45</v>
      </c>
      <c r="R823"/>
    </row>
    <row r="824" spans="1:18" x14ac:dyDescent="0.25">
      <c r="A824" s="84" t="str">
        <f t="shared" si="37"/>
        <v>MarçoSEMANA 3Alecrim</v>
      </c>
      <c r="B824" s="85" t="s">
        <v>31</v>
      </c>
      <c r="C824" s="85" t="s">
        <v>22</v>
      </c>
      <c r="D824" s="86">
        <v>14</v>
      </c>
      <c r="E824" s="116" t="str">
        <f t="shared" si="38"/>
        <v>Hortifruti</v>
      </c>
      <c r="F824" s="85" t="s">
        <v>1110</v>
      </c>
      <c r="G824" s="85" t="s">
        <v>101</v>
      </c>
      <c r="H824" s="85" t="s">
        <v>1083</v>
      </c>
      <c r="I824" s="85">
        <v>0.2</v>
      </c>
      <c r="J824" s="87">
        <v>14</v>
      </c>
      <c r="K824" s="88">
        <f t="shared" si="39"/>
        <v>2.8000000000000003</v>
      </c>
      <c r="L824" s="85">
        <v>3437</v>
      </c>
      <c r="M824" s="118" t="s">
        <v>729</v>
      </c>
      <c r="N824" s="84"/>
      <c r="O824" s="84" t="s">
        <v>45</v>
      </c>
      <c r="R824"/>
    </row>
    <row r="825" spans="1:18" x14ac:dyDescent="0.25">
      <c r="A825" s="84" t="str">
        <f t="shared" si="37"/>
        <v>MarçoSEMANA 3Cebolinha Verde</v>
      </c>
      <c r="B825" s="85" t="s">
        <v>31</v>
      </c>
      <c r="C825" s="85" t="s">
        <v>22</v>
      </c>
      <c r="D825" s="86">
        <v>14</v>
      </c>
      <c r="E825" s="116" t="str">
        <f t="shared" si="38"/>
        <v>Hortifruti</v>
      </c>
      <c r="F825" s="85" t="s">
        <v>1110</v>
      </c>
      <c r="G825" s="85" t="s">
        <v>247</v>
      </c>
      <c r="H825" s="85" t="s">
        <v>1083</v>
      </c>
      <c r="I825" s="85">
        <f>1-0.481</f>
        <v>0.51900000000000002</v>
      </c>
      <c r="J825" s="87">
        <v>7</v>
      </c>
      <c r="K825" s="88">
        <f t="shared" si="39"/>
        <v>3.633</v>
      </c>
      <c r="L825" s="85">
        <v>3437</v>
      </c>
      <c r="M825" s="118" t="s">
        <v>730</v>
      </c>
      <c r="N825" s="84"/>
      <c r="O825" s="84" t="s">
        <v>60</v>
      </c>
      <c r="R825"/>
    </row>
    <row r="826" spans="1:18" x14ac:dyDescent="0.25">
      <c r="A826" s="84" t="str">
        <f t="shared" si="37"/>
        <v>MarçoSEMANA 3Espinafre</v>
      </c>
      <c r="B826" s="85" t="s">
        <v>31</v>
      </c>
      <c r="C826" s="85" t="s">
        <v>22</v>
      </c>
      <c r="D826" s="86">
        <v>14</v>
      </c>
      <c r="E826" s="116" t="str">
        <f t="shared" si="38"/>
        <v>Hortifruti</v>
      </c>
      <c r="F826" s="85" t="s">
        <v>1110</v>
      </c>
      <c r="G826" s="85" t="s">
        <v>332</v>
      </c>
      <c r="H826" s="85" t="s">
        <v>1083</v>
      </c>
      <c r="I826" s="85">
        <v>8</v>
      </c>
      <c r="J826" s="87">
        <v>6</v>
      </c>
      <c r="K826" s="88">
        <f t="shared" si="39"/>
        <v>48</v>
      </c>
      <c r="L826" s="85">
        <v>3437</v>
      </c>
      <c r="M826" s="118" t="s">
        <v>731</v>
      </c>
      <c r="N826" s="84"/>
      <c r="O826" s="84" t="s">
        <v>45</v>
      </c>
      <c r="R826"/>
    </row>
    <row r="827" spans="1:18" x14ac:dyDescent="0.25">
      <c r="A827" s="84" t="str">
        <f t="shared" si="37"/>
        <v>MarçoSEMANA 3Hortelã</v>
      </c>
      <c r="B827" s="85" t="s">
        <v>31</v>
      </c>
      <c r="C827" s="85" t="s">
        <v>22</v>
      </c>
      <c r="D827" s="86">
        <v>14</v>
      </c>
      <c r="E827" s="116" t="str">
        <f t="shared" si="38"/>
        <v>Hortifruti</v>
      </c>
      <c r="F827" s="85" t="s">
        <v>1110</v>
      </c>
      <c r="G827" s="85" t="s">
        <v>405</v>
      </c>
      <c r="H827" s="85" t="s">
        <v>1083</v>
      </c>
      <c r="I827" s="85">
        <v>1</v>
      </c>
      <c r="J827" s="87">
        <v>4</v>
      </c>
      <c r="K827" s="88">
        <f t="shared" si="39"/>
        <v>4</v>
      </c>
      <c r="L827" s="85">
        <v>3437</v>
      </c>
      <c r="M827" s="118" t="s">
        <v>732</v>
      </c>
      <c r="N827" s="84"/>
      <c r="O827" s="84" t="s">
        <v>45</v>
      </c>
      <c r="R827"/>
    </row>
    <row r="828" spans="1:18" x14ac:dyDescent="0.25">
      <c r="A828" s="84" t="str">
        <f t="shared" si="37"/>
        <v>MarçoSEMANA 3Manjericão</v>
      </c>
      <c r="B828" s="85" t="s">
        <v>31</v>
      </c>
      <c r="C828" s="85" t="s">
        <v>22</v>
      </c>
      <c r="D828" s="86">
        <v>14</v>
      </c>
      <c r="E828" s="116" t="str">
        <f t="shared" si="38"/>
        <v>Hortifruti</v>
      </c>
      <c r="F828" s="85" t="s">
        <v>1110</v>
      </c>
      <c r="G828" s="85" t="s">
        <v>498</v>
      </c>
      <c r="H828" s="85" t="s">
        <v>1083</v>
      </c>
      <c r="I828" s="90">
        <v>0.5</v>
      </c>
      <c r="J828" s="89">
        <v>10</v>
      </c>
      <c r="K828" s="88">
        <f t="shared" si="39"/>
        <v>5</v>
      </c>
      <c r="L828" s="85">
        <v>3437</v>
      </c>
      <c r="M828" s="118" t="s">
        <v>733</v>
      </c>
      <c r="N828" s="84"/>
      <c r="O828" s="84" t="s">
        <v>46</v>
      </c>
      <c r="R828"/>
    </row>
    <row r="829" spans="1:18" x14ac:dyDescent="0.25">
      <c r="A829" s="84" t="str">
        <f t="shared" si="37"/>
        <v>MarçoSEMANA 3Salsa</v>
      </c>
      <c r="B829" s="85" t="s">
        <v>31</v>
      </c>
      <c r="C829" s="85" t="s">
        <v>22</v>
      </c>
      <c r="D829" s="86">
        <v>14</v>
      </c>
      <c r="E829" s="116" t="str">
        <f t="shared" si="38"/>
        <v>Hortifruti</v>
      </c>
      <c r="F829" s="85" t="s">
        <v>1110</v>
      </c>
      <c r="G829" s="85" t="s">
        <v>728</v>
      </c>
      <c r="H829" s="85" t="s">
        <v>1083</v>
      </c>
      <c r="I829" s="85">
        <v>1.5</v>
      </c>
      <c r="J829" s="87">
        <v>7</v>
      </c>
      <c r="K829" s="88">
        <f t="shared" si="39"/>
        <v>10.5</v>
      </c>
      <c r="L829" s="85">
        <v>3437</v>
      </c>
      <c r="M829" s="118" t="s">
        <v>734</v>
      </c>
      <c r="N829" s="84"/>
      <c r="O829" s="84" t="s">
        <v>42</v>
      </c>
      <c r="R829"/>
    </row>
    <row r="830" spans="1:18" hidden="1" x14ac:dyDescent="0.2">
      <c r="A830" s="84" t="str">
        <f t="shared" si="37"/>
        <v>MarçoSEMANA 3Abacate Sushi</v>
      </c>
      <c r="B830" s="85" t="s">
        <v>31</v>
      </c>
      <c r="C830" s="85" t="s">
        <v>22</v>
      </c>
      <c r="D830" s="86">
        <v>14</v>
      </c>
      <c r="E830" s="116" t="str">
        <f t="shared" si="38"/>
        <v>Sushi</v>
      </c>
      <c r="F830" s="85" t="s">
        <v>1110</v>
      </c>
      <c r="G830" s="85" t="s">
        <v>64</v>
      </c>
      <c r="H830" s="85" t="s">
        <v>1083</v>
      </c>
      <c r="I830" s="85">
        <v>1</v>
      </c>
      <c r="J830" s="87">
        <v>6</v>
      </c>
      <c r="K830" s="88">
        <f t="shared" si="39"/>
        <v>6</v>
      </c>
      <c r="L830" s="85">
        <v>3437</v>
      </c>
      <c r="M830" s="118" t="s">
        <v>735</v>
      </c>
      <c r="N830" s="84"/>
      <c r="O830" s="84" t="s">
        <v>60</v>
      </c>
      <c r="R830"/>
    </row>
    <row r="831" spans="1:18" x14ac:dyDescent="0.25">
      <c r="A831" s="84" t="str">
        <f t="shared" si="37"/>
        <v>MarçoSEMANA 3Banana Prata</v>
      </c>
      <c r="B831" s="85" t="s">
        <v>31</v>
      </c>
      <c r="C831" s="85" t="s">
        <v>22</v>
      </c>
      <c r="D831" s="86">
        <v>14</v>
      </c>
      <c r="E831" s="116" t="str">
        <f t="shared" si="38"/>
        <v>Hortifruti</v>
      </c>
      <c r="F831" s="85" t="s">
        <v>1110</v>
      </c>
      <c r="G831" s="85" t="s">
        <v>163</v>
      </c>
      <c r="H831" s="85" t="s">
        <v>1083</v>
      </c>
      <c r="I831" s="85">
        <v>2</v>
      </c>
      <c r="J831" s="87">
        <v>5</v>
      </c>
      <c r="K831" s="88">
        <f t="shared" si="39"/>
        <v>10</v>
      </c>
      <c r="L831" s="85">
        <v>3437</v>
      </c>
      <c r="M831" s="118" t="s">
        <v>736</v>
      </c>
      <c r="N831" s="84"/>
      <c r="O831" s="84" t="s">
        <v>42</v>
      </c>
      <c r="R831"/>
    </row>
    <row r="832" spans="1:18" x14ac:dyDescent="0.25">
      <c r="A832" s="84" t="str">
        <f t="shared" si="37"/>
        <v>MarçoSEMANA 3Laranja Pera</v>
      </c>
      <c r="B832" s="85" t="s">
        <v>31</v>
      </c>
      <c r="C832" s="85" t="s">
        <v>22</v>
      </c>
      <c r="D832" s="86">
        <v>14</v>
      </c>
      <c r="E832" s="116" t="str">
        <f t="shared" si="38"/>
        <v>Hortifruti</v>
      </c>
      <c r="F832" s="85" t="s">
        <v>1110</v>
      </c>
      <c r="G832" s="85" t="s">
        <v>456</v>
      </c>
      <c r="H832" s="85" t="s">
        <v>1083</v>
      </c>
      <c r="I832" s="85">
        <v>19.32</v>
      </c>
      <c r="J832" s="87">
        <f>33/19.32</f>
        <v>1.7080745341614907</v>
      </c>
      <c r="K832" s="88">
        <f t="shared" si="39"/>
        <v>33</v>
      </c>
      <c r="L832" s="85">
        <v>3437</v>
      </c>
      <c r="M832" s="118" t="s">
        <v>737</v>
      </c>
      <c r="N832" s="84"/>
      <c r="O832" s="84" t="s">
        <v>60</v>
      </c>
      <c r="R832"/>
    </row>
    <row r="833" spans="1:18" x14ac:dyDescent="0.25">
      <c r="A833" s="84" t="str">
        <f t="shared" si="37"/>
        <v>MarçoSEMANA 3Melão Orange</v>
      </c>
      <c r="B833" s="85" t="s">
        <v>31</v>
      </c>
      <c r="C833" s="85" t="s">
        <v>22</v>
      </c>
      <c r="D833" s="86">
        <v>14</v>
      </c>
      <c r="E833" s="116" t="str">
        <f t="shared" si="38"/>
        <v>Hortifruti</v>
      </c>
      <c r="F833" s="85" t="s">
        <v>1110</v>
      </c>
      <c r="G833" s="85" t="s">
        <v>518</v>
      </c>
      <c r="H833" s="85" t="s">
        <v>1083</v>
      </c>
      <c r="I833" s="85">
        <v>2</v>
      </c>
      <c r="J833" s="87">
        <v>4.8</v>
      </c>
      <c r="K833" s="88">
        <f t="shared" si="39"/>
        <v>9.6</v>
      </c>
      <c r="L833" s="85">
        <v>3437</v>
      </c>
      <c r="M833" s="118" t="s">
        <v>738</v>
      </c>
      <c r="N833" s="84"/>
      <c r="O833" s="84" t="s">
        <v>47</v>
      </c>
      <c r="R833"/>
    </row>
    <row r="834" spans="1:18" x14ac:dyDescent="0.25">
      <c r="A834" s="84" t="str">
        <f t="shared" ref="A834:A897" si="40">CONCATENATE(B834,C834,G834)</f>
        <v xml:space="preserve">MarçoSEMANA 3Alface Americana    </v>
      </c>
      <c r="B834" s="85" t="s">
        <v>31</v>
      </c>
      <c r="C834" s="85" t="s">
        <v>22</v>
      </c>
      <c r="D834" s="86">
        <v>14</v>
      </c>
      <c r="E834" s="116" t="str">
        <f t="shared" ref="E834:E897" si="41">VLOOKUP(G834,$M$1:$O$993,3,0)</f>
        <v>Hortifruti</v>
      </c>
      <c r="F834" s="85" t="s">
        <v>1110</v>
      </c>
      <c r="G834" s="85" t="s">
        <v>102</v>
      </c>
      <c r="H834" s="85" t="s">
        <v>1083</v>
      </c>
      <c r="I834" s="85">
        <v>4.5999999999999996</v>
      </c>
      <c r="J834" s="87">
        <f>36/4.6</f>
        <v>7.8260869565217401</v>
      </c>
      <c r="K834" s="88">
        <f t="shared" ref="K834:K897" si="42">I834*J834</f>
        <v>36</v>
      </c>
      <c r="L834" s="85" t="s">
        <v>1265</v>
      </c>
      <c r="M834" s="118" t="s">
        <v>739</v>
      </c>
      <c r="N834" s="84"/>
      <c r="O834" s="84" t="s">
        <v>47</v>
      </c>
      <c r="R834"/>
    </row>
    <row r="835" spans="1:18" x14ac:dyDescent="0.25">
      <c r="A835" s="84" t="str">
        <f t="shared" si="40"/>
        <v>MarçoSEMANA 3Alface crespa</v>
      </c>
      <c r="B835" s="85" t="s">
        <v>31</v>
      </c>
      <c r="C835" s="85" t="s">
        <v>22</v>
      </c>
      <c r="D835" s="86">
        <v>14</v>
      </c>
      <c r="E835" s="116" t="str">
        <f t="shared" si="41"/>
        <v>Hortifruti</v>
      </c>
      <c r="F835" s="85" t="s">
        <v>1110</v>
      </c>
      <c r="G835" s="85" t="s">
        <v>104</v>
      </c>
      <c r="H835" s="85" t="s">
        <v>1083</v>
      </c>
      <c r="I835" s="85">
        <v>1.78</v>
      </c>
      <c r="J835" s="87">
        <f>12/1.78</f>
        <v>6.7415730337078648</v>
      </c>
      <c r="K835" s="88">
        <f t="shared" si="42"/>
        <v>12</v>
      </c>
      <c r="L835" s="85" t="s">
        <v>1265</v>
      </c>
      <c r="M835" s="118" t="s">
        <v>1029</v>
      </c>
      <c r="N835" s="84"/>
      <c r="O835" s="84" t="s">
        <v>42</v>
      </c>
      <c r="R835"/>
    </row>
    <row r="836" spans="1:18" x14ac:dyDescent="0.25">
      <c r="A836" s="84" t="str">
        <f t="shared" si="40"/>
        <v>MarçoSEMANA 3Cebola</v>
      </c>
      <c r="B836" s="85" t="s">
        <v>31</v>
      </c>
      <c r="C836" s="85" t="s">
        <v>22</v>
      </c>
      <c r="D836" s="86">
        <v>14</v>
      </c>
      <c r="E836" s="116" t="str">
        <f t="shared" si="41"/>
        <v>Hortifruti</v>
      </c>
      <c r="F836" s="85" t="s">
        <v>1111</v>
      </c>
      <c r="G836" s="85" t="s">
        <v>241</v>
      </c>
      <c r="H836" s="85" t="s">
        <v>1083</v>
      </c>
      <c r="I836" s="85">
        <v>19.84</v>
      </c>
      <c r="J836" s="87">
        <f>48.5/19.84</f>
        <v>2.444556451612903</v>
      </c>
      <c r="K836" s="88">
        <f t="shared" si="42"/>
        <v>48.499999999999993</v>
      </c>
      <c r="L836" s="85">
        <v>18540</v>
      </c>
      <c r="M836" s="118" t="s">
        <v>740</v>
      </c>
      <c r="N836" s="84"/>
      <c r="O836" s="84" t="s">
        <v>60</v>
      </c>
      <c r="R836"/>
    </row>
    <row r="837" spans="1:18" x14ac:dyDescent="0.25">
      <c r="A837" s="84" t="str">
        <f t="shared" si="40"/>
        <v>MarçoSEMANA 3Côco Verde</v>
      </c>
      <c r="B837" s="85" t="s">
        <v>31</v>
      </c>
      <c r="C837" s="85" t="s">
        <v>22</v>
      </c>
      <c r="D837" s="86">
        <v>14</v>
      </c>
      <c r="E837" s="116" t="str">
        <f t="shared" si="41"/>
        <v>Hortifruti</v>
      </c>
      <c r="F837" s="85" t="s">
        <v>1111</v>
      </c>
      <c r="G837" s="85" t="s">
        <v>288</v>
      </c>
      <c r="H837" s="85" t="s">
        <v>1090</v>
      </c>
      <c r="I837" s="85">
        <v>15</v>
      </c>
      <c r="J837" s="87">
        <v>2.25</v>
      </c>
      <c r="K837" s="88">
        <f t="shared" si="42"/>
        <v>33.75</v>
      </c>
      <c r="L837" s="85">
        <v>18540</v>
      </c>
      <c r="M837" s="118" t="s">
        <v>932</v>
      </c>
      <c r="N837" s="84"/>
      <c r="O837" s="84" t="s">
        <v>42</v>
      </c>
      <c r="R837"/>
    </row>
    <row r="838" spans="1:18" x14ac:dyDescent="0.25">
      <c r="A838" s="84" t="str">
        <f t="shared" si="40"/>
        <v>MarçoSEMANA 3Coentro</v>
      </c>
      <c r="B838" s="85" t="s">
        <v>31</v>
      </c>
      <c r="C838" s="85" t="s">
        <v>22</v>
      </c>
      <c r="D838" s="86">
        <v>14</v>
      </c>
      <c r="E838" s="116" t="str">
        <f t="shared" si="41"/>
        <v>Hortifruti</v>
      </c>
      <c r="F838" s="85" t="s">
        <v>1111</v>
      </c>
      <c r="G838" s="85" t="s">
        <v>289</v>
      </c>
      <c r="H838" s="85" t="s">
        <v>1083</v>
      </c>
      <c r="I838" s="85">
        <v>0.3</v>
      </c>
      <c r="J838" s="87">
        <v>23</v>
      </c>
      <c r="K838" s="88">
        <f t="shared" si="42"/>
        <v>6.8999999999999995</v>
      </c>
      <c r="L838" s="85">
        <v>18540</v>
      </c>
      <c r="M838" s="118" t="s">
        <v>741</v>
      </c>
      <c r="N838" s="84"/>
      <c r="O838" s="84" t="s">
        <v>42</v>
      </c>
      <c r="R838"/>
    </row>
    <row r="839" spans="1:18" x14ac:dyDescent="0.25">
      <c r="A839" s="84" t="str">
        <f t="shared" si="40"/>
        <v>MarçoSEMANA 3Kiwi</v>
      </c>
      <c r="B839" s="85" t="s">
        <v>31</v>
      </c>
      <c r="C839" s="85" t="s">
        <v>22</v>
      </c>
      <c r="D839" s="86">
        <v>14</v>
      </c>
      <c r="E839" s="116" t="str">
        <f t="shared" si="41"/>
        <v>Hortifruti</v>
      </c>
      <c r="F839" s="85" t="s">
        <v>1111</v>
      </c>
      <c r="G839" s="85" t="s">
        <v>453</v>
      </c>
      <c r="H839" s="85" t="s">
        <v>1083</v>
      </c>
      <c r="I839" s="85">
        <v>0.5</v>
      </c>
      <c r="J839" s="87">
        <v>12</v>
      </c>
      <c r="K839" s="88">
        <f t="shared" si="42"/>
        <v>6</v>
      </c>
      <c r="L839" s="85">
        <v>18540</v>
      </c>
      <c r="M839" s="118" t="s">
        <v>742</v>
      </c>
      <c r="N839" s="84"/>
      <c r="O839" s="84" t="s">
        <v>60</v>
      </c>
      <c r="R839"/>
    </row>
    <row r="840" spans="1:18" x14ac:dyDescent="0.25">
      <c r="A840" s="84" t="str">
        <f t="shared" si="40"/>
        <v>MarçoSEMANA 3Pimentão Vermelho</v>
      </c>
      <c r="B840" s="85" t="s">
        <v>31</v>
      </c>
      <c r="C840" s="85" t="s">
        <v>22</v>
      </c>
      <c r="D840" s="86">
        <v>14</v>
      </c>
      <c r="E840" s="116" t="str">
        <f t="shared" si="41"/>
        <v>Hortifruti</v>
      </c>
      <c r="F840" s="85" t="s">
        <v>1111</v>
      </c>
      <c r="G840" s="85" t="s">
        <v>666</v>
      </c>
      <c r="H840" s="85" t="s">
        <v>1083</v>
      </c>
      <c r="I840" s="85">
        <v>1</v>
      </c>
      <c r="J840" s="87">
        <v>9.4499999999999993</v>
      </c>
      <c r="K840" s="88">
        <f t="shared" si="42"/>
        <v>9.4499999999999993</v>
      </c>
      <c r="L840" s="85">
        <v>18540</v>
      </c>
      <c r="M840" s="118" t="s">
        <v>743</v>
      </c>
      <c r="N840" s="84"/>
      <c r="O840" s="84" t="s">
        <v>42</v>
      </c>
      <c r="R840"/>
    </row>
    <row r="841" spans="1:18" x14ac:dyDescent="0.25">
      <c r="A841" s="84" t="str">
        <f t="shared" si="40"/>
        <v>MarçoSEMANA 3Abobora</v>
      </c>
      <c r="B841" s="85" t="s">
        <v>31</v>
      </c>
      <c r="C841" s="85" t="s">
        <v>22</v>
      </c>
      <c r="D841" s="86">
        <v>14</v>
      </c>
      <c r="E841" s="116" t="str">
        <f t="shared" si="41"/>
        <v>Hortifruti</v>
      </c>
      <c r="F841" s="85" t="s">
        <v>1111</v>
      </c>
      <c r="G841" s="85" t="s">
        <v>68</v>
      </c>
      <c r="H841" s="85" t="s">
        <v>1083</v>
      </c>
      <c r="I841" s="85">
        <v>7</v>
      </c>
      <c r="J841" s="87">
        <v>1.99</v>
      </c>
      <c r="K841" s="88">
        <f t="shared" si="42"/>
        <v>13.93</v>
      </c>
      <c r="L841" s="85">
        <v>18540</v>
      </c>
      <c r="M841" s="118" t="s">
        <v>913</v>
      </c>
      <c r="N841" s="84"/>
      <c r="O841" s="84" t="s">
        <v>42</v>
      </c>
      <c r="R841"/>
    </row>
    <row r="842" spans="1:18" x14ac:dyDescent="0.25">
      <c r="A842" s="84" t="str">
        <f t="shared" si="40"/>
        <v>MarçoSEMANA 3Abobora Japonesa</v>
      </c>
      <c r="B842" s="85" t="s">
        <v>31</v>
      </c>
      <c r="C842" s="85" t="s">
        <v>22</v>
      </c>
      <c r="D842" s="86">
        <v>14</v>
      </c>
      <c r="E842" s="116" t="str">
        <f t="shared" si="41"/>
        <v>Hortifruti</v>
      </c>
      <c r="F842" s="85" t="s">
        <v>1111</v>
      </c>
      <c r="G842" s="85" t="s">
        <v>69</v>
      </c>
      <c r="H842" s="85" t="s">
        <v>1083</v>
      </c>
      <c r="I842" s="85">
        <v>2</v>
      </c>
      <c r="J842" s="87">
        <v>2.86</v>
      </c>
      <c r="K842" s="88">
        <f t="shared" si="42"/>
        <v>5.72</v>
      </c>
      <c r="L842" s="85">
        <v>18540</v>
      </c>
      <c r="M842" s="118" t="s">
        <v>1067</v>
      </c>
      <c r="O842" s="84" t="s">
        <v>42</v>
      </c>
      <c r="R842"/>
    </row>
    <row r="843" spans="1:18" x14ac:dyDescent="0.25">
      <c r="A843" s="84" t="str">
        <f t="shared" si="40"/>
        <v>MarçoSEMANA 3Batata HBT</v>
      </c>
      <c r="B843" s="85" t="s">
        <v>31</v>
      </c>
      <c r="C843" s="85" t="s">
        <v>22</v>
      </c>
      <c r="D843" s="86">
        <v>14</v>
      </c>
      <c r="E843" s="116" t="str">
        <f t="shared" si="41"/>
        <v>Hortifruti</v>
      </c>
      <c r="F843" s="85" t="s">
        <v>1111</v>
      </c>
      <c r="G843" s="85" t="s">
        <v>171</v>
      </c>
      <c r="H843" s="85" t="s">
        <v>1083</v>
      </c>
      <c r="I843" s="85">
        <v>25</v>
      </c>
      <c r="J843" s="87">
        <v>1.59</v>
      </c>
      <c r="K843" s="88">
        <f t="shared" si="42"/>
        <v>39.75</v>
      </c>
      <c r="L843" s="85">
        <v>18540</v>
      </c>
      <c r="M843" s="118" t="s">
        <v>1060</v>
      </c>
      <c r="O843" s="84" t="s">
        <v>42</v>
      </c>
      <c r="R843"/>
    </row>
    <row r="844" spans="1:18" x14ac:dyDescent="0.25">
      <c r="A844" s="84" t="str">
        <f t="shared" si="40"/>
        <v>MarçoSEMANA 3Cebola Roxa</v>
      </c>
      <c r="B844" s="85" t="s">
        <v>31</v>
      </c>
      <c r="C844" s="85" t="s">
        <v>22</v>
      </c>
      <c r="D844" s="86">
        <v>14</v>
      </c>
      <c r="E844" s="116" t="str">
        <f t="shared" si="41"/>
        <v>Hortifruti</v>
      </c>
      <c r="F844" s="85" t="s">
        <v>1111</v>
      </c>
      <c r="G844" s="85" t="s">
        <v>244</v>
      </c>
      <c r="H844" s="85" t="s">
        <v>1083</v>
      </c>
      <c r="I844" s="85">
        <v>4</v>
      </c>
      <c r="J844" s="87">
        <v>3.15</v>
      </c>
      <c r="K844" s="88">
        <f t="shared" si="42"/>
        <v>12.6</v>
      </c>
      <c r="L844" s="85">
        <v>18540</v>
      </c>
      <c r="M844" s="118" t="s">
        <v>744</v>
      </c>
      <c r="N844" s="84"/>
      <c r="O844" s="84" t="s">
        <v>42</v>
      </c>
      <c r="R844"/>
    </row>
    <row r="845" spans="1:18" x14ac:dyDescent="0.25">
      <c r="A845" s="84" t="str">
        <f t="shared" si="40"/>
        <v>MarçoSEMANA 3Inhame</v>
      </c>
      <c r="B845" s="85" t="s">
        <v>31</v>
      </c>
      <c r="C845" s="85" t="s">
        <v>22</v>
      </c>
      <c r="D845" s="86">
        <v>14</v>
      </c>
      <c r="E845" s="116" t="str">
        <f t="shared" si="41"/>
        <v>Hortifruti</v>
      </c>
      <c r="F845" s="85" t="s">
        <v>1111</v>
      </c>
      <c r="G845" s="85" t="s">
        <v>448</v>
      </c>
      <c r="H845" s="85" t="s">
        <v>1083</v>
      </c>
      <c r="I845" s="85">
        <v>2</v>
      </c>
      <c r="J845" s="87">
        <v>3.5</v>
      </c>
      <c r="K845" s="88">
        <f t="shared" si="42"/>
        <v>7</v>
      </c>
      <c r="L845" s="85">
        <v>18540</v>
      </c>
      <c r="M845" s="118" t="s">
        <v>884</v>
      </c>
      <c r="N845" s="84"/>
      <c r="O845" s="84" t="s">
        <v>60</v>
      </c>
      <c r="R845"/>
    </row>
    <row r="846" spans="1:18" x14ac:dyDescent="0.25">
      <c r="A846" s="84" t="str">
        <f t="shared" si="40"/>
        <v>MarçoSEMANA 3Pimentão Amarelo</v>
      </c>
      <c r="B846" s="85" t="s">
        <v>31</v>
      </c>
      <c r="C846" s="85" t="s">
        <v>22</v>
      </c>
      <c r="D846" s="86">
        <v>14</v>
      </c>
      <c r="E846" s="116" t="str">
        <f t="shared" si="41"/>
        <v>Hortifruti</v>
      </c>
      <c r="F846" s="85" t="s">
        <v>1111</v>
      </c>
      <c r="G846" s="85" t="s">
        <v>663</v>
      </c>
      <c r="H846" s="85" t="s">
        <v>1083</v>
      </c>
      <c r="I846" s="85">
        <v>1</v>
      </c>
      <c r="J846" s="87">
        <v>9.4499999999999993</v>
      </c>
      <c r="K846" s="88">
        <f t="shared" si="42"/>
        <v>9.4499999999999993</v>
      </c>
      <c r="L846" s="85">
        <v>18540</v>
      </c>
      <c r="M846" s="118" t="s">
        <v>745</v>
      </c>
      <c r="N846" s="84"/>
      <c r="O846" s="84" t="s">
        <v>47</v>
      </c>
      <c r="R846"/>
    </row>
    <row r="847" spans="1:18" hidden="1" x14ac:dyDescent="0.2">
      <c r="A847" s="84" t="str">
        <f t="shared" si="40"/>
        <v>MarçoSEMANA 3Salsa Crespa Sushi</v>
      </c>
      <c r="B847" s="85" t="s">
        <v>31</v>
      </c>
      <c r="C847" s="85" t="s">
        <v>22</v>
      </c>
      <c r="D847" s="86">
        <v>14</v>
      </c>
      <c r="E847" s="116" t="str">
        <f t="shared" si="41"/>
        <v>Sushi</v>
      </c>
      <c r="F847" s="85" t="s">
        <v>1111</v>
      </c>
      <c r="G847" s="85" t="s">
        <v>730</v>
      </c>
      <c r="H847" s="85" t="s">
        <v>1083</v>
      </c>
      <c r="I847" s="85">
        <v>0.1</v>
      </c>
      <c r="J847" s="87">
        <v>13</v>
      </c>
      <c r="K847" s="88">
        <f t="shared" si="42"/>
        <v>1.3</v>
      </c>
      <c r="L847" s="85">
        <v>18540</v>
      </c>
      <c r="M847" s="118" t="s">
        <v>746</v>
      </c>
      <c r="N847" s="84"/>
      <c r="O847" s="84" t="s">
        <v>46</v>
      </c>
      <c r="R847"/>
    </row>
    <row r="848" spans="1:18" hidden="1" x14ac:dyDescent="0.2">
      <c r="A848" s="84" t="str">
        <f t="shared" si="40"/>
        <v>MarçoSEMANA 3Queijo Mozzarela Italiana pcte 880 gr</v>
      </c>
      <c r="B848" s="85" t="s">
        <v>31</v>
      </c>
      <c r="C848" s="85" t="s">
        <v>22</v>
      </c>
      <c r="D848" s="85">
        <v>14</v>
      </c>
      <c r="E848" s="116" t="str">
        <f t="shared" si="41"/>
        <v>Laticínios</v>
      </c>
      <c r="F848" s="85" t="s">
        <v>1250</v>
      </c>
      <c r="G848" s="85" t="s">
        <v>683</v>
      </c>
      <c r="H848" s="85" t="s">
        <v>1083</v>
      </c>
      <c r="I848" s="85">
        <f>7*0.88</f>
        <v>6.16</v>
      </c>
      <c r="J848" s="87">
        <f>269.92/6.16</f>
        <v>43.81818181818182</v>
      </c>
      <c r="K848" s="88">
        <f t="shared" si="42"/>
        <v>269.92</v>
      </c>
      <c r="L848" s="85">
        <v>55852</v>
      </c>
      <c r="M848" s="118" t="s">
        <v>747</v>
      </c>
      <c r="N848" s="84"/>
      <c r="O848" s="84" t="s">
        <v>46</v>
      </c>
      <c r="R848"/>
    </row>
    <row r="849" spans="1:18" hidden="1" x14ac:dyDescent="0.2">
      <c r="A849" s="84" t="str">
        <f t="shared" si="40"/>
        <v>MarçoSEMANA 3Pepino Japonês Sushi</v>
      </c>
      <c r="B849" s="85" t="s">
        <v>31</v>
      </c>
      <c r="C849" s="85" t="s">
        <v>22</v>
      </c>
      <c r="D849" s="86">
        <v>12</v>
      </c>
      <c r="E849" s="116" t="str">
        <f t="shared" si="41"/>
        <v>Sushi</v>
      </c>
      <c r="F849" s="85" t="s">
        <v>1110</v>
      </c>
      <c r="G849" s="85" t="s">
        <v>578</v>
      </c>
      <c r="H849" s="85" t="s">
        <v>1083</v>
      </c>
      <c r="I849" s="85">
        <v>0.70499999999999996</v>
      </c>
      <c r="J849" s="87">
        <f>48/19.36</f>
        <v>2.4793388429752068</v>
      </c>
      <c r="K849" s="88">
        <f t="shared" si="42"/>
        <v>1.7479338842975207</v>
      </c>
      <c r="L849" s="85">
        <v>3409</v>
      </c>
      <c r="M849" s="118" t="s">
        <v>748</v>
      </c>
      <c r="N849" s="84"/>
      <c r="O849" s="84" t="s">
        <v>42</v>
      </c>
      <c r="R849"/>
    </row>
    <row r="850" spans="1:18" hidden="1" x14ac:dyDescent="0.2">
      <c r="A850" s="84" t="str">
        <f t="shared" si="40"/>
        <v>MarçoSEMANA 3Cebolinha Verde Sushi</v>
      </c>
      <c r="B850" s="85" t="s">
        <v>31</v>
      </c>
      <c r="C850" s="85" t="s">
        <v>22</v>
      </c>
      <c r="D850" s="86">
        <v>14</v>
      </c>
      <c r="E850" s="116" t="str">
        <f t="shared" si="41"/>
        <v>Sushi</v>
      </c>
      <c r="F850" s="85" t="s">
        <v>1110</v>
      </c>
      <c r="G850" s="85" t="s">
        <v>248</v>
      </c>
      <c r="H850" s="85" t="s">
        <v>1083</v>
      </c>
      <c r="I850" s="85">
        <v>0.48099999999999998</v>
      </c>
      <c r="J850" s="87">
        <v>7</v>
      </c>
      <c r="K850" s="88">
        <f t="shared" si="42"/>
        <v>3.367</v>
      </c>
      <c r="L850" s="85">
        <v>3437</v>
      </c>
      <c r="M850" s="118" t="s">
        <v>749</v>
      </c>
      <c r="N850" s="84"/>
      <c r="O850" s="84" t="s">
        <v>872</v>
      </c>
      <c r="R850"/>
    </row>
    <row r="851" spans="1:18" hidden="1" x14ac:dyDescent="0.2">
      <c r="A851" s="84" t="str">
        <f t="shared" si="40"/>
        <v>MarçoSEMANA 3Nescau (Nestle)</v>
      </c>
      <c r="B851" s="85" t="s">
        <v>31</v>
      </c>
      <c r="C851" s="85" t="s">
        <v>22</v>
      </c>
      <c r="D851" s="86">
        <v>15</v>
      </c>
      <c r="E851" s="116" t="str">
        <f t="shared" si="41"/>
        <v>Mercado</v>
      </c>
      <c r="F851" s="85" t="s">
        <v>1101</v>
      </c>
      <c r="G851" s="85" t="s">
        <v>537</v>
      </c>
      <c r="H851" s="85" t="s">
        <v>1083</v>
      </c>
      <c r="I851" s="85">
        <v>2</v>
      </c>
      <c r="J851" s="87">
        <f>31.9/2</f>
        <v>15.95</v>
      </c>
      <c r="K851" s="88">
        <f t="shared" si="42"/>
        <v>31.9</v>
      </c>
      <c r="L851" s="85" t="s">
        <v>1251</v>
      </c>
      <c r="M851" s="118" t="s">
        <v>750</v>
      </c>
      <c r="N851" s="84"/>
      <c r="O851" s="84" t="s">
        <v>42</v>
      </c>
      <c r="R851"/>
    </row>
    <row r="852" spans="1:18" hidden="1" x14ac:dyDescent="0.2">
      <c r="A852" s="84" t="str">
        <f t="shared" si="40"/>
        <v>MarçoSEMANA 3Suíno - Bacon</v>
      </c>
      <c r="B852" s="85" t="s">
        <v>31</v>
      </c>
      <c r="C852" s="85" t="s">
        <v>22</v>
      </c>
      <c r="D852" s="86">
        <v>15</v>
      </c>
      <c r="E852" s="116" t="str">
        <f t="shared" si="41"/>
        <v>Carnes</v>
      </c>
      <c r="F852" s="85" t="s">
        <v>1101</v>
      </c>
      <c r="G852" s="85" t="s">
        <v>754</v>
      </c>
      <c r="H852" s="85" t="s">
        <v>1083</v>
      </c>
      <c r="I852" s="85">
        <v>11.2</v>
      </c>
      <c r="J852" s="87">
        <v>15.57</v>
      </c>
      <c r="K852" s="88">
        <f t="shared" si="42"/>
        <v>174.38399999999999</v>
      </c>
      <c r="L852" s="85" t="s">
        <v>1251</v>
      </c>
      <c r="M852" s="118" t="s">
        <v>751</v>
      </c>
      <c r="N852" s="84"/>
      <c r="O852" s="84" t="s">
        <v>42</v>
      </c>
      <c r="R852"/>
    </row>
    <row r="853" spans="1:18" hidden="1" x14ac:dyDescent="0.2">
      <c r="A853" s="84" t="str">
        <f t="shared" si="40"/>
        <v>MarçoSEMANA 3Cream Cheese Sushi</v>
      </c>
      <c r="B853" s="85" t="s">
        <v>31</v>
      </c>
      <c r="C853" s="85" t="s">
        <v>22</v>
      </c>
      <c r="D853" s="86">
        <v>15</v>
      </c>
      <c r="E853" s="116" t="str">
        <f t="shared" si="41"/>
        <v>Sushi</v>
      </c>
      <c r="F853" s="85" t="s">
        <v>1101</v>
      </c>
      <c r="G853" s="85" t="s">
        <v>311</v>
      </c>
      <c r="H853" s="85" t="s">
        <v>1083</v>
      </c>
      <c r="I853" s="85">
        <v>1.5</v>
      </c>
      <c r="J853" s="87">
        <f>30.5/1.5</f>
        <v>20.333333333333332</v>
      </c>
      <c r="K853" s="88">
        <f t="shared" si="42"/>
        <v>30.5</v>
      </c>
      <c r="L853" s="85" t="s">
        <v>1251</v>
      </c>
      <c r="M853" s="118" t="s">
        <v>752</v>
      </c>
      <c r="N853" s="84"/>
      <c r="O853" s="84" t="s">
        <v>42</v>
      </c>
      <c r="R853"/>
    </row>
    <row r="854" spans="1:18" hidden="1" x14ac:dyDescent="0.2">
      <c r="A854" s="84" t="str">
        <f t="shared" si="40"/>
        <v>MarçoSEMANA 3Vodka Smirnoff</v>
      </c>
      <c r="B854" s="85" t="s">
        <v>31</v>
      </c>
      <c r="C854" s="85" t="s">
        <v>22</v>
      </c>
      <c r="D854" s="86">
        <v>15</v>
      </c>
      <c r="E854" s="116" t="str">
        <f t="shared" si="41"/>
        <v>Bebidas</v>
      </c>
      <c r="F854" s="85" t="s">
        <v>1101</v>
      </c>
      <c r="G854" s="85" t="s">
        <v>866</v>
      </c>
      <c r="H854" s="85" t="s">
        <v>1090</v>
      </c>
      <c r="I854" s="85">
        <v>2</v>
      </c>
      <c r="J854" s="87">
        <v>29.63</v>
      </c>
      <c r="K854" s="88">
        <f t="shared" si="42"/>
        <v>59.26</v>
      </c>
      <c r="L854" s="85" t="s">
        <v>1251</v>
      </c>
      <c r="M854" s="118" t="s">
        <v>753</v>
      </c>
      <c r="N854" s="84"/>
      <c r="O854" s="84" t="s">
        <v>42</v>
      </c>
      <c r="R854"/>
    </row>
    <row r="855" spans="1:18" hidden="1" x14ac:dyDescent="0.2">
      <c r="A855" s="84" t="str">
        <f t="shared" si="40"/>
        <v>MarçoSEMANA 3Arroz Integral Curto</v>
      </c>
      <c r="B855" s="85" t="s">
        <v>31</v>
      </c>
      <c r="C855" s="85" t="s">
        <v>22</v>
      </c>
      <c r="D855" s="86">
        <v>15</v>
      </c>
      <c r="E855" s="116" t="str">
        <f t="shared" si="41"/>
        <v>Mercado</v>
      </c>
      <c r="F855" s="85" t="s">
        <v>1310</v>
      </c>
      <c r="G855" s="85" t="s">
        <v>127</v>
      </c>
      <c r="H855" s="85" t="s">
        <v>1083</v>
      </c>
      <c r="I855" s="85">
        <v>30</v>
      </c>
      <c r="J855" s="87">
        <f>270/30</f>
        <v>9</v>
      </c>
      <c r="K855" s="88">
        <f t="shared" si="42"/>
        <v>270</v>
      </c>
      <c r="L855" s="85" t="s">
        <v>1320</v>
      </c>
      <c r="M855" s="118" t="s">
        <v>754</v>
      </c>
      <c r="N855" s="84"/>
      <c r="O855" s="84" t="s">
        <v>44</v>
      </c>
      <c r="R855"/>
    </row>
    <row r="856" spans="1:18" hidden="1" x14ac:dyDescent="0.2">
      <c r="A856" s="84" t="str">
        <f t="shared" si="40"/>
        <v>MarçoSEMANA 3Toalha Bobina</v>
      </c>
      <c r="B856" s="85" t="s">
        <v>31</v>
      </c>
      <c r="C856" s="85" t="s">
        <v>22</v>
      </c>
      <c r="D856" s="86">
        <v>15</v>
      </c>
      <c r="E856" s="116" t="str">
        <f t="shared" si="41"/>
        <v>Descartável</v>
      </c>
      <c r="F856" s="85" t="s">
        <v>1133</v>
      </c>
      <c r="G856" s="85" t="s">
        <v>786</v>
      </c>
      <c r="H856" s="85" t="s">
        <v>1090</v>
      </c>
      <c r="I856" s="85">
        <f>8*6</f>
        <v>48</v>
      </c>
      <c r="J856" s="87">
        <f>603.2/48</f>
        <v>12.566666666666668</v>
      </c>
      <c r="K856" s="88">
        <f t="shared" si="42"/>
        <v>603.20000000000005</v>
      </c>
      <c r="L856" s="85" t="s">
        <v>1252</v>
      </c>
      <c r="M856" s="118" t="s">
        <v>755</v>
      </c>
      <c r="N856" s="84"/>
      <c r="O856" s="84" t="s">
        <v>44</v>
      </c>
      <c r="R856"/>
    </row>
    <row r="857" spans="1:18" hidden="1" x14ac:dyDescent="0.2">
      <c r="A857" s="84" t="str">
        <f t="shared" si="40"/>
        <v>MarçoSEMANA 3Bobina Picotada 30X40</v>
      </c>
      <c r="B857" s="85" t="s">
        <v>31</v>
      </c>
      <c r="C857" s="85" t="s">
        <v>22</v>
      </c>
      <c r="D857" s="86">
        <v>15</v>
      </c>
      <c r="E857" s="116" t="str">
        <f t="shared" si="41"/>
        <v>Descartável</v>
      </c>
      <c r="F857" s="85" t="s">
        <v>1168</v>
      </c>
      <c r="G857" s="85" t="s">
        <v>188</v>
      </c>
      <c r="H857" s="85" t="s">
        <v>1090</v>
      </c>
      <c r="I857" s="85">
        <v>2</v>
      </c>
      <c r="J857" s="87">
        <v>11.97</v>
      </c>
      <c r="K857" s="88">
        <f t="shared" si="42"/>
        <v>23.94</v>
      </c>
      <c r="L857" s="85" t="s">
        <v>1253</v>
      </c>
      <c r="M857" s="118" t="s">
        <v>756</v>
      </c>
      <c r="O857" s="115" t="s">
        <v>44</v>
      </c>
      <c r="R857"/>
    </row>
    <row r="858" spans="1:18" hidden="1" x14ac:dyDescent="0.2">
      <c r="A858" s="84" t="str">
        <f t="shared" si="40"/>
        <v>MarçoSEMANA 3Bobina Picotada 40X50</v>
      </c>
      <c r="B858" s="85" t="s">
        <v>31</v>
      </c>
      <c r="C858" s="85" t="s">
        <v>22</v>
      </c>
      <c r="D858" s="86">
        <v>15</v>
      </c>
      <c r="E858" s="116" t="str">
        <f t="shared" si="41"/>
        <v>Descartável</v>
      </c>
      <c r="F858" s="85" t="s">
        <v>1168</v>
      </c>
      <c r="G858" s="85" t="s">
        <v>189</v>
      </c>
      <c r="H858" s="85" t="s">
        <v>1090</v>
      </c>
      <c r="I858" s="85">
        <v>3</v>
      </c>
      <c r="J858" s="87">
        <v>19.739999999999998</v>
      </c>
      <c r="K858" s="88">
        <f t="shared" si="42"/>
        <v>59.22</v>
      </c>
      <c r="L858" s="85" t="s">
        <v>1253</v>
      </c>
      <c r="M858" s="118" t="s">
        <v>757</v>
      </c>
      <c r="O858" s="115" t="s">
        <v>44</v>
      </c>
      <c r="R858"/>
    </row>
    <row r="859" spans="1:18" hidden="1" x14ac:dyDescent="0.2">
      <c r="A859" s="84" t="str">
        <f t="shared" si="40"/>
        <v>MarçoSEMANA 3Filme PVC 380 x 1000 Sushi</v>
      </c>
      <c r="B859" s="85" t="s">
        <v>31</v>
      </c>
      <c r="C859" s="85" t="s">
        <v>22</v>
      </c>
      <c r="D859" s="86">
        <v>15</v>
      </c>
      <c r="E859" s="116" t="str">
        <f t="shared" si="41"/>
        <v>Sushi</v>
      </c>
      <c r="F859" s="85" t="s">
        <v>1168</v>
      </c>
      <c r="G859" s="85" t="s">
        <v>361</v>
      </c>
      <c r="H859" s="85" t="s">
        <v>1090</v>
      </c>
      <c r="I859" s="85">
        <v>1</v>
      </c>
      <c r="J859" s="87">
        <v>33.35</v>
      </c>
      <c r="K859" s="88">
        <f t="shared" si="42"/>
        <v>33.35</v>
      </c>
      <c r="L859" s="85" t="s">
        <v>1253</v>
      </c>
      <c r="M859" s="118" t="s">
        <v>1001</v>
      </c>
      <c r="N859" s="84"/>
      <c r="O859" s="84" t="s">
        <v>44</v>
      </c>
      <c r="R859"/>
    </row>
    <row r="860" spans="1:18" hidden="1" x14ac:dyDescent="0.2">
      <c r="A860" s="84" t="str">
        <f t="shared" si="40"/>
        <v>MarçoSEMANA 3Pano Multiuso Cross Hatch Azul 300 M</v>
      </c>
      <c r="B860" s="85" t="s">
        <v>31</v>
      </c>
      <c r="C860" s="85" t="s">
        <v>22</v>
      </c>
      <c r="D860" s="86">
        <v>15</v>
      </c>
      <c r="E860" s="116" t="str">
        <f t="shared" si="41"/>
        <v>Descartável</v>
      </c>
      <c r="F860" s="85" t="s">
        <v>1168</v>
      </c>
      <c r="G860" s="85" t="s">
        <v>558</v>
      </c>
      <c r="H860" s="85" t="s">
        <v>1090</v>
      </c>
      <c r="I860" s="85">
        <v>1</v>
      </c>
      <c r="J860" s="87">
        <v>212.4</v>
      </c>
      <c r="K860" s="88">
        <f t="shared" si="42"/>
        <v>212.4</v>
      </c>
      <c r="L860" s="85" t="s">
        <v>1253</v>
      </c>
      <c r="M860" s="118" t="s">
        <v>758</v>
      </c>
      <c r="N860" s="84"/>
      <c r="O860" s="84" t="s">
        <v>44</v>
      </c>
      <c r="R860"/>
    </row>
    <row r="861" spans="1:18" hidden="1" x14ac:dyDescent="0.2">
      <c r="A861" s="84" t="str">
        <f t="shared" si="40"/>
        <v>MarçoSEMANA 3Vassoura Nylon</v>
      </c>
      <c r="B861" s="85" t="s">
        <v>31</v>
      </c>
      <c r="C861" s="85" t="s">
        <v>22</v>
      </c>
      <c r="D861" s="86">
        <v>15</v>
      </c>
      <c r="E861" s="116" t="str">
        <f t="shared" si="41"/>
        <v>Limpeza</v>
      </c>
      <c r="F861" s="85" t="s">
        <v>1168</v>
      </c>
      <c r="G861" s="85" t="s">
        <v>834</v>
      </c>
      <c r="H861" s="85" t="s">
        <v>1090</v>
      </c>
      <c r="I861" s="85">
        <v>3</v>
      </c>
      <c r="J861" s="87">
        <v>11.85</v>
      </c>
      <c r="K861" s="88">
        <f t="shared" si="42"/>
        <v>35.549999999999997</v>
      </c>
      <c r="L861" s="85" t="s">
        <v>1253</v>
      </c>
      <c r="M861" s="118" t="s">
        <v>759</v>
      </c>
      <c r="N861" s="84"/>
      <c r="O861" s="84" t="s">
        <v>44</v>
      </c>
      <c r="R861"/>
    </row>
    <row r="862" spans="1:18" hidden="1" x14ac:dyDescent="0.2">
      <c r="A862" s="84" t="str">
        <f t="shared" si="40"/>
        <v>MarçoSEMANA 3Sacola Camiseta Branca Doce</v>
      </c>
      <c r="B862" s="85" t="s">
        <v>31</v>
      </c>
      <c r="C862" s="85" t="s">
        <v>22</v>
      </c>
      <c r="D862" s="86">
        <v>15</v>
      </c>
      <c r="E862" s="116" t="str">
        <f t="shared" si="41"/>
        <v>Descartável</v>
      </c>
      <c r="F862" s="85" t="s">
        <v>1168</v>
      </c>
      <c r="G862" s="85" t="s">
        <v>719</v>
      </c>
      <c r="H862" s="85" t="s">
        <v>1090</v>
      </c>
      <c r="I862" s="85">
        <v>1000</v>
      </c>
      <c r="J862" s="87">
        <f>19.65/1000</f>
        <v>1.9649999999999997E-2</v>
      </c>
      <c r="K862" s="88">
        <f t="shared" si="42"/>
        <v>19.649999999999999</v>
      </c>
      <c r="L862" s="85" t="s">
        <v>1253</v>
      </c>
      <c r="M862" s="118" t="s">
        <v>760</v>
      </c>
      <c r="N862" s="84"/>
      <c r="O862" s="84" t="s">
        <v>44</v>
      </c>
      <c r="R862"/>
    </row>
    <row r="863" spans="1:18" hidden="1" x14ac:dyDescent="0.2">
      <c r="A863" s="84" t="str">
        <f t="shared" si="40"/>
        <v>MarçoSEMANA 3Sacola Camiseta Branca Sobremesa</v>
      </c>
      <c r="B863" s="85" t="s">
        <v>31</v>
      </c>
      <c r="C863" s="85" t="s">
        <v>22</v>
      </c>
      <c r="D863" s="86">
        <v>15</v>
      </c>
      <c r="E863" s="116" t="str">
        <f t="shared" si="41"/>
        <v>Descartável</v>
      </c>
      <c r="F863" s="85" t="s">
        <v>1168</v>
      </c>
      <c r="G863" s="85" t="s">
        <v>720</v>
      </c>
      <c r="H863" s="85" t="s">
        <v>1090</v>
      </c>
      <c r="I863" s="85">
        <v>359</v>
      </c>
      <c r="J863" s="87">
        <f>26.8/359</f>
        <v>7.465181058495822E-2</v>
      </c>
      <c r="K863" s="88">
        <f t="shared" si="42"/>
        <v>26.8</v>
      </c>
      <c r="L863" s="85" t="s">
        <v>1255</v>
      </c>
      <c r="M863" s="118" t="s">
        <v>973</v>
      </c>
      <c r="N863" s="84"/>
      <c r="O863" s="84" t="s">
        <v>44</v>
      </c>
      <c r="R863"/>
    </row>
    <row r="864" spans="1:18" hidden="1" x14ac:dyDescent="0.2">
      <c r="A864" s="84" t="str">
        <f t="shared" si="40"/>
        <v>MarçoSEMANA 3Macarrão Fusili</v>
      </c>
      <c r="B864" s="85" t="s">
        <v>31</v>
      </c>
      <c r="C864" s="85" t="s">
        <v>22</v>
      </c>
      <c r="D864" s="86">
        <v>15</v>
      </c>
      <c r="E864" s="116" t="str">
        <f t="shared" si="41"/>
        <v>Mercado</v>
      </c>
      <c r="F864" s="85" t="s">
        <v>1256</v>
      </c>
      <c r="G864" s="85" t="s">
        <v>484</v>
      </c>
      <c r="H864" s="85" t="s">
        <v>1083</v>
      </c>
      <c r="I864" s="85">
        <f>24*0.5</f>
        <v>12</v>
      </c>
      <c r="J864" s="87">
        <f>89.04/12</f>
        <v>7.4200000000000008</v>
      </c>
      <c r="K864" s="88">
        <f t="shared" si="42"/>
        <v>89.04</v>
      </c>
      <c r="L864" s="85" t="s">
        <v>1257</v>
      </c>
      <c r="M864" s="118" t="s">
        <v>761</v>
      </c>
      <c r="N864" s="84"/>
      <c r="O864" s="84" t="s">
        <v>44</v>
      </c>
      <c r="R864"/>
    </row>
    <row r="865" spans="1:18" hidden="1" x14ac:dyDescent="0.2">
      <c r="A865" s="84" t="str">
        <f t="shared" si="40"/>
        <v>MarçoSEMANA 3Macarrão Linguine</v>
      </c>
      <c r="B865" s="85" t="s">
        <v>31</v>
      </c>
      <c r="C865" s="85" t="s">
        <v>22</v>
      </c>
      <c r="D865" s="86">
        <v>15</v>
      </c>
      <c r="E865" s="116" t="str">
        <f t="shared" si="41"/>
        <v>Mercado</v>
      </c>
      <c r="F865" s="85" t="s">
        <v>1256</v>
      </c>
      <c r="G865" s="85" t="s">
        <v>487</v>
      </c>
      <c r="H865" s="85" t="s">
        <v>1083</v>
      </c>
      <c r="I865" s="85">
        <f>24*0.5</f>
        <v>12</v>
      </c>
      <c r="J865" s="87">
        <f>89.04/12</f>
        <v>7.4200000000000008</v>
      </c>
      <c r="K865" s="88">
        <f t="shared" si="42"/>
        <v>89.04</v>
      </c>
      <c r="L865" s="85" t="s">
        <v>1257</v>
      </c>
      <c r="M865" s="118" t="s">
        <v>762</v>
      </c>
      <c r="N865" s="84"/>
      <c r="O865" s="84" t="s">
        <v>44</v>
      </c>
      <c r="R865"/>
    </row>
    <row r="866" spans="1:18" hidden="1" x14ac:dyDescent="0.2">
      <c r="A866" s="84" t="str">
        <f t="shared" si="40"/>
        <v>MarçoSEMANA 3Macarrão Espaghetti</v>
      </c>
      <c r="B866" s="85" t="s">
        <v>31</v>
      </c>
      <c r="C866" s="85" t="s">
        <v>22</v>
      </c>
      <c r="D866" s="86">
        <v>15</v>
      </c>
      <c r="E866" s="116" t="str">
        <f t="shared" si="41"/>
        <v>Mercado</v>
      </c>
      <c r="F866" s="85" t="s">
        <v>1256</v>
      </c>
      <c r="G866" s="85" t="s">
        <v>481</v>
      </c>
      <c r="H866" s="85" t="s">
        <v>1083</v>
      </c>
      <c r="I866" s="85">
        <f>24*0.5</f>
        <v>12</v>
      </c>
      <c r="J866" s="87">
        <f>89.04/12</f>
        <v>7.4200000000000008</v>
      </c>
      <c r="K866" s="88">
        <f t="shared" si="42"/>
        <v>89.04</v>
      </c>
      <c r="L866" s="85" t="s">
        <v>1257</v>
      </c>
      <c r="M866" s="118" t="s">
        <v>763</v>
      </c>
      <c r="N866" s="84"/>
      <c r="O866" s="84" t="s">
        <v>44</v>
      </c>
      <c r="R866"/>
    </row>
    <row r="867" spans="1:18" hidden="1" x14ac:dyDescent="0.2">
      <c r="A867" s="84" t="str">
        <f t="shared" si="40"/>
        <v>MarçoSEMANA 3Macarrão Talharim</v>
      </c>
      <c r="B867" s="85" t="s">
        <v>31</v>
      </c>
      <c r="C867" s="85" t="s">
        <v>22</v>
      </c>
      <c r="D867" s="86">
        <v>15</v>
      </c>
      <c r="E867" s="116" t="str">
        <f t="shared" si="41"/>
        <v>Mercado</v>
      </c>
      <c r="F867" s="85" t="s">
        <v>1256</v>
      </c>
      <c r="G867" s="85" t="s">
        <v>490</v>
      </c>
      <c r="H867" s="85" t="s">
        <v>1083</v>
      </c>
      <c r="I867" s="85">
        <f>8*0.5</f>
        <v>4</v>
      </c>
      <c r="J867" s="87">
        <f>36.96/4</f>
        <v>9.24</v>
      </c>
      <c r="K867" s="88">
        <f t="shared" si="42"/>
        <v>36.96</v>
      </c>
      <c r="L867" s="85" t="s">
        <v>1257</v>
      </c>
      <c r="M867" s="118" t="s">
        <v>764</v>
      </c>
      <c r="N867" s="84"/>
      <c r="O867" s="84" t="s">
        <v>44</v>
      </c>
      <c r="R867"/>
    </row>
    <row r="868" spans="1:18" hidden="1" x14ac:dyDescent="0.2">
      <c r="A868" s="84" t="str">
        <f t="shared" si="40"/>
        <v>MarçoSEMANA 3Pescados - Atum Fresco</v>
      </c>
      <c r="B868" s="85" t="s">
        <v>31</v>
      </c>
      <c r="C868" s="85" t="s">
        <v>22</v>
      </c>
      <c r="D868" s="86">
        <v>15</v>
      </c>
      <c r="E868" s="116" t="str">
        <f t="shared" si="41"/>
        <v>Carnes</v>
      </c>
      <c r="F868" s="85" t="s">
        <v>1258</v>
      </c>
      <c r="G868" s="85" t="s">
        <v>585</v>
      </c>
      <c r="H868" s="85" t="s">
        <v>1083</v>
      </c>
      <c r="I868" s="85">
        <v>44</v>
      </c>
      <c r="J868" s="87">
        <v>14.9</v>
      </c>
      <c r="K868" s="88">
        <f t="shared" si="42"/>
        <v>655.6</v>
      </c>
      <c r="L868" s="85" t="s">
        <v>1259</v>
      </c>
      <c r="M868" s="118" t="s">
        <v>765</v>
      </c>
      <c r="N868" s="84"/>
      <c r="O868" s="84" t="s">
        <v>44</v>
      </c>
      <c r="R868"/>
    </row>
    <row r="869" spans="1:18" hidden="1" x14ac:dyDescent="0.2">
      <c r="A869" s="84" t="str">
        <f t="shared" si="40"/>
        <v>MarçoSEMANA 3Canudo Embalado</v>
      </c>
      <c r="B869" s="85" t="s">
        <v>31</v>
      </c>
      <c r="C869" s="85" t="s">
        <v>22</v>
      </c>
      <c r="D869" s="86">
        <v>15</v>
      </c>
      <c r="E869" s="116" t="str">
        <f t="shared" si="41"/>
        <v>Descartável</v>
      </c>
      <c r="F869" s="85" t="s">
        <v>1260</v>
      </c>
      <c r="G869" s="85" t="s">
        <v>209</v>
      </c>
      <c r="H869" s="85" t="s">
        <v>1090</v>
      </c>
      <c r="I869" s="85">
        <v>3000</v>
      </c>
      <c r="J869" s="87">
        <f>29.1/3000</f>
        <v>9.7000000000000003E-3</v>
      </c>
      <c r="K869" s="88">
        <f t="shared" si="42"/>
        <v>29.1</v>
      </c>
      <c r="L869" s="85" t="s">
        <v>1261</v>
      </c>
      <c r="M869" s="118" t="s">
        <v>766</v>
      </c>
      <c r="N869" s="84"/>
      <c r="O869" s="84" t="s">
        <v>44</v>
      </c>
      <c r="R869"/>
    </row>
    <row r="870" spans="1:18" hidden="1" x14ac:dyDescent="0.2">
      <c r="A870" s="84" t="str">
        <f t="shared" si="40"/>
        <v>MarçoSEMANA 3Filme PVC 380 x 300m</v>
      </c>
      <c r="B870" s="85" t="s">
        <v>31</v>
      </c>
      <c r="C870" s="85" t="s">
        <v>22</v>
      </c>
      <c r="D870" s="86">
        <v>15</v>
      </c>
      <c r="E870" s="116" t="str">
        <f t="shared" si="41"/>
        <v>Descartável</v>
      </c>
      <c r="F870" s="85" t="s">
        <v>1260</v>
      </c>
      <c r="G870" s="85" t="s">
        <v>1003</v>
      </c>
      <c r="H870" s="85" t="s">
        <v>1090</v>
      </c>
      <c r="I870" s="85">
        <v>1</v>
      </c>
      <c r="J870" s="87">
        <v>23.11</v>
      </c>
      <c r="K870" s="88">
        <f t="shared" si="42"/>
        <v>23.11</v>
      </c>
      <c r="L870" s="85" t="s">
        <v>1261</v>
      </c>
      <c r="M870" s="118" t="s">
        <v>767</v>
      </c>
      <c r="N870" s="84"/>
      <c r="O870" s="84" t="s">
        <v>44</v>
      </c>
      <c r="R870"/>
    </row>
    <row r="871" spans="1:18" hidden="1" x14ac:dyDescent="0.2">
      <c r="A871" s="84" t="str">
        <f t="shared" si="40"/>
        <v>MarçoSEMANA 3Hipoclorito de Sódio Bb 5 Lt</v>
      </c>
      <c r="B871" s="85" t="s">
        <v>31</v>
      </c>
      <c r="C871" s="85" t="s">
        <v>22</v>
      </c>
      <c r="D871" s="86">
        <v>15</v>
      </c>
      <c r="E871" s="116" t="str">
        <f t="shared" si="41"/>
        <v>Limpeza</v>
      </c>
      <c r="F871" s="85" t="s">
        <v>1260</v>
      </c>
      <c r="G871" s="85" t="s">
        <v>402</v>
      </c>
      <c r="H871" s="85" t="s">
        <v>1089</v>
      </c>
      <c r="I871" s="85">
        <v>7</v>
      </c>
      <c r="J871" s="87">
        <v>15.07</v>
      </c>
      <c r="K871" s="88">
        <f t="shared" si="42"/>
        <v>105.49000000000001</v>
      </c>
      <c r="L871" s="85" t="s">
        <v>1261</v>
      </c>
      <c r="M871" s="118" t="s">
        <v>768</v>
      </c>
      <c r="N871" s="84"/>
      <c r="O871" s="84" t="s">
        <v>44</v>
      </c>
      <c r="R871"/>
    </row>
    <row r="872" spans="1:18" hidden="1" x14ac:dyDescent="0.2">
      <c r="A872" s="84" t="str">
        <f t="shared" si="40"/>
        <v>MarçoSEMANA 3Luva Descartável c/ 100</v>
      </c>
      <c r="B872" s="85" t="s">
        <v>31</v>
      </c>
      <c r="C872" s="85" t="s">
        <v>22</v>
      </c>
      <c r="D872" s="86">
        <v>15</v>
      </c>
      <c r="E872" s="116" t="str">
        <f t="shared" si="41"/>
        <v>Descartável</v>
      </c>
      <c r="F872" s="85" t="s">
        <v>1260</v>
      </c>
      <c r="G872" s="85" t="s">
        <v>472</v>
      </c>
      <c r="H872" s="85" t="s">
        <v>1114</v>
      </c>
      <c r="I872" s="85">
        <v>3</v>
      </c>
      <c r="J872" s="87">
        <v>1.34</v>
      </c>
      <c r="K872" s="88">
        <f t="shared" si="42"/>
        <v>4.0200000000000005</v>
      </c>
      <c r="L872" s="85" t="s">
        <v>1261</v>
      </c>
      <c r="M872" s="118" t="s">
        <v>769</v>
      </c>
      <c r="N872" s="84"/>
      <c r="O872" s="84" t="s">
        <v>44</v>
      </c>
      <c r="R872"/>
    </row>
    <row r="873" spans="1:18" hidden="1" x14ac:dyDescent="0.2">
      <c r="A873" s="84" t="str">
        <f t="shared" si="40"/>
        <v>MarçoSEMANA 3Papel Higiênico Rolo</v>
      </c>
      <c r="B873" s="85" t="s">
        <v>31</v>
      </c>
      <c r="C873" s="85" t="s">
        <v>22</v>
      </c>
      <c r="D873" s="86">
        <v>15</v>
      </c>
      <c r="E873" s="116" t="str">
        <f t="shared" si="41"/>
        <v>Descartável</v>
      </c>
      <c r="F873" s="85" t="s">
        <v>1260</v>
      </c>
      <c r="G873" s="85" t="s">
        <v>570</v>
      </c>
      <c r="H873" s="85" t="s">
        <v>1090</v>
      </c>
      <c r="I873" s="85">
        <v>64</v>
      </c>
      <c r="J873" s="87">
        <f>53.36/64</f>
        <v>0.83374999999999999</v>
      </c>
      <c r="K873" s="88">
        <f t="shared" si="42"/>
        <v>53.36</v>
      </c>
      <c r="L873" s="85" t="s">
        <v>1261</v>
      </c>
      <c r="M873" s="118" t="s">
        <v>770</v>
      </c>
      <c r="N873" s="84"/>
      <c r="O873" s="84" t="s">
        <v>44</v>
      </c>
      <c r="R873"/>
    </row>
    <row r="874" spans="1:18" hidden="1" x14ac:dyDescent="0.2">
      <c r="A874" s="84" t="str">
        <f t="shared" si="40"/>
        <v>MarçoSEMANA 3Saco de Lixo 300 Lt</v>
      </c>
      <c r="B874" s="85" t="s">
        <v>31</v>
      </c>
      <c r="C874" s="85" t="s">
        <v>22</v>
      </c>
      <c r="D874" s="86">
        <v>15</v>
      </c>
      <c r="E874" s="116" t="str">
        <f t="shared" si="41"/>
        <v>Limpeza</v>
      </c>
      <c r="F874" s="85" t="s">
        <v>1260</v>
      </c>
      <c r="G874" s="85" t="s">
        <v>712</v>
      </c>
      <c r="H874" s="85" t="s">
        <v>1114</v>
      </c>
      <c r="I874" s="85">
        <v>1</v>
      </c>
      <c r="J874" s="87">
        <v>91.05</v>
      </c>
      <c r="K874" s="88">
        <f t="shared" si="42"/>
        <v>91.05</v>
      </c>
      <c r="L874" s="85" t="s">
        <v>1261</v>
      </c>
      <c r="M874" s="118" t="s">
        <v>771</v>
      </c>
      <c r="N874" s="84"/>
      <c r="O874" s="84" t="s">
        <v>44</v>
      </c>
      <c r="R874"/>
    </row>
    <row r="875" spans="1:18" hidden="1" x14ac:dyDescent="0.2">
      <c r="A875" s="84" t="str">
        <f t="shared" si="40"/>
        <v>MarçoSEMANA 3Sapólio</v>
      </c>
      <c r="B875" s="85" t="s">
        <v>31</v>
      </c>
      <c r="C875" s="85" t="s">
        <v>22</v>
      </c>
      <c r="D875" s="86">
        <v>15</v>
      </c>
      <c r="E875" s="116" t="str">
        <f t="shared" si="41"/>
        <v>Limpeza</v>
      </c>
      <c r="F875" s="85" t="s">
        <v>1260</v>
      </c>
      <c r="G875" s="85" t="s">
        <v>733</v>
      </c>
      <c r="H875" s="85" t="s">
        <v>1090</v>
      </c>
      <c r="I875" s="85">
        <v>1</v>
      </c>
      <c r="J875" s="87">
        <v>2.2000000000000002</v>
      </c>
      <c r="K875" s="88">
        <f t="shared" si="42"/>
        <v>2.2000000000000002</v>
      </c>
      <c r="L875" s="85" t="s">
        <v>1261</v>
      </c>
      <c r="M875" s="118" t="s">
        <v>772</v>
      </c>
      <c r="N875" s="84"/>
      <c r="O875" s="84" t="s">
        <v>44</v>
      </c>
      <c r="R875"/>
    </row>
    <row r="876" spans="1:18" hidden="1" x14ac:dyDescent="0.2">
      <c r="A876" s="84" t="str">
        <f t="shared" si="40"/>
        <v>MarçoSEMANA 3Fundo de Alcachofra</v>
      </c>
      <c r="B876" s="85" t="s">
        <v>31</v>
      </c>
      <c r="C876" s="85" t="s">
        <v>22</v>
      </c>
      <c r="D876" s="86">
        <v>15</v>
      </c>
      <c r="E876" s="116" t="str">
        <f t="shared" si="41"/>
        <v>Mercado</v>
      </c>
      <c r="F876" s="85" t="s">
        <v>1262</v>
      </c>
      <c r="G876" s="85" t="s">
        <v>375</v>
      </c>
      <c r="H876" s="85" t="s">
        <v>1083</v>
      </c>
      <c r="I876" s="85">
        <f>(16*0.4)*2</f>
        <v>12.8</v>
      </c>
      <c r="J876" s="87">
        <f>285.96/12.8</f>
        <v>22.340624999999996</v>
      </c>
      <c r="K876" s="88">
        <f t="shared" si="42"/>
        <v>285.95999999999998</v>
      </c>
      <c r="L876" s="85">
        <v>78095</v>
      </c>
      <c r="M876" s="118" t="s">
        <v>773</v>
      </c>
      <c r="N876" s="84"/>
      <c r="O876" s="84" t="s">
        <v>44</v>
      </c>
      <c r="R876"/>
    </row>
    <row r="877" spans="1:18" hidden="1" x14ac:dyDescent="0.2">
      <c r="A877" s="84" t="str">
        <f t="shared" si="40"/>
        <v>MarçoSEMANA 3Ervilha congelada</v>
      </c>
      <c r="B877" s="85" t="s">
        <v>31</v>
      </c>
      <c r="C877" s="85" t="s">
        <v>22</v>
      </c>
      <c r="D877" s="86">
        <v>15</v>
      </c>
      <c r="E877" s="116" t="str">
        <f t="shared" si="41"/>
        <v>Mercado</v>
      </c>
      <c r="F877" s="85" t="s">
        <v>1262</v>
      </c>
      <c r="G877" s="85" t="s">
        <v>329</v>
      </c>
      <c r="H877" s="85" t="s">
        <v>1083</v>
      </c>
      <c r="I877" s="85">
        <f>6*2</f>
        <v>12</v>
      </c>
      <c r="J877" s="87">
        <f>110.34/12</f>
        <v>9.1950000000000003</v>
      </c>
      <c r="K877" s="88">
        <f t="shared" si="42"/>
        <v>110.34</v>
      </c>
      <c r="L877" s="85">
        <v>78095</v>
      </c>
      <c r="M877" s="118" t="s">
        <v>774</v>
      </c>
      <c r="N877" s="84"/>
      <c r="O877" s="84" t="s">
        <v>44</v>
      </c>
      <c r="R877"/>
    </row>
    <row r="878" spans="1:18" hidden="1" x14ac:dyDescent="0.2">
      <c r="A878" s="84" t="str">
        <f t="shared" si="40"/>
        <v>MarçoSEMANA 3Gelo em Escamas</v>
      </c>
      <c r="B878" s="85" t="s">
        <v>31</v>
      </c>
      <c r="C878" s="85" t="s">
        <v>22</v>
      </c>
      <c r="D878" s="86">
        <v>15</v>
      </c>
      <c r="E878" s="116" t="str">
        <f t="shared" si="41"/>
        <v>Mercado</v>
      </c>
      <c r="F878" s="85" t="s">
        <v>1096</v>
      </c>
      <c r="G878" s="85" t="s">
        <v>384</v>
      </c>
      <c r="H878" s="85" t="s">
        <v>1097</v>
      </c>
      <c r="I878" s="85">
        <v>1</v>
      </c>
      <c r="J878" s="87">
        <v>7.5</v>
      </c>
      <c r="K878" s="88">
        <f t="shared" si="42"/>
        <v>7.5</v>
      </c>
      <c r="L878" s="85">
        <v>3315</v>
      </c>
      <c r="M878" s="118" t="s">
        <v>775</v>
      </c>
      <c r="N878" s="84"/>
      <c r="O878" s="84" t="s">
        <v>44</v>
      </c>
      <c r="R878"/>
    </row>
    <row r="879" spans="1:18" hidden="1" x14ac:dyDescent="0.2">
      <c r="A879" s="84" t="str">
        <f t="shared" si="40"/>
        <v>MarçoSEMANA 3Gelo em Cubo</v>
      </c>
      <c r="B879" s="85" t="s">
        <v>31</v>
      </c>
      <c r="C879" s="85" t="s">
        <v>22</v>
      </c>
      <c r="D879" s="86">
        <v>15</v>
      </c>
      <c r="E879" s="116" t="str">
        <f t="shared" si="41"/>
        <v>Mercado</v>
      </c>
      <c r="F879" s="85" t="s">
        <v>1096</v>
      </c>
      <c r="G879" s="85" t="s">
        <v>383</v>
      </c>
      <c r="H879" s="85" t="s">
        <v>1097</v>
      </c>
      <c r="I879" s="85">
        <v>2</v>
      </c>
      <c r="J879" s="87">
        <v>7.5</v>
      </c>
      <c r="K879" s="88">
        <f t="shared" si="42"/>
        <v>15</v>
      </c>
      <c r="L879" s="85">
        <v>3315</v>
      </c>
      <c r="M879" s="118" t="s">
        <v>937</v>
      </c>
      <c r="N879" s="84"/>
      <c r="O879" s="84" t="s">
        <v>47</v>
      </c>
      <c r="R879"/>
    </row>
    <row r="880" spans="1:18" hidden="1" x14ac:dyDescent="0.2">
      <c r="A880" s="84" t="str">
        <f t="shared" si="40"/>
        <v>MarçoSEMANA 3Pescados - Filé Truta Cong.</v>
      </c>
      <c r="B880" s="85" t="s">
        <v>31</v>
      </c>
      <c r="C880" s="85" t="s">
        <v>22</v>
      </c>
      <c r="D880" s="86">
        <v>15</v>
      </c>
      <c r="E880" s="116" t="str">
        <f t="shared" si="41"/>
        <v>Carnes</v>
      </c>
      <c r="F880" s="85" t="s">
        <v>1263</v>
      </c>
      <c r="G880" s="85" t="s">
        <v>616</v>
      </c>
      <c r="H880" s="85" t="s">
        <v>1083</v>
      </c>
      <c r="I880" s="85">
        <v>24</v>
      </c>
      <c r="J880" s="87">
        <v>26</v>
      </c>
      <c r="K880" s="88">
        <f t="shared" si="42"/>
        <v>624</v>
      </c>
      <c r="L880" s="85" t="s">
        <v>1264</v>
      </c>
      <c r="M880" s="118" t="s">
        <v>968</v>
      </c>
      <c r="O880" s="115" t="s">
        <v>60</v>
      </c>
      <c r="R880"/>
    </row>
    <row r="881" spans="1:18" hidden="1" x14ac:dyDescent="0.2">
      <c r="A881" s="84" t="str">
        <f t="shared" si="40"/>
        <v>MarçoSEMANA 3Cogumelo Paris</v>
      </c>
      <c r="B881" s="85" t="s">
        <v>31</v>
      </c>
      <c r="C881" s="85" t="s">
        <v>22</v>
      </c>
      <c r="D881" s="86">
        <v>15</v>
      </c>
      <c r="E881" s="116" t="str">
        <f t="shared" si="41"/>
        <v>Mercado</v>
      </c>
      <c r="F881" s="85" t="s">
        <v>1263</v>
      </c>
      <c r="G881" s="85" t="s">
        <v>292</v>
      </c>
      <c r="H881" s="85" t="s">
        <v>1083</v>
      </c>
      <c r="I881" s="85">
        <v>5</v>
      </c>
      <c r="J881" s="87">
        <v>15.5</v>
      </c>
      <c r="K881" s="88">
        <f t="shared" si="42"/>
        <v>77.5</v>
      </c>
      <c r="L881" s="85" t="s">
        <v>1264</v>
      </c>
      <c r="M881" s="118" t="s">
        <v>776</v>
      </c>
      <c r="N881" s="84"/>
      <c r="O881" s="84" t="s">
        <v>872</v>
      </c>
      <c r="R881"/>
    </row>
    <row r="882" spans="1:18" hidden="1" x14ac:dyDescent="0.2">
      <c r="A882" s="84" t="str">
        <f t="shared" si="40"/>
        <v>MarçoSEMANA 3Cogumelo Fatiado Bd 2 Kg</v>
      </c>
      <c r="B882" s="85" t="s">
        <v>31</v>
      </c>
      <c r="C882" s="85" t="s">
        <v>22</v>
      </c>
      <c r="D882" s="86">
        <v>15</v>
      </c>
      <c r="E882" s="116" t="str">
        <f t="shared" si="41"/>
        <v>Mercado</v>
      </c>
      <c r="F882" s="85" t="s">
        <v>1263</v>
      </c>
      <c r="G882" s="85" t="s">
        <v>291</v>
      </c>
      <c r="H882" s="85" t="s">
        <v>1088</v>
      </c>
      <c r="I882" s="85">
        <v>1</v>
      </c>
      <c r="J882" s="87">
        <v>37</v>
      </c>
      <c r="K882" s="88">
        <f t="shared" si="42"/>
        <v>37</v>
      </c>
      <c r="L882" s="85" t="s">
        <v>1264</v>
      </c>
      <c r="M882" s="118" t="s">
        <v>777</v>
      </c>
      <c r="N882" s="84"/>
      <c r="O882" s="84" t="s">
        <v>871</v>
      </c>
      <c r="R882"/>
    </row>
    <row r="883" spans="1:18" x14ac:dyDescent="0.25">
      <c r="A883" s="84" t="str">
        <f t="shared" si="40"/>
        <v xml:space="preserve">MarçoSEMANA 3Abacaxi </v>
      </c>
      <c r="B883" s="85" t="s">
        <v>31</v>
      </c>
      <c r="C883" s="85" t="s">
        <v>22</v>
      </c>
      <c r="D883" s="86">
        <v>15</v>
      </c>
      <c r="E883" s="116" t="str">
        <f t="shared" si="41"/>
        <v>Hortifruti</v>
      </c>
      <c r="F883" s="85" t="s">
        <v>1111</v>
      </c>
      <c r="G883" s="85" t="s">
        <v>65</v>
      </c>
      <c r="H883" s="85" t="s">
        <v>1083</v>
      </c>
      <c r="I883" s="85">
        <v>15</v>
      </c>
      <c r="J883" s="87">
        <v>3.25</v>
      </c>
      <c r="K883" s="88">
        <f t="shared" si="42"/>
        <v>48.75</v>
      </c>
      <c r="L883" s="85">
        <v>18646</v>
      </c>
      <c r="M883" s="118" t="s">
        <v>778</v>
      </c>
      <c r="N883" s="84"/>
      <c r="O883" s="84" t="s">
        <v>42</v>
      </c>
      <c r="R883"/>
    </row>
    <row r="884" spans="1:18" x14ac:dyDescent="0.25">
      <c r="A884" s="84" t="str">
        <f t="shared" si="40"/>
        <v>MarçoSEMANA 3Coentro</v>
      </c>
      <c r="B884" s="85" t="s">
        <v>31</v>
      </c>
      <c r="C884" s="85" t="s">
        <v>22</v>
      </c>
      <c r="D884" s="86">
        <v>15</v>
      </c>
      <c r="E884" s="116" t="str">
        <f t="shared" si="41"/>
        <v>Hortifruti</v>
      </c>
      <c r="F884" s="85" t="s">
        <v>1111</v>
      </c>
      <c r="G884" s="85" t="s">
        <v>289</v>
      </c>
      <c r="H884" s="85" t="s">
        <v>1083</v>
      </c>
      <c r="I884" s="85">
        <v>0.3</v>
      </c>
      <c r="J884" s="87">
        <v>23</v>
      </c>
      <c r="K884" s="88">
        <f t="shared" si="42"/>
        <v>6.8999999999999995</v>
      </c>
      <c r="L884" s="85">
        <v>18646</v>
      </c>
      <c r="M884" s="118" t="s">
        <v>779</v>
      </c>
      <c r="N884" s="84"/>
      <c r="O884" s="84" t="s">
        <v>42</v>
      </c>
      <c r="R884"/>
    </row>
    <row r="885" spans="1:18" x14ac:dyDescent="0.25">
      <c r="A885" s="84" t="str">
        <f t="shared" si="40"/>
        <v>MarçoSEMANA 3Rúcula</v>
      </c>
      <c r="B885" s="85" t="s">
        <v>31</v>
      </c>
      <c r="C885" s="85" t="s">
        <v>22</v>
      </c>
      <c r="D885" s="86">
        <v>15</v>
      </c>
      <c r="E885" s="116" t="str">
        <f t="shared" si="41"/>
        <v>Hortifruti</v>
      </c>
      <c r="F885" s="85" t="s">
        <v>1111</v>
      </c>
      <c r="G885" s="85" t="s">
        <v>705</v>
      </c>
      <c r="H885" s="85" t="s">
        <v>1083</v>
      </c>
      <c r="I885" s="85">
        <v>3</v>
      </c>
      <c r="J885" s="87">
        <v>4.9000000000000004</v>
      </c>
      <c r="K885" s="88">
        <f t="shared" si="42"/>
        <v>14.700000000000001</v>
      </c>
      <c r="L885" s="85">
        <v>18646</v>
      </c>
      <c r="M885" s="118" t="s">
        <v>1020</v>
      </c>
      <c r="O885" s="84" t="s">
        <v>45</v>
      </c>
      <c r="R885"/>
    </row>
    <row r="886" spans="1:18" x14ac:dyDescent="0.25">
      <c r="A886" s="84" t="str">
        <f t="shared" si="40"/>
        <v>MarçoSEMANA 3Couve Manteiga</v>
      </c>
      <c r="B886" s="85" t="s">
        <v>31</v>
      </c>
      <c r="C886" s="85" t="s">
        <v>22</v>
      </c>
      <c r="D886" s="86">
        <v>15</v>
      </c>
      <c r="E886" s="116" t="str">
        <f t="shared" si="41"/>
        <v>Hortifruti</v>
      </c>
      <c r="F886" s="85" t="s">
        <v>1111</v>
      </c>
      <c r="G886" s="85" t="s">
        <v>307</v>
      </c>
      <c r="H886" s="85" t="s">
        <v>1083</v>
      </c>
      <c r="I886" s="85">
        <v>6</v>
      </c>
      <c r="J886" s="87">
        <v>3</v>
      </c>
      <c r="K886" s="88">
        <f t="shared" si="42"/>
        <v>18</v>
      </c>
      <c r="L886" s="85">
        <v>18646</v>
      </c>
      <c r="M886" s="118" t="s">
        <v>1056</v>
      </c>
      <c r="O886" s="84" t="s">
        <v>872</v>
      </c>
      <c r="R886"/>
    </row>
    <row r="887" spans="1:18" x14ac:dyDescent="0.25">
      <c r="A887" s="84" t="str">
        <f t="shared" si="40"/>
        <v>MarçoSEMANA 3Abobora</v>
      </c>
      <c r="B887" s="85" t="s">
        <v>31</v>
      </c>
      <c r="C887" s="85" t="s">
        <v>22</v>
      </c>
      <c r="D887" s="86">
        <v>15</v>
      </c>
      <c r="E887" s="116" t="str">
        <f t="shared" si="41"/>
        <v>Hortifruti</v>
      </c>
      <c r="F887" s="85" t="s">
        <v>1111</v>
      </c>
      <c r="G887" s="85" t="s">
        <v>68</v>
      </c>
      <c r="H887" s="85" t="s">
        <v>1083</v>
      </c>
      <c r="I887" s="85">
        <v>6</v>
      </c>
      <c r="J887" s="87">
        <v>1.99</v>
      </c>
      <c r="K887" s="88">
        <f t="shared" si="42"/>
        <v>11.94</v>
      </c>
      <c r="L887" s="85">
        <v>18646</v>
      </c>
      <c r="M887" s="118" t="s">
        <v>1071</v>
      </c>
      <c r="O887" s="84" t="s">
        <v>1078</v>
      </c>
      <c r="R887"/>
    </row>
    <row r="888" spans="1:18" x14ac:dyDescent="0.25">
      <c r="A888" s="84" t="str">
        <f t="shared" si="40"/>
        <v>MarçoSEMANA 3Abobora Japonesa</v>
      </c>
      <c r="B888" s="85" t="s">
        <v>31</v>
      </c>
      <c r="C888" s="85" t="s">
        <v>22</v>
      </c>
      <c r="D888" s="86">
        <v>15</v>
      </c>
      <c r="E888" s="116" t="str">
        <f t="shared" si="41"/>
        <v>Hortifruti</v>
      </c>
      <c r="F888" s="85" t="s">
        <v>1111</v>
      </c>
      <c r="G888" s="85" t="s">
        <v>69</v>
      </c>
      <c r="H888" s="85" t="s">
        <v>1083</v>
      </c>
      <c r="I888" s="85">
        <v>1.8</v>
      </c>
      <c r="J888" s="87">
        <v>2.86</v>
      </c>
      <c r="K888" s="88">
        <f t="shared" si="42"/>
        <v>5.1479999999999997</v>
      </c>
      <c r="L888" s="85">
        <v>18646</v>
      </c>
      <c r="M888" s="118" t="s">
        <v>780</v>
      </c>
      <c r="N888" s="84"/>
      <c r="O888" s="84" t="s">
        <v>872</v>
      </c>
      <c r="R888"/>
    </row>
    <row r="889" spans="1:18" hidden="1" x14ac:dyDescent="0.2">
      <c r="A889" s="84" t="str">
        <f t="shared" si="40"/>
        <v>MarçoSEMANA 3Gengibre Sushi</v>
      </c>
      <c r="B889" s="85" t="s">
        <v>31</v>
      </c>
      <c r="C889" s="85" t="s">
        <v>22</v>
      </c>
      <c r="D889" s="86">
        <v>15</v>
      </c>
      <c r="E889" s="116" t="str">
        <f t="shared" si="41"/>
        <v>Sushi</v>
      </c>
      <c r="F889" s="85" t="s">
        <v>1111</v>
      </c>
      <c r="G889" s="85" t="s">
        <v>386</v>
      </c>
      <c r="H889" s="85" t="s">
        <v>1083</v>
      </c>
      <c r="I889" s="85">
        <v>12.8</v>
      </c>
      <c r="J889" s="87">
        <f>90/12.8</f>
        <v>7.03125</v>
      </c>
      <c r="K889" s="88">
        <f t="shared" si="42"/>
        <v>90</v>
      </c>
      <c r="L889" s="85">
        <v>18646</v>
      </c>
      <c r="M889" s="118" t="s">
        <v>781</v>
      </c>
      <c r="N889" s="84"/>
      <c r="O889" s="84" t="s">
        <v>872</v>
      </c>
      <c r="R889"/>
    </row>
    <row r="890" spans="1:18" x14ac:dyDescent="0.25">
      <c r="A890" s="84" t="str">
        <f t="shared" si="40"/>
        <v>MarçoSEMANA 3Berinjela</v>
      </c>
      <c r="B890" s="85" t="s">
        <v>31</v>
      </c>
      <c r="C890" s="85" t="s">
        <v>22</v>
      </c>
      <c r="D890" s="86">
        <v>15</v>
      </c>
      <c r="E890" s="116" t="str">
        <f t="shared" si="41"/>
        <v>Hortifruti</v>
      </c>
      <c r="F890" s="85" t="s">
        <v>1110</v>
      </c>
      <c r="G890" s="85" t="s">
        <v>178</v>
      </c>
      <c r="H890" s="85" t="s">
        <v>1083</v>
      </c>
      <c r="I890" s="85">
        <v>10.119999999999999</v>
      </c>
      <c r="J890" s="87">
        <f>20/10.12</f>
        <v>1.9762845849802373</v>
      </c>
      <c r="K890" s="88">
        <f t="shared" si="42"/>
        <v>20</v>
      </c>
      <c r="L890" s="85">
        <v>3449</v>
      </c>
      <c r="M890" s="118" t="s">
        <v>782</v>
      </c>
      <c r="N890" s="84"/>
      <c r="O890" s="84" t="s">
        <v>872</v>
      </c>
      <c r="R890"/>
    </row>
    <row r="891" spans="1:18" x14ac:dyDescent="0.25">
      <c r="A891" s="84" t="str">
        <f t="shared" si="40"/>
        <v>MarçoSEMANA 3Beterraba</v>
      </c>
      <c r="B891" s="85" t="s">
        <v>31</v>
      </c>
      <c r="C891" s="85" t="s">
        <v>22</v>
      </c>
      <c r="D891" s="86">
        <v>15</v>
      </c>
      <c r="E891" s="116" t="str">
        <f t="shared" si="41"/>
        <v>Hortifruti</v>
      </c>
      <c r="F891" s="85" t="s">
        <v>1110</v>
      </c>
      <c r="G891" s="85" t="s">
        <v>181</v>
      </c>
      <c r="H891" s="85" t="s">
        <v>1083</v>
      </c>
      <c r="I891" s="85">
        <v>10</v>
      </c>
      <c r="J891" s="87">
        <v>2</v>
      </c>
      <c r="K891" s="88">
        <f t="shared" si="42"/>
        <v>20</v>
      </c>
      <c r="L891" s="85">
        <v>3449</v>
      </c>
      <c r="M891" s="118" t="s">
        <v>783</v>
      </c>
      <c r="N891" s="84"/>
      <c r="O891" s="84" t="s">
        <v>45</v>
      </c>
      <c r="R891"/>
    </row>
    <row r="892" spans="1:18" x14ac:dyDescent="0.25">
      <c r="A892" s="84" t="str">
        <f t="shared" si="40"/>
        <v>MarçoSEMANA 3Cará</v>
      </c>
      <c r="B892" s="85" t="s">
        <v>31</v>
      </c>
      <c r="C892" s="85" t="s">
        <v>22</v>
      </c>
      <c r="D892" s="86">
        <v>15</v>
      </c>
      <c r="E892" s="116" t="str">
        <f t="shared" si="41"/>
        <v>Hortifruti</v>
      </c>
      <c r="F892" s="85" t="s">
        <v>1110</v>
      </c>
      <c r="G892" s="85" t="s">
        <v>213</v>
      </c>
      <c r="H892" s="85" t="s">
        <v>1083</v>
      </c>
      <c r="I892" s="85">
        <v>2</v>
      </c>
      <c r="J892" s="87">
        <v>8</v>
      </c>
      <c r="K892" s="88">
        <f t="shared" si="42"/>
        <v>16</v>
      </c>
      <c r="L892" s="85">
        <v>3449</v>
      </c>
      <c r="M892" s="118" t="s">
        <v>1022</v>
      </c>
      <c r="O892" s="84" t="s">
        <v>42</v>
      </c>
      <c r="R892"/>
    </row>
    <row r="893" spans="1:18" x14ac:dyDescent="0.25">
      <c r="A893" s="84" t="str">
        <f t="shared" si="40"/>
        <v>MarçoSEMANA 3Pepino Japonês</v>
      </c>
      <c r="B893" s="85" t="s">
        <v>31</v>
      </c>
      <c r="C893" s="85" t="s">
        <v>22</v>
      </c>
      <c r="D893" s="86">
        <v>15</v>
      </c>
      <c r="E893" s="116" t="str">
        <f t="shared" si="41"/>
        <v>Hortifruti</v>
      </c>
      <c r="F893" s="85" t="s">
        <v>1110</v>
      </c>
      <c r="G893" s="85" t="s">
        <v>576</v>
      </c>
      <c r="H893" s="85" t="s">
        <v>1083</v>
      </c>
      <c r="I893" s="85">
        <v>16.920000000000002</v>
      </c>
      <c r="J893" s="87">
        <f>48/16.92</f>
        <v>2.8368794326241131</v>
      </c>
      <c r="K893" s="88">
        <f t="shared" si="42"/>
        <v>48</v>
      </c>
      <c r="L893" s="85">
        <v>3449</v>
      </c>
      <c r="M893" s="118" t="s">
        <v>784</v>
      </c>
      <c r="N893" s="84"/>
      <c r="O893" s="84" t="s">
        <v>42</v>
      </c>
      <c r="R893"/>
    </row>
    <row r="894" spans="1:18" x14ac:dyDescent="0.25">
      <c r="A894" s="84" t="str">
        <f t="shared" si="40"/>
        <v>MarçoSEMANA 3Quiabo</v>
      </c>
      <c r="B894" s="85" t="s">
        <v>31</v>
      </c>
      <c r="C894" s="85" t="s">
        <v>22</v>
      </c>
      <c r="D894" s="86">
        <v>15</v>
      </c>
      <c r="E894" s="116" t="str">
        <f t="shared" si="41"/>
        <v>Hortifruti</v>
      </c>
      <c r="F894" s="85" t="s">
        <v>1110</v>
      </c>
      <c r="G894" s="85" t="s">
        <v>689</v>
      </c>
      <c r="H894" s="85" t="s">
        <v>1083</v>
      </c>
      <c r="I894" s="85">
        <v>10</v>
      </c>
      <c r="J894" s="87">
        <v>3.6</v>
      </c>
      <c r="K894" s="88">
        <f t="shared" si="42"/>
        <v>36</v>
      </c>
      <c r="L894" s="85">
        <v>3449</v>
      </c>
      <c r="M894" s="118" t="s">
        <v>916</v>
      </c>
      <c r="N894" s="84"/>
      <c r="O894" s="84" t="s">
        <v>42</v>
      </c>
      <c r="R894"/>
    </row>
    <row r="895" spans="1:18" x14ac:dyDescent="0.25">
      <c r="A895" s="84" t="str">
        <f t="shared" si="40"/>
        <v>MarçoSEMANA 3Tomate Salada</v>
      </c>
      <c r="B895" s="85" t="s">
        <v>31</v>
      </c>
      <c r="C895" s="85" t="s">
        <v>22</v>
      </c>
      <c r="D895" s="86">
        <v>15</v>
      </c>
      <c r="E895" s="116" t="str">
        <f t="shared" si="41"/>
        <v>Hortifruti</v>
      </c>
      <c r="F895" s="85" t="s">
        <v>1110</v>
      </c>
      <c r="G895" s="85" t="s">
        <v>794</v>
      </c>
      <c r="H895" s="85" t="s">
        <v>1083</v>
      </c>
      <c r="I895" s="85">
        <v>19.899999999999999</v>
      </c>
      <c r="J895" s="87">
        <f>60/19.9</f>
        <v>3.0150753768844223</v>
      </c>
      <c r="K895" s="88">
        <f t="shared" si="42"/>
        <v>60</v>
      </c>
      <c r="L895" s="85">
        <v>3449</v>
      </c>
      <c r="M895" s="118" t="s">
        <v>915</v>
      </c>
      <c r="N895" s="84"/>
      <c r="O895" s="84" t="s">
        <v>60</v>
      </c>
      <c r="R895"/>
    </row>
    <row r="896" spans="1:18" x14ac:dyDescent="0.25">
      <c r="A896" s="84" t="str">
        <f t="shared" si="40"/>
        <v>MarçoSEMANA 3Tomate Cereja</v>
      </c>
      <c r="B896" s="85" t="s">
        <v>31</v>
      </c>
      <c r="C896" s="85" t="s">
        <v>22</v>
      </c>
      <c r="D896" s="86">
        <v>15</v>
      </c>
      <c r="E896" s="116" t="str">
        <f t="shared" si="41"/>
        <v>Hortifruti</v>
      </c>
      <c r="F896" s="85" t="s">
        <v>1110</v>
      </c>
      <c r="G896" s="85" t="s">
        <v>789</v>
      </c>
      <c r="H896" s="85" t="s">
        <v>1083</v>
      </c>
      <c r="I896" s="85">
        <v>6</v>
      </c>
      <c r="J896" s="87">
        <v>7</v>
      </c>
      <c r="K896" s="88">
        <f t="shared" si="42"/>
        <v>42</v>
      </c>
      <c r="L896" s="85">
        <v>3449</v>
      </c>
      <c r="M896" s="118" t="s">
        <v>785</v>
      </c>
      <c r="N896" s="84"/>
      <c r="O896" s="84" t="s">
        <v>871</v>
      </c>
      <c r="R896"/>
    </row>
    <row r="897" spans="1:18" x14ac:dyDescent="0.25">
      <c r="A897" s="84" t="str">
        <f t="shared" si="40"/>
        <v xml:space="preserve">MarçoSEMANA 3Alface Americana    </v>
      </c>
      <c r="B897" s="85" t="s">
        <v>31</v>
      </c>
      <c r="C897" s="85" t="s">
        <v>22</v>
      </c>
      <c r="D897" s="86">
        <v>15</v>
      </c>
      <c r="E897" s="116" t="str">
        <f t="shared" si="41"/>
        <v>Hortifruti</v>
      </c>
      <c r="F897" s="85" t="s">
        <v>1110</v>
      </c>
      <c r="G897" s="85" t="s">
        <v>102</v>
      </c>
      <c r="H897" s="85" t="s">
        <v>1083</v>
      </c>
      <c r="I897" s="85">
        <v>3.44</v>
      </c>
      <c r="J897" s="87">
        <f>24/3.44</f>
        <v>6.9767441860465116</v>
      </c>
      <c r="K897" s="88">
        <f t="shared" si="42"/>
        <v>24</v>
      </c>
      <c r="L897" s="85">
        <v>3449</v>
      </c>
      <c r="M897" s="118" t="s">
        <v>1064</v>
      </c>
      <c r="O897" s="84" t="s">
        <v>873</v>
      </c>
      <c r="R897"/>
    </row>
    <row r="898" spans="1:18" x14ac:dyDescent="0.25">
      <c r="A898" s="84" t="str">
        <f t="shared" ref="A898:A961" si="43">CONCATENATE(B898,C898,G898)</f>
        <v>MarçoSEMANA 3Alface crespa</v>
      </c>
      <c r="B898" s="85" t="s">
        <v>31</v>
      </c>
      <c r="C898" s="85" t="s">
        <v>22</v>
      </c>
      <c r="D898" s="86">
        <v>15</v>
      </c>
      <c r="E898" s="116" t="str">
        <f t="shared" ref="E898:E961" si="44">VLOOKUP(G898,$M$1:$O$993,3,0)</f>
        <v>Hortifruti</v>
      </c>
      <c r="F898" s="85" t="s">
        <v>1110</v>
      </c>
      <c r="G898" s="85" t="s">
        <v>104</v>
      </c>
      <c r="H898" s="85" t="s">
        <v>1083</v>
      </c>
      <c r="I898" s="85">
        <v>1.38</v>
      </c>
      <c r="J898" s="87">
        <f>6/1.38</f>
        <v>4.3478260869565224</v>
      </c>
      <c r="K898" s="88">
        <f t="shared" ref="K898:K961" si="45">I898*J898</f>
        <v>6</v>
      </c>
      <c r="L898" s="85">
        <v>3449</v>
      </c>
      <c r="M898" s="118" t="s">
        <v>786</v>
      </c>
      <c r="N898" s="84"/>
      <c r="O898" s="84" t="s">
        <v>872</v>
      </c>
      <c r="R898"/>
    </row>
    <row r="899" spans="1:18" x14ac:dyDescent="0.25">
      <c r="A899" s="84" t="str">
        <f t="shared" si="43"/>
        <v>MarçoSEMANA 3Cebolinha Verde</v>
      </c>
      <c r="B899" s="85" t="s">
        <v>31</v>
      </c>
      <c r="C899" s="85" t="s">
        <v>22</v>
      </c>
      <c r="D899" s="86">
        <v>15</v>
      </c>
      <c r="E899" s="116" t="str">
        <f t="shared" si="44"/>
        <v>Hortifruti</v>
      </c>
      <c r="F899" s="85" t="s">
        <v>1110</v>
      </c>
      <c r="G899" s="85" t="s">
        <v>247</v>
      </c>
      <c r="H899" s="85" t="s">
        <v>1083</v>
      </c>
      <c r="I899" s="85">
        <f>0.5-0.39</f>
        <v>0.10999999999999999</v>
      </c>
      <c r="J899" s="87">
        <v>7</v>
      </c>
      <c r="K899" s="88">
        <f t="shared" si="45"/>
        <v>0.76999999999999991</v>
      </c>
      <c r="L899" s="85">
        <v>3449</v>
      </c>
      <c r="M899" s="118" t="s">
        <v>787</v>
      </c>
      <c r="N899" s="84"/>
      <c r="O899" s="84" t="s">
        <v>45</v>
      </c>
      <c r="R899"/>
    </row>
    <row r="900" spans="1:18" x14ac:dyDescent="0.25">
      <c r="A900" s="84" t="str">
        <f t="shared" si="43"/>
        <v>MarçoSEMANA 3Espinafre</v>
      </c>
      <c r="B900" s="85" t="s">
        <v>31</v>
      </c>
      <c r="C900" s="85" t="s">
        <v>22</v>
      </c>
      <c r="D900" s="86">
        <v>15</v>
      </c>
      <c r="E900" s="116" t="str">
        <f t="shared" si="44"/>
        <v>Hortifruti</v>
      </c>
      <c r="F900" s="85" t="s">
        <v>1110</v>
      </c>
      <c r="G900" s="85" t="s">
        <v>332</v>
      </c>
      <c r="H900" s="85" t="s">
        <v>1083</v>
      </c>
      <c r="I900" s="85">
        <v>6</v>
      </c>
      <c r="J900" s="87">
        <v>6</v>
      </c>
      <c r="K900" s="88">
        <f t="shared" si="45"/>
        <v>36</v>
      </c>
      <c r="L900" s="85">
        <v>3449</v>
      </c>
      <c r="M900" s="118" t="s">
        <v>788</v>
      </c>
      <c r="N900" s="84"/>
      <c r="O900" s="84" t="s">
        <v>45</v>
      </c>
      <c r="R900"/>
    </row>
    <row r="901" spans="1:18" x14ac:dyDescent="0.25">
      <c r="A901" s="84" t="str">
        <f t="shared" si="43"/>
        <v>MarçoSEMANA 3Broto de Feijão</v>
      </c>
      <c r="B901" s="85" t="s">
        <v>31</v>
      </c>
      <c r="C901" s="85" t="s">
        <v>22</v>
      </c>
      <c r="D901" s="86">
        <v>15</v>
      </c>
      <c r="E901" s="116" t="str">
        <f t="shared" si="44"/>
        <v>Hortifruti</v>
      </c>
      <c r="F901" s="85" t="s">
        <v>1110</v>
      </c>
      <c r="G901" s="85" t="s">
        <v>197</v>
      </c>
      <c r="H901" s="85" t="s">
        <v>1083</v>
      </c>
      <c r="I901" s="85">
        <v>3</v>
      </c>
      <c r="J901" s="87">
        <v>14</v>
      </c>
      <c r="K901" s="88">
        <f t="shared" si="45"/>
        <v>42</v>
      </c>
      <c r="L901" s="85">
        <v>3449</v>
      </c>
      <c r="M901" s="118" t="s">
        <v>789</v>
      </c>
      <c r="N901" s="84"/>
      <c r="O901" s="84" t="s">
        <v>45</v>
      </c>
      <c r="R901"/>
    </row>
    <row r="902" spans="1:18" x14ac:dyDescent="0.25">
      <c r="A902" s="84" t="str">
        <f t="shared" si="43"/>
        <v>MarçoSEMANA 3Tofu Kilo</v>
      </c>
      <c r="B902" s="85" t="s">
        <v>31</v>
      </c>
      <c r="C902" s="85" t="s">
        <v>22</v>
      </c>
      <c r="D902" s="86">
        <v>15</v>
      </c>
      <c r="E902" s="116" t="str">
        <f t="shared" si="44"/>
        <v>Hortifruti</v>
      </c>
      <c r="F902" s="85" t="s">
        <v>1110</v>
      </c>
      <c r="G902" s="85" t="s">
        <v>788</v>
      </c>
      <c r="H902" s="85" t="s">
        <v>1083</v>
      </c>
      <c r="I902" s="85">
        <v>1</v>
      </c>
      <c r="J902" s="87">
        <v>14</v>
      </c>
      <c r="K902" s="88">
        <f t="shared" si="45"/>
        <v>14</v>
      </c>
      <c r="L902" s="85">
        <v>3449</v>
      </c>
      <c r="M902" s="118" t="s">
        <v>790</v>
      </c>
      <c r="N902" s="84"/>
      <c r="O902" s="84" t="s">
        <v>45</v>
      </c>
      <c r="R902"/>
    </row>
    <row r="903" spans="1:18" hidden="1" x14ac:dyDescent="0.2">
      <c r="A903" s="84" t="str">
        <f t="shared" si="43"/>
        <v>MarçoSEMANA 3Abacate Sushi</v>
      </c>
      <c r="B903" s="85" t="s">
        <v>31</v>
      </c>
      <c r="C903" s="85" t="s">
        <v>22</v>
      </c>
      <c r="D903" s="86">
        <v>15</v>
      </c>
      <c r="E903" s="116" t="str">
        <f t="shared" si="44"/>
        <v>Sushi</v>
      </c>
      <c r="F903" s="85" t="s">
        <v>1110</v>
      </c>
      <c r="G903" s="85" t="s">
        <v>64</v>
      </c>
      <c r="H903" s="85" t="s">
        <v>1083</v>
      </c>
      <c r="I903" s="85">
        <v>1</v>
      </c>
      <c r="J903" s="87">
        <v>6</v>
      </c>
      <c r="K903" s="88">
        <f>I903*J903</f>
        <v>6</v>
      </c>
      <c r="L903" s="85">
        <v>3449</v>
      </c>
      <c r="M903" s="140" t="s">
        <v>791</v>
      </c>
      <c r="N903" s="84"/>
      <c r="O903" s="84" t="s">
        <v>45</v>
      </c>
      <c r="R903"/>
    </row>
    <row r="904" spans="1:18" x14ac:dyDescent="0.25">
      <c r="A904" s="84" t="str">
        <f t="shared" si="43"/>
        <v>MarçoSEMANA 3Laranja Pera</v>
      </c>
      <c r="B904" s="85" t="s">
        <v>31</v>
      </c>
      <c r="C904" s="85" t="s">
        <v>22</v>
      </c>
      <c r="D904" s="86">
        <v>15</v>
      </c>
      <c r="E904" s="116" t="str">
        <f t="shared" si="44"/>
        <v>Hortifruti</v>
      </c>
      <c r="F904" s="85" t="s">
        <v>1110</v>
      </c>
      <c r="G904" s="85" t="s">
        <v>456</v>
      </c>
      <c r="H904" s="85" t="s">
        <v>1083</v>
      </c>
      <c r="I904" s="85">
        <v>22.32</v>
      </c>
      <c r="J904" s="87">
        <f>33/22.32</f>
        <v>1.478494623655914</v>
      </c>
      <c r="K904" s="88">
        <f t="shared" si="45"/>
        <v>33</v>
      </c>
      <c r="L904" s="85">
        <v>3449</v>
      </c>
      <c r="M904" s="140" t="s">
        <v>792</v>
      </c>
      <c r="N904" s="84"/>
      <c r="O904" s="84" t="s">
        <v>45</v>
      </c>
      <c r="R904"/>
    </row>
    <row r="905" spans="1:18" x14ac:dyDescent="0.25">
      <c r="A905" s="84" t="str">
        <f t="shared" si="43"/>
        <v>MarçoSEMANA 3Mamão Bahia</v>
      </c>
      <c r="B905" s="85" t="s">
        <v>31</v>
      </c>
      <c r="C905" s="85" t="s">
        <v>22</v>
      </c>
      <c r="D905" s="86">
        <v>15</v>
      </c>
      <c r="E905" s="116" t="str">
        <f t="shared" si="44"/>
        <v>Hortifruti</v>
      </c>
      <c r="F905" s="85" t="s">
        <v>1110</v>
      </c>
      <c r="G905" s="85" t="s">
        <v>493</v>
      </c>
      <c r="H905" s="85" t="s">
        <v>1083</v>
      </c>
      <c r="I905" s="85">
        <v>2.8</v>
      </c>
      <c r="J905" s="87">
        <v>2.8</v>
      </c>
      <c r="K905" s="88">
        <f t="shared" si="45"/>
        <v>7.839999999999999</v>
      </c>
      <c r="L905" s="85">
        <v>3449</v>
      </c>
      <c r="M905" s="140" t="s">
        <v>793</v>
      </c>
      <c r="N905" s="84"/>
      <c r="O905" s="84" t="s">
        <v>42</v>
      </c>
      <c r="R905"/>
    </row>
    <row r="906" spans="1:18" x14ac:dyDescent="0.25">
      <c r="A906" s="84" t="str">
        <f t="shared" si="43"/>
        <v>MarçoSEMANA 3Manga Palmer</v>
      </c>
      <c r="B906" s="85" t="s">
        <v>31</v>
      </c>
      <c r="C906" s="85" t="s">
        <v>22</v>
      </c>
      <c r="D906" s="86">
        <v>15</v>
      </c>
      <c r="E906" s="116" t="str">
        <f t="shared" si="44"/>
        <v>Hortifruti</v>
      </c>
      <c r="F906" s="85" t="s">
        <v>1110</v>
      </c>
      <c r="G906" s="85" t="s">
        <v>495</v>
      </c>
      <c r="H906" s="85" t="s">
        <v>1083</v>
      </c>
      <c r="I906" s="85">
        <v>6.52</v>
      </c>
      <c r="J906" s="87">
        <f>25/6.52</f>
        <v>3.834355828220859</v>
      </c>
      <c r="K906" s="88">
        <f t="shared" si="45"/>
        <v>25</v>
      </c>
      <c r="L906" s="85">
        <v>3449</v>
      </c>
      <c r="M906" s="140" t="s">
        <v>794</v>
      </c>
      <c r="N906" s="84"/>
      <c r="O906" s="84" t="s">
        <v>45</v>
      </c>
      <c r="R906"/>
    </row>
    <row r="907" spans="1:18" x14ac:dyDescent="0.25">
      <c r="A907" s="84" t="str">
        <f t="shared" si="43"/>
        <v>MarçoSEMANA 3Aipo</v>
      </c>
      <c r="B907" s="85" t="s">
        <v>31</v>
      </c>
      <c r="C907" s="85" t="s">
        <v>22</v>
      </c>
      <c r="D907" s="86">
        <v>15</v>
      </c>
      <c r="E907" s="116" t="str">
        <f t="shared" si="44"/>
        <v>Hortifruti</v>
      </c>
      <c r="F907" s="85" t="s">
        <v>1110</v>
      </c>
      <c r="G907" s="85" t="s">
        <v>96</v>
      </c>
      <c r="H907" s="85" t="s">
        <v>1083</v>
      </c>
      <c r="I907" s="85">
        <v>1</v>
      </c>
      <c r="J907" s="87">
        <v>4</v>
      </c>
      <c r="K907" s="88">
        <f t="shared" si="45"/>
        <v>4</v>
      </c>
      <c r="L907" s="85">
        <v>3449</v>
      </c>
      <c r="M907" s="140" t="s">
        <v>956</v>
      </c>
      <c r="N907" s="84"/>
      <c r="O907" s="84" t="s">
        <v>874</v>
      </c>
      <c r="R907"/>
    </row>
    <row r="908" spans="1:18" hidden="1" x14ac:dyDescent="0.2">
      <c r="A908" s="84" t="str">
        <f t="shared" si="43"/>
        <v>MarçoSEMANA 3Cebolinha Verde Sushi</v>
      </c>
      <c r="B908" s="85" t="s">
        <v>31</v>
      </c>
      <c r="C908" s="85" t="s">
        <v>22</v>
      </c>
      <c r="D908" s="86">
        <v>15</v>
      </c>
      <c r="E908" s="116" t="str">
        <f t="shared" si="44"/>
        <v>Sushi</v>
      </c>
      <c r="F908" s="85" t="s">
        <v>1110</v>
      </c>
      <c r="G908" s="85" t="s">
        <v>248</v>
      </c>
      <c r="H908" s="85" t="s">
        <v>1083</v>
      </c>
      <c r="I908" s="85">
        <v>0.39</v>
      </c>
      <c r="J908" s="87">
        <v>7</v>
      </c>
      <c r="K908" s="88">
        <f t="shared" si="45"/>
        <v>2.73</v>
      </c>
      <c r="L908" s="85">
        <v>3449</v>
      </c>
      <c r="M908" s="140" t="s">
        <v>795</v>
      </c>
      <c r="N908" s="84"/>
      <c r="O908" s="84" t="s">
        <v>60</v>
      </c>
      <c r="R908"/>
    </row>
    <row r="909" spans="1:18" x14ac:dyDescent="0.25">
      <c r="A909" s="84" t="str">
        <f t="shared" si="43"/>
        <v>MarçoSEMANA 3Aipim</v>
      </c>
      <c r="B909" s="85" t="s">
        <v>31</v>
      </c>
      <c r="C909" s="85" t="s">
        <v>22</v>
      </c>
      <c r="D909" s="86">
        <v>15</v>
      </c>
      <c r="E909" s="116" t="str">
        <f t="shared" si="44"/>
        <v>Hortifruti</v>
      </c>
      <c r="F909" s="85" t="s">
        <v>1082</v>
      </c>
      <c r="G909" s="85" t="s">
        <v>95</v>
      </c>
      <c r="H909" s="85" t="s">
        <v>1083</v>
      </c>
      <c r="I909" s="85">
        <v>20</v>
      </c>
      <c r="J909" s="87">
        <v>5</v>
      </c>
      <c r="K909" s="88">
        <f t="shared" si="45"/>
        <v>100</v>
      </c>
      <c r="L909" s="85"/>
      <c r="M909" s="140" t="s">
        <v>796</v>
      </c>
      <c r="N909" s="84"/>
      <c r="O909" s="84" t="s">
        <v>42</v>
      </c>
      <c r="R909"/>
    </row>
    <row r="910" spans="1:18" hidden="1" x14ac:dyDescent="0.2">
      <c r="A910" s="84" t="str">
        <f t="shared" si="43"/>
        <v>MarçoSEMANA 3Suco de Maracujá</v>
      </c>
      <c r="B910" s="85" t="s">
        <v>31</v>
      </c>
      <c r="C910" s="85" t="s">
        <v>22</v>
      </c>
      <c r="D910" s="86">
        <v>15</v>
      </c>
      <c r="E910" s="116" t="str">
        <f t="shared" si="44"/>
        <v>Mercado</v>
      </c>
      <c r="F910" s="85" t="s">
        <v>1118</v>
      </c>
      <c r="G910" s="85" t="s">
        <v>752</v>
      </c>
      <c r="H910" s="85" t="s">
        <v>1090</v>
      </c>
      <c r="I910" s="85">
        <v>2</v>
      </c>
      <c r="J910" s="87">
        <v>8.75</v>
      </c>
      <c r="K910" s="88">
        <f t="shared" si="45"/>
        <v>17.5</v>
      </c>
      <c r="L910" s="85">
        <v>90133</v>
      </c>
      <c r="M910" s="140" t="s">
        <v>797</v>
      </c>
      <c r="N910" s="84"/>
      <c r="O910" s="84" t="s">
        <v>45</v>
      </c>
      <c r="R910"/>
    </row>
    <row r="911" spans="1:18" x14ac:dyDescent="0.25">
      <c r="A911" s="84" t="str">
        <f t="shared" si="43"/>
        <v>MarçoSEMANA 3Louro</v>
      </c>
      <c r="B911" s="85" t="s">
        <v>31</v>
      </c>
      <c r="C911" s="85" t="s">
        <v>22</v>
      </c>
      <c r="D911" s="86">
        <v>15</v>
      </c>
      <c r="E911" s="116" t="str">
        <f t="shared" si="44"/>
        <v>Hortifruti</v>
      </c>
      <c r="F911" s="85" t="s">
        <v>1118</v>
      </c>
      <c r="G911" s="85" t="s">
        <v>468</v>
      </c>
      <c r="H911" s="85" t="s">
        <v>1083</v>
      </c>
      <c r="I911" s="85">
        <v>0.06</v>
      </c>
      <c r="J911" s="87">
        <f>4.95/0.06</f>
        <v>82.5</v>
      </c>
      <c r="K911" s="88">
        <f t="shared" si="45"/>
        <v>4.95</v>
      </c>
      <c r="L911" s="85">
        <v>90133</v>
      </c>
      <c r="M911" s="140" t="s">
        <v>798</v>
      </c>
      <c r="N911" s="84"/>
      <c r="O911" s="84" t="s">
        <v>873</v>
      </c>
      <c r="R911"/>
    </row>
    <row r="912" spans="1:18" hidden="1" x14ac:dyDescent="0.2">
      <c r="A912" s="84" t="str">
        <f t="shared" si="43"/>
        <v>MarçoSEMANA 3Gelo em Escamas</v>
      </c>
      <c r="B912" s="85" t="s">
        <v>31</v>
      </c>
      <c r="C912" s="85" t="s">
        <v>22</v>
      </c>
      <c r="D912" s="86">
        <v>16</v>
      </c>
      <c r="E912" s="116" t="str">
        <f t="shared" si="44"/>
        <v>Mercado</v>
      </c>
      <c r="F912" s="85" t="s">
        <v>1096</v>
      </c>
      <c r="G912" s="85" t="s">
        <v>384</v>
      </c>
      <c r="H912" s="85" t="s">
        <v>1097</v>
      </c>
      <c r="I912" s="85">
        <v>2</v>
      </c>
      <c r="J912" s="87">
        <v>7.5</v>
      </c>
      <c r="K912" s="88">
        <f t="shared" si="45"/>
        <v>15</v>
      </c>
      <c r="L912" s="85">
        <v>3510</v>
      </c>
      <c r="M912" s="140" t="s">
        <v>799</v>
      </c>
      <c r="N912" s="84"/>
      <c r="O912" s="84" t="s">
        <v>873</v>
      </c>
      <c r="R912"/>
    </row>
    <row r="913" spans="1:15" hidden="1" x14ac:dyDescent="0.2">
      <c r="A913" s="84" t="str">
        <f t="shared" si="43"/>
        <v>MarçoSEMANA 3Gelo em Cubo</v>
      </c>
      <c r="B913" s="85" t="s">
        <v>31</v>
      </c>
      <c r="C913" s="85" t="s">
        <v>22</v>
      </c>
      <c r="D913" s="86">
        <v>16</v>
      </c>
      <c r="E913" s="116" t="str">
        <f t="shared" si="44"/>
        <v>Mercado</v>
      </c>
      <c r="F913" s="85" t="s">
        <v>1096</v>
      </c>
      <c r="G913" s="85" t="s">
        <v>383</v>
      </c>
      <c r="H913" s="85" t="s">
        <v>1097</v>
      </c>
      <c r="I913" s="85">
        <v>3</v>
      </c>
      <c r="J913" s="87">
        <v>7.5</v>
      </c>
      <c r="K913" s="88">
        <f t="shared" si="45"/>
        <v>22.5</v>
      </c>
      <c r="L913" s="85">
        <v>3510</v>
      </c>
      <c r="M913" s="140" t="s">
        <v>800</v>
      </c>
      <c r="N913" s="84"/>
      <c r="O913" s="84" t="s">
        <v>873</v>
      </c>
    </row>
    <row r="914" spans="1:15" hidden="1" x14ac:dyDescent="0.2">
      <c r="A914" s="84" t="str">
        <f t="shared" si="43"/>
        <v>MarçoSEMANA 3Pescados - Atum Fresco Sushi</v>
      </c>
      <c r="B914" s="85" t="s">
        <v>31</v>
      </c>
      <c r="C914" s="85" t="s">
        <v>22</v>
      </c>
      <c r="D914" s="86">
        <v>16</v>
      </c>
      <c r="E914" s="116" t="str">
        <f t="shared" si="44"/>
        <v>Sushi</v>
      </c>
      <c r="F914" s="85" t="s">
        <v>1131</v>
      </c>
      <c r="G914" s="85" t="s">
        <v>586</v>
      </c>
      <c r="H914" s="85" t="s">
        <v>1083</v>
      </c>
      <c r="I914" s="85">
        <v>29</v>
      </c>
      <c r="J914" s="87">
        <v>16</v>
      </c>
      <c r="K914" s="88">
        <f t="shared" si="45"/>
        <v>464</v>
      </c>
      <c r="L914" s="85">
        <v>4941</v>
      </c>
      <c r="M914" s="140" t="s">
        <v>801</v>
      </c>
      <c r="N914" s="84"/>
      <c r="O914" s="84" t="s">
        <v>873</v>
      </c>
    </row>
    <row r="915" spans="1:15" hidden="1" x14ac:dyDescent="0.2">
      <c r="A915" s="84" t="str">
        <f t="shared" si="43"/>
        <v>MarçoSEMANA 3Carne Bovina - Filé Mignon 3/4</v>
      </c>
      <c r="B915" s="85" t="s">
        <v>31</v>
      </c>
      <c r="C915" s="85" t="s">
        <v>22</v>
      </c>
      <c r="D915" s="86">
        <v>16</v>
      </c>
      <c r="E915" s="116" t="str">
        <f t="shared" si="44"/>
        <v>Carnes</v>
      </c>
      <c r="F915" s="85" t="s">
        <v>1100</v>
      </c>
      <c r="G915" s="85" t="s">
        <v>223</v>
      </c>
      <c r="H915" s="85" t="s">
        <v>1083</v>
      </c>
      <c r="I915" s="85">
        <v>47.097999999999999</v>
      </c>
      <c r="J915" s="87">
        <v>33.326500000000003</v>
      </c>
      <c r="K915" s="88">
        <f t="shared" si="45"/>
        <v>1569.6114970000001</v>
      </c>
      <c r="L915" s="85" t="s">
        <v>1266</v>
      </c>
      <c r="M915" s="140" t="s">
        <v>987</v>
      </c>
      <c r="N915" s="84"/>
      <c r="O915" s="84" t="s">
        <v>42</v>
      </c>
    </row>
    <row r="916" spans="1:15" hidden="1" x14ac:dyDescent="0.2">
      <c r="A916" s="84" t="str">
        <f t="shared" si="43"/>
        <v>MarçoSEMANA 3Arroz Branco</v>
      </c>
      <c r="B916" s="85" t="s">
        <v>31</v>
      </c>
      <c r="C916" s="85" t="s">
        <v>22</v>
      </c>
      <c r="D916" s="86">
        <v>16</v>
      </c>
      <c r="E916" s="116" t="str">
        <f t="shared" si="44"/>
        <v>Mercado</v>
      </c>
      <c r="F916" s="85" t="s">
        <v>1101</v>
      </c>
      <c r="G916" s="85" t="s">
        <v>126</v>
      </c>
      <c r="H916" s="85" t="s">
        <v>1083</v>
      </c>
      <c r="I916" s="85">
        <v>10</v>
      </c>
      <c r="J916" s="87">
        <v>3.4790000000000001</v>
      </c>
      <c r="K916" s="88">
        <f t="shared" si="45"/>
        <v>34.79</v>
      </c>
      <c r="L916" s="85" t="s">
        <v>1267</v>
      </c>
      <c r="M916" s="140" t="s">
        <v>802</v>
      </c>
      <c r="N916" s="84"/>
      <c r="O916" s="84" t="s">
        <v>46</v>
      </c>
    </row>
    <row r="917" spans="1:15" hidden="1" x14ac:dyDescent="0.2">
      <c r="A917" s="84" t="str">
        <f t="shared" si="43"/>
        <v>MarçoSEMANA 3Batata Palito 9M</v>
      </c>
      <c r="B917" s="85" t="s">
        <v>31</v>
      </c>
      <c r="C917" s="85" t="s">
        <v>22</v>
      </c>
      <c r="D917" s="86">
        <v>16</v>
      </c>
      <c r="E917" s="116" t="str">
        <f t="shared" si="44"/>
        <v>Mercado</v>
      </c>
      <c r="F917" s="85" t="s">
        <v>1101</v>
      </c>
      <c r="G917" s="85" t="s">
        <v>175</v>
      </c>
      <c r="H917" s="85" t="s">
        <v>1083</v>
      </c>
      <c r="I917" s="85">
        <v>12.5</v>
      </c>
      <c r="J917" s="87">
        <v>6.62</v>
      </c>
      <c r="K917" s="88">
        <f t="shared" si="45"/>
        <v>82.75</v>
      </c>
      <c r="L917" s="85" t="s">
        <v>1267</v>
      </c>
      <c r="M917" s="140" t="s">
        <v>803</v>
      </c>
      <c r="N917" s="84"/>
      <c r="O917" s="84" t="s">
        <v>43</v>
      </c>
    </row>
    <row r="918" spans="1:15" hidden="1" x14ac:dyDescent="0.2">
      <c r="A918" s="84" t="str">
        <f t="shared" si="43"/>
        <v>MarçoSEMANA 3Carne Bovina - Carne Seca</v>
      </c>
      <c r="B918" s="85" t="s">
        <v>31</v>
      </c>
      <c r="C918" s="85" t="s">
        <v>22</v>
      </c>
      <c r="D918" s="86">
        <v>16</v>
      </c>
      <c r="E918" s="116" t="str">
        <f t="shared" si="44"/>
        <v>Carnes</v>
      </c>
      <c r="F918" s="85" t="s">
        <v>1101</v>
      </c>
      <c r="G918" s="85" t="s">
        <v>218</v>
      </c>
      <c r="H918" s="85" t="s">
        <v>1083</v>
      </c>
      <c r="I918" s="85">
        <v>30</v>
      </c>
      <c r="J918" s="87">
        <v>20.22</v>
      </c>
      <c r="K918" s="88">
        <f t="shared" si="45"/>
        <v>606.59999999999991</v>
      </c>
      <c r="L918" s="85" t="s">
        <v>1267</v>
      </c>
      <c r="M918" s="140" t="s">
        <v>804</v>
      </c>
      <c r="N918" s="84"/>
      <c r="O918" s="84" t="s">
        <v>43</v>
      </c>
    </row>
    <row r="919" spans="1:15" hidden="1" x14ac:dyDescent="0.2">
      <c r="A919" s="84" t="str">
        <f t="shared" si="43"/>
        <v>MarçoSEMANA 3Suíno - Costelinha Fresca</v>
      </c>
      <c r="B919" s="85" t="s">
        <v>31</v>
      </c>
      <c r="C919" s="85" t="s">
        <v>22</v>
      </c>
      <c r="D919" s="86">
        <v>16</v>
      </c>
      <c r="E919" s="116" t="str">
        <f t="shared" si="44"/>
        <v>Carnes</v>
      </c>
      <c r="F919" s="85" t="s">
        <v>1101</v>
      </c>
      <c r="G919" s="85" t="s">
        <v>758</v>
      </c>
      <c r="H919" s="85" t="s">
        <v>1083</v>
      </c>
      <c r="I919" s="85">
        <v>20</v>
      </c>
      <c r="J919" s="87">
        <v>14.98</v>
      </c>
      <c r="K919" s="88">
        <f t="shared" si="45"/>
        <v>299.60000000000002</v>
      </c>
      <c r="L919" s="85" t="s">
        <v>1267</v>
      </c>
      <c r="M919" s="140" t="s">
        <v>805</v>
      </c>
      <c r="N919" s="84"/>
      <c r="O919" s="84" t="s">
        <v>43</v>
      </c>
    </row>
    <row r="920" spans="1:15" hidden="1" x14ac:dyDescent="0.2">
      <c r="A920" s="84" t="str">
        <f t="shared" si="43"/>
        <v>MarçoSEMANA 3Queijo Minas Padrão</v>
      </c>
      <c r="B920" s="85" t="s">
        <v>31</v>
      </c>
      <c r="C920" s="85" t="s">
        <v>22</v>
      </c>
      <c r="D920" s="86">
        <v>16</v>
      </c>
      <c r="E920" s="116" t="str">
        <f t="shared" si="44"/>
        <v>Laticínios</v>
      </c>
      <c r="F920" s="85" t="s">
        <v>1101</v>
      </c>
      <c r="G920" s="85" t="s">
        <v>682</v>
      </c>
      <c r="H920" s="85" t="s">
        <v>1083</v>
      </c>
      <c r="I920" s="85">
        <v>8.6999999999999993</v>
      </c>
      <c r="J920" s="87">
        <v>30.5</v>
      </c>
      <c r="K920" s="88">
        <f t="shared" si="45"/>
        <v>265.34999999999997</v>
      </c>
      <c r="L920" s="85" t="s">
        <v>1267</v>
      </c>
      <c r="M920" s="140" t="s">
        <v>806</v>
      </c>
      <c r="N920" s="84"/>
      <c r="O920" s="84" t="s">
        <v>43</v>
      </c>
    </row>
    <row r="921" spans="1:15" hidden="1" x14ac:dyDescent="0.2">
      <c r="A921" s="84" t="str">
        <f t="shared" si="43"/>
        <v>MarçoSEMANA 3Creme de Leite Culinário 20% Bd 10 Lt</v>
      </c>
      <c r="B921" s="85" t="s">
        <v>31</v>
      </c>
      <c r="C921" s="85" t="s">
        <v>22</v>
      </c>
      <c r="D921" s="86">
        <v>16</v>
      </c>
      <c r="E921" s="116" t="str">
        <f t="shared" si="44"/>
        <v>Laticínios</v>
      </c>
      <c r="F921" s="85" t="s">
        <v>1152</v>
      </c>
      <c r="G921" s="85" t="s">
        <v>315</v>
      </c>
      <c r="H921" s="85" t="s">
        <v>1088</v>
      </c>
      <c r="I921" s="85">
        <v>1</v>
      </c>
      <c r="J921" s="87">
        <v>142.44999999999999</v>
      </c>
      <c r="K921" s="88">
        <f t="shared" si="45"/>
        <v>142.44999999999999</v>
      </c>
      <c r="L921" s="85" t="s">
        <v>1268</v>
      </c>
      <c r="M921" s="140" t="s">
        <v>807</v>
      </c>
      <c r="N921" s="84"/>
      <c r="O921" s="84" t="s">
        <v>43</v>
      </c>
    </row>
    <row r="922" spans="1:15" hidden="1" x14ac:dyDescent="0.2">
      <c r="A922" s="84" t="str">
        <f t="shared" si="43"/>
        <v>MarçoSEMANA 3Queijo Prato</v>
      </c>
      <c r="B922" s="85" t="s">
        <v>31</v>
      </c>
      <c r="C922" s="85" t="s">
        <v>22</v>
      </c>
      <c r="D922" s="86">
        <v>16</v>
      </c>
      <c r="E922" s="116" t="str">
        <f t="shared" si="44"/>
        <v>Laticínios</v>
      </c>
      <c r="F922" s="85" t="s">
        <v>1152</v>
      </c>
      <c r="G922" s="85" t="s">
        <v>686</v>
      </c>
      <c r="H922" s="85" t="s">
        <v>1083</v>
      </c>
      <c r="I922" s="85">
        <v>3</v>
      </c>
      <c r="J922" s="87">
        <v>26</v>
      </c>
      <c r="K922" s="88">
        <f t="shared" si="45"/>
        <v>78</v>
      </c>
      <c r="L922" s="85" t="s">
        <v>1268</v>
      </c>
      <c r="M922" s="140" t="s">
        <v>808</v>
      </c>
      <c r="N922" s="84"/>
      <c r="O922" s="84" t="s">
        <v>43</v>
      </c>
    </row>
    <row r="923" spans="1:15" hidden="1" x14ac:dyDescent="0.2">
      <c r="A923" s="84" t="str">
        <f t="shared" si="43"/>
        <v>MarçoSEMANA 3Queijo Requeijão BD 3,6 Kg</v>
      </c>
      <c r="B923" s="85" t="s">
        <v>31</v>
      </c>
      <c r="C923" s="85" t="s">
        <v>22</v>
      </c>
      <c r="D923" s="86">
        <v>16</v>
      </c>
      <c r="E923" s="116" t="str">
        <f t="shared" si="44"/>
        <v>Laticínios</v>
      </c>
      <c r="F923" s="85" t="s">
        <v>1152</v>
      </c>
      <c r="G923" s="85" t="s">
        <v>687</v>
      </c>
      <c r="H923" s="85" t="s">
        <v>1083</v>
      </c>
      <c r="I923" s="85">
        <v>1</v>
      </c>
      <c r="J923" s="87">
        <v>74.400000000000006</v>
      </c>
      <c r="K923" s="88">
        <f t="shared" si="45"/>
        <v>74.400000000000006</v>
      </c>
      <c r="L923" s="85" t="s">
        <v>1268</v>
      </c>
      <c r="M923" s="140" t="s">
        <v>809</v>
      </c>
      <c r="O923" s="115" t="s">
        <v>43</v>
      </c>
    </row>
    <row r="924" spans="1:15" hidden="1" x14ac:dyDescent="0.2">
      <c r="A924" s="84" t="str">
        <f t="shared" si="43"/>
        <v>MarçoSEMANA 3Aves - Filé de Peito de Frango</v>
      </c>
      <c r="B924" s="85" t="s">
        <v>31</v>
      </c>
      <c r="C924" s="85" t="s">
        <v>22</v>
      </c>
      <c r="D924" s="86">
        <v>16</v>
      </c>
      <c r="E924" s="116" t="str">
        <f t="shared" si="44"/>
        <v>Carnes</v>
      </c>
      <c r="F924" s="85" t="s">
        <v>1092</v>
      </c>
      <c r="G924" s="85" t="s">
        <v>139</v>
      </c>
      <c r="H924" s="85" t="s">
        <v>1083</v>
      </c>
      <c r="I924" s="85">
        <v>48</v>
      </c>
      <c r="J924" s="87">
        <v>7.8</v>
      </c>
      <c r="K924" s="88">
        <f t="shared" si="45"/>
        <v>374.4</v>
      </c>
      <c r="L924" s="85">
        <v>3410271</v>
      </c>
      <c r="M924" s="140" t="s">
        <v>810</v>
      </c>
      <c r="N924" s="84"/>
      <c r="O924" s="84" t="s">
        <v>43</v>
      </c>
    </row>
    <row r="925" spans="1:15" hidden="1" x14ac:dyDescent="0.2">
      <c r="A925" s="84" t="str">
        <f t="shared" si="43"/>
        <v>MarçoSEMANA 3Aves - Filé de Coxa</v>
      </c>
      <c r="B925" s="85" t="s">
        <v>31</v>
      </c>
      <c r="C925" s="85" t="s">
        <v>22</v>
      </c>
      <c r="D925" s="86">
        <v>16</v>
      </c>
      <c r="E925" s="116" t="str">
        <f t="shared" si="44"/>
        <v>Carnes</v>
      </c>
      <c r="F925" s="85" t="s">
        <v>1092</v>
      </c>
      <c r="G925" s="85" t="s">
        <v>137</v>
      </c>
      <c r="H925" s="85" t="s">
        <v>1083</v>
      </c>
      <c r="I925" s="85">
        <f>24*0.7</f>
        <v>16.799999999999997</v>
      </c>
      <c r="J925" s="87">
        <f>146.16/16.8</f>
        <v>8.6999999999999993</v>
      </c>
      <c r="K925" s="88">
        <f t="shared" si="45"/>
        <v>146.15999999999997</v>
      </c>
      <c r="L925" s="85">
        <v>3410271</v>
      </c>
      <c r="M925" s="140" t="s">
        <v>811</v>
      </c>
      <c r="O925" s="115" t="s">
        <v>43</v>
      </c>
    </row>
    <row r="926" spans="1:15" hidden="1" x14ac:dyDescent="0.2">
      <c r="A926" s="84" t="str">
        <f t="shared" si="43"/>
        <v>MarçoSEMANA 3Álcool 70</v>
      </c>
      <c r="B926" s="85" t="s">
        <v>31</v>
      </c>
      <c r="C926" s="85" t="s">
        <v>22</v>
      </c>
      <c r="D926" s="86">
        <v>15</v>
      </c>
      <c r="E926" s="116" t="str">
        <f t="shared" si="44"/>
        <v>Limpeza</v>
      </c>
      <c r="F926" s="85" t="s">
        <v>1269</v>
      </c>
      <c r="G926" s="85" t="s">
        <v>99</v>
      </c>
      <c r="H926" s="85" t="s">
        <v>1090</v>
      </c>
      <c r="I926" s="85">
        <v>12</v>
      </c>
      <c r="J926" s="87">
        <v>4.51</v>
      </c>
      <c r="K926" s="88">
        <f t="shared" si="45"/>
        <v>54.12</v>
      </c>
      <c r="L926" s="85" t="s">
        <v>1270</v>
      </c>
      <c r="M926" s="140" t="s">
        <v>812</v>
      </c>
      <c r="N926" s="84"/>
      <c r="O926" s="84" t="s">
        <v>43</v>
      </c>
    </row>
    <row r="927" spans="1:15" hidden="1" x14ac:dyDescent="0.2">
      <c r="A927" s="84" t="str">
        <f t="shared" si="43"/>
        <v>MarçoSEMANA 3Esponja Dupla Face</v>
      </c>
      <c r="B927" s="85" t="s">
        <v>31</v>
      </c>
      <c r="C927" s="85" t="s">
        <v>22</v>
      </c>
      <c r="D927" s="86">
        <v>15</v>
      </c>
      <c r="E927" s="116" t="str">
        <f t="shared" si="44"/>
        <v>Limpeza</v>
      </c>
      <c r="F927" s="85" t="s">
        <v>1269</v>
      </c>
      <c r="G927" s="85" t="s">
        <v>335</v>
      </c>
      <c r="H927" s="85" t="s">
        <v>1090</v>
      </c>
      <c r="I927" s="85">
        <v>17</v>
      </c>
      <c r="J927" s="87">
        <v>0.96599999999999997</v>
      </c>
      <c r="K927" s="88">
        <f t="shared" si="45"/>
        <v>16.422000000000001</v>
      </c>
      <c r="L927" s="85" t="s">
        <v>1270</v>
      </c>
      <c r="M927" s="140" t="s">
        <v>1002</v>
      </c>
      <c r="N927" s="84"/>
      <c r="O927" s="84" t="s">
        <v>43</v>
      </c>
    </row>
    <row r="928" spans="1:15" hidden="1" x14ac:dyDescent="0.2">
      <c r="A928" s="84" t="str">
        <f t="shared" si="43"/>
        <v>MarçoSEMANA 3Fibraço</v>
      </c>
      <c r="B928" s="85" t="s">
        <v>31</v>
      </c>
      <c r="C928" s="85" t="s">
        <v>22</v>
      </c>
      <c r="D928" s="86">
        <v>15</v>
      </c>
      <c r="E928" s="116" t="str">
        <f t="shared" si="44"/>
        <v>Limpeza</v>
      </c>
      <c r="F928" s="85" t="s">
        <v>1269</v>
      </c>
      <c r="G928" s="85" t="s">
        <v>355</v>
      </c>
      <c r="H928" s="85" t="s">
        <v>1090</v>
      </c>
      <c r="I928" s="85">
        <v>20</v>
      </c>
      <c r="J928" s="87">
        <v>1.512</v>
      </c>
      <c r="K928" s="88">
        <f t="shared" si="45"/>
        <v>30.240000000000002</v>
      </c>
      <c r="L928" s="85" t="s">
        <v>1270</v>
      </c>
      <c r="M928" s="140" t="s">
        <v>813</v>
      </c>
      <c r="N928" s="84"/>
      <c r="O928" s="84" t="s">
        <v>43</v>
      </c>
    </row>
    <row r="929" spans="1:15" hidden="1" x14ac:dyDescent="0.2">
      <c r="A929" s="84" t="str">
        <f t="shared" si="43"/>
        <v>MarçoSEMANA 3Inseticida</v>
      </c>
      <c r="B929" s="85" t="s">
        <v>31</v>
      </c>
      <c r="C929" s="85" t="s">
        <v>22</v>
      </c>
      <c r="D929" s="86">
        <v>15</v>
      </c>
      <c r="E929" s="116" t="str">
        <f t="shared" si="44"/>
        <v>Limpeza</v>
      </c>
      <c r="F929" s="85" t="s">
        <v>1269</v>
      </c>
      <c r="G929" s="85" t="s">
        <v>449</v>
      </c>
      <c r="H929" s="85" t="s">
        <v>1090</v>
      </c>
      <c r="I929" s="85">
        <v>6</v>
      </c>
      <c r="J929" s="87">
        <v>7.45</v>
      </c>
      <c r="K929" s="88">
        <f t="shared" si="45"/>
        <v>44.7</v>
      </c>
      <c r="L929" s="85" t="s">
        <v>1270</v>
      </c>
      <c r="M929" s="140" t="s">
        <v>814</v>
      </c>
      <c r="N929" s="84"/>
      <c r="O929" s="84" t="s">
        <v>43</v>
      </c>
    </row>
    <row r="930" spans="1:15" hidden="1" x14ac:dyDescent="0.2">
      <c r="A930" s="84" t="str">
        <f t="shared" si="43"/>
        <v>MarçoSEMANA 3Pá c/ Cabo para Lixo</v>
      </c>
      <c r="B930" s="85" t="s">
        <v>31</v>
      </c>
      <c r="C930" s="85" t="s">
        <v>22</v>
      </c>
      <c r="D930" s="86">
        <v>15</v>
      </c>
      <c r="E930" s="116" t="str">
        <f t="shared" si="44"/>
        <v>Limpeza</v>
      </c>
      <c r="F930" s="85" t="s">
        <v>1269</v>
      </c>
      <c r="G930" s="85" t="s">
        <v>552</v>
      </c>
      <c r="H930" s="85" t="s">
        <v>1090</v>
      </c>
      <c r="I930" s="85">
        <v>1</v>
      </c>
      <c r="J930" s="87">
        <v>3.31</v>
      </c>
      <c r="K930" s="88">
        <f t="shared" si="45"/>
        <v>3.31</v>
      </c>
      <c r="L930" s="85" t="s">
        <v>1270</v>
      </c>
      <c r="M930" s="140" t="s">
        <v>988</v>
      </c>
      <c r="N930" s="84"/>
      <c r="O930" s="84" t="s">
        <v>43</v>
      </c>
    </row>
    <row r="931" spans="1:15" hidden="1" x14ac:dyDescent="0.2">
      <c r="A931" s="84" t="str">
        <f t="shared" si="43"/>
        <v>MarçoSEMANA 3Luva de Borraca Forrada</v>
      </c>
      <c r="B931" s="85" t="s">
        <v>31</v>
      </c>
      <c r="C931" s="85" t="s">
        <v>22</v>
      </c>
      <c r="D931" s="86">
        <v>15</v>
      </c>
      <c r="E931" s="116" t="str">
        <f t="shared" si="44"/>
        <v>Descartável</v>
      </c>
      <c r="F931" s="85" t="s">
        <v>1269</v>
      </c>
      <c r="G931" s="85" t="s">
        <v>471</v>
      </c>
      <c r="H931" s="85" t="s">
        <v>1090</v>
      </c>
      <c r="I931" s="85">
        <v>8</v>
      </c>
      <c r="J931" s="87">
        <v>3.5</v>
      </c>
      <c r="K931" s="88">
        <f t="shared" si="45"/>
        <v>28</v>
      </c>
      <c r="L931" s="85" t="s">
        <v>1270</v>
      </c>
      <c r="M931" s="140" t="s">
        <v>815</v>
      </c>
      <c r="N931" s="84"/>
      <c r="O931" s="84" t="s">
        <v>43</v>
      </c>
    </row>
    <row r="932" spans="1:15" hidden="1" x14ac:dyDescent="0.2">
      <c r="A932" s="84" t="str">
        <f t="shared" si="43"/>
        <v>MarçoSEMANA 3Sabão em Pó</v>
      </c>
      <c r="B932" s="85" t="s">
        <v>31</v>
      </c>
      <c r="C932" s="85" t="s">
        <v>22</v>
      </c>
      <c r="D932" s="86">
        <v>15</v>
      </c>
      <c r="E932" s="116" t="str">
        <f t="shared" si="44"/>
        <v>Limpeza</v>
      </c>
      <c r="F932" s="85" t="s">
        <v>1269</v>
      </c>
      <c r="G932" s="85" t="s">
        <v>707</v>
      </c>
      <c r="H932" s="85" t="s">
        <v>1114</v>
      </c>
      <c r="I932" s="85">
        <v>1</v>
      </c>
      <c r="J932" s="87">
        <v>19.670000000000002</v>
      </c>
      <c r="K932" s="88">
        <f t="shared" si="45"/>
        <v>19.670000000000002</v>
      </c>
      <c r="L932" s="85" t="s">
        <v>1270</v>
      </c>
      <c r="M932" s="140" t="s">
        <v>989</v>
      </c>
      <c r="N932" s="84"/>
      <c r="O932" s="84" t="s">
        <v>43</v>
      </c>
    </row>
    <row r="933" spans="1:15" hidden="1" x14ac:dyDescent="0.2">
      <c r="A933" s="84" t="str">
        <f t="shared" si="43"/>
        <v>MarçoSEMANA 3Saco de Lixo 20 Lt</v>
      </c>
      <c r="B933" s="85" t="s">
        <v>31</v>
      </c>
      <c r="C933" s="85" t="s">
        <v>22</v>
      </c>
      <c r="D933" s="86">
        <v>15</v>
      </c>
      <c r="E933" s="116" t="str">
        <f t="shared" si="44"/>
        <v>Limpeza</v>
      </c>
      <c r="F933" s="85" t="s">
        <v>1269</v>
      </c>
      <c r="G933" s="85" t="s">
        <v>710</v>
      </c>
      <c r="H933" s="85" t="s">
        <v>1114</v>
      </c>
      <c r="I933" s="85">
        <v>1</v>
      </c>
      <c r="J933" s="87">
        <v>5.76</v>
      </c>
      <c r="K933" s="88">
        <f t="shared" si="45"/>
        <v>5.76</v>
      </c>
      <c r="L933" s="85" t="s">
        <v>1270</v>
      </c>
      <c r="M933" s="140" t="s">
        <v>816</v>
      </c>
      <c r="N933" s="84"/>
      <c r="O933" s="84" t="s">
        <v>43</v>
      </c>
    </row>
    <row r="934" spans="1:15" hidden="1" x14ac:dyDescent="0.2">
      <c r="A934" s="84" t="str">
        <f t="shared" si="43"/>
        <v>MarçoSEMANA 3Saco de Lixo 200 Lt</v>
      </c>
      <c r="B934" s="85" t="s">
        <v>31</v>
      </c>
      <c r="C934" s="85" t="s">
        <v>22</v>
      </c>
      <c r="D934" s="86">
        <v>15</v>
      </c>
      <c r="E934" s="116" t="str">
        <f t="shared" si="44"/>
        <v>Limpeza</v>
      </c>
      <c r="F934" s="85" t="s">
        <v>1269</v>
      </c>
      <c r="G934" s="85" t="s">
        <v>711</v>
      </c>
      <c r="H934" s="85" t="s">
        <v>1114</v>
      </c>
      <c r="I934" s="85">
        <v>2</v>
      </c>
      <c r="J934" s="87">
        <v>44.16</v>
      </c>
      <c r="K934" s="88">
        <f t="shared" si="45"/>
        <v>88.32</v>
      </c>
      <c r="L934" s="85" t="s">
        <v>1270</v>
      </c>
      <c r="M934" s="140" t="s">
        <v>817</v>
      </c>
      <c r="N934" s="84"/>
      <c r="O934" s="84" t="s">
        <v>43</v>
      </c>
    </row>
    <row r="935" spans="1:15" x14ac:dyDescent="0.25">
      <c r="A935" s="84" t="str">
        <f t="shared" si="43"/>
        <v xml:space="preserve">MarçoSEMANA 3Abacaxi </v>
      </c>
      <c r="B935" s="85" t="s">
        <v>31</v>
      </c>
      <c r="C935" s="85" t="s">
        <v>22</v>
      </c>
      <c r="D935" s="86">
        <v>16</v>
      </c>
      <c r="E935" s="116" t="str">
        <f t="shared" si="44"/>
        <v>Hortifruti</v>
      </c>
      <c r="F935" s="85" t="s">
        <v>1111</v>
      </c>
      <c r="G935" s="85" t="s">
        <v>65</v>
      </c>
      <c r="H935" s="85" t="s">
        <v>1083</v>
      </c>
      <c r="I935" s="85">
        <v>10</v>
      </c>
      <c r="J935" s="87">
        <v>3.25</v>
      </c>
      <c r="K935" s="88">
        <f t="shared" si="45"/>
        <v>32.5</v>
      </c>
      <c r="L935" s="85">
        <v>18816</v>
      </c>
      <c r="M935" s="140" t="s">
        <v>818</v>
      </c>
      <c r="N935" s="84"/>
      <c r="O935" s="84" t="s">
        <v>43</v>
      </c>
    </row>
    <row r="936" spans="1:15" x14ac:dyDescent="0.25">
      <c r="A936" s="84" t="str">
        <f t="shared" si="43"/>
        <v>MarçoSEMANA 3Côco Verde</v>
      </c>
      <c r="B936" s="85" t="s">
        <v>31</v>
      </c>
      <c r="C936" s="85" t="s">
        <v>22</v>
      </c>
      <c r="D936" s="86">
        <v>16</v>
      </c>
      <c r="E936" s="116" t="str">
        <f t="shared" si="44"/>
        <v>Hortifruti</v>
      </c>
      <c r="F936" s="85" t="s">
        <v>1111</v>
      </c>
      <c r="G936" s="85" t="s">
        <v>288</v>
      </c>
      <c r="H936" s="85" t="s">
        <v>1090</v>
      </c>
      <c r="I936" s="85">
        <v>20</v>
      </c>
      <c r="J936" s="87">
        <v>2.25</v>
      </c>
      <c r="K936" s="88">
        <f t="shared" si="45"/>
        <v>45</v>
      </c>
      <c r="L936" s="85">
        <v>18816</v>
      </c>
      <c r="M936" s="140" t="s">
        <v>819</v>
      </c>
      <c r="N936" s="84"/>
      <c r="O936" s="84" t="s">
        <v>42</v>
      </c>
    </row>
    <row r="937" spans="1:15" x14ac:dyDescent="0.25">
      <c r="A937" s="84" t="str">
        <f t="shared" si="43"/>
        <v>MarçoSEMANA 3Kiwi</v>
      </c>
      <c r="B937" s="85" t="s">
        <v>31</v>
      </c>
      <c r="C937" s="85" t="s">
        <v>22</v>
      </c>
      <c r="D937" s="86">
        <v>16</v>
      </c>
      <c r="E937" s="116" t="str">
        <f t="shared" si="44"/>
        <v>Hortifruti</v>
      </c>
      <c r="F937" s="85" t="s">
        <v>1111</v>
      </c>
      <c r="G937" s="85" t="s">
        <v>453</v>
      </c>
      <c r="H937" s="85" t="s">
        <v>1083</v>
      </c>
      <c r="I937" s="85">
        <v>0.5</v>
      </c>
      <c r="J937" s="87">
        <v>12</v>
      </c>
      <c r="K937" s="88">
        <f t="shared" si="45"/>
        <v>6</v>
      </c>
      <c r="L937" s="85">
        <v>18816</v>
      </c>
      <c r="M937" s="140" t="s">
        <v>820</v>
      </c>
      <c r="N937" s="84"/>
      <c r="O937" s="84" t="s">
        <v>42</v>
      </c>
    </row>
    <row r="938" spans="1:15" x14ac:dyDescent="0.25">
      <c r="A938" s="84" t="str">
        <f t="shared" si="43"/>
        <v>MarçoSEMANA 3Melância</v>
      </c>
      <c r="B938" s="85" t="s">
        <v>31</v>
      </c>
      <c r="C938" s="85" t="s">
        <v>22</v>
      </c>
      <c r="D938" s="86">
        <v>16</v>
      </c>
      <c r="E938" s="116" t="str">
        <f t="shared" si="44"/>
        <v>Hortifruti</v>
      </c>
      <c r="F938" s="85" t="s">
        <v>1111</v>
      </c>
      <c r="G938" s="85" t="s">
        <v>516</v>
      </c>
      <c r="H938" s="85" t="s">
        <v>1083</v>
      </c>
      <c r="I938" s="85">
        <v>10</v>
      </c>
      <c r="J938" s="87">
        <v>1.52</v>
      </c>
      <c r="K938" s="88">
        <f t="shared" si="45"/>
        <v>15.2</v>
      </c>
      <c r="L938" s="85">
        <v>18816</v>
      </c>
      <c r="M938" s="140" t="s">
        <v>821</v>
      </c>
      <c r="N938" s="84"/>
      <c r="O938" s="84" t="s">
        <v>42</v>
      </c>
    </row>
    <row r="939" spans="1:15" x14ac:dyDescent="0.25">
      <c r="A939" s="84" t="str">
        <f t="shared" si="43"/>
        <v>MarçoSEMANA 3Couve Manteiga</v>
      </c>
      <c r="B939" s="85" t="s">
        <v>31</v>
      </c>
      <c r="C939" s="85" t="s">
        <v>22</v>
      </c>
      <c r="D939" s="86">
        <v>16</v>
      </c>
      <c r="E939" s="116" t="str">
        <f t="shared" si="44"/>
        <v>Hortifruti</v>
      </c>
      <c r="F939" s="85" t="s">
        <v>1111</v>
      </c>
      <c r="G939" s="85" t="s">
        <v>307</v>
      </c>
      <c r="H939" s="85" t="s">
        <v>1083</v>
      </c>
      <c r="I939" s="85"/>
      <c r="J939" s="87"/>
      <c r="K939" s="88">
        <f t="shared" si="45"/>
        <v>0</v>
      </c>
      <c r="L939" s="85" t="s">
        <v>1271</v>
      </c>
      <c r="M939" s="140" t="s">
        <v>822</v>
      </c>
      <c r="N939" s="84"/>
      <c r="O939" s="84" t="s">
        <v>872</v>
      </c>
    </row>
    <row r="940" spans="1:15" hidden="1" x14ac:dyDescent="0.2">
      <c r="A940" s="84" t="str">
        <f t="shared" si="43"/>
        <v>MarçoSEMANA 3Salsa Crespa Sushi</v>
      </c>
      <c r="B940" s="85" t="s">
        <v>31</v>
      </c>
      <c r="C940" s="85" t="s">
        <v>22</v>
      </c>
      <c r="D940" s="86">
        <v>16</v>
      </c>
      <c r="E940" s="116" t="str">
        <f t="shared" si="44"/>
        <v>Sushi</v>
      </c>
      <c r="F940" s="85" t="s">
        <v>1111</v>
      </c>
      <c r="G940" s="85" t="s">
        <v>730</v>
      </c>
      <c r="H940" s="85" t="s">
        <v>1083</v>
      </c>
      <c r="I940" s="85">
        <v>0.1</v>
      </c>
      <c r="J940" s="87">
        <v>13</v>
      </c>
      <c r="K940" s="88">
        <f t="shared" si="45"/>
        <v>1.3</v>
      </c>
      <c r="L940" s="85">
        <v>18816</v>
      </c>
      <c r="M940" s="140" t="s">
        <v>823</v>
      </c>
      <c r="N940" s="84"/>
      <c r="O940" s="84" t="s">
        <v>871</v>
      </c>
    </row>
    <row r="941" spans="1:15" hidden="1" x14ac:dyDescent="0.2">
      <c r="A941" s="84" t="str">
        <f t="shared" si="43"/>
        <v>MarçoSEMANA 3Côco Seco</v>
      </c>
      <c r="B941" s="85" t="s">
        <v>31</v>
      </c>
      <c r="C941" s="85" t="s">
        <v>22</v>
      </c>
      <c r="D941" s="86">
        <v>16</v>
      </c>
      <c r="E941" s="116" t="str">
        <f t="shared" si="44"/>
        <v>Mercado</v>
      </c>
      <c r="F941" s="85" t="s">
        <v>1111</v>
      </c>
      <c r="G941" s="85" t="s">
        <v>287</v>
      </c>
      <c r="H941" s="85" t="s">
        <v>1083</v>
      </c>
      <c r="I941" s="85">
        <v>3</v>
      </c>
      <c r="J941" s="87">
        <v>5.9</v>
      </c>
      <c r="K941" s="88">
        <f t="shared" si="45"/>
        <v>17.700000000000003</v>
      </c>
      <c r="L941" s="85">
        <v>18816</v>
      </c>
      <c r="M941" s="140" t="s">
        <v>824</v>
      </c>
      <c r="N941" s="84"/>
      <c r="O941" s="84" t="s">
        <v>42</v>
      </c>
    </row>
    <row r="942" spans="1:15" x14ac:dyDescent="0.25">
      <c r="A942" s="84" t="str">
        <f t="shared" si="43"/>
        <v>MarçoSEMANA 3Inhame</v>
      </c>
      <c r="B942" s="85" t="s">
        <v>31</v>
      </c>
      <c r="C942" s="85" t="s">
        <v>22</v>
      </c>
      <c r="D942" s="86">
        <v>16</v>
      </c>
      <c r="E942" s="116" t="str">
        <f t="shared" si="44"/>
        <v>Hortifruti</v>
      </c>
      <c r="F942" s="85" t="s">
        <v>1111</v>
      </c>
      <c r="G942" s="85" t="s">
        <v>448</v>
      </c>
      <c r="H942" s="85" t="s">
        <v>1083</v>
      </c>
      <c r="I942" s="85">
        <v>4</v>
      </c>
      <c r="J942" s="87">
        <v>3.5</v>
      </c>
      <c r="K942" s="88">
        <f t="shared" si="45"/>
        <v>14</v>
      </c>
      <c r="L942" s="85">
        <v>18816</v>
      </c>
      <c r="M942" s="140" t="s">
        <v>825</v>
      </c>
      <c r="N942" s="84"/>
      <c r="O942" s="84" t="s">
        <v>42</v>
      </c>
    </row>
    <row r="943" spans="1:15" x14ac:dyDescent="0.25">
      <c r="A943" s="84" t="str">
        <f t="shared" si="43"/>
        <v>MarçoSEMANA 3Ovos Extra</v>
      </c>
      <c r="B943" s="85" t="s">
        <v>31</v>
      </c>
      <c r="C943" s="85" t="s">
        <v>22</v>
      </c>
      <c r="D943" s="86">
        <v>16</v>
      </c>
      <c r="E943" s="116" t="str">
        <f t="shared" si="44"/>
        <v>Hortifruti</v>
      </c>
      <c r="F943" s="85" t="s">
        <v>1111</v>
      </c>
      <c r="G943" s="85" t="s">
        <v>549</v>
      </c>
      <c r="H943" s="85" t="s">
        <v>1090</v>
      </c>
      <c r="I943" s="85">
        <v>360</v>
      </c>
      <c r="J943" s="87">
        <f>107/360</f>
        <v>0.29722222222222222</v>
      </c>
      <c r="K943" s="88">
        <f t="shared" si="45"/>
        <v>107</v>
      </c>
      <c r="L943" s="85">
        <v>18816</v>
      </c>
      <c r="M943" s="140" t="s">
        <v>826</v>
      </c>
      <c r="N943" s="84"/>
      <c r="O943" s="84" t="s">
        <v>871</v>
      </c>
    </row>
    <row r="944" spans="1:15" hidden="1" x14ac:dyDescent="0.2">
      <c r="A944" s="84" t="str">
        <f t="shared" si="43"/>
        <v>MarçoSEMANA 3Farinha Panco (sushi)</v>
      </c>
      <c r="B944" s="85" t="s">
        <v>31</v>
      </c>
      <c r="C944" s="85" t="s">
        <v>22</v>
      </c>
      <c r="D944" s="86">
        <v>13</v>
      </c>
      <c r="E944" s="116" t="str">
        <f t="shared" si="44"/>
        <v>Sushi</v>
      </c>
      <c r="F944" s="85" t="s">
        <v>1125</v>
      </c>
      <c r="G944" s="85" t="s">
        <v>1031</v>
      </c>
      <c r="H944" s="85" t="s">
        <v>1083</v>
      </c>
      <c r="I944" s="85">
        <v>1</v>
      </c>
      <c r="J944" s="87">
        <v>17.7</v>
      </c>
      <c r="K944" s="88">
        <f t="shared" si="45"/>
        <v>17.7</v>
      </c>
      <c r="L944" s="85" t="s">
        <v>1235</v>
      </c>
      <c r="M944" s="140" t="s">
        <v>827</v>
      </c>
      <c r="N944" s="84"/>
      <c r="O944" s="84" t="s">
        <v>45</v>
      </c>
    </row>
    <row r="945" spans="1:15" x14ac:dyDescent="0.25">
      <c r="A945" s="84" t="str">
        <f t="shared" si="43"/>
        <v>MarçoSEMANA 3Alho Descascado</v>
      </c>
      <c r="B945" s="85" t="s">
        <v>31</v>
      </c>
      <c r="C945" s="85" t="s">
        <v>22</v>
      </c>
      <c r="D945" s="86">
        <v>16</v>
      </c>
      <c r="E945" s="116" t="str">
        <f t="shared" si="44"/>
        <v>Hortifruti</v>
      </c>
      <c r="F945" s="85" t="s">
        <v>1144</v>
      </c>
      <c r="G945" s="85" t="s">
        <v>112</v>
      </c>
      <c r="H945" s="85" t="s">
        <v>1083</v>
      </c>
      <c r="I945" s="85">
        <v>20</v>
      </c>
      <c r="J945" s="87">
        <v>13.5</v>
      </c>
      <c r="K945" s="88">
        <f t="shared" si="45"/>
        <v>270</v>
      </c>
      <c r="L945" s="85"/>
      <c r="M945" s="140" t="s">
        <v>828</v>
      </c>
      <c r="N945" s="84"/>
      <c r="O945" s="84" t="s">
        <v>45</v>
      </c>
    </row>
    <row r="946" spans="1:15" x14ac:dyDescent="0.25">
      <c r="A946" s="84" t="str">
        <f t="shared" si="43"/>
        <v>MarçoSEMANA 3Beterraba</v>
      </c>
      <c r="B946" s="85" t="s">
        <v>31</v>
      </c>
      <c r="C946" s="85" t="s">
        <v>22</v>
      </c>
      <c r="D946" s="86">
        <v>16</v>
      </c>
      <c r="E946" s="116" t="str">
        <f t="shared" si="44"/>
        <v>Hortifruti</v>
      </c>
      <c r="F946" s="85" t="s">
        <v>1110</v>
      </c>
      <c r="G946" s="85" t="s">
        <v>181</v>
      </c>
      <c r="H946" s="85" t="s">
        <v>1083</v>
      </c>
      <c r="I946" s="85">
        <v>4</v>
      </c>
      <c r="J946" s="87">
        <v>2</v>
      </c>
      <c r="K946" s="88">
        <f t="shared" si="45"/>
        <v>8</v>
      </c>
      <c r="L946" s="85">
        <v>3463</v>
      </c>
      <c r="M946" s="140" t="s">
        <v>829</v>
      </c>
      <c r="N946" s="84"/>
      <c r="O946" s="84" t="s">
        <v>45</v>
      </c>
    </row>
    <row r="947" spans="1:15" x14ac:dyDescent="0.25">
      <c r="A947" s="84" t="str">
        <f t="shared" si="43"/>
        <v>MarçoSEMANA 3Vagem Macarrão</v>
      </c>
      <c r="B947" s="85" t="s">
        <v>31</v>
      </c>
      <c r="C947" s="85" t="s">
        <v>22</v>
      </c>
      <c r="D947" s="86">
        <v>16</v>
      </c>
      <c r="E947" s="116" t="str">
        <f t="shared" si="44"/>
        <v>Hortifruti</v>
      </c>
      <c r="F947" s="85" t="s">
        <v>1110</v>
      </c>
      <c r="G947" s="85" t="s">
        <v>831</v>
      </c>
      <c r="H947" s="85" t="s">
        <v>1083</v>
      </c>
      <c r="I947" s="85">
        <v>1</v>
      </c>
      <c r="J947" s="87">
        <v>8</v>
      </c>
      <c r="K947" s="88">
        <f t="shared" si="45"/>
        <v>8</v>
      </c>
      <c r="L947" s="85">
        <v>3463</v>
      </c>
      <c r="M947" s="140" t="s">
        <v>830</v>
      </c>
      <c r="N947" s="84"/>
      <c r="O947" s="84" t="s">
        <v>45</v>
      </c>
    </row>
    <row r="948" spans="1:15" x14ac:dyDescent="0.25">
      <c r="A948" s="84" t="str">
        <f t="shared" si="43"/>
        <v xml:space="preserve">MarçoSEMANA 3Alface Americana    </v>
      </c>
      <c r="B948" s="85" t="s">
        <v>31</v>
      </c>
      <c r="C948" s="85" t="s">
        <v>22</v>
      </c>
      <c r="D948" s="86">
        <v>16</v>
      </c>
      <c r="E948" s="116" t="str">
        <f t="shared" si="44"/>
        <v>Hortifruti</v>
      </c>
      <c r="F948" s="85" t="s">
        <v>1110</v>
      </c>
      <c r="G948" s="85" t="s">
        <v>102</v>
      </c>
      <c r="H948" s="85" t="s">
        <v>1083</v>
      </c>
      <c r="I948" s="85">
        <v>3.4</v>
      </c>
      <c r="J948" s="87">
        <f>24/3.4</f>
        <v>7.0588235294117645</v>
      </c>
      <c r="K948" s="88">
        <f t="shared" si="45"/>
        <v>24</v>
      </c>
      <c r="L948" s="85">
        <v>3463</v>
      </c>
      <c r="M948" s="140" t="s">
        <v>957</v>
      </c>
      <c r="N948" s="84"/>
      <c r="O948" s="84" t="s">
        <v>874</v>
      </c>
    </row>
    <row r="949" spans="1:15" x14ac:dyDescent="0.25">
      <c r="A949" s="84" t="str">
        <f t="shared" si="43"/>
        <v>MarçoSEMANA 3Alface crespa</v>
      </c>
      <c r="B949" s="85" t="s">
        <v>31</v>
      </c>
      <c r="C949" s="85" t="s">
        <v>22</v>
      </c>
      <c r="D949" s="86">
        <v>16</v>
      </c>
      <c r="E949" s="116" t="str">
        <f t="shared" si="44"/>
        <v>Hortifruti</v>
      </c>
      <c r="F949" s="85" t="s">
        <v>1110</v>
      </c>
      <c r="G949" s="85" t="s">
        <v>104</v>
      </c>
      <c r="H949" s="85" t="s">
        <v>1083</v>
      </c>
      <c r="I949" s="85">
        <v>1.76</v>
      </c>
      <c r="J949" s="87">
        <f>10.5/1.76</f>
        <v>5.9659090909090908</v>
      </c>
      <c r="K949" s="88">
        <f t="shared" si="45"/>
        <v>10.5</v>
      </c>
      <c r="L949" s="85">
        <v>3463</v>
      </c>
      <c r="M949" s="140" t="s">
        <v>831</v>
      </c>
      <c r="N949" s="84"/>
      <c r="O949" s="84" t="s">
        <v>45</v>
      </c>
    </row>
    <row r="950" spans="1:15" x14ac:dyDescent="0.25">
      <c r="A950" s="84" t="str">
        <f t="shared" si="43"/>
        <v>MarçoSEMANA 3Brócolis Americano</v>
      </c>
      <c r="B950" s="85" t="s">
        <v>31</v>
      </c>
      <c r="C950" s="85" t="s">
        <v>22</v>
      </c>
      <c r="D950" s="86">
        <v>16</v>
      </c>
      <c r="E950" s="116" t="str">
        <f t="shared" si="44"/>
        <v>Hortifruti</v>
      </c>
      <c r="F950" s="85" t="s">
        <v>1110</v>
      </c>
      <c r="G950" s="85" t="s">
        <v>194</v>
      </c>
      <c r="H950" s="85" t="s">
        <v>1083</v>
      </c>
      <c r="I950" s="85">
        <v>6</v>
      </c>
      <c r="J950" s="87">
        <v>12</v>
      </c>
      <c r="K950" s="88">
        <f t="shared" si="45"/>
        <v>72</v>
      </c>
      <c r="L950" s="85">
        <v>3463</v>
      </c>
      <c r="M950" s="140" t="s">
        <v>832</v>
      </c>
      <c r="N950" s="84"/>
      <c r="O950" s="84" t="s">
        <v>45</v>
      </c>
    </row>
    <row r="951" spans="1:15" x14ac:dyDescent="0.25">
      <c r="A951" s="84" t="str">
        <f t="shared" si="43"/>
        <v>MarçoSEMANA 3Cebolinha Verde</v>
      </c>
      <c r="B951" s="85" t="s">
        <v>31</v>
      </c>
      <c r="C951" s="85" t="s">
        <v>22</v>
      </c>
      <c r="D951" s="86">
        <v>16</v>
      </c>
      <c r="E951" s="116" t="str">
        <f t="shared" si="44"/>
        <v>Hortifruti</v>
      </c>
      <c r="F951" s="85" t="s">
        <v>1110</v>
      </c>
      <c r="G951" s="85" t="s">
        <v>247</v>
      </c>
      <c r="H951" s="85" t="s">
        <v>1083</v>
      </c>
      <c r="I951" s="85">
        <v>1</v>
      </c>
      <c r="J951" s="87">
        <v>7</v>
      </c>
      <c r="K951" s="88">
        <f t="shared" si="45"/>
        <v>7</v>
      </c>
      <c r="L951" s="85">
        <v>3463</v>
      </c>
      <c r="M951" s="140" t="s">
        <v>982</v>
      </c>
      <c r="N951" s="84"/>
      <c r="O951" s="84" t="s">
        <v>45</v>
      </c>
    </row>
    <row r="952" spans="1:15" x14ac:dyDescent="0.25">
      <c r="A952" s="84" t="str">
        <f t="shared" si="43"/>
        <v>MarçoSEMANA 3Salsa</v>
      </c>
      <c r="B952" s="85" t="s">
        <v>31</v>
      </c>
      <c r="C952" s="85" t="s">
        <v>22</v>
      </c>
      <c r="D952" s="86">
        <v>16</v>
      </c>
      <c r="E952" s="116" t="str">
        <f t="shared" si="44"/>
        <v>Hortifruti</v>
      </c>
      <c r="F952" s="85" t="s">
        <v>1110</v>
      </c>
      <c r="G952" s="85" t="s">
        <v>728</v>
      </c>
      <c r="H952" s="85" t="s">
        <v>1083</v>
      </c>
      <c r="I952" s="85">
        <v>2</v>
      </c>
      <c r="J952" s="87">
        <v>7</v>
      </c>
      <c r="K952" s="88">
        <f t="shared" si="45"/>
        <v>14</v>
      </c>
      <c r="L952" s="85">
        <v>3463</v>
      </c>
      <c r="M952" s="140" t="s">
        <v>833</v>
      </c>
      <c r="N952" s="84"/>
      <c r="O952" s="84" t="s">
        <v>46</v>
      </c>
    </row>
    <row r="953" spans="1:15" x14ac:dyDescent="0.25">
      <c r="A953" s="84" t="str">
        <f t="shared" si="43"/>
        <v>MarçoSEMANA 3Capim Limão</v>
      </c>
      <c r="B953" s="85" t="s">
        <v>31</v>
      </c>
      <c r="C953" s="85" t="s">
        <v>22</v>
      </c>
      <c r="D953" s="86">
        <v>16</v>
      </c>
      <c r="E953" s="116" t="str">
        <f t="shared" si="44"/>
        <v>Hortifruti</v>
      </c>
      <c r="F953" s="85" t="s">
        <v>1110</v>
      </c>
      <c r="G953" s="85" t="s">
        <v>211</v>
      </c>
      <c r="H953" s="85" t="s">
        <v>1083</v>
      </c>
      <c r="I953" s="85">
        <v>0.1</v>
      </c>
      <c r="J953" s="87">
        <v>15</v>
      </c>
      <c r="K953" s="88">
        <f t="shared" si="45"/>
        <v>1.5</v>
      </c>
      <c r="L953" s="85">
        <v>3463</v>
      </c>
      <c r="M953" s="140" t="s">
        <v>834</v>
      </c>
      <c r="O953" s="115" t="s">
        <v>46</v>
      </c>
    </row>
    <row r="954" spans="1:15" x14ac:dyDescent="0.25">
      <c r="A954" s="84" t="str">
        <f t="shared" si="43"/>
        <v>MarçoSEMANA 3Laranja Pera</v>
      </c>
      <c r="B954" s="85" t="s">
        <v>31</v>
      </c>
      <c r="C954" s="85" t="s">
        <v>22</v>
      </c>
      <c r="D954" s="86">
        <v>16</v>
      </c>
      <c r="E954" s="116" t="str">
        <f t="shared" si="44"/>
        <v>Hortifruti</v>
      </c>
      <c r="F954" s="85" t="s">
        <v>1110</v>
      </c>
      <c r="G954" s="85" t="s">
        <v>456</v>
      </c>
      <c r="H954" s="85" t="s">
        <v>1083</v>
      </c>
      <c r="I954" s="85">
        <v>19.2</v>
      </c>
      <c r="J954" s="87">
        <f>33/19.2</f>
        <v>1.71875</v>
      </c>
      <c r="K954" s="88">
        <f t="shared" si="45"/>
        <v>33</v>
      </c>
      <c r="L954" s="85">
        <v>3463</v>
      </c>
      <c r="M954" s="120" t="s">
        <v>1049</v>
      </c>
      <c r="O954" s="84" t="s">
        <v>46</v>
      </c>
    </row>
    <row r="955" spans="1:15" x14ac:dyDescent="0.25">
      <c r="A955" s="84" t="str">
        <f t="shared" si="43"/>
        <v>MarçoSEMANA 3Mamão Bahia</v>
      </c>
      <c r="B955" s="85" t="s">
        <v>31</v>
      </c>
      <c r="C955" s="85" t="s">
        <v>22</v>
      </c>
      <c r="D955" s="86">
        <v>16</v>
      </c>
      <c r="E955" s="116" t="str">
        <f t="shared" si="44"/>
        <v>Hortifruti</v>
      </c>
      <c r="F955" s="85" t="s">
        <v>1110</v>
      </c>
      <c r="G955" s="85" t="s">
        <v>493</v>
      </c>
      <c r="H955" s="85" t="s">
        <v>1083</v>
      </c>
      <c r="I955" s="85">
        <v>2</v>
      </c>
      <c r="J955" s="87">
        <v>2.8</v>
      </c>
      <c r="K955" s="88">
        <f t="shared" si="45"/>
        <v>5.6</v>
      </c>
      <c r="L955" s="85">
        <v>3463</v>
      </c>
      <c r="M955" s="140" t="s">
        <v>835</v>
      </c>
      <c r="N955" s="84"/>
      <c r="O955" s="84" t="s">
        <v>46</v>
      </c>
    </row>
    <row r="956" spans="1:15" x14ac:dyDescent="0.25">
      <c r="A956" s="84" t="str">
        <f t="shared" si="43"/>
        <v>MarçoSEMANA 3Manga Palmer</v>
      </c>
      <c r="B956" s="85" t="s">
        <v>31</v>
      </c>
      <c r="C956" s="85" t="s">
        <v>22</v>
      </c>
      <c r="D956" s="86">
        <v>16</v>
      </c>
      <c r="E956" s="116" t="str">
        <f t="shared" si="44"/>
        <v>Hortifruti</v>
      </c>
      <c r="F956" s="85" t="s">
        <v>1110</v>
      </c>
      <c r="G956" s="85" t="s">
        <v>495</v>
      </c>
      <c r="H956" s="85" t="s">
        <v>1083</v>
      </c>
      <c r="I956" s="85">
        <v>6.08</v>
      </c>
      <c r="J956" s="87">
        <f>25/6.08</f>
        <v>4.1118421052631575</v>
      </c>
      <c r="K956" s="88">
        <f t="shared" si="45"/>
        <v>24.999999999999996</v>
      </c>
      <c r="L956" s="85">
        <v>3463</v>
      </c>
      <c r="M956" s="140" t="s">
        <v>836</v>
      </c>
      <c r="N956" s="84"/>
      <c r="O956" s="84" t="s">
        <v>46</v>
      </c>
    </row>
    <row r="957" spans="1:15" x14ac:dyDescent="0.25">
      <c r="A957" s="84" t="str">
        <f t="shared" si="43"/>
        <v>MarçoSEMANA 3Melão Orange</v>
      </c>
      <c r="B957" s="85" t="s">
        <v>31</v>
      </c>
      <c r="C957" s="85" t="s">
        <v>22</v>
      </c>
      <c r="D957" s="86">
        <v>16</v>
      </c>
      <c r="E957" s="116" t="str">
        <f t="shared" si="44"/>
        <v>Hortifruti</v>
      </c>
      <c r="F957" s="85" t="s">
        <v>1110</v>
      </c>
      <c r="G957" s="85" t="s">
        <v>518</v>
      </c>
      <c r="H957" s="85" t="s">
        <v>1083</v>
      </c>
      <c r="I957" s="85">
        <v>2</v>
      </c>
      <c r="J957" s="87">
        <v>4.8</v>
      </c>
      <c r="K957" s="88">
        <f t="shared" si="45"/>
        <v>9.6</v>
      </c>
      <c r="L957" s="85">
        <v>3463</v>
      </c>
      <c r="M957" s="140" t="s">
        <v>837</v>
      </c>
      <c r="N957" s="84"/>
      <c r="O957" s="84" t="s">
        <v>42</v>
      </c>
    </row>
    <row r="958" spans="1:15" hidden="1" x14ac:dyDescent="0.2">
      <c r="A958" s="84" t="str">
        <f t="shared" si="43"/>
        <v>MarçoSEMANA 3Pescados - Bacalhau Salgado</v>
      </c>
      <c r="B958" s="85" t="s">
        <v>31</v>
      </c>
      <c r="C958" s="85" t="s">
        <v>22</v>
      </c>
      <c r="D958" s="86">
        <v>16</v>
      </c>
      <c r="E958" s="116" t="str">
        <f t="shared" si="44"/>
        <v>Carnes</v>
      </c>
      <c r="F958" s="85" t="s">
        <v>1108</v>
      </c>
      <c r="G958" s="85" t="s">
        <v>588</v>
      </c>
      <c r="H958" s="85" t="s">
        <v>1083</v>
      </c>
      <c r="I958" s="85">
        <v>25</v>
      </c>
      <c r="J958" s="87">
        <f>1372.88/25</f>
        <v>54.915200000000006</v>
      </c>
      <c r="K958" s="88">
        <f t="shared" si="45"/>
        <v>1372.88</v>
      </c>
      <c r="L958" s="85" t="s">
        <v>1272</v>
      </c>
      <c r="M958" s="120" t="s">
        <v>1025</v>
      </c>
      <c r="O958" s="84" t="s">
        <v>42</v>
      </c>
    </row>
    <row r="959" spans="1:15" hidden="1" x14ac:dyDescent="0.2">
      <c r="A959" s="84" t="str">
        <f t="shared" si="43"/>
        <v>MarçoSEMANA 3Guardanapo Pequeno</v>
      </c>
      <c r="B959" s="85" t="s">
        <v>31</v>
      </c>
      <c r="C959" s="85" t="s">
        <v>22</v>
      </c>
      <c r="D959" s="86">
        <v>16</v>
      </c>
      <c r="E959" s="116" t="str">
        <f t="shared" si="44"/>
        <v>Descartável</v>
      </c>
      <c r="F959" s="85" t="s">
        <v>1159</v>
      </c>
      <c r="G959" s="85" t="s">
        <v>399</v>
      </c>
      <c r="H959" s="85" t="s">
        <v>1083</v>
      </c>
      <c r="I959" s="85">
        <f>3*96</f>
        <v>288</v>
      </c>
      <c r="J959" s="87">
        <f>511.65/288</f>
        <v>1.7765624999999998</v>
      </c>
      <c r="K959" s="88">
        <f t="shared" si="45"/>
        <v>511.65</v>
      </c>
      <c r="L959" s="85">
        <v>40866</v>
      </c>
      <c r="M959" s="140" t="s">
        <v>894</v>
      </c>
      <c r="N959" s="84"/>
      <c r="O959" s="84" t="s">
        <v>42</v>
      </c>
    </row>
    <row r="960" spans="1:15" x14ac:dyDescent="0.25">
      <c r="A960" s="84" t="str">
        <f t="shared" si="43"/>
        <v>MarçoSEMANA 3Couve Manteiga</v>
      </c>
      <c r="B960" s="85" t="s">
        <v>31</v>
      </c>
      <c r="C960" s="85" t="s">
        <v>22</v>
      </c>
      <c r="D960" s="86">
        <v>16</v>
      </c>
      <c r="E960" s="116" t="str">
        <f t="shared" si="44"/>
        <v>Hortifruti</v>
      </c>
      <c r="F960" s="85" t="s">
        <v>1118</v>
      </c>
      <c r="G960" s="85" t="s">
        <v>307</v>
      </c>
      <c r="H960" s="85" t="s">
        <v>1083</v>
      </c>
      <c r="I960" s="85">
        <v>0.18</v>
      </c>
      <c r="J960" s="87">
        <f>1.65/0.18</f>
        <v>9.1666666666666661</v>
      </c>
      <c r="K960" s="88">
        <f t="shared" si="45"/>
        <v>1.65</v>
      </c>
      <c r="L960" s="85">
        <v>21618</v>
      </c>
      <c r="M960" s="140" t="s">
        <v>838</v>
      </c>
      <c r="N960" s="84"/>
      <c r="O960" s="84" t="s">
        <v>60</v>
      </c>
    </row>
    <row r="961" spans="1:15" hidden="1" x14ac:dyDescent="0.2">
      <c r="A961" s="84" t="str">
        <f t="shared" si="43"/>
        <v>MarçoSEMANA 3Pão Árabe</v>
      </c>
      <c r="B961" s="85" t="s">
        <v>31</v>
      </c>
      <c r="C961" s="85" t="s">
        <v>22</v>
      </c>
      <c r="D961" s="86">
        <v>16</v>
      </c>
      <c r="E961" s="116" t="str">
        <f t="shared" si="44"/>
        <v>Mercado</v>
      </c>
      <c r="F961" s="85" t="s">
        <v>1118</v>
      </c>
      <c r="G961" s="85" t="s">
        <v>560</v>
      </c>
      <c r="H961" s="85" t="s">
        <v>1114</v>
      </c>
      <c r="I961" s="85">
        <v>1</v>
      </c>
      <c r="J961" s="87">
        <v>6.7</v>
      </c>
      <c r="K961" s="88">
        <f t="shared" si="45"/>
        <v>6.7</v>
      </c>
      <c r="L961" s="85">
        <v>21618</v>
      </c>
      <c r="M961" s="140" t="s">
        <v>839</v>
      </c>
      <c r="N961" s="84"/>
      <c r="O961" s="84" t="s">
        <v>60</v>
      </c>
    </row>
    <row r="962" spans="1:15" hidden="1" x14ac:dyDescent="0.2">
      <c r="A962" s="84" t="str">
        <f t="shared" ref="A962:A1025" si="46">CONCATENATE(B962,C962,G962)</f>
        <v xml:space="preserve">MarçoSEMANA 3Tapioca Granulada </v>
      </c>
      <c r="B962" s="85" t="s">
        <v>31</v>
      </c>
      <c r="C962" s="85" t="s">
        <v>22</v>
      </c>
      <c r="D962" s="86">
        <v>16</v>
      </c>
      <c r="E962" s="116" t="str">
        <f t="shared" ref="E962:E1025" si="47">VLOOKUP(G962,$M$1:$O$993,3,0)</f>
        <v>Mercado</v>
      </c>
      <c r="F962" s="85" t="s">
        <v>1117</v>
      </c>
      <c r="G962" s="85" t="s">
        <v>784</v>
      </c>
      <c r="H962" s="85" t="s">
        <v>1083</v>
      </c>
      <c r="I962" s="85">
        <f>4*0.5</f>
        <v>2</v>
      </c>
      <c r="J962" s="87">
        <f>35.16/2</f>
        <v>17.579999999999998</v>
      </c>
      <c r="K962" s="88">
        <f t="shared" ref="K962:K1025" si="48">I962*J962</f>
        <v>35.159999999999997</v>
      </c>
      <c r="L962" s="85">
        <v>2856</v>
      </c>
      <c r="M962" s="140" t="s">
        <v>840</v>
      </c>
      <c r="N962" s="84"/>
      <c r="O962" s="84" t="s">
        <v>42</v>
      </c>
    </row>
    <row r="963" spans="1:15" x14ac:dyDescent="0.25">
      <c r="A963" s="84" t="str">
        <f t="shared" si="46"/>
        <v>MarçoSEMANA 3Rúcula</v>
      </c>
      <c r="B963" s="85" t="s">
        <v>31</v>
      </c>
      <c r="C963" s="85" t="s">
        <v>22</v>
      </c>
      <c r="D963" s="86">
        <v>16</v>
      </c>
      <c r="E963" s="116" t="str">
        <f t="shared" si="47"/>
        <v>Hortifruti</v>
      </c>
      <c r="F963" s="85" t="s">
        <v>1158</v>
      </c>
      <c r="G963" s="85" t="s">
        <v>705</v>
      </c>
      <c r="H963" s="85" t="s">
        <v>1083</v>
      </c>
      <c r="I963" s="85">
        <v>2</v>
      </c>
      <c r="J963" s="87">
        <f>16.9/2</f>
        <v>8.4499999999999993</v>
      </c>
      <c r="K963" s="88">
        <f t="shared" si="48"/>
        <v>16.899999999999999</v>
      </c>
      <c r="L963" s="85">
        <v>51312</v>
      </c>
      <c r="M963" s="140" t="s">
        <v>841</v>
      </c>
      <c r="N963" s="84"/>
      <c r="O963" s="84" t="s">
        <v>42</v>
      </c>
    </row>
    <row r="964" spans="1:15" hidden="1" x14ac:dyDescent="0.2">
      <c r="A964" s="84" t="str">
        <f t="shared" si="46"/>
        <v>MarçoSEMANA 3Pescados - Dourado Fresco Sushi</v>
      </c>
      <c r="B964" s="85" t="s">
        <v>31</v>
      </c>
      <c r="C964" s="85" t="s">
        <v>22</v>
      </c>
      <c r="D964" s="86">
        <v>16</v>
      </c>
      <c r="E964" s="116" t="str">
        <f t="shared" si="47"/>
        <v>Sushi</v>
      </c>
      <c r="F964" s="85" t="s">
        <v>1131</v>
      </c>
      <c r="G964" s="85" t="s">
        <v>604</v>
      </c>
      <c r="H964" s="85" t="s">
        <v>1083</v>
      </c>
      <c r="I964" s="85">
        <v>3</v>
      </c>
      <c r="J964" s="87">
        <v>15</v>
      </c>
      <c r="K964" s="88">
        <f t="shared" si="48"/>
        <v>45</v>
      </c>
      <c r="L964" s="85" t="s">
        <v>1273</v>
      </c>
      <c r="M964" s="140" t="s">
        <v>842</v>
      </c>
      <c r="N964" s="84"/>
      <c r="O964" s="84" t="s">
        <v>42</v>
      </c>
    </row>
    <row r="965" spans="1:15" hidden="1" x14ac:dyDescent="0.2">
      <c r="A965" s="84" t="str">
        <f t="shared" si="46"/>
        <v>MarçoSEMANA 3Torta Xcake Framboesa</v>
      </c>
      <c r="B965" s="85" t="s">
        <v>31</v>
      </c>
      <c r="C965" s="85" t="s">
        <v>22</v>
      </c>
      <c r="D965" s="86">
        <v>16</v>
      </c>
      <c r="E965" s="116" t="str">
        <f t="shared" si="47"/>
        <v>Sobremesa</v>
      </c>
      <c r="F965" s="85" t="s">
        <v>1274</v>
      </c>
      <c r="G965" s="85" t="s">
        <v>818</v>
      </c>
      <c r="H965" s="85" t="s">
        <v>1147</v>
      </c>
      <c r="I965" s="85">
        <f>3*12</f>
        <v>36</v>
      </c>
      <c r="J965" s="87">
        <f>222/36</f>
        <v>6.166666666666667</v>
      </c>
      <c r="K965" s="88">
        <f t="shared" si="48"/>
        <v>222</v>
      </c>
      <c r="L965" s="85">
        <v>54703</v>
      </c>
      <c r="M965" s="140" t="s">
        <v>843</v>
      </c>
      <c r="N965" s="84"/>
      <c r="O965" s="84" t="s">
        <v>47</v>
      </c>
    </row>
    <row r="966" spans="1:15" hidden="1" x14ac:dyDescent="0.2">
      <c r="A966" s="84" t="str">
        <f t="shared" si="46"/>
        <v>MarçoSEMANA 3Geléia de Framboesa</v>
      </c>
      <c r="B966" s="85" t="s">
        <v>31</v>
      </c>
      <c r="C966" s="85" t="s">
        <v>22</v>
      </c>
      <c r="D966" s="86">
        <v>16</v>
      </c>
      <c r="E966" s="116" t="str">
        <f t="shared" si="47"/>
        <v>Sobremesa</v>
      </c>
      <c r="F966" s="85" t="s">
        <v>1274</v>
      </c>
      <c r="G966" s="85" t="s">
        <v>903</v>
      </c>
      <c r="H966" s="85" t="s">
        <v>1090</v>
      </c>
      <c r="I966" s="85">
        <v>2</v>
      </c>
      <c r="J966" s="87"/>
      <c r="K966" s="88">
        <f t="shared" si="48"/>
        <v>0</v>
      </c>
      <c r="L966" s="85" t="s">
        <v>1275</v>
      </c>
      <c r="M966" s="140" t="s">
        <v>844</v>
      </c>
      <c r="N966" s="84"/>
      <c r="O966" s="84" t="s">
        <v>47</v>
      </c>
    </row>
    <row r="967" spans="1:15" hidden="1" x14ac:dyDescent="0.2">
      <c r="A967" s="84" t="str">
        <f t="shared" si="46"/>
        <v>MarçoSEMANA 3Torta Alemã</v>
      </c>
      <c r="B967" s="85" t="s">
        <v>31</v>
      </c>
      <c r="C967" s="85" t="s">
        <v>22</v>
      </c>
      <c r="D967" s="86">
        <v>16</v>
      </c>
      <c r="E967" s="116" t="str">
        <f t="shared" si="47"/>
        <v>Sobremesa</v>
      </c>
      <c r="F967" s="85" t="s">
        <v>1146</v>
      </c>
      <c r="G967" s="85" t="s">
        <v>803</v>
      </c>
      <c r="H967" s="85" t="s">
        <v>1147</v>
      </c>
      <c r="I967" s="85">
        <v>12</v>
      </c>
      <c r="J967" s="87">
        <f>68.99/12</f>
        <v>5.7491666666666665</v>
      </c>
      <c r="K967" s="88">
        <f t="shared" si="48"/>
        <v>68.989999999999995</v>
      </c>
      <c r="L967" s="85">
        <v>150420</v>
      </c>
      <c r="M967" s="140" t="s">
        <v>845</v>
      </c>
      <c r="N967" s="84"/>
      <c r="O967" s="84" t="s">
        <v>47</v>
      </c>
    </row>
    <row r="968" spans="1:15" hidden="1" x14ac:dyDescent="0.2">
      <c r="A968" s="84" t="str">
        <f t="shared" si="46"/>
        <v>MarçoSEMANA 3Torta Bem Casado de Damasco</v>
      </c>
      <c r="B968" s="85" t="s">
        <v>31</v>
      </c>
      <c r="C968" s="85" t="s">
        <v>22</v>
      </c>
      <c r="D968" s="86">
        <v>16</v>
      </c>
      <c r="E968" s="116" t="str">
        <f t="shared" si="47"/>
        <v>Sobremesa</v>
      </c>
      <c r="F968" s="85" t="s">
        <v>1146</v>
      </c>
      <c r="G968" s="85" t="s">
        <v>807</v>
      </c>
      <c r="H968" s="85" t="s">
        <v>1147</v>
      </c>
      <c r="I968" s="85">
        <v>12</v>
      </c>
      <c r="J968" s="87">
        <f>71.11/12</f>
        <v>5.9258333333333333</v>
      </c>
      <c r="K968" s="88">
        <f t="shared" si="48"/>
        <v>71.11</v>
      </c>
      <c r="L968" s="85">
        <v>150420</v>
      </c>
      <c r="M968" s="140" t="s">
        <v>846</v>
      </c>
      <c r="N968" s="84"/>
      <c r="O968" s="84" t="s">
        <v>47</v>
      </c>
    </row>
    <row r="969" spans="1:15" hidden="1" x14ac:dyDescent="0.2">
      <c r="A969" s="84" t="str">
        <f t="shared" si="46"/>
        <v>MarçoSEMANA 3Torta de Limão</v>
      </c>
      <c r="B969" s="85" t="s">
        <v>31</v>
      </c>
      <c r="C969" s="85" t="s">
        <v>22</v>
      </c>
      <c r="D969" s="86">
        <v>16</v>
      </c>
      <c r="E969" s="116" t="str">
        <f t="shared" si="47"/>
        <v>Sobremesa</v>
      </c>
      <c r="F969" s="85" t="s">
        <v>1146</v>
      </c>
      <c r="G969" s="85" t="s">
        <v>813</v>
      </c>
      <c r="H969" s="85" t="s">
        <v>1147</v>
      </c>
      <c r="I969" s="85">
        <v>12</v>
      </c>
      <c r="J969" s="87">
        <f>66.86/12</f>
        <v>5.5716666666666663</v>
      </c>
      <c r="K969" s="88">
        <f t="shared" si="48"/>
        <v>66.86</v>
      </c>
      <c r="L969" s="85">
        <v>150420</v>
      </c>
      <c r="M969" s="140" t="s">
        <v>847</v>
      </c>
      <c r="N969" s="84"/>
      <c r="O969" s="84" t="s">
        <v>47</v>
      </c>
    </row>
    <row r="970" spans="1:15" hidden="1" x14ac:dyDescent="0.2">
      <c r="A970" s="84" t="str">
        <f t="shared" si="46"/>
        <v>MarçoSEMANA 3Torta Bem Casado de Doce de Leite</v>
      </c>
      <c r="B970" s="85" t="s">
        <v>31</v>
      </c>
      <c r="C970" s="85" t="s">
        <v>22</v>
      </c>
      <c r="D970" s="86">
        <v>16</v>
      </c>
      <c r="E970" s="116" t="str">
        <f t="shared" si="47"/>
        <v>Sobremesa</v>
      </c>
      <c r="F970" s="85" t="s">
        <v>1146</v>
      </c>
      <c r="G970" s="85" t="s">
        <v>808</v>
      </c>
      <c r="H970" s="85" t="s">
        <v>1147</v>
      </c>
      <c r="I970" s="85">
        <v>12</v>
      </c>
      <c r="J970" s="87">
        <f>71.11/12</f>
        <v>5.9258333333333333</v>
      </c>
      <c r="K970" s="88">
        <f t="shared" si="48"/>
        <v>71.11</v>
      </c>
      <c r="L970" s="85">
        <v>150420</v>
      </c>
      <c r="M970" s="120" t="s">
        <v>848</v>
      </c>
      <c r="O970" s="84" t="s">
        <v>47</v>
      </c>
    </row>
    <row r="971" spans="1:15" hidden="1" x14ac:dyDescent="0.2">
      <c r="A971" s="84" t="str">
        <f t="shared" si="46"/>
        <v>MarçoSEMANA 3Torta Bem Casado de Chocolate c/ Avelã</v>
      </c>
      <c r="B971" s="85" t="s">
        <v>31</v>
      </c>
      <c r="C971" s="85" t="s">
        <v>22</v>
      </c>
      <c r="D971" s="86">
        <v>16</v>
      </c>
      <c r="E971" s="116" t="str">
        <f t="shared" si="47"/>
        <v>Sobremesa</v>
      </c>
      <c r="F971" s="85" t="s">
        <v>1146</v>
      </c>
      <c r="G971" s="85" t="s">
        <v>806</v>
      </c>
      <c r="H971" s="85" t="s">
        <v>1147</v>
      </c>
      <c r="I971" s="85">
        <f>2*12</f>
        <v>24</v>
      </c>
      <c r="J971" s="87">
        <f>142.22/24</f>
        <v>5.9258333333333333</v>
      </c>
      <c r="K971" s="88">
        <f t="shared" si="48"/>
        <v>142.22</v>
      </c>
      <c r="L971" s="85">
        <v>150420</v>
      </c>
      <c r="M971" s="120" t="s">
        <v>849</v>
      </c>
      <c r="O971" s="84" t="s">
        <v>47</v>
      </c>
    </row>
    <row r="972" spans="1:15" hidden="1" x14ac:dyDescent="0.2">
      <c r="A972" s="84" t="str">
        <f t="shared" si="46"/>
        <v>MarçoSEMANA 3Torta Banana Crock</v>
      </c>
      <c r="B972" s="85" t="s">
        <v>31</v>
      </c>
      <c r="C972" s="85" t="s">
        <v>22</v>
      </c>
      <c r="D972" s="86">
        <v>16</v>
      </c>
      <c r="E972" s="116" t="str">
        <f t="shared" si="47"/>
        <v>Sobremesa</v>
      </c>
      <c r="F972" s="85" t="s">
        <v>1146</v>
      </c>
      <c r="G972" s="85" t="s">
        <v>804</v>
      </c>
      <c r="H972" s="85" t="s">
        <v>1147</v>
      </c>
      <c r="I972" s="85">
        <v>12</v>
      </c>
      <c r="J972" s="87">
        <f>71.11/12</f>
        <v>5.9258333333333333</v>
      </c>
      <c r="K972" s="88">
        <f t="shared" si="48"/>
        <v>71.11</v>
      </c>
      <c r="L972" s="85">
        <v>150420</v>
      </c>
      <c r="M972" s="120" t="s">
        <v>850</v>
      </c>
      <c r="O972" s="84" t="s">
        <v>42</v>
      </c>
    </row>
    <row r="973" spans="1:15" hidden="1" x14ac:dyDescent="0.2">
      <c r="A973" s="84" t="str">
        <f t="shared" si="46"/>
        <v>MarçoSEMANA 3Pescados - Salmão Inteiro</v>
      </c>
      <c r="B973" s="85" t="s">
        <v>31</v>
      </c>
      <c r="C973" s="85" t="s">
        <v>22</v>
      </c>
      <c r="D973" s="86">
        <v>16</v>
      </c>
      <c r="E973" s="116" t="str">
        <f t="shared" si="47"/>
        <v>Carnes</v>
      </c>
      <c r="F973" s="85" t="s">
        <v>1104</v>
      </c>
      <c r="G973" s="85" t="s">
        <v>643</v>
      </c>
      <c r="H973" s="85" t="s">
        <v>1083</v>
      </c>
      <c r="I973" s="85">
        <f>60.95-31.07</f>
        <v>29.880000000000003</v>
      </c>
      <c r="J973" s="87">
        <v>25.900099999999998</v>
      </c>
      <c r="K973" s="88">
        <f t="shared" si="48"/>
        <v>773.89498800000001</v>
      </c>
      <c r="L973" s="85">
        <v>1309854</v>
      </c>
      <c r="M973" s="120" t="s">
        <v>851</v>
      </c>
      <c r="O973" s="84" t="s">
        <v>47</v>
      </c>
    </row>
    <row r="974" spans="1:15" hidden="1" x14ac:dyDescent="0.2">
      <c r="A974" s="84" t="str">
        <f t="shared" si="46"/>
        <v>MarçoSEMANA 3Pescados - Salmão Inteiro Sushi</v>
      </c>
      <c r="B974" s="85" t="s">
        <v>31</v>
      </c>
      <c r="C974" s="85" t="s">
        <v>22</v>
      </c>
      <c r="D974" s="86">
        <v>16</v>
      </c>
      <c r="E974" s="116" t="str">
        <f t="shared" si="47"/>
        <v>Sushi</v>
      </c>
      <c r="F974" s="85" t="s">
        <v>1104</v>
      </c>
      <c r="G974" s="85" t="s">
        <v>644</v>
      </c>
      <c r="H974" s="85" t="s">
        <v>1083</v>
      </c>
      <c r="I974" s="85">
        <v>31.07</v>
      </c>
      <c r="J974" s="87">
        <v>25.900099999999998</v>
      </c>
      <c r="K974" s="88">
        <f t="shared" si="48"/>
        <v>804.71610699999997</v>
      </c>
      <c r="L974" s="85">
        <v>1309854</v>
      </c>
      <c r="M974" s="120" t="s">
        <v>852</v>
      </c>
      <c r="O974" s="84" t="s">
        <v>47</v>
      </c>
    </row>
    <row r="975" spans="1:15" hidden="1" x14ac:dyDescent="0.2">
      <c r="A975" s="84" t="str">
        <f t="shared" si="46"/>
        <v xml:space="preserve">MarçoSEMANA 3Torta Mousse de Chocolate </v>
      </c>
      <c r="B975" s="85" t="s">
        <v>31</v>
      </c>
      <c r="C975" s="85" t="s">
        <v>22</v>
      </c>
      <c r="D975" s="86">
        <v>16</v>
      </c>
      <c r="E975" s="116" t="str">
        <f t="shared" si="47"/>
        <v>Sobremesa</v>
      </c>
      <c r="F975" s="85" t="s">
        <v>1150</v>
      </c>
      <c r="G975" s="85" t="s">
        <v>816</v>
      </c>
      <c r="H975" s="85" t="s">
        <v>1147</v>
      </c>
      <c r="I975" s="90">
        <f>2*12</f>
        <v>24</v>
      </c>
      <c r="J975" s="89">
        <f>99.32/24</f>
        <v>4.1383333333333328</v>
      </c>
      <c r="K975" s="88">
        <f t="shared" si="48"/>
        <v>99.32</v>
      </c>
      <c r="L975" s="85">
        <v>102749</v>
      </c>
      <c r="M975" s="120" t="s">
        <v>853</v>
      </c>
      <c r="O975" s="84" t="s">
        <v>47</v>
      </c>
    </row>
    <row r="976" spans="1:15" hidden="1" x14ac:dyDescent="0.2">
      <c r="A976" s="84" t="str">
        <f t="shared" si="46"/>
        <v>MarçoSEMANA 3Batata Palha 140 g</v>
      </c>
      <c r="B976" s="85" t="s">
        <v>31</v>
      </c>
      <c r="C976" s="85" t="s">
        <v>22</v>
      </c>
      <c r="D976" s="86">
        <v>17</v>
      </c>
      <c r="E976" s="116" t="str">
        <f t="shared" si="47"/>
        <v>Mercado</v>
      </c>
      <c r="F976" s="85" t="s">
        <v>1118</v>
      </c>
      <c r="G976" s="85" t="s">
        <v>174</v>
      </c>
      <c r="H976" s="85" t="s">
        <v>1114</v>
      </c>
      <c r="I976" s="85">
        <v>3</v>
      </c>
      <c r="J976" s="87">
        <v>7.5</v>
      </c>
      <c r="K976" s="88">
        <f t="shared" si="48"/>
        <v>22.5</v>
      </c>
      <c r="L976" s="85">
        <v>91711</v>
      </c>
      <c r="M976" s="120" t="s">
        <v>854</v>
      </c>
      <c r="O976" s="84" t="s">
        <v>47</v>
      </c>
    </row>
    <row r="977" spans="1:15" hidden="1" x14ac:dyDescent="0.2">
      <c r="A977" s="84" t="str">
        <f t="shared" si="46"/>
        <v>MarçoSEMANA 3Pão Árabe</v>
      </c>
      <c r="B977" s="85" t="s">
        <v>31</v>
      </c>
      <c r="C977" s="85" t="s">
        <v>22</v>
      </c>
      <c r="D977" s="86">
        <v>17</v>
      </c>
      <c r="E977" s="116" t="str">
        <f t="shared" si="47"/>
        <v>Mercado</v>
      </c>
      <c r="F977" s="85" t="s">
        <v>1118</v>
      </c>
      <c r="G977" s="85" t="s">
        <v>560</v>
      </c>
      <c r="H977" s="85" t="s">
        <v>1114</v>
      </c>
      <c r="I977" s="85">
        <v>1</v>
      </c>
      <c r="J977" s="87">
        <v>6.7</v>
      </c>
      <c r="K977" s="88">
        <f t="shared" si="48"/>
        <v>6.7</v>
      </c>
      <c r="L977" s="85">
        <v>91711</v>
      </c>
      <c r="M977" s="120" t="s">
        <v>855</v>
      </c>
      <c r="O977" s="84" t="s">
        <v>47</v>
      </c>
    </row>
    <row r="978" spans="1:15" hidden="1" x14ac:dyDescent="0.2">
      <c r="A978" s="84" t="str">
        <f t="shared" si="46"/>
        <v>MarçoSEMANA 3Gelo em Escamas</v>
      </c>
      <c r="B978" s="85" t="s">
        <v>31</v>
      </c>
      <c r="C978" s="85" t="s">
        <v>22</v>
      </c>
      <c r="D978" s="86">
        <v>17</v>
      </c>
      <c r="E978" s="116" t="str">
        <f t="shared" si="47"/>
        <v>Mercado</v>
      </c>
      <c r="F978" s="85" t="s">
        <v>1096</v>
      </c>
      <c r="G978" s="85" t="s">
        <v>384</v>
      </c>
      <c r="H978" s="85" t="s">
        <v>1097</v>
      </c>
      <c r="I978" s="85">
        <v>2</v>
      </c>
      <c r="J978" s="87">
        <v>7.5</v>
      </c>
      <c r="K978" s="88">
        <f t="shared" si="48"/>
        <v>15</v>
      </c>
      <c r="L978" s="85">
        <v>3603</v>
      </c>
      <c r="M978" s="120" t="s">
        <v>856</v>
      </c>
      <c r="O978" s="84" t="s">
        <v>47</v>
      </c>
    </row>
    <row r="979" spans="1:15" hidden="1" x14ac:dyDescent="0.2">
      <c r="A979" s="84" t="str">
        <f t="shared" si="46"/>
        <v>MarçoSEMANA 3Gelo em Cubo</v>
      </c>
      <c r="B979" s="85" t="s">
        <v>31</v>
      </c>
      <c r="C979" s="85" t="s">
        <v>22</v>
      </c>
      <c r="D979" s="86">
        <v>17</v>
      </c>
      <c r="E979" s="116" t="str">
        <f t="shared" si="47"/>
        <v>Mercado</v>
      </c>
      <c r="F979" s="85" t="s">
        <v>1096</v>
      </c>
      <c r="G979" s="85" t="s">
        <v>383</v>
      </c>
      <c r="H979" s="85" t="s">
        <v>1097</v>
      </c>
      <c r="I979" s="85">
        <v>4</v>
      </c>
      <c r="J979" s="87">
        <v>7.5</v>
      </c>
      <c r="K979" s="88">
        <f t="shared" si="48"/>
        <v>30</v>
      </c>
      <c r="L979" s="85">
        <v>3603</v>
      </c>
      <c r="M979" s="120" t="s">
        <v>857</v>
      </c>
      <c r="O979" s="84" t="s">
        <v>47</v>
      </c>
    </row>
    <row r="980" spans="1:15" x14ac:dyDescent="0.25">
      <c r="A980" s="84" t="str">
        <f t="shared" si="46"/>
        <v>MarçoSEMANA 3Batata Yacon</v>
      </c>
      <c r="B980" s="85" t="s">
        <v>31</v>
      </c>
      <c r="C980" s="85" t="s">
        <v>22</v>
      </c>
      <c r="D980" s="86">
        <v>17</v>
      </c>
      <c r="E980" s="116" t="str">
        <f t="shared" si="47"/>
        <v>Hortifruti</v>
      </c>
      <c r="F980" s="85" t="s">
        <v>1110</v>
      </c>
      <c r="G980" s="85" t="s">
        <v>177</v>
      </c>
      <c r="H980" s="85" t="s">
        <v>1083</v>
      </c>
      <c r="I980" s="85">
        <v>1</v>
      </c>
      <c r="J980" s="87">
        <v>8</v>
      </c>
      <c r="K980" s="88">
        <f t="shared" si="48"/>
        <v>8</v>
      </c>
      <c r="L980" s="85">
        <v>3469</v>
      </c>
      <c r="M980" s="120" t="s">
        <v>858</v>
      </c>
      <c r="O980" s="84" t="s">
        <v>47</v>
      </c>
    </row>
    <row r="981" spans="1:15" x14ac:dyDescent="0.25">
      <c r="A981" s="84" t="str">
        <f t="shared" si="46"/>
        <v>MarçoSEMANA 3Berinjela</v>
      </c>
      <c r="B981" s="85" t="s">
        <v>31</v>
      </c>
      <c r="C981" s="85" t="s">
        <v>22</v>
      </c>
      <c r="D981" s="86">
        <v>17</v>
      </c>
      <c r="E981" s="116" t="str">
        <f t="shared" si="47"/>
        <v>Hortifruti</v>
      </c>
      <c r="F981" s="85" t="s">
        <v>1110</v>
      </c>
      <c r="G981" s="85" t="s">
        <v>178</v>
      </c>
      <c r="H981" s="85" t="s">
        <v>1083</v>
      </c>
      <c r="I981" s="85">
        <v>11</v>
      </c>
      <c r="J981" s="87">
        <f>20/11</f>
        <v>1.8181818181818181</v>
      </c>
      <c r="K981" s="88">
        <f t="shared" si="48"/>
        <v>20</v>
      </c>
      <c r="L981" s="85">
        <v>3469</v>
      </c>
      <c r="M981" s="120" t="s">
        <v>859</v>
      </c>
      <c r="O981" s="84" t="s">
        <v>47</v>
      </c>
    </row>
    <row r="982" spans="1:15" x14ac:dyDescent="0.25">
      <c r="A982" s="84" t="str">
        <f t="shared" si="46"/>
        <v>MarçoSEMANA 3Beterraba</v>
      </c>
      <c r="B982" s="85" t="s">
        <v>31</v>
      </c>
      <c r="C982" s="85" t="s">
        <v>22</v>
      </c>
      <c r="D982" s="86">
        <v>17</v>
      </c>
      <c r="E982" s="116" t="str">
        <f t="shared" si="47"/>
        <v>Hortifruti</v>
      </c>
      <c r="F982" s="85" t="s">
        <v>1110</v>
      </c>
      <c r="G982" s="85" t="s">
        <v>181</v>
      </c>
      <c r="H982" s="85" t="s">
        <v>1083</v>
      </c>
      <c r="I982" s="85">
        <v>8</v>
      </c>
      <c r="J982" s="87">
        <v>2</v>
      </c>
      <c r="K982" s="88">
        <f t="shared" si="48"/>
        <v>16</v>
      </c>
      <c r="L982" s="85">
        <v>3469</v>
      </c>
      <c r="M982" s="140" t="s">
        <v>1041</v>
      </c>
      <c r="O982" s="84" t="s">
        <v>47</v>
      </c>
    </row>
    <row r="983" spans="1:15" x14ac:dyDescent="0.25">
      <c r="A983" s="84" t="str">
        <f t="shared" si="46"/>
        <v>MarçoSEMANA 3Cenoura</v>
      </c>
      <c r="B983" s="85" t="s">
        <v>31</v>
      </c>
      <c r="C983" s="85" t="s">
        <v>22</v>
      </c>
      <c r="D983" s="86">
        <v>17</v>
      </c>
      <c r="E983" s="116" t="str">
        <f t="shared" si="47"/>
        <v>Hortifruti</v>
      </c>
      <c r="F983" s="85" t="s">
        <v>1110</v>
      </c>
      <c r="G983" s="85" t="s">
        <v>249</v>
      </c>
      <c r="H983" s="85" t="s">
        <v>1083</v>
      </c>
      <c r="I983" s="85">
        <v>20.420000000000002</v>
      </c>
      <c r="J983" s="87">
        <f>50/20.42</f>
        <v>2.4485798237022527</v>
      </c>
      <c r="K983" s="88">
        <f t="shared" si="48"/>
        <v>50.000000000000007</v>
      </c>
      <c r="L983" s="85">
        <v>3469</v>
      </c>
      <c r="M983" s="120" t="s">
        <v>860</v>
      </c>
      <c r="O983" s="84" t="s">
        <v>47</v>
      </c>
    </row>
    <row r="984" spans="1:15" x14ac:dyDescent="0.25">
      <c r="A984" s="84" t="str">
        <f t="shared" si="46"/>
        <v>MarçoSEMANA 3Pimentão Verde</v>
      </c>
      <c r="B984" s="85" t="s">
        <v>31</v>
      </c>
      <c r="C984" s="85" t="s">
        <v>22</v>
      </c>
      <c r="D984" s="86">
        <v>17</v>
      </c>
      <c r="E984" s="116" t="str">
        <f t="shared" si="47"/>
        <v>Hortifruti</v>
      </c>
      <c r="F984" s="85" t="s">
        <v>1110</v>
      </c>
      <c r="G984" s="85" t="s">
        <v>665</v>
      </c>
      <c r="H984" s="85" t="s">
        <v>1083</v>
      </c>
      <c r="I984" s="85">
        <v>1</v>
      </c>
      <c r="J984" s="87">
        <v>4</v>
      </c>
      <c r="K984" s="88">
        <f t="shared" si="48"/>
        <v>4</v>
      </c>
      <c r="L984" s="85">
        <v>3469</v>
      </c>
      <c r="M984" s="140" t="s">
        <v>861</v>
      </c>
      <c r="O984" s="84" t="s">
        <v>47</v>
      </c>
    </row>
    <row r="985" spans="1:15" x14ac:dyDescent="0.25">
      <c r="A985" s="84" t="str">
        <f t="shared" si="46"/>
        <v>MarçoSEMANA 3Tomate Salada</v>
      </c>
      <c r="B985" s="85" t="s">
        <v>31</v>
      </c>
      <c r="C985" s="85" t="s">
        <v>22</v>
      </c>
      <c r="D985" s="86">
        <v>17</v>
      </c>
      <c r="E985" s="116" t="str">
        <f t="shared" si="47"/>
        <v>Hortifruti</v>
      </c>
      <c r="F985" s="85" t="s">
        <v>1110</v>
      </c>
      <c r="G985" s="85" t="s">
        <v>794</v>
      </c>
      <c r="H985" s="85" t="s">
        <v>1083</v>
      </c>
      <c r="I985" s="85">
        <v>20.7</v>
      </c>
      <c r="J985" s="87">
        <f>60/20.7</f>
        <v>2.8985507246376812</v>
      </c>
      <c r="K985" s="88">
        <f t="shared" si="48"/>
        <v>60</v>
      </c>
      <c r="L985" s="85">
        <v>3469</v>
      </c>
      <c r="M985" s="140" t="s">
        <v>862</v>
      </c>
      <c r="O985" s="84" t="s">
        <v>47</v>
      </c>
    </row>
    <row r="986" spans="1:15" x14ac:dyDescent="0.25">
      <c r="A986" s="84" t="str">
        <f t="shared" si="46"/>
        <v xml:space="preserve">MarçoSEMANA 3Alface Americana    </v>
      </c>
      <c r="B986" s="85" t="s">
        <v>31</v>
      </c>
      <c r="C986" s="85" t="s">
        <v>22</v>
      </c>
      <c r="D986" s="86">
        <v>17</v>
      </c>
      <c r="E986" s="116" t="str">
        <f t="shared" si="47"/>
        <v>Hortifruti</v>
      </c>
      <c r="F986" s="85" t="s">
        <v>1110</v>
      </c>
      <c r="G986" s="85" t="s">
        <v>102</v>
      </c>
      <c r="H986" s="85" t="s">
        <v>1083</v>
      </c>
      <c r="I986" s="85">
        <v>7.2</v>
      </c>
      <c r="J986" s="87">
        <f>48/7.2</f>
        <v>6.6666666666666661</v>
      </c>
      <c r="K986" s="88">
        <f t="shared" si="48"/>
        <v>48</v>
      </c>
      <c r="L986" s="85">
        <v>3469</v>
      </c>
      <c r="M986" s="140" t="s">
        <v>863</v>
      </c>
      <c r="O986" s="84" t="s">
        <v>47</v>
      </c>
    </row>
    <row r="987" spans="1:15" x14ac:dyDescent="0.25">
      <c r="A987" s="84" t="str">
        <f t="shared" si="46"/>
        <v>MarçoSEMANA 3Alface crespa</v>
      </c>
      <c r="B987" s="85" t="s">
        <v>31</v>
      </c>
      <c r="C987" s="85" t="s">
        <v>22</v>
      </c>
      <c r="D987" s="86">
        <v>17</v>
      </c>
      <c r="E987" s="116" t="str">
        <f t="shared" si="47"/>
        <v>Hortifruti</v>
      </c>
      <c r="F987" s="85" t="s">
        <v>1110</v>
      </c>
      <c r="G987" s="85" t="s">
        <v>104</v>
      </c>
      <c r="H987" s="85" t="s">
        <v>1083</v>
      </c>
      <c r="I987" s="85">
        <v>1.52</v>
      </c>
      <c r="J987" s="87">
        <f>12/1.52</f>
        <v>7.8947368421052628</v>
      </c>
      <c r="K987" s="88">
        <f t="shared" si="48"/>
        <v>12</v>
      </c>
      <c r="L987" s="85">
        <v>3469</v>
      </c>
      <c r="M987" s="140" t="s">
        <v>864</v>
      </c>
      <c r="O987" s="84" t="s">
        <v>47</v>
      </c>
    </row>
    <row r="988" spans="1:15" x14ac:dyDescent="0.25">
      <c r="A988" s="84" t="str">
        <f t="shared" si="46"/>
        <v>MarçoSEMANA 3Alface Roxa</v>
      </c>
      <c r="B988" s="85" t="s">
        <v>31</v>
      </c>
      <c r="C988" s="85" t="s">
        <v>22</v>
      </c>
      <c r="D988" s="86">
        <v>17</v>
      </c>
      <c r="E988" s="116" t="str">
        <f t="shared" si="47"/>
        <v>Hortifruti</v>
      </c>
      <c r="F988" s="85" t="s">
        <v>1110</v>
      </c>
      <c r="G988" s="85" t="s">
        <v>108</v>
      </c>
      <c r="H988" s="85" t="s">
        <v>1083</v>
      </c>
      <c r="I988" s="85">
        <v>1.34</v>
      </c>
      <c r="J988" s="87">
        <f>12/1.34</f>
        <v>8.9552238805970141</v>
      </c>
      <c r="K988" s="88">
        <f t="shared" si="48"/>
        <v>12</v>
      </c>
      <c r="L988" s="85">
        <v>3469</v>
      </c>
      <c r="M988" s="140" t="s">
        <v>865</v>
      </c>
      <c r="O988" s="84" t="s">
        <v>42</v>
      </c>
    </row>
    <row r="989" spans="1:15" x14ac:dyDescent="0.25">
      <c r="A989" s="84" t="str">
        <f t="shared" si="46"/>
        <v>MarçoSEMANA 3Brócolis Americano</v>
      </c>
      <c r="B989" s="85" t="s">
        <v>31</v>
      </c>
      <c r="C989" s="85" t="s">
        <v>22</v>
      </c>
      <c r="D989" s="86">
        <v>17</v>
      </c>
      <c r="E989" s="116" t="str">
        <f t="shared" si="47"/>
        <v>Hortifruti</v>
      </c>
      <c r="F989" s="85" t="s">
        <v>1110</v>
      </c>
      <c r="G989" s="85" t="s">
        <v>194</v>
      </c>
      <c r="H989" s="85" t="s">
        <v>1083</v>
      </c>
      <c r="I989" s="85">
        <v>5</v>
      </c>
      <c r="J989" s="87">
        <v>12</v>
      </c>
      <c r="K989" s="88">
        <f t="shared" si="48"/>
        <v>60</v>
      </c>
      <c r="L989" s="85">
        <v>3469</v>
      </c>
      <c r="M989" s="140" t="s">
        <v>866</v>
      </c>
      <c r="O989" s="84" t="s">
        <v>47</v>
      </c>
    </row>
    <row r="990" spans="1:15" x14ac:dyDescent="0.25">
      <c r="A990" s="84" t="str">
        <f t="shared" si="46"/>
        <v>MarçoSEMANA 3Cebolinha Verde</v>
      </c>
      <c r="B990" s="85" t="s">
        <v>31</v>
      </c>
      <c r="C990" s="85" t="s">
        <v>22</v>
      </c>
      <c r="D990" s="86">
        <v>17</v>
      </c>
      <c r="E990" s="116" t="str">
        <f t="shared" si="47"/>
        <v>Hortifruti</v>
      </c>
      <c r="F990" s="85" t="s">
        <v>1110</v>
      </c>
      <c r="G990" s="85" t="s">
        <v>247</v>
      </c>
      <c r="H990" s="85" t="s">
        <v>1083</v>
      </c>
      <c r="I990" s="85">
        <v>1</v>
      </c>
      <c r="J990" s="87">
        <v>7</v>
      </c>
      <c r="K990" s="88">
        <f t="shared" si="48"/>
        <v>7</v>
      </c>
      <c r="L990" s="85">
        <v>3469</v>
      </c>
      <c r="M990" s="140" t="s">
        <v>867</v>
      </c>
      <c r="O990" s="84" t="s">
        <v>60</v>
      </c>
    </row>
    <row r="991" spans="1:15" x14ac:dyDescent="0.25">
      <c r="A991" s="84" t="str">
        <f t="shared" si="46"/>
        <v>MarçoSEMANA 3Couve Manteiga</v>
      </c>
      <c r="B991" s="85" t="s">
        <v>31</v>
      </c>
      <c r="C991" s="85" t="s">
        <v>22</v>
      </c>
      <c r="D991" s="86">
        <v>17</v>
      </c>
      <c r="E991" s="116" t="str">
        <f t="shared" si="47"/>
        <v>Hortifruti</v>
      </c>
      <c r="F991" s="85" t="s">
        <v>1110</v>
      </c>
      <c r="G991" s="85" t="s">
        <v>307</v>
      </c>
      <c r="H991" s="85" t="s">
        <v>1083</v>
      </c>
      <c r="I991" s="85">
        <v>3</v>
      </c>
      <c r="J991" s="87">
        <v>4.5</v>
      </c>
      <c r="K991" s="88">
        <f t="shared" si="48"/>
        <v>13.5</v>
      </c>
      <c r="L991" s="85">
        <v>3469</v>
      </c>
      <c r="M991" s="140" t="s">
        <v>868</v>
      </c>
      <c r="O991" s="84" t="s">
        <v>42</v>
      </c>
    </row>
    <row r="992" spans="1:15" x14ac:dyDescent="0.25">
      <c r="A992" s="84" t="str">
        <f t="shared" si="46"/>
        <v>MarçoSEMANA 3Hortelã</v>
      </c>
      <c r="B992" s="85" t="s">
        <v>31</v>
      </c>
      <c r="C992" s="85" t="s">
        <v>22</v>
      </c>
      <c r="D992" s="86">
        <v>17</v>
      </c>
      <c r="E992" s="116" t="str">
        <f t="shared" si="47"/>
        <v>Hortifruti</v>
      </c>
      <c r="F992" s="85" t="s">
        <v>1110</v>
      </c>
      <c r="G992" s="85" t="s">
        <v>405</v>
      </c>
      <c r="H992" s="85" t="s">
        <v>1083</v>
      </c>
      <c r="I992" s="85">
        <v>0.5</v>
      </c>
      <c r="J992" s="87">
        <v>4</v>
      </c>
      <c r="K992" s="88">
        <f t="shared" si="48"/>
        <v>2</v>
      </c>
      <c r="L992" s="85">
        <v>3469</v>
      </c>
      <c r="M992" s="140" t="s">
        <v>869</v>
      </c>
      <c r="O992" s="84" t="s">
        <v>42</v>
      </c>
    </row>
    <row r="993" spans="1:15" x14ac:dyDescent="0.25">
      <c r="A993" s="84" t="str">
        <f t="shared" si="46"/>
        <v>MarçoSEMANA 3Manjericão</v>
      </c>
      <c r="B993" s="85" t="s">
        <v>31</v>
      </c>
      <c r="C993" s="85" t="s">
        <v>22</v>
      </c>
      <c r="D993" s="86">
        <v>17</v>
      </c>
      <c r="E993" s="116" t="str">
        <f t="shared" si="47"/>
        <v>Hortifruti</v>
      </c>
      <c r="F993" s="85" t="s">
        <v>1110</v>
      </c>
      <c r="G993" s="85" t="s">
        <v>498</v>
      </c>
      <c r="H993" s="85" t="s">
        <v>1083</v>
      </c>
      <c r="I993" s="85">
        <v>0.5</v>
      </c>
      <c r="J993" s="87">
        <v>10</v>
      </c>
      <c r="K993" s="88">
        <f t="shared" si="48"/>
        <v>5</v>
      </c>
      <c r="L993" s="85">
        <v>3469</v>
      </c>
      <c r="M993" s="140" t="s">
        <v>870</v>
      </c>
      <c r="O993" s="84" t="s">
        <v>46</v>
      </c>
    </row>
    <row r="994" spans="1:15" x14ac:dyDescent="0.25">
      <c r="A994" s="84" t="str">
        <f t="shared" si="46"/>
        <v>MarçoSEMANA 3Nabo Japonês</v>
      </c>
      <c r="B994" s="85" t="s">
        <v>31</v>
      </c>
      <c r="C994" s="85" t="s">
        <v>22</v>
      </c>
      <c r="D994" s="86">
        <v>17</v>
      </c>
      <c r="E994" s="116" t="str">
        <f t="shared" si="47"/>
        <v>Hortifruti</v>
      </c>
      <c r="F994" s="85" t="s">
        <v>1110</v>
      </c>
      <c r="G994" s="85" t="s">
        <v>535</v>
      </c>
      <c r="H994" s="85" t="s">
        <v>1083</v>
      </c>
      <c r="I994" s="85">
        <v>2</v>
      </c>
      <c r="J994" s="87">
        <v>7</v>
      </c>
      <c r="K994" s="88">
        <f t="shared" si="48"/>
        <v>14</v>
      </c>
      <c r="L994" s="85">
        <v>3469</v>
      </c>
    </row>
    <row r="995" spans="1:15" x14ac:dyDescent="0.25">
      <c r="A995" s="84" t="str">
        <f t="shared" si="46"/>
        <v>MarçoSEMANA 3Mamão Bahia</v>
      </c>
      <c r="B995" s="85" t="s">
        <v>31</v>
      </c>
      <c r="C995" s="85" t="s">
        <v>22</v>
      </c>
      <c r="D995" s="86">
        <v>17</v>
      </c>
      <c r="E995" s="116" t="str">
        <f t="shared" si="47"/>
        <v>Hortifruti</v>
      </c>
      <c r="F995" s="85" t="s">
        <v>1110</v>
      </c>
      <c r="G995" s="85" t="s">
        <v>493</v>
      </c>
      <c r="H995" s="85" t="s">
        <v>1083</v>
      </c>
      <c r="I995" s="85">
        <v>4</v>
      </c>
      <c r="J995" s="87">
        <v>2.8</v>
      </c>
      <c r="K995" s="88">
        <f t="shared" si="48"/>
        <v>11.2</v>
      </c>
      <c r="L995" s="85">
        <v>3469</v>
      </c>
    </row>
    <row r="996" spans="1:15" x14ac:dyDescent="0.25">
      <c r="A996" s="84" t="str">
        <f t="shared" si="46"/>
        <v>MarçoSEMANA 3Manga Palmer</v>
      </c>
      <c r="B996" s="85" t="s">
        <v>31</v>
      </c>
      <c r="C996" s="85" t="s">
        <v>22</v>
      </c>
      <c r="D996" s="86">
        <v>17</v>
      </c>
      <c r="E996" s="116" t="str">
        <f t="shared" si="47"/>
        <v>Hortifruti</v>
      </c>
      <c r="F996" s="85" t="s">
        <v>1110</v>
      </c>
      <c r="G996" s="85" t="s">
        <v>495</v>
      </c>
      <c r="H996" s="85" t="s">
        <v>1083</v>
      </c>
      <c r="I996" s="85">
        <v>10.11</v>
      </c>
      <c r="J996" s="87">
        <f>50/10.11</f>
        <v>4.9455984174085064</v>
      </c>
      <c r="K996" s="88">
        <f t="shared" si="48"/>
        <v>50</v>
      </c>
      <c r="L996" s="85">
        <v>3469</v>
      </c>
    </row>
    <row r="997" spans="1:15" hidden="1" x14ac:dyDescent="0.2">
      <c r="A997" s="84" t="str">
        <f t="shared" si="46"/>
        <v>MarçoSEMANA 3Manga Tommy Sushi</v>
      </c>
      <c r="B997" s="85" t="s">
        <v>31</v>
      </c>
      <c r="C997" s="85" t="s">
        <v>22</v>
      </c>
      <c r="D997" s="86">
        <v>17</v>
      </c>
      <c r="E997" s="116" t="str">
        <f t="shared" si="47"/>
        <v>Sushi</v>
      </c>
      <c r="F997" s="85" t="s">
        <v>1110</v>
      </c>
      <c r="G997" s="85" t="s">
        <v>497</v>
      </c>
      <c r="H997" s="85" t="s">
        <v>1083</v>
      </c>
      <c r="I997" s="85">
        <v>2</v>
      </c>
      <c r="J997" s="87">
        <v>4.5</v>
      </c>
      <c r="K997" s="88">
        <f t="shared" si="48"/>
        <v>9</v>
      </c>
      <c r="L997" s="85">
        <v>3469</v>
      </c>
    </row>
    <row r="998" spans="1:15" x14ac:dyDescent="0.25">
      <c r="A998" s="84" t="str">
        <f t="shared" si="46"/>
        <v xml:space="preserve">MarçoSEMANA 3Abacaxi </v>
      </c>
      <c r="B998" s="85" t="s">
        <v>31</v>
      </c>
      <c r="C998" s="85" t="s">
        <v>22</v>
      </c>
      <c r="D998" s="86">
        <v>17</v>
      </c>
      <c r="E998" s="116" t="str">
        <f t="shared" si="47"/>
        <v>Hortifruti</v>
      </c>
      <c r="F998" s="85" t="s">
        <v>1111</v>
      </c>
      <c r="G998" s="85" t="s">
        <v>65</v>
      </c>
      <c r="H998" s="85" t="s">
        <v>1083</v>
      </c>
      <c r="I998" s="85">
        <v>15</v>
      </c>
      <c r="J998" s="87">
        <v>3.25</v>
      </c>
      <c r="K998" s="88">
        <f t="shared" si="48"/>
        <v>48.75</v>
      </c>
      <c r="L998" s="85">
        <v>18937</v>
      </c>
    </row>
    <row r="999" spans="1:15" x14ac:dyDescent="0.25">
      <c r="A999" s="84" t="str">
        <f t="shared" si="46"/>
        <v>MarçoSEMANA 3Batata Baroa</v>
      </c>
      <c r="B999" s="85" t="s">
        <v>31</v>
      </c>
      <c r="C999" s="85" t="s">
        <v>22</v>
      </c>
      <c r="D999" s="86">
        <v>17</v>
      </c>
      <c r="E999" s="116" t="str">
        <f t="shared" si="47"/>
        <v>Hortifruti</v>
      </c>
      <c r="F999" s="85" t="s">
        <v>1111</v>
      </c>
      <c r="G999" s="85" t="s">
        <v>169</v>
      </c>
      <c r="H999" s="85" t="s">
        <v>1083</v>
      </c>
      <c r="I999" s="85">
        <f>7-2.36</f>
        <v>4.6400000000000006</v>
      </c>
      <c r="J999" s="87">
        <v>5.0999999999999996</v>
      </c>
      <c r="K999" s="88">
        <f t="shared" si="48"/>
        <v>23.664000000000001</v>
      </c>
      <c r="L999" s="85" t="s">
        <v>1277</v>
      </c>
    </row>
    <row r="1000" spans="1:15" x14ac:dyDescent="0.25">
      <c r="A1000" s="84" t="str">
        <f t="shared" si="46"/>
        <v>MarçoSEMANA 3Cebola</v>
      </c>
      <c r="B1000" s="85" t="s">
        <v>31</v>
      </c>
      <c r="C1000" s="85" t="s">
        <v>22</v>
      </c>
      <c r="D1000" s="86">
        <v>17</v>
      </c>
      <c r="E1000" s="116" t="str">
        <f t="shared" si="47"/>
        <v>Hortifruti</v>
      </c>
      <c r="F1000" s="85" t="s">
        <v>1111</v>
      </c>
      <c r="G1000" s="85" t="s">
        <v>241</v>
      </c>
      <c r="H1000" s="85" t="s">
        <v>1083</v>
      </c>
      <c r="I1000" s="85">
        <v>18.12</v>
      </c>
      <c r="J1000" s="87">
        <f>48.5/18.12</f>
        <v>2.6766004415011038</v>
      </c>
      <c r="K1000" s="88">
        <f t="shared" si="48"/>
        <v>48.5</v>
      </c>
      <c r="L1000" s="85">
        <v>18937</v>
      </c>
    </row>
    <row r="1001" spans="1:15" x14ac:dyDescent="0.25">
      <c r="A1001" s="84" t="str">
        <f t="shared" si="46"/>
        <v>MarçoSEMANA 3Côco Verde</v>
      </c>
      <c r="B1001" s="85" t="s">
        <v>31</v>
      </c>
      <c r="C1001" s="85" t="s">
        <v>22</v>
      </c>
      <c r="D1001" s="86">
        <v>17</v>
      </c>
      <c r="E1001" s="116" t="str">
        <f t="shared" si="47"/>
        <v>Hortifruti</v>
      </c>
      <c r="F1001" s="85" t="s">
        <v>1111</v>
      </c>
      <c r="G1001" s="85" t="s">
        <v>288</v>
      </c>
      <c r="H1001" s="85" t="s">
        <v>1090</v>
      </c>
      <c r="I1001" s="85">
        <v>25</v>
      </c>
      <c r="J1001" s="87">
        <v>2.25</v>
      </c>
      <c r="K1001" s="88">
        <f t="shared" si="48"/>
        <v>56.25</v>
      </c>
      <c r="L1001" s="85">
        <v>18937</v>
      </c>
    </row>
    <row r="1002" spans="1:15" x14ac:dyDescent="0.25">
      <c r="A1002" s="84" t="str">
        <f t="shared" si="46"/>
        <v>MarçoSEMANA 3Coentro</v>
      </c>
      <c r="B1002" s="85" t="s">
        <v>31</v>
      </c>
      <c r="C1002" s="85" t="s">
        <v>22</v>
      </c>
      <c r="D1002" s="86">
        <v>17</v>
      </c>
      <c r="E1002" s="116" t="str">
        <f t="shared" si="47"/>
        <v>Hortifruti</v>
      </c>
      <c r="F1002" s="85" t="s">
        <v>1111</v>
      </c>
      <c r="G1002" s="85" t="s">
        <v>289</v>
      </c>
      <c r="H1002" s="85" t="s">
        <v>1083</v>
      </c>
      <c r="I1002" s="85">
        <v>0.3</v>
      </c>
      <c r="J1002" s="87">
        <v>23</v>
      </c>
      <c r="K1002" s="88">
        <f t="shared" si="48"/>
        <v>6.8999999999999995</v>
      </c>
      <c r="L1002" s="85">
        <v>18937</v>
      </c>
    </row>
    <row r="1003" spans="1:15" x14ac:dyDescent="0.25">
      <c r="A1003" s="84" t="str">
        <f t="shared" si="46"/>
        <v>MarçoSEMANA 3Kiwi</v>
      </c>
      <c r="B1003" s="85" t="s">
        <v>31</v>
      </c>
      <c r="C1003" s="85" t="s">
        <v>22</v>
      </c>
      <c r="D1003" s="86">
        <v>17</v>
      </c>
      <c r="E1003" s="116" t="str">
        <f t="shared" si="47"/>
        <v>Hortifruti</v>
      </c>
      <c r="F1003" s="85" t="s">
        <v>1111</v>
      </c>
      <c r="G1003" s="85" t="s">
        <v>453</v>
      </c>
      <c r="H1003" s="85" t="s">
        <v>1083</v>
      </c>
      <c r="I1003" s="85">
        <v>1</v>
      </c>
      <c r="J1003" s="87">
        <v>12</v>
      </c>
      <c r="K1003" s="88">
        <f t="shared" si="48"/>
        <v>12</v>
      </c>
      <c r="L1003" s="85">
        <v>18937</v>
      </c>
    </row>
    <row r="1004" spans="1:15" x14ac:dyDescent="0.25">
      <c r="A1004" s="84" t="str">
        <f t="shared" si="46"/>
        <v>MarçoSEMANA 3Limão</v>
      </c>
      <c r="B1004" s="85" t="s">
        <v>31</v>
      </c>
      <c r="C1004" s="85" t="s">
        <v>22</v>
      </c>
      <c r="D1004" s="86">
        <v>17</v>
      </c>
      <c r="E1004" s="116" t="str">
        <f t="shared" si="47"/>
        <v>Hortifruti</v>
      </c>
      <c r="F1004" s="85" t="s">
        <v>1111</v>
      </c>
      <c r="G1004" s="85" t="s">
        <v>463</v>
      </c>
      <c r="H1004" s="85" t="s">
        <v>1083</v>
      </c>
      <c r="I1004" s="85">
        <v>22.78</v>
      </c>
      <c r="J1004" s="87">
        <f>35.7/22.78</f>
        <v>1.5671641791044777</v>
      </c>
      <c r="K1004" s="88">
        <f t="shared" si="48"/>
        <v>35.700000000000003</v>
      </c>
      <c r="L1004" s="85">
        <v>18937</v>
      </c>
    </row>
    <row r="1005" spans="1:15" x14ac:dyDescent="0.25">
      <c r="A1005" s="84" t="str">
        <f t="shared" si="46"/>
        <v>MarçoSEMANA 3Rúcula</v>
      </c>
      <c r="B1005" s="85" t="s">
        <v>31</v>
      </c>
      <c r="C1005" s="85" t="s">
        <v>22</v>
      </c>
      <c r="D1005" s="86">
        <v>17</v>
      </c>
      <c r="E1005" s="116" t="str">
        <f t="shared" si="47"/>
        <v>Hortifruti</v>
      </c>
      <c r="F1005" s="85" t="s">
        <v>1111</v>
      </c>
      <c r="G1005" s="85" t="s">
        <v>705</v>
      </c>
      <c r="H1005" s="85" t="s">
        <v>1083</v>
      </c>
      <c r="I1005" s="85">
        <v>5</v>
      </c>
      <c r="J1005" s="87">
        <v>4.9000000000000004</v>
      </c>
      <c r="K1005" s="88">
        <f t="shared" si="48"/>
        <v>24.5</v>
      </c>
      <c r="L1005" s="85">
        <v>18937</v>
      </c>
    </row>
    <row r="1006" spans="1:15" hidden="1" x14ac:dyDescent="0.2">
      <c r="A1006" s="84" t="str">
        <f t="shared" si="46"/>
        <v>MarçoSEMANA 3Salsa Crespa Sushi</v>
      </c>
      <c r="B1006" s="85" t="s">
        <v>31</v>
      </c>
      <c r="C1006" s="85" t="s">
        <v>22</v>
      </c>
      <c r="D1006" s="86">
        <v>17</v>
      </c>
      <c r="E1006" s="116" t="str">
        <f t="shared" si="47"/>
        <v>Sushi</v>
      </c>
      <c r="F1006" s="85" t="s">
        <v>1111</v>
      </c>
      <c r="G1006" s="85" t="s">
        <v>730</v>
      </c>
      <c r="H1006" s="85" t="s">
        <v>1083</v>
      </c>
      <c r="I1006" s="85">
        <v>0.1</v>
      </c>
      <c r="J1006" s="87">
        <v>13</v>
      </c>
      <c r="K1006" s="88">
        <f t="shared" si="48"/>
        <v>1.3</v>
      </c>
      <c r="L1006" s="85">
        <v>18937</v>
      </c>
    </row>
    <row r="1007" spans="1:15" x14ac:dyDescent="0.25">
      <c r="A1007" s="84" t="str">
        <f t="shared" si="46"/>
        <v>MarçoSEMANA 3Abobora Japonesa</v>
      </c>
      <c r="B1007" s="85" t="s">
        <v>31</v>
      </c>
      <c r="C1007" s="85" t="s">
        <v>22</v>
      </c>
      <c r="D1007" s="86">
        <v>17</v>
      </c>
      <c r="E1007" s="116" t="str">
        <f t="shared" si="47"/>
        <v>Hortifruti</v>
      </c>
      <c r="F1007" s="85" t="s">
        <v>1111</v>
      </c>
      <c r="G1007" s="85" t="s">
        <v>69</v>
      </c>
      <c r="H1007" s="85" t="s">
        <v>1083</v>
      </c>
      <c r="I1007" s="85">
        <v>4</v>
      </c>
      <c r="J1007" s="87">
        <v>2.86</v>
      </c>
      <c r="K1007" s="88">
        <f t="shared" si="48"/>
        <v>11.44</v>
      </c>
      <c r="L1007" s="85">
        <v>18937</v>
      </c>
    </row>
    <row r="1008" spans="1:15" x14ac:dyDescent="0.25">
      <c r="A1008" s="84" t="str">
        <f t="shared" si="46"/>
        <v>MarçoSEMANA 3Acelga</v>
      </c>
      <c r="B1008" s="85" t="s">
        <v>31</v>
      </c>
      <c r="C1008" s="85" t="s">
        <v>22</v>
      </c>
      <c r="D1008" s="86">
        <v>17</v>
      </c>
      <c r="E1008" s="116" t="str">
        <f t="shared" si="47"/>
        <v>Hortifruti</v>
      </c>
      <c r="F1008" s="85" t="s">
        <v>1111</v>
      </c>
      <c r="G1008" s="85" t="s">
        <v>75</v>
      </c>
      <c r="H1008" s="85" t="s">
        <v>1083</v>
      </c>
      <c r="I1008" s="85">
        <v>3</v>
      </c>
      <c r="J1008" s="87">
        <v>2.25</v>
      </c>
      <c r="K1008" s="88">
        <f t="shared" si="48"/>
        <v>6.75</v>
      </c>
      <c r="L1008" s="85">
        <v>18937</v>
      </c>
    </row>
    <row r="1009" spans="1:12" x14ac:dyDescent="0.25">
      <c r="A1009" s="84" t="str">
        <f t="shared" si="46"/>
        <v>MarçoSEMANA 3Couve Flor</v>
      </c>
      <c r="B1009" s="85" t="s">
        <v>31</v>
      </c>
      <c r="C1009" s="85" t="s">
        <v>22</v>
      </c>
      <c r="D1009" s="86">
        <v>17</v>
      </c>
      <c r="E1009" s="116" t="str">
        <f t="shared" si="47"/>
        <v>Hortifruti</v>
      </c>
      <c r="F1009" s="85" t="s">
        <v>1111</v>
      </c>
      <c r="G1009" s="85" t="s">
        <v>306</v>
      </c>
      <c r="H1009" s="85" t="s">
        <v>1083</v>
      </c>
      <c r="I1009" s="85">
        <v>2</v>
      </c>
      <c r="J1009" s="87">
        <v>6</v>
      </c>
      <c r="K1009" s="88">
        <f t="shared" si="48"/>
        <v>12</v>
      </c>
      <c r="L1009" s="85">
        <v>18937</v>
      </c>
    </row>
    <row r="1010" spans="1:12" x14ac:dyDescent="0.25">
      <c r="A1010" s="84" t="str">
        <f t="shared" si="46"/>
        <v>MarçoSEMANA 3Goiaba</v>
      </c>
      <c r="B1010" s="85" t="s">
        <v>31</v>
      </c>
      <c r="C1010" s="85" t="s">
        <v>22</v>
      </c>
      <c r="D1010" s="86">
        <v>17</v>
      </c>
      <c r="E1010" s="116" t="str">
        <f t="shared" si="47"/>
        <v>Hortifruti</v>
      </c>
      <c r="F1010" s="85" t="s">
        <v>1111</v>
      </c>
      <c r="G1010" s="85" t="s">
        <v>391</v>
      </c>
      <c r="H1010" s="85" t="s">
        <v>1083</v>
      </c>
      <c r="I1010" s="85">
        <v>2.6</v>
      </c>
      <c r="J1010" s="87">
        <f>6/2.6</f>
        <v>2.3076923076923075</v>
      </c>
      <c r="K1010" s="88">
        <f t="shared" si="48"/>
        <v>6</v>
      </c>
      <c r="L1010" s="85">
        <v>18937</v>
      </c>
    </row>
    <row r="1011" spans="1:12" x14ac:dyDescent="0.25">
      <c r="A1011" s="84" t="str">
        <f t="shared" si="46"/>
        <v>MarçoSEMANA 3Batata HBT</v>
      </c>
      <c r="B1011" s="85" t="s">
        <v>31</v>
      </c>
      <c r="C1011" s="85" t="s">
        <v>22</v>
      </c>
      <c r="D1011" s="86">
        <v>17</v>
      </c>
      <c r="E1011" s="116" t="str">
        <f t="shared" si="47"/>
        <v>Hortifruti</v>
      </c>
      <c r="F1011" s="85" t="s">
        <v>1111</v>
      </c>
      <c r="G1011" s="85" t="s">
        <v>171</v>
      </c>
      <c r="H1011" s="85" t="s">
        <v>1083</v>
      </c>
      <c r="I1011" s="85">
        <v>25</v>
      </c>
      <c r="J1011" s="87">
        <v>1.59</v>
      </c>
      <c r="K1011" s="88">
        <f t="shared" si="48"/>
        <v>39.75</v>
      </c>
      <c r="L1011" s="85">
        <v>18937</v>
      </c>
    </row>
    <row r="1012" spans="1:12" x14ac:dyDescent="0.25">
      <c r="A1012" s="84" t="str">
        <f t="shared" si="46"/>
        <v>MarçoSEMANA 3Inhame</v>
      </c>
      <c r="B1012" s="85" t="s">
        <v>31</v>
      </c>
      <c r="C1012" s="85" t="s">
        <v>22</v>
      </c>
      <c r="D1012" s="86">
        <v>17</v>
      </c>
      <c r="E1012" s="116" t="str">
        <f t="shared" si="47"/>
        <v>Hortifruti</v>
      </c>
      <c r="F1012" s="85" t="s">
        <v>1111</v>
      </c>
      <c r="G1012" s="85" t="s">
        <v>448</v>
      </c>
      <c r="H1012" s="85" t="s">
        <v>1083</v>
      </c>
      <c r="I1012" s="85">
        <v>2</v>
      </c>
      <c r="J1012" s="87">
        <v>3.5</v>
      </c>
      <c r="K1012" s="88">
        <f t="shared" si="48"/>
        <v>7</v>
      </c>
      <c r="L1012" s="85">
        <v>18937</v>
      </c>
    </row>
    <row r="1013" spans="1:12" x14ac:dyDescent="0.25">
      <c r="A1013" s="84" t="str">
        <f t="shared" si="46"/>
        <v>MarçoSEMANA 3Pimentão Amarelo</v>
      </c>
      <c r="B1013" s="85" t="s">
        <v>31</v>
      </c>
      <c r="C1013" s="85" t="s">
        <v>22</v>
      </c>
      <c r="D1013" s="86">
        <v>17</v>
      </c>
      <c r="E1013" s="116" t="str">
        <f t="shared" si="47"/>
        <v>Hortifruti</v>
      </c>
      <c r="F1013" s="85" t="s">
        <v>1111</v>
      </c>
      <c r="G1013" s="85" t="s">
        <v>663</v>
      </c>
      <c r="H1013" s="85" t="s">
        <v>1083</v>
      </c>
      <c r="I1013" s="85">
        <v>1</v>
      </c>
      <c r="J1013" s="87">
        <v>9.4499999999999993</v>
      </c>
      <c r="K1013" s="88">
        <f t="shared" si="48"/>
        <v>9.4499999999999993</v>
      </c>
      <c r="L1013" s="85">
        <v>18937</v>
      </c>
    </row>
    <row r="1014" spans="1:12" x14ac:dyDescent="0.25">
      <c r="A1014" s="84" t="str">
        <f t="shared" si="46"/>
        <v>MarçoSEMANA 3Couve Manteiga</v>
      </c>
      <c r="B1014" s="85" t="s">
        <v>31</v>
      </c>
      <c r="C1014" s="85" t="s">
        <v>22</v>
      </c>
      <c r="D1014" s="86">
        <v>17</v>
      </c>
      <c r="E1014" s="116" t="str">
        <f t="shared" si="47"/>
        <v>Hortifruti</v>
      </c>
      <c r="F1014" s="85" t="s">
        <v>1118</v>
      </c>
      <c r="G1014" s="85" t="s">
        <v>307</v>
      </c>
      <c r="H1014" s="85" t="s">
        <v>1083</v>
      </c>
      <c r="I1014" s="85">
        <v>1</v>
      </c>
      <c r="J1014" s="87">
        <v>8.25</v>
      </c>
      <c r="K1014" s="88">
        <f t="shared" si="48"/>
        <v>8.25</v>
      </c>
      <c r="L1014" s="85">
        <v>139589</v>
      </c>
    </row>
    <row r="1015" spans="1:12" hidden="1" x14ac:dyDescent="0.2">
      <c r="A1015" s="84" t="str">
        <f t="shared" si="46"/>
        <v>MarçoSEMANA 3Gelo em Escamas</v>
      </c>
      <c r="B1015" s="85" t="s">
        <v>31</v>
      </c>
      <c r="C1015" s="85" t="s">
        <v>22</v>
      </c>
      <c r="D1015" s="86">
        <v>18</v>
      </c>
      <c r="E1015" s="116" t="str">
        <f t="shared" si="47"/>
        <v>Mercado</v>
      </c>
      <c r="F1015" s="85" t="s">
        <v>1096</v>
      </c>
      <c r="G1015" s="85" t="s">
        <v>384</v>
      </c>
      <c r="H1015" s="85" t="s">
        <v>1097</v>
      </c>
      <c r="I1015" s="85">
        <v>1</v>
      </c>
      <c r="J1015" s="87">
        <v>7.5</v>
      </c>
      <c r="K1015" s="88">
        <f t="shared" si="48"/>
        <v>7.5</v>
      </c>
      <c r="L1015" s="85">
        <v>3757</v>
      </c>
    </row>
    <row r="1016" spans="1:12" hidden="1" x14ac:dyDescent="0.2">
      <c r="A1016" s="84" t="str">
        <f t="shared" si="46"/>
        <v>MarçoSEMANA 3Gelo em Cubo</v>
      </c>
      <c r="B1016" s="85" t="s">
        <v>31</v>
      </c>
      <c r="C1016" s="85" t="s">
        <v>22</v>
      </c>
      <c r="D1016" s="86">
        <v>18</v>
      </c>
      <c r="E1016" s="116" t="str">
        <f t="shared" si="47"/>
        <v>Mercado</v>
      </c>
      <c r="F1016" s="85" t="s">
        <v>1096</v>
      </c>
      <c r="G1016" s="85" t="s">
        <v>383</v>
      </c>
      <c r="H1016" s="85" t="s">
        <v>1097</v>
      </c>
      <c r="I1016" s="85">
        <v>3</v>
      </c>
      <c r="J1016" s="87">
        <v>7.5</v>
      </c>
      <c r="K1016" s="88">
        <f t="shared" si="48"/>
        <v>22.5</v>
      </c>
      <c r="L1016" s="85">
        <v>3757</v>
      </c>
    </row>
    <row r="1017" spans="1:12" hidden="1" x14ac:dyDescent="0.2">
      <c r="A1017" s="84" t="str">
        <f t="shared" si="46"/>
        <v>MarçoSEMANA 3Arroz Japonês (sushi)</v>
      </c>
      <c r="B1017" s="85" t="s">
        <v>31</v>
      </c>
      <c r="C1017" s="85" t="s">
        <v>22</v>
      </c>
      <c r="D1017" s="86">
        <v>17</v>
      </c>
      <c r="E1017" s="116" t="str">
        <f t="shared" si="47"/>
        <v>Sushi</v>
      </c>
      <c r="F1017" s="85" t="s">
        <v>1276</v>
      </c>
      <c r="G1017" s="85" t="s">
        <v>900</v>
      </c>
      <c r="H1017" s="85" t="s">
        <v>1083</v>
      </c>
      <c r="I1017" s="85">
        <v>60</v>
      </c>
      <c r="J1017" s="87">
        <f>310/60</f>
        <v>5.166666666666667</v>
      </c>
      <c r="K1017" s="88">
        <f t="shared" si="48"/>
        <v>310</v>
      </c>
      <c r="L1017" s="85">
        <v>4227</v>
      </c>
    </row>
    <row r="1018" spans="1:12" hidden="1" x14ac:dyDescent="0.2">
      <c r="A1018" s="84" t="str">
        <f t="shared" si="46"/>
        <v>MarçoSEMANA 3Folha de Alga 50F</v>
      </c>
      <c r="B1018" s="85" t="s">
        <v>31</v>
      </c>
      <c r="C1018" s="85" t="s">
        <v>22</v>
      </c>
      <c r="D1018" s="86">
        <v>17</v>
      </c>
      <c r="E1018" s="116" t="str">
        <f t="shared" si="47"/>
        <v>Sushi</v>
      </c>
      <c r="F1018" s="85" t="s">
        <v>1276</v>
      </c>
      <c r="G1018" s="85" t="s">
        <v>965</v>
      </c>
      <c r="H1018" s="85" t="s">
        <v>1114</v>
      </c>
      <c r="I1018" s="85">
        <f>7-1</f>
        <v>6</v>
      </c>
      <c r="J1018" s="87">
        <v>29</v>
      </c>
      <c r="K1018" s="88">
        <f t="shared" si="48"/>
        <v>174</v>
      </c>
      <c r="L1018" s="85">
        <v>4227</v>
      </c>
    </row>
    <row r="1019" spans="1:12" hidden="1" x14ac:dyDescent="0.2">
      <c r="A1019" s="84" t="str">
        <f t="shared" si="46"/>
        <v>MarçoSEMANA 3Wasabi em Pó</v>
      </c>
      <c r="B1019" s="85" t="s">
        <v>31</v>
      </c>
      <c r="C1019" s="85" t="s">
        <v>22</v>
      </c>
      <c r="D1019" s="86">
        <v>17</v>
      </c>
      <c r="E1019" s="116" t="str">
        <f t="shared" si="47"/>
        <v>Sushi</v>
      </c>
      <c r="F1019" s="85" t="s">
        <v>1276</v>
      </c>
      <c r="G1019" s="85" t="s">
        <v>867</v>
      </c>
      <c r="H1019" s="85" t="s">
        <v>1083</v>
      </c>
      <c r="I1019" s="85">
        <v>1</v>
      </c>
      <c r="J1019" s="87">
        <v>30</v>
      </c>
      <c r="K1019" s="88">
        <f t="shared" si="48"/>
        <v>30</v>
      </c>
      <c r="L1019" s="85">
        <v>4227</v>
      </c>
    </row>
    <row r="1020" spans="1:12" hidden="1" x14ac:dyDescent="0.2">
      <c r="A1020" s="84" t="str">
        <f t="shared" si="46"/>
        <v>MarçoSEMANA 3Vinagre de Arroz (cozinha)</v>
      </c>
      <c r="B1020" s="85" t="s">
        <v>31</v>
      </c>
      <c r="C1020" s="85" t="s">
        <v>22</v>
      </c>
      <c r="D1020" s="86">
        <v>14</v>
      </c>
      <c r="E1020" s="116" t="str">
        <f t="shared" si="47"/>
        <v>Mercado</v>
      </c>
      <c r="F1020" s="85" t="s">
        <v>1123</v>
      </c>
      <c r="G1020" s="85" t="s">
        <v>894</v>
      </c>
      <c r="H1020" s="85" t="s">
        <v>1090</v>
      </c>
      <c r="I1020" s="85">
        <v>7</v>
      </c>
      <c r="J1020" s="87">
        <v>3.75</v>
      </c>
      <c r="K1020" s="88">
        <f t="shared" si="48"/>
        <v>26.25</v>
      </c>
      <c r="L1020" s="85" t="s">
        <v>1237</v>
      </c>
    </row>
    <row r="1021" spans="1:12" x14ac:dyDescent="0.25">
      <c r="A1021" s="84" t="str">
        <f t="shared" si="46"/>
        <v>MarçoSEMANA 4Couve Manteiga</v>
      </c>
      <c r="B1021" s="85" t="s">
        <v>31</v>
      </c>
      <c r="C1021" s="85" t="s">
        <v>23</v>
      </c>
      <c r="D1021" s="86">
        <v>19</v>
      </c>
      <c r="E1021" s="116" t="str">
        <f t="shared" si="47"/>
        <v>Hortifruti</v>
      </c>
      <c r="F1021" s="85" t="s">
        <v>1082</v>
      </c>
      <c r="G1021" s="85" t="s">
        <v>307</v>
      </c>
      <c r="H1021" s="85" t="s">
        <v>1083</v>
      </c>
      <c r="I1021" s="85">
        <v>0.32</v>
      </c>
      <c r="J1021" s="87">
        <f>5/0.32</f>
        <v>15.625</v>
      </c>
      <c r="K1021" s="88">
        <f t="shared" si="48"/>
        <v>5</v>
      </c>
      <c r="L1021" s="85"/>
    </row>
    <row r="1022" spans="1:12" hidden="1" x14ac:dyDescent="0.2">
      <c r="A1022" s="84" t="str">
        <f t="shared" si="46"/>
        <v>MarçoSEMANA 4Massa de Pastel</v>
      </c>
      <c r="B1022" s="85" t="s">
        <v>31</v>
      </c>
      <c r="C1022" s="85" t="s">
        <v>23</v>
      </c>
      <c r="D1022" s="86">
        <v>19</v>
      </c>
      <c r="E1022" s="116" t="str">
        <f t="shared" si="47"/>
        <v>Mercado</v>
      </c>
      <c r="F1022" s="85" t="s">
        <v>1082</v>
      </c>
      <c r="G1022" s="85" t="s">
        <v>507</v>
      </c>
      <c r="H1022" s="85" t="s">
        <v>1083</v>
      </c>
      <c r="I1022" s="85">
        <v>28.06</v>
      </c>
      <c r="J1022" s="87">
        <f>210/28.06</f>
        <v>7.4839629365645051</v>
      </c>
      <c r="K1022" s="88">
        <f t="shared" si="48"/>
        <v>210</v>
      </c>
      <c r="L1022" s="85"/>
    </row>
    <row r="1023" spans="1:12" x14ac:dyDescent="0.25">
      <c r="A1023" s="84" t="str">
        <f t="shared" si="46"/>
        <v>MarçoSEMANA 4Aipim</v>
      </c>
      <c r="B1023" s="85" t="s">
        <v>31</v>
      </c>
      <c r="C1023" s="85" t="s">
        <v>23</v>
      </c>
      <c r="D1023" s="86">
        <v>19</v>
      </c>
      <c r="E1023" s="116" t="str">
        <f t="shared" si="47"/>
        <v>Hortifruti</v>
      </c>
      <c r="F1023" s="85" t="s">
        <v>1082</v>
      </c>
      <c r="G1023" s="85" t="s">
        <v>95</v>
      </c>
      <c r="H1023" s="85" t="s">
        <v>1083</v>
      </c>
      <c r="I1023" s="85">
        <v>20</v>
      </c>
      <c r="J1023" s="87">
        <v>5</v>
      </c>
      <c r="K1023" s="88">
        <f t="shared" si="48"/>
        <v>100</v>
      </c>
      <c r="L1023" s="85"/>
    </row>
    <row r="1024" spans="1:12" hidden="1" x14ac:dyDescent="0.2">
      <c r="A1024" s="84" t="str">
        <f t="shared" si="46"/>
        <v>MarçoSEMANA 4Garfo Descartável</v>
      </c>
      <c r="B1024" s="85" t="s">
        <v>31</v>
      </c>
      <c r="C1024" s="85" t="s">
        <v>23</v>
      </c>
      <c r="D1024" s="86">
        <v>19</v>
      </c>
      <c r="E1024" s="116" t="str">
        <f t="shared" si="47"/>
        <v>Descartável</v>
      </c>
      <c r="F1024" s="85" t="s">
        <v>1278</v>
      </c>
      <c r="G1024" s="85" t="s">
        <v>377</v>
      </c>
      <c r="H1024" s="85" t="s">
        <v>1090</v>
      </c>
      <c r="I1024" s="85">
        <f>6*50</f>
        <v>300</v>
      </c>
      <c r="J1024" s="87">
        <f>27/300</f>
        <v>0.09</v>
      </c>
      <c r="K1024" s="88">
        <f t="shared" si="48"/>
        <v>27</v>
      </c>
      <c r="L1024" s="85">
        <v>5305</v>
      </c>
    </row>
    <row r="1025" spans="1:12" hidden="1" x14ac:dyDescent="0.2">
      <c r="A1025" s="84" t="str">
        <f t="shared" si="46"/>
        <v>MarçoSEMANA 4Creme de Leite Culinário 20% Bd 10 Lt</v>
      </c>
      <c r="B1025" s="85" t="s">
        <v>31</v>
      </c>
      <c r="C1025" s="85" t="s">
        <v>23</v>
      </c>
      <c r="D1025" s="86">
        <v>19</v>
      </c>
      <c r="E1025" s="116" t="str">
        <f t="shared" si="47"/>
        <v>Laticínios</v>
      </c>
      <c r="F1025" s="85" t="s">
        <v>1152</v>
      </c>
      <c r="G1025" s="85" t="s">
        <v>315</v>
      </c>
      <c r="H1025" s="85" t="s">
        <v>1088</v>
      </c>
      <c r="I1025" s="85">
        <v>1</v>
      </c>
      <c r="J1025" s="87">
        <v>142.44999999999999</v>
      </c>
      <c r="K1025" s="88">
        <f t="shared" si="48"/>
        <v>142.44999999999999</v>
      </c>
      <c r="L1025" s="85" t="s">
        <v>1279</v>
      </c>
    </row>
    <row r="1026" spans="1:12" hidden="1" x14ac:dyDescent="0.2">
      <c r="A1026" s="84" t="str">
        <f t="shared" ref="A1026:A1089" si="49">CONCATENATE(B1026,C1026,G1026)</f>
        <v>MarçoSEMANA 4Queijo Requeijão BD 3,6 Kg</v>
      </c>
      <c r="B1026" s="85" t="s">
        <v>31</v>
      </c>
      <c r="C1026" s="85" t="s">
        <v>23</v>
      </c>
      <c r="D1026" s="86">
        <v>19</v>
      </c>
      <c r="E1026" s="116" t="str">
        <f t="shared" ref="E1026:E1089" si="50">VLOOKUP(G1026,$M$1:$O$993,3,0)</f>
        <v>Laticínios</v>
      </c>
      <c r="F1026" s="85" t="s">
        <v>1152</v>
      </c>
      <c r="G1026" s="85" t="s">
        <v>687</v>
      </c>
      <c r="H1026" s="85" t="s">
        <v>1088</v>
      </c>
      <c r="I1026" s="85">
        <v>1</v>
      </c>
      <c r="J1026" s="87">
        <v>74.400000000000006</v>
      </c>
      <c r="K1026" s="88">
        <f t="shared" ref="K1026:K1089" si="51">I1026*J1026</f>
        <v>74.400000000000006</v>
      </c>
      <c r="L1026" s="85" t="s">
        <v>1279</v>
      </c>
    </row>
    <row r="1027" spans="1:12" hidden="1" x14ac:dyDescent="0.2">
      <c r="A1027" s="84" t="str">
        <f t="shared" si="49"/>
        <v>MarçoSEMANA 4Queijo Minas</v>
      </c>
      <c r="B1027" s="85" t="s">
        <v>31</v>
      </c>
      <c r="C1027" s="85" t="s">
        <v>23</v>
      </c>
      <c r="D1027" s="86">
        <v>19</v>
      </c>
      <c r="E1027" s="116" t="str">
        <f t="shared" si="50"/>
        <v>Laticínios</v>
      </c>
      <c r="F1027" s="85" t="s">
        <v>1152</v>
      </c>
      <c r="G1027" s="85" t="s">
        <v>681</v>
      </c>
      <c r="H1027" s="85" t="s">
        <v>1083</v>
      </c>
      <c r="I1027" s="85">
        <v>2.9</v>
      </c>
      <c r="J1027" s="87">
        <v>20.8</v>
      </c>
      <c r="K1027" s="88">
        <f t="shared" si="51"/>
        <v>60.32</v>
      </c>
      <c r="L1027" s="85" t="s">
        <v>1279</v>
      </c>
    </row>
    <row r="1028" spans="1:12" hidden="1" x14ac:dyDescent="0.2">
      <c r="A1028" s="84" t="str">
        <f t="shared" si="49"/>
        <v>MarçoSEMANA 4Pescados - Camarão IQF Evisc. 51/60</v>
      </c>
      <c r="B1028" s="85" t="s">
        <v>31</v>
      </c>
      <c r="C1028" s="85" t="s">
        <v>23</v>
      </c>
      <c r="D1028" s="86">
        <v>19</v>
      </c>
      <c r="E1028" s="116" t="str">
        <f t="shared" si="50"/>
        <v>Carnes</v>
      </c>
      <c r="F1028" s="85" t="s">
        <v>1104</v>
      </c>
      <c r="G1028" s="85" t="s">
        <v>593</v>
      </c>
      <c r="H1028" s="85" t="s">
        <v>1083</v>
      </c>
      <c r="I1028" s="85">
        <v>6</v>
      </c>
      <c r="J1028" s="87">
        <v>69.900000000000006</v>
      </c>
      <c r="K1028" s="88">
        <f t="shared" si="51"/>
        <v>419.40000000000003</v>
      </c>
      <c r="L1028" s="85" t="s">
        <v>1280</v>
      </c>
    </row>
    <row r="1029" spans="1:12" hidden="1" x14ac:dyDescent="0.2">
      <c r="A1029" s="84" t="str">
        <f t="shared" si="49"/>
        <v>MarçoSEMANA 4Pescados - Lula Calamares</v>
      </c>
      <c r="B1029" s="85" t="s">
        <v>31</v>
      </c>
      <c r="C1029" s="85" t="s">
        <v>23</v>
      </c>
      <c r="D1029" s="86">
        <v>19</v>
      </c>
      <c r="E1029" s="116" t="str">
        <f t="shared" si="50"/>
        <v>Carnes</v>
      </c>
      <c r="F1029" s="85" t="s">
        <v>1104</v>
      </c>
      <c r="G1029" s="85" t="s">
        <v>620</v>
      </c>
      <c r="H1029" s="85" t="s">
        <v>1083</v>
      </c>
      <c r="I1029" s="85">
        <v>10</v>
      </c>
      <c r="J1029" s="87">
        <v>27.9</v>
      </c>
      <c r="K1029" s="88">
        <f t="shared" si="51"/>
        <v>279</v>
      </c>
      <c r="L1029" s="85">
        <v>1310821</v>
      </c>
    </row>
    <row r="1030" spans="1:12" hidden="1" x14ac:dyDescent="0.2">
      <c r="A1030" s="84" t="str">
        <f t="shared" si="49"/>
        <v>MarçoSEMANA 4Pescados - Salmão Inteiro Sushi</v>
      </c>
      <c r="B1030" s="85" t="s">
        <v>31</v>
      </c>
      <c r="C1030" s="85" t="s">
        <v>23</v>
      </c>
      <c r="D1030" s="86">
        <v>19</v>
      </c>
      <c r="E1030" s="116" t="str">
        <f t="shared" si="50"/>
        <v>Sushi</v>
      </c>
      <c r="F1030" s="85" t="s">
        <v>1104</v>
      </c>
      <c r="G1030" s="85" t="s">
        <v>644</v>
      </c>
      <c r="H1030" s="85" t="s">
        <v>1083</v>
      </c>
      <c r="I1030" s="85">
        <v>30.06</v>
      </c>
      <c r="J1030" s="87">
        <v>25.899899999999999</v>
      </c>
      <c r="K1030" s="88">
        <f t="shared" si="51"/>
        <v>778.55099399999995</v>
      </c>
      <c r="L1030" s="85">
        <v>1311006</v>
      </c>
    </row>
    <row r="1031" spans="1:12" hidden="1" x14ac:dyDescent="0.2">
      <c r="A1031" s="84" t="str">
        <f t="shared" si="49"/>
        <v>MarçoSEMANA 4Carne Bovina - Lagarto Redondo</v>
      </c>
      <c r="B1031" s="85" t="s">
        <v>31</v>
      </c>
      <c r="C1031" s="85" t="s">
        <v>23</v>
      </c>
      <c r="D1031" s="86">
        <v>19</v>
      </c>
      <c r="E1031" s="116" t="str">
        <f t="shared" si="50"/>
        <v>Carnes</v>
      </c>
      <c r="F1031" s="85" t="s">
        <v>1227</v>
      </c>
      <c r="G1031" s="85" t="s">
        <v>226</v>
      </c>
      <c r="H1031" s="85" t="s">
        <v>1083</v>
      </c>
      <c r="I1031" s="85">
        <v>18.57</v>
      </c>
      <c r="J1031" s="87">
        <v>14.98</v>
      </c>
      <c r="K1031" s="88">
        <f t="shared" si="51"/>
        <v>278.17860000000002</v>
      </c>
      <c r="L1031" s="85" t="s">
        <v>1281</v>
      </c>
    </row>
    <row r="1032" spans="1:12" hidden="1" x14ac:dyDescent="0.2">
      <c r="A1032" s="84" t="str">
        <f t="shared" si="49"/>
        <v>MarçoSEMANA 4Gelo em Escamas</v>
      </c>
      <c r="B1032" s="85" t="s">
        <v>31</v>
      </c>
      <c r="C1032" s="85" t="s">
        <v>23</v>
      </c>
      <c r="D1032" s="86">
        <v>19</v>
      </c>
      <c r="E1032" s="116" t="str">
        <f t="shared" si="50"/>
        <v>Mercado</v>
      </c>
      <c r="F1032" s="85" t="s">
        <v>1096</v>
      </c>
      <c r="G1032" s="85" t="s">
        <v>384</v>
      </c>
      <c r="H1032" s="85" t="s">
        <v>1097</v>
      </c>
      <c r="I1032" s="85">
        <v>1</v>
      </c>
      <c r="J1032" s="87">
        <v>7.5</v>
      </c>
      <c r="K1032" s="88">
        <f t="shared" si="51"/>
        <v>7.5</v>
      </c>
      <c r="L1032" s="85">
        <v>3572</v>
      </c>
    </row>
    <row r="1033" spans="1:12" hidden="1" x14ac:dyDescent="0.2">
      <c r="A1033" s="84" t="str">
        <f t="shared" si="49"/>
        <v>MarçoSEMANA 4Gelo em Cubo</v>
      </c>
      <c r="B1033" s="85" t="s">
        <v>31</v>
      </c>
      <c r="C1033" s="85" t="s">
        <v>23</v>
      </c>
      <c r="D1033" s="86">
        <v>19</v>
      </c>
      <c r="E1033" s="116" t="str">
        <f t="shared" si="50"/>
        <v>Mercado</v>
      </c>
      <c r="F1033" s="85" t="s">
        <v>1096</v>
      </c>
      <c r="G1033" s="85" t="s">
        <v>383</v>
      </c>
      <c r="H1033" s="85" t="s">
        <v>1097</v>
      </c>
      <c r="I1033" s="85">
        <v>4</v>
      </c>
      <c r="J1033" s="87">
        <v>7.5</v>
      </c>
      <c r="K1033" s="88">
        <f t="shared" si="51"/>
        <v>30</v>
      </c>
      <c r="L1033" s="85">
        <v>3572</v>
      </c>
    </row>
    <row r="1034" spans="1:12" hidden="1" x14ac:dyDescent="0.2">
      <c r="A1034" s="84" t="str">
        <f t="shared" si="49"/>
        <v xml:space="preserve">MarçoSEMANA 4Café em Grão </v>
      </c>
      <c r="B1034" s="85" t="s">
        <v>31</v>
      </c>
      <c r="C1034" s="85" t="s">
        <v>23</v>
      </c>
      <c r="D1034" s="86">
        <v>19</v>
      </c>
      <c r="E1034" s="116" t="str">
        <f t="shared" si="50"/>
        <v>Mercado</v>
      </c>
      <c r="F1034" s="85" t="s">
        <v>1153</v>
      </c>
      <c r="G1034" s="85" t="s">
        <v>1028</v>
      </c>
      <c r="H1034" s="85" t="s">
        <v>1083</v>
      </c>
      <c r="I1034" s="85">
        <v>24</v>
      </c>
      <c r="J1034" s="87">
        <f>1168.29/24</f>
        <v>48.678750000000001</v>
      </c>
      <c r="K1034" s="88">
        <f t="shared" si="51"/>
        <v>1168.29</v>
      </c>
      <c r="L1034" s="85">
        <v>9316</v>
      </c>
    </row>
    <row r="1035" spans="1:12" hidden="1" x14ac:dyDescent="0.2">
      <c r="A1035" s="84" t="str">
        <f t="shared" si="49"/>
        <v>MarçoSEMANA 4Silver Power Talher</v>
      </c>
      <c r="B1035" s="85" t="s">
        <v>31</v>
      </c>
      <c r="C1035" s="85" t="s">
        <v>23</v>
      </c>
      <c r="D1035" s="86">
        <v>19</v>
      </c>
      <c r="E1035" s="116" t="str">
        <f t="shared" si="50"/>
        <v>Limpeza</v>
      </c>
      <c r="F1035" s="85" t="s">
        <v>1094</v>
      </c>
      <c r="G1035" s="85" t="s">
        <v>746</v>
      </c>
      <c r="H1035" s="85" t="s">
        <v>1089</v>
      </c>
      <c r="I1035" s="85">
        <v>2</v>
      </c>
      <c r="J1035" s="87">
        <f>918.5/2</f>
        <v>459.25</v>
      </c>
      <c r="K1035" s="88">
        <f t="shared" si="51"/>
        <v>918.5</v>
      </c>
      <c r="L1035" s="85">
        <v>74713</v>
      </c>
    </row>
    <row r="1036" spans="1:12" hidden="1" x14ac:dyDescent="0.2">
      <c r="A1036" s="84" t="str">
        <f t="shared" si="49"/>
        <v>MarçoSEMANA 4Vercom Detergente Bb 5 Lt</v>
      </c>
      <c r="B1036" s="85" t="s">
        <v>31</v>
      </c>
      <c r="C1036" s="85" t="s">
        <v>23</v>
      </c>
      <c r="D1036" s="86">
        <v>19</v>
      </c>
      <c r="E1036" s="116" t="str">
        <f t="shared" si="50"/>
        <v>Limpeza</v>
      </c>
      <c r="F1036" s="85" t="s">
        <v>1094</v>
      </c>
      <c r="G1036" s="85" t="s">
        <v>836</v>
      </c>
      <c r="H1036" s="85" t="s">
        <v>1089</v>
      </c>
      <c r="I1036" s="85">
        <v>2</v>
      </c>
      <c r="J1036" s="87">
        <f>334.16/2</f>
        <v>167.08</v>
      </c>
      <c r="K1036" s="88">
        <f t="shared" si="51"/>
        <v>334.16</v>
      </c>
      <c r="L1036" s="85">
        <v>74713</v>
      </c>
    </row>
    <row r="1037" spans="1:12" hidden="1" x14ac:dyDescent="0.2">
      <c r="A1037" s="84" t="str">
        <f t="shared" si="49"/>
        <v>MarçoSEMANA 4Greasestrip Plus Bb 5 L</v>
      </c>
      <c r="B1037" s="85" t="s">
        <v>31</v>
      </c>
      <c r="C1037" s="85" t="s">
        <v>23</v>
      </c>
      <c r="D1037" s="86">
        <v>19</v>
      </c>
      <c r="E1037" s="116" t="str">
        <f t="shared" si="50"/>
        <v>Limpeza</v>
      </c>
      <c r="F1037" s="85" t="s">
        <v>1094</v>
      </c>
      <c r="G1037" s="85" t="s">
        <v>983</v>
      </c>
      <c r="H1037" s="85" t="s">
        <v>1089</v>
      </c>
      <c r="I1037" s="85">
        <v>2</v>
      </c>
      <c r="J1037" s="87">
        <f>566.09/2</f>
        <v>283.04500000000002</v>
      </c>
      <c r="K1037" s="88">
        <f t="shared" si="51"/>
        <v>566.09</v>
      </c>
      <c r="L1037" s="85" t="s">
        <v>1282</v>
      </c>
    </row>
    <row r="1038" spans="1:12" hidden="1" x14ac:dyDescent="0.2">
      <c r="A1038" s="84" t="str">
        <f t="shared" si="49"/>
        <v>MarçoSEMANA 4Oásis enforce (limpador clorado) Bb5lt</v>
      </c>
      <c r="B1038" s="85" t="s">
        <v>31</v>
      </c>
      <c r="C1038" s="85" t="s">
        <v>23</v>
      </c>
      <c r="D1038" s="86">
        <v>19</v>
      </c>
      <c r="E1038" s="116" t="str">
        <f t="shared" si="50"/>
        <v>Limpeza</v>
      </c>
      <c r="F1038" s="85" t="s">
        <v>1094</v>
      </c>
      <c r="G1038" s="85" t="s">
        <v>540</v>
      </c>
      <c r="H1038" s="85" t="s">
        <v>1089</v>
      </c>
      <c r="I1038" s="85">
        <v>1</v>
      </c>
      <c r="J1038" s="87">
        <v>349.06</v>
      </c>
      <c r="K1038" s="88">
        <f t="shared" si="51"/>
        <v>349.06</v>
      </c>
      <c r="L1038" s="85" t="s">
        <v>1282</v>
      </c>
    </row>
    <row r="1039" spans="1:12" hidden="1" x14ac:dyDescent="0.2">
      <c r="A1039" s="84" t="str">
        <f t="shared" si="49"/>
        <v>MarçoSEMANA 4Aves - Filé de Peito de Frango</v>
      </c>
      <c r="B1039" s="85" t="s">
        <v>31</v>
      </c>
      <c r="C1039" s="85" t="s">
        <v>23</v>
      </c>
      <c r="D1039" s="86">
        <v>19</v>
      </c>
      <c r="E1039" s="116" t="str">
        <f t="shared" si="50"/>
        <v>Carnes</v>
      </c>
      <c r="F1039" s="85" t="s">
        <v>1092</v>
      </c>
      <c r="G1039" s="85" t="s">
        <v>139</v>
      </c>
      <c r="H1039" s="85" t="s">
        <v>1083</v>
      </c>
      <c r="I1039" s="85">
        <v>48</v>
      </c>
      <c r="J1039" s="87">
        <v>7.8</v>
      </c>
      <c r="K1039" s="88">
        <f t="shared" si="51"/>
        <v>374.4</v>
      </c>
      <c r="L1039" s="85" t="s">
        <v>1283</v>
      </c>
    </row>
    <row r="1040" spans="1:12" hidden="1" x14ac:dyDescent="0.2">
      <c r="A1040" s="84" t="str">
        <f t="shared" si="49"/>
        <v>MarçoSEMANA 4Abacaxi Cristalizado</v>
      </c>
      <c r="B1040" s="85" t="s">
        <v>31</v>
      </c>
      <c r="C1040" s="85" t="s">
        <v>23</v>
      </c>
      <c r="D1040" s="86">
        <v>19</v>
      </c>
      <c r="E1040" s="116" t="str">
        <f t="shared" si="50"/>
        <v>Mercado</v>
      </c>
      <c r="F1040" s="85" t="s">
        <v>1084</v>
      </c>
      <c r="G1040" s="85" t="s">
        <v>66</v>
      </c>
      <c r="H1040" s="85" t="s">
        <v>1083</v>
      </c>
      <c r="I1040" s="85">
        <v>0.37</v>
      </c>
      <c r="J1040" s="87">
        <v>32.945900000000002</v>
      </c>
      <c r="K1040" s="88">
        <f t="shared" si="51"/>
        <v>12.189983</v>
      </c>
      <c r="L1040" s="85">
        <v>102377</v>
      </c>
    </row>
    <row r="1041" spans="1:12" hidden="1" x14ac:dyDescent="0.2">
      <c r="A1041" s="84" t="str">
        <f t="shared" si="49"/>
        <v>MarçoSEMANA 4Amendoa Fatiada</v>
      </c>
      <c r="B1041" s="85" t="s">
        <v>31</v>
      </c>
      <c r="C1041" s="85" t="s">
        <v>23</v>
      </c>
      <c r="D1041" s="86">
        <v>19</v>
      </c>
      <c r="E1041" s="116" t="str">
        <f t="shared" si="50"/>
        <v>Mercado</v>
      </c>
      <c r="F1041" s="85" t="s">
        <v>1084</v>
      </c>
      <c r="G1041" s="85" t="s">
        <v>117</v>
      </c>
      <c r="H1041" s="85" t="s">
        <v>1083</v>
      </c>
      <c r="I1041" s="90">
        <v>0.60199999999999998</v>
      </c>
      <c r="J1041" s="87">
        <v>70.647800000000004</v>
      </c>
      <c r="K1041" s="88">
        <f t="shared" si="51"/>
        <v>42.5299756</v>
      </c>
      <c r="L1041" s="85">
        <v>102377</v>
      </c>
    </row>
    <row r="1042" spans="1:12" hidden="1" x14ac:dyDescent="0.2">
      <c r="A1042" s="84" t="str">
        <f t="shared" si="49"/>
        <v>MarçoSEMANA 4Funghi Seco</v>
      </c>
      <c r="B1042" s="85" t="s">
        <v>31</v>
      </c>
      <c r="C1042" s="85" t="s">
        <v>23</v>
      </c>
      <c r="D1042" s="86">
        <v>19</v>
      </c>
      <c r="E1042" s="116" t="str">
        <f t="shared" si="50"/>
        <v>Mercado</v>
      </c>
      <c r="F1042" s="85" t="s">
        <v>1084</v>
      </c>
      <c r="G1042" s="85" t="s">
        <v>376</v>
      </c>
      <c r="H1042" s="85" t="s">
        <v>1083</v>
      </c>
      <c r="I1042" s="85">
        <v>0.60799999999999998</v>
      </c>
      <c r="J1042" s="87">
        <v>79.819100000000006</v>
      </c>
      <c r="K1042" s="88">
        <f t="shared" si="51"/>
        <v>48.530012800000002</v>
      </c>
      <c r="L1042" s="85">
        <v>102377</v>
      </c>
    </row>
    <row r="1043" spans="1:12" hidden="1" x14ac:dyDescent="0.2">
      <c r="A1043" s="84" t="str">
        <f t="shared" si="49"/>
        <v>MarçoSEMANA 4Kiwi Desidratado</v>
      </c>
      <c r="B1043" s="85" t="s">
        <v>31</v>
      </c>
      <c r="C1043" s="85" t="s">
        <v>23</v>
      </c>
      <c r="D1043" s="86">
        <v>19</v>
      </c>
      <c r="E1043" s="116" t="str">
        <f t="shared" si="50"/>
        <v>Mercado</v>
      </c>
      <c r="F1043" s="85" t="s">
        <v>1084</v>
      </c>
      <c r="G1043" s="85" t="s">
        <v>454</v>
      </c>
      <c r="H1043" s="85" t="s">
        <v>1083</v>
      </c>
      <c r="I1043" s="90">
        <v>0.35199999999999998</v>
      </c>
      <c r="J1043" s="89">
        <v>44.9148</v>
      </c>
      <c r="K1043" s="88">
        <f t="shared" si="51"/>
        <v>15.810009599999999</v>
      </c>
      <c r="L1043" s="85">
        <v>102377</v>
      </c>
    </row>
    <row r="1044" spans="1:12" hidden="1" x14ac:dyDescent="0.2">
      <c r="A1044" s="84" t="str">
        <f t="shared" si="49"/>
        <v>MarçoSEMANA 4Maçã Desidratada</v>
      </c>
      <c r="B1044" s="85" t="s">
        <v>31</v>
      </c>
      <c r="C1044" s="85" t="s">
        <v>23</v>
      </c>
      <c r="D1044" s="86">
        <v>19</v>
      </c>
      <c r="E1044" s="116" t="str">
        <f t="shared" si="50"/>
        <v>Mercado</v>
      </c>
      <c r="F1044" s="85" t="s">
        <v>1084</v>
      </c>
      <c r="G1044" s="85" t="s">
        <v>475</v>
      </c>
      <c r="H1044" s="85" t="s">
        <v>1083</v>
      </c>
      <c r="I1044" s="85">
        <v>0.35599999999999998</v>
      </c>
      <c r="J1044" s="87">
        <v>48.966999999999999</v>
      </c>
      <c r="K1044" s="88">
        <f t="shared" si="51"/>
        <v>17.432251999999998</v>
      </c>
      <c r="L1044" s="85">
        <v>102377</v>
      </c>
    </row>
    <row r="1045" spans="1:12" hidden="1" x14ac:dyDescent="0.2">
      <c r="A1045" s="84" t="str">
        <f t="shared" si="49"/>
        <v>MarçoSEMANA 4Pera Seca</v>
      </c>
      <c r="B1045" s="85" t="s">
        <v>31</v>
      </c>
      <c r="C1045" s="85" t="s">
        <v>23</v>
      </c>
      <c r="D1045" s="86">
        <v>19</v>
      </c>
      <c r="E1045" s="116" t="str">
        <f t="shared" si="50"/>
        <v>Mercado</v>
      </c>
      <c r="F1045" s="85" t="s">
        <v>1084</v>
      </c>
      <c r="G1045" s="85" t="s">
        <v>581</v>
      </c>
      <c r="H1045" s="85" t="s">
        <v>1083</v>
      </c>
      <c r="I1045" s="85">
        <v>0.36199999999999999</v>
      </c>
      <c r="J1045" s="87">
        <v>53.011000000000003</v>
      </c>
      <c r="K1045" s="88">
        <f t="shared" si="51"/>
        <v>19.189982000000001</v>
      </c>
      <c r="L1045" s="85">
        <v>102377</v>
      </c>
    </row>
    <row r="1046" spans="1:12" hidden="1" x14ac:dyDescent="0.2">
      <c r="A1046" s="84" t="str">
        <f t="shared" si="49"/>
        <v>MarçoSEMANA 4Tapioca Fina</v>
      </c>
      <c r="B1046" s="85" t="s">
        <v>31</v>
      </c>
      <c r="C1046" s="85" t="s">
        <v>23</v>
      </c>
      <c r="D1046" s="86">
        <v>19</v>
      </c>
      <c r="E1046" s="116" t="str">
        <f t="shared" si="50"/>
        <v>Mercado</v>
      </c>
      <c r="F1046" s="85" t="s">
        <v>1084</v>
      </c>
      <c r="G1046" s="85" t="s">
        <v>1022</v>
      </c>
      <c r="H1046" s="85" t="s">
        <v>1083</v>
      </c>
      <c r="I1046" s="85">
        <v>6.0460000000000003</v>
      </c>
      <c r="J1046" s="87">
        <v>8.0103000000000009</v>
      </c>
      <c r="K1046" s="88">
        <f t="shared" si="51"/>
        <v>48.430273800000009</v>
      </c>
      <c r="L1046" s="85">
        <v>102377</v>
      </c>
    </row>
    <row r="1047" spans="1:12" hidden="1" x14ac:dyDescent="0.2">
      <c r="A1047" s="84" t="str">
        <f t="shared" si="49"/>
        <v>MarçoSEMANA 4Trigo em Grão</v>
      </c>
      <c r="B1047" s="85" t="s">
        <v>31</v>
      </c>
      <c r="C1047" s="85" t="s">
        <v>23</v>
      </c>
      <c r="D1047" s="86">
        <v>19</v>
      </c>
      <c r="E1047" s="116" t="str">
        <f t="shared" si="50"/>
        <v>Mercado</v>
      </c>
      <c r="F1047" s="85" t="s">
        <v>1115</v>
      </c>
      <c r="G1047" s="85" t="s">
        <v>824</v>
      </c>
      <c r="H1047" s="85" t="s">
        <v>1083</v>
      </c>
      <c r="I1047" s="85">
        <v>2</v>
      </c>
      <c r="J1047" s="87">
        <v>3.9</v>
      </c>
      <c r="K1047" s="88">
        <f t="shared" si="51"/>
        <v>7.8</v>
      </c>
      <c r="L1047" s="85" t="s">
        <v>1284</v>
      </c>
    </row>
    <row r="1048" spans="1:12" hidden="1" x14ac:dyDescent="0.2">
      <c r="A1048" s="84" t="str">
        <f t="shared" si="49"/>
        <v>MarçoSEMANA 4Açafrão</v>
      </c>
      <c r="B1048" s="85" t="s">
        <v>31</v>
      </c>
      <c r="C1048" s="85" t="s">
        <v>23</v>
      </c>
      <c r="D1048" s="86">
        <v>19</v>
      </c>
      <c r="E1048" s="116" t="str">
        <f t="shared" si="50"/>
        <v>Mercado</v>
      </c>
      <c r="F1048" s="85" t="s">
        <v>1115</v>
      </c>
      <c r="G1048" s="85" t="s">
        <v>74</v>
      </c>
      <c r="H1048" s="85" t="s">
        <v>1083</v>
      </c>
      <c r="I1048" s="85">
        <v>0.3</v>
      </c>
      <c r="J1048" s="87">
        <v>11.5</v>
      </c>
      <c r="K1048" s="88">
        <f t="shared" si="51"/>
        <v>3.4499999999999997</v>
      </c>
      <c r="L1048" s="85" t="s">
        <v>1284</v>
      </c>
    </row>
    <row r="1049" spans="1:12" hidden="1" x14ac:dyDescent="0.2">
      <c r="A1049" s="84" t="str">
        <f t="shared" si="49"/>
        <v>MarçoSEMANA 4Ameixa sem Caroço</v>
      </c>
      <c r="B1049" s="85" t="s">
        <v>31</v>
      </c>
      <c r="C1049" s="85" t="s">
        <v>23</v>
      </c>
      <c r="D1049" s="86">
        <v>19</v>
      </c>
      <c r="E1049" s="116" t="str">
        <f t="shared" si="50"/>
        <v>Mercado</v>
      </c>
      <c r="F1049" s="85" t="s">
        <v>1115</v>
      </c>
      <c r="G1049" s="85" t="s">
        <v>116</v>
      </c>
      <c r="H1049" s="85" t="s">
        <v>1083</v>
      </c>
      <c r="I1049" s="85">
        <v>1</v>
      </c>
      <c r="J1049" s="87">
        <v>17.899999999999999</v>
      </c>
      <c r="K1049" s="88">
        <f t="shared" si="51"/>
        <v>17.899999999999999</v>
      </c>
      <c r="L1049" s="85" t="s">
        <v>1284</v>
      </c>
    </row>
    <row r="1050" spans="1:12" hidden="1" x14ac:dyDescent="0.2">
      <c r="A1050" s="84" t="str">
        <f t="shared" si="49"/>
        <v>MarçoSEMANA 4Amendoim Torrado</v>
      </c>
      <c r="B1050" s="85" t="s">
        <v>31</v>
      </c>
      <c r="C1050" s="85" t="s">
        <v>23</v>
      </c>
      <c r="D1050" s="86">
        <v>19</v>
      </c>
      <c r="E1050" s="116" t="str">
        <f t="shared" si="50"/>
        <v>Mercado</v>
      </c>
      <c r="F1050" s="85" t="s">
        <v>1115</v>
      </c>
      <c r="G1050" s="85" t="s">
        <v>119</v>
      </c>
      <c r="H1050" s="85" t="s">
        <v>1083</v>
      </c>
      <c r="I1050" s="85">
        <v>1</v>
      </c>
      <c r="J1050" s="87">
        <v>14.5</v>
      </c>
      <c r="K1050" s="88">
        <f t="shared" si="51"/>
        <v>14.5</v>
      </c>
      <c r="L1050" s="85" t="s">
        <v>1284</v>
      </c>
    </row>
    <row r="1051" spans="1:12" hidden="1" x14ac:dyDescent="0.2">
      <c r="A1051" s="84" t="str">
        <f t="shared" si="49"/>
        <v>MarçoSEMANA 4Castanha de Caju Picada</v>
      </c>
      <c r="B1051" s="85" t="s">
        <v>31</v>
      </c>
      <c r="C1051" s="85" t="s">
        <v>23</v>
      </c>
      <c r="D1051" s="86">
        <v>19</v>
      </c>
      <c r="E1051" s="116" t="str">
        <f t="shared" si="50"/>
        <v>Mercado</v>
      </c>
      <c r="F1051" s="85" t="s">
        <v>1115</v>
      </c>
      <c r="G1051" s="85" t="s">
        <v>238</v>
      </c>
      <c r="H1051" s="85" t="s">
        <v>1083</v>
      </c>
      <c r="I1051" s="85">
        <v>2</v>
      </c>
      <c r="J1051" s="87">
        <v>54.9</v>
      </c>
      <c r="K1051" s="88">
        <f t="shared" si="51"/>
        <v>109.8</v>
      </c>
      <c r="L1051" s="85" t="s">
        <v>1284</v>
      </c>
    </row>
    <row r="1052" spans="1:12" hidden="1" x14ac:dyDescent="0.2">
      <c r="A1052" s="84" t="str">
        <f t="shared" si="49"/>
        <v>MarçoSEMANA 4Cevadinha</v>
      </c>
      <c r="B1052" s="85" t="s">
        <v>31</v>
      </c>
      <c r="C1052" s="85" t="s">
        <v>23</v>
      </c>
      <c r="D1052" s="86">
        <v>19</v>
      </c>
      <c r="E1052" s="116" t="str">
        <f t="shared" si="50"/>
        <v>Mercado</v>
      </c>
      <c r="F1052" s="85" t="s">
        <v>1115</v>
      </c>
      <c r="G1052" s="85" t="s">
        <v>269</v>
      </c>
      <c r="H1052" s="85" t="s">
        <v>1083</v>
      </c>
      <c r="I1052" s="85">
        <v>1</v>
      </c>
      <c r="J1052" s="87">
        <v>5.9</v>
      </c>
      <c r="K1052" s="88">
        <f t="shared" si="51"/>
        <v>5.9</v>
      </c>
      <c r="L1052" s="85" t="s">
        <v>1284</v>
      </c>
    </row>
    <row r="1053" spans="1:12" hidden="1" x14ac:dyDescent="0.2">
      <c r="A1053" s="84" t="str">
        <f t="shared" si="49"/>
        <v>MarçoSEMANA 4Chimichurri</v>
      </c>
      <c r="B1053" s="85" t="s">
        <v>31</v>
      </c>
      <c r="C1053" s="85" t="s">
        <v>23</v>
      </c>
      <c r="D1053" s="86">
        <v>19</v>
      </c>
      <c r="E1053" s="116" t="str">
        <f t="shared" si="50"/>
        <v>Mercado</v>
      </c>
      <c r="F1053" s="85" t="s">
        <v>1115</v>
      </c>
      <c r="G1053" s="85" t="s">
        <v>277</v>
      </c>
      <c r="H1053" s="85" t="s">
        <v>1083</v>
      </c>
      <c r="I1053" s="85">
        <v>0.2</v>
      </c>
      <c r="J1053" s="87">
        <v>26</v>
      </c>
      <c r="K1053" s="88">
        <f t="shared" si="51"/>
        <v>5.2</v>
      </c>
      <c r="L1053" s="85" t="s">
        <v>1284</v>
      </c>
    </row>
    <row r="1054" spans="1:12" hidden="1" x14ac:dyDescent="0.2">
      <c r="A1054" s="84" t="str">
        <f t="shared" si="49"/>
        <v>MarçoSEMANA 4Coloral</v>
      </c>
      <c r="B1054" s="85" t="s">
        <v>31</v>
      </c>
      <c r="C1054" s="85" t="s">
        <v>23</v>
      </c>
      <c r="D1054" s="86">
        <v>19</v>
      </c>
      <c r="E1054" s="116" t="str">
        <f t="shared" si="50"/>
        <v>Mercado</v>
      </c>
      <c r="F1054" s="85" t="s">
        <v>1115</v>
      </c>
      <c r="G1054" s="85" t="s">
        <v>295</v>
      </c>
      <c r="H1054" s="85" t="s">
        <v>1083</v>
      </c>
      <c r="I1054" s="85">
        <v>0.3</v>
      </c>
      <c r="J1054" s="87">
        <v>5.5</v>
      </c>
      <c r="K1054" s="88">
        <f t="shared" si="51"/>
        <v>1.65</v>
      </c>
      <c r="L1054" s="85" t="s">
        <v>1284</v>
      </c>
    </row>
    <row r="1055" spans="1:12" hidden="1" x14ac:dyDescent="0.2">
      <c r="A1055" s="84" t="str">
        <f t="shared" si="49"/>
        <v>MarçoSEMANA 4Cuscus</v>
      </c>
      <c r="B1055" s="85" t="s">
        <v>31</v>
      </c>
      <c r="C1055" s="85" t="s">
        <v>23</v>
      </c>
      <c r="D1055" s="86">
        <v>19</v>
      </c>
      <c r="E1055" s="116" t="str">
        <f t="shared" si="50"/>
        <v>Mercado</v>
      </c>
      <c r="F1055" s="85" t="s">
        <v>1115</v>
      </c>
      <c r="G1055" s="85" t="s">
        <v>318</v>
      </c>
      <c r="H1055" s="85" t="s">
        <v>1083</v>
      </c>
      <c r="I1055" s="85">
        <v>5</v>
      </c>
      <c r="J1055" s="87">
        <v>26.9</v>
      </c>
      <c r="K1055" s="88">
        <f t="shared" si="51"/>
        <v>134.5</v>
      </c>
      <c r="L1055" s="85" t="s">
        <v>1284</v>
      </c>
    </row>
    <row r="1056" spans="1:12" hidden="1" x14ac:dyDescent="0.2">
      <c r="A1056" s="84" t="str">
        <f t="shared" si="49"/>
        <v>MarçoSEMANA 4Damasco Seco</v>
      </c>
      <c r="B1056" s="85" t="s">
        <v>31</v>
      </c>
      <c r="C1056" s="85" t="s">
        <v>23</v>
      </c>
      <c r="D1056" s="86">
        <v>19</v>
      </c>
      <c r="E1056" s="116" t="str">
        <f t="shared" si="50"/>
        <v>Mercado</v>
      </c>
      <c r="F1056" s="85" t="s">
        <v>1115</v>
      </c>
      <c r="G1056" s="85" t="s">
        <v>319</v>
      </c>
      <c r="H1056" s="85" t="s">
        <v>1083</v>
      </c>
      <c r="I1056" s="85">
        <v>1</v>
      </c>
      <c r="J1056" s="87">
        <v>26.9</v>
      </c>
      <c r="K1056" s="88">
        <f t="shared" si="51"/>
        <v>26.9</v>
      </c>
      <c r="L1056" s="85" t="s">
        <v>1284</v>
      </c>
    </row>
    <row r="1057" spans="1:12" hidden="1" x14ac:dyDescent="0.2">
      <c r="A1057" s="84" t="str">
        <f t="shared" si="49"/>
        <v>MarçoSEMANA 4Mostarda Dijom em Grão</v>
      </c>
      <c r="B1057" s="85" t="s">
        <v>31</v>
      </c>
      <c r="C1057" s="85" t="s">
        <v>23</v>
      </c>
      <c r="D1057" s="86">
        <v>19</v>
      </c>
      <c r="E1057" s="116" t="str">
        <f t="shared" si="50"/>
        <v>Mercado</v>
      </c>
      <c r="F1057" s="85" t="s">
        <v>1115</v>
      </c>
      <c r="G1057" s="85" t="s">
        <v>532</v>
      </c>
      <c r="H1057" s="85" t="s">
        <v>1090</v>
      </c>
      <c r="I1057" s="85">
        <v>1</v>
      </c>
      <c r="J1057" s="87">
        <v>22</v>
      </c>
      <c r="K1057" s="88">
        <f t="shared" si="51"/>
        <v>22</v>
      </c>
      <c r="L1057" s="85" t="s">
        <v>1284</v>
      </c>
    </row>
    <row r="1058" spans="1:12" hidden="1" x14ac:dyDescent="0.2">
      <c r="A1058" s="84" t="str">
        <f t="shared" si="49"/>
        <v>MarçoSEMANA 4Nozes sem casca</v>
      </c>
      <c r="B1058" s="85" t="s">
        <v>31</v>
      </c>
      <c r="C1058" s="85" t="s">
        <v>23</v>
      </c>
      <c r="D1058" s="86">
        <v>19</v>
      </c>
      <c r="E1058" s="116" t="str">
        <f t="shared" si="50"/>
        <v>Mercado</v>
      </c>
      <c r="F1058" s="85" t="s">
        <v>1115</v>
      </c>
      <c r="G1058" s="85" t="s">
        <v>539</v>
      </c>
      <c r="H1058" s="85" t="s">
        <v>1083</v>
      </c>
      <c r="I1058" s="85">
        <v>1</v>
      </c>
      <c r="J1058" s="87">
        <v>69.900000000000006</v>
      </c>
      <c r="K1058" s="88">
        <f t="shared" si="51"/>
        <v>69.900000000000006</v>
      </c>
      <c r="L1058" s="85" t="s">
        <v>1284</v>
      </c>
    </row>
    <row r="1059" spans="1:12" hidden="1" x14ac:dyDescent="0.2">
      <c r="A1059" s="84" t="str">
        <f t="shared" si="49"/>
        <v>MarçoSEMANA 4Paprica doce</v>
      </c>
      <c r="B1059" s="85" t="s">
        <v>31</v>
      </c>
      <c r="C1059" s="85" t="s">
        <v>23</v>
      </c>
      <c r="D1059" s="86">
        <v>19</v>
      </c>
      <c r="E1059" s="116" t="str">
        <f t="shared" si="50"/>
        <v>Mercado</v>
      </c>
      <c r="F1059" s="85" t="s">
        <v>1115</v>
      </c>
      <c r="G1059" s="85" t="s">
        <v>572</v>
      </c>
      <c r="H1059" s="85" t="s">
        <v>1083</v>
      </c>
      <c r="I1059" s="85">
        <v>0.3</v>
      </c>
      <c r="J1059" s="87">
        <v>10.9</v>
      </c>
      <c r="K1059" s="88">
        <f t="shared" si="51"/>
        <v>3.27</v>
      </c>
      <c r="L1059" s="85" t="s">
        <v>1284</v>
      </c>
    </row>
    <row r="1060" spans="1:12" hidden="1" x14ac:dyDescent="0.2">
      <c r="A1060" s="84" t="str">
        <f t="shared" si="49"/>
        <v>MarçoSEMANA 4Passas Preta</v>
      </c>
      <c r="B1060" s="85" t="s">
        <v>31</v>
      </c>
      <c r="C1060" s="85" t="s">
        <v>23</v>
      </c>
      <c r="D1060" s="86">
        <v>19</v>
      </c>
      <c r="E1060" s="116" t="str">
        <f t="shared" si="50"/>
        <v>Mercado</v>
      </c>
      <c r="F1060" s="85" t="s">
        <v>1115</v>
      </c>
      <c r="G1060" s="85" t="s">
        <v>573</v>
      </c>
      <c r="H1060" s="85" t="s">
        <v>1083</v>
      </c>
      <c r="I1060" s="85">
        <v>1</v>
      </c>
      <c r="J1060" s="87">
        <v>14.3</v>
      </c>
      <c r="K1060" s="88">
        <f t="shared" si="51"/>
        <v>14.3</v>
      </c>
      <c r="L1060" s="85" t="s">
        <v>1284</v>
      </c>
    </row>
    <row r="1061" spans="1:12" hidden="1" x14ac:dyDescent="0.2">
      <c r="A1061" s="84" t="str">
        <f t="shared" si="49"/>
        <v>MarçoSEMANA 4Tahine Lata 500 gr</v>
      </c>
      <c r="B1061" s="85" t="s">
        <v>31</v>
      </c>
      <c r="C1061" s="85" t="s">
        <v>23</v>
      </c>
      <c r="D1061" s="86">
        <v>19</v>
      </c>
      <c r="E1061" s="116" t="str">
        <f t="shared" si="50"/>
        <v>Mercado</v>
      </c>
      <c r="F1061" s="85" t="s">
        <v>1115</v>
      </c>
      <c r="G1061" s="85" t="s">
        <v>778</v>
      </c>
      <c r="H1061" s="85" t="s">
        <v>1083</v>
      </c>
      <c r="I1061" s="85">
        <v>1</v>
      </c>
      <c r="J1061" s="87">
        <v>38</v>
      </c>
      <c r="K1061" s="88">
        <f t="shared" si="51"/>
        <v>38</v>
      </c>
      <c r="L1061" s="85" t="s">
        <v>1284</v>
      </c>
    </row>
    <row r="1062" spans="1:12" x14ac:dyDescent="0.25">
      <c r="A1062" s="84" t="str">
        <f t="shared" si="49"/>
        <v>MarçoSEMANA 4Cebola</v>
      </c>
      <c r="B1062" s="85" t="s">
        <v>31</v>
      </c>
      <c r="C1062" s="85" t="s">
        <v>23</v>
      </c>
      <c r="D1062" s="86">
        <v>19</v>
      </c>
      <c r="E1062" s="116" t="str">
        <f t="shared" si="50"/>
        <v>Hortifruti</v>
      </c>
      <c r="F1062" s="85" t="s">
        <v>1111</v>
      </c>
      <c r="G1062" s="85" t="s">
        <v>241</v>
      </c>
      <c r="H1062" s="85" t="s">
        <v>1083</v>
      </c>
      <c r="I1062" s="85">
        <v>19.84</v>
      </c>
      <c r="J1062" s="87">
        <f>48.5/19.84</f>
        <v>2.444556451612903</v>
      </c>
      <c r="K1062" s="88">
        <f t="shared" si="51"/>
        <v>48.499999999999993</v>
      </c>
      <c r="L1062" s="85">
        <v>18954</v>
      </c>
    </row>
    <row r="1063" spans="1:12" x14ac:dyDescent="0.25">
      <c r="A1063" s="84" t="str">
        <f t="shared" si="49"/>
        <v>MarçoSEMANA 4Côco Verde</v>
      </c>
      <c r="B1063" s="85" t="s">
        <v>31</v>
      </c>
      <c r="C1063" s="85" t="s">
        <v>23</v>
      </c>
      <c r="D1063" s="86">
        <v>19</v>
      </c>
      <c r="E1063" s="116" t="str">
        <f t="shared" si="50"/>
        <v>Hortifruti</v>
      </c>
      <c r="F1063" s="85" t="s">
        <v>1111</v>
      </c>
      <c r="G1063" s="85" t="s">
        <v>288</v>
      </c>
      <c r="H1063" s="85" t="s">
        <v>1090</v>
      </c>
      <c r="I1063" s="85">
        <v>15</v>
      </c>
      <c r="J1063" s="87">
        <v>2.25</v>
      </c>
      <c r="K1063" s="88">
        <f t="shared" si="51"/>
        <v>33.75</v>
      </c>
      <c r="L1063" s="85">
        <v>18954</v>
      </c>
    </row>
    <row r="1064" spans="1:12" x14ac:dyDescent="0.25">
      <c r="A1064" s="84" t="str">
        <f t="shared" si="49"/>
        <v>MarçoSEMANA 4Coentro</v>
      </c>
      <c r="B1064" s="85" t="s">
        <v>31</v>
      </c>
      <c r="C1064" s="85" t="s">
        <v>23</v>
      </c>
      <c r="D1064" s="86">
        <v>19</v>
      </c>
      <c r="E1064" s="116" t="str">
        <f t="shared" si="50"/>
        <v>Hortifruti</v>
      </c>
      <c r="F1064" s="85" t="s">
        <v>1111</v>
      </c>
      <c r="G1064" s="85" t="s">
        <v>289</v>
      </c>
      <c r="H1064" s="85" t="s">
        <v>1083</v>
      </c>
      <c r="I1064" s="85">
        <v>0.3</v>
      </c>
      <c r="J1064" s="87">
        <v>23</v>
      </c>
      <c r="K1064" s="88">
        <f t="shared" si="51"/>
        <v>6.8999999999999995</v>
      </c>
      <c r="L1064" s="85">
        <v>18954</v>
      </c>
    </row>
    <row r="1065" spans="1:12" x14ac:dyDescent="0.25">
      <c r="A1065" s="84" t="str">
        <f t="shared" si="49"/>
        <v>MarçoSEMANA 4Kiwi</v>
      </c>
      <c r="B1065" s="85" t="s">
        <v>31</v>
      </c>
      <c r="C1065" s="85" t="s">
        <v>23</v>
      </c>
      <c r="D1065" s="86">
        <v>19</v>
      </c>
      <c r="E1065" s="116" t="str">
        <f t="shared" si="50"/>
        <v>Hortifruti</v>
      </c>
      <c r="F1065" s="85" t="s">
        <v>1111</v>
      </c>
      <c r="G1065" s="85" t="s">
        <v>453</v>
      </c>
      <c r="H1065" s="85" t="s">
        <v>1083</v>
      </c>
      <c r="I1065" s="85">
        <v>0.5</v>
      </c>
      <c r="J1065" s="87">
        <v>12</v>
      </c>
      <c r="K1065" s="88">
        <f t="shared" si="51"/>
        <v>6</v>
      </c>
      <c r="L1065" s="85">
        <v>18954</v>
      </c>
    </row>
    <row r="1066" spans="1:12" x14ac:dyDescent="0.25">
      <c r="A1066" s="84" t="str">
        <f t="shared" si="49"/>
        <v>MarçoSEMANA 4Manga Palmer</v>
      </c>
      <c r="B1066" s="85" t="s">
        <v>31</v>
      </c>
      <c r="C1066" s="85" t="s">
        <v>23</v>
      </c>
      <c r="D1066" s="86">
        <v>19</v>
      </c>
      <c r="E1066" s="116" t="str">
        <f t="shared" si="50"/>
        <v>Hortifruti</v>
      </c>
      <c r="F1066" s="85" t="s">
        <v>1111</v>
      </c>
      <c r="G1066" s="85" t="s">
        <v>495</v>
      </c>
      <c r="H1066" s="85" t="s">
        <v>1083</v>
      </c>
      <c r="I1066" s="85">
        <v>6</v>
      </c>
      <c r="J1066" s="87">
        <f>25/6</f>
        <v>4.166666666666667</v>
      </c>
      <c r="K1066" s="88">
        <f t="shared" si="51"/>
        <v>25</v>
      </c>
      <c r="L1066" s="85">
        <v>18954</v>
      </c>
    </row>
    <row r="1067" spans="1:12" x14ac:dyDescent="0.25">
      <c r="A1067" s="84" t="str">
        <f t="shared" si="49"/>
        <v>MarçoSEMANA 4Melância</v>
      </c>
      <c r="B1067" s="85" t="s">
        <v>31</v>
      </c>
      <c r="C1067" s="85" t="s">
        <v>23</v>
      </c>
      <c r="D1067" s="86">
        <v>19</v>
      </c>
      <c r="E1067" s="116" t="str">
        <f t="shared" si="50"/>
        <v>Hortifruti</v>
      </c>
      <c r="F1067" s="85" t="s">
        <v>1111</v>
      </c>
      <c r="G1067" s="85" t="s">
        <v>516</v>
      </c>
      <c r="H1067" s="85" t="s">
        <v>1083</v>
      </c>
      <c r="I1067" s="85">
        <v>10</v>
      </c>
      <c r="J1067" s="87">
        <v>1.52</v>
      </c>
      <c r="K1067" s="88">
        <f t="shared" si="51"/>
        <v>15.2</v>
      </c>
      <c r="L1067" s="85">
        <v>18954</v>
      </c>
    </row>
    <row r="1068" spans="1:12" x14ac:dyDescent="0.25">
      <c r="A1068" s="84" t="str">
        <f t="shared" si="49"/>
        <v>MarçoSEMANA 4Rúcula</v>
      </c>
      <c r="B1068" s="85" t="s">
        <v>31</v>
      </c>
      <c r="C1068" s="85" t="s">
        <v>23</v>
      </c>
      <c r="D1068" s="86">
        <v>19</v>
      </c>
      <c r="E1068" s="116" t="str">
        <f t="shared" si="50"/>
        <v>Hortifruti</v>
      </c>
      <c r="F1068" s="85" t="s">
        <v>1111</v>
      </c>
      <c r="G1068" s="85" t="s">
        <v>705</v>
      </c>
      <c r="H1068" s="85" t="s">
        <v>1083</v>
      </c>
      <c r="I1068" s="85">
        <v>2</v>
      </c>
      <c r="J1068" s="87">
        <v>4.9000000000000004</v>
      </c>
      <c r="K1068" s="88">
        <f t="shared" si="51"/>
        <v>9.8000000000000007</v>
      </c>
      <c r="L1068" s="85">
        <v>18954</v>
      </c>
    </row>
    <row r="1069" spans="1:12" x14ac:dyDescent="0.25">
      <c r="A1069" s="84" t="str">
        <f t="shared" si="49"/>
        <v>MarçoSEMANA 4Aspargos Frescos</v>
      </c>
      <c r="B1069" s="85" t="s">
        <v>31</v>
      </c>
      <c r="C1069" s="85" t="s">
        <v>23</v>
      </c>
      <c r="D1069" s="86">
        <v>19</v>
      </c>
      <c r="E1069" s="116" t="str">
        <f t="shared" si="50"/>
        <v>Hortifruti</v>
      </c>
      <c r="F1069" s="85" t="s">
        <v>1111</v>
      </c>
      <c r="G1069" s="85" t="s">
        <v>1040</v>
      </c>
      <c r="H1069" s="85" t="s">
        <v>1083</v>
      </c>
      <c r="I1069" s="85">
        <v>2</v>
      </c>
      <c r="J1069" s="87">
        <v>30</v>
      </c>
      <c r="K1069" s="88">
        <f t="shared" si="51"/>
        <v>60</v>
      </c>
      <c r="L1069" s="85">
        <v>18954</v>
      </c>
    </row>
    <row r="1070" spans="1:12" x14ac:dyDescent="0.25">
      <c r="A1070" s="84" t="str">
        <f t="shared" si="49"/>
        <v>MarçoSEMANA 4Chuchu</v>
      </c>
      <c r="B1070" s="85" t="s">
        <v>31</v>
      </c>
      <c r="C1070" s="85" t="s">
        <v>23</v>
      </c>
      <c r="D1070" s="86">
        <v>19</v>
      </c>
      <c r="E1070" s="116" t="str">
        <f t="shared" si="50"/>
        <v>Hortifruti</v>
      </c>
      <c r="F1070" s="85" t="s">
        <v>1111</v>
      </c>
      <c r="G1070" s="85" t="s">
        <v>280</v>
      </c>
      <c r="H1070" s="85" t="s">
        <v>1083</v>
      </c>
      <c r="I1070" s="85">
        <v>19.059999999999999</v>
      </c>
      <c r="J1070" s="87">
        <f>16.7/19.06</f>
        <v>0.87618048268625393</v>
      </c>
      <c r="K1070" s="88">
        <f t="shared" si="51"/>
        <v>16.7</v>
      </c>
      <c r="L1070" s="85">
        <v>18954</v>
      </c>
    </row>
    <row r="1071" spans="1:12" x14ac:dyDescent="0.25">
      <c r="A1071" s="84" t="str">
        <f t="shared" si="49"/>
        <v>MarçoSEMANA 4Ovos Extra</v>
      </c>
      <c r="B1071" s="85" t="s">
        <v>31</v>
      </c>
      <c r="C1071" s="85" t="s">
        <v>23</v>
      </c>
      <c r="D1071" s="86">
        <v>19</v>
      </c>
      <c r="E1071" s="116" t="str">
        <f t="shared" si="50"/>
        <v>Hortifruti</v>
      </c>
      <c r="F1071" s="85" t="s">
        <v>1111</v>
      </c>
      <c r="G1071" s="85" t="s">
        <v>549</v>
      </c>
      <c r="H1071" s="85" t="s">
        <v>1090</v>
      </c>
      <c r="I1071" s="85">
        <v>360</v>
      </c>
      <c r="J1071" s="87">
        <f>107/360</f>
        <v>0.29722222222222222</v>
      </c>
      <c r="K1071" s="88">
        <f t="shared" si="51"/>
        <v>107</v>
      </c>
      <c r="L1071" s="85">
        <v>18954</v>
      </c>
    </row>
    <row r="1072" spans="1:12" x14ac:dyDescent="0.25">
      <c r="A1072" s="84" t="str">
        <f t="shared" si="49"/>
        <v>MarçoSEMANA 4Pimentão Amarelo</v>
      </c>
      <c r="B1072" s="85" t="s">
        <v>31</v>
      </c>
      <c r="C1072" s="85" t="s">
        <v>23</v>
      </c>
      <c r="D1072" s="86">
        <v>19</v>
      </c>
      <c r="E1072" s="116" t="str">
        <f t="shared" si="50"/>
        <v>Hortifruti</v>
      </c>
      <c r="F1072" s="85" t="s">
        <v>1111</v>
      </c>
      <c r="G1072" s="85" t="s">
        <v>663</v>
      </c>
      <c r="H1072" s="85" t="s">
        <v>1083</v>
      </c>
      <c r="I1072" s="85">
        <v>1</v>
      </c>
      <c r="J1072" s="87">
        <v>9.4499999999999993</v>
      </c>
      <c r="K1072" s="88">
        <f t="shared" si="51"/>
        <v>9.4499999999999993</v>
      </c>
      <c r="L1072" s="85">
        <v>18954</v>
      </c>
    </row>
    <row r="1073" spans="1:12" x14ac:dyDescent="0.25">
      <c r="A1073" s="84" t="str">
        <f t="shared" si="49"/>
        <v xml:space="preserve">MarçoSEMANA 4Abobrinha </v>
      </c>
      <c r="B1073" s="85" t="s">
        <v>31</v>
      </c>
      <c r="C1073" s="85" t="s">
        <v>23</v>
      </c>
      <c r="D1073" s="86">
        <v>19</v>
      </c>
      <c r="E1073" s="116" t="str">
        <f t="shared" si="50"/>
        <v>Hortifruti</v>
      </c>
      <c r="F1073" s="85" t="s">
        <v>1110</v>
      </c>
      <c r="G1073" s="85" t="s">
        <v>72</v>
      </c>
      <c r="H1073" s="85" t="s">
        <v>1083</v>
      </c>
      <c r="I1073" s="85">
        <v>15.46</v>
      </c>
      <c r="J1073" s="87">
        <f>35/15.46</f>
        <v>2.2639068564036222</v>
      </c>
      <c r="K1073" s="88">
        <f t="shared" si="51"/>
        <v>35</v>
      </c>
      <c r="L1073" s="85">
        <v>3480</v>
      </c>
    </row>
    <row r="1074" spans="1:12" x14ac:dyDescent="0.25">
      <c r="A1074" s="84" t="str">
        <f t="shared" si="49"/>
        <v>MarçoSEMANA 4Batata Baroa</v>
      </c>
      <c r="B1074" s="85" t="s">
        <v>31</v>
      </c>
      <c r="C1074" s="85" t="s">
        <v>23</v>
      </c>
      <c r="D1074" s="86">
        <v>19</v>
      </c>
      <c r="E1074" s="116" t="str">
        <f t="shared" si="50"/>
        <v>Hortifruti</v>
      </c>
      <c r="F1074" s="85" t="s">
        <v>1110</v>
      </c>
      <c r="G1074" s="85" t="s">
        <v>169</v>
      </c>
      <c r="H1074" s="85" t="s">
        <v>1083</v>
      </c>
      <c r="I1074" s="85">
        <v>15.38</v>
      </c>
      <c r="J1074" s="87">
        <f>70/15.38</f>
        <v>4.5513654096228864</v>
      </c>
      <c r="K1074" s="88">
        <f t="shared" si="51"/>
        <v>70</v>
      </c>
      <c r="L1074" s="85">
        <v>3480</v>
      </c>
    </row>
    <row r="1075" spans="1:12" x14ac:dyDescent="0.25">
      <c r="A1075" s="84" t="str">
        <f t="shared" si="49"/>
        <v>MarçoSEMANA 4Batata Doce</v>
      </c>
      <c r="B1075" s="85" t="s">
        <v>31</v>
      </c>
      <c r="C1075" s="85" t="s">
        <v>23</v>
      </c>
      <c r="D1075" s="86">
        <v>19</v>
      </c>
      <c r="E1075" s="116" t="str">
        <f t="shared" si="50"/>
        <v>Hortifruti</v>
      </c>
      <c r="F1075" s="85" t="s">
        <v>1110</v>
      </c>
      <c r="G1075" s="85" t="s">
        <v>170</v>
      </c>
      <c r="H1075" s="85" t="s">
        <v>1083</v>
      </c>
      <c r="I1075" s="85">
        <v>19</v>
      </c>
      <c r="J1075" s="87">
        <f>36/19</f>
        <v>1.8947368421052631</v>
      </c>
      <c r="K1075" s="88">
        <f t="shared" si="51"/>
        <v>36</v>
      </c>
      <c r="L1075" s="85">
        <v>3480</v>
      </c>
    </row>
    <row r="1076" spans="1:12" x14ac:dyDescent="0.25">
      <c r="A1076" s="84" t="str">
        <f t="shared" si="49"/>
        <v>MarçoSEMANA 4Berinjela</v>
      </c>
      <c r="B1076" s="85" t="s">
        <v>31</v>
      </c>
      <c r="C1076" s="85" t="s">
        <v>23</v>
      </c>
      <c r="D1076" s="86">
        <v>19</v>
      </c>
      <c r="E1076" s="116" t="str">
        <f t="shared" si="50"/>
        <v>Hortifruti</v>
      </c>
      <c r="F1076" s="85" t="s">
        <v>1110</v>
      </c>
      <c r="G1076" s="85" t="s">
        <v>178</v>
      </c>
      <c r="H1076" s="85" t="s">
        <v>1083</v>
      </c>
      <c r="I1076" s="85">
        <v>10.5</v>
      </c>
      <c r="J1076" s="87">
        <f>20/10.5</f>
        <v>1.9047619047619047</v>
      </c>
      <c r="K1076" s="88">
        <f t="shared" si="51"/>
        <v>20</v>
      </c>
      <c r="L1076" s="85">
        <v>3480</v>
      </c>
    </row>
    <row r="1077" spans="1:12" x14ac:dyDescent="0.25">
      <c r="A1077" s="84" t="str">
        <f t="shared" si="49"/>
        <v>MarçoSEMANA 4Pimentão Verde</v>
      </c>
      <c r="B1077" s="85" t="s">
        <v>31</v>
      </c>
      <c r="C1077" s="85" t="s">
        <v>23</v>
      </c>
      <c r="D1077" s="86">
        <v>19</v>
      </c>
      <c r="E1077" s="116" t="str">
        <f t="shared" si="50"/>
        <v>Hortifruti</v>
      </c>
      <c r="F1077" s="85" t="s">
        <v>1110</v>
      </c>
      <c r="G1077" s="85" t="s">
        <v>665</v>
      </c>
      <c r="H1077" s="85" t="s">
        <v>1083</v>
      </c>
      <c r="I1077" s="85">
        <v>1</v>
      </c>
      <c r="J1077" s="87">
        <v>4</v>
      </c>
      <c r="K1077" s="88">
        <f t="shared" si="51"/>
        <v>4</v>
      </c>
      <c r="L1077" s="85">
        <v>3480</v>
      </c>
    </row>
    <row r="1078" spans="1:12" x14ac:dyDescent="0.25">
      <c r="A1078" s="84" t="str">
        <f t="shared" si="49"/>
        <v>MarçoSEMANA 4Repolho</v>
      </c>
      <c r="B1078" s="85" t="s">
        <v>31</v>
      </c>
      <c r="C1078" s="85" t="s">
        <v>23</v>
      </c>
      <c r="D1078" s="86">
        <v>19</v>
      </c>
      <c r="E1078" s="116" t="str">
        <f t="shared" si="50"/>
        <v>Hortifruti</v>
      </c>
      <c r="F1078" s="85" t="s">
        <v>1110</v>
      </c>
      <c r="G1078" s="85" t="s">
        <v>700</v>
      </c>
      <c r="H1078" s="85" t="s">
        <v>1083</v>
      </c>
      <c r="I1078" s="85">
        <v>6</v>
      </c>
      <c r="J1078" s="87">
        <v>2</v>
      </c>
      <c r="K1078" s="88">
        <f t="shared" si="51"/>
        <v>12</v>
      </c>
      <c r="L1078" s="85">
        <v>3480</v>
      </c>
    </row>
    <row r="1079" spans="1:12" x14ac:dyDescent="0.25">
      <c r="A1079" s="84" t="str">
        <f t="shared" si="49"/>
        <v>MarçoSEMANA 4Tomate Salada</v>
      </c>
      <c r="B1079" s="85" t="s">
        <v>31</v>
      </c>
      <c r="C1079" s="85" t="s">
        <v>23</v>
      </c>
      <c r="D1079" s="86">
        <v>19</v>
      </c>
      <c r="E1079" s="116" t="str">
        <f t="shared" si="50"/>
        <v>Hortifruti</v>
      </c>
      <c r="F1079" s="85" t="s">
        <v>1110</v>
      </c>
      <c r="G1079" s="85" t="s">
        <v>794</v>
      </c>
      <c r="H1079" s="85" t="s">
        <v>1083</v>
      </c>
      <c r="I1079" s="85">
        <v>21.78</v>
      </c>
      <c r="J1079" s="87">
        <f>70/21.78</f>
        <v>3.2139577594123048</v>
      </c>
      <c r="K1079" s="88">
        <f t="shared" si="51"/>
        <v>70</v>
      </c>
      <c r="L1079" s="85">
        <v>3480</v>
      </c>
    </row>
    <row r="1080" spans="1:12" x14ac:dyDescent="0.25">
      <c r="A1080" s="84" t="str">
        <f t="shared" si="49"/>
        <v>MarçoSEMANA 4Vagem Macarrão</v>
      </c>
      <c r="B1080" s="85" t="s">
        <v>31</v>
      </c>
      <c r="C1080" s="85" t="s">
        <v>23</v>
      </c>
      <c r="D1080" s="86">
        <v>19</v>
      </c>
      <c r="E1080" s="116" t="str">
        <f t="shared" si="50"/>
        <v>Hortifruti</v>
      </c>
      <c r="F1080" s="85" t="s">
        <v>1110</v>
      </c>
      <c r="G1080" s="85" t="s">
        <v>831</v>
      </c>
      <c r="H1080" s="85" t="s">
        <v>1083</v>
      </c>
      <c r="I1080" s="85">
        <v>2</v>
      </c>
      <c r="J1080" s="87">
        <v>8</v>
      </c>
      <c r="K1080" s="88">
        <f t="shared" si="51"/>
        <v>16</v>
      </c>
      <c r="L1080" s="85">
        <v>3480</v>
      </c>
    </row>
    <row r="1081" spans="1:12" x14ac:dyDescent="0.25">
      <c r="A1081" s="84" t="str">
        <f t="shared" si="49"/>
        <v xml:space="preserve">MarçoSEMANA 4Alface Americana    </v>
      </c>
      <c r="B1081" s="85" t="s">
        <v>31</v>
      </c>
      <c r="C1081" s="85" t="s">
        <v>23</v>
      </c>
      <c r="D1081" s="86">
        <v>19</v>
      </c>
      <c r="E1081" s="116" t="str">
        <f t="shared" si="50"/>
        <v>Hortifruti</v>
      </c>
      <c r="F1081" s="85" t="s">
        <v>1110</v>
      </c>
      <c r="G1081" s="85" t="s">
        <v>102</v>
      </c>
      <c r="H1081" s="85" t="s">
        <v>1083</v>
      </c>
      <c r="I1081" s="85">
        <v>2.64</v>
      </c>
      <c r="J1081" s="87">
        <f>24/2.64</f>
        <v>9.0909090909090899</v>
      </c>
      <c r="K1081" s="88">
        <f t="shared" si="51"/>
        <v>24</v>
      </c>
      <c r="L1081" s="85">
        <v>3480</v>
      </c>
    </row>
    <row r="1082" spans="1:12" x14ac:dyDescent="0.25">
      <c r="A1082" s="84" t="str">
        <f t="shared" si="49"/>
        <v>MarçoSEMANA 4Alface crespa</v>
      </c>
      <c r="B1082" s="85" t="s">
        <v>31</v>
      </c>
      <c r="C1082" s="85" t="s">
        <v>23</v>
      </c>
      <c r="D1082" s="86">
        <v>19</v>
      </c>
      <c r="E1082" s="116" t="str">
        <f t="shared" si="50"/>
        <v>Hortifruti</v>
      </c>
      <c r="F1082" s="85" t="s">
        <v>1110</v>
      </c>
      <c r="G1082" s="85" t="s">
        <v>104</v>
      </c>
      <c r="H1082" s="85" t="s">
        <v>1083</v>
      </c>
      <c r="I1082" s="85">
        <v>1.18</v>
      </c>
      <c r="J1082" s="87">
        <f>7.5/1.18</f>
        <v>6.3559322033898304</v>
      </c>
      <c r="K1082" s="88">
        <f t="shared" si="51"/>
        <v>7.4999999999999991</v>
      </c>
      <c r="L1082" s="85">
        <v>3480</v>
      </c>
    </row>
    <row r="1083" spans="1:12" x14ac:dyDescent="0.25">
      <c r="A1083" s="84" t="str">
        <f t="shared" si="49"/>
        <v>MarçoSEMANA 4Cebolinha Verde</v>
      </c>
      <c r="B1083" s="85" t="s">
        <v>31</v>
      </c>
      <c r="C1083" s="85" t="s">
        <v>23</v>
      </c>
      <c r="D1083" s="86">
        <v>19</v>
      </c>
      <c r="E1083" s="116" t="str">
        <f t="shared" si="50"/>
        <v>Hortifruti</v>
      </c>
      <c r="F1083" s="85" t="s">
        <v>1110</v>
      </c>
      <c r="G1083" s="85" t="s">
        <v>247</v>
      </c>
      <c r="H1083" s="85" t="s">
        <v>1083</v>
      </c>
      <c r="I1083" s="85">
        <v>0.5</v>
      </c>
      <c r="J1083" s="87">
        <v>7</v>
      </c>
      <c r="K1083" s="88">
        <f t="shared" si="51"/>
        <v>3.5</v>
      </c>
      <c r="L1083" s="85">
        <v>3480</v>
      </c>
    </row>
    <row r="1084" spans="1:12" x14ac:dyDescent="0.25">
      <c r="A1084" s="84" t="str">
        <f t="shared" si="49"/>
        <v>MarçoSEMANA 4Hortelã</v>
      </c>
      <c r="B1084" s="85" t="s">
        <v>31</v>
      </c>
      <c r="C1084" s="85" t="s">
        <v>23</v>
      </c>
      <c r="D1084" s="86">
        <v>19</v>
      </c>
      <c r="E1084" s="116" t="str">
        <f t="shared" si="50"/>
        <v>Hortifruti</v>
      </c>
      <c r="F1084" s="85" t="s">
        <v>1110</v>
      </c>
      <c r="G1084" s="85" t="s">
        <v>405</v>
      </c>
      <c r="H1084" s="85" t="s">
        <v>1083</v>
      </c>
      <c r="I1084" s="85">
        <v>0.3</v>
      </c>
      <c r="J1084" s="87">
        <v>4</v>
      </c>
      <c r="K1084" s="88">
        <f t="shared" si="51"/>
        <v>1.2</v>
      </c>
      <c r="L1084" s="85">
        <v>3480</v>
      </c>
    </row>
    <row r="1085" spans="1:12" x14ac:dyDescent="0.25">
      <c r="A1085" s="84" t="str">
        <f t="shared" si="49"/>
        <v>MarçoSEMANA 4Manjericão</v>
      </c>
      <c r="B1085" s="85" t="s">
        <v>31</v>
      </c>
      <c r="C1085" s="85" t="s">
        <v>23</v>
      </c>
      <c r="D1085" s="86">
        <v>19</v>
      </c>
      <c r="E1085" s="116" t="str">
        <f t="shared" si="50"/>
        <v>Hortifruti</v>
      </c>
      <c r="F1085" s="85" t="s">
        <v>1110</v>
      </c>
      <c r="G1085" s="85" t="s">
        <v>498</v>
      </c>
      <c r="H1085" s="85" t="s">
        <v>1083</v>
      </c>
      <c r="I1085" s="85">
        <v>0.5</v>
      </c>
      <c r="J1085" s="87">
        <v>10</v>
      </c>
      <c r="K1085" s="88">
        <f t="shared" si="51"/>
        <v>5</v>
      </c>
      <c r="L1085" s="85">
        <v>3480</v>
      </c>
    </row>
    <row r="1086" spans="1:12" x14ac:dyDescent="0.25">
      <c r="A1086" s="84" t="str">
        <f t="shared" si="49"/>
        <v>MarçoSEMANA 4Nabo Japonês</v>
      </c>
      <c r="B1086" s="85" t="s">
        <v>31</v>
      </c>
      <c r="C1086" s="85" t="s">
        <v>23</v>
      </c>
      <c r="D1086" s="86">
        <v>19</v>
      </c>
      <c r="E1086" s="116" t="str">
        <f t="shared" si="50"/>
        <v>Hortifruti</v>
      </c>
      <c r="F1086" s="85" t="s">
        <v>1110</v>
      </c>
      <c r="G1086" s="85" t="s">
        <v>535</v>
      </c>
      <c r="H1086" s="85" t="s">
        <v>1083</v>
      </c>
      <c r="I1086" s="85">
        <v>1</v>
      </c>
      <c r="J1086" s="87">
        <v>7</v>
      </c>
      <c r="K1086" s="88">
        <f t="shared" si="51"/>
        <v>7</v>
      </c>
      <c r="L1086" s="85">
        <v>3480</v>
      </c>
    </row>
    <row r="1087" spans="1:12" x14ac:dyDescent="0.25">
      <c r="A1087" s="84" t="str">
        <f t="shared" si="49"/>
        <v>MarçoSEMANA 4Salsa</v>
      </c>
      <c r="B1087" s="85" t="s">
        <v>31</v>
      </c>
      <c r="C1087" s="85" t="s">
        <v>23</v>
      </c>
      <c r="D1087" s="86">
        <v>19</v>
      </c>
      <c r="E1087" s="116" t="str">
        <f t="shared" si="50"/>
        <v>Hortifruti</v>
      </c>
      <c r="F1087" s="85" t="s">
        <v>1110</v>
      </c>
      <c r="G1087" s="85" t="s">
        <v>728</v>
      </c>
      <c r="H1087" s="85" t="s">
        <v>1083</v>
      </c>
      <c r="I1087" s="85">
        <v>0.5</v>
      </c>
      <c r="J1087" s="87">
        <v>7</v>
      </c>
      <c r="K1087" s="88">
        <f t="shared" si="51"/>
        <v>3.5</v>
      </c>
      <c r="L1087" s="85">
        <v>3480</v>
      </c>
    </row>
    <row r="1088" spans="1:12" x14ac:dyDescent="0.25">
      <c r="A1088" s="84" t="str">
        <f t="shared" si="49"/>
        <v>MarçoSEMANA 4Aneto</v>
      </c>
      <c r="B1088" s="85" t="s">
        <v>31</v>
      </c>
      <c r="C1088" s="85" t="s">
        <v>23</v>
      </c>
      <c r="D1088" s="86">
        <v>19</v>
      </c>
      <c r="E1088" s="116" t="str">
        <f t="shared" si="50"/>
        <v>Hortifruti</v>
      </c>
      <c r="F1088" s="85" t="s">
        <v>1110</v>
      </c>
      <c r="G1088" s="85" t="s">
        <v>123</v>
      </c>
      <c r="H1088" s="85" t="s">
        <v>1083</v>
      </c>
      <c r="I1088" s="85">
        <v>0.05</v>
      </c>
      <c r="J1088" s="87">
        <v>30</v>
      </c>
      <c r="K1088" s="88">
        <f t="shared" si="51"/>
        <v>1.5</v>
      </c>
      <c r="L1088" s="85">
        <v>3480</v>
      </c>
    </row>
    <row r="1089" spans="1:12" x14ac:dyDescent="0.25">
      <c r="A1089" s="84" t="str">
        <f t="shared" si="49"/>
        <v>MarçoSEMANA 4Pimenta Dedo de Moça</v>
      </c>
      <c r="B1089" s="85" t="s">
        <v>31</v>
      </c>
      <c r="C1089" s="85" t="s">
        <v>23</v>
      </c>
      <c r="D1089" s="86">
        <v>19</v>
      </c>
      <c r="E1089" s="116" t="str">
        <f t="shared" si="50"/>
        <v>Hortifruti</v>
      </c>
      <c r="F1089" s="85" t="s">
        <v>1110</v>
      </c>
      <c r="G1089" s="85" t="s">
        <v>656</v>
      </c>
      <c r="H1089" s="85" t="s">
        <v>1083</v>
      </c>
      <c r="I1089" s="85">
        <v>0.2</v>
      </c>
      <c r="J1089" s="87">
        <v>20</v>
      </c>
      <c r="K1089" s="88">
        <f t="shared" si="51"/>
        <v>4</v>
      </c>
      <c r="L1089" s="85">
        <v>3480</v>
      </c>
    </row>
    <row r="1090" spans="1:12" x14ac:dyDescent="0.25">
      <c r="A1090" s="84" t="str">
        <f t="shared" ref="A1090:A1153" si="52">CONCATENATE(B1090,C1090,G1090)</f>
        <v>MarçoSEMANA 4Pimenta de Cheiro</v>
      </c>
      <c r="B1090" s="85" t="s">
        <v>31</v>
      </c>
      <c r="C1090" s="85" t="s">
        <v>23</v>
      </c>
      <c r="D1090" s="86">
        <v>19</v>
      </c>
      <c r="E1090" s="116" t="str">
        <f t="shared" ref="E1090:E1153" si="53">VLOOKUP(G1090,$M$1:$O$993,3,0)</f>
        <v>Hortifruti</v>
      </c>
      <c r="F1090" s="85" t="s">
        <v>1110</v>
      </c>
      <c r="G1090" s="85" t="s">
        <v>655</v>
      </c>
      <c r="H1090" s="85" t="s">
        <v>1083</v>
      </c>
      <c r="I1090" s="85">
        <v>0.2</v>
      </c>
      <c r="J1090" s="87">
        <v>30</v>
      </c>
      <c r="K1090" s="88">
        <f t="shared" ref="K1090:K1153" si="54">I1090*J1090</f>
        <v>6</v>
      </c>
      <c r="L1090" s="85">
        <v>3480</v>
      </c>
    </row>
    <row r="1091" spans="1:12" x14ac:dyDescent="0.25">
      <c r="A1091" s="84" t="str">
        <f t="shared" si="52"/>
        <v>MarçoSEMANA 4Pimenta Malagueta</v>
      </c>
      <c r="B1091" s="85" t="s">
        <v>31</v>
      </c>
      <c r="C1091" s="85" t="s">
        <v>23</v>
      </c>
      <c r="D1091" s="86">
        <v>19</v>
      </c>
      <c r="E1091" s="116" t="str">
        <f t="shared" si="53"/>
        <v>Hortifruti</v>
      </c>
      <c r="F1091" s="85" t="s">
        <v>1110</v>
      </c>
      <c r="G1091" s="85" t="s">
        <v>659</v>
      </c>
      <c r="H1091" s="85" t="s">
        <v>1083</v>
      </c>
      <c r="I1091" s="85">
        <v>0.2</v>
      </c>
      <c r="J1091" s="87">
        <v>50</v>
      </c>
      <c r="K1091" s="88">
        <f t="shared" si="54"/>
        <v>10</v>
      </c>
      <c r="L1091" s="85">
        <v>3480</v>
      </c>
    </row>
    <row r="1092" spans="1:12" x14ac:dyDescent="0.25">
      <c r="A1092" s="84" t="str">
        <f t="shared" si="52"/>
        <v xml:space="preserve">MarçoSEMANA 4Abacate </v>
      </c>
      <c r="B1092" s="85" t="s">
        <v>31</v>
      </c>
      <c r="C1092" s="85" t="s">
        <v>23</v>
      </c>
      <c r="D1092" s="86">
        <v>19</v>
      </c>
      <c r="E1092" s="116" t="str">
        <f t="shared" si="53"/>
        <v>Hortifruti</v>
      </c>
      <c r="F1092" s="85" t="s">
        <v>1110</v>
      </c>
      <c r="G1092" s="85" t="s">
        <v>62</v>
      </c>
      <c r="H1092" s="85" t="s">
        <v>1083</v>
      </c>
      <c r="I1092" s="85">
        <v>8</v>
      </c>
      <c r="J1092" s="87">
        <v>6</v>
      </c>
      <c r="K1092" s="88">
        <f t="shared" si="54"/>
        <v>48</v>
      </c>
      <c r="L1092" s="85">
        <v>3480</v>
      </c>
    </row>
    <row r="1093" spans="1:12" x14ac:dyDescent="0.25">
      <c r="A1093" s="84" t="str">
        <f t="shared" si="52"/>
        <v>MarçoSEMANA 4Banana da Terra</v>
      </c>
      <c r="B1093" s="85" t="s">
        <v>31</v>
      </c>
      <c r="C1093" s="85" t="s">
        <v>23</v>
      </c>
      <c r="D1093" s="86">
        <v>19</v>
      </c>
      <c r="E1093" s="116" t="str">
        <f t="shared" si="53"/>
        <v>Hortifruti</v>
      </c>
      <c r="F1093" s="85" t="s">
        <v>1110</v>
      </c>
      <c r="G1093" s="85" t="s">
        <v>161</v>
      </c>
      <c r="H1093" s="85" t="s">
        <v>1083</v>
      </c>
      <c r="I1093" s="85">
        <v>6</v>
      </c>
      <c r="J1093" s="87">
        <v>4.5</v>
      </c>
      <c r="K1093" s="88">
        <f t="shared" si="54"/>
        <v>27</v>
      </c>
      <c r="L1093" s="85">
        <v>3480</v>
      </c>
    </row>
    <row r="1094" spans="1:12" x14ac:dyDescent="0.25">
      <c r="A1094" s="84" t="str">
        <f t="shared" si="52"/>
        <v>MarçoSEMANA 4Laranja Pera</v>
      </c>
      <c r="B1094" s="85" t="s">
        <v>31</v>
      </c>
      <c r="C1094" s="85" t="s">
        <v>23</v>
      </c>
      <c r="D1094" s="86">
        <v>19</v>
      </c>
      <c r="E1094" s="116" t="str">
        <f t="shared" si="53"/>
        <v>Hortifruti</v>
      </c>
      <c r="F1094" s="85" t="s">
        <v>1110</v>
      </c>
      <c r="G1094" s="85" t="s">
        <v>456</v>
      </c>
      <c r="H1094" s="85" t="s">
        <v>1083</v>
      </c>
      <c r="I1094" s="85">
        <v>39.380000000000003</v>
      </c>
      <c r="J1094" s="87">
        <f>66/39.38</f>
        <v>1.6759776536312847</v>
      </c>
      <c r="K1094" s="88">
        <f t="shared" si="54"/>
        <v>66</v>
      </c>
      <c r="L1094" s="85">
        <v>3480</v>
      </c>
    </row>
    <row r="1095" spans="1:12" x14ac:dyDescent="0.25">
      <c r="A1095" s="84" t="str">
        <f t="shared" si="52"/>
        <v>MarçoSEMANA 4Maracujá</v>
      </c>
      <c r="B1095" s="85" t="s">
        <v>31</v>
      </c>
      <c r="C1095" s="85" t="s">
        <v>23</v>
      </c>
      <c r="D1095" s="86">
        <v>19</v>
      </c>
      <c r="E1095" s="116" t="str">
        <f t="shared" si="53"/>
        <v>Hortifruti</v>
      </c>
      <c r="F1095" s="85" t="s">
        <v>1110</v>
      </c>
      <c r="G1095" s="85" t="s">
        <v>503</v>
      </c>
      <c r="H1095" s="85" t="s">
        <v>1083</v>
      </c>
      <c r="I1095" s="85">
        <v>1</v>
      </c>
      <c r="J1095" s="87">
        <v>5</v>
      </c>
      <c r="K1095" s="88">
        <f t="shared" si="54"/>
        <v>5</v>
      </c>
      <c r="L1095" s="85">
        <v>3480</v>
      </c>
    </row>
    <row r="1096" spans="1:12" x14ac:dyDescent="0.25">
      <c r="A1096" s="84" t="str">
        <f t="shared" si="52"/>
        <v>MarçoSEMANA 4Mamão Bahia</v>
      </c>
      <c r="B1096" s="85" t="s">
        <v>31</v>
      </c>
      <c r="C1096" s="85" t="s">
        <v>23</v>
      </c>
      <c r="D1096" s="86">
        <v>19</v>
      </c>
      <c r="E1096" s="116" t="str">
        <f t="shared" si="53"/>
        <v>Hortifruti</v>
      </c>
      <c r="F1096" s="85" t="s">
        <v>1110</v>
      </c>
      <c r="G1096" s="85" t="s">
        <v>493</v>
      </c>
      <c r="H1096" s="85" t="s">
        <v>1083</v>
      </c>
      <c r="I1096" s="85">
        <v>3.3</v>
      </c>
      <c r="J1096" s="87">
        <v>2.8</v>
      </c>
      <c r="K1096" s="88">
        <f t="shared" si="54"/>
        <v>9.2399999999999984</v>
      </c>
      <c r="L1096" s="85">
        <v>3480</v>
      </c>
    </row>
    <row r="1097" spans="1:12" x14ac:dyDescent="0.25">
      <c r="A1097" s="84" t="str">
        <f t="shared" si="52"/>
        <v>MarçoSEMANA 4Manga Tommy</v>
      </c>
      <c r="B1097" s="85" t="s">
        <v>31</v>
      </c>
      <c r="C1097" s="85" t="s">
        <v>23</v>
      </c>
      <c r="D1097" s="86">
        <v>19</v>
      </c>
      <c r="E1097" s="116" t="str">
        <f t="shared" si="53"/>
        <v>Hortifruti</v>
      </c>
      <c r="F1097" s="85" t="s">
        <v>1110</v>
      </c>
      <c r="G1097" s="85" t="s">
        <v>496</v>
      </c>
      <c r="H1097" s="85" t="s">
        <v>1083</v>
      </c>
      <c r="I1097" s="85">
        <v>2</v>
      </c>
      <c r="J1097" s="87">
        <v>4.5</v>
      </c>
      <c r="K1097" s="88">
        <f t="shared" si="54"/>
        <v>9</v>
      </c>
      <c r="L1097" s="85">
        <v>3480</v>
      </c>
    </row>
    <row r="1098" spans="1:12" x14ac:dyDescent="0.25">
      <c r="A1098" s="84" t="str">
        <f t="shared" si="52"/>
        <v>MarçoSEMANA 4Pimenta Biquinho</v>
      </c>
      <c r="B1098" s="85" t="s">
        <v>31</v>
      </c>
      <c r="C1098" s="85" t="s">
        <v>23</v>
      </c>
      <c r="D1098" s="86">
        <v>19</v>
      </c>
      <c r="E1098" s="116" t="str">
        <f t="shared" si="53"/>
        <v>Hortifruti</v>
      </c>
      <c r="F1098" s="85" t="s">
        <v>1110</v>
      </c>
      <c r="G1098" s="85" t="s">
        <v>653</v>
      </c>
      <c r="H1098" s="85" t="s">
        <v>1083</v>
      </c>
      <c r="I1098" s="85">
        <v>0.2</v>
      </c>
      <c r="J1098" s="87">
        <v>60</v>
      </c>
      <c r="K1098" s="88">
        <f t="shared" si="54"/>
        <v>12</v>
      </c>
      <c r="L1098" s="85">
        <v>3480</v>
      </c>
    </row>
    <row r="1099" spans="1:12" hidden="1" x14ac:dyDescent="0.2">
      <c r="A1099" s="84" t="str">
        <f t="shared" si="52"/>
        <v>MarçoSEMANA 4Macarrão Cabelo de Anjo</v>
      </c>
      <c r="B1099" s="85" t="s">
        <v>31</v>
      </c>
      <c r="C1099" s="85" t="s">
        <v>23</v>
      </c>
      <c r="D1099" s="86">
        <v>20</v>
      </c>
      <c r="E1099" s="116" t="str">
        <f t="shared" si="53"/>
        <v>Mercado</v>
      </c>
      <c r="F1099" s="85" t="s">
        <v>1118</v>
      </c>
      <c r="G1099" s="85" t="s">
        <v>477</v>
      </c>
      <c r="H1099" s="85" t="s">
        <v>1083</v>
      </c>
      <c r="I1099" s="85">
        <f>4*0.5</f>
        <v>2</v>
      </c>
      <c r="J1099" s="87">
        <f>17/2</f>
        <v>8.5</v>
      </c>
      <c r="K1099" s="88">
        <f t="shared" si="54"/>
        <v>17</v>
      </c>
      <c r="L1099" s="85"/>
    </row>
    <row r="1100" spans="1:12" hidden="1" x14ac:dyDescent="0.2">
      <c r="A1100" s="84" t="str">
        <f t="shared" si="52"/>
        <v>MarçoSEMANA 4Chá diversos sache</v>
      </c>
      <c r="B1100" s="85" t="s">
        <v>31</v>
      </c>
      <c r="C1100" s="85" t="s">
        <v>23</v>
      </c>
      <c r="D1100" s="86">
        <v>20</v>
      </c>
      <c r="E1100" s="116" t="str">
        <f t="shared" si="53"/>
        <v>Mercado</v>
      </c>
      <c r="F1100" s="85" t="s">
        <v>1118</v>
      </c>
      <c r="G1100" s="85" t="s">
        <v>270</v>
      </c>
      <c r="H1100" s="85" t="s">
        <v>1114</v>
      </c>
      <c r="I1100" s="85">
        <v>2</v>
      </c>
      <c r="J1100" s="87">
        <v>5.98</v>
      </c>
      <c r="K1100" s="88">
        <f t="shared" si="54"/>
        <v>11.96</v>
      </c>
      <c r="L1100" s="85"/>
    </row>
    <row r="1101" spans="1:12" x14ac:dyDescent="0.25">
      <c r="A1101" s="84" t="str">
        <f t="shared" si="52"/>
        <v>MarçoSEMANA 4Ovo de Codorna</v>
      </c>
      <c r="B1101" s="85" t="s">
        <v>31</v>
      </c>
      <c r="C1101" s="85" t="s">
        <v>23</v>
      </c>
      <c r="D1101" s="86">
        <v>20</v>
      </c>
      <c r="E1101" s="116" t="str">
        <f t="shared" si="53"/>
        <v>Hortifruti</v>
      </c>
      <c r="F1101" s="85" t="s">
        <v>1170</v>
      </c>
      <c r="G1101" s="85" t="s">
        <v>548</v>
      </c>
      <c r="H1101" s="85" t="s">
        <v>1114</v>
      </c>
      <c r="I1101" s="85">
        <v>18</v>
      </c>
      <c r="J1101" s="87">
        <v>10.6</v>
      </c>
      <c r="K1101" s="88">
        <f t="shared" si="54"/>
        <v>190.79999999999998</v>
      </c>
      <c r="L1101" s="85"/>
    </row>
    <row r="1102" spans="1:12" hidden="1" x14ac:dyDescent="0.2">
      <c r="A1102" s="84" t="str">
        <f t="shared" si="52"/>
        <v>MarçoSEMANA 4Farinha de Rosca</v>
      </c>
      <c r="B1102" s="85" t="s">
        <v>31</v>
      </c>
      <c r="C1102" s="85" t="s">
        <v>23</v>
      </c>
      <c r="D1102" s="86">
        <v>20</v>
      </c>
      <c r="E1102" s="116" t="str">
        <f t="shared" si="53"/>
        <v>Mercado</v>
      </c>
      <c r="F1102" s="85" t="s">
        <v>1170</v>
      </c>
      <c r="G1102" s="85" t="s">
        <v>342</v>
      </c>
      <c r="H1102" s="85" t="s">
        <v>1083</v>
      </c>
      <c r="I1102" s="85">
        <v>10</v>
      </c>
      <c r="J1102" s="87">
        <v>9</v>
      </c>
      <c r="K1102" s="88">
        <f t="shared" si="54"/>
        <v>90</v>
      </c>
      <c r="L1102" s="85"/>
    </row>
    <row r="1103" spans="1:12" hidden="1" x14ac:dyDescent="0.2">
      <c r="A1103" s="84" t="str">
        <f t="shared" si="52"/>
        <v>MarçoSEMANA 4Pão Árabe</v>
      </c>
      <c r="B1103" s="85" t="s">
        <v>31</v>
      </c>
      <c r="C1103" s="85" t="s">
        <v>23</v>
      </c>
      <c r="D1103" s="86">
        <v>20</v>
      </c>
      <c r="E1103" s="116" t="str">
        <f t="shared" si="53"/>
        <v>Mercado</v>
      </c>
      <c r="F1103" s="85" t="s">
        <v>1118</v>
      </c>
      <c r="G1103" s="85" t="s">
        <v>560</v>
      </c>
      <c r="H1103" s="85" t="s">
        <v>1114</v>
      </c>
      <c r="I1103" s="85">
        <v>3</v>
      </c>
      <c r="J1103" s="87">
        <v>6.7</v>
      </c>
      <c r="K1103" s="88">
        <f t="shared" si="54"/>
        <v>20.100000000000001</v>
      </c>
      <c r="L1103" s="85"/>
    </row>
    <row r="1104" spans="1:12" hidden="1" x14ac:dyDescent="0.2">
      <c r="A1104" s="84" t="str">
        <f t="shared" si="52"/>
        <v>MarçoSEMANA 4Pescados - Kani</v>
      </c>
      <c r="B1104" s="85" t="s">
        <v>31</v>
      </c>
      <c r="C1104" s="85" t="s">
        <v>23</v>
      </c>
      <c r="D1104" s="86">
        <v>20</v>
      </c>
      <c r="E1104" s="116" t="str">
        <f t="shared" si="53"/>
        <v>Carnes</v>
      </c>
      <c r="F1104" s="85" t="s">
        <v>1166</v>
      </c>
      <c r="G1104" s="85" t="s">
        <v>618</v>
      </c>
      <c r="H1104" s="85" t="s">
        <v>1083</v>
      </c>
      <c r="I1104" s="85">
        <f>10-0.25-0.25-1.25</f>
        <v>8.25</v>
      </c>
      <c r="J1104" s="87">
        <v>21.99</v>
      </c>
      <c r="K1104" s="88">
        <f t="shared" si="54"/>
        <v>181.41749999999999</v>
      </c>
      <c r="L1104" s="85">
        <v>330428</v>
      </c>
    </row>
    <row r="1105" spans="1:12" hidden="1" x14ac:dyDescent="0.2">
      <c r="A1105" s="84" t="str">
        <f t="shared" si="52"/>
        <v>MarçoSEMANA 4Pescados - Polvo Tentáculos Cong. M</v>
      </c>
      <c r="B1105" s="85" t="s">
        <v>31</v>
      </c>
      <c r="C1105" s="85" t="s">
        <v>23</v>
      </c>
      <c r="D1105" s="86">
        <v>20</v>
      </c>
      <c r="E1105" s="116" t="str">
        <f t="shared" si="53"/>
        <v>Carnes</v>
      </c>
      <c r="F1105" s="85" t="s">
        <v>1216</v>
      </c>
      <c r="G1105" s="85" t="s">
        <v>641</v>
      </c>
      <c r="H1105" s="85" t="s">
        <v>1083</v>
      </c>
      <c r="I1105" s="85">
        <v>10</v>
      </c>
      <c r="J1105" s="87">
        <v>39.9</v>
      </c>
      <c r="K1105" s="88">
        <f t="shared" si="54"/>
        <v>399</v>
      </c>
      <c r="L1105" s="85" t="s">
        <v>1287</v>
      </c>
    </row>
    <row r="1106" spans="1:12" hidden="1" x14ac:dyDescent="0.2">
      <c r="A1106" s="84" t="str">
        <f t="shared" si="52"/>
        <v>MarçoSEMANA 4Pescados - Marisco</v>
      </c>
      <c r="B1106" s="85" t="s">
        <v>31</v>
      </c>
      <c r="C1106" s="85" t="s">
        <v>23</v>
      </c>
      <c r="D1106" s="86">
        <v>20</v>
      </c>
      <c r="E1106" s="116" t="str">
        <f t="shared" si="53"/>
        <v>Carnes</v>
      </c>
      <c r="F1106" s="85" t="s">
        <v>1216</v>
      </c>
      <c r="G1106" s="85" t="s">
        <v>624</v>
      </c>
      <c r="H1106" s="85" t="s">
        <v>1083</v>
      </c>
      <c r="I1106" s="85">
        <v>4</v>
      </c>
      <c r="J1106" s="87">
        <v>22.9</v>
      </c>
      <c r="K1106" s="88">
        <f t="shared" si="54"/>
        <v>91.6</v>
      </c>
      <c r="L1106" s="85" t="s">
        <v>1287</v>
      </c>
    </row>
    <row r="1107" spans="1:12" hidden="1" x14ac:dyDescent="0.2">
      <c r="A1107" s="84" t="str">
        <f t="shared" si="52"/>
        <v>MarçoSEMANA 4Suíno - Linguiça Fina Defumada</v>
      </c>
      <c r="B1107" s="85" t="s">
        <v>31</v>
      </c>
      <c r="C1107" s="85" t="s">
        <v>23</v>
      </c>
      <c r="D1107" s="86">
        <v>20</v>
      </c>
      <c r="E1107" s="116" t="str">
        <f t="shared" si="53"/>
        <v>Carnes</v>
      </c>
      <c r="F1107" s="85" t="s">
        <v>1227</v>
      </c>
      <c r="G1107" s="85" t="s">
        <v>763</v>
      </c>
      <c r="H1107" s="85" t="s">
        <v>1083</v>
      </c>
      <c r="I1107" s="85">
        <v>2.5</v>
      </c>
      <c r="J1107" s="87">
        <v>9.9</v>
      </c>
      <c r="K1107" s="88">
        <f t="shared" si="54"/>
        <v>24.75</v>
      </c>
      <c r="L1107" s="85">
        <v>91020</v>
      </c>
    </row>
    <row r="1108" spans="1:12" hidden="1" x14ac:dyDescent="0.2">
      <c r="A1108" s="84" t="str">
        <f t="shared" si="52"/>
        <v>MarçoSEMANA 4Suíno - Linguiça Paio</v>
      </c>
      <c r="B1108" s="85" t="s">
        <v>31</v>
      </c>
      <c r="C1108" s="85" t="s">
        <v>23</v>
      </c>
      <c r="D1108" s="86">
        <v>20</v>
      </c>
      <c r="E1108" s="116" t="str">
        <f t="shared" si="53"/>
        <v>Carnes</v>
      </c>
      <c r="F1108" s="85" t="s">
        <v>1227</v>
      </c>
      <c r="G1108" s="85" t="s">
        <v>764</v>
      </c>
      <c r="H1108" s="85" t="s">
        <v>1083</v>
      </c>
      <c r="I1108" s="85">
        <v>5</v>
      </c>
      <c r="J1108" s="87">
        <v>10.99</v>
      </c>
      <c r="K1108" s="88">
        <f t="shared" si="54"/>
        <v>54.95</v>
      </c>
      <c r="L1108" s="85">
        <v>91020</v>
      </c>
    </row>
    <row r="1109" spans="1:12" hidden="1" x14ac:dyDescent="0.2">
      <c r="A1109" s="84" t="str">
        <f t="shared" si="52"/>
        <v>MarçoSEMANA 4Suíno - Lombo Salgado</v>
      </c>
      <c r="B1109" s="85" t="s">
        <v>31</v>
      </c>
      <c r="C1109" s="85" t="s">
        <v>23</v>
      </c>
      <c r="D1109" s="86">
        <v>20</v>
      </c>
      <c r="E1109" s="116" t="str">
        <f t="shared" si="53"/>
        <v>Carnes</v>
      </c>
      <c r="F1109" s="85" t="s">
        <v>1227</v>
      </c>
      <c r="G1109" s="85" t="s">
        <v>767</v>
      </c>
      <c r="H1109" s="85" t="s">
        <v>1083</v>
      </c>
      <c r="I1109" s="85">
        <v>9.1</v>
      </c>
      <c r="J1109" s="87">
        <v>10.81</v>
      </c>
      <c r="K1109" s="88">
        <f t="shared" si="54"/>
        <v>98.370999999999995</v>
      </c>
      <c r="L1109" s="85">
        <v>91020</v>
      </c>
    </row>
    <row r="1110" spans="1:12" hidden="1" x14ac:dyDescent="0.2">
      <c r="A1110" s="84" t="str">
        <f t="shared" si="52"/>
        <v>MarçoSEMANA 4Suíno - Costelinha Salgada</v>
      </c>
      <c r="B1110" s="85" t="s">
        <v>31</v>
      </c>
      <c r="C1110" s="85" t="s">
        <v>23</v>
      </c>
      <c r="D1110" s="86">
        <v>20</v>
      </c>
      <c r="E1110" s="116" t="str">
        <f t="shared" si="53"/>
        <v>Carnes</v>
      </c>
      <c r="F1110" s="85" t="s">
        <v>1227</v>
      </c>
      <c r="G1110" s="85" t="s">
        <v>759</v>
      </c>
      <c r="H1110" s="85" t="s">
        <v>1083</v>
      </c>
      <c r="I1110" s="85"/>
      <c r="J1110" s="87"/>
      <c r="K1110" s="88">
        <f t="shared" si="54"/>
        <v>0</v>
      </c>
      <c r="L1110" s="85" t="s">
        <v>1344</v>
      </c>
    </row>
    <row r="1111" spans="1:12" hidden="1" x14ac:dyDescent="0.2">
      <c r="A1111" s="84" t="str">
        <f t="shared" si="52"/>
        <v>MarçoSEMANA 4Carne Bovina - Alcatra Miolo</v>
      </c>
      <c r="B1111" s="85" t="s">
        <v>31</v>
      </c>
      <c r="C1111" s="85" t="s">
        <v>23</v>
      </c>
      <c r="D1111" s="86">
        <v>20</v>
      </c>
      <c r="E1111" s="116" t="str">
        <f t="shared" si="53"/>
        <v>Carnes</v>
      </c>
      <c r="F1111" s="85" t="s">
        <v>1227</v>
      </c>
      <c r="G1111" s="85" t="s">
        <v>216</v>
      </c>
      <c r="H1111" s="85" t="s">
        <v>1083</v>
      </c>
      <c r="I1111" s="85">
        <v>24.408000000000001</v>
      </c>
      <c r="J1111" s="87">
        <v>19.2</v>
      </c>
      <c r="K1111" s="88">
        <f t="shared" si="54"/>
        <v>468.6336</v>
      </c>
      <c r="L1111" s="85">
        <v>91020</v>
      </c>
    </row>
    <row r="1112" spans="1:12" hidden="1" x14ac:dyDescent="0.2">
      <c r="A1112" s="84" t="str">
        <f t="shared" si="52"/>
        <v>MarçoSEMANA 4Gelo em Escamas</v>
      </c>
      <c r="B1112" s="85" t="s">
        <v>31</v>
      </c>
      <c r="C1112" s="85" t="s">
        <v>23</v>
      </c>
      <c r="D1112" s="86">
        <v>20</v>
      </c>
      <c r="E1112" s="116" t="str">
        <f t="shared" si="53"/>
        <v>Mercado</v>
      </c>
      <c r="F1112" s="85" t="s">
        <v>1096</v>
      </c>
      <c r="G1112" s="85" t="s">
        <v>384</v>
      </c>
      <c r="H1112" s="85" t="s">
        <v>1097</v>
      </c>
      <c r="I1112" s="85">
        <v>1</v>
      </c>
      <c r="J1112" s="87">
        <v>7.5</v>
      </c>
      <c r="K1112" s="88">
        <f t="shared" si="54"/>
        <v>7.5</v>
      </c>
      <c r="L1112" s="85">
        <v>3675</v>
      </c>
    </row>
    <row r="1113" spans="1:12" hidden="1" x14ac:dyDescent="0.2">
      <c r="A1113" s="84" t="str">
        <f t="shared" si="52"/>
        <v>MarçoSEMANA 4Gelo em Cubo</v>
      </c>
      <c r="B1113" s="85" t="s">
        <v>31</v>
      </c>
      <c r="C1113" s="85" t="s">
        <v>23</v>
      </c>
      <c r="D1113" s="86">
        <v>20</v>
      </c>
      <c r="E1113" s="116" t="str">
        <f t="shared" si="53"/>
        <v>Mercado</v>
      </c>
      <c r="F1113" s="85" t="s">
        <v>1096</v>
      </c>
      <c r="G1113" s="85" t="s">
        <v>383</v>
      </c>
      <c r="H1113" s="85" t="s">
        <v>1097</v>
      </c>
      <c r="I1113" s="85">
        <v>2</v>
      </c>
      <c r="J1113" s="87">
        <v>7.5</v>
      </c>
      <c r="K1113" s="88">
        <f t="shared" si="54"/>
        <v>15</v>
      </c>
      <c r="L1113" s="85">
        <v>3675</v>
      </c>
    </row>
    <row r="1114" spans="1:12" hidden="1" x14ac:dyDescent="0.2">
      <c r="A1114" s="84" t="str">
        <f t="shared" si="52"/>
        <v>MarçoSEMANA 4Creme de Leite Culinário 20% Bd 10 Lt</v>
      </c>
      <c r="B1114" s="85" t="s">
        <v>31</v>
      </c>
      <c r="C1114" s="85" t="s">
        <v>23</v>
      </c>
      <c r="D1114" s="86">
        <v>20</v>
      </c>
      <c r="E1114" s="116" t="str">
        <f t="shared" si="53"/>
        <v>Laticínios</v>
      </c>
      <c r="F1114" s="85" t="s">
        <v>1152</v>
      </c>
      <c r="G1114" s="85" t="s">
        <v>315</v>
      </c>
      <c r="H1114" s="85" t="s">
        <v>1088</v>
      </c>
      <c r="I1114" s="85">
        <v>1</v>
      </c>
      <c r="J1114" s="87">
        <v>142.44999999999999</v>
      </c>
      <c r="K1114" s="88">
        <f t="shared" si="54"/>
        <v>142.44999999999999</v>
      </c>
      <c r="L1114" s="85" t="s">
        <v>1288</v>
      </c>
    </row>
    <row r="1115" spans="1:12" hidden="1" x14ac:dyDescent="0.2">
      <c r="A1115" s="84" t="str">
        <f t="shared" si="52"/>
        <v>MarçoSEMANA 4Queijo Mussarela</v>
      </c>
      <c r="B1115" s="85" t="s">
        <v>31</v>
      </c>
      <c r="C1115" s="85" t="s">
        <v>23</v>
      </c>
      <c r="D1115" s="86">
        <v>20</v>
      </c>
      <c r="E1115" s="116" t="str">
        <f t="shared" si="53"/>
        <v>Laticínios</v>
      </c>
      <c r="F1115" s="85" t="s">
        <v>1152</v>
      </c>
      <c r="G1115" s="85" t="s">
        <v>684</v>
      </c>
      <c r="H1115" s="85" t="s">
        <v>1083</v>
      </c>
      <c r="I1115" s="85">
        <v>6.26</v>
      </c>
      <c r="J1115" s="87">
        <v>26</v>
      </c>
      <c r="K1115" s="88">
        <f t="shared" si="54"/>
        <v>162.76</v>
      </c>
      <c r="L1115" s="85" t="s">
        <v>1288</v>
      </c>
    </row>
    <row r="1116" spans="1:12" hidden="1" x14ac:dyDescent="0.2">
      <c r="A1116" s="84" t="str">
        <f t="shared" si="52"/>
        <v>MarçoSEMANA 4Queijo Requeijão BD 3,6 Kg</v>
      </c>
      <c r="B1116" s="85" t="s">
        <v>31</v>
      </c>
      <c r="C1116" s="85" t="s">
        <v>23</v>
      </c>
      <c r="D1116" s="86">
        <v>20</v>
      </c>
      <c r="E1116" s="116" t="str">
        <f t="shared" si="53"/>
        <v>Laticínios</v>
      </c>
      <c r="F1116" s="85" t="s">
        <v>1152</v>
      </c>
      <c r="G1116" s="85" t="s">
        <v>687</v>
      </c>
      <c r="H1116" s="85" t="s">
        <v>1088</v>
      </c>
      <c r="I1116" s="85">
        <v>1</v>
      </c>
      <c r="J1116" s="87">
        <v>74.400000000000006</v>
      </c>
      <c r="K1116" s="88">
        <f t="shared" si="54"/>
        <v>74.400000000000006</v>
      </c>
      <c r="L1116" s="85" t="s">
        <v>1288</v>
      </c>
    </row>
    <row r="1117" spans="1:12" hidden="1" x14ac:dyDescent="0.2">
      <c r="A1117" s="84" t="str">
        <f t="shared" si="52"/>
        <v xml:space="preserve">MarçoSEMANA 4Biscoito de Milho Café </v>
      </c>
      <c r="B1117" s="85" t="s">
        <v>31</v>
      </c>
      <c r="C1117" s="85" t="s">
        <v>23</v>
      </c>
      <c r="D1117" s="86">
        <v>20</v>
      </c>
      <c r="E1117" s="116" t="str">
        <f t="shared" si="53"/>
        <v>Mercado</v>
      </c>
      <c r="F1117" s="85" t="s">
        <v>1175</v>
      </c>
      <c r="G1117" s="85" t="s">
        <v>183</v>
      </c>
      <c r="H1117" s="85" t="s">
        <v>1083</v>
      </c>
      <c r="I1117" s="85">
        <f>(5*2.8)-1.1-1.1-1.1-1.1</f>
        <v>9.6000000000000014</v>
      </c>
      <c r="J1117" s="87">
        <f>310.73/14</f>
        <v>22.195</v>
      </c>
      <c r="K1117" s="88">
        <f t="shared" si="54"/>
        <v>213.07200000000003</v>
      </c>
      <c r="L1117" s="85">
        <v>32587</v>
      </c>
    </row>
    <row r="1118" spans="1:12" hidden="1" x14ac:dyDescent="0.2">
      <c r="A1118" s="84" t="str">
        <f t="shared" si="52"/>
        <v>MarçoSEMANA 4Água Mineral com Gás</v>
      </c>
      <c r="B1118" s="85" t="s">
        <v>31</v>
      </c>
      <c r="C1118" s="85" t="s">
        <v>23</v>
      </c>
      <c r="D1118" s="86">
        <v>20</v>
      </c>
      <c r="E1118" s="116" t="str">
        <f t="shared" si="53"/>
        <v>Bebidas</v>
      </c>
      <c r="F1118" s="85" t="s">
        <v>1127</v>
      </c>
      <c r="G1118" s="85" t="s">
        <v>90</v>
      </c>
      <c r="H1118" s="85" t="s">
        <v>1090</v>
      </c>
      <c r="I1118" s="85">
        <f>23*6</f>
        <v>138</v>
      </c>
      <c r="J1118" s="87">
        <f>184/138</f>
        <v>1.3333333333333333</v>
      </c>
      <c r="K1118" s="88">
        <f t="shared" si="54"/>
        <v>184</v>
      </c>
      <c r="L1118" s="85">
        <v>439277</v>
      </c>
    </row>
    <row r="1119" spans="1:12" hidden="1" x14ac:dyDescent="0.2">
      <c r="A1119" s="84" t="str">
        <f t="shared" si="52"/>
        <v>MarçoSEMANA 4Água Mineral sem Gás</v>
      </c>
      <c r="B1119" s="85" t="s">
        <v>31</v>
      </c>
      <c r="C1119" s="85" t="s">
        <v>23</v>
      </c>
      <c r="D1119" s="86">
        <v>20</v>
      </c>
      <c r="E1119" s="116" t="str">
        <f t="shared" si="53"/>
        <v>Bebidas</v>
      </c>
      <c r="F1119" s="85" t="s">
        <v>1127</v>
      </c>
      <c r="G1119" s="85" t="s">
        <v>91</v>
      </c>
      <c r="H1119" s="85" t="s">
        <v>1090</v>
      </c>
      <c r="I1119" s="85">
        <f>35*6</f>
        <v>210</v>
      </c>
      <c r="J1119" s="87">
        <f>280/210</f>
        <v>1.3333333333333333</v>
      </c>
      <c r="K1119" s="88">
        <f t="shared" si="54"/>
        <v>280</v>
      </c>
      <c r="L1119" s="85">
        <v>439277</v>
      </c>
    </row>
    <row r="1120" spans="1:12" hidden="1" x14ac:dyDescent="0.2">
      <c r="A1120" s="84" t="str">
        <f t="shared" si="52"/>
        <v>MarçoSEMANA 3Açucar Refinado Sushi</v>
      </c>
      <c r="B1120" s="85" t="s">
        <v>31</v>
      </c>
      <c r="C1120" s="85" t="s">
        <v>22</v>
      </c>
      <c r="D1120" s="86">
        <v>14</v>
      </c>
      <c r="E1120" s="116" t="str">
        <f t="shared" si="53"/>
        <v>Sushi</v>
      </c>
      <c r="F1120" s="85" t="s">
        <v>1085</v>
      </c>
      <c r="G1120" s="85" t="s">
        <v>80</v>
      </c>
      <c r="H1120" s="85" t="s">
        <v>1083</v>
      </c>
      <c r="I1120" s="85">
        <v>6</v>
      </c>
      <c r="J1120" s="87">
        <v>2.44</v>
      </c>
      <c r="K1120" s="88">
        <f t="shared" si="54"/>
        <v>14.64</v>
      </c>
      <c r="L1120" s="85" t="s">
        <v>1238</v>
      </c>
    </row>
    <row r="1121" spans="1:12" hidden="1" x14ac:dyDescent="0.2">
      <c r="A1121" s="84" t="str">
        <f t="shared" si="52"/>
        <v>MarçoSEMANA 4Cream Cheese Sushi</v>
      </c>
      <c r="B1121" s="85" t="s">
        <v>31</v>
      </c>
      <c r="C1121" s="85" t="s">
        <v>23</v>
      </c>
      <c r="D1121" s="86">
        <v>20</v>
      </c>
      <c r="E1121" s="116" t="str">
        <f t="shared" si="53"/>
        <v>Sushi</v>
      </c>
      <c r="F1121" s="85" t="s">
        <v>1101</v>
      </c>
      <c r="G1121" s="85" t="s">
        <v>311</v>
      </c>
      <c r="H1121" s="85" t="s">
        <v>1083</v>
      </c>
      <c r="I1121" s="85">
        <f>(2*1.5)-1.5</f>
        <v>1.5</v>
      </c>
      <c r="J1121" s="87">
        <f>61/3</f>
        <v>20.333333333333332</v>
      </c>
      <c r="K1121" s="88">
        <f t="shared" si="54"/>
        <v>30.5</v>
      </c>
      <c r="L1121" s="85" t="s">
        <v>1289</v>
      </c>
    </row>
    <row r="1122" spans="1:12" hidden="1" x14ac:dyDescent="0.2">
      <c r="A1122" s="84" t="str">
        <f t="shared" si="52"/>
        <v>MarçoSEMANA 4Queijo Parmezon</v>
      </c>
      <c r="B1122" s="85" t="s">
        <v>31</v>
      </c>
      <c r="C1122" s="85" t="s">
        <v>23</v>
      </c>
      <c r="D1122" s="86">
        <v>20</v>
      </c>
      <c r="E1122" s="116" t="str">
        <f t="shared" si="53"/>
        <v>Laticínios</v>
      </c>
      <c r="F1122" s="85" t="s">
        <v>1101</v>
      </c>
      <c r="G1122" s="85" t="s">
        <v>685</v>
      </c>
      <c r="H1122" s="85" t="s">
        <v>1083</v>
      </c>
      <c r="I1122" s="85">
        <v>5.2</v>
      </c>
      <c r="J1122" s="87">
        <v>23.7</v>
      </c>
      <c r="K1122" s="88">
        <f t="shared" si="54"/>
        <v>123.24</v>
      </c>
      <c r="L1122" s="85" t="s">
        <v>1289</v>
      </c>
    </row>
    <row r="1123" spans="1:12" hidden="1" x14ac:dyDescent="0.2">
      <c r="A1123" s="84" t="str">
        <f t="shared" si="52"/>
        <v>MarçoSEMANA 4Pescados - Filé Tilápia Cong.</v>
      </c>
      <c r="B1123" s="85" t="s">
        <v>31</v>
      </c>
      <c r="C1123" s="85" t="s">
        <v>23</v>
      </c>
      <c r="D1123" s="86">
        <v>20</v>
      </c>
      <c r="E1123" s="116" t="str">
        <f t="shared" si="53"/>
        <v>Carnes</v>
      </c>
      <c r="F1123" s="85" t="s">
        <v>1145</v>
      </c>
      <c r="G1123" s="85" t="s">
        <v>613</v>
      </c>
      <c r="H1123" s="85" t="s">
        <v>1083</v>
      </c>
      <c r="I1123" s="85">
        <v>24</v>
      </c>
      <c r="J1123" s="87">
        <v>26.3</v>
      </c>
      <c r="K1123" s="88">
        <f t="shared" si="54"/>
        <v>631.20000000000005</v>
      </c>
      <c r="L1123" s="85">
        <v>61171</v>
      </c>
    </row>
    <row r="1124" spans="1:12" hidden="1" x14ac:dyDescent="0.2">
      <c r="A1124" s="84" t="str">
        <f t="shared" si="52"/>
        <v>MarçoSEMANA 4Bala de Alga 500 g</v>
      </c>
      <c r="B1124" s="85" t="s">
        <v>31</v>
      </c>
      <c r="C1124" s="85" t="s">
        <v>23</v>
      </c>
      <c r="D1124" s="86">
        <v>20</v>
      </c>
      <c r="E1124" s="116" t="str">
        <f t="shared" si="53"/>
        <v>Vendas Caixa</v>
      </c>
      <c r="F1124" s="85" t="s">
        <v>1125</v>
      </c>
      <c r="G1124" s="85" t="s">
        <v>159</v>
      </c>
      <c r="H1124" s="85" t="s">
        <v>1114</v>
      </c>
      <c r="I1124" s="85">
        <v>2</v>
      </c>
      <c r="J1124" s="87">
        <v>17.16</v>
      </c>
      <c r="K1124" s="88">
        <f t="shared" si="54"/>
        <v>34.32</v>
      </c>
      <c r="L1124" s="85" t="s">
        <v>1290</v>
      </c>
    </row>
    <row r="1125" spans="1:12" hidden="1" x14ac:dyDescent="0.2">
      <c r="A1125" s="84" t="str">
        <f t="shared" si="52"/>
        <v>MarçoSEMANA 4Chá verde 200gr</v>
      </c>
      <c r="B1125" s="85" t="s">
        <v>31</v>
      </c>
      <c r="C1125" s="85" t="s">
        <v>23</v>
      </c>
      <c r="D1125" s="86">
        <v>20</v>
      </c>
      <c r="E1125" s="116" t="str">
        <f t="shared" si="53"/>
        <v>Mercado</v>
      </c>
      <c r="F1125" s="85" t="s">
        <v>1125</v>
      </c>
      <c r="G1125" s="85" t="s">
        <v>271</v>
      </c>
      <c r="H1125" s="85" t="s">
        <v>1114</v>
      </c>
      <c r="I1125" s="85">
        <v>1</v>
      </c>
      <c r="J1125" s="87">
        <v>14.68</v>
      </c>
      <c r="K1125" s="88">
        <f t="shared" si="54"/>
        <v>14.68</v>
      </c>
      <c r="L1125" s="85" t="s">
        <v>1290</v>
      </c>
    </row>
    <row r="1126" spans="1:12" hidden="1" x14ac:dyDescent="0.2">
      <c r="A1126" s="84" t="str">
        <f t="shared" si="52"/>
        <v>MarçoSEMANA 4Farinha Panco</v>
      </c>
      <c r="B1126" s="85" t="s">
        <v>31</v>
      </c>
      <c r="C1126" s="85" t="s">
        <v>23</v>
      </c>
      <c r="D1126" s="86">
        <v>20</v>
      </c>
      <c r="E1126" s="116" t="str">
        <f t="shared" si="53"/>
        <v>Mercado</v>
      </c>
      <c r="F1126" s="85" t="s">
        <v>1125</v>
      </c>
      <c r="G1126" s="85" t="s">
        <v>345</v>
      </c>
      <c r="H1126" s="85" t="s">
        <v>1083</v>
      </c>
      <c r="I1126" s="85">
        <f>6-1</f>
        <v>5</v>
      </c>
      <c r="J1126" s="87">
        <v>17.7</v>
      </c>
      <c r="K1126" s="88">
        <f t="shared" si="54"/>
        <v>88.5</v>
      </c>
      <c r="L1126" s="85" t="s">
        <v>1290</v>
      </c>
    </row>
    <row r="1127" spans="1:12" hidden="1" x14ac:dyDescent="0.2">
      <c r="A1127" s="84" t="str">
        <f t="shared" si="52"/>
        <v>MarçoSEMANA 4Gergelim Branco</v>
      </c>
      <c r="B1127" s="85" t="s">
        <v>31</v>
      </c>
      <c r="C1127" s="85" t="s">
        <v>23</v>
      </c>
      <c r="D1127" s="86">
        <v>20</v>
      </c>
      <c r="E1127" s="116" t="str">
        <f t="shared" si="53"/>
        <v>Mercado</v>
      </c>
      <c r="F1127" s="85" t="s">
        <v>1125</v>
      </c>
      <c r="G1127" s="85" t="s">
        <v>387</v>
      </c>
      <c r="H1127" s="85" t="s">
        <v>1083</v>
      </c>
      <c r="I1127" s="85">
        <v>2</v>
      </c>
      <c r="J1127" s="87">
        <v>11.25</v>
      </c>
      <c r="K1127" s="88">
        <f t="shared" si="54"/>
        <v>22.5</v>
      </c>
      <c r="L1127" s="85" t="s">
        <v>1290</v>
      </c>
    </row>
    <row r="1128" spans="1:12" hidden="1" x14ac:dyDescent="0.2">
      <c r="A1128" s="84" t="str">
        <f t="shared" si="52"/>
        <v>MarçoSEMANA 4Massa de Harumaki</v>
      </c>
      <c r="B1128" s="85" t="s">
        <v>31</v>
      </c>
      <c r="C1128" s="85" t="s">
        <v>23</v>
      </c>
      <c r="D1128" s="86">
        <v>20</v>
      </c>
      <c r="E1128" s="116" t="str">
        <f t="shared" si="53"/>
        <v>Mercado</v>
      </c>
      <c r="F1128" s="85" t="s">
        <v>1125</v>
      </c>
      <c r="G1128" s="85" t="s">
        <v>506</v>
      </c>
      <c r="H1128" s="85" t="s">
        <v>1126</v>
      </c>
      <c r="I1128" s="85">
        <f>19*12</f>
        <v>228</v>
      </c>
      <c r="J1128" s="87">
        <f>131.29/228</f>
        <v>0.57583333333333331</v>
      </c>
      <c r="K1128" s="88">
        <f t="shared" si="54"/>
        <v>131.29</v>
      </c>
      <c r="L1128" s="85" t="s">
        <v>1290</v>
      </c>
    </row>
    <row r="1129" spans="1:12" hidden="1" x14ac:dyDescent="0.2">
      <c r="A1129" s="84" t="str">
        <f t="shared" si="52"/>
        <v>MarçoSEMANA 4Óleo de Gergelim</v>
      </c>
      <c r="B1129" s="85" t="s">
        <v>31</v>
      </c>
      <c r="C1129" s="85" t="s">
        <v>23</v>
      </c>
      <c r="D1129" s="86">
        <v>20</v>
      </c>
      <c r="E1129" s="116" t="str">
        <f t="shared" si="53"/>
        <v>Mercado</v>
      </c>
      <c r="F1129" s="85" t="s">
        <v>1125</v>
      </c>
      <c r="G1129" s="85" t="s">
        <v>543</v>
      </c>
      <c r="H1129" s="85" t="s">
        <v>1090</v>
      </c>
      <c r="I1129" s="85">
        <v>1</v>
      </c>
      <c r="J1129" s="87">
        <v>54</v>
      </c>
      <c r="K1129" s="88">
        <f t="shared" si="54"/>
        <v>54</v>
      </c>
      <c r="L1129" s="85" t="s">
        <v>1290</v>
      </c>
    </row>
    <row r="1130" spans="1:12" x14ac:dyDescent="0.25">
      <c r="A1130" s="84" t="str">
        <f t="shared" si="52"/>
        <v xml:space="preserve">MarçoSEMANA 4Abacaxi </v>
      </c>
      <c r="B1130" s="85" t="s">
        <v>31</v>
      </c>
      <c r="C1130" s="85" t="s">
        <v>23</v>
      </c>
      <c r="D1130" s="86">
        <v>20</v>
      </c>
      <c r="E1130" s="116" t="str">
        <f t="shared" si="53"/>
        <v>Hortifruti</v>
      </c>
      <c r="F1130" s="85" t="s">
        <v>1111</v>
      </c>
      <c r="G1130" s="85" t="s">
        <v>65</v>
      </c>
      <c r="H1130" s="85" t="s">
        <v>1083</v>
      </c>
      <c r="I1130" s="85">
        <v>10</v>
      </c>
      <c r="J1130" s="87">
        <v>3.25</v>
      </c>
      <c r="K1130" s="88">
        <f t="shared" si="54"/>
        <v>32.5</v>
      </c>
      <c r="L1130" s="85">
        <v>19096</v>
      </c>
    </row>
    <row r="1131" spans="1:12" x14ac:dyDescent="0.25">
      <c r="A1131" s="84" t="str">
        <f t="shared" si="52"/>
        <v>MarçoSEMANA 4Abobora Japonesa</v>
      </c>
      <c r="B1131" s="85" t="s">
        <v>31</v>
      </c>
      <c r="C1131" s="85" t="s">
        <v>23</v>
      </c>
      <c r="D1131" s="86">
        <v>20</v>
      </c>
      <c r="E1131" s="116" t="str">
        <f t="shared" si="53"/>
        <v>Hortifruti</v>
      </c>
      <c r="F1131" s="85" t="s">
        <v>1111</v>
      </c>
      <c r="G1131" s="85" t="s">
        <v>69</v>
      </c>
      <c r="H1131" s="85" t="s">
        <v>1083</v>
      </c>
      <c r="I1131" s="85">
        <v>2</v>
      </c>
      <c r="J1131" s="87">
        <v>2.86</v>
      </c>
      <c r="K1131" s="88">
        <f t="shared" si="54"/>
        <v>5.72</v>
      </c>
      <c r="L1131" s="85" t="s">
        <v>1291</v>
      </c>
    </row>
    <row r="1132" spans="1:12" x14ac:dyDescent="0.25">
      <c r="A1132" s="84" t="str">
        <f t="shared" si="52"/>
        <v>MarçoSEMANA 4Acelga</v>
      </c>
      <c r="B1132" s="85" t="s">
        <v>31</v>
      </c>
      <c r="C1132" s="85" t="s">
        <v>23</v>
      </c>
      <c r="D1132" s="86">
        <v>20</v>
      </c>
      <c r="E1132" s="116" t="str">
        <f t="shared" si="53"/>
        <v>Hortifruti</v>
      </c>
      <c r="F1132" s="85" t="s">
        <v>1111</v>
      </c>
      <c r="G1132" s="85" t="s">
        <v>75</v>
      </c>
      <c r="H1132" s="85" t="s">
        <v>1083</v>
      </c>
      <c r="I1132" s="85">
        <v>1.5</v>
      </c>
      <c r="J1132" s="87">
        <v>2.25</v>
      </c>
      <c r="K1132" s="88">
        <f t="shared" si="54"/>
        <v>3.375</v>
      </c>
      <c r="L1132" s="85">
        <v>19096</v>
      </c>
    </row>
    <row r="1133" spans="1:12" x14ac:dyDescent="0.25">
      <c r="A1133" s="84" t="str">
        <f t="shared" si="52"/>
        <v>MarçoSEMANA 4Batata HBT</v>
      </c>
      <c r="B1133" s="85" t="s">
        <v>31</v>
      </c>
      <c r="C1133" s="85" t="s">
        <v>23</v>
      </c>
      <c r="D1133" s="86">
        <v>20</v>
      </c>
      <c r="E1133" s="116" t="str">
        <f t="shared" si="53"/>
        <v>Hortifruti</v>
      </c>
      <c r="F1133" s="85" t="s">
        <v>1111</v>
      </c>
      <c r="G1133" s="85" t="s">
        <v>171</v>
      </c>
      <c r="H1133" s="85" t="s">
        <v>1083</v>
      </c>
      <c r="I1133" s="85">
        <v>25</v>
      </c>
      <c r="J1133" s="87">
        <v>1.59</v>
      </c>
      <c r="K1133" s="88">
        <f t="shared" si="54"/>
        <v>39.75</v>
      </c>
      <c r="L1133" s="85">
        <v>19096</v>
      </c>
    </row>
    <row r="1134" spans="1:12" x14ac:dyDescent="0.25">
      <c r="A1134" s="84" t="str">
        <f t="shared" si="52"/>
        <v>MarçoSEMANA 4Côco Verde</v>
      </c>
      <c r="B1134" s="85" t="s">
        <v>31</v>
      </c>
      <c r="C1134" s="85" t="s">
        <v>23</v>
      </c>
      <c r="D1134" s="86">
        <v>20</v>
      </c>
      <c r="E1134" s="116" t="str">
        <f t="shared" si="53"/>
        <v>Hortifruti</v>
      </c>
      <c r="F1134" s="85" t="s">
        <v>1111</v>
      </c>
      <c r="G1134" s="85" t="s">
        <v>288</v>
      </c>
      <c r="H1134" s="85" t="s">
        <v>1083</v>
      </c>
      <c r="I1134" s="85">
        <v>15</v>
      </c>
      <c r="J1134" s="87">
        <v>2.25</v>
      </c>
      <c r="K1134" s="88">
        <f t="shared" si="54"/>
        <v>33.75</v>
      </c>
      <c r="L1134" s="85">
        <v>19096</v>
      </c>
    </row>
    <row r="1135" spans="1:12" x14ac:dyDescent="0.25">
      <c r="A1135" s="84" t="str">
        <f t="shared" si="52"/>
        <v>MarçoSEMANA 4Inhame</v>
      </c>
      <c r="B1135" s="85" t="s">
        <v>31</v>
      </c>
      <c r="C1135" s="85" t="s">
        <v>23</v>
      </c>
      <c r="D1135" s="86">
        <v>20</v>
      </c>
      <c r="E1135" s="116" t="str">
        <f t="shared" si="53"/>
        <v>Hortifruti</v>
      </c>
      <c r="F1135" s="85" t="s">
        <v>1111</v>
      </c>
      <c r="G1135" s="85" t="s">
        <v>448</v>
      </c>
      <c r="H1135" s="85" t="s">
        <v>1090</v>
      </c>
      <c r="I1135" s="85">
        <v>5</v>
      </c>
      <c r="J1135" s="87">
        <v>3</v>
      </c>
      <c r="K1135" s="88">
        <f t="shared" si="54"/>
        <v>15</v>
      </c>
      <c r="L1135" s="85">
        <v>19096</v>
      </c>
    </row>
    <row r="1136" spans="1:12" x14ac:dyDescent="0.25">
      <c r="A1136" s="84" t="str">
        <f t="shared" si="52"/>
        <v>MarçoSEMANA 4Kiwi</v>
      </c>
      <c r="B1136" s="85" t="s">
        <v>31</v>
      </c>
      <c r="C1136" s="85" t="s">
        <v>23</v>
      </c>
      <c r="D1136" s="86">
        <v>20</v>
      </c>
      <c r="E1136" s="116" t="str">
        <f t="shared" si="53"/>
        <v>Hortifruti</v>
      </c>
      <c r="F1136" s="85" t="s">
        <v>1111</v>
      </c>
      <c r="G1136" s="85" t="s">
        <v>453</v>
      </c>
      <c r="H1136" s="85" t="s">
        <v>1083</v>
      </c>
      <c r="I1136" s="85">
        <v>0.5</v>
      </c>
      <c r="J1136" s="87">
        <v>12</v>
      </c>
      <c r="K1136" s="88">
        <f t="shared" si="54"/>
        <v>6</v>
      </c>
      <c r="L1136" s="85">
        <v>19096</v>
      </c>
    </row>
    <row r="1137" spans="1:12" x14ac:dyDescent="0.25">
      <c r="A1137" s="84" t="str">
        <f t="shared" si="52"/>
        <v>MarçoSEMANA 4Limão Siciliano</v>
      </c>
      <c r="B1137" s="85" t="s">
        <v>31</v>
      </c>
      <c r="C1137" s="85" t="s">
        <v>23</v>
      </c>
      <c r="D1137" s="86">
        <v>20</v>
      </c>
      <c r="E1137" s="116" t="str">
        <f t="shared" si="53"/>
        <v>Hortifruti</v>
      </c>
      <c r="F1137" s="85" t="s">
        <v>1111</v>
      </c>
      <c r="G1137" s="85" t="s">
        <v>465</v>
      </c>
      <c r="H1137" s="85" t="s">
        <v>1083</v>
      </c>
      <c r="I1137" s="85">
        <v>1</v>
      </c>
      <c r="J1137" s="87">
        <v>7.5</v>
      </c>
      <c r="K1137" s="88">
        <f t="shared" si="54"/>
        <v>7.5</v>
      </c>
      <c r="L1137" s="85">
        <v>19096</v>
      </c>
    </row>
    <row r="1138" spans="1:12" x14ac:dyDescent="0.25">
      <c r="A1138" s="84" t="str">
        <f t="shared" si="52"/>
        <v>MarçoSEMANA 4Manga Palmer</v>
      </c>
      <c r="B1138" s="85" t="s">
        <v>31</v>
      </c>
      <c r="C1138" s="85" t="s">
        <v>23</v>
      </c>
      <c r="D1138" s="86">
        <v>20</v>
      </c>
      <c r="E1138" s="116" t="str">
        <f t="shared" si="53"/>
        <v>Hortifruti</v>
      </c>
      <c r="F1138" s="85" t="s">
        <v>1111</v>
      </c>
      <c r="G1138" s="85" t="s">
        <v>495</v>
      </c>
      <c r="H1138" s="85" t="s">
        <v>1083</v>
      </c>
      <c r="I1138" s="85">
        <v>1</v>
      </c>
      <c r="J1138" s="87">
        <v>5</v>
      </c>
      <c r="K1138" s="88">
        <f t="shared" si="54"/>
        <v>5</v>
      </c>
      <c r="L1138" s="85">
        <v>19096</v>
      </c>
    </row>
    <row r="1139" spans="1:12" x14ac:dyDescent="0.25">
      <c r="A1139" s="84" t="str">
        <f t="shared" si="52"/>
        <v>MarçoSEMANA 4Abobora</v>
      </c>
      <c r="B1139" s="85" t="s">
        <v>31</v>
      </c>
      <c r="C1139" s="85" t="s">
        <v>23</v>
      </c>
      <c r="D1139" s="86">
        <v>20</v>
      </c>
      <c r="E1139" s="116" t="str">
        <f t="shared" si="53"/>
        <v>Hortifruti</v>
      </c>
      <c r="F1139" s="85" t="s">
        <v>1110</v>
      </c>
      <c r="G1139" s="85" t="s">
        <v>68</v>
      </c>
      <c r="H1139" s="85" t="s">
        <v>1083</v>
      </c>
      <c r="I1139" s="85">
        <v>10</v>
      </c>
      <c r="J1139" s="87">
        <v>3.2</v>
      </c>
      <c r="K1139" s="88">
        <f t="shared" si="54"/>
        <v>32</v>
      </c>
      <c r="L1139" s="85">
        <v>3495</v>
      </c>
    </row>
    <row r="1140" spans="1:12" x14ac:dyDescent="0.25">
      <c r="A1140" s="84" t="str">
        <f t="shared" si="52"/>
        <v>MarçoSEMANA 4Cenoura</v>
      </c>
      <c r="B1140" s="85" t="s">
        <v>31</v>
      </c>
      <c r="C1140" s="85" t="s">
        <v>23</v>
      </c>
      <c r="D1140" s="86">
        <v>20</v>
      </c>
      <c r="E1140" s="116" t="str">
        <f t="shared" si="53"/>
        <v>Hortifruti</v>
      </c>
      <c r="F1140" s="85" t="s">
        <v>1110</v>
      </c>
      <c r="G1140" s="85" t="s">
        <v>249</v>
      </c>
      <c r="H1140" s="85" t="s">
        <v>1083</v>
      </c>
      <c r="I1140" s="85">
        <v>21.64</v>
      </c>
      <c r="J1140" s="87">
        <f>50/21.64</f>
        <v>2.310536044362292</v>
      </c>
      <c r="K1140" s="88">
        <f t="shared" si="54"/>
        <v>50</v>
      </c>
      <c r="L1140" s="85">
        <v>3495</v>
      </c>
    </row>
    <row r="1141" spans="1:12" x14ac:dyDescent="0.25">
      <c r="A1141" s="84" t="str">
        <f t="shared" si="52"/>
        <v>MarçoSEMANA 4Pepino Japonês</v>
      </c>
      <c r="B1141" s="85" t="s">
        <v>31</v>
      </c>
      <c r="C1141" s="85" t="s">
        <v>23</v>
      </c>
      <c r="D1141" s="86">
        <v>20</v>
      </c>
      <c r="E1141" s="116" t="str">
        <f t="shared" si="53"/>
        <v>Hortifruti</v>
      </c>
      <c r="F1141" s="85" t="s">
        <v>1110</v>
      </c>
      <c r="G1141" s="85" t="s">
        <v>576</v>
      </c>
      <c r="H1141" s="85" t="s">
        <v>1083</v>
      </c>
      <c r="I1141" s="85">
        <f>19.28-0.3</f>
        <v>18.98</v>
      </c>
      <c r="J1141" s="87">
        <f>45/19.28</f>
        <v>2.3340248962655599</v>
      </c>
      <c r="K1141" s="88">
        <f t="shared" si="54"/>
        <v>44.299792531120325</v>
      </c>
      <c r="L1141" s="85">
        <v>3495</v>
      </c>
    </row>
    <row r="1142" spans="1:12" x14ac:dyDescent="0.25">
      <c r="A1142" s="84" t="str">
        <f t="shared" si="52"/>
        <v>MarçoSEMANA 4Repolho</v>
      </c>
      <c r="B1142" s="85" t="s">
        <v>31</v>
      </c>
      <c r="C1142" s="85" t="s">
        <v>23</v>
      </c>
      <c r="D1142" s="86">
        <v>20</v>
      </c>
      <c r="E1142" s="116" t="str">
        <f t="shared" si="53"/>
        <v>Hortifruti</v>
      </c>
      <c r="F1142" s="85" t="s">
        <v>1110</v>
      </c>
      <c r="G1142" s="85" t="s">
        <v>700</v>
      </c>
      <c r="H1142" s="85" t="s">
        <v>1083</v>
      </c>
      <c r="I1142" s="85">
        <v>3</v>
      </c>
      <c r="J1142" s="87">
        <v>2</v>
      </c>
      <c r="K1142" s="88">
        <f t="shared" si="54"/>
        <v>6</v>
      </c>
      <c r="L1142" s="85">
        <v>3495</v>
      </c>
    </row>
    <row r="1143" spans="1:12" x14ac:dyDescent="0.25">
      <c r="A1143" s="84" t="str">
        <f t="shared" si="52"/>
        <v>MarçoSEMANA 4Repolho Roxo</v>
      </c>
      <c r="B1143" s="85" t="s">
        <v>31</v>
      </c>
      <c r="C1143" s="85" t="s">
        <v>23</v>
      </c>
      <c r="D1143" s="86">
        <v>20</v>
      </c>
      <c r="E1143" s="116" t="str">
        <f t="shared" si="53"/>
        <v>Hortifruti</v>
      </c>
      <c r="F1143" s="85" t="s">
        <v>1110</v>
      </c>
      <c r="G1143" s="85" t="s">
        <v>702</v>
      </c>
      <c r="H1143" s="85" t="s">
        <v>1083</v>
      </c>
      <c r="I1143" s="85">
        <v>3</v>
      </c>
      <c r="J1143" s="87">
        <v>3</v>
      </c>
      <c r="K1143" s="88">
        <f t="shared" si="54"/>
        <v>9</v>
      </c>
      <c r="L1143" s="85">
        <v>3495</v>
      </c>
    </row>
    <row r="1144" spans="1:12" x14ac:dyDescent="0.25">
      <c r="A1144" s="84" t="str">
        <f t="shared" si="52"/>
        <v>MarçoSEMANA 4Tomate Salada</v>
      </c>
      <c r="B1144" s="85" t="s">
        <v>31</v>
      </c>
      <c r="C1144" s="85" t="s">
        <v>23</v>
      </c>
      <c r="D1144" s="86">
        <v>20</v>
      </c>
      <c r="E1144" s="116" t="str">
        <f t="shared" si="53"/>
        <v>Hortifruti</v>
      </c>
      <c r="F1144" s="85" t="s">
        <v>1110</v>
      </c>
      <c r="G1144" s="85" t="s">
        <v>794</v>
      </c>
      <c r="H1144" s="85" t="s">
        <v>1083</v>
      </c>
      <c r="I1144" s="85">
        <v>20.079999999999998</v>
      </c>
      <c r="J1144" s="87">
        <f>65/20.08</f>
        <v>3.2370517928286855</v>
      </c>
      <c r="K1144" s="88">
        <f t="shared" si="54"/>
        <v>65</v>
      </c>
      <c r="L1144" s="85">
        <v>3495</v>
      </c>
    </row>
    <row r="1145" spans="1:12" x14ac:dyDescent="0.25">
      <c r="A1145" s="84" t="str">
        <f t="shared" si="52"/>
        <v>MarçoSEMANA 4Vagem Macarrão</v>
      </c>
      <c r="B1145" s="85" t="s">
        <v>31</v>
      </c>
      <c r="C1145" s="85" t="s">
        <v>23</v>
      </c>
      <c r="D1145" s="86">
        <v>20</v>
      </c>
      <c r="E1145" s="116" t="str">
        <f t="shared" si="53"/>
        <v>Hortifruti</v>
      </c>
      <c r="F1145" s="85" t="s">
        <v>1110</v>
      </c>
      <c r="G1145" s="85" t="s">
        <v>831</v>
      </c>
      <c r="H1145" s="85" t="s">
        <v>1083</v>
      </c>
      <c r="I1145" s="85">
        <v>5</v>
      </c>
      <c r="J1145" s="87">
        <v>8</v>
      </c>
      <c r="K1145" s="88">
        <f t="shared" si="54"/>
        <v>40</v>
      </c>
      <c r="L1145" s="85">
        <v>3495</v>
      </c>
    </row>
    <row r="1146" spans="1:12" x14ac:dyDescent="0.25">
      <c r="A1146" s="84" t="str">
        <f t="shared" si="52"/>
        <v xml:space="preserve">MarçoSEMANA 4Alface Americana    </v>
      </c>
      <c r="B1146" s="85" t="s">
        <v>31</v>
      </c>
      <c r="C1146" s="85" t="s">
        <v>23</v>
      </c>
      <c r="D1146" s="86">
        <v>20</v>
      </c>
      <c r="E1146" s="116" t="str">
        <f t="shared" si="53"/>
        <v>Hortifruti</v>
      </c>
      <c r="F1146" s="85" t="s">
        <v>1110</v>
      </c>
      <c r="G1146" s="85" t="s">
        <v>102</v>
      </c>
      <c r="H1146" s="85" t="s">
        <v>1083</v>
      </c>
      <c r="I1146" s="85">
        <v>2.86</v>
      </c>
      <c r="J1146" s="87">
        <f>24/2.86</f>
        <v>8.3916083916083917</v>
      </c>
      <c r="K1146" s="88">
        <f t="shared" si="54"/>
        <v>24</v>
      </c>
      <c r="L1146" s="85">
        <v>3495</v>
      </c>
    </row>
    <row r="1147" spans="1:12" x14ac:dyDescent="0.25">
      <c r="A1147" s="84" t="str">
        <f t="shared" si="52"/>
        <v>MarçoSEMANA 4Alface crespa</v>
      </c>
      <c r="B1147" s="85" t="s">
        <v>31</v>
      </c>
      <c r="C1147" s="85" t="s">
        <v>23</v>
      </c>
      <c r="D1147" s="86">
        <v>20</v>
      </c>
      <c r="E1147" s="116" t="str">
        <f t="shared" si="53"/>
        <v>Hortifruti</v>
      </c>
      <c r="F1147" s="85" t="s">
        <v>1110</v>
      </c>
      <c r="G1147" s="85" t="s">
        <v>104</v>
      </c>
      <c r="H1147" s="85" t="s">
        <v>1083</v>
      </c>
      <c r="I1147" s="85">
        <v>1.4419999999999999</v>
      </c>
      <c r="J1147" s="87">
        <f>9/1.442</f>
        <v>6.2413314840499305</v>
      </c>
      <c r="K1147" s="88">
        <f t="shared" si="54"/>
        <v>9</v>
      </c>
      <c r="L1147" s="85">
        <v>3495</v>
      </c>
    </row>
    <row r="1148" spans="1:12" x14ac:dyDescent="0.25">
      <c r="A1148" s="84" t="str">
        <f t="shared" si="52"/>
        <v>MarçoSEMANA 4Alface Roxa</v>
      </c>
      <c r="B1148" s="85" t="s">
        <v>31</v>
      </c>
      <c r="C1148" s="85" t="s">
        <v>23</v>
      </c>
      <c r="D1148" s="86">
        <v>20</v>
      </c>
      <c r="E1148" s="116" t="str">
        <f t="shared" si="53"/>
        <v>Hortifruti</v>
      </c>
      <c r="F1148" s="85" t="s">
        <v>1110</v>
      </c>
      <c r="G1148" s="85" t="s">
        <v>108</v>
      </c>
      <c r="H1148" s="85" t="s">
        <v>1083</v>
      </c>
      <c r="I1148" s="85">
        <v>0.44</v>
      </c>
      <c r="J1148" s="87">
        <f>6/0.44</f>
        <v>13.636363636363637</v>
      </c>
      <c r="K1148" s="88">
        <f t="shared" si="54"/>
        <v>6</v>
      </c>
      <c r="L1148" s="85">
        <v>3495</v>
      </c>
    </row>
    <row r="1149" spans="1:12" x14ac:dyDescent="0.25">
      <c r="A1149" s="84" t="str">
        <f t="shared" si="52"/>
        <v xml:space="preserve">MarçoSEMANA 4Alho Poró </v>
      </c>
      <c r="B1149" s="85" t="s">
        <v>31</v>
      </c>
      <c r="C1149" s="85" t="s">
        <v>23</v>
      </c>
      <c r="D1149" s="86">
        <v>20</v>
      </c>
      <c r="E1149" s="116" t="str">
        <f t="shared" si="53"/>
        <v>Hortifruti</v>
      </c>
      <c r="F1149" s="85" t="s">
        <v>1110</v>
      </c>
      <c r="G1149" s="85" t="s">
        <v>113</v>
      </c>
      <c r="H1149" s="85" t="s">
        <v>1083</v>
      </c>
      <c r="I1149" s="85">
        <v>4</v>
      </c>
      <c r="J1149" s="87">
        <v>9</v>
      </c>
      <c r="K1149" s="88">
        <f t="shared" si="54"/>
        <v>36</v>
      </c>
      <c r="L1149" s="85">
        <v>3495</v>
      </c>
    </row>
    <row r="1150" spans="1:12" x14ac:dyDescent="0.25">
      <c r="A1150" s="84" t="str">
        <f t="shared" si="52"/>
        <v>MarçoSEMANA 4Brócolis Americano</v>
      </c>
      <c r="B1150" s="85" t="s">
        <v>31</v>
      </c>
      <c r="C1150" s="85" t="s">
        <v>23</v>
      </c>
      <c r="D1150" s="86">
        <v>20</v>
      </c>
      <c r="E1150" s="116" t="str">
        <f t="shared" si="53"/>
        <v>Hortifruti</v>
      </c>
      <c r="F1150" s="85" t="s">
        <v>1110</v>
      </c>
      <c r="G1150" s="85" t="s">
        <v>194</v>
      </c>
      <c r="H1150" s="85" t="s">
        <v>1083</v>
      </c>
      <c r="I1150" s="85">
        <v>5</v>
      </c>
      <c r="J1150" s="87">
        <v>12</v>
      </c>
      <c r="K1150" s="88">
        <f t="shared" si="54"/>
        <v>60</v>
      </c>
      <c r="L1150" s="85">
        <v>3495</v>
      </c>
    </row>
    <row r="1151" spans="1:12" x14ac:dyDescent="0.25">
      <c r="A1151" s="84" t="str">
        <f t="shared" si="52"/>
        <v>MarçoSEMANA 4Cebolinha Verde</v>
      </c>
      <c r="B1151" s="85" t="s">
        <v>31</v>
      </c>
      <c r="C1151" s="85" t="s">
        <v>23</v>
      </c>
      <c r="D1151" s="86">
        <v>20</v>
      </c>
      <c r="E1151" s="116" t="str">
        <f t="shared" si="53"/>
        <v>Hortifruti</v>
      </c>
      <c r="F1151" s="85" t="s">
        <v>1110</v>
      </c>
      <c r="G1151" s="85" t="s">
        <v>247</v>
      </c>
      <c r="H1151" s="85" t="s">
        <v>1083</v>
      </c>
      <c r="I1151" s="85">
        <v>0.5</v>
      </c>
      <c r="J1151" s="87">
        <v>7</v>
      </c>
      <c r="K1151" s="88">
        <f t="shared" si="54"/>
        <v>3.5</v>
      </c>
      <c r="L1151" s="85">
        <v>3495</v>
      </c>
    </row>
    <row r="1152" spans="1:12" x14ac:dyDescent="0.25">
      <c r="A1152" s="84" t="str">
        <f t="shared" si="52"/>
        <v>MarçoSEMANA 4Nabo Japonês</v>
      </c>
      <c r="B1152" s="85" t="s">
        <v>31</v>
      </c>
      <c r="C1152" s="85" t="s">
        <v>23</v>
      </c>
      <c r="D1152" s="86">
        <v>20</v>
      </c>
      <c r="E1152" s="116" t="str">
        <f t="shared" si="53"/>
        <v>Hortifruti</v>
      </c>
      <c r="F1152" s="85" t="s">
        <v>1110</v>
      </c>
      <c r="G1152" s="85" t="s">
        <v>535</v>
      </c>
      <c r="H1152" s="85" t="s">
        <v>1083</v>
      </c>
      <c r="I1152" s="85">
        <v>2</v>
      </c>
      <c r="J1152" s="87">
        <v>7</v>
      </c>
      <c r="K1152" s="88">
        <f t="shared" si="54"/>
        <v>14</v>
      </c>
      <c r="L1152" s="85">
        <v>3495</v>
      </c>
    </row>
    <row r="1153" spans="1:12" x14ac:dyDescent="0.25">
      <c r="A1153" s="84" t="str">
        <f t="shared" si="52"/>
        <v>MarçoSEMANA 4Tofu Kilo</v>
      </c>
      <c r="B1153" s="85" t="s">
        <v>31</v>
      </c>
      <c r="C1153" s="85" t="s">
        <v>23</v>
      </c>
      <c r="D1153" s="86">
        <v>20</v>
      </c>
      <c r="E1153" s="116" t="str">
        <f t="shared" si="53"/>
        <v>Hortifruti</v>
      </c>
      <c r="F1153" s="85" t="s">
        <v>1110</v>
      </c>
      <c r="G1153" s="85" t="s">
        <v>788</v>
      </c>
      <c r="H1153" s="85" t="s">
        <v>1083</v>
      </c>
      <c r="I1153" s="85">
        <v>3</v>
      </c>
      <c r="J1153" s="87">
        <v>14</v>
      </c>
      <c r="K1153" s="88">
        <f t="shared" si="54"/>
        <v>42</v>
      </c>
      <c r="L1153" s="85">
        <v>3495</v>
      </c>
    </row>
    <row r="1154" spans="1:12" hidden="1" x14ac:dyDescent="0.2">
      <c r="A1154" s="84" t="str">
        <f t="shared" ref="A1154:A1217" si="55">CONCATENATE(B1154,C1154,G1154)</f>
        <v>MarçoSEMANA 4Abacate Sushi</v>
      </c>
      <c r="B1154" s="85" t="s">
        <v>31</v>
      </c>
      <c r="C1154" s="85" t="s">
        <v>23</v>
      </c>
      <c r="D1154" s="86">
        <v>20</v>
      </c>
      <c r="E1154" s="116" t="str">
        <f t="shared" ref="E1154:E1217" si="56">VLOOKUP(G1154,$M$1:$O$993,3,0)</f>
        <v>Sushi</v>
      </c>
      <c r="F1154" s="85" t="s">
        <v>1110</v>
      </c>
      <c r="G1154" s="85" t="s">
        <v>64</v>
      </c>
      <c r="H1154" s="85" t="s">
        <v>1083</v>
      </c>
      <c r="I1154" s="85">
        <v>1</v>
      </c>
      <c r="J1154" s="87">
        <v>6</v>
      </c>
      <c r="K1154" s="88">
        <f t="shared" ref="K1154:K1217" si="57">I1154*J1154</f>
        <v>6</v>
      </c>
      <c r="L1154" s="85">
        <v>3495</v>
      </c>
    </row>
    <row r="1155" spans="1:12" x14ac:dyDescent="0.25">
      <c r="A1155" s="84" t="str">
        <f t="shared" si="55"/>
        <v>MarçoSEMANA 4Laranja Pera</v>
      </c>
      <c r="B1155" s="85" t="s">
        <v>31</v>
      </c>
      <c r="C1155" s="85" t="s">
        <v>23</v>
      </c>
      <c r="D1155" s="86">
        <v>20</v>
      </c>
      <c r="E1155" s="116" t="str">
        <f t="shared" si="56"/>
        <v>Hortifruti</v>
      </c>
      <c r="F1155" s="85" t="s">
        <v>1110</v>
      </c>
      <c r="G1155" s="85" t="s">
        <v>456</v>
      </c>
      <c r="H1155" s="85" t="s">
        <v>1083</v>
      </c>
      <c r="I1155" s="85">
        <v>21.98</v>
      </c>
      <c r="J1155" s="87">
        <f>35/21.98</f>
        <v>1.592356687898089</v>
      </c>
      <c r="K1155" s="88">
        <f t="shared" si="57"/>
        <v>35</v>
      </c>
      <c r="L1155" s="85">
        <v>3495</v>
      </c>
    </row>
    <row r="1156" spans="1:12" x14ac:dyDescent="0.25">
      <c r="A1156" s="84" t="str">
        <f t="shared" si="55"/>
        <v>MarçoSEMANA 4Melão Orange</v>
      </c>
      <c r="B1156" s="85" t="s">
        <v>31</v>
      </c>
      <c r="C1156" s="85" t="s">
        <v>23</v>
      </c>
      <c r="D1156" s="86">
        <v>20</v>
      </c>
      <c r="E1156" s="116" t="str">
        <f t="shared" si="56"/>
        <v>Hortifruti</v>
      </c>
      <c r="F1156" s="85" t="s">
        <v>1110</v>
      </c>
      <c r="G1156" s="85" t="s">
        <v>518</v>
      </c>
      <c r="H1156" s="85" t="s">
        <v>1083</v>
      </c>
      <c r="I1156" s="85">
        <v>1.8</v>
      </c>
      <c r="J1156" s="87">
        <v>4.8</v>
      </c>
      <c r="K1156" s="88">
        <f t="shared" si="57"/>
        <v>8.64</v>
      </c>
      <c r="L1156" s="85">
        <v>3495</v>
      </c>
    </row>
    <row r="1157" spans="1:12" hidden="1" x14ac:dyDescent="0.2">
      <c r="A1157" s="84" t="str">
        <f t="shared" si="55"/>
        <v>MarçoSEMANA 4Farinha Panco (sushi)</v>
      </c>
      <c r="B1157" s="85" t="s">
        <v>31</v>
      </c>
      <c r="C1157" s="85" t="s">
        <v>23</v>
      </c>
      <c r="D1157" s="86">
        <v>20</v>
      </c>
      <c r="E1157" s="116" t="str">
        <f t="shared" si="56"/>
        <v>Sushi</v>
      </c>
      <c r="F1157" s="85" t="s">
        <v>1125</v>
      </c>
      <c r="G1157" s="85" t="s">
        <v>1031</v>
      </c>
      <c r="H1157" s="85" t="s">
        <v>1083</v>
      </c>
      <c r="I1157" s="85">
        <f>1</f>
        <v>1</v>
      </c>
      <c r="J1157" s="87">
        <v>17.7</v>
      </c>
      <c r="K1157" s="88">
        <f t="shared" si="57"/>
        <v>17.7</v>
      </c>
      <c r="L1157" s="85" t="s">
        <v>1290</v>
      </c>
    </row>
    <row r="1158" spans="1:12" hidden="1" x14ac:dyDescent="0.2">
      <c r="A1158" s="84" t="str">
        <f t="shared" si="55"/>
        <v>MarçoSEMANA 4Clara de Ovo</v>
      </c>
      <c r="B1158" s="85" t="s">
        <v>31</v>
      </c>
      <c r="C1158" s="85" t="s">
        <v>23</v>
      </c>
      <c r="D1158" s="86">
        <v>20</v>
      </c>
      <c r="E1158" s="116" t="str">
        <f t="shared" si="56"/>
        <v>Mercado</v>
      </c>
      <c r="F1158" s="85" t="s">
        <v>1151</v>
      </c>
      <c r="G1158" s="85" t="s">
        <v>282</v>
      </c>
      <c r="H1158" s="85" t="s">
        <v>1083</v>
      </c>
      <c r="I1158" s="85">
        <v>14.5</v>
      </c>
      <c r="J1158" s="87">
        <f>75/14.5</f>
        <v>5.1724137931034484</v>
      </c>
      <c r="K1158" s="88">
        <f t="shared" si="57"/>
        <v>75</v>
      </c>
      <c r="L1158" s="85"/>
    </row>
    <row r="1159" spans="1:12" hidden="1" x14ac:dyDescent="0.2">
      <c r="A1159" s="84" t="str">
        <f t="shared" si="55"/>
        <v>MarçoSEMANA 4Pescados - Filé Linguado Cong. M</v>
      </c>
      <c r="B1159" s="85" t="s">
        <v>31</v>
      </c>
      <c r="C1159" s="85" t="s">
        <v>23</v>
      </c>
      <c r="D1159" s="86">
        <v>20</v>
      </c>
      <c r="E1159" s="116" t="str">
        <f t="shared" si="56"/>
        <v>Carnes</v>
      </c>
      <c r="F1159" s="85" t="s">
        <v>1234</v>
      </c>
      <c r="G1159" s="85" t="s">
        <v>607</v>
      </c>
      <c r="H1159" s="85" t="s">
        <v>1083</v>
      </c>
      <c r="I1159" s="85">
        <v>40</v>
      </c>
      <c r="J1159" s="87">
        <v>38</v>
      </c>
      <c r="K1159" s="88">
        <f t="shared" si="57"/>
        <v>1520</v>
      </c>
      <c r="L1159" s="85">
        <v>302353</v>
      </c>
    </row>
    <row r="1160" spans="1:12" hidden="1" x14ac:dyDescent="0.2">
      <c r="A1160" s="84" t="str">
        <f t="shared" si="55"/>
        <v>MarçoSEMANA 4Pescados - Salmão Inteiro</v>
      </c>
      <c r="B1160" s="85" t="s">
        <v>31</v>
      </c>
      <c r="C1160" s="85" t="s">
        <v>23</v>
      </c>
      <c r="D1160" s="86">
        <v>20</v>
      </c>
      <c r="E1160" s="116" t="str">
        <f t="shared" si="56"/>
        <v>Carnes</v>
      </c>
      <c r="F1160" s="85" t="s">
        <v>1216</v>
      </c>
      <c r="G1160" s="85" t="s">
        <v>643</v>
      </c>
      <c r="H1160" s="85" t="s">
        <v>1083</v>
      </c>
      <c r="I1160" s="85">
        <v>31.8</v>
      </c>
      <c r="J1160" s="87">
        <v>29.9</v>
      </c>
      <c r="K1160" s="88">
        <f t="shared" si="57"/>
        <v>950.81999999999994</v>
      </c>
      <c r="L1160" s="85" t="s">
        <v>1292</v>
      </c>
    </row>
    <row r="1161" spans="1:12" hidden="1" x14ac:dyDescent="0.2">
      <c r="A1161" s="84" t="str">
        <f t="shared" si="55"/>
        <v>MarçoSEMANA 4Farinha de Mandioca</v>
      </c>
      <c r="B1161" s="85" t="s">
        <v>31</v>
      </c>
      <c r="C1161" s="85" t="s">
        <v>23</v>
      </c>
      <c r="D1161" s="86">
        <v>21</v>
      </c>
      <c r="E1161" s="116" t="str">
        <f t="shared" si="56"/>
        <v>Mercado</v>
      </c>
      <c r="F1161" s="85" t="s">
        <v>1293</v>
      </c>
      <c r="G1161" s="85" t="s">
        <v>341</v>
      </c>
      <c r="H1161" s="85" t="s">
        <v>1083</v>
      </c>
      <c r="I1161" s="85">
        <v>20</v>
      </c>
      <c r="J1161" s="87">
        <f>104.85/20</f>
        <v>5.2424999999999997</v>
      </c>
      <c r="K1161" s="88">
        <f t="shared" si="57"/>
        <v>104.85</v>
      </c>
      <c r="L1161" s="85">
        <v>1298439</v>
      </c>
    </row>
    <row r="1162" spans="1:12" hidden="1" x14ac:dyDescent="0.2">
      <c r="A1162" s="84" t="str">
        <f t="shared" si="55"/>
        <v>MarçoSEMANA 4Milho Mini Conserva lata 1,5 Kg</v>
      </c>
      <c r="B1162" s="85" t="s">
        <v>31</v>
      </c>
      <c r="C1162" s="85" t="s">
        <v>23</v>
      </c>
      <c r="D1162" s="86">
        <v>21</v>
      </c>
      <c r="E1162" s="116" t="str">
        <f t="shared" si="56"/>
        <v>Mercado</v>
      </c>
      <c r="F1162" s="85" t="s">
        <v>1293</v>
      </c>
      <c r="G1162" s="85" t="s">
        <v>521</v>
      </c>
      <c r="H1162" s="85" t="s">
        <v>1090</v>
      </c>
      <c r="I1162" s="85">
        <v>1</v>
      </c>
      <c r="J1162" s="87">
        <v>30.4</v>
      </c>
      <c r="K1162" s="88">
        <f t="shared" si="57"/>
        <v>30.4</v>
      </c>
      <c r="L1162" s="85">
        <v>1298439</v>
      </c>
    </row>
    <row r="1163" spans="1:12" hidden="1" x14ac:dyDescent="0.2">
      <c r="A1163" s="84" t="str">
        <f t="shared" si="55"/>
        <v>MarçoSEMANA 4Vinagre de Vinho Tinto 750 ml</v>
      </c>
      <c r="B1163" s="85" t="s">
        <v>31</v>
      </c>
      <c r="C1163" s="85" t="s">
        <v>23</v>
      </c>
      <c r="D1163" s="86">
        <v>21</v>
      </c>
      <c r="E1163" s="116" t="str">
        <f t="shared" si="56"/>
        <v>Mercado</v>
      </c>
      <c r="F1163" s="85" t="s">
        <v>1293</v>
      </c>
      <c r="G1163" s="85" t="s">
        <v>841</v>
      </c>
      <c r="H1163" s="85" t="s">
        <v>1090</v>
      </c>
      <c r="I1163" s="85">
        <v>12</v>
      </c>
      <c r="J1163" s="87">
        <f>33.45/12</f>
        <v>2.7875000000000001</v>
      </c>
      <c r="K1163" s="88">
        <f t="shared" si="57"/>
        <v>33.450000000000003</v>
      </c>
      <c r="L1163" s="85">
        <v>1298439</v>
      </c>
    </row>
    <row r="1164" spans="1:12" hidden="1" x14ac:dyDescent="0.2">
      <c r="A1164" s="84" t="str">
        <f t="shared" si="55"/>
        <v>MarçoSEMANA 4Sal Refinado</v>
      </c>
      <c r="B1164" s="85" t="s">
        <v>31</v>
      </c>
      <c r="C1164" s="85" t="s">
        <v>23</v>
      </c>
      <c r="D1164" s="86">
        <v>21</v>
      </c>
      <c r="E1164" s="116" t="str">
        <f t="shared" si="56"/>
        <v>Mercado</v>
      </c>
      <c r="F1164" s="85" t="s">
        <v>1293</v>
      </c>
      <c r="G1164" s="85" t="s">
        <v>724</v>
      </c>
      <c r="H1164" s="85" t="s">
        <v>1083</v>
      </c>
      <c r="I1164" s="85">
        <v>10</v>
      </c>
      <c r="J1164" s="87">
        <v>1.2410000000000001</v>
      </c>
      <c r="K1164" s="88">
        <f t="shared" si="57"/>
        <v>12.41</v>
      </c>
      <c r="L1164" s="85">
        <v>1298439</v>
      </c>
    </row>
    <row r="1165" spans="1:12" hidden="1" x14ac:dyDescent="0.2">
      <c r="A1165" s="84" t="str">
        <f t="shared" si="55"/>
        <v>MarçoSEMANA 4Leite de Côco</v>
      </c>
      <c r="B1165" s="85" t="s">
        <v>31</v>
      </c>
      <c r="C1165" s="85" t="s">
        <v>23</v>
      </c>
      <c r="D1165" s="86">
        <v>21</v>
      </c>
      <c r="E1165" s="116" t="str">
        <f t="shared" si="56"/>
        <v>Mercado</v>
      </c>
      <c r="F1165" s="85" t="s">
        <v>1293</v>
      </c>
      <c r="G1165" s="85" t="s">
        <v>459</v>
      </c>
      <c r="H1165" s="85" t="s">
        <v>1086</v>
      </c>
      <c r="I1165" s="85">
        <v>12</v>
      </c>
      <c r="J1165" s="87">
        <f>155.17/12</f>
        <v>12.930833333333332</v>
      </c>
      <c r="K1165" s="88">
        <f t="shared" si="57"/>
        <v>155.16999999999999</v>
      </c>
      <c r="L1165" s="85">
        <v>1298439</v>
      </c>
    </row>
    <row r="1166" spans="1:12" hidden="1" x14ac:dyDescent="0.2">
      <c r="A1166" s="84" t="str">
        <f t="shared" si="55"/>
        <v>MarçoSEMANA 4Picles</v>
      </c>
      <c r="B1166" s="85" t="s">
        <v>31</v>
      </c>
      <c r="C1166" s="85" t="s">
        <v>23</v>
      </c>
      <c r="D1166" s="86">
        <v>21</v>
      </c>
      <c r="E1166" s="116" t="str">
        <f t="shared" si="56"/>
        <v>Mercado</v>
      </c>
      <c r="F1166" s="85" t="s">
        <v>1293</v>
      </c>
      <c r="G1166" s="85" t="s">
        <v>652</v>
      </c>
      <c r="H1166" s="85" t="s">
        <v>1088</v>
      </c>
      <c r="I1166" s="85">
        <v>1</v>
      </c>
      <c r="J1166" s="87">
        <v>15.83</v>
      </c>
      <c r="K1166" s="88">
        <f t="shared" si="57"/>
        <v>15.83</v>
      </c>
      <c r="L1166" s="85">
        <v>1298439</v>
      </c>
    </row>
    <row r="1167" spans="1:12" hidden="1" x14ac:dyDescent="0.2">
      <c r="A1167" s="84" t="str">
        <f t="shared" si="55"/>
        <v>MarçoSEMANA 4Leite Integral</v>
      </c>
      <c r="B1167" s="85" t="s">
        <v>31</v>
      </c>
      <c r="C1167" s="85" t="s">
        <v>23</v>
      </c>
      <c r="D1167" s="86">
        <v>21</v>
      </c>
      <c r="E1167" s="116" t="str">
        <f t="shared" si="56"/>
        <v>Mercado</v>
      </c>
      <c r="F1167" s="85" t="s">
        <v>1085</v>
      </c>
      <c r="G1167" s="85" t="s">
        <v>460</v>
      </c>
      <c r="H1167" s="85" t="s">
        <v>1086</v>
      </c>
      <c r="I1167" s="85">
        <f>6*12</f>
        <v>72</v>
      </c>
      <c r="J1167" s="87">
        <f>(207+6.06)/72</f>
        <v>2.9591666666666665</v>
      </c>
      <c r="K1167" s="88">
        <f t="shared" si="57"/>
        <v>213.06</v>
      </c>
      <c r="L1167" s="85" t="s">
        <v>1294</v>
      </c>
    </row>
    <row r="1168" spans="1:12" hidden="1" x14ac:dyDescent="0.2">
      <c r="A1168" s="84" t="str">
        <f t="shared" si="55"/>
        <v>MarçoSEMANA 4Margarina Bd 15 Kg</v>
      </c>
      <c r="B1168" s="85" t="s">
        <v>31</v>
      </c>
      <c r="C1168" s="85" t="s">
        <v>23</v>
      </c>
      <c r="D1168" s="86">
        <v>21</v>
      </c>
      <c r="E1168" s="116" t="str">
        <f t="shared" si="56"/>
        <v>Mercado</v>
      </c>
      <c r="F1168" s="85" t="s">
        <v>1085</v>
      </c>
      <c r="G1168" s="85" t="s">
        <v>504</v>
      </c>
      <c r="H1168" s="85" t="s">
        <v>1088</v>
      </c>
      <c r="I1168" s="85">
        <v>2</v>
      </c>
      <c r="J1168" s="87">
        <v>71</v>
      </c>
      <c r="K1168" s="88">
        <f t="shared" si="57"/>
        <v>142</v>
      </c>
      <c r="L1168" s="85" t="s">
        <v>1294</v>
      </c>
    </row>
    <row r="1169" spans="1:12" hidden="1" x14ac:dyDescent="0.2">
      <c r="A1169" s="84" t="str">
        <f t="shared" si="55"/>
        <v>MarçoSEMANA 4Óleo de Soja 18 Lt</v>
      </c>
      <c r="B1169" s="85" t="s">
        <v>31</v>
      </c>
      <c r="C1169" s="85" t="s">
        <v>23</v>
      </c>
      <c r="D1169" s="86">
        <v>21</v>
      </c>
      <c r="E1169" s="116" t="str">
        <f t="shared" si="56"/>
        <v>Mercado</v>
      </c>
      <c r="F1169" s="85" t="s">
        <v>1085</v>
      </c>
      <c r="G1169" s="85" t="s">
        <v>544</v>
      </c>
      <c r="H1169" s="85" t="s">
        <v>1087</v>
      </c>
      <c r="I1169" s="85">
        <v>5</v>
      </c>
      <c r="J1169" s="87">
        <v>61.5</v>
      </c>
      <c r="K1169" s="88">
        <f t="shared" si="57"/>
        <v>307.5</v>
      </c>
      <c r="L1169" s="85" t="s">
        <v>1294</v>
      </c>
    </row>
    <row r="1170" spans="1:12" hidden="1" x14ac:dyDescent="0.2">
      <c r="A1170" s="84" t="str">
        <f t="shared" si="55"/>
        <v>MarçoSEMANA 4Maisena Amido de Milho 1 Kg</v>
      </c>
      <c r="B1170" s="85" t="s">
        <v>31</v>
      </c>
      <c r="C1170" s="85" t="s">
        <v>23</v>
      </c>
      <c r="D1170" s="86">
        <v>21</v>
      </c>
      <c r="E1170" s="116" t="str">
        <f t="shared" si="56"/>
        <v>Mercado</v>
      </c>
      <c r="F1170" s="85" t="s">
        <v>1085</v>
      </c>
      <c r="G1170" s="85" t="s">
        <v>492</v>
      </c>
      <c r="H1170" s="85" t="s">
        <v>1083</v>
      </c>
      <c r="I1170" s="85">
        <v>5</v>
      </c>
      <c r="J1170" s="87">
        <v>3.3</v>
      </c>
      <c r="K1170" s="88">
        <f t="shared" si="57"/>
        <v>16.5</v>
      </c>
      <c r="L1170" s="85" t="s">
        <v>1294</v>
      </c>
    </row>
    <row r="1171" spans="1:12" hidden="1" x14ac:dyDescent="0.2">
      <c r="A1171" s="84" t="str">
        <f t="shared" si="55"/>
        <v>MarçoSEMANA 4Catchup 3,6 Kg</v>
      </c>
      <c r="B1171" s="85" t="s">
        <v>31</v>
      </c>
      <c r="C1171" s="85" t="s">
        <v>23</v>
      </c>
      <c r="D1171" s="86">
        <v>21</v>
      </c>
      <c r="E1171" s="116" t="str">
        <f t="shared" si="56"/>
        <v>Mercado</v>
      </c>
      <c r="F1171" s="85" t="s">
        <v>1085</v>
      </c>
      <c r="G1171" s="85" t="s">
        <v>240</v>
      </c>
      <c r="H1171" s="85" t="s">
        <v>1089</v>
      </c>
      <c r="I1171" s="85">
        <v>2</v>
      </c>
      <c r="J1171" s="87">
        <v>14.95</v>
      </c>
      <c r="K1171" s="88">
        <f t="shared" si="57"/>
        <v>29.9</v>
      </c>
      <c r="L1171" s="85" t="s">
        <v>1294</v>
      </c>
    </row>
    <row r="1172" spans="1:12" hidden="1" x14ac:dyDescent="0.2">
      <c r="A1172" s="84" t="str">
        <f t="shared" si="55"/>
        <v xml:space="preserve">MarçoSEMANA 4Fubá de Milho </v>
      </c>
      <c r="B1172" s="85" t="s">
        <v>31</v>
      </c>
      <c r="C1172" s="85" t="s">
        <v>23</v>
      </c>
      <c r="D1172" s="86">
        <v>21</v>
      </c>
      <c r="E1172" s="116" t="str">
        <f t="shared" si="56"/>
        <v>Mercado</v>
      </c>
      <c r="F1172" s="85" t="s">
        <v>1085</v>
      </c>
      <c r="G1172" s="85" t="s">
        <v>373</v>
      </c>
      <c r="H1172" s="85" t="s">
        <v>1083</v>
      </c>
      <c r="I1172" s="85">
        <v>1</v>
      </c>
      <c r="J1172" s="87">
        <v>1.77</v>
      </c>
      <c r="K1172" s="88">
        <f t="shared" si="57"/>
        <v>1.77</v>
      </c>
      <c r="L1172" s="85" t="s">
        <v>1294</v>
      </c>
    </row>
    <row r="1173" spans="1:12" hidden="1" x14ac:dyDescent="0.2">
      <c r="A1173" s="84" t="str">
        <f t="shared" si="55"/>
        <v>MarçoSEMANA 4Macarrão Espaghetti Nissim</v>
      </c>
      <c r="B1173" s="85" t="s">
        <v>31</v>
      </c>
      <c r="C1173" s="85" t="s">
        <v>23</v>
      </c>
      <c r="D1173" s="86">
        <v>21</v>
      </c>
      <c r="E1173" s="116" t="str">
        <f t="shared" si="56"/>
        <v>Mercado</v>
      </c>
      <c r="F1173" s="85" t="s">
        <v>1085</v>
      </c>
      <c r="G1173" s="85" t="s">
        <v>482</v>
      </c>
      <c r="H1173" s="85" t="s">
        <v>1083</v>
      </c>
      <c r="I1173" s="85">
        <f>4*0.5</f>
        <v>2</v>
      </c>
      <c r="J1173" s="87">
        <f>(18.6+1.88)/2</f>
        <v>10.24</v>
      </c>
      <c r="K1173" s="88">
        <f t="shared" si="57"/>
        <v>20.48</v>
      </c>
      <c r="L1173" s="85" t="s">
        <v>1294</v>
      </c>
    </row>
    <row r="1174" spans="1:12" hidden="1" x14ac:dyDescent="0.2">
      <c r="A1174" s="84" t="str">
        <f t="shared" si="55"/>
        <v>MarçoSEMANA 4Açucar Refinado</v>
      </c>
      <c r="B1174" s="85" t="s">
        <v>31</v>
      </c>
      <c r="C1174" s="85" t="s">
        <v>23</v>
      </c>
      <c r="D1174" s="86">
        <v>21</v>
      </c>
      <c r="E1174" s="116" t="str">
        <f t="shared" si="56"/>
        <v>Mercado</v>
      </c>
      <c r="F1174" s="85" t="s">
        <v>1106</v>
      </c>
      <c r="G1174" s="85" t="s">
        <v>79</v>
      </c>
      <c r="H1174" s="85" t="s">
        <v>1083</v>
      </c>
      <c r="I1174" s="85">
        <f>30-6-6</f>
        <v>18</v>
      </c>
      <c r="J1174" s="87">
        <v>1.9850000000000001</v>
      </c>
      <c r="K1174" s="88">
        <f t="shared" si="57"/>
        <v>35.730000000000004</v>
      </c>
      <c r="L1174" s="85" t="s">
        <v>1295</v>
      </c>
    </row>
    <row r="1175" spans="1:12" hidden="1" x14ac:dyDescent="0.2">
      <c r="A1175" s="84" t="str">
        <f t="shared" si="55"/>
        <v>MarçoSEMANA 4Arroz Branco</v>
      </c>
      <c r="B1175" s="85" t="s">
        <v>31</v>
      </c>
      <c r="C1175" s="85" t="s">
        <v>23</v>
      </c>
      <c r="D1175" s="86">
        <v>21</v>
      </c>
      <c r="E1175" s="116" t="str">
        <f t="shared" si="56"/>
        <v>Mercado</v>
      </c>
      <c r="F1175" s="85" t="s">
        <v>1106</v>
      </c>
      <c r="G1175" s="85" t="s">
        <v>126</v>
      </c>
      <c r="H1175" s="85" t="s">
        <v>1083</v>
      </c>
      <c r="I1175" s="85">
        <v>35</v>
      </c>
      <c r="J1175" s="87">
        <f>115.08/35</f>
        <v>3.2879999999999998</v>
      </c>
      <c r="K1175" s="88">
        <f t="shared" si="57"/>
        <v>115.08</v>
      </c>
      <c r="L1175" s="85" t="s">
        <v>1295</v>
      </c>
    </row>
    <row r="1176" spans="1:12" hidden="1" x14ac:dyDescent="0.2">
      <c r="A1176" s="84" t="str">
        <f t="shared" si="55"/>
        <v>MarçoSEMANA 4Azeite Dende</v>
      </c>
      <c r="B1176" s="85" t="s">
        <v>31</v>
      </c>
      <c r="C1176" s="85" t="s">
        <v>23</v>
      </c>
      <c r="D1176" s="86">
        <v>21</v>
      </c>
      <c r="E1176" s="116" t="str">
        <f t="shared" si="56"/>
        <v>Mercado</v>
      </c>
      <c r="F1176" s="85" t="s">
        <v>1106</v>
      </c>
      <c r="G1176" s="85" t="s">
        <v>152</v>
      </c>
      <c r="H1176" s="85" t="s">
        <v>1090</v>
      </c>
      <c r="I1176" s="85">
        <v>1</v>
      </c>
      <c r="J1176" s="87">
        <v>11.78</v>
      </c>
      <c r="K1176" s="88">
        <f t="shared" si="57"/>
        <v>11.78</v>
      </c>
      <c r="L1176" s="85" t="s">
        <v>1295</v>
      </c>
    </row>
    <row r="1177" spans="1:12" hidden="1" x14ac:dyDescent="0.2">
      <c r="A1177" s="84" t="str">
        <f t="shared" si="55"/>
        <v>MarçoSEMANA 4Farinha de Trigo</v>
      </c>
      <c r="B1177" s="85" t="s">
        <v>31</v>
      </c>
      <c r="C1177" s="85" t="s">
        <v>23</v>
      </c>
      <c r="D1177" s="86">
        <v>21</v>
      </c>
      <c r="E1177" s="116" t="str">
        <f t="shared" si="56"/>
        <v>Mercado</v>
      </c>
      <c r="F1177" s="85" t="s">
        <v>1106</v>
      </c>
      <c r="G1177" s="85" t="s">
        <v>343</v>
      </c>
      <c r="H1177" s="85" t="s">
        <v>1083</v>
      </c>
      <c r="I1177" s="85">
        <v>30</v>
      </c>
      <c r="J1177" s="87">
        <v>1.6839999999999999</v>
      </c>
      <c r="K1177" s="88">
        <f t="shared" si="57"/>
        <v>50.519999999999996</v>
      </c>
      <c r="L1177" s="85" t="s">
        <v>1295</v>
      </c>
    </row>
    <row r="1178" spans="1:12" hidden="1" x14ac:dyDescent="0.2">
      <c r="A1178" s="84" t="str">
        <f t="shared" si="55"/>
        <v>MarçoSEMANA 4Feijão Mulatinho</v>
      </c>
      <c r="B1178" s="85" t="s">
        <v>31</v>
      </c>
      <c r="C1178" s="85" t="s">
        <v>23</v>
      </c>
      <c r="D1178" s="86">
        <v>21</v>
      </c>
      <c r="E1178" s="116" t="str">
        <f t="shared" si="56"/>
        <v>Mercado</v>
      </c>
      <c r="F1178" s="85" t="s">
        <v>1106</v>
      </c>
      <c r="G1178" s="85" t="s">
        <v>351</v>
      </c>
      <c r="H1178" s="85" t="s">
        <v>1083</v>
      </c>
      <c r="I1178" s="85">
        <f>10*0.5</f>
        <v>5</v>
      </c>
      <c r="J1178" s="87">
        <f>38.5/5</f>
        <v>7.7</v>
      </c>
      <c r="K1178" s="88">
        <f t="shared" si="57"/>
        <v>38.5</v>
      </c>
      <c r="L1178" s="85" t="s">
        <v>1295</v>
      </c>
    </row>
    <row r="1179" spans="1:12" hidden="1" x14ac:dyDescent="0.2">
      <c r="A1179" s="84" t="str">
        <f t="shared" si="55"/>
        <v>MarçoSEMANA 4Feijão Preto</v>
      </c>
      <c r="B1179" s="85" t="s">
        <v>31</v>
      </c>
      <c r="C1179" s="85" t="s">
        <v>23</v>
      </c>
      <c r="D1179" s="86">
        <v>21</v>
      </c>
      <c r="E1179" s="116" t="str">
        <f t="shared" si="56"/>
        <v>Mercado</v>
      </c>
      <c r="F1179" s="85" t="s">
        <v>1106</v>
      </c>
      <c r="G1179" s="85" t="s">
        <v>352</v>
      </c>
      <c r="H1179" s="85" t="s">
        <v>1083</v>
      </c>
      <c r="I1179" s="85">
        <v>30</v>
      </c>
      <c r="J1179" s="87">
        <v>4.25</v>
      </c>
      <c r="K1179" s="88">
        <f t="shared" si="57"/>
        <v>127.5</v>
      </c>
      <c r="L1179" s="85" t="s">
        <v>1295</v>
      </c>
    </row>
    <row r="1180" spans="1:12" hidden="1" x14ac:dyDescent="0.2">
      <c r="A1180" s="84" t="str">
        <f t="shared" si="55"/>
        <v>MarçoSEMANA 4Grão de Bico</v>
      </c>
      <c r="B1180" s="85" t="s">
        <v>31</v>
      </c>
      <c r="C1180" s="85" t="s">
        <v>23</v>
      </c>
      <c r="D1180" s="86">
        <v>21</v>
      </c>
      <c r="E1180" s="116" t="str">
        <f t="shared" si="56"/>
        <v>Mercado</v>
      </c>
      <c r="F1180" s="85" t="s">
        <v>1106</v>
      </c>
      <c r="G1180" s="85" t="s">
        <v>396</v>
      </c>
      <c r="H1180" s="85" t="s">
        <v>1083</v>
      </c>
      <c r="I1180" s="85">
        <f>10*0.5</f>
        <v>5</v>
      </c>
      <c r="J1180" s="87">
        <f>76.5/5</f>
        <v>15.3</v>
      </c>
      <c r="K1180" s="88">
        <f t="shared" si="57"/>
        <v>76.5</v>
      </c>
      <c r="L1180" s="85" t="s">
        <v>1295</v>
      </c>
    </row>
    <row r="1181" spans="1:12" hidden="1" x14ac:dyDescent="0.2">
      <c r="A1181" s="84" t="str">
        <f t="shared" si="55"/>
        <v>MarçoSEMANA 4Karo Mel</v>
      </c>
      <c r="B1181" s="85" t="s">
        <v>31</v>
      </c>
      <c r="C1181" s="85" t="s">
        <v>23</v>
      </c>
      <c r="D1181" s="86">
        <v>21</v>
      </c>
      <c r="E1181" s="116" t="str">
        <f t="shared" si="56"/>
        <v>Mercado</v>
      </c>
      <c r="F1181" s="85" t="s">
        <v>1106</v>
      </c>
      <c r="G1181" s="85" t="s">
        <v>452</v>
      </c>
      <c r="H1181" s="85" t="s">
        <v>1090</v>
      </c>
      <c r="I1181" s="85">
        <v>12</v>
      </c>
      <c r="J1181" s="87">
        <v>6.35</v>
      </c>
      <c r="K1181" s="88">
        <f t="shared" si="57"/>
        <v>76.199999999999989</v>
      </c>
      <c r="L1181" s="85" t="s">
        <v>1295</v>
      </c>
    </row>
    <row r="1182" spans="1:12" hidden="1" x14ac:dyDescent="0.2">
      <c r="A1182" s="84" t="str">
        <f t="shared" si="55"/>
        <v>MarçoSEMANA 4Lentilha</v>
      </c>
      <c r="B1182" s="85" t="s">
        <v>31</v>
      </c>
      <c r="C1182" s="85" t="s">
        <v>23</v>
      </c>
      <c r="D1182" s="86">
        <v>21</v>
      </c>
      <c r="E1182" s="116" t="str">
        <f t="shared" si="56"/>
        <v>Mercado</v>
      </c>
      <c r="F1182" s="85" t="s">
        <v>1106</v>
      </c>
      <c r="G1182" s="85" t="s">
        <v>461</v>
      </c>
      <c r="H1182" s="85" t="s">
        <v>1083</v>
      </c>
      <c r="I1182" s="85">
        <f>20*0.5</f>
        <v>10</v>
      </c>
      <c r="J1182" s="87">
        <f>101/10</f>
        <v>10.1</v>
      </c>
      <c r="K1182" s="88">
        <f t="shared" si="57"/>
        <v>101</v>
      </c>
      <c r="L1182" s="85" t="s">
        <v>1295</v>
      </c>
    </row>
    <row r="1183" spans="1:12" hidden="1" x14ac:dyDescent="0.2">
      <c r="A1183" s="84" t="str">
        <f t="shared" si="55"/>
        <v>MarçoSEMANA 4Pimenta Tabasco</v>
      </c>
      <c r="B1183" s="85" t="s">
        <v>31</v>
      </c>
      <c r="C1183" s="85" t="s">
        <v>23</v>
      </c>
      <c r="D1183" s="86">
        <v>21</v>
      </c>
      <c r="E1183" s="116" t="str">
        <f t="shared" si="56"/>
        <v>Mercado</v>
      </c>
      <c r="F1183" s="85" t="s">
        <v>1106</v>
      </c>
      <c r="G1183" s="85" t="s">
        <v>661</v>
      </c>
      <c r="H1183" s="85" t="s">
        <v>1090</v>
      </c>
      <c r="I1183" s="85">
        <v>1</v>
      </c>
      <c r="J1183" s="87">
        <f>(11.88+0.06)</f>
        <v>11.940000000000001</v>
      </c>
      <c r="K1183" s="88">
        <f t="shared" si="57"/>
        <v>11.940000000000001</v>
      </c>
      <c r="L1183" s="85" t="s">
        <v>1295</v>
      </c>
    </row>
    <row r="1184" spans="1:12" hidden="1" x14ac:dyDescent="0.2">
      <c r="A1184" s="84" t="str">
        <f t="shared" si="55"/>
        <v>MarçoSEMANA 4Nescau (Nestle)</v>
      </c>
      <c r="B1184" s="85" t="s">
        <v>31</v>
      </c>
      <c r="C1184" s="85" t="s">
        <v>23</v>
      </c>
      <c r="D1184" s="86">
        <v>21</v>
      </c>
      <c r="E1184" s="116" t="str">
        <f t="shared" si="56"/>
        <v>Mercado</v>
      </c>
      <c r="F1184" s="85" t="s">
        <v>1123</v>
      </c>
      <c r="G1184" s="85" t="s">
        <v>537</v>
      </c>
      <c r="H1184" s="85" t="s">
        <v>1083</v>
      </c>
      <c r="I1184" s="85">
        <v>2</v>
      </c>
      <c r="J1184" s="87">
        <f>21.94/2</f>
        <v>10.97</v>
      </c>
      <c r="K1184" s="88">
        <f t="shared" si="57"/>
        <v>21.94</v>
      </c>
      <c r="L1184" s="85" t="s">
        <v>1296</v>
      </c>
    </row>
    <row r="1185" spans="1:12" hidden="1" x14ac:dyDescent="0.2">
      <c r="A1185" s="84" t="str">
        <f t="shared" si="55"/>
        <v>MarçoSEMANA 4Vinho Branco Seco Gf 4,6 Lt</v>
      </c>
      <c r="B1185" s="85" t="s">
        <v>31</v>
      </c>
      <c r="C1185" s="85" t="s">
        <v>23</v>
      </c>
      <c r="D1185" s="86">
        <v>21</v>
      </c>
      <c r="E1185" s="116" t="str">
        <f t="shared" si="56"/>
        <v>Mercado</v>
      </c>
      <c r="F1185" s="85" t="s">
        <v>1123</v>
      </c>
      <c r="G1185" s="85" t="s">
        <v>850</v>
      </c>
      <c r="H1185" s="85" t="s">
        <v>1090</v>
      </c>
      <c r="I1185" s="85">
        <v>1</v>
      </c>
      <c r="J1185" s="87">
        <f>35.52+8.33</f>
        <v>43.85</v>
      </c>
      <c r="K1185" s="88">
        <f t="shared" si="57"/>
        <v>43.85</v>
      </c>
      <c r="L1185" s="85">
        <v>0</v>
      </c>
    </row>
    <row r="1186" spans="1:12" hidden="1" x14ac:dyDescent="0.2">
      <c r="A1186" s="84" t="str">
        <f t="shared" si="55"/>
        <v>MarçoSEMANA 4Vinho Tinto Seco Gf 4,6 Lt</v>
      </c>
      <c r="B1186" s="85" t="s">
        <v>31</v>
      </c>
      <c r="C1186" s="85" t="s">
        <v>23</v>
      </c>
      <c r="D1186" s="86">
        <v>21</v>
      </c>
      <c r="E1186" s="116" t="str">
        <f t="shared" si="56"/>
        <v>Mercado</v>
      </c>
      <c r="F1186" s="85" t="s">
        <v>1123</v>
      </c>
      <c r="G1186" s="85" t="s">
        <v>865</v>
      </c>
      <c r="H1186" s="85" t="s">
        <v>1090</v>
      </c>
      <c r="I1186" s="85">
        <v>1</v>
      </c>
      <c r="J1186" s="87">
        <f>35.52+8.33</f>
        <v>43.85</v>
      </c>
      <c r="K1186" s="88">
        <f t="shared" si="57"/>
        <v>43.85</v>
      </c>
      <c r="L1186" s="85" t="s">
        <v>1296</v>
      </c>
    </row>
    <row r="1187" spans="1:12" hidden="1" x14ac:dyDescent="0.2">
      <c r="A1187" s="84" t="str">
        <f t="shared" si="55"/>
        <v>MarçoSEMANA 4Maionese Hellmanns Bd 3 Kg</v>
      </c>
      <c r="B1187" s="85" t="s">
        <v>31</v>
      </c>
      <c r="C1187" s="85" t="s">
        <v>23</v>
      </c>
      <c r="D1187" s="86">
        <v>21</v>
      </c>
      <c r="E1187" s="116" t="str">
        <f t="shared" si="56"/>
        <v>Mercado</v>
      </c>
      <c r="F1187" s="85" t="s">
        <v>1123</v>
      </c>
      <c r="G1187" s="85" t="s">
        <v>491</v>
      </c>
      <c r="H1187" s="85" t="s">
        <v>1090</v>
      </c>
      <c r="I1187" s="85">
        <v>6</v>
      </c>
      <c r="J1187" s="87">
        <v>23.05</v>
      </c>
      <c r="K1187" s="88">
        <f t="shared" si="57"/>
        <v>138.30000000000001</v>
      </c>
      <c r="L1187" s="85" t="s">
        <v>1296</v>
      </c>
    </row>
    <row r="1188" spans="1:12" hidden="1" x14ac:dyDescent="0.2">
      <c r="A1188" s="84" t="str">
        <f t="shared" si="55"/>
        <v>MarçoSEMANA 4Milho Verde 2 Kg</v>
      </c>
      <c r="B1188" s="85" t="s">
        <v>31</v>
      </c>
      <c r="C1188" s="85" t="s">
        <v>23</v>
      </c>
      <c r="D1188" s="86">
        <v>21</v>
      </c>
      <c r="E1188" s="116" t="str">
        <f t="shared" si="56"/>
        <v>Mercado</v>
      </c>
      <c r="F1188" s="85" t="s">
        <v>1123</v>
      </c>
      <c r="G1188" s="85" t="s">
        <v>522</v>
      </c>
      <c r="H1188" s="85" t="s">
        <v>1090</v>
      </c>
      <c r="I1188" s="85">
        <v>6</v>
      </c>
      <c r="J1188" s="87">
        <v>9.02</v>
      </c>
      <c r="K1188" s="88">
        <f t="shared" si="57"/>
        <v>54.12</v>
      </c>
      <c r="L1188" s="85" t="s">
        <v>1296</v>
      </c>
    </row>
    <row r="1189" spans="1:12" hidden="1" x14ac:dyDescent="0.2">
      <c r="A1189" s="84" t="str">
        <f t="shared" si="55"/>
        <v>MarçoSEMANA 4Molho Inglês 1 Lt</v>
      </c>
      <c r="B1189" s="85" t="s">
        <v>31</v>
      </c>
      <c r="C1189" s="85" t="s">
        <v>23</v>
      </c>
      <c r="D1189" s="86">
        <v>21</v>
      </c>
      <c r="E1189" s="116" t="str">
        <f t="shared" si="56"/>
        <v>Mercado</v>
      </c>
      <c r="F1189" s="85" t="s">
        <v>1123</v>
      </c>
      <c r="G1189" s="85" t="s">
        <v>527</v>
      </c>
      <c r="H1189" s="85" t="s">
        <v>1086</v>
      </c>
      <c r="I1189" s="85">
        <v>1</v>
      </c>
      <c r="J1189" s="87">
        <v>4.5999999999999996</v>
      </c>
      <c r="K1189" s="88">
        <f t="shared" si="57"/>
        <v>4.5999999999999996</v>
      </c>
      <c r="L1189" s="85" t="s">
        <v>1296</v>
      </c>
    </row>
    <row r="1190" spans="1:12" hidden="1" x14ac:dyDescent="0.2">
      <c r="A1190" s="84" t="str">
        <f t="shared" si="55"/>
        <v>MarçoSEMANA 4Shoyu Light Bb 5 Lt</v>
      </c>
      <c r="B1190" s="85" t="s">
        <v>31</v>
      </c>
      <c r="C1190" s="85" t="s">
        <v>23</v>
      </c>
      <c r="D1190" s="86">
        <v>21</v>
      </c>
      <c r="E1190" s="116" t="str">
        <f t="shared" si="56"/>
        <v>Mercado</v>
      </c>
      <c r="F1190" s="85" t="s">
        <v>1123</v>
      </c>
      <c r="G1190" s="85" t="s">
        <v>741</v>
      </c>
      <c r="H1190" s="85" t="s">
        <v>1086</v>
      </c>
      <c r="I1190" s="85">
        <v>3</v>
      </c>
      <c r="J1190" s="87">
        <v>14.52</v>
      </c>
      <c r="K1190" s="88">
        <f t="shared" si="57"/>
        <v>43.56</v>
      </c>
      <c r="L1190" s="85" t="s">
        <v>1296</v>
      </c>
    </row>
    <row r="1191" spans="1:12" hidden="1" x14ac:dyDescent="0.2">
      <c r="A1191" s="84" t="str">
        <f t="shared" si="55"/>
        <v>MarçoSEMANA 4Shoyu Tradicional (Cozinha) Bb 5 Lt</v>
      </c>
      <c r="B1191" s="85" t="s">
        <v>31</v>
      </c>
      <c r="C1191" s="85" t="s">
        <v>23</v>
      </c>
      <c r="D1191" s="86">
        <v>21</v>
      </c>
      <c r="E1191" s="116" t="str">
        <f t="shared" si="56"/>
        <v>Mercado</v>
      </c>
      <c r="F1191" s="85" t="s">
        <v>1123</v>
      </c>
      <c r="G1191" s="85" t="s">
        <v>744</v>
      </c>
      <c r="H1191" s="85" t="s">
        <v>1089</v>
      </c>
      <c r="I1191" s="85">
        <v>2</v>
      </c>
      <c r="J1191" s="87">
        <v>49.87</v>
      </c>
      <c r="K1191" s="88">
        <f t="shared" si="57"/>
        <v>99.74</v>
      </c>
      <c r="L1191" s="85" t="s">
        <v>1296</v>
      </c>
    </row>
    <row r="1192" spans="1:12" hidden="1" x14ac:dyDescent="0.2">
      <c r="A1192" s="84" t="str">
        <f t="shared" si="55"/>
        <v>MarçoSEMANA 4Mostarda Bb 3,3, Kg</v>
      </c>
      <c r="B1192" s="85" t="s">
        <v>31</v>
      </c>
      <c r="C1192" s="85" t="s">
        <v>23</v>
      </c>
      <c r="D1192" s="86">
        <v>21</v>
      </c>
      <c r="E1192" s="116" t="str">
        <f t="shared" si="56"/>
        <v>Mercado</v>
      </c>
      <c r="F1192" s="85" t="s">
        <v>1123</v>
      </c>
      <c r="G1192" s="85" t="s">
        <v>531</v>
      </c>
      <c r="H1192" s="85" t="s">
        <v>1089</v>
      </c>
      <c r="I1192" s="85">
        <v>2</v>
      </c>
      <c r="J1192" s="87">
        <v>12.7</v>
      </c>
      <c r="K1192" s="88">
        <f t="shared" si="57"/>
        <v>25.4</v>
      </c>
      <c r="L1192" s="85" t="s">
        <v>1296</v>
      </c>
    </row>
    <row r="1193" spans="1:12" hidden="1" x14ac:dyDescent="0.2">
      <c r="A1193" s="84" t="str">
        <f t="shared" si="55"/>
        <v>MarçoSEMANA 4Orégano Chileno</v>
      </c>
      <c r="B1193" s="85" t="s">
        <v>31</v>
      </c>
      <c r="C1193" s="85" t="s">
        <v>23</v>
      </c>
      <c r="D1193" s="86">
        <v>21</v>
      </c>
      <c r="E1193" s="116" t="str">
        <f t="shared" si="56"/>
        <v>Mercado</v>
      </c>
      <c r="F1193" s="85" t="s">
        <v>1123</v>
      </c>
      <c r="G1193" s="85" t="s">
        <v>546</v>
      </c>
      <c r="H1193" s="85" t="s">
        <v>1083</v>
      </c>
      <c r="I1193" s="85">
        <v>0.2</v>
      </c>
      <c r="J1193" s="87">
        <f>10.51/0.2</f>
        <v>52.55</v>
      </c>
      <c r="K1193" s="88">
        <f t="shared" si="57"/>
        <v>10.51</v>
      </c>
      <c r="L1193" s="85" t="s">
        <v>1296</v>
      </c>
    </row>
    <row r="1194" spans="1:12" hidden="1" x14ac:dyDescent="0.2">
      <c r="A1194" s="84" t="str">
        <f t="shared" si="55"/>
        <v>MarçoSEMANA 4Vinagre de Arroz Sushi</v>
      </c>
      <c r="B1194" s="85" t="s">
        <v>31</v>
      </c>
      <c r="C1194" s="85" t="s">
        <v>23</v>
      </c>
      <c r="D1194" s="86">
        <v>21</v>
      </c>
      <c r="E1194" s="116" t="str">
        <f t="shared" si="56"/>
        <v>Sushi</v>
      </c>
      <c r="F1194" s="85" t="s">
        <v>1123</v>
      </c>
      <c r="G1194" s="85" t="s">
        <v>839</v>
      </c>
      <c r="H1194" s="85" t="s">
        <v>1090</v>
      </c>
      <c r="I1194" s="85">
        <f>12-7</f>
        <v>5</v>
      </c>
      <c r="J1194" s="87">
        <f>45/12</f>
        <v>3.75</v>
      </c>
      <c r="K1194" s="88">
        <f t="shared" si="57"/>
        <v>18.75</v>
      </c>
      <c r="L1194" s="85" t="s">
        <v>1296</v>
      </c>
    </row>
    <row r="1195" spans="1:12" hidden="1" x14ac:dyDescent="0.2">
      <c r="A1195" s="84" t="str">
        <f t="shared" si="55"/>
        <v>MarçoSEMANA 4Álcool 70</v>
      </c>
      <c r="B1195" s="85" t="s">
        <v>31</v>
      </c>
      <c r="C1195" s="85" t="s">
        <v>23</v>
      </c>
      <c r="D1195" s="86">
        <v>21</v>
      </c>
      <c r="E1195" s="116" t="str">
        <f t="shared" si="56"/>
        <v>Limpeza</v>
      </c>
      <c r="F1195" s="85" t="s">
        <v>1269</v>
      </c>
      <c r="G1195" s="85" t="s">
        <v>99</v>
      </c>
      <c r="H1195" s="85" t="s">
        <v>1090</v>
      </c>
      <c r="I1195" s="85">
        <v>12</v>
      </c>
      <c r="J1195" s="87">
        <v>4.51</v>
      </c>
      <c r="K1195" s="88">
        <f t="shared" si="57"/>
        <v>54.12</v>
      </c>
      <c r="L1195" s="85" t="s">
        <v>1297</v>
      </c>
    </row>
    <row r="1196" spans="1:12" hidden="1" x14ac:dyDescent="0.2">
      <c r="A1196" s="84" t="str">
        <f t="shared" si="55"/>
        <v>MarçoSEMANA 4Saco de Lixo 200 Lt</v>
      </c>
      <c r="B1196" s="85" t="s">
        <v>31</v>
      </c>
      <c r="C1196" s="85" t="s">
        <v>23</v>
      </c>
      <c r="D1196" s="86">
        <v>21</v>
      </c>
      <c r="E1196" s="116" t="str">
        <f t="shared" si="56"/>
        <v>Limpeza</v>
      </c>
      <c r="F1196" s="85" t="s">
        <v>1269</v>
      </c>
      <c r="G1196" s="85" t="s">
        <v>711</v>
      </c>
      <c r="H1196" s="85" t="s">
        <v>1114</v>
      </c>
      <c r="I1196" s="85">
        <v>1</v>
      </c>
      <c r="J1196" s="87"/>
      <c r="K1196" s="88">
        <f t="shared" si="57"/>
        <v>0</v>
      </c>
      <c r="L1196" s="85" t="s">
        <v>1298</v>
      </c>
    </row>
    <row r="1197" spans="1:12" hidden="1" x14ac:dyDescent="0.2">
      <c r="A1197" s="84" t="str">
        <f t="shared" si="55"/>
        <v>MarçoSEMANA 4Torta Capuccino Diet</v>
      </c>
      <c r="B1197" s="85" t="s">
        <v>31</v>
      </c>
      <c r="C1197" s="85" t="s">
        <v>23</v>
      </c>
      <c r="D1197" s="86">
        <v>21</v>
      </c>
      <c r="E1197" s="116" t="str">
        <f t="shared" si="56"/>
        <v>Sobremesa</v>
      </c>
      <c r="F1197" s="85" t="s">
        <v>1150</v>
      </c>
      <c r="G1197" s="85" t="s">
        <v>811</v>
      </c>
      <c r="H1197" s="85" t="s">
        <v>1147</v>
      </c>
      <c r="I1197" s="85">
        <v>10</v>
      </c>
      <c r="J1197" s="87">
        <f>58.91/10</f>
        <v>5.891</v>
      </c>
      <c r="K1197" s="88">
        <f t="shared" si="57"/>
        <v>58.91</v>
      </c>
      <c r="L1197" s="85">
        <v>103071</v>
      </c>
    </row>
    <row r="1198" spans="1:12" hidden="1" x14ac:dyDescent="0.2">
      <c r="A1198" s="84" t="str">
        <f t="shared" si="55"/>
        <v>MarçoSEMANA 4Torta Mousse de Chocolate Diet</v>
      </c>
      <c r="B1198" s="85" t="s">
        <v>31</v>
      </c>
      <c r="C1198" s="85" t="s">
        <v>23</v>
      </c>
      <c r="D1198" s="86">
        <v>21</v>
      </c>
      <c r="E1198" s="116" t="str">
        <f t="shared" si="56"/>
        <v>Sobremesa</v>
      </c>
      <c r="F1198" s="85" t="s">
        <v>1150</v>
      </c>
      <c r="G1198" s="85" t="s">
        <v>817</v>
      </c>
      <c r="H1198" s="85" t="s">
        <v>1147</v>
      </c>
      <c r="I1198" s="85">
        <v>12</v>
      </c>
      <c r="J1198" s="87">
        <f>58.91/12</f>
        <v>4.9091666666666667</v>
      </c>
      <c r="K1198" s="88">
        <f t="shared" si="57"/>
        <v>58.91</v>
      </c>
      <c r="L1198" s="85">
        <v>103071</v>
      </c>
    </row>
    <row r="1199" spans="1:12" hidden="1" x14ac:dyDescent="0.2">
      <c r="A1199" s="84" t="str">
        <f t="shared" si="55"/>
        <v>MarçoSEMANA 4Palmito lata 500gr</v>
      </c>
      <c r="B1199" s="85" t="s">
        <v>31</v>
      </c>
      <c r="C1199" s="85" t="s">
        <v>23</v>
      </c>
      <c r="D1199" s="86">
        <v>21</v>
      </c>
      <c r="E1199" s="116" t="str">
        <f t="shared" si="56"/>
        <v>Mercado</v>
      </c>
      <c r="F1199" s="85" t="s">
        <v>1119</v>
      </c>
      <c r="G1199" s="85" t="s">
        <v>555</v>
      </c>
      <c r="H1199" s="85" t="s">
        <v>1090</v>
      </c>
      <c r="I1199" s="85">
        <v>24</v>
      </c>
      <c r="J1199" s="87">
        <f>424/24</f>
        <v>17.666666666666668</v>
      </c>
      <c r="K1199" s="88">
        <f t="shared" si="57"/>
        <v>424</v>
      </c>
      <c r="L1199" s="85">
        <v>5489</v>
      </c>
    </row>
    <row r="1200" spans="1:12" hidden="1" x14ac:dyDescent="0.2">
      <c r="A1200" s="84" t="str">
        <f t="shared" si="55"/>
        <v>MarçoSEMANA 4Coca Cola (lata)</v>
      </c>
      <c r="B1200" s="85" t="s">
        <v>31</v>
      </c>
      <c r="C1200" s="85" t="s">
        <v>23</v>
      </c>
      <c r="D1200" s="86">
        <v>21</v>
      </c>
      <c r="E1200" s="116" t="str">
        <f t="shared" si="56"/>
        <v>Bebidas</v>
      </c>
      <c r="F1200" s="85" t="s">
        <v>1103</v>
      </c>
      <c r="G1200" s="85" t="s">
        <v>285</v>
      </c>
      <c r="H1200" s="85" t="s">
        <v>1090</v>
      </c>
      <c r="I1200" s="85">
        <f>6*12</f>
        <v>72</v>
      </c>
      <c r="J1200" s="87">
        <f>204.6/72</f>
        <v>2.8416666666666668</v>
      </c>
      <c r="K1200" s="88">
        <f t="shared" si="57"/>
        <v>204.60000000000002</v>
      </c>
      <c r="L1200" s="85" t="s">
        <v>1299</v>
      </c>
    </row>
    <row r="1201" spans="1:12" hidden="1" x14ac:dyDescent="0.2">
      <c r="A1201" s="84" t="str">
        <f t="shared" si="55"/>
        <v>MarçoSEMANA 4Coca Cola Zero (lata)</v>
      </c>
      <c r="B1201" s="85" t="s">
        <v>31</v>
      </c>
      <c r="C1201" s="85" t="s">
        <v>23</v>
      </c>
      <c r="D1201" s="86">
        <v>21</v>
      </c>
      <c r="E1201" s="116" t="str">
        <f t="shared" si="56"/>
        <v>Bebidas</v>
      </c>
      <c r="F1201" s="85" t="s">
        <v>1103</v>
      </c>
      <c r="G1201" s="85" t="s">
        <v>286</v>
      </c>
      <c r="H1201" s="85" t="s">
        <v>1090</v>
      </c>
      <c r="I1201" s="85">
        <f>8*12</f>
        <v>96</v>
      </c>
      <c r="J1201" s="87">
        <f>271.28/96</f>
        <v>2.8258333333333332</v>
      </c>
      <c r="K1201" s="88">
        <f t="shared" si="57"/>
        <v>271.27999999999997</v>
      </c>
      <c r="L1201" s="85" t="s">
        <v>1299</v>
      </c>
    </row>
    <row r="1202" spans="1:12" hidden="1" x14ac:dyDescent="0.2">
      <c r="A1202" s="84" t="str">
        <f t="shared" si="55"/>
        <v>MarçoSEMANA 4Schweppes Citrus</v>
      </c>
      <c r="B1202" s="85" t="s">
        <v>31</v>
      </c>
      <c r="C1202" s="85" t="s">
        <v>23</v>
      </c>
      <c r="D1202" s="86">
        <v>21</v>
      </c>
      <c r="E1202" s="116" t="str">
        <f t="shared" si="56"/>
        <v>Bebidas</v>
      </c>
      <c r="F1202" s="85" t="s">
        <v>1103</v>
      </c>
      <c r="G1202" s="85" t="s">
        <v>738</v>
      </c>
      <c r="H1202" s="85" t="s">
        <v>1090</v>
      </c>
      <c r="I1202" s="85">
        <v>12</v>
      </c>
      <c r="J1202" s="87">
        <f>33.4/12</f>
        <v>2.7833333333333332</v>
      </c>
      <c r="K1202" s="88">
        <f t="shared" si="57"/>
        <v>33.4</v>
      </c>
      <c r="L1202" s="85" t="s">
        <v>1299</v>
      </c>
    </row>
    <row r="1203" spans="1:12" hidden="1" x14ac:dyDescent="0.2">
      <c r="A1203" s="84" t="str">
        <f t="shared" si="55"/>
        <v>MarçoSEMANA 4Cerveja Heineken Long Neck 330 ml</v>
      </c>
      <c r="B1203" s="85" t="s">
        <v>31</v>
      </c>
      <c r="C1203" s="85" t="s">
        <v>23</v>
      </c>
      <c r="D1203" s="86">
        <v>21</v>
      </c>
      <c r="E1203" s="116" t="str">
        <f t="shared" si="56"/>
        <v>Bebidas</v>
      </c>
      <c r="F1203" s="85" t="s">
        <v>1103</v>
      </c>
      <c r="G1203" s="85" t="s">
        <v>264</v>
      </c>
      <c r="H1203" s="85" t="s">
        <v>1090</v>
      </c>
      <c r="I1203" s="85">
        <v>24</v>
      </c>
      <c r="J1203" s="87">
        <f>96/24</f>
        <v>4</v>
      </c>
      <c r="K1203" s="88">
        <f t="shared" si="57"/>
        <v>96</v>
      </c>
      <c r="L1203" s="85" t="s">
        <v>1299</v>
      </c>
    </row>
    <row r="1204" spans="1:12" hidden="1" x14ac:dyDescent="0.2">
      <c r="A1204" s="84" t="str">
        <f t="shared" si="55"/>
        <v>MarçoSEMANA 4Bombom Trufado</v>
      </c>
      <c r="B1204" s="85" t="s">
        <v>31</v>
      </c>
      <c r="C1204" s="85" t="s">
        <v>23</v>
      </c>
      <c r="D1204" s="86">
        <v>21</v>
      </c>
      <c r="E1204" s="116" t="str">
        <f t="shared" si="56"/>
        <v>Vendas Caixa</v>
      </c>
      <c r="F1204" s="85" t="s">
        <v>1300</v>
      </c>
      <c r="G1204" s="85" t="s">
        <v>192</v>
      </c>
      <c r="H1204" s="85" t="s">
        <v>1090</v>
      </c>
      <c r="I1204" s="85">
        <v>190</v>
      </c>
      <c r="J1204" s="87">
        <v>1.6625000000000001</v>
      </c>
      <c r="K1204" s="88">
        <f t="shared" si="57"/>
        <v>315.875</v>
      </c>
      <c r="L1204" s="85" t="s">
        <v>1301</v>
      </c>
    </row>
    <row r="1205" spans="1:12" hidden="1" x14ac:dyDescent="0.2">
      <c r="A1205" s="84" t="str">
        <f t="shared" si="55"/>
        <v>MarçoSEMANA 4Tablet Diet</v>
      </c>
      <c r="B1205" s="85" t="s">
        <v>31</v>
      </c>
      <c r="C1205" s="85" t="s">
        <v>23</v>
      </c>
      <c r="D1205" s="86">
        <v>21</v>
      </c>
      <c r="E1205" s="116" t="str">
        <f t="shared" si="56"/>
        <v>Vendas Caixa</v>
      </c>
      <c r="F1205" s="85" t="s">
        <v>1300</v>
      </c>
      <c r="G1205" s="85" t="s">
        <v>777</v>
      </c>
      <c r="H1205" s="85" t="s">
        <v>1090</v>
      </c>
      <c r="I1205" s="85">
        <v>50</v>
      </c>
      <c r="J1205" s="87">
        <v>2.1375000000000002</v>
      </c>
      <c r="K1205" s="88">
        <f t="shared" si="57"/>
        <v>106.87500000000001</v>
      </c>
      <c r="L1205" s="85" t="s">
        <v>1301</v>
      </c>
    </row>
    <row r="1206" spans="1:12" hidden="1" x14ac:dyDescent="0.2">
      <c r="A1206" s="84" t="str">
        <f t="shared" si="55"/>
        <v>MarçoSEMANA 4Casquinha de Laranja com chocolate</v>
      </c>
      <c r="B1206" s="85" t="s">
        <v>31</v>
      </c>
      <c r="C1206" s="85" t="s">
        <v>23</v>
      </c>
      <c r="D1206" s="86">
        <v>21</v>
      </c>
      <c r="E1206" s="116" t="str">
        <f t="shared" si="56"/>
        <v>Vendas Caixa</v>
      </c>
      <c r="F1206" s="85" t="s">
        <v>1300</v>
      </c>
      <c r="G1206" s="85" t="s">
        <v>237</v>
      </c>
      <c r="H1206" s="85" t="s">
        <v>1090</v>
      </c>
      <c r="I1206" s="85">
        <v>15</v>
      </c>
      <c r="J1206" s="87">
        <v>6.1749999999999998</v>
      </c>
      <c r="K1206" s="88">
        <f t="shared" si="57"/>
        <v>92.625</v>
      </c>
      <c r="L1206" s="85" t="s">
        <v>1301</v>
      </c>
    </row>
    <row r="1207" spans="1:12" hidden="1" x14ac:dyDescent="0.2">
      <c r="A1207" s="84" t="str">
        <f t="shared" si="55"/>
        <v>MarçoSEMANA 4Queijo Gorgonzola</v>
      </c>
      <c r="B1207" s="85" t="s">
        <v>31</v>
      </c>
      <c r="C1207" s="85" t="s">
        <v>23</v>
      </c>
      <c r="D1207" s="86">
        <v>21</v>
      </c>
      <c r="E1207" s="116" t="str">
        <f t="shared" si="56"/>
        <v>Laticínios</v>
      </c>
      <c r="F1207" s="85" t="s">
        <v>1152</v>
      </c>
      <c r="G1207" s="85" t="s">
        <v>678</v>
      </c>
      <c r="H1207" s="85" t="s">
        <v>1083</v>
      </c>
      <c r="I1207" s="85">
        <v>3.17</v>
      </c>
      <c r="J1207" s="87">
        <v>51</v>
      </c>
      <c r="K1207" s="88">
        <f t="shared" si="57"/>
        <v>161.66999999999999</v>
      </c>
      <c r="L1207" s="85" t="s">
        <v>1302</v>
      </c>
    </row>
    <row r="1208" spans="1:12" hidden="1" x14ac:dyDescent="0.2">
      <c r="A1208" s="84" t="str">
        <f t="shared" si="55"/>
        <v>MarçoSEMANA 4Queijo Ricota</v>
      </c>
      <c r="B1208" s="85" t="s">
        <v>31</v>
      </c>
      <c r="C1208" s="85" t="s">
        <v>23</v>
      </c>
      <c r="D1208" s="86">
        <v>21</v>
      </c>
      <c r="E1208" s="116" t="str">
        <f t="shared" si="56"/>
        <v>Laticínios</v>
      </c>
      <c r="F1208" s="85" t="s">
        <v>1152</v>
      </c>
      <c r="G1208" s="85" t="s">
        <v>688</v>
      </c>
      <c r="H1208" s="85" t="s">
        <v>1083</v>
      </c>
      <c r="I1208" s="85">
        <v>1.88</v>
      </c>
      <c r="J1208" s="87">
        <v>10.6</v>
      </c>
      <c r="K1208" s="88">
        <f t="shared" si="57"/>
        <v>19.927999999999997</v>
      </c>
      <c r="L1208" s="85" t="s">
        <v>1302</v>
      </c>
    </row>
    <row r="1209" spans="1:12" hidden="1" x14ac:dyDescent="0.2">
      <c r="A1209" s="84" t="str">
        <f t="shared" si="55"/>
        <v>MarçoSEMANA 4Tomate Seco Conserva Bd 3 Kg</v>
      </c>
      <c r="B1209" s="85" t="s">
        <v>31</v>
      </c>
      <c r="C1209" s="85" t="s">
        <v>23</v>
      </c>
      <c r="D1209" s="86">
        <v>21</v>
      </c>
      <c r="E1209" s="116" t="str">
        <f t="shared" si="56"/>
        <v>Mercado</v>
      </c>
      <c r="F1209" s="85" t="s">
        <v>1152</v>
      </c>
      <c r="G1209" s="85" t="s">
        <v>796</v>
      </c>
      <c r="H1209" s="85" t="s">
        <v>1088</v>
      </c>
      <c r="I1209" s="85">
        <v>2</v>
      </c>
      <c r="J1209" s="87">
        <v>78.099999999999994</v>
      </c>
      <c r="K1209" s="88">
        <f t="shared" si="57"/>
        <v>156.19999999999999</v>
      </c>
      <c r="L1209" s="85" t="s">
        <v>1302</v>
      </c>
    </row>
    <row r="1210" spans="1:12" hidden="1" x14ac:dyDescent="0.2">
      <c r="A1210" s="84" t="str">
        <f t="shared" si="55"/>
        <v>MarçoSEMANA 4Pescados - Camarão IQF Evisc. 51/60</v>
      </c>
      <c r="B1210" s="85" t="s">
        <v>31</v>
      </c>
      <c r="C1210" s="85" t="s">
        <v>23</v>
      </c>
      <c r="D1210" s="86">
        <v>21</v>
      </c>
      <c r="E1210" s="116" t="str">
        <f t="shared" si="56"/>
        <v>Carnes</v>
      </c>
      <c r="F1210" s="85" t="s">
        <v>1104</v>
      </c>
      <c r="G1210" s="85" t="s">
        <v>593</v>
      </c>
      <c r="H1210" s="85" t="s">
        <v>1083</v>
      </c>
      <c r="I1210" s="85">
        <v>6</v>
      </c>
      <c r="J1210" s="87">
        <v>69.900000000000006</v>
      </c>
      <c r="K1210" s="88">
        <f t="shared" si="57"/>
        <v>419.40000000000003</v>
      </c>
      <c r="L1210" s="85" t="s">
        <v>1303</v>
      </c>
    </row>
    <row r="1211" spans="1:12" hidden="1" x14ac:dyDescent="0.2">
      <c r="A1211" s="84" t="str">
        <f t="shared" si="55"/>
        <v>MarçoSEMANA 4Suíno - Costelinha Salgada</v>
      </c>
      <c r="B1211" s="85" t="s">
        <v>31</v>
      </c>
      <c r="C1211" s="85" t="s">
        <v>23</v>
      </c>
      <c r="D1211" s="86">
        <v>21</v>
      </c>
      <c r="E1211" s="116" t="str">
        <f t="shared" si="56"/>
        <v>Carnes</v>
      </c>
      <c r="F1211" s="85" t="s">
        <v>1304</v>
      </c>
      <c r="G1211" s="85" t="s">
        <v>759</v>
      </c>
      <c r="H1211" s="85" t="s">
        <v>1083</v>
      </c>
      <c r="I1211" s="85">
        <v>12</v>
      </c>
      <c r="J1211" s="87">
        <v>12.98</v>
      </c>
      <c r="K1211" s="88">
        <f t="shared" si="57"/>
        <v>155.76</v>
      </c>
      <c r="L1211" s="85" t="s">
        <v>1305</v>
      </c>
    </row>
    <row r="1212" spans="1:12" hidden="1" x14ac:dyDescent="0.2">
      <c r="A1212" s="84" t="str">
        <f t="shared" si="55"/>
        <v>MarçoSEMANA 4Gelo em Escamas</v>
      </c>
      <c r="B1212" s="85" t="s">
        <v>31</v>
      </c>
      <c r="C1212" s="85" t="s">
        <v>23</v>
      </c>
      <c r="D1212" s="86">
        <v>21</v>
      </c>
      <c r="E1212" s="116" t="str">
        <f t="shared" si="56"/>
        <v>Mercado</v>
      </c>
      <c r="F1212" s="85" t="s">
        <v>1096</v>
      </c>
      <c r="G1212" s="85" t="s">
        <v>384</v>
      </c>
      <c r="H1212" s="85" t="s">
        <v>1097</v>
      </c>
      <c r="I1212" s="85">
        <v>2</v>
      </c>
      <c r="J1212" s="87">
        <v>7.5</v>
      </c>
      <c r="K1212" s="88">
        <f t="shared" si="57"/>
        <v>15</v>
      </c>
      <c r="L1212" s="85">
        <v>3816</v>
      </c>
    </row>
    <row r="1213" spans="1:12" hidden="1" x14ac:dyDescent="0.2">
      <c r="A1213" s="84" t="str">
        <f t="shared" si="55"/>
        <v>MarçoSEMANA 4Gelo em Cubo</v>
      </c>
      <c r="B1213" s="85" t="s">
        <v>31</v>
      </c>
      <c r="C1213" s="85" t="s">
        <v>23</v>
      </c>
      <c r="D1213" s="86">
        <v>21</v>
      </c>
      <c r="E1213" s="116" t="str">
        <f t="shared" si="56"/>
        <v>Mercado</v>
      </c>
      <c r="F1213" s="85" t="s">
        <v>1096</v>
      </c>
      <c r="G1213" s="85" t="s">
        <v>383</v>
      </c>
      <c r="H1213" s="85" t="s">
        <v>1097</v>
      </c>
      <c r="I1213" s="85">
        <v>3</v>
      </c>
      <c r="J1213" s="87">
        <v>7.5</v>
      </c>
      <c r="K1213" s="88">
        <f t="shared" si="57"/>
        <v>22.5</v>
      </c>
      <c r="L1213" s="85">
        <v>3816</v>
      </c>
    </row>
    <row r="1214" spans="1:12" hidden="1" x14ac:dyDescent="0.2">
      <c r="A1214" s="84" t="str">
        <f t="shared" si="55"/>
        <v>MarçoSEMANA 4Pescados - Atum Fresco Sushi</v>
      </c>
      <c r="B1214" s="85" t="s">
        <v>31</v>
      </c>
      <c r="C1214" s="85" t="s">
        <v>23</v>
      </c>
      <c r="D1214" s="86">
        <v>21</v>
      </c>
      <c r="E1214" s="116" t="str">
        <f t="shared" si="56"/>
        <v>Sushi</v>
      </c>
      <c r="F1214" s="85" t="s">
        <v>1131</v>
      </c>
      <c r="G1214" s="85" t="s">
        <v>586</v>
      </c>
      <c r="H1214" s="85" t="s">
        <v>1083</v>
      </c>
      <c r="I1214" s="85">
        <v>33</v>
      </c>
      <c r="J1214" s="87">
        <v>14</v>
      </c>
      <c r="K1214" s="88">
        <f t="shared" si="57"/>
        <v>462</v>
      </c>
      <c r="L1214" s="85">
        <v>4951</v>
      </c>
    </row>
    <row r="1215" spans="1:12" hidden="1" x14ac:dyDescent="0.2">
      <c r="A1215" s="84" t="str">
        <f t="shared" si="55"/>
        <v>MarçoSEMANA 4Pescados - Dourado Fresco Sushi</v>
      </c>
      <c r="B1215" s="85" t="s">
        <v>31</v>
      </c>
      <c r="C1215" s="85" t="s">
        <v>23</v>
      </c>
      <c r="D1215" s="86">
        <v>21</v>
      </c>
      <c r="E1215" s="116" t="str">
        <f t="shared" si="56"/>
        <v>Sushi</v>
      </c>
      <c r="F1215" s="85" t="s">
        <v>1131</v>
      </c>
      <c r="G1215" s="85" t="s">
        <v>604</v>
      </c>
      <c r="H1215" s="85" t="s">
        <v>1083</v>
      </c>
      <c r="I1215" s="85">
        <v>2</v>
      </c>
      <c r="J1215" s="87">
        <v>17</v>
      </c>
      <c r="K1215" s="88">
        <f t="shared" si="57"/>
        <v>34</v>
      </c>
      <c r="L1215" s="85">
        <v>4951</v>
      </c>
    </row>
    <row r="1216" spans="1:12" hidden="1" x14ac:dyDescent="0.2">
      <c r="A1216" s="84" t="str">
        <f t="shared" si="55"/>
        <v>MarçoSEMANA 4Pescados - Bacalhau Salgado</v>
      </c>
      <c r="B1216" s="85" t="s">
        <v>31</v>
      </c>
      <c r="C1216" s="85" t="s">
        <v>23</v>
      </c>
      <c r="D1216" s="86">
        <v>21</v>
      </c>
      <c r="E1216" s="116" t="str">
        <f t="shared" si="56"/>
        <v>Carnes</v>
      </c>
      <c r="F1216" s="85" t="s">
        <v>1108</v>
      </c>
      <c r="G1216" s="85" t="s">
        <v>588</v>
      </c>
      <c r="H1216" s="85" t="s">
        <v>1083</v>
      </c>
      <c r="I1216" s="85">
        <v>25</v>
      </c>
      <c r="J1216" s="87">
        <f>1372.88/25</f>
        <v>54.915200000000006</v>
      </c>
      <c r="K1216" s="88">
        <f t="shared" si="57"/>
        <v>1372.88</v>
      </c>
      <c r="L1216" s="85" t="s">
        <v>1306</v>
      </c>
    </row>
    <row r="1217" spans="1:12" hidden="1" x14ac:dyDescent="0.2">
      <c r="A1217" s="84" t="str">
        <f t="shared" si="55"/>
        <v>MarçoSEMANA 4Suíno - Linguiça de Pernil</v>
      </c>
      <c r="B1217" s="85" t="s">
        <v>31</v>
      </c>
      <c r="C1217" s="85" t="s">
        <v>23</v>
      </c>
      <c r="D1217" s="86">
        <v>21</v>
      </c>
      <c r="E1217" s="116" t="str">
        <f t="shared" si="56"/>
        <v>Carnes</v>
      </c>
      <c r="F1217" s="85" t="s">
        <v>1101</v>
      </c>
      <c r="G1217" s="85" t="s">
        <v>762</v>
      </c>
      <c r="H1217" s="85" t="s">
        <v>1083</v>
      </c>
      <c r="I1217" s="85">
        <v>5</v>
      </c>
      <c r="J1217" s="87">
        <v>9.98</v>
      </c>
      <c r="K1217" s="88">
        <f t="shared" si="57"/>
        <v>49.900000000000006</v>
      </c>
      <c r="L1217" s="85" t="s">
        <v>1307</v>
      </c>
    </row>
    <row r="1218" spans="1:12" hidden="1" x14ac:dyDescent="0.2">
      <c r="A1218" s="84" t="str">
        <f t="shared" ref="A1218:A1281" si="58">CONCATENATE(B1218,C1218,G1218)</f>
        <v>MarçoSEMANA 4Suíno - Linguiça Paio</v>
      </c>
      <c r="B1218" s="85" t="s">
        <v>31</v>
      </c>
      <c r="C1218" s="85" t="s">
        <v>23</v>
      </c>
      <c r="D1218" s="86">
        <v>21</v>
      </c>
      <c r="E1218" s="116" t="str">
        <f t="shared" ref="E1218:E1281" si="59">VLOOKUP(G1218,$M$1:$O$993,3,0)</f>
        <v>Carnes</v>
      </c>
      <c r="F1218" s="85" t="s">
        <v>1101</v>
      </c>
      <c r="G1218" s="85" t="s">
        <v>764</v>
      </c>
      <c r="H1218" s="85" t="s">
        <v>1083</v>
      </c>
      <c r="I1218" s="85">
        <v>5</v>
      </c>
      <c r="J1218" s="87">
        <v>11.12</v>
      </c>
      <c r="K1218" s="88">
        <f t="shared" ref="K1218:K1281" si="60">I1218*J1218</f>
        <v>55.599999999999994</v>
      </c>
      <c r="L1218" s="85" t="s">
        <v>1307</v>
      </c>
    </row>
    <row r="1219" spans="1:12" hidden="1" x14ac:dyDescent="0.2">
      <c r="A1219" s="84" t="str">
        <f t="shared" si="58"/>
        <v>MarçoSEMANA 4Margarina Qualy 500 g</v>
      </c>
      <c r="B1219" s="85" t="s">
        <v>31</v>
      </c>
      <c r="C1219" s="85" t="s">
        <v>23</v>
      </c>
      <c r="D1219" s="86">
        <v>21</v>
      </c>
      <c r="E1219" s="116" t="str">
        <f t="shared" si="59"/>
        <v>Mercado</v>
      </c>
      <c r="F1219" s="85" t="s">
        <v>1101</v>
      </c>
      <c r="G1219" s="85" t="s">
        <v>505</v>
      </c>
      <c r="H1219" s="85" t="s">
        <v>1083</v>
      </c>
      <c r="I1219" s="85">
        <v>6</v>
      </c>
      <c r="J1219" s="87">
        <v>8.17</v>
      </c>
      <c r="K1219" s="88">
        <f t="shared" si="60"/>
        <v>49.019999999999996</v>
      </c>
      <c r="L1219" s="85" t="s">
        <v>1307</v>
      </c>
    </row>
    <row r="1220" spans="1:12" hidden="1" x14ac:dyDescent="0.2">
      <c r="A1220" s="84" t="str">
        <f t="shared" si="58"/>
        <v>MarçoSEMANA 4Carne Bovina - Picanha Grill/Churrascaria</v>
      </c>
      <c r="B1220" s="85" t="s">
        <v>31</v>
      </c>
      <c r="C1220" s="85" t="s">
        <v>23</v>
      </c>
      <c r="D1220" s="86">
        <v>21</v>
      </c>
      <c r="E1220" s="116" t="str">
        <f t="shared" si="59"/>
        <v>Carnes</v>
      </c>
      <c r="F1220" s="85" t="s">
        <v>1100</v>
      </c>
      <c r="G1220" s="85" t="s">
        <v>233</v>
      </c>
      <c r="H1220" s="85" t="s">
        <v>1083</v>
      </c>
      <c r="I1220" s="85">
        <v>29.506</v>
      </c>
      <c r="J1220" s="87">
        <v>30.7653</v>
      </c>
      <c r="K1220" s="88">
        <f t="shared" si="60"/>
        <v>907.76094179999996</v>
      </c>
      <c r="L1220" s="85">
        <v>114107</v>
      </c>
    </row>
    <row r="1221" spans="1:12" hidden="1" x14ac:dyDescent="0.2">
      <c r="A1221" s="84" t="str">
        <f t="shared" si="58"/>
        <v>MarçoSEMANA 4Torta Bem Casado de Damasco</v>
      </c>
      <c r="B1221" s="85" t="s">
        <v>31</v>
      </c>
      <c r="C1221" s="85" t="s">
        <v>23</v>
      </c>
      <c r="D1221" s="86">
        <v>21</v>
      </c>
      <c r="E1221" s="116" t="str">
        <f t="shared" si="59"/>
        <v>Sobremesa</v>
      </c>
      <c r="F1221" s="85" t="s">
        <v>1146</v>
      </c>
      <c r="G1221" s="85" t="s">
        <v>807</v>
      </c>
      <c r="H1221" s="85" t="s">
        <v>1147</v>
      </c>
      <c r="I1221" s="85">
        <v>12</v>
      </c>
      <c r="J1221" s="87">
        <f>(66.9+4.26)/12</f>
        <v>5.9300000000000006</v>
      </c>
      <c r="K1221" s="88">
        <f t="shared" si="60"/>
        <v>71.160000000000011</v>
      </c>
      <c r="L1221" s="85">
        <v>150616</v>
      </c>
    </row>
    <row r="1222" spans="1:12" hidden="1" x14ac:dyDescent="0.2">
      <c r="A1222" s="84" t="str">
        <f t="shared" si="58"/>
        <v>MarçoSEMANA 4Torta de Brigadeiro c/ Raspas</v>
      </c>
      <c r="B1222" s="85" t="s">
        <v>31</v>
      </c>
      <c r="C1222" s="85" t="s">
        <v>23</v>
      </c>
      <c r="D1222" s="86">
        <v>21</v>
      </c>
      <c r="E1222" s="116" t="str">
        <f t="shared" si="59"/>
        <v>Sobremesa</v>
      </c>
      <c r="F1222" s="85" t="s">
        <v>1146</v>
      </c>
      <c r="G1222" s="85" t="s">
        <v>812</v>
      </c>
      <c r="H1222" s="85" t="s">
        <v>1147</v>
      </c>
      <c r="I1222" s="85">
        <v>12</v>
      </c>
      <c r="J1222" s="87">
        <f>(64.9+4.14)/12</f>
        <v>5.7533333333333339</v>
      </c>
      <c r="K1222" s="88">
        <f t="shared" si="60"/>
        <v>69.040000000000006</v>
      </c>
      <c r="L1222" s="85">
        <v>150616</v>
      </c>
    </row>
    <row r="1223" spans="1:12" hidden="1" x14ac:dyDescent="0.2">
      <c r="A1223" s="84" t="str">
        <f t="shared" si="58"/>
        <v>MarçoSEMANA 4Torta Financier com Quindim</v>
      </c>
      <c r="B1223" s="85" t="s">
        <v>31</v>
      </c>
      <c r="C1223" s="85" t="s">
        <v>23</v>
      </c>
      <c r="D1223" s="86">
        <v>21</v>
      </c>
      <c r="E1223" s="116" t="str">
        <f t="shared" si="59"/>
        <v>Sobremesa</v>
      </c>
      <c r="F1223" s="85" t="s">
        <v>1146</v>
      </c>
      <c r="G1223" s="85" t="s">
        <v>988</v>
      </c>
      <c r="H1223" s="85" t="s">
        <v>1147</v>
      </c>
      <c r="I1223" s="85">
        <v>12</v>
      </c>
      <c r="J1223" s="87">
        <f>(66.9+4.26)/12</f>
        <v>5.9300000000000006</v>
      </c>
      <c r="K1223" s="88">
        <f t="shared" si="60"/>
        <v>71.160000000000011</v>
      </c>
      <c r="L1223" s="85">
        <v>150616</v>
      </c>
    </row>
    <row r="1224" spans="1:12" hidden="1" x14ac:dyDescent="0.2">
      <c r="A1224" s="84" t="str">
        <f t="shared" si="58"/>
        <v>MarçoSEMANA 4Torta de Cenoura c/ Chocolate</v>
      </c>
      <c r="B1224" s="85" t="s">
        <v>31</v>
      </c>
      <c r="C1224" s="85" t="s">
        <v>23</v>
      </c>
      <c r="D1224" s="86">
        <v>21</v>
      </c>
      <c r="E1224" s="116" t="str">
        <f t="shared" si="59"/>
        <v>Sobremesa</v>
      </c>
      <c r="F1224" s="85" t="s">
        <v>1146</v>
      </c>
      <c r="G1224" s="85" t="s">
        <v>1002</v>
      </c>
      <c r="H1224" s="85" t="s">
        <v>1147</v>
      </c>
      <c r="I1224" s="85">
        <v>12</v>
      </c>
      <c r="J1224" s="87">
        <f>(66.9+4.26)/12</f>
        <v>5.9300000000000006</v>
      </c>
      <c r="K1224" s="88">
        <f t="shared" si="60"/>
        <v>71.160000000000011</v>
      </c>
      <c r="L1224" s="85">
        <v>150616</v>
      </c>
    </row>
    <row r="1225" spans="1:12" x14ac:dyDescent="0.25">
      <c r="A1225" s="84" t="str">
        <f t="shared" si="58"/>
        <v>MarçoSEMANA 4Abobora</v>
      </c>
      <c r="B1225" s="85" t="s">
        <v>31</v>
      </c>
      <c r="C1225" s="85" t="s">
        <v>23</v>
      </c>
      <c r="D1225" s="86">
        <v>21</v>
      </c>
      <c r="E1225" s="116" t="str">
        <f t="shared" si="59"/>
        <v>Hortifruti</v>
      </c>
      <c r="F1225" s="85" t="s">
        <v>1111</v>
      </c>
      <c r="G1225" s="85" t="s">
        <v>68</v>
      </c>
      <c r="H1225" s="85" t="s">
        <v>1083</v>
      </c>
      <c r="I1225" s="85">
        <v>6</v>
      </c>
      <c r="J1225" s="87">
        <v>1.99</v>
      </c>
      <c r="K1225" s="88">
        <f t="shared" si="60"/>
        <v>11.94</v>
      </c>
      <c r="L1225" s="85">
        <v>19285</v>
      </c>
    </row>
    <row r="1226" spans="1:12" x14ac:dyDescent="0.25">
      <c r="A1226" s="84" t="str">
        <f t="shared" si="58"/>
        <v>MarçoSEMANA 4Banana da Terra</v>
      </c>
      <c r="B1226" s="85" t="s">
        <v>31</v>
      </c>
      <c r="C1226" s="85" t="s">
        <v>23</v>
      </c>
      <c r="D1226" s="86">
        <v>21</v>
      </c>
      <c r="E1226" s="116" t="str">
        <f t="shared" si="59"/>
        <v>Hortifruti</v>
      </c>
      <c r="F1226" s="85" t="s">
        <v>1111</v>
      </c>
      <c r="G1226" s="85" t="s">
        <v>161</v>
      </c>
      <c r="H1226" s="85" t="s">
        <v>1083</v>
      </c>
      <c r="I1226" s="85">
        <v>2</v>
      </c>
      <c r="J1226" s="87">
        <v>2.8</v>
      </c>
      <c r="K1226" s="88">
        <f t="shared" si="60"/>
        <v>5.6</v>
      </c>
      <c r="L1226" s="85">
        <v>19285</v>
      </c>
    </row>
    <row r="1227" spans="1:12" x14ac:dyDescent="0.25">
      <c r="A1227" s="84" t="str">
        <f t="shared" si="58"/>
        <v>MarçoSEMANA 4Beterraba</v>
      </c>
      <c r="B1227" s="85" t="s">
        <v>31</v>
      </c>
      <c r="C1227" s="85" t="s">
        <v>23</v>
      </c>
      <c r="D1227" s="86">
        <v>21</v>
      </c>
      <c r="E1227" s="116" t="str">
        <f t="shared" si="59"/>
        <v>Hortifruti</v>
      </c>
      <c r="F1227" s="85" t="s">
        <v>1111</v>
      </c>
      <c r="G1227" s="85" t="s">
        <v>181</v>
      </c>
      <c r="H1227" s="85" t="s">
        <v>1083</v>
      </c>
      <c r="I1227" s="85">
        <v>4</v>
      </c>
      <c r="J1227" s="87">
        <v>1.98</v>
      </c>
      <c r="K1227" s="88">
        <f t="shared" si="60"/>
        <v>7.92</v>
      </c>
      <c r="L1227" s="85">
        <v>19285</v>
      </c>
    </row>
    <row r="1228" spans="1:12" x14ac:dyDescent="0.25">
      <c r="A1228" s="84" t="str">
        <f t="shared" si="58"/>
        <v>MarçoSEMANA 4Cebola</v>
      </c>
      <c r="B1228" s="85" t="s">
        <v>31</v>
      </c>
      <c r="C1228" s="85" t="s">
        <v>23</v>
      </c>
      <c r="D1228" s="86">
        <v>21</v>
      </c>
      <c r="E1228" s="116" t="str">
        <f t="shared" si="59"/>
        <v>Hortifruti</v>
      </c>
      <c r="F1228" s="85" t="s">
        <v>1111</v>
      </c>
      <c r="G1228" s="85" t="s">
        <v>241</v>
      </c>
      <c r="H1228" s="85" t="s">
        <v>1083</v>
      </c>
      <c r="I1228" s="85">
        <v>20.079999999999998</v>
      </c>
      <c r="J1228" s="87">
        <f>46.5/20.08</f>
        <v>2.3157370517928291</v>
      </c>
      <c r="K1228" s="88">
        <f t="shared" si="60"/>
        <v>46.500000000000007</v>
      </c>
      <c r="L1228" s="85">
        <v>19285</v>
      </c>
    </row>
    <row r="1229" spans="1:12" x14ac:dyDescent="0.25">
      <c r="A1229" s="84" t="str">
        <f t="shared" si="58"/>
        <v>MarçoSEMANA 4Côco Verde</v>
      </c>
      <c r="B1229" s="85" t="s">
        <v>31</v>
      </c>
      <c r="C1229" s="85" t="s">
        <v>23</v>
      </c>
      <c r="D1229" s="86">
        <v>21</v>
      </c>
      <c r="E1229" s="116" t="str">
        <f t="shared" si="59"/>
        <v>Hortifruti</v>
      </c>
      <c r="F1229" s="85" t="s">
        <v>1111</v>
      </c>
      <c r="G1229" s="85" t="s">
        <v>288</v>
      </c>
      <c r="H1229" s="85" t="s">
        <v>1090</v>
      </c>
      <c r="I1229" s="85">
        <v>15</v>
      </c>
      <c r="J1229" s="87">
        <v>2.25</v>
      </c>
      <c r="K1229" s="88">
        <f t="shared" si="60"/>
        <v>33.75</v>
      </c>
      <c r="L1229" s="85">
        <v>19285</v>
      </c>
    </row>
    <row r="1230" spans="1:12" x14ac:dyDescent="0.25">
      <c r="A1230" s="84" t="str">
        <f t="shared" si="58"/>
        <v>MarçoSEMANA 4Couve Flor</v>
      </c>
      <c r="B1230" s="85" t="s">
        <v>31</v>
      </c>
      <c r="C1230" s="85" t="s">
        <v>23</v>
      </c>
      <c r="D1230" s="86">
        <v>21</v>
      </c>
      <c r="E1230" s="116" t="str">
        <f t="shared" si="59"/>
        <v>Hortifruti</v>
      </c>
      <c r="F1230" s="85" t="s">
        <v>1111</v>
      </c>
      <c r="G1230" s="85" t="s">
        <v>306</v>
      </c>
      <c r="H1230" s="85" t="s">
        <v>1083</v>
      </c>
      <c r="I1230" s="85">
        <v>2</v>
      </c>
      <c r="J1230" s="87">
        <v>6</v>
      </c>
      <c r="K1230" s="88">
        <f t="shared" si="60"/>
        <v>12</v>
      </c>
      <c r="L1230" s="85">
        <v>19285</v>
      </c>
    </row>
    <row r="1231" spans="1:12" hidden="1" x14ac:dyDescent="0.2">
      <c r="A1231" s="84" t="str">
        <f t="shared" si="58"/>
        <v>MarçoSEMANA 4Gengibre Sushi</v>
      </c>
      <c r="B1231" s="85" t="s">
        <v>31</v>
      </c>
      <c r="C1231" s="85" t="s">
        <v>23</v>
      </c>
      <c r="D1231" s="86">
        <v>21</v>
      </c>
      <c r="E1231" s="116" t="str">
        <f t="shared" si="59"/>
        <v>Sushi</v>
      </c>
      <c r="F1231" s="85" t="s">
        <v>1111</v>
      </c>
      <c r="G1231" s="85" t="s">
        <v>386</v>
      </c>
      <c r="H1231" s="85" t="s">
        <v>1083</v>
      </c>
      <c r="I1231" s="85">
        <v>10.3</v>
      </c>
      <c r="J1231" s="87">
        <f>75/10.3</f>
        <v>7.2815533980582519</v>
      </c>
      <c r="K1231" s="88">
        <f t="shared" si="60"/>
        <v>75</v>
      </c>
      <c r="L1231" s="85">
        <v>19285</v>
      </c>
    </row>
    <row r="1232" spans="1:12" x14ac:dyDescent="0.25">
      <c r="A1232" s="84" t="str">
        <f t="shared" si="58"/>
        <v>MarçoSEMANA 4Kiwi</v>
      </c>
      <c r="B1232" s="85" t="s">
        <v>31</v>
      </c>
      <c r="C1232" s="85" t="s">
        <v>23</v>
      </c>
      <c r="D1232" s="86">
        <v>21</v>
      </c>
      <c r="E1232" s="116" t="str">
        <f t="shared" si="59"/>
        <v>Hortifruti</v>
      </c>
      <c r="F1232" s="85" t="s">
        <v>1111</v>
      </c>
      <c r="G1232" s="85" t="s">
        <v>453</v>
      </c>
      <c r="H1232" s="85" t="s">
        <v>1083</v>
      </c>
      <c r="I1232" s="85">
        <v>0.5</v>
      </c>
      <c r="J1232" s="87">
        <v>12</v>
      </c>
      <c r="K1232" s="88">
        <f t="shared" si="60"/>
        <v>6</v>
      </c>
      <c r="L1232" s="85">
        <v>19285</v>
      </c>
    </row>
    <row r="1233" spans="1:12" x14ac:dyDescent="0.25">
      <c r="A1233" s="84" t="str">
        <f t="shared" si="58"/>
        <v>MarçoSEMANA 4Pimentão Vermelho</v>
      </c>
      <c r="B1233" s="85" t="s">
        <v>31</v>
      </c>
      <c r="C1233" s="85" t="s">
        <v>23</v>
      </c>
      <c r="D1233" s="86">
        <v>21</v>
      </c>
      <c r="E1233" s="116" t="str">
        <f t="shared" si="59"/>
        <v>Hortifruti</v>
      </c>
      <c r="F1233" s="85" t="s">
        <v>1111</v>
      </c>
      <c r="G1233" s="85" t="s">
        <v>666</v>
      </c>
      <c r="H1233" s="85" t="s">
        <v>1083</v>
      </c>
      <c r="I1233" s="85">
        <v>1</v>
      </c>
      <c r="J1233" s="87">
        <v>7.5</v>
      </c>
      <c r="K1233" s="88">
        <f t="shared" si="60"/>
        <v>7.5</v>
      </c>
      <c r="L1233" s="85">
        <v>19285</v>
      </c>
    </row>
    <row r="1234" spans="1:12" x14ac:dyDescent="0.25">
      <c r="A1234" s="84" t="str">
        <f t="shared" si="58"/>
        <v>MarçoSEMANA 4Batata Doce</v>
      </c>
      <c r="B1234" s="85" t="s">
        <v>31</v>
      </c>
      <c r="C1234" s="85" t="s">
        <v>23</v>
      </c>
      <c r="D1234" s="86">
        <v>21</v>
      </c>
      <c r="E1234" s="116" t="str">
        <f t="shared" si="59"/>
        <v>Hortifruti</v>
      </c>
      <c r="F1234" s="85" t="s">
        <v>1110</v>
      </c>
      <c r="G1234" s="85" t="s">
        <v>170</v>
      </c>
      <c r="H1234" s="85" t="s">
        <v>1083</v>
      </c>
      <c r="I1234" s="85">
        <v>19.3</v>
      </c>
      <c r="J1234" s="87">
        <f>36/19.3</f>
        <v>1.8652849740932642</v>
      </c>
      <c r="K1234" s="88">
        <f t="shared" si="60"/>
        <v>36</v>
      </c>
      <c r="L1234" s="85">
        <v>3510</v>
      </c>
    </row>
    <row r="1235" spans="1:12" x14ac:dyDescent="0.25">
      <c r="A1235" s="84" t="str">
        <f t="shared" si="58"/>
        <v>MarçoSEMANA 4Jiló</v>
      </c>
      <c r="B1235" s="85" t="s">
        <v>31</v>
      </c>
      <c r="C1235" s="85" t="s">
        <v>23</v>
      </c>
      <c r="D1235" s="86">
        <v>21</v>
      </c>
      <c r="E1235" s="116" t="str">
        <f t="shared" si="59"/>
        <v>Hortifruti</v>
      </c>
      <c r="F1235" s="85" t="s">
        <v>1110</v>
      </c>
      <c r="G1235" s="85" t="s">
        <v>451</v>
      </c>
      <c r="H1235" s="85" t="s">
        <v>1083</v>
      </c>
      <c r="I1235" s="85">
        <v>1.5</v>
      </c>
      <c r="J1235" s="87">
        <v>4</v>
      </c>
      <c r="K1235" s="88">
        <f t="shared" si="60"/>
        <v>6</v>
      </c>
      <c r="L1235" s="85">
        <v>3510</v>
      </c>
    </row>
    <row r="1236" spans="1:12" x14ac:dyDescent="0.25">
      <c r="A1236" s="84" t="str">
        <f t="shared" si="58"/>
        <v>MarçoSEMANA 4Pimentão Verde</v>
      </c>
      <c r="B1236" s="85" t="s">
        <v>31</v>
      </c>
      <c r="C1236" s="85" t="s">
        <v>23</v>
      </c>
      <c r="D1236" s="86">
        <v>21</v>
      </c>
      <c r="E1236" s="116" t="str">
        <f t="shared" si="59"/>
        <v>Hortifruti</v>
      </c>
      <c r="F1236" s="85" t="s">
        <v>1110</v>
      </c>
      <c r="G1236" s="85" t="s">
        <v>665</v>
      </c>
      <c r="H1236" s="85" t="s">
        <v>1083</v>
      </c>
      <c r="I1236" s="85">
        <v>1</v>
      </c>
      <c r="J1236" s="87">
        <v>4</v>
      </c>
      <c r="K1236" s="88">
        <f t="shared" si="60"/>
        <v>4</v>
      </c>
      <c r="L1236" s="85">
        <v>3510</v>
      </c>
    </row>
    <row r="1237" spans="1:12" x14ac:dyDescent="0.25">
      <c r="A1237" s="84" t="str">
        <f t="shared" si="58"/>
        <v>MarçoSEMANA 4Quiabo</v>
      </c>
      <c r="B1237" s="85" t="s">
        <v>31</v>
      </c>
      <c r="C1237" s="85" t="s">
        <v>23</v>
      </c>
      <c r="D1237" s="86">
        <v>21</v>
      </c>
      <c r="E1237" s="116" t="str">
        <f t="shared" si="59"/>
        <v>Hortifruti</v>
      </c>
      <c r="F1237" s="85" t="s">
        <v>1110</v>
      </c>
      <c r="G1237" s="85" t="s">
        <v>689</v>
      </c>
      <c r="H1237" s="85" t="s">
        <v>1083</v>
      </c>
      <c r="I1237" s="85">
        <v>2</v>
      </c>
      <c r="J1237" s="87">
        <v>3.6</v>
      </c>
      <c r="K1237" s="88">
        <f t="shared" si="60"/>
        <v>7.2</v>
      </c>
      <c r="L1237" s="85">
        <v>3510</v>
      </c>
    </row>
    <row r="1238" spans="1:12" x14ac:dyDescent="0.25">
      <c r="A1238" s="84" t="str">
        <f t="shared" si="58"/>
        <v>MarçoSEMANA 4Vagem Macarrão</v>
      </c>
      <c r="B1238" s="85" t="s">
        <v>31</v>
      </c>
      <c r="C1238" s="85" t="s">
        <v>23</v>
      </c>
      <c r="D1238" s="86">
        <v>21</v>
      </c>
      <c r="E1238" s="116" t="str">
        <f t="shared" si="59"/>
        <v>Hortifruti</v>
      </c>
      <c r="F1238" s="85" t="s">
        <v>1110</v>
      </c>
      <c r="G1238" s="85" t="s">
        <v>831</v>
      </c>
      <c r="H1238" s="85" t="s">
        <v>1083</v>
      </c>
      <c r="I1238" s="85">
        <v>1</v>
      </c>
      <c r="J1238" s="87">
        <v>8</v>
      </c>
      <c r="K1238" s="88">
        <f t="shared" si="60"/>
        <v>8</v>
      </c>
      <c r="L1238" s="85">
        <v>3510</v>
      </c>
    </row>
    <row r="1239" spans="1:12" x14ac:dyDescent="0.25">
      <c r="A1239" s="84" t="str">
        <f t="shared" si="58"/>
        <v>MarçoSEMANA 4Aipo</v>
      </c>
      <c r="B1239" s="85" t="s">
        <v>31</v>
      </c>
      <c r="C1239" s="85" t="s">
        <v>23</v>
      </c>
      <c r="D1239" s="86">
        <v>21</v>
      </c>
      <c r="E1239" s="116" t="str">
        <f t="shared" si="59"/>
        <v>Hortifruti</v>
      </c>
      <c r="F1239" s="85" t="s">
        <v>1110</v>
      </c>
      <c r="G1239" s="85" t="s">
        <v>96</v>
      </c>
      <c r="H1239" s="85" t="s">
        <v>1083</v>
      </c>
      <c r="I1239" s="85">
        <v>1</v>
      </c>
      <c r="J1239" s="87">
        <v>4</v>
      </c>
      <c r="K1239" s="88">
        <f t="shared" si="60"/>
        <v>4</v>
      </c>
      <c r="L1239" s="85">
        <v>3510</v>
      </c>
    </row>
    <row r="1240" spans="1:12" x14ac:dyDescent="0.25">
      <c r="A1240" s="84" t="str">
        <f t="shared" si="58"/>
        <v xml:space="preserve">MarçoSEMANA 4Alface Americana    </v>
      </c>
      <c r="B1240" s="85" t="s">
        <v>31</v>
      </c>
      <c r="C1240" s="85" t="s">
        <v>23</v>
      </c>
      <c r="D1240" s="86">
        <v>21</v>
      </c>
      <c r="E1240" s="116" t="str">
        <f t="shared" si="59"/>
        <v>Hortifruti</v>
      </c>
      <c r="F1240" s="85" t="s">
        <v>1110</v>
      </c>
      <c r="G1240" s="85" t="s">
        <v>102</v>
      </c>
      <c r="H1240" s="85" t="s">
        <v>1083</v>
      </c>
      <c r="I1240" s="85">
        <v>3.36</v>
      </c>
      <c r="J1240" s="87">
        <f>28.8/3.36</f>
        <v>8.5714285714285712</v>
      </c>
      <c r="K1240" s="88">
        <f t="shared" si="60"/>
        <v>28.799999999999997</v>
      </c>
      <c r="L1240" s="85">
        <v>3510</v>
      </c>
    </row>
    <row r="1241" spans="1:12" x14ac:dyDescent="0.25">
      <c r="A1241" s="84" t="str">
        <f t="shared" si="58"/>
        <v>MarçoSEMANA 4Alface crespa</v>
      </c>
      <c r="B1241" s="85" t="s">
        <v>31</v>
      </c>
      <c r="C1241" s="85" t="s">
        <v>23</v>
      </c>
      <c r="D1241" s="86">
        <v>21</v>
      </c>
      <c r="E1241" s="116" t="str">
        <f t="shared" si="59"/>
        <v>Hortifruti</v>
      </c>
      <c r="F1241" s="85" t="s">
        <v>1110</v>
      </c>
      <c r="G1241" s="85" t="s">
        <v>104</v>
      </c>
      <c r="H1241" s="85" t="s">
        <v>1083</v>
      </c>
      <c r="I1241" s="85">
        <v>1.36</v>
      </c>
      <c r="J1241" s="85">
        <f>9/1.36</f>
        <v>6.617647058823529</v>
      </c>
      <c r="K1241" s="88">
        <f t="shared" si="60"/>
        <v>9</v>
      </c>
      <c r="L1241" s="85">
        <v>3510</v>
      </c>
    </row>
    <row r="1242" spans="1:12" x14ac:dyDescent="0.25">
      <c r="A1242" s="84" t="str">
        <f t="shared" si="58"/>
        <v>MarçoSEMANA 4Alface Roxa</v>
      </c>
      <c r="B1242" s="85" t="s">
        <v>31</v>
      </c>
      <c r="C1242" s="85" t="s">
        <v>23</v>
      </c>
      <c r="D1242" s="86">
        <v>21</v>
      </c>
      <c r="E1242" s="116" t="str">
        <f t="shared" si="59"/>
        <v>Hortifruti</v>
      </c>
      <c r="F1242" s="85" t="s">
        <v>1110</v>
      </c>
      <c r="G1242" s="85" t="s">
        <v>108</v>
      </c>
      <c r="H1242" s="85" t="s">
        <v>1083</v>
      </c>
      <c r="I1242" s="85">
        <v>0.48</v>
      </c>
      <c r="J1242" s="87">
        <f>6/0.48</f>
        <v>12.5</v>
      </c>
      <c r="K1242" s="88">
        <f t="shared" si="60"/>
        <v>6</v>
      </c>
      <c r="L1242" s="85">
        <v>3510</v>
      </c>
    </row>
    <row r="1243" spans="1:12" x14ac:dyDescent="0.25">
      <c r="A1243" s="84" t="str">
        <f t="shared" si="58"/>
        <v xml:space="preserve">MarçoSEMANA 4Alho Poró </v>
      </c>
      <c r="B1243" s="85" t="s">
        <v>31</v>
      </c>
      <c r="C1243" s="85" t="s">
        <v>23</v>
      </c>
      <c r="D1243" s="86">
        <v>21</v>
      </c>
      <c r="E1243" s="116" t="str">
        <f t="shared" si="59"/>
        <v>Hortifruti</v>
      </c>
      <c r="F1243" s="85" t="s">
        <v>1110</v>
      </c>
      <c r="G1243" s="85" t="s">
        <v>113</v>
      </c>
      <c r="H1243" s="85" t="s">
        <v>1083</v>
      </c>
      <c r="I1243" s="85">
        <v>10</v>
      </c>
      <c r="J1243" s="87">
        <v>9</v>
      </c>
      <c r="K1243" s="88">
        <f t="shared" si="60"/>
        <v>90</v>
      </c>
      <c r="L1243" s="85">
        <v>3510</v>
      </c>
    </row>
    <row r="1244" spans="1:12" x14ac:dyDescent="0.25">
      <c r="A1244" s="84" t="str">
        <f t="shared" si="58"/>
        <v>MarçoSEMANA 4Brócolis Nacional</v>
      </c>
      <c r="B1244" s="85" t="s">
        <v>31</v>
      </c>
      <c r="C1244" s="85" t="s">
        <v>23</v>
      </c>
      <c r="D1244" s="86">
        <v>21</v>
      </c>
      <c r="E1244" s="116" t="str">
        <f t="shared" si="59"/>
        <v>Hortifruti</v>
      </c>
      <c r="F1244" s="85" t="s">
        <v>1110</v>
      </c>
      <c r="G1244" s="85" t="s">
        <v>889</v>
      </c>
      <c r="H1244" s="85" t="s">
        <v>1083</v>
      </c>
      <c r="I1244" s="85">
        <v>4</v>
      </c>
      <c r="J1244" s="87">
        <v>6</v>
      </c>
      <c r="K1244" s="88">
        <f t="shared" si="60"/>
        <v>24</v>
      </c>
      <c r="L1244" s="85">
        <v>3510</v>
      </c>
    </row>
    <row r="1245" spans="1:12" x14ac:dyDescent="0.25">
      <c r="A1245" s="84" t="str">
        <f t="shared" si="58"/>
        <v>MarçoSEMANA 4Cebolinha Verde</v>
      </c>
      <c r="B1245" s="85" t="s">
        <v>31</v>
      </c>
      <c r="C1245" s="85" t="s">
        <v>23</v>
      </c>
      <c r="D1245" s="86">
        <v>21</v>
      </c>
      <c r="E1245" s="116" t="str">
        <f t="shared" si="59"/>
        <v>Hortifruti</v>
      </c>
      <c r="F1245" s="85" t="s">
        <v>1110</v>
      </c>
      <c r="G1245" s="85" t="s">
        <v>247</v>
      </c>
      <c r="H1245" s="85" t="s">
        <v>1083</v>
      </c>
      <c r="I1245" s="85">
        <v>0.5</v>
      </c>
      <c r="J1245" s="87">
        <v>7</v>
      </c>
      <c r="K1245" s="88">
        <f t="shared" si="60"/>
        <v>3.5</v>
      </c>
      <c r="L1245" s="85">
        <v>3510</v>
      </c>
    </row>
    <row r="1246" spans="1:12" x14ac:dyDescent="0.25">
      <c r="A1246" s="84" t="str">
        <f t="shared" si="58"/>
        <v>MarçoSEMANA 4Coentro</v>
      </c>
      <c r="B1246" s="85" t="s">
        <v>31</v>
      </c>
      <c r="C1246" s="85" t="s">
        <v>23</v>
      </c>
      <c r="D1246" s="86">
        <v>21</v>
      </c>
      <c r="E1246" s="116" t="str">
        <f t="shared" si="59"/>
        <v>Hortifruti</v>
      </c>
      <c r="F1246" s="85" t="s">
        <v>1110</v>
      </c>
      <c r="G1246" s="85" t="s">
        <v>289</v>
      </c>
      <c r="H1246" s="85" t="s">
        <v>1083</v>
      </c>
      <c r="I1246" s="85">
        <v>0.3</v>
      </c>
      <c r="J1246" s="87">
        <v>25</v>
      </c>
      <c r="K1246" s="88">
        <f t="shared" si="60"/>
        <v>7.5</v>
      </c>
      <c r="L1246" s="85">
        <v>3510</v>
      </c>
    </row>
    <row r="1247" spans="1:12" x14ac:dyDescent="0.25">
      <c r="A1247" s="84" t="str">
        <f t="shared" si="58"/>
        <v>MarçoSEMANA 4Espinafre</v>
      </c>
      <c r="B1247" s="85" t="s">
        <v>31</v>
      </c>
      <c r="C1247" s="85" t="s">
        <v>23</v>
      </c>
      <c r="D1247" s="86">
        <v>21</v>
      </c>
      <c r="E1247" s="116" t="str">
        <f t="shared" si="59"/>
        <v>Hortifruti</v>
      </c>
      <c r="F1247" s="85" t="s">
        <v>1110</v>
      </c>
      <c r="G1247" s="85" t="s">
        <v>332</v>
      </c>
      <c r="H1247" s="85" t="s">
        <v>1083</v>
      </c>
      <c r="I1247" s="85">
        <v>5</v>
      </c>
      <c r="J1247" s="87">
        <v>6</v>
      </c>
      <c r="K1247" s="88">
        <f t="shared" si="60"/>
        <v>30</v>
      </c>
      <c r="L1247" s="85">
        <v>3510</v>
      </c>
    </row>
    <row r="1248" spans="1:12" x14ac:dyDescent="0.25">
      <c r="A1248" s="84" t="str">
        <f t="shared" si="58"/>
        <v>MarçoSEMANA 4Hortelã</v>
      </c>
      <c r="B1248" s="85" t="s">
        <v>31</v>
      </c>
      <c r="C1248" s="85" t="s">
        <v>23</v>
      </c>
      <c r="D1248" s="86">
        <v>21</v>
      </c>
      <c r="E1248" s="116" t="str">
        <f t="shared" si="59"/>
        <v>Hortifruti</v>
      </c>
      <c r="F1248" s="85" t="s">
        <v>1110</v>
      </c>
      <c r="G1248" s="85" t="s">
        <v>405</v>
      </c>
      <c r="H1248" s="85" t="s">
        <v>1083</v>
      </c>
      <c r="I1248" s="85">
        <v>0.5</v>
      </c>
      <c r="J1248" s="87">
        <v>4</v>
      </c>
      <c r="K1248" s="88">
        <f t="shared" si="60"/>
        <v>2</v>
      </c>
      <c r="L1248" s="85">
        <v>3510</v>
      </c>
    </row>
    <row r="1249" spans="1:12" x14ac:dyDescent="0.25">
      <c r="A1249" s="84" t="str">
        <f t="shared" si="58"/>
        <v>MarçoSEMANA 4Manjericão</v>
      </c>
      <c r="B1249" s="85" t="s">
        <v>31</v>
      </c>
      <c r="C1249" s="85" t="s">
        <v>23</v>
      </c>
      <c r="D1249" s="86">
        <v>21</v>
      </c>
      <c r="E1249" s="116" t="str">
        <f t="shared" si="59"/>
        <v>Hortifruti</v>
      </c>
      <c r="F1249" s="85" t="s">
        <v>1110</v>
      </c>
      <c r="G1249" s="85" t="s">
        <v>498</v>
      </c>
      <c r="H1249" s="85" t="s">
        <v>1083</v>
      </c>
      <c r="I1249" s="85">
        <v>0.5</v>
      </c>
      <c r="J1249" s="87">
        <v>10</v>
      </c>
      <c r="K1249" s="88">
        <f t="shared" si="60"/>
        <v>5</v>
      </c>
      <c r="L1249" s="85">
        <v>3510</v>
      </c>
    </row>
    <row r="1250" spans="1:12" x14ac:dyDescent="0.25">
      <c r="A1250" s="84" t="str">
        <f t="shared" si="58"/>
        <v>MarçoSEMANA 4Rúcula</v>
      </c>
      <c r="B1250" s="85" t="s">
        <v>31</v>
      </c>
      <c r="C1250" s="85" t="s">
        <v>23</v>
      </c>
      <c r="D1250" s="86">
        <v>21</v>
      </c>
      <c r="E1250" s="116" t="str">
        <f t="shared" si="59"/>
        <v>Hortifruti</v>
      </c>
      <c r="F1250" s="85" t="s">
        <v>1110</v>
      </c>
      <c r="G1250" s="85" t="s">
        <v>705</v>
      </c>
      <c r="H1250" s="85" t="s">
        <v>1083</v>
      </c>
      <c r="I1250" s="85">
        <v>6</v>
      </c>
      <c r="J1250" s="87">
        <v>8</v>
      </c>
      <c r="K1250" s="88">
        <f t="shared" si="60"/>
        <v>48</v>
      </c>
      <c r="L1250" s="85">
        <v>3510</v>
      </c>
    </row>
    <row r="1251" spans="1:12" x14ac:dyDescent="0.25">
      <c r="A1251" s="84" t="str">
        <f t="shared" si="58"/>
        <v>MarçoSEMANA 4Tomilho</v>
      </c>
      <c r="B1251" s="85" t="s">
        <v>31</v>
      </c>
      <c r="C1251" s="85" t="s">
        <v>23</v>
      </c>
      <c r="D1251" s="86">
        <v>21</v>
      </c>
      <c r="E1251" s="116" t="str">
        <f t="shared" si="59"/>
        <v>Hortifruti</v>
      </c>
      <c r="F1251" s="85" t="s">
        <v>1110</v>
      </c>
      <c r="G1251" s="85" t="s">
        <v>797</v>
      </c>
      <c r="H1251" s="85" t="s">
        <v>1083</v>
      </c>
      <c r="I1251" s="85">
        <v>0.2</v>
      </c>
      <c r="J1251" s="87">
        <v>20</v>
      </c>
      <c r="K1251" s="88">
        <f t="shared" si="60"/>
        <v>4</v>
      </c>
      <c r="L1251" s="85">
        <v>3510</v>
      </c>
    </row>
    <row r="1252" spans="1:12" x14ac:dyDescent="0.25">
      <c r="A1252" s="84" t="str">
        <f t="shared" si="58"/>
        <v>MarçoSEMANA 4Broto de Feijão</v>
      </c>
      <c r="B1252" s="85" t="s">
        <v>31</v>
      </c>
      <c r="C1252" s="85" t="s">
        <v>23</v>
      </c>
      <c r="D1252" s="86">
        <v>21</v>
      </c>
      <c r="E1252" s="116" t="str">
        <f t="shared" si="59"/>
        <v>Hortifruti</v>
      </c>
      <c r="F1252" s="85" t="s">
        <v>1110</v>
      </c>
      <c r="G1252" s="85" t="s">
        <v>197</v>
      </c>
      <c r="H1252" s="85" t="s">
        <v>1083</v>
      </c>
      <c r="I1252" s="85">
        <v>3.5</v>
      </c>
      <c r="J1252" s="87">
        <v>14</v>
      </c>
      <c r="K1252" s="88">
        <f t="shared" si="60"/>
        <v>49</v>
      </c>
      <c r="L1252" s="85">
        <v>3510</v>
      </c>
    </row>
    <row r="1253" spans="1:12" x14ac:dyDescent="0.25">
      <c r="A1253" s="84" t="str">
        <f t="shared" si="58"/>
        <v>MarçoSEMANA 4Laranja Pera</v>
      </c>
      <c r="B1253" s="85" t="s">
        <v>31</v>
      </c>
      <c r="C1253" s="85" t="s">
        <v>23</v>
      </c>
      <c r="D1253" s="86">
        <v>21</v>
      </c>
      <c r="E1253" s="116" t="str">
        <f t="shared" si="59"/>
        <v>Hortifruti</v>
      </c>
      <c r="F1253" s="85" t="s">
        <v>1110</v>
      </c>
      <c r="G1253" s="85" t="s">
        <v>456</v>
      </c>
      <c r="H1253" s="85" t="s">
        <v>1083</v>
      </c>
      <c r="I1253" s="85">
        <v>20.98</v>
      </c>
      <c r="J1253" s="87">
        <f>35/20.98</f>
        <v>1.6682554814108674</v>
      </c>
      <c r="K1253" s="88">
        <f t="shared" si="60"/>
        <v>35</v>
      </c>
      <c r="L1253" s="85">
        <v>3510</v>
      </c>
    </row>
    <row r="1254" spans="1:12" x14ac:dyDescent="0.25">
      <c r="A1254" s="84" t="str">
        <f t="shared" si="58"/>
        <v>MarçoSEMANA 4Manga Palmer</v>
      </c>
      <c r="B1254" s="85" t="s">
        <v>31</v>
      </c>
      <c r="C1254" s="85" t="s">
        <v>23</v>
      </c>
      <c r="D1254" s="86">
        <v>21</v>
      </c>
      <c r="E1254" s="116" t="str">
        <f t="shared" si="59"/>
        <v>Hortifruti</v>
      </c>
      <c r="F1254" s="85" t="s">
        <v>1110</v>
      </c>
      <c r="G1254" s="85" t="s">
        <v>495</v>
      </c>
      <c r="H1254" s="85" t="s">
        <v>1083</v>
      </c>
      <c r="I1254" s="85">
        <v>6.5</v>
      </c>
      <c r="J1254" s="87">
        <f>25/6.5</f>
        <v>3.8461538461538463</v>
      </c>
      <c r="K1254" s="88">
        <f t="shared" si="60"/>
        <v>25</v>
      </c>
      <c r="L1254" s="85">
        <v>3510</v>
      </c>
    </row>
    <row r="1255" spans="1:12" x14ac:dyDescent="0.25">
      <c r="A1255" s="84" t="str">
        <f t="shared" si="58"/>
        <v>MarçoSEMANA 4Pera</v>
      </c>
      <c r="B1255" s="85" t="s">
        <v>31</v>
      </c>
      <c r="C1255" s="85" t="s">
        <v>23</v>
      </c>
      <c r="D1255" s="86">
        <v>21</v>
      </c>
      <c r="E1255" s="116" t="str">
        <f t="shared" si="59"/>
        <v>Hortifruti</v>
      </c>
      <c r="F1255" s="85" t="s">
        <v>1110</v>
      </c>
      <c r="G1255" s="85" t="s">
        <v>580</v>
      </c>
      <c r="H1255" s="85" t="s">
        <v>1083</v>
      </c>
      <c r="I1255" s="85">
        <v>1</v>
      </c>
      <c r="J1255" s="87">
        <v>8</v>
      </c>
      <c r="K1255" s="88">
        <f t="shared" si="60"/>
        <v>8</v>
      </c>
      <c r="L1255" s="85">
        <v>3510</v>
      </c>
    </row>
    <row r="1256" spans="1:12" hidden="1" x14ac:dyDescent="0.2">
      <c r="A1256" s="84" t="str">
        <f t="shared" si="58"/>
        <v>MarçoSEMANA 4Batata Palha 140 g</v>
      </c>
      <c r="B1256" s="85" t="s">
        <v>31</v>
      </c>
      <c r="C1256" s="85" t="s">
        <v>23</v>
      </c>
      <c r="D1256" s="86">
        <v>21</v>
      </c>
      <c r="E1256" s="116" t="str">
        <f t="shared" si="59"/>
        <v>Mercado</v>
      </c>
      <c r="F1256" s="85" t="s">
        <v>1158</v>
      </c>
      <c r="G1256" s="85" t="s">
        <v>174</v>
      </c>
      <c r="H1256" s="85" t="s">
        <v>1114</v>
      </c>
      <c r="I1256" s="85">
        <v>3</v>
      </c>
      <c r="J1256" s="87">
        <v>6.99</v>
      </c>
      <c r="K1256" s="88">
        <f t="shared" si="60"/>
        <v>20.97</v>
      </c>
      <c r="L1256" s="85">
        <v>63826</v>
      </c>
    </row>
    <row r="1257" spans="1:12" hidden="1" x14ac:dyDescent="0.2">
      <c r="A1257" s="84" t="str">
        <f t="shared" si="58"/>
        <v xml:space="preserve">MarçoSEMANA 4Tapioca Granulada </v>
      </c>
      <c r="B1257" s="85" t="s">
        <v>31</v>
      </c>
      <c r="C1257" s="85" t="s">
        <v>23</v>
      </c>
      <c r="D1257" s="86">
        <v>21</v>
      </c>
      <c r="E1257" s="116" t="str">
        <f t="shared" si="59"/>
        <v>Mercado</v>
      </c>
      <c r="F1257" s="85" t="s">
        <v>1158</v>
      </c>
      <c r="G1257" s="85" t="s">
        <v>784</v>
      </c>
      <c r="H1257" s="85" t="s">
        <v>1083</v>
      </c>
      <c r="I1257" s="85">
        <v>1</v>
      </c>
      <c r="J1257" s="87">
        <v>18.78</v>
      </c>
      <c r="K1257" s="88">
        <f t="shared" si="60"/>
        <v>18.78</v>
      </c>
      <c r="L1257" s="85">
        <v>63826</v>
      </c>
    </row>
    <row r="1258" spans="1:12" hidden="1" x14ac:dyDescent="0.2">
      <c r="A1258" s="84" t="str">
        <f t="shared" si="58"/>
        <v>MarçoSEMANA 4Gelatina Morango Stevia Plus Zero 10 g</v>
      </c>
      <c r="B1258" s="85" t="s">
        <v>31</v>
      </c>
      <c r="C1258" s="85" t="s">
        <v>23</v>
      </c>
      <c r="D1258" s="86">
        <v>21</v>
      </c>
      <c r="E1258" s="116" t="str">
        <f t="shared" si="59"/>
        <v>Mercado</v>
      </c>
      <c r="F1258" s="85" t="s">
        <v>1308</v>
      </c>
      <c r="G1258" s="85" t="s">
        <v>382</v>
      </c>
      <c r="H1258" s="85" t="s">
        <v>1090</v>
      </c>
      <c r="I1258" s="85">
        <v>144</v>
      </c>
      <c r="J1258" s="87">
        <v>1.65</v>
      </c>
      <c r="K1258" s="88">
        <f t="shared" si="60"/>
        <v>237.6</v>
      </c>
      <c r="L1258" s="85">
        <v>27767</v>
      </c>
    </row>
    <row r="1259" spans="1:12" hidden="1" x14ac:dyDescent="0.2">
      <c r="A1259" s="84" t="str">
        <f t="shared" si="58"/>
        <v>MarçoSEMANA 4Cerveja Bohemia Long Neck 355 ml</v>
      </c>
      <c r="B1259" s="85" t="s">
        <v>31</v>
      </c>
      <c r="C1259" s="85" t="s">
        <v>23</v>
      </c>
      <c r="D1259" s="86">
        <v>21</v>
      </c>
      <c r="E1259" s="116" t="str">
        <f t="shared" si="59"/>
        <v>Bebidas</v>
      </c>
      <c r="F1259" s="85" t="s">
        <v>1139</v>
      </c>
      <c r="G1259" s="85" t="s">
        <v>260</v>
      </c>
      <c r="H1259" s="85" t="s">
        <v>1090</v>
      </c>
      <c r="I1259" s="85">
        <v>24</v>
      </c>
      <c r="J1259" s="87">
        <f>68.23/24</f>
        <v>2.842916666666667</v>
      </c>
      <c r="K1259" s="88">
        <f t="shared" si="60"/>
        <v>68.23</v>
      </c>
      <c r="L1259" s="85" t="s">
        <v>1309</v>
      </c>
    </row>
    <row r="1260" spans="1:12" hidden="1" x14ac:dyDescent="0.2">
      <c r="A1260" s="84" t="str">
        <f t="shared" si="58"/>
        <v>MarçoSEMANA 4Guaraná Antarctica Zero (lata)</v>
      </c>
      <c r="B1260" s="85" t="s">
        <v>31</v>
      </c>
      <c r="C1260" s="85" t="s">
        <v>23</v>
      </c>
      <c r="D1260" s="86">
        <v>21</v>
      </c>
      <c r="E1260" s="116" t="str">
        <f t="shared" si="59"/>
        <v>Bebidas</v>
      </c>
      <c r="F1260" s="85" t="s">
        <v>1139</v>
      </c>
      <c r="G1260" s="85" t="s">
        <v>398</v>
      </c>
      <c r="H1260" s="85" t="s">
        <v>1090</v>
      </c>
      <c r="I1260" s="85">
        <f>8*12</f>
        <v>96</v>
      </c>
      <c r="J1260" s="87">
        <f>164.42/96</f>
        <v>1.7127083333333333</v>
      </c>
      <c r="K1260" s="88">
        <f t="shared" si="60"/>
        <v>164.42</v>
      </c>
      <c r="L1260" s="85" t="s">
        <v>1309</v>
      </c>
    </row>
    <row r="1261" spans="1:12" hidden="1" x14ac:dyDescent="0.2">
      <c r="A1261" s="84" t="str">
        <f t="shared" si="58"/>
        <v>MarçoSEMANA 4Guaraná Antarctica (lata)</v>
      </c>
      <c r="B1261" s="85" t="s">
        <v>31</v>
      </c>
      <c r="C1261" s="85" t="s">
        <v>23</v>
      </c>
      <c r="D1261" s="86">
        <v>21</v>
      </c>
      <c r="E1261" s="116" t="str">
        <f t="shared" si="59"/>
        <v>Bebidas</v>
      </c>
      <c r="F1261" s="85" t="s">
        <v>1139</v>
      </c>
      <c r="G1261" s="85" t="s">
        <v>397</v>
      </c>
      <c r="H1261" s="85" t="s">
        <v>1090</v>
      </c>
      <c r="I1261" s="85">
        <f>3*12</f>
        <v>36</v>
      </c>
      <c r="J1261" s="87">
        <f>61.66/36</f>
        <v>1.7127777777777777</v>
      </c>
      <c r="K1261" s="88">
        <f t="shared" si="60"/>
        <v>61.66</v>
      </c>
      <c r="L1261" s="85" t="s">
        <v>1309</v>
      </c>
    </row>
    <row r="1262" spans="1:12" hidden="1" x14ac:dyDescent="0.2">
      <c r="A1262" s="84" t="str">
        <f t="shared" si="58"/>
        <v>MarçoSEMANA 4Água Tonica Diet</v>
      </c>
      <c r="B1262" s="85" t="s">
        <v>31</v>
      </c>
      <c r="C1262" s="85" t="s">
        <v>23</v>
      </c>
      <c r="D1262" s="86">
        <v>21</v>
      </c>
      <c r="E1262" s="116" t="str">
        <f t="shared" si="59"/>
        <v>Bebidas</v>
      </c>
      <c r="F1262" s="85" t="s">
        <v>1139</v>
      </c>
      <c r="G1262" s="85" t="s">
        <v>93</v>
      </c>
      <c r="H1262" s="85" t="s">
        <v>1090</v>
      </c>
      <c r="I1262" s="85">
        <v>12</v>
      </c>
      <c r="J1262" s="87">
        <f>21.23/12</f>
        <v>1.7691666666666668</v>
      </c>
      <c r="K1262" s="88">
        <f t="shared" si="60"/>
        <v>21.23</v>
      </c>
      <c r="L1262" s="85" t="s">
        <v>1309</v>
      </c>
    </row>
    <row r="1263" spans="1:12" hidden="1" x14ac:dyDescent="0.2">
      <c r="A1263" s="84" t="str">
        <f t="shared" si="58"/>
        <v>MarçoSEMANA 4Água Tonica</v>
      </c>
      <c r="B1263" s="85" t="s">
        <v>31</v>
      </c>
      <c r="C1263" s="85" t="s">
        <v>23</v>
      </c>
      <c r="D1263" s="86">
        <v>21</v>
      </c>
      <c r="E1263" s="116" t="str">
        <f t="shared" si="59"/>
        <v>Bebidas</v>
      </c>
      <c r="F1263" s="85" t="s">
        <v>1139</v>
      </c>
      <c r="G1263" s="85" t="s">
        <v>92</v>
      </c>
      <c r="H1263" s="85" t="s">
        <v>1090</v>
      </c>
      <c r="I1263" s="85">
        <f>2*12</f>
        <v>24</v>
      </c>
      <c r="J1263" s="87">
        <f>42.47/24</f>
        <v>1.7695833333333333</v>
      </c>
      <c r="K1263" s="88">
        <f t="shared" si="60"/>
        <v>42.47</v>
      </c>
      <c r="L1263" s="85" t="s">
        <v>1309</v>
      </c>
    </row>
    <row r="1264" spans="1:12" x14ac:dyDescent="0.25">
      <c r="A1264" s="84" t="str">
        <f t="shared" si="58"/>
        <v>MarçoSEMANA 4Aipim</v>
      </c>
      <c r="B1264" s="85" t="s">
        <v>31</v>
      </c>
      <c r="C1264" s="85" t="s">
        <v>23</v>
      </c>
      <c r="D1264" s="86">
        <v>22</v>
      </c>
      <c r="E1264" s="116" t="str">
        <f t="shared" si="59"/>
        <v>Hortifruti</v>
      </c>
      <c r="F1264" s="85" t="s">
        <v>1082</v>
      </c>
      <c r="G1264" s="85" t="s">
        <v>95</v>
      </c>
      <c r="H1264" s="85" t="s">
        <v>1083</v>
      </c>
      <c r="I1264" s="85">
        <v>20</v>
      </c>
      <c r="J1264" s="87">
        <v>5</v>
      </c>
      <c r="K1264" s="88">
        <f t="shared" si="60"/>
        <v>100</v>
      </c>
      <c r="L1264" s="85"/>
    </row>
    <row r="1265" spans="1:12" x14ac:dyDescent="0.25">
      <c r="A1265" s="84" t="str">
        <f t="shared" si="58"/>
        <v xml:space="preserve">MarçoSEMANA 4Alface Americana    </v>
      </c>
      <c r="B1265" s="85" t="s">
        <v>31</v>
      </c>
      <c r="C1265" s="85" t="s">
        <v>23</v>
      </c>
      <c r="D1265" s="86">
        <v>22</v>
      </c>
      <c r="E1265" s="116" t="str">
        <f t="shared" si="59"/>
        <v>Hortifruti</v>
      </c>
      <c r="F1265" s="85" t="s">
        <v>1190</v>
      </c>
      <c r="G1265" s="85" t="s">
        <v>102</v>
      </c>
      <c r="H1265" s="85" t="s">
        <v>1083</v>
      </c>
      <c r="I1265" s="85">
        <v>2.46</v>
      </c>
      <c r="J1265" s="87">
        <f>28.8/2.46</f>
        <v>11.707317073170731</v>
      </c>
      <c r="K1265" s="88">
        <f t="shared" si="60"/>
        <v>28.8</v>
      </c>
      <c r="L1265" s="85">
        <v>221049</v>
      </c>
    </row>
    <row r="1266" spans="1:12" x14ac:dyDescent="0.25">
      <c r="A1266" s="84" t="str">
        <f t="shared" si="58"/>
        <v>MarçoSEMANA 4Alface Roxa</v>
      </c>
      <c r="B1266" s="85" t="s">
        <v>31</v>
      </c>
      <c r="C1266" s="85" t="s">
        <v>23</v>
      </c>
      <c r="D1266" s="86">
        <v>22</v>
      </c>
      <c r="E1266" s="116" t="str">
        <f t="shared" si="59"/>
        <v>Hortifruti</v>
      </c>
      <c r="F1266" s="85" t="s">
        <v>1190</v>
      </c>
      <c r="G1266" s="85" t="s">
        <v>108</v>
      </c>
      <c r="H1266" s="85" t="s">
        <v>1083</v>
      </c>
      <c r="I1266" s="85">
        <v>0.42</v>
      </c>
      <c r="J1266" s="87">
        <f>7.5/0.42</f>
        <v>17.857142857142858</v>
      </c>
      <c r="K1266" s="88">
        <f t="shared" si="60"/>
        <v>7.5</v>
      </c>
      <c r="L1266" s="85">
        <v>221049</v>
      </c>
    </row>
    <row r="1267" spans="1:12" hidden="1" x14ac:dyDescent="0.2">
      <c r="A1267" s="84" t="str">
        <f t="shared" si="58"/>
        <v>MarçoSEMANA 4Gelo em Escamas</v>
      </c>
      <c r="B1267" s="85" t="s">
        <v>31</v>
      </c>
      <c r="C1267" s="85" t="s">
        <v>23</v>
      </c>
      <c r="D1267" s="86">
        <v>22</v>
      </c>
      <c r="E1267" s="116" t="str">
        <f t="shared" si="59"/>
        <v>Mercado</v>
      </c>
      <c r="F1267" s="85" t="s">
        <v>1096</v>
      </c>
      <c r="G1267" s="85" t="s">
        <v>384</v>
      </c>
      <c r="H1267" s="85" t="s">
        <v>1097</v>
      </c>
      <c r="I1267" s="85">
        <v>1</v>
      </c>
      <c r="J1267" s="87">
        <v>7.5</v>
      </c>
      <c r="K1267" s="88">
        <f t="shared" si="60"/>
        <v>7.5</v>
      </c>
      <c r="L1267" s="85">
        <v>3909</v>
      </c>
    </row>
    <row r="1268" spans="1:12" hidden="1" x14ac:dyDescent="0.2">
      <c r="A1268" s="84" t="str">
        <f t="shared" si="58"/>
        <v>MarçoSEMANA 4Gelo em Cubo</v>
      </c>
      <c r="B1268" s="85" t="s">
        <v>31</v>
      </c>
      <c r="C1268" s="85" t="s">
        <v>23</v>
      </c>
      <c r="D1268" s="86">
        <v>22</v>
      </c>
      <c r="E1268" s="116" t="str">
        <f t="shared" si="59"/>
        <v>Mercado</v>
      </c>
      <c r="F1268" s="85" t="s">
        <v>1096</v>
      </c>
      <c r="G1268" s="85" t="s">
        <v>383</v>
      </c>
      <c r="H1268" s="85" t="s">
        <v>1097</v>
      </c>
      <c r="I1268" s="85">
        <v>2</v>
      </c>
      <c r="J1268" s="87">
        <v>7.5</v>
      </c>
      <c r="K1268" s="88">
        <f t="shared" si="60"/>
        <v>15</v>
      </c>
      <c r="L1268" s="85">
        <v>3909</v>
      </c>
    </row>
    <row r="1269" spans="1:12" hidden="1" x14ac:dyDescent="0.2">
      <c r="A1269" s="84" t="str">
        <f t="shared" si="58"/>
        <v>MarçoSEMANA 4Arroz Integral Curto</v>
      </c>
      <c r="B1269" s="85" t="s">
        <v>31</v>
      </c>
      <c r="C1269" s="85" t="s">
        <v>23</v>
      </c>
      <c r="D1269" s="86">
        <v>22</v>
      </c>
      <c r="E1269" s="116" t="str">
        <f t="shared" si="59"/>
        <v>Mercado</v>
      </c>
      <c r="F1269" s="85" t="s">
        <v>1310</v>
      </c>
      <c r="G1269" s="85" t="s">
        <v>127</v>
      </c>
      <c r="H1269" s="85" t="s">
        <v>1083</v>
      </c>
      <c r="I1269" s="85">
        <f>15*2</f>
        <v>30</v>
      </c>
      <c r="J1269" s="87">
        <f>270/30</f>
        <v>9</v>
      </c>
      <c r="K1269" s="88">
        <f t="shared" si="60"/>
        <v>270</v>
      </c>
      <c r="L1269" s="85">
        <v>18682961</v>
      </c>
    </row>
    <row r="1270" spans="1:12" x14ac:dyDescent="0.25">
      <c r="A1270" s="84" t="str">
        <f t="shared" si="58"/>
        <v>MarçoSEMANA 4Batata Calabresa</v>
      </c>
      <c r="B1270" s="85" t="s">
        <v>31</v>
      </c>
      <c r="C1270" s="85" t="s">
        <v>23</v>
      </c>
      <c r="D1270" s="86">
        <v>22</v>
      </c>
      <c r="E1270" s="116" t="str">
        <f t="shared" si="59"/>
        <v>Hortifruti</v>
      </c>
      <c r="F1270" s="85" t="s">
        <v>1110</v>
      </c>
      <c r="G1270" s="85" t="s">
        <v>901</v>
      </c>
      <c r="H1270" s="85" t="s">
        <v>1083</v>
      </c>
      <c r="I1270" s="85">
        <v>7</v>
      </c>
      <c r="J1270" s="87">
        <v>4</v>
      </c>
      <c r="K1270" s="88">
        <f t="shared" si="60"/>
        <v>28</v>
      </c>
      <c r="L1270" s="85">
        <v>3526</v>
      </c>
    </row>
    <row r="1271" spans="1:12" x14ac:dyDescent="0.25">
      <c r="A1271" s="84" t="str">
        <f t="shared" si="58"/>
        <v>MarçoSEMANA 4Cenoura</v>
      </c>
      <c r="B1271" s="85" t="s">
        <v>31</v>
      </c>
      <c r="C1271" s="85" t="s">
        <v>23</v>
      </c>
      <c r="D1271" s="86">
        <v>22</v>
      </c>
      <c r="E1271" s="116" t="str">
        <f t="shared" si="59"/>
        <v>Hortifruti</v>
      </c>
      <c r="F1271" s="85" t="s">
        <v>1110</v>
      </c>
      <c r="G1271" s="85" t="s">
        <v>249</v>
      </c>
      <c r="H1271" s="85" t="s">
        <v>1083</v>
      </c>
      <c r="I1271" s="85">
        <v>20.260000000000002</v>
      </c>
      <c r="J1271" s="87">
        <f>50/20.26</f>
        <v>2.4679170779861797</v>
      </c>
      <c r="K1271" s="88">
        <f t="shared" si="60"/>
        <v>50.000000000000007</v>
      </c>
      <c r="L1271" s="85">
        <v>3526</v>
      </c>
    </row>
    <row r="1272" spans="1:12" x14ac:dyDescent="0.25">
      <c r="A1272" s="84" t="str">
        <f t="shared" si="58"/>
        <v>MarçoSEMANA 4Tomate Salada</v>
      </c>
      <c r="B1272" s="85" t="s">
        <v>31</v>
      </c>
      <c r="C1272" s="85" t="s">
        <v>23</v>
      </c>
      <c r="D1272" s="86">
        <v>22</v>
      </c>
      <c r="E1272" s="116" t="str">
        <f t="shared" si="59"/>
        <v>Hortifruti</v>
      </c>
      <c r="F1272" s="85" t="s">
        <v>1110</v>
      </c>
      <c r="G1272" s="85" t="s">
        <v>794</v>
      </c>
      <c r="H1272" s="85" t="s">
        <v>1083</v>
      </c>
      <c r="I1272" s="85">
        <v>19.920000000000002</v>
      </c>
      <c r="J1272" s="87">
        <f>65/19.92</f>
        <v>3.2630522088353411</v>
      </c>
      <c r="K1272" s="88">
        <f t="shared" si="60"/>
        <v>65</v>
      </c>
      <c r="L1272" s="85">
        <v>3526</v>
      </c>
    </row>
    <row r="1273" spans="1:12" x14ac:dyDescent="0.25">
      <c r="A1273" s="84" t="str">
        <f t="shared" si="58"/>
        <v>MarçoSEMANA 4Alecrim</v>
      </c>
      <c r="B1273" s="85" t="s">
        <v>31</v>
      </c>
      <c r="C1273" s="85" t="s">
        <v>23</v>
      </c>
      <c r="D1273" s="86">
        <v>22</v>
      </c>
      <c r="E1273" s="116" t="str">
        <f t="shared" si="59"/>
        <v>Hortifruti</v>
      </c>
      <c r="F1273" s="85" t="s">
        <v>1110</v>
      </c>
      <c r="G1273" s="85" t="s">
        <v>101</v>
      </c>
      <c r="H1273" s="85" t="s">
        <v>1083</v>
      </c>
      <c r="I1273" s="85">
        <v>0.2</v>
      </c>
      <c r="J1273" s="87">
        <v>14</v>
      </c>
      <c r="K1273" s="88">
        <f t="shared" si="60"/>
        <v>2.8000000000000003</v>
      </c>
      <c r="L1273" s="85">
        <v>3526</v>
      </c>
    </row>
    <row r="1274" spans="1:12" x14ac:dyDescent="0.25">
      <c r="A1274" s="84" t="str">
        <f t="shared" si="58"/>
        <v>MarçoSEMANA 4Brócolis Americano</v>
      </c>
      <c r="B1274" s="85" t="s">
        <v>31</v>
      </c>
      <c r="C1274" s="85" t="s">
        <v>23</v>
      </c>
      <c r="D1274" s="86">
        <v>22</v>
      </c>
      <c r="E1274" s="116" t="str">
        <f t="shared" si="59"/>
        <v>Hortifruti</v>
      </c>
      <c r="F1274" s="85" t="s">
        <v>1110</v>
      </c>
      <c r="G1274" s="85" t="s">
        <v>194</v>
      </c>
      <c r="H1274" s="85" t="s">
        <v>1083</v>
      </c>
      <c r="I1274" s="85">
        <v>10</v>
      </c>
      <c r="J1274" s="87">
        <v>12</v>
      </c>
      <c r="K1274" s="88">
        <f t="shared" si="60"/>
        <v>120</v>
      </c>
      <c r="L1274" s="85">
        <v>3526</v>
      </c>
    </row>
    <row r="1275" spans="1:12" x14ac:dyDescent="0.25">
      <c r="A1275" s="84" t="str">
        <f t="shared" si="58"/>
        <v>MarçoSEMANA 4Cebolinha Verde</v>
      </c>
      <c r="B1275" s="85" t="s">
        <v>31</v>
      </c>
      <c r="C1275" s="85" t="s">
        <v>23</v>
      </c>
      <c r="D1275" s="86">
        <v>22</v>
      </c>
      <c r="E1275" s="116" t="str">
        <f t="shared" si="59"/>
        <v>Hortifruti</v>
      </c>
      <c r="F1275" s="85" t="s">
        <v>1110</v>
      </c>
      <c r="G1275" s="85" t="s">
        <v>247</v>
      </c>
      <c r="H1275" s="85" t="s">
        <v>1083</v>
      </c>
      <c r="I1275" s="85">
        <v>0.5</v>
      </c>
      <c r="J1275" s="87">
        <v>7</v>
      </c>
      <c r="K1275" s="88">
        <f t="shared" si="60"/>
        <v>3.5</v>
      </c>
      <c r="L1275" s="85">
        <v>3526</v>
      </c>
    </row>
    <row r="1276" spans="1:12" x14ac:dyDescent="0.25">
      <c r="A1276" s="84" t="str">
        <f t="shared" si="58"/>
        <v>MarçoSEMANA 4Couve Manteiga</v>
      </c>
      <c r="B1276" s="85" t="s">
        <v>31</v>
      </c>
      <c r="C1276" s="85" t="s">
        <v>23</v>
      </c>
      <c r="D1276" s="86">
        <v>22</v>
      </c>
      <c r="E1276" s="116" t="str">
        <f t="shared" si="59"/>
        <v>Hortifruti</v>
      </c>
      <c r="F1276" s="85" t="s">
        <v>1110</v>
      </c>
      <c r="G1276" s="85" t="s">
        <v>307</v>
      </c>
      <c r="H1276" s="85" t="s">
        <v>1083</v>
      </c>
      <c r="I1276" s="85">
        <v>10</v>
      </c>
      <c r="J1276" s="87">
        <v>6</v>
      </c>
      <c r="K1276" s="88">
        <f t="shared" si="60"/>
        <v>60</v>
      </c>
      <c r="L1276" s="85">
        <v>3526</v>
      </c>
    </row>
    <row r="1277" spans="1:12" x14ac:dyDescent="0.25">
      <c r="A1277" s="84" t="str">
        <f t="shared" si="58"/>
        <v>MarçoSEMANA 4Manjericão</v>
      </c>
      <c r="B1277" s="85" t="s">
        <v>31</v>
      </c>
      <c r="C1277" s="85" t="s">
        <v>23</v>
      </c>
      <c r="D1277" s="86">
        <v>22</v>
      </c>
      <c r="E1277" s="116" t="str">
        <f t="shared" si="59"/>
        <v>Hortifruti</v>
      </c>
      <c r="F1277" s="85" t="s">
        <v>1110</v>
      </c>
      <c r="G1277" s="85" t="s">
        <v>498</v>
      </c>
      <c r="H1277" s="85" t="s">
        <v>1083</v>
      </c>
      <c r="I1277" s="85">
        <v>0.3</v>
      </c>
      <c r="J1277" s="87">
        <v>10</v>
      </c>
      <c r="K1277" s="88">
        <f t="shared" si="60"/>
        <v>3</v>
      </c>
      <c r="L1277" s="85">
        <v>3526</v>
      </c>
    </row>
    <row r="1278" spans="1:12" x14ac:dyDescent="0.25">
      <c r="A1278" s="84" t="str">
        <f t="shared" si="58"/>
        <v>MarçoSEMANA 4Rabanete</v>
      </c>
      <c r="B1278" s="85" t="s">
        <v>31</v>
      </c>
      <c r="C1278" s="85" t="s">
        <v>23</v>
      </c>
      <c r="D1278" s="86">
        <v>22</v>
      </c>
      <c r="E1278" s="116" t="str">
        <f t="shared" si="59"/>
        <v>Hortifruti</v>
      </c>
      <c r="F1278" s="85" t="s">
        <v>1110</v>
      </c>
      <c r="G1278" s="85" t="s">
        <v>693</v>
      </c>
      <c r="H1278" s="85" t="s">
        <v>1083</v>
      </c>
      <c r="I1278" s="85">
        <v>0.5</v>
      </c>
      <c r="J1278" s="87">
        <v>6.8</v>
      </c>
      <c r="K1278" s="88">
        <f t="shared" si="60"/>
        <v>3.4</v>
      </c>
      <c r="L1278" s="85">
        <v>3526</v>
      </c>
    </row>
    <row r="1279" spans="1:12" x14ac:dyDescent="0.25">
      <c r="A1279" s="84" t="str">
        <f t="shared" si="58"/>
        <v>MarçoSEMANA 4Rúcula</v>
      </c>
      <c r="B1279" s="85" t="s">
        <v>31</v>
      </c>
      <c r="C1279" s="85" t="s">
        <v>23</v>
      </c>
      <c r="D1279" s="86">
        <v>22</v>
      </c>
      <c r="E1279" s="116" t="str">
        <f t="shared" si="59"/>
        <v>Hortifruti</v>
      </c>
      <c r="F1279" s="85" t="s">
        <v>1110</v>
      </c>
      <c r="G1279" s="85" t="s">
        <v>705</v>
      </c>
      <c r="H1279" s="85" t="s">
        <v>1083</v>
      </c>
      <c r="I1279" s="85">
        <v>4</v>
      </c>
      <c r="J1279" s="87">
        <v>8</v>
      </c>
      <c r="K1279" s="88">
        <f t="shared" si="60"/>
        <v>32</v>
      </c>
      <c r="L1279" s="85">
        <v>3526</v>
      </c>
    </row>
    <row r="1280" spans="1:12" x14ac:dyDescent="0.25">
      <c r="A1280" s="84" t="str">
        <f t="shared" si="58"/>
        <v>MarçoSEMANA 4Salsa</v>
      </c>
      <c r="B1280" s="85" t="s">
        <v>31</v>
      </c>
      <c r="C1280" s="85" t="s">
        <v>23</v>
      </c>
      <c r="D1280" s="86">
        <v>22</v>
      </c>
      <c r="E1280" s="116" t="str">
        <f t="shared" si="59"/>
        <v>Hortifruti</v>
      </c>
      <c r="F1280" s="85" t="s">
        <v>1110</v>
      </c>
      <c r="G1280" s="85" t="s">
        <v>728</v>
      </c>
      <c r="H1280" s="85" t="s">
        <v>1083</v>
      </c>
      <c r="I1280" s="85">
        <v>1</v>
      </c>
      <c r="J1280" s="87">
        <v>7</v>
      </c>
      <c r="K1280" s="88">
        <f t="shared" si="60"/>
        <v>7</v>
      </c>
      <c r="L1280" s="85">
        <v>3526</v>
      </c>
    </row>
    <row r="1281" spans="1:12" x14ac:dyDescent="0.25">
      <c r="A1281" s="84" t="str">
        <f t="shared" si="58"/>
        <v>MarçoSEMANA 4Mamão Bahia</v>
      </c>
      <c r="B1281" s="85" t="s">
        <v>31</v>
      </c>
      <c r="C1281" s="85" t="s">
        <v>23</v>
      </c>
      <c r="D1281" s="86">
        <v>22</v>
      </c>
      <c r="E1281" s="116" t="str">
        <f t="shared" si="59"/>
        <v>Hortifruti</v>
      </c>
      <c r="F1281" s="85" t="s">
        <v>1110</v>
      </c>
      <c r="G1281" s="85" t="s">
        <v>493</v>
      </c>
      <c r="H1281" s="85" t="s">
        <v>1083</v>
      </c>
      <c r="I1281" s="85">
        <v>3</v>
      </c>
      <c r="J1281" s="87">
        <v>2.8</v>
      </c>
      <c r="K1281" s="88">
        <f t="shared" si="60"/>
        <v>8.3999999999999986</v>
      </c>
      <c r="L1281" s="85">
        <v>3526</v>
      </c>
    </row>
    <row r="1282" spans="1:12" x14ac:dyDescent="0.25">
      <c r="A1282" s="84" t="str">
        <f t="shared" ref="A1282:A1345" si="61">CONCATENATE(B1282,C1282,G1282)</f>
        <v>MarçoSEMANA 4Manga Palmer</v>
      </c>
      <c r="B1282" s="85" t="s">
        <v>31</v>
      </c>
      <c r="C1282" s="85" t="s">
        <v>23</v>
      </c>
      <c r="D1282" s="86">
        <v>22</v>
      </c>
      <c r="E1282" s="116" t="str">
        <f t="shared" ref="E1282:E1345" si="62">VLOOKUP(G1282,$M$1:$O$993,3,0)</f>
        <v>Hortifruti</v>
      </c>
      <c r="F1282" s="85" t="s">
        <v>1110</v>
      </c>
      <c r="G1282" s="85" t="s">
        <v>495</v>
      </c>
      <c r="H1282" s="85" t="s">
        <v>1083</v>
      </c>
      <c r="I1282" s="85">
        <v>6.76</v>
      </c>
      <c r="J1282" s="87">
        <f>25/6.76</f>
        <v>3.6982248520710059</v>
      </c>
      <c r="K1282" s="88">
        <f t="shared" ref="K1282:K1345" si="63">I1282*J1282</f>
        <v>25</v>
      </c>
      <c r="L1282" s="85">
        <v>3526</v>
      </c>
    </row>
    <row r="1283" spans="1:12" hidden="1" x14ac:dyDescent="0.2">
      <c r="A1283" s="84" t="str">
        <f t="shared" si="61"/>
        <v>MarçoSEMANA 4Manga Tommy Sushi</v>
      </c>
      <c r="B1283" s="85" t="s">
        <v>31</v>
      </c>
      <c r="C1283" s="85" t="s">
        <v>23</v>
      </c>
      <c r="D1283" s="86">
        <v>22</v>
      </c>
      <c r="E1283" s="116" t="str">
        <f t="shared" si="62"/>
        <v>Sushi</v>
      </c>
      <c r="F1283" s="85" t="s">
        <v>1110</v>
      </c>
      <c r="G1283" s="85" t="s">
        <v>497</v>
      </c>
      <c r="H1283" s="85" t="s">
        <v>1083</v>
      </c>
      <c r="I1283" s="85">
        <v>2</v>
      </c>
      <c r="J1283" s="87">
        <v>4.5</v>
      </c>
      <c r="K1283" s="88">
        <f t="shared" si="63"/>
        <v>9</v>
      </c>
      <c r="L1283" s="85">
        <v>3526</v>
      </c>
    </row>
    <row r="1284" spans="1:12" x14ac:dyDescent="0.25">
      <c r="A1284" s="84" t="str">
        <f t="shared" si="61"/>
        <v>MarçoSEMANA 4Melão Orange</v>
      </c>
      <c r="B1284" s="85" t="s">
        <v>31</v>
      </c>
      <c r="C1284" s="85" t="s">
        <v>23</v>
      </c>
      <c r="D1284" s="86">
        <v>22</v>
      </c>
      <c r="E1284" s="116" t="str">
        <f t="shared" si="62"/>
        <v>Hortifruti</v>
      </c>
      <c r="F1284" s="85" t="s">
        <v>1110</v>
      </c>
      <c r="G1284" s="85" t="s">
        <v>518</v>
      </c>
      <c r="H1284" s="85" t="s">
        <v>1083</v>
      </c>
      <c r="I1284" s="85">
        <v>1.7</v>
      </c>
      <c r="J1284" s="87">
        <v>4.8</v>
      </c>
      <c r="K1284" s="88">
        <f t="shared" si="63"/>
        <v>8.16</v>
      </c>
      <c r="L1284" s="85">
        <v>3526</v>
      </c>
    </row>
    <row r="1285" spans="1:12" hidden="1" x14ac:dyDescent="0.2">
      <c r="A1285" s="84" t="str">
        <f t="shared" si="61"/>
        <v>MarçoSEMANA 4Carne Bovina - Maminha</v>
      </c>
      <c r="B1285" s="85" t="s">
        <v>31</v>
      </c>
      <c r="C1285" s="85" t="s">
        <v>23</v>
      </c>
      <c r="D1285" s="86">
        <v>22</v>
      </c>
      <c r="E1285" s="116" t="str">
        <f t="shared" si="62"/>
        <v>Carnes</v>
      </c>
      <c r="F1285" s="85" t="s">
        <v>1100</v>
      </c>
      <c r="G1285" s="85" t="s">
        <v>228</v>
      </c>
      <c r="H1285" s="85" t="s">
        <v>1083</v>
      </c>
      <c r="I1285" s="85">
        <v>15.864000000000001</v>
      </c>
      <c r="J1285" s="87">
        <v>17.438800000000001</v>
      </c>
      <c r="K1285" s="88">
        <f t="shared" si="63"/>
        <v>276.64912320000002</v>
      </c>
      <c r="L1285" s="85" t="s">
        <v>1311</v>
      </c>
    </row>
    <row r="1286" spans="1:12" hidden="1" x14ac:dyDescent="0.2">
      <c r="A1286" s="84" t="str">
        <f t="shared" si="61"/>
        <v>MarçoSEMANA 4Carne Bovina - Filé Mignon 3/4</v>
      </c>
      <c r="B1286" s="85" t="s">
        <v>31</v>
      </c>
      <c r="C1286" s="85" t="s">
        <v>23</v>
      </c>
      <c r="D1286" s="86">
        <v>22</v>
      </c>
      <c r="E1286" s="116" t="str">
        <f t="shared" si="62"/>
        <v>Carnes</v>
      </c>
      <c r="F1286" s="85" t="s">
        <v>1100</v>
      </c>
      <c r="G1286" s="85" t="s">
        <v>223</v>
      </c>
      <c r="H1286" s="85" t="s">
        <v>1083</v>
      </c>
      <c r="I1286" s="85">
        <v>25.056000000000001</v>
      </c>
      <c r="J1286" s="87">
        <v>29.591799999999999</v>
      </c>
      <c r="K1286" s="88">
        <f t="shared" si="63"/>
        <v>741.45214080000005</v>
      </c>
      <c r="L1286" s="85" t="s">
        <v>1311</v>
      </c>
    </row>
    <row r="1287" spans="1:12" hidden="1" x14ac:dyDescent="0.2">
      <c r="A1287" s="84" t="str">
        <f t="shared" si="61"/>
        <v>MarçoSEMANA 4Suíno - Lombinho Fresco</v>
      </c>
      <c r="B1287" s="85" t="s">
        <v>31</v>
      </c>
      <c r="C1287" s="85" t="s">
        <v>23</v>
      </c>
      <c r="D1287" s="86">
        <v>22</v>
      </c>
      <c r="E1287" s="116" t="str">
        <f t="shared" si="62"/>
        <v>Carnes</v>
      </c>
      <c r="F1287" s="85" t="s">
        <v>1101</v>
      </c>
      <c r="G1287" s="85" t="s">
        <v>766</v>
      </c>
      <c r="H1287" s="85" t="s">
        <v>1083</v>
      </c>
      <c r="I1287" s="85">
        <v>21.51</v>
      </c>
      <c r="J1287" s="87">
        <v>10.28</v>
      </c>
      <c r="K1287" s="88">
        <f t="shared" si="63"/>
        <v>221.12280000000001</v>
      </c>
      <c r="L1287" s="85" t="s">
        <v>1312</v>
      </c>
    </row>
    <row r="1288" spans="1:12" hidden="1" x14ac:dyDescent="0.2">
      <c r="A1288" s="84" t="str">
        <f t="shared" si="61"/>
        <v>MarçoSEMANA 4Aves - Filé de Peito de Frango</v>
      </c>
      <c r="B1288" s="85" t="s">
        <v>31</v>
      </c>
      <c r="C1288" s="85" t="s">
        <v>23</v>
      </c>
      <c r="D1288" s="86">
        <v>22</v>
      </c>
      <c r="E1288" s="116" t="str">
        <f t="shared" si="62"/>
        <v>Carnes</v>
      </c>
      <c r="F1288" s="85" t="s">
        <v>1092</v>
      </c>
      <c r="G1288" s="85" t="s">
        <v>139</v>
      </c>
      <c r="H1288" s="85" t="s">
        <v>1083</v>
      </c>
      <c r="I1288" s="85">
        <v>24</v>
      </c>
      <c r="J1288" s="87">
        <v>7.8</v>
      </c>
      <c r="K1288" s="88">
        <f t="shared" si="63"/>
        <v>187.2</v>
      </c>
      <c r="L1288" s="85" t="s">
        <v>1313</v>
      </c>
    </row>
    <row r="1289" spans="1:12" hidden="1" x14ac:dyDescent="0.2">
      <c r="A1289" s="84" t="str">
        <f t="shared" si="61"/>
        <v>MarçoSEMANA 4Aves - Coração de Frango</v>
      </c>
      <c r="B1289" s="85" t="s">
        <v>31</v>
      </c>
      <c r="C1289" s="85" t="s">
        <v>23</v>
      </c>
      <c r="D1289" s="86">
        <v>22</v>
      </c>
      <c r="E1289" s="116" t="str">
        <f t="shared" si="62"/>
        <v>Carnes</v>
      </c>
      <c r="F1289" s="85" t="s">
        <v>1092</v>
      </c>
      <c r="G1289" s="85" t="s">
        <v>136</v>
      </c>
      <c r="H1289" s="85" t="s">
        <v>1083</v>
      </c>
      <c r="I1289" s="85">
        <v>5</v>
      </c>
      <c r="J1289" s="87">
        <v>15.95</v>
      </c>
      <c r="K1289" s="88">
        <f t="shared" si="63"/>
        <v>79.75</v>
      </c>
      <c r="L1289" s="85" t="s">
        <v>1313</v>
      </c>
    </row>
    <row r="1290" spans="1:12" hidden="1" x14ac:dyDescent="0.2">
      <c r="A1290" s="84" t="str">
        <f t="shared" si="61"/>
        <v>MarçoSEMANA 4Pescados - Filé Truta Cong.</v>
      </c>
      <c r="B1290" s="85" t="s">
        <v>31</v>
      </c>
      <c r="C1290" s="85" t="s">
        <v>23</v>
      </c>
      <c r="D1290" s="86">
        <v>22</v>
      </c>
      <c r="E1290" s="116" t="str">
        <f t="shared" si="62"/>
        <v>Carnes</v>
      </c>
      <c r="F1290" s="85" t="s">
        <v>1263</v>
      </c>
      <c r="G1290" s="85" t="s">
        <v>616</v>
      </c>
      <c r="H1290" s="85" t="s">
        <v>1083</v>
      </c>
      <c r="I1290" s="85">
        <v>36</v>
      </c>
      <c r="J1290" s="87">
        <v>26</v>
      </c>
      <c r="K1290" s="88">
        <f t="shared" si="63"/>
        <v>936</v>
      </c>
      <c r="L1290" s="85" t="s">
        <v>1314</v>
      </c>
    </row>
    <row r="1291" spans="1:12" hidden="1" x14ac:dyDescent="0.2">
      <c r="A1291" s="84" t="str">
        <f t="shared" si="61"/>
        <v>MarçoSEMANA 4Cogumelo Paris</v>
      </c>
      <c r="B1291" s="85" t="s">
        <v>31</v>
      </c>
      <c r="C1291" s="85" t="s">
        <v>23</v>
      </c>
      <c r="D1291" s="86">
        <v>22</v>
      </c>
      <c r="E1291" s="116" t="str">
        <f t="shared" si="62"/>
        <v>Mercado</v>
      </c>
      <c r="F1291" s="85" t="s">
        <v>1263</v>
      </c>
      <c r="G1291" s="85" t="s">
        <v>292</v>
      </c>
      <c r="H1291" s="85" t="s">
        <v>1083</v>
      </c>
      <c r="I1291" s="85">
        <v>5</v>
      </c>
      <c r="J1291" s="87">
        <v>15.5</v>
      </c>
      <c r="K1291" s="88">
        <f t="shared" si="63"/>
        <v>77.5</v>
      </c>
      <c r="L1291" s="85" t="s">
        <v>1314</v>
      </c>
    </row>
    <row r="1292" spans="1:12" hidden="1" x14ac:dyDescent="0.2">
      <c r="A1292" s="84" t="str">
        <f t="shared" si="61"/>
        <v>MarçoSEMANA 4Aves - Magret de Pato</v>
      </c>
      <c r="B1292" s="85" t="s">
        <v>31</v>
      </c>
      <c r="C1292" s="85" t="s">
        <v>23</v>
      </c>
      <c r="D1292" s="86">
        <v>22</v>
      </c>
      <c r="E1292" s="116" t="str">
        <f t="shared" si="62"/>
        <v>Carnes</v>
      </c>
      <c r="F1292" s="85" t="s">
        <v>1229</v>
      </c>
      <c r="G1292" s="85" t="s">
        <v>144</v>
      </c>
      <c r="H1292" s="85" t="s">
        <v>1083</v>
      </c>
      <c r="I1292" s="85">
        <v>10.92</v>
      </c>
      <c r="J1292" s="87">
        <v>25</v>
      </c>
      <c r="K1292" s="88">
        <f t="shared" si="63"/>
        <v>273</v>
      </c>
      <c r="L1292" s="85">
        <v>35411</v>
      </c>
    </row>
    <row r="1293" spans="1:12" x14ac:dyDescent="0.25">
      <c r="A1293" s="84" t="str">
        <f t="shared" si="61"/>
        <v>MarçoSEMANA 4Abobora</v>
      </c>
      <c r="B1293" s="85" t="s">
        <v>31</v>
      </c>
      <c r="C1293" s="85" t="s">
        <v>23</v>
      </c>
      <c r="D1293" s="86">
        <v>22</v>
      </c>
      <c r="E1293" s="116" t="str">
        <f t="shared" si="62"/>
        <v>Hortifruti</v>
      </c>
      <c r="F1293" s="85" t="s">
        <v>1111</v>
      </c>
      <c r="G1293" s="85" t="s">
        <v>68</v>
      </c>
      <c r="H1293" s="85" t="s">
        <v>1083</v>
      </c>
      <c r="I1293" s="85">
        <v>6</v>
      </c>
      <c r="J1293" s="87">
        <v>1.99</v>
      </c>
      <c r="K1293" s="88">
        <f t="shared" si="63"/>
        <v>11.94</v>
      </c>
      <c r="L1293" s="85">
        <v>19365</v>
      </c>
    </row>
    <row r="1294" spans="1:12" x14ac:dyDescent="0.25">
      <c r="A1294" s="84" t="str">
        <f t="shared" si="61"/>
        <v>MarçoSEMANA 4Côco Verde</v>
      </c>
      <c r="B1294" s="85" t="s">
        <v>31</v>
      </c>
      <c r="C1294" s="85" t="s">
        <v>23</v>
      </c>
      <c r="D1294" s="86">
        <v>22</v>
      </c>
      <c r="E1294" s="116" t="str">
        <f t="shared" si="62"/>
        <v>Hortifruti</v>
      </c>
      <c r="F1294" s="85" t="s">
        <v>1111</v>
      </c>
      <c r="G1294" s="85" t="s">
        <v>288</v>
      </c>
      <c r="H1294" s="85" t="s">
        <v>1090</v>
      </c>
      <c r="I1294" s="85">
        <v>15</v>
      </c>
      <c r="J1294" s="87">
        <v>2.25</v>
      </c>
      <c r="K1294" s="88">
        <f t="shared" si="63"/>
        <v>33.75</v>
      </c>
      <c r="L1294" s="85">
        <v>19365</v>
      </c>
    </row>
    <row r="1295" spans="1:12" x14ac:dyDescent="0.25">
      <c r="A1295" s="84" t="str">
        <f t="shared" si="61"/>
        <v>MarçoSEMANA 4Berinjela</v>
      </c>
      <c r="B1295" s="85" t="s">
        <v>31</v>
      </c>
      <c r="C1295" s="85" t="s">
        <v>23</v>
      </c>
      <c r="D1295" s="86">
        <v>22</v>
      </c>
      <c r="E1295" s="116" t="str">
        <f t="shared" si="62"/>
        <v>Hortifruti</v>
      </c>
      <c r="F1295" s="85" t="s">
        <v>1111</v>
      </c>
      <c r="G1295" s="85" t="s">
        <v>178</v>
      </c>
      <c r="H1295" s="85" t="s">
        <v>1083</v>
      </c>
      <c r="I1295" s="85">
        <v>11.12</v>
      </c>
      <c r="J1295" s="87">
        <f>27/11.12</f>
        <v>2.4280575539568345</v>
      </c>
      <c r="K1295" s="88">
        <f t="shared" si="63"/>
        <v>26.999999999999996</v>
      </c>
      <c r="L1295" s="85">
        <v>19365</v>
      </c>
    </row>
    <row r="1296" spans="1:12" x14ac:dyDescent="0.25">
      <c r="A1296" s="84" t="str">
        <f t="shared" si="61"/>
        <v>MarçoSEMANA 4Maçã Nacional</v>
      </c>
      <c r="B1296" s="85" t="s">
        <v>31</v>
      </c>
      <c r="C1296" s="85" t="s">
        <v>23</v>
      </c>
      <c r="D1296" s="86">
        <v>22</v>
      </c>
      <c r="E1296" s="116" t="str">
        <f t="shared" si="62"/>
        <v>Hortifruti</v>
      </c>
      <c r="F1296" s="85" t="s">
        <v>1111</v>
      </c>
      <c r="G1296" s="85" t="s">
        <v>476</v>
      </c>
      <c r="H1296" s="85" t="s">
        <v>1083</v>
      </c>
      <c r="I1296" s="85">
        <v>17.399999999999999</v>
      </c>
      <c r="J1296" s="87">
        <f>65/17.4</f>
        <v>3.7356321839080464</v>
      </c>
      <c r="K1296" s="88">
        <f t="shared" si="63"/>
        <v>65</v>
      </c>
      <c r="L1296" s="85">
        <v>19365</v>
      </c>
    </row>
    <row r="1297" spans="1:12" x14ac:dyDescent="0.25">
      <c r="A1297" s="84" t="str">
        <f t="shared" si="61"/>
        <v>MarçoSEMANA 4Ovos Extra</v>
      </c>
      <c r="B1297" s="85" t="s">
        <v>31</v>
      </c>
      <c r="C1297" s="85" t="s">
        <v>23</v>
      </c>
      <c r="D1297" s="86">
        <v>22</v>
      </c>
      <c r="E1297" s="116" t="str">
        <f t="shared" si="62"/>
        <v>Hortifruti</v>
      </c>
      <c r="F1297" s="85" t="s">
        <v>1111</v>
      </c>
      <c r="G1297" s="85" t="s">
        <v>549</v>
      </c>
      <c r="H1297" s="85" t="s">
        <v>1083</v>
      </c>
      <c r="I1297" s="85">
        <v>360</v>
      </c>
      <c r="J1297" s="87">
        <f>107/360</f>
        <v>0.29722222222222222</v>
      </c>
      <c r="K1297" s="88">
        <f t="shared" si="63"/>
        <v>107</v>
      </c>
      <c r="L1297" s="85">
        <v>19365</v>
      </c>
    </row>
    <row r="1298" spans="1:12" hidden="1" x14ac:dyDescent="0.2">
      <c r="A1298" s="84" t="str">
        <f t="shared" si="61"/>
        <v>MarçoSEMANA 4Ice Tea Pêssego</v>
      </c>
      <c r="B1298" s="85" t="s">
        <v>31</v>
      </c>
      <c r="C1298" s="85" t="s">
        <v>23</v>
      </c>
      <c r="D1298" s="86">
        <v>22</v>
      </c>
      <c r="E1298" s="116" t="str">
        <f t="shared" si="62"/>
        <v>Bebidas</v>
      </c>
      <c r="F1298" s="85" t="s">
        <v>1139</v>
      </c>
      <c r="G1298" s="85" t="s">
        <v>445</v>
      </c>
      <c r="H1298" s="85" t="s">
        <v>1090</v>
      </c>
      <c r="I1298" s="85">
        <f>5*12</f>
        <v>60</v>
      </c>
      <c r="J1298" s="87">
        <f>120.31/60</f>
        <v>2.0051666666666668</v>
      </c>
      <c r="K1298" s="88">
        <f t="shared" si="63"/>
        <v>120.31</v>
      </c>
      <c r="L1298" s="85" t="s">
        <v>1315</v>
      </c>
    </row>
    <row r="1299" spans="1:12" hidden="1" x14ac:dyDescent="0.2">
      <c r="A1299" s="84" t="str">
        <f t="shared" si="61"/>
        <v>MarçoSEMANA 4H2O Limão</v>
      </c>
      <c r="B1299" s="85" t="s">
        <v>31</v>
      </c>
      <c r="C1299" s="85" t="s">
        <v>23</v>
      </c>
      <c r="D1299" s="86">
        <v>22</v>
      </c>
      <c r="E1299" s="116" t="str">
        <f t="shared" si="62"/>
        <v>Bebidas</v>
      </c>
      <c r="F1299" s="85" t="s">
        <v>1139</v>
      </c>
      <c r="G1299" s="85" t="s">
        <v>400</v>
      </c>
      <c r="H1299" s="85" t="s">
        <v>1090</v>
      </c>
      <c r="I1299" s="85">
        <v>12</v>
      </c>
      <c r="J1299" s="87">
        <f>15.2/12</f>
        <v>1.2666666666666666</v>
      </c>
      <c r="K1299" s="88">
        <f t="shared" si="63"/>
        <v>15.2</v>
      </c>
      <c r="L1299" s="85" t="s">
        <v>1315</v>
      </c>
    </row>
    <row r="1300" spans="1:12" hidden="1" x14ac:dyDescent="0.2">
      <c r="A1300" s="84" t="str">
        <f t="shared" si="61"/>
        <v>MarçoSEMANA 4Pescados - Kani Sushi</v>
      </c>
      <c r="B1300" s="85" t="s">
        <v>31</v>
      </c>
      <c r="C1300" s="85" t="s">
        <v>23</v>
      </c>
      <c r="D1300" s="86">
        <v>20</v>
      </c>
      <c r="E1300" s="116" t="str">
        <f t="shared" si="62"/>
        <v>Sushi</v>
      </c>
      <c r="F1300" s="85" t="s">
        <v>1166</v>
      </c>
      <c r="G1300" s="85" t="s">
        <v>619</v>
      </c>
      <c r="H1300" s="85" t="s">
        <v>1083</v>
      </c>
      <c r="I1300" s="85">
        <f>0.25+0.25+1.25</f>
        <v>1.75</v>
      </c>
      <c r="J1300" s="87">
        <v>21.99</v>
      </c>
      <c r="K1300" s="88">
        <f t="shared" si="63"/>
        <v>38.482499999999995</v>
      </c>
      <c r="L1300" s="85">
        <v>330428</v>
      </c>
    </row>
    <row r="1301" spans="1:12" hidden="1" x14ac:dyDescent="0.2">
      <c r="A1301" s="84" t="str">
        <f t="shared" si="61"/>
        <v>MarçoSEMANA 4Pepino Japonês Sushi</v>
      </c>
      <c r="B1301" s="85" t="s">
        <v>31</v>
      </c>
      <c r="C1301" s="85" t="s">
        <v>23</v>
      </c>
      <c r="D1301" s="86">
        <v>20</v>
      </c>
      <c r="E1301" s="116" t="str">
        <f t="shared" si="62"/>
        <v>Sushi</v>
      </c>
      <c r="F1301" s="85" t="s">
        <v>1110</v>
      </c>
      <c r="G1301" s="85" t="s">
        <v>578</v>
      </c>
      <c r="H1301" s="85" t="s">
        <v>1083</v>
      </c>
      <c r="I1301" s="85">
        <v>0.3</v>
      </c>
      <c r="J1301" s="87">
        <f>45/19.28</f>
        <v>2.3340248962655599</v>
      </c>
      <c r="K1301" s="88">
        <f t="shared" si="63"/>
        <v>0.70020746887966789</v>
      </c>
      <c r="L1301" s="85">
        <v>3495</v>
      </c>
    </row>
    <row r="1302" spans="1:12" hidden="1" x14ac:dyDescent="0.2">
      <c r="A1302" s="84" t="str">
        <f t="shared" si="61"/>
        <v>MarçoSEMANA 4Chiclete Adams</v>
      </c>
      <c r="B1302" s="85" t="s">
        <v>31</v>
      </c>
      <c r="C1302" s="85" t="s">
        <v>23</v>
      </c>
      <c r="D1302" s="86">
        <v>22</v>
      </c>
      <c r="E1302" s="116" t="str">
        <f t="shared" si="62"/>
        <v>Vendas Caixa</v>
      </c>
      <c r="F1302" s="85" t="s">
        <v>1316</v>
      </c>
      <c r="G1302" s="85" t="s">
        <v>273</v>
      </c>
      <c r="H1302" s="85" t="s">
        <v>1209</v>
      </c>
      <c r="I1302" s="85">
        <v>5</v>
      </c>
      <c r="J1302" s="87">
        <v>15.5</v>
      </c>
      <c r="K1302" s="88">
        <f t="shared" si="63"/>
        <v>77.5</v>
      </c>
      <c r="L1302" s="85">
        <v>4931</v>
      </c>
    </row>
    <row r="1303" spans="1:12" hidden="1" x14ac:dyDescent="0.2">
      <c r="A1303" s="84" t="str">
        <f t="shared" si="61"/>
        <v>MarçoSEMANA 4Trident</v>
      </c>
      <c r="B1303" s="85" t="s">
        <v>31</v>
      </c>
      <c r="C1303" s="85" t="s">
        <v>23</v>
      </c>
      <c r="D1303" s="86">
        <v>22</v>
      </c>
      <c r="E1303" s="116" t="str">
        <f t="shared" si="62"/>
        <v>Vendas Caixa</v>
      </c>
      <c r="F1303" s="85" t="s">
        <v>1316</v>
      </c>
      <c r="G1303" s="85" t="s">
        <v>823</v>
      </c>
      <c r="H1303" s="85" t="s">
        <v>1209</v>
      </c>
      <c r="I1303" s="85">
        <v>15</v>
      </c>
      <c r="J1303" s="87">
        <v>17.5</v>
      </c>
      <c r="K1303" s="88">
        <f t="shared" si="63"/>
        <v>262.5</v>
      </c>
      <c r="L1303" s="85">
        <v>4931</v>
      </c>
    </row>
    <row r="1304" spans="1:12" hidden="1" x14ac:dyDescent="0.2">
      <c r="A1304" s="84" t="str">
        <f t="shared" si="61"/>
        <v xml:space="preserve">MarçoSEMANA 4Biscoito de Milho Venda </v>
      </c>
      <c r="B1304" s="85" t="s">
        <v>31</v>
      </c>
      <c r="C1304" s="85" t="s">
        <v>23</v>
      </c>
      <c r="D1304" s="86">
        <v>20</v>
      </c>
      <c r="E1304" s="116" t="str">
        <f t="shared" si="62"/>
        <v>Vendas Caixa</v>
      </c>
      <c r="F1304" s="85" t="s">
        <v>1175</v>
      </c>
      <c r="G1304" s="85" t="s">
        <v>184</v>
      </c>
      <c r="H1304" s="85" t="s">
        <v>1083</v>
      </c>
      <c r="I1304" s="85">
        <f>1.1+1.1+1.1+1.1</f>
        <v>4.4000000000000004</v>
      </c>
      <c r="J1304" s="87">
        <f>310.73/14</f>
        <v>22.195</v>
      </c>
      <c r="K1304" s="88">
        <f t="shared" si="63"/>
        <v>97.658000000000015</v>
      </c>
      <c r="L1304" s="85">
        <v>32587</v>
      </c>
    </row>
    <row r="1305" spans="1:12" hidden="1" x14ac:dyDescent="0.2">
      <c r="A1305" s="84" t="str">
        <f t="shared" si="61"/>
        <v>MarçoSEMANA 4Gelo em Escamas</v>
      </c>
      <c r="B1305" s="85" t="s">
        <v>31</v>
      </c>
      <c r="C1305" s="85" t="s">
        <v>23</v>
      </c>
      <c r="D1305" s="86">
        <v>23</v>
      </c>
      <c r="E1305" s="116" t="str">
        <f t="shared" si="62"/>
        <v>Mercado</v>
      </c>
      <c r="F1305" s="85" t="s">
        <v>1096</v>
      </c>
      <c r="G1305" s="85" t="s">
        <v>384</v>
      </c>
      <c r="H1305" s="85" t="s">
        <v>1097</v>
      </c>
      <c r="I1305" s="85">
        <v>2</v>
      </c>
      <c r="J1305" s="87">
        <v>7.5</v>
      </c>
      <c r="K1305" s="88">
        <f t="shared" si="63"/>
        <v>15</v>
      </c>
      <c r="L1305" s="85">
        <v>4007</v>
      </c>
    </row>
    <row r="1306" spans="1:12" hidden="1" x14ac:dyDescent="0.2">
      <c r="A1306" s="84" t="str">
        <f t="shared" si="61"/>
        <v>MarçoSEMANA 4Gelo em Cubo</v>
      </c>
      <c r="B1306" s="85" t="s">
        <v>31</v>
      </c>
      <c r="C1306" s="85" t="s">
        <v>23</v>
      </c>
      <c r="D1306" s="86">
        <v>23</v>
      </c>
      <c r="E1306" s="116" t="str">
        <f t="shared" si="62"/>
        <v>Mercado</v>
      </c>
      <c r="F1306" s="85" t="s">
        <v>1096</v>
      </c>
      <c r="G1306" s="85" t="s">
        <v>383</v>
      </c>
      <c r="H1306" s="85" t="s">
        <v>1097</v>
      </c>
      <c r="I1306" s="85">
        <v>3</v>
      </c>
      <c r="J1306" s="87">
        <v>7.5</v>
      </c>
      <c r="K1306" s="88">
        <f t="shared" si="63"/>
        <v>22.5</v>
      </c>
      <c r="L1306" s="85">
        <v>4007</v>
      </c>
    </row>
    <row r="1307" spans="1:12" hidden="1" x14ac:dyDescent="0.2">
      <c r="A1307" s="84" t="str">
        <f t="shared" si="61"/>
        <v>MarçoSEMANA 4Aves - Filé de Peito de Frango</v>
      </c>
      <c r="B1307" s="85" t="s">
        <v>31</v>
      </c>
      <c r="C1307" s="85" t="s">
        <v>23</v>
      </c>
      <c r="D1307" s="86">
        <v>23</v>
      </c>
      <c r="E1307" s="116" t="str">
        <f t="shared" si="62"/>
        <v>Carnes</v>
      </c>
      <c r="F1307" s="85" t="s">
        <v>1092</v>
      </c>
      <c r="G1307" s="85" t="s">
        <v>139</v>
      </c>
      <c r="H1307" s="85" t="s">
        <v>1083</v>
      </c>
      <c r="I1307" s="85">
        <v>24</v>
      </c>
      <c r="J1307" s="87">
        <v>7.8</v>
      </c>
      <c r="K1307" s="88">
        <f t="shared" si="63"/>
        <v>187.2</v>
      </c>
      <c r="L1307" s="157">
        <v>3416322</v>
      </c>
    </row>
    <row r="1308" spans="1:12" hidden="1" x14ac:dyDescent="0.2">
      <c r="A1308" s="84" t="str">
        <f t="shared" si="61"/>
        <v>MarçoSEMANA 4Aves - Filé de Coxa</v>
      </c>
      <c r="B1308" s="85" t="s">
        <v>31</v>
      </c>
      <c r="C1308" s="85" t="s">
        <v>23</v>
      </c>
      <c r="D1308" s="86">
        <v>23</v>
      </c>
      <c r="E1308" s="116" t="str">
        <f t="shared" si="62"/>
        <v>Carnes</v>
      </c>
      <c r="F1308" s="85" t="s">
        <v>1092</v>
      </c>
      <c r="G1308" s="85" t="s">
        <v>137</v>
      </c>
      <c r="H1308" s="85" t="s">
        <v>1083</v>
      </c>
      <c r="I1308" s="85">
        <f>36*0.7</f>
        <v>25.2</v>
      </c>
      <c r="J1308" s="87">
        <f>219.24/25.2</f>
        <v>8.7000000000000011</v>
      </c>
      <c r="K1308" s="88">
        <f t="shared" si="63"/>
        <v>219.24</v>
      </c>
      <c r="L1308" s="157">
        <v>3416322</v>
      </c>
    </row>
    <row r="1309" spans="1:12" hidden="1" x14ac:dyDescent="0.2">
      <c r="A1309" s="84" t="str">
        <f t="shared" si="61"/>
        <v>MarçoSEMANA 4Creme de Leite Culinário 20% Bd 10 Lt</v>
      </c>
      <c r="B1309" s="85" t="s">
        <v>31</v>
      </c>
      <c r="C1309" s="85" t="s">
        <v>23</v>
      </c>
      <c r="D1309" s="86">
        <v>23</v>
      </c>
      <c r="E1309" s="116" t="str">
        <f t="shared" si="62"/>
        <v>Laticínios</v>
      </c>
      <c r="F1309" s="85" t="s">
        <v>1152</v>
      </c>
      <c r="G1309" s="85" t="s">
        <v>315</v>
      </c>
      <c r="H1309" s="85" t="s">
        <v>1088</v>
      </c>
      <c r="I1309" s="85">
        <v>2</v>
      </c>
      <c r="J1309" s="87">
        <v>142.44999999999999</v>
      </c>
      <c r="K1309" s="88">
        <f t="shared" si="63"/>
        <v>284.89999999999998</v>
      </c>
      <c r="L1309" s="85" t="s">
        <v>1317</v>
      </c>
    </row>
    <row r="1310" spans="1:12" hidden="1" x14ac:dyDescent="0.2">
      <c r="A1310" s="84" t="str">
        <f t="shared" si="61"/>
        <v>MarçoSEMANA 4Queijo Mussarela</v>
      </c>
      <c r="B1310" s="85" t="s">
        <v>31</v>
      </c>
      <c r="C1310" s="85" t="s">
        <v>23</v>
      </c>
      <c r="D1310" s="86">
        <v>23</v>
      </c>
      <c r="E1310" s="116" t="str">
        <f t="shared" si="62"/>
        <v>Laticínios</v>
      </c>
      <c r="F1310" s="85" t="s">
        <v>1152</v>
      </c>
      <c r="G1310" s="85" t="s">
        <v>684</v>
      </c>
      <c r="H1310" s="85" t="s">
        <v>1083</v>
      </c>
      <c r="I1310" s="85">
        <v>3.1</v>
      </c>
      <c r="J1310" s="87">
        <v>26</v>
      </c>
      <c r="K1310" s="88">
        <f t="shared" si="63"/>
        <v>80.600000000000009</v>
      </c>
      <c r="L1310" s="85" t="s">
        <v>1317</v>
      </c>
    </row>
    <row r="1311" spans="1:12" hidden="1" x14ac:dyDescent="0.2">
      <c r="A1311" s="84" t="str">
        <f t="shared" si="61"/>
        <v>MarçoSEMANA 4Queijo Minas</v>
      </c>
      <c r="B1311" s="85" t="s">
        <v>31</v>
      </c>
      <c r="C1311" s="85" t="s">
        <v>23</v>
      </c>
      <c r="D1311" s="86">
        <v>23</v>
      </c>
      <c r="E1311" s="116" t="str">
        <f t="shared" si="62"/>
        <v>Laticínios</v>
      </c>
      <c r="F1311" s="85" t="s">
        <v>1152</v>
      </c>
      <c r="G1311" s="85" t="s">
        <v>681</v>
      </c>
      <c r="H1311" s="85" t="s">
        <v>1083</v>
      </c>
      <c r="I1311" s="85">
        <v>1.5</v>
      </c>
      <c r="J1311" s="87">
        <v>20.8</v>
      </c>
      <c r="K1311" s="88">
        <f t="shared" si="63"/>
        <v>31.200000000000003</v>
      </c>
      <c r="L1311" s="85" t="s">
        <v>1317</v>
      </c>
    </row>
    <row r="1312" spans="1:12" hidden="1" x14ac:dyDescent="0.2">
      <c r="A1312" s="84" t="str">
        <f t="shared" si="61"/>
        <v>MarçoSEMANA 4Queijo Ricota</v>
      </c>
      <c r="B1312" s="85" t="s">
        <v>31</v>
      </c>
      <c r="C1312" s="85" t="s">
        <v>23</v>
      </c>
      <c r="D1312" s="86">
        <v>23</v>
      </c>
      <c r="E1312" s="116" t="str">
        <f t="shared" si="62"/>
        <v>Laticínios</v>
      </c>
      <c r="F1312" s="85" t="s">
        <v>1152</v>
      </c>
      <c r="G1312" s="85" t="s">
        <v>688</v>
      </c>
      <c r="H1312" s="85" t="s">
        <v>1083</v>
      </c>
      <c r="I1312" s="85">
        <v>2.82</v>
      </c>
      <c r="J1312" s="87">
        <v>10.6</v>
      </c>
      <c r="K1312" s="88">
        <f t="shared" si="63"/>
        <v>29.891999999999996</v>
      </c>
      <c r="L1312" s="85" t="s">
        <v>1317</v>
      </c>
    </row>
    <row r="1313" spans="1:12" hidden="1" x14ac:dyDescent="0.2">
      <c r="A1313" s="84" t="str">
        <f t="shared" si="61"/>
        <v>MarçoSEMANA 4Queijo Requeijão BD 3,6 Kg</v>
      </c>
      <c r="B1313" s="85" t="s">
        <v>31</v>
      </c>
      <c r="C1313" s="85" t="s">
        <v>23</v>
      </c>
      <c r="D1313" s="86">
        <v>23</v>
      </c>
      <c r="E1313" s="116" t="str">
        <f t="shared" si="62"/>
        <v>Laticínios</v>
      </c>
      <c r="F1313" s="85" t="s">
        <v>1152</v>
      </c>
      <c r="G1313" s="85" t="s">
        <v>687</v>
      </c>
      <c r="H1313" s="85" t="s">
        <v>1088</v>
      </c>
      <c r="I1313" s="85">
        <v>2</v>
      </c>
      <c r="J1313" s="87">
        <v>74.400000000000006</v>
      </c>
      <c r="K1313" s="88">
        <f t="shared" si="63"/>
        <v>148.80000000000001</v>
      </c>
      <c r="L1313" s="85" t="s">
        <v>1317</v>
      </c>
    </row>
    <row r="1314" spans="1:12" hidden="1" x14ac:dyDescent="0.2">
      <c r="A1314" s="84" t="str">
        <f t="shared" si="61"/>
        <v>MarçoSEMANA 4Pescados - Salmão Inteiro</v>
      </c>
      <c r="B1314" s="85" t="s">
        <v>31</v>
      </c>
      <c r="C1314" s="85" t="s">
        <v>23</v>
      </c>
      <c r="D1314" s="86">
        <v>23</v>
      </c>
      <c r="E1314" s="116" t="str">
        <f t="shared" si="62"/>
        <v>Carnes</v>
      </c>
      <c r="F1314" s="85" t="s">
        <v>1104</v>
      </c>
      <c r="G1314" s="85" t="s">
        <v>643</v>
      </c>
      <c r="H1314" s="85" t="s">
        <v>1083</v>
      </c>
      <c r="I1314" s="85">
        <v>30.27</v>
      </c>
      <c r="J1314" s="87">
        <v>28.900099999999998</v>
      </c>
      <c r="K1314" s="88">
        <f t="shared" si="63"/>
        <v>874.80602699999997</v>
      </c>
      <c r="L1314" s="85">
        <v>1313297</v>
      </c>
    </row>
    <row r="1315" spans="1:12" hidden="1" x14ac:dyDescent="0.2">
      <c r="A1315" s="84" t="str">
        <f t="shared" si="61"/>
        <v>MarçoSEMANA 4Pescados - Salmão Inteiro Sushi</v>
      </c>
      <c r="B1315" s="85" t="s">
        <v>31</v>
      </c>
      <c r="C1315" s="85" t="s">
        <v>23</v>
      </c>
      <c r="D1315" s="86">
        <v>23</v>
      </c>
      <c r="E1315" s="116" t="str">
        <f t="shared" si="62"/>
        <v>Sushi</v>
      </c>
      <c r="F1315" s="85" t="s">
        <v>1104</v>
      </c>
      <c r="G1315" s="85" t="s">
        <v>644</v>
      </c>
      <c r="H1315" s="85" t="s">
        <v>1083</v>
      </c>
      <c r="I1315" s="85">
        <v>29.38</v>
      </c>
      <c r="J1315" s="87">
        <v>28.900099999999998</v>
      </c>
      <c r="K1315" s="88">
        <f t="shared" si="63"/>
        <v>849.08493799999997</v>
      </c>
      <c r="L1315" s="85">
        <v>1313297</v>
      </c>
    </row>
    <row r="1316" spans="1:12" hidden="1" x14ac:dyDescent="0.2">
      <c r="A1316" s="84" t="str">
        <f t="shared" si="61"/>
        <v>MarçoSEMANA 4Pescados - Camarão IQF Evisc. 51/60</v>
      </c>
      <c r="B1316" s="85" t="s">
        <v>31</v>
      </c>
      <c r="C1316" s="85" t="s">
        <v>23</v>
      </c>
      <c r="D1316" s="86">
        <v>23</v>
      </c>
      <c r="E1316" s="116" t="str">
        <f t="shared" si="62"/>
        <v>Carnes</v>
      </c>
      <c r="F1316" s="85" t="s">
        <v>1104</v>
      </c>
      <c r="G1316" s="85" t="s">
        <v>593</v>
      </c>
      <c r="H1316" s="85" t="s">
        <v>1083</v>
      </c>
      <c r="I1316" s="85">
        <v>6</v>
      </c>
      <c r="J1316" s="87">
        <v>69.900000000000006</v>
      </c>
      <c r="K1316" s="88">
        <f t="shared" si="63"/>
        <v>419.40000000000003</v>
      </c>
      <c r="L1316" s="85" t="s">
        <v>1318</v>
      </c>
    </row>
    <row r="1317" spans="1:12" hidden="1" x14ac:dyDescent="0.2">
      <c r="A1317" s="84" t="str">
        <f t="shared" si="61"/>
        <v>MarçoSEMANA 4Batata Palito 9M</v>
      </c>
      <c r="B1317" s="85" t="s">
        <v>31</v>
      </c>
      <c r="C1317" s="85" t="s">
        <v>23</v>
      </c>
      <c r="D1317" s="86">
        <v>23</v>
      </c>
      <c r="E1317" s="116" t="str">
        <f t="shared" si="62"/>
        <v>Mercado</v>
      </c>
      <c r="F1317" s="85" t="s">
        <v>1101</v>
      </c>
      <c r="G1317" s="85" t="s">
        <v>175</v>
      </c>
      <c r="H1317" s="85" t="s">
        <v>1083</v>
      </c>
      <c r="I1317" s="85">
        <v>25</v>
      </c>
      <c r="J1317" s="87">
        <v>6.72</v>
      </c>
      <c r="K1317" s="88">
        <f t="shared" si="63"/>
        <v>168</v>
      </c>
      <c r="L1317" s="85" t="s">
        <v>1319</v>
      </c>
    </row>
    <row r="1318" spans="1:12" hidden="1" x14ac:dyDescent="0.2">
      <c r="A1318" s="84" t="str">
        <f t="shared" si="61"/>
        <v>MarçoSEMANA 4Cream Cheese Sushi</v>
      </c>
      <c r="B1318" s="85" t="s">
        <v>31</v>
      </c>
      <c r="C1318" s="85" t="s">
        <v>23</v>
      </c>
      <c r="D1318" s="86">
        <v>23</v>
      </c>
      <c r="E1318" s="116" t="str">
        <f t="shared" si="62"/>
        <v>Sushi</v>
      </c>
      <c r="F1318" s="85" t="s">
        <v>1101</v>
      </c>
      <c r="G1318" s="85" t="s">
        <v>311</v>
      </c>
      <c r="H1318" s="85" t="s">
        <v>1083</v>
      </c>
      <c r="I1318" s="85">
        <f>1.5*2</f>
        <v>3</v>
      </c>
      <c r="J1318" s="87">
        <f>61/3</f>
        <v>20.333333333333332</v>
      </c>
      <c r="K1318" s="88">
        <f t="shared" si="63"/>
        <v>61</v>
      </c>
      <c r="L1318" s="85" t="s">
        <v>1319</v>
      </c>
    </row>
    <row r="1319" spans="1:12" hidden="1" x14ac:dyDescent="0.2">
      <c r="A1319" s="84" t="str">
        <f t="shared" si="61"/>
        <v>MarçoSEMANA 4Óleo Composto 500ml</v>
      </c>
      <c r="B1319" s="85" t="s">
        <v>31</v>
      </c>
      <c r="C1319" s="85" t="s">
        <v>23</v>
      </c>
      <c r="D1319" s="86">
        <v>23</v>
      </c>
      <c r="E1319" s="116" t="str">
        <f t="shared" si="62"/>
        <v>Mercado</v>
      </c>
      <c r="F1319" s="85" t="s">
        <v>1101</v>
      </c>
      <c r="G1319" s="85" t="s">
        <v>541</v>
      </c>
      <c r="H1319" s="85" t="s">
        <v>1090</v>
      </c>
      <c r="I1319" s="85">
        <v>24</v>
      </c>
      <c r="J1319" s="87">
        <f>74/24</f>
        <v>3.0833333333333335</v>
      </c>
      <c r="K1319" s="88">
        <f t="shared" si="63"/>
        <v>74</v>
      </c>
      <c r="L1319" s="85" t="s">
        <v>1319</v>
      </c>
    </row>
    <row r="1320" spans="1:12" hidden="1" x14ac:dyDescent="0.2">
      <c r="A1320" s="84" t="str">
        <f t="shared" si="61"/>
        <v>MarçoSEMANA 4Queijo Parmezon</v>
      </c>
      <c r="B1320" s="85" t="s">
        <v>31</v>
      </c>
      <c r="C1320" s="85" t="s">
        <v>23</v>
      </c>
      <c r="D1320" s="86">
        <v>23</v>
      </c>
      <c r="E1320" s="116" t="str">
        <f t="shared" si="62"/>
        <v>Laticínios</v>
      </c>
      <c r="F1320" s="85" t="s">
        <v>1101</v>
      </c>
      <c r="G1320" s="85" t="s">
        <v>685</v>
      </c>
      <c r="H1320" s="85" t="s">
        <v>1083</v>
      </c>
      <c r="I1320" s="85">
        <v>5</v>
      </c>
      <c r="J1320" s="87">
        <v>23.7</v>
      </c>
      <c r="K1320" s="88">
        <f t="shared" si="63"/>
        <v>118.5</v>
      </c>
      <c r="L1320" s="85" t="s">
        <v>1319</v>
      </c>
    </row>
    <row r="1321" spans="1:12" hidden="1" x14ac:dyDescent="0.2">
      <c r="A1321" s="84" t="str">
        <f t="shared" si="61"/>
        <v>MarçoSEMANA 4Presunto Cozido</v>
      </c>
      <c r="B1321" s="85" t="s">
        <v>31</v>
      </c>
      <c r="C1321" s="85" t="s">
        <v>23</v>
      </c>
      <c r="D1321" s="86">
        <v>23</v>
      </c>
      <c r="E1321" s="116" t="str">
        <f t="shared" si="62"/>
        <v>Carnes</v>
      </c>
      <c r="F1321" s="85" t="s">
        <v>1101</v>
      </c>
      <c r="G1321" s="85" t="s">
        <v>669</v>
      </c>
      <c r="H1321" s="85" t="s">
        <v>1083</v>
      </c>
      <c r="I1321" s="85">
        <v>6.9</v>
      </c>
      <c r="J1321" s="87">
        <f>(94.15+3.53)/6.9</f>
        <v>14.156521739130435</v>
      </c>
      <c r="K1321" s="88">
        <f t="shared" si="63"/>
        <v>97.68</v>
      </c>
      <c r="L1321" s="85" t="s">
        <v>1319</v>
      </c>
    </row>
    <row r="1322" spans="1:12" hidden="1" x14ac:dyDescent="0.2">
      <c r="A1322" s="84" t="str">
        <f t="shared" si="61"/>
        <v>MarçoSEMANA 4Pescados - Atum Fresco</v>
      </c>
      <c r="B1322" s="85" t="s">
        <v>31</v>
      </c>
      <c r="C1322" s="85" t="s">
        <v>23</v>
      </c>
      <c r="D1322" s="86">
        <v>23</v>
      </c>
      <c r="E1322" s="116" t="str">
        <f t="shared" si="62"/>
        <v>Carnes</v>
      </c>
      <c r="F1322" s="85" t="s">
        <v>1131</v>
      </c>
      <c r="G1322" s="85" t="s">
        <v>585</v>
      </c>
      <c r="H1322" s="85" t="s">
        <v>1083</v>
      </c>
      <c r="I1322" s="85">
        <v>37</v>
      </c>
      <c r="J1322" s="87">
        <v>15</v>
      </c>
      <c r="K1322" s="88">
        <f t="shared" si="63"/>
        <v>555</v>
      </c>
      <c r="L1322" s="85">
        <v>4959</v>
      </c>
    </row>
    <row r="1323" spans="1:12" hidden="1" x14ac:dyDescent="0.2">
      <c r="A1323" s="84" t="str">
        <f t="shared" si="61"/>
        <v>MarçoSEMANA 4Pescados - Dourado Fresco Sushi</v>
      </c>
      <c r="B1323" s="85" t="s">
        <v>31</v>
      </c>
      <c r="C1323" s="85" t="s">
        <v>23</v>
      </c>
      <c r="D1323" s="86">
        <v>23</v>
      </c>
      <c r="E1323" s="116" t="str">
        <f t="shared" si="62"/>
        <v>Sushi</v>
      </c>
      <c r="F1323" s="85" t="s">
        <v>1131</v>
      </c>
      <c r="G1323" s="85" t="s">
        <v>604</v>
      </c>
      <c r="H1323" s="85" t="s">
        <v>1083</v>
      </c>
      <c r="I1323" s="85">
        <v>2.4</v>
      </c>
      <c r="J1323" s="87">
        <v>17</v>
      </c>
      <c r="K1323" s="88">
        <f t="shared" si="63"/>
        <v>40.799999999999997</v>
      </c>
      <c r="L1323" s="85">
        <v>4959</v>
      </c>
    </row>
    <row r="1324" spans="1:12" x14ac:dyDescent="0.25">
      <c r="A1324" s="84" t="str">
        <f t="shared" si="61"/>
        <v xml:space="preserve">MarçoSEMANA 4Abobrinha </v>
      </c>
      <c r="B1324" s="85" t="s">
        <v>31</v>
      </c>
      <c r="C1324" s="85" t="s">
        <v>23</v>
      </c>
      <c r="D1324" s="86">
        <v>23</v>
      </c>
      <c r="E1324" s="116" t="str">
        <f t="shared" si="62"/>
        <v>Hortifruti</v>
      </c>
      <c r="F1324" s="85" t="s">
        <v>1110</v>
      </c>
      <c r="G1324" s="85" t="s">
        <v>72</v>
      </c>
      <c r="H1324" s="85" t="s">
        <v>1083</v>
      </c>
      <c r="I1324" s="85">
        <v>16.82</v>
      </c>
      <c r="J1324" s="87">
        <f>35/16.82</f>
        <v>2.0808561236623069</v>
      </c>
      <c r="K1324" s="88">
        <f t="shared" si="63"/>
        <v>35</v>
      </c>
      <c r="L1324" s="85">
        <v>3537</v>
      </c>
    </row>
    <row r="1325" spans="1:12" x14ac:dyDescent="0.25">
      <c r="A1325" s="84" t="str">
        <f t="shared" si="61"/>
        <v>MarçoSEMANA 4Batata Doce</v>
      </c>
      <c r="B1325" s="85" t="s">
        <v>31</v>
      </c>
      <c r="C1325" s="85" t="s">
        <v>23</v>
      </c>
      <c r="D1325" s="86">
        <v>23</v>
      </c>
      <c r="E1325" s="116" t="str">
        <f t="shared" si="62"/>
        <v>Hortifruti</v>
      </c>
      <c r="F1325" s="85" t="s">
        <v>1110</v>
      </c>
      <c r="G1325" s="85" t="s">
        <v>170</v>
      </c>
      <c r="H1325" s="85" t="s">
        <v>1083</v>
      </c>
      <c r="I1325" s="85">
        <v>19.86</v>
      </c>
      <c r="J1325" s="87">
        <f>36/19.86</f>
        <v>1.8126888217522659</v>
      </c>
      <c r="K1325" s="88">
        <f t="shared" si="63"/>
        <v>36</v>
      </c>
      <c r="L1325" s="85">
        <v>3537</v>
      </c>
    </row>
    <row r="1326" spans="1:12" x14ac:dyDescent="0.25">
      <c r="A1326" s="84" t="str">
        <f t="shared" si="61"/>
        <v>MarçoSEMANA 4Pimentão Verde</v>
      </c>
      <c r="B1326" s="85" t="s">
        <v>31</v>
      </c>
      <c r="C1326" s="85" t="s">
        <v>23</v>
      </c>
      <c r="D1326" s="86">
        <v>23</v>
      </c>
      <c r="E1326" s="116" t="str">
        <f t="shared" si="62"/>
        <v>Hortifruti</v>
      </c>
      <c r="F1326" s="85" t="s">
        <v>1110</v>
      </c>
      <c r="G1326" s="85" t="s">
        <v>665</v>
      </c>
      <c r="H1326" s="85" t="s">
        <v>1083</v>
      </c>
      <c r="I1326" s="85">
        <v>1</v>
      </c>
      <c r="J1326" s="87">
        <v>4</v>
      </c>
      <c r="K1326" s="88">
        <f t="shared" si="63"/>
        <v>4</v>
      </c>
      <c r="L1326" s="85">
        <v>3537</v>
      </c>
    </row>
    <row r="1327" spans="1:12" x14ac:dyDescent="0.25">
      <c r="A1327" s="84" t="str">
        <f t="shared" si="61"/>
        <v>MarçoSEMANA 4Quiabo</v>
      </c>
      <c r="B1327" s="85" t="s">
        <v>31</v>
      </c>
      <c r="C1327" s="85" t="s">
        <v>23</v>
      </c>
      <c r="D1327" s="86">
        <v>23</v>
      </c>
      <c r="E1327" s="116" t="str">
        <f t="shared" si="62"/>
        <v>Hortifruti</v>
      </c>
      <c r="F1327" s="85" t="s">
        <v>1110</v>
      </c>
      <c r="G1327" s="85" t="s">
        <v>689</v>
      </c>
      <c r="H1327" s="85" t="s">
        <v>1083</v>
      </c>
      <c r="I1327" s="85">
        <v>5</v>
      </c>
      <c r="J1327" s="87">
        <v>3.6</v>
      </c>
      <c r="K1327" s="88">
        <f t="shared" si="63"/>
        <v>18</v>
      </c>
      <c r="L1327" s="85">
        <v>3537</v>
      </c>
    </row>
    <row r="1328" spans="1:12" x14ac:dyDescent="0.25">
      <c r="A1328" s="84" t="str">
        <f t="shared" si="61"/>
        <v>MarçoSEMANA 4Repolho</v>
      </c>
      <c r="B1328" s="85" t="s">
        <v>31</v>
      </c>
      <c r="C1328" s="85" t="s">
        <v>23</v>
      </c>
      <c r="D1328" s="86">
        <v>23</v>
      </c>
      <c r="E1328" s="116" t="str">
        <f t="shared" si="62"/>
        <v>Hortifruti</v>
      </c>
      <c r="F1328" s="85" t="s">
        <v>1110</v>
      </c>
      <c r="G1328" s="85" t="s">
        <v>700</v>
      </c>
      <c r="H1328" s="85" t="s">
        <v>1083</v>
      </c>
      <c r="I1328" s="85">
        <v>2.5</v>
      </c>
      <c r="J1328" s="87">
        <v>2</v>
      </c>
      <c r="K1328" s="88">
        <f t="shared" si="63"/>
        <v>5</v>
      </c>
      <c r="L1328" s="85">
        <v>3537</v>
      </c>
    </row>
    <row r="1329" spans="1:12" x14ac:dyDescent="0.25">
      <c r="A1329" s="84" t="str">
        <f t="shared" si="61"/>
        <v>MarçoSEMANA 4Repolho Roxo</v>
      </c>
      <c r="B1329" s="85" t="s">
        <v>31</v>
      </c>
      <c r="C1329" s="85" t="s">
        <v>23</v>
      </c>
      <c r="D1329" s="86">
        <v>23</v>
      </c>
      <c r="E1329" s="116" t="str">
        <f t="shared" si="62"/>
        <v>Hortifruti</v>
      </c>
      <c r="F1329" s="85" t="s">
        <v>1110</v>
      </c>
      <c r="G1329" s="85" t="s">
        <v>702</v>
      </c>
      <c r="H1329" s="85" t="s">
        <v>1083</v>
      </c>
      <c r="I1329" s="85">
        <v>3</v>
      </c>
      <c r="J1329" s="87">
        <v>3</v>
      </c>
      <c r="K1329" s="88">
        <f t="shared" si="63"/>
        <v>9</v>
      </c>
      <c r="L1329" s="85">
        <v>3537</v>
      </c>
    </row>
    <row r="1330" spans="1:12" x14ac:dyDescent="0.25">
      <c r="A1330" s="84" t="str">
        <f t="shared" si="61"/>
        <v>MarçoSEMANA 4Tomate Salada</v>
      </c>
      <c r="B1330" s="85" t="s">
        <v>31</v>
      </c>
      <c r="C1330" s="85" t="s">
        <v>23</v>
      </c>
      <c r="D1330" s="86">
        <v>23</v>
      </c>
      <c r="E1330" s="116" t="str">
        <f t="shared" si="62"/>
        <v>Hortifruti</v>
      </c>
      <c r="F1330" s="85" t="s">
        <v>1110</v>
      </c>
      <c r="G1330" s="85" t="s">
        <v>794</v>
      </c>
      <c r="H1330" s="85" t="s">
        <v>1083</v>
      </c>
      <c r="I1330" s="85">
        <v>20.48</v>
      </c>
      <c r="J1330" s="87">
        <f>65/20.48</f>
        <v>3.173828125</v>
      </c>
      <c r="K1330" s="88">
        <f t="shared" si="63"/>
        <v>65</v>
      </c>
      <c r="L1330" s="85">
        <v>3537</v>
      </c>
    </row>
    <row r="1331" spans="1:12" x14ac:dyDescent="0.25">
      <c r="A1331" s="84" t="str">
        <f t="shared" si="61"/>
        <v xml:space="preserve">MarçoSEMANA 4Alface Americana    </v>
      </c>
      <c r="B1331" s="85" t="s">
        <v>31</v>
      </c>
      <c r="C1331" s="85" t="s">
        <v>23</v>
      </c>
      <c r="D1331" s="86">
        <v>23</v>
      </c>
      <c r="E1331" s="116" t="str">
        <f t="shared" si="62"/>
        <v>Hortifruti</v>
      </c>
      <c r="F1331" s="85" t="s">
        <v>1110</v>
      </c>
      <c r="G1331" s="85" t="s">
        <v>102</v>
      </c>
      <c r="H1331" s="85" t="s">
        <v>1083</v>
      </c>
      <c r="I1331" s="85">
        <v>5.28</v>
      </c>
      <c r="J1331" s="87">
        <f>36/5.28</f>
        <v>6.8181818181818175</v>
      </c>
      <c r="K1331" s="88">
        <f t="shared" si="63"/>
        <v>36</v>
      </c>
      <c r="L1331" s="85">
        <v>3537</v>
      </c>
    </row>
    <row r="1332" spans="1:12" x14ac:dyDescent="0.25">
      <c r="A1332" s="84" t="str">
        <f t="shared" si="61"/>
        <v>MarçoSEMANA 4Alface crespa</v>
      </c>
      <c r="B1332" s="85" t="s">
        <v>31</v>
      </c>
      <c r="C1332" s="85" t="s">
        <v>23</v>
      </c>
      <c r="D1332" s="86">
        <v>23</v>
      </c>
      <c r="E1332" s="116" t="str">
        <f t="shared" si="62"/>
        <v>Hortifruti</v>
      </c>
      <c r="F1332" s="85" t="s">
        <v>1110</v>
      </c>
      <c r="G1332" s="85" t="s">
        <v>104</v>
      </c>
      <c r="H1332" s="85" t="s">
        <v>1083</v>
      </c>
      <c r="I1332" s="85">
        <v>1.7</v>
      </c>
      <c r="J1332" s="87">
        <f>10.5/1.7</f>
        <v>6.1764705882352944</v>
      </c>
      <c r="K1332" s="88">
        <f t="shared" si="63"/>
        <v>10.5</v>
      </c>
      <c r="L1332" s="85">
        <v>3537</v>
      </c>
    </row>
    <row r="1333" spans="1:12" x14ac:dyDescent="0.25">
      <c r="A1333" s="84" t="str">
        <f t="shared" si="61"/>
        <v>MarçoSEMANA 4Alface Roxa</v>
      </c>
      <c r="B1333" s="85" t="s">
        <v>31</v>
      </c>
      <c r="C1333" s="85" t="s">
        <v>23</v>
      </c>
      <c r="D1333" s="86">
        <v>23</v>
      </c>
      <c r="E1333" s="116" t="str">
        <f t="shared" si="62"/>
        <v>Hortifruti</v>
      </c>
      <c r="F1333" s="85" t="s">
        <v>1110</v>
      </c>
      <c r="G1333" s="85" t="s">
        <v>108</v>
      </c>
      <c r="H1333" s="85" t="s">
        <v>1083</v>
      </c>
      <c r="I1333" s="85">
        <v>0.7</v>
      </c>
      <c r="J1333" s="87">
        <f>6/0.7</f>
        <v>8.5714285714285712</v>
      </c>
      <c r="K1333" s="88">
        <f t="shared" si="63"/>
        <v>5.9999999999999991</v>
      </c>
      <c r="L1333" s="85">
        <v>3537</v>
      </c>
    </row>
    <row r="1334" spans="1:12" x14ac:dyDescent="0.25">
      <c r="A1334" s="84" t="str">
        <f t="shared" si="61"/>
        <v>MarçoSEMANA 4Brócolis Americano</v>
      </c>
      <c r="B1334" s="85" t="s">
        <v>31</v>
      </c>
      <c r="C1334" s="85" t="s">
        <v>23</v>
      </c>
      <c r="D1334" s="86">
        <v>23</v>
      </c>
      <c r="E1334" s="116" t="str">
        <f t="shared" si="62"/>
        <v>Hortifruti</v>
      </c>
      <c r="F1334" s="85" t="s">
        <v>1110</v>
      </c>
      <c r="G1334" s="85" t="s">
        <v>194</v>
      </c>
      <c r="H1334" s="85" t="s">
        <v>1083</v>
      </c>
      <c r="I1334" s="85">
        <v>2</v>
      </c>
      <c r="J1334" s="87">
        <v>12</v>
      </c>
      <c r="K1334" s="88">
        <f t="shared" si="63"/>
        <v>24</v>
      </c>
      <c r="L1334" s="85">
        <v>3537</v>
      </c>
    </row>
    <row r="1335" spans="1:12" x14ac:dyDescent="0.25">
      <c r="A1335" s="84" t="str">
        <f t="shared" si="61"/>
        <v>MarçoSEMANA 4Cebolinha Verde</v>
      </c>
      <c r="B1335" s="85" t="s">
        <v>31</v>
      </c>
      <c r="C1335" s="85" t="s">
        <v>23</v>
      </c>
      <c r="D1335" s="86">
        <v>23</v>
      </c>
      <c r="E1335" s="116" t="str">
        <f t="shared" si="62"/>
        <v>Hortifruti</v>
      </c>
      <c r="F1335" s="85" t="s">
        <v>1110</v>
      </c>
      <c r="G1335" s="85" t="s">
        <v>247</v>
      </c>
      <c r="H1335" s="85" t="s">
        <v>1083</v>
      </c>
      <c r="I1335" s="85">
        <v>0.5</v>
      </c>
      <c r="J1335" s="87">
        <v>7</v>
      </c>
      <c r="K1335" s="88">
        <f t="shared" si="63"/>
        <v>3.5</v>
      </c>
      <c r="L1335" s="85">
        <v>3537</v>
      </c>
    </row>
    <row r="1336" spans="1:12" x14ac:dyDescent="0.25">
      <c r="A1336" s="84" t="str">
        <f t="shared" si="61"/>
        <v>MarçoSEMANA 4Espinafre</v>
      </c>
      <c r="B1336" s="85" t="s">
        <v>31</v>
      </c>
      <c r="C1336" s="85" t="s">
        <v>23</v>
      </c>
      <c r="D1336" s="86">
        <v>23</v>
      </c>
      <c r="E1336" s="116" t="str">
        <f t="shared" si="62"/>
        <v>Hortifruti</v>
      </c>
      <c r="F1336" s="85" t="s">
        <v>1110</v>
      </c>
      <c r="G1336" s="85" t="s">
        <v>332</v>
      </c>
      <c r="H1336" s="85" t="s">
        <v>1083</v>
      </c>
      <c r="I1336" s="85">
        <v>5</v>
      </c>
      <c r="J1336" s="87">
        <v>6</v>
      </c>
      <c r="K1336" s="88">
        <f t="shared" si="63"/>
        <v>30</v>
      </c>
      <c r="L1336" s="85">
        <v>3537</v>
      </c>
    </row>
    <row r="1337" spans="1:12" x14ac:dyDescent="0.25">
      <c r="A1337" s="84" t="str">
        <f t="shared" si="61"/>
        <v>MarçoSEMANA 4Hortelã</v>
      </c>
      <c r="B1337" s="85" t="s">
        <v>31</v>
      </c>
      <c r="C1337" s="85" t="s">
        <v>23</v>
      </c>
      <c r="D1337" s="86">
        <v>23</v>
      </c>
      <c r="E1337" s="116" t="str">
        <f t="shared" si="62"/>
        <v>Hortifruti</v>
      </c>
      <c r="F1337" s="85" t="s">
        <v>1110</v>
      </c>
      <c r="G1337" s="85" t="s">
        <v>405</v>
      </c>
      <c r="H1337" s="85" t="s">
        <v>1083</v>
      </c>
      <c r="I1337" s="85">
        <v>0.5</v>
      </c>
      <c r="J1337" s="87">
        <v>4</v>
      </c>
      <c r="K1337" s="88">
        <f t="shared" si="63"/>
        <v>2</v>
      </c>
      <c r="L1337" s="85">
        <v>3537</v>
      </c>
    </row>
    <row r="1338" spans="1:12" x14ac:dyDescent="0.25">
      <c r="A1338" s="84" t="str">
        <f t="shared" si="61"/>
        <v>MarçoSEMANA 4Rúcula</v>
      </c>
      <c r="B1338" s="85" t="s">
        <v>31</v>
      </c>
      <c r="C1338" s="85" t="s">
        <v>23</v>
      </c>
      <c r="D1338" s="86">
        <v>23</v>
      </c>
      <c r="E1338" s="116" t="str">
        <f t="shared" si="62"/>
        <v>Hortifruti</v>
      </c>
      <c r="F1338" s="85" t="s">
        <v>1110</v>
      </c>
      <c r="G1338" s="85" t="s">
        <v>705</v>
      </c>
      <c r="H1338" s="85" t="s">
        <v>1083</v>
      </c>
      <c r="I1338" s="85">
        <v>3</v>
      </c>
      <c r="J1338" s="87">
        <v>8</v>
      </c>
      <c r="K1338" s="88">
        <f t="shared" si="63"/>
        <v>24</v>
      </c>
      <c r="L1338" s="85">
        <v>3537</v>
      </c>
    </row>
    <row r="1339" spans="1:12" x14ac:dyDescent="0.25">
      <c r="A1339" s="84" t="str">
        <f t="shared" si="61"/>
        <v>MarçoSEMANA 4Salsa</v>
      </c>
      <c r="B1339" s="85" t="s">
        <v>31</v>
      </c>
      <c r="C1339" s="85" t="s">
        <v>23</v>
      </c>
      <c r="D1339" s="86">
        <v>23</v>
      </c>
      <c r="E1339" s="116" t="str">
        <f t="shared" si="62"/>
        <v>Hortifruti</v>
      </c>
      <c r="F1339" s="85" t="s">
        <v>1110</v>
      </c>
      <c r="G1339" s="85" t="s">
        <v>728</v>
      </c>
      <c r="H1339" s="85" t="s">
        <v>1083</v>
      </c>
      <c r="I1339" s="85">
        <v>0.5</v>
      </c>
      <c r="J1339" s="87">
        <v>7</v>
      </c>
      <c r="K1339" s="88">
        <f t="shared" si="63"/>
        <v>3.5</v>
      </c>
      <c r="L1339" s="85">
        <v>3537</v>
      </c>
    </row>
    <row r="1340" spans="1:12" x14ac:dyDescent="0.25">
      <c r="A1340" s="84" t="str">
        <f t="shared" si="61"/>
        <v>MarçoSEMANA 4Aneto</v>
      </c>
      <c r="B1340" s="85" t="s">
        <v>31</v>
      </c>
      <c r="C1340" s="85" t="s">
        <v>23</v>
      </c>
      <c r="D1340" s="86">
        <v>23</v>
      </c>
      <c r="E1340" s="116" t="str">
        <f t="shared" si="62"/>
        <v>Hortifruti</v>
      </c>
      <c r="F1340" s="85" t="s">
        <v>1110</v>
      </c>
      <c r="G1340" s="85" t="s">
        <v>123</v>
      </c>
      <c r="H1340" s="85" t="s">
        <v>1083</v>
      </c>
      <c r="I1340" s="85">
        <v>0.05</v>
      </c>
      <c r="J1340" s="87">
        <v>30</v>
      </c>
      <c r="K1340" s="88">
        <f t="shared" si="63"/>
        <v>1.5</v>
      </c>
      <c r="L1340" s="85">
        <v>3537</v>
      </c>
    </row>
    <row r="1341" spans="1:12" x14ac:dyDescent="0.25">
      <c r="A1341" s="84" t="str">
        <f t="shared" si="61"/>
        <v>MarçoSEMANA 4Tofu Kilo</v>
      </c>
      <c r="B1341" s="85" t="s">
        <v>31</v>
      </c>
      <c r="C1341" s="85" t="s">
        <v>23</v>
      </c>
      <c r="D1341" s="86">
        <v>23</v>
      </c>
      <c r="E1341" s="116" t="str">
        <f t="shared" si="62"/>
        <v>Hortifruti</v>
      </c>
      <c r="F1341" s="85" t="s">
        <v>1110</v>
      </c>
      <c r="G1341" s="85" t="s">
        <v>788</v>
      </c>
      <c r="H1341" s="85" t="s">
        <v>1083</v>
      </c>
      <c r="I1341" s="85">
        <v>4</v>
      </c>
      <c r="J1341" s="87">
        <v>14</v>
      </c>
      <c r="K1341" s="88">
        <f t="shared" si="63"/>
        <v>56</v>
      </c>
      <c r="L1341" s="85">
        <v>3537</v>
      </c>
    </row>
    <row r="1342" spans="1:12" x14ac:dyDescent="0.25">
      <c r="A1342" s="84" t="str">
        <f t="shared" si="61"/>
        <v>MarçoSEMANA 4Laranja Pera</v>
      </c>
      <c r="B1342" s="85" t="s">
        <v>31</v>
      </c>
      <c r="C1342" s="85" t="s">
        <v>23</v>
      </c>
      <c r="D1342" s="86">
        <v>23</v>
      </c>
      <c r="E1342" s="116" t="str">
        <f t="shared" si="62"/>
        <v>Hortifruti</v>
      </c>
      <c r="F1342" s="85" t="s">
        <v>1110</v>
      </c>
      <c r="G1342" s="85" t="s">
        <v>456</v>
      </c>
      <c r="H1342" s="85" t="s">
        <v>1083</v>
      </c>
      <c r="I1342" s="85">
        <v>41.04</v>
      </c>
      <c r="J1342" s="87">
        <f>70/41.04</f>
        <v>1.7056530214424952</v>
      </c>
      <c r="K1342" s="88">
        <f t="shared" si="63"/>
        <v>70</v>
      </c>
      <c r="L1342" s="85">
        <v>3537</v>
      </c>
    </row>
    <row r="1343" spans="1:12" x14ac:dyDescent="0.25">
      <c r="A1343" s="84" t="str">
        <f t="shared" si="61"/>
        <v>MarçoSEMANA 4Maçã Ácida</v>
      </c>
      <c r="B1343" s="85" t="s">
        <v>31</v>
      </c>
      <c r="C1343" s="85" t="s">
        <v>23</v>
      </c>
      <c r="D1343" s="86">
        <v>23</v>
      </c>
      <c r="E1343" s="116" t="str">
        <f t="shared" si="62"/>
        <v>Hortifruti</v>
      </c>
      <c r="F1343" s="85" t="s">
        <v>1110</v>
      </c>
      <c r="G1343" s="85" t="s">
        <v>474</v>
      </c>
      <c r="H1343" s="85" t="s">
        <v>1083</v>
      </c>
      <c r="I1343" s="85">
        <v>1.5</v>
      </c>
      <c r="J1343" s="87">
        <v>9</v>
      </c>
      <c r="K1343" s="88">
        <f t="shared" si="63"/>
        <v>13.5</v>
      </c>
      <c r="L1343" s="85">
        <v>3537</v>
      </c>
    </row>
    <row r="1344" spans="1:12" hidden="1" x14ac:dyDescent="0.2">
      <c r="A1344" s="84" t="str">
        <f t="shared" si="61"/>
        <v xml:space="preserve">MarçoSEMANA 4Torta Mousse de Chocolate </v>
      </c>
      <c r="B1344" s="85" t="s">
        <v>31</v>
      </c>
      <c r="C1344" s="85" t="s">
        <v>23</v>
      </c>
      <c r="D1344" s="86">
        <v>23</v>
      </c>
      <c r="E1344" s="116" t="str">
        <f t="shared" si="62"/>
        <v>Sobremesa</v>
      </c>
      <c r="F1344" s="85" t="s">
        <v>1150</v>
      </c>
      <c r="G1344" s="85" t="s">
        <v>816</v>
      </c>
      <c r="H1344" s="85" t="s">
        <v>1147</v>
      </c>
      <c r="I1344" s="85">
        <f>2*12</f>
        <v>24</v>
      </c>
      <c r="J1344" s="87">
        <f>99.32/24</f>
        <v>4.1383333333333328</v>
      </c>
      <c r="K1344" s="88">
        <f t="shared" si="63"/>
        <v>99.32</v>
      </c>
      <c r="L1344" s="85">
        <v>103221</v>
      </c>
    </row>
    <row r="1345" spans="1:12" x14ac:dyDescent="0.25">
      <c r="A1345" s="84" t="str">
        <f t="shared" si="61"/>
        <v>MarçoSEMANA 4Cebola</v>
      </c>
      <c r="B1345" s="85" t="s">
        <v>31</v>
      </c>
      <c r="C1345" s="85" t="s">
        <v>23</v>
      </c>
      <c r="D1345" s="86">
        <v>23</v>
      </c>
      <c r="E1345" s="116" t="str">
        <f t="shared" si="62"/>
        <v>Hortifruti</v>
      </c>
      <c r="F1345" s="85" t="s">
        <v>1111</v>
      </c>
      <c r="G1345" s="85" t="s">
        <v>241</v>
      </c>
      <c r="H1345" s="85" t="s">
        <v>1083</v>
      </c>
      <c r="I1345" s="85">
        <v>19.86</v>
      </c>
      <c r="J1345" s="87">
        <f>46.5/19.86</f>
        <v>2.3413897280966767</v>
      </c>
      <c r="K1345" s="88">
        <f t="shared" si="63"/>
        <v>46.5</v>
      </c>
      <c r="L1345" s="85">
        <v>19399</v>
      </c>
    </row>
    <row r="1346" spans="1:12" x14ac:dyDescent="0.25">
      <c r="A1346" s="84" t="str">
        <f t="shared" ref="A1346:A1409" si="64">CONCATENATE(B1346,C1346,G1346)</f>
        <v>MarçoSEMANA 4Côco Verde</v>
      </c>
      <c r="B1346" s="85" t="s">
        <v>31</v>
      </c>
      <c r="C1346" s="85" t="s">
        <v>23</v>
      </c>
      <c r="D1346" s="86">
        <v>23</v>
      </c>
      <c r="E1346" s="116" t="str">
        <f t="shared" ref="E1346:E1409" si="65">VLOOKUP(G1346,$M$1:$O$993,3,0)</f>
        <v>Hortifruti</v>
      </c>
      <c r="F1346" s="85" t="s">
        <v>1111</v>
      </c>
      <c r="G1346" s="85" t="s">
        <v>288</v>
      </c>
      <c r="H1346" s="85" t="s">
        <v>1090</v>
      </c>
      <c r="I1346" s="85">
        <v>15</v>
      </c>
      <c r="J1346" s="87">
        <v>2.25</v>
      </c>
      <c r="K1346" s="88">
        <f t="shared" ref="K1346:K1409" si="66">I1346*J1346</f>
        <v>33.75</v>
      </c>
      <c r="L1346" s="85">
        <v>19399</v>
      </c>
    </row>
    <row r="1347" spans="1:12" x14ac:dyDescent="0.25">
      <c r="A1347" s="84" t="str">
        <f t="shared" si="64"/>
        <v>MarçoSEMANA 4Couve Flor</v>
      </c>
      <c r="B1347" s="85" t="s">
        <v>31</v>
      </c>
      <c r="C1347" s="85" t="s">
        <v>23</v>
      </c>
      <c r="D1347" s="86">
        <v>23</v>
      </c>
      <c r="E1347" s="116" t="str">
        <f t="shared" si="65"/>
        <v>Hortifruti</v>
      </c>
      <c r="F1347" s="85" t="s">
        <v>1111</v>
      </c>
      <c r="G1347" s="85" t="s">
        <v>306</v>
      </c>
      <c r="H1347" s="85" t="s">
        <v>1083</v>
      </c>
      <c r="I1347" s="85">
        <v>2.5</v>
      </c>
      <c r="J1347" s="87">
        <v>6</v>
      </c>
      <c r="K1347" s="88">
        <f t="shared" si="66"/>
        <v>15</v>
      </c>
      <c r="L1347" s="85">
        <v>19399</v>
      </c>
    </row>
    <row r="1348" spans="1:12" x14ac:dyDescent="0.25">
      <c r="A1348" s="84" t="str">
        <f t="shared" si="64"/>
        <v>MarçoSEMANA 4Pimentão Vermelho</v>
      </c>
      <c r="B1348" s="85" t="s">
        <v>31</v>
      </c>
      <c r="C1348" s="85" t="s">
        <v>23</v>
      </c>
      <c r="D1348" s="86">
        <v>23</v>
      </c>
      <c r="E1348" s="116" t="str">
        <f t="shared" si="65"/>
        <v>Hortifruti</v>
      </c>
      <c r="F1348" s="85" t="s">
        <v>1111</v>
      </c>
      <c r="G1348" s="85" t="s">
        <v>666</v>
      </c>
      <c r="H1348" s="85" t="s">
        <v>1083</v>
      </c>
      <c r="I1348" s="85">
        <v>2</v>
      </c>
      <c r="J1348" s="87">
        <v>7.5</v>
      </c>
      <c r="K1348" s="88">
        <f t="shared" si="66"/>
        <v>15</v>
      </c>
      <c r="L1348" s="85">
        <v>19399</v>
      </c>
    </row>
    <row r="1349" spans="1:12" x14ac:dyDescent="0.25">
      <c r="A1349" s="84" t="str">
        <f t="shared" si="64"/>
        <v>MarçoSEMANA 4Berinjela</v>
      </c>
      <c r="B1349" s="85" t="s">
        <v>31</v>
      </c>
      <c r="C1349" s="85" t="s">
        <v>23</v>
      </c>
      <c r="D1349" s="86">
        <v>23</v>
      </c>
      <c r="E1349" s="116" t="str">
        <f t="shared" si="65"/>
        <v>Hortifruti</v>
      </c>
      <c r="F1349" s="85" t="s">
        <v>1111</v>
      </c>
      <c r="G1349" s="85" t="s">
        <v>178</v>
      </c>
      <c r="H1349" s="85" t="s">
        <v>1083</v>
      </c>
      <c r="I1349" s="85">
        <v>10.48</v>
      </c>
      <c r="J1349" s="87">
        <f>27/10.48</f>
        <v>2.5763358778625953</v>
      </c>
      <c r="K1349" s="88">
        <f t="shared" si="66"/>
        <v>27</v>
      </c>
      <c r="L1349" s="85">
        <v>19399</v>
      </c>
    </row>
    <row r="1350" spans="1:12" x14ac:dyDescent="0.25">
      <c r="A1350" s="84" t="str">
        <f t="shared" si="64"/>
        <v xml:space="preserve">MarçoSEMANA 4Abacaxi </v>
      </c>
      <c r="B1350" s="85" t="s">
        <v>31</v>
      </c>
      <c r="C1350" s="85" t="s">
        <v>23</v>
      </c>
      <c r="D1350" s="86">
        <v>23</v>
      </c>
      <c r="E1350" s="116" t="str">
        <f t="shared" si="65"/>
        <v>Hortifruti</v>
      </c>
      <c r="F1350" s="85" t="s">
        <v>1111</v>
      </c>
      <c r="G1350" s="85" t="s">
        <v>65</v>
      </c>
      <c r="H1350" s="85" t="s">
        <v>1083</v>
      </c>
      <c r="I1350" s="85">
        <v>10</v>
      </c>
      <c r="J1350" s="87">
        <v>3.25</v>
      </c>
      <c r="K1350" s="88">
        <f t="shared" si="66"/>
        <v>32.5</v>
      </c>
      <c r="L1350" s="85">
        <v>19399</v>
      </c>
    </row>
    <row r="1351" spans="1:12" x14ac:dyDescent="0.25">
      <c r="A1351" s="84" t="str">
        <f t="shared" si="64"/>
        <v>MarçoSEMANA 4Coentro</v>
      </c>
      <c r="B1351" s="85" t="s">
        <v>31</v>
      </c>
      <c r="C1351" s="85" t="s">
        <v>23</v>
      </c>
      <c r="D1351" s="86">
        <v>23</v>
      </c>
      <c r="E1351" s="116" t="str">
        <f t="shared" si="65"/>
        <v>Hortifruti</v>
      </c>
      <c r="F1351" s="85" t="s">
        <v>1111</v>
      </c>
      <c r="G1351" s="85" t="s">
        <v>289</v>
      </c>
      <c r="H1351" s="85" t="s">
        <v>1083</v>
      </c>
      <c r="I1351" s="85">
        <v>0.5</v>
      </c>
      <c r="J1351" s="87">
        <v>25</v>
      </c>
      <c r="K1351" s="88">
        <f t="shared" si="66"/>
        <v>12.5</v>
      </c>
      <c r="L1351" s="85">
        <v>19399</v>
      </c>
    </row>
    <row r="1352" spans="1:12" x14ac:dyDescent="0.25">
      <c r="A1352" s="84" t="str">
        <f t="shared" si="64"/>
        <v>MarçoSEMANA 4Goiaba</v>
      </c>
      <c r="B1352" s="85" t="s">
        <v>31</v>
      </c>
      <c r="C1352" s="85" t="s">
        <v>23</v>
      </c>
      <c r="D1352" s="86">
        <v>23</v>
      </c>
      <c r="E1352" s="116" t="str">
        <f t="shared" si="65"/>
        <v>Hortifruti</v>
      </c>
      <c r="F1352" s="85" t="s">
        <v>1111</v>
      </c>
      <c r="G1352" s="85" t="s">
        <v>391</v>
      </c>
      <c r="H1352" s="85" t="s">
        <v>1083</v>
      </c>
      <c r="I1352" s="85">
        <v>2.7</v>
      </c>
      <c r="J1352" s="87">
        <f>6/2.7</f>
        <v>2.2222222222222219</v>
      </c>
      <c r="K1352" s="88">
        <f t="shared" si="66"/>
        <v>5.9999999999999991</v>
      </c>
      <c r="L1352" s="85">
        <v>19399</v>
      </c>
    </row>
    <row r="1353" spans="1:12" x14ac:dyDescent="0.25">
      <c r="A1353" s="84" t="str">
        <f t="shared" si="64"/>
        <v>MarçoSEMANA 4Limão</v>
      </c>
      <c r="B1353" s="85" t="s">
        <v>31</v>
      </c>
      <c r="C1353" s="85" t="s">
        <v>23</v>
      </c>
      <c r="D1353" s="86">
        <v>23</v>
      </c>
      <c r="E1353" s="116" t="str">
        <f t="shared" si="65"/>
        <v>Hortifruti</v>
      </c>
      <c r="F1353" s="85" t="s">
        <v>1111</v>
      </c>
      <c r="G1353" s="85" t="s">
        <v>463</v>
      </c>
      <c r="H1353" s="85" t="s">
        <v>1083</v>
      </c>
      <c r="I1353" s="85">
        <v>23.8</v>
      </c>
      <c r="J1353" s="87">
        <f>35.7/23.8</f>
        <v>1.5</v>
      </c>
      <c r="K1353" s="88">
        <f t="shared" si="66"/>
        <v>35.700000000000003</v>
      </c>
      <c r="L1353" s="85">
        <v>19399</v>
      </c>
    </row>
    <row r="1354" spans="1:12" x14ac:dyDescent="0.25">
      <c r="A1354" s="84" t="str">
        <f t="shared" si="64"/>
        <v>MarçoSEMANA 4Pimentão Amarelo</v>
      </c>
      <c r="B1354" s="85" t="s">
        <v>31</v>
      </c>
      <c r="C1354" s="85" t="s">
        <v>23</v>
      </c>
      <c r="D1354" s="86">
        <v>23</v>
      </c>
      <c r="E1354" s="116" t="str">
        <f t="shared" si="65"/>
        <v>Hortifruti</v>
      </c>
      <c r="F1354" s="85" t="s">
        <v>1111</v>
      </c>
      <c r="G1354" s="85" t="s">
        <v>663</v>
      </c>
      <c r="H1354" s="85" t="s">
        <v>1083</v>
      </c>
      <c r="I1354" s="85">
        <v>2</v>
      </c>
      <c r="J1354" s="87">
        <v>7.5</v>
      </c>
      <c r="K1354" s="88">
        <f t="shared" si="66"/>
        <v>15</v>
      </c>
      <c r="L1354" s="85">
        <v>19399</v>
      </c>
    </row>
    <row r="1355" spans="1:12" x14ac:dyDescent="0.25">
      <c r="A1355" s="84" t="str">
        <f t="shared" si="64"/>
        <v>MarçoSEMANA 4Alho Descascado</v>
      </c>
      <c r="B1355" s="85" t="s">
        <v>31</v>
      </c>
      <c r="C1355" s="85" t="s">
        <v>23</v>
      </c>
      <c r="D1355" s="86">
        <v>23</v>
      </c>
      <c r="E1355" s="116" t="str">
        <f t="shared" si="65"/>
        <v>Hortifruti</v>
      </c>
      <c r="F1355" s="85" t="s">
        <v>1144</v>
      </c>
      <c r="G1355" s="85" t="s">
        <v>112</v>
      </c>
      <c r="H1355" s="85" t="s">
        <v>1083</v>
      </c>
      <c r="I1355" s="85">
        <v>17</v>
      </c>
      <c r="J1355" s="87">
        <v>13.5</v>
      </c>
      <c r="K1355" s="88">
        <f t="shared" si="66"/>
        <v>229.5</v>
      </c>
      <c r="L1355" s="85"/>
    </row>
    <row r="1356" spans="1:12" hidden="1" x14ac:dyDescent="0.2">
      <c r="A1356" s="84" t="str">
        <f t="shared" si="64"/>
        <v>MarçoSEMANA 4Açucar Refinado Sushi</v>
      </c>
      <c r="B1356" s="85" t="s">
        <v>31</v>
      </c>
      <c r="C1356" s="85" t="s">
        <v>23</v>
      </c>
      <c r="D1356" s="86">
        <v>21</v>
      </c>
      <c r="E1356" s="116" t="str">
        <f t="shared" si="65"/>
        <v>Sushi</v>
      </c>
      <c r="F1356" s="85" t="s">
        <v>1106</v>
      </c>
      <c r="G1356" s="85" t="s">
        <v>80</v>
      </c>
      <c r="H1356" s="85" t="s">
        <v>1083</v>
      </c>
      <c r="I1356" s="85">
        <f>6+6</f>
        <v>12</v>
      </c>
      <c r="J1356" s="87">
        <v>1.99</v>
      </c>
      <c r="K1356" s="88">
        <f t="shared" si="66"/>
        <v>23.88</v>
      </c>
      <c r="L1356" s="85" t="s">
        <v>1295</v>
      </c>
    </row>
    <row r="1357" spans="1:12" hidden="1" x14ac:dyDescent="0.2">
      <c r="A1357" s="84" t="str">
        <f t="shared" si="64"/>
        <v>MarçoSEMANA 4Vinagre de Arroz (cozinha)</v>
      </c>
      <c r="B1357" s="85" t="s">
        <v>31</v>
      </c>
      <c r="C1357" s="85" t="s">
        <v>23</v>
      </c>
      <c r="D1357" s="86">
        <v>21</v>
      </c>
      <c r="E1357" s="116" t="str">
        <f t="shared" si="65"/>
        <v>Mercado</v>
      </c>
      <c r="F1357" s="85" t="s">
        <v>1123</v>
      </c>
      <c r="G1357" s="85" t="s">
        <v>894</v>
      </c>
      <c r="H1357" s="85" t="s">
        <v>1090</v>
      </c>
      <c r="I1357" s="85">
        <v>7</v>
      </c>
      <c r="J1357" s="87">
        <v>3.75</v>
      </c>
      <c r="K1357" s="88">
        <f t="shared" si="66"/>
        <v>26.25</v>
      </c>
      <c r="L1357" s="85" t="s">
        <v>1296</v>
      </c>
    </row>
    <row r="1358" spans="1:12" hidden="1" x14ac:dyDescent="0.2">
      <c r="A1358" s="84" t="str">
        <f t="shared" si="64"/>
        <v>MarçoSEMANA 4Pescados - Carne de siri</v>
      </c>
      <c r="B1358" s="85" t="s">
        <v>31</v>
      </c>
      <c r="C1358" s="85" t="s">
        <v>23</v>
      </c>
      <c r="D1358" s="86">
        <v>23</v>
      </c>
      <c r="E1358" s="116" t="str">
        <f t="shared" si="65"/>
        <v>Carnes</v>
      </c>
      <c r="F1358" s="85" t="s">
        <v>1166</v>
      </c>
      <c r="G1358" s="85" t="s">
        <v>599</v>
      </c>
      <c r="H1358" s="85" t="s">
        <v>1083</v>
      </c>
      <c r="I1358" s="85">
        <v>10</v>
      </c>
      <c r="J1358" s="87">
        <v>22.9</v>
      </c>
      <c r="K1358" s="88">
        <f t="shared" si="66"/>
        <v>229</v>
      </c>
      <c r="L1358" s="85">
        <v>330865</v>
      </c>
    </row>
    <row r="1359" spans="1:12" hidden="1" x14ac:dyDescent="0.2">
      <c r="A1359" s="84" t="str">
        <f t="shared" si="64"/>
        <v>MarçoSEMANA 4Toner HP Preto</v>
      </c>
      <c r="B1359" s="85" t="s">
        <v>31</v>
      </c>
      <c r="C1359" s="85" t="s">
        <v>23</v>
      </c>
      <c r="D1359" s="86">
        <v>23</v>
      </c>
      <c r="E1359" s="116" t="str">
        <f t="shared" si="65"/>
        <v>Escritório</v>
      </c>
      <c r="F1359" s="85" t="s">
        <v>1210</v>
      </c>
      <c r="G1359" s="85" t="s">
        <v>801</v>
      </c>
      <c r="H1359" s="85" t="s">
        <v>1090</v>
      </c>
      <c r="I1359" s="85">
        <v>2</v>
      </c>
      <c r="J1359" s="87">
        <v>414.9</v>
      </c>
      <c r="K1359" s="88">
        <f t="shared" si="66"/>
        <v>829.8</v>
      </c>
      <c r="L1359" s="85">
        <v>1091101</v>
      </c>
    </row>
    <row r="1360" spans="1:12" hidden="1" x14ac:dyDescent="0.2">
      <c r="A1360" s="84" t="str">
        <f t="shared" si="64"/>
        <v>MarçoSEMANA 4Pão Francês</v>
      </c>
      <c r="B1360" s="85" t="s">
        <v>31</v>
      </c>
      <c r="C1360" s="85" t="s">
        <v>23</v>
      </c>
      <c r="D1360" s="86">
        <v>23</v>
      </c>
      <c r="E1360" s="116" t="str">
        <f t="shared" si="65"/>
        <v>Mercado</v>
      </c>
      <c r="F1360" s="85" t="s">
        <v>1118</v>
      </c>
      <c r="G1360" s="85" t="s">
        <v>564</v>
      </c>
      <c r="H1360" s="85" t="s">
        <v>1083</v>
      </c>
      <c r="I1360" s="85">
        <v>0.155</v>
      </c>
      <c r="J1360" s="87">
        <v>13.98</v>
      </c>
      <c r="K1360" s="88">
        <f t="shared" si="66"/>
        <v>2.1669</v>
      </c>
      <c r="L1360" s="85">
        <v>94943</v>
      </c>
    </row>
    <row r="1361" spans="1:12" hidden="1" x14ac:dyDescent="0.2">
      <c r="A1361" s="84" t="str">
        <f t="shared" si="64"/>
        <v>MarçoSEMANA 4Suco de Maracujá</v>
      </c>
      <c r="B1361" s="85" t="s">
        <v>31</v>
      </c>
      <c r="C1361" s="85" t="s">
        <v>23</v>
      </c>
      <c r="D1361" s="86">
        <v>23</v>
      </c>
      <c r="E1361" s="116" t="str">
        <f t="shared" si="65"/>
        <v>Mercado</v>
      </c>
      <c r="F1361" s="85" t="s">
        <v>1118</v>
      </c>
      <c r="G1361" s="85" t="s">
        <v>752</v>
      </c>
      <c r="H1361" s="85" t="s">
        <v>1090</v>
      </c>
      <c r="I1361" s="85">
        <v>2</v>
      </c>
      <c r="J1361" s="87">
        <v>8.75</v>
      </c>
      <c r="K1361" s="88">
        <f t="shared" si="66"/>
        <v>17.5</v>
      </c>
      <c r="L1361" s="85">
        <v>94943</v>
      </c>
    </row>
    <row r="1362" spans="1:12" hidden="1" x14ac:dyDescent="0.2">
      <c r="A1362" s="84" t="str">
        <f t="shared" si="64"/>
        <v>MarçoSEMANA 4Torta Brownie com Nozes</v>
      </c>
      <c r="B1362" s="85" t="s">
        <v>31</v>
      </c>
      <c r="C1362" s="85" t="s">
        <v>23</v>
      </c>
      <c r="D1362" s="86">
        <v>23</v>
      </c>
      <c r="E1362" s="116" t="str">
        <f t="shared" si="65"/>
        <v>Sobremesa</v>
      </c>
      <c r="F1362" s="85" t="s">
        <v>1233</v>
      </c>
      <c r="G1362" s="85" t="s">
        <v>810</v>
      </c>
      <c r="H1362" s="85" t="s">
        <v>1090</v>
      </c>
      <c r="I1362" s="85">
        <v>8</v>
      </c>
      <c r="J1362" s="87">
        <f>49.9/8</f>
        <v>6.2374999999999998</v>
      </c>
      <c r="K1362" s="88">
        <f t="shared" si="66"/>
        <v>49.9</v>
      </c>
      <c r="L1362" s="85">
        <v>38826</v>
      </c>
    </row>
    <row r="1363" spans="1:12" hidden="1" x14ac:dyDescent="0.2">
      <c r="A1363" s="84" t="str">
        <f t="shared" si="64"/>
        <v>MarçoSEMANA 4Torta Alemã</v>
      </c>
      <c r="B1363" s="85" t="s">
        <v>31</v>
      </c>
      <c r="C1363" s="85" t="s">
        <v>23</v>
      </c>
      <c r="D1363" s="86">
        <v>23</v>
      </c>
      <c r="E1363" s="116" t="str">
        <f t="shared" si="65"/>
        <v>Sobremesa</v>
      </c>
      <c r="F1363" s="85" t="s">
        <v>1146</v>
      </c>
      <c r="G1363" s="85" t="s">
        <v>803</v>
      </c>
      <c r="H1363" s="85" t="s">
        <v>1147</v>
      </c>
      <c r="I1363" s="85">
        <v>12</v>
      </c>
      <c r="J1363" s="87">
        <f>68.97/12</f>
        <v>5.7474999999999996</v>
      </c>
      <c r="K1363" s="88">
        <f t="shared" si="66"/>
        <v>68.97</v>
      </c>
      <c r="L1363" s="85">
        <v>150759</v>
      </c>
    </row>
    <row r="1364" spans="1:12" hidden="1" x14ac:dyDescent="0.2">
      <c r="A1364" s="84" t="str">
        <f t="shared" si="64"/>
        <v>MarçoSEMANA 4Torta Bem Casado de Damasco</v>
      </c>
      <c r="B1364" s="85" t="s">
        <v>31</v>
      </c>
      <c r="C1364" s="85" t="s">
        <v>23</v>
      </c>
      <c r="D1364" s="86">
        <v>23</v>
      </c>
      <c r="E1364" s="116" t="str">
        <f t="shared" si="65"/>
        <v>Sobremesa</v>
      </c>
      <c r="F1364" s="85" t="s">
        <v>1146</v>
      </c>
      <c r="G1364" s="85" t="s">
        <v>807</v>
      </c>
      <c r="H1364" s="85" t="s">
        <v>1147</v>
      </c>
      <c r="I1364" s="85">
        <v>12</v>
      </c>
      <c r="J1364" s="87">
        <f>71.1/12</f>
        <v>5.9249999999999998</v>
      </c>
      <c r="K1364" s="88">
        <f t="shared" si="66"/>
        <v>71.099999999999994</v>
      </c>
      <c r="L1364" s="85">
        <v>150759</v>
      </c>
    </row>
    <row r="1365" spans="1:12" hidden="1" x14ac:dyDescent="0.2">
      <c r="A1365" s="84" t="str">
        <f t="shared" si="64"/>
        <v>MarçoSEMANA 4Torta de Limão</v>
      </c>
      <c r="B1365" s="85" t="s">
        <v>31</v>
      </c>
      <c r="C1365" s="85" t="s">
        <v>23</v>
      </c>
      <c r="D1365" s="86">
        <v>23</v>
      </c>
      <c r="E1365" s="116" t="str">
        <f t="shared" si="65"/>
        <v>Sobremesa</v>
      </c>
      <c r="F1365" s="85" t="s">
        <v>1146</v>
      </c>
      <c r="G1365" s="85" t="s">
        <v>813</v>
      </c>
      <c r="H1365" s="85" t="s">
        <v>1147</v>
      </c>
      <c r="I1365" s="85">
        <v>12</v>
      </c>
      <c r="J1365" s="87">
        <f>66.85/12</f>
        <v>5.5708333333333329</v>
      </c>
      <c r="K1365" s="88">
        <f t="shared" si="66"/>
        <v>66.849999999999994</v>
      </c>
      <c r="L1365" s="85">
        <v>150759</v>
      </c>
    </row>
    <row r="1366" spans="1:12" hidden="1" x14ac:dyDescent="0.2">
      <c r="A1366" s="84" t="str">
        <f t="shared" si="64"/>
        <v>MarçoSEMANA 4Quindão com Damasco</v>
      </c>
      <c r="B1366" s="85" t="s">
        <v>31</v>
      </c>
      <c r="C1366" s="85" t="s">
        <v>23</v>
      </c>
      <c r="D1366" s="86">
        <v>23</v>
      </c>
      <c r="E1366" s="116" t="str">
        <f t="shared" si="65"/>
        <v>Sobremesa</v>
      </c>
      <c r="F1366" s="85" t="s">
        <v>1146</v>
      </c>
      <c r="G1366" s="85" t="s">
        <v>690</v>
      </c>
      <c r="H1366" s="85" t="s">
        <v>1147</v>
      </c>
      <c r="I1366" s="85">
        <v>12</v>
      </c>
      <c r="J1366" s="87">
        <f>68.97/12</f>
        <v>5.7474999999999996</v>
      </c>
      <c r="K1366" s="88">
        <f t="shared" si="66"/>
        <v>68.97</v>
      </c>
      <c r="L1366" s="85">
        <v>150759</v>
      </c>
    </row>
    <row r="1367" spans="1:12" hidden="1" x14ac:dyDescent="0.2">
      <c r="A1367" s="84" t="str">
        <f t="shared" si="64"/>
        <v>MarçoSEMANA 4Torta Bem Casado de Doce de Leite</v>
      </c>
      <c r="B1367" s="85" t="s">
        <v>31</v>
      </c>
      <c r="C1367" s="85" t="s">
        <v>23</v>
      </c>
      <c r="D1367" s="86">
        <v>23</v>
      </c>
      <c r="E1367" s="116" t="str">
        <f t="shared" si="65"/>
        <v>Sobremesa</v>
      </c>
      <c r="F1367" s="85" t="s">
        <v>1146</v>
      </c>
      <c r="G1367" s="85" t="s">
        <v>808</v>
      </c>
      <c r="H1367" s="85" t="s">
        <v>1147</v>
      </c>
      <c r="I1367" s="85">
        <v>12</v>
      </c>
      <c r="J1367" s="87">
        <f>71.1/12</f>
        <v>5.9249999999999998</v>
      </c>
      <c r="K1367" s="88">
        <f t="shared" si="66"/>
        <v>71.099999999999994</v>
      </c>
      <c r="L1367" s="85">
        <v>150759</v>
      </c>
    </row>
    <row r="1368" spans="1:12" hidden="1" x14ac:dyDescent="0.2">
      <c r="A1368" s="84" t="str">
        <f t="shared" si="64"/>
        <v>MarçoSEMANA 4Torta Bem Casado de Chocolate c/ Avelã</v>
      </c>
      <c r="B1368" s="85" t="s">
        <v>31</v>
      </c>
      <c r="C1368" s="85" t="s">
        <v>23</v>
      </c>
      <c r="D1368" s="86">
        <v>23</v>
      </c>
      <c r="E1368" s="116" t="str">
        <f t="shared" si="65"/>
        <v>Sobremesa</v>
      </c>
      <c r="F1368" s="85" t="s">
        <v>1146</v>
      </c>
      <c r="G1368" s="85" t="s">
        <v>806</v>
      </c>
      <c r="H1368" s="85" t="s">
        <v>1147</v>
      </c>
      <c r="I1368" s="85">
        <v>12</v>
      </c>
      <c r="J1368" s="87">
        <f>71.1/12</f>
        <v>5.9249999999999998</v>
      </c>
      <c r="K1368" s="88">
        <f t="shared" si="66"/>
        <v>71.099999999999994</v>
      </c>
      <c r="L1368" s="85">
        <v>150759</v>
      </c>
    </row>
    <row r="1369" spans="1:12" hidden="1" x14ac:dyDescent="0.2">
      <c r="A1369" s="84" t="str">
        <f t="shared" si="64"/>
        <v>MarçoSEMANA 4Torta Banana Crock</v>
      </c>
      <c r="B1369" s="85" t="s">
        <v>31</v>
      </c>
      <c r="C1369" s="85" t="s">
        <v>23</v>
      </c>
      <c r="D1369" s="86">
        <v>23</v>
      </c>
      <c r="E1369" s="116" t="str">
        <f t="shared" si="65"/>
        <v>Sobremesa</v>
      </c>
      <c r="F1369" s="85" t="s">
        <v>1146</v>
      </c>
      <c r="G1369" s="85" t="s">
        <v>804</v>
      </c>
      <c r="H1369" s="85" t="s">
        <v>1147</v>
      </c>
      <c r="I1369" s="85">
        <f>2*12</f>
        <v>24</v>
      </c>
      <c r="J1369" s="87">
        <f>142.2/24</f>
        <v>5.9249999999999998</v>
      </c>
      <c r="K1369" s="88">
        <f t="shared" si="66"/>
        <v>142.19999999999999</v>
      </c>
      <c r="L1369" s="85">
        <v>150759</v>
      </c>
    </row>
    <row r="1370" spans="1:12" hidden="1" x14ac:dyDescent="0.2">
      <c r="A1370" s="84" t="str">
        <f t="shared" si="64"/>
        <v>MarçoSEMANA 4Suco de Maracujá</v>
      </c>
      <c r="B1370" s="85" t="s">
        <v>31</v>
      </c>
      <c r="C1370" s="85" t="s">
        <v>23</v>
      </c>
      <c r="D1370" s="86">
        <v>24</v>
      </c>
      <c r="E1370" s="116" t="str">
        <f t="shared" si="65"/>
        <v>Mercado</v>
      </c>
      <c r="F1370" s="85" t="s">
        <v>1118</v>
      </c>
      <c r="G1370" s="85" t="s">
        <v>752</v>
      </c>
      <c r="H1370" s="85" t="s">
        <v>1090</v>
      </c>
      <c r="I1370" s="85">
        <v>1</v>
      </c>
      <c r="J1370" s="87">
        <v>8.75</v>
      </c>
      <c r="K1370" s="88">
        <f t="shared" si="66"/>
        <v>8.75</v>
      </c>
      <c r="L1370" s="85">
        <v>130385</v>
      </c>
    </row>
    <row r="1371" spans="1:12" hidden="1" x14ac:dyDescent="0.2">
      <c r="A1371" s="84" t="str">
        <f t="shared" si="64"/>
        <v>MarçoSEMANA 4Pão Árabe</v>
      </c>
      <c r="B1371" s="85" t="s">
        <v>31</v>
      </c>
      <c r="C1371" s="85" t="s">
        <v>23</v>
      </c>
      <c r="D1371" s="86">
        <v>24</v>
      </c>
      <c r="E1371" s="116" t="str">
        <f t="shared" si="65"/>
        <v>Mercado</v>
      </c>
      <c r="F1371" s="85" t="s">
        <v>1118</v>
      </c>
      <c r="G1371" s="85" t="s">
        <v>560</v>
      </c>
      <c r="H1371" s="85" t="s">
        <v>1114</v>
      </c>
      <c r="I1371" s="85">
        <v>2</v>
      </c>
      <c r="J1371" s="87">
        <v>6.7</v>
      </c>
      <c r="K1371" s="88">
        <f t="shared" si="66"/>
        <v>13.4</v>
      </c>
      <c r="L1371" s="85">
        <v>130385</v>
      </c>
    </row>
    <row r="1372" spans="1:12" x14ac:dyDescent="0.25">
      <c r="A1372" s="84" t="str">
        <f t="shared" si="64"/>
        <v>MarçoSEMANA 4Maracujá</v>
      </c>
      <c r="B1372" s="85" t="s">
        <v>31</v>
      </c>
      <c r="C1372" s="85" t="s">
        <v>23</v>
      </c>
      <c r="D1372" s="86">
        <v>24</v>
      </c>
      <c r="E1372" s="116" t="str">
        <f t="shared" si="65"/>
        <v>Hortifruti</v>
      </c>
      <c r="F1372" s="85" t="s">
        <v>1118</v>
      </c>
      <c r="G1372" s="85" t="s">
        <v>503</v>
      </c>
      <c r="H1372" s="85" t="s">
        <v>1083</v>
      </c>
      <c r="I1372" s="85">
        <v>1.1399999999999999</v>
      </c>
      <c r="J1372" s="87">
        <v>6.98</v>
      </c>
      <c r="K1372" s="88">
        <f t="shared" si="66"/>
        <v>7.9571999999999994</v>
      </c>
      <c r="L1372" s="85">
        <v>130385</v>
      </c>
    </row>
    <row r="1373" spans="1:12" hidden="1" x14ac:dyDescent="0.2">
      <c r="A1373" s="84" t="str">
        <f t="shared" si="64"/>
        <v>MarçoSEMANA 4Gelo em Escamas</v>
      </c>
      <c r="B1373" s="85" t="s">
        <v>31</v>
      </c>
      <c r="C1373" s="85" t="s">
        <v>23</v>
      </c>
      <c r="D1373" s="86">
        <v>24</v>
      </c>
      <c r="E1373" s="116" t="str">
        <f t="shared" si="65"/>
        <v>Mercado</v>
      </c>
      <c r="F1373" s="85" t="s">
        <v>1096</v>
      </c>
      <c r="G1373" s="85" t="s">
        <v>384</v>
      </c>
      <c r="H1373" s="85" t="s">
        <v>1097</v>
      </c>
      <c r="I1373" s="85">
        <v>2</v>
      </c>
      <c r="J1373" s="87">
        <v>7.5</v>
      </c>
      <c r="K1373" s="88">
        <f t="shared" si="66"/>
        <v>15</v>
      </c>
      <c r="L1373" s="85">
        <v>3965</v>
      </c>
    </row>
    <row r="1374" spans="1:12" hidden="1" x14ac:dyDescent="0.2">
      <c r="A1374" s="84" t="str">
        <f t="shared" si="64"/>
        <v>MarçoSEMANA 4Gelo em Cubo</v>
      </c>
      <c r="B1374" s="85" t="s">
        <v>31</v>
      </c>
      <c r="C1374" s="85" t="s">
        <v>23</v>
      </c>
      <c r="D1374" s="86">
        <v>24</v>
      </c>
      <c r="E1374" s="116" t="str">
        <f t="shared" si="65"/>
        <v>Mercado</v>
      </c>
      <c r="F1374" s="85" t="s">
        <v>1096</v>
      </c>
      <c r="G1374" s="85" t="s">
        <v>383</v>
      </c>
      <c r="H1374" s="85" t="s">
        <v>1097</v>
      </c>
      <c r="I1374" s="85">
        <v>4</v>
      </c>
      <c r="J1374" s="87">
        <v>7.5</v>
      </c>
      <c r="K1374" s="88">
        <f t="shared" si="66"/>
        <v>30</v>
      </c>
      <c r="L1374" s="85">
        <v>3965</v>
      </c>
    </row>
    <row r="1375" spans="1:12" x14ac:dyDescent="0.25">
      <c r="A1375" s="84" t="str">
        <f t="shared" si="64"/>
        <v>MarçoSEMANA 4Batata Calabresa</v>
      </c>
      <c r="B1375" s="85" t="s">
        <v>31</v>
      </c>
      <c r="C1375" s="85" t="s">
        <v>23</v>
      </c>
      <c r="D1375" s="86">
        <v>24</v>
      </c>
      <c r="E1375" s="116" t="str">
        <f t="shared" si="65"/>
        <v>Hortifruti</v>
      </c>
      <c r="F1375" s="85" t="s">
        <v>1110</v>
      </c>
      <c r="G1375" s="85" t="s">
        <v>901</v>
      </c>
      <c r="H1375" s="85" t="s">
        <v>1083</v>
      </c>
      <c r="I1375" s="85">
        <v>4</v>
      </c>
      <c r="J1375" s="87">
        <v>4</v>
      </c>
      <c r="K1375" s="88">
        <f t="shared" si="66"/>
        <v>16</v>
      </c>
      <c r="L1375" s="85">
        <v>3544</v>
      </c>
    </row>
    <row r="1376" spans="1:12" x14ac:dyDescent="0.25">
      <c r="A1376" s="84" t="str">
        <f t="shared" si="64"/>
        <v>MarçoSEMANA 4Pepino Japonês</v>
      </c>
      <c r="B1376" s="85" t="s">
        <v>31</v>
      </c>
      <c r="C1376" s="85" t="s">
        <v>23</v>
      </c>
      <c r="D1376" s="86">
        <v>24</v>
      </c>
      <c r="E1376" s="116" t="str">
        <f t="shared" si="65"/>
        <v>Hortifruti</v>
      </c>
      <c r="F1376" s="85" t="s">
        <v>1110</v>
      </c>
      <c r="G1376" s="85" t="s">
        <v>576</v>
      </c>
      <c r="H1376" s="85" t="s">
        <v>1083</v>
      </c>
      <c r="I1376" s="85">
        <v>17.079999999999998</v>
      </c>
      <c r="J1376" s="87">
        <f>45/17.08</f>
        <v>2.6346604215456679</v>
      </c>
      <c r="K1376" s="88">
        <f t="shared" si="66"/>
        <v>45.000000000000007</v>
      </c>
      <c r="L1376" s="85">
        <v>3544</v>
      </c>
    </row>
    <row r="1377" spans="1:12" x14ac:dyDescent="0.25">
      <c r="A1377" s="84" t="str">
        <f t="shared" si="64"/>
        <v>MarçoSEMANA 4Repolho</v>
      </c>
      <c r="B1377" s="85" t="s">
        <v>31</v>
      </c>
      <c r="C1377" s="85" t="s">
        <v>23</v>
      </c>
      <c r="D1377" s="86">
        <v>24</v>
      </c>
      <c r="E1377" s="116" t="str">
        <f t="shared" si="65"/>
        <v>Hortifruti</v>
      </c>
      <c r="F1377" s="85" t="s">
        <v>1110</v>
      </c>
      <c r="G1377" s="85" t="s">
        <v>700</v>
      </c>
      <c r="H1377" s="85" t="s">
        <v>1083</v>
      </c>
      <c r="I1377" s="85">
        <v>4</v>
      </c>
      <c r="J1377" s="87">
        <v>2</v>
      </c>
      <c r="K1377" s="88">
        <f t="shared" si="66"/>
        <v>8</v>
      </c>
      <c r="L1377" s="85">
        <v>3544</v>
      </c>
    </row>
    <row r="1378" spans="1:12" x14ac:dyDescent="0.25">
      <c r="A1378" s="84" t="str">
        <f t="shared" si="64"/>
        <v>MarçoSEMANA 4Repolho Roxo</v>
      </c>
      <c r="B1378" s="85" t="s">
        <v>31</v>
      </c>
      <c r="C1378" s="85" t="s">
        <v>23</v>
      </c>
      <c r="D1378" s="86">
        <v>24</v>
      </c>
      <c r="E1378" s="116" t="str">
        <f t="shared" si="65"/>
        <v>Hortifruti</v>
      </c>
      <c r="F1378" s="85" t="s">
        <v>1110</v>
      </c>
      <c r="G1378" s="85" t="s">
        <v>702</v>
      </c>
      <c r="H1378" s="85" t="s">
        <v>1083</v>
      </c>
      <c r="I1378" s="85">
        <v>4</v>
      </c>
      <c r="J1378" s="87">
        <v>3</v>
      </c>
      <c r="K1378" s="88">
        <f t="shared" si="66"/>
        <v>12</v>
      </c>
      <c r="L1378" s="85">
        <v>3544</v>
      </c>
    </row>
    <row r="1379" spans="1:12" x14ac:dyDescent="0.25">
      <c r="A1379" s="84" t="str">
        <f t="shared" si="64"/>
        <v>MarçoSEMANA 4Tomate Cereja</v>
      </c>
      <c r="B1379" s="85" t="s">
        <v>31</v>
      </c>
      <c r="C1379" s="85" t="s">
        <v>23</v>
      </c>
      <c r="D1379" s="86">
        <v>24</v>
      </c>
      <c r="E1379" s="116" t="str">
        <f t="shared" si="65"/>
        <v>Hortifruti</v>
      </c>
      <c r="F1379" s="85" t="s">
        <v>1110</v>
      </c>
      <c r="G1379" s="85" t="s">
        <v>789</v>
      </c>
      <c r="H1379" s="85" t="s">
        <v>1083</v>
      </c>
      <c r="I1379" s="85">
        <v>6</v>
      </c>
      <c r="J1379" s="87">
        <v>7</v>
      </c>
      <c r="K1379" s="88">
        <f t="shared" si="66"/>
        <v>42</v>
      </c>
      <c r="L1379" s="85">
        <v>3544</v>
      </c>
    </row>
    <row r="1380" spans="1:12" x14ac:dyDescent="0.25">
      <c r="A1380" s="84" t="str">
        <f t="shared" si="64"/>
        <v xml:space="preserve">MarçoSEMANA 4Alface Americana    </v>
      </c>
      <c r="B1380" s="85" t="s">
        <v>31</v>
      </c>
      <c r="C1380" s="85" t="s">
        <v>23</v>
      </c>
      <c r="D1380" s="86">
        <v>24</v>
      </c>
      <c r="E1380" s="116" t="str">
        <f t="shared" si="65"/>
        <v>Hortifruti</v>
      </c>
      <c r="F1380" s="85" t="s">
        <v>1110</v>
      </c>
      <c r="G1380" s="85" t="s">
        <v>102</v>
      </c>
      <c r="H1380" s="85" t="s">
        <v>1083</v>
      </c>
      <c r="I1380" s="85">
        <v>7.04</v>
      </c>
      <c r="J1380" s="87">
        <f>48/7.04</f>
        <v>6.8181818181818183</v>
      </c>
      <c r="K1380" s="88">
        <f t="shared" si="66"/>
        <v>48</v>
      </c>
      <c r="L1380" s="85">
        <v>3544</v>
      </c>
    </row>
    <row r="1381" spans="1:12" x14ac:dyDescent="0.25">
      <c r="A1381" s="84" t="str">
        <f t="shared" si="64"/>
        <v>MarçoSEMANA 4Alface crespa</v>
      </c>
      <c r="B1381" s="85" t="s">
        <v>31</v>
      </c>
      <c r="C1381" s="85" t="s">
        <v>23</v>
      </c>
      <c r="D1381" s="86">
        <v>24</v>
      </c>
      <c r="E1381" s="116" t="str">
        <f t="shared" si="65"/>
        <v>Hortifruti</v>
      </c>
      <c r="F1381" s="85" t="s">
        <v>1110</v>
      </c>
      <c r="G1381" s="85" t="s">
        <v>104</v>
      </c>
      <c r="H1381" s="85" t="s">
        <v>1083</v>
      </c>
      <c r="I1381" s="85">
        <v>3.26</v>
      </c>
      <c r="J1381" s="87">
        <f>19.5/3.26</f>
        <v>5.9815950920245404</v>
      </c>
      <c r="K1381" s="88">
        <f t="shared" si="66"/>
        <v>19.5</v>
      </c>
      <c r="L1381" s="85">
        <v>3544</v>
      </c>
    </row>
    <row r="1382" spans="1:12" x14ac:dyDescent="0.25">
      <c r="A1382" s="84" t="str">
        <f t="shared" si="64"/>
        <v>MarçoSEMANA 4Alface Roxa</v>
      </c>
      <c r="B1382" s="85" t="s">
        <v>31</v>
      </c>
      <c r="C1382" s="85" t="s">
        <v>23</v>
      </c>
      <c r="D1382" s="86">
        <v>24</v>
      </c>
      <c r="E1382" s="116" t="str">
        <f t="shared" si="65"/>
        <v>Hortifruti</v>
      </c>
      <c r="F1382" s="85" t="s">
        <v>1110</v>
      </c>
      <c r="G1382" s="85" t="s">
        <v>108</v>
      </c>
      <c r="H1382" s="85" t="s">
        <v>1083</v>
      </c>
      <c r="I1382" s="85">
        <v>1.08</v>
      </c>
      <c r="J1382" s="87">
        <f>12/1.08</f>
        <v>11.111111111111111</v>
      </c>
      <c r="K1382" s="88">
        <f t="shared" si="66"/>
        <v>12</v>
      </c>
      <c r="L1382" s="85">
        <v>3544</v>
      </c>
    </row>
    <row r="1383" spans="1:12" x14ac:dyDescent="0.25">
      <c r="A1383" s="84" t="str">
        <f t="shared" si="64"/>
        <v>MarçoSEMANA 4Cebolinha Verde</v>
      </c>
      <c r="B1383" s="85" t="s">
        <v>31</v>
      </c>
      <c r="C1383" s="85" t="s">
        <v>23</v>
      </c>
      <c r="D1383" s="86">
        <v>24</v>
      </c>
      <c r="E1383" s="116" t="str">
        <f t="shared" si="65"/>
        <v>Hortifruti</v>
      </c>
      <c r="F1383" s="85" t="s">
        <v>1110</v>
      </c>
      <c r="G1383" s="85" t="s">
        <v>247</v>
      </c>
      <c r="H1383" s="85" t="s">
        <v>1083</v>
      </c>
      <c r="I1383" s="85">
        <v>1</v>
      </c>
      <c r="J1383" s="87">
        <v>7</v>
      </c>
      <c r="K1383" s="88">
        <f t="shared" si="66"/>
        <v>7</v>
      </c>
      <c r="L1383" s="85">
        <v>3544</v>
      </c>
    </row>
    <row r="1384" spans="1:12" x14ac:dyDescent="0.25">
      <c r="A1384" s="84" t="str">
        <f t="shared" si="64"/>
        <v>MarçoSEMANA 4Couve Manteiga</v>
      </c>
      <c r="B1384" s="85" t="s">
        <v>31</v>
      </c>
      <c r="C1384" s="85" t="s">
        <v>23</v>
      </c>
      <c r="D1384" s="86">
        <v>24</v>
      </c>
      <c r="E1384" s="116" t="str">
        <f t="shared" si="65"/>
        <v>Hortifruti</v>
      </c>
      <c r="F1384" s="85" t="s">
        <v>1110</v>
      </c>
      <c r="G1384" s="85" t="s">
        <v>307</v>
      </c>
      <c r="H1384" s="85" t="s">
        <v>1083</v>
      </c>
      <c r="I1384" s="85">
        <v>2</v>
      </c>
      <c r="J1384" s="87">
        <v>6</v>
      </c>
      <c r="K1384" s="88">
        <f t="shared" si="66"/>
        <v>12</v>
      </c>
      <c r="L1384" s="85">
        <v>3544</v>
      </c>
    </row>
    <row r="1385" spans="1:12" x14ac:dyDescent="0.25">
      <c r="A1385" s="84" t="str">
        <f t="shared" si="64"/>
        <v>MarçoSEMANA 4Manjericão</v>
      </c>
      <c r="B1385" s="85" t="s">
        <v>31</v>
      </c>
      <c r="C1385" s="85" t="s">
        <v>23</v>
      </c>
      <c r="D1385" s="86">
        <v>24</v>
      </c>
      <c r="E1385" s="116" t="str">
        <f t="shared" si="65"/>
        <v>Hortifruti</v>
      </c>
      <c r="F1385" s="85" t="s">
        <v>1110</v>
      </c>
      <c r="G1385" s="85" t="s">
        <v>498</v>
      </c>
      <c r="H1385" s="85" t="s">
        <v>1083</v>
      </c>
      <c r="I1385" s="85">
        <v>0.5</v>
      </c>
      <c r="J1385" s="87">
        <v>10</v>
      </c>
      <c r="K1385" s="88">
        <f t="shared" si="66"/>
        <v>5</v>
      </c>
      <c r="L1385" s="85">
        <v>3544</v>
      </c>
    </row>
    <row r="1386" spans="1:12" x14ac:dyDescent="0.25">
      <c r="A1386" s="84" t="str">
        <f t="shared" si="64"/>
        <v>MarçoSEMANA 4Rúcula</v>
      </c>
      <c r="B1386" s="85" t="s">
        <v>31</v>
      </c>
      <c r="C1386" s="85" t="s">
        <v>23</v>
      </c>
      <c r="D1386" s="86">
        <v>24</v>
      </c>
      <c r="E1386" s="116" t="str">
        <f t="shared" si="65"/>
        <v>Hortifruti</v>
      </c>
      <c r="F1386" s="85" t="s">
        <v>1110</v>
      </c>
      <c r="G1386" s="85" t="s">
        <v>705</v>
      </c>
      <c r="H1386" s="85" t="s">
        <v>1083</v>
      </c>
      <c r="I1386" s="85">
        <v>5</v>
      </c>
      <c r="J1386" s="87">
        <v>8</v>
      </c>
      <c r="K1386" s="88">
        <f t="shared" si="66"/>
        <v>40</v>
      </c>
      <c r="L1386" s="85">
        <v>3544</v>
      </c>
    </row>
    <row r="1387" spans="1:12" x14ac:dyDescent="0.25">
      <c r="A1387" s="84" t="str">
        <f t="shared" si="64"/>
        <v>MarçoSEMANA 4Salsa</v>
      </c>
      <c r="B1387" s="85" t="s">
        <v>31</v>
      </c>
      <c r="C1387" s="85" t="s">
        <v>23</v>
      </c>
      <c r="D1387" s="86">
        <v>24</v>
      </c>
      <c r="E1387" s="116" t="str">
        <f t="shared" si="65"/>
        <v>Hortifruti</v>
      </c>
      <c r="F1387" s="85" t="s">
        <v>1110</v>
      </c>
      <c r="G1387" s="85" t="s">
        <v>728</v>
      </c>
      <c r="H1387" s="85" t="s">
        <v>1083</v>
      </c>
      <c r="I1387" s="85">
        <v>1</v>
      </c>
      <c r="J1387" s="87">
        <v>7</v>
      </c>
      <c r="K1387" s="88">
        <f t="shared" si="66"/>
        <v>7</v>
      </c>
      <c r="L1387" s="85">
        <v>3544</v>
      </c>
    </row>
    <row r="1388" spans="1:12" hidden="1" x14ac:dyDescent="0.2">
      <c r="A1388" s="84" t="str">
        <f t="shared" si="64"/>
        <v>MarçoSEMANA 4Abacate Sushi</v>
      </c>
      <c r="B1388" s="85" t="s">
        <v>31</v>
      </c>
      <c r="C1388" s="85" t="s">
        <v>23</v>
      </c>
      <c r="D1388" s="86">
        <v>24</v>
      </c>
      <c r="E1388" s="116" t="str">
        <f t="shared" si="65"/>
        <v>Sushi</v>
      </c>
      <c r="F1388" s="85" t="s">
        <v>1110</v>
      </c>
      <c r="G1388" s="85" t="s">
        <v>64</v>
      </c>
      <c r="H1388" s="85" t="s">
        <v>1083</v>
      </c>
      <c r="I1388" s="85">
        <v>1</v>
      </c>
      <c r="J1388" s="87">
        <v>6</v>
      </c>
      <c r="K1388" s="88">
        <f t="shared" si="66"/>
        <v>6</v>
      </c>
      <c r="L1388" s="85">
        <v>3544</v>
      </c>
    </row>
    <row r="1389" spans="1:12" x14ac:dyDescent="0.25">
      <c r="A1389" s="84" t="str">
        <f t="shared" si="64"/>
        <v xml:space="preserve">MarçoSEMANA 4Abacaxi </v>
      </c>
      <c r="B1389" s="85" t="s">
        <v>31</v>
      </c>
      <c r="C1389" s="85" t="s">
        <v>23</v>
      </c>
      <c r="D1389" s="86">
        <v>24</v>
      </c>
      <c r="E1389" s="116" t="str">
        <f t="shared" si="65"/>
        <v>Hortifruti</v>
      </c>
      <c r="F1389" s="85" t="s">
        <v>1110</v>
      </c>
      <c r="G1389" s="85" t="s">
        <v>65</v>
      </c>
      <c r="H1389" s="85" t="s">
        <v>1083</v>
      </c>
      <c r="I1389" s="85">
        <v>15</v>
      </c>
      <c r="J1389" s="87">
        <v>3</v>
      </c>
      <c r="K1389" s="88">
        <f t="shared" si="66"/>
        <v>45</v>
      </c>
      <c r="L1389" s="85">
        <v>3544</v>
      </c>
    </row>
    <row r="1390" spans="1:12" x14ac:dyDescent="0.25">
      <c r="A1390" s="84" t="str">
        <f t="shared" si="64"/>
        <v>MarçoSEMANA 4Laranja Pera</v>
      </c>
      <c r="B1390" s="85" t="s">
        <v>31</v>
      </c>
      <c r="C1390" s="85" t="s">
        <v>23</v>
      </c>
      <c r="D1390" s="86">
        <v>24</v>
      </c>
      <c r="E1390" s="116" t="str">
        <f t="shared" si="65"/>
        <v>Hortifruti</v>
      </c>
      <c r="F1390" s="85" t="s">
        <v>1110</v>
      </c>
      <c r="G1390" s="85" t="s">
        <v>456</v>
      </c>
      <c r="H1390" s="85" t="s">
        <v>1083</v>
      </c>
      <c r="I1390" s="85">
        <v>21.92</v>
      </c>
      <c r="J1390" s="87">
        <f>35/21.92</f>
        <v>1.5967153284671531</v>
      </c>
      <c r="K1390" s="88">
        <f t="shared" si="66"/>
        <v>35</v>
      </c>
      <c r="L1390" s="85">
        <v>3544</v>
      </c>
    </row>
    <row r="1391" spans="1:12" x14ac:dyDescent="0.25">
      <c r="A1391" s="84" t="str">
        <f t="shared" si="64"/>
        <v>MarçoSEMANA 4Mamão Bahia</v>
      </c>
      <c r="B1391" s="85" t="s">
        <v>31</v>
      </c>
      <c r="C1391" s="85" t="s">
        <v>23</v>
      </c>
      <c r="D1391" s="86">
        <v>24</v>
      </c>
      <c r="E1391" s="116" t="str">
        <f t="shared" si="65"/>
        <v>Hortifruti</v>
      </c>
      <c r="F1391" s="85" t="s">
        <v>1110</v>
      </c>
      <c r="G1391" s="85" t="s">
        <v>493</v>
      </c>
      <c r="H1391" s="85" t="s">
        <v>1083</v>
      </c>
      <c r="I1391" s="85">
        <v>2</v>
      </c>
      <c r="J1391" s="87">
        <v>2.8</v>
      </c>
      <c r="K1391" s="88">
        <f t="shared" si="66"/>
        <v>5.6</v>
      </c>
      <c r="L1391" s="85">
        <v>3544</v>
      </c>
    </row>
    <row r="1392" spans="1:12" x14ac:dyDescent="0.25">
      <c r="A1392" s="84" t="str">
        <f t="shared" si="64"/>
        <v>MarçoSEMANA 4Manga Palmer</v>
      </c>
      <c r="B1392" s="85" t="s">
        <v>31</v>
      </c>
      <c r="C1392" s="85" t="s">
        <v>23</v>
      </c>
      <c r="D1392" s="86">
        <v>24</v>
      </c>
      <c r="E1392" s="116" t="str">
        <f t="shared" si="65"/>
        <v>Hortifruti</v>
      </c>
      <c r="F1392" s="85" t="s">
        <v>1110</v>
      </c>
      <c r="G1392" s="85" t="s">
        <v>495</v>
      </c>
      <c r="H1392" s="85" t="s">
        <v>1083</v>
      </c>
      <c r="I1392" s="85">
        <v>11.12</v>
      </c>
      <c r="J1392" s="87">
        <f>50/11.12</f>
        <v>4.4964028776978422</v>
      </c>
      <c r="K1392" s="88">
        <f t="shared" si="66"/>
        <v>50</v>
      </c>
      <c r="L1392" s="85">
        <v>3544</v>
      </c>
    </row>
    <row r="1393" spans="1:12" x14ac:dyDescent="0.25">
      <c r="A1393" s="84" t="str">
        <f t="shared" si="64"/>
        <v>MarçoSEMANA 4Melão Orange</v>
      </c>
      <c r="B1393" s="85" t="s">
        <v>31</v>
      </c>
      <c r="C1393" s="85" t="s">
        <v>23</v>
      </c>
      <c r="D1393" s="86">
        <v>24</v>
      </c>
      <c r="E1393" s="116" t="str">
        <f t="shared" si="65"/>
        <v>Hortifruti</v>
      </c>
      <c r="F1393" s="85" t="s">
        <v>1110</v>
      </c>
      <c r="G1393" s="85" t="s">
        <v>518</v>
      </c>
      <c r="H1393" s="85" t="s">
        <v>1083</v>
      </c>
      <c r="I1393" s="85">
        <v>1.8</v>
      </c>
      <c r="J1393" s="87">
        <v>4.8</v>
      </c>
      <c r="K1393" s="88">
        <f t="shared" si="66"/>
        <v>8.64</v>
      </c>
      <c r="L1393" s="85">
        <v>3544</v>
      </c>
    </row>
    <row r="1394" spans="1:12" x14ac:dyDescent="0.25">
      <c r="A1394" s="84" t="str">
        <f t="shared" si="64"/>
        <v>MarçoSEMANA 4Beterraba</v>
      </c>
      <c r="B1394" s="85" t="s">
        <v>31</v>
      </c>
      <c r="C1394" s="85" t="s">
        <v>23</v>
      </c>
      <c r="D1394" s="86">
        <v>24</v>
      </c>
      <c r="E1394" s="116" t="str">
        <f t="shared" si="65"/>
        <v>Hortifruti</v>
      </c>
      <c r="F1394" s="85" t="s">
        <v>1111</v>
      </c>
      <c r="G1394" s="85" t="s">
        <v>181</v>
      </c>
      <c r="H1394" s="85" t="s">
        <v>1083</v>
      </c>
      <c r="I1394" s="85">
        <v>7</v>
      </c>
      <c r="J1394" s="87">
        <v>1.98</v>
      </c>
      <c r="K1394" s="88">
        <f t="shared" si="66"/>
        <v>13.86</v>
      </c>
      <c r="L1394" s="85">
        <v>19529</v>
      </c>
    </row>
    <row r="1395" spans="1:12" x14ac:dyDescent="0.25">
      <c r="A1395" s="84" t="str">
        <f t="shared" si="64"/>
        <v>MarçoSEMANA 4Cebola</v>
      </c>
      <c r="B1395" s="85" t="s">
        <v>31</v>
      </c>
      <c r="C1395" s="85" t="s">
        <v>23</v>
      </c>
      <c r="D1395" s="86">
        <v>24</v>
      </c>
      <c r="E1395" s="116" t="str">
        <f t="shared" si="65"/>
        <v>Hortifruti</v>
      </c>
      <c r="F1395" s="85" t="s">
        <v>1111</v>
      </c>
      <c r="G1395" s="85" t="s">
        <v>241</v>
      </c>
      <c r="H1395" s="85" t="s">
        <v>1083</v>
      </c>
      <c r="I1395" s="85">
        <v>19.82</v>
      </c>
      <c r="J1395" s="87">
        <f>46.5/19.82</f>
        <v>2.3461150353178608</v>
      </c>
      <c r="K1395" s="88">
        <f t="shared" si="66"/>
        <v>46.5</v>
      </c>
      <c r="L1395" s="85">
        <v>19529</v>
      </c>
    </row>
    <row r="1396" spans="1:12" x14ac:dyDescent="0.25">
      <c r="A1396" s="84" t="str">
        <f t="shared" si="64"/>
        <v>MarçoSEMANA 4Côco Verde</v>
      </c>
      <c r="B1396" s="85" t="s">
        <v>31</v>
      </c>
      <c r="C1396" s="85" t="s">
        <v>23</v>
      </c>
      <c r="D1396" s="86">
        <v>24</v>
      </c>
      <c r="E1396" s="116" t="str">
        <f t="shared" si="65"/>
        <v>Hortifruti</v>
      </c>
      <c r="F1396" s="85" t="s">
        <v>1111</v>
      </c>
      <c r="G1396" s="85" t="s">
        <v>288</v>
      </c>
      <c r="H1396" s="85" t="s">
        <v>1090</v>
      </c>
      <c r="I1396" s="85">
        <v>20</v>
      </c>
      <c r="J1396" s="87">
        <v>2.25</v>
      </c>
      <c r="K1396" s="88">
        <f t="shared" si="66"/>
        <v>45</v>
      </c>
      <c r="L1396" s="85">
        <v>19529</v>
      </c>
    </row>
    <row r="1397" spans="1:12" x14ac:dyDescent="0.25">
      <c r="A1397" s="84" t="str">
        <f t="shared" si="64"/>
        <v>MarçoSEMANA 4Couve Flor</v>
      </c>
      <c r="B1397" s="85" t="s">
        <v>31</v>
      </c>
      <c r="C1397" s="85" t="s">
        <v>23</v>
      </c>
      <c r="D1397" s="86">
        <v>24</v>
      </c>
      <c r="E1397" s="116" t="str">
        <f t="shared" si="65"/>
        <v>Hortifruti</v>
      </c>
      <c r="F1397" s="85" t="s">
        <v>1111</v>
      </c>
      <c r="G1397" s="85" t="s">
        <v>306</v>
      </c>
      <c r="H1397" s="85" t="s">
        <v>1083</v>
      </c>
      <c r="I1397" s="85">
        <v>2</v>
      </c>
      <c r="J1397" s="87">
        <v>6</v>
      </c>
      <c r="K1397" s="88">
        <f t="shared" si="66"/>
        <v>12</v>
      </c>
      <c r="L1397" s="85">
        <v>19529</v>
      </c>
    </row>
    <row r="1398" spans="1:12" x14ac:dyDescent="0.25">
      <c r="A1398" s="84" t="str">
        <f t="shared" si="64"/>
        <v>MarçoSEMANA 4Kiwi</v>
      </c>
      <c r="B1398" s="85" t="s">
        <v>31</v>
      </c>
      <c r="C1398" s="85" t="s">
        <v>23</v>
      </c>
      <c r="D1398" s="86">
        <v>24</v>
      </c>
      <c r="E1398" s="116" t="str">
        <f t="shared" si="65"/>
        <v>Hortifruti</v>
      </c>
      <c r="F1398" s="85" t="s">
        <v>1111</v>
      </c>
      <c r="G1398" s="85" t="s">
        <v>453</v>
      </c>
      <c r="H1398" s="85" t="s">
        <v>1083</v>
      </c>
      <c r="I1398" s="85">
        <v>1</v>
      </c>
      <c r="J1398" s="87">
        <v>12</v>
      </c>
      <c r="K1398" s="88">
        <f t="shared" si="66"/>
        <v>12</v>
      </c>
      <c r="L1398" s="85">
        <v>19529</v>
      </c>
    </row>
    <row r="1399" spans="1:12" x14ac:dyDescent="0.25">
      <c r="A1399" s="84" t="str">
        <f t="shared" si="64"/>
        <v>MarçoSEMANA 4Berinjela</v>
      </c>
      <c r="B1399" s="85" t="s">
        <v>31</v>
      </c>
      <c r="C1399" s="85" t="s">
        <v>23</v>
      </c>
      <c r="D1399" s="86">
        <v>24</v>
      </c>
      <c r="E1399" s="116" t="str">
        <f t="shared" si="65"/>
        <v>Hortifruti</v>
      </c>
      <c r="F1399" s="85" t="s">
        <v>1111</v>
      </c>
      <c r="G1399" s="85" t="s">
        <v>178</v>
      </c>
      <c r="H1399" s="85" t="s">
        <v>1083</v>
      </c>
      <c r="I1399" s="85">
        <v>10.46</v>
      </c>
      <c r="J1399" s="87">
        <f>27/10.46</f>
        <v>2.5812619502868066</v>
      </c>
      <c r="K1399" s="88">
        <f t="shared" si="66"/>
        <v>27</v>
      </c>
      <c r="L1399" s="85">
        <v>19529</v>
      </c>
    </row>
    <row r="1400" spans="1:12" x14ac:dyDescent="0.25">
      <c r="A1400" s="84" t="str">
        <f t="shared" si="64"/>
        <v>MarçoSEMANA 4Ovos Extra</v>
      </c>
      <c r="B1400" s="85" t="s">
        <v>31</v>
      </c>
      <c r="C1400" s="85" t="s">
        <v>23</v>
      </c>
      <c r="D1400" s="86">
        <v>24</v>
      </c>
      <c r="E1400" s="116" t="str">
        <f t="shared" si="65"/>
        <v>Hortifruti</v>
      </c>
      <c r="F1400" s="85" t="s">
        <v>1111</v>
      </c>
      <c r="G1400" s="85" t="s">
        <v>549</v>
      </c>
      <c r="H1400" s="85" t="s">
        <v>1090</v>
      </c>
      <c r="I1400" s="85">
        <v>360</v>
      </c>
      <c r="J1400" s="87">
        <f>107/360</f>
        <v>0.29722222222222222</v>
      </c>
      <c r="K1400" s="88">
        <f t="shared" si="66"/>
        <v>107</v>
      </c>
      <c r="L1400" s="85">
        <v>19529</v>
      </c>
    </row>
    <row r="1401" spans="1:12" x14ac:dyDescent="0.25">
      <c r="A1401" s="84" t="str">
        <f t="shared" si="64"/>
        <v>MarçoSEMANA 4Abobora Japonesa</v>
      </c>
      <c r="B1401" s="85" t="s">
        <v>31</v>
      </c>
      <c r="C1401" s="85" t="s">
        <v>23</v>
      </c>
      <c r="D1401" s="86">
        <v>24</v>
      </c>
      <c r="E1401" s="116" t="str">
        <f t="shared" si="65"/>
        <v>Hortifruti</v>
      </c>
      <c r="F1401" s="85" t="s">
        <v>1111</v>
      </c>
      <c r="G1401" s="85" t="s">
        <v>69</v>
      </c>
      <c r="H1401" s="85" t="s">
        <v>1083</v>
      </c>
      <c r="I1401" s="85">
        <v>10</v>
      </c>
      <c r="J1401" s="87">
        <v>2.86</v>
      </c>
      <c r="K1401" s="88">
        <f t="shared" si="66"/>
        <v>28.599999999999998</v>
      </c>
      <c r="L1401" s="85">
        <v>19529</v>
      </c>
    </row>
    <row r="1402" spans="1:12" x14ac:dyDescent="0.25">
      <c r="A1402" s="84" t="str">
        <f t="shared" si="64"/>
        <v>MarçoSEMANA 4Batata HBT</v>
      </c>
      <c r="B1402" s="85" t="s">
        <v>31</v>
      </c>
      <c r="C1402" s="85" t="s">
        <v>23</v>
      </c>
      <c r="D1402" s="86">
        <v>24</v>
      </c>
      <c r="E1402" s="116" t="str">
        <f t="shared" si="65"/>
        <v>Hortifruti</v>
      </c>
      <c r="F1402" s="85" t="s">
        <v>1111</v>
      </c>
      <c r="G1402" s="85" t="s">
        <v>171</v>
      </c>
      <c r="H1402" s="85" t="s">
        <v>1083</v>
      </c>
      <c r="I1402" s="85">
        <v>25</v>
      </c>
      <c r="J1402" s="87">
        <v>1.59</v>
      </c>
      <c r="K1402" s="88">
        <f t="shared" si="66"/>
        <v>39.75</v>
      </c>
      <c r="L1402" s="85">
        <v>19529</v>
      </c>
    </row>
    <row r="1403" spans="1:12" x14ac:dyDescent="0.25">
      <c r="A1403" s="84" t="str">
        <f t="shared" si="64"/>
        <v>MarçoSEMANA 4Coentro</v>
      </c>
      <c r="B1403" s="85" t="s">
        <v>31</v>
      </c>
      <c r="C1403" s="85" t="s">
        <v>23</v>
      </c>
      <c r="D1403" s="86">
        <v>24</v>
      </c>
      <c r="E1403" s="116" t="str">
        <f t="shared" si="65"/>
        <v>Hortifruti</v>
      </c>
      <c r="F1403" s="85" t="s">
        <v>1111</v>
      </c>
      <c r="G1403" s="85" t="s">
        <v>289</v>
      </c>
      <c r="H1403" s="85" t="s">
        <v>1083</v>
      </c>
      <c r="I1403" s="85">
        <v>0.8</v>
      </c>
      <c r="J1403" s="87">
        <v>25</v>
      </c>
      <c r="K1403" s="88">
        <f t="shared" si="66"/>
        <v>20</v>
      </c>
      <c r="L1403" s="85">
        <v>19529</v>
      </c>
    </row>
    <row r="1404" spans="1:12" x14ac:dyDescent="0.25">
      <c r="A1404" s="84" t="str">
        <f t="shared" si="64"/>
        <v>MarçoSEMANA 4Melância</v>
      </c>
      <c r="B1404" s="85" t="s">
        <v>31</v>
      </c>
      <c r="C1404" s="85" t="s">
        <v>23</v>
      </c>
      <c r="D1404" s="86">
        <v>24</v>
      </c>
      <c r="E1404" s="116" t="str">
        <f t="shared" si="65"/>
        <v>Hortifruti</v>
      </c>
      <c r="F1404" s="85" t="s">
        <v>1111</v>
      </c>
      <c r="G1404" s="85" t="s">
        <v>516</v>
      </c>
      <c r="H1404" s="85" t="s">
        <v>1083</v>
      </c>
      <c r="I1404" s="85">
        <v>20</v>
      </c>
      <c r="J1404" s="87">
        <v>1.52</v>
      </c>
      <c r="K1404" s="88">
        <f t="shared" si="66"/>
        <v>30.4</v>
      </c>
      <c r="L1404" s="85">
        <v>19529</v>
      </c>
    </row>
    <row r="1405" spans="1:12" hidden="1" x14ac:dyDescent="0.2">
      <c r="A1405" s="84" t="str">
        <f t="shared" si="64"/>
        <v>MarçoSEMANA 4Salsa Crespa Sushi</v>
      </c>
      <c r="B1405" s="85" t="s">
        <v>31</v>
      </c>
      <c r="C1405" s="85" t="s">
        <v>23</v>
      </c>
      <c r="D1405" s="86">
        <v>24</v>
      </c>
      <c r="E1405" s="116" t="str">
        <f t="shared" si="65"/>
        <v>Sushi</v>
      </c>
      <c r="F1405" s="85" t="s">
        <v>1111</v>
      </c>
      <c r="G1405" s="85" t="s">
        <v>730</v>
      </c>
      <c r="H1405" s="85" t="s">
        <v>1083</v>
      </c>
      <c r="I1405" s="85">
        <v>0.1</v>
      </c>
      <c r="J1405" s="87">
        <v>13</v>
      </c>
      <c r="K1405" s="88">
        <f t="shared" si="66"/>
        <v>1.3</v>
      </c>
      <c r="L1405" s="85">
        <v>19529</v>
      </c>
    </row>
    <row r="1406" spans="1:12" hidden="1" x14ac:dyDescent="0.2">
      <c r="A1406" s="84" t="str">
        <f t="shared" si="64"/>
        <v>MarçoSEMANA 4Batata Palha 140 g</v>
      </c>
      <c r="B1406" s="85" t="s">
        <v>31</v>
      </c>
      <c r="C1406" s="85" t="s">
        <v>23</v>
      </c>
      <c r="D1406" s="86">
        <v>24</v>
      </c>
      <c r="E1406" s="116" t="str">
        <f t="shared" si="65"/>
        <v>Mercado</v>
      </c>
      <c r="F1406" s="85" t="s">
        <v>1158</v>
      </c>
      <c r="G1406" s="85" t="s">
        <v>174</v>
      </c>
      <c r="H1406" s="85" t="s">
        <v>1114</v>
      </c>
      <c r="I1406" s="85">
        <v>2</v>
      </c>
      <c r="J1406" s="87">
        <v>6.99</v>
      </c>
      <c r="K1406" s="88">
        <f t="shared" si="66"/>
        <v>13.98</v>
      </c>
      <c r="L1406" s="85">
        <v>87492</v>
      </c>
    </row>
    <row r="1407" spans="1:12" hidden="1" x14ac:dyDescent="0.2">
      <c r="A1407" s="84" t="str">
        <f t="shared" si="64"/>
        <v xml:space="preserve">MarçoSEMANA 4Tapioca Granulada </v>
      </c>
      <c r="B1407" s="85" t="s">
        <v>31</v>
      </c>
      <c r="C1407" s="85" t="s">
        <v>23</v>
      </c>
      <c r="D1407" s="86">
        <v>24</v>
      </c>
      <c r="E1407" s="116" t="str">
        <f t="shared" si="65"/>
        <v>Mercado</v>
      </c>
      <c r="F1407" s="85" t="s">
        <v>1158</v>
      </c>
      <c r="G1407" s="85" t="s">
        <v>784</v>
      </c>
      <c r="H1407" s="85" t="s">
        <v>1083</v>
      </c>
      <c r="I1407" s="85">
        <v>1</v>
      </c>
      <c r="J1407" s="87">
        <v>18.78</v>
      </c>
      <c r="K1407" s="88">
        <f t="shared" si="66"/>
        <v>18.78</v>
      </c>
      <c r="L1407" s="85">
        <v>87492</v>
      </c>
    </row>
    <row r="1408" spans="1:12" hidden="1" x14ac:dyDescent="0.2">
      <c r="A1408" s="84" t="str">
        <f t="shared" si="64"/>
        <v>MarçoSEMANA 4Gelo em Escamas</v>
      </c>
      <c r="B1408" s="85" t="s">
        <v>31</v>
      </c>
      <c r="C1408" s="85" t="s">
        <v>23</v>
      </c>
      <c r="D1408" s="86">
        <v>25</v>
      </c>
      <c r="E1408" s="116" t="str">
        <f t="shared" si="65"/>
        <v>Mercado</v>
      </c>
      <c r="F1408" s="85" t="s">
        <v>1096</v>
      </c>
      <c r="G1408" s="85" t="s">
        <v>384</v>
      </c>
      <c r="H1408" s="85" t="s">
        <v>1097</v>
      </c>
      <c r="I1408" s="85">
        <v>1</v>
      </c>
      <c r="J1408" s="87">
        <v>7.5</v>
      </c>
      <c r="K1408" s="88">
        <f t="shared" si="66"/>
        <v>7.5</v>
      </c>
      <c r="L1408" s="85">
        <v>4073</v>
      </c>
    </row>
    <row r="1409" spans="1:12" hidden="1" x14ac:dyDescent="0.2">
      <c r="A1409" s="84" t="str">
        <f t="shared" si="64"/>
        <v>MarçoSEMANA 4Gelo em Cubo</v>
      </c>
      <c r="B1409" s="85" t="s">
        <v>31</v>
      </c>
      <c r="C1409" s="85" t="s">
        <v>23</v>
      </c>
      <c r="D1409" s="86">
        <v>25</v>
      </c>
      <c r="E1409" s="116" t="str">
        <f t="shared" si="65"/>
        <v>Mercado</v>
      </c>
      <c r="F1409" s="85" t="s">
        <v>1096</v>
      </c>
      <c r="G1409" s="85" t="s">
        <v>383</v>
      </c>
      <c r="H1409" s="85" t="s">
        <v>1097</v>
      </c>
      <c r="I1409" s="85">
        <v>4</v>
      </c>
      <c r="J1409" s="87">
        <v>7.5</v>
      </c>
      <c r="K1409" s="88">
        <f t="shared" si="66"/>
        <v>30</v>
      </c>
      <c r="L1409" s="85">
        <v>4073</v>
      </c>
    </row>
    <row r="1410" spans="1:12" hidden="1" x14ac:dyDescent="0.2">
      <c r="A1410" s="84" t="str">
        <f t="shared" ref="A1410:A1473" si="67">CONCATENATE(B1410,C1410,G1410)</f>
        <v>MarçoSEMANA 5Pão Rabanada</v>
      </c>
      <c r="B1410" s="85" t="s">
        <v>31</v>
      </c>
      <c r="C1410" s="85" t="s">
        <v>24</v>
      </c>
      <c r="D1410" s="86">
        <v>26</v>
      </c>
      <c r="E1410" s="116" t="str">
        <f t="shared" ref="E1410:E1473" si="68">VLOOKUP(G1410,$M$1:$O$993,3,0)</f>
        <v>Mercado</v>
      </c>
      <c r="F1410" s="85" t="s">
        <v>1118</v>
      </c>
      <c r="G1410" s="85" t="s">
        <v>565</v>
      </c>
      <c r="H1410" s="85" t="s">
        <v>1090</v>
      </c>
      <c r="I1410" s="85">
        <v>10</v>
      </c>
      <c r="J1410" s="87">
        <v>4.6840000000000002</v>
      </c>
      <c r="K1410" s="88">
        <f t="shared" ref="K1410:K1473" si="69">I1410*J1410</f>
        <v>46.84</v>
      </c>
      <c r="L1410" s="85">
        <v>96203</v>
      </c>
    </row>
    <row r="1411" spans="1:12" hidden="1" x14ac:dyDescent="0.2">
      <c r="A1411" s="84" t="str">
        <f t="shared" si="67"/>
        <v>MarçoSEMANA 5Gelo em Escamas</v>
      </c>
      <c r="B1411" s="85" t="s">
        <v>31</v>
      </c>
      <c r="C1411" s="85" t="s">
        <v>24</v>
      </c>
      <c r="D1411" s="86">
        <v>26</v>
      </c>
      <c r="E1411" s="116" t="str">
        <f t="shared" si="68"/>
        <v>Mercado</v>
      </c>
      <c r="F1411" s="85" t="s">
        <v>1096</v>
      </c>
      <c r="G1411" s="85" t="s">
        <v>384</v>
      </c>
      <c r="H1411" s="85" t="s">
        <v>1097</v>
      </c>
      <c r="I1411" s="85">
        <v>2</v>
      </c>
      <c r="J1411" s="87">
        <v>7.5</v>
      </c>
      <c r="K1411" s="88">
        <f t="shared" si="69"/>
        <v>15</v>
      </c>
      <c r="L1411" s="85">
        <v>4306</v>
      </c>
    </row>
    <row r="1412" spans="1:12" hidden="1" x14ac:dyDescent="0.2">
      <c r="A1412" s="84" t="str">
        <f t="shared" si="67"/>
        <v>MarçoSEMANA 5Gelo em Cubo</v>
      </c>
      <c r="B1412" s="85" t="s">
        <v>31</v>
      </c>
      <c r="C1412" s="85" t="s">
        <v>24</v>
      </c>
      <c r="D1412" s="86">
        <v>26</v>
      </c>
      <c r="E1412" s="116" t="str">
        <f t="shared" si="68"/>
        <v>Mercado</v>
      </c>
      <c r="F1412" s="85" t="s">
        <v>1096</v>
      </c>
      <c r="G1412" s="85" t="s">
        <v>383</v>
      </c>
      <c r="H1412" s="85" t="s">
        <v>1097</v>
      </c>
      <c r="I1412" s="85">
        <v>4</v>
      </c>
      <c r="J1412" s="87">
        <v>7.5</v>
      </c>
      <c r="K1412" s="88">
        <f t="shared" si="69"/>
        <v>30</v>
      </c>
      <c r="L1412" s="85">
        <v>4306</v>
      </c>
    </row>
    <row r="1413" spans="1:12" hidden="1" x14ac:dyDescent="0.2">
      <c r="A1413" s="84" t="str">
        <f t="shared" si="67"/>
        <v>MarçoSEMANA 5Pescados - Salmão Inteiro Sushi</v>
      </c>
      <c r="B1413" s="85" t="s">
        <v>31</v>
      </c>
      <c r="C1413" s="85" t="s">
        <v>24</v>
      </c>
      <c r="D1413" s="86">
        <v>26</v>
      </c>
      <c r="E1413" s="116" t="str">
        <f t="shared" si="68"/>
        <v>Sushi</v>
      </c>
      <c r="F1413" s="85" t="s">
        <v>1104</v>
      </c>
      <c r="G1413" s="85" t="s">
        <v>644</v>
      </c>
      <c r="H1413" s="85" t="s">
        <v>1083</v>
      </c>
      <c r="I1413" s="85">
        <v>30.11</v>
      </c>
      <c r="J1413" s="87">
        <v>29.600100000000001</v>
      </c>
      <c r="K1413" s="88">
        <f t="shared" si="69"/>
        <v>891.25901099999999</v>
      </c>
      <c r="L1413" s="85">
        <v>1314644</v>
      </c>
    </row>
    <row r="1414" spans="1:12" hidden="1" x14ac:dyDescent="0.2">
      <c r="A1414" s="84" t="str">
        <f t="shared" si="67"/>
        <v>MarçoSEMANA 5Carne Bovina - Picanha Grill/Churrascaria</v>
      </c>
      <c r="B1414" s="85" t="s">
        <v>31</v>
      </c>
      <c r="C1414" s="85" t="s">
        <v>24</v>
      </c>
      <c r="D1414" s="86">
        <v>26</v>
      </c>
      <c r="E1414" s="116" t="str">
        <f t="shared" si="68"/>
        <v>Carnes</v>
      </c>
      <c r="F1414" s="85" t="s">
        <v>1100</v>
      </c>
      <c r="G1414" s="85" t="s">
        <v>233</v>
      </c>
      <c r="H1414" s="85" t="s">
        <v>1083</v>
      </c>
      <c r="I1414" s="85">
        <v>30.756</v>
      </c>
      <c r="J1414" s="87">
        <v>30.7653</v>
      </c>
      <c r="K1414" s="88">
        <f t="shared" si="69"/>
        <v>946.21756679999999</v>
      </c>
      <c r="L1414" s="85">
        <v>115428</v>
      </c>
    </row>
    <row r="1415" spans="1:12" hidden="1" x14ac:dyDescent="0.2">
      <c r="A1415" s="84" t="str">
        <f t="shared" si="67"/>
        <v>MarçoSEMANA 5Carne Bovina - Lagarto Redondo</v>
      </c>
      <c r="B1415" s="85" t="s">
        <v>31</v>
      </c>
      <c r="C1415" s="85" t="s">
        <v>24</v>
      </c>
      <c r="D1415" s="86">
        <v>26</v>
      </c>
      <c r="E1415" s="116" t="str">
        <f t="shared" si="68"/>
        <v>Carnes</v>
      </c>
      <c r="F1415" s="85" t="s">
        <v>1101</v>
      </c>
      <c r="G1415" s="85" t="s">
        <v>226</v>
      </c>
      <c r="H1415" s="85" t="s">
        <v>1083</v>
      </c>
      <c r="I1415" s="85">
        <v>13</v>
      </c>
      <c r="J1415" s="87">
        <v>15.5</v>
      </c>
      <c r="K1415" s="88">
        <f t="shared" si="69"/>
        <v>201.5</v>
      </c>
      <c r="L1415" s="85" t="s">
        <v>1321</v>
      </c>
    </row>
    <row r="1416" spans="1:12" hidden="1" x14ac:dyDescent="0.2">
      <c r="A1416" s="84" t="str">
        <f t="shared" si="67"/>
        <v>MarçoSEMANA 5Carne Bovina - Língua</v>
      </c>
      <c r="B1416" s="85" t="s">
        <v>31</v>
      </c>
      <c r="C1416" s="85" t="s">
        <v>24</v>
      </c>
      <c r="D1416" s="86">
        <v>26</v>
      </c>
      <c r="E1416" s="116" t="str">
        <f t="shared" si="68"/>
        <v>Carnes</v>
      </c>
      <c r="F1416" s="85" t="s">
        <v>1101</v>
      </c>
      <c r="G1416" s="85" t="s">
        <v>227</v>
      </c>
      <c r="H1416" s="85" t="s">
        <v>1083</v>
      </c>
      <c r="I1416" s="85">
        <v>18</v>
      </c>
      <c r="J1416" s="87">
        <v>6.7</v>
      </c>
      <c r="K1416" s="88">
        <f t="shared" si="69"/>
        <v>120.60000000000001</v>
      </c>
      <c r="L1416" s="85" t="s">
        <v>1321</v>
      </c>
    </row>
    <row r="1417" spans="1:12" hidden="1" x14ac:dyDescent="0.2">
      <c r="A1417" s="84" t="str">
        <f t="shared" si="67"/>
        <v>MarçoSEMANA 5Queijo Minas</v>
      </c>
      <c r="B1417" s="85" t="s">
        <v>31</v>
      </c>
      <c r="C1417" s="85" t="s">
        <v>24</v>
      </c>
      <c r="D1417" s="86">
        <v>26</v>
      </c>
      <c r="E1417" s="116" t="str">
        <f t="shared" si="68"/>
        <v>Laticínios</v>
      </c>
      <c r="F1417" s="85" t="s">
        <v>1101</v>
      </c>
      <c r="G1417" s="85" t="s">
        <v>681</v>
      </c>
      <c r="H1417" s="85" t="s">
        <v>1083</v>
      </c>
      <c r="I1417" s="85">
        <v>2.5</v>
      </c>
      <c r="J1417" s="87">
        <v>15</v>
      </c>
      <c r="K1417" s="88">
        <f t="shared" si="69"/>
        <v>37.5</v>
      </c>
      <c r="L1417" s="85" t="s">
        <v>1321</v>
      </c>
    </row>
    <row r="1418" spans="1:12" hidden="1" x14ac:dyDescent="0.2">
      <c r="A1418" s="84" t="str">
        <f t="shared" si="67"/>
        <v>MarçoSEMANA 5Queijo Ricota</v>
      </c>
      <c r="B1418" s="85" t="s">
        <v>31</v>
      </c>
      <c r="C1418" s="85" t="s">
        <v>24</v>
      </c>
      <c r="D1418" s="86">
        <v>26</v>
      </c>
      <c r="E1418" s="116" t="str">
        <f t="shared" si="68"/>
        <v>Laticínios</v>
      </c>
      <c r="F1418" s="85" t="s">
        <v>1101</v>
      </c>
      <c r="G1418" s="85" t="s">
        <v>688</v>
      </c>
      <c r="H1418" s="85" t="s">
        <v>1083</v>
      </c>
      <c r="I1418" s="85">
        <v>9.5</v>
      </c>
      <c r="J1418" s="87">
        <v>6.98</v>
      </c>
      <c r="K1418" s="88">
        <f t="shared" si="69"/>
        <v>66.31</v>
      </c>
      <c r="L1418" s="85" t="s">
        <v>1321</v>
      </c>
    </row>
    <row r="1419" spans="1:12" hidden="1" x14ac:dyDescent="0.2">
      <c r="A1419" s="84" t="str">
        <f t="shared" si="67"/>
        <v>MarçoSEMANA 5Pescados - Bacalhau Salgado</v>
      </c>
      <c r="B1419" s="85" t="s">
        <v>31</v>
      </c>
      <c r="C1419" s="85" t="s">
        <v>24</v>
      </c>
      <c r="D1419" s="86">
        <v>26</v>
      </c>
      <c r="E1419" s="116" t="str">
        <f t="shared" si="68"/>
        <v>Carnes</v>
      </c>
      <c r="F1419" s="85" t="s">
        <v>1108</v>
      </c>
      <c r="G1419" s="85" t="s">
        <v>588</v>
      </c>
      <c r="H1419" s="85" t="s">
        <v>1083</v>
      </c>
      <c r="I1419" s="85">
        <v>25</v>
      </c>
      <c r="J1419" s="87">
        <f>1372.88/25</f>
        <v>54.915200000000006</v>
      </c>
      <c r="K1419" s="88">
        <f t="shared" si="69"/>
        <v>1372.88</v>
      </c>
      <c r="L1419" s="85" t="s">
        <v>1322</v>
      </c>
    </row>
    <row r="1420" spans="1:12" hidden="1" x14ac:dyDescent="0.2">
      <c r="A1420" s="84" t="str">
        <f t="shared" si="67"/>
        <v>MarçoSEMANA 5Creme de Leite Culinário 20% Bd 10 Lt</v>
      </c>
      <c r="B1420" s="85" t="s">
        <v>31</v>
      </c>
      <c r="C1420" s="85" t="s">
        <v>24</v>
      </c>
      <c r="D1420" s="86">
        <v>26</v>
      </c>
      <c r="E1420" s="116" t="str">
        <f t="shared" si="68"/>
        <v>Laticínios</v>
      </c>
      <c r="F1420" s="85" t="s">
        <v>1152</v>
      </c>
      <c r="G1420" s="85" t="s">
        <v>315</v>
      </c>
      <c r="H1420" s="85" t="s">
        <v>1088</v>
      </c>
      <c r="I1420" s="85">
        <v>1</v>
      </c>
      <c r="J1420" s="87">
        <v>142.44999999999999</v>
      </c>
      <c r="K1420" s="88">
        <f t="shared" si="69"/>
        <v>142.44999999999999</v>
      </c>
      <c r="L1420" s="85" t="s">
        <v>1323</v>
      </c>
    </row>
    <row r="1421" spans="1:12" hidden="1" x14ac:dyDescent="0.2">
      <c r="A1421" s="84" t="str">
        <f t="shared" si="67"/>
        <v>MarçoSEMANA 5Queijo Requeijão BD 3,6 Kg</v>
      </c>
      <c r="B1421" s="85" t="s">
        <v>31</v>
      </c>
      <c r="C1421" s="85" t="s">
        <v>24</v>
      </c>
      <c r="D1421" s="86">
        <v>26</v>
      </c>
      <c r="E1421" s="116" t="str">
        <f t="shared" si="68"/>
        <v>Laticínios</v>
      </c>
      <c r="F1421" s="85" t="s">
        <v>1152</v>
      </c>
      <c r="G1421" s="85" t="s">
        <v>687</v>
      </c>
      <c r="H1421" s="85" t="s">
        <v>1088</v>
      </c>
      <c r="I1421" s="85">
        <v>1</v>
      </c>
      <c r="J1421" s="87">
        <v>74.400000000000006</v>
      </c>
      <c r="K1421" s="88">
        <f t="shared" si="69"/>
        <v>74.400000000000006</v>
      </c>
      <c r="L1421" s="85" t="s">
        <v>1323</v>
      </c>
    </row>
    <row r="1422" spans="1:12" x14ac:dyDescent="0.25">
      <c r="A1422" s="84" t="str">
        <f t="shared" si="67"/>
        <v>MarçoSEMANA 5Abobora</v>
      </c>
      <c r="B1422" s="85" t="s">
        <v>31</v>
      </c>
      <c r="C1422" s="85" t="s">
        <v>24</v>
      </c>
      <c r="D1422" s="86">
        <v>26</v>
      </c>
      <c r="E1422" s="116" t="str">
        <f t="shared" si="68"/>
        <v>Hortifruti</v>
      </c>
      <c r="F1422" s="85" t="s">
        <v>1110</v>
      </c>
      <c r="G1422" s="85" t="s">
        <v>68</v>
      </c>
      <c r="H1422" s="85" t="s">
        <v>1083</v>
      </c>
      <c r="I1422" s="85">
        <v>4</v>
      </c>
      <c r="J1422" s="87">
        <v>3</v>
      </c>
      <c r="K1422" s="88">
        <f t="shared" si="69"/>
        <v>12</v>
      </c>
      <c r="L1422" s="85">
        <v>3556</v>
      </c>
    </row>
    <row r="1423" spans="1:12" x14ac:dyDescent="0.25">
      <c r="A1423" s="84" t="str">
        <f t="shared" si="67"/>
        <v>MarçoSEMANA 5Batata Doce</v>
      </c>
      <c r="B1423" s="85" t="s">
        <v>31</v>
      </c>
      <c r="C1423" s="85" t="s">
        <v>24</v>
      </c>
      <c r="D1423" s="86">
        <v>26</v>
      </c>
      <c r="E1423" s="116" t="str">
        <f t="shared" si="68"/>
        <v>Hortifruti</v>
      </c>
      <c r="F1423" s="85" t="s">
        <v>1110</v>
      </c>
      <c r="G1423" s="85" t="s">
        <v>170</v>
      </c>
      <c r="H1423" s="85" t="s">
        <v>1083</v>
      </c>
      <c r="I1423" s="85">
        <v>19.739999999999998</v>
      </c>
      <c r="J1423" s="87">
        <f>36/19.74</f>
        <v>1.8237082066869303</v>
      </c>
      <c r="K1423" s="88">
        <f t="shared" si="69"/>
        <v>36</v>
      </c>
      <c r="L1423" s="85">
        <v>3556</v>
      </c>
    </row>
    <row r="1424" spans="1:12" x14ac:dyDescent="0.25">
      <c r="A1424" s="84" t="str">
        <f t="shared" si="67"/>
        <v>MarçoSEMANA 5Cenoura</v>
      </c>
      <c r="B1424" s="85" t="s">
        <v>31</v>
      </c>
      <c r="C1424" s="85" t="s">
        <v>24</v>
      </c>
      <c r="D1424" s="86">
        <v>26</v>
      </c>
      <c r="E1424" s="116" t="str">
        <f t="shared" si="68"/>
        <v>Hortifruti</v>
      </c>
      <c r="F1424" s="85" t="s">
        <v>1110</v>
      </c>
      <c r="G1424" s="85" t="s">
        <v>249</v>
      </c>
      <c r="H1424" s="85" t="s">
        <v>1083</v>
      </c>
      <c r="I1424" s="85">
        <v>18.7</v>
      </c>
      <c r="J1424" s="87">
        <f>60/18.7</f>
        <v>3.2085561497326203</v>
      </c>
      <c r="K1424" s="88">
        <f t="shared" si="69"/>
        <v>60</v>
      </c>
      <c r="L1424" s="85">
        <v>3556</v>
      </c>
    </row>
    <row r="1425" spans="1:12" x14ac:dyDescent="0.25">
      <c r="A1425" s="84" t="str">
        <f t="shared" si="67"/>
        <v>MarçoSEMANA 5Repolho Roxo</v>
      </c>
      <c r="B1425" s="85" t="s">
        <v>31</v>
      </c>
      <c r="C1425" s="85" t="s">
        <v>24</v>
      </c>
      <c r="D1425" s="86">
        <v>26</v>
      </c>
      <c r="E1425" s="116" t="str">
        <f t="shared" si="68"/>
        <v>Hortifruti</v>
      </c>
      <c r="F1425" s="85" t="s">
        <v>1110</v>
      </c>
      <c r="G1425" s="85" t="s">
        <v>702</v>
      </c>
      <c r="H1425" s="85" t="s">
        <v>1083</v>
      </c>
      <c r="I1425" s="85">
        <v>3</v>
      </c>
      <c r="J1425" s="87">
        <v>3</v>
      </c>
      <c r="K1425" s="88">
        <f t="shared" si="69"/>
        <v>9</v>
      </c>
      <c r="L1425" s="85">
        <v>3556</v>
      </c>
    </row>
    <row r="1426" spans="1:12" x14ac:dyDescent="0.25">
      <c r="A1426" s="84" t="str">
        <f t="shared" si="67"/>
        <v>MarçoSEMANA 5Tomate Salada</v>
      </c>
      <c r="B1426" s="85" t="s">
        <v>31</v>
      </c>
      <c r="C1426" s="85" t="s">
        <v>24</v>
      </c>
      <c r="D1426" s="86">
        <v>26</v>
      </c>
      <c r="E1426" s="116" t="str">
        <f t="shared" si="68"/>
        <v>Hortifruti</v>
      </c>
      <c r="F1426" s="85" t="s">
        <v>1110</v>
      </c>
      <c r="G1426" s="85" t="s">
        <v>794</v>
      </c>
      <c r="H1426" s="85" t="s">
        <v>1083</v>
      </c>
      <c r="I1426" s="85">
        <v>20.94</v>
      </c>
      <c r="J1426" s="87">
        <f>55/20.94</f>
        <v>2.6265520534861508</v>
      </c>
      <c r="K1426" s="88">
        <f t="shared" si="69"/>
        <v>55</v>
      </c>
      <c r="L1426" s="85">
        <v>3556</v>
      </c>
    </row>
    <row r="1427" spans="1:12" x14ac:dyDescent="0.25">
      <c r="A1427" s="84" t="str">
        <f t="shared" si="67"/>
        <v>MarçoSEMANA 5Vagem Macarrão</v>
      </c>
      <c r="B1427" s="85" t="s">
        <v>31</v>
      </c>
      <c r="C1427" s="85" t="s">
        <v>24</v>
      </c>
      <c r="D1427" s="86">
        <v>26</v>
      </c>
      <c r="E1427" s="116" t="str">
        <f t="shared" si="68"/>
        <v>Hortifruti</v>
      </c>
      <c r="F1427" s="85" t="s">
        <v>1110</v>
      </c>
      <c r="G1427" s="85" t="s">
        <v>831</v>
      </c>
      <c r="H1427" s="85" t="s">
        <v>1083</v>
      </c>
      <c r="I1427" s="85">
        <v>3</v>
      </c>
      <c r="J1427" s="87">
        <v>8</v>
      </c>
      <c r="K1427" s="88">
        <f t="shared" si="69"/>
        <v>24</v>
      </c>
      <c r="L1427" s="85">
        <v>3556</v>
      </c>
    </row>
    <row r="1428" spans="1:12" x14ac:dyDescent="0.25">
      <c r="A1428" s="84" t="str">
        <f t="shared" si="67"/>
        <v>MarçoSEMANA 5Aipo</v>
      </c>
      <c r="B1428" s="85" t="s">
        <v>31</v>
      </c>
      <c r="C1428" s="85" t="s">
        <v>24</v>
      </c>
      <c r="D1428" s="86">
        <v>26</v>
      </c>
      <c r="E1428" s="116" t="str">
        <f t="shared" si="68"/>
        <v>Hortifruti</v>
      </c>
      <c r="F1428" s="85" t="s">
        <v>1110</v>
      </c>
      <c r="G1428" s="85" t="s">
        <v>96</v>
      </c>
      <c r="H1428" s="85" t="s">
        <v>1083</v>
      </c>
      <c r="I1428" s="85">
        <v>1.2</v>
      </c>
      <c r="J1428" s="87">
        <v>4</v>
      </c>
      <c r="K1428" s="88">
        <f t="shared" si="69"/>
        <v>4.8</v>
      </c>
      <c r="L1428" s="85">
        <v>3556</v>
      </c>
    </row>
    <row r="1429" spans="1:12" x14ac:dyDescent="0.25">
      <c r="A1429" s="84" t="str">
        <f t="shared" si="67"/>
        <v xml:space="preserve">MarçoSEMANA 5Alface Americana    </v>
      </c>
      <c r="B1429" s="85" t="s">
        <v>31</v>
      </c>
      <c r="C1429" s="85" t="s">
        <v>24</v>
      </c>
      <c r="D1429" s="86">
        <v>26</v>
      </c>
      <c r="E1429" s="116" t="str">
        <f t="shared" si="68"/>
        <v>Hortifruti</v>
      </c>
      <c r="F1429" s="85" t="s">
        <v>1110</v>
      </c>
      <c r="G1429" s="85" t="s">
        <v>102</v>
      </c>
      <c r="H1429" s="85" t="s">
        <v>1083</v>
      </c>
      <c r="I1429" s="85">
        <v>5.18</v>
      </c>
      <c r="J1429" s="87">
        <f>36/5.18</f>
        <v>6.9498069498069501</v>
      </c>
      <c r="K1429" s="88">
        <f t="shared" si="69"/>
        <v>36</v>
      </c>
      <c r="L1429" s="85">
        <v>3556</v>
      </c>
    </row>
    <row r="1430" spans="1:12" x14ac:dyDescent="0.25">
      <c r="A1430" s="84" t="str">
        <f t="shared" si="67"/>
        <v>MarçoSEMANA 5Alface crespa</v>
      </c>
      <c r="B1430" s="85" t="s">
        <v>31</v>
      </c>
      <c r="C1430" s="85" t="s">
        <v>24</v>
      </c>
      <c r="D1430" s="86">
        <v>26</v>
      </c>
      <c r="E1430" s="116" t="str">
        <f t="shared" si="68"/>
        <v>Hortifruti</v>
      </c>
      <c r="F1430" s="85" t="s">
        <v>1110</v>
      </c>
      <c r="G1430" s="85" t="s">
        <v>104</v>
      </c>
      <c r="H1430" s="85" t="s">
        <v>1083</v>
      </c>
      <c r="I1430" s="85">
        <v>1.74</v>
      </c>
      <c r="J1430" s="87">
        <f>10.5/1.74</f>
        <v>6.0344827586206895</v>
      </c>
      <c r="K1430" s="88">
        <f t="shared" si="69"/>
        <v>10.5</v>
      </c>
      <c r="L1430" s="85">
        <v>3556</v>
      </c>
    </row>
    <row r="1431" spans="1:12" x14ac:dyDescent="0.25">
      <c r="A1431" s="84" t="str">
        <f t="shared" si="67"/>
        <v>MarçoSEMANA 5Alface Roxa</v>
      </c>
      <c r="B1431" s="85" t="s">
        <v>31</v>
      </c>
      <c r="C1431" s="85" t="s">
        <v>24</v>
      </c>
      <c r="D1431" s="86">
        <v>26</v>
      </c>
      <c r="E1431" s="116" t="str">
        <f t="shared" si="68"/>
        <v>Hortifruti</v>
      </c>
      <c r="F1431" s="85" t="s">
        <v>1110</v>
      </c>
      <c r="G1431" s="85" t="s">
        <v>108</v>
      </c>
      <c r="H1431" s="85" t="s">
        <v>1083</v>
      </c>
      <c r="I1431" s="85">
        <v>0.5</v>
      </c>
      <c r="J1431" s="87">
        <f>6/0.5</f>
        <v>12</v>
      </c>
      <c r="K1431" s="88">
        <f t="shared" si="69"/>
        <v>6</v>
      </c>
      <c r="L1431" s="85">
        <v>3556</v>
      </c>
    </row>
    <row r="1432" spans="1:12" x14ac:dyDescent="0.25">
      <c r="A1432" s="84" t="str">
        <f t="shared" si="67"/>
        <v>MarçoSEMANA 5Brócolis Americano</v>
      </c>
      <c r="B1432" s="85" t="s">
        <v>31</v>
      </c>
      <c r="C1432" s="85" t="s">
        <v>24</v>
      </c>
      <c r="D1432" s="86">
        <v>26</v>
      </c>
      <c r="E1432" s="116" t="str">
        <f t="shared" si="68"/>
        <v>Hortifruti</v>
      </c>
      <c r="F1432" s="85" t="s">
        <v>1110</v>
      </c>
      <c r="G1432" s="85" t="s">
        <v>194</v>
      </c>
      <c r="H1432" s="85" t="s">
        <v>1083</v>
      </c>
      <c r="I1432" s="85">
        <v>10</v>
      </c>
      <c r="J1432" s="87">
        <v>12</v>
      </c>
      <c r="K1432" s="88">
        <f t="shared" si="69"/>
        <v>120</v>
      </c>
      <c r="L1432" s="85">
        <v>3556</v>
      </c>
    </row>
    <row r="1433" spans="1:12" x14ac:dyDescent="0.25">
      <c r="A1433" s="84" t="str">
        <f t="shared" si="67"/>
        <v>MarçoSEMANA 5Cebolinha Verde</v>
      </c>
      <c r="B1433" s="85" t="s">
        <v>31</v>
      </c>
      <c r="C1433" s="85" t="s">
        <v>24</v>
      </c>
      <c r="D1433" s="86">
        <v>26</v>
      </c>
      <c r="E1433" s="116" t="str">
        <f t="shared" si="68"/>
        <v>Hortifruti</v>
      </c>
      <c r="F1433" s="85" t="s">
        <v>1110</v>
      </c>
      <c r="G1433" s="85" t="s">
        <v>247</v>
      </c>
      <c r="H1433" s="85" t="s">
        <v>1083</v>
      </c>
      <c r="I1433" s="85">
        <v>0.5</v>
      </c>
      <c r="J1433" s="87">
        <v>7</v>
      </c>
      <c r="K1433" s="88">
        <f t="shared" si="69"/>
        <v>3.5</v>
      </c>
      <c r="L1433" s="85">
        <v>3556</v>
      </c>
    </row>
    <row r="1434" spans="1:12" x14ac:dyDescent="0.25">
      <c r="A1434" s="84" t="str">
        <f t="shared" si="67"/>
        <v>MarçoSEMANA 5Hortelã</v>
      </c>
      <c r="B1434" s="85" t="s">
        <v>31</v>
      </c>
      <c r="C1434" s="85" t="s">
        <v>24</v>
      </c>
      <c r="D1434" s="86">
        <v>26</v>
      </c>
      <c r="E1434" s="116" t="str">
        <f t="shared" si="68"/>
        <v>Hortifruti</v>
      </c>
      <c r="F1434" s="85" t="s">
        <v>1110</v>
      </c>
      <c r="G1434" s="85" t="s">
        <v>405</v>
      </c>
      <c r="H1434" s="85" t="s">
        <v>1083</v>
      </c>
      <c r="I1434" s="85">
        <v>0.5</v>
      </c>
      <c r="J1434" s="87">
        <v>4</v>
      </c>
      <c r="K1434" s="88">
        <f t="shared" si="69"/>
        <v>2</v>
      </c>
      <c r="L1434" s="85">
        <v>3556</v>
      </c>
    </row>
    <row r="1435" spans="1:12" x14ac:dyDescent="0.25">
      <c r="A1435" s="84" t="str">
        <f t="shared" si="67"/>
        <v>MarçoSEMANA 5Rúcula</v>
      </c>
      <c r="B1435" s="85" t="s">
        <v>31</v>
      </c>
      <c r="C1435" s="85" t="s">
        <v>24</v>
      </c>
      <c r="D1435" s="86">
        <v>26</v>
      </c>
      <c r="E1435" s="116" t="str">
        <f t="shared" si="68"/>
        <v>Hortifruti</v>
      </c>
      <c r="F1435" s="85" t="s">
        <v>1110</v>
      </c>
      <c r="G1435" s="85" t="s">
        <v>705</v>
      </c>
      <c r="H1435" s="85" t="s">
        <v>1083</v>
      </c>
      <c r="I1435" s="85">
        <v>2</v>
      </c>
      <c r="J1435" s="87">
        <v>8</v>
      </c>
      <c r="K1435" s="88">
        <f t="shared" si="69"/>
        <v>16</v>
      </c>
      <c r="L1435" s="85">
        <v>3556</v>
      </c>
    </row>
    <row r="1436" spans="1:12" x14ac:dyDescent="0.25">
      <c r="A1436" s="84" t="str">
        <f t="shared" si="67"/>
        <v>MarçoSEMANA 5Capim Limão</v>
      </c>
      <c r="B1436" s="85" t="s">
        <v>31</v>
      </c>
      <c r="C1436" s="85" t="s">
        <v>24</v>
      </c>
      <c r="D1436" s="86">
        <v>26</v>
      </c>
      <c r="E1436" s="116" t="str">
        <f t="shared" si="68"/>
        <v>Hortifruti</v>
      </c>
      <c r="F1436" s="85" t="s">
        <v>1110</v>
      </c>
      <c r="G1436" s="85" t="s">
        <v>211</v>
      </c>
      <c r="H1436" s="85" t="s">
        <v>1083</v>
      </c>
      <c r="I1436" s="85">
        <v>0.1</v>
      </c>
      <c r="J1436" s="87">
        <v>15</v>
      </c>
      <c r="K1436" s="88">
        <f t="shared" si="69"/>
        <v>1.5</v>
      </c>
      <c r="L1436" s="85">
        <v>3556</v>
      </c>
    </row>
    <row r="1437" spans="1:12" x14ac:dyDescent="0.25">
      <c r="A1437" s="84" t="str">
        <f t="shared" si="67"/>
        <v>MarçoSEMANA 5Laranja Pera</v>
      </c>
      <c r="B1437" s="85" t="s">
        <v>31</v>
      </c>
      <c r="C1437" s="85" t="s">
        <v>24</v>
      </c>
      <c r="D1437" s="86">
        <v>26</v>
      </c>
      <c r="E1437" s="116" t="str">
        <f t="shared" si="68"/>
        <v>Hortifruti</v>
      </c>
      <c r="F1437" s="85" t="s">
        <v>1110</v>
      </c>
      <c r="G1437" s="85" t="s">
        <v>456</v>
      </c>
      <c r="H1437" s="85" t="s">
        <v>1083</v>
      </c>
      <c r="I1437" s="85">
        <v>20.13</v>
      </c>
      <c r="J1437" s="87">
        <f>35/20.13</f>
        <v>1.7386984600099356</v>
      </c>
      <c r="K1437" s="88">
        <f t="shared" si="69"/>
        <v>35</v>
      </c>
      <c r="L1437" s="85">
        <v>3556</v>
      </c>
    </row>
    <row r="1438" spans="1:12" x14ac:dyDescent="0.25">
      <c r="A1438" s="84" t="str">
        <f t="shared" si="67"/>
        <v>MarçoSEMANA 5Mamão Bahia</v>
      </c>
      <c r="B1438" s="85" t="s">
        <v>31</v>
      </c>
      <c r="C1438" s="85" t="s">
        <v>24</v>
      </c>
      <c r="D1438" s="86">
        <v>26</v>
      </c>
      <c r="E1438" s="116" t="str">
        <f t="shared" si="68"/>
        <v>Hortifruti</v>
      </c>
      <c r="F1438" s="85" t="s">
        <v>1110</v>
      </c>
      <c r="G1438" s="85" t="s">
        <v>493</v>
      </c>
      <c r="H1438" s="85" t="s">
        <v>1083</v>
      </c>
      <c r="I1438" s="85">
        <v>1.8</v>
      </c>
      <c r="J1438" s="87">
        <v>2.8</v>
      </c>
      <c r="K1438" s="88">
        <f t="shared" si="69"/>
        <v>5.04</v>
      </c>
      <c r="L1438" s="85">
        <v>3556</v>
      </c>
    </row>
    <row r="1439" spans="1:12" x14ac:dyDescent="0.25">
      <c r="A1439" s="84" t="str">
        <f t="shared" si="67"/>
        <v>MarçoSEMANA 5Manga Palmer</v>
      </c>
      <c r="B1439" s="85" t="s">
        <v>31</v>
      </c>
      <c r="C1439" s="85" t="s">
        <v>24</v>
      </c>
      <c r="D1439" s="86">
        <v>26</v>
      </c>
      <c r="E1439" s="116" t="str">
        <f t="shared" si="68"/>
        <v>Hortifruti</v>
      </c>
      <c r="F1439" s="85" t="s">
        <v>1110</v>
      </c>
      <c r="G1439" s="85" t="s">
        <v>495</v>
      </c>
      <c r="H1439" s="85" t="s">
        <v>1083</v>
      </c>
      <c r="I1439" s="85">
        <v>7</v>
      </c>
      <c r="J1439" s="87">
        <f>25/7</f>
        <v>3.5714285714285716</v>
      </c>
      <c r="K1439" s="88">
        <f t="shared" si="69"/>
        <v>25</v>
      </c>
      <c r="L1439" s="85">
        <v>3556</v>
      </c>
    </row>
    <row r="1440" spans="1:12" x14ac:dyDescent="0.25">
      <c r="A1440" s="84" t="str">
        <f t="shared" si="67"/>
        <v>MarçoSEMANA 5Endivia</v>
      </c>
      <c r="B1440" s="85" t="s">
        <v>31</v>
      </c>
      <c r="C1440" s="85" t="s">
        <v>24</v>
      </c>
      <c r="D1440" s="86">
        <v>26</v>
      </c>
      <c r="E1440" s="116" t="str">
        <f t="shared" si="68"/>
        <v>Hortifruti</v>
      </c>
      <c r="F1440" s="85" t="s">
        <v>1110</v>
      </c>
      <c r="G1440" s="85" t="s">
        <v>326</v>
      </c>
      <c r="H1440" s="85" t="s">
        <v>1083</v>
      </c>
      <c r="I1440" s="85">
        <v>2.5</v>
      </c>
      <c r="J1440" s="87">
        <v>20</v>
      </c>
      <c r="K1440" s="88">
        <f t="shared" si="69"/>
        <v>50</v>
      </c>
      <c r="L1440" s="85">
        <v>3556</v>
      </c>
    </row>
    <row r="1441" spans="1:12" x14ac:dyDescent="0.25">
      <c r="A1441" s="84" t="str">
        <f t="shared" si="67"/>
        <v>MarçoSEMANA 5Abobora</v>
      </c>
      <c r="B1441" s="85" t="s">
        <v>31</v>
      </c>
      <c r="C1441" s="85" t="s">
        <v>24</v>
      </c>
      <c r="D1441" s="86">
        <v>26</v>
      </c>
      <c r="E1441" s="116" t="str">
        <f t="shared" si="68"/>
        <v>Hortifruti</v>
      </c>
      <c r="F1441" s="85" t="s">
        <v>1111</v>
      </c>
      <c r="G1441" s="85" t="s">
        <v>68</v>
      </c>
      <c r="H1441" s="85" t="s">
        <v>1083</v>
      </c>
      <c r="I1441" s="85">
        <v>8</v>
      </c>
      <c r="J1441" s="87">
        <v>1.99</v>
      </c>
      <c r="K1441" s="88">
        <f t="shared" si="69"/>
        <v>15.92</v>
      </c>
      <c r="L1441" s="85">
        <v>19651</v>
      </c>
    </row>
    <row r="1442" spans="1:12" x14ac:dyDescent="0.25">
      <c r="A1442" s="84" t="str">
        <f t="shared" si="67"/>
        <v>MarçoSEMANA 5Côco Verde</v>
      </c>
      <c r="B1442" s="85" t="s">
        <v>31</v>
      </c>
      <c r="C1442" s="85" t="s">
        <v>24</v>
      </c>
      <c r="D1442" s="86">
        <v>26</v>
      </c>
      <c r="E1442" s="116" t="str">
        <f t="shared" si="68"/>
        <v>Hortifruti</v>
      </c>
      <c r="F1442" s="85" t="s">
        <v>1111</v>
      </c>
      <c r="G1442" s="85" t="s">
        <v>288</v>
      </c>
      <c r="H1442" s="85" t="s">
        <v>1090</v>
      </c>
      <c r="I1442" s="85">
        <v>15</v>
      </c>
      <c r="J1442" s="87">
        <v>2.25</v>
      </c>
      <c r="K1442" s="88">
        <f t="shared" si="69"/>
        <v>33.75</v>
      </c>
      <c r="L1442" s="85">
        <v>19651</v>
      </c>
    </row>
    <row r="1443" spans="1:12" x14ac:dyDescent="0.25">
      <c r="A1443" s="84" t="str">
        <f t="shared" si="67"/>
        <v>MarçoSEMANA 5Kiwi</v>
      </c>
      <c r="B1443" s="85" t="s">
        <v>31</v>
      </c>
      <c r="C1443" s="85" t="s">
        <v>24</v>
      </c>
      <c r="D1443" s="86">
        <v>26</v>
      </c>
      <c r="E1443" s="116" t="str">
        <f t="shared" si="68"/>
        <v>Hortifruti</v>
      </c>
      <c r="F1443" s="85" t="s">
        <v>1111</v>
      </c>
      <c r="G1443" s="85" t="s">
        <v>453</v>
      </c>
      <c r="H1443" s="85" t="s">
        <v>1083</v>
      </c>
      <c r="I1443" s="85">
        <v>0.5</v>
      </c>
      <c r="J1443" s="87">
        <v>12</v>
      </c>
      <c r="K1443" s="88">
        <f t="shared" si="69"/>
        <v>6</v>
      </c>
      <c r="L1443" s="85">
        <v>19651</v>
      </c>
    </row>
    <row r="1444" spans="1:12" x14ac:dyDescent="0.25">
      <c r="A1444" s="84" t="str">
        <f t="shared" si="67"/>
        <v>MarçoSEMANA 5Pimentão Vermelho</v>
      </c>
      <c r="B1444" s="85" t="s">
        <v>31</v>
      </c>
      <c r="C1444" s="85" t="s">
        <v>24</v>
      </c>
      <c r="D1444" s="86">
        <v>26</v>
      </c>
      <c r="E1444" s="116" t="str">
        <f t="shared" si="68"/>
        <v>Hortifruti</v>
      </c>
      <c r="F1444" s="85" t="s">
        <v>1111</v>
      </c>
      <c r="G1444" s="85" t="s">
        <v>666</v>
      </c>
      <c r="H1444" s="85" t="s">
        <v>1083</v>
      </c>
      <c r="I1444" s="85">
        <v>2</v>
      </c>
      <c r="J1444" s="87">
        <v>7.5</v>
      </c>
      <c r="K1444" s="88">
        <f t="shared" si="69"/>
        <v>15</v>
      </c>
      <c r="L1444" s="85">
        <v>19651</v>
      </c>
    </row>
    <row r="1445" spans="1:12" x14ac:dyDescent="0.25">
      <c r="A1445" s="84" t="str">
        <f t="shared" si="67"/>
        <v>MarçoSEMANA 5Berinjela</v>
      </c>
      <c r="B1445" s="85" t="s">
        <v>31</v>
      </c>
      <c r="C1445" s="85" t="s">
        <v>24</v>
      </c>
      <c r="D1445" s="86">
        <v>26</v>
      </c>
      <c r="E1445" s="116" t="str">
        <f t="shared" si="68"/>
        <v>Hortifruti</v>
      </c>
      <c r="F1445" s="85" t="s">
        <v>1111</v>
      </c>
      <c r="G1445" s="85" t="s">
        <v>178</v>
      </c>
      <c r="H1445" s="85" t="s">
        <v>1083</v>
      </c>
      <c r="I1445" s="85">
        <v>10.32</v>
      </c>
      <c r="J1445" s="87">
        <f>27/10.32</f>
        <v>2.6162790697674416</v>
      </c>
      <c r="K1445" s="88">
        <f t="shared" si="69"/>
        <v>27</v>
      </c>
      <c r="L1445" s="85">
        <v>19651</v>
      </c>
    </row>
    <row r="1446" spans="1:12" x14ac:dyDescent="0.25">
      <c r="A1446" s="84" t="str">
        <f t="shared" si="67"/>
        <v xml:space="preserve">MarçoSEMANA 5Abacaxi </v>
      </c>
      <c r="B1446" s="85" t="s">
        <v>31</v>
      </c>
      <c r="C1446" s="85" t="s">
        <v>24</v>
      </c>
      <c r="D1446" s="86">
        <v>26</v>
      </c>
      <c r="E1446" s="116" t="str">
        <f t="shared" si="68"/>
        <v>Hortifruti</v>
      </c>
      <c r="F1446" s="85" t="s">
        <v>1111</v>
      </c>
      <c r="G1446" s="85" t="s">
        <v>65</v>
      </c>
      <c r="H1446" s="85" t="s">
        <v>1083</v>
      </c>
      <c r="I1446" s="85">
        <v>15</v>
      </c>
      <c r="J1446" s="87">
        <v>3.25</v>
      </c>
      <c r="K1446" s="88">
        <f t="shared" si="69"/>
        <v>48.75</v>
      </c>
      <c r="L1446" s="85">
        <v>19651</v>
      </c>
    </row>
    <row r="1447" spans="1:12" x14ac:dyDescent="0.25">
      <c r="A1447" s="84" t="str">
        <f t="shared" si="67"/>
        <v>MarçoSEMANA 5Coentro</v>
      </c>
      <c r="B1447" s="85" t="s">
        <v>31</v>
      </c>
      <c r="C1447" s="85" t="s">
        <v>24</v>
      </c>
      <c r="D1447" s="86">
        <v>26</v>
      </c>
      <c r="E1447" s="116" t="str">
        <f t="shared" si="68"/>
        <v>Hortifruti</v>
      </c>
      <c r="F1447" s="85" t="s">
        <v>1111</v>
      </c>
      <c r="G1447" s="85" t="s">
        <v>289</v>
      </c>
      <c r="H1447" s="85" t="s">
        <v>1083</v>
      </c>
      <c r="I1447" s="85">
        <v>0.5</v>
      </c>
      <c r="J1447" s="87">
        <v>25</v>
      </c>
      <c r="K1447" s="88">
        <f t="shared" si="69"/>
        <v>12.5</v>
      </c>
      <c r="L1447" s="85">
        <v>19651</v>
      </c>
    </row>
    <row r="1448" spans="1:12" hidden="1" x14ac:dyDescent="0.2">
      <c r="A1448" s="84" t="str">
        <f t="shared" si="67"/>
        <v>MarçoSEMANA 5Côco Seco</v>
      </c>
      <c r="B1448" s="85" t="s">
        <v>31</v>
      </c>
      <c r="C1448" s="85" t="s">
        <v>24</v>
      </c>
      <c r="D1448" s="86">
        <v>26</v>
      </c>
      <c r="E1448" s="116" t="str">
        <f t="shared" si="68"/>
        <v>Mercado</v>
      </c>
      <c r="F1448" s="85" t="s">
        <v>1111</v>
      </c>
      <c r="G1448" s="85" t="s">
        <v>287</v>
      </c>
      <c r="H1448" s="85" t="s">
        <v>1083</v>
      </c>
      <c r="I1448" s="85">
        <v>3</v>
      </c>
      <c r="J1448" s="87">
        <v>5.9</v>
      </c>
      <c r="K1448" s="88">
        <f t="shared" si="69"/>
        <v>17.700000000000003</v>
      </c>
      <c r="L1448" s="85">
        <v>19651</v>
      </c>
    </row>
    <row r="1449" spans="1:12" x14ac:dyDescent="0.25">
      <c r="A1449" s="84" t="str">
        <f t="shared" si="67"/>
        <v>MarçoSEMANA 5Inhame</v>
      </c>
      <c r="B1449" s="85" t="s">
        <v>31</v>
      </c>
      <c r="C1449" s="85" t="s">
        <v>24</v>
      </c>
      <c r="D1449" s="86">
        <v>26</v>
      </c>
      <c r="E1449" s="116" t="str">
        <f t="shared" si="68"/>
        <v>Hortifruti</v>
      </c>
      <c r="F1449" s="85" t="s">
        <v>1111</v>
      </c>
      <c r="G1449" s="85" t="s">
        <v>448</v>
      </c>
      <c r="H1449" s="85" t="s">
        <v>1083</v>
      </c>
      <c r="I1449" s="85">
        <v>8</v>
      </c>
      <c r="J1449" s="87">
        <v>3</v>
      </c>
      <c r="K1449" s="88">
        <f t="shared" si="69"/>
        <v>24</v>
      </c>
      <c r="L1449" s="85">
        <v>19651</v>
      </c>
    </row>
    <row r="1450" spans="1:12" hidden="1" x14ac:dyDescent="0.2">
      <c r="A1450" s="84" t="str">
        <f t="shared" si="67"/>
        <v xml:space="preserve">MarçoSEMANA 5Tapioca Granulada </v>
      </c>
      <c r="B1450" s="85" t="s">
        <v>31</v>
      </c>
      <c r="C1450" s="85" t="s">
        <v>24</v>
      </c>
      <c r="D1450" s="86">
        <v>26</v>
      </c>
      <c r="E1450" s="116" t="str">
        <f t="shared" si="68"/>
        <v>Mercado</v>
      </c>
      <c r="F1450" s="85" t="s">
        <v>1118</v>
      </c>
      <c r="G1450" s="85" t="s">
        <v>784</v>
      </c>
      <c r="H1450" s="85" t="s">
        <v>1083</v>
      </c>
      <c r="I1450" s="85">
        <v>1</v>
      </c>
      <c r="J1450" s="87">
        <v>11</v>
      </c>
      <c r="K1450" s="88">
        <f t="shared" si="69"/>
        <v>11</v>
      </c>
      <c r="L1450" s="85">
        <v>131038</v>
      </c>
    </row>
    <row r="1451" spans="1:12" hidden="1" x14ac:dyDescent="0.2">
      <c r="A1451" s="84" t="str">
        <f t="shared" si="67"/>
        <v>MarçoSEMANA 5Batata Palha 140 g</v>
      </c>
      <c r="B1451" s="85" t="s">
        <v>31</v>
      </c>
      <c r="C1451" s="85" t="s">
        <v>24</v>
      </c>
      <c r="D1451" s="86">
        <v>26</v>
      </c>
      <c r="E1451" s="116" t="str">
        <f t="shared" si="68"/>
        <v>Mercado</v>
      </c>
      <c r="F1451" s="85" t="s">
        <v>1118</v>
      </c>
      <c r="G1451" s="85" t="s">
        <v>174</v>
      </c>
      <c r="H1451" s="85" t="s">
        <v>1114</v>
      </c>
      <c r="I1451" s="85">
        <v>2</v>
      </c>
      <c r="J1451" s="87">
        <v>7.5</v>
      </c>
      <c r="K1451" s="88">
        <f t="shared" si="69"/>
        <v>15</v>
      </c>
      <c r="L1451" s="85">
        <v>131038</v>
      </c>
    </row>
    <row r="1452" spans="1:12" hidden="1" x14ac:dyDescent="0.2">
      <c r="A1452" s="84" t="str">
        <f t="shared" si="67"/>
        <v>MarçoSEMANA 5Espetinho 15 cm c/ 100</v>
      </c>
      <c r="B1452" s="85" t="s">
        <v>31</v>
      </c>
      <c r="C1452" s="85" t="s">
        <v>24</v>
      </c>
      <c r="D1452" s="86">
        <v>26</v>
      </c>
      <c r="E1452" s="116" t="str">
        <f t="shared" si="68"/>
        <v>Descartável</v>
      </c>
      <c r="F1452" s="85" t="s">
        <v>1118</v>
      </c>
      <c r="G1452" s="85" t="s">
        <v>331</v>
      </c>
      <c r="H1452" s="85" t="s">
        <v>1114</v>
      </c>
      <c r="I1452" s="85">
        <v>1</v>
      </c>
      <c r="J1452" s="87">
        <v>5.5</v>
      </c>
      <c r="K1452" s="88">
        <f t="shared" si="69"/>
        <v>5.5</v>
      </c>
      <c r="L1452" s="85" t="s">
        <v>1324</v>
      </c>
    </row>
    <row r="1453" spans="1:12" hidden="1" x14ac:dyDescent="0.2">
      <c r="A1453" s="84" t="str">
        <f t="shared" si="67"/>
        <v>MarçoSEMANA 5Massa de Pastel</v>
      </c>
      <c r="B1453" s="85" t="s">
        <v>31</v>
      </c>
      <c r="C1453" s="85" t="s">
        <v>24</v>
      </c>
      <c r="D1453" s="86">
        <v>26</v>
      </c>
      <c r="E1453" s="116" t="str">
        <f t="shared" si="68"/>
        <v>Mercado</v>
      </c>
      <c r="F1453" s="85" t="s">
        <v>1082</v>
      </c>
      <c r="G1453" s="85" t="s">
        <v>507</v>
      </c>
      <c r="H1453" s="85" t="s">
        <v>1083</v>
      </c>
      <c r="I1453" s="85">
        <v>27.92</v>
      </c>
      <c r="J1453" s="87">
        <f>210/27.92</f>
        <v>7.5214899713467043</v>
      </c>
      <c r="K1453" s="88">
        <f t="shared" si="69"/>
        <v>210</v>
      </c>
      <c r="L1453" s="85"/>
    </row>
    <row r="1454" spans="1:12" x14ac:dyDescent="0.25">
      <c r="A1454" s="84" t="str">
        <f t="shared" si="67"/>
        <v>MarçoSEMANA 5Aipim</v>
      </c>
      <c r="B1454" s="85" t="s">
        <v>31</v>
      </c>
      <c r="C1454" s="85" t="s">
        <v>24</v>
      </c>
      <c r="D1454" s="86">
        <v>26</v>
      </c>
      <c r="E1454" s="116" t="str">
        <f t="shared" si="68"/>
        <v>Hortifruti</v>
      </c>
      <c r="F1454" s="85" t="s">
        <v>1082</v>
      </c>
      <c r="G1454" s="85" t="s">
        <v>95</v>
      </c>
      <c r="H1454" s="85" t="s">
        <v>1083</v>
      </c>
      <c r="I1454" s="85">
        <v>20</v>
      </c>
      <c r="J1454" s="87">
        <v>5</v>
      </c>
      <c r="K1454" s="88">
        <f t="shared" si="69"/>
        <v>100</v>
      </c>
      <c r="L1454" s="85"/>
    </row>
    <row r="1455" spans="1:12" x14ac:dyDescent="0.25">
      <c r="A1455" s="84" t="str">
        <f t="shared" si="67"/>
        <v>MarçoSEMANA 5Salsa</v>
      </c>
      <c r="B1455" s="85" t="s">
        <v>31</v>
      </c>
      <c r="C1455" s="85" t="s">
        <v>24</v>
      </c>
      <c r="D1455" s="86">
        <v>26</v>
      </c>
      <c r="E1455" s="116" t="str">
        <f t="shared" si="68"/>
        <v>Hortifruti</v>
      </c>
      <c r="F1455" s="85" t="s">
        <v>1082</v>
      </c>
      <c r="G1455" s="85" t="s">
        <v>728</v>
      </c>
      <c r="H1455" s="85" t="s">
        <v>1083</v>
      </c>
      <c r="I1455" s="85">
        <v>0.3</v>
      </c>
      <c r="J1455" s="87">
        <f>6/0.3</f>
        <v>20</v>
      </c>
      <c r="K1455" s="88">
        <f t="shared" si="69"/>
        <v>6</v>
      </c>
      <c r="L1455" s="85"/>
    </row>
    <row r="1456" spans="1:12" hidden="1" x14ac:dyDescent="0.2">
      <c r="A1456" s="84" t="str">
        <f t="shared" si="67"/>
        <v>MarçoSEMANA 5Gelo em Escamas</v>
      </c>
      <c r="B1456" s="85" t="s">
        <v>31</v>
      </c>
      <c r="C1456" s="85" t="s">
        <v>24</v>
      </c>
      <c r="D1456" s="86">
        <v>27</v>
      </c>
      <c r="E1456" s="116" t="str">
        <f t="shared" si="68"/>
        <v>Mercado</v>
      </c>
      <c r="F1456" s="85" t="s">
        <v>1096</v>
      </c>
      <c r="G1456" s="85" t="s">
        <v>384</v>
      </c>
      <c r="H1456" s="85" t="s">
        <v>1097</v>
      </c>
      <c r="I1456" s="85">
        <v>1</v>
      </c>
      <c r="J1456" s="87">
        <v>7.5</v>
      </c>
      <c r="K1456" s="88">
        <f t="shared" si="69"/>
        <v>7.5</v>
      </c>
      <c r="L1456" s="85">
        <v>4122</v>
      </c>
    </row>
    <row r="1457" spans="1:12" hidden="1" x14ac:dyDescent="0.2">
      <c r="A1457" s="84" t="str">
        <f t="shared" si="67"/>
        <v>MarçoSEMANA 5Gelo em Cubo</v>
      </c>
      <c r="B1457" s="85" t="s">
        <v>31</v>
      </c>
      <c r="C1457" s="85" t="s">
        <v>24</v>
      </c>
      <c r="D1457" s="86">
        <v>27</v>
      </c>
      <c r="E1457" s="116" t="str">
        <f t="shared" si="68"/>
        <v>Mercado</v>
      </c>
      <c r="F1457" s="85" t="s">
        <v>1096</v>
      </c>
      <c r="G1457" s="85" t="s">
        <v>383</v>
      </c>
      <c r="H1457" s="85" t="s">
        <v>1097</v>
      </c>
      <c r="I1457" s="85">
        <v>3</v>
      </c>
      <c r="J1457" s="87">
        <v>7.5</v>
      </c>
      <c r="K1457" s="88">
        <f t="shared" si="69"/>
        <v>22.5</v>
      </c>
      <c r="L1457" s="85">
        <v>4122</v>
      </c>
    </row>
    <row r="1458" spans="1:12" hidden="1" x14ac:dyDescent="0.2">
      <c r="A1458" s="84" t="str">
        <f t="shared" si="67"/>
        <v>MarçoSEMANA 5Carne Bovina - Filé Mignon 3/4</v>
      </c>
      <c r="B1458" s="85" t="s">
        <v>31</v>
      </c>
      <c r="C1458" s="85" t="s">
        <v>24</v>
      </c>
      <c r="D1458" s="86">
        <v>27</v>
      </c>
      <c r="E1458" s="116" t="str">
        <f t="shared" si="68"/>
        <v>Carnes</v>
      </c>
      <c r="F1458" s="85" t="s">
        <v>1100</v>
      </c>
      <c r="G1458" s="85" t="s">
        <v>223</v>
      </c>
      <c r="H1458" s="85" t="s">
        <v>1083</v>
      </c>
      <c r="I1458" s="85">
        <v>36.142000000000003</v>
      </c>
      <c r="J1458" s="87">
        <v>29.489799999999999</v>
      </c>
      <c r="K1458" s="88">
        <f t="shared" si="69"/>
        <v>1065.8203516000001</v>
      </c>
      <c r="L1458" s="85" t="s">
        <v>1325</v>
      </c>
    </row>
    <row r="1459" spans="1:12" hidden="1" x14ac:dyDescent="0.2">
      <c r="A1459" s="84" t="str">
        <f t="shared" si="67"/>
        <v>MarçoSEMANA 5Pescados - Filé Truta Cong.</v>
      </c>
      <c r="B1459" s="85" t="s">
        <v>31</v>
      </c>
      <c r="C1459" s="85" t="s">
        <v>24</v>
      </c>
      <c r="D1459" s="86">
        <v>27</v>
      </c>
      <c r="E1459" s="116" t="str">
        <f t="shared" si="68"/>
        <v>Carnes</v>
      </c>
      <c r="F1459" s="85" t="s">
        <v>1263</v>
      </c>
      <c r="G1459" s="85" t="s">
        <v>616</v>
      </c>
      <c r="H1459" s="85" t="s">
        <v>1083</v>
      </c>
      <c r="I1459" s="85">
        <f>48-1</f>
        <v>47</v>
      </c>
      <c r="J1459" s="87">
        <v>26</v>
      </c>
      <c r="K1459" s="88">
        <f t="shared" si="69"/>
        <v>1222</v>
      </c>
      <c r="L1459" s="85" t="s">
        <v>1326</v>
      </c>
    </row>
    <row r="1460" spans="1:12" hidden="1" x14ac:dyDescent="0.2">
      <c r="A1460" s="84" t="str">
        <f t="shared" si="67"/>
        <v>MarçoSEMANA 5Cogumelo Paris</v>
      </c>
      <c r="B1460" s="85" t="s">
        <v>31</v>
      </c>
      <c r="C1460" s="85" t="s">
        <v>24</v>
      </c>
      <c r="D1460" s="86">
        <v>27</v>
      </c>
      <c r="E1460" s="116" t="str">
        <f t="shared" si="68"/>
        <v>Mercado</v>
      </c>
      <c r="F1460" s="85" t="s">
        <v>1263</v>
      </c>
      <c r="G1460" s="85" t="s">
        <v>292</v>
      </c>
      <c r="H1460" s="85" t="s">
        <v>1083</v>
      </c>
      <c r="I1460" s="85">
        <v>5</v>
      </c>
      <c r="J1460" s="87">
        <v>15.5</v>
      </c>
      <c r="K1460" s="88">
        <f t="shared" si="69"/>
        <v>77.5</v>
      </c>
      <c r="L1460" s="85" t="s">
        <v>1326</v>
      </c>
    </row>
    <row r="1461" spans="1:12" hidden="1" x14ac:dyDescent="0.2">
      <c r="A1461" s="84" t="str">
        <f t="shared" si="67"/>
        <v>MarçoSEMANA 5Cogumelo Fatiado Bd 2 Kg</v>
      </c>
      <c r="B1461" s="85" t="s">
        <v>31</v>
      </c>
      <c r="C1461" s="85" t="s">
        <v>24</v>
      </c>
      <c r="D1461" s="86">
        <v>27</v>
      </c>
      <c r="E1461" s="116" t="str">
        <f t="shared" si="68"/>
        <v>Mercado</v>
      </c>
      <c r="F1461" s="85" t="s">
        <v>1263</v>
      </c>
      <c r="G1461" s="85" t="s">
        <v>291</v>
      </c>
      <c r="H1461" s="85" t="s">
        <v>1088</v>
      </c>
      <c r="I1461" s="85">
        <v>1</v>
      </c>
      <c r="J1461" s="87">
        <v>37</v>
      </c>
      <c r="K1461" s="88">
        <f t="shared" si="69"/>
        <v>37</v>
      </c>
      <c r="L1461" s="85" t="s">
        <v>1326</v>
      </c>
    </row>
    <row r="1462" spans="1:12" hidden="1" x14ac:dyDescent="0.2">
      <c r="A1462" s="84" t="str">
        <f t="shared" si="67"/>
        <v>MarçoSEMANA 5Pescados - Camarão IQF Evisc. 51/60</v>
      </c>
      <c r="B1462" s="85" t="s">
        <v>31</v>
      </c>
      <c r="C1462" s="85" t="s">
        <v>24</v>
      </c>
      <c r="D1462" s="86">
        <v>27</v>
      </c>
      <c r="E1462" s="116" t="str">
        <f t="shared" si="68"/>
        <v>Carnes</v>
      </c>
      <c r="F1462" s="85" t="s">
        <v>1104</v>
      </c>
      <c r="G1462" s="85" t="s">
        <v>593</v>
      </c>
      <c r="H1462" s="85" t="s">
        <v>1083</v>
      </c>
      <c r="I1462" s="85">
        <v>6</v>
      </c>
      <c r="J1462" s="87">
        <v>69.900000000000006</v>
      </c>
      <c r="K1462" s="88">
        <f t="shared" si="69"/>
        <v>419.40000000000003</v>
      </c>
      <c r="L1462" s="85">
        <v>1314811</v>
      </c>
    </row>
    <row r="1463" spans="1:12" hidden="1" x14ac:dyDescent="0.2">
      <c r="A1463" s="84" t="str">
        <f t="shared" si="67"/>
        <v>MarçoSEMANA 5Saco p/ Biscoito 10x15 pacte 1000</v>
      </c>
      <c r="B1463" s="85" t="s">
        <v>31</v>
      </c>
      <c r="C1463" s="85" t="s">
        <v>24</v>
      </c>
      <c r="D1463" s="86">
        <v>26</v>
      </c>
      <c r="E1463" s="116" t="str">
        <f t="shared" si="68"/>
        <v>Descartável</v>
      </c>
      <c r="F1463" s="85" t="s">
        <v>1327</v>
      </c>
      <c r="G1463" s="85" t="s">
        <v>716</v>
      </c>
      <c r="H1463" s="85" t="s">
        <v>1090</v>
      </c>
      <c r="I1463" s="85">
        <f>10*100</f>
        <v>1000</v>
      </c>
      <c r="J1463" s="87">
        <f>13/1000</f>
        <v>1.2999999999999999E-2</v>
      </c>
      <c r="K1463" s="88">
        <f t="shared" si="69"/>
        <v>13</v>
      </c>
      <c r="L1463" s="85">
        <v>22185</v>
      </c>
    </row>
    <row r="1464" spans="1:12" hidden="1" x14ac:dyDescent="0.2">
      <c r="A1464" s="84" t="str">
        <f t="shared" si="67"/>
        <v>MarçoSEMANA 5Saco Plástico 50x70</v>
      </c>
      <c r="B1464" s="85" t="s">
        <v>31</v>
      </c>
      <c r="C1464" s="85" t="s">
        <v>24</v>
      </c>
      <c r="D1464" s="86">
        <v>27</v>
      </c>
      <c r="E1464" s="116" t="str">
        <f t="shared" si="68"/>
        <v>Descartável</v>
      </c>
      <c r="F1464" s="85" t="s">
        <v>1168</v>
      </c>
      <c r="G1464" s="85" t="s">
        <v>718</v>
      </c>
      <c r="H1464" s="85" t="s">
        <v>1114</v>
      </c>
      <c r="I1464" s="85">
        <v>2</v>
      </c>
      <c r="J1464" s="87">
        <v>49.36</v>
      </c>
      <c r="K1464" s="88">
        <f t="shared" si="69"/>
        <v>98.72</v>
      </c>
      <c r="L1464" s="85" t="s">
        <v>1328</v>
      </c>
    </row>
    <row r="1465" spans="1:12" hidden="1" x14ac:dyDescent="0.2">
      <c r="A1465" s="84" t="str">
        <f t="shared" si="67"/>
        <v>MarçoSEMANA 5Esponja Dupla Face</v>
      </c>
      <c r="B1465" s="85" t="s">
        <v>31</v>
      </c>
      <c r="C1465" s="85" t="s">
        <v>24</v>
      </c>
      <c r="D1465" s="86">
        <v>27</v>
      </c>
      <c r="E1465" s="116" t="str">
        <f t="shared" si="68"/>
        <v>Limpeza</v>
      </c>
      <c r="F1465" s="85" t="s">
        <v>1168</v>
      </c>
      <c r="G1465" s="85" t="s">
        <v>335</v>
      </c>
      <c r="H1465" s="85" t="s">
        <v>1090</v>
      </c>
      <c r="I1465" s="85">
        <v>5</v>
      </c>
      <c r="J1465" s="87">
        <v>0.94</v>
      </c>
      <c r="K1465" s="88">
        <f t="shared" si="69"/>
        <v>4.6999999999999993</v>
      </c>
      <c r="L1465" s="85" t="s">
        <v>1328</v>
      </c>
    </row>
    <row r="1466" spans="1:12" hidden="1" x14ac:dyDescent="0.2">
      <c r="A1466" s="84" t="str">
        <f t="shared" si="67"/>
        <v>MarçoSEMANA 5Farinha Panco (sushi)</v>
      </c>
      <c r="B1466" s="85" t="s">
        <v>31</v>
      </c>
      <c r="C1466" s="85" t="s">
        <v>24</v>
      </c>
      <c r="D1466" s="86">
        <v>27</v>
      </c>
      <c r="E1466" s="116" t="str">
        <f t="shared" si="68"/>
        <v>Sushi</v>
      </c>
      <c r="F1466" s="85" t="s">
        <v>1329</v>
      </c>
      <c r="G1466" s="85" t="s">
        <v>1031</v>
      </c>
      <c r="H1466" s="85" t="s">
        <v>1083</v>
      </c>
      <c r="I1466" s="85">
        <v>1</v>
      </c>
      <c r="J1466" s="87">
        <v>17.7</v>
      </c>
      <c r="K1466" s="88">
        <f t="shared" si="69"/>
        <v>17.7</v>
      </c>
      <c r="L1466" s="85" t="s">
        <v>1330</v>
      </c>
    </row>
    <row r="1467" spans="1:12" hidden="1" x14ac:dyDescent="0.2">
      <c r="A1467" s="84" t="str">
        <f t="shared" si="67"/>
        <v>MarçoSEMANA 5Massa de Harumaki</v>
      </c>
      <c r="B1467" s="85" t="s">
        <v>31</v>
      </c>
      <c r="C1467" s="85" t="s">
        <v>24</v>
      </c>
      <c r="D1467" s="86">
        <v>27</v>
      </c>
      <c r="E1467" s="116" t="str">
        <f t="shared" si="68"/>
        <v>Mercado</v>
      </c>
      <c r="F1467" s="85" t="s">
        <v>1329</v>
      </c>
      <c r="G1467" s="85" t="s">
        <v>506</v>
      </c>
      <c r="H1467" s="85" t="s">
        <v>1126</v>
      </c>
      <c r="I1467" s="85">
        <f>12*15</f>
        <v>180</v>
      </c>
      <c r="J1467" s="87">
        <f>103.65/180</f>
        <v>0.57583333333333342</v>
      </c>
      <c r="K1467" s="88">
        <f t="shared" si="69"/>
        <v>103.65000000000002</v>
      </c>
      <c r="L1467" s="85" t="s">
        <v>1330</v>
      </c>
    </row>
    <row r="1468" spans="1:12" hidden="1" x14ac:dyDescent="0.2">
      <c r="A1468" s="84" t="str">
        <f t="shared" si="67"/>
        <v>MarçoSEMANA 5Óleo de Gergelim</v>
      </c>
      <c r="B1468" s="85" t="s">
        <v>31</v>
      </c>
      <c r="C1468" s="85" t="s">
        <v>24</v>
      </c>
      <c r="D1468" s="86">
        <v>27</v>
      </c>
      <c r="E1468" s="116" t="str">
        <f t="shared" si="68"/>
        <v>Mercado</v>
      </c>
      <c r="F1468" s="85" t="s">
        <v>1329</v>
      </c>
      <c r="G1468" s="85" t="s">
        <v>543</v>
      </c>
      <c r="H1468" s="85" t="s">
        <v>1090</v>
      </c>
      <c r="I1468" s="85">
        <v>1</v>
      </c>
      <c r="J1468" s="87">
        <f>54-10.62</f>
        <v>43.38</v>
      </c>
      <c r="K1468" s="88">
        <f t="shared" si="69"/>
        <v>43.38</v>
      </c>
      <c r="L1468" s="85" t="s">
        <v>1331</v>
      </c>
    </row>
    <row r="1469" spans="1:12" x14ac:dyDescent="0.25">
      <c r="A1469" s="84" t="str">
        <f t="shared" si="67"/>
        <v>MarçoSEMANA 5Beterraba</v>
      </c>
      <c r="B1469" s="85" t="s">
        <v>31</v>
      </c>
      <c r="C1469" s="85" t="s">
        <v>24</v>
      </c>
      <c r="D1469" s="86">
        <v>27</v>
      </c>
      <c r="E1469" s="116" t="str">
        <f t="shared" si="68"/>
        <v>Hortifruti</v>
      </c>
      <c r="F1469" s="85" t="s">
        <v>1110</v>
      </c>
      <c r="G1469" s="85" t="s">
        <v>181</v>
      </c>
      <c r="H1469" s="85" t="s">
        <v>1083</v>
      </c>
      <c r="I1469" s="85">
        <v>12</v>
      </c>
      <c r="J1469" s="87">
        <v>2.6</v>
      </c>
      <c r="K1469" s="88">
        <f t="shared" si="69"/>
        <v>31.200000000000003</v>
      </c>
      <c r="L1469" s="85">
        <v>3569</v>
      </c>
    </row>
    <row r="1470" spans="1:12" x14ac:dyDescent="0.25">
      <c r="A1470" s="84" t="str">
        <f t="shared" si="67"/>
        <v>MarçoSEMANA 5Cebola Roxa</v>
      </c>
      <c r="B1470" s="85" t="s">
        <v>31</v>
      </c>
      <c r="C1470" s="85" t="s">
        <v>24</v>
      </c>
      <c r="D1470" s="86">
        <v>27</v>
      </c>
      <c r="E1470" s="116" t="str">
        <f t="shared" si="68"/>
        <v>Hortifruti</v>
      </c>
      <c r="F1470" s="85" t="s">
        <v>1110</v>
      </c>
      <c r="G1470" s="85" t="s">
        <v>244</v>
      </c>
      <c r="H1470" s="85" t="s">
        <v>1083</v>
      </c>
      <c r="I1470" s="85">
        <v>1</v>
      </c>
      <c r="J1470" s="87">
        <v>4</v>
      </c>
      <c r="K1470" s="88">
        <f t="shared" si="69"/>
        <v>4</v>
      </c>
      <c r="L1470" s="85">
        <v>3569</v>
      </c>
    </row>
    <row r="1471" spans="1:12" x14ac:dyDescent="0.25">
      <c r="A1471" s="84" t="str">
        <f t="shared" si="67"/>
        <v>MarçoSEMANA 5Tomate Salada</v>
      </c>
      <c r="B1471" s="85" t="s">
        <v>31</v>
      </c>
      <c r="C1471" s="85" t="s">
        <v>24</v>
      </c>
      <c r="D1471" s="86">
        <v>27</v>
      </c>
      <c r="E1471" s="116" t="str">
        <f t="shared" si="68"/>
        <v>Hortifruti</v>
      </c>
      <c r="F1471" s="85" t="s">
        <v>1110</v>
      </c>
      <c r="G1471" s="85" t="s">
        <v>794</v>
      </c>
      <c r="H1471" s="85" t="s">
        <v>1083</v>
      </c>
      <c r="I1471" s="85">
        <v>19.829999999999998</v>
      </c>
      <c r="J1471" s="87">
        <f>55/19.83</f>
        <v>2.7735753908219873</v>
      </c>
      <c r="K1471" s="88">
        <f t="shared" si="69"/>
        <v>55.000000000000007</v>
      </c>
      <c r="L1471" s="85">
        <v>3569</v>
      </c>
    </row>
    <row r="1472" spans="1:12" x14ac:dyDescent="0.25">
      <c r="A1472" s="84" t="str">
        <f t="shared" si="67"/>
        <v>MarçoSEMANA 5Vagem Macarrão</v>
      </c>
      <c r="B1472" s="85" t="s">
        <v>31</v>
      </c>
      <c r="C1472" s="85" t="s">
        <v>24</v>
      </c>
      <c r="D1472" s="86">
        <v>27</v>
      </c>
      <c r="E1472" s="116" t="str">
        <f t="shared" si="68"/>
        <v>Hortifruti</v>
      </c>
      <c r="F1472" s="85" t="s">
        <v>1110</v>
      </c>
      <c r="G1472" s="85" t="s">
        <v>831</v>
      </c>
      <c r="H1472" s="85" t="s">
        <v>1083</v>
      </c>
      <c r="I1472" s="85">
        <v>1</v>
      </c>
      <c r="J1472" s="87">
        <v>8</v>
      </c>
      <c r="K1472" s="88">
        <f t="shared" si="69"/>
        <v>8</v>
      </c>
      <c r="L1472" s="85">
        <v>3569</v>
      </c>
    </row>
    <row r="1473" spans="1:12" x14ac:dyDescent="0.25">
      <c r="A1473" s="84" t="str">
        <f t="shared" si="67"/>
        <v>MarçoSEMANA 5Brócolis Americano</v>
      </c>
      <c r="B1473" s="85" t="s">
        <v>31</v>
      </c>
      <c r="C1473" s="85" t="s">
        <v>24</v>
      </c>
      <c r="D1473" s="86">
        <v>27</v>
      </c>
      <c r="E1473" s="116" t="str">
        <f t="shared" si="68"/>
        <v>Hortifruti</v>
      </c>
      <c r="F1473" s="85" t="s">
        <v>1110</v>
      </c>
      <c r="G1473" s="85" t="s">
        <v>194</v>
      </c>
      <c r="H1473" s="85" t="s">
        <v>1083</v>
      </c>
      <c r="I1473" s="85">
        <v>3</v>
      </c>
      <c r="J1473" s="87">
        <v>12</v>
      </c>
      <c r="K1473" s="88">
        <f t="shared" si="69"/>
        <v>36</v>
      </c>
      <c r="L1473" s="85">
        <v>3569</v>
      </c>
    </row>
    <row r="1474" spans="1:12" x14ac:dyDescent="0.25">
      <c r="A1474" s="84" t="str">
        <f t="shared" ref="A1474:A1537" si="70">CONCATENATE(B1474,C1474,G1474)</f>
        <v>MarçoSEMANA 5Cebolinha Verde</v>
      </c>
      <c r="B1474" s="85" t="s">
        <v>31</v>
      </c>
      <c r="C1474" s="85" t="s">
        <v>24</v>
      </c>
      <c r="D1474" s="86">
        <v>27</v>
      </c>
      <c r="E1474" s="116" t="str">
        <f t="shared" ref="E1474:E1537" si="71">VLOOKUP(G1474,$M$1:$O$993,3,0)</f>
        <v>Hortifruti</v>
      </c>
      <c r="F1474" s="85" t="s">
        <v>1110</v>
      </c>
      <c r="G1474" s="85" t="s">
        <v>247</v>
      </c>
      <c r="H1474" s="85" t="s">
        <v>1083</v>
      </c>
      <c r="I1474" s="85">
        <v>0.5</v>
      </c>
      <c r="J1474" s="87">
        <v>7</v>
      </c>
      <c r="K1474" s="88">
        <f t="shared" ref="K1474:K1537" si="72">I1474*J1474</f>
        <v>3.5</v>
      </c>
      <c r="L1474" s="85">
        <v>3569</v>
      </c>
    </row>
    <row r="1475" spans="1:12" x14ac:dyDescent="0.25">
      <c r="A1475" s="84" t="str">
        <f t="shared" si="70"/>
        <v>MarçoSEMANA 5Coentro</v>
      </c>
      <c r="B1475" s="85" t="s">
        <v>31</v>
      </c>
      <c r="C1475" s="85" t="s">
        <v>24</v>
      </c>
      <c r="D1475" s="86">
        <v>27</v>
      </c>
      <c r="E1475" s="116" t="str">
        <f t="shared" si="71"/>
        <v>Hortifruti</v>
      </c>
      <c r="F1475" s="85" t="s">
        <v>1110</v>
      </c>
      <c r="G1475" s="85" t="s">
        <v>289</v>
      </c>
      <c r="H1475" s="85" t="s">
        <v>1083</v>
      </c>
      <c r="I1475" s="85">
        <v>0.5</v>
      </c>
      <c r="J1475" s="87">
        <v>25</v>
      </c>
      <c r="K1475" s="88">
        <f t="shared" si="72"/>
        <v>12.5</v>
      </c>
      <c r="L1475" s="85">
        <v>3569</v>
      </c>
    </row>
    <row r="1476" spans="1:12" x14ac:dyDescent="0.25">
      <c r="A1476" s="84" t="str">
        <f t="shared" si="70"/>
        <v>MarçoSEMANA 5Hortelã</v>
      </c>
      <c r="B1476" s="85" t="s">
        <v>31</v>
      </c>
      <c r="C1476" s="85" t="s">
        <v>24</v>
      </c>
      <c r="D1476" s="86">
        <v>27</v>
      </c>
      <c r="E1476" s="116" t="str">
        <f t="shared" si="71"/>
        <v>Hortifruti</v>
      </c>
      <c r="F1476" s="85" t="s">
        <v>1110</v>
      </c>
      <c r="G1476" s="85" t="s">
        <v>405</v>
      </c>
      <c r="H1476" s="85" t="s">
        <v>1083</v>
      </c>
      <c r="I1476" s="85">
        <v>0.3</v>
      </c>
      <c r="J1476" s="87">
        <v>4</v>
      </c>
      <c r="K1476" s="88">
        <f t="shared" si="72"/>
        <v>1.2</v>
      </c>
      <c r="L1476" s="85">
        <v>3569</v>
      </c>
    </row>
    <row r="1477" spans="1:12" x14ac:dyDescent="0.25">
      <c r="A1477" s="84" t="str">
        <f t="shared" si="70"/>
        <v>MarçoSEMANA 5Louro</v>
      </c>
      <c r="B1477" s="85" t="s">
        <v>31</v>
      </c>
      <c r="C1477" s="85" t="s">
        <v>24</v>
      </c>
      <c r="D1477" s="86">
        <v>27</v>
      </c>
      <c r="E1477" s="116" t="str">
        <f t="shared" si="71"/>
        <v>Hortifruti</v>
      </c>
      <c r="F1477" s="85" t="s">
        <v>1110</v>
      </c>
      <c r="G1477" s="85" t="s">
        <v>468</v>
      </c>
      <c r="H1477" s="85" t="s">
        <v>1083</v>
      </c>
      <c r="I1477" s="85">
        <v>0.3</v>
      </c>
      <c r="J1477" s="87">
        <v>20</v>
      </c>
      <c r="K1477" s="88">
        <f t="shared" si="72"/>
        <v>6</v>
      </c>
      <c r="L1477" s="85">
        <v>3569</v>
      </c>
    </row>
    <row r="1478" spans="1:12" x14ac:dyDescent="0.25">
      <c r="A1478" s="84" t="str">
        <f t="shared" si="70"/>
        <v>MarçoSEMANA 5Nirá</v>
      </c>
      <c r="B1478" s="85" t="s">
        <v>31</v>
      </c>
      <c r="C1478" s="85" t="s">
        <v>24</v>
      </c>
      <c r="D1478" s="86">
        <v>27</v>
      </c>
      <c r="E1478" s="116" t="str">
        <f t="shared" si="71"/>
        <v>Hortifruti</v>
      </c>
      <c r="F1478" s="85" t="s">
        <v>1110</v>
      </c>
      <c r="G1478" s="85" t="s">
        <v>538</v>
      </c>
      <c r="H1478" s="85" t="s">
        <v>1083</v>
      </c>
      <c r="I1478" s="85">
        <v>1</v>
      </c>
      <c r="J1478" s="87">
        <v>15</v>
      </c>
      <c r="K1478" s="88">
        <f t="shared" si="72"/>
        <v>15</v>
      </c>
      <c r="L1478" s="85">
        <v>3569</v>
      </c>
    </row>
    <row r="1479" spans="1:12" x14ac:dyDescent="0.25">
      <c r="A1479" s="84" t="str">
        <f t="shared" si="70"/>
        <v>MarçoSEMANA 5Salsa</v>
      </c>
      <c r="B1479" s="85" t="s">
        <v>31</v>
      </c>
      <c r="C1479" s="85" t="s">
        <v>24</v>
      </c>
      <c r="D1479" s="86">
        <v>27</v>
      </c>
      <c r="E1479" s="116" t="str">
        <f t="shared" si="71"/>
        <v>Hortifruti</v>
      </c>
      <c r="F1479" s="85" t="s">
        <v>1110</v>
      </c>
      <c r="G1479" s="85" t="s">
        <v>728</v>
      </c>
      <c r="H1479" s="85" t="s">
        <v>1083</v>
      </c>
      <c r="I1479" s="85">
        <v>1</v>
      </c>
      <c r="J1479" s="87">
        <v>7</v>
      </c>
      <c r="K1479" s="88">
        <f t="shared" si="72"/>
        <v>7</v>
      </c>
      <c r="L1479" s="85">
        <v>3569</v>
      </c>
    </row>
    <row r="1480" spans="1:12" x14ac:dyDescent="0.25">
      <c r="A1480" s="84" t="str">
        <f t="shared" si="70"/>
        <v>MarçoSEMANA 5Sálvia</v>
      </c>
      <c r="B1480" s="85" t="s">
        <v>31</v>
      </c>
      <c r="C1480" s="85" t="s">
        <v>24</v>
      </c>
      <c r="D1480" s="86">
        <v>27</v>
      </c>
      <c r="E1480" s="116" t="str">
        <f t="shared" si="71"/>
        <v>Hortifruti</v>
      </c>
      <c r="F1480" s="85" t="s">
        <v>1110</v>
      </c>
      <c r="G1480" s="85" t="s">
        <v>732</v>
      </c>
      <c r="H1480" s="85" t="s">
        <v>1083</v>
      </c>
      <c r="I1480" s="85">
        <v>0.1</v>
      </c>
      <c r="J1480" s="87">
        <v>30</v>
      </c>
      <c r="K1480" s="88">
        <f t="shared" si="72"/>
        <v>3</v>
      </c>
      <c r="L1480" s="85">
        <v>3569</v>
      </c>
    </row>
    <row r="1481" spans="1:12" x14ac:dyDescent="0.25">
      <c r="A1481" s="84" t="str">
        <f t="shared" si="70"/>
        <v>MarçoSEMANA 5Broto de Feijão</v>
      </c>
      <c r="B1481" s="85" t="s">
        <v>31</v>
      </c>
      <c r="C1481" s="85" t="s">
        <v>24</v>
      </c>
      <c r="D1481" s="86">
        <v>27</v>
      </c>
      <c r="E1481" s="116" t="str">
        <f t="shared" si="71"/>
        <v>Hortifruti</v>
      </c>
      <c r="F1481" s="85" t="s">
        <v>1110</v>
      </c>
      <c r="G1481" s="85" t="s">
        <v>197</v>
      </c>
      <c r="H1481" s="85" t="s">
        <v>1083</v>
      </c>
      <c r="I1481" s="85">
        <v>1.5</v>
      </c>
      <c r="J1481" s="87">
        <v>14</v>
      </c>
      <c r="K1481" s="88">
        <f t="shared" si="72"/>
        <v>21</v>
      </c>
      <c r="L1481" s="85">
        <v>3569</v>
      </c>
    </row>
    <row r="1482" spans="1:12" x14ac:dyDescent="0.25">
      <c r="A1482" s="84" t="str">
        <f t="shared" si="70"/>
        <v>MarçoSEMANA 5Alfafa</v>
      </c>
      <c r="B1482" s="85" t="s">
        <v>31</v>
      </c>
      <c r="C1482" s="85" t="s">
        <v>24</v>
      </c>
      <c r="D1482" s="86">
        <v>27</v>
      </c>
      <c r="E1482" s="116" t="str">
        <f t="shared" si="71"/>
        <v>Hortifruti</v>
      </c>
      <c r="F1482" s="85" t="s">
        <v>1110</v>
      </c>
      <c r="G1482" s="85" t="s">
        <v>110</v>
      </c>
      <c r="H1482" s="85" t="s">
        <v>1083</v>
      </c>
      <c r="I1482" s="85">
        <v>0.45</v>
      </c>
      <c r="J1482" s="87">
        <f>19.5/0.45</f>
        <v>43.333333333333336</v>
      </c>
      <c r="K1482" s="88">
        <f t="shared" si="72"/>
        <v>19.5</v>
      </c>
      <c r="L1482" s="85">
        <v>3569</v>
      </c>
    </row>
    <row r="1483" spans="1:12" x14ac:dyDescent="0.25">
      <c r="A1483" s="84" t="str">
        <f t="shared" si="70"/>
        <v>MarçoSEMANA 5Tofu Kilo</v>
      </c>
      <c r="B1483" s="85" t="s">
        <v>31</v>
      </c>
      <c r="C1483" s="85" t="s">
        <v>24</v>
      </c>
      <c r="D1483" s="86">
        <v>27</v>
      </c>
      <c r="E1483" s="116" t="str">
        <f t="shared" si="71"/>
        <v>Hortifruti</v>
      </c>
      <c r="F1483" s="85" t="s">
        <v>1110</v>
      </c>
      <c r="G1483" s="85" t="s">
        <v>788</v>
      </c>
      <c r="H1483" s="85" t="s">
        <v>1083</v>
      </c>
      <c r="I1483" s="85">
        <v>2</v>
      </c>
      <c r="J1483" s="87">
        <v>14</v>
      </c>
      <c r="K1483" s="88">
        <f t="shared" si="72"/>
        <v>28</v>
      </c>
      <c r="L1483" s="85">
        <v>3569</v>
      </c>
    </row>
    <row r="1484" spans="1:12" x14ac:dyDescent="0.25">
      <c r="A1484" s="84" t="str">
        <f t="shared" si="70"/>
        <v xml:space="preserve">MarçoSEMANA 5Abacaxi </v>
      </c>
      <c r="B1484" s="85" t="s">
        <v>31</v>
      </c>
      <c r="C1484" s="85" t="s">
        <v>24</v>
      </c>
      <c r="D1484" s="86">
        <v>27</v>
      </c>
      <c r="E1484" s="116" t="str">
        <f t="shared" si="71"/>
        <v>Hortifruti</v>
      </c>
      <c r="F1484" s="85" t="s">
        <v>1110</v>
      </c>
      <c r="G1484" s="85" t="s">
        <v>65</v>
      </c>
      <c r="H1484" s="85" t="s">
        <v>1083</v>
      </c>
      <c r="I1484" s="85">
        <v>7</v>
      </c>
      <c r="J1484" s="87">
        <v>3</v>
      </c>
      <c r="K1484" s="88">
        <f t="shared" si="72"/>
        <v>21</v>
      </c>
      <c r="L1484" s="85">
        <v>3569</v>
      </c>
    </row>
    <row r="1485" spans="1:12" x14ac:dyDescent="0.25">
      <c r="A1485" s="84" t="str">
        <f t="shared" si="70"/>
        <v>MarçoSEMANA 5Laranja Pera</v>
      </c>
      <c r="B1485" s="85" t="s">
        <v>31</v>
      </c>
      <c r="C1485" s="85" t="s">
        <v>24</v>
      </c>
      <c r="D1485" s="86">
        <v>27</v>
      </c>
      <c r="E1485" s="116" t="str">
        <f t="shared" si="71"/>
        <v>Hortifruti</v>
      </c>
      <c r="F1485" s="85" t="s">
        <v>1110</v>
      </c>
      <c r="G1485" s="85" t="s">
        <v>456</v>
      </c>
      <c r="H1485" s="85" t="s">
        <v>1083</v>
      </c>
      <c r="I1485" s="85">
        <v>20.3</v>
      </c>
      <c r="J1485" s="87">
        <f>35/20.3</f>
        <v>1.7241379310344827</v>
      </c>
      <c r="K1485" s="88">
        <f t="shared" si="72"/>
        <v>35</v>
      </c>
      <c r="L1485" s="85">
        <v>3569</v>
      </c>
    </row>
    <row r="1486" spans="1:12" x14ac:dyDescent="0.25">
      <c r="A1486" s="84" t="str">
        <f t="shared" si="70"/>
        <v>MarçoSEMANA 5Mamão Bahia</v>
      </c>
      <c r="B1486" s="85" t="s">
        <v>31</v>
      </c>
      <c r="C1486" s="85" t="s">
        <v>24</v>
      </c>
      <c r="D1486" s="86">
        <v>27</v>
      </c>
      <c r="E1486" s="116" t="str">
        <f t="shared" si="71"/>
        <v>Hortifruti</v>
      </c>
      <c r="F1486" s="85" t="s">
        <v>1110</v>
      </c>
      <c r="G1486" s="85" t="s">
        <v>493</v>
      </c>
      <c r="H1486" s="85" t="s">
        <v>1083</v>
      </c>
      <c r="I1486" s="85">
        <v>2</v>
      </c>
      <c r="J1486" s="87">
        <v>2.8</v>
      </c>
      <c r="K1486" s="88">
        <f t="shared" si="72"/>
        <v>5.6</v>
      </c>
      <c r="L1486" s="85">
        <v>3569</v>
      </c>
    </row>
    <row r="1487" spans="1:12" x14ac:dyDescent="0.25">
      <c r="A1487" s="84" t="str">
        <f t="shared" si="70"/>
        <v>MarçoSEMANA 5Melão Orange</v>
      </c>
      <c r="B1487" s="85" t="s">
        <v>31</v>
      </c>
      <c r="C1487" s="85" t="s">
        <v>24</v>
      </c>
      <c r="D1487" s="86">
        <v>27</v>
      </c>
      <c r="E1487" s="116" t="str">
        <f t="shared" si="71"/>
        <v>Hortifruti</v>
      </c>
      <c r="F1487" s="85" t="s">
        <v>1110</v>
      </c>
      <c r="G1487" s="85" t="s">
        <v>518</v>
      </c>
      <c r="H1487" s="85" t="s">
        <v>1083</v>
      </c>
      <c r="I1487" s="85">
        <v>2</v>
      </c>
      <c r="J1487" s="87">
        <v>4.8</v>
      </c>
      <c r="K1487" s="88">
        <f t="shared" si="72"/>
        <v>9.6</v>
      </c>
      <c r="L1487" s="85">
        <v>3569</v>
      </c>
    </row>
    <row r="1488" spans="1:12" x14ac:dyDescent="0.25">
      <c r="A1488" s="84" t="str">
        <f t="shared" si="70"/>
        <v>MarçoSEMANA 5Acelga</v>
      </c>
      <c r="B1488" s="85" t="s">
        <v>31</v>
      </c>
      <c r="C1488" s="85" t="s">
        <v>24</v>
      </c>
      <c r="D1488" s="86">
        <v>27</v>
      </c>
      <c r="E1488" s="116" t="str">
        <f t="shared" si="71"/>
        <v>Hortifruti</v>
      </c>
      <c r="F1488" s="85" t="s">
        <v>1111</v>
      </c>
      <c r="G1488" s="85" t="s">
        <v>75</v>
      </c>
      <c r="H1488" s="85" t="s">
        <v>1083</v>
      </c>
      <c r="I1488" s="85">
        <v>1</v>
      </c>
      <c r="J1488" s="87">
        <v>2.25</v>
      </c>
      <c r="K1488" s="88">
        <f t="shared" si="72"/>
        <v>2.25</v>
      </c>
      <c r="L1488" s="85">
        <v>19720</v>
      </c>
    </row>
    <row r="1489" spans="1:12" x14ac:dyDescent="0.25">
      <c r="A1489" s="84" t="str">
        <f t="shared" si="70"/>
        <v>MarçoSEMANA 5Alface crespa</v>
      </c>
      <c r="B1489" s="85" t="s">
        <v>31</v>
      </c>
      <c r="C1489" s="85" t="s">
        <v>24</v>
      </c>
      <c r="D1489" s="86">
        <v>27</v>
      </c>
      <c r="E1489" s="116" t="str">
        <f t="shared" si="71"/>
        <v>Hortifruti</v>
      </c>
      <c r="F1489" s="85" t="s">
        <v>1111</v>
      </c>
      <c r="G1489" s="85" t="s">
        <v>104</v>
      </c>
      <c r="H1489" s="85" t="s">
        <v>1083</v>
      </c>
      <c r="I1489" s="85">
        <v>0.84</v>
      </c>
      <c r="J1489" s="87">
        <f>4/0.84</f>
        <v>4.7619047619047619</v>
      </c>
      <c r="K1489" s="88">
        <f t="shared" si="72"/>
        <v>4</v>
      </c>
      <c r="L1489" s="85">
        <v>19720</v>
      </c>
    </row>
    <row r="1490" spans="1:12" x14ac:dyDescent="0.25">
      <c r="A1490" s="84" t="str">
        <f t="shared" si="70"/>
        <v>MarçoSEMANA 5Banana da Terra</v>
      </c>
      <c r="B1490" s="85" t="s">
        <v>31</v>
      </c>
      <c r="C1490" s="85" t="s">
        <v>24</v>
      </c>
      <c r="D1490" s="86">
        <v>27</v>
      </c>
      <c r="E1490" s="116" t="str">
        <f t="shared" si="71"/>
        <v>Hortifruti</v>
      </c>
      <c r="F1490" s="85" t="s">
        <v>1111</v>
      </c>
      <c r="G1490" s="85" t="s">
        <v>161</v>
      </c>
      <c r="H1490" s="85" t="s">
        <v>1083</v>
      </c>
      <c r="I1490" s="85">
        <v>6</v>
      </c>
      <c r="J1490" s="87">
        <v>2.8</v>
      </c>
      <c r="K1490" s="88">
        <f t="shared" si="72"/>
        <v>16.799999999999997</v>
      </c>
      <c r="L1490" s="85">
        <v>19720</v>
      </c>
    </row>
    <row r="1491" spans="1:12" x14ac:dyDescent="0.25">
      <c r="A1491" s="84" t="str">
        <f t="shared" si="70"/>
        <v>MarçoSEMANA 5Batata HBT</v>
      </c>
      <c r="B1491" s="85" t="s">
        <v>31</v>
      </c>
      <c r="C1491" s="85" t="s">
        <v>24</v>
      </c>
      <c r="D1491" s="86">
        <v>27</v>
      </c>
      <c r="E1491" s="116" t="str">
        <f t="shared" si="71"/>
        <v>Hortifruti</v>
      </c>
      <c r="F1491" s="85" t="s">
        <v>1111</v>
      </c>
      <c r="G1491" s="85" t="s">
        <v>171</v>
      </c>
      <c r="H1491" s="85" t="s">
        <v>1083</v>
      </c>
      <c r="I1491" s="85">
        <v>25</v>
      </c>
      <c r="J1491" s="87">
        <v>1.59</v>
      </c>
      <c r="K1491" s="88">
        <f t="shared" si="72"/>
        <v>39.75</v>
      </c>
      <c r="L1491" s="85">
        <v>19720</v>
      </c>
    </row>
    <row r="1492" spans="1:12" x14ac:dyDescent="0.25">
      <c r="A1492" s="84" t="str">
        <f t="shared" si="70"/>
        <v>MarçoSEMANA 5Chicória</v>
      </c>
      <c r="B1492" s="85" t="s">
        <v>31</v>
      </c>
      <c r="C1492" s="85" t="s">
        <v>24</v>
      </c>
      <c r="D1492" s="86">
        <v>27</v>
      </c>
      <c r="E1492" s="116" t="str">
        <f t="shared" si="71"/>
        <v>Hortifruti</v>
      </c>
      <c r="F1492" s="85" t="s">
        <v>1111</v>
      </c>
      <c r="G1492" s="85" t="s">
        <v>275</v>
      </c>
      <c r="H1492" s="85" t="s">
        <v>1083</v>
      </c>
      <c r="I1492" s="85">
        <v>2.4</v>
      </c>
      <c r="J1492" s="87">
        <v>3.9</v>
      </c>
      <c r="K1492" s="88">
        <f t="shared" si="72"/>
        <v>9.36</v>
      </c>
      <c r="L1492" s="85">
        <v>19720</v>
      </c>
    </row>
    <row r="1493" spans="1:12" x14ac:dyDescent="0.25">
      <c r="A1493" s="84" t="str">
        <f t="shared" si="70"/>
        <v>MarçoSEMANA 5Côco Verde</v>
      </c>
      <c r="B1493" s="85" t="s">
        <v>31</v>
      </c>
      <c r="C1493" s="85" t="s">
        <v>24</v>
      </c>
      <c r="D1493" s="86">
        <v>27</v>
      </c>
      <c r="E1493" s="116" t="str">
        <f t="shared" si="71"/>
        <v>Hortifruti</v>
      </c>
      <c r="F1493" s="85" t="s">
        <v>1111</v>
      </c>
      <c r="G1493" s="85" t="s">
        <v>288</v>
      </c>
      <c r="H1493" s="85" t="s">
        <v>1090</v>
      </c>
      <c r="I1493" s="85">
        <v>15</v>
      </c>
      <c r="J1493" s="87">
        <v>2.4500000000000002</v>
      </c>
      <c r="K1493" s="88">
        <f t="shared" si="72"/>
        <v>36.75</v>
      </c>
      <c r="L1493" s="85">
        <v>19720</v>
      </c>
    </row>
    <row r="1494" spans="1:12" x14ac:dyDescent="0.25">
      <c r="A1494" s="84" t="str">
        <f t="shared" si="70"/>
        <v>MarçoSEMANA 5Goiaba</v>
      </c>
      <c r="B1494" s="85" t="s">
        <v>31</v>
      </c>
      <c r="C1494" s="85" t="s">
        <v>24</v>
      </c>
      <c r="D1494" s="86">
        <v>27</v>
      </c>
      <c r="E1494" s="116" t="str">
        <f t="shared" si="71"/>
        <v>Hortifruti</v>
      </c>
      <c r="F1494" s="85" t="s">
        <v>1111</v>
      </c>
      <c r="G1494" s="85" t="s">
        <v>391</v>
      </c>
      <c r="H1494" s="85" t="s">
        <v>1083</v>
      </c>
      <c r="I1494" s="85">
        <v>2.6</v>
      </c>
      <c r="J1494" s="87">
        <f>6/2.6</f>
        <v>2.3076923076923075</v>
      </c>
      <c r="K1494" s="88">
        <f t="shared" si="72"/>
        <v>6</v>
      </c>
      <c r="L1494" s="85">
        <v>19720</v>
      </c>
    </row>
    <row r="1495" spans="1:12" x14ac:dyDescent="0.25">
      <c r="A1495" s="84" t="str">
        <f t="shared" si="70"/>
        <v>MarçoSEMANA 5Limão Siciliano</v>
      </c>
      <c r="B1495" s="85" t="s">
        <v>31</v>
      </c>
      <c r="C1495" s="85" t="s">
        <v>24</v>
      </c>
      <c r="D1495" s="86">
        <v>27</v>
      </c>
      <c r="E1495" s="116" t="str">
        <f t="shared" si="71"/>
        <v>Hortifruti</v>
      </c>
      <c r="F1495" s="85" t="s">
        <v>1111</v>
      </c>
      <c r="G1495" s="85" t="s">
        <v>465</v>
      </c>
      <c r="H1495" s="85" t="s">
        <v>1083</v>
      </c>
      <c r="I1495" s="85">
        <v>1</v>
      </c>
      <c r="J1495" s="87">
        <v>7.5</v>
      </c>
      <c r="K1495" s="88">
        <f t="shared" si="72"/>
        <v>7.5</v>
      </c>
      <c r="L1495" s="85">
        <v>19720</v>
      </c>
    </row>
    <row r="1496" spans="1:12" x14ac:dyDescent="0.25">
      <c r="A1496" s="84" t="str">
        <f t="shared" si="70"/>
        <v>MarçoSEMANA 5Rúcula</v>
      </c>
      <c r="B1496" s="85" t="s">
        <v>31</v>
      </c>
      <c r="C1496" s="85" t="s">
        <v>24</v>
      </c>
      <c r="D1496" s="86">
        <v>27</v>
      </c>
      <c r="E1496" s="116" t="str">
        <f t="shared" si="71"/>
        <v>Hortifruti</v>
      </c>
      <c r="F1496" s="85" t="s">
        <v>1111</v>
      </c>
      <c r="G1496" s="85" t="s">
        <v>705</v>
      </c>
      <c r="H1496" s="85" t="s">
        <v>1083</v>
      </c>
      <c r="I1496" s="85">
        <v>2</v>
      </c>
      <c r="J1496" s="87">
        <v>4.9000000000000004</v>
      </c>
      <c r="K1496" s="88">
        <f t="shared" si="72"/>
        <v>9.8000000000000007</v>
      </c>
      <c r="L1496" s="85">
        <v>19720</v>
      </c>
    </row>
    <row r="1497" spans="1:12" x14ac:dyDescent="0.25">
      <c r="A1497" s="84" t="str">
        <f t="shared" si="70"/>
        <v xml:space="preserve">MarçoSEMANA 5Abacate </v>
      </c>
      <c r="B1497" s="85" t="s">
        <v>31</v>
      </c>
      <c r="C1497" s="85" t="s">
        <v>24</v>
      </c>
      <c r="D1497" s="86">
        <v>27</v>
      </c>
      <c r="E1497" s="116" t="str">
        <f t="shared" si="71"/>
        <v>Hortifruti</v>
      </c>
      <c r="F1497" s="85" t="s">
        <v>1332</v>
      </c>
      <c r="G1497" s="85" t="s">
        <v>62</v>
      </c>
      <c r="H1497" s="85" t="s">
        <v>1083</v>
      </c>
      <c r="I1497" s="85"/>
      <c r="J1497" s="87"/>
      <c r="K1497" s="88">
        <f t="shared" si="72"/>
        <v>0</v>
      </c>
      <c r="L1497" s="85" t="s">
        <v>1336</v>
      </c>
    </row>
    <row r="1498" spans="1:12" x14ac:dyDescent="0.25">
      <c r="A1498" s="84" t="str">
        <f t="shared" si="70"/>
        <v>MarçoSEMANA 5Abobora Japonesa</v>
      </c>
      <c r="B1498" s="85" t="s">
        <v>31</v>
      </c>
      <c r="C1498" s="85" t="s">
        <v>24</v>
      </c>
      <c r="D1498" s="86">
        <v>27</v>
      </c>
      <c r="E1498" s="116" t="str">
        <f t="shared" si="71"/>
        <v>Hortifruti</v>
      </c>
      <c r="F1498" s="85" t="s">
        <v>1332</v>
      </c>
      <c r="G1498" s="85" t="s">
        <v>69</v>
      </c>
      <c r="H1498" s="85" t="s">
        <v>1083</v>
      </c>
      <c r="I1498" s="85">
        <v>8</v>
      </c>
      <c r="J1498" s="87">
        <v>2.6</v>
      </c>
      <c r="K1498" s="88">
        <f t="shared" si="72"/>
        <v>20.8</v>
      </c>
      <c r="L1498" s="85">
        <v>23926</v>
      </c>
    </row>
    <row r="1499" spans="1:12" x14ac:dyDescent="0.25">
      <c r="A1499" s="84" t="str">
        <f t="shared" si="70"/>
        <v xml:space="preserve">MarçoSEMANA 5Alface Americana    </v>
      </c>
      <c r="B1499" s="85" t="s">
        <v>31</v>
      </c>
      <c r="C1499" s="85" t="s">
        <v>24</v>
      </c>
      <c r="D1499" s="86">
        <v>27</v>
      </c>
      <c r="E1499" s="116" t="str">
        <f t="shared" si="71"/>
        <v>Hortifruti</v>
      </c>
      <c r="F1499" s="85" t="s">
        <v>1332</v>
      </c>
      <c r="G1499" s="85" t="s">
        <v>102</v>
      </c>
      <c r="H1499" s="85" t="s">
        <v>1083</v>
      </c>
      <c r="I1499" s="85"/>
      <c r="J1499" s="87"/>
      <c r="K1499" s="88">
        <f t="shared" si="72"/>
        <v>0</v>
      </c>
      <c r="L1499" s="85" t="s">
        <v>1336</v>
      </c>
    </row>
    <row r="1500" spans="1:12" x14ac:dyDescent="0.25">
      <c r="A1500" s="84" t="str">
        <f t="shared" si="70"/>
        <v>MarçoSEMANA 5Alface crespa</v>
      </c>
      <c r="B1500" s="85" t="s">
        <v>31</v>
      </c>
      <c r="C1500" s="85" t="s">
        <v>24</v>
      </c>
      <c r="D1500" s="86">
        <v>27</v>
      </c>
      <c r="E1500" s="116" t="str">
        <f t="shared" si="71"/>
        <v>Hortifruti</v>
      </c>
      <c r="F1500" s="85" t="s">
        <v>1332</v>
      </c>
      <c r="G1500" s="85" t="s">
        <v>104</v>
      </c>
      <c r="H1500" s="85" t="s">
        <v>1083</v>
      </c>
      <c r="I1500" s="85">
        <v>1.1000000000000001</v>
      </c>
      <c r="J1500" s="87">
        <f>5.2/1.1</f>
        <v>4.7272727272727266</v>
      </c>
      <c r="K1500" s="88">
        <f t="shared" si="72"/>
        <v>5.1999999999999993</v>
      </c>
      <c r="L1500" s="85">
        <v>23926</v>
      </c>
    </row>
    <row r="1501" spans="1:12" x14ac:dyDescent="0.25">
      <c r="A1501" s="84" t="str">
        <f t="shared" si="70"/>
        <v>MarçoSEMANA 5Cenoura</v>
      </c>
      <c r="B1501" s="85" t="s">
        <v>31</v>
      </c>
      <c r="C1501" s="85" t="s">
        <v>24</v>
      </c>
      <c r="D1501" s="86">
        <v>27</v>
      </c>
      <c r="E1501" s="116" t="str">
        <f t="shared" si="71"/>
        <v>Hortifruti</v>
      </c>
      <c r="F1501" s="85" t="s">
        <v>1332</v>
      </c>
      <c r="G1501" s="85" t="s">
        <v>249</v>
      </c>
      <c r="H1501" s="85" t="s">
        <v>1083</v>
      </c>
      <c r="I1501" s="85">
        <v>15.78</v>
      </c>
      <c r="J1501" s="87">
        <f>65/15.78</f>
        <v>4.1191381495564006</v>
      </c>
      <c r="K1501" s="88">
        <f t="shared" si="72"/>
        <v>65</v>
      </c>
      <c r="L1501" s="85">
        <v>23926</v>
      </c>
    </row>
    <row r="1502" spans="1:12" x14ac:dyDescent="0.25">
      <c r="A1502" s="84" t="str">
        <f t="shared" si="70"/>
        <v>MarçoSEMANA 5Manga Tommy</v>
      </c>
      <c r="B1502" s="85" t="s">
        <v>31</v>
      </c>
      <c r="C1502" s="85" t="s">
        <v>24</v>
      </c>
      <c r="D1502" s="86">
        <v>27</v>
      </c>
      <c r="E1502" s="116" t="str">
        <f t="shared" si="71"/>
        <v>Hortifruti</v>
      </c>
      <c r="F1502" s="85" t="s">
        <v>1332</v>
      </c>
      <c r="G1502" s="85" t="s">
        <v>496</v>
      </c>
      <c r="H1502" s="85" t="s">
        <v>1083</v>
      </c>
      <c r="I1502" s="85"/>
      <c r="J1502" s="87"/>
      <c r="K1502" s="88">
        <f t="shared" si="72"/>
        <v>0</v>
      </c>
      <c r="L1502" s="85" t="s">
        <v>1336</v>
      </c>
    </row>
    <row r="1503" spans="1:12" x14ac:dyDescent="0.25">
      <c r="A1503" s="84" t="str">
        <f t="shared" si="70"/>
        <v>MarçoSEMANA 5Pepino Japonês</v>
      </c>
      <c r="B1503" s="85" t="s">
        <v>31</v>
      </c>
      <c r="C1503" s="85" t="s">
        <v>24</v>
      </c>
      <c r="D1503" s="86">
        <v>27</v>
      </c>
      <c r="E1503" s="116" t="str">
        <f t="shared" si="71"/>
        <v>Hortifruti</v>
      </c>
      <c r="F1503" s="85" t="s">
        <v>1332</v>
      </c>
      <c r="G1503" s="85" t="s">
        <v>576</v>
      </c>
      <c r="H1503" s="85" t="s">
        <v>1083</v>
      </c>
      <c r="I1503" s="85"/>
      <c r="J1503" s="87"/>
      <c r="K1503" s="88">
        <f t="shared" si="72"/>
        <v>0</v>
      </c>
      <c r="L1503" s="85" t="s">
        <v>1336</v>
      </c>
    </row>
    <row r="1504" spans="1:12" x14ac:dyDescent="0.25">
      <c r="A1504" s="84" t="str">
        <f t="shared" si="70"/>
        <v>MarçoSEMANA 5Ovo de Codorna</v>
      </c>
      <c r="B1504" s="85" t="s">
        <v>31</v>
      </c>
      <c r="C1504" s="85" t="s">
        <v>24</v>
      </c>
      <c r="D1504" s="86">
        <v>27</v>
      </c>
      <c r="E1504" s="116" t="str">
        <f t="shared" si="71"/>
        <v>Hortifruti</v>
      </c>
      <c r="F1504" s="85" t="s">
        <v>1170</v>
      </c>
      <c r="G1504" s="85" t="s">
        <v>548</v>
      </c>
      <c r="H1504" s="85" t="s">
        <v>1114</v>
      </c>
      <c r="I1504" s="85">
        <v>17</v>
      </c>
      <c r="J1504" s="87">
        <v>10.6</v>
      </c>
      <c r="K1504" s="88">
        <f t="shared" si="72"/>
        <v>180.2</v>
      </c>
      <c r="L1504" s="85"/>
    </row>
    <row r="1505" spans="1:12" x14ac:dyDescent="0.25">
      <c r="A1505" s="84" t="str">
        <f t="shared" si="70"/>
        <v>MarçoSEMANA 5Salsa</v>
      </c>
      <c r="B1505" s="85" t="s">
        <v>31</v>
      </c>
      <c r="C1505" s="85" t="s">
        <v>24</v>
      </c>
      <c r="D1505" s="86">
        <v>27</v>
      </c>
      <c r="E1505" s="116" t="str">
        <f t="shared" si="71"/>
        <v>Hortifruti</v>
      </c>
      <c r="F1505" s="85" t="s">
        <v>1158</v>
      </c>
      <c r="G1505" s="85" t="s">
        <v>728</v>
      </c>
      <c r="H1505" s="85" t="s">
        <v>1083</v>
      </c>
      <c r="I1505" s="85">
        <v>0.28000000000000003</v>
      </c>
      <c r="J1505" s="87">
        <f>6.87/0.28</f>
        <v>24.535714285714285</v>
      </c>
      <c r="K1505" s="88">
        <f t="shared" si="72"/>
        <v>6.87</v>
      </c>
      <c r="L1505" s="85"/>
    </row>
    <row r="1506" spans="1:12" x14ac:dyDescent="0.25">
      <c r="A1506" s="84" t="str">
        <f t="shared" si="70"/>
        <v>MarçoSEMANA 5Hortelã</v>
      </c>
      <c r="B1506" s="85" t="s">
        <v>31</v>
      </c>
      <c r="C1506" s="85" t="s">
        <v>24</v>
      </c>
      <c r="D1506" s="86">
        <v>27</v>
      </c>
      <c r="E1506" s="116" t="str">
        <f t="shared" si="71"/>
        <v>Hortifruti</v>
      </c>
      <c r="F1506" s="85" t="s">
        <v>1158</v>
      </c>
      <c r="G1506" s="85" t="s">
        <v>405</v>
      </c>
      <c r="H1506" s="85" t="s">
        <v>1083</v>
      </c>
      <c r="I1506" s="85">
        <v>0.3</v>
      </c>
      <c r="J1506" s="87">
        <f>11.45/0.3</f>
        <v>38.166666666666664</v>
      </c>
      <c r="K1506" s="88">
        <f t="shared" si="72"/>
        <v>11.45</v>
      </c>
      <c r="L1506" s="85"/>
    </row>
    <row r="1507" spans="1:12" hidden="1" x14ac:dyDescent="0.2">
      <c r="A1507" s="84" t="str">
        <f t="shared" si="70"/>
        <v xml:space="preserve">MarçoSEMANA 5Tapioca Granulada </v>
      </c>
      <c r="B1507" s="85" t="s">
        <v>31</v>
      </c>
      <c r="C1507" s="85" t="s">
        <v>24</v>
      </c>
      <c r="D1507" s="86">
        <v>27</v>
      </c>
      <c r="E1507" s="116" t="str">
        <f t="shared" si="71"/>
        <v>Mercado</v>
      </c>
      <c r="F1507" s="85" t="s">
        <v>1118</v>
      </c>
      <c r="G1507" s="85" t="s">
        <v>784</v>
      </c>
      <c r="H1507" s="85" t="s">
        <v>1083</v>
      </c>
      <c r="I1507" s="85">
        <f>4*0.5</f>
        <v>2</v>
      </c>
      <c r="J1507" s="87">
        <f>11</f>
        <v>11</v>
      </c>
      <c r="K1507" s="88">
        <f t="shared" si="72"/>
        <v>22</v>
      </c>
      <c r="L1507" s="85">
        <v>131566</v>
      </c>
    </row>
    <row r="1508" spans="1:12" x14ac:dyDescent="0.25">
      <c r="A1508" s="84" t="str">
        <f t="shared" si="70"/>
        <v>MarçoSEMANA 5Banana D'Água</v>
      </c>
      <c r="B1508" s="85" t="s">
        <v>31</v>
      </c>
      <c r="C1508" s="85" t="s">
        <v>24</v>
      </c>
      <c r="D1508" s="86">
        <v>27</v>
      </c>
      <c r="E1508" s="116" t="str">
        <f t="shared" si="71"/>
        <v>Hortifruti</v>
      </c>
      <c r="F1508" s="85" t="s">
        <v>1118</v>
      </c>
      <c r="G1508" s="85" t="s">
        <v>162</v>
      </c>
      <c r="H1508" s="85" t="s">
        <v>1083</v>
      </c>
      <c r="I1508" s="85">
        <v>2.09</v>
      </c>
      <c r="J1508" s="87">
        <v>3.75</v>
      </c>
      <c r="K1508" s="88">
        <f t="shared" si="72"/>
        <v>7.8374999999999995</v>
      </c>
      <c r="L1508" s="85">
        <v>131566</v>
      </c>
    </row>
    <row r="1509" spans="1:12" hidden="1" x14ac:dyDescent="0.2">
      <c r="A1509" s="84" t="str">
        <f t="shared" si="70"/>
        <v>MarçoSEMANA 5Pão Árabe</v>
      </c>
      <c r="B1509" s="85" t="s">
        <v>31</v>
      </c>
      <c r="C1509" s="85" t="s">
        <v>24</v>
      </c>
      <c r="D1509" s="86">
        <v>27</v>
      </c>
      <c r="E1509" s="116" t="str">
        <f t="shared" si="71"/>
        <v>Mercado</v>
      </c>
      <c r="F1509" s="85" t="s">
        <v>1118</v>
      </c>
      <c r="G1509" s="85" t="s">
        <v>560</v>
      </c>
      <c r="H1509" s="85" t="s">
        <v>1114</v>
      </c>
      <c r="I1509" s="85">
        <v>3</v>
      </c>
      <c r="J1509" s="87">
        <v>6.7</v>
      </c>
      <c r="K1509" s="88">
        <f t="shared" si="72"/>
        <v>20.100000000000001</v>
      </c>
      <c r="L1509" s="85">
        <v>131743</v>
      </c>
    </row>
    <row r="1510" spans="1:12" hidden="1" x14ac:dyDescent="0.2">
      <c r="A1510" s="84" t="str">
        <f t="shared" si="70"/>
        <v>MarçoSEMANA 5Pão Francês</v>
      </c>
      <c r="B1510" s="85" t="s">
        <v>31</v>
      </c>
      <c r="C1510" s="85" t="s">
        <v>24</v>
      </c>
      <c r="D1510" s="86">
        <v>27</v>
      </c>
      <c r="E1510" s="116" t="str">
        <f t="shared" si="71"/>
        <v>Mercado</v>
      </c>
      <c r="F1510" s="85" t="s">
        <v>1118</v>
      </c>
      <c r="G1510" s="85" t="s">
        <v>564</v>
      </c>
      <c r="H1510" s="85" t="s">
        <v>1083</v>
      </c>
      <c r="I1510" s="85">
        <v>0.14000000000000001</v>
      </c>
      <c r="J1510" s="87">
        <v>13.98</v>
      </c>
      <c r="K1510" s="88">
        <f t="shared" si="72"/>
        <v>1.9572000000000003</v>
      </c>
      <c r="L1510" s="85">
        <v>131743</v>
      </c>
    </row>
    <row r="1511" spans="1:12" x14ac:dyDescent="0.25">
      <c r="A1511" s="84" t="str">
        <f t="shared" si="70"/>
        <v>MarçoSEMANA 5Pepino Japonês</v>
      </c>
      <c r="B1511" s="85" t="s">
        <v>31</v>
      </c>
      <c r="C1511" s="85" t="s">
        <v>24</v>
      </c>
      <c r="D1511" s="86">
        <v>27</v>
      </c>
      <c r="E1511" s="116" t="str">
        <f t="shared" si="71"/>
        <v>Hortifruti</v>
      </c>
      <c r="F1511" s="85" t="s">
        <v>1118</v>
      </c>
      <c r="G1511" s="85" t="s">
        <v>576</v>
      </c>
      <c r="H1511" s="85" t="s">
        <v>1083</v>
      </c>
      <c r="I1511" s="85">
        <f>0.318+0.322+0.305+0.368+0.355+0.338+0.288+0.322+0.335</f>
        <v>2.9510000000000001</v>
      </c>
      <c r="J1511" s="87">
        <v>4.6500000000000004</v>
      </c>
      <c r="K1511" s="88">
        <f t="shared" si="72"/>
        <v>13.722150000000001</v>
      </c>
      <c r="L1511" s="85">
        <v>96974</v>
      </c>
    </row>
    <row r="1512" spans="1:12" hidden="1" x14ac:dyDescent="0.2">
      <c r="A1512" s="84" t="str">
        <f t="shared" si="70"/>
        <v>MarçoSEMANA 5Aroma de Baunilha 30ml</v>
      </c>
      <c r="B1512" s="85" t="s">
        <v>31</v>
      </c>
      <c r="C1512" s="85" t="s">
        <v>24</v>
      </c>
      <c r="D1512" s="86">
        <v>27</v>
      </c>
      <c r="E1512" s="116" t="str">
        <f t="shared" si="71"/>
        <v>Mercado</v>
      </c>
      <c r="F1512" s="85" t="s">
        <v>1118</v>
      </c>
      <c r="G1512" s="85" t="s">
        <v>1052</v>
      </c>
      <c r="H1512" s="85" t="s">
        <v>1090</v>
      </c>
      <c r="I1512" s="85">
        <v>1</v>
      </c>
      <c r="J1512" s="87">
        <v>7.8</v>
      </c>
      <c r="K1512" s="88">
        <f t="shared" si="72"/>
        <v>7.8</v>
      </c>
      <c r="L1512" s="85">
        <v>144885</v>
      </c>
    </row>
    <row r="1513" spans="1:12" x14ac:dyDescent="0.25">
      <c r="A1513" s="84" t="str">
        <f t="shared" si="70"/>
        <v>MarçoSEMANA 5Pepino Japonês</v>
      </c>
      <c r="B1513" s="85" t="s">
        <v>31</v>
      </c>
      <c r="C1513" s="85" t="s">
        <v>24</v>
      </c>
      <c r="D1513" s="86">
        <v>27</v>
      </c>
      <c r="E1513" s="116" t="str">
        <f t="shared" si="71"/>
        <v>Hortifruti</v>
      </c>
      <c r="F1513" s="85" t="s">
        <v>1158</v>
      </c>
      <c r="G1513" s="85" t="s">
        <v>576</v>
      </c>
      <c r="H1513" s="85" t="s">
        <v>1083</v>
      </c>
      <c r="I1513" s="85">
        <v>2.8650000000000002</v>
      </c>
      <c r="J1513" s="87">
        <v>4.99</v>
      </c>
      <c r="K1513" s="88">
        <f t="shared" si="72"/>
        <v>14.296350000000002</v>
      </c>
      <c r="L1513" s="85">
        <v>13824</v>
      </c>
    </row>
    <row r="1514" spans="1:12" hidden="1" x14ac:dyDescent="0.2">
      <c r="A1514" s="84" t="str">
        <f t="shared" si="70"/>
        <v>MarçoSEMANA 5Pescados - Atum Fresco</v>
      </c>
      <c r="B1514" s="85" t="s">
        <v>31</v>
      </c>
      <c r="C1514" s="85" t="s">
        <v>24</v>
      </c>
      <c r="D1514" s="86">
        <v>27</v>
      </c>
      <c r="E1514" s="116" t="str">
        <f t="shared" si="71"/>
        <v>Carnes</v>
      </c>
      <c r="F1514" s="85" t="s">
        <v>1166</v>
      </c>
      <c r="G1514" s="85" t="s">
        <v>585</v>
      </c>
      <c r="H1514" s="85" t="s">
        <v>1083</v>
      </c>
      <c r="I1514" s="85">
        <v>58</v>
      </c>
      <c r="J1514" s="87">
        <v>14.9</v>
      </c>
      <c r="K1514" s="88">
        <f t="shared" si="72"/>
        <v>864.2</v>
      </c>
      <c r="L1514" s="85">
        <v>331327</v>
      </c>
    </row>
    <row r="1515" spans="1:12" hidden="1" x14ac:dyDescent="0.2">
      <c r="A1515" s="84" t="str">
        <f t="shared" si="70"/>
        <v>MarçoSEMANA 3Folha de Alga 50F (cozinha)</v>
      </c>
      <c r="B1515" s="85" t="s">
        <v>31</v>
      </c>
      <c r="C1515" s="85" t="s">
        <v>22</v>
      </c>
      <c r="D1515" s="86">
        <v>17</v>
      </c>
      <c r="E1515" s="116" t="str">
        <f t="shared" si="71"/>
        <v>Mercado</v>
      </c>
      <c r="F1515" s="85" t="s">
        <v>1276</v>
      </c>
      <c r="G1515" s="85" t="s">
        <v>1039</v>
      </c>
      <c r="H1515" s="85" t="s">
        <v>1114</v>
      </c>
      <c r="I1515" s="85">
        <v>1</v>
      </c>
      <c r="J1515" s="87">
        <v>29</v>
      </c>
      <c r="K1515" s="88">
        <f t="shared" si="72"/>
        <v>29</v>
      </c>
      <c r="L1515" s="85">
        <v>4227</v>
      </c>
    </row>
    <row r="1516" spans="1:12" hidden="1" x14ac:dyDescent="0.2">
      <c r="A1516" s="84" t="str">
        <f t="shared" si="70"/>
        <v>MarçoSEMANA 5Azeitona Verde Fatiada Bd 2 kg</v>
      </c>
      <c r="B1516" s="85" t="s">
        <v>31</v>
      </c>
      <c r="C1516" s="85" t="s">
        <v>24</v>
      </c>
      <c r="D1516" s="86">
        <v>28</v>
      </c>
      <c r="E1516" s="116" t="str">
        <f t="shared" si="71"/>
        <v>Mercado</v>
      </c>
      <c r="F1516" s="85" t="s">
        <v>1101</v>
      </c>
      <c r="G1516" s="85" t="s">
        <v>158</v>
      </c>
      <c r="H1516" s="85" t="s">
        <v>1088</v>
      </c>
      <c r="I1516" s="85">
        <v>1</v>
      </c>
      <c r="J1516" s="87">
        <v>24.98</v>
      </c>
      <c r="K1516" s="88">
        <v>0</v>
      </c>
      <c r="L1516" s="85" t="s">
        <v>1334</v>
      </c>
    </row>
    <row r="1517" spans="1:12" hidden="1" x14ac:dyDescent="0.2">
      <c r="A1517" s="84" t="str">
        <f t="shared" si="70"/>
        <v>MarçoSEMANA 5Queijo Parmezon</v>
      </c>
      <c r="B1517" s="85" t="s">
        <v>31</v>
      </c>
      <c r="C1517" s="85" t="s">
        <v>24</v>
      </c>
      <c r="D1517" s="86">
        <v>28</v>
      </c>
      <c r="E1517" s="116" t="str">
        <f t="shared" si="71"/>
        <v>Laticínios</v>
      </c>
      <c r="F1517" s="85" t="s">
        <v>1101</v>
      </c>
      <c r="G1517" s="85" t="s">
        <v>685</v>
      </c>
      <c r="H1517" s="85" t="s">
        <v>1083</v>
      </c>
      <c r="I1517" s="85">
        <v>5.4</v>
      </c>
      <c r="J1517" s="87">
        <v>23.7</v>
      </c>
      <c r="K1517" s="88">
        <f t="shared" si="72"/>
        <v>127.98</v>
      </c>
      <c r="L1517" s="85" t="s">
        <v>1334</v>
      </c>
    </row>
    <row r="1518" spans="1:12" hidden="1" x14ac:dyDescent="0.2">
      <c r="A1518" s="84" t="str">
        <f t="shared" si="70"/>
        <v>MarçoSEMANA 5Presunto Cozido</v>
      </c>
      <c r="B1518" s="85" t="s">
        <v>31</v>
      </c>
      <c r="C1518" s="85" t="s">
        <v>24</v>
      </c>
      <c r="D1518" s="86">
        <v>28</v>
      </c>
      <c r="E1518" s="116" t="str">
        <f t="shared" si="71"/>
        <v>Carnes</v>
      </c>
      <c r="F1518" s="85" t="s">
        <v>1101</v>
      </c>
      <c r="G1518" s="85" t="s">
        <v>669</v>
      </c>
      <c r="H1518" s="85" t="s">
        <v>1083</v>
      </c>
      <c r="I1518" s="85"/>
      <c r="J1518" s="87"/>
      <c r="K1518" s="88">
        <f t="shared" si="72"/>
        <v>0</v>
      </c>
      <c r="L1518" s="85" t="s">
        <v>1359</v>
      </c>
    </row>
    <row r="1519" spans="1:12" hidden="1" x14ac:dyDescent="0.2">
      <c r="A1519" s="84" t="str">
        <f t="shared" si="70"/>
        <v>MarçoSEMANA 5Queijo Minas Padrão</v>
      </c>
      <c r="B1519" s="85" t="s">
        <v>31</v>
      </c>
      <c r="C1519" s="85" t="s">
        <v>24</v>
      </c>
      <c r="D1519" s="86">
        <v>28</v>
      </c>
      <c r="E1519" s="116" t="str">
        <f t="shared" si="71"/>
        <v>Laticínios</v>
      </c>
      <c r="F1519" s="85" t="s">
        <v>1101</v>
      </c>
      <c r="G1519" s="85" t="s">
        <v>682</v>
      </c>
      <c r="H1519" s="85" t="s">
        <v>1083</v>
      </c>
      <c r="I1519" s="85">
        <v>8.5399999999999991</v>
      </c>
      <c r="J1519" s="87">
        <v>30.5</v>
      </c>
      <c r="K1519" s="88">
        <f t="shared" si="72"/>
        <v>260.46999999999997</v>
      </c>
      <c r="L1519" s="85" t="s">
        <v>1334</v>
      </c>
    </row>
    <row r="1520" spans="1:12" hidden="1" x14ac:dyDescent="0.2">
      <c r="A1520" s="84" t="str">
        <f t="shared" si="70"/>
        <v>MarçoSEMANA 5Queijo Mussarela</v>
      </c>
      <c r="B1520" s="85" t="s">
        <v>31</v>
      </c>
      <c r="C1520" s="85" t="s">
        <v>24</v>
      </c>
      <c r="D1520" s="86">
        <v>28</v>
      </c>
      <c r="E1520" s="116" t="str">
        <f t="shared" si="71"/>
        <v>Laticínios</v>
      </c>
      <c r="F1520" s="85" t="s">
        <v>1101</v>
      </c>
      <c r="G1520" s="85" t="s">
        <v>684</v>
      </c>
      <c r="H1520" s="85" t="s">
        <v>1083</v>
      </c>
      <c r="I1520" s="85">
        <v>8</v>
      </c>
      <c r="J1520" s="87">
        <v>17.54</v>
      </c>
      <c r="K1520" s="88">
        <f t="shared" si="72"/>
        <v>140.32</v>
      </c>
      <c r="L1520" s="85" t="s">
        <v>1334</v>
      </c>
    </row>
    <row r="1521" spans="1:12" hidden="1" x14ac:dyDescent="0.2">
      <c r="A1521" s="84" t="str">
        <f t="shared" si="70"/>
        <v>MarçoSEMANA 5Trigo para Kibe</v>
      </c>
      <c r="B1521" s="85" t="s">
        <v>31</v>
      </c>
      <c r="C1521" s="85" t="s">
        <v>24</v>
      </c>
      <c r="D1521" s="86">
        <v>28</v>
      </c>
      <c r="E1521" s="116" t="str">
        <f t="shared" si="71"/>
        <v>Mercado</v>
      </c>
      <c r="F1521" s="85" t="s">
        <v>1101</v>
      </c>
      <c r="G1521" s="85" t="s">
        <v>825</v>
      </c>
      <c r="H1521" s="85" t="s">
        <v>1083</v>
      </c>
      <c r="I1521" s="85">
        <v>5</v>
      </c>
      <c r="J1521" s="87">
        <f>22.45/5</f>
        <v>4.49</v>
      </c>
      <c r="K1521" s="88">
        <f t="shared" si="72"/>
        <v>22.450000000000003</v>
      </c>
      <c r="L1521" s="85" t="s">
        <v>1334</v>
      </c>
    </row>
    <row r="1522" spans="1:12" hidden="1" x14ac:dyDescent="0.2">
      <c r="A1522" s="84" t="str">
        <f t="shared" si="70"/>
        <v>MarçoSEMANA 5Açucar Refinado</v>
      </c>
      <c r="B1522" s="85" t="s">
        <v>31</v>
      </c>
      <c r="C1522" s="85" t="s">
        <v>24</v>
      </c>
      <c r="D1522" s="86">
        <v>28</v>
      </c>
      <c r="E1522" s="116" t="str">
        <f t="shared" si="71"/>
        <v>Mercado</v>
      </c>
      <c r="F1522" s="85" t="s">
        <v>1106</v>
      </c>
      <c r="G1522" s="85" t="s">
        <v>79</v>
      </c>
      <c r="H1522" s="85" t="s">
        <v>1083</v>
      </c>
      <c r="I1522" s="85">
        <v>20</v>
      </c>
      <c r="J1522" s="87">
        <f>39.7/20</f>
        <v>1.9850000000000001</v>
      </c>
      <c r="K1522" s="88">
        <f t="shared" si="72"/>
        <v>39.700000000000003</v>
      </c>
      <c r="L1522" s="85">
        <v>1005977</v>
      </c>
    </row>
    <row r="1523" spans="1:12" hidden="1" x14ac:dyDescent="0.2">
      <c r="A1523" s="84" t="str">
        <f t="shared" si="70"/>
        <v>MarçoSEMANA 5Arroz Branco</v>
      </c>
      <c r="B1523" s="85" t="s">
        <v>31</v>
      </c>
      <c r="C1523" s="85" t="s">
        <v>24</v>
      </c>
      <c r="D1523" s="86">
        <v>28</v>
      </c>
      <c r="E1523" s="116" t="str">
        <f t="shared" si="71"/>
        <v>Mercado</v>
      </c>
      <c r="F1523" s="85" t="s">
        <v>1106</v>
      </c>
      <c r="G1523" s="85" t="s">
        <v>126</v>
      </c>
      <c r="H1523" s="85" t="s">
        <v>1083</v>
      </c>
      <c r="I1523" s="85">
        <v>25</v>
      </c>
      <c r="J1523" s="87">
        <f>82.2/25</f>
        <v>3.2880000000000003</v>
      </c>
      <c r="K1523" s="88">
        <f t="shared" si="72"/>
        <v>82.2</v>
      </c>
      <c r="L1523" s="85">
        <v>1005977</v>
      </c>
    </row>
    <row r="1524" spans="1:12" hidden="1" x14ac:dyDescent="0.2">
      <c r="A1524" s="84" t="str">
        <f t="shared" si="70"/>
        <v>MarçoSEMANA 5Farinha de Trigo</v>
      </c>
      <c r="B1524" s="85" t="s">
        <v>31</v>
      </c>
      <c r="C1524" s="85" t="s">
        <v>24</v>
      </c>
      <c r="D1524" s="86">
        <v>28</v>
      </c>
      <c r="E1524" s="116" t="str">
        <f t="shared" si="71"/>
        <v>Mercado</v>
      </c>
      <c r="F1524" s="85" t="s">
        <v>1106</v>
      </c>
      <c r="G1524" s="85" t="s">
        <v>343</v>
      </c>
      <c r="H1524" s="85" t="s">
        <v>1083</v>
      </c>
      <c r="I1524" s="85">
        <v>20</v>
      </c>
      <c r="J1524" s="87">
        <v>1.6839999999999999</v>
      </c>
      <c r="K1524" s="88">
        <f t="shared" si="72"/>
        <v>33.68</v>
      </c>
      <c r="L1524" s="85">
        <v>1005977</v>
      </c>
    </row>
    <row r="1525" spans="1:12" hidden="1" x14ac:dyDescent="0.2">
      <c r="A1525" s="84" t="str">
        <f t="shared" si="70"/>
        <v>MarçoSEMANA 5Feijão Mulatinho</v>
      </c>
      <c r="B1525" s="85" t="s">
        <v>31</v>
      </c>
      <c r="C1525" s="85" t="s">
        <v>24</v>
      </c>
      <c r="D1525" s="86">
        <v>28</v>
      </c>
      <c r="E1525" s="116" t="str">
        <f t="shared" si="71"/>
        <v>Mercado</v>
      </c>
      <c r="F1525" s="85" t="s">
        <v>1106</v>
      </c>
      <c r="G1525" s="85" t="s">
        <v>351</v>
      </c>
      <c r="H1525" s="85" t="s">
        <v>1083</v>
      </c>
      <c r="I1525" s="85">
        <v>5</v>
      </c>
      <c r="J1525" s="87">
        <f>48.5/5</f>
        <v>9.6999999999999993</v>
      </c>
      <c r="K1525" s="88">
        <f t="shared" si="72"/>
        <v>48.5</v>
      </c>
      <c r="L1525" s="85">
        <v>1005977</v>
      </c>
    </row>
    <row r="1526" spans="1:12" hidden="1" x14ac:dyDescent="0.2">
      <c r="A1526" s="84" t="str">
        <f t="shared" si="70"/>
        <v>MarçoSEMANA 5Feijão Preto</v>
      </c>
      <c r="B1526" s="85" t="s">
        <v>31</v>
      </c>
      <c r="C1526" s="85" t="s">
        <v>24</v>
      </c>
      <c r="D1526" s="86">
        <v>28</v>
      </c>
      <c r="E1526" s="116" t="str">
        <f t="shared" si="71"/>
        <v>Mercado</v>
      </c>
      <c r="F1526" s="85" t="s">
        <v>1106</v>
      </c>
      <c r="G1526" s="85" t="s">
        <v>352</v>
      </c>
      <c r="H1526" s="85" t="s">
        <v>1083</v>
      </c>
      <c r="I1526" s="85">
        <v>10</v>
      </c>
      <c r="J1526" s="87">
        <v>4.25</v>
      </c>
      <c r="K1526" s="88">
        <f t="shared" si="72"/>
        <v>42.5</v>
      </c>
      <c r="L1526" s="85">
        <v>1005977</v>
      </c>
    </row>
    <row r="1527" spans="1:12" hidden="1" x14ac:dyDescent="0.2">
      <c r="A1527" s="84" t="str">
        <f t="shared" si="70"/>
        <v>MarçoSEMANA 5Grão de Bico</v>
      </c>
      <c r="B1527" s="85" t="s">
        <v>31</v>
      </c>
      <c r="C1527" s="85" t="s">
        <v>24</v>
      </c>
      <c r="D1527" s="86">
        <v>28</v>
      </c>
      <c r="E1527" s="116" t="str">
        <f t="shared" si="71"/>
        <v>Mercado</v>
      </c>
      <c r="F1527" s="85" t="s">
        <v>1106</v>
      </c>
      <c r="G1527" s="85" t="s">
        <v>396</v>
      </c>
      <c r="H1527" s="85" t="s">
        <v>1083</v>
      </c>
      <c r="I1527" s="85">
        <v>10</v>
      </c>
      <c r="J1527" s="87">
        <f>153/10</f>
        <v>15.3</v>
      </c>
      <c r="K1527" s="88">
        <f t="shared" si="72"/>
        <v>153</v>
      </c>
      <c r="L1527" s="85">
        <v>1005977</v>
      </c>
    </row>
    <row r="1528" spans="1:12" hidden="1" x14ac:dyDescent="0.2">
      <c r="A1528" s="84" t="str">
        <f t="shared" si="70"/>
        <v>MarçoSEMANA 5Lentilha</v>
      </c>
      <c r="B1528" s="85" t="s">
        <v>31</v>
      </c>
      <c r="C1528" s="85" t="s">
        <v>24</v>
      </c>
      <c r="D1528" s="86">
        <v>28</v>
      </c>
      <c r="E1528" s="116" t="str">
        <f t="shared" si="71"/>
        <v>Mercado</v>
      </c>
      <c r="F1528" s="85" t="s">
        <v>1106</v>
      </c>
      <c r="G1528" s="85" t="s">
        <v>461</v>
      </c>
      <c r="H1528" s="85" t="s">
        <v>1083</v>
      </c>
      <c r="I1528" s="85">
        <v>5</v>
      </c>
      <c r="J1528" s="87">
        <f>50.5/5</f>
        <v>10.1</v>
      </c>
      <c r="K1528" s="88">
        <f t="shared" si="72"/>
        <v>50.5</v>
      </c>
      <c r="L1528" s="85">
        <v>1005977</v>
      </c>
    </row>
    <row r="1529" spans="1:12" hidden="1" x14ac:dyDescent="0.2">
      <c r="A1529" s="84" t="str">
        <f t="shared" si="70"/>
        <v>MarçoSEMANA 5Leite Integral</v>
      </c>
      <c r="B1529" s="85" t="s">
        <v>31</v>
      </c>
      <c r="C1529" s="85" t="s">
        <v>24</v>
      </c>
      <c r="D1529" s="86">
        <v>28</v>
      </c>
      <c r="E1529" s="116" t="str">
        <f t="shared" si="71"/>
        <v>Mercado</v>
      </c>
      <c r="F1529" s="85" t="s">
        <v>1085</v>
      </c>
      <c r="G1529" s="85" t="s">
        <v>460</v>
      </c>
      <c r="H1529" s="85" t="s">
        <v>1086</v>
      </c>
      <c r="I1529" s="85">
        <f>3*12</f>
        <v>36</v>
      </c>
      <c r="J1529" s="87">
        <f>(118.5+0.93)/36</f>
        <v>3.3175000000000003</v>
      </c>
      <c r="K1529" s="88">
        <f t="shared" si="72"/>
        <v>119.43</v>
      </c>
      <c r="L1529" s="85" t="s">
        <v>1335</v>
      </c>
    </row>
    <row r="1530" spans="1:12" hidden="1" x14ac:dyDescent="0.2">
      <c r="A1530" s="84" t="str">
        <f t="shared" si="70"/>
        <v>MarçoSEMANA 5Óleo Composto 500ml</v>
      </c>
      <c r="B1530" s="85" t="s">
        <v>31</v>
      </c>
      <c r="C1530" s="85" t="s">
        <v>24</v>
      </c>
      <c r="D1530" s="86">
        <v>28</v>
      </c>
      <c r="E1530" s="116" t="str">
        <f t="shared" si="71"/>
        <v>Mercado</v>
      </c>
      <c r="F1530" s="85" t="s">
        <v>1085</v>
      </c>
      <c r="G1530" s="85" t="s">
        <v>541</v>
      </c>
      <c r="H1530" s="85" t="s">
        <v>1090</v>
      </c>
      <c r="I1530" s="85">
        <v>12</v>
      </c>
      <c r="J1530" s="87">
        <f>(40.56+0.61)/12</f>
        <v>3.4308333333333336</v>
      </c>
      <c r="K1530" s="88">
        <f t="shared" si="72"/>
        <v>41.17</v>
      </c>
      <c r="L1530" s="85" t="s">
        <v>1335</v>
      </c>
    </row>
    <row r="1531" spans="1:12" hidden="1" x14ac:dyDescent="0.2">
      <c r="A1531" s="84" t="str">
        <f t="shared" si="70"/>
        <v>MarçoSEMANA 5Óleo de Soja 18 Lt</v>
      </c>
      <c r="B1531" s="85" t="s">
        <v>31</v>
      </c>
      <c r="C1531" s="85" t="s">
        <v>24</v>
      </c>
      <c r="D1531" s="86">
        <v>28</v>
      </c>
      <c r="E1531" s="116" t="str">
        <f t="shared" si="71"/>
        <v>Mercado</v>
      </c>
      <c r="F1531" s="85" t="s">
        <v>1085</v>
      </c>
      <c r="G1531" s="85" t="s">
        <v>544</v>
      </c>
      <c r="H1531" s="85" t="s">
        <v>1087</v>
      </c>
      <c r="I1531" s="85">
        <v>3</v>
      </c>
      <c r="J1531" s="87">
        <v>61.5</v>
      </c>
      <c r="K1531" s="88">
        <f t="shared" si="72"/>
        <v>184.5</v>
      </c>
      <c r="L1531" s="85" t="s">
        <v>1335</v>
      </c>
    </row>
    <row r="1532" spans="1:12" hidden="1" x14ac:dyDescent="0.2">
      <c r="A1532" s="84" t="str">
        <f t="shared" si="70"/>
        <v>MarçoSEMANA 5Sal Refinado</v>
      </c>
      <c r="B1532" s="85" t="s">
        <v>31</v>
      </c>
      <c r="C1532" s="85" t="s">
        <v>24</v>
      </c>
      <c r="D1532" s="86">
        <v>28</v>
      </c>
      <c r="E1532" s="116" t="str">
        <f t="shared" si="71"/>
        <v>Mercado</v>
      </c>
      <c r="F1532" s="85" t="s">
        <v>1085</v>
      </c>
      <c r="G1532" s="85" t="s">
        <v>724</v>
      </c>
      <c r="H1532" s="85" t="s">
        <v>1083</v>
      </c>
      <c r="I1532" s="85">
        <v>10</v>
      </c>
      <c r="J1532" s="87">
        <v>1.365</v>
      </c>
      <c r="K1532" s="88">
        <f t="shared" si="72"/>
        <v>13.65</v>
      </c>
      <c r="L1532" s="85" t="s">
        <v>1335</v>
      </c>
    </row>
    <row r="1533" spans="1:12" hidden="1" x14ac:dyDescent="0.2">
      <c r="A1533" s="84" t="str">
        <f t="shared" si="70"/>
        <v>MarçoSEMANA 5Maisena Amido de Milho 1 Kg</v>
      </c>
      <c r="B1533" s="85" t="s">
        <v>31</v>
      </c>
      <c r="C1533" s="85" t="s">
        <v>24</v>
      </c>
      <c r="D1533" s="86">
        <v>28</v>
      </c>
      <c r="E1533" s="116" t="str">
        <f t="shared" si="71"/>
        <v>Mercado</v>
      </c>
      <c r="F1533" s="85" t="s">
        <v>1085</v>
      </c>
      <c r="G1533" s="85" t="s">
        <v>492</v>
      </c>
      <c r="H1533" s="85" t="s">
        <v>1083</v>
      </c>
      <c r="I1533" s="85">
        <v>3</v>
      </c>
      <c r="J1533" s="87">
        <v>3.3</v>
      </c>
      <c r="K1533" s="88">
        <f t="shared" si="72"/>
        <v>9.8999999999999986</v>
      </c>
      <c r="L1533" s="85" t="s">
        <v>1335</v>
      </c>
    </row>
    <row r="1534" spans="1:12" hidden="1" x14ac:dyDescent="0.2">
      <c r="A1534" s="84" t="str">
        <f t="shared" si="70"/>
        <v>MarçoSEMANA 5Macarrão Espaghetti Nissim</v>
      </c>
      <c r="B1534" s="85" t="s">
        <v>31</v>
      </c>
      <c r="C1534" s="85" t="s">
        <v>24</v>
      </c>
      <c r="D1534" s="86">
        <v>28</v>
      </c>
      <c r="E1534" s="116" t="str">
        <f t="shared" si="71"/>
        <v>Mercado</v>
      </c>
      <c r="F1534" s="85" t="s">
        <v>1085</v>
      </c>
      <c r="G1534" s="85" t="s">
        <v>482</v>
      </c>
      <c r="H1534" s="85" t="s">
        <v>1083</v>
      </c>
      <c r="I1534" s="85">
        <f>2*0.5</f>
        <v>1</v>
      </c>
      <c r="J1534" s="87">
        <f>(9.3+0.94)</f>
        <v>10.24</v>
      </c>
      <c r="K1534" s="88">
        <f t="shared" si="72"/>
        <v>10.24</v>
      </c>
      <c r="L1534" s="85" t="s">
        <v>1335</v>
      </c>
    </row>
    <row r="1535" spans="1:12" hidden="1" x14ac:dyDescent="0.2">
      <c r="A1535" s="84" t="str">
        <f t="shared" si="70"/>
        <v xml:space="preserve">MarçoSEMANA 5Café em Grão </v>
      </c>
      <c r="B1535" s="85" t="s">
        <v>31</v>
      </c>
      <c r="C1535" s="85" t="s">
        <v>24</v>
      </c>
      <c r="D1535" s="86">
        <v>26</v>
      </c>
      <c r="E1535" s="116" t="str">
        <f t="shared" si="71"/>
        <v>Mercado</v>
      </c>
      <c r="F1535" s="85" t="s">
        <v>1153</v>
      </c>
      <c r="G1535" s="85" t="s">
        <v>1028</v>
      </c>
      <c r="H1535" s="85" t="s">
        <v>1083</v>
      </c>
      <c r="I1535" s="85">
        <v>3</v>
      </c>
      <c r="J1535" s="87"/>
      <c r="K1535" s="88">
        <f t="shared" si="72"/>
        <v>0</v>
      </c>
      <c r="L1535" s="85" t="s">
        <v>1333</v>
      </c>
    </row>
    <row r="1536" spans="1:12" hidden="1" x14ac:dyDescent="0.2">
      <c r="A1536" s="84" t="str">
        <f t="shared" si="70"/>
        <v>MarçoSEMANA 5Carne Bovina - Peito</v>
      </c>
      <c r="B1536" s="85" t="s">
        <v>31</v>
      </c>
      <c r="C1536" s="85" t="s">
        <v>24</v>
      </c>
      <c r="D1536" s="86">
        <v>28</v>
      </c>
      <c r="E1536" s="116" t="str">
        <f t="shared" si="71"/>
        <v>Carnes</v>
      </c>
      <c r="F1536" s="85" t="s">
        <v>1100</v>
      </c>
      <c r="G1536" s="85" t="s">
        <v>231</v>
      </c>
      <c r="H1536" s="85" t="s">
        <v>1083</v>
      </c>
      <c r="I1536" s="85">
        <v>22.419</v>
      </c>
      <c r="J1536" s="87">
        <v>10.051</v>
      </c>
      <c r="K1536" s="88">
        <f t="shared" si="72"/>
        <v>225.333369</v>
      </c>
      <c r="L1536" s="85" t="s">
        <v>1337</v>
      </c>
    </row>
    <row r="1537" spans="1:12" hidden="1" x14ac:dyDescent="0.2">
      <c r="A1537" s="84" t="str">
        <f t="shared" si="70"/>
        <v>MarçoSEMANA 5Tonkatsu Bb 5 Lt</v>
      </c>
      <c r="B1537" s="85" t="s">
        <v>31</v>
      </c>
      <c r="C1537" s="85" t="s">
        <v>24</v>
      </c>
      <c r="D1537" s="86">
        <v>27</v>
      </c>
      <c r="E1537" s="116" t="str">
        <f t="shared" si="71"/>
        <v>Mercado</v>
      </c>
      <c r="F1537" s="85" t="s">
        <v>1338</v>
      </c>
      <c r="G1537" s="85" t="s">
        <v>987</v>
      </c>
      <c r="H1537" s="85" t="s">
        <v>1089</v>
      </c>
      <c r="I1537" s="85">
        <v>2</v>
      </c>
      <c r="J1537" s="87">
        <v>40</v>
      </c>
      <c r="K1537" s="88">
        <f t="shared" si="72"/>
        <v>80</v>
      </c>
      <c r="L1537" s="85"/>
    </row>
    <row r="1538" spans="1:12" hidden="1" x14ac:dyDescent="0.2">
      <c r="A1538" s="84" t="str">
        <f t="shared" ref="A1538:A1601" si="73">CONCATENATE(B1538,C1538,G1538)</f>
        <v>MarçoSEMANA 5Macarrão de Feijão (Harusame) 200g</v>
      </c>
      <c r="B1538" s="85" t="s">
        <v>31</v>
      </c>
      <c r="C1538" s="85" t="s">
        <v>24</v>
      </c>
      <c r="D1538" s="86">
        <v>27</v>
      </c>
      <c r="E1538" s="116" t="str">
        <f t="shared" ref="E1538:E1601" si="74">VLOOKUP(G1538,$M$1:$O$993,3,0)</f>
        <v>Mercado</v>
      </c>
      <c r="F1538" s="85" t="s">
        <v>1338</v>
      </c>
      <c r="G1538" s="85" t="s">
        <v>480</v>
      </c>
      <c r="H1538" s="85" t="s">
        <v>1114</v>
      </c>
      <c r="I1538" s="85">
        <v>10</v>
      </c>
      <c r="J1538" s="87">
        <v>11.5</v>
      </c>
      <c r="K1538" s="88">
        <f t="shared" ref="K1538:K1601" si="75">I1538*J1538</f>
        <v>115</v>
      </c>
      <c r="L1538" s="85"/>
    </row>
    <row r="1539" spans="1:12" hidden="1" x14ac:dyDescent="0.2">
      <c r="A1539" s="84" t="str">
        <f t="shared" si="73"/>
        <v>MarçoSEMANA 5Espetinho 15 cm c/ 100</v>
      </c>
      <c r="B1539" s="85" t="s">
        <v>31</v>
      </c>
      <c r="C1539" s="85" t="s">
        <v>24</v>
      </c>
      <c r="D1539" s="86">
        <v>27</v>
      </c>
      <c r="E1539" s="116" t="str">
        <f t="shared" si="74"/>
        <v>Descartável</v>
      </c>
      <c r="F1539" s="85" t="s">
        <v>1338</v>
      </c>
      <c r="G1539" s="85" t="s">
        <v>331</v>
      </c>
      <c r="H1539" s="85" t="s">
        <v>1114</v>
      </c>
      <c r="I1539" s="85">
        <v>15</v>
      </c>
      <c r="J1539" s="87">
        <v>4</v>
      </c>
      <c r="K1539" s="88">
        <f t="shared" si="75"/>
        <v>60</v>
      </c>
      <c r="L1539" s="85"/>
    </row>
    <row r="1540" spans="1:12" hidden="1" x14ac:dyDescent="0.2">
      <c r="A1540" s="84" t="str">
        <f t="shared" si="73"/>
        <v>MarçoSEMANA 5Suíno - Barriga Suína</v>
      </c>
      <c r="B1540" s="85" t="s">
        <v>31</v>
      </c>
      <c r="C1540" s="85" t="s">
        <v>24</v>
      </c>
      <c r="D1540" s="86">
        <v>28</v>
      </c>
      <c r="E1540" s="116" t="str">
        <f t="shared" si="74"/>
        <v>Carnes</v>
      </c>
      <c r="F1540" s="85" t="s">
        <v>1178</v>
      </c>
      <c r="G1540" s="85" t="s">
        <v>756</v>
      </c>
      <c r="H1540" s="85" t="s">
        <v>1083</v>
      </c>
      <c r="I1540" s="85">
        <f>20</f>
        <v>20</v>
      </c>
      <c r="J1540" s="87">
        <f>218.8/20</f>
        <v>10.940000000000001</v>
      </c>
      <c r="K1540" s="88">
        <f t="shared" si="75"/>
        <v>218.8</v>
      </c>
      <c r="L1540" s="85">
        <v>2498976</v>
      </c>
    </row>
    <row r="1541" spans="1:12" hidden="1" x14ac:dyDescent="0.2">
      <c r="A1541" s="84" t="str">
        <f t="shared" si="73"/>
        <v>MarçoSEMANA 5Pescados - Filé Tilápia Cong.</v>
      </c>
      <c r="B1541" s="85" t="s">
        <v>31</v>
      </c>
      <c r="C1541" s="85" t="s">
        <v>24</v>
      </c>
      <c r="D1541" s="86">
        <v>28</v>
      </c>
      <c r="E1541" s="116" t="str">
        <f t="shared" si="74"/>
        <v>Carnes</v>
      </c>
      <c r="F1541" s="85" t="s">
        <v>1145</v>
      </c>
      <c r="G1541" s="85" t="s">
        <v>613</v>
      </c>
      <c r="H1541" s="85" t="s">
        <v>1083</v>
      </c>
      <c r="I1541" s="85">
        <v>24</v>
      </c>
      <c r="J1541" s="87">
        <v>26.3</v>
      </c>
      <c r="K1541" s="88">
        <f t="shared" si="75"/>
        <v>631.20000000000005</v>
      </c>
      <c r="L1541" s="85">
        <v>61260</v>
      </c>
    </row>
    <row r="1542" spans="1:12" hidden="1" x14ac:dyDescent="0.2">
      <c r="A1542" s="84" t="str">
        <f t="shared" si="73"/>
        <v>MarçoSEMANA 5Gelo em Escamas</v>
      </c>
      <c r="B1542" s="85" t="s">
        <v>31</v>
      </c>
      <c r="C1542" s="85" t="s">
        <v>24</v>
      </c>
      <c r="D1542" s="86">
        <v>28</v>
      </c>
      <c r="E1542" s="116" t="str">
        <f t="shared" si="74"/>
        <v>Mercado</v>
      </c>
      <c r="F1542" s="85" t="s">
        <v>1096</v>
      </c>
      <c r="G1542" s="85" t="s">
        <v>384</v>
      </c>
      <c r="H1542" s="85" t="s">
        <v>1097</v>
      </c>
      <c r="I1542" s="85">
        <v>2</v>
      </c>
      <c r="J1542" s="87">
        <v>7.5</v>
      </c>
      <c r="K1542" s="88">
        <f t="shared" si="75"/>
        <v>15</v>
      </c>
      <c r="L1542" s="85">
        <v>4214</v>
      </c>
    </row>
    <row r="1543" spans="1:12" hidden="1" x14ac:dyDescent="0.2">
      <c r="A1543" s="84" t="str">
        <f t="shared" si="73"/>
        <v>MarçoSEMANA 5Gelo em Cubo</v>
      </c>
      <c r="B1543" s="85" t="s">
        <v>31</v>
      </c>
      <c r="C1543" s="85" t="s">
        <v>24</v>
      </c>
      <c r="D1543" s="86">
        <v>28</v>
      </c>
      <c r="E1543" s="116" t="str">
        <f t="shared" si="74"/>
        <v>Mercado</v>
      </c>
      <c r="F1543" s="85" t="s">
        <v>1096</v>
      </c>
      <c r="G1543" s="85" t="s">
        <v>383</v>
      </c>
      <c r="H1543" s="85" t="s">
        <v>1097</v>
      </c>
      <c r="I1543" s="85">
        <v>3</v>
      </c>
      <c r="J1543" s="87">
        <v>7.5</v>
      </c>
      <c r="K1543" s="88">
        <f t="shared" si="75"/>
        <v>22.5</v>
      </c>
      <c r="L1543" s="85">
        <v>4214</v>
      </c>
    </row>
    <row r="1544" spans="1:12" hidden="1" x14ac:dyDescent="0.2">
      <c r="A1544" s="84" t="str">
        <f t="shared" si="73"/>
        <v>MarçoSEMANA 5Pescados - Lula Calamares</v>
      </c>
      <c r="B1544" s="85" t="s">
        <v>31</v>
      </c>
      <c r="C1544" s="85" t="s">
        <v>24</v>
      </c>
      <c r="D1544" s="86">
        <v>28</v>
      </c>
      <c r="E1544" s="116" t="str">
        <f t="shared" si="74"/>
        <v>Carnes</v>
      </c>
      <c r="F1544" s="85" t="s">
        <v>1104</v>
      </c>
      <c r="G1544" s="85" t="s">
        <v>620</v>
      </c>
      <c r="H1544" s="85" t="s">
        <v>1083</v>
      </c>
      <c r="I1544" s="85">
        <v>10</v>
      </c>
      <c r="J1544" s="87">
        <v>27.9</v>
      </c>
      <c r="K1544" s="88">
        <f t="shared" si="75"/>
        <v>279</v>
      </c>
      <c r="L1544" s="85">
        <v>1315859</v>
      </c>
    </row>
    <row r="1545" spans="1:12" hidden="1" x14ac:dyDescent="0.2">
      <c r="A1545" s="84" t="str">
        <f t="shared" si="73"/>
        <v>MarçoSEMANA 5Carnes - File de Costela (Noix)</v>
      </c>
      <c r="B1545" s="85" t="s">
        <v>31</v>
      </c>
      <c r="C1545" s="85" t="s">
        <v>24</v>
      </c>
      <c r="D1545" s="86">
        <v>28</v>
      </c>
      <c r="E1545" s="116" t="str">
        <f t="shared" si="74"/>
        <v>Carnes</v>
      </c>
      <c r="F1545" s="85" t="s">
        <v>1101</v>
      </c>
      <c r="G1545" s="85" t="s">
        <v>939</v>
      </c>
      <c r="H1545" s="85" t="s">
        <v>1083</v>
      </c>
      <c r="I1545" s="85">
        <v>38.56</v>
      </c>
      <c r="J1545" s="87">
        <v>23.8</v>
      </c>
      <c r="K1545" s="88">
        <f t="shared" si="75"/>
        <v>917.72800000000007</v>
      </c>
      <c r="L1545" s="85" t="s">
        <v>1339</v>
      </c>
    </row>
    <row r="1546" spans="1:12" x14ac:dyDescent="0.25">
      <c r="A1546" s="84" t="str">
        <f t="shared" si="73"/>
        <v xml:space="preserve">MarçoSEMANA 5Abacaxi </v>
      </c>
      <c r="B1546" s="85" t="s">
        <v>31</v>
      </c>
      <c r="C1546" s="85" t="s">
        <v>24</v>
      </c>
      <c r="D1546" s="86">
        <v>28</v>
      </c>
      <c r="E1546" s="116" t="str">
        <f t="shared" si="74"/>
        <v>Hortifruti</v>
      </c>
      <c r="F1546" s="85" t="s">
        <v>1111</v>
      </c>
      <c r="G1546" s="85" t="s">
        <v>65</v>
      </c>
      <c r="H1546" s="85" t="s">
        <v>1083</v>
      </c>
      <c r="I1546" s="85">
        <v>10</v>
      </c>
      <c r="J1546" s="87">
        <v>3.25</v>
      </c>
      <c r="K1546" s="88">
        <f t="shared" si="75"/>
        <v>32.5</v>
      </c>
      <c r="L1546" s="85">
        <v>19841</v>
      </c>
    </row>
    <row r="1547" spans="1:12" x14ac:dyDescent="0.25">
      <c r="A1547" s="84" t="str">
        <f t="shared" si="73"/>
        <v>MarçoSEMANA 5Abobora</v>
      </c>
      <c r="B1547" s="85" t="s">
        <v>31</v>
      </c>
      <c r="C1547" s="85" t="s">
        <v>24</v>
      </c>
      <c r="D1547" s="86">
        <v>28</v>
      </c>
      <c r="E1547" s="116" t="str">
        <f t="shared" si="74"/>
        <v>Hortifruti</v>
      </c>
      <c r="F1547" s="85" t="s">
        <v>1111</v>
      </c>
      <c r="G1547" s="85" t="s">
        <v>68</v>
      </c>
      <c r="H1547" s="85" t="s">
        <v>1083</v>
      </c>
      <c r="I1547" s="85">
        <v>5</v>
      </c>
      <c r="J1547" s="87">
        <v>1.99</v>
      </c>
      <c r="K1547" s="88">
        <f t="shared" si="75"/>
        <v>9.9499999999999993</v>
      </c>
      <c r="L1547" s="85">
        <v>19841</v>
      </c>
    </row>
    <row r="1548" spans="1:12" x14ac:dyDescent="0.25">
      <c r="A1548" s="84" t="str">
        <f t="shared" si="73"/>
        <v>MarçoSEMANA 5Acelga</v>
      </c>
      <c r="B1548" s="85" t="s">
        <v>31</v>
      </c>
      <c r="C1548" s="85" t="s">
        <v>24</v>
      </c>
      <c r="D1548" s="86">
        <v>28</v>
      </c>
      <c r="E1548" s="116" t="str">
        <f t="shared" si="74"/>
        <v>Hortifruti</v>
      </c>
      <c r="F1548" s="85" t="s">
        <v>1111</v>
      </c>
      <c r="G1548" s="85" t="s">
        <v>75</v>
      </c>
      <c r="H1548" s="85" t="s">
        <v>1083</v>
      </c>
      <c r="I1548" s="85">
        <v>1</v>
      </c>
      <c r="J1548" s="87">
        <v>2.25</v>
      </c>
      <c r="K1548" s="88">
        <f t="shared" si="75"/>
        <v>2.25</v>
      </c>
      <c r="L1548" s="85">
        <v>19841</v>
      </c>
    </row>
    <row r="1549" spans="1:12" x14ac:dyDescent="0.25">
      <c r="A1549" s="84" t="str">
        <f t="shared" si="73"/>
        <v>MarçoSEMANA 5Cebola</v>
      </c>
      <c r="B1549" s="85" t="s">
        <v>31</v>
      </c>
      <c r="C1549" s="85" t="s">
        <v>24</v>
      </c>
      <c r="D1549" s="86">
        <v>28</v>
      </c>
      <c r="E1549" s="116" t="str">
        <f t="shared" si="74"/>
        <v>Hortifruti</v>
      </c>
      <c r="F1549" s="85" t="s">
        <v>1111</v>
      </c>
      <c r="G1549" s="85" t="s">
        <v>241</v>
      </c>
      <c r="H1549" s="85" t="s">
        <v>1083</v>
      </c>
      <c r="I1549" s="85">
        <v>19.82</v>
      </c>
      <c r="J1549" s="87">
        <f>46.5/19.82</f>
        <v>2.3461150353178608</v>
      </c>
      <c r="K1549" s="88">
        <f t="shared" si="75"/>
        <v>46.5</v>
      </c>
      <c r="L1549" s="85">
        <v>19841</v>
      </c>
    </row>
    <row r="1550" spans="1:12" x14ac:dyDescent="0.25">
      <c r="A1550" s="84" t="str">
        <f t="shared" si="73"/>
        <v>MarçoSEMANA 5Chicória</v>
      </c>
      <c r="B1550" s="85" t="s">
        <v>31</v>
      </c>
      <c r="C1550" s="85" t="s">
        <v>24</v>
      </c>
      <c r="D1550" s="86">
        <v>28</v>
      </c>
      <c r="E1550" s="116" t="str">
        <f t="shared" si="74"/>
        <v>Hortifruti</v>
      </c>
      <c r="F1550" s="85" t="s">
        <v>1111</v>
      </c>
      <c r="G1550" s="85" t="s">
        <v>275</v>
      </c>
      <c r="H1550" s="85" t="s">
        <v>1083</v>
      </c>
      <c r="I1550" s="85">
        <v>1.5</v>
      </c>
      <c r="J1550" s="87">
        <v>3.9</v>
      </c>
      <c r="K1550" s="88">
        <f t="shared" si="75"/>
        <v>5.85</v>
      </c>
      <c r="L1550" s="85">
        <v>19841</v>
      </c>
    </row>
    <row r="1551" spans="1:12" x14ac:dyDescent="0.25">
      <c r="A1551" s="84" t="str">
        <f t="shared" si="73"/>
        <v>MarçoSEMANA 5Chuchu</v>
      </c>
      <c r="B1551" s="85" t="s">
        <v>31</v>
      </c>
      <c r="C1551" s="85" t="s">
        <v>24</v>
      </c>
      <c r="D1551" s="86">
        <v>28</v>
      </c>
      <c r="E1551" s="116" t="str">
        <f t="shared" si="74"/>
        <v>Hortifruti</v>
      </c>
      <c r="F1551" s="85" t="s">
        <v>1111</v>
      </c>
      <c r="G1551" s="85" t="s">
        <v>280</v>
      </c>
      <c r="H1551" s="85" t="s">
        <v>1083</v>
      </c>
      <c r="I1551" s="85">
        <v>16.96</v>
      </c>
      <c r="J1551" s="87">
        <f>15/16.96</f>
        <v>0.88443396226415094</v>
      </c>
      <c r="K1551" s="88">
        <f t="shared" si="75"/>
        <v>15</v>
      </c>
      <c r="L1551" s="85">
        <v>19841</v>
      </c>
    </row>
    <row r="1552" spans="1:12" x14ac:dyDescent="0.25">
      <c r="A1552" s="84" t="str">
        <f t="shared" si="73"/>
        <v>MarçoSEMANA 5Côco Verde</v>
      </c>
      <c r="B1552" s="85" t="s">
        <v>31</v>
      </c>
      <c r="C1552" s="85" t="s">
        <v>24</v>
      </c>
      <c r="D1552" s="86">
        <v>28</v>
      </c>
      <c r="E1552" s="116" t="str">
        <f t="shared" si="74"/>
        <v>Hortifruti</v>
      </c>
      <c r="F1552" s="85" t="s">
        <v>1111</v>
      </c>
      <c r="G1552" s="85" t="s">
        <v>288</v>
      </c>
      <c r="H1552" s="85" t="s">
        <v>1090</v>
      </c>
      <c r="I1552" s="85">
        <v>15</v>
      </c>
      <c r="J1552" s="87">
        <v>2.4500000000000002</v>
      </c>
      <c r="K1552" s="88">
        <f t="shared" si="75"/>
        <v>36.75</v>
      </c>
      <c r="L1552" s="85">
        <v>19841</v>
      </c>
    </row>
    <row r="1553" spans="1:12" x14ac:dyDescent="0.25">
      <c r="A1553" s="84" t="str">
        <f t="shared" si="73"/>
        <v>MarçoSEMANA 5Couve Flor</v>
      </c>
      <c r="B1553" s="85" t="s">
        <v>31</v>
      </c>
      <c r="C1553" s="85" t="s">
        <v>24</v>
      </c>
      <c r="D1553" s="86">
        <v>28</v>
      </c>
      <c r="E1553" s="116" t="str">
        <f t="shared" si="74"/>
        <v>Hortifruti</v>
      </c>
      <c r="F1553" s="85" t="s">
        <v>1111</v>
      </c>
      <c r="G1553" s="85" t="s">
        <v>306</v>
      </c>
      <c r="H1553" s="85" t="s">
        <v>1083</v>
      </c>
      <c r="I1553" s="85">
        <v>6</v>
      </c>
      <c r="J1553" s="87">
        <v>6</v>
      </c>
      <c r="K1553" s="88">
        <f t="shared" si="75"/>
        <v>36</v>
      </c>
      <c r="L1553" s="85">
        <v>19841</v>
      </c>
    </row>
    <row r="1554" spans="1:12" x14ac:dyDescent="0.25">
      <c r="A1554" s="84" t="str">
        <f t="shared" si="73"/>
        <v>MarçoSEMANA 5Kiwi</v>
      </c>
      <c r="B1554" s="85" t="s">
        <v>31</v>
      </c>
      <c r="C1554" s="85" t="s">
        <v>24</v>
      </c>
      <c r="D1554" s="86">
        <v>28</v>
      </c>
      <c r="E1554" s="116" t="str">
        <f t="shared" si="74"/>
        <v>Hortifruti</v>
      </c>
      <c r="F1554" s="85" t="s">
        <v>1111</v>
      </c>
      <c r="G1554" s="85" t="s">
        <v>453</v>
      </c>
      <c r="H1554" s="85" t="s">
        <v>1083</v>
      </c>
      <c r="I1554" s="85">
        <v>0.5</v>
      </c>
      <c r="J1554" s="87">
        <v>11.5</v>
      </c>
      <c r="K1554" s="88">
        <f t="shared" si="75"/>
        <v>5.75</v>
      </c>
      <c r="L1554" s="85">
        <v>19841</v>
      </c>
    </row>
    <row r="1555" spans="1:12" x14ac:dyDescent="0.25">
      <c r="A1555" s="84" t="str">
        <f t="shared" si="73"/>
        <v>MarçoSEMANA 5Melância</v>
      </c>
      <c r="B1555" s="85" t="s">
        <v>31</v>
      </c>
      <c r="C1555" s="85" t="s">
        <v>24</v>
      </c>
      <c r="D1555" s="86">
        <v>28</v>
      </c>
      <c r="E1555" s="116" t="str">
        <f t="shared" si="74"/>
        <v>Hortifruti</v>
      </c>
      <c r="F1555" s="85" t="s">
        <v>1111</v>
      </c>
      <c r="G1555" s="85" t="s">
        <v>516</v>
      </c>
      <c r="H1555" s="85" t="s">
        <v>1083</v>
      </c>
      <c r="I1555" s="85">
        <v>10</v>
      </c>
      <c r="J1555" s="87">
        <v>1.52</v>
      </c>
      <c r="K1555" s="88">
        <f t="shared" si="75"/>
        <v>15.2</v>
      </c>
      <c r="L1555" s="85">
        <v>19841</v>
      </c>
    </row>
    <row r="1556" spans="1:12" x14ac:dyDescent="0.25">
      <c r="A1556" s="84" t="str">
        <f t="shared" si="73"/>
        <v>MarçoSEMANA 5Rúcula</v>
      </c>
      <c r="B1556" s="85" t="s">
        <v>31</v>
      </c>
      <c r="C1556" s="85" t="s">
        <v>24</v>
      </c>
      <c r="D1556" s="86">
        <v>28</v>
      </c>
      <c r="E1556" s="116" t="str">
        <f t="shared" si="74"/>
        <v>Hortifruti</v>
      </c>
      <c r="F1556" s="85" t="s">
        <v>1111</v>
      </c>
      <c r="G1556" s="85" t="s">
        <v>705</v>
      </c>
      <c r="H1556" s="85" t="s">
        <v>1083</v>
      </c>
      <c r="I1556" s="85">
        <v>3</v>
      </c>
      <c r="J1556" s="87">
        <v>8</v>
      </c>
      <c r="K1556" s="88">
        <f t="shared" si="75"/>
        <v>24</v>
      </c>
      <c r="L1556" s="85">
        <v>19841</v>
      </c>
    </row>
    <row r="1557" spans="1:12" hidden="1" x14ac:dyDescent="0.2">
      <c r="A1557" s="84" t="str">
        <f t="shared" si="73"/>
        <v>MarçoSEMANA 5Salsa Crespa Sushi</v>
      </c>
      <c r="B1557" s="85" t="s">
        <v>31</v>
      </c>
      <c r="C1557" s="85" t="s">
        <v>24</v>
      </c>
      <c r="D1557" s="86">
        <v>28</v>
      </c>
      <c r="E1557" s="116" t="str">
        <f t="shared" si="74"/>
        <v>Sushi</v>
      </c>
      <c r="F1557" s="85" t="s">
        <v>1111</v>
      </c>
      <c r="G1557" s="85" t="s">
        <v>730</v>
      </c>
      <c r="H1557" s="85" t="s">
        <v>1083</v>
      </c>
      <c r="I1557" s="85">
        <v>0.1</v>
      </c>
      <c r="J1557" s="87">
        <v>13</v>
      </c>
      <c r="K1557" s="88">
        <f t="shared" si="75"/>
        <v>1.3</v>
      </c>
      <c r="L1557" s="85">
        <v>19841</v>
      </c>
    </row>
    <row r="1558" spans="1:12" hidden="1" x14ac:dyDescent="0.2">
      <c r="A1558" s="84" t="str">
        <f t="shared" si="73"/>
        <v>MarçoSEMANA 5Creme de Leite Culinário 20% Bd 10 Lt</v>
      </c>
      <c r="B1558" s="85" t="s">
        <v>31</v>
      </c>
      <c r="C1558" s="85" t="s">
        <v>24</v>
      </c>
      <c r="D1558" s="86">
        <v>28</v>
      </c>
      <c r="E1558" s="116" t="str">
        <f t="shared" si="74"/>
        <v>Laticínios</v>
      </c>
      <c r="F1558" s="85" t="s">
        <v>1152</v>
      </c>
      <c r="G1558" s="85" t="s">
        <v>315</v>
      </c>
      <c r="H1558" s="85" t="s">
        <v>1088</v>
      </c>
      <c r="I1558" s="85">
        <v>2</v>
      </c>
      <c r="J1558" s="87">
        <v>142.44999999999999</v>
      </c>
      <c r="K1558" s="88">
        <f t="shared" si="75"/>
        <v>284.89999999999998</v>
      </c>
      <c r="L1558" s="85" t="s">
        <v>1340</v>
      </c>
    </row>
    <row r="1559" spans="1:12" hidden="1" x14ac:dyDescent="0.2">
      <c r="A1559" s="84" t="str">
        <f t="shared" si="73"/>
        <v>MarçoSEMANA 5Queijo Requeijão BD 3,6 Kg</v>
      </c>
      <c r="B1559" s="85" t="s">
        <v>31</v>
      </c>
      <c r="C1559" s="85" t="s">
        <v>24</v>
      </c>
      <c r="D1559" s="86">
        <v>28</v>
      </c>
      <c r="E1559" s="116" t="str">
        <f t="shared" si="74"/>
        <v>Laticínios</v>
      </c>
      <c r="F1559" s="85" t="s">
        <v>1152</v>
      </c>
      <c r="G1559" s="85" t="s">
        <v>687</v>
      </c>
      <c r="H1559" s="85" t="s">
        <v>1088</v>
      </c>
      <c r="I1559" s="85">
        <v>1</v>
      </c>
      <c r="J1559" s="87">
        <v>74.400000000000006</v>
      </c>
      <c r="K1559" s="88">
        <f t="shared" si="75"/>
        <v>74.400000000000006</v>
      </c>
      <c r="L1559" s="85" t="s">
        <v>1340</v>
      </c>
    </row>
    <row r="1560" spans="1:12" x14ac:dyDescent="0.25">
      <c r="A1560" s="84" t="str">
        <f t="shared" si="73"/>
        <v xml:space="preserve">MarçoSEMANA 5Abobrinha </v>
      </c>
      <c r="B1560" s="85" t="s">
        <v>31</v>
      </c>
      <c r="C1560" s="85" t="s">
        <v>24</v>
      </c>
      <c r="D1560" s="86">
        <v>28</v>
      </c>
      <c r="E1560" s="116" t="str">
        <f t="shared" si="74"/>
        <v>Hortifruti</v>
      </c>
      <c r="F1560" s="85" t="s">
        <v>1110</v>
      </c>
      <c r="G1560" s="85" t="s">
        <v>72</v>
      </c>
      <c r="H1560" s="85" t="s">
        <v>1083</v>
      </c>
      <c r="I1560" s="85">
        <v>16.2</v>
      </c>
      <c r="J1560" s="87">
        <f>40/16.2</f>
        <v>2.4691358024691361</v>
      </c>
      <c r="K1560" s="88">
        <f t="shared" si="75"/>
        <v>40</v>
      </c>
      <c r="L1560" s="85">
        <v>3581</v>
      </c>
    </row>
    <row r="1561" spans="1:12" x14ac:dyDescent="0.25">
      <c r="A1561" s="84" t="str">
        <f t="shared" si="73"/>
        <v>MarçoSEMANA 5Batata Doce</v>
      </c>
      <c r="B1561" s="85" t="s">
        <v>31</v>
      </c>
      <c r="C1561" s="85" t="s">
        <v>24</v>
      </c>
      <c r="D1561" s="86">
        <v>28</v>
      </c>
      <c r="E1561" s="116" t="str">
        <f t="shared" si="74"/>
        <v>Hortifruti</v>
      </c>
      <c r="F1561" s="85" t="s">
        <v>1110</v>
      </c>
      <c r="G1561" s="85" t="s">
        <v>170</v>
      </c>
      <c r="H1561" s="85" t="s">
        <v>1083</v>
      </c>
      <c r="I1561" s="85">
        <v>19.96</v>
      </c>
      <c r="J1561" s="87">
        <f>36/19.96</f>
        <v>1.8036072144288577</v>
      </c>
      <c r="K1561" s="88">
        <f t="shared" si="75"/>
        <v>36</v>
      </c>
      <c r="L1561" s="85">
        <v>3581</v>
      </c>
    </row>
    <row r="1562" spans="1:12" x14ac:dyDescent="0.25">
      <c r="A1562" s="84" t="str">
        <f t="shared" si="73"/>
        <v>MarçoSEMANA 5Batata Calabresa</v>
      </c>
      <c r="B1562" s="85" t="s">
        <v>31</v>
      </c>
      <c r="C1562" s="85" t="s">
        <v>24</v>
      </c>
      <c r="D1562" s="86">
        <v>28</v>
      </c>
      <c r="E1562" s="116" t="str">
        <f t="shared" si="74"/>
        <v>Hortifruti</v>
      </c>
      <c r="F1562" s="85" t="s">
        <v>1110</v>
      </c>
      <c r="G1562" s="85" t="s">
        <v>901</v>
      </c>
      <c r="H1562" s="85" t="s">
        <v>1083</v>
      </c>
      <c r="I1562" s="85">
        <v>3</v>
      </c>
      <c r="J1562" s="87">
        <v>4</v>
      </c>
      <c r="K1562" s="88">
        <f t="shared" si="75"/>
        <v>12</v>
      </c>
      <c r="L1562" s="85">
        <v>3581</v>
      </c>
    </row>
    <row r="1563" spans="1:12" x14ac:dyDescent="0.25">
      <c r="A1563" s="84" t="str">
        <f t="shared" si="73"/>
        <v>MarçoSEMANA 5Berinjela</v>
      </c>
      <c r="B1563" s="85" t="s">
        <v>31</v>
      </c>
      <c r="C1563" s="85" t="s">
        <v>24</v>
      </c>
      <c r="D1563" s="86">
        <v>28</v>
      </c>
      <c r="E1563" s="116" t="str">
        <f t="shared" si="74"/>
        <v>Hortifruti</v>
      </c>
      <c r="F1563" s="85" t="s">
        <v>1110</v>
      </c>
      <c r="G1563" s="85" t="s">
        <v>178</v>
      </c>
      <c r="H1563" s="85" t="s">
        <v>1083</v>
      </c>
      <c r="I1563" s="85">
        <v>11</v>
      </c>
      <c r="J1563" s="87">
        <f>18/11</f>
        <v>1.6363636363636365</v>
      </c>
      <c r="K1563" s="88">
        <f t="shared" si="75"/>
        <v>18</v>
      </c>
      <c r="L1563" s="85">
        <v>3581</v>
      </c>
    </row>
    <row r="1564" spans="1:12" x14ac:dyDescent="0.25">
      <c r="A1564" s="84" t="str">
        <f t="shared" si="73"/>
        <v>MarçoSEMANA 5Cebola Roxa</v>
      </c>
      <c r="B1564" s="85" t="s">
        <v>31</v>
      </c>
      <c r="C1564" s="85" t="s">
        <v>24</v>
      </c>
      <c r="D1564" s="86">
        <v>28</v>
      </c>
      <c r="E1564" s="116" t="str">
        <f t="shared" si="74"/>
        <v>Hortifruti</v>
      </c>
      <c r="F1564" s="85" t="s">
        <v>1110</v>
      </c>
      <c r="G1564" s="85" t="s">
        <v>244</v>
      </c>
      <c r="H1564" s="85" t="s">
        <v>1083</v>
      </c>
      <c r="I1564" s="85">
        <v>3</v>
      </c>
      <c r="J1564" s="87">
        <v>4</v>
      </c>
      <c r="K1564" s="88">
        <f t="shared" si="75"/>
        <v>12</v>
      </c>
      <c r="L1564" s="85">
        <v>3581</v>
      </c>
    </row>
    <row r="1565" spans="1:12" x14ac:dyDescent="0.25">
      <c r="A1565" s="84" t="str">
        <f t="shared" si="73"/>
        <v>MarçoSEMANA 5Pepino Japonês</v>
      </c>
      <c r="B1565" s="85" t="s">
        <v>31</v>
      </c>
      <c r="C1565" s="85" t="s">
        <v>24</v>
      </c>
      <c r="D1565" s="86">
        <v>28</v>
      </c>
      <c r="E1565" s="116" t="str">
        <f t="shared" si="74"/>
        <v>Hortifruti</v>
      </c>
      <c r="F1565" s="85" t="s">
        <v>1110</v>
      </c>
      <c r="G1565" s="85" t="s">
        <v>576</v>
      </c>
      <c r="H1565" s="85" t="s">
        <v>1083</v>
      </c>
      <c r="I1565" s="85">
        <f>17.74-1.238</f>
        <v>16.501999999999999</v>
      </c>
      <c r="J1565" s="87">
        <f>45/17.74</f>
        <v>2.5366403607666292</v>
      </c>
      <c r="K1565" s="88">
        <f t="shared" si="75"/>
        <v>41.859639233370913</v>
      </c>
      <c r="L1565" s="85">
        <v>3581</v>
      </c>
    </row>
    <row r="1566" spans="1:12" x14ac:dyDescent="0.25">
      <c r="A1566" s="84" t="str">
        <f t="shared" si="73"/>
        <v>MarçoSEMANA 5Pimentão Verde</v>
      </c>
      <c r="B1566" s="85" t="s">
        <v>31</v>
      </c>
      <c r="C1566" s="85" t="s">
        <v>24</v>
      </c>
      <c r="D1566" s="86">
        <v>28</v>
      </c>
      <c r="E1566" s="116" t="str">
        <f t="shared" si="74"/>
        <v>Hortifruti</v>
      </c>
      <c r="F1566" s="85" t="s">
        <v>1110</v>
      </c>
      <c r="G1566" s="85" t="s">
        <v>665</v>
      </c>
      <c r="H1566" s="85" t="s">
        <v>1083</v>
      </c>
      <c r="I1566" s="85">
        <v>1</v>
      </c>
      <c r="J1566" s="87">
        <v>4</v>
      </c>
      <c r="K1566" s="88">
        <f t="shared" si="75"/>
        <v>4</v>
      </c>
      <c r="L1566" s="85">
        <v>3581</v>
      </c>
    </row>
    <row r="1567" spans="1:12" x14ac:dyDescent="0.25">
      <c r="A1567" s="84" t="str">
        <f t="shared" si="73"/>
        <v>MarçoSEMANA 5Tomate Cereja</v>
      </c>
      <c r="B1567" s="85" t="s">
        <v>31</v>
      </c>
      <c r="C1567" s="85" t="s">
        <v>24</v>
      </c>
      <c r="D1567" s="86">
        <v>28</v>
      </c>
      <c r="E1567" s="116" t="str">
        <f t="shared" si="74"/>
        <v>Hortifruti</v>
      </c>
      <c r="F1567" s="85" t="s">
        <v>1110</v>
      </c>
      <c r="G1567" s="85" t="s">
        <v>789</v>
      </c>
      <c r="H1567" s="85" t="s">
        <v>1083</v>
      </c>
      <c r="I1567" s="85">
        <v>3</v>
      </c>
      <c r="J1567" s="87">
        <v>7</v>
      </c>
      <c r="K1567" s="88">
        <f t="shared" si="75"/>
        <v>21</v>
      </c>
      <c r="L1567" s="85">
        <v>3581</v>
      </c>
    </row>
    <row r="1568" spans="1:12" x14ac:dyDescent="0.25">
      <c r="A1568" s="84" t="str">
        <f t="shared" si="73"/>
        <v>MarçoSEMANA 5Vagem Macarrão</v>
      </c>
      <c r="B1568" s="85" t="s">
        <v>31</v>
      </c>
      <c r="C1568" s="85" t="s">
        <v>24</v>
      </c>
      <c r="D1568" s="86">
        <v>28</v>
      </c>
      <c r="E1568" s="116" t="str">
        <f t="shared" si="74"/>
        <v>Hortifruti</v>
      </c>
      <c r="F1568" s="85" t="s">
        <v>1110</v>
      </c>
      <c r="G1568" s="85" t="s">
        <v>831</v>
      </c>
      <c r="H1568" s="85" t="s">
        <v>1083</v>
      </c>
      <c r="I1568" s="85">
        <v>2.5</v>
      </c>
      <c r="J1568" s="87">
        <v>8</v>
      </c>
      <c r="K1568" s="88">
        <f t="shared" si="75"/>
        <v>20</v>
      </c>
      <c r="L1568" s="85">
        <v>3581</v>
      </c>
    </row>
    <row r="1569" spans="1:12" x14ac:dyDescent="0.25">
      <c r="A1569" s="84" t="str">
        <f t="shared" si="73"/>
        <v>MarçoSEMANA 5Aipo</v>
      </c>
      <c r="B1569" s="85" t="s">
        <v>31</v>
      </c>
      <c r="C1569" s="85" t="s">
        <v>24</v>
      </c>
      <c r="D1569" s="86">
        <v>28</v>
      </c>
      <c r="E1569" s="116" t="str">
        <f t="shared" si="74"/>
        <v>Hortifruti</v>
      </c>
      <c r="F1569" s="85" t="s">
        <v>1110</v>
      </c>
      <c r="G1569" s="85" t="s">
        <v>96</v>
      </c>
      <c r="H1569" s="85" t="s">
        <v>1083</v>
      </c>
      <c r="I1569" s="85">
        <v>1</v>
      </c>
      <c r="J1569" s="87">
        <v>4</v>
      </c>
      <c r="K1569" s="88">
        <f t="shared" si="75"/>
        <v>4</v>
      </c>
      <c r="L1569" s="85">
        <v>3581</v>
      </c>
    </row>
    <row r="1570" spans="1:12" x14ac:dyDescent="0.25">
      <c r="A1570" s="84" t="str">
        <f t="shared" si="73"/>
        <v xml:space="preserve">MarçoSEMANA 5Alface Americana    </v>
      </c>
      <c r="B1570" s="85" t="s">
        <v>31</v>
      </c>
      <c r="C1570" s="85" t="s">
        <v>24</v>
      </c>
      <c r="D1570" s="86">
        <v>28</v>
      </c>
      <c r="E1570" s="116" t="str">
        <f t="shared" si="74"/>
        <v>Hortifruti</v>
      </c>
      <c r="F1570" s="85" t="s">
        <v>1110</v>
      </c>
      <c r="G1570" s="85" t="s">
        <v>102</v>
      </c>
      <c r="H1570" s="85" t="s">
        <v>1083</v>
      </c>
      <c r="I1570" s="85">
        <v>5.44</v>
      </c>
      <c r="J1570" s="87">
        <f>48/5.44</f>
        <v>8.8235294117647047</v>
      </c>
      <c r="K1570" s="88">
        <f t="shared" si="75"/>
        <v>48</v>
      </c>
      <c r="L1570" s="85">
        <v>3581</v>
      </c>
    </row>
    <row r="1571" spans="1:12" x14ac:dyDescent="0.25">
      <c r="A1571" s="84" t="str">
        <f t="shared" si="73"/>
        <v>MarçoSEMANA 5Alface crespa</v>
      </c>
      <c r="B1571" s="85" t="s">
        <v>31</v>
      </c>
      <c r="C1571" s="85" t="s">
        <v>24</v>
      </c>
      <c r="D1571" s="86">
        <v>28</v>
      </c>
      <c r="E1571" s="116" t="str">
        <f t="shared" si="74"/>
        <v>Hortifruti</v>
      </c>
      <c r="F1571" s="85" t="s">
        <v>1110</v>
      </c>
      <c r="G1571" s="85" t="s">
        <v>104</v>
      </c>
      <c r="H1571" s="85" t="s">
        <v>1083</v>
      </c>
      <c r="I1571" s="85">
        <v>1.18</v>
      </c>
      <c r="J1571" s="87">
        <f>12/1.18</f>
        <v>10.16949152542373</v>
      </c>
      <c r="K1571" s="88">
        <f t="shared" si="75"/>
        <v>12.000000000000002</v>
      </c>
      <c r="L1571" s="85">
        <v>3581</v>
      </c>
    </row>
    <row r="1572" spans="1:12" x14ac:dyDescent="0.25">
      <c r="A1572" s="84" t="str">
        <f t="shared" si="73"/>
        <v>MarçoSEMANA 5Alface Roxa</v>
      </c>
      <c r="B1572" s="85" t="s">
        <v>31</v>
      </c>
      <c r="C1572" s="85" t="s">
        <v>24</v>
      </c>
      <c r="D1572" s="86">
        <v>28</v>
      </c>
      <c r="E1572" s="116" t="str">
        <f t="shared" si="74"/>
        <v>Hortifruti</v>
      </c>
      <c r="F1572" s="85" t="s">
        <v>1110</v>
      </c>
      <c r="G1572" s="85" t="s">
        <v>108</v>
      </c>
      <c r="H1572" s="85" t="s">
        <v>1083</v>
      </c>
      <c r="I1572" s="85">
        <v>0.44</v>
      </c>
      <c r="J1572" s="87">
        <f>6/0.44</f>
        <v>13.636363636363637</v>
      </c>
      <c r="K1572" s="88">
        <f t="shared" si="75"/>
        <v>6</v>
      </c>
      <c r="L1572" s="85">
        <v>3581</v>
      </c>
    </row>
    <row r="1573" spans="1:12" x14ac:dyDescent="0.25">
      <c r="A1573" s="84" t="str">
        <f t="shared" si="73"/>
        <v xml:space="preserve">MarçoSEMANA 5Alho Poró </v>
      </c>
      <c r="B1573" s="85" t="s">
        <v>31</v>
      </c>
      <c r="C1573" s="85" t="s">
        <v>24</v>
      </c>
      <c r="D1573" s="86">
        <v>28</v>
      </c>
      <c r="E1573" s="116" t="str">
        <f t="shared" si="74"/>
        <v>Hortifruti</v>
      </c>
      <c r="F1573" s="85" t="s">
        <v>1110</v>
      </c>
      <c r="G1573" s="85" t="s">
        <v>113</v>
      </c>
      <c r="H1573" s="85" t="s">
        <v>1083</v>
      </c>
      <c r="I1573" s="85">
        <v>1</v>
      </c>
      <c r="J1573" s="87">
        <v>9</v>
      </c>
      <c r="K1573" s="88">
        <f t="shared" si="75"/>
        <v>9</v>
      </c>
      <c r="L1573" s="85">
        <v>3581</v>
      </c>
    </row>
    <row r="1574" spans="1:12" x14ac:dyDescent="0.25">
      <c r="A1574" s="84" t="str">
        <f t="shared" si="73"/>
        <v>MarçoSEMANA 5Brócolis Americano</v>
      </c>
      <c r="B1574" s="85" t="s">
        <v>31</v>
      </c>
      <c r="C1574" s="85" t="s">
        <v>24</v>
      </c>
      <c r="D1574" s="86">
        <v>28</v>
      </c>
      <c r="E1574" s="116" t="str">
        <f t="shared" si="74"/>
        <v>Hortifruti</v>
      </c>
      <c r="F1574" s="85" t="s">
        <v>1110</v>
      </c>
      <c r="G1574" s="85" t="s">
        <v>194</v>
      </c>
      <c r="H1574" s="85" t="s">
        <v>1083</v>
      </c>
      <c r="I1574" s="85">
        <v>3</v>
      </c>
      <c r="J1574" s="87">
        <v>12</v>
      </c>
      <c r="K1574" s="88">
        <f t="shared" si="75"/>
        <v>36</v>
      </c>
      <c r="L1574" s="85">
        <v>3581</v>
      </c>
    </row>
    <row r="1575" spans="1:12" x14ac:dyDescent="0.25">
      <c r="A1575" s="84" t="str">
        <f t="shared" si="73"/>
        <v>MarçoSEMANA 5Cebolinha Verde</v>
      </c>
      <c r="B1575" s="85" t="s">
        <v>31</v>
      </c>
      <c r="C1575" s="85" t="s">
        <v>24</v>
      </c>
      <c r="D1575" s="86">
        <v>28</v>
      </c>
      <c r="E1575" s="116" t="str">
        <f t="shared" si="74"/>
        <v>Hortifruti</v>
      </c>
      <c r="F1575" s="85" t="s">
        <v>1110</v>
      </c>
      <c r="G1575" s="85" t="s">
        <v>247</v>
      </c>
      <c r="H1575" s="85" t="s">
        <v>1083</v>
      </c>
      <c r="I1575" s="85">
        <v>0.5</v>
      </c>
      <c r="J1575" s="87">
        <v>7</v>
      </c>
      <c r="K1575" s="88">
        <f t="shared" si="75"/>
        <v>3.5</v>
      </c>
      <c r="L1575" s="85">
        <v>3581</v>
      </c>
    </row>
    <row r="1576" spans="1:12" x14ac:dyDescent="0.25">
      <c r="A1576" s="84" t="str">
        <f t="shared" si="73"/>
        <v>MarçoSEMANA 5Coentro</v>
      </c>
      <c r="B1576" s="85" t="s">
        <v>31</v>
      </c>
      <c r="C1576" s="85" t="s">
        <v>24</v>
      </c>
      <c r="D1576" s="86">
        <v>28</v>
      </c>
      <c r="E1576" s="116" t="str">
        <f t="shared" si="74"/>
        <v>Hortifruti</v>
      </c>
      <c r="F1576" s="85" t="s">
        <v>1110</v>
      </c>
      <c r="G1576" s="85" t="s">
        <v>289</v>
      </c>
      <c r="H1576" s="85" t="s">
        <v>1083</v>
      </c>
      <c r="I1576" s="85">
        <v>0.3</v>
      </c>
      <c r="J1576" s="87">
        <v>25</v>
      </c>
      <c r="K1576" s="88">
        <f t="shared" si="75"/>
        <v>7.5</v>
      </c>
      <c r="L1576" s="85">
        <v>3581</v>
      </c>
    </row>
    <row r="1577" spans="1:12" x14ac:dyDescent="0.25">
      <c r="A1577" s="84" t="str">
        <f t="shared" si="73"/>
        <v>MarçoSEMANA 5Espinafre</v>
      </c>
      <c r="B1577" s="85" t="s">
        <v>31</v>
      </c>
      <c r="C1577" s="85" t="s">
        <v>24</v>
      </c>
      <c r="D1577" s="86">
        <v>28</v>
      </c>
      <c r="E1577" s="116" t="str">
        <f t="shared" si="74"/>
        <v>Hortifruti</v>
      </c>
      <c r="F1577" s="85" t="s">
        <v>1110</v>
      </c>
      <c r="G1577" s="85" t="s">
        <v>332</v>
      </c>
      <c r="H1577" s="85" t="s">
        <v>1083</v>
      </c>
      <c r="I1577" s="85">
        <v>3</v>
      </c>
      <c r="J1577" s="87">
        <v>6</v>
      </c>
      <c r="K1577" s="88">
        <f t="shared" si="75"/>
        <v>18</v>
      </c>
      <c r="L1577" s="85">
        <v>3581</v>
      </c>
    </row>
    <row r="1578" spans="1:12" x14ac:dyDescent="0.25">
      <c r="A1578" s="84" t="str">
        <f t="shared" si="73"/>
        <v>MarçoSEMANA 5Hortelã</v>
      </c>
      <c r="B1578" s="85" t="s">
        <v>31</v>
      </c>
      <c r="C1578" s="85" t="s">
        <v>24</v>
      </c>
      <c r="D1578" s="86">
        <v>28</v>
      </c>
      <c r="E1578" s="116" t="str">
        <f t="shared" si="74"/>
        <v>Hortifruti</v>
      </c>
      <c r="F1578" s="85" t="s">
        <v>1110</v>
      </c>
      <c r="G1578" s="85" t="s">
        <v>405</v>
      </c>
      <c r="H1578" s="85" t="s">
        <v>1083</v>
      </c>
      <c r="I1578" s="85">
        <v>0.3</v>
      </c>
      <c r="J1578" s="87">
        <v>4</v>
      </c>
      <c r="K1578" s="88">
        <f t="shared" si="75"/>
        <v>1.2</v>
      </c>
      <c r="L1578" s="85">
        <v>3581</v>
      </c>
    </row>
    <row r="1579" spans="1:12" hidden="1" x14ac:dyDescent="0.2">
      <c r="A1579" s="84" t="str">
        <f t="shared" si="73"/>
        <v>MarçoSEMANA 5Nabo Japonês Sushi</v>
      </c>
      <c r="B1579" s="85" t="s">
        <v>31</v>
      </c>
      <c r="C1579" s="85" t="s">
        <v>24</v>
      </c>
      <c r="D1579" s="86">
        <v>28</v>
      </c>
      <c r="E1579" s="116" t="str">
        <f t="shared" si="74"/>
        <v>Sushi</v>
      </c>
      <c r="F1579" s="85" t="s">
        <v>1110</v>
      </c>
      <c r="G1579" s="85" t="s">
        <v>536</v>
      </c>
      <c r="H1579" s="85" t="s">
        <v>1083</v>
      </c>
      <c r="I1579" s="85">
        <v>1</v>
      </c>
      <c r="J1579" s="87">
        <v>7</v>
      </c>
      <c r="K1579" s="88">
        <f t="shared" si="75"/>
        <v>7</v>
      </c>
      <c r="L1579" s="85">
        <v>3581</v>
      </c>
    </row>
    <row r="1580" spans="1:12" x14ac:dyDescent="0.25">
      <c r="A1580" s="84" t="str">
        <f t="shared" si="73"/>
        <v>MarçoSEMANA 5Broto de Feijão</v>
      </c>
      <c r="B1580" s="85" t="s">
        <v>31</v>
      </c>
      <c r="C1580" s="85" t="s">
        <v>24</v>
      </c>
      <c r="D1580" s="86">
        <v>28</v>
      </c>
      <c r="E1580" s="116" t="str">
        <f t="shared" si="74"/>
        <v>Hortifruti</v>
      </c>
      <c r="F1580" s="85" t="s">
        <v>1110</v>
      </c>
      <c r="G1580" s="85" t="s">
        <v>197</v>
      </c>
      <c r="H1580" s="85" t="s">
        <v>1083</v>
      </c>
      <c r="I1580" s="85">
        <v>3</v>
      </c>
      <c r="J1580" s="87">
        <v>14</v>
      </c>
      <c r="K1580" s="88">
        <f t="shared" si="75"/>
        <v>42</v>
      </c>
      <c r="L1580" s="85">
        <v>3581</v>
      </c>
    </row>
    <row r="1581" spans="1:12" x14ac:dyDescent="0.25">
      <c r="A1581" s="84" t="str">
        <f t="shared" si="73"/>
        <v xml:space="preserve">MarçoSEMANA 5Abacate </v>
      </c>
      <c r="B1581" s="85" t="s">
        <v>31</v>
      </c>
      <c r="C1581" s="85" t="s">
        <v>24</v>
      </c>
      <c r="D1581" s="86">
        <v>28</v>
      </c>
      <c r="E1581" s="116" t="str">
        <f t="shared" si="74"/>
        <v>Hortifruti</v>
      </c>
      <c r="F1581" s="85" t="s">
        <v>1110</v>
      </c>
      <c r="G1581" s="85" t="s">
        <v>62</v>
      </c>
      <c r="H1581" s="85" t="s">
        <v>1083</v>
      </c>
      <c r="I1581" s="85">
        <f>9-1</f>
        <v>8</v>
      </c>
      <c r="J1581" s="87">
        <v>6</v>
      </c>
      <c r="K1581" s="88">
        <f t="shared" si="75"/>
        <v>48</v>
      </c>
      <c r="L1581" s="85">
        <v>3581</v>
      </c>
    </row>
    <row r="1582" spans="1:12" x14ac:dyDescent="0.25">
      <c r="A1582" s="84" t="str">
        <f t="shared" si="73"/>
        <v>MarçoSEMANA 5Laranja Pera</v>
      </c>
      <c r="B1582" s="85" t="s">
        <v>31</v>
      </c>
      <c r="C1582" s="85" t="s">
        <v>24</v>
      </c>
      <c r="D1582" s="86">
        <v>28</v>
      </c>
      <c r="E1582" s="116" t="str">
        <f t="shared" si="74"/>
        <v>Hortifruti</v>
      </c>
      <c r="F1582" s="85" t="s">
        <v>1110</v>
      </c>
      <c r="G1582" s="85" t="s">
        <v>456</v>
      </c>
      <c r="H1582" s="85" t="s">
        <v>1083</v>
      </c>
      <c r="I1582" s="85">
        <v>20.54</v>
      </c>
      <c r="J1582" s="87">
        <f>35/20.54</f>
        <v>1.7039922103213243</v>
      </c>
      <c r="K1582" s="88">
        <f t="shared" si="75"/>
        <v>35</v>
      </c>
      <c r="L1582" s="85">
        <v>3581</v>
      </c>
    </row>
    <row r="1583" spans="1:12" x14ac:dyDescent="0.25">
      <c r="A1583" s="84" t="str">
        <f t="shared" si="73"/>
        <v>MarçoSEMANA 5Manga Palmer</v>
      </c>
      <c r="B1583" s="85" t="s">
        <v>31</v>
      </c>
      <c r="C1583" s="85" t="s">
        <v>24</v>
      </c>
      <c r="D1583" s="86">
        <v>28</v>
      </c>
      <c r="E1583" s="116" t="str">
        <f t="shared" si="74"/>
        <v>Hortifruti</v>
      </c>
      <c r="F1583" s="85" t="s">
        <v>1110</v>
      </c>
      <c r="G1583" s="85" t="s">
        <v>495</v>
      </c>
      <c r="H1583" s="85" t="s">
        <v>1083</v>
      </c>
      <c r="I1583" s="85">
        <v>7</v>
      </c>
      <c r="J1583" s="87">
        <f>25/7</f>
        <v>3.5714285714285716</v>
      </c>
      <c r="K1583" s="88">
        <f t="shared" si="75"/>
        <v>25</v>
      </c>
      <c r="L1583" s="85">
        <v>3581</v>
      </c>
    </row>
    <row r="1584" spans="1:12" hidden="1" x14ac:dyDescent="0.2">
      <c r="A1584" s="84" t="str">
        <f t="shared" si="73"/>
        <v>MarçoSEMANA 5Abacate Sushi</v>
      </c>
      <c r="B1584" s="85" t="s">
        <v>31</v>
      </c>
      <c r="C1584" s="85" t="s">
        <v>24</v>
      </c>
      <c r="D1584" s="86">
        <v>28</v>
      </c>
      <c r="E1584" s="116" t="str">
        <f t="shared" si="74"/>
        <v>Sushi</v>
      </c>
      <c r="F1584" s="85" t="s">
        <v>1110</v>
      </c>
      <c r="G1584" s="85" t="s">
        <v>64</v>
      </c>
      <c r="H1584" s="85" t="s">
        <v>1083</v>
      </c>
      <c r="I1584" s="85">
        <v>1</v>
      </c>
      <c r="J1584" s="87">
        <v>6</v>
      </c>
      <c r="K1584" s="88">
        <f t="shared" si="75"/>
        <v>6</v>
      </c>
      <c r="L1584" s="85">
        <v>3581</v>
      </c>
    </row>
    <row r="1585" spans="1:12" hidden="1" x14ac:dyDescent="0.2">
      <c r="A1585" s="84" t="str">
        <f t="shared" si="73"/>
        <v>MarçoSEMANA 4Cream Cheese</v>
      </c>
      <c r="B1585" s="85" t="s">
        <v>31</v>
      </c>
      <c r="C1585" s="85" t="s">
        <v>23</v>
      </c>
      <c r="D1585" s="86">
        <v>20</v>
      </c>
      <c r="E1585" s="116" t="str">
        <f t="shared" si="74"/>
        <v>Laticínios</v>
      </c>
      <c r="F1585" s="85" t="s">
        <v>1101</v>
      </c>
      <c r="G1585" s="85" t="s">
        <v>310</v>
      </c>
      <c r="H1585" s="85" t="s">
        <v>1083</v>
      </c>
      <c r="I1585" s="85">
        <v>1.5</v>
      </c>
      <c r="J1585" s="87">
        <v>20.329999999999998</v>
      </c>
      <c r="K1585" s="88">
        <f t="shared" si="75"/>
        <v>30.494999999999997</v>
      </c>
      <c r="L1585" s="85" t="s">
        <v>1289</v>
      </c>
    </row>
    <row r="1586" spans="1:12" hidden="1" x14ac:dyDescent="0.2">
      <c r="A1586" s="84" t="str">
        <f t="shared" si="73"/>
        <v>MarçoSEMANA 5Girassol s/ Casca</v>
      </c>
      <c r="B1586" s="85" t="s">
        <v>31</v>
      </c>
      <c r="C1586" s="85" t="s">
        <v>24</v>
      </c>
      <c r="D1586" s="86">
        <v>28</v>
      </c>
      <c r="E1586" s="116" t="str">
        <f t="shared" si="74"/>
        <v>Mercado</v>
      </c>
      <c r="F1586" s="85" t="s">
        <v>1084</v>
      </c>
      <c r="G1586" s="85" t="s">
        <v>1024</v>
      </c>
      <c r="H1586" s="85" t="s">
        <v>1083</v>
      </c>
      <c r="I1586" s="85">
        <v>1.012</v>
      </c>
      <c r="J1586" s="87">
        <v>19.600000000000001</v>
      </c>
      <c r="K1586" s="88">
        <f t="shared" si="75"/>
        <v>19.8352</v>
      </c>
      <c r="L1586" s="85">
        <v>105865</v>
      </c>
    </row>
    <row r="1587" spans="1:12" hidden="1" x14ac:dyDescent="0.2">
      <c r="A1587" s="84" t="str">
        <f t="shared" si="73"/>
        <v>MarçoSEMANA 5Queijo Mozzarela Italiana pcte 880 gr</v>
      </c>
      <c r="B1587" s="85" t="s">
        <v>31</v>
      </c>
      <c r="C1587" s="85" t="s">
        <v>24</v>
      </c>
      <c r="D1587" s="86">
        <v>28</v>
      </c>
      <c r="E1587" s="116" t="str">
        <f t="shared" si="74"/>
        <v>Laticínios</v>
      </c>
      <c r="F1587" s="85" t="s">
        <v>1250</v>
      </c>
      <c r="G1587" s="85" t="s">
        <v>683</v>
      </c>
      <c r="H1587" s="85" t="s">
        <v>1083</v>
      </c>
      <c r="I1587" s="85">
        <f>5*0.88</f>
        <v>4.4000000000000004</v>
      </c>
      <c r="J1587" s="87">
        <f>192.8/4.4</f>
        <v>43.81818181818182</v>
      </c>
      <c r="K1587" s="88">
        <f t="shared" si="75"/>
        <v>192.8</v>
      </c>
      <c r="L1587" s="85">
        <v>56123</v>
      </c>
    </row>
    <row r="1588" spans="1:12" x14ac:dyDescent="0.25">
      <c r="A1588" s="84" t="str">
        <f t="shared" si="73"/>
        <v>MarçoSEMANA 5Aipim</v>
      </c>
      <c r="B1588" s="85" t="s">
        <v>31</v>
      </c>
      <c r="C1588" s="85" t="s">
        <v>24</v>
      </c>
      <c r="D1588" s="86">
        <v>29</v>
      </c>
      <c r="E1588" s="116" t="str">
        <f t="shared" si="74"/>
        <v>Hortifruti</v>
      </c>
      <c r="F1588" s="85" t="s">
        <v>1082</v>
      </c>
      <c r="G1588" s="85" t="s">
        <v>95</v>
      </c>
      <c r="H1588" s="85" t="s">
        <v>1083</v>
      </c>
      <c r="I1588" s="85">
        <v>20</v>
      </c>
      <c r="J1588" s="87">
        <v>5</v>
      </c>
      <c r="K1588" s="88">
        <f t="shared" si="75"/>
        <v>100</v>
      </c>
      <c r="L1588" s="85"/>
    </row>
    <row r="1589" spans="1:12" x14ac:dyDescent="0.25">
      <c r="A1589" s="84" t="str">
        <f t="shared" si="73"/>
        <v xml:space="preserve">MarçoSEMANA 5Alface Americana    </v>
      </c>
      <c r="B1589" s="85" t="s">
        <v>31</v>
      </c>
      <c r="C1589" s="85" t="s">
        <v>24</v>
      </c>
      <c r="D1589" s="86">
        <v>29</v>
      </c>
      <c r="E1589" s="116" t="str">
        <f t="shared" si="74"/>
        <v>Hortifruti</v>
      </c>
      <c r="F1589" s="85" t="s">
        <v>1190</v>
      </c>
      <c r="G1589" s="85" t="s">
        <v>102</v>
      </c>
      <c r="H1589" s="85" t="s">
        <v>1083</v>
      </c>
      <c r="I1589" s="85">
        <v>2.9</v>
      </c>
      <c r="J1589" s="87">
        <f>25.6/2.9</f>
        <v>8.8275862068965516</v>
      </c>
      <c r="K1589" s="88">
        <f t="shared" si="75"/>
        <v>25.599999999999998</v>
      </c>
      <c r="L1589" s="85">
        <v>163993</v>
      </c>
    </row>
    <row r="1590" spans="1:12" x14ac:dyDescent="0.25">
      <c r="A1590" s="84" t="str">
        <f t="shared" si="73"/>
        <v>MarçoSEMANA 5Salsa</v>
      </c>
      <c r="B1590" s="85" t="s">
        <v>31</v>
      </c>
      <c r="C1590" s="85" t="s">
        <v>24</v>
      </c>
      <c r="D1590" s="86">
        <v>29</v>
      </c>
      <c r="E1590" s="116" t="str">
        <f t="shared" si="74"/>
        <v>Hortifruti</v>
      </c>
      <c r="F1590" s="85" t="s">
        <v>1158</v>
      </c>
      <c r="G1590" s="85" t="s">
        <v>728</v>
      </c>
      <c r="H1590" s="85" t="s">
        <v>1083</v>
      </c>
      <c r="I1590" s="85">
        <v>0.7</v>
      </c>
      <c r="J1590" s="87">
        <f>25.19/0.7</f>
        <v>35.985714285714288</v>
      </c>
      <c r="K1590" s="88">
        <f t="shared" si="75"/>
        <v>25.19</v>
      </c>
      <c r="L1590" s="85">
        <v>67849</v>
      </c>
    </row>
    <row r="1591" spans="1:12" x14ac:dyDescent="0.25">
      <c r="A1591" s="84" t="str">
        <f t="shared" si="73"/>
        <v>MarçoSEMANA 5Manjericão</v>
      </c>
      <c r="B1591" s="85" t="s">
        <v>31</v>
      </c>
      <c r="C1591" s="85" t="s">
        <v>24</v>
      </c>
      <c r="D1591" s="86">
        <v>29</v>
      </c>
      <c r="E1591" s="116" t="str">
        <f t="shared" si="74"/>
        <v>Hortifruti</v>
      </c>
      <c r="F1591" s="85" t="s">
        <v>1158</v>
      </c>
      <c r="G1591" s="85" t="s">
        <v>498</v>
      </c>
      <c r="H1591" s="85" t="s">
        <v>1083</v>
      </c>
      <c r="I1591" s="85">
        <v>0.32</v>
      </c>
      <c r="J1591" s="87">
        <f>5.98/0.32</f>
        <v>18.6875</v>
      </c>
      <c r="K1591" s="88">
        <f t="shared" si="75"/>
        <v>5.98</v>
      </c>
      <c r="L1591" s="85">
        <v>67849</v>
      </c>
    </row>
    <row r="1592" spans="1:12" hidden="1" x14ac:dyDescent="0.2">
      <c r="A1592" s="84" t="str">
        <f t="shared" si="73"/>
        <v>MarçoSEMANA 5Pão de Forma</v>
      </c>
      <c r="B1592" s="85" t="s">
        <v>31</v>
      </c>
      <c r="C1592" s="85" t="s">
        <v>24</v>
      </c>
      <c r="D1592" s="86">
        <v>29</v>
      </c>
      <c r="E1592" s="116" t="str">
        <f t="shared" si="74"/>
        <v>Mercado</v>
      </c>
      <c r="F1592" s="85" t="s">
        <v>1118</v>
      </c>
      <c r="G1592" s="85" t="s">
        <v>561</v>
      </c>
      <c r="H1592" s="85" t="s">
        <v>1114</v>
      </c>
      <c r="I1592" s="85">
        <v>2</v>
      </c>
      <c r="J1592" s="87">
        <v>4.8899999999999997</v>
      </c>
      <c r="K1592" s="88">
        <f t="shared" si="75"/>
        <v>9.7799999999999994</v>
      </c>
      <c r="L1592" s="85">
        <v>98231</v>
      </c>
    </row>
    <row r="1593" spans="1:12" hidden="1" x14ac:dyDescent="0.2">
      <c r="A1593" s="84" t="str">
        <f t="shared" si="73"/>
        <v>MarçoSEMANA 5Gelo em Escamas</v>
      </c>
      <c r="B1593" s="85" t="s">
        <v>31</v>
      </c>
      <c r="C1593" s="85" t="s">
        <v>24</v>
      </c>
      <c r="D1593" s="86">
        <v>29</v>
      </c>
      <c r="E1593" s="116" t="str">
        <f t="shared" si="74"/>
        <v>Mercado</v>
      </c>
      <c r="F1593" s="85" t="s">
        <v>1096</v>
      </c>
      <c r="G1593" s="85" t="s">
        <v>384</v>
      </c>
      <c r="H1593" s="85" t="s">
        <v>1097</v>
      </c>
      <c r="I1593" s="85">
        <v>2</v>
      </c>
      <c r="J1593" s="87">
        <v>7.5</v>
      </c>
      <c r="K1593" s="88">
        <f t="shared" si="75"/>
        <v>15</v>
      </c>
      <c r="L1593" s="85">
        <v>4406</v>
      </c>
    </row>
    <row r="1594" spans="1:12" hidden="1" x14ac:dyDescent="0.2">
      <c r="A1594" s="84" t="str">
        <f t="shared" si="73"/>
        <v>MarçoSEMANA 5Gelo em Cubo</v>
      </c>
      <c r="B1594" s="85" t="s">
        <v>31</v>
      </c>
      <c r="C1594" s="85" t="s">
        <v>24</v>
      </c>
      <c r="D1594" s="86">
        <v>29</v>
      </c>
      <c r="E1594" s="116" t="str">
        <f t="shared" si="74"/>
        <v>Mercado</v>
      </c>
      <c r="F1594" s="85" t="s">
        <v>1096</v>
      </c>
      <c r="G1594" s="85" t="s">
        <v>383</v>
      </c>
      <c r="H1594" s="85" t="s">
        <v>1097</v>
      </c>
      <c r="I1594" s="85">
        <v>5</v>
      </c>
      <c r="J1594" s="87">
        <v>7.5</v>
      </c>
      <c r="K1594" s="88">
        <f t="shared" si="75"/>
        <v>37.5</v>
      </c>
      <c r="L1594" s="85">
        <v>4406</v>
      </c>
    </row>
    <row r="1595" spans="1:12" hidden="1" x14ac:dyDescent="0.2">
      <c r="A1595" s="84" t="str">
        <f t="shared" si="73"/>
        <v>MarçoSEMANA 5Água Mineral com Gás</v>
      </c>
      <c r="B1595" s="85" t="s">
        <v>31</v>
      </c>
      <c r="C1595" s="85" t="s">
        <v>24</v>
      </c>
      <c r="D1595" s="86">
        <v>29</v>
      </c>
      <c r="E1595" s="116" t="str">
        <f t="shared" si="74"/>
        <v>Bebidas</v>
      </c>
      <c r="F1595" s="85" t="s">
        <v>1127</v>
      </c>
      <c r="G1595" s="85" t="s">
        <v>90</v>
      </c>
      <c r="H1595" s="85" t="s">
        <v>1090</v>
      </c>
      <c r="I1595" s="85">
        <f>10*6</f>
        <v>60</v>
      </c>
      <c r="J1595" s="87">
        <f>(75.3+7.74)/60</f>
        <v>1.3839999999999999</v>
      </c>
      <c r="K1595" s="88">
        <f t="shared" si="75"/>
        <v>83.039999999999992</v>
      </c>
      <c r="L1595" s="85" t="s">
        <v>1341</v>
      </c>
    </row>
    <row r="1596" spans="1:12" hidden="1" x14ac:dyDescent="0.2">
      <c r="A1596" s="84" t="str">
        <f t="shared" si="73"/>
        <v>MarçoSEMANA 5Água Mineral sem Gás</v>
      </c>
      <c r="B1596" s="85" t="s">
        <v>31</v>
      </c>
      <c r="C1596" s="85" t="s">
        <v>24</v>
      </c>
      <c r="D1596" s="86">
        <v>29</v>
      </c>
      <c r="E1596" s="116" t="str">
        <f t="shared" si="74"/>
        <v>Bebidas</v>
      </c>
      <c r="F1596" s="85" t="s">
        <v>1127</v>
      </c>
      <c r="G1596" s="85" t="s">
        <v>91</v>
      </c>
      <c r="H1596" s="85" t="s">
        <v>1090</v>
      </c>
      <c r="I1596" s="85">
        <f>10*6</f>
        <v>60</v>
      </c>
      <c r="J1596" s="87">
        <f>(75.3+7.74)/60</f>
        <v>1.3839999999999999</v>
      </c>
      <c r="K1596" s="88">
        <f t="shared" si="75"/>
        <v>83.039999999999992</v>
      </c>
      <c r="L1596" s="85" t="s">
        <v>1341</v>
      </c>
    </row>
    <row r="1597" spans="1:12" hidden="1" x14ac:dyDescent="0.2">
      <c r="A1597" s="84" t="str">
        <f t="shared" si="73"/>
        <v>MarçoSEMANA 5Pescados - Salmão Inteiro</v>
      </c>
      <c r="B1597" s="85" t="s">
        <v>31</v>
      </c>
      <c r="C1597" s="85" t="s">
        <v>24</v>
      </c>
      <c r="D1597" s="86">
        <v>29</v>
      </c>
      <c r="E1597" s="116" t="str">
        <f t="shared" si="74"/>
        <v>Carnes</v>
      </c>
      <c r="F1597" s="85" t="s">
        <v>1104</v>
      </c>
      <c r="G1597" s="85" t="s">
        <v>643</v>
      </c>
      <c r="H1597" s="85" t="s">
        <v>1083</v>
      </c>
      <c r="I1597" s="85">
        <v>30.98</v>
      </c>
      <c r="J1597" s="87">
        <v>29.899899999999999</v>
      </c>
      <c r="K1597" s="88">
        <f t="shared" si="75"/>
        <v>926.298902</v>
      </c>
      <c r="L1597" s="85">
        <v>1316683</v>
      </c>
    </row>
    <row r="1598" spans="1:12" hidden="1" x14ac:dyDescent="0.2">
      <c r="A1598" s="84" t="str">
        <f t="shared" si="73"/>
        <v>MarçoSEMANA 5Pescados - Camarão IQF Evisc. 51/60</v>
      </c>
      <c r="B1598" s="85" t="s">
        <v>31</v>
      </c>
      <c r="C1598" s="85" t="s">
        <v>24</v>
      </c>
      <c r="D1598" s="86">
        <v>29</v>
      </c>
      <c r="E1598" s="116" t="str">
        <f t="shared" si="74"/>
        <v>Carnes</v>
      </c>
      <c r="F1598" s="85" t="s">
        <v>1104</v>
      </c>
      <c r="G1598" s="85" t="s">
        <v>593</v>
      </c>
      <c r="H1598" s="85" t="s">
        <v>1083</v>
      </c>
      <c r="I1598" s="85">
        <v>6</v>
      </c>
      <c r="J1598" s="87">
        <v>69.900000000000006</v>
      </c>
      <c r="K1598" s="88">
        <f t="shared" si="75"/>
        <v>419.40000000000003</v>
      </c>
      <c r="L1598" s="85" t="s">
        <v>1342</v>
      </c>
    </row>
    <row r="1599" spans="1:12" hidden="1" x14ac:dyDescent="0.2">
      <c r="A1599" s="84" t="str">
        <f t="shared" si="73"/>
        <v>MarçoSEMANA 5Pescados - Carne de siri</v>
      </c>
      <c r="B1599" s="85" t="s">
        <v>31</v>
      </c>
      <c r="C1599" s="85" t="s">
        <v>24</v>
      </c>
      <c r="D1599" s="86">
        <v>29</v>
      </c>
      <c r="E1599" s="116" t="str">
        <f t="shared" si="74"/>
        <v>Carnes</v>
      </c>
      <c r="F1599" s="85" t="s">
        <v>1166</v>
      </c>
      <c r="G1599" s="85" t="s">
        <v>599</v>
      </c>
      <c r="H1599" s="85" t="s">
        <v>1083</v>
      </c>
      <c r="I1599" s="85">
        <f>10</f>
        <v>10</v>
      </c>
      <c r="J1599" s="87">
        <v>22.9</v>
      </c>
      <c r="K1599" s="88">
        <f t="shared" si="75"/>
        <v>229</v>
      </c>
      <c r="L1599" s="85">
        <v>331690</v>
      </c>
    </row>
    <row r="1600" spans="1:12" hidden="1" x14ac:dyDescent="0.2">
      <c r="A1600" s="84" t="str">
        <f t="shared" si="73"/>
        <v>MarçoSEMANA 5Pescados - Dourado Fresco</v>
      </c>
      <c r="B1600" s="85" t="s">
        <v>31</v>
      </c>
      <c r="C1600" s="85" t="s">
        <v>24</v>
      </c>
      <c r="D1600" s="86">
        <v>29</v>
      </c>
      <c r="E1600" s="116" t="str">
        <f t="shared" si="74"/>
        <v>Carnes</v>
      </c>
      <c r="F1600" s="85" t="s">
        <v>1166</v>
      </c>
      <c r="G1600" s="85" t="s">
        <v>603</v>
      </c>
      <c r="H1600" s="85" t="s">
        <v>1083</v>
      </c>
      <c r="I1600" s="85">
        <v>19.5</v>
      </c>
      <c r="J1600" s="87">
        <v>19.899999999999999</v>
      </c>
      <c r="K1600" s="88">
        <f t="shared" si="75"/>
        <v>388.04999999999995</v>
      </c>
      <c r="L1600" s="85">
        <v>331690</v>
      </c>
    </row>
    <row r="1601" spans="1:12" hidden="1" x14ac:dyDescent="0.2">
      <c r="A1601" s="84" t="str">
        <f t="shared" si="73"/>
        <v>MarçoSEMANA 5Aves - Filé de Peito de Frango</v>
      </c>
      <c r="B1601" s="85" t="s">
        <v>31</v>
      </c>
      <c r="C1601" s="85" t="s">
        <v>24</v>
      </c>
      <c r="D1601" s="86">
        <v>29</v>
      </c>
      <c r="E1601" s="116" t="str">
        <f t="shared" si="74"/>
        <v>Carnes</v>
      </c>
      <c r="F1601" s="85" t="s">
        <v>1092</v>
      </c>
      <c r="G1601" s="85" t="s">
        <v>139</v>
      </c>
      <c r="H1601" s="85" t="s">
        <v>1083</v>
      </c>
      <c r="I1601" s="85">
        <v>48</v>
      </c>
      <c r="J1601" s="87">
        <v>7.8</v>
      </c>
      <c r="K1601" s="88">
        <f t="shared" si="75"/>
        <v>374.4</v>
      </c>
      <c r="L1601" s="85">
        <v>3420732</v>
      </c>
    </row>
    <row r="1602" spans="1:12" hidden="1" x14ac:dyDescent="0.2">
      <c r="A1602" s="84" t="str">
        <f t="shared" ref="A1602:A1665" si="76">CONCATENATE(B1602,C1602,G1602)</f>
        <v>MarçoSEMANA 5Aves - Filé de Coxa</v>
      </c>
      <c r="B1602" s="85" t="s">
        <v>31</v>
      </c>
      <c r="C1602" s="85" t="s">
        <v>24</v>
      </c>
      <c r="D1602" s="86">
        <v>29</v>
      </c>
      <c r="E1602" s="116" t="str">
        <f t="shared" ref="E1602:E1665" si="77">VLOOKUP(G1602,$M$1:$O$993,3,0)</f>
        <v>Carnes</v>
      </c>
      <c r="F1602" s="85" t="s">
        <v>1092</v>
      </c>
      <c r="G1602" s="85" t="s">
        <v>137</v>
      </c>
      <c r="H1602" s="85" t="s">
        <v>1083</v>
      </c>
      <c r="I1602" s="85">
        <f>24*0.7</f>
        <v>16.799999999999997</v>
      </c>
      <c r="J1602" s="87">
        <f>146.16/16.8</f>
        <v>8.6999999999999993</v>
      </c>
      <c r="K1602" s="88">
        <f t="shared" ref="K1602:K1665" si="78">I1602*J1602</f>
        <v>146.15999999999997</v>
      </c>
      <c r="L1602" s="85">
        <v>3420732</v>
      </c>
    </row>
    <row r="1603" spans="1:12" hidden="1" x14ac:dyDescent="0.2">
      <c r="A1603" s="84" t="str">
        <f t="shared" si="76"/>
        <v>MarçoSEMANA 5Batata Palito 9M</v>
      </c>
      <c r="B1603" s="85" t="s">
        <v>31</v>
      </c>
      <c r="C1603" s="85" t="s">
        <v>24</v>
      </c>
      <c r="D1603" s="86">
        <v>29</v>
      </c>
      <c r="E1603" s="116" t="str">
        <f t="shared" si="77"/>
        <v>Mercado</v>
      </c>
      <c r="F1603" s="85" t="s">
        <v>1101</v>
      </c>
      <c r="G1603" s="85" t="s">
        <v>175</v>
      </c>
      <c r="H1603" s="85" t="s">
        <v>1083</v>
      </c>
      <c r="I1603" s="85">
        <v>12.5</v>
      </c>
      <c r="J1603" s="87">
        <v>6.58</v>
      </c>
      <c r="K1603" s="88">
        <f t="shared" si="78"/>
        <v>82.25</v>
      </c>
      <c r="L1603" s="85" t="s">
        <v>1343</v>
      </c>
    </row>
    <row r="1604" spans="1:12" hidden="1" x14ac:dyDescent="0.2">
      <c r="A1604" s="84" t="str">
        <f t="shared" si="76"/>
        <v>MarçoSEMANA 5Cream Cheese Sushi</v>
      </c>
      <c r="B1604" s="85" t="s">
        <v>31</v>
      </c>
      <c r="C1604" s="85" t="s">
        <v>24</v>
      </c>
      <c r="D1604" s="86">
        <v>29</v>
      </c>
      <c r="E1604" s="116" t="str">
        <f t="shared" si="77"/>
        <v>Sushi</v>
      </c>
      <c r="F1604" s="85" t="s">
        <v>1101</v>
      </c>
      <c r="G1604" s="85" t="s">
        <v>311</v>
      </c>
      <c r="H1604" s="85" t="s">
        <v>1083</v>
      </c>
      <c r="I1604" s="85">
        <f>2*1.5</f>
        <v>3</v>
      </c>
      <c r="J1604" s="87">
        <f>61/3</f>
        <v>20.333333333333332</v>
      </c>
      <c r="K1604" s="88">
        <f t="shared" si="78"/>
        <v>61</v>
      </c>
      <c r="L1604" s="85" t="s">
        <v>1343</v>
      </c>
    </row>
    <row r="1605" spans="1:12" hidden="1" x14ac:dyDescent="0.2">
      <c r="A1605" s="84" t="str">
        <f t="shared" si="76"/>
        <v>MarçoSEMANA 5Queijo Minas</v>
      </c>
      <c r="B1605" s="85" t="s">
        <v>31</v>
      </c>
      <c r="C1605" s="85" t="s">
        <v>24</v>
      </c>
      <c r="D1605" s="86">
        <v>29</v>
      </c>
      <c r="E1605" s="116" t="str">
        <f t="shared" si="77"/>
        <v>Laticínios</v>
      </c>
      <c r="F1605" s="85" t="s">
        <v>1101</v>
      </c>
      <c r="G1605" s="85" t="s">
        <v>681</v>
      </c>
      <c r="H1605" s="85" t="s">
        <v>1083</v>
      </c>
      <c r="I1605" s="85">
        <v>2.8</v>
      </c>
      <c r="J1605" s="87">
        <v>15</v>
      </c>
      <c r="K1605" s="88">
        <f t="shared" si="78"/>
        <v>42</v>
      </c>
      <c r="L1605" s="85" t="s">
        <v>1343</v>
      </c>
    </row>
    <row r="1606" spans="1:12" hidden="1" x14ac:dyDescent="0.2">
      <c r="A1606" s="84" t="str">
        <f t="shared" si="76"/>
        <v>MarçoSEMANA 5Carne Bovina - Filé Mignon 3/4</v>
      </c>
      <c r="B1606" s="85" t="s">
        <v>31</v>
      </c>
      <c r="C1606" s="85" t="s">
        <v>24</v>
      </c>
      <c r="D1606" s="86">
        <v>29</v>
      </c>
      <c r="E1606" s="116" t="str">
        <f t="shared" si="77"/>
        <v>Carnes</v>
      </c>
      <c r="F1606" s="85" t="s">
        <v>1100</v>
      </c>
      <c r="G1606" s="85" t="s">
        <v>223</v>
      </c>
      <c r="H1606" s="85" t="s">
        <v>1083</v>
      </c>
      <c r="I1606" s="85">
        <v>37.945</v>
      </c>
      <c r="J1606" s="87">
        <v>29.489799999999999</v>
      </c>
      <c r="K1606" s="88">
        <f t="shared" si="78"/>
        <v>1118.9904609999999</v>
      </c>
      <c r="L1606" s="85">
        <v>116771</v>
      </c>
    </row>
    <row r="1607" spans="1:12" hidden="1" x14ac:dyDescent="0.2">
      <c r="A1607" s="84" t="str">
        <f t="shared" si="76"/>
        <v>MarçoSEMANA 5Creme de Leite Culinário 20% Bd 10 Lt</v>
      </c>
      <c r="B1607" s="85" t="s">
        <v>31</v>
      </c>
      <c r="C1607" s="85" t="s">
        <v>24</v>
      </c>
      <c r="D1607" s="86">
        <v>29</v>
      </c>
      <c r="E1607" s="116" t="str">
        <f t="shared" si="77"/>
        <v>Laticínios</v>
      </c>
      <c r="F1607" s="85" t="s">
        <v>1152</v>
      </c>
      <c r="G1607" s="85" t="s">
        <v>315</v>
      </c>
      <c r="H1607" s="85" t="s">
        <v>1088</v>
      </c>
      <c r="I1607" s="85">
        <v>2</v>
      </c>
      <c r="J1607" s="87">
        <v>142.44999999999999</v>
      </c>
      <c r="K1607" s="88">
        <f t="shared" si="78"/>
        <v>284.89999999999998</v>
      </c>
      <c r="L1607" s="85" t="s">
        <v>1345</v>
      </c>
    </row>
    <row r="1608" spans="1:12" hidden="1" x14ac:dyDescent="0.2">
      <c r="A1608" s="84" t="str">
        <f t="shared" si="76"/>
        <v>MarçoSEMANA 5Cerveja Bohemia 600 ml</v>
      </c>
      <c r="B1608" s="85" t="s">
        <v>31</v>
      </c>
      <c r="C1608" s="85" t="s">
        <v>24</v>
      </c>
      <c r="D1608" s="86">
        <v>29</v>
      </c>
      <c r="E1608" s="116" t="str">
        <f t="shared" si="77"/>
        <v>Bebidas</v>
      </c>
      <c r="F1608" s="85" t="s">
        <v>1139</v>
      </c>
      <c r="G1608" s="85" t="s">
        <v>259</v>
      </c>
      <c r="H1608" s="85" t="s">
        <v>1090</v>
      </c>
      <c r="I1608" s="85">
        <v>24</v>
      </c>
      <c r="J1608" s="87">
        <f>104.7/24</f>
        <v>4.3624999999999998</v>
      </c>
      <c r="K1608" s="88">
        <f t="shared" si="78"/>
        <v>104.69999999999999</v>
      </c>
      <c r="L1608" s="85" t="s">
        <v>1346</v>
      </c>
    </row>
    <row r="1609" spans="1:12" hidden="1" x14ac:dyDescent="0.2">
      <c r="A1609" s="84" t="str">
        <f t="shared" si="76"/>
        <v>MarçoSEMANA 5H2O Limão</v>
      </c>
      <c r="B1609" s="85" t="s">
        <v>31</v>
      </c>
      <c r="C1609" s="85" t="s">
        <v>24</v>
      </c>
      <c r="D1609" s="86">
        <v>29</v>
      </c>
      <c r="E1609" s="116" t="str">
        <f t="shared" si="77"/>
        <v>Bebidas</v>
      </c>
      <c r="F1609" s="85" t="s">
        <v>1139</v>
      </c>
      <c r="G1609" s="85" t="s">
        <v>400</v>
      </c>
      <c r="H1609" s="85" t="s">
        <v>1090</v>
      </c>
      <c r="I1609" s="85">
        <f>2*12</f>
        <v>24</v>
      </c>
      <c r="J1609" s="87">
        <f>48.73/24</f>
        <v>2.0304166666666665</v>
      </c>
      <c r="K1609" s="88">
        <f t="shared" si="78"/>
        <v>48.73</v>
      </c>
      <c r="L1609" s="85" t="s">
        <v>1346</v>
      </c>
    </row>
    <row r="1610" spans="1:12" hidden="1" x14ac:dyDescent="0.2">
      <c r="A1610" s="84" t="str">
        <f t="shared" si="76"/>
        <v>MarçoSEMANA 5Cerveja Bohemia Long Neck 355 ml</v>
      </c>
      <c r="B1610" s="85" t="s">
        <v>31</v>
      </c>
      <c r="C1610" s="85" t="s">
        <v>24</v>
      </c>
      <c r="D1610" s="86">
        <v>29</v>
      </c>
      <c r="E1610" s="116" t="str">
        <f t="shared" si="77"/>
        <v>Bebidas</v>
      </c>
      <c r="F1610" s="85" t="s">
        <v>1139</v>
      </c>
      <c r="G1610" s="85" t="s">
        <v>260</v>
      </c>
      <c r="H1610" s="85" t="s">
        <v>1090</v>
      </c>
      <c r="I1610" s="85">
        <v>24</v>
      </c>
      <c r="J1610" s="87">
        <f>68.23/24</f>
        <v>2.842916666666667</v>
      </c>
      <c r="K1610" s="88">
        <f t="shared" si="78"/>
        <v>68.23</v>
      </c>
      <c r="L1610" s="85" t="s">
        <v>1346</v>
      </c>
    </row>
    <row r="1611" spans="1:12" hidden="1" x14ac:dyDescent="0.2">
      <c r="A1611" s="84" t="str">
        <f t="shared" si="76"/>
        <v>MarçoSEMANA 5Ice Tea Limão</v>
      </c>
      <c r="B1611" s="85" t="s">
        <v>31</v>
      </c>
      <c r="C1611" s="85" t="s">
        <v>24</v>
      </c>
      <c r="D1611" s="86">
        <v>29</v>
      </c>
      <c r="E1611" s="116" t="str">
        <f t="shared" si="77"/>
        <v>Bebidas</v>
      </c>
      <c r="F1611" s="85" t="s">
        <v>1139</v>
      </c>
      <c r="G1611" s="85" t="s">
        <v>443</v>
      </c>
      <c r="H1611" s="85" t="s">
        <v>1090</v>
      </c>
      <c r="I1611" s="85">
        <f>2*12</f>
        <v>24</v>
      </c>
      <c r="J1611" s="87">
        <f>48.13/24</f>
        <v>2.0054166666666666</v>
      </c>
      <c r="K1611" s="88">
        <f t="shared" si="78"/>
        <v>48.129999999999995</v>
      </c>
      <c r="L1611" s="85" t="s">
        <v>1346</v>
      </c>
    </row>
    <row r="1612" spans="1:12" hidden="1" x14ac:dyDescent="0.2">
      <c r="A1612" s="84" t="str">
        <f t="shared" si="76"/>
        <v>MarçoSEMANA 5Guaraná Antarctica Zero (lata)</v>
      </c>
      <c r="B1612" s="85" t="s">
        <v>31</v>
      </c>
      <c r="C1612" s="85" t="s">
        <v>24</v>
      </c>
      <c r="D1612" s="86">
        <v>29</v>
      </c>
      <c r="E1612" s="116" t="str">
        <f t="shared" si="77"/>
        <v>Bebidas</v>
      </c>
      <c r="F1612" s="85" t="s">
        <v>1139</v>
      </c>
      <c r="G1612" s="85" t="s">
        <v>398</v>
      </c>
      <c r="H1612" s="85" t="s">
        <v>1090</v>
      </c>
      <c r="I1612" s="85">
        <f>3*12</f>
        <v>36</v>
      </c>
      <c r="J1612" s="87">
        <f>61.66/36</f>
        <v>1.7127777777777777</v>
      </c>
      <c r="K1612" s="88">
        <f t="shared" si="78"/>
        <v>61.66</v>
      </c>
      <c r="L1612" s="85" t="s">
        <v>1346</v>
      </c>
    </row>
    <row r="1613" spans="1:12" hidden="1" x14ac:dyDescent="0.2">
      <c r="A1613" s="84" t="str">
        <f t="shared" si="76"/>
        <v>MarçoSEMANA 5Guaraná Antarctica (lata)</v>
      </c>
      <c r="B1613" s="85" t="s">
        <v>31</v>
      </c>
      <c r="C1613" s="85" t="s">
        <v>24</v>
      </c>
      <c r="D1613" s="86">
        <v>29</v>
      </c>
      <c r="E1613" s="116" t="str">
        <f t="shared" si="77"/>
        <v>Bebidas</v>
      </c>
      <c r="F1613" s="85" t="s">
        <v>1139</v>
      </c>
      <c r="G1613" s="85" t="s">
        <v>397</v>
      </c>
      <c r="H1613" s="85" t="s">
        <v>1090</v>
      </c>
      <c r="I1613" s="85">
        <f>2*12</f>
        <v>24</v>
      </c>
      <c r="J1613" s="87">
        <f>41.1/24</f>
        <v>1.7125000000000001</v>
      </c>
      <c r="K1613" s="88">
        <f t="shared" si="78"/>
        <v>41.1</v>
      </c>
      <c r="L1613" s="85" t="s">
        <v>1346</v>
      </c>
    </row>
    <row r="1614" spans="1:12" x14ac:dyDescent="0.25">
      <c r="A1614" s="84" t="str">
        <f t="shared" si="76"/>
        <v>MarçoSEMANA 5Batata Baroa</v>
      </c>
      <c r="B1614" s="85" t="s">
        <v>31</v>
      </c>
      <c r="C1614" s="85" t="s">
        <v>24</v>
      </c>
      <c r="D1614" s="86">
        <v>29</v>
      </c>
      <c r="E1614" s="116" t="str">
        <f t="shared" si="77"/>
        <v>Hortifruti</v>
      </c>
      <c r="F1614" s="85" t="s">
        <v>1111</v>
      </c>
      <c r="G1614" s="85" t="s">
        <v>169</v>
      </c>
      <c r="H1614" s="85" t="s">
        <v>1083</v>
      </c>
      <c r="I1614" s="85">
        <v>2</v>
      </c>
      <c r="J1614" s="87">
        <v>5.0999999999999996</v>
      </c>
      <c r="K1614" s="88">
        <f t="shared" si="78"/>
        <v>10.199999999999999</v>
      </c>
      <c r="L1614" s="85">
        <v>20064</v>
      </c>
    </row>
    <row r="1615" spans="1:12" x14ac:dyDescent="0.25">
      <c r="A1615" s="84" t="str">
        <f t="shared" si="76"/>
        <v>MarçoSEMANA 5Batata HBT</v>
      </c>
      <c r="B1615" s="85" t="s">
        <v>31</v>
      </c>
      <c r="C1615" s="85" t="s">
        <v>24</v>
      </c>
      <c r="D1615" s="86">
        <v>29</v>
      </c>
      <c r="E1615" s="116" t="str">
        <f t="shared" si="77"/>
        <v>Hortifruti</v>
      </c>
      <c r="F1615" s="85" t="s">
        <v>1111</v>
      </c>
      <c r="G1615" s="85" t="s">
        <v>171</v>
      </c>
      <c r="H1615" s="85" t="s">
        <v>1083</v>
      </c>
      <c r="I1615" s="85">
        <v>25</v>
      </c>
      <c r="J1615" s="87">
        <v>1.59</v>
      </c>
      <c r="K1615" s="88">
        <f t="shared" si="78"/>
        <v>39.75</v>
      </c>
      <c r="L1615" s="85">
        <v>20064</v>
      </c>
    </row>
    <row r="1616" spans="1:12" x14ac:dyDescent="0.25">
      <c r="A1616" s="84" t="str">
        <f t="shared" si="76"/>
        <v>MarçoSEMANA 5Côco Verde</v>
      </c>
      <c r="B1616" s="85" t="s">
        <v>31</v>
      </c>
      <c r="C1616" s="85" t="s">
        <v>24</v>
      </c>
      <c r="D1616" s="86">
        <v>29</v>
      </c>
      <c r="E1616" s="116" t="str">
        <f t="shared" si="77"/>
        <v>Hortifruti</v>
      </c>
      <c r="F1616" s="85" t="s">
        <v>1111</v>
      </c>
      <c r="G1616" s="85" t="s">
        <v>288</v>
      </c>
      <c r="H1616" s="85" t="s">
        <v>1090</v>
      </c>
      <c r="I1616" s="85">
        <v>30</v>
      </c>
      <c r="J1616" s="87">
        <v>2.4500000000000002</v>
      </c>
      <c r="K1616" s="88">
        <f t="shared" si="78"/>
        <v>73.5</v>
      </c>
      <c r="L1616" s="85">
        <v>20064</v>
      </c>
    </row>
    <row r="1617" spans="1:12" x14ac:dyDescent="0.25">
      <c r="A1617" s="84" t="str">
        <f t="shared" si="76"/>
        <v>MarçoSEMANA 5Couve Flor</v>
      </c>
      <c r="B1617" s="85" t="s">
        <v>31</v>
      </c>
      <c r="C1617" s="85" t="s">
        <v>24</v>
      </c>
      <c r="D1617" s="86">
        <v>29</v>
      </c>
      <c r="E1617" s="116" t="str">
        <f t="shared" si="77"/>
        <v>Hortifruti</v>
      </c>
      <c r="F1617" s="85" t="s">
        <v>1111</v>
      </c>
      <c r="G1617" s="85" t="s">
        <v>306</v>
      </c>
      <c r="H1617" s="85" t="s">
        <v>1083</v>
      </c>
      <c r="I1617" s="85">
        <v>3</v>
      </c>
      <c r="J1617" s="87">
        <v>6</v>
      </c>
      <c r="K1617" s="88">
        <f t="shared" si="78"/>
        <v>18</v>
      </c>
      <c r="L1617" s="85">
        <v>20064</v>
      </c>
    </row>
    <row r="1618" spans="1:12" x14ac:dyDescent="0.25">
      <c r="A1618" s="84" t="str">
        <f t="shared" si="76"/>
        <v>MarçoSEMANA 5Limão</v>
      </c>
      <c r="B1618" s="85" t="s">
        <v>31</v>
      </c>
      <c r="C1618" s="85" t="s">
        <v>24</v>
      </c>
      <c r="D1618" s="86">
        <v>29</v>
      </c>
      <c r="E1618" s="116" t="str">
        <f t="shared" si="77"/>
        <v>Hortifruti</v>
      </c>
      <c r="F1618" s="85" t="s">
        <v>1111</v>
      </c>
      <c r="G1618" s="85" t="s">
        <v>463</v>
      </c>
      <c r="H1618" s="85" t="s">
        <v>1083</v>
      </c>
      <c r="I1618" s="85">
        <v>23.18</v>
      </c>
      <c r="J1618" s="87">
        <f>47/23.18</f>
        <v>2.0276100086281277</v>
      </c>
      <c r="K1618" s="88">
        <f t="shared" si="78"/>
        <v>47</v>
      </c>
      <c r="L1618" s="85">
        <v>20064</v>
      </c>
    </row>
    <row r="1619" spans="1:12" x14ac:dyDescent="0.25">
      <c r="A1619" s="84" t="str">
        <f t="shared" si="76"/>
        <v>MarçoSEMANA 5Maçã Nacional</v>
      </c>
      <c r="B1619" s="85" t="s">
        <v>31</v>
      </c>
      <c r="C1619" s="85" t="s">
        <v>24</v>
      </c>
      <c r="D1619" s="86">
        <v>29</v>
      </c>
      <c r="E1619" s="116" t="str">
        <f t="shared" si="77"/>
        <v>Hortifruti</v>
      </c>
      <c r="F1619" s="85" t="s">
        <v>1111</v>
      </c>
      <c r="G1619" s="85" t="s">
        <v>476</v>
      </c>
      <c r="H1619" s="85" t="s">
        <v>1083</v>
      </c>
      <c r="I1619" s="85">
        <v>17.940000000000001</v>
      </c>
      <c r="J1619" s="87">
        <f>60/17.94</f>
        <v>3.3444816053511701</v>
      </c>
      <c r="K1619" s="88">
        <f t="shared" si="78"/>
        <v>59.999999999999993</v>
      </c>
      <c r="L1619" s="85">
        <v>20064</v>
      </c>
    </row>
    <row r="1620" spans="1:12" x14ac:dyDescent="0.25">
      <c r="A1620" s="84" t="str">
        <f t="shared" si="76"/>
        <v>MarçoSEMANA 5Manga Tommy</v>
      </c>
      <c r="B1620" s="85" t="s">
        <v>31</v>
      </c>
      <c r="C1620" s="85" t="s">
        <v>24</v>
      </c>
      <c r="D1620" s="86">
        <v>29</v>
      </c>
      <c r="E1620" s="116" t="str">
        <f t="shared" si="77"/>
        <v>Hortifruti</v>
      </c>
      <c r="F1620" s="85" t="s">
        <v>1111</v>
      </c>
      <c r="G1620" s="85" t="s">
        <v>496</v>
      </c>
      <c r="H1620" s="85" t="s">
        <v>1083</v>
      </c>
      <c r="I1620" s="85">
        <v>1.5</v>
      </c>
      <c r="J1620" s="87">
        <v>4.5</v>
      </c>
      <c r="K1620" s="88">
        <f t="shared" si="78"/>
        <v>6.75</v>
      </c>
      <c r="L1620" s="85">
        <v>20064</v>
      </c>
    </row>
    <row r="1621" spans="1:12" x14ac:dyDescent="0.25">
      <c r="A1621" s="84" t="str">
        <f t="shared" si="76"/>
        <v>MarçoSEMANA 5Melância</v>
      </c>
      <c r="B1621" s="85" t="s">
        <v>31</v>
      </c>
      <c r="C1621" s="85" t="s">
        <v>24</v>
      </c>
      <c r="D1621" s="86">
        <v>29</v>
      </c>
      <c r="E1621" s="116" t="str">
        <f t="shared" si="77"/>
        <v>Hortifruti</v>
      </c>
      <c r="F1621" s="85" t="s">
        <v>1111</v>
      </c>
      <c r="G1621" s="85" t="s">
        <v>516</v>
      </c>
      <c r="H1621" s="85" t="s">
        <v>1083</v>
      </c>
      <c r="I1621" s="85">
        <v>10</v>
      </c>
      <c r="J1621" s="87">
        <v>1.52</v>
      </c>
      <c r="K1621" s="88">
        <f t="shared" si="78"/>
        <v>15.2</v>
      </c>
      <c r="L1621" s="85">
        <v>20064</v>
      </c>
    </row>
    <row r="1622" spans="1:12" x14ac:dyDescent="0.25">
      <c r="A1622" s="84" t="str">
        <f t="shared" si="76"/>
        <v>MarçoSEMANA 5Ovos Extra</v>
      </c>
      <c r="B1622" s="85" t="s">
        <v>31</v>
      </c>
      <c r="C1622" s="85" t="s">
        <v>24</v>
      </c>
      <c r="D1622" s="86">
        <v>29</v>
      </c>
      <c r="E1622" s="116" t="str">
        <f t="shared" si="77"/>
        <v>Hortifruti</v>
      </c>
      <c r="F1622" s="85" t="s">
        <v>1111</v>
      </c>
      <c r="G1622" s="85" t="s">
        <v>549</v>
      </c>
      <c r="H1622" s="85" t="s">
        <v>1090</v>
      </c>
      <c r="I1622" s="85">
        <v>360</v>
      </c>
      <c r="J1622" s="87">
        <f>107/360</f>
        <v>0.29722222222222222</v>
      </c>
      <c r="K1622" s="88">
        <f t="shared" si="78"/>
        <v>107</v>
      </c>
      <c r="L1622" s="85">
        <v>20064</v>
      </c>
    </row>
    <row r="1623" spans="1:12" x14ac:dyDescent="0.25">
      <c r="A1623" s="84" t="str">
        <f t="shared" si="76"/>
        <v>MarçoSEMANA 5Pimentão Amarelo</v>
      </c>
      <c r="B1623" s="85" t="s">
        <v>31</v>
      </c>
      <c r="C1623" s="85" t="s">
        <v>24</v>
      </c>
      <c r="D1623" s="86">
        <v>29</v>
      </c>
      <c r="E1623" s="116" t="str">
        <f t="shared" si="77"/>
        <v>Hortifruti</v>
      </c>
      <c r="F1623" s="85" t="s">
        <v>1111</v>
      </c>
      <c r="G1623" s="85" t="s">
        <v>663</v>
      </c>
      <c r="H1623" s="85" t="s">
        <v>1083</v>
      </c>
      <c r="I1623" s="85">
        <v>2</v>
      </c>
      <c r="J1623" s="87">
        <v>8.5</v>
      </c>
      <c r="K1623" s="88">
        <f t="shared" si="78"/>
        <v>17</v>
      </c>
      <c r="L1623" s="85">
        <v>20064</v>
      </c>
    </row>
    <row r="1624" spans="1:12" x14ac:dyDescent="0.25">
      <c r="A1624" s="84" t="str">
        <f t="shared" si="76"/>
        <v>MarçoSEMANA 5Pimentão Vermelho</v>
      </c>
      <c r="B1624" s="85" t="s">
        <v>31</v>
      </c>
      <c r="C1624" s="85" t="s">
        <v>24</v>
      </c>
      <c r="D1624" s="86">
        <v>29</v>
      </c>
      <c r="E1624" s="116" t="str">
        <f t="shared" si="77"/>
        <v>Hortifruti</v>
      </c>
      <c r="F1624" s="85" t="s">
        <v>1111</v>
      </c>
      <c r="G1624" s="85" t="s">
        <v>666</v>
      </c>
      <c r="H1624" s="85" t="s">
        <v>1083</v>
      </c>
      <c r="I1624" s="85">
        <v>2</v>
      </c>
      <c r="J1624" s="87">
        <v>8.5</v>
      </c>
      <c r="K1624" s="88">
        <f t="shared" si="78"/>
        <v>17</v>
      </c>
      <c r="L1624" s="85">
        <v>20064</v>
      </c>
    </row>
    <row r="1625" spans="1:12" x14ac:dyDescent="0.25">
      <c r="A1625" s="84" t="str">
        <f t="shared" si="76"/>
        <v xml:space="preserve">MarçoSEMANA 5Abacaxi </v>
      </c>
      <c r="B1625" s="85" t="s">
        <v>31</v>
      </c>
      <c r="C1625" s="85" t="s">
        <v>24</v>
      </c>
      <c r="D1625" s="86">
        <v>29</v>
      </c>
      <c r="E1625" s="116" t="str">
        <f t="shared" si="77"/>
        <v>Hortifruti</v>
      </c>
      <c r="F1625" s="85" t="s">
        <v>1111</v>
      </c>
      <c r="G1625" s="85" t="s">
        <v>65</v>
      </c>
      <c r="H1625" s="85" t="s">
        <v>1083</v>
      </c>
      <c r="I1625" s="85">
        <v>10</v>
      </c>
      <c r="J1625" s="87">
        <v>3.25</v>
      </c>
      <c r="K1625" s="88">
        <f t="shared" si="78"/>
        <v>32.5</v>
      </c>
      <c r="L1625" s="85">
        <v>20064</v>
      </c>
    </row>
    <row r="1626" spans="1:12" x14ac:dyDescent="0.25">
      <c r="A1626" s="84" t="str">
        <f t="shared" si="76"/>
        <v xml:space="preserve">MarçoSEMANA 5Alface Americana    </v>
      </c>
      <c r="B1626" s="85" t="s">
        <v>31</v>
      </c>
      <c r="C1626" s="85" t="s">
        <v>24</v>
      </c>
      <c r="D1626" s="86">
        <v>29</v>
      </c>
      <c r="E1626" s="116" t="str">
        <f t="shared" si="77"/>
        <v>Hortifruti</v>
      </c>
      <c r="F1626" s="85" t="s">
        <v>1111</v>
      </c>
      <c r="G1626" s="85" t="s">
        <v>102</v>
      </c>
      <c r="H1626" s="85" t="s">
        <v>1083</v>
      </c>
      <c r="I1626" s="85"/>
      <c r="J1626" s="87"/>
      <c r="K1626" s="88">
        <f t="shared" si="78"/>
        <v>0</v>
      </c>
      <c r="L1626" s="85" t="s">
        <v>1347</v>
      </c>
    </row>
    <row r="1627" spans="1:12" x14ac:dyDescent="0.25">
      <c r="A1627" s="84" t="str">
        <f t="shared" si="76"/>
        <v>MarçoSEMANA 5Alface crespa</v>
      </c>
      <c r="B1627" s="85" t="s">
        <v>31</v>
      </c>
      <c r="C1627" s="85" t="s">
        <v>24</v>
      </c>
      <c r="D1627" s="86">
        <v>29</v>
      </c>
      <c r="E1627" s="116" t="str">
        <f t="shared" si="77"/>
        <v>Hortifruti</v>
      </c>
      <c r="F1627" s="85" t="s">
        <v>1111</v>
      </c>
      <c r="G1627" s="85" t="s">
        <v>104</v>
      </c>
      <c r="H1627" s="85" t="s">
        <v>1083</v>
      </c>
      <c r="I1627" s="85">
        <v>1.62</v>
      </c>
      <c r="J1627" s="87">
        <f>10.56/1.62</f>
        <v>6.5185185185185182</v>
      </c>
      <c r="K1627" s="88">
        <f t="shared" si="78"/>
        <v>10.56</v>
      </c>
      <c r="L1627" s="85">
        <v>20064</v>
      </c>
    </row>
    <row r="1628" spans="1:12" x14ac:dyDescent="0.25">
      <c r="A1628" s="84" t="str">
        <f t="shared" si="76"/>
        <v>MarçoSEMANA 5Alface Roxa</v>
      </c>
      <c r="B1628" s="85" t="s">
        <v>31</v>
      </c>
      <c r="C1628" s="85" t="s">
        <v>24</v>
      </c>
      <c r="D1628" s="86">
        <v>29</v>
      </c>
      <c r="E1628" s="116" t="str">
        <f t="shared" si="77"/>
        <v>Hortifruti</v>
      </c>
      <c r="F1628" s="85" t="s">
        <v>1111</v>
      </c>
      <c r="G1628" s="85" t="s">
        <v>108</v>
      </c>
      <c r="H1628" s="85" t="s">
        <v>1083</v>
      </c>
      <c r="I1628" s="85">
        <v>0.68</v>
      </c>
      <c r="J1628" s="87">
        <f>4/0.68</f>
        <v>5.8823529411764701</v>
      </c>
      <c r="K1628" s="88">
        <f t="shared" si="78"/>
        <v>4</v>
      </c>
      <c r="L1628" s="85">
        <v>20064</v>
      </c>
    </row>
    <row r="1629" spans="1:12" x14ac:dyDescent="0.25">
      <c r="A1629" s="84" t="str">
        <f t="shared" si="76"/>
        <v>MarçoSEMANA 5Batata Inglesa</v>
      </c>
      <c r="B1629" s="85" t="s">
        <v>31</v>
      </c>
      <c r="C1629" s="85" t="s">
        <v>24</v>
      </c>
      <c r="D1629" s="86">
        <v>29</v>
      </c>
      <c r="E1629" s="116" t="str">
        <f t="shared" si="77"/>
        <v>Hortifruti</v>
      </c>
      <c r="F1629" s="85" t="s">
        <v>1111</v>
      </c>
      <c r="G1629" s="85" t="s">
        <v>172</v>
      </c>
      <c r="H1629" s="85" t="s">
        <v>1083</v>
      </c>
      <c r="I1629" s="85">
        <v>6</v>
      </c>
      <c r="J1629" s="87">
        <v>1.89</v>
      </c>
      <c r="K1629" s="88">
        <f t="shared" si="78"/>
        <v>11.34</v>
      </c>
      <c r="L1629" s="85">
        <v>20064</v>
      </c>
    </row>
    <row r="1630" spans="1:12" x14ac:dyDescent="0.25">
      <c r="A1630" s="84" t="str">
        <f t="shared" si="76"/>
        <v>MarçoSEMANA 5Cebola Calabresa</v>
      </c>
      <c r="B1630" s="85" t="s">
        <v>31</v>
      </c>
      <c r="C1630" s="85" t="s">
        <v>24</v>
      </c>
      <c r="D1630" s="86">
        <v>29</v>
      </c>
      <c r="E1630" s="116" t="str">
        <f t="shared" si="77"/>
        <v>Hortifruti</v>
      </c>
      <c r="F1630" s="85" t="s">
        <v>1111</v>
      </c>
      <c r="G1630" s="85" t="s">
        <v>242</v>
      </c>
      <c r="H1630" s="85" t="s">
        <v>1083</v>
      </c>
      <c r="I1630" s="85">
        <v>3</v>
      </c>
      <c r="J1630" s="87">
        <v>2.75</v>
      </c>
      <c r="K1630" s="88">
        <f t="shared" si="78"/>
        <v>8.25</v>
      </c>
      <c r="L1630" s="85">
        <v>20064</v>
      </c>
    </row>
    <row r="1631" spans="1:12" hidden="1" x14ac:dyDescent="0.2">
      <c r="A1631" s="84" t="str">
        <f t="shared" si="76"/>
        <v>MarçoSEMANA 5Cebolinha Verde Sushi</v>
      </c>
      <c r="B1631" s="85" t="s">
        <v>31</v>
      </c>
      <c r="C1631" s="85" t="s">
        <v>24</v>
      </c>
      <c r="D1631" s="86">
        <v>29</v>
      </c>
      <c r="E1631" s="116" t="str">
        <f t="shared" si="77"/>
        <v>Sushi</v>
      </c>
      <c r="F1631" s="85" t="s">
        <v>1111</v>
      </c>
      <c r="G1631" s="85" t="s">
        <v>248</v>
      </c>
      <c r="H1631" s="85" t="s">
        <v>1083</v>
      </c>
      <c r="I1631" s="85">
        <v>0.5</v>
      </c>
      <c r="J1631" s="87">
        <v>9.5</v>
      </c>
      <c r="K1631" s="88">
        <f t="shared" si="78"/>
        <v>4.75</v>
      </c>
      <c r="L1631" s="85">
        <v>20064</v>
      </c>
    </row>
    <row r="1632" spans="1:12" x14ac:dyDescent="0.25">
      <c r="A1632" s="84" t="str">
        <f t="shared" si="76"/>
        <v>MarçoSEMANA 5Coentro</v>
      </c>
      <c r="B1632" s="85" t="s">
        <v>31</v>
      </c>
      <c r="C1632" s="85" t="s">
        <v>24</v>
      </c>
      <c r="D1632" s="86">
        <v>29</v>
      </c>
      <c r="E1632" s="116" t="str">
        <f t="shared" si="77"/>
        <v>Hortifruti</v>
      </c>
      <c r="F1632" s="85" t="s">
        <v>1111</v>
      </c>
      <c r="G1632" s="85" t="s">
        <v>289</v>
      </c>
      <c r="H1632" s="85" t="s">
        <v>1083</v>
      </c>
      <c r="I1632" s="90">
        <v>0.3</v>
      </c>
      <c r="J1632" s="89">
        <v>25</v>
      </c>
      <c r="K1632" s="88">
        <f t="shared" si="78"/>
        <v>7.5</v>
      </c>
      <c r="L1632" s="85">
        <v>20064</v>
      </c>
    </row>
    <row r="1633" spans="1:12" x14ac:dyDescent="0.25">
      <c r="A1633" s="84" t="str">
        <f t="shared" si="76"/>
        <v>MarçoSEMANA 5Couve Manteiga</v>
      </c>
      <c r="B1633" s="85" t="s">
        <v>31</v>
      </c>
      <c r="C1633" s="85" t="s">
        <v>24</v>
      </c>
      <c r="D1633" s="86">
        <v>29</v>
      </c>
      <c r="E1633" s="116" t="str">
        <f t="shared" si="77"/>
        <v>Hortifruti</v>
      </c>
      <c r="F1633" s="85" t="s">
        <v>1111</v>
      </c>
      <c r="G1633" s="85" t="s">
        <v>307</v>
      </c>
      <c r="H1633" s="85" t="s">
        <v>1083</v>
      </c>
      <c r="I1633" s="85">
        <v>3</v>
      </c>
      <c r="J1633" s="87">
        <v>3.5</v>
      </c>
      <c r="K1633" s="88">
        <f t="shared" si="78"/>
        <v>10.5</v>
      </c>
      <c r="L1633" s="85">
        <v>20064</v>
      </c>
    </row>
    <row r="1634" spans="1:12" x14ac:dyDescent="0.25">
      <c r="A1634" s="84" t="str">
        <f t="shared" si="76"/>
        <v>MarçoSEMANA 5Espinafre</v>
      </c>
      <c r="B1634" s="85" t="s">
        <v>31</v>
      </c>
      <c r="C1634" s="85" t="s">
        <v>24</v>
      </c>
      <c r="D1634" s="86">
        <v>29</v>
      </c>
      <c r="E1634" s="116" t="str">
        <f t="shared" si="77"/>
        <v>Hortifruti</v>
      </c>
      <c r="F1634" s="85" t="s">
        <v>1111</v>
      </c>
      <c r="G1634" s="85" t="s">
        <v>332</v>
      </c>
      <c r="H1634" s="85" t="s">
        <v>1083</v>
      </c>
      <c r="I1634" s="85">
        <v>5</v>
      </c>
      <c r="J1634" s="87">
        <v>9.5</v>
      </c>
      <c r="K1634" s="88">
        <f t="shared" si="78"/>
        <v>47.5</v>
      </c>
      <c r="L1634" s="85">
        <v>20064</v>
      </c>
    </row>
    <row r="1635" spans="1:12" x14ac:dyDescent="0.25">
      <c r="A1635" s="84" t="str">
        <f t="shared" si="76"/>
        <v>MarçoSEMANA 5Laranja Pera</v>
      </c>
      <c r="B1635" s="85" t="s">
        <v>31</v>
      </c>
      <c r="C1635" s="85" t="s">
        <v>24</v>
      </c>
      <c r="D1635" s="86">
        <v>29</v>
      </c>
      <c r="E1635" s="116" t="str">
        <f t="shared" si="77"/>
        <v>Hortifruti</v>
      </c>
      <c r="F1635" s="85" t="s">
        <v>1111</v>
      </c>
      <c r="G1635" s="85" t="s">
        <v>456</v>
      </c>
      <c r="H1635" s="85" t="s">
        <v>1083</v>
      </c>
      <c r="I1635" s="90">
        <v>20.5</v>
      </c>
      <c r="J1635" s="89">
        <f>35.5/20.5</f>
        <v>1.7317073170731707</v>
      </c>
      <c r="K1635" s="88">
        <f t="shared" si="78"/>
        <v>35.5</v>
      </c>
      <c r="L1635" s="85">
        <v>20064</v>
      </c>
    </row>
    <row r="1636" spans="1:12" x14ac:dyDescent="0.25">
      <c r="A1636" s="84" t="str">
        <f t="shared" si="76"/>
        <v>MarçoSEMANA 5Maçã Ácida</v>
      </c>
      <c r="B1636" s="85" t="s">
        <v>31</v>
      </c>
      <c r="C1636" s="85" t="s">
        <v>24</v>
      </c>
      <c r="D1636" s="86">
        <v>29</v>
      </c>
      <c r="E1636" s="116" t="str">
        <f t="shared" si="77"/>
        <v>Hortifruti</v>
      </c>
      <c r="F1636" s="85" t="s">
        <v>1111</v>
      </c>
      <c r="G1636" s="85" t="s">
        <v>474</v>
      </c>
      <c r="H1636" s="85" t="s">
        <v>1083</v>
      </c>
      <c r="I1636" s="85">
        <v>0.5</v>
      </c>
      <c r="J1636" s="87">
        <v>9.9</v>
      </c>
      <c r="K1636" s="88">
        <f t="shared" si="78"/>
        <v>4.95</v>
      </c>
      <c r="L1636" s="85">
        <v>20064</v>
      </c>
    </row>
    <row r="1637" spans="1:12" x14ac:dyDescent="0.25">
      <c r="A1637" s="84" t="str">
        <f t="shared" si="76"/>
        <v>MarçoSEMANA 5Mamão Bahia</v>
      </c>
      <c r="B1637" s="85" t="s">
        <v>31</v>
      </c>
      <c r="C1637" s="85" t="s">
        <v>24</v>
      </c>
      <c r="D1637" s="86">
        <v>29</v>
      </c>
      <c r="E1637" s="116" t="str">
        <f t="shared" si="77"/>
        <v>Hortifruti</v>
      </c>
      <c r="F1637" s="85" t="s">
        <v>1111</v>
      </c>
      <c r="G1637" s="85" t="s">
        <v>493</v>
      </c>
      <c r="H1637" s="85" t="s">
        <v>1083</v>
      </c>
      <c r="I1637" s="85">
        <v>3.5</v>
      </c>
      <c r="J1637" s="87">
        <v>5.75</v>
      </c>
      <c r="K1637" s="88">
        <f t="shared" si="78"/>
        <v>20.125</v>
      </c>
      <c r="L1637" s="85">
        <v>20064</v>
      </c>
    </row>
    <row r="1638" spans="1:12" x14ac:dyDescent="0.25">
      <c r="A1638" s="84" t="str">
        <f t="shared" si="76"/>
        <v>MarçoSEMANA 5Manga Palmer</v>
      </c>
      <c r="B1638" s="85" t="s">
        <v>31</v>
      </c>
      <c r="C1638" s="85" t="s">
        <v>24</v>
      </c>
      <c r="D1638" s="86">
        <v>29</v>
      </c>
      <c r="E1638" s="116" t="str">
        <f t="shared" si="77"/>
        <v>Hortifruti</v>
      </c>
      <c r="F1638" s="85" t="s">
        <v>1111</v>
      </c>
      <c r="G1638" s="85" t="s">
        <v>495</v>
      </c>
      <c r="H1638" s="85" t="s">
        <v>1083</v>
      </c>
      <c r="I1638" s="85">
        <v>6</v>
      </c>
      <c r="J1638" s="87">
        <f>26/6</f>
        <v>4.333333333333333</v>
      </c>
      <c r="K1638" s="88">
        <f t="shared" si="78"/>
        <v>26</v>
      </c>
      <c r="L1638" s="85">
        <v>20064</v>
      </c>
    </row>
    <row r="1639" spans="1:12" x14ac:dyDescent="0.25">
      <c r="A1639" s="84" t="str">
        <f t="shared" si="76"/>
        <v>MarçoSEMANA 5Pera</v>
      </c>
      <c r="B1639" s="85" t="s">
        <v>31</v>
      </c>
      <c r="C1639" s="85" t="s">
        <v>24</v>
      </c>
      <c r="D1639" s="86">
        <v>29</v>
      </c>
      <c r="E1639" s="116" t="str">
        <f t="shared" si="77"/>
        <v>Hortifruti</v>
      </c>
      <c r="F1639" s="85" t="s">
        <v>1111</v>
      </c>
      <c r="G1639" s="85" t="s">
        <v>580</v>
      </c>
      <c r="H1639" s="85" t="s">
        <v>1083</v>
      </c>
      <c r="I1639" s="85">
        <v>2.9</v>
      </c>
      <c r="J1639" s="87">
        <v>8.75</v>
      </c>
      <c r="K1639" s="88">
        <f t="shared" si="78"/>
        <v>25.375</v>
      </c>
      <c r="L1639" s="85">
        <v>20064</v>
      </c>
    </row>
    <row r="1640" spans="1:12" x14ac:dyDescent="0.25">
      <c r="A1640" s="84" t="str">
        <f t="shared" si="76"/>
        <v>MarçoSEMANA 5Pimentão Verde</v>
      </c>
      <c r="B1640" s="85" t="s">
        <v>31</v>
      </c>
      <c r="C1640" s="85" t="s">
        <v>24</v>
      </c>
      <c r="D1640" s="86">
        <v>29</v>
      </c>
      <c r="E1640" s="116" t="str">
        <f t="shared" si="77"/>
        <v>Hortifruti</v>
      </c>
      <c r="F1640" s="85" t="s">
        <v>1111</v>
      </c>
      <c r="G1640" s="85" t="s">
        <v>665</v>
      </c>
      <c r="H1640" s="85" t="s">
        <v>1083</v>
      </c>
      <c r="I1640" s="85">
        <v>1</v>
      </c>
      <c r="J1640" s="87">
        <v>4.6500000000000004</v>
      </c>
      <c r="K1640" s="88">
        <f t="shared" si="78"/>
        <v>4.6500000000000004</v>
      </c>
      <c r="L1640" s="85">
        <v>20064</v>
      </c>
    </row>
    <row r="1641" spans="1:12" x14ac:dyDescent="0.25">
      <c r="A1641" s="84" t="str">
        <f t="shared" si="76"/>
        <v>MarçoSEMANA 5Tomate Salada</v>
      </c>
      <c r="B1641" s="85" t="s">
        <v>31</v>
      </c>
      <c r="C1641" s="85" t="s">
        <v>24</v>
      </c>
      <c r="D1641" s="86">
        <v>29</v>
      </c>
      <c r="E1641" s="116" t="str">
        <f t="shared" si="77"/>
        <v>Hortifruti</v>
      </c>
      <c r="F1641" s="85" t="s">
        <v>1111</v>
      </c>
      <c r="G1641" s="85" t="s">
        <v>794</v>
      </c>
      <c r="H1641" s="85" t="s">
        <v>1083</v>
      </c>
      <c r="I1641" s="85">
        <v>17.058</v>
      </c>
      <c r="J1641" s="87">
        <f>58/17.058</f>
        <v>3.4001641458553173</v>
      </c>
      <c r="K1641" s="88">
        <f t="shared" si="78"/>
        <v>58</v>
      </c>
      <c r="L1641" s="85">
        <v>20064</v>
      </c>
    </row>
    <row r="1642" spans="1:12" x14ac:dyDescent="0.25">
      <c r="A1642" s="84" t="str">
        <f t="shared" si="76"/>
        <v>MarçoSEMANA 5Vagem Macarrão</v>
      </c>
      <c r="B1642" s="85" t="s">
        <v>31</v>
      </c>
      <c r="C1642" s="85" t="s">
        <v>24</v>
      </c>
      <c r="D1642" s="86">
        <v>29</v>
      </c>
      <c r="E1642" s="116" t="str">
        <f t="shared" si="77"/>
        <v>Hortifruti</v>
      </c>
      <c r="F1642" s="85" t="s">
        <v>1111</v>
      </c>
      <c r="G1642" s="85" t="s">
        <v>831</v>
      </c>
      <c r="H1642" s="85" t="s">
        <v>1083</v>
      </c>
      <c r="I1642" s="85">
        <v>1</v>
      </c>
      <c r="J1642" s="87">
        <v>10.9</v>
      </c>
      <c r="K1642" s="88">
        <f t="shared" si="78"/>
        <v>10.9</v>
      </c>
      <c r="L1642" s="85">
        <v>20064</v>
      </c>
    </row>
    <row r="1643" spans="1:12" x14ac:dyDescent="0.25">
      <c r="A1643" s="84" t="str">
        <f t="shared" si="76"/>
        <v>MarçoSEMANA 5Rúcula</v>
      </c>
      <c r="B1643" s="85" t="s">
        <v>31</v>
      </c>
      <c r="C1643" s="85" t="s">
        <v>24</v>
      </c>
      <c r="D1643" s="86">
        <v>29</v>
      </c>
      <c r="E1643" s="116" t="str">
        <f t="shared" si="77"/>
        <v>Hortifruti</v>
      </c>
      <c r="F1643" s="85" t="s">
        <v>1111</v>
      </c>
      <c r="G1643" s="85" t="s">
        <v>705</v>
      </c>
      <c r="H1643" s="85" t="s">
        <v>1083</v>
      </c>
      <c r="I1643" s="85">
        <v>2</v>
      </c>
      <c r="J1643" s="87">
        <v>10.5</v>
      </c>
      <c r="K1643" s="88">
        <f t="shared" si="78"/>
        <v>21</v>
      </c>
      <c r="L1643" s="85">
        <v>20064</v>
      </c>
    </row>
    <row r="1644" spans="1:12" x14ac:dyDescent="0.25">
      <c r="A1644" s="84" t="str">
        <f t="shared" si="76"/>
        <v>MarçoSEMANA 5Alho Descascado</v>
      </c>
      <c r="B1644" s="85" t="s">
        <v>31</v>
      </c>
      <c r="C1644" s="85" t="s">
        <v>24</v>
      </c>
      <c r="D1644" s="86">
        <v>29</v>
      </c>
      <c r="E1644" s="116" t="str">
        <f t="shared" si="77"/>
        <v>Hortifruti</v>
      </c>
      <c r="F1644" s="85" t="s">
        <v>1144</v>
      </c>
      <c r="G1644" s="85" t="s">
        <v>112</v>
      </c>
      <c r="H1644" s="85" t="s">
        <v>1083</v>
      </c>
      <c r="I1644" s="85">
        <v>12</v>
      </c>
      <c r="J1644" s="87">
        <v>13.5</v>
      </c>
      <c r="K1644" s="88">
        <f t="shared" si="78"/>
        <v>162</v>
      </c>
      <c r="L1644" s="85"/>
    </row>
    <row r="1645" spans="1:12" hidden="1" x14ac:dyDescent="0.2">
      <c r="A1645" s="84" t="str">
        <f t="shared" si="76"/>
        <v>MarçoSEMANA 5Pescados - Atum Fresco Sushi</v>
      </c>
      <c r="B1645" s="85" t="s">
        <v>31</v>
      </c>
      <c r="C1645" s="85" t="s">
        <v>24</v>
      </c>
      <c r="D1645" s="86">
        <v>29</v>
      </c>
      <c r="E1645" s="116" t="str">
        <f t="shared" si="77"/>
        <v>Sushi</v>
      </c>
      <c r="F1645" s="85" t="s">
        <v>1131</v>
      </c>
      <c r="G1645" s="85" t="s">
        <v>586</v>
      </c>
      <c r="H1645" s="85" t="s">
        <v>1083</v>
      </c>
      <c r="I1645" s="85">
        <v>30</v>
      </c>
      <c r="J1645" s="87">
        <v>17</v>
      </c>
      <c r="K1645" s="88">
        <f t="shared" si="78"/>
        <v>510</v>
      </c>
      <c r="L1645" s="85">
        <v>4969</v>
      </c>
    </row>
    <row r="1646" spans="1:12" hidden="1" x14ac:dyDescent="0.2">
      <c r="A1646" s="84" t="str">
        <f t="shared" si="76"/>
        <v>MarçoSEMANA 5Pescados - Bacalhau Salgado</v>
      </c>
      <c r="B1646" s="85" t="s">
        <v>31</v>
      </c>
      <c r="C1646" s="85" t="s">
        <v>24</v>
      </c>
      <c r="D1646" s="86">
        <v>29</v>
      </c>
      <c r="E1646" s="116" t="str">
        <f t="shared" si="77"/>
        <v>Carnes</v>
      </c>
      <c r="F1646" s="85" t="s">
        <v>1108</v>
      </c>
      <c r="G1646" s="85" t="s">
        <v>588</v>
      </c>
      <c r="H1646" s="85" t="s">
        <v>1083</v>
      </c>
      <c r="I1646" s="85">
        <v>25</v>
      </c>
      <c r="J1646" s="87">
        <f>1372.88/25</f>
        <v>54.915200000000006</v>
      </c>
      <c r="K1646" s="88">
        <f t="shared" si="78"/>
        <v>1372.88</v>
      </c>
      <c r="L1646" s="85" t="s">
        <v>1348</v>
      </c>
    </row>
    <row r="1647" spans="1:12" hidden="1" x14ac:dyDescent="0.2">
      <c r="A1647" s="84" t="str">
        <f t="shared" si="76"/>
        <v>MarçoSEMANA 5Clara de Ovo</v>
      </c>
      <c r="B1647" s="85" t="s">
        <v>31</v>
      </c>
      <c r="C1647" s="85" t="s">
        <v>24</v>
      </c>
      <c r="D1647" s="86">
        <v>29</v>
      </c>
      <c r="E1647" s="116" t="str">
        <f t="shared" si="77"/>
        <v>Mercado</v>
      </c>
      <c r="F1647" s="85" t="s">
        <v>1151</v>
      </c>
      <c r="G1647" s="85" t="s">
        <v>282</v>
      </c>
      <c r="H1647" s="85" t="s">
        <v>1083</v>
      </c>
      <c r="I1647" s="85">
        <v>6.3</v>
      </c>
      <c r="J1647" s="87">
        <f>75/6.3</f>
        <v>11.904761904761905</v>
      </c>
      <c r="K1647" s="88">
        <f t="shared" si="78"/>
        <v>75</v>
      </c>
      <c r="L1647" s="85"/>
    </row>
    <row r="1648" spans="1:12" hidden="1" x14ac:dyDescent="0.2">
      <c r="A1648" s="84" t="str">
        <f t="shared" si="76"/>
        <v>MarçoSEMANA 5Torta Bem Casado de Damasco</v>
      </c>
      <c r="B1648" s="85" t="s">
        <v>31</v>
      </c>
      <c r="C1648" s="85" t="s">
        <v>24</v>
      </c>
      <c r="D1648" s="86">
        <v>29</v>
      </c>
      <c r="E1648" s="116" t="str">
        <f t="shared" si="77"/>
        <v>Sobremesa</v>
      </c>
      <c r="F1648" s="85" t="s">
        <v>1146</v>
      </c>
      <c r="G1648" s="85" t="s">
        <v>807</v>
      </c>
      <c r="H1648" s="85" t="s">
        <v>1349</v>
      </c>
      <c r="I1648" s="85">
        <v>12</v>
      </c>
      <c r="J1648" s="87">
        <f>(66.9+4.24)/12</f>
        <v>5.9283333333333337</v>
      </c>
      <c r="K1648" s="88">
        <f t="shared" si="78"/>
        <v>71.14</v>
      </c>
      <c r="L1648" s="85">
        <v>150997</v>
      </c>
    </row>
    <row r="1649" spans="1:12" hidden="1" x14ac:dyDescent="0.2">
      <c r="A1649" s="84" t="str">
        <f t="shared" si="76"/>
        <v>MarçoSEMANA 5Torta Bem Casado de Doce de Leite</v>
      </c>
      <c r="B1649" s="85" t="s">
        <v>31</v>
      </c>
      <c r="C1649" s="85" t="s">
        <v>24</v>
      </c>
      <c r="D1649" s="86">
        <v>29</v>
      </c>
      <c r="E1649" s="116" t="str">
        <f t="shared" si="77"/>
        <v>Sobremesa</v>
      </c>
      <c r="F1649" s="85" t="s">
        <v>1146</v>
      </c>
      <c r="G1649" s="85" t="s">
        <v>808</v>
      </c>
      <c r="H1649" s="85" t="s">
        <v>1349</v>
      </c>
      <c r="I1649" s="85">
        <v>12</v>
      </c>
      <c r="J1649" s="87">
        <f>(66.9+4.24)/12</f>
        <v>5.9283333333333337</v>
      </c>
      <c r="K1649" s="88">
        <f t="shared" si="78"/>
        <v>71.14</v>
      </c>
      <c r="L1649" s="85">
        <v>150997</v>
      </c>
    </row>
    <row r="1650" spans="1:12" hidden="1" x14ac:dyDescent="0.2">
      <c r="A1650" s="84" t="str">
        <f t="shared" si="76"/>
        <v>MarçoSEMANA 5Torta Bem Casado de Chocolate c/ Avelã</v>
      </c>
      <c r="B1650" s="85" t="s">
        <v>31</v>
      </c>
      <c r="C1650" s="85" t="s">
        <v>24</v>
      </c>
      <c r="D1650" s="86">
        <v>29</v>
      </c>
      <c r="E1650" s="116" t="str">
        <f t="shared" si="77"/>
        <v>Sobremesa</v>
      </c>
      <c r="F1650" s="85" t="s">
        <v>1146</v>
      </c>
      <c r="G1650" s="85" t="s">
        <v>806</v>
      </c>
      <c r="H1650" s="85" t="s">
        <v>1349</v>
      </c>
      <c r="I1650" s="85">
        <v>12</v>
      </c>
      <c r="J1650" s="87">
        <f>(66.9+4.24)/12</f>
        <v>5.9283333333333337</v>
      </c>
      <c r="K1650" s="88">
        <f t="shared" si="78"/>
        <v>71.14</v>
      </c>
      <c r="L1650" s="85">
        <v>150997</v>
      </c>
    </row>
    <row r="1651" spans="1:12" hidden="1" x14ac:dyDescent="0.2">
      <c r="A1651" s="84" t="str">
        <f t="shared" si="76"/>
        <v>MarçoSEMANA 5Torta Banana Crock</v>
      </c>
      <c r="B1651" s="85" t="s">
        <v>31</v>
      </c>
      <c r="C1651" s="85" t="s">
        <v>24</v>
      </c>
      <c r="D1651" s="86">
        <v>29</v>
      </c>
      <c r="E1651" s="116" t="str">
        <f t="shared" si="77"/>
        <v>Sobremesa</v>
      </c>
      <c r="F1651" s="85" t="s">
        <v>1146</v>
      </c>
      <c r="G1651" s="85" t="s">
        <v>804</v>
      </c>
      <c r="H1651" s="85" t="s">
        <v>1349</v>
      </c>
      <c r="I1651" s="85">
        <v>12</v>
      </c>
      <c r="J1651" s="87">
        <f t="shared" ref="J1651:J1652" si="79">(66.9+4.24)/12</f>
        <v>5.9283333333333337</v>
      </c>
      <c r="K1651" s="88">
        <f t="shared" si="78"/>
        <v>71.14</v>
      </c>
      <c r="L1651" s="85">
        <v>150997</v>
      </c>
    </row>
    <row r="1652" spans="1:12" hidden="1" x14ac:dyDescent="0.2">
      <c r="A1652" s="84" t="str">
        <f t="shared" si="76"/>
        <v>MarçoSEMANA 5Torta Financier com Quindim</v>
      </c>
      <c r="B1652" s="85" t="s">
        <v>31</v>
      </c>
      <c r="C1652" s="85" t="s">
        <v>24</v>
      </c>
      <c r="D1652" s="86">
        <v>29</v>
      </c>
      <c r="E1652" s="116" t="str">
        <f t="shared" si="77"/>
        <v>Sobremesa</v>
      </c>
      <c r="F1652" s="85" t="s">
        <v>1146</v>
      </c>
      <c r="G1652" s="85" t="s">
        <v>988</v>
      </c>
      <c r="H1652" s="85" t="s">
        <v>1349</v>
      </c>
      <c r="I1652" s="85">
        <v>12</v>
      </c>
      <c r="J1652" s="87">
        <f t="shared" si="79"/>
        <v>5.9283333333333337</v>
      </c>
      <c r="K1652" s="88">
        <f t="shared" si="78"/>
        <v>71.14</v>
      </c>
      <c r="L1652" s="85">
        <v>150997</v>
      </c>
    </row>
    <row r="1653" spans="1:12" hidden="1" x14ac:dyDescent="0.2">
      <c r="A1653" s="84" t="str">
        <f t="shared" si="76"/>
        <v>MarçoSEMANA 5Castanha de Caju Picada</v>
      </c>
      <c r="B1653" s="85" t="s">
        <v>31</v>
      </c>
      <c r="C1653" s="85" t="s">
        <v>24</v>
      </c>
      <c r="D1653" s="86">
        <v>29</v>
      </c>
      <c r="E1653" s="116" t="str">
        <f t="shared" si="77"/>
        <v>Mercado</v>
      </c>
      <c r="F1653" s="85" t="s">
        <v>1115</v>
      </c>
      <c r="G1653" s="85" t="s">
        <v>238</v>
      </c>
      <c r="H1653" s="85" t="s">
        <v>1083</v>
      </c>
      <c r="I1653" s="85">
        <v>1</v>
      </c>
      <c r="J1653" s="87">
        <v>54.9</v>
      </c>
      <c r="K1653" s="88">
        <f t="shared" si="78"/>
        <v>54.9</v>
      </c>
      <c r="L1653" s="85" t="s">
        <v>1350</v>
      </c>
    </row>
    <row r="1654" spans="1:12" hidden="1" x14ac:dyDescent="0.2">
      <c r="A1654" s="84" t="str">
        <f t="shared" si="76"/>
        <v>MarçoSEMANA 5Coloral</v>
      </c>
      <c r="B1654" s="85" t="s">
        <v>31</v>
      </c>
      <c r="C1654" s="85" t="s">
        <v>24</v>
      </c>
      <c r="D1654" s="86">
        <v>29</v>
      </c>
      <c r="E1654" s="116" t="str">
        <f t="shared" si="77"/>
        <v>Mercado</v>
      </c>
      <c r="F1654" s="85" t="s">
        <v>1115</v>
      </c>
      <c r="G1654" s="85" t="s">
        <v>295</v>
      </c>
      <c r="H1654" s="85" t="s">
        <v>1083</v>
      </c>
      <c r="I1654" s="85">
        <v>0.3</v>
      </c>
      <c r="J1654" s="87">
        <v>5.5</v>
      </c>
      <c r="K1654" s="88">
        <f t="shared" si="78"/>
        <v>1.65</v>
      </c>
      <c r="L1654" s="85" t="s">
        <v>1350</v>
      </c>
    </row>
    <row r="1655" spans="1:12" hidden="1" x14ac:dyDescent="0.2">
      <c r="A1655" s="84" t="str">
        <f t="shared" si="76"/>
        <v>MarçoSEMANA 5Curry</v>
      </c>
      <c r="B1655" s="85" t="s">
        <v>31</v>
      </c>
      <c r="C1655" s="85" t="s">
        <v>24</v>
      </c>
      <c r="D1655" s="86">
        <v>29</v>
      </c>
      <c r="E1655" s="116" t="str">
        <f t="shared" si="77"/>
        <v>Mercado</v>
      </c>
      <c r="F1655" s="85" t="s">
        <v>1115</v>
      </c>
      <c r="G1655" s="85" t="s">
        <v>317</v>
      </c>
      <c r="H1655" s="85" t="s">
        <v>1083</v>
      </c>
      <c r="I1655" s="85">
        <v>0.3</v>
      </c>
      <c r="J1655" s="87">
        <v>9.5</v>
      </c>
      <c r="K1655" s="88">
        <f t="shared" si="78"/>
        <v>2.85</v>
      </c>
      <c r="L1655" s="85" t="s">
        <v>1350</v>
      </c>
    </row>
    <row r="1656" spans="1:12" hidden="1" x14ac:dyDescent="0.2">
      <c r="A1656" s="84" t="str">
        <f t="shared" si="76"/>
        <v>MarçoSEMANA 5Mostarda Dijom em Grão</v>
      </c>
      <c r="B1656" s="85" t="s">
        <v>31</v>
      </c>
      <c r="C1656" s="85" t="s">
        <v>24</v>
      </c>
      <c r="D1656" s="86">
        <v>29</v>
      </c>
      <c r="E1656" s="116" t="str">
        <f t="shared" si="77"/>
        <v>Mercado</v>
      </c>
      <c r="F1656" s="85" t="s">
        <v>1115</v>
      </c>
      <c r="G1656" s="85" t="s">
        <v>532</v>
      </c>
      <c r="H1656" s="85" t="s">
        <v>1090</v>
      </c>
      <c r="I1656" s="85">
        <v>1</v>
      </c>
      <c r="J1656" s="87">
        <v>22.5</v>
      </c>
      <c r="K1656" s="88">
        <f t="shared" si="78"/>
        <v>22.5</v>
      </c>
      <c r="L1656" s="85" t="s">
        <v>1350</v>
      </c>
    </row>
    <row r="1657" spans="1:12" hidden="1" x14ac:dyDescent="0.2">
      <c r="A1657" s="84" t="str">
        <f t="shared" si="76"/>
        <v>MarçoSEMANA 5Nozes sem casca</v>
      </c>
      <c r="B1657" s="85" t="s">
        <v>31</v>
      </c>
      <c r="C1657" s="85" t="s">
        <v>24</v>
      </c>
      <c r="D1657" s="86">
        <v>29</v>
      </c>
      <c r="E1657" s="116" t="str">
        <f t="shared" si="77"/>
        <v>Mercado</v>
      </c>
      <c r="F1657" s="85" t="s">
        <v>1115</v>
      </c>
      <c r="G1657" s="85" t="s">
        <v>539</v>
      </c>
      <c r="H1657" s="85" t="s">
        <v>1083</v>
      </c>
      <c r="I1657" s="85">
        <v>1</v>
      </c>
      <c r="J1657" s="87">
        <v>69.900000000000006</v>
      </c>
      <c r="K1657" s="88">
        <f t="shared" si="78"/>
        <v>69.900000000000006</v>
      </c>
      <c r="L1657" s="85" t="s">
        <v>1350</v>
      </c>
    </row>
    <row r="1658" spans="1:12" hidden="1" x14ac:dyDescent="0.2">
      <c r="A1658" s="84" t="str">
        <f t="shared" si="76"/>
        <v>MarçoSEMANA 5Passas Preta</v>
      </c>
      <c r="B1658" s="85" t="s">
        <v>31</v>
      </c>
      <c r="C1658" s="85" t="s">
        <v>24</v>
      </c>
      <c r="D1658" s="86">
        <v>29</v>
      </c>
      <c r="E1658" s="116" t="str">
        <f t="shared" si="77"/>
        <v>Mercado</v>
      </c>
      <c r="F1658" s="85" t="s">
        <v>1115</v>
      </c>
      <c r="G1658" s="85" t="s">
        <v>573</v>
      </c>
      <c r="H1658" s="85" t="s">
        <v>1083</v>
      </c>
      <c r="I1658" s="85">
        <v>1</v>
      </c>
      <c r="J1658" s="87">
        <v>14.9</v>
      </c>
      <c r="K1658" s="88">
        <f t="shared" si="78"/>
        <v>14.9</v>
      </c>
      <c r="L1658" s="85" t="s">
        <v>1350</v>
      </c>
    </row>
    <row r="1659" spans="1:12" hidden="1" x14ac:dyDescent="0.2">
      <c r="A1659" s="84" t="str">
        <f t="shared" si="76"/>
        <v>MarçoSEMANA 5Quinoa</v>
      </c>
      <c r="B1659" s="85" t="s">
        <v>31</v>
      </c>
      <c r="C1659" s="85" t="s">
        <v>24</v>
      </c>
      <c r="D1659" s="86">
        <v>29</v>
      </c>
      <c r="E1659" s="116" t="str">
        <f t="shared" si="77"/>
        <v>Mercado</v>
      </c>
      <c r="F1659" s="85" t="s">
        <v>1115</v>
      </c>
      <c r="G1659" s="85" t="s">
        <v>692</v>
      </c>
      <c r="H1659" s="85" t="s">
        <v>1083</v>
      </c>
      <c r="I1659" s="85">
        <v>2</v>
      </c>
      <c r="J1659" s="87">
        <v>22</v>
      </c>
      <c r="K1659" s="88">
        <f t="shared" si="78"/>
        <v>44</v>
      </c>
      <c r="L1659" s="85" t="s">
        <v>1350</v>
      </c>
    </row>
    <row r="1660" spans="1:12" hidden="1" x14ac:dyDescent="0.2">
      <c r="A1660" s="84" t="str">
        <f t="shared" si="76"/>
        <v>MarçoSEMANA 5Tahine Lata 500 gr</v>
      </c>
      <c r="B1660" s="85" t="s">
        <v>31</v>
      </c>
      <c r="C1660" s="85" t="s">
        <v>24</v>
      </c>
      <c r="D1660" s="86">
        <v>29</v>
      </c>
      <c r="E1660" s="116" t="str">
        <f t="shared" si="77"/>
        <v>Mercado</v>
      </c>
      <c r="F1660" s="85" t="s">
        <v>1115</v>
      </c>
      <c r="G1660" s="85" t="s">
        <v>778</v>
      </c>
      <c r="H1660" s="85" t="s">
        <v>1083</v>
      </c>
      <c r="I1660" s="85">
        <v>1</v>
      </c>
      <c r="J1660" s="87">
        <v>38</v>
      </c>
      <c r="K1660" s="88">
        <f t="shared" si="78"/>
        <v>38</v>
      </c>
      <c r="L1660" s="85" t="s">
        <v>1350</v>
      </c>
    </row>
    <row r="1661" spans="1:12" hidden="1" x14ac:dyDescent="0.2">
      <c r="A1661" s="84" t="str">
        <f t="shared" si="76"/>
        <v>MarçoSEMANA 5Trigo em Grão</v>
      </c>
      <c r="B1661" s="85" t="s">
        <v>31</v>
      </c>
      <c r="C1661" s="85" t="s">
        <v>24</v>
      </c>
      <c r="D1661" s="86">
        <v>29</v>
      </c>
      <c r="E1661" s="116" t="str">
        <f t="shared" si="77"/>
        <v>Mercado</v>
      </c>
      <c r="F1661" s="85" t="s">
        <v>1115</v>
      </c>
      <c r="G1661" s="85" t="s">
        <v>824</v>
      </c>
      <c r="H1661" s="85" t="s">
        <v>1083</v>
      </c>
      <c r="I1661" s="85">
        <v>1</v>
      </c>
      <c r="J1661" s="87">
        <v>3.9</v>
      </c>
      <c r="K1661" s="88">
        <f t="shared" si="78"/>
        <v>3.9</v>
      </c>
      <c r="L1661" s="85" t="s">
        <v>1350</v>
      </c>
    </row>
    <row r="1662" spans="1:12" hidden="1" x14ac:dyDescent="0.2">
      <c r="A1662" s="84" t="str">
        <f t="shared" si="76"/>
        <v xml:space="preserve">MarçoSEMANA 5Torta Mousse de Chocolate </v>
      </c>
      <c r="B1662" s="85" t="s">
        <v>31</v>
      </c>
      <c r="C1662" s="85" t="s">
        <v>24</v>
      </c>
      <c r="D1662" s="86">
        <v>29</v>
      </c>
      <c r="E1662" s="116" t="str">
        <f t="shared" si="77"/>
        <v>Sobremesa</v>
      </c>
      <c r="F1662" s="85" t="s">
        <v>1150</v>
      </c>
      <c r="G1662" s="85" t="s">
        <v>816</v>
      </c>
      <c r="H1662" s="85" t="s">
        <v>1147</v>
      </c>
      <c r="I1662" s="85">
        <v>12</v>
      </c>
      <c r="J1662" s="87">
        <f>49.66/12</f>
        <v>4.1383333333333328</v>
      </c>
      <c r="K1662" s="88">
        <f t="shared" si="78"/>
        <v>49.66</v>
      </c>
      <c r="L1662" s="85">
        <v>103684</v>
      </c>
    </row>
    <row r="1663" spans="1:12" hidden="1" x14ac:dyDescent="0.2">
      <c r="A1663" s="84" t="str">
        <f t="shared" si="76"/>
        <v>MarçoSEMANA 5Torta Capuccino Diet</v>
      </c>
      <c r="B1663" s="85" t="s">
        <v>31</v>
      </c>
      <c r="C1663" s="85" t="s">
        <v>24</v>
      </c>
      <c r="D1663" s="86">
        <v>29</v>
      </c>
      <c r="E1663" s="116" t="str">
        <f t="shared" si="77"/>
        <v>Sobremesa</v>
      </c>
      <c r="F1663" s="85" t="s">
        <v>1150</v>
      </c>
      <c r="G1663" s="85" t="s">
        <v>811</v>
      </c>
      <c r="H1663" s="85" t="s">
        <v>1147</v>
      </c>
      <c r="I1663" s="85">
        <v>10</v>
      </c>
      <c r="J1663" s="87">
        <f>58.91/10</f>
        <v>5.891</v>
      </c>
      <c r="K1663" s="88">
        <f t="shared" si="78"/>
        <v>58.91</v>
      </c>
      <c r="L1663" s="85">
        <v>103684</v>
      </c>
    </row>
    <row r="1664" spans="1:12" hidden="1" x14ac:dyDescent="0.2">
      <c r="A1664" s="84" t="str">
        <f t="shared" si="76"/>
        <v>MarçoSEMANA 5Torta Mousse de Chocolate Diet</v>
      </c>
      <c r="B1664" s="85" t="s">
        <v>31</v>
      </c>
      <c r="C1664" s="85" t="s">
        <v>24</v>
      </c>
      <c r="D1664" s="86">
        <v>29</v>
      </c>
      <c r="E1664" s="116" t="str">
        <f t="shared" si="77"/>
        <v>Sobremesa</v>
      </c>
      <c r="F1664" s="85" t="s">
        <v>1150</v>
      </c>
      <c r="G1664" s="85" t="s">
        <v>817</v>
      </c>
      <c r="H1664" s="85" t="s">
        <v>1147</v>
      </c>
      <c r="I1664" s="85">
        <v>12</v>
      </c>
      <c r="J1664" s="87">
        <f>58.91/12</f>
        <v>4.9091666666666667</v>
      </c>
      <c r="K1664" s="88">
        <f t="shared" si="78"/>
        <v>58.91</v>
      </c>
      <c r="L1664" s="85">
        <v>103711</v>
      </c>
    </row>
    <row r="1665" spans="1:12" hidden="1" x14ac:dyDescent="0.2">
      <c r="A1665" s="84" t="str">
        <f t="shared" si="76"/>
        <v>MarçoSEMANA 5Pepino Japonês Sushi</v>
      </c>
      <c r="B1665" s="85" t="s">
        <v>31</v>
      </c>
      <c r="C1665" s="85" t="s">
        <v>24</v>
      </c>
      <c r="D1665" s="86">
        <v>28</v>
      </c>
      <c r="E1665" s="116" t="str">
        <f t="shared" si="77"/>
        <v>Sushi</v>
      </c>
      <c r="F1665" s="85" t="s">
        <v>1110</v>
      </c>
      <c r="G1665" s="85" t="s">
        <v>578</v>
      </c>
      <c r="H1665" s="85" t="s">
        <v>1083</v>
      </c>
      <c r="I1665" s="85">
        <v>1.238</v>
      </c>
      <c r="J1665" s="87">
        <f>45/17.74</f>
        <v>2.5366403607666292</v>
      </c>
      <c r="K1665" s="88">
        <f t="shared" si="78"/>
        <v>3.1403607666290871</v>
      </c>
      <c r="L1665" s="85">
        <v>3581</v>
      </c>
    </row>
    <row r="1666" spans="1:12" hidden="1" x14ac:dyDescent="0.2">
      <c r="A1666" s="84" t="str">
        <f t="shared" ref="A1666:A1729" si="80">CONCATENATE(B1666,C1666,G1666)</f>
        <v>MarçoSEMANA 5Gelo em Escamas</v>
      </c>
      <c r="B1666" s="85" t="s">
        <v>31</v>
      </c>
      <c r="C1666" s="85" t="s">
        <v>24</v>
      </c>
      <c r="D1666" s="86">
        <v>30</v>
      </c>
      <c r="E1666" s="116" t="str">
        <f t="shared" ref="E1666:E1729" si="81">VLOOKUP(G1666,$M$1:$O$993,3,0)</f>
        <v>Mercado</v>
      </c>
      <c r="F1666" s="85" t="s">
        <v>1096</v>
      </c>
      <c r="G1666" s="85" t="s">
        <v>384</v>
      </c>
      <c r="H1666" s="85" t="s">
        <v>1097</v>
      </c>
      <c r="I1666" s="85">
        <v>2</v>
      </c>
      <c r="J1666" s="87">
        <v>7.5</v>
      </c>
      <c r="K1666" s="88">
        <f t="shared" ref="K1666:K1729" si="82">I1666*J1666</f>
        <v>15</v>
      </c>
      <c r="L1666" s="85">
        <v>4559</v>
      </c>
    </row>
    <row r="1667" spans="1:12" hidden="1" x14ac:dyDescent="0.2">
      <c r="A1667" s="84" t="str">
        <f t="shared" si="80"/>
        <v>MarçoSEMANA 5Gelo em Cubo</v>
      </c>
      <c r="B1667" s="85" t="s">
        <v>31</v>
      </c>
      <c r="C1667" s="85" t="s">
        <v>24</v>
      </c>
      <c r="D1667" s="86">
        <v>30</v>
      </c>
      <c r="E1667" s="116" t="str">
        <f t="shared" si="81"/>
        <v>Mercado</v>
      </c>
      <c r="F1667" s="85" t="s">
        <v>1096</v>
      </c>
      <c r="G1667" s="85" t="s">
        <v>383</v>
      </c>
      <c r="H1667" s="85" t="s">
        <v>1097</v>
      </c>
      <c r="I1667" s="85">
        <v>3</v>
      </c>
      <c r="J1667" s="87">
        <v>7.5</v>
      </c>
      <c r="K1667" s="88">
        <f t="shared" si="82"/>
        <v>22.5</v>
      </c>
      <c r="L1667" s="85">
        <v>4559</v>
      </c>
    </row>
    <row r="1668" spans="1:12" x14ac:dyDescent="0.25">
      <c r="A1668" s="84" t="str">
        <f t="shared" si="80"/>
        <v>MarçoSEMANA 5Beterraba</v>
      </c>
      <c r="B1668" s="85" t="s">
        <v>31</v>
      </c>
      <c r="C1668" s="85" t="s">
        <v>24</v>
      </c>
      <c r="D1668" s="86">
        <v>30</v>
      </c>
      <c r="E1668" s="116" t="str">
        <f t="shared" si="81"/>
        <v>Hortifruti</v>
      </c>
      <c r="F1668" s="85" t="s">
        <v>1110</v>
      </c>
      <c r="G1668" s="85" t="s">
        <v>181</v>
      </c>
      <c r="H1668" s="85" t="s">
        <v>1083</v>
      </c>
      <c r="I1668" s="85">
        <v>6</v>
      </c>
      <c r="J1668" s="87">
        <v>2.6</v>
      </c>
      <c r="K1668" s="88">
        <f t="shared" si="82"/>
        <v>15.600000000000001</v>
      </c>
      <c r="L1668" s="85">
        <v>3586</v>
      </c>
    </row>
    <row r="1669" spans="1:12" x14ac:dyDescent="0.25">
      <c r="A1669" s="84" t="str">
        <f t="shared" si="80"/>
        <v>MarçoSEMANA 5Cenoura</v>
      </c>
      <c r="B1669" s="85" t="s">
        <v>31</v>
      </c>
      <c r="C1669" s="85" t="s">
        <v>24</v>
      </c>
      <c r="D1669" s="86">
        <v>30</v>
      </c>
      <c r="E1669" s="116" t="str">
        <f t="shared" si="81"/>
        <v>Hortifruti</v>
      </c>
      <c r="F1669" s="85" t="s">
        <v>1110</v>
      </c>
      <c r="G1669" s="85" t="s">
        <v>249</v>
      </c>
      <c r="H1669" s="85" t="s">
        <v>1083</v>
      </c>
      <c r="I1669" s="85">
        <v>19.32</v>
      </c>
      <c r="J1669" s="87">
        <f>60/19.32</f>
        <v>3.1055900621118013</v>
      </c>
      <c r="K1669" s="88">
        <f t="shared" si="82"/>
        <v>60</v>
      </c>
      <c r="L1669" s="85">
        <v>3586</v>
      </c>
    </row>
    <row r="1670" spans="1:12" x14ac:dyDescent="0.25">
      <c r="A1670" s="84" t="str">
        <f t="shared" si="80"/>
        <v>MarçoSEMANA 5Tomate Salada</v>
      </c>
      <c r="B1670" s="85" t="s">
        <v>31</v>
      </c>
      <c r="C1670" s="85" t="s">
        <v>24</v>
      </c>
      <c r="D1670" s="86">
        <v>30</v>
      </c>
      <c r="E1670" s="116" t="str">
        <f t="shared" si="81"/>
        <v>Hortifruti</v>
      </c>
      <c r="F1670" s="85" t="s">
        <v>1110</v>
      </c>
      <c r="G1670" s="85" t="s">
        <v>794</v>
      </c>
      <c r="H1670" s="85" t="s">
        <v>1083</v>
      </c>
      <c r="I1670" s="85">
        <v>19.54</v>
      </c>
      <c r="J1670" s="87">
        <f>55/19.54</f>
        <v>2.8147389969293757</v>
      </c>
      <c r="K1670" s="88">
        <f t="shared" si="82"/>
        <v>55</v>
      </c>
      <c r="L1670" s="85">
        <v>3586</v>
      </c>
    </row>
    <row r="1671" spans="1:12" x14ac:dyDescent="0.25">
      <c r="A1671" s="84" t="str">
        <f t="shared" si="80"/>
        <v>MarçoSEMANA 5Tomate Cereja</v>
      </c>
      <c r="B1671" s="85" t="s">
        <v>31</v>
      </c>
      <c r="C1671" s="85" t="s">
        <v>24</v>
      </c>
      <c r="D1671" s="86">
        <v>30</v>
      </c>
      <c r="E1671" s="116" t="str">
        <f t="shared" si="81"/>
        <v>Hortifruti</v>
      </c>
      <c r="F1671" s="85" t="s">
        <v>1110</v>
      </c>
      <c r="G1671" s="85" t="s">
        <v>789</v>
      </c>
      <c r="H1671" s="85" t="s">
        <v>1083</v>
      </c>
      <c r="I1671" s="85">
        <v>5</v>
      </c>
      <c r="J1671" s="87">
        <v>7</v>
      </c>
      <c r="K1671" s="88">
        <f t="shared" si="82"/>
        <v>35</v>
      </c>
      <c r="L1671" s="85">
        <v>3586</v>
      </c>
    </row>
    <row r="1672" spans="1:12" x14ac:dyDescent="0.25">
      <c r="A1672" s="84" t="str">
        <f t="shared" si="80"/>
        <v>MarçoSEMANA 5Vagem Macarrão</v>
      </c>
      <c r="B1672" s="85" t="s">
        <v>31</v>
      </c>
      <c r="C1672" s="85" t="s">
        <v>24</v>
      </c>
      <c r="D1672" s="86">
        <v>30</v>
      </c>
      <c r="E1672" s="116" t="str">
        <f t="shared" si="81"/>
        <v>Hortifruti</v>
      </c>
      <c r="F1672" s="85" t="s">
        <v>1110</v>
      </c>
      <c r="G1672" s="85" t="s">
        <v>831</v>
      </c>
      <c r="H1672" s="85" t="s">
        <v>1083</v>
      </c>
      <c r="I1672" s="85">
        <v>0.5</v>
      </c>
      <c r="J1672" s="87">
        <v>8</v>
      </c>
      <c r="K1672" s="88">
        <f t="shared" si="82"/>
        <v>4</v>
      </c>
      <c r="L1672" s="85">
        <v>3586</v>
      </c>
    </row>
    <row r="1673" spans="1:12" x14ac:dyDescent="0.25">
      <c r="A1673" s="84" t="str">
        <f t="shared" si="80"/>
        <v xml:space="preserve">MarçoSEMANA 5Alface Americana    </v>
      </c>
      <c r="B1673" s="85" t="s">
        <v>31</v>
      </c>
      <c r="C1673" s="85" t="s">
        <v>24</v>
      </c>
      <c r="D1673" s="86">
        <v>30</v>
      </c>
      <c r="E1673" s="116" t="str">
        <f t="shared" si="81"/>
        <v>Hortifruti</v>
      </c>
      <c r="F1673" s="85" t="s">
        <v>1110</v>
      </c>
      <c r="G1673" s="85" t="s">
        <v>102</v>
      </c>
      <c r="H1673" s="85" t="s">
        <v>1083</v>
      </c>
      <c r="I1673" s="85">
        <v>4.3</v>
      </c>
      <c r="J1673" s="87">
        <f>48/4.3</f>
        <v>11.162790697674419</v>
      </c>
      <c r="K1673" s="88">
        <f t="shared" si="82"/>
        <v>48</v>
      </c>
      <c r="L1673" s="85">
        <v>3586</v>
      </c>
    </row>
    <row r="1674" spans="1:12" x14ac:dyDescent="0.25">
      <c r="A1674" s="84" t="str">
        <f t="shared" si="80"/>
        <v>MarçoSEMANA 5Alface Roxa</v>
      </c>
      <c r="B1674" s="85" t="s">
        <v>31</v>
      </c>
      <c r="C1674" s="85" t="s">
        <v>24</v>
      </c>
      <c r="D1674" s="86">
        <v>30</v>
      </c>
      <c r="E1674" s="116" t="str">
        <f t="shared" si="81"/>
        <v>Hortifruti</v>
      </c>
      <c r="F1674" s="85" t="s">
        <v>1110</v>
      </c>
      <c r="G1674" s="85" t="s">
        <v>108</v>
      </c>
      <c r="H1674" s="85" t="s">
        <v>1083</v>
      </c>
      <c r="I1674" s="85">
        <v>0.4</v>
      </c>
      <c r="J1674" s="87">
        <f>4.5/0.4</f>
        <v>11.25</v>
      </c>
      <c r="K1674" s="88">
        <f t="shared" si="82"/>
        <v>4.5</v>
      </c>
      <c r="L1674" s="85">
        <v>3586</v>
      </c>
    </row>
    <row r="1675" spans="1:12" x14ac:dyDescent="0.25">
      <c r="A1675" s="84" t="str">
        <f t="shared" si="80"/>
        <v>MarçoSEMANA 5Cebolinha Verde</v>
      </c>
      <c r="B1675" s="85" t="s">
        <v>31</v>
      </c>
      <c r="C1675" s="85" t="s">
        <v>24</v>
      </c>
      <c r="D1675" s="86">
        <v>30</v>
      </c>
      <c r="E1675" s="116" t="str">
        <f t="shared" si="81"/>
        <v>Hortifruti</v>
      </c>
      <c r="F1675" s="85" t="s">
        <v>1110</v>
      </c>
      <c r="G1675" s="85" t="s">
        <v>247</v>
      </c>
      <c r="H1675" s="85" t="s">
        <v>1083</v>
      </c>
      <c r="I1675" s="85">
        <v>0.5</v>
      </c>
      <c r="J1675" s="87">
        <v>7</v>
      </c>
      <c r="K1675" s="88">
        <f t="shared" si="82"/>
        <v>3.5</v>
      </c>
      <c r="L1675" s="85">
        <v>3586</v>
      </c>
    </row>
    <row r="1676" spans="1:12" x14ac:dyDescent="0.25">
      <c r="A1676" s="84" t="str">
        <f t="shared" si="80"/>
        <v>MarçoSEMANA 5Coentro</v>
      </c>
      <c r="B1676" s="85" t="s">
        <v>31</v>
      </c>
      <c r="C1676" s="85" t="s">
        <v>24</v>
      </c>
      <c r="D1676" s="86">
        <v>30</v>
      </c>
      <c r="E1676" s="116" t="str">
        <f t="shared" si="81"/>
        <v>Hortifruti</v>
      </c>
      <c r="F1676" s="85" t="s">
        <v>1110</v>
      </c>
      <c r="G1676" s="85" t="s">
        <v>289</v>
      </c>
      <c r="H1676" s="85" t="s">
        <v>1083</v>
      </c>
      <c r="I1676" s="85">
        <v>0.3</v>
      </c>
      <c r="J1676" s="87">
        <v>25</v>
      </c>
      <c r="K1676" s="88">
        <f t="shared" si="82"/>
        <v>7.5</v>
      </c>
      <c r="L1676" s="85">
        <v>3586</v>
      </c>
    </row>
    <row r="1677" spans="1:12" x14ac:dyDescent="0.25">
      <c r="A1677" s="84" t="str">
        <f t="shared" si="80"/>
        <v>MarçoSEMANA 5Manjericão</v>
      </c>
      <c r="B1677" s="85" t="s">
        <v>31</v>
      </c>
      <c r="C1677" s="85" t="s">
        <v>24</v>
      </c>
      <c r="D1677" s="86">
        <v>30</v>
      </c>
      <c r="E1677" s="116" t="str">
        <f t="shared" si="81"/>
        <v>Hortifruti</v>
      </c>
      <c r="F1677" s="85" t="s">
        <v>1110</v>
      </c>
      <c r="G1677" s="85" t="s">
        <v>498</v>
      </c>
      <c r="H1677" s="85" t="s">
        <v>1083</v>
      </c>
      <c r="I1677" s="85">
        <v>0.2</v>
      </c>
      <c r="J1677" s="87">
        <v>10</v>
      </c>
      <c r="K1677" s="88">
        <f t="shared" si="82"/>
        <v>2</v>
      </c>
      <c r="L1677" s="85">
        <v>3586</v>
      </c>
    </row>
    <row r="1678" spans="1:12" x14ac:dyDescent="0.25">
      <c r="A1678" s="84" t="str">
        <f t="shared" si="80"/>
        <v>MarçoSEMANA 5Salsa</v>
      </c>
      <c r="B1678" s="85" t="s">
        <v>31</v>
      </c>
      <c r="C1678" s="85" t="s">
        <v>24</v>
      </c>
      <c r="D1678" s="86">
        <v>30</v>
      </c>
      <c r="E1678" s="116" t="str">
        <f t="shared" si="81"/>
        <v>Hortifruti</v>
      </c>
      <c r="F1678" s="85" t="s">
        <v>1110</v>
      </c>
      <c r="G1678" s="85" t="s">
        <v>728</v>
      </c>
      <c r="H1678" s="85" t="s">
        <v>1083</v>
      </c>
      <c r="I1678" s="85">
        <v>1</v>
      </c>
      <c r="J1678" s="87">
        <v>7</v>
      </c>
      <c r="K1678" s="88">
        <f t="shared" si="82"/>
        <v>7</v>
      </c>
      <c r="L1678" s="85">
        <v>3586</v>
      </c>
    </row>
    <row r="1679" spans="1:12" x14ac:dyDescent="0.25">
      <c r="A1679" s="84" t="str">
        <f t="shared" si="80"/>
        <v>MarçoSEMANA 5Mamão Bahia</v>
      </c>
      <c r="B1679" s="85" t="s">
        <v>31</v>
      </c>
      <c r="C1679" s="85" t="s">
        <v>24</v>
      </c>
      <c r="D1679" s="86">
        <v>30</v>
      </c>
      <c r="E1679" s="116" t="str">
        <f t="shared" si="81"/>
        <v>Hortifruti</v>
      </c>
      <c r="F1679" s="85" t="s">
        <v>1110</v>
      </c>
      <c r="G1679" s="85" t="s">
        <v>493</v>
      </c>
      <c r="H1679" s="85" t="s">
        <v>1083</v>
      </c>
      <c r="I1679" s="85">
        <v>2</v>
      </c>
      <c r="J1679" s="87">
        <v>4</v>
      </c>
      <c r="K1679" s="88">
        <f t="shared" si="82"/>
        <v>8</v>
      </c>
      <c r="L1679" s="85">
        <v>3586</v>
      </c>
    </row>
    <row r="1680" spans="1:12" x14ac:dyDescent="0.25">
      <c r="A1680" s="84" t="str">
        <f t="shared" si="80"/>
        <v>MarçoSEMANA 5Manga Palmer</v>
      </c>
      <c r="B1680" s="85" t="s">
        <v>31</v>
      </c>
      <c r="C1680" s="85" t="s">
        <v>24</v>
      </c>
      <c r="D1680" s="86">
        <v>30</v>
      </c>
      <c r="E1680" s="116" t="str">
        <f t="shared" si="81"/>
        <v>Hortifruti</v>
      </c>
      <c r="F1680" s="85" t="s">
        <v>1110</v>
      </c>
      <c r="G1680" s="85" t="s">
        <v>495</v>
      </c>
      <c r="H1680" s="85" t="s">
        <v>1083</v>
      </c>
      <c r="I1680" s="85">
        <v>8.44</v>
      </c>
      <c r="J1680" s="87">
        <f>25/8.44</f>
        <v>2.9620853080568721</v>
      </c>
      <c r="K1680" s="88">
        <f t="shared" si="82"/>
        <v>25</v>
      </c>
      <c r="L1680" s="85">
        <v>3586</v>
      </c>
    </row>
    <row r="1681" spans="1:12" x14ac:dyDescent="0.25">
      <c r="A1681" s="84" t="str">
        <f t="shared" si="80"/>
        <v>MarçoSEMANA 5Capim Limão</v>
      </c>
      <c r="B1681" s="85" t="s">
        <v>31</v>
      </c>
      <c r="C1681" s="85" t="s">
        <v>24</v>
      </c>
      <c r="D1681" s="86">
        <v>30</v>
      </c>
      <c r="E1681" s="116" t="str">
        <f t="shared" si="81"/>
        <v>Hortifruti</v>
      </c>
      <c r="F1681" s="85" t="s">
        <v>1110</v>
      </c>
      <c r="G1681" s="85" t="s">
        <v>211</v>
      </c>
      <c r="H1681" s="85" t="s">
        <v>1083</v>
      </c>
      <c r="I1681" s="85">
        <v>0.1</v>
      </c>
      <c r="J1681" s="87">
        <v>15</v>
      </c>
      <c r="K1681" s="88">
        <f t="shared" si="82"/>
        <v>1.5</v>
      </c>
      <c r="L1681" s="85">
        <v>3586</v>
      </c>
    </row>
    <row r="1682" spans="1:12" hidden="1" x14ac:dyDescent="0.2">
      <c r="A1682" s="84" t="str">
        <f t="shared" si="80"/>
        <v>MarçoSEMANA 5Hondashi 6 saches</v>
      </c>
      <c r="B1682" s="85" t="s">
        <v>31</v>
      </c>
      <c r="C1682" s="85" t="s">
        <v>24</v>
      </c>
      <c r="D1682" s="86">
        <v>30</v>
      </c>
      <c r="E1682" s="116" t="str">
        <f t="shared" si="81"/>
        <v>Mercado</v>
      </c>
      <c r="F1682" s="85" t="s">
        <v>1351</v>
      </c>
      <c r="G1682" s="85" t="s">
        <v>403</v>
      </c>
      <c r="H1682" s="85" t="s">
        <v>1090</v>
      </c>
      <c r="I1682" s="85">
        <f>48*6</f>
        <v>288</v>
      </c>
      <c r="J1682" s="87">
        <f>462.72/288</f>
        <v>1.6066666666666667</v>
      </c>
      <c r="K1682" s="88">
        <f t="shared" si="82"/>
        <v>462.72</v>
      </c>
      <c r="L1682" s="85">
        <v>12791</v>
      </c>
    </row>
    <row r="1683" spans="1:12" x14ac:dyDescent="0.25">
      <c r="A1683" s="84" t="str">
        <f t="shared" si="80"/>
        <v xml:space="preserve">MarçoSEMANA 5Abacaxi </v>
      </c>
      <c r="B1683" s="85" t="s">
        <v>31</v>
      </c>
      <c r="C1683" s="85" t="s">
        <v>24</v>
      </c>
      <c r="D1683" s="86">
        <v>30</v>
      </c>
      <c r="E1683" s="116" t="str">
        <f t="shared" si="81"/>
        <v>Hortifruti</v>
      </c>
      <c r="F1683" s="85" t="s">
        <v>1111</v>
      </c>
      <c r="G1683" s="85" t="s">
        <v>65</v>
      </c>
      <c r="H1683" s="85" t="s">
        <v>1083</v>
      </c>
      <c r="I1683" s="85">
        <v>6</v>
      </c>
      <c r="J1683" s="87">
        <v>3.25</v>
      </c>
      <c r="K1683" s="88">
        <f t="shared" si="82"/>
        <v>19.5</v>
      </c>
      <c r="L1683" s="85">
        <v>20079</v>
      </c>
    </row>
    <row r="1684" spans="1:12" x14ac:dyDescent="0.25">
      <c r="A1684" s="84" t="str">
        <f t="shared" si="80"/>
        <v>MarçoSEMANA 5Batata HBT</v>
      </c>
      <c r="B1684" s="85" t="s">
        <v>31</v>
      </c>
      <c r="C1684" s="85" t="s">
        <v>24</v>
      </c>
      <c r="D1684" s="86">
        <v>30</v>
      </c>
      <c r="E1684" s="116" t="str">
        <f t="shared" si="81"/>
        <v>Hortifruti</v>
      </c>
      <c r="F1684" s="85" t="s">
        <v>1111</v>
      </c>
      <c r="G1684" s="85" t="s">
        <v>171</v>
      </c>
      <c r="H1684" s="85" t="s">
        <v>1083</v>
      </c>
      <c r="I1684" s="85">
        <v>25</v>
      </c>
      <c r="J1684" s="87">
        <v>1.59</v>
      </c>
      <c r="K1684" s="88">
        <f t="shared" si="82"/>
        <v>39.75</v>
      </c>
      <c r="L1684" s="85">
        <v>20079</v>
      </c>
    </row>
    <row r="1685" spans="1:12" x14ac:dyDescent="0.25">
      <c r="A1685" s="84" t="str">
        <f t="shared" si="80"/>
        <v>MarçoSEMANA 5Cebola</v>
      </c>
      <c r="B1685" s="85" t="s">
        <v>31</v>
      </c>
      <c r="C1685" s="85" t="s">
        <v>24</v>
      </c>
      <c r="D1685" s="86">
        <v>30</v>
      </c>
      <c r="E1685" s="116" t="str">
        <f t="shared" si="81"/>
        <v>Hortifruti</v>
      </c>
      <c r="F1685" s="85" t="s">
        <v>1111</v>
      </c>
      <c r="G1685" s="85" t="s">
        <v>241</v>
      </c>
      <c r="H1685" s="85" t="s">
        <v>1083</v>
      </c>
      <c r="I1685" s="85">
        <v>19.84</v>
      </c>
      <c r="J1685" s="87">
        <f>46.5/19.84</f>
        <v>2.34375</v>
      </c>
      <c r="K1685" s="88">
        <f t="shared" si="82"/>
        <v>46.5</v>
      </c>
      <c r="L1685" s="85">
        <v>20079</v>
      </c>
    </row>
    <row r="1686" spans="1:12" x14ac:dyDescent="0.25">
      <c r="A1686" s="84" t="str">
        <f t="shared" si="80"/>
        <v>MarçoSEMANA 5Kiwi</v>
      </c>
      <c r="B1686" s="85" t="s">
        <v>31</v>
      </c>
      <c r="C1686" s="85" t="s">
        <v>24</v>
      </c>
      <c r="D1686" s="86">
        <v>30</v>
      </c>
      <c r="E1686" s="116" t="str">
        <f t="shared" si="81"/>
        <v>Hortifruti</v>
      </c>
      <c r="F1686" s="85" t="s">
        <v>1111</v>
      </c>
      <c r="G1686" s="85" t="s">
        <v>453</v>
      </c>
      <c r="H1686" s="85" t="s">
        <v>1083</v>
      </c>
      <c r="I1686" s="85">
        <v>0.5</v>
      </c>
      <c r="J1686" s="87">
        <v>11.5</v>
      </c>
      <c r="K1686" s="88">
        <f t="shared" si="82"/>
        <v>5.75</v>
      </c>
      <c r="L1686" s="85">
        <v>20079</v>
      </c>
    </row>
    <row r="1687" spans="1:12" hidden="1" x14ac:dyDescent="0.2">
      <c r="A1687" s="84" t="str">
        <f t="shared" si="80"/>
        <v>MarçoSEMANA 5Salsa Crespa Sushi</v>
      </c>
      <c r="B1687" s="85" t="s">
        <v>31</v>
      </c>
      <c r="C1687" s="85" t="s">
        <v>24</v>
      </c>
      <c r="D1687" s="86">
        <v>30</v>
      </c>
      <c r="E1687" s="116" t="str">
        <f t="shared" si="81"/>
        <v>Sushi</v>
      </c>
      <c r="F1687" s="85" t="s">
        <v>1111</v>
      </c>
      <c r="G1687" s="85" t="s">
        <v>730</v>
      </c>
      <c r="H1687" s="85" t="s">
        <v>1083</v>
      </c>
      <c r="I1687" s="85">
        <v>0.1</v>
      </c>
      <c r="J1687" s="87">
        <v>13</v>
      </c>
      <c r="K1687" s="88">
        <f t="shared" si="82"/>
        <v>1.3</v>
      </c>
      <c r="L1687" s="85">
        <v>20079</v>
      </c>
    </row>
    <row r="1688" spans="1:12" x14ac:dyDescent="0.25">
      <c r="A1688" s="84" t="str">
        <f t="shared" si="80"/>
        <v>MarçoSEMANA 5Côco Verde</v>
      </c>
      <c r="B1688" s="85" t="s">
        <v>31</v>
      </c>
      <c r="C1688" s="85" t="s">
        <v>24</v>
      </c>
      <c r="D1688" s="86">
        <v>30</v>
      </c>
      <c r="E1688" s="116" t="str">
        <f t="shared" si="81"/>
        <v>Hortifruti</v>
      </c>
      <c r="F1688" s="85" t="s">
        <v>1111</v>
      </c>
      <c r="G1688" s="85" t="s">
        <v>288</v>
      </c>
      <c r="H1688" s="85" t="s">
        <v>1090</v>
      </c>
      <c r="I1688" s="85">
        <v>15</v>
      </c>
      <c r="J1688" s="87">
        <v>2.4500000000000002</v>
      </c>
      <c r="K1688" s="88">
        <f t="shared" si="82"/>
        <v>36.75</v>
      </c>
      <c r="L1688" s="85">
        <v>20079</v>
      </c>
    </row>
    <row r="1689" spans="1:12" x14ac:dyDescent="0.25">
      <c r="A1689" s="84" t="str">
        <f t="shared" si="80"/>
        <v>MarçoSEMANA 5Rúcula</v>
      </c>
      <c r="B1689" s="85" t="s">
        <v>31</v>
      </c>
      <c r="C1689" s="85" t="s">
        <v>24</v>
      </c>
      <c r="D1689" s="86">
        <v>30</v>
      </c>
      <c r="E1689" s="116" t="str">
        <f t="shared" si="81"/>
        <v>Hortifruti</v>
      </c>
      <c r="F1689" s="85" t="s">
        <v>1111</v>
      </c>
      <c r="G1689" s="85" t="s">
        <v>705</v>
      </c>
      <c r="H1689" s="85" t="s">
        <v>1083</v>
      </c>
      <c r="I1689" s="85">
        <v>2</v>
      </c>
      <c r="J1689" s="87">
        <v>10.5</v>
      </c>
      <c r="K1689" s="88">
        <f t="shared" si="82"/>
        <v>21</v>
      </c>
      <c r="L1689" s="85" t="s">
        <v>1352</v>
      </c>
    </row>
    <row r="1690" spans="1:12" hidden="1" x14ac:dyDescent="0.2">
      <c r="A1690" s="84" t="str">
        <f t="shared" si="80"/>
        <v>MarçoSEMANA 5Azeite Extra Virgem (Santiago) 500 ml</v>
      </c>
      <c r="B1690" s="85" t="s">
        <v>31</v>
      </c>
      <c r="C1690" s="85" t="s">
        <v>24</v>
      </c>
      <c r="D1690" s="86">
        <v>31</v>
      </c>
      <c r="E1690" s="116" t="str">
        <f t="shared" si="81"/>
        <v>Mercado</v>
      </c>
      <c r="F1690" s="85" t="s">
        <v>1353</v>
      </c>
      <c r="G1690" s="85" t="s">
        <v>153</v>
      </c>
      <c r="H1690" s="85" t="s">
        <v>1089</v>
      </c>
      <c r="I1690" s="85">
        <v>2</v>
      </c>
      <c r="J1690" s="87">
        <v>137.87</v>
      </c>
      <c r="K1690" s="88">
        <f t="shared" si="82"/>
        <v>275.74</v>
      </c>
      <c r="L1690" s="85" t="s">
        <v>1354</v>
      </c>
    </row>
    <row r="1691" spans="1:12" hidden="1" x14ac:dyDescent="0.2">
      <c r="A1691" s="84" t="str">
        <f t="shared" si="80"/>
        <v>MarçoSEMANA 5Vinagre de Arroz Sushi</v>
      </c>
      <c r="B1691" s="85" t="s">
        <v>31</v>
      </c>
      <c r="C1691" s="85" t="s">
        <v>24</v>
      </c>
      <c r="D1691" s="86">
        <v>31</v>
      </c>
      <c r="E1691" s="116" t="str">
        <f t="shared" si="81"/>
        <v>Sushi</v>
      </c>
      <c r="F1691" s="85" t="s">
        <v>1353</v>
      </c>
      <c r="G1691" s="85" t="s">
        <v>839</v>
      </c>
      <c r="H1691" s="85" t="s">
        <v>1090</v>
      </c>
      <c r="I1691" s="85">
        <v>12</v>
      </c>
      <c r="J1691" s="87">
        <v>3.65</v>
      </c>
      <c r="K1691" s="88">
        <f t="shared" si="82"/>
        <v>43.8</v>
      </c>
      <c r="L1691" s="85" t="s">
        <v>1354</v>
      </c>
    </row>
    <row r="1692" spans="1:12" x14ac:dyDescent="0.25">
      <c r="A1692" s="84" t="str">
        <f t="shared" si="80"/>
        <v xml:space="preserve">MarçoSEMANA 5Alface Americana    </v>
      </c>
      <c r="B1692" s="85" t="s">
        <v>31</v>
      </c>
      <c r="C1692" s="85" t="s">
        <v>24</v>
      </c>
      <c r="D1692" s="86">
        <v>31</v>
      </c>
      <c r="E1692" s="116" t="str">
        <f t="shared" si="81"/>
        <v>Hortifruti</v>
      </c>
      <c r="F1692" s="85" t="s">
        <v>1190</v>
      </c>
      <c r="G1692" s="85" t="s">
        <v>102</v>
      </c>
      <c r="H1692" s="85" t="s">
        <v>1083</v>
      </c>
      <c r="I1692" s="85">
        <v>3.84</v>
      </c>
      <c r="J1692" s="87">
        <f>32/3.84</f>
        <v>8.3333333333333339</v>
      </c>
      <c r="K1692" s="88">
        <f t="shared" si="82"/>
        <v>32</v>
      </c>
      <c r="L1692" s="85">
        <v>222663</v>
      </c>
    </row>
    <row r="1693" spans="1:12" hidden="1" x14ac:dyDescent="0.2">
      <c r="A1693" s="84" t="str">
        <f t="shared" si="80"/>
        <v>MarçoSEMANA 5Pão Francês</v>
      </c>
      <c r="B1693" s="85" t="s">
        <v>31</v>
      </c>
      <c r="C1693" s="85" t="s">
        <v>24</v>
      </c>
      <c r="D1693" s="86">
        <v>31</v>
      </c>
      <c r="E1693" s="116" t="str">
        <f t="shared" si="81"/>
        <v>Mercado</v>
      </c>
      <c r="F1693" s="85" t="s">
        <v>1118</v>
      </c>
      <c r="G1693" s="85" t="s">
        <v>564</v>
      </c>
      <c r="H1693" s="85" t="s">
        <v>1083</v>
      </c>
      <c r="I1693" s="90">
        <v>0.14499999999999999</v>
      </c>
      <c r="J1693" s="89">
        <v>13.98</v>
      </c>
      <c r="K1693" s="88">
        <f t="shared" si="82"/>
        <v>2.0270999999999999</v>
      </c>
      <c r="L1693" s="85">
        <v>99244</v>
      </c>
    </row>
    <row r="1694" spans="1:12" hidden="1" x14ac:dyDescent="0.2">
      <c r="A1694" s="84" t="str">
        <f t="shared" si="80"/>
        <v>MarçoSEMANA 5Goiabada</v>
      </c>
      <c r="B1694" s="85" t="s">
        <v>31</v>
      </c>
      <c r="C1694" s="85" t="s">
        <v>24</v>
      </c>
      <c r="D1694" s="86">
        <v>31</v>
      </c>
      <c r="E1694" s="116" t="str">
        <f t="shared" si="81"/>
        <v>Mercado</v>
      </c>
      <c r="F1694" s="85" t="s">
        <v>1118</v>
      </c>
      <c r="G1694" s="85" t="s">
        <v>392</v>
      </c>
      <c r="H1694" s="85" t="s">
        <v>1090</v>
      </c>
      <c r="I1694" s="85">
        <v>1</v>
      </c>
      <c r="J1694" s="87">
        <v>7.98</v>
      </c>
      <c r="K1694" s="88">
        <f t="shared" si="82"/>
        <v>7.98</v>
      </c>
      <c r="L1694" s="85">
        <v>133566</v>
      </c>
    </row>
    <row r="1695" spans="1:12" hidden="1" x14ac:dyDescent="0.2">
      <c r="A1695" s="84" t="str">
        <f t="shared" si="80"/>
        <v>MarçoSEMANA 5Pão Árabe</v>
      </c>
      <c r="B1695" s="85" t="s">
        <v>31</v>
      </c>
      <c r="C1695" s="85" t="s">
        <v>24</v>
      </c>
      <c r="D1695" s="86">
        <v>31</v>
      </c>
      <c r="E1695" s="116" t="str">
        <f t="shared" si="81"/>
        <v>Mercado</v>
      </c>
      <c r="F1695" s="85" t="s">
        <v>1118</v>
      </c>
      <c r="G1695" s="85" t="s">
        <v>560</v>
      </c>
      <c r="H1695" s="85" t="s">
        <v>1114</v>
      </c>
      <c r="I1695" s="85">
        <v>6</v>
      </c>
      <c r="J1695" s="87">
        <v>6.7</v>
      </c>
      <c r="K1695" s="88">
        <f t="shared" si="82"/>
        <v>40.200000000000003</v>
      </c>
      <c r="L1695" s="85">
        <v>133566</v>
      </c>
    </row>
    <row r="1696" spans="1:12" hidden="1" x14ac:dyDescent="0.2">
      <c r="A1696" s="84" t="str">
        <f t="shared" si="80"/>
        <v>MarçoSEMANA 5Batata Palha 140 g</v>
      </c>
      <c r="B1696" s="85" t="s">
        <v>31</v>
      </c>
      <c r="C1696" s="85" t="s">
        <v>24</v>
      </c>
      <c r="D1696" s="86">
        <v>31</v>
      </c>
      <c r="E1696" s="116" t="str">
        <f t="shared" si="81"/>
        <v>Mercado</v>
      </c>
      <c r="F1696" s="85" t="s">
        <v>1118</v>
      </c>
      <c r="G1696" s="85" t="s">
        <v>174</v>
      </c>
      <c r="H1696" s="85" t="s">
        <v>1114</v>
      </c>
      <c r="I1696" s="85">
        <v>2</v>
      </c>
      <c r="J1696" s="87">
        <v>7.5</v>
      </c>
      <c r="K1696" s="88">
        <f t="shared" si="82"/>
        <v>15</v>
      </c>
      <c r="L1696" s="85">
        <v>133566</v>
      </c>
    </row>
    <row r="1697" spans="1:12" hidden="1" x14ac:dyDescent="0.2">
      <c r="A1697" s="84" t="str">
        <f t="shared" si="80"/>
        <v>MarçoSEMANA 5Creme de Leite Chantily</v>
      </c>
      <c r="B1697" s="85" t="s">
        <v>31</v>
      </c>
      <c r="C1697" s="85" t="s">
        <v>24</v>
      </c>
      <c r="D1697" s="86">
        <v>31</v>
      </c>
      <c r="E1697" s="116" t="str">
        <f t="shared" si="81"/>
        <v>Laticínios</v>
      </c>
      <c r="F1697" s="85" t="s">
        <v>1158</v>
      </c>
      <c r="G1697" s="85" t="s">
        <v>314</v>
      </c>
      <c r="H1697" s="85" t="s">
        <v>1083</v>
      </c>
      <c r="I1697" s="85">
        <v>0.5</v>
      </c>
      <c r="J1697" s="87">
        <f>16.99/0.5</f>
        <v>33.979999999999997</v>
      </c>
      <c r="K1697" s="88">
        <f t="shared" si="82"/>
        <v>16.989999999999998</v>
      </c>
      <c r="L1697" s="85">
        <v>53383</v>
      </c>
    </row>
    <row r="1698" spans="1:12" x14ac:dyDescent="0.25">
      <c r="A1698" s="84" t="str">
        <f t="shared" si="80"/>
        <v>MarçoSEMANA 5Acelga</v>
      </c>
      <c r="B1698" s="85" t="s">
        <v>31</v>
      </c>
      <c r="C1698" s="85" t="s">
        <v>24</v>
      </c>
      <c r="D1698" s="86">
        <v>31</v>
      </c>
      <c r="E1698" s="116" t="str">
        <f t="shared" si="81"/>
        <v>Hortifruti</v>
      </c>
      <c r="F1698" s="85" t="s">
        <v>1158</v>
      </c>
      <c r="G1698" s="85" t="s">
        <v>75</v>
      </c>
      <c r="H1698" s="85" t="s">
        <v>1083</v>
      </c>
      <c r="I1698" s="85">
        <v>0.6</v>
      </c>
      <c r="J1698" s="87">
        <f>5.99/0.6</f>
        <v>9.9833333333333343</v>
      </c>
      <c r="K1698" s="88">
        <f t="shared" si="82"/>
        <v>5.99</v>
      </c>
      <c r="L1698" s="85">
        <v>83044</v>
      </c>
    </row>
    <row r="1699" spans="1:12" x14ac:dyDescent="0.25">
      <c r="A1699" s="84" t="str">
        <f t="shared" si="80"/>
        <v>MarçoSEMANA 5Brócolis Americano</v>
      </c>
      <c r="B1699" s="85" t="s">
        <v>31</v>
      </c>
      <c r="C1699" s="85" t="s">
        <v>24</v>
      </c>
      <c r="D1699" s="86">
        <v>31</v>
      </c>
      <c r="E1699" s="116" t="str">
        <f t="shared" si="81"/>
        <v>Hortifruti</v>
      </c>
      <c r="F1699" s="85" t="s">
        <v>1158</v>
      </c>
      <c r="G1699" s="85" t="s">
        <v>194</v>
      </c>
      <c r="H1699" s="85" t="s">
        <v>1083</v>
      </c>
      <c r="I1699" s="85">
        <v>2</v>
      </c>
      <c r="J1699" s="87">
        <f>30.36/2</f>
        <v>15.18</v>
      </c>
      <c r="K1699" s="88">
        <f t="shared" si="82"/>
        <v>30.36</v>
      </c>
      <c r="L1699" s="85">
        <v>83044</v>
      </c>
    </row>
    <row r="1700" spans="1:12" hidden="1" x14ac:dyDescent="0.2">
      <c r="A1700" s="84" t="str">
        <f t="shared" si="80"/>
        <v>MarçoSEMANA 5Gelo em Escamas</v>
      </c>
      <c r="B1700" s="85" t="s">
        <v>31</v>
      </c>
      <c r="C1700" s="85" t="s">
        <v>24</v>
      </c>
      <c r="D1700" s="86">
        <v>31</v>
      </c>
      <c r="E1700" s="116" t="str">
        <f t="shared" si="81"/>
        <v>Mercado</v>
      </c>
      <c r="F1700" s="85" t="s">
        <v>1096</v>
      </c>
      <c r="G1700" s="85" t="s">
        <v>384</v>
      </c>
      <c r="H1700" s="85" t="s">
        <v>1097</v>
      </c>
      <c r="I1700" s="85">
        <v>2</v>
      </c>
      <c r="J1700" s="87">
        <v>7.5</v>
      </c>
      <c r="K1700" s="88">
        <f t="shared" si="82"/>
        <v>15</v>
      </c>
      <c r="L1700" s="85">
        <v>4707</v>
      </c>
    </row>
    <row r="1701" spans="1:12" hidden="1" x14ac:dyDescent="0.2">
      <c r="A1701" s="84" t="str">
        <f t="shared" si="80"/>
        <v>MarçoSEMANA 5Gelo em Cubo</v>
      </c>
      <c r="B1701" s="85" t="s">
        <v>31</v>
      </c>
      <c r="C1701" s="85" t="s">
        <v>24</v>
      </c>
      <c r="D1701" s="86">
        <v>31</v>
      </c>
      <c r="E1701" s="116" t="str">
        <f t="shared" si="81"/>
        <v>Mercado</v>
      </c>
      <c r="F1701" s="85" t="s">
        <v>1096</v>
      </c>
      <c r="G1701" s="85" t="s">
        <v>383</v>
      </c>
      <c r="H1701" s="85" t="s">
        <v>1097</v>
      </c>
      <c r="I1701" s="85">
        <v>3</v>
      </c>
      <c r="J1701" s="87">
        <v>7.5</v>
      </c>
      <c r="K1701" s="88">
        <f t="shared" si="82"/>
        <v>22.5</v>
      </c>
      <c r="L1701" s="85">
        <v>4707</v>
      </c>
    </row>
    <row r="1702" spans="1:12" x14ac:dyDescent="0.25">
      <c r="A1702" s="84" t="str">
        <f t="shared" si="80"/>
        <v>MarçoSEMANA 5Batata Yacon</v>
      </c>
      <c r="B1702" s="85" t="s">
        <v>31</v>
      </c>
      <c r="C1702" s="85" t="s">
        <v>24</v>
      </c>
      <c r="D1702" s="86">
        <v>31</v>
      </c>
      <c r="E1702" s="116" t="str">
        <f t="shared" si="81"/>
        <v>Hortifruti</v>
      </c>
      <c r="F1702" s="85" t="s">
        <v>1110</v>
      </c>
      <c r="G1702" s="85" t="s">
        <v>177</v>
      </c>
      <c r="H1702" s="85" t="s">
        <v>1083</v>
      </c>
      <c r="I1702" s="85">
        <v>0.5</v>
      </c>
      <c r="J1702" s="87">
        <v>8</v>
      </c>
      <c r="K1702" s="88">
        <f t="shared" si="82"/>
        <v>4</v>
      </c>
      <c r="L1702" s="85">
        <v>3588</v>
      </c>
    </row>
    <row r="1703" spans="1:12" x14ac:dyDescent="0.25">
      <c r="A1703" s="84" t="str">
        <f t="shared" si="80"/>
        <v>MarçoSEMANA 5Berinjela</v>
      </c>
      <c r="B1703" s="85" t="s">
        <v>31</v>
      </c>
      <c r="C1703" s="85" t="s">
        <v>24</v>
      </c>
      <c r="D1703" s="86">
        <v>31</v>
      </c>
      <c r="E1703" s="116" t="str">
        <f t="shared" si="81"/>
        <v>Hortifruti</v>
      </c>
      <c r="F1703" s="85" t="s">
        <v>1110</v>
      </c>
      <c r="G1703" s="85" t="s">
        <v>178</v>
      </c>
      <c r="H1703" s="85" t="s">
        <v>1083</v>
      </c>
      <c r="I1703" s="85">
        <v>9.68</v>
      </c>
      <c r="J1703" s="87">
        <f>18/9.68</f>
        <v>1.859504132231405</v>
      </c>
      <c r="K1703" s="88">
        <f t="shared" si="82"/>
        <v>18</v>
      </c>
      <c r="L1703" s="85">
        <v>3588</v>
      </c>
    </row>
    <row r="1704" spans="1:12" x14ac:dyDescent="0.25">
      <c r="A1704" s="84" t="str">
        <f t="shared" si="80"/>
        <v>MarçoSEMANA 5Beterraba</v>
      </c>
      <c r="B1704" s="85" t="s">
        <v>31</v>
      </c>
      <c r="C1704" s="85" t="s">
        <v>24</v>
      </c>
      <c r="D1704" s="86">
        <v>31</v>
      </c>
      <c r="E1704" s="116" t="str">
        <f t="shared" si="81"/>
        <v>Hortifruti</v>
      </c>
      <c r="F1704" s="85" t="s">
        <v>1110</v>
      </c>
      <c r="G1704" s="85" t="s">
        <v>181</v>
      </c>
      <c r="H1704" s="85" t="s">
        <v>1083</v>
      </c>
      <c r="I1704" s="85">
        <v>10</v>
      </c>
      <c r="J1704" s="87">
        <v>2.6</v>
      </c>
      <c r="K1704" s="88">
        <f t="shared" si="82"/>
        <v>26</v>
      </c>
      <c r="L1704" s="85">
        <v>3588</v>
      </c>
    </row>
    <row r="1705" spans="1:12" x14ac:dyDescent="0.25">
      <c r="A1705" s="84" t="str">
        <f t="shared" si="80"/>
        <v>MarçoSEMANA 5Cenoura</v>
      </c>
      <c r="B1705" s="85" t="s">
        <v>31</v>
      </c>
      <c r="C1705" s="85" t="s">
        <v>24</v>
      </c>
      <c r="D1705" s="86">
        <v>31</v>
      </c>
      <c r="E1705" s="116" t="str">
        <f t="shared" si="81"/>
        <v>Hortifruti</v>
      </c>
      <c r="F1705" s="85" t="s">
        <v>1110</v>
      </c>
      <c r="G1705" s="85" t="s">
        <v>249</v>
      </c>
      <c r="H1705" s="85" t="s">
        <v>1083</v>
      </c>
      <c r="I1705" s="90">
        <v>19.399999999999999</v>
      </c>
      <c r="J1705" s="89">
        <f>60/19.4</f>
        <v>3.0927835051546393</v>
      </c>
      <c r="K1705" s="88">
        <f t="shared" si="82"/>
        <v>60</v>
      </c>
      <c r="L1705" s="85">
        <v>3588</v>
      </c>
    </row>
    <row r="1706" spans="1:12" x14ac:dyDescent="0.25">
      <c r="A1706" s="84" t="str">
        <f t="shared" si="80"/>
        <v>MarçoSEMANA 5Pepino Japonês</v>
      </c>
      <c r="B1706" s="85" t="s">
        <v>31</v>
      </c>
      <c r="C1706" s="85" t="s">
        <v>24</v>
      </c>
      <c r="D1706" s="86">
        <v>31</v>
      </c>
      <c r="E1706" s="116" t="str">
        <f t="shared" si="81"/>
        <v>Hortifruti</v>
      </c>
      <c r="F1706" s="85" t="s">
        <v>1110</v>
      </c>
      <c r="G1706" s="85" t="s">
        <v>576</v>
      </c>
      <c r="H1706" s="85" t="s">
        <v>1083</v>
      </c>
      <c r="I1706" s="90">
        <v>19.190000000000001</v>
      </c>
      <c r="J1706" s="89">
        <f>45/19.19</f>
        <v>2.3449713392391871</v>
      </c>
      <c r="K1706" s="88">
        <f t="shared" si="82"/>
        <v>45</v>
      </c>
      <c r="L1706" s="85">
        <v>3588</v>
      </c>
    </row>
    <row r="1707" spans="1:12" x14ac:dyDescent="0.25">
      <c r="A1707" s="84" t="str">
        <f t="shared" si="80"/>
        <v>MarçoSEMANA 5Pimentão Verde</v>
      </c>
      <c r="B1707" s="85" t="s">
        <v>31</v>
      </c>
      <c r="C1707" s="85" t="s">
        <v>24</v>
      </c>
      <c r="D1707" s="86">
        <v>31</v>
      </c>
      <c r="E1707" s="116" t="str">
        <f t="shared" si="81"/>
        <v>Hortifruti</v>
      </c>
      <c r="F1707" s="85" t="s">
        <v>1110</v>
      </c>
      <c r="G1707" s="85" t="s">
        <v>665</v>
      </c>
      <c r="H1707" s="85" t="s">
        <v>1083</v>
      </c>
      <c r="I1707" s="85">
        <v>1</v>
      </c>
      <c r="J1707" s="87">
        <v>4</v>
      </c>
      <c r="K1707" s="88">
        <f t="shared" si="82"/>
        <v>4</v>
      </c>
      <c r="L1707" s="85">
        <v>3588</v>
      </c>
    </row>
    <row r="1708" spans="1:12" x14ac:dyDescent="0.25">
      <c r="A1708" s="84" t="str">
        <f t="shared" si="80"/>
        <v>MarçoSEMANA 5Repolho</v>
      </c>
      <c r="B1708" s="85" t="s">
        <v>31</v>
      </c>
      <c r="C1708" s="85" t="s">
        <v>24</v>
      </c>
      <c r="D1708" s="86">
        <v>31</v>
      </c>
      <c r="E1708" s="116" t="str">
        <f t="shared" si="81"/>
        <v>Hortifruti</v>
      </c>
      <c r="F1708" s="85" t="s">
        <v>1110</v>
      </c>
      <c r="G1708" s="85" t="s">
        <v>700</v>
      </c>
      <c r="H1708" s="85" t="s">
        <v>1083</v>
      </c>
      <c r="I1708" s="85">
        <v>3</v>
      </c>
      <c r="J1708" s="87">
        <v>2</v>
      </c>
      <c r="K1708" s="88">
        <f t="shared" si="82"/>
        <v>6</v>
      </c>
      <c r="L1708" s="85">
        <v>3588</v>
      </c>
    </row>
    <row r="1709" spans="1:12" x14ac:dyDescent="0.25">
      <c r="A1709" s="84" t="str">
        <f t="shared" si="80"/>
        <v>MarçoSEMANA 5Tomate Salada</v>
      </c>
      <c r="B1709" s="85" t="s">
        <v>31</v>
      </c>
      <c r="C1709" s="85" t="s">
        <v>24</v>
      </c>
      <c r="D1709" s="86">
        <v>31</v>
      </c>
      <c r="E1709" s="116" t="str">
        <f t="shared" si="81"/>
        <v>Hortifruti</v>
      </c>
      <c r="F1709" s="85" t="s">
        <v>1110</v>
      </c>
      <c r="G1709" s="85" t="s">
        <v>794</v>
      </c>
      <c r="H1709" s="85" t="s">
        <v>1083</v>
      </c>
      <c r="I1709" s="85">
        <v>20.64</v>
      </c>
      <c r="J1709" s="87">
        <f>55/20.64</f>
        <v>2.6647286821705425</v>
      </c>
      <c r="K1709" s="88">
        <f t="shared" si="82"/>
        <v>55</v>
      </c>
      <c r="L1709" s="85">
        <v>3588</v>
      </c>
    </row>
    <row r="1710" spans="1:12" x14ac:dyDescent="0.25">
      <c r="A1710" s="84" t="str">
        <f t="shared" si="80"/>
        <v>MarçoSEMANA 5Tomate Cereja</v>
      </c>
      <c r="B1710" s="85" t="s">
        <v>31</v>
      </c>
      <c r="C1710" s="85" t="s">
        <v>24</v>
      </c>
      <c r="D1710" s="86">
        <v>31</v>
      </c>
      <c r="E1710" s="116" t="str">
        <f t="shared" si="81"/>
        <v>Hortifruti</v>
      </c>
      <c r="F1710" s="85" t="s">
        <v>1110</v>
      </c>
      <c r="G1710" s="85" t="s">
        <v>789</v>
      </c>
      <c r="H1710" s="85" t="s">
        <v>1083</v>
      </c>
      <c r="I1710" s="85">
        <v>2</v>
      </c>
      <c r="J1710" s="87">
        <v>7</v>
      </c>
      <c r="K1710" s="88">
        <f t="shared" si="82"/>
        <v>14</v>
      </c>
      <c r="L1710" s="85">
        <v>3588</v>
      </c>
    </row>
    <row r="1711" spans="1:12" x14ac:dyDescent="0.25">
      <c r="A1711" s="84" t="str">
        <f t="shared" si="80"/>
        <v>MarçoSEMANA 5Aipo</v>
      </c>
      <c r="B1711" s="85" t="s">
        <v>31</v>
      </c>
      <c r="C1711" s="85" t="s">
        <v>24</v>
      </c>
      <c r="D1711" s="86">
        <v>31</v>
      </c>
      <c r="E1711" s="116" t="str">
        <f t="shared" si="81"/>
        <v>Hortifruti</v>
      </c>
      <c r="F1711" s="85" t="s">
        <v>1110</v>
      </c>
      <c r="G1711" s="85" t="s">
        <v>96</v>
      </c>
      <c r="H1711" s="85" t="s">
        <v>1083</v>
      </c>
      <c r="I1711" s="85">
        <v>1.2</v>
      </c>
      <c r="J1711" s="87">
        <v>4</v>
      </c>
      <c r="K1711" s="88">
        <f t="shared" si="82"/>
        <v>4.8</v>
      </c>
      <c r="L1711" s="85">
        <v>3588</v>
      </c>
    </row>
    <row r="1712" spans="1:12" x14ac:dyDescent="0.25">
      <c r="A1712" s="84" t="str">
        <f t="shared" si="80"/>
        <v xml:space="preserve">MarçoSEMANA 5Alface Americana    </v>
      </c>
      <c r="B1712" s="85" t="s">
        <v>31</v>
      </c>
      <c r="C1712" s="85" t="s">
        <v>24</v>
      </c>
      <c r="D1712" s="86">
        <v>31</v>
      </c>
      <c r="E1712" s="116" t="str">
        <f t="shared" si="81"/>
        <v>Hortifruti</v>
      </c>
      <c r="F1712" s="85" t="s">
        <v>1110</v>
      </c>
      <c r="G1712" s="85" t="s">
        <v>102</v>
      </c>
      <c r="H1712" s="85" t="s">
        <v>1083</v>
      </c>
      <c r="I1712" s="85">
        <v>3.34</v>
      </c>
      <c r="J1712" s="87">
        <f>36/3.34</f>
        <v>10.778443113772456</v>
      </c>
      <c r="K1712" s="88">
        <f t="shared" si="82"/>
        <v>36</v>
      </c>
      <c r="L1712" s="85" t="s">
        <v>1355</v>
      </c>
    </row>
    <row r="1713" spans="1:12" x14ac:dyDescent="0.25">
      <c r="A1713" s="84" t="str">
        <f t="shared" si="80"/>
        <v>MarçoSEMANA 5Alface crespa</v>
      </c>
      <c r="B1713" s="85" t="s">
        <v>31</v>
      </c>
      <c r="C1713" s="85" t="s">
        <v>24</v>
      </c>
      <c r="D1713" s="86">
        <v>31</v>
      </c>
      <c r="E1713" s="116" t="str">
        <f t="shared" si="81"/>
        <v>Hortifruti</v>
      </c>
      <c r="F1713" s="85" t="s">
        <v>1110</v>
      </c>
      <c r="G1713" s="85" t="s">
        <v>104</v>
      </c>
      <c r="H1713" s="85" t="s">
        <v>1083</v>
      </c>
      <c r="I1713" s="85">
        <v>3.02</v>
      </c>
      <c r="J1713" s="87">
        <f>19.5/3.02</f>
        <v>6.4569536423841063</v>
      </c>
      <c r="K1713" s="88">
        <f t="shared" si="82"/>
        <v>19.5</v>
      </c>
      <c r="L1713" s="85">
        <v>3588</v>
      </c>
    </row>
    <row r="1714" spans="1:12" x14ac:dyDescent="0.25">
      <c r="A1714" s="84" t="str">
        <f t="shared" si="80"/>
        <v>MarçoSEMANA 5Alface Roxa</v>
      </c>
      <c r="B1714" s="85" t="s">
        <v>31</v>
      </c>
      <c r="C1714" s="85" t="s">
        <v>24</v>
      </c>
      <c r="D1714" s="86">
        <v>31</v>
      </c>
      <c r="E1714" s="116" t="str">
        <f t="shared" si="81"/>
        <v>Hortifruti</v>
      </c>
      <c r="F1714" s="85" t="s">
        <v>1110</v>
      </c>
      <c r="G1714" s="85" t="s">
        <v>108</v>
      </c>
      <c r="H1714" s="85" t="s">
        <v>1083</v>
      </c>
      <c r="I1714" s="85">
        <v>1.36</v>
      </c>
      <c r="J1714" s="87">
        <f>12/1.36</f>
        <v>8.8235294117647047</v>
      </c>
      <c r="K1714" s="88">
        <f t="shared" si="82"/>
        <v>12</v>
      </c>
      <c r="L1714" s="85">
        <v>3588</v>
      </c>
    </row>
    <row r="1715" spans="1:12" x14ac:dyDescent="0.25">
      <c r="A1715" s="84" t="str">
        <f t="shared" si="80"/>
        <v>MarçoSEMANA 5Cebolinha Verde</v>
      </c>
      <c r="B1715" s="85" t="s">
        <v>31</v>
      </c>
      <c r="C1715" s="85" t="s">
        <v>24</v>
      </c>
      <c r="D1715" s="86">
        <v>31</v>
      </c>
      <c r="E1715" s="116" t="str">
        <f t="shared" si="81"/>
        <v>Hortifruti</v>
      </c>
      <c r="F1715" s="85" t="s">
        <v>1110</v>
      </c>
      <c r="G1715" s="85" t="s">
        <v>247</v>
      </c>
      <c r="H1715" s="85" t="s">
        <v>1083</v>
      </c>
      <c r="I1715" s="85">
        <v>1</v>
      </c>
      <c r="J1715" s="87">
        <v>7</v>
      </c>
      <c r="K1715" s="88">
        <f t="shared" si="82"/>
        <v>7</v>
      </c>
      <c r="L1715" s="85">
        <v>3588</v>
      </c>
    </row>
    <row r="1716" spans="1:12" x14ac:dyDescent="0.25">
      <c r="A1716" s="84" t="str">
        <f t="shared" si="80"/>
        <v>MarçoSEMANA 5Coentro</v>
      </c>
      <c r="B1716" s="85" t="s">
        <v>31</v>
      </c>
      <c r="C1716" s="85" t="s">
        <v>24</v>
      </c>
      <c r="D1716" s="86">
        <v>31</v>
      </c>
      <c r="E1716" s="116" t="str">
        <f t="shared" si="81"/>
        <v>Hortifruti</v>
      </c>
      <c r="F1716" s="85" t="s">
        <v>1110</v>
      </c>
      <c r="G1716" s="85" t="s">
        <v>289</v>
      </c>
      <c r="H1716" s="85" t="s">
        <v>1083</v>
      </c>
      <c r="I1716" s="85">
        <v>0.5</v>
      </c>
      <c r="J1716" s="87">
        <v>25</v>
      </c>
      <c r="K1716" s="88">
        <f t="shared" si="82"/>
        <v>12.5</v>
      </c>
      <c r="L1716" s="85">
        <v>3588</v>
      </c>
    </row>
    <row r="1717" spans="1:12" x14ac:dyDescent="0.25">
      <c r="A1717" s="84" t="str">
        <f t="shared" si="80"/>
        <v>MarçoSEMANA 5Hortelã</v>
      </c>
      <c r="B1717" s="85" t="s">
        <v>31</v>
      </c>
      <c r="C1717" s="85" t="s">
        <v>24</v>
      </c>
      <c r="D1717" s="86">
        <v>31</v>
      </c>
      <c r="E1717" s="116" t="str">
        <f t="shared" si="81"/>
        <v>Hortifruti</v>
      </c>
      <c r="F1717" s="85" t="s">
        <v>1110</v>
      </c>
      <c r="G1717" s="85" t="s">
        <v>405</v>
      </c>
      <c r="H1717" s="85" t="s">
        <v>1083</v>
      </c>
      <c r="I1717" s="85">
        <v>0.5</v>
      </c>
      <c r="J1717" s="87">
        <v>4</v>
      </c>
      <c r="K1717" s="88">
        <f t="shared" si="82"/>
        <v>2</v>
      </c>
      <c r="L1717" s="85">
        <v>3588</v>
      </c>
    </row>
    <row r="1718" spans="1:12" x14ac:dyDescent="0.25">
      <c r="A1718" s="84" t="str">
        <f t="shared" si="80"/>
        <v>MarçoSEMANA 5Manjericão</v>
      </c>
      <c r="B1718" s="85" t="s">
        <v>31</v>
      </c>
      <c r="C1718" s="85" t="s">
        <v>24</v>
      </c>
      <c r="D1718" s="86">
        <v>31</v>
      </c>
      <c r="E1718" s="116" t="str">
        <f t="shared" si="81"/>
        <v>Hortifruti</v>
      </c>
      <c r="F1718" s="85" t="s">
        <v>1110</v>
      </c>
      <c r="G1718" s="85" t="s">
        <v>498</v>
      </c>
      <c r="H1718" s="85" t="s">
        <v>1083</v>
      </c>
      <c r="I1718" s="85">
        <v>0.5</v>
      </c>
      <c r="J1718" s="87">
        <v>10</v>
      </c>
      <c r="K1718" s="88">
        <f t="shared" si="82"/>
        <v>5</v>
      </c>
      <c r="L1718" s="85">
        <v>3588</v>
      </c>
    </row>
    <row r="1719" spans="1:12" x14ac:dyDescent="0.25">
      <c r="A1719" s="84" t="str">
        <f t="shared" si="80"/>
        <v>MarçoSEMANA 5Rabanete</v>
      </c>
      <c r="B1719" s="85" t="s">
        <v>31</v>
      </c>
      <c r="C1719" s="85" t="s">
        <v>24</v>
      </c>
      <c r="D1719" s="86">
        <v>31</v>
      </c>
      <c r="E1719" s="116" t="str">
        <f t="shared" si="81"/>
        <v>Hortifruti</v>
      </c>
      <c r="F1719" s="85" t="s">
        <v>1110</v>
      </c>
      <c r="G1719" s="85" t="s">
        <v>693</v>
      </c>
      <c r="H1719" s="85" t="s">
        <v>1083</v>
      </c>
      <c r="I1719" s="85">
        <v>2</v>
      </c>
      <c r="J1719" s="87">
        <v>6.8</v>
      </c>
      <c r="K1719" s="88">
        <f t="shared" si="82"/>
        <v>13.6</v>
      </c>
      <c r="L1719" s="85">
        <v>3588</v>
      </c>
    </row>
    <row r="1720" spans="1:12" x14ac:dyDescent="0.25">
      <c r="A1720" s="84" t="str">
        <f t="shared" si="80"/>
        <v>MarçoSEMANA 5Salsa</v>
      </c>
      <c r="B1720" s="85" t="s">
        <v>31</v>
      </c>
      <c r="C1720" s="85" t="s">
        <v>24</v>
      </c>
      <c r="D1720" s="86">
        <v>31</v>
      </c>
      <c r="E1720" s="116" t="str">
        <f t="shared" si="81"/>
        <v>Hortifruti</v>
      </c>
      <c r="F1720" s="85" t="s">
        <v>1110</v>
      </c>
      <c r="G1720" s="85" t="s">
        <v>728</v>
      </c>
      <c r="H1720" s="85" t="s">
        <v>1083</v>
      </c>
      <c r="I1720" s="85">
        <v>1</v>
      </c>
      <c r="J1720" s="87">
        <v>7</v>
      </c>
      <c r="K1720" s="88">
        <f t="shared" si="82"/>
        <v>7</v>
      </c>
      <c r="L1720" s="85">
        <v>3588</v>
      </c>
    </row>
    <row r="1721" spans="1:12" x14ac:dyDescent="0.25">
      <c r="A1721" s="84" t="str">
        <f t="shared" si="80"/>
        <v>MarçoSEMANA 5Broto de Feijão</v>
      </c>
      <c r="B1721" s="85" t="s">
        <v>31</v>
      </c>
      <c r="C1721" s="85" t="s">
        <v>24</v>
      </c>
      <c r="D1721" s="86">
        <v>31</v>
      </c>
      <c r="E1721" s="116" t="str">
        <f t="shared" si="81"/>
        <v>Hortifruti</v>
      </c>
      <c r="F1721" s="85" t="s">
        <v>1110</v>
      </c>
      <c r="G1721" s="85" t="s">
        <v>197</v>
      </c>
      <c r="H1721" s="85" t="s">
        <v>1083</v>
      </c>
      <c r="I1721" s="85">
        <v>2</v>
      </c>
      <c r="J1721" s="87">
        <v>14</v>
      </c>
      <c r="K1721" s="88">
        <f t="shared" si="82"/>
        <v>28</v>
      </c>
      <c r="L1721" s="85">
        <v>3588</v>
      </c>
    </row>
    <row r="1722" spans="1:12" x14ac:dyDescent="0.25">
      <c r="A1722" s="84" t="str">
        <f t="shared" si="80"/>
        <v xml:space="preserve">MarçoSEMANA 5Abacaxi </v>
      </c>
      <c r="B1722" s="85" t="s">
        <v>31</v>
      </c>
      <c r="C1722" s="85" t="s">
        <v>24</v>
      </c>
      <c r="D1722" s="86">
        <v>31</v>
      </c>
      <c r="E1722" s="116" t="str">
        <f t="shared" si="81"/>
        <v>Hortifruti</v>
      </c>
      <c r="F1722" s="85" t="s">
        <v>1110</v>
      </c>
      <c r="G1722" s="85" t="s">
        <v>65</v>
      </c>
      <c r="H1722" s="85" t="s">
        <v>1083</v>
      </c>
      <c r="I1722" s="85">
        <v>10</v>
      </c>
      <c r="J1722" s="87">
        <v>3</v>
      </c>
      <c r="K1722" s="88">
        <f t="shared" si="82"/>
        <v>30</v>
      </c>
      <c r="L1722" s="85">
        <v>3588</v>
      </c>
    </row>
    <row r="1723" spans="1:12" x14ac:dyDescent="0.25">
      <c r="A1723" s="84" t="str">
        <f t="shared" si="80"/>
        <v>MarçoSEMANA 5Laranja Pera</v>
      </c>
      <c r="B1723" s="85" t="s">
        <v>31</v>
      </c>
      <c r="C1723" s="85" t="s">
        <v>24</v>
      </c>
      <c r="D1723" s="86">
        <v>31</v>
      </c>
      <c r="E1723" s="116" t="str">
        <f t="shared" si="81"/>
        <v>Hortifruti</v>
      </c>
      <c r="F1723" s="85" t="s">
        <v>1110</v>
      </c>
      <c r="G1723" s="85" t="s">
        <v>456</v>
      </c>
      <c r="H1723" s="85" t="s">
        <v>1083</v>
      </c>
      <c r="I1723" s="85">
        <v>41.28</v>
      </c>
      <c r="J1723" s="87">
        <f>70/41.28</f>
        <v>1.695736434108527</v>
      </c>
      <c r="K1723" s="88">
        <f t="shared" si="82"/>
        <v>70</v>
      </c>
      <c r="L1723" s="85">
        <v>3588</v>
      </c>
    </row>
    <row r="1724" spans="1:12" x14ac:dyDescent="0.25">
      <c r="A1724" s="84" t="str">
        <f t="shared" si="80"/>
        <v>MarçoSEMANA 5Mamão Bahia</v>
      </c>
      <c r="B1724" s="85" t="s">
        <v>31</v>
      </c>
      <c r="C1724" s="85" t="s">
        <v>24</v>
      </c>
      <c r="D1724" s="86">
        <v>31</v>
      </c>
      <c r="E1724" s="116" t="str">
        <f t="shared" si="81"/>
        <v>Hortifruti</v>
      </c>
      <c r="F1724" s="85" t="s">
        <v>1110</v>
      </c>
      <c r="G1724" s="85" t="s">
        <v>493</v>
      </c>
      <c r="H1724" s="85" t="s">
        <v>1083</v>
      </c>
      <c r="I1724" s="85">
        <v>4</v>
      </c>
      <c r="J1724" s="87">
        <v>4</v>
      </c>
      <c r="K1724" s="88">
        <f t="shared" si="82"/>
        <v>16</v>
      </c>
      <c r="L1724" s="85">
        <v>3588</v>
      </c>
    </row>
    <row r="1725" spans="1:12" x14ac:dyDescent="0.25">
      <c r="A1725" s="84" t="str">
        <f t="shared" si="80"/>
        <v>MarçoSEMANA 5Mamão Papaya</v>
      </c>
      <c r="B1725" s="85" t="s">
        <v>31</v>
      </c>
      <c r="C1725" s="85" t="s">
        <v>24</v>
      </c>
      <c r="D1725" s="86">
        <v>31</v>
      </c>
      <c r="E1725" s="116" t="str">
        <f t="shared" si="81"/>
        <v>Hortifruti</v>
      </c>
      <c r="F1725" s="85" t="s">
        <v>1110</v>
      </c>
      <c r="G1725" s="85" t="s">
        <v>494</v>
      </c>
      <c r="H1725" s="85" t="s">
        <v>1083</v>
      </c>
      <c r="I1725" s="85">
        <v>2</v>
      </c>
      <c r="J1725" s="87">
        <v>4</v>
      </c>
      <c r="K1725" s="88">
        <f t="shared" si="82"/>
        <v>8</v>
      </c>
      <c r="L1725" s="85">
        <v>3588</v>
      </c>
    </row>
    <row r="1726" spans="1:12" x14ac:dyDescent="0.25">
      <c r="A1726" s="84" t="str">
        <f t="shared" si="80"/>
        <v>MarçoSEMANA 5Manga Palmer</v>
      </c>
      <c r="B1726" s="85" t="s">
        <v>31</v>
      </c>
      <c r="C1726" s="85" t="s">
        <v>24</v>
      </c>
      <c r="D1726" s="86">
        <v>31</v>
      </c>
      <c r="E1726" s="116" t="str">
        <f t="shared" si="81"/>
        <v>Hortifruti</v>
      </c>
      <c r="F1726" s="85" t="s">
        <v>1110</v>
      </c>
      <c r="G1726" s="85" t="s">
        <v>495</v>
      </c>
      <c r="H1726" s="85" t="s">
        <v>1083</v>
      </c>
      <c r="I1726" s="85">
        <v>14.58</v>
      </c>
      <c r="J1726" s="87">
        <f>50/14.58</f>
        <v>3.4293552812071328</v>
      </c>
      <c r="K1726" s="88">
        <f t="shared" si="82"/>
        <v>50</v>
      </c>
      <c r="L1726" s="85">
        <v>3588</v>
      </c>
    </row>
    <row r="1727" spans="1:12" x14ac:dyDescent="0.25">
      <c r="A1727" s="84" t="str">
        <f t="shared" si="80"/>
        <v>MarçoSEMANA 5Melão Orange</v>
      </c>
      <c r="B1727" s="85" t="s">
        <v>31</v>
      </c>
      <c r="C1727" s="85" t="s">
        <v>24</v>
      </c>
      <c r="D1727" s="86">
        <v>31</v>
      </c>
      <c r="E1727" s="116" t="str">
        <f t="shared" si="81"/>
        <v>Hortifruti</v>
      </c>
      <c r="F1727" s="85" t="s">
        <v>1110</v>
      </c>
      <c r="G1727" s="85" t="s">
        <v>518</v>
      </c>
      <c r="H1727" s="85" t="s">
        <v>1083</v>
      </c>
      <c r="I1727" s="85">
        <v>2</v>
      </c>
      <c r="J1727" s="87">
        <v>4.8</v>
      </c>
      <c r="K1727" s="88">
        <f t="shared" si="82"/>
        <v>9.6</v>
      </c>
      <c r="L1727" s="85">
        <v>3588</v>
      </c>
    </row>
    <row r="1728" spans="1:12" hidden="1" x14ac:dyDescent="0.2">
      <c r="A1728" s="84" t="str">
        <f t="shared" si="80"/>
        <v>MarçoSEMANA 5Pescados - Salmão Inteiro Sushi</v>
      </c>
      <c r="B1728" s="85" t="s">
        <v>31</v>
      </c>
      <c r="C1728" s="85" t="s">
        <v>24</v>
      </c>
      <c r="D1728" s="86">
        <v>31</v>
      </c>
      <c r="E1728" s="116" t="str">
        <f t="shared" si="81"/>
        <v>Sushi</v>
      </c>
      <c r="F1728" s="85" t="s">
        <v>1104</v>
      </c>
      <c r="G1728" s="85" t="s">
        <v>644</v>
      </c>
      <c r="H1728" s="85" t="s">
        <v>1083</v>
      </c>
      <c r="I1728" s="85">
        <v>28.7</v>
      </c>
      <c r="J1728" s="87">
        <v>29.9</v>
      </c>
      <c r="K1728" s="88">
        <f t="shared" si="82"/>
        <v>858.12999999999988</v>
      </c>
      <c r="L1728" s="85">
        <v>1317855</v>
      </c>
    </row>
    <row r="1729" spans="1:12" x14ac:dyDescent="0.25">
      <c r="A1729" s="84" t="str">
        <f t="shared" si="80"/>
        <v>MarçoSEMANA 5Agrião</v>
      </c>
      <c r="B1729" s="85" t="s">
        <v>31</v>
      </c>
      <c r="C1729" s="85" t="s">
        <v>24</v>
      </c>
      <c r="D1729" s="86">
        <v>31</v>
      </c>
      <c r="E1729" s="116" t="str">
        <f t="shared" si="81"/>
        <v>Hortifruti</v>
      </c>
      <c r="F1729" s="85" t="s">
        <v>1111</v>
      </c>
      <c r="G1729" s="85" t="s">
        <v>85</v>
      </c>
      <c r="H1729" s="85" t="s">
        <v>1083</v>
      </c>
      <c r="I1729" s="85">
        <v>1.5</v>
      </c>
      <c r="J1729" s="87">
        <v>3.5</v>
      </c>
      <c r="K1729" s="88">
        <f t="shared" si="82"/>
        <v>5.25</v>
      </c>
      <c r="L1729" s="85">
        <v>20181</v>
      </c>
    </row>
    <row r="1730" spans="1:12" x14ac:dyDescent="0.25">
      <c r="A1730" s="84" t="str">
        <f t="shared" ref="A1730:A1793" si="83">CONCATENATE(B1730,C1730,G1730)</f>
        <v>MarçoSEMANA 5Banana D'Água</v>
      </c>
      <c r="B1730" s="85" t="s">
        <v>31</v>
      </c>
      <c r="C1730" s="85" t="s">
        <v>24</v>
      </c>
      <c r="D1730" s="86">
        <v>31</v>
      </c>
      <c r="E1730" s="116" t="str">
        <f t="shared" ref="E1730:E1793" si="84">VLOOKUP(G1730,$M$1:$O$993,3,0)</f>
        <v>Hortifruti</v>
      </c>
      <c r="F1730" s="85" t="s">
        <v>1111</v>
      </c>
      <c r="G1730" s="85" t="s">
        <v>162</v>
      </c>
      <c r="H1730" s="85" t="s">
        <v>1083</v>
      </c>
      <c r="I1730" s="85"/>
      <c r="J1730" s="87"/>
      <c r="K1730" s="88">
        <f t="shared" ref="K1730:K1793" si="85">I1730*J1730</f>
        <v>0</v>
      </c>
      <c r="L1730" s="85" t="s">
        <v>1356</v>
      </c>
    </row>
    <row r="1731" spans="1:12" x14ac:dyDescent="0.25">
      <c r="A1731" s="84" t="str">
        <f t="shared" si="83"/>
        <v>MarçoSEMANA 5Batata Baroa</v>
      </c>
      <c r="B1731" s="85" t="s">
        <v>31</v>
      </c>
      <c r="C1731" s="85" t="s">
        <v>24</v>
      </c>
      <c r="D1731" s="86">
        <v>31</v>
      </c>
      <c r="E1731" s="116" t="str">
        <f t="shared" si="84"/>
        <v>Hortifruti</v>
      </c>
      <c r="F1731" s="85" t="s">
        <v>1111</v>
      </c>
      <c r="G1731" s="85" t="s">
        <v>169</v>
      </c>
      <c r="H1731" s="85" t="s">
        <v>1083</v>
      </c>
      <c r="I1731" s="85">
        <v>2</v>
      </c>
      <c r="J1731" s="87">
        <v>5.0999999999999996</v>
      </c>
      <c r="K1731" s="88">
        <f t="shared" si="85"/>
        <v>10.199999999999999</v>
      </c>
      <c r="L1731" s="85">
        <v>20181</v>
      </c>
    </row>
    <row r="1732" spans="1:12" x14ac:dyDescent="0.25">
      <c r="A1732" s="84" t="str">
        <f t="shared" si="83"/>
        <v>MarçoSEMANA 5Cebola</v>
      </c>
      <c r="B1732" s="85" t="s">
        <v>31</v>
      </c>
      <c r="C1732" s="85" t="s">
        <v>24</v>
      </c>
      <c r="D1732" s="86">
        <v>31</v>
      </c>
      <c r="E1732" s="116" t="str">
        <f t="shared" si="84"/>
        <v>Hortifruti</v>
      </c>
      <c r="F1732" s="85" t="s">
        <v>1111</v>
      </c>
      <c r="G1732" s="85" t="s">
        <v>241</v>
      </c>
      <c r="H1732" s="85" t="s">
        <v>1083</v>
      </c>
      <c r="I1732" s="85">
        <v>19.18</v>
      </c>
      <c r="J1732" s="87">
        <f>46.5/19.18</f>
        <v>2.4244004171011468</v>
      </c>
      <c r="K1732" s="88">
        <f t="shared" si="85"/>
        <v>46.499999999999993</v>
      </c>
      <c r="L1732" s="85">
        <v>20181</v>
      </c>
    </row>
    <row r="1733" spans="1:12" x14ac:dyDescent="0.25">
      <c r="A1733" s="84" t="str">
        <f t="shared" si="83"/>
        <v>MarçoSEMANA 5Côco Verde</v>
      </c>
      <c r="B1733" s="85" t="s">
        <v>31</v>
      </c>
      <c r="C1733" s="85" t="s">
        <v>24</v>
      </c>
      <c r="D1733" s="86">
        <v>31</v>
      </c>
      <c r="E1733" s="116" t="str">
        <f t="shared" si="84"/>
        <v>Hortifruti</v>
      </c>
      <c r="F1733" s="85" t="s">
        <v>1111</v>
      </c>
      <c r="G1733" s="85" t="s">
        <v>288</v>
      </c>
      <c r="H1733" s="85" t="s">
        <v>1090</v>
      </c>
      <c r="I1733" s="85">
        <v>25</v>
      </c>
      <c r="J1733" s="87">
        <v>2.4500000000000002</v>
      </c>
      <c r="K1733" s="88">
        <f t="shared" si="85"/>
        <v>61.250000000000007</v>
      </c>
      <c r="L1733" s="85">
        <v>20181</v>
      </c>
    </row>
    <row r="1734" spans="1:12" x14ac:dyDescent="0.25">
      <c r="A1734" s="84" t="str">
        <f t="shared" si="83"/>
        <v>MarçoSEMANA 5Goiaba</v>
      </c>
      <c r="B1734" s="85" t="s">
        <v>31</v>
      </c>
      <c r="C1734" s="85" t="s">
        <v>24</v>
      </c>
      <c r="D1734" s="86">
        <v>31</v>
      </c>
      <c r="E1734" s="116" t="str">
        <f t="shared" si="84"/>
        <v>Hortifruti</v>
      </c>
      <c r="F1734" s="85" t="s">
        <v>1111</v>
      </c>
      <c r="G1734" s="85" t="s">
        <v>391</v>
      </c>
      <c r="H1734" s="85" t="s">
        <v>1083</v>
      </c>
      <c r="I1734" s="85">
        <v>2.6</v>
      </c>
      <c r="J1734" s="87">
        <f>6/2.6</f>
        <v>2.3076923076923075</v>
      </c>
      <c r="K1734" s="88">
        <f t="shared" si="85"/>
        <v>6</v>
      </c>
      <c r="L1734" s="85">
        <v>20181</v>
      </c>
    </row>
    <row r="1735" spans="1:12" x14ac:dyDescent="0.25">
      <c r="A1735" s="84" t="str">
        <f t="shared" si="83"/>
        <v>MarçoSEMANA 5Inhame</v>
      </c>
      <c r="B1735" s="85" t="s">
        <v>31</v>
      </c>
      <c r="C1735" s="85" t="s">
        <v>24</v>
      </c>
      <c r="D1735" s="86">
        <v>31</v>
      </c>
      <c r="E1735" s="116" t="str">
        <f t="shared" si="84"/>
        <v>Hortifruti</v>
      </c>
      <c r="F1735" s="85" t="s">
        <v>1111</v>
      </c>
      <c r="G1735" s="85" t="s">
        <v>448</v>
      </c>
      <c r="H1735" s="85" t="s">
        <v>1083</v>
      </c>
      <c r="I1735" s="85">
        <v>2</v>
      </c>
      <c r="J1735" s="87">
        <v>3</v>
      </c>
      <c r="K1735" s="88">
        <f t="shared" si="85"/>
        <v>6</v>
      </c>
      <c r="L1735" s="85">
        <v>20181</v>
      </c>
    </row>
    <row r="1736" spans="1:12" x14ac:dyDescent="0.25">
      <c r="A1736" s="84" t="str">
        <f t="shared" si="83"/>
        <v>MarçoSEMANA 5Kiwi</v>
      </c>
      <c r="B1736" s="85" t="s">
        <v>31</v>
      </c>
      <c r="C1736" s="85" t="s">
        <v>24</v>
      </c>
      <c r="D1736" s="86">
        <v>31</v>
      </c>
      <c r="E1736" s="116" t="str">
        <f t="shared" si="84"/>
        <v>Hortifruti</v>
      </c>
      <c r="F1736" s="85" t="s">
        <v>1111</v>
      </c>
      <c r="G1736" s="85" t="s">
        <v>453</v>
      </c>
      <c r="H1736" s="85" t="s">
        <v>1083</v>
      </c>
      <c r="I1736" s="85">
        <v>0.5</v>
      </c>
      <c r="J1736" s="87">
        <v>11.5</v>
      </c>
      <c r="K1736" s="88">
        <f t="shared" si="85"/>
        <v>5.75</v>
      </c>
      <c r="L1736" s="85">
        <v>20181</v>
      </c>
    </row>
    <row r="1737" spans="1:12" x14ac:dyDescent="0.25">
      <c r="A1737" s="84" t="str">
        <f t="shared" si="83"/>
        <v>MarçoSEMANA 5Limão Siciliano</v>
      </c>
      <c r="B1737" s="85" t="s">
        <v>31</v>
      </c>
      <c r="C1737" s="85" t="s">
        <v>24</v>
      </c>
      <c r="D1737" s="86">
        <v>31</v>
      </c>
      <c r="E1737" s="116" t="str">
        <f t="shared" si="84"/>
        <v>Hortifruti</v>
      </c>
      <c r="F1737" s="85" t="s">
        <v>1111</v>
      </c>
      <c r="G1737" s="85" t="s">
        <v>465</v>
      </c>
      <c r="H1737" s="85" t="s">
        <v>1083</v>
      </c>
      <c r="I1737" s="85">
        <v>1</v>
      </c>
      <c r="J1737" s="87">
        <v>7.5</v>
      </c>
      <c r="K1737" s="88">
        <f t="shared" si="85"/>
        <v>7.5</v>
      </c>
      <c r="L1737" s="85">
        <v>20181</v>
      </c>
    </row>
    <row r="1738" spans="1:12" x14ac:dyDescent="0.25">
      <c r="A1738" s="84" t="str">
        <f t="shared" si="83"/>
        <v>MarçoSEMANA 5Melância</v>
      </c>
      <c r="B1738" s="85" t="s">
        <v>31</v>
      </c>
      <c r="C1738" s="85" t="s">
        <v>24</v>
      </c>
      <c r="D1738" s="86">
        <v>31</v>
      </c>
      <c r="E1738" s="116" t="str">
        <f t="shared" si="84"/>
        <v>Hortifruti</v>
      </c>
      <c r="F1738" s="85" t="s">
        <v>1111</v>
      </c>
      <c r="G1738" s="85" t="s">
        <v>516</v>
      </c>
      <c r="H1738" s="85" t="s">
        <v>1083</v>
      </c>
      <c r="I1738" s="85"/>
      <c r="J1738" s="87"/>
      <c r="K1738" s="88">
        <f t="shared" si="85"/>
        <v>0</v>
      </c>
      <c r="L1738" s="85" t="s">
        <v>1358</v>
      </c>
    </row>
    <row r="1739" spans="1:12" x14ac:dyDescent="0.25">
      <c r="A1739" s="84" t="str">
        <f t="shared" si="83"/>
        <v>MarçoSEMANA 5Pimentão Amarelo</v>
      </c>
      <c r="B1739" s="85" t="s">
        <v>31</v>
      </c>
      <c r="C1739" s="85" t="s">
        <v>24</v>
      </c>
      <c r="D1739" s="86">
        <v>31</v>
      </c>
      <c r="E1739" s="116" t="str">
        <f t="shared" si="84"/>
        <v>Hortifruti</v>
      </c>
      <c r="F1739" s="85" t="s">
        <v>1111</v>
      </c>
      <c r="G1739" s="85" t="s">
        <v>663</v>
      </c>
      <c r="H1739" s="85" t="s">
        <v>1083</v>
      </c>
      <c r="I1739" s="85">
        <v>1</v>
      </c>
      <c r="J1739" s="87">
        <v>8.5</v>
      </c>
      <c r="K1739" s="88">
        <f t="shared" si="85"/>
        <v>8.5</v>
      </c>
      <c r="L1739" s="85">
        <v>20181</v>
      </c>
    </row>
    <row r="1740" spans="1:12" x14ac:dyDescent="0.25">
      <c r="A1740" s="84" t="str">
        <f t="shared" si="83"/>
        <v>MarçoSEMANA 5Pimentão Vermelho</v>
      </c>
      <c r="B1740" s="85" t="s">
        <v>31</v>
      </c>
      <c r="C1740" s="85" t="s">
        <v>24</v>
      </c>
      <c r="D1740" s="86">
        <v>31</v>
      </c>
      <c r="E1740" s="116" t="str">
        <f t="shared" si="84"/>
        <v>Hortifruti</v>
      </c>
      <c r="F1740" s="85" t="s">
        <v>1111</v>
      </c>
      <c r="G1740" s="85" t="s">
        <v>666</v>
      </c>
      <c r="H1740" s="85" t="s">
        <v>1083</v>
      </c>
      <c r="I1740" s="85">
        <v>2</v>
      </c>
      <c r="J1740" s="87">
        <v>8.5</v>
      </c>
      <c r="K1740" s="88">
        <f t="shared" si="85"/>
        <v>17</v>
      </c>
      <c r="L1740" s="85">
        <v>20181</v>
      </c>
    </row>
    <row r="1741" spans="1:12" x14ac:dyDescent="0.25">
      <c r="A1741" s="84" t="str">
        <f t="shared" si="83"/>
        <v>MarçoSEMANA 5Rúcula</v>
      </c>
      <c r="B1741" s="85" t="s">
        <v>31</v>
      </c>
      <c r="C1741" s="85" t="s">
        <v>24</v>
      </c>
      <c r="D1741" s="86">
        <v>31</v>
      </c>
      <c r="E1741" s="116" t="str">
        <f t="shared" si="84"/>
        <v>Hortifruti</v>
      </c>
      <c r="F1741" s="85" t="s">
        <v>1111</v>
      </c>
      <c r="G1741" s="85" t="s">
        <v>705</v>
      </c>
      <c r="H1741" s="85" t="s">
        <v>1083</v>
      </c>
      <c r="I1741" s="85">
        <v>3</v>
      </c>
      <c r="J1741" s="87">
        <v>8</v>
      </c>
      <c r="K1741" s="88">
        <f t="shared" si="85"/>
        <v>24</v>
      </c>
      <c r="L1741" s="85">
        <v>20181</v>
      </c>
    </row>
    <row r="1742" spans="1:12" hidden="1" x14ac:dyDescent="0.2">
      <c r="A1742" s="84" t="str">
        <f t="shared" si="83"/>
        <v>MarçoSEMANA 5Salsa Crespa Sushi</v>
      </c>
      <c r="B1742" s="85" t="s">
        <v>31</v>
      </c>
      <c r="C1742" s="85" t="s">
        <v>24</v>
      </c>
      <c r="D1742" s="86">
        <v>31</v>
      </c>
      <c r="E1742" s="116" t="str">
        <f t="shared" si="84"/>
        <v>Sushi</v>
      </c>
      <c r="F1742" s="85" t="s">
        <v>1111</v>
      </c>
      <c r="G1742" s="85" t="s">
        <v>730</v>
      </c>
      <c r="H1742" s="85" t="s">
        <v>1083</v>
      </c>
      <c r="I1742" s="85">
        <v>0.1</v>
      </c>
      <c r="J1742" s="87">
        <v>13</v>
      </c>
      <c r="K1742" s="88">
        <f t="shared" si="85"/>
        <v>1.3</v>
      </c>
      <c r="L1742" s="85">
        <v>20181</v>
      </c>
    </row>
    <row r="1743" spans="1:12" hidden="1" x14ac:dyDescent="0.2">
      <c r="A1743" s="84" t="str">
        <f t="shared" si="83"/>
        <v>MarçoSEMANA 5Coca Cola (lata)</v>
      </c>
      <c r="B1743" s="85" t="s">
        <v>31</v>
      </c>
      <c r="C1743" s="85" t="s">
        <v>24</v>
      </c>
      <c r="D1743" s="86">
        <v>30</v>
      </c>
      <c r="E1743" s="116" t="str">
        <f t="shared" si="84"/>
        <v>Bebidas</v>
      </c>
      <c r="F1743" s="85" t="s">
        <v>1357</v>
      </c>
      <c r="G1743" s="85" t="s">
        <v>285</v>
      </c>
      <c r="H1743" s="85" t="s">
        <v>1090</v>
      </c>
      <c r="I1743" s="85">
        <f>4*6</f>
        <v>24</v>
      </c>
      <c r="J1743" s="87">
        <f>53.76/24</f>
        <v>2.2399999999999998</v>
      </c>
      <c r="K1743" s="88">
        <f t="shared" si="85"/>
        <v>53.759999999999991</v>
      </c>
      <c r="L1743" s="85">
        <v>28184</v>
      </c>
    </row>
    <row r="1744" spans="1:12" hidden="1" x14ac:dyDescent="0.2">
      <c r="A1744" s="84" t="str">
        <f t="shared" si="83"/>
        <v>MarçoSEMANA 5Coca Cola Zero (lata)</v>
      </c>
      <c r="B1744" s="85" t="s">
        <v>31</v>
      </c>
      <c r="C1744" s="85" t="s">
        <v>24</v>
      </c>
      <c r="D1744" s="86">
        <v>30</v>
      </c>
      <c r="E1744" s="116" t="str">
        <f t="shared" si="84"/>
        <v>Bebidas</v>
      </c>
      <c r="F1744" s="85" t="s">
        <v>1357</v>
      </c>
      <c r="G1744" s="85" t="s">
        <v>286</v>
      </c>
      <c r="H1744" s="85" t="s">
        <v>1090</v>
      </c>
      <c r="I1744" s="85">
        <f>2*6</f>
        <v>12</v>
      </c>
      <c r="J1744" s="87">
        <f>26.88/12</f>
        <v>2.2399999999999998</v>
      </c>
      <c r="K1744" s="88">
        <f t="shared" si="85"/>
        <v>26.879999999999995</v>
      </c>
      <c r="L1744" s="85">
        <v>28184</v>
      </c>
    </row>
    <row r="1745" spans="1:12" hidden="1" x14ac:dyDescent="0.2">
      <c r="A1745" s="84" t="str">
        <f t="shared" si="83"/>
        <v>MarçoSEMANA 5Coca Cola (lata)</v>
      </c>
      <c r="B1745" s="85" t="s">
        <v>31</v>
      </c>
      <c r="C1745" s="85" t="s">
        <v>24</v>
      </c>
      <c r="D1745" s="86">
        <v>31</v>
      </c>
      <c r="E1745" s="116" t="str">
        <f t="shared" si="84"/>
        <v>Bebidas</v>
      </c>
      <c r="F1745" s="85" t="s">
        <v>1357</v>
      </c>
      <c r="G1745" s="85" t="s">
        <v>285</v>
      </c>
      <c r="H1745" s="85" t="s">
        <v>1090</v>
      </c>
      <c r="I1745" s="85">
        <f>6*6</f>
        <v>36</v>
      </c>
      <c r="J1745" s="87">
        <f>80.64/36</f>
        <v>2.2400000000000002</v>
      </c>
      <c r="K1745" s="88">
        <f t="shared" si="85"/>
        <v>80.640000000000015</v>
      </c>
      <c r="L1745" s="85">
        <v>53943</v>
      </c>
    </row>
    <row r="1746" spans="1:12" hidden="1" x14ac:dyDescent="0.2">
      <c r="A1746" s="84" t="str">
        <f t="shared" si="83"/>
        <v>MarçoSEMANA 5Coca Cola Zero (lata)</v>
      </c>
      <c r="B1746" s="85" t="s">
        <v>31</v>
      </c>
      <c r="C1746" s="85" t="s">
        <v>24</v>
      </c>
      <c r="D1746" s="86">
        <v>31</v>
      </c>
      <c r="E1746" s="116" t="str">
        <f t="shared" si="84"/>
        <v>Bebidas</v>
      </c>
      <c r="F1746" s="85" t="s">
        <v>1357</v>
      </c>
      <c r="G1746" s="85" t="s">
        <v>286</v>
      </c>
      <c r="H1746" s="85" t="s">
        <v>1090</v>
      </c>
      <c r="I1746" s="85">
        <f>6*6</f>
        <v>36</v>
      </c>
      <c r="J1746" s="87">
        <f>80.64/36</f>
        <v>2.2400000000000002</v>
      </c>
      <c r="K1746" s="88">
        <f t="shared" si="85"/>
        <v>80.640000000000015</v>
      </c>
      <c r="L1746" s="85">
        <v>53943</v>
      </c>
    </row>
    <row r="1747" spans="1:12" hidden="1" x14ac:dyDescent="0.2">
      <c r="A1747" s="84" t="str">
        <f t="shared" si="83"/>
        <v>MarçoSEMANA 1Carne Bovina  - Contra-filé - (Filé Noix)</v>
      </c>
      <c r="B1747" s="85" t="s">
        <v>31</v>
      </c>
      <c r="C1747" s="85" t="s">
        <v>20</v>
      </c>
      <c r="D1747" s="86">
        <v>5</v>
      </c>
      <c r="E1747" s="116" t="str">
        <f t="shared" si="84"/>
        <v>Carnes</v>
      </c>
      <c r="F1747" s="85" t="s">
        <v>1361</v>
      </c>
      <c r="G1747" s="85" t="s">
        <v>215</v>
      </c>
      <c r="H1747" s="85"/>
      <c r="I1747" s="85">
        <v>1</v>
      </c>
      <c r="J1747" s="87">
        <v>360.34</v>
      </c>
      <c r="K1747" s="88">
        <f t="shared" si="85"/>
        <v>360.34</v>
      </c>
      <c r="L1747" s="85">
        <v>360.34</v>
      </c>
    </row>
    <row r="1748" spans="1:12" hidden="1" x14ac:dyDescent="0.2">
      <c r="A1748" s="84" t="str">
        <f t="shared" si="83"/>
        <v>SelecioneSelecioneCaneta Azul</v>
      </c>
      <c r="B1748" s="85" t="s">
        <v>19</v>
      </c>
      <c r="C1748" s="85" t="s">
        <v>19</v>
      </c>
      <c r="D1748" s="86"/>
      <c r="E1748" s="116" t="str">
        <f t="shared" si="84"/>
        <v>Escritório</v>
      </c>
      <c r="F1748" s="85" t="s">
        <v>1362</v>
      </c>
      <c r="G1748" s="85" t="s">
        <v>205</v>
      </c>
      <c r="H1748" s="85"/>
      <c r="I1748" s="85">
        <v>1</v>
      </c>
      <c r="J1748" s="87">
        <v>39.380000000000003</v>
      </c>
      <c r="K1748" s="88">
        <f t="shared" si="85"/>
        <v>39.380000000000003</v>
      </c>
      <c r="L1748" s="85"/>
    </row>
    <row r="1749" spans="1:12" hidden="1" x14ac:dyDescent="0.2">
      <c r="A1749" s="84" t="str">
        <f t="shared" si="83"/>
        <v>SelecioneSelecioneÁlcool 70</v>
      </c>
      <c r="B1749" s="85" t="s">
        <v>19</v>
      </c>
      <c r="C1749" s="85" t="s">
        <v>19</v>
      </c>
      <c r="D1749" s="86"/>
      <c r="E1749" s="116" t="str">
        <f t="shared" si="84"/>
        <v>Limpeza</v>
      </c>
      <c r="F1749" s="85" t="s">
        <v>1363</v>
      </c>
      <c r="G1749" s="85" t="s">
        <v>99</v>
      </c>
      <c r="H1749" s="85"/>
      <c r="I1749" s="85">
        <v>1</v>
      </c>
      <c r="J1749" s="87">
        <v>33.78</v>
      </c>
      <c r="K1749" s="88">
        <f t="shared" si="85"/>
        <v>33.78</v>
      </c>
      <c r="L1749" s="85"/>
    </row>
    <row r="1750" spans="1:12" hidden="1" x14ac:dyDescent="0.2">
      <c r="A1750" s="84" t="str">
        <f t="shared" si="83"/>
        <v>SelecioneSelecioneCarne Bovina  - Contra-filé - (Filé Noix)</v>
      </c>
      <c r="B1750" s="85" t="s">
        <v>19</v>
      </c>
      <c r="C1750" s="85" t="s">
        <v>19</v>
      </c>
      <c r="D1750" s="86"/>
      <c r="E1750" s="116" t="str">
        <f t="shared" si="84"/>
        <v>Carnes</v>
      </c>
      <c r="F1750" s="85" t="s">
        <v>1361</v>
      </c>
      <c r="G1750" s="85" t="s">
        <v>215</v>
      </c>
      <c r="H1750" s="85"/>
      <c r="I1750" s="85">
        <v>1</v>
      </c>
      <c r="J1750" s="87">
        <v>389.92</v>
      </c>
      <c r="K1750" s="88">
        <f t="shared" si="85"/>
        <v>389.92</v>
      </c>
      <c r="L1750" s="85">
        <v>389.92</v>
      </c>
    </row>
    <row r="1751" spans="1:12" x14ac:dyDescent="0.25">
      <c r="A1751" s="84" t="str">
        <f t="shared" si="83"/>
        <v>SelecioneSelecioneAbobora</v>
      </c>
      <c r="B1751" s="85" t="s">
        <v>19</v>
      </c>
      <c r="C1751" s="85" t="s">
        <v>19</v>
      </c>
      <c r="D1751" s="86"/>
      <c r="E1751" s="116" t="str">
        <f t="shared" si="84"/>
        <v>Hortifruti</v>
      </c>
      <c r="F1751" s="85" t="s">
        <v>1364</v>
      </c>
      <c r="G1751" s="85" t="s">
        <v>68</v>
      </c>
      <c r="H1751" s="85"/>
      <c r="I1751" s="85">
        <v>1</v>
      </c>
      <c r="J1751" s="87">
        <v>6</v>
      </c>
      <c r="K1751" s="88">
        <f t="shared" si="85"/>
        <v>6</v>
      </c>
      <c r="L1751" s="85">
        <v>6</v>
      </c>
    </row>
    <row r="1752" spans="1:12" hidden="1" x14ac:dyDescent="0.2">
      <c r="A1752" s="84" t="str">
        <f t="shared" si="83"/>
        <v>SelecioneSelecioneBandeja Alumínio 3 Div. Cx 100</v>
      </c>
      <c r="B1752" s="85" t="s">
        <v>19</v>
      </c>
      <c r="C1752" s="85" t="s">
        <v>19</v>
      </c>
      <c r="D1752" s="86"/>
      <c r="E1752" s="116" t="str">
        <f t="shared" si="84"/>
        <v>Descartável</v>
      </c>
      <c r="F1752" s="85" t="s">
        <v>1365</v>
      </c>
      <c r="G1752" s="85" t="s">
        <v>167</v>
      </c>
      <c r="H1752" s="85"/>
      <c r="I1752" s="85">
        <v>1</v>
      </c>
      <c r="J1752" s="87">
        <v>191.7</v>
      </c>
      <c r="K1752" s="88">
        <f t="shared" si="85"/>
        <v>191.7</v>
      </c>
      <c r="L1752" s="85">
        <v>191.7</v>
      </c>
    </row>
    <row r="1753" spans="1:12" hidden="1" x14ac:dyDescent="0.2">
      <c r="A1753" s="84" t="str">
        <f t="shared" si="83"/>
        <v>SelecioneSelecioneSelecione</v>
      </c>
      <c r="B1753" s="85" t="s">
        <v>19</v>
      </c>
      <c r="C1753" s="85" t="s">
        <v>19</v>
      </c>
      <c r="D1753" s="86"/>
      <c r="E1753" s="116" t="str">
        <f t="shared" si="84"/>
        <v>-</v>
      </c>
      <c r="F1753" s="85"/>
      <c r="G1753" s="85" t="s">
        <v>19</v>
      </c>
      <c r="H1753" s="85"/>
      <c r="I1753" s="85"/>
      <c r="J1753" s="87"/>
      <c r="K1753" s="88">
        <f t="shared" si="85"/>
        <v>0</v>
      </c>
      <c r="L1753" s="85"/>
    </row>
    <row r="1754" spans="1:12" hidden="1" x14ac:dyDescent="0.2">
      <c r="A1754" s="84" t="str">
        <f t="shared" si="83"/>
        <v>SelecioneSelecioneSelecione</v>
      </c>
      <c r="B1754" s="85" t="s">
        <v>19</v>
      </c>
      <c r="C1754" s="85" t="s">
        <v>19</v>
      </c>
      <c r="D1754" s="86"/>
      <c r="E1754" s="116" t="str">
        <f t="shared" si="84"/>
        <v>-</v>
      </c>
      <c r="F1754" s="85"/>
      <c r="G1754" s="85" t="s">
        <v>19</v>
      </c>
      <c r="H1754" s="85"/>
      <c r="I1754" s="85"/>
      <c r="J1754" s="87"/>
      <c r="K1754" s="88">
        <f t="shared" si="85"/>
        <v>0</v>
      </c>
      <c r="L1754" s="85"/>
    </row>
    <row r="1755" spans="1:12" hidden="1" x14ac:dyDescent="0.2">
      <c r="A1755" s="84" t="str">
        <f t="shared" si="83"/>
        <v>SelecioneSelecioneSelecione</v>
      </c>
      <c r="B1755" s="85" t="s">
        <v>19</v>
      </c>
      <c r="C1755" s="85" t="s">
        <v>19</v>
      </c>
      <c r="D1755" s="86"/>
      <c r="E1755" s="116" t="str">
        <f t="shared" si="84"/>
        <v>-</v>
      </c>
      <c r="F1755" s="85"/>
      <c r="G1755" s="85" t="s">
        <v>19</v>
      </c>
      <c r="H1755" s="85"/>
      <c r="I1755" s="85"/>
      <c r="J1755" s="87"/>
      <c r="K1755" s="88">
        <f t="shared" si="85"/>
        <v>0</v>
      </c>
      <c r="L1755" s="85"/>
    </row>
    <row r="1756" spans="1:12" hidden="1" x14ac:dyDescent="0.2">
      <c r="A1756" s="84" t="str">
        <f t="shared" si="83"/>
        <v>SelecioneSelecioneSelecione</v>
      </c>
      <c r="B1756" s="85" t="s">
        <v>19</v>
      </c>
      <c r="C1756" s="85" t="s">
        <v>19</v>
      </c>
      <c r="D1756" s="86"/>
      <c r="E1756" s="116" t="str">
        <f t="shared" si="84"/>
        <v>-</v>
      </c>
      <c r="F1756" s="85"/>
      <c r="G1756" s="85" t="s">
        <v>19</v>
      </c>
      <c r="H1756" s="85"/>
      <c r="I1756" s="85"/>
      <c r="J1756" s="87"/>
      <c r="K1756" s="88">
        <f t="shared" si="85"/>
        <v>0</v>
      </c>
      <c r="L1756" s="85"/>
    </row>
    <row r="1757" spans="1:12" hidden="1" x14ac:dyDescent="0.2">
      <c r="A1757" s="84" t="str">
        <f t="shared" si="83"/>
        <v>SelecioneSelecioneSelecione</v>
      </c>
      <c r="B1757" s="85" t="s">
        <v>19</v>
      </c>
      <c r="C1757" s="85" t="s">
        <v>19</v>
      </c>
      <c r="D1757" s="86"/>
      <c r="E1757" s="116" t="str">
        <f t="shared" si="84"/>
        <v>-</v>
      </c>
      <c r="F1757" s="85"/>
      <c r="G1757" s="85" t="s">
        <v>19</v>
      </c>
      <c r="H1757" s="85"/>
      <c r="I1757" s="85"/>
      <c r="J1757" s="87"/>
      <c r="K1757" s="88">
        <f t="shared" si="85"/>
        <v>0</v>
      </c>
      <c r="L1757" s="85"/>
    </row>
    <row r="1758" spans="1:12" hidden="1" x14ac:dyDescent="0.2">
      <c r="A1758" s="84" t="str">
        <f t="shared" si="83"/>
        <v>SelecioneSelecioneSelecione</v>
      </c>
      <c r="B1758" s="85" t="s">
        <v>19</v>
      </c>
      <c r="C1758" s="85" t="s">
        <v>19</v>
      </c>
      <c r="D1758" s="86"/>
      <c r="E1758" s="116" t="str">
        <f t="shared" si="84"/>
        <v>-</v>
      </c>
      <c r="F1758" s="85"/>
      <c r="G1758" s="85" t="s">
        <v>19</v>
      </c>
      <c r="H1758" s="85"/>
      <c r="I1758" s="85"/>
      <c r="J1758" s="87"/>
      <c r="K1758" s="88">
        <f t="shared" si="85"/>
        <v>0</v>
      </c>
      <c r="L1758" s="85"/>
    </row>
    <row r="1759" spans="1:12" hidden="1" x14ac:dyDescent="0.2">
      <c r="A1759" s="84" t="str">
        <f t="shared" si="83"/>
        <v>SelecioneSelecioneSelecione</v>
      </c>
      <c r="B1759" s="85" t="s">
        <v>19</v>
      </c>
      <c r="C1759" s="85" t="s">
        <v>19</v>
      </c>
      <c r="D1759" s="86"/>
      <c r="E1759" s="116" t="str">
        <f t="shared" si="84"/>
        <v>-</v>
      </c>
      <c r="F1759" s="85"/>
      <c r="G1759" s="85" t="s">
        <v>19</v>
      </c>
      <c r="H1759" s="85"/>
      <c r="I1759" s="85"/>
      <c r="J1759" s="87"/>
      <c r="K1759" s="88">
        <f t="shared" si="85"/>
        <v>0</v>
      </c>
      <c r="L1759" s="85"/>
    </row>
    <row r="1760" spans="1:12" hidden="1" x14ac:dyDescent="0.2">
      <c r="A1760" s="84" t="str">
        <f t="shared" si="83"/>
        <v>SelecioneSelecioneSelecione</v>
      </c>
      <c r="B1760" s="85" t="s">
        <v>19</v>
      </c>
      <c r="C1760" s="85" t="s">
        <v>19</v>
      </c>
      <c r="D1760" s="86"/>
      <c r="E1760" s="116" t="str">
        <f t="shared" si="84"/>
        <v>-</v>
      </c>
      <c r="F1760" s="85"/>
      <c r="G1760" s="85" t="s">
        <v>19</v>
      </c>
      <c r="H1760" s="85"/>
      <c r="I1760" s="85"/>
      <c r="J1760" s="87"/>
      <c r="K1760" s="88">
        <f t="shared" si="85"/>
        <v>0</v>
      </c>
      <c r="L1760" s="85"/>
    </row>
    <row r="1761" spans="1:12" hidden="1" x14ac:dyDescent="0.2">
      <c r="A1761" s="84" t="str">
        <f t="shared" si="83"/>
        <v>SelecioneSelecioneSelecione</v>
      </c>
      <c r="B1761" s="85" t="s">
        <v>19</v>
      </c>
      <c r="C1761" s="85" t="s">
        <v>19</v>
      </c>
      <c r="D1761" s="86"/>
      <c r="E1761" s="116" t="str">
        <f t="shared" si="84"/>
        <v>-</v>
      </c>
      <c r="F1761" s="85"/>
      <c r="G1761" s="85" t="s">
        <v>19</v>
      </c>
      <c r="H1761" s="85"/>
      <c r="I1761" s="85"/>
      <c r="J1761" s="87"/>
      <c r="K1761" s="88">
        <f t="shared" si="85"/>
        <v>0</v>
      </c>
      <c r="L1761" s="85"/>
    </row>
    <row r="1762" spans="1:12" hidden="1" x14ac:dyDescent="0.2">
      <c r="A1762" s="84" t="str">
        <f t="shared" si="83"/>
        <v>SelecioneSelecioneSelecione</v>
      </c>
      <c r="B1762" s="85" t="s">
        <v>19</v>
      </c>
      <c r="C1762" s="85" t="s">
        <v>19</v>
      </c>
      <c r="D1762" s="86"/>
      <c r="E1762" s="116" t="str">
        <f t="shared" si="84"/>
        <v>-</v>
      </c>
      <c r="F1762" s="85"/>
      <c r="G1762" s="85" t="s">
        <v>19</v>
      </c>
      <c r="H1762" s="85"/>
      <c r="I1762" s="85"/>
      <c r="J1762" s="87"/>
      <c r="K1762" s="88">
        <f t="shared" si="85"/>
        <v>0</v>
      </c>
      <c r="L1762" s="85"/>
    </row>
    <row r="1763" spans="1:12" hidden="1" x14ac:dyDescent="0.2">
      <c r="A1763" s="84" t="str">
        <f t="shared" si="83"/>
        <v>SelecioneSelecioneSelecione</v>
      </c>
      <c r="B1763" s="85" t="s">
        <v>19</v>
      </c>
      <c r="C1763" s="85" t="s">
        <v>19</v>
      </c>
      <c r="D1763" s="86"/>
      <c r="E1763" s="116" t="str">
        <f t="shared" si="84"/>
        <v>-</v>
      </c>
      <c r="F1763" s="85"/>
      <c r="G1763" s="85" t="s">
        <v>19</v>
      </c>
      <c r="H1763" s="85"/>
      <c r="I1763" s="85"/>
      <c r="J1763" s="87"/>
      <c r="K1763" s="88">
        <f t="shared" si="85"/>
        <v>0</v>
      </c>
      <c r="L1763" s="85"/>
    </row>
    <row r="1764" spans="1:12" hidden="1" x14ac:dyDescent="0.2">
      <c r="A1764" s="84" t="str">
        <f t="shared" si="83"/>
        <v>SelecioneSelecioneSelecione</v>
      </c>
      <c r="B1764" s="85" t="s">
        <v>19</v>
      </c>
      <c r="C1764" s="85" t="s">
        <v>19</v>
      </c>
      <c r="D1764" s="86"/>
      <c r="E1764" s="116" t="str">
        <f t="shared" si="84"/>
        <v>-</v>
      </c>
      <c r="F1764" s="85"/>
      <c r="G1764" s="85" t="s">
        <v>19</v>
      </c>
      <c r="H1764" s="85"/>
      <c r="I1764" s="85"/>
      <c r="J1764" s="87"/>
      <c r="K1764" s="88">
        <f t="shared" si="85"/>
        <v>0</v>
      </c>
      <c r="L1764" s="85"/>
    </row>
    <row r="1765" spans="1:12" hidden="1" x14ac:dyDescent="0.2">
      <c r="A1765" s="84" t="str">
        <f t="shared" si="83"/>
        <v>SelecioneSelecioneSelecione</v>
      </c>
      <c r="B1765" s="85" t="s">
        <v>19</v>
      </c>
      <c r="C1765" s="85" t="s">
        <v>19</v>
      </c>
      <c r="D1765" s="86"/>
      <c r="E1765" s="116" t="str">
        <f t="shared" si="84"/>
        <v>-</v>
      </c>
      <c r="F1765" s="85"/>
      <c r="G1765" s="85" t="s">
        <v>19</v>
      </c>
      <c r="H1765" s="85"/>
      <c r="I1765" s="85"/>
      <c r="J1765" s="87"/>
      <c r="K1765" s="88">
        <f t="shared" si="85"/>
        <v>0</v>
      </c>
      <c r="L1765" s="85"/>
    </row>
    <row r="1766" spans="1:12" hidden="1" x14ac:dyDescent="0.2">
      <c r="A1766" s="84" t="str">
        <f t="shared" si="83"/>
        <v>SelecioneSelecioneSelecione</v>
      </c>
      <c r="B1766" s="85" t="s">
        <v>19</v>
      </c>
      <c r="C1766" s="85" t="s">
        <v>19</v>
      </c>
      <c r="D1766" s="86"/>
      <c r="E1766" s="116" t="str">
        <f t="shared" si="84"/>
        <v>-</v>
      </c>
      <c r="F1766" s="85"/>
      <c r="G1766" s="85" t="s">
        <v>19</v>
      </c>
      <c r="H1766" s="85"/>
      <c r="I1766" s="85"/>
      <c r="J1766" s="87"/>
      <c r="K1766" s="88">
        <f t="shared" si="85"/>
        <v>0</v>
      </c>
      <c r="L1766" s="85"/>
    </row>
    <row r="1767" spans="1:12" hidden="1" x14ac:dyDescent="0.2">
      <c r="A1767" s="84" t="str">
        <f t="shared" si="83"/>
        <v>SelecioneSelecioneSelecione</v>
      </c>
      <c r="B1767" s="85" t="s">
        <v>19</v>
      </c>
      <c r="C1767" s="85" t="s">
        <v>19</v>
      </c>
      <c r="D1767" s="86"/>
      <c r="E1767" s="116" t="str">
        <f t="shared" si="84"/>
        <v>-</v>
      </c>
      <c r="F1767" s="85"/>
      <c r="G1767" s="85" t="s">
        <v>19</v>
      </c>
      <c r="H1767" s="85"/>
      <c r="I1767" s="85"/>
      <c r="J1767" s="87"/>
      <c r="K1767" s="88">
        <f t="shared" si="85"/>
        <v>0</v>
      </c>
      <c r="L1767" s="85"/>
    </row>
    <row r="1768" spans="1:12" hidden="1" x14ac:dyDescent="0.2">
      <c r="A1768" s="84" t="str">
        <f t="shared" si="83"/>
        <v>SelecioneSelecioneSelecione</v>
      </c>
      <c r="B1768" s="85" t="s">
        <v>19</v>
      </c>
      <c r="C1768" s="85" t="s">
        <v>19</v>
      </c>
      <c r="D1768" s="86"/>
      <c r="E1768" s="116" t="str">
        <f t="shared" si="84"/>
        <v>-</v>
      </c>
      <c r="F1768" s="85"/>
      <c r="G1768" s="85" t="s">
        <v>19</v>
      </c>
      <c r="H1768" s="85"/>
      <c r="I1768" s="85"/>
      <c r="J1768" s="87"/>
      <c r="K1768" s="88">
        <f t="shared" si="85"/>
        <v>0</v>
      </c>
      <c r="L1768" s="85"/>
    </row>
    <row r="1769" spans="1:12" hidden="1" x14ac:dyDescent="0.2">
      <c r="A1769" s="84" t="str">
        <f t="shared" si="83"/>
        <v>SelecioneSelecioneSelecione</v>
      </c>
      <c r="B1769" s="85" t="s">
        <v>19</v>
      </c>
      <c r="C1769" s="85" t="s">
        <v>19</v>
      </c>
      <c r="D1769" s="86"/>
      <c r="E1769" s="116" t="str">
        <f t="shared" si="84"/>
        <v>-</v>
      </c>
      <c r="F1769" s="85"/>
      <c r="G1769" s="85" t="s">
        <v>19</v>
      </c>
      <c r="H1769" s="85"/>
      <c r="I1769" s="85"/>
      <c r="J1769" s="87"/>
      <c r="K1769" s="88">
        <f t="shared" si="85"/>
        <v>0</v>
      </c>
      <c r="L1769" s="85"/>
    </row>
    <row r="1770" spans="1:12" hidden="1" x14ac:dyDescent="0.2">
      <c r="A1770" s="84" t="str">
        <f t="shared" si="83"/>
        <v>SelecioneSelecioneSelecione</v>
      </c>
      <c r="B1770" s="85" t="s">
        <v>19</v>
      </c>
      <c r="C1770" s="85" t="s">
        <v>19</v>
      </c>
      <c r="D1770" s="86"/>
      <c r="E1770" s="116" t="str">
        <f t="shared" si="84"/>
        <v>-</v>
      </c>
      <c r="F1770" s="85"/>
      <c r="G1770" s="85" t="s">
        <v>19</v>
      </c>
      <c r="H1770" s="85"/>
      <c r="I1770" s="85"/>
      <c r="J1770" s="87"/>
      <c r="K1770" s="88">
        <f t="shared" si="85"/>
        <v>0</v>
      </c>
      <c r="L1770" s="85"/>
    </row>
    <row r="1771" spans="1:12" hidden="1" x14ac:dyDescent="0.2">
      <c r="A1771" s="84" t="str">
        <f t="shared" si="83"/>
        <v>SelecioneSelecioneSelecione</v>
      </c>
      <c r="B1771" s="85" t="s">
        <v>19</v>
      </c>
      <c r="C1771" s="85" t="s">
        <v>19</v>
      </c>
      <c r="D1771" s="86"/>
      <c r="E1771" s="116" t="str">
        <f t="shared" si="84"/>
        <v>-</v>
      </c>
      <c r="F1771" s="85"/>
      <c r="G1771" s="85" t="s">
        <v>19</v>
      </c>
      <c r="H1771" s="85"/>
      <c r="I1771" s="85"/>
      <c r="J1771" s="87"/>
      <c r="K1771" s="88">
        <f t="shared" si="85"/>
        <v>0</v>
      </c>
      <c r="L1771" s="85"/>
    </row>
    <row r="1772" spans="1:12" hidden="1" x14ac:dyDescent="0.2">
      <c r="A1772" s="84" t="str">
        <f t="shared" si="83"/>
        <v>SelecioneSelecioneSelecione</v>
      </c>
      <c r="B1772" s="85" t="s">
        <v>19</v>
      </c>
      <c r="C1772" s="85" t="s">
        <v>19</v>
      </c>
      <c r="D1772" s="86"/>
      <c r="E1772" s="116" t="str">
        <f t="shared" si="84"/>
        <v>-</v>
      </c>
      <c r="F1772" s="85"/>
      <c r="G1772" s="85" t="s">
        <v>19</v>
      </c>
      <c r="H1772" s="85"/>
      <c r="I1772" s="85"/>
      <c r="J1772" s="87"/>
      <c r="K1772" s="88">
        <f t="shared" si="85"/>
        <v>0</v>
      </c>
      <c r="L1772" s="85"/>
    </row>
    <row r="1773" spans="1:12" hidden="1" x14ac:dyDescent="0.2">
      <c r="A1773" s="84" t="str">
        <f t="shared" si="83"/>
        <v>SelecioneSelecioneSelecione</v>
      </c>
      <c r="B1773" s="85" t="s">
        <v>19</v>
      </c>
      <c r="C1773" s="85" t="s">
        <v>19</v>
      </c>
      <c r="D1773" s="86"/>
      <c r="E1773" s="116" t="str">
        <f t="shared" si="84"/>
        <v>-</v>
      </c>
      <c r="F1773" s="85"/>
      <c r="G1773" s="85" t="s">
        <v>19</v>
      </c>
      <c r="H1773" s="85"/>
      <c r="I1773" s="85"/>
      <c r="J1773" s="87"/>
      <c r="K1773" s="88">
        <f t="shared" si="85"/>
        <v>0</v>
      </c>
      <c r="L1773" s="85"/>
    </row>
    <row r="1774" spans="1:12" hidden="1" x14ac:dyDescent="0.2">
      <c r="A1774" s="84" t="str">
        <f t="shared" si="83"/>
        <v>SelecioneSelecioneSelecione</v>
      </c>
      <c r="B1774" s="85" t="s">
        <v>19</v>
      </c>
      <c r="C1774" s="85" t="s">
        <v>19</v>
      </c>
      <c r="D1774" s="86"/>
      <c r="E1774" s="116" t="str">
        <f t="shared" si="84"/>
        <v>-</v>
      </c>
      <c r="F1774" s="85"/>
      <c r="G1774" s="85" t="s">
        <v>19</v>
      </c>
      <c r="H1774" s="85"/>
      <c r="I1774" s="85"/>
      <c r="J1774" s="87"/>
      <c r="K1774" s="88">
        <f t="shared" si="85"/>
        <v>0</v>
      </c>
      <c r="L1774" s="85"/>
    </row>
    <row r="1775" spans="1:12" hidden="1" x14ac:dyDescent="0.2">
      <c r="A1775" s="84" t="str">
        <f t="shared" si="83"/>
        <v>SelecioneSelecioneSelecione</v>
      </c>
      <c r="B1775" s="85" t="s">
        <v>19</v>
      </c>
      <c r="C1775" s="85" t="s">
        <v>19</v>
      </c>
      <c r="D1775" s="86"/>
      <c r="E1775" s="116" t="str">
        <f t="shared" si="84"/>
        <v>-</v>
      </c>
      <c r="F1775" s="85"/>
      <c r="G1775" s="85" t="s">
        <v>19</v>
      </c>
      <c r="H1775" s="85"/>
      <c r="I1775" s="85"/>
      <c r="J1775" s="87"/>
      <c r="K1775" s="88">
        <f t="shared" si="85"/>
        <v>0</v>
      </c>
      <c r="L1775" s="85"/>
    </row>
    <row r="1776" spans="1:12" hidden="1" x14ac:dyDescent="0.2">
      <c r="A1776" s="84" t="str">
        <f t="shared" si="83"/>
        <v>SelecioneSelecioneSelecione</v>
      </c>
      <c r="B1776" s="85" t="s">
        <v>19</v>
      </c>
      <c r="C1776" s="85" t="s">
        <v>19</v>
      </c>
      <c r="D1776" s="86"/>
      <c r="E1776" s="116" t="str">
        <f t="shared" si="84"/>
        <v>-</v>
      </c>
      <c r="F1776" s="85"/>
      <c r="G1776" s="85" t="s">
        <v>19</v>
      </c>
      <c r="H1776" s="85"/>
      <c r="I1776" s="85"/>
      <c r="J1776" s="87"/>
      <c r="K1776" s="88">
        <f t="shared" si="85"/>
        <v>0</v>
      </c>
      <c r="L1776" s="85"/>
    </row>
    <row r="1777" spans="1:12" hidden="1" x14ac:dyDescent="0.2">
      <c r="A1777" s="84" t="str">
        <f t="shared" si="83"/>
        <v>SelecioneSelecioneSelecione</v>
      </c>
      <c r="B1777" s="85" t="s">
        <v>19</v>
      </c>
      <c r="C1777" s="85" t="s">
        <v>19</v>
      </c>
      <c r="D1777" s="86"/>
      <c r="E1777" s="116" t="str">
        <f t="shared" si="84"/>
        <v>-</v>
      </c>
      <c r="F1777" s="85"/>
      <c r="G1777" s="85" t="s">
        <v>19</v>
      </c>
      <c r="H1777" s="85"/>
      <c r="I1777" s="85"/>
      <c r="J1777" s="87"/>
      <c r="K1777" s="88">
        <f t="shared" si="85"/>
        <v>0</v>
      </c>
      <c r="L1777" s="85"/>
    </row>
    <row r="1778" spans="1:12" hidden="1" x14ac:dyDescent="0.2">
      <c r="A1778" s="84" t="str">
        <f t="shared" si="83"/>
        <v>SelecioneSelecioneSelecione</v>
      </c>
      <c r="B1778" s="85" t="s">
        <v>19</v>
      </c>
      <c r="C1778" s="85" t="s">
        <v>19</v>
      </c>
      <c r="D1778" s="86"/>
      <c r="E1778" s="116" t="str">
        <f t="shared" si="84"/>
        <v>-</v>
      </c>
      <c r="F1778" s="85"/>
      <c r="G1778" s="85" t="s">
        <v>19</v>
      </c>
      <c r="H1778" s="85"/>
      <c r="I1778" s="85"/>
      <c r="J1778" s="87"/>
      <c r="K1778" s="88">
        <f t="shared" si="85"/>
        <v>0</v>
      </c>
      <c r="L1778" s="85"/>
    </row>
    <row r="1779" spans="1:12" hidden="1" x14ac:dyDescent="0.2">
      <c r="A1779" s="84" t="str">
        <f t="shared" si="83"/>
        <v>SelecioneSelecioneSelecione</v>
      </c>
      <c r="B1779" s="85" t="s">
        <v>19</v>
      </c>
      <c r="C1779" s="85" t="s">
        <v>19</v>
      </c>
      <c r="D1779" s="86"/>
      <c r="E1779" s="116" t="str">
        <f t="shared" si="84"/>
        <v>-</v>
      </c>
      <c r="F1779" s="85"/>
      <c r="G1779" s="85" t="s">
        <v>19</v>
      </c>
      <c r="H1779" s="85"/>
      <c r="I1779" s="85"/>
      <c r="J1779" s="87"/>
      <c r="K1779" s="88">
        <f t="shared" si="85"/>
        <v>0</v>
      </c>
      <c r="L1779" s="85"/>
    </row>
    <row r="1780" spans="1:12" hidden="1" x14ac:dyDescent="0.2">
      <c r="A1780" s="84" t="str">
        <f t="shared" si="83"/>
        <v>SelecioneSelecioneSelecione</v>
      </c>
      <c r="B1780" s="85" t="s">
        <v>19</v>
      </c>
      <c r="C1780" s="85" t="s">
        <v>19</v>
      </c>
      <c r="D1780" s="86"/>
      <c r="E1780" s="116" t="str">
        <f t="shared" si="84"/>
        <v>-</v>
      </c>
      <c r="F1780" s="85"/>
      <c r="G1780" s="85" t="s">
        <v>19</v>
      </c>
      <c r="H1780" s="85"/>
      <c r="I1780" s="85"/>
      <c r="J1780" s="87"/>
      <c r="K1780" s="88">
        <f t="shared" si="85"/>
        <v>0</v>
      </c>
      <c r="L1780" s="85"/>
    </row>
    <row r="1781" spans="1:12" hidden="1" x14ac:dyDescent="0.2">
      <c r="A1781" s="84" t="str">
        <f t="shared" si="83"/>
        <v>SelecioneSelecioneSelecione</v>
      </c>
      <c r="B1781" s="85" t="s">
        <v>19</v>
      </c>
      <c r="C1781" s="85" t="s">
        <v>19</v>
      </c>
      <c r="D1781" s="86"/>
      <c r="E1781" s="116" t="str">
        <f t="shared" si="84"/>
        <v>-</v>
      </c>
      <c r="F1781" s="85"/>
      <c r="G1781" s="85" t="s">
        <v>19</v>
      </c>
      <c r="H1781" s="85"/>
      <c r="I1781" s="85"/>
      <c r="J1781" s="87"/>
      <c r="K1781" s="88">
        <f t="shared" si="85"/>
        <v>0</v>
      </c>
      <c r="L1781" s="85"/>
    </row>
    <row r="1782" spans="1:12" hidden="1" x14ac:dyDescent="0.2">
      <c r="A1782" s="84" t="str">
        <f t="shared" si="83"/>
        <v>SelecioneSelecioneSelecione</v>
      </c>
      <c r="B1782" s="85" t="s">
        <v>19</v>
      </c>
      <c r="C1782" s="85" t="s">
        <v>19</v>
      </c>
      <c r="D1782" s="86"/>
      <c r="E1782" s="116" t="str">
        <f t="shared" si="84"/>
        <v>-</v>
      </c>
      <c r="F1782" s="85"/>
      <c r="G1782" s="85" t="s">
        <v>19</v>
      </c>
      <c r="H1782" s="85"/>
      <c r="I1782" s="85"/>
      <c r="J1782" s="87"/>
      <c r="K1782" s="88">
        <f t="shared" si="85"/>
        <v>0</v>
      </c>
      <c r="L1782" s="85"/>
    </row>
    <row r="1783" spans="1:12" hidden="1" x14ac:dyDescent="0.2">
      <c r="A1783" s="84" t="str">
        <f t="shared" si="83"/>
        <v>SelecioneSelecioneSelecione</v>
      </c>
      <c r="B1783" s="85" t="s">
        <v>19</v>
      </c>
      <c r="C1783" s="85" t="s">
        <v>19</v>
      </c>
      <c r="D1783" s="86"/>
      <c r="E1783" s="116" t="str">
        <f t="shared" si="84"/>
        <v>-</v>
      </c>
      <c r="F1783" s="85"/>
      <c r="G1783" s="85" t="s">
        <v>19</v>
      </c>
      <c r="H1783" s="85"/>
      <c r="I1783" s="85"/>
      <c r="J1783" s="87"/>
      <c r="K1783" s="88">
        <f t="shared" si="85"/>
        <v>0</v>
      </c>
      <c r="L1783" s="85"/>
    </row>
    <row r="1784" spans="1:12" hidden="1" x14ac:dyDescent="0.2">
      <c r="A1784" s="84" t="str">
        <f t="shared" si="83"/>
        <v>SelecioneSelecioneSelecione</v>
      </c>
      <c r="B1784" s="85" t="s">
        <v>19</v>
      </c>
      <c r="C1784" s="85" t="s">
        <v>19</v>
      </c>
      <c r="D1784" s="86"/>
      <c r="E1784" s="116" t="str">
        <f t="shared" si="84"/>
        <v>-</v>
      </c>
      <c r="F1784" s="85"/>
      <c r="G1784" s="85" t="s">
        <v>19</v>
      </c>
      <c r="H1784" s="85"/>
      <c r="I1784" s="85"/>
      <c r="J1784" s="87"/>
      <c r="K1784" s="88">
        <f t="shared" si="85"/>
        <v>0</v>
      </c>
      <c r="L1784" s="85"/>
    </row>
    <row r="1785" spans="1:12" hidden="1" x14ac:dyDescent="0.2">
      <c r="A1785" s="84" t="str">
        <f t="shared" si="83"/>
        <v>SelecioneSelecioneSelecione</v>
      </c>
      <c r="B1785" s="85" t="s">
        <v>19</v>
      </c>
      <c r="C1785" s="85" t="s">
        <v>19</v>
      </c>
      <c r="D1785" s="86"/>
      <c r="E1785" s="116" t="str">
        <f t="shared" si="84"/>
        <v>-</v>
      </c>
      <c r="F1785" s="85"/>
      <c r="G1785" s="85" t="s">
        <v>19</v>
      </c>
      <c r="H1785" s="85"/>
      <c r="I1785" s="85"/>
      <c r="J1785" s="87"/>
      <c r="K1785" s="88">
        <f t="shared" si="85"/>
        <v>0</v>
      </c>
      <c r="L1785" s="85"/>
    </row>
    <row r="1786" spans="1:12" hidden="1" x14ac:dyDescent="0.2">
      <c r="A1786" s="84" t="str">
        <f t="shared" si="83"/>
        <v>SelecioneSelecioneSelecione</v>
      </c>
      <c r="B1786" s="85" t="s">
        <v>19</v>
      </c>
      <c r="C1786" s="85" t="s">
        <v>19</v>
      </c>
      <c r="D1786" s="86"/>
      <c r="E1786" s="116" t="str">
        <f t="shared" si="84"/>
        <v>-</v>
      </c>
      <c r="F1786" s="85"/>
      <c r="G1786" s="85" t="s">
        <v>19</v>
      </c>
      <c r="H1786" s="85"/>
      <c r="I1786" s="85"/>
      <c r="J1786" s="87"/>
      <c r="K1786" s="88">
        <f t="shared" si="85"/>
        <v>0</v>
      </c>
      <c r="L1786" s="85"/>
    </row>
    <row r="1787" spans="1:12" hidden="1" x14ac:dyDescent="0.2">
      <c r="A1787" s="84" t="str">
        <f t="shared" si="83"/>
        <v>SelecioneSelecioneSelecione</v>
      </c>
      <c r="B1787" s="85" t="s">
        <v>19</v>
      </c>
      <c r="C1787" s="85" t="s">
        <v>19</v>
      </c>
      <c r="D1787" s="86"/>
      <c r="E1787" s="116" t="str">
        <f t="shared" si="84"/>
        <v>-</v>
      </c>
      <c r="F1787" s="85"/>
      <c r="G1787" s="85" t="s">
        <v>19</v>
      </c>
      <c r="H1787" s="85"/>
      <c r="I1787" s="85"/>
      <c r="J1787" s="87"/>
      <c r="K1787" s="88">
        <f t="shared" si="85"/>
        <v>0</v>
      </c>
      <c r="L1787" s="85"/>
    </row>
    <row r="1788" spans="1:12" hidden="1" x14ac:dyDescent="0.2">
      <c r="A1788" s="84" t="str">
        <f t="shared" si="83"/>
        <v>SelecioneSelecioneSelecione</v>
      </c>
      <c r="B1788" s="85" t="s">
        <v>19</v>
      </c>
      <c r="C1788" s="85" t="s">
        <v>19</v>
      </c>
      <c r="D1788" s="86"/>
      <c r="E1788" s="116" t="str">
        <f t="shared" si="84"/>
        <v>-</v>
      </c>
      <c r="F1788" s="85"/>
      <c r="G1788" s="85" t="s">
        <v>19</v>
      </c>
      <c r="H1788" s="85"/>
      <c r="I1788" s="85"/>
      <c r="J1788" s="87"/>
      <c r="K1788" s="88">
        <f t="shared" si="85"/>
        <v>0</v>
      </c>
      <c r="L1788" s="85"/>
    </row>
    <row r="1789" spans="1:12" hidden="1" x14ac:dyDescent="0.2">
      <c r="A1789" s="84" t="str">
        <f t="shared" si="83"/>
        <v>SelecioneSelecioneSelecione</v>
      </c>
      <c r="B1789" s="85" t="s">
        <v>19</v>
      </c>
      <c r="C1789" s="85" t="s">
        <v>19</v>
      </c>
      <c r="D1789" s="86"/>
      <c r="E1789" s="116" t="str">
        <f t="shared" si="84"/>
        <v>-</v>
      </c>
      <c r="F1789" s="85"/>
      <c r="G1789" s="85" t="s">
        <v>19</v>
      </c>
      <c r="H1789" s="85"/>
      <c r="I1789" s="85"/>
      <c r="J1789" s="87"/>
      <c r="K1789" s="88">
        <f t="shared" si="85"/>
        <v>0</v>
      </c>
      <c r="L1789" s="85"/>
    </row>
    <row r="1790" spans="1:12" hidden="1" x14ac:dyDescent="0.2">
      <c r="A1790" s="84" t="str">
        <f t="shared" si="83"/>
        <v>SelecioneSelecioneSelecione</v>
      </c>
      <c r="B1790" s="85" t="s">
        <v>19</v>
      </c>
      <c r="C1790" s="85" t="s">
        <v>19</v>
      </c>
      <c r="D1790" s="86"/>
      <c r="E1790" s="116" t="str">
        <f t="shared" si="84"/>
        <v>-</v>
      </c>
      <c r="F1790" s="85"/>
      <c r="G1790" s="85" t="s">
        <v>19</v>
      </c>
      <c r="H1790" s="85"/>
      <c r="I1790" s="85"/>
      <c r="J1790" s="87"/>
      <c r="K1790" s="88">
        <f t="shared" si="85"/>
        <v>0</v>
      </c>
      <c r="L1790" s="85"/>
    </row>
    <row r="1791" spans="1:12" hidden="1" x14ac:dyDescent="0.2">
      <c r="A1791" s="84" t="str">
        <f t="shared" si="83"/>
        <v>SelecioneSelecioneSelecione</v>
      </c>
      <c r="B1791" s="85" t="s">
        <v>19</v>
      </c>
      <c r="C1791" s="85" t="s">
        <v>19</v>
      </c>
      <c r="D1791" s="86"/>
      <c r="E1791" s="116" t="str">
        <f t="shared" si="84"/>
        <v>-</v>
      </c>
      <c r="F1791" s="85"/>
      <c r="G1791" s="85" t="s">
        <v>19</v>
      </c>
      <c r="H1791" s="85"/>
      <c r="I1791" s="85"/>
      <c r="J1791" s="87"/>
      <c r="K1791" s="88">
        <f t="shared" si="85"/>
        <v>0</v>
      </c>
      <c r="L1791" s="85"/>
    </row>
    <row r="1792" spans="1:12" hidden="1" x14ac:dyDescent="0.2">
      <c r="A1792" s="84" t="str">
        <f t="shared" si="83"/>
        <v>SelecioneSelecioneSelecione</v>
      </c>
      <c r="B1792" s="85" t="s">
        <v>19</v>
      </c>
      <c r="C1792" s="85" t="s">
        <v>19</v>
      </c>
      <c r="D1792" s="86"/>
      <c r="E1792" s="116" t="str">
        <f t="shared" si="84"/>
        <v>-</v>
      </c>
      <c r="F1792" s="85"/>
      <c r="G1792" s="85" t="s">
        <v>19</v>
      </c>
      <c r="H1792" s="85"/>
      <c r="I1792" s="85"/>
      <c r="J1792" s="87"/>
      <c r="K1792" s="88">
        <f t="shared" si="85"/>
        <v>0</v>
      </c>
      <c r="L1792" s="85"/>
    </row>
    <row r="1793" spans="1:12" hidden="1" x14ac:dyDescent="0.2">
      <c r="A1793" s="84" t="str">
        <f t="shared" si="83"/>
        <v>SelecioneSelecioneSelecione</v>
      </c>
      <c r="B1793" s="85" t="s">
        <v>19</v>
      </c>
      <c r="C1793" s="85" t="s">
        <v>19</v>
      </c>
      <c r="D1793" s="86"/>
      <c r="E1793" s="116" t="str">
        <f t="shared" si="84"/>
        <v>-</v>
      </c>
      <c r="F1793" s="85"/>
      <c r="G1793" s="85" t="s">
        <v>19</v>
      </c>
      <c r="H1793" s="85"/>
      <c r="I1793" s="85"/>
      <c r="J1793" s="87"/>
      <c r="K1793" s="88">
        <f t="shared" si="85"/>
        <v>0</v>
      </c>
      <c r="L1793" s="85"/>
    </row>
    <row r="1794" spans="1:12" hidden="1" x14ac:dyDescent="0.2">
      <c r="A1794" s="84" t="str">
        <f t="shared" ref="A1794:A1857" si="86">CONCATENATE(B1794,C1794,G1794)</f>
        <v>SelecioneSelecioneSelecione</v>
      </c>
      <c r="B1794" s="85" t="s">
        <v>19</v>
      </c>
      <c r="C1794" s="85" t="s">
        <v>19</v>
      </c>
      <c r="D1794" s="86"/>
      <c r="E1794" s="116" t="str">
        <f t="shared" ref="E1794:E1857" si="87">VLOOKUP(G1794,$M$1:$O$993,3,0)</f>
        <v>-</v>
      </c>
      <c r="F1794" s="85"/>
      <c r="G1794" s="85" t="s">
        <v>19</v>
      </c>
      <c r="H1794" s="85"/>
      <c r="I1794" s="85"/>
      <c r="J1794" s="87"/>
      <c r="K1794" s="88">
        <f t="shared" ref="K1794:K1857" si="88">I1794*J1794</f>
        <v>0</v>
      </c>
      <c r="L1794" s="85"/>
    </row>
    <row r="1795" spans="1:12" hidden="1" x14ac:dyDescent="0.2">
      <c r="A1795" s="84" t="str">
        <f t="shared" si="86"/>
        <v>SelecioneSelecioneSelecione</v>
      </c>
      <c r="B1795" s="85" t="s">
        <v>19</v>
      </c>
      <c r="C1795" s="85" t="s">
        <v>19</v>
      </c>
      <c r="D1795" s="86"/>
      <c r="E1795" s="116" t="str">
        <f t="shared" si="87"/>
        <v>-</v>
      </c>
      <c r="F1795" s="85"/>
      <c r="G1795" s="85" t="s">
        <v>19</v>
      </c>
      <c r="H1795" s="85"/>
      <c r="I1795" s="85"/>
      <c r="J1795" s="87"/>
      <c r="K1795" s="88">
        <f t="shared" si="88"/>
        <v>0</v>
      </c>
      <c r="L1795" s="85"/>
    </row>
    <row r="1796" spans="1:12" hidden="1" x14ac:dyDescent="0.2">
      <c r="A1796" s="84" t="str">
        <f t="shared" si="86"/>
        <v>SelecioneSelecioneSelecione</v>
      </c>
      <c r="B1796" s="85" t="s">
        <v>19</v>
      </c>
      <c r="C1796" s="85" t="s">
        <v>19</v>
      </c>
      <c r="D1796" s="86"/>
      <c r="E1796" s="116" t="str">
        <f t="shared" si="87"/>
        <v>-</v>
      </c>
      <c r="F1796" s="85"/>
      <c r="G1796" s="85" t="s">
        <v>19</v>
      </c>
      <c r="H1796" s="85"/>
      <c r="I1796" s="85"/>
      <c r="J1796" s="87"/>
      <c r="K1796" s="88">
        <f t="shared" si="88"/>
        <v>0</v>
      </c>
      <c r="L1796" s="85"/>
    </row>
    <row r="1797" spans="1:12" hidden="1" x14ac:dyDescent="0.2">
      <c r="A1797" s="84" t="str">
        <f t="shared" si="86"/>
        <v>SelecioneSelecioneSelecione</v>
      </c>
      <c r="B1797" s="85" t="s">
        <v>19</v>
      </c>
      <c r="C1797" s="85" t="s">
        <v>19</v>
      </c>
      <c r="D1797" s="86"/>
      <c r="E1797" s="116" t="str">
        <f t="shared" si="87"/>
        <v>-</v>
      </c>
      <c r="F1797" s="85"/>
      <c r="G1797" s="85" t="s">
        <v>19</v>
      </c>
      <c r="H1797" s="85"/>
      <c r="I1797" s="85"/>
      <c r="J1797" s="87"/>
      <c r="K1797" s="88">
        <f t="shared" si="88"/>
        <v>0</v>
      </c>
      <c r="L1797" s="85"/>
    </row>
    <row r="1798" spans="1:12" hidden="1" x14ac:dyDescent="0.2">
      <c r="A1798" s="84" t="str">
        <f t="shared" si="86"/>
        <v>SelecioneSelecioneSelecione</v>
      </c>
      <c r="B1798" s="85" t="s">
        <v>19</v>
      </c>
      <c r="C1798" s="85" t="s">
        <v>19</v>
      </c>
      <c r="D1798" s="86"/>
      <c r="E1798" s="116" t="str">
        <f t="shared" si="87"/>
        <v>-</v>
      </c>
      <c r="F1798" s="85"/>
      <c r="G1798" s="85" t="s">
        <v>19</v>
      </c>
      <c r="H1798" s="85"/>
      <c r="I1798" s="85"/>
      <c r="J1798" s="87"/>
      <c r="K1798" s="88">
        <f t="shared" si="88"/>
        <v>0</v>
      </c>
      <c r="L1798" s="85"/>
    </row>
    <row r="1799" spans="1:12" hidden="1" x14ac:dyDescent="0.2">
      <c r="A1799" s="84" t="str">
        <f t="shared" si="86"/>
        <v>SelecioneSelecioneSelecione</v>
      </c>
      <c r="B1799" s="85" t="s">
        <v>19</v>
      </c>
      <c r="C1799" s="85" t="s">
        <v>19</v>
      </c>
      <c r="D1799" s="86"/>
      <c r="E1799" s="116" t="str">
        <f t="shared" si="87"/>
        <v>-</v>
      </c>
      <c r="F1799" s="85"/>
      <c r="G1799" s="85" t="s">
        <v>19</v>
      </c>
      <c r="H1799" s="85"/>
      <c r="I1799" s="85"/>
      <c r="J1799" s="87"/>
      <c r="K1799" s="88">
        <f t="shared" si="88"/>
        <v>0</v>
      </c>
      <c r="L1799" s="85"/>
    </row>
    <row r="1800" spans="1:12" hidden="1" x14ac:dyDescent="0.2">
      <c r="A1800" s="84" t="str">
        <f t="shared" si="86"/>
        <v>SelecioneSelecioneSelecione</v>
      </c>
      <c r="B1800" s="85" t="s">
        <v>19</v>
      </c>
      <c r="C1800" s="85" t="s">
        <v>19</v>
      </c>
      <c r="D1800" s="86"/>
      <c r="E1800" s="116" t="str">
        <f t="shared" si="87"/>
        <v>-</v>
      </c>
      <c r="F1800" s="85"/>
      <c r="G1800" s="85" t="s">
        <v>19</v>
      </c>
      <c r="H1800" s="85"/>
      <c r="I1800" s="85"/>
      <c r="J1800" s="87"/>
      <c r="K1800" s="88">
        <f t="shared" si="88"/>
        <v>0</v>
      </c>
      <c r="L1800" s="85"/>
    </row>
    <row r="1801" spans="1:12" hidden="1" x14ac:dyDescent="0.2">
      <c r="A1801" s="84" t="str">
        <f t="shared" si="86"/>
        <v>SelecioneSelecioneSelecione</v>
      </c>
      <c r="B1801" s="85" t="s">
        <v>19</v>
      </c>
      <c r="C1801" s="85" t="s">
        <v>19</v>
      </c>
      <c r="D1801" s="86"/>
      <c r="E1801" s="116" t="str">
        <f t="shared" si="87"/>
        <v>-</v>
      </c>
      <c r="F1801" s="85"/>
      <c r="G1801" s="85" t="s">
        <v>19</v>
      </c>
      <c r="H1801" s="85"/>
      <c r="I1801" s="85"/>
      <c r="J1801" s="87"/>
      <c r="K1801" s="88">
        <f t="shared" si="88"/>
        <v>0</v>
      </c>
      <c r="L1801" s="85"/>
    </row>
    <row r="1802" spans="1:12" hidden="1" x14ac:dyDescent="0.2">
      <c r="A1802" s="84" t="str">
        <f t="shared" si="86"/>
        <v>SelecioneSelecioneSelecione</v>
      </c>
      <c r="B1802" s="85" t="s">
        <v>19</v>
      </c>
      <c r="C1802" s="85" t="s">
        <v>19</v>
      </c>
      <c r="D1802" s="86"/>
      <c r="E1802" s="116" t="str">
        <f t="shared" si="87"/>
        <v>-</v>
      </c>
      <c r="F1802" s="85"/>
      <c r="G1802" s="85" t="s">
        <v>19</v>
      </c>
      <c r="H1802" s="85"/>
      <c r="I1802" s="85"/>
      <c r="J1802" s="87"/>
      <c r="K1802" s="88">
        <f t="shared" si="88"/>
        <v>0</v>
      </c>
      <c r="L1802" s="85"/>
    </row>
    <row r="1803" spans="1:12" hidden="1" x14ac:dyDescent="0.2">
      <c r="A1803" s="84" t="str">
        <f t="shared" si="86"/>
        <v>SelecioneSelecioneSelecione</v>
      </c>
      <c r="B1803" s="85" t="s">
        <v>19</v>
      </c>
      <c r="C1803" s="85" t="s">
        <v>19</v>
      </c>
      <c r="D1803" s="86"/>
      <c r="E1803" s="116" t="str">
        <f t="shared" si="87"/>
        <v>-</v>
      </c>
      <c r="F1803" s="85"/>
      <c r="G1803" s="85" t="s">
        <v>19</v>
      </c>
      <c r="H1803" s="85"/>
      <c r="I1803" s="85"/>
      <c r="J1803" s="87"/>
      <c r="K1803" s="88">
        <f t="shared" si="88"/>
        <v>0</v>
      </c>
      <c r="L1803" s="85"/>
    </row>
    <row r="1804" spans="1:12" hidden="1" x14ac:dyDescent="0.2">
      <c r="A1804" s="84" t="str">
        <f t="shared" si="86"/>
        <v>SelecioneSelecioneSelecione</v>
      </c>
      <c r="B1804" s="85" t="s">
        <v>19</v>
      </c>
      <c r="C1804" s="85" t="s">
        <v>19</v>
      </c>
      <c r="D1804" s="86"/>
      <c r="E1804" s="116" t="str">
        <f t="shared" si="87"/>
        <v>-</v>
      </c>
      <c r="F1804" s="85"/>
      <c r="G1804" s="85" t="s">
        <v>19</v>
      </c>
      <c r="H1804" s="85"/>
      <c r="I1804" s="85"/>
      <c r="J1804" s="87"/>
      <c r="K1804" s="88">
        <f t="shared" si="88"/>
        <v>0</v>
      </c>
      <c r="L1804" s="85"/>
    </row>
    <row r="1805" spans="1:12" hidden="1" x14ac:dyDescent="0.2">
      <c r="A1805" s="84" t="str">
        <f t="shared" si="86"/>
        <v>SelecioneSelecioneSelecione</v>
      </c>
      <c r="B1805" s="85" t="s">
        <v>19</v>
      </c>
      <c r="C1805" s="85" t="s">
        <v>19</v>
      </c>
      <c r="D1805" s="86"/>
      <c r="E1805" s="116" t="str">
        <f t="shared" si="87"/>
        <v>-</v>
      </c>
      <c r="F1805" s="85"/>
      <c r="G1805" s="85" t="s">
        <v>19</v>
      </c>
      <c r="H1805" s="85"/>
      <c r="I1805" s="85"/>
      <c r="J1805" s="87"/>
      <c r="K1805" s="88">
        <f t="shared" si="88"/>
        <v>0</v>
      </c>
      <c r="L1805" s="85"/>
    </row>
    <row r="1806" spans="1:12" hidden="1" x14ac:dyDescent="0.2">
      <c r="A1806" s="84" t="str">
        <f t="shared" si="86"/>
        <v>SelecioneSelecioneSelecione</v>
      </c>
      <c r="B1806" s="85" t="s">
        <v>19</v>
      </c>
      <c r="C1806" s="85" t="s">
        <v>19</v>
      </c>
      <c r="D1806" s="86"/>
      <c r="E1806" s="116" t="str">
        <f t="shared" si="87"/>
        <v>-</v>
      </c>
      <c r="F1806" s="85"/>
      <c r="G1806" s="85" t="s">
        <v>19</v>
      </c>
      <c r="H1806" s="85"/>
      <c r="I1806" s="85"/>
      <c r="J1806" s="87"/>
      <c r="K1806" s="88">
        <f t="shared" si="88"/>
        <v>0</v>
      </c>
      <c r="L1806" s="85"/>
    </row>
    <row r="1807" spans="1:12" hidden="1" x14ac:dyDescent="0.2">
      <c r="A1807" s="84" t="str">
        <f t="shared" si="86"/>
        <v>SelecioneSelecioneSelecione</v>
      </c>
      <c r="B1807" s="85" t="s">
        <v>19</v>
      </c>
      <c r="C1807" s="85" t="s">
        <v>19</v>
      </c>
      <c r="D1807" s="86"/>
      <c r="E1807" s="116" t="str">
        <f t="shared" si="87"/>
        <v>-</v>
      </c>
      <c r="F1807" s="85"/>
      <c r="G1807" s="85" t="s">
        <v>19</v>
      </c>
      <c r="H1807" s="85"/>
      <c r="I1807" s="85"/>
      <c r="J1807" s="87"/>
      <c r="K1807" s="88">
        <f t="shared" si="88"/>
        <v>0</v>
      </c>
      <c r="L1807" s="85"/>
    </row>
    <row r="1808" spans="1:12" hidden="1" x14ac:dyDescent="0.2">
      <c r="A1808" s="84" t="str">
        <f t="shared" si="86"/>
        <v>SelecioneSelecioneSelecione</v>
      </c>
      <c r="B1808" s="85" t="s">
        <v>19</v>
      </c>
      <c r="C1808" s="85" t="s">
        <v>19</v>
      </c>
      <c r="D1808" s="86"/>
      <c r="E1808" s="116" t="str">
        <f t="shared" si="87"/>
        <v>-</v>
      </c>
      <c r="F1808" s="85"/>
      <c r="G1808" s="85" t="s">
        <v>19</v>
      </c>
      <c r="H1808" s="85"/>
      <c r="I1808" s="85"/>
      <c r="J1808" s="87"/>
      <c r="K1808" s="88">
        <f t="shared" si="88"/>
        <v>0</v>
      </c>
      <c r="L1808" s="85"/>
    </row>
    <row r="1809" spans="1:12" hidden="1" x14ac:dyDescent="0.2">
      <c r="A1809" s="84" t="str">
        <f t="shared" si="86"/>
        <v>SelecioneSelecioneSelecione</v>
      </c>
      <c r="B1809" s="85" t="s">
        <v>19</v>
      </c>
      <c r="C1809" s="85" t="s">
        <v>19</v>
      </c>
      <c r="D1809" s="86"/>
      <c r="E1809" s="116" t="str">
        <f t="shared" si="87"/>
        <v>-</v>
      </c>
      <c r="F1809" s="85"/>
      <c r="G1809" s="85" t="s">
        <v>19</v>
      </c>
      <c r="H1809" s="85"/>
      <c r="I1809" s="85"/>
      <c r="J1809" s="87"/>
      <c r="K1809" s="88">
        <f t="shared" si="88"/>
        <v>0</v>
      </c>
      <c r="L1809" s="85"/>
    </row>
    <row r="1810" spans="1:12" hidden="1" x14ac:dyDescent="0.2">
      <c r="A1810" s="84" t="str">
        <f t="shared" si="86"/>
        <v>SelecioneSelecioneSelecione</v>
      </c>
      <c r="B1810" s="85" t="s">
        <v>19</v>
      </c>
      <c r="C1810" s="85" t="s">
        <v>19</v>
      </c>
      <c r="D1810" s="86"/>
      <c r="E1810" s="116" t="str">
        <f t="shared" si="87"/>
        <v>-</v>
      </c>
      <c r="F1810" s="85"/>
      <c r="G1810" s="85" t="s">
        <v>19</v>
      </c>
      <c r="H1810" s="85"/>
      <c r="I1810" s="85"/>
      <c r="J1810" s="87"/>
      <c r="K1810" s="88">
        <f t="shared" si="88"/>
        <v>0</v>
      </c>
      <c r="L1810" s="85"/>
    </row>
    <row r="1811" spans="1:12" hidden="1" x14ac:dyDescent="0.2">
      <c r="A1811" s="84" t="str">
        <f t="shared" si="86"/>
        <v>SelecioneSelecioneSelecione</v>
      </c>
      <c r="B1811" s="85" t="s">
        <v>19</v>
      </c>
      <c r="C1811" s="85" t="s">
        <v>19</v>
      </c>
      <c r="D1811" s="86"/>
      <c r="E1811" s="116" t="str">
        <f t="shared" si="87"/>
        <v>-</v>
      </c>
      <c r="F1811" s="85"/>
      <c r="G1811" s="85" t="s">
        <v>19</v>
      </c>
      <c r="H1811" s="85"/>
      <c r="I1811" s="85"/>
      <c r="J1811" s="87"/>
      <c r="K1811" s="88">
        <f t="shared" si="88"/>
        <v>0</v>
      </c>
      <c r="L1811" s="85"/>
    </row>
    <row r="1812" spans="1:12" hidden="1" x14ac:dyDescent="0.2">
      <c r="A1812" s="84" t="str">
        <f t="shared" si="86"/>
        <v>SelecioneSelecioneSelecione</v>
      </c>
      <c r="B1812" s="85" t="s">
        <v>19</v>
      </c>
      <c r="C1812" s="85" t="s">
        <v>19</v>
      </c>
      <c r="D1812" s="86"/>
      <c r="E1812" s="116" t="str">
        <f t="shared" si="87"/>
        <v>-</v>
      </c>
      <c r="F1812" s="85"/>
      <c r="G1812" s="85" t="s">
        <v>19</v>
      </c>
      <c r="H1812" s="85"/>
      <c r="I1812" s="85"/>
      <c r="J1812" s="87"/>
      <c r="K1812" s="88">
        <f t="shared" si="88"/>
        <v>0</v>
      </c>
      <c r="L1812" s="85"/>
    </row>
    <row r="1813" spans="1:12" hidden="1" x14ac:dyDescent="0.2">
      <c r="A1813" s="84" t="str">
        <f t="shared" si="86"/>
        <v>SelecioneSelecioneSelecione</v>
      </c>
      <c r="B1813" s="85" t="s">
        <v>19</v>
      </c>
      <c r="C1813" s="85" t="s">
        <v>19</v>
      </c>
      <c r="D1813" s="86"/>
      <c r="E1813" s="116" t="str">
        <f t="shared" si="87"/>
        <v>-</v>
      </c>
      <c r="F1813" s="85"/>
      <c r="G1813" s="85" t="s">
        <v>19</v>
      </c>
      <c r="H1813" s="85"/>
      <c r="I1813" s="85"/>
      <c r="J1813" s="87"/>
      <c r="K1813" s="88">
        <f t="shared" si="88"/>
        <v>0</v>
      </c>
      <c r="L1813" s="85"/>
    </row>
    <row r="1814" spans="1:12" hidden="1" x14ac:dyDescent="0.2">
      <c r="A1814" s="84" t="str">
        <f t="shared" si="86"/>
        <v>SelecioneSelecioneSelecione</v>
      </c>
      <c r="B1814" s="85" t="s">
        <v>19</v>
      </c>
      <c r="C1814" s="85" t="s">
        <v>19</v>
      </c>
      <c r="D1814" s="86"/>
      <c r="E1814" s="116" t="str">
        <f t="shared" si="87"/>
        <v>-</v>
      </c>
      <c r="F1814" s="85"/>
      <c r="G1814" s="85" t="s">
        <v>19</v>
      </c>
      <c r="H1814" s="85"/>
      <c r="I1814" s="85"/>
      <c r="J1814" s="87"/>
      <c r="K1814" s="88">
        <f t="shared" si="88"/>
        <v>0</v>
      </c>
      <c r="L1814" s="85"/>
    </row>
    <row r="1815" spans="1:12" hidden="1" x14ac:dyDescent="0.2">
      <c r="A1815" s="84" t="str">
        <f t="shared" si="86"/>
        <v>SelecioneSelecioneSelecione</v>
      </c>
      <c r="B1815" s="85" t="s">
        <v>19</v>
      </c>
      <c r="C1815" s="85" t="s">
        <v>19</v>
      </c>
      <c r="D1815" s="86"/>
      <c r="E1815" s="116" t="str">
        <f t="shared" si="87"/>
        <v>-</v>
      </c>
      <c r="F1815" s="85"/>
      <c r="G1815" s="85" t="s">
        <v>19</v>
      </c>
      <c r="H1815" s="85"/>
      <c r="I1815" s="85"/>
      <c r="J1815" s="87"/>
      <c r="K1815" s="88">
        <f t="shared" si="88"/>
        <v>0</v>
      </c>
      <c r="L1815" s="85"/>
    </row>
    <row r="1816" spans="1:12" hidden="1" x14ac:dyDescent="0.2">
      <c r="A1816" s="84" t="str">
        <f t="shared" si="86"/>
        <v>SelecioneSelecioneSelecione</v>
      </c>
      <c r="B1816" s="85" t="s">
        <v>19</v>
      </c>
      <c r="C1816" s="85" t="s">
        <v>19</v>
      </c>
      <c r="D1816" s="86"/>
      <c r="E1816" s="116" t="str">
        <f t="shared" si="87"/>
        <v>-</v>
      </c>
      <c r="F1816" s="85"/>
      <c r="G1816" s="85" t="s">
        <v>19</v>
      </c>
      <c r="H1816" s="85"/>
      <c r="I1816" s="85"/>
      <c r="J1816" s="87"/>
      <c r="K1816" s="88">
        <f t="shared" si="88"/>
        <v>0</v>
      </c>
      <c r="L1816" s="85"/>
    </row>
    <row r="1817" spans="1:12" hidden="1" x14ac:dyDescent="0.2">
      <c r="A1817" s="84" t="str">
        <f t="shared" si="86"/>
        <v>SelecioneSelecioneSelecione</v>
      </c>
      <c r="B1817" s="85" t="s">
        <v>19</v>
      </c>
      <c r="C1817" s="85" t="s">
        <v>19</v>
      </c>
      <c r="D1817" s="86"/>
      <c r="E1817" s="116" t="str">
        <f t="shared" si="87"/>
        <v>-</v>
      </c>
      <c r="F1817" s="85"/>
      <c r="G1817" s="85" t="s">
        <v>19</v>
      </c>
      <c r="H1817" s="85"/>
      <c r="I1817" s="85"/>
      <c r="J1817" s="87"/>
      <c r="K1817" s="88">
        <f t="shared" si="88"/>
        <v>0</v>
      </c>
      <c r="L1817" s="85"/>
    </row>
    <row r="1818" spans="1:12" hidden="1" x14ac:dyDescent="0.2">
      <c r="A1818" s="84" t="str">
        <f t="shared" si="86"/>
        <v>SelecioneSelecioneSelecione</v>
      </c>
      <c r="B1818" s="85" t="s">
        <v>19</v>
      </c>
      <c r="C1818" s="85" t="s">
        <v>19</v>
      </c>
      <c r="D1818" s="86"/>
      <c r="E1818" s="116" t="str">
        <f t="shared" si="87"/>
        <v>-</v>
      </c>
      <c r="F1818" s="85"/>
      <c r="G1818" s="85" t="s">
        <v>19</v>
      </c>
      <c r="H1818" s="85"/>
      <c r="I1818" s="85"/>
      <c r="J1818" s="87"/>
      <c r="K1818" s="88">
        <f t="shared" si="88"/>
        <v>0</v>
      </c>
      <c r="L1818" s="85"/>
    </row>
    <row r="1819" spans="1:12" hidden="1" x14ac:dyDescent="0.2">
      <c r="A1819" s="84" t="str">
        <f t="shared" si="86"/>
        <v>SelecioneSelecioneSelecione</v>
      </c>
      <c r="B1819" s="85" t="s">
        <v>19</v>
      </c>
      <c r="C1819" s="85" t="s">
        <v>19</v>
      </c>
      <c r="D1819" s="86"/>
      <c r="E1819" s="116" t="str">
        <f t="shared" si="87"/>
        <v>-</v>
      </c>
      <c r="F1819" s="85"/>
      <c r="G1819" s="85" t="s">
        <v>19</v>
      </c>
      <c r="H1819" s="85"/>
      <c r="I1819" s="85"/>
      <c r="J1819" s="87"/>
      <c r="K1819" s="88">
        <f t="shared" si="88"/>
        <v>0</v>
      </c>
      <c r="L1819" s="85"/>
    </row>
    <row r="1820" spans="1:12" hidden="1" x14ac:dyDescent="0.2">
      <c r="A1820" s="84" t="str">
        <f t="shared" si="86"/>
        <v>SelecioneSelecioneSelecione</v>
      </c>
      <c r="B1820" s="85" t="s">
        <v>19</v>
      </c>
      <c r="C1820" s="85" t="s">
        <v>19</v>
      </c>
      <c r="D1820" s="86"/>
      <c r="E1820" s="116" t="str">
        <f t="shared" si="87"/>
        <v>-</v>
      </c>
      <c r="F1820" s="85"/>
      <c r="G1820" s="85" t="s">
        <v>19</v>
      </c>
      <c r="H1820" s="85"/>
      <c r="I1820" s="85"/>
      <c r="J1820" s="87"/>
      <c r="K1820" s="88">
        <f t="shared" si="88"/>
        <v>0</v>
      </c>
      <c r="L1820" s="85"/>
    </row>
    <row r="1821" spans="1:12" hidden="1" x14ac:dyDescent="0.2">
      <c r="A1821" s="84" t="str">
        <f t="shared" si="86"/>
        <v>SelecioneSelecioneSelecione</v>
      </c>
      <c r="B1821" s="85" t="s">
        <v>19</v>
      </c>
      <c r="C1821" s="85" t="s">
        <v>19</v>
      </c>
      <c r="D1821" s="86"/>
      <c r="E1821" s="116" t="str">
        <f t="shared" si="87"/>
        <v>-</v>
      </c>
      <c r="F1821" s="85"/>
      <c r="G1821" s="85" t="s">
        <v>19</v>
      </c>
      <c r="H1821" s="85"/>
      <c r="I1821" s="85"/>
      <c r="J1821" s="87"/>
      <c r="K1821" s="88">
        <f t="shared" si="88"/>
        <v>0</v>
      </c>
      <c r="L1821" s="85"/>
    </row>
    <row r="1822" spans="1:12" hidden="1" x14ac:dyDescent="0.2">
      <c r="A1822" s="84" t="str">
        <f t="shared" si="86"/>
        <v>SelecioneSelecioneSelecione</v>
      </c>
      <c r="B1822" s="85" t="s">
        <v>19</v>
      </c>
      <c r="C1822" s="85" t="s">
        <v>19</v>
      </c>
      <c r="D1822" s="86"/>
      <c r="E1822" s="116" t="str">
        <f t="shared" si="87"/>
        <v>-</v>
      </c>
      <c r="F1822" s="85"/>
      <c r="G1822" s="85" t="s">
        <v>19</v>
      </c>
      <c r="H1822" s="85"/>
      <c r="I1822" s="85"/>
      <c r="J1822" s="87"/>
      <c r="K1822" s="88">
        <f t="shared" si="88"/>
        <v>0</v>
      </c>
      <c r="L1822" s="85"/>
    </row>
    <row r="1823" spans="1:12" hidden="1" x14ac:dyDescent="0.2">
      <c r="A1823" s="84" t="str">
        <f t="shared" si="86"/>
        <v>SelecioneSelecioneSelecione</v>
      </c>
      <c r="B1823" s="85" t="s">
        <v>19</v>
      </c>
      <c r="C1823" s="85" t="s">
        <v>19</v>
      </c>
      <c r="D1823" s="86"/>
      <c r="E1823" s="116" t="str">
        <f t="shared" si="87"/>
        <v>-</v>
      </c>
      <c r="F1823" s="85"/>
      <c r="G1823" s="85" t="s">
        <v>19</v>
      </c>
      <c r="H1823" s="85"/>
      <c r="I1823" s="85"/>
      <c r="J1823" s="87"/>
      <c r="K1823" s="88">
        <f t="shared" si="88"/>
        <v>0</v>
      </c>
      <c r="L1823" s="85"/>
    </row>
    <row r="1824" spans="1:12" hidden="1" x14ac:dyDescent="0.2">
      <c r="A1824" s="84" t="str">
        <f t="shared" si="86"/>
        <v>SelecioneSelecioneSelecione</v>
      </c>
      <c r="B1824" s="85" t="s">
        <v>19</v>
      </c>
      <c r="C1824" s="85" t="s">
        <v>19</v>
      </c>
      <c r="D1824" s="86"/>
      <c r="E1824" s="116" t="str">
        <f t="shared" si="87"/>
        <v>-</v>
      </c>
      <c r="F1824" s="85"/>
      <c r="G1824" s="85" t="s">
        <v>19</v>
      </c>
      <c r="H1824" s="85"/>
      <c r="I1824" s="85"/>
      <c r="J1824" s="87"/>
      <c r="K1824" s="88">
        <f t="shared" si="88"/>
        <v>0</v>
      </c>
      <c r="L1824" s="85"/>
    </row>
    <row r="1825" spans="1:12" hidden="1" x14ac:dyDescent="0.2">
      <c r="A1825" s="84" t="str">
        <f t="shared" si="86"/>
        <v>SelecioneSelecioneSelecione</v>
      </c>
      <c r="B1825" s="85" t="s">
        <v>19</v>
      </c>
      <c r="C1825" s="85" t="s">
        <v>19</v>
      </c>
      <c r="D1825" s="86"/>
      <c r="E1825" s="116" t="str">
        <f t="shared" si="87"/>
        <v>-</v>
      </c>
      <c r="F1825" s="85"/>
      <c r="G1825" s="85" t="s">
        <v>19</v>
      </c>
      <c r="H1825" s="85"/>
      <c r="I1825" s="85"/>
      <c r="J1825" s="87"/>
      <c r="K1825" s="88">
        <f t="shared" si="88"/>
        <v>0</v>
      </c>
      <c r="L1825" s="85"/>
    </row>
    <row r="1826" spans="1:12" hidden="1" x14ac:dyDescent="0.2">
      <c r="A1826" s="84" t="str">
        <f t="shared" si="86"/>
        <v>SelecioneSelecioneSelecione</v>
      </c>
      <c r="B1826" s="85" t="s">
        <v>19</v>
      </c>
      <c r="C1826" s="85" t="s">
        <v>19</v>
      </c>
      <c r="D1826" s="86"/>
      <c r="E1826" s="116" t="str">
        <f t="shared" si="87"/>
        <v>-</v>
      </c>
      <c r="F1826" s="85"/>
      <c r="G1826" s="85" t="s">
        <v>19</v>
      </c>
      <c r="H1826" s="85"/>
      <c r="I1826" s="85"/>
      <c r="J1826" s="87"/>
      <c r="K1826" s="88">
        <f t="shared" si="88"/>
        <v>0</v>
      </c>
      <c r="L1826" s="85"/>
    </row>
    <row r="1827" spans="1:12" hidden="1" x14ac:dyDescent="0.2">
      <c r="A1827" s="84" t="str">
        <f t="shared" si="86"/>
        <v>SelecioneSelecioneSelecione</v>
      </c>
      <c r="B1827" s="85" t="s">
        <v>19</v>
      </c>
      <c r="C1827" s="85" t="s">
        <v>19</v>
      </c>
      <c r="D1827" s="86"/>
      <c r="E1827" s="116" t="str">
        <f t="shared" si="87"/>
        <v>-</v>
      </c>
      <c r="F1827" s="85"/>
      <c r="G1827" s="85" t="s">
        <v>19</v>
      </c>
      <c r="H1827" s="85"/>
      <c r="I1827" s="85"/>
      <c r="J1827" s="87"/>
      <c r="K1827" s="88">
        <f t="shared" si="88"/>
        <v>0</v>
      </c>
      <c r="L1827" s="85"/>
    </row>
    <row r="1828" spans="1:12" hidden="1" x14ac:dyDescent="0.2">
      <c r="A1828" s="84" t="str">
        <f t="shared" si="86"/>
        <v>SelecioneSelecioneSelecione</v>
      </c>
      <c r="B1828" s="85" t="s">
        <v>19</v>
      </c>
      <c r="C1828" s="85" t="s">
        <v>19</v>
      </c>
      <c r="D1828" s="86"/>
      <c r="E1828" s="116" t="str">
        <f t="shared" si="87"/>
        <v>-</v>
      </c>
      <c r="F1828" s="85"/>
      <c r="G1828" s="85" t="s">
        <v>19</v>
      </c>
      <c r="H1828" s="85"/>
      <c r="I1828" s="85"/>
      <c r="J1828" s="87"/>
      <c r="K1828" s="88">
        <f t="shared" si="88"/>
        <v>0</v>
      </c>
      <c r="L1828" s="85"/>
    </row>
    <row r="1829" spans="1:12" hidden="1" x14ac:dyDescent="0.2">
      <c r="A1829" s="84" t="str">
        <f t="shared" si="86"/>
        <v>SelecioneSelecioneSelecione</v>
      </c>
      <c r="B1829" s="85" t="s">
        <v>19</v>
      </c>
      <c r="C1829" s="85" t="s">
        <v>19</v>
      </c>
      <c r="D1829" s="86"/>
      <c r="E1829" s="116" t="str">
        <f t="shared" si="87"/>
        <v>-</v>
      </c>
      <c r="F1829" s="85"/>
      <c r="G1829" s="85" t="s">
        <v>19</v>
      </c>
      <c r="H1829" s="85"/>
      <c r="I1829" s="85"/>
      <c r="J1829" s="87"/>
      <c r="K1829" s="88">
        <f t="shared" si="88"/>
        <v>0</v>
      </c>
      <c r="L1829" s="85"/>
    </row>
    <row r="1830" spans="1:12" hidden="1" x14ac:dyDescent="0.2">
      <c r="A1830" s="84" t="str">
        <f t="shared" si="86"/>
        <v>SelecioneSelecioneSelecione</v>
      </c>
      <c r="B1830" s="85" t="s">
        <v>19</v>
      </c>
      <c r="C1830" s="85" t="s">
        <v>19</v>
      </c>
      <c r="D1830" s="86"/>
      <c r="E1830" s="116" t="str">
        <f t="shared" si="87"/>
        <v>-</v>
      </c>
      <c r="F1830" s="85"/>
      <c r="G1830" s="85" t="s">
        <v>19</v>
      </c>
      <c r="H1830" s="85"/>
      <c r="I1830" s="85"/>
      <c r="J1830" s="87"/>
      <c r="K1830" s="88">
        <f t="shared" si="88"/>
        <v>0</v>
      </c>
      <c r="L1830" s="85"/>
    </row>
    <row r="1831" spans="1:12" hidden="1" x14ac:dyDescent="0.2">
      <c r="A1831" s="84" t="str">
        <f t="shared" si="86"/>
        <v>SelecioneSelecioneSelecione</v>
      </c>
      <c r="B1831" s="85" t="s">
        <v>19</v>
      </c>
      <c r="C1831" s="85" t="s">
        <v>19</v>
      </c>
      <c r="D1831" s="86"/>
      <c r="E1831" s="116" t="str">
        <f t="shared" si="87"/>
        <v>-</v>
      </c>
      <c r="F1831" s="85"/>
      <c r="G1831" s="85" t="s">
        <v>19</v>
      </c>
      <c r="H1831" s="85"/>
      <c r="I1831" s="85"/>
      <c r="J1831" s="87"/>
      <c r="K1831" s="88">
        <f t="shared" si="88"/>
        <v>0</v>
      </c>
      <c r="L1831" s="85"/>
    </row>
    <row r="1832" spans="1:12" hidden="1" x14ac:dyDescent="0.2">
      <c r="A1832" s="84" t="str">
        <f t="shared" si="86"/>
        <v>SelecioneSelecioneSelecione</v>
      </c>
      <c r="B1832" s="85" t="s">
        <v>19</v>
      </c>
      <c r="C1832" s="85" t="s">
        <v>19</v>
      </c>
      <c r="D1832" s="86"/>
      <c r="E1832" s="116" t="str">
        <f t="shared" si="87"/>
        <v>-</v>
      </c>
      <c r="F1832" s="85"/>
      <c r="G1832" s="85" t="s">
        <v>19</v>
      </c>
      <c r="H1832" s="85"/>
      <c r="I1832" s="85"/>
      <c r="J1832" s="87"/>
      <c r="K1832" s="88">
        <f t="shared" si="88"/>
        <v>0</v>
      </c>
      <c r="L1832" s="85"/>
    </row>
    <row r="1833" spans="1:12" hidden="1" x14ac:dyDescent="0.2">
      <c r="A1833" s="84" t="str">
        <f t="shared" si="86"/>
        <v>SelecioneSelecioneSelecione</v>
      </c>
      <c r="B1833" s="85" t="s">
        <v>19</v>
      </c>
      <c r="C1833" s="85" t="s">
        <v>19</v>
      </c>
      <c r="D1833" s="86"/>
      <c r="E1833" s="116" t="str">
        <f t="shared" si="87"/>
        <v>-</v>
      </c>
      <c r="F1833" s="85"/>
      <c r="G1833" s="85" t="s">
        <v>19</v>
      </c>
      <c r="H1833" s="85"/>
      <c r="I1833" s="85"/>
      <c r="J1833" s="87"/>
      <c r="K1833" s="88">
        <f t="shared" si="88"/>
        <v>0</v>
      </c>
      <c r="L1833" s="85"/>
    </row>
    <row r="1834" spans="1:12" hidden="1" x14ac:dyDescent="0.2">
      <c r="A1834" s="84" t="str">
        <f t="shared" si="86"/>
        <v>SelecioneSelecioneSelecione</v>
      </c>
      <c r="B1834" s="85" t="s">
        <v>19</v>
      </c>
      <c r="C1834" s="85" t="s">
        <v>19</v>
      </c>
      <c r="D1834" s="86"/>
      <c r="E1834" s="116" t="str">
        <f t="shared" si="87"/>
        <v>-</v>
      </c>
      <c r="F1834" s="85"/>
      <c r="G1834" s="85" t="s">
        <v>19</v>
      </c>
      <c r="H1834" s="85"/>
      <c r="I1834" s="85"/>
      <c r="J1834" s="87"/>
      <c r="K1834" s="88">
        <f t="shared" si="88"/>
        <v>0</v>
      </c>
      <c r="L1834" s="85"/>
    </row>
    <row r="1835" spans="1:12" hidden="1" x14ac:dyDescent="0.2">
      <c r="A1835" s="84" t="str">
        <f t="shared" si="86"/>
        <v>SelecioneSelecioneSelecione</v>
      </c>
      <c r="B1835" s="85" t="s">
        <v>19</v>
      </c>
      <c r="C1835" s="85" t="s">
        <v>19</v>
      </c>
      <c r="D1835" s="86"/>
      <c r="E1835" s="116" t="str">
        <f t="shared" si="87"/>
        <v>-</v>
      </c>
      <c r="F1835" s="85"/>
      <c r="G1835" s="85" t="s">
        <v>19</v>
      </c>
      <c r="H1835" s="85"/>
      <c r="I1835" s="85"/>
      <c r="J1835" s="87"/>
      <c r="K1835" s="88">
        <f t="shared" si="88"/>
        <v>0</v>
      </c>
      <c r="L1835" s="85"/>
    </row>
    <row r="1836" spans="1:12" hidden="1" x14ac:dyDescent="0.2">
      <c r="A1836" s="84" t="str">
        <f t="shared" si="86"/>
        <v>SelecioneSelecioneSelecione</v>
      </c>
      <c r="B1836" s="85" t="s">
        <v>19</v>
      </c>
      <c r="C1836" s="85" t="s">
        <v>19</v>
      </c>
      <c r="D1836" s="86"/>
      <c r="E1836" s="116" t="str">
        <f t="shared" si="87"/>
        <v>-</v>
      </c>
      <c r="F1836" s="85"/>
      <c r="G1836" s="85" t="s">
        <v>19</v>
      </c>
      <c r="H1836" s="85"/>
      <c r="I1836" s="85"/>
      <c r="J1836" s="87"/>
      <c r="K1836" s="88">
        <f t="shared" si="88"/>
        <v>0</v>
      </c>
      <c r="L1836" s="85"/>
    </row>
    <row r="1837" spans="1:12" hidden="1" x14ac:dyDescent="0.2">
      <c r="A1837" s="84" t="str">
        <f t="shared" si="86"/>
        <v>SelecioneSelecioneSelecione</v>
      </c>
      <c r="B1837" s="85" t="s">
        <v>19</v>
      </c>
      <c r="C1837" s="85" t="s">
        <v>19</v>
      </c>
      <c r="D1837" s="86"/>
      <c r="E1837" s="116" t="str">
        <f t="shared" si="87"/>
        <v>-</v>
      </c>
      <c r="F1837" s="85"/>
      <c r="G1837" s="85" t="s">
        <v>19</v>
      </c>
      <c r="H1837" s="85"/>
      <c r="I1837" s="85"/>
      <c r="J1837" s="87"/>
      <c r="K1837" s="88">
        <f t="shared" si="88"/>
        <v>0</v>
      </c>
      <c r="L1837" s="85"/>
    </row>
    <row r="1838" spans="1:12" hidden="1" x14ac:dyDescent="0.2">
      <c r="A1838" s="84" t="str">
        <f t="shared" si="86"/>
        <v>SelecioneSelecioneSelecione</v>
      </c>
      <c r="B1838" s="85" t="s">
        <v>19</v>
      </c>
      <c r="C1838" s="85" t="s">
        <v>19</v>
      </c>
      <c r="D1838" s="86"/>
      <c r="E1838" s="116" t="str">
        <f t="shared" si="87"/>
        <v>-</v>
      </c>
      <c r="F1838" s="85"/>
      <c r="G1838" s="85" t="s">
        <v>19</v>
      </c>
      <c r="H1838" s="85"/>
      <c r="I1838" s="85"/>
      <c r="J1838" s="87"/>
      <c r="K1838" s="88">
        <f t="shared" si="88"/>
        <v>0</v>
      </c>
      <c r="L1838" s="85"/>
    </row>
    <row r="1839" spans="1:12" hidden="1" x14ac:dyDescent="0.2">
      <c r="A1839" s="84" t="str">
        <f t="shared" si="86"/>
        <v>SelecioneSelecioneSelecione</v>
      </c>
      <c r="B1839" s="85" t="s">
        <v>19</v>
      </c>
      <c r="C1839" s="85" t="s">
        <v>19</v>
      </c>
      <c r="D1839" s="86"/>
      <c r="E1839" s="116" t="str">
        <f t="shared" si="87"/>
        <v>-</v>
      </c>
      <c r="F1839" s="85"/>
      <c r="G1839" s="85" t="s">
        <v>19</v>
      </c>
      <c r="H1839" s="85"/>
      <c r="I1839" s="85"/>
      <c r="J1839" s="87"/>
      <c r="K1839" s="88">
        <f t="shared" si="88"/>
        <v>0</v>
      </c>
      <c r="L1839" s="85"/>
    </row>
    <row r="1840" spans="1:12" hidden="1" x14ac:dyDescent="0.2">
      <c r="A1840" s="84" t="str">
        <f t="shared" si="86"/>
        <v>SelecioneSelecioneSelecione</v>
      </c>
      <c r="B1840" s="85" t="s">
        <v>19</v>
      </c>
      <c r="C1840" s="85" t="s">
        <v>19</v>
      </c>
      <c r="D1840" s="86"/>
      <c r="E1840" s="116" t="str">
        <f t="shared" si="87"/>
        <v>-</v>
      </c>
      <c r="F1840" s="85"/>
      <c r="G1840" s="85" t="s">
        <v>19</v>
      </c>
      <c r="H1840" s="85"/>
      <c r="I1840" s="85"/>
      <c r="J1840" s="87"/>
      <c r="K1840" s="88">
        <f t="shared" si="88"/>
        <v>0</v>
      </c>
      <c r="L1840" s="85"/>
    </row>
    <row r="1841" spans="1:12" hidden="1" x14ac:dyDescent="0.2">
      <c r="A1841" s="84" t="str">
        <f t="shared" si="86"/>
        <v>SelecioneSelecioneSelecione</v>
      </c>
      <c r="B1841" s="85" t="s">
        <v>19</v>
      </c>
      <c r="C1841" s="85" t="s">
        <v>19</v>
      </c>
      <c r="D1841" s="86"/>
      <c r="E1841" s="116" t="str">
        <f t="shared" si="87"/>
        <v>-</v>
      </c>
      <c r="F1841" s="85"/>
      <c r="G1841" s="85" t="s">
        <v>19</v>
      </c>
      <c r="H1841" s="85"/>
      <c r="I1841" s="85"/>
      <c r="J1841" s="87"/>
      <c r="K1841" s="88">
        <f t="shared" si="88"/>
        <v>0</v>
      </c>
      <c r="L1841" s="85"/>
    </row>
    <row r="1842" spans="1:12" hidden="1" x14ac:dyDescent="0.2">
      <c r="A1842" s="84" t="str">
        <f t="shared" si="86"/>
        <v>SelecioneSelecioneSelecione</v>
      </c>
      <c r="B1842" s="85" t="s">
        <v>19</v>
      </c>
      <c r="C1842" s="85" t="s">
        <v>19</v>
      </c>
      <c r="D1842" s="86"/>
      <c r="E1842" s="116" t="str">
        <f t="shared" si="87"/>
        <v>-</v>
      </c>
      <c r="F1842" s="85"/>
      <c r="G1842" s="85" t="s">
        <v>19</v>
      </c>
      <c r="H1842" s="85"/>
      <c r="I1842" s="85"/>
      <c r="J1842" s="87"/>
      <c r="K1842" s="88">
        <f t="shared" si="88"/>
        <v>0</v>
      </c>
      <c r="L1842" s="85"/>
    </row>
    <row r="1843" spans="1:12" hidden="1" x14ac:dyDescent="0.2">
      <c r="A1843" s="84" t="str">
        <f t="shared" si="86"/>
        <v>SelecioneSelecioneSelecione</v>
      </c>
      <c r="B1843" s="85" t="s">
        <v>19</v>
      </c>
      <c r="C1843" s="85" t="s">
        <v>19</v>
      </c>
      <c r="D1843" s="86"/>
      <c r="E1843" s="116" t="str">
        <f t="shared" si="87"/>
        <v>-</v>
      </c>
      <c r="F1843" s="85"/>
      <c r="G1843" s="85" t="s">
        <v>19</v>
      </c>
      <c r="H1843" s="85"/>
      <c r="I1843" s="85"/>
      <c r="J1843" s="87"/>
      <c r="K1843" s="88">
        <f t="shared" si="88"/>
        <v>0</v>
      </c>
      <c r="L1843" s="85"/>
    </row>
    <row r="1844" spans="1:12" hidden="1" x14ac:dyDescent="0.2">
      <c r="A1844" s="84" t="str">
        <f t="shared" si="86"/>
        <v>SelecioneSelecioneSelecione</v>
      </c>
      <c r="B1844" s="85" t="s">
        <v>19</v>
      </c>
      <c r="C1844" s="85" t="s">
        <v>19</v>
      </c>
      <c r="D1844" s="86"/>
      <c r="E1844" s="116" t="str">
        <f t="shared" si="87"/>
        <v>-</v>
      </c>
      <c r="F1844" s="85"/>
      <c r="G1844" s="85" t="s">
        <v>19</v>
      </c>
      <c r="H1844" s="85"/>
      <c r="I1844" s="85"/>
      <c r="J1844" s="87"/>
      <c r="K1844" s="88">
        <f t="shared" si="88"/>
        <v>0</v>
      </c>
      <c r="L1844" s="85"/>
    </row>
    <row r="1845" spans="1:12" hidden="1" x14ac:dyDescent="0.2">
      <c r="A1845" s="84" t="str">
        <f t="shared" si="86"/>
        <v>SelecioneSelecioneSelecione</v>
      </c>
      <c r="B1845" s="85" t="s">
        <v>19</v>
      </c>
      <c r="C1845" s="85" t="s">
        <v>19</v>
      </c>
      <c r="D1845" s="86"/>
      <c r="E1845" s="116" t="str">
        <f t="shared" si="87"/>
        <v>-</v>
      </c>
      <c r="F1845" s="85"/>
      <c r="G1845" s="85" t="s">
        <v>19</v>
      </c>
      <c r="H1845" s="85"/>
      <c r="I1845" s="85"/>
      <c r="J1845" s="87"/>
      <c r="K1845" s="88">
        <f t="shared" si="88"/>
        <v>0</v>
      </c>
      <c r="L1845" s="85"/>
    </row>
    <row r="1846" spans="1:12" hidden="1" x14ac:dyDescent="0.2">
      <c r="A1846" s="84" t="str">
        <f t="shared" si="86"/>
        <v>SelecioneSelecioneSelecione</v>
      </c>
      <c r="B1846" s="85" t="s">
        <v>19</v>
      </c>
      <c r="C1846" s="85" t="s">
        <v>19</v>
      </c>
      <c r="D1846" s="86"/>
      <c r="E1846" s="116" t="str">
        <f t="shared" si="87"/>
        <v>-</v>
      </c>
      <c r="F1846" s="85"/>
      <c r="G1846" s="85" t="s">
        <v>19</v>
      </c>
      <c r="H1846" s="85"/>
      <c r="I1846" s="85"/>
      <c r="J1846" s="87"/>
      <c r="K1846" s="88">
        <f t="shared" si="88"/>
        <v>0</v>
      </c>
      <c r="L1846" s="85"/>
    </row>
    <row r="1847" spans="1:12" hidden="1" x14ac:dyDescent="0.2">
      <c r="A1847" s="84" t="str">
        <f t="shared" si="86"/>
        <v>SelecioneSelecioneSelecione</v>
      </c>
      <c r="B1847" s="85" t="s">
        <v>19</v>
      </c>
      <c r="C1847" s="85" t="s">
        <v>19</v>
      </c>
      <c r="D1847" s="86"/>
      <c r="E1847" s="116" t="str">
        <f t="shared" si="87"/>
        <v>-</v>
      </c>
      <c r="F1847" s="85"/>
      <c r="G1847" s="85" t="s">
        <v>19</v>
      </c>
      <c r="H1847" s="85"/>
      <c r="I1847" s="85"/>
      <c r="J1847" s="87"/>
      <c r="K1847" s="88">
        <f t="shared" si="88"/>
        <v>0</v>
      </c>
      <c r="L1847" s="85"/>
    </row>
    <row r="1848" spans="1:12" hidden="1" x14ac:dyDescent="0.2">
      <c r="A1848" s="84" t="str">
        <f t="shared" si="86"/>
        <v>SelecioneSelecioneSelecione</v>
      </c>
      <c r="B1848" s="85" t="s">
        <v>19</v>
      </c>
      <c r="C1848" s="85" t="s">
        <v>19</v>
      </c>
      <c r="D1848" s="86"/>
      <c r="E1848" s="116" t="str">
        <f t="shared" si="87"/>
        <v>-</v>
      </c>
      <c r="F1848" s="85"/>
      <c r="G1848" s="85" t="s">
        <v>19</v>
      </c>
      <c r="H1848" s="85"/>
      <c r="I1848" s="85"/>
      <c r="J1848" s="87"/>
      <c r="K1848" s="88">
        <f t="shared" si="88"/>
        <v>0</v>
      </c>
      <c r="L1848" s="85"/>
    </row>
    <row r="1849" spans="1:12" hidden="1" x14ac:dyDescent="0.2">
      <c r="A1849" s="84" t="str">
        <f t="shared" si="86"/>
        <v>SelecioneSelecioneSelecione</v>
      </c>
      <c r="B1849" s="85" t="s">
        <v>19</v>
      </c>
      <c r="C1849" s="85" t="s">
        <v>19</v>
      </c>
      <c r="D1849" s="86"/>
      <c r="E1849" s="116" t="str">
        <f t="shared" si="87"/>
        <v>-</v>
      </c>
      <c r="F1849" s="85"/>
      <c r="G1849" s="85" t="s">
        <v>19</v>
      </c>
      <c r="H1849" s="85"/>
      <c r="I1849" s="85"/>
      <c r="J1849" s="87"/>
      <c r="K1849" s="88">
        <f t="shared" si="88"/>
        <v>0</v>
      </c>
      <c r="L1849" s="85"/>
    </row>
    <row r="1850" spans="1:12" hidden="1" x14ac:dyDescent="0.2">
      <c r="A1850" s="84" t="str">
        <f t="shared" si="86"/>
        <v>SelecioneSelecioneSelecione</v>
      </c>
      <c r="B1850" s="85" t="s">
        <v>19</v>
      </c>
      <c r="C1850" s="85" t="s">
        <v>19</v>
      </c>
      <c r="D1850" s="86"/>
      <c r="E1850" s="116" t="str">
        <f t="shared" si="87"/>
        <v>-</v>
      </c>
      <c r="F1850" s="85"/>
      <c r="G1850" s="85" t="s">
        <v>19</v>
      </c>
      <c r="H1850" s="85"/>
      <c r="I1850" s="85"/>
      <c r="J1850" s="87"/>
      <c r="K1850" s="88">
        <f t="shared" si="88"/>
        <v>0</v>
      </c>
      <c r="L1850" s="85"/>
    </row>
    <row r="1851" spans="1:12" hidden="1" x14ac:dyDescent="0.2">
      <c r="A1851" s="84" t="str">
        <f t="shared" si="86"/>
        <v>SelecioneSelecioneSelecione</v>
      </c>
      <c r="B1851" s="85" t="s">
        <v>19</v>
      </c>
      <c r="C1851" s="85" t="s">
        <v>19</v>
      </c>
      <c r="D1851" s="86"/>
      <c r="E1851" s="116" t="str">
        <f t="shared" si="87"/>
        <v>-</v>
      </c>
      <c r="F1851" s="85"/>
      <c r="G1851" s="85" t="s">
        <v>19</v>
      </c>
      <c r="H1851" s="85"/>
      <c r="I1851" s="85"/>
      <c r="J1851" s="87"/>
      <c r="K1851" s="88">
        <f t="shared" si="88"/>
        <v>0</v>
      </c>
      <c r="L1851" s="90"/>
    </row>
    <row r="1852" spans="1:12" hidden="1" x14ac:dyDescent="0.2">
      <c r="A1852" s="84" t="str">
        <f t="shared" si="86"/>
        <v>SelecioneSelecioneSelecione</v>
      </c>
      <c r="B1852" s="85" t="s">
        <v>19</v>
      </c>
      <c r="C1852" s="85" t="s">
        <v>19</v>
      </c>
      <c r="D1852" s="86"/>
      <c r="E1852" s="116" t="str">
        <f t="shared" si="87"/>
        <v>-</v>
      </c>
      <c r="F1852" s="85"/>
      <c r="G1852" s="85" t="s">
        <v>19</v>
      </c>
      <c r="H1852" s="85"/>
      <c r="I1852" s="85"/>
      <c r="J1852" s="87"/>
      <c r="K1852" s="88">
        <f t="shared" si="88"/>
        <v>0</v>
      </c>
      <c r="L1852" s="90"/>
    </row>
    <row r="1853" spans="1:12" hidden="1" x14ac:dyDescent="0.2">
      <c r="A1853" s="84" t="str">
        <f t="shared" si="86"/>
        <v>SelecioneSelecioneSelecione</v>
      </c>
      <c r="B1853" s="85" t="s">
        <v>19</v>
      </c>
      <c r="C1853" s="85" t="s">
        <v>19</v>
      </c>
      <c r="D1853" s="86"/>
      <c r="E1853" s="116" t="str">
        <f t="shared" si="87"/>
        <v>-</v>
      </c>
      <c r="F1853" s="85"/>
      <c r="G1853" s="85" t="s">
        <v>19</v>
      </c>
      <c r="H1853" s="85"/>
      <c r="I1853" s="85"/>
      <c r="J1853" s="87"/>
      <c r="K1853" s="88">
        <f t="shared" si="88"/>
        <v>0</v>
      </c>
      <c r="L1853" s="85"/>
    </row>
    <row r="1854" spans="1:12" hidden="1" x14ac:dyDescent="0.2">
      <c r="A1854" s="84" t="str">
        <f t="shared" si="86"/>
        <v>SelecioneSelecioneSelecione</v>
      </c>
      <c r="B1854" s="85" t="s">
        <v>19</v>
      </c>
      <c r="C1854" s="85" t="s">
        <v>19</v>
      </c>
      <c r="D1854" s="86"/>
      <c r="E1854" s="116" t="str">
        <f t="shared" si="87"/>
        <v>-</v>
      </c>
      <c r="F1854" s="85"/>
      <c r="G1854" s="85" t="s">
        <v>19</v>
      </c>
      <c r="H1854" s="85"/>
      <c r="I1854" s="85"/>
      <c r="J1854" s="87"/>
      <c r="K1854" s="88">
        <f t="shared" si="88"/>
        <v>0</v>
      </c>
      <c r="L1854" s="85"/>
    </row>
    <row r="1855" spans="1:12" hidden="1" x14ac:dyDescent="0.2">
      <c r="A1855" s="84" t="str">
        <f t="shared" si="86"/>
        <v>SelecioneSelecioneSelecione</v>
      </c>
      <c r="B1855" s="85" t="s">
        <v>19</v>
      </c>
      <c r="C1855" s="85" t="s">
        <v>19</v>
      </c>
      <c r="D1855" s="86"/>
      <c r="E1855" s="116" t="str">
        <f t="shared" si="87"/>
        <v>-</v>
      </c>
      <c r="F1855" s="85"/>
      <c r="G1855" s="85" t="s">
        <v>19</v>
      </c>
      <c r="H1855" s="85"/>
      <c r="I1855" s="85"/>
      <c r="J1855" s="87"/>
      <c r="K1855" s="88">
        <f t="shared" si="88"/>
        <v>0</v>
      </c>
      <c r="L1855" s="85"/>
    </row>
    <row r="1856" spans="1:12" hidden="1" x14ac:dyDescent="0.2">
      <c r="A1856" s="84" t="str">
        <f t="shared" si="86"/>
        <v>SelecioneSelecioneSelecione</v>
      </c>
      <c r="B1856" s="85" t="s">
        <v>19</v>
      </c>
      <c r="C1856" s="85" t="s">
        <v>19</v>
      </c>
      <c r="D1856" s="86"/>
      <c r="E1856" s="116" t="str">
        <f t="shared" si="87"/>
        <v>-</v>
      </c>
      <c r="F1856" s="85"/>
      <c r="G1856" s="85" t="s">
        <v>19</v>
      </c>
      <c r="H1856" s="85"/>
      <c r="I1856" s="85"/>
      <c r="J1856" s="87"/>
      <c r="K1856" s="88">
        <f t="shared" si="88"/>
        <v>0</v>
      </c>
      <c r="L1856" s="85"/>
    </row>
    <row r="1857" spans="1:12" hidden="1" x14ac:dyDescent="0.2">
      <c r="A1857" s="84" t="str">
        <f t="shared" si="86"/>
        <v>SelecioneSelecioneSelecione</v>
      </c>
      <c r="B1857" s="85" t="s">
        <v>19</v>
      </c>
      <c r="C1857" s="85" t="s">
        <v>19</v>
      </c>
      <c r="D1857" s="86"/>
      <c r="E1857" s="116" t="str">
        <f t="shared" si="87"/>
        <v>-</v>
      </c>
      <c r="F1857" s="85"/>
      <c r="G1857" s="85" t="s">
        <v>19</v>
      </c>
      <c r="H1857" s="85"/>
      <c r="I1857" s="85"/>
      <c r="J1857" s="87"/>
      <c r="K1857" s="88">
        <f t="shared" si="88"/>
        <v>0</v>
      </c>
      <c r="L1857" s="85"/>
    </row>
    <row r="1858" spans="1:12" hidden="1" x14ac:dyDescent="0.2">
      <c r="A1858" s="84" t="str">
        <f t="shared" ref="A1858:A1921" si="89">CONCATENATE(B1858,C1858,G1858)</f>
        <v>SelecioneSelecioneSelecione</v>
      </c>
      <c r="B1858" s="85" t="s">
        <v>19</v>
      </c>
      <c r="C1858" s="85" t="s">
        <v>19</v>
      </c>
      <c r="D1858" s="86"/>
      <c r="E1858" s="116" t="str">
        <f t="shared" ref="E1858:E1921" si="90">VLOOKUP(G1858,$M$1:$O$993,3,0)</f>
        <v>-</v>
      </c>
      <c r="F1858" s="85"/>
      <c r="G1858" s="85" t="s">
        <v>19</v>
      </c>
      <c r="H1858" s="85"/>
      <c r="I1858" s="85"/>
      <c r="J1858" s="87"/>
      <c r="K1858" s="88">
        <f t="shared" ref="K1858:K1921" si="91">I1858*J1858</f>
        <v>0</v>
      </c>
      <c r="L1858" s="85"/>
    </row>
    <row r="1859" spans="1:12" hidden="1" x14ac:dyDescent="0.2">
      <c r="A1859" s="84" t="str">
        <f t="shared" si="89"/>
        <v>SelecioneSelecioneSelecione</v>
      </c>
      <c r="B1859" s="85" t="s">
        <v>19</v>
      </c>
      <c r="C1859" s="85" t="s">
        <v>19</v>
      </c>
      <c r="D1859" s="86"/>
      <c r="E1859" s="116" t="str">
        <f t="shared" si="90"/>
        <v>-</v>
      </c>
      <c r="F1859" s="85"/>
      <c r="G1859" s="85" t="s">
        <v>19</v>
      </c>
      <c r="H1859" s="85"/>
      <c r="I1859" s="85"/>
      <c r="J1859" s="87"/>
      <c r="K1859" s="88">
        <f t="shared" si="91"/>
        <v>0</v>
      </c>
      <c r="L1859" s="85"/>
    </row>
    <row r="1860" spans="1:12" hidden="1" x14ac:dyDescent="0.2">
      <c r="A1860" s="84" t="str">
        <f t="shared" si="89"/>
        <v>SelecioneSelecioneSelecione</v>
      </c>
      <c r="B1860" s="85" t="s">
        <v>19</v>
      </c>
      <c r="C1860" s="85" t="s">
        <v>19</v>
      </c>
      <c r="D1860" s="86"/>
      <c r="E1860" s="116" t="str">
        <f t="shared" si="90"/>
        <v>-</v>
      </c>
      <c r="F1860" s="85"/>
      <c r="G1860" s="85" t="s">
        <v>19</v>
      </c>
      <c r="H1860" s="85"/>
      <c r="I1860" s="85"/>
      <c r="J1860" s="87"/>
      <c r="K1860" s="88">
        <f t="shared" si="91"/>
        <v>0</v>
      </c>
      <c r="L1860" s="85"/>
    </row>
    <row r="1861" spans="1:12" hidden="1" x14ac:dyDescent="0.2">
      <c r="A1861" s="84" t="str">
        <f t="shared" si="89"/>
        <v>SelecioneSelecioneSelecione</v>
      </c>
      <c r="B1861" s="85" t="s">
        <v>19</v>
      </c>
      <c r="C1861" s="85" t="s">
        <v>19</v>
      </c>
      <c r="D1861" s="86"/>
      <c r="E1861" s="116" t="str">
        <f t="shared" si="90"/>
        <v>-</v>
      </c>
      <c r="F1861" s="85"/>
      <c r="G1861" s="85" t="s">
        <v>19</v>
      </c>
      <c r="H1861" s="85"/>
      <c r="I1861" s="85"/>
      <c r="J1861" s="87"/>
      <c r="K1861" s="88">
        <f t="shared" si="91"/>
        <v>0</v>
      </c>
      <c r="L1861" s="85"/>
    </row>
    <row r="1862" spans="1:12" hidden="1" x14ac:dyDescent="0.2">
      <c r="A1862" s="84" t="str">
        <f t="shared" si="89"/>
        <v>SelecioneSelecioneSelecione</v>
      </c>
      <c r="B1862" s="85" t="s">
        <v>19</v>
      </c>
      <c r="C1862" s="85" t="s">
        <v>19</v>
      </c>
      <c r="D1862" s="86"/>
      <c r="E1862" s="116" t="str">
        <f t="shared" si="90"/>
        <v>-</v>
      </c>
      <c r="F1862" s="85"/>
      <c r="G1862" s="85" t="s">
        <v>19</v>
      </c>
      <c r="H1862" s="85"/>
      <c r="I1862" s="85"/>
      <c r="J1862" s="87"/>
      <c r="K1862" s="88">
        <f t="shared" si="91"/>
        <v>0</v>
      </c>
      <c r="L1862" s="85"/>
    </row>
    <row r="1863" spans="1:12" hidden="1" x14ac:dyDescent="0.2">
      <c r="A1863" s="84" t="str">
        <f t="shared" si="89"/>
        <v>SelecioneSelecioneSelecione</v>
      </c>
      <c r="B1863" s="85" t="s">
        <v>19</v>
      </c>
      <c r="C1863" s="85" t="s">
        <v>19</v>
      </c>
      <c r="D1863" s="86"/>
      <c r="E1863" s="116" t="str">
        <f t="shared" si="90"/>
        <v>-</v>
      </c>
      <c r="F1863" s="85"/>
      <c r="G1863" s="85" t="s">
        <v>19</v>
      </c>
      <c r="H1863" s="85"/>
      <c r="I1863" s="85"/>
      <c r="J1863" s="87"/>
      <c r="K1863" s="88">
        <f t="shared" si="91"/>
        <v>0</v>
      </c>
      <c r="L1863" s="85"/>
    </row>
    <row r="1864" spans="1:12" hidden="1" x14ac:dyDescent="0.2">
      <c r="A1864" s="84" t="str">
        <f t="shared" si="89"/>
        <v>SelecioneSelecioneSelecione</v>
      </c>
      <c r="B1864" s="85" t="s">
        <v>19</v>
      </c>
      <c r="C1864" s="85" t="s">
        <v>19</v>
      </c>
      <c r="D1864" s="86"/>
      <c r="E1864" s="116" t="str">
        <f t="shared" si="90"/>
        <v>-</v>
      </c>
      <c r="F1864" s="85"/>
      <c r="G1864" s="85" t="s">
        <v>19</v>
      </c>
      <c r="H1864" s="85"/>
      <c r="I1864" s="85"/>
      <c r="J1864" s="87"/>
      <c r="K1864" s="88">
        <f t="shared" si="91"/>
        <v>0</v>
      </c>
      <c r="L1864" s="85"/>
    </row>
    <row r="1865" spans="1:12" hidden="1" x14ac:dyDescent="0.2">
      <c r="A1865" s="84" t="str">
        <f t="shared" si="89"/>
        <v>SelecioneSelecioneSelecione</v>
      </c>
      <c r="B1865" s="85" t="s">
        <v>19</v>
      </c>
      <c r="C1865" s="85" t="s">
        <v>19</v>
      </c>
      <c r="D1865" s="86"/>
      <c r="E1865" s="116" t="str">
        <f t="shared" si="90"/>
        <v>-</v>
      </c>
      <c r="F1865" s="85"/>
      <c r="G1865" s="85" t="s">
        <v>19</v>
      </c>
      <c r="H1865" s="85"/>
      <c r="I1865" s="85"/>
      <c r="J1865" s="87"/>
      <c r="K1865" s="88">
        <f t="shared" si="91"/>
        <v>0</v>
      </c>
      <c r="L1865" s="85"/>
    </row>
    <row r="1866" spans="1:12" hidden="1" x14ac:dyDescent="0.2">
      <c r="A1866" s="84" t="str">
        <f t="shared" si="89"/>
        <v>SelecioneSelecioneSelecione</v>
      </c>
      <c r="B1866" s="85" t="s">
        <v>19</v>
      </c>
      <c r="C1866" s="85" t="s">
        <v>19</v>
      </c>
      <c r="D1866" s="86"/>
      <c r="E1866" s="116" t="str">
        <f t="shared" si="90"/>
        <v>-</v>
      </c>
      <c r="F1866" s="85"/>
      <c r="G1866" s="85" t="s">
        <v>19</v>
      </c>
      <c r="H1866" s="85"/>
      <c r="I1866" s="85"/>
      <c r="J1866" s="87"/>
      <c r="K1866" s="88">
        <f t="shared" si="91"/>
        <v>0</v>
      </c>
      <c r="L1866" s="85"/>
    </row>
    <row r="1867" spans="1:12" hidden="1" x14ac:dyDescent="0.2">
      <c r="A1867" s="84" t="str">
        <f t="shared" si="89"/>
        <v>SelecioneSelecioneSelecione</v>
      </c>
      <c r="B1867" s="85" t="s">
        <v>19</v>
      </c>
      <c r="C1867" s="85" t="s">
        <v>19</v>
      </c>
      <c r="D1867" s="86"/>
      <c r="E1867" s="116" t="str">
        <f t="shared" si="90"/>
        <v>-</v>
      </c>
      <c r="F1867" s="85"/>
      <c r="G1867" s="85" t="s">
        <v>19</v>
      </c>
      <c r="H1867" s="85"/>
      <c r="I1867" s="85"/>
      <c r="J1867" s="87"/>
      <c r="K1867" s="88">
        <f t="shared" si="91"/>
        <v>0</v>
      </c>
      <c r="L1867" s="85"/>
    </row>
    <row r="1868" spans="1:12" hidden="1" x14ac:dyDescent="0.2">
      <c r="A1868" s="84" t="str">
        <f t="shared" si="89"/>
        <v>SelecioneSelecioneSelecione</v>
      </c>
      <c r="B1868" s="85" t="s">
        <v>19</v>
      </c>
      <c r="C1868" s="85" t="s">
        <v>19</v>
      </c>
      <c r="D1868" s="86"/>
      <c r="E1868" s="116" t="str">
        <f t="shared" si="90"/>
        <v>-</v>
      </c>
      <c r="F1868" s="85"/>
      <c r="G1868" s="85" t="s">
        <v>19</v>
      </c>
      <c r="H1868" s="85"/>
      <c r="I1868" s="85"/>
      <c r="J1868" s="87"/>
      <c r="K1868" s="88">
        <f t="shared" si="91"/>
        <v>0</v>
      </c>
      <c r="L1868" s="85"/>
    </row>
    <row r="1869" spans="1:12" hidden="1" x14ac:dyDescent="0.2">
      <c r="A1869" s="84" t="str">
        <f t="shared" si="89"/>
        <v>SelecioneSelecioneSelecione</v>
      </c>
      <c r="B1869" s="85" t="s">
        <v>19</v>
      </c>
      <c r="C1869" s="85" t="s">
        <v>19</v>
      </c>
      <c r="D1869" s="86"/>
      <c r="E1869" s="116" t="str">
        <f t="shared" si="90"/>
        <v>-</v>
      </c>
      <c r="F1869" s="85"/>
      <c r="G1869" s="85" t="s">
        <v>19</v>
      </c>
      <c r="H1869" s="85"/>
      <c r="I1869" s="85"/>
      <c r="J1869" s="87"/>
      <c r="K1869" s="88">
        <f t="shared" si="91"/>
        <v>0</v>
      </c>
      <c r="L1869" s="85"/>
    </row>
    <row r="1870" spans="1:12" hidden="1" x14ac:dyDescent="0.2">
      <c r="A1870" s="84" t="str">
        <f t="shared" si="89"/>
        <v>SelecioneSelecioneSelecione</v>
      </c>
      <c r="B1870" s="85" t="s">
        <v>19</v>
      </c>
      <c r="C1870" s="85" t="s">
        <v>19</v>
      </c>
      <c r="D1870" s="86"/>
      <c r="E1870" s="116" t="str">
        <f t="shared" si="90"/>
        <v>-</v>
      </c>
      <c r="F1870" s="85"/>
      <c r="G1870" s="85" t="s">
        <v>19</v>
      </c>
      <c r="H1870" s="85"/>
      <c r="I1870" s="85"/>
      <c r="J1870" s="87"/>
      <c r="K1870" s="88">
        <f t="shared" si="91"/>
        <v>0</v>
      </c>
      <c r="L1870" s="85"/>
    </row>
    <row r="1871" spans="1:12" hidden="1" x14ac:dyDescent="0.2">
      <c r="A1871" s="84" t="str">
        <f t="shared" si="89"/>
        <v>SelecioneSelecioneSelecione</v>
      </c>
      <c r="B1871" s="85" t="s">
        <v>19</v>
      </c>
      <c r="C1871" s="85" t="s">
        <v>19</v>
      </c>
      <c r="D1871" s="86"/>
      <c r="E1871" s="116" t="str">
        <f t="shared" si="90"/>
        <v>-</v>
      </c>
      <c r="F1871" s="85"/>
      <c r="G1871" s="85" t="s">
        <v>19</v>
      </c>
      <c r="H1871" s="85"/>
      <c r="I1871" s="85"/>
      <c r="J1871" s="87"/>
      <c r="K1871" s="88">
        <f t="shared" si="91"/>
        <v>0</v>
      </c>
      <c r="L1871" s="85"/>
    </row>
    <row r="1872" spans="1:12" hidden="1" x14ac:dyDescent="0.2">
      <c r="A1872" s="84" t="str">
        <f t="shared" si="89"/>
        <v>SelecioneSelecioneSelecione</v>
      </c>
      <c r="B1872" s="85" t="s">
        <v>19</v>
      </c>
      <c r="C1872" s="85" t="s">
        <v>19</v>
      </c>
      <c r="D1872" s="86"/>
      <c r="E1872" s="116" t="str">
        <f t="shared" si="90"/>
        <v>-</v>
      </c>
      <c r="F1872" s="85"/>
      <c r="G1872" s="85" t="s">
        <v>19</v>
      </c>
      <c r="H1872" s="85"/>
      <c r="I1872" s="85"/>
      <c r="J1872" s="87"/>
      <c r="K1872" s="88">
        <f t="shared" si="91"/>
        <v>0</v>
      </c>
      <c r="L1872" s="85"/>
    </row>
    <row r="1873" spans="1:12" hidden="1" x14ac:dyDescent="0.2">
      <c r="A1873" s="84" t="str">
        <f t="shared" si="89"/>
        <v>SelecioneSelecioneSelecione</v>
      </c>
      <c r="B1873" s="85" t="s">
        <v>19</v>
      </c>
      <c r="C1873" s="85" t="s">
        <v>19</v>
      </c>
      <c r="D1873" s="86"/>
      <c r="E1873" s="116" t="str">
        <f t="shared" si="90"/>
        <v>-</v>
      </c>
      <c r="F1873" s="85"/>
      <c r="G1873" s="85" t="s">
        <v>19</v>
      </c>
      <c r="H1873" s="85"/>
      <c r="I1873" s="85"/>
      <c r="J1873" s="87"/>
      <c r="K1873" s="88">
        <f t="shared" si="91"/>
        <v>0</v>
      </c>
      <c r="L1873" s="85"/>
    </row>
    <row r="1874" spans="1:12" hidden="1" x14ac:dyDescent="0.2">
      <c r="A1874" s="84" t="str">
        <f t="shared" si="89"/>
        <v>SelecioneSelecioneSelecione</v>
      </c>
      <c r="B1874" s="85" t="s">
        <v>19</v>
      </c>
      <c r="C1874" s="85" t="s">
        <v>19</v>
      </c>
      <c r="D1874" s="86"/>
      <c r="E1874" s="116" t="str">
        <f t="shared" si="90"/>
        <v>-</v>
      </c>
      <c r="F1874" s="85"/>
      <c r="G1874" s="85" t="s">
        <v>19</v>
      </c>
      <c r="H1874" s="85"/>
      <c r="I1874" s="85"/>
      <c r="J1874" s="87"/>
      <c r="K1874" s="88">
        <f t="shared" si="91"/>
        <v>0</v>
      </c>
      <c r="L1874" s="85"/>
    </row>
    <row r="1875" spans="1:12" hidden="1" x14ac:dyDescent="0.2">
      <c r="A1875" s="84" t="str">
        <f t="shared" si="89"/>
        <v>SelecioneSelecioneSelecione</v>
      </c>
      <c r="B1875" s="85" t="s">
        <v>19</v>
      </c>
      <c r="C1875" s="85" t="s">
        <v>19</v>
      </c>
      <c r="D1875" s="86"/>
      <c r="E1875" s="116" t="str">
        <f t="shared" si="90"/>
        <v>-</v>
      </c>
      <c r="F1875" s="90"/>
      <c r="G1875" s="85" t="s">
        <v>19</v>
      </c>
      <c r="H1875" s="85"/>
      <c r="I1875" s="85"/>
      <c r="J1875" s="87"/>
      <c r="K1875" s="88">
        <f t="shared" si="91"/>
        <v>0</v>
      </c>
      <c r="L1875" s="85"/>
    </row>
    <row r="1876" spans="1:12" hidden="1" x14ac:dyDescent="0.2">
      <c r="A1876" s="84" t="str">
        <f t="shared" si="89"/>
        <v>SelecioneSelecioneSelecione</v>
      </c>
      <c r="B1876" s="85" t="s">
        <v>19</v>
      </c>
      <c r="C1876" s="85" t="s">
        <v>19</v>
      </c>
      <c r="D1876" s="86"/>
      <c r="E1876" s="116" t="str">
        <f t="shared" si="90"/>
        <v>-</v>
      </c>
      <c r="F1876" s="85"/>
      <c r="G1876" s="85" t="s">
        <v>19</v>
      </c>
      <c r="H1876" s="85"/>
      <c r="I1876" s="85"/>
      <c r="J1876" s="87"/>
      <c r="K1876" s="88">
        <f t="shared" si="91"/>
        <v>0</v>
      </c>
      <c r="L1876" s="85"/>
    </row>
    <row r="1877" spans="1:12" hidden="1" x14ac:dyDescent="0.2">
      <c r="A1877" s="84" t="str">
        <f t="shared" si="89"/>
        <v>SelecioneSelecioneSelecione</v>
      </c>
      <c r="B1877" s="85" t="s">
        <v>19</v>
      </c>
      <c r="C1877" s="85" t="s">
        <v>19</v>
      </c>
      <c r="D1877" s="93"/>
      <c r="E1877" s="116" t="str">
        <f t="shared" si="90"/>
        <v>-</v>
      </c>
      <c r="F1877" s="90"/>
      <c r="G1877" s="85" t="s">
        <v>19</v>
      </c>
      <c r="H1877" s="85"/>
      <c r="I1877" s="90"/>
      <c r="J1877" s="89"/>
      <c r="K1877" s="88">
        <f t="shared" si="91"/>
        <v>0</v>
      </c>
      <c r="L1877" s="90"/>
    </row>
    <row r="1878" spans="1:12" hidden="1" x14ac:dyDescent="0.2">
      <c r="A1878" s="84" t="str">
        <f t="shared" si="89"/>
        <v>SelecioneSelecioneSelecione</v>
      </c>
      <c r="B1878" s="85" t="s">
        <v>19</v>
      </c>
      <c r="C1878" s="85" t="s">
        <v>19</v>
      </c>
      <c r="D1878" s="86"/>
      <c r="E1878" s="116" t="str">
        <f t="shared" si="90"/>
        <v>-</v>
      </c>
      <c r="F1878" s="85"/>
      <c r="G1878" s="85" t="s">
        <v>19</v>
      </c>
      <c r="H1878" s="85"/>
      <c r="I1878" s="85"/>
      <c r="J1878" s="87"/>
      <c r="K1878" s="88">
        <f t="shared" si="91"/>
        <v>0</v>
      </c>
      <c r="L1878" s="85"/>
    </row>
    <row r="1879" spans="1:12" hidden="1" x14ac:dyDescent="0.2">
      <c r="A1879" s="84" t="str">
        <f t="shared" si="89"/>
        <v>SelecioneSelecioneSelecione</v>
      </c>
      <c r="B1879" s="85" t="s">
        <v>19</v>
      </c>
      <c r="C1879" s="85" t="s">
        <v>19</v>
      </c>
      <c r="D1879" s="86"/>
      <c r="E1879" s="116" t="str">
        <f t="shared" si="90"/>
        <v>-</v>
      </c>
      <c r="F1879" s="85"/>
      <c r="G1879" s="85" t="s">
        <v>19</v>
      </c>
      <c r="H1879" s="85"/>
      <c r="I1879" s="85"/>
      <c r="J1879" s="87"/>
      <c r="K1879" s="88">
        <f t="shared" si="91"/>
        <v>0</v>
      </c>
      <c r="L1879" s="85"/>
    </row>
    <row r="1880" spans="1:12" hidden="1" x14ac:dyDescent="0.2">
      <c r="A1880" s="84" t="str">
        <f t="shared" si="89"/>
        <v>SelecioneSelecioneSelecione</v>
      </c>
      <c r="B1880" s="85" t="s">
        <v>19</v>
      </c>
      <c r="C1880" s="85" t="s">
        <v>19</v>
      </c>
      <c r="D1880" s="86"/>
      <c r="E1880" s="116" t="str">
        <f t="shared" si="90"/>
        <v>-</v>
      </c>
      <c r="F1880" s="85"/>
      <c r="G1880" s="85" t="s">
        <v>19</v>
      </c>
      <c r="H1880" s="85"/>
      <c r="I1880" s="85"/>
      <c r="J1880" s="87"/>
      <c r="K1880" s="88">
        <f t="shared" si="91"/>
        <v>0</v>
      </c>
      <c r="L1880" s="85"/>
    </row>
    <row r="1881" spans="1:12" hidden="1" x14ac:dyDescent="0.2">
      <c r="A1881" s="84" t="str">
        <f t="shared" si="89"/>
        <v>SelecioneSelecioneSelecione</v>
      </c>
      <c r="B1881" s="85" t="s">
        <v>19</v>
      </c>
      <c r="C1881" s="85" t="s">
        <v>19</v>
      </c>
      <c r="D1881" s="86"/>
      <c r="E1881" s="116" t="str">
        <f t="shared" si="90"/>
        <v>-</v>
      </c>
      <c r="F1881" s="85"/>
      <c r="G1881" s="85" t="s">
        <v>19</v>
      </c>
      <c r="H1881" s="85"/>
      <c r="I1881" s="85"/>
      <c r="J1881" s="87"/>
      <c r="K1881" s="88">
        <f t="shared" si="91"/>
        <v>0</v>
      </c>
      <c r="L1881" s="85"/>
    </row>
    <row r="1882" spans="1:12" hidden="1" x14ac:dyDescent="0.2">
      <c r="A1882" s="84" t="str">
        <f t="shared" si="89"/>
        <v>SelecioneSelecioneSelecione</v>
      </c>
      <c r="B1882" s="85" t="s">
        <v>19</v>
      </c>
      <c r="C1882" s="85" t="s">
        <v>19</v>
      </c>
      <c r="D1882" s="86"/>
      <c r="E1882" s="116" t="str">
        <f t="shared" si="90"/>
        <v>-</v>
      </c>
      <c r="F1882" s="85"/>
      <c r="G1882" s="85" t="s">
        <v>19</v>
      </c>
      <c r="H1882" s="85"/>
      <c r="I1882" s="85"/>
      <c r="J1882" s="87"/>
      <c r="K1882" s="88">
        <f t="shared" si="91"/>
        <v>0</v>
      </c>
      <c r="L1882" s="85"/>
    </row>
    <row r="1883" spans="1:12" hidden="1" x14ac:dyDescent="0.2">
      <c r="A1883" s="84" t="str">
        <f t="shared" si="89"/>
        <v>SelecioneSelecioneSelecione</v>
      </c>
      <c r="B1883" s="85" t="s">
        <v>19</v>
      </c>
      <c r="C1883" s="85" t="s">
        <v>19</v>
      </c>
      <c r="D1883" s="86"/>
      <c r="E1883" s="116" t="str">
        <f t="shared" si="90"/>
        <v>-</v>
      </c>
      <c r="F1883" s="85"/>
      <c r="G1883" s="85" t="s">
        <v>19</v>
      </c>
      <c r="H1883" s="85"/>
      <c r="I1883" s="85"/>
      <c r="J1883" s="87"/>
      <c r="K1883" s="88">
        <f t="shared" si="91"/>
        <v>0</v>
      </c>
      <c r="L1883" s="85"/>
    </row>
    <row r="1884" spans="1:12" hidden="1" x14ac:dyDescent="0.2">
      <c r="A1884" s="84" t="str">
        <f t="shared" si="89"/>
        <v>SelecioneSelecioneSelecione</v>
      </c>
      <c r="B1884" s="85" t="s">
        <v>19</v>
      </c>
      <c r="C1884" s="85" t="s">
        <v>19</v>
      </c>
      <c r="D1884" s="86"/>
      <c r="E1884" s="116" t="str">
        <f t="shared" si="90"/>
        <v>-</v>
      </c>
      <c r="F1884" s="85"/>
      <c r="G1884" s="85" t="s">
        <v>19</v>
      </c>
      <c r="H1884" s="85"/>
      <c r="I1884" s="85"/>
      <c r="J1884" s="87"/>
      <c r="K1884" s="88">
        <f t="shared" si="91"/>
        <v>0</v>
      </c>
      <c r="L1884" s="85"/>
    </row>
    <row r="1885" spans="1:12" hidden="1" x14ac:dyDescent="0.2">
      <c r="A1885" s="84" t="str">
        <f t="shared" si="89"/>
        <v>SelecioneSelecioneSelecione</v>
      </c>
      <c r="B1885" s="85" t="s">
        <v>19</v>
      </c>
      <c r="C1885" s="85" t="s">
        <v>19</v>
      </c>
      <c r="D1885" s="86"/>
      <c r="E1885" s="116" t="str">
        <f t="shared" si="90"/>
        <v>-</v>
      </c>
      <c r="F1885" s="85"/>
      <c r="G1885" s="85" t="s">
        <v>19</v>
      </c>
      <c r="H1885" s="85"/>
      <c r="I1885" s="85"/>
      <c r="J1885" s="87"/>
      <c r="K1885" s="88">
        <f t="shared" si="91"/>
        <v>0</v>
      </c>
      <c r="L1885" s="85"/>
    </row>
    <row r="1886" spans="1:12" hidden="1" x14ac:dyDescent="0.2">
      <c r="A1886" s="84" t="str">
        <f t="shared" si="89"/>
        <v>SelecioneSelecioneSelecione</v>
      </c>
      <c r="B1886" s="85" t="s">
        <v>19</v>
      </c>
      <c r="C1886" s="85" t="s">
        <v>19</v>
      </c>
      <c r="D1886" s="86"/>
      <c r="E1886" s="116" t="str">
        <f t="shared" si="90"/>
        <v>-</v>
      </c>
      <c r="F1886" s="85"/>
      <c r="G1886" s="85" t="s">
        <v>19</v>
      </c>
      <c r="H1886" s="85"/>
      <c r="I1886" s="85"/>
      <c r="J1886" s="87"/>
      <c r="K1886" s="88">
        <f t="shared" si="91"/>
        <v>0</v>
      </c>
      <c r="L1886" s="85"/>
    </row>
    <row r="1887" spans="1:12" hidden="1" x14ac:dyDescent="0.2">
      <c r="A1887" s="84" t="str">
        <f t="shared" si="89"/>
        <v>SelecioneSelecioneSelecione</v>
      </c>
      <c r="B1887" s="85" t="s">
        <v>19</v>
      </c>
      <c r="C1887" s="85" t="s">
        <v>19</v>
      </c>
      <c r="D1887" s="86"/>
      <c r="E1887" s="116" t="str">
        <f t="shared" si="90"/>
        <v>-</v>
      </c>
      <c r="F1887" s="85"/>
      <c r="G1887" s="85" t="s">
        <v>19</v>
      </c>
      <c r="H1887" s="85"/>
      <c r="I1887" s="85"/>
      <c r="J1887" s="87"/>
      <c r="K1887" s="88">
        <f t="shared" si="91"/>
        <v>0</v>
      </c>
      <c r="L1887" s="85"/>
    </row>
    <row r="1888" spans="1:12" hidden="1" x14ac:dyDescent="0.2">
      <c r="A1888" s="84" t="str">
        <f t="shared" si="89"/>
        <v>SelecioneSelecioneSelecione</v>
      </c>
      <c r="B1888" s="85" t="s">
        <v>19</v>
      </c>
      <c r="C1888" s="85" t="s">
        <v>19</v>
      </c>
      <c r="D1888" s="86"/>
      <c r="E1888" s="116" t="str">
        <f t="shared" si="90"/>
        <v>-</v>
      </c>
      <c r="F1888" s="85"/>
      <c r="G1888" s="85" t="s">
        <v>19</v>
      </c>
      <c r="H1888" s="85"/>
      <c r="I1888" s="85"/>
      <c r="J1888" s="87"/>
      <c r="K1888" s="88">
        <f t="shared" si="91"/>
        <v>0</v>
      </c>
      <c r="L1888" s="85"/>
    </row>
    <row r="1889" spans="1:12" hidden="1" x14ac:dyDescent="0.2">
      <c r="A1889" s="84" t="str">
        <f t="shared" si="89"/>
        <v>SelecioneSelecioneSelecione</v>
      </c>
      <c r="B1889" s="85" t="s">
        <v>19</v>
      </c>
      <c r="C1889" s="85" t="s">
        <v>19</v>
      </c>
      <c r="D1889" s="86"/>
      <c r="E1889" s="116" t="str">
        <f t="shared" si="90"/>
        <v>-</v>
      </c>
      <c r="F1889" s="85"/>
      <c r="G1889" s="85" t="s">
        <v>19</v>
      </c>
      <c r="H1889" s="85"/>
      <c r="I1889" s="85"/>
      <c r="J1889" s="87"/>
      <c r="K1889" s="88">
        <f t="shared" si="91"/>
        <v>0</v>
      </c>
      <c r="L1889" s="85"/>
    </row>
    <row r="1890" spans="1:12" hidden="1" x14ac:dyDescent="0.2">
      <c r="A1890" s="84" t="str">
        <f t="shared" si="89"/>
        <v>SelecioneSelecioneSelecione</v>
      </c>
      <c r="B1890" s="85" t="s">
        <v>19</v>
      </c>
      <c r="C1890" s="85" t="s">
        <v>19</v>
      </c>
      <c r="D1890" s="86"/>
      <c r="E1890" s="116" t="str">
        <f t="shared" si="90"/>
        <v>-</v>
      </c>
      <c r="F1890" s="85"/>
      <c r="G1890" s="85" t="s">
        <v>19</v>
      </c>
      <c r="H1890" s="85"/>
      <c r="I1890" s="85"/>
      <c r="J1890" s="87"/>
      <c r="K1890" s="88">
        <f t="shared" si="91"/>
        <v>0</v>
      </c>
      <c r="L1890" s="85"/>
    </row>
    <row r="1891" spans="1:12" hidden="1" x14ac:dyDescent="0.2">
      <c r="A1891" s="84" t="str">
        <f t="shared" si="89"/>
        <v>SelecioneSelecioneSelecione</v>
      </c>
      <c r="B1891" s="85" t="s">
        <v>19</v>
      </c>
      <c r="C1891" s="85" t="s">
        <v>19</v>
      </c>
      <c r="D1891" s="86"/>
      <c r="E1891" s="116" t="str">
        <f t="shared" si="90"/>
        <v>-</v>
      </c>
      <c r="F1891" s="85"/>
      <c r="G1891" s="85" t="s">
        <v>19</v>
      </c>
      <c r="H1891" s="85"/>
      <c r="I1891" s="85"/>
      <c r="J1891" s="87"/>
      <c r="K1891" s="88">
        <f t="shared" si="91"/>
        <v>0</v>
      </c>
      <c r="L1891" s="85"/>
    </row>
    <row r="1892" spans="1:12" hidden="1" x14ac:dyDescent="0.2">
      <c r="A1892" s="84" t="str">
        <f t="shared" si="89"/>
        <v>SelecioneSelecioneSelecione</v>
      </c>
      <c r="B1892" s="85" t="s">
        <v>19</v>
      </c>
      <c r="C1892" s="85" t="s">
        <v>19</v>
      </c>
      <c r="D1892" s="86"/>
      <c r="E1892" s="116" t="str">
        <f t="shared" si="90"/>
        <v>-</v>
      </c>
      <c r="F1892" s="85"/>
      <c r="G1892" s="85" t="s">
        <v>19</v>
      </c>
      <c r="H1892" s="85"/>
      <c r="I1892" s="85"/>
      <c r="J1892" s="87"/>
      <c r="K1892" s="88">
        <f t="shared" si="91"/>
        <v>0</v>
      </c>
      <c r="L1892" s="85"/>
    </row>
    <row r="1893" spans="1:12" hidden="1" x14ac:dyDescent="0.2">
      <c r="A1893" s="84" t="str">
        <f t="shared" si="89"/>
        <v>SelecioneSelecioneSelecione</v>
      </c>
      <c r="B1893" s="85" t="s">
        <v>19</v>
      </c>
      <c r="C1893" s="85" t="s">
        <v>19</v>
      </c>
      <c r="D1893" s="86"/>
      <c r="E1893" s="116" t="str">
        <f t="shared" si="90"/>
        <v>-</v>
      </c>
      <c r="F1893" s="85"/>
      <c r="G1893" s="85" t="s">
        <v>19</v>
      </c>
      <c r="H1893" s="85"/>
      <c r="I1893" s="85"/>
      <c r="J1893" s="87"/>
      <c r="K1893" s="88">
        <f t="shared" si="91"/>
        <v>0</v>
      </c>
      <c r="L1893" s="85"/>
    </row>
    <row r="1894" spans="1:12" hidden="1" x14ac:dyDescent="0.2">
      <c r="A1894" s="84" t="str">
        <f t="shared" si="89"/>
        <v>SelecioneSelecioneSelecione</v>
      </c>
      <c r="B1894" s="85" t="s">
        <v>19</v>
      </c>
      <c r="C1894" s="85" t="s">
        <v>19</v>
      </c>
      <c r="D1894" s="86"/>
      <c r="E1894" s="116" t="str">
        <f t="shared" si="90"/>
        <v>-</v>
      </c>
      <c r="F1894" s="85"/>
      <c r="G1894" s="85" t="s">
        <v>19</v>
      </c>
      <c r="H1894" s="85"/>
      <c r="I1894" s="85"/>
      <c r="J1894" s="87"/>
      <c r="K1894" s="88">
        <f t="shared" si="91"/>
        <v>0</v>
      </c>
      <c r="L1894" s="85"/>
    </row>
    <row r="1895" spans="1:12" hidden="1" x14ac:dyDescent="0.2">
      <c r="A1895" s="84" t="str">
        <f t="shared" si="89"/>
        <v>SelecioneSelecioneSelecione</v>
      </c>
      <c r="B1895" s="85" t="s">
        <v>19</v>
      </c>
      <c r="C1895" s="85" t="s">
        <v>19</v>
      </c>
      <c r="D1895" s="86"/>
      <c r="E1895" s="116" t="str">
        <f t="shared" si="90"/>
        <v>-</v>
      </c>
      <c r="F1895" s="85"/>
      <c r="G1895" s="85" t="s">
        <v>19</v>
      </c>
      <c r="H1895" s="85"/>
      <c r="I1895" s="85"/>
      <c r="J1895" s="87"/>
      <c r="K1895" s="88">
        <f t="shared" si="91"/>
        <v>0</v>
      </c>
      <c r="L1895" s="85"/>
    </row>
    <row r="1896" spans="1:12" hidden="1" x14ac:dyDescent="0.2">
      <c r="A1896" s="84" t="str">
        <f t="shared" si="89"/>
        <v>SelecioneSelecioneSelecione</v>
      </c>
      <c r="B1896" s="85" t="s">
        <v>19</v>
      </c>
      <c r="C1896" s="85" t="s">
        <v>19</v>
      </c>
      <c r="D1896" s="86"/>
      <c r="E1896" s="116" t="str">
        <f t="shared" si="90"/>
        <v>-</v>
      </c>
      <c r="F1896" s="85"/>
      <c r="G1896" s="85" t="s">
        <v>19</v>
      </c>
      <c r="H1896" s="85"/>
      <c r="I1896" s="85"/>
      <c r="J1896" s="87"/>
      <c r="K1896" s="88">
        <f t="shared" si="91"/>
        <v>0</v>
      </c>
      <c r="L1896" s="85"/>
    </row>
    <row r="1897" spans="1:12" hidden="1" x14ac:dyDescent="0.2">
      <c r="A1897" s="84" t="str">
        <f t="shared" si="89"/>
        <v>SelecioneSelecioneSelecione</v>
      </c>
      <c r="B1897" s="85" t="s">
        <v>19</v>
      </c>
      <c r="C1897" s="85" t="s">
        <v>19</v>
      </c>
      <c r="D1897" s="86"/>
      <c r="E1897" s="116" t="str">
        <f t="shared" si="90"/>
        <v>-</v>
      </c>
      <c r="F1897" s="85"/>
      <c r="G1897" s="85" t="s">
        <v>19</v>
      </c>
      <c r="H1897" s="85"/>
      <c r="I1897" s="85"/>
      <c r="J1897" s="87"/>
      <c r="K1897" s="88">
        <f t="shared" si="91"/>
        <v>0</v>
      </c>
      <c r="L1897" s="85"/>
    </row>
    <row r="1898" spans="1:12" hidden="1" x14ac:dyDescent="0.2">
      <c r="A1898" s="84" t="str">
        <f t="shared" si="89"/>
        <v>SelecioneSelecioneSelecione</v>
      </c>
      <c r="B1898" s="85" t="s">
        <v>19</v>
      </c>
      <c r="C1898" s="85" t="s">
        <v>19</v>
      </c>
      <c r="D1898" s="86"/>
      <c r="E1898" s="116" t="str">
        <f t="shared" si="90"/>
        <v>-</v>
      </c>
      <c r="F1898" s="85"/>
      <c r="G1898" s="85" t="s">
        <v>19</v>
      </c>
      <c r="H1898" s="85"/>
      <c r="I1898" s="85"/>
      <c r="J1898" s="87"/>
      <c r="K1898" s="88">
        <f t="shared" si="91"/>
        <v>0</v>
      </c>
      <c r="L1898" s="85"/>
    </row>
    <row r="1899" spans="1:12" hidden="1" x14ac:dyDescent="0.2">
      <c r="A1899" s="84" t="str">
        <f t="shared" si="89"/>
        <v>SelecioneSelecioneSelecione</v>
      </c>
      <c r="B1899" s="85" t="s">
        <v>19</v>
      </c>
      <c r="C1899" s="85" t="s">
        <v>19</v>
      </c>
      <c r="D1899" s="86"/>
      <c r="E1899" s="116" t="str">
        <f t="shared" si="90"/>
        <v>-</v>
      </c>
      <c r="F1899" s="85"/>
      <c r="G1899" s="85" t="s">
        <v>19</v>
      </c>
      <c r="H1899" s="85"/>
      <c r="I1899" s="85"/>
      <c r="J1899" s="87"/>
      <c r="K1899" s="88">
        <f t="shared" si="91"/>
        <v>0</v>
      </c>
      <c r="L1899" s="85"/>
    </row>
    <row r="1900" spans="1:12" hidden="1" x14ac:dyDescent="0.2">
      <c r="A1900" s="84" t="str">
        <f t="shared" si="89"/>
        <v>SelecioneSelecioneSelecione</v>
      </c>
      <c r="B1900" s="85" t="s">
        <v>19</v>
      </c>
      <c r="C1900" s="85" t="s">
        <v>19</v>
      </c>
      <c r="D1900" s="86"/>
      <c r="E1900" s="116" t="str">
        <f t="shared" si="90"/>
        <v>-</v>
      </c>
      <c r="F1900" s="85"/>
      <c r="G1900" s="85" t="s">
        <v>19</v>
      </c>
      <c r="H1900" s="85"/>
      <c r="I1900" s="85"/>
      <c r="J1900" s="87"/>
      <c r="K1900" s="88">
        <f t="shared" si="91"/>
        <v>0</v>
      </c>
      <c r="L1900" s="85"/>
    </row>
    <row r="1901" spans="1:12" hidden="1" x14ac:dyDescent="0.2">
      <c r="A1901" s="84" t="str">
        <f t="shared" si="89"/>
        <v>SelecioneSelecioneSelecione</v>
      </c>
      <c r="B1901" s="85" t="s">
        <v>19</v>
      </c>
      <c r="C1901" s="85" t="s">
        <v>19</v>
      </c>
      <c r="D1901" s="86"/>
      <c r="E1901" s="116" t="str">
        <f t="shared" si="90"/>
        <v>-</v>
      </c>
      <c r="F1901" s="85"/>
      <c r="G1901" s="85" t="s">
        <v>19</v>
      </c>
      <c r="H1901" s="85"/>
      <c r="I1901" s="85"/>
      <c r="J1901" s="87"/>
      <c r="K1901" s="88">
        <f t="shared" si="91"/>
        <v>0</v>
      </c>
      <c r="L1901" s="85"/>
    </row>
    <row r="1902" spans="1:12" hidden="1" x14ac:dyDescent="0.2">
      <c r="A1902" s="84" t="str">
        <f t="shared" si="89"/>
        <v>SelecioneSelecioneSelecione</v>
      </c>
      <c r="B1902" s="85" t="s">
        <v>19</v>
      </c>
      <c r="C1902" s="85" t="s">
        <v>19</v>
      </c>
      <c r="D1902" s="86"/>
      <c r="E1902" s="116" t="str">
        <f t="shared" si="90"/>
        <v>-</v>
      </c>
      <c r="F1902" s="85"/>
      <c r="G1902" s="85" t="s">
        <v>19</v>
      </c>
      <c r="H1902" s="85"/>
      <c r="I1902" s="85"/>
      <c r="J1902" s="87"/>
      <c r="K1902" s="88">
        <f t="shared" si="91"/>
        <v>0</v>
      </c>
      <c r="L1902" s="85"/>
    </row>
    <row r="1903" spans="1:12" hidden="1" x14ac:dyDescent="0.2">
      <c r="A1903" s="84" t="str">
        <f t="shared" si="89"/>
        <v>SelecioneSelecioneSelecione</v>
      </c>
      <c r="B1903" s="85" t="s">
        <v>19</v>
      </c>
      <c r="C1903" s="85" t="s">
        <v>19</v>
      </c>
      <c r="D1903" s="86"/>
      <c r="E1903" s="116" t="str">
        <f t="shared" si="90"/>
        <v>-</v>
      </c>
      <c r="F1903" s="85"/>
      <c r="G1903" s="85" t="s">
        <v>19</v>
      </c>
      <c r="H1903" s="85"/>
      <c r="I1903" s="85"/>
      <c r="J1903" s="87"/>
      <c r="K1903" s="88">
        <f t="shared" si="91"/>
        <v>0</v>
      </c>
      <c r="L1903" s="85"/>
    </row>
    <row r="1904" spans="1:12" hidden="1" x14ac:dyDescent="0.2">
      <c r="A1904" s="84" t="str">
        <f t="shared" si="89"/>
        <v>SelecioneSelecioneSelecione</v>
      </c>
      <c r="B1904" s="85" t="s">
        <v>19</v>
      </c>
      <c r="C1904" s="85" t="s">
        <v>19</v>
      </c>
      <c r="D1904" s="86"/>
      <c r="E1904" s="116" t="str">
        <f t="shared" si="90"/>
        <v>-</v>
      </c>
      <c r="F1904" s="85"/>
      <c r="G1904" s="85" t="s">
        <v>19</v>
      </c>
      <c r="H1904" s="85"/>
      <c r="I1904" s="85"/>
      <c r="J1904" s="87"/>
      <c r="K1904" s="88">
        <f t="shared" si="91"/>
        <v>0</v>
      </c>
      <c r="L1904" s="85"/>
    </row>
    <row r="1905" spans="1:12" hidden="1" x14ac:dyDescent="0.2">
      <c r="A1905" s="84" t="str">
        <f t="shared" si="89"/>
        <v>SelecioneSelecioneSelecione</v>
      </c>
      <c r="B1905" s="85" t="s">
        <v>19</v>
      </c>
      <c r="C1905" s="85" t="s">
        <v>19</v>
      </c>
      <c r="D1905" s="86"/>
      <c r="E1905" s="116" t="str">
        <f t="shared" si="90"/>
        <v>-</v>
      </c>
      <c r="F1905" s="85"/>
      <c r="G1905" s="85" t="s">
        <v>19</v>
      </c>
      <c r="H1905" s="85"/>
      <c r="I1905" s="85"/>
      <c r="J1905" s="87"/>
      <c r="K1905" s="88">
        <f t="shared" si="91"/>
        <v>0</v>
      </c>
      <c r="L1905" s="85"/>
    </row>
    <row r="1906" spans="1:12" hidden="1" x14ac:dyDescent="0.2">
      <c r="A1906" s="84" t="str">
        <f t="shared" si="89"/>
        <v>SelecioneSelecioneSelecione</v>
      </c>
      <c r="B1906" s="85" t="s">
        <v>19</v>
      </c>
      <c r="C1906" s="85" t="s">
        <v>19</v>
      </c>
      <c r="D1906" s="86"/>
      <c r="E1906" s="116" t="str">
        <f t="shared" si="90"/>
        <v>-</v>
      </c>
      <c r="F1906" s="85"/>
      <c r="G1906" s="85" t="s">
        <v>19</v>
      </c>
      <c r="H1906" s="85"/>
      <c r="I1906" s="85"/>
      <c r="J1906" s="87"/>
      <c r="K1906" s="88">
        <f t="shared" si="91"/>
        <v>0</v>
      </c>
      <c r="L1906" s="85"/>
    </row>
    <row r="1907" spans="1:12" hidden="1" x14ac:dyDescent="0.2">
      <c r="A1907" s="84" t="str">
        <f t="shared" si="89"/>
        <v>SelecioneSelecioneSelecione</v>
      </c>
      <c r="B1907" s="85" t="s">
        <v>19</v>
      </c>
      <c r="C1907" s="85" t="s">
        <v>19</v>
      </c>
      <c r="D1907" s="86"/>
      <c r="E1907" s="116" t="str">
        <f t="shared" si="90"/>
        <v>-</v>
      </c>
      <c r="F1907" s="85"/>
      <c r="G1907" s="85" t="s">
        <v>19</v>
      </c>
      <c r="H1907" s="85"/>
      <c r="I1907" s="85"/>
      <c r="J1907" s="87"/>
      <c r="K1907" s="88">
        <f t="shared" si="91"/>
        <v>0</v>
      </c>
      <c r="L1907" s="85"/>
    </row>
    <row r="1908" spans="1:12" hidden="1" x14ac:dyDescent="0.2">
      <c r="A1908" s="84" t="str">
        <f t="shared" si="89"/>
        <v>SelecioneSelecioneSelecione</v>
      </c>
      <c r="B1908" s="85" t="s">
        <v>19</v>
      </c>
      <c r="C1908" s="85" t="s">
        <v>19</v>
      </c>
      <c r="D1908" s="86"/>
      <c r="E1908" s="116" t="str">
        <f t="shared" si="90"/>
        <v>-</v>
      </c>
      <c r="F1908" s="85"/>
      <c r="G1908" s="85" t="s">
        <v>19</v>
      </c>
      <c r="H1908" s="85"/>
      <c r="I1908" s="85"/>
      <c r="J1908" s="87"/>
      <c r="K1908" s="88">
        <f t="shared" si="91"/>
        <v>0</v>
      </c>
      <c r="L1908" s="85"/>
    </row>
    <row r="1909" spans="1:12" hidden="1" x14ac:dyDescent="0.2">
      <c r="A1909" s="84" t="str">
        <f t="shared" si="89"/>
        <v>SelecioneSelecioneSelecione</v>
      </c>
      <c r="B1909" s="85" t="s">
        <v>19</v>
      </c>
      <c r="C1909" s="85" t="s">
        <v>19</v>
      </c>
      <c r="D1909" s="86"/>
      <c r="E1909" s="116" t="str">
        <f t="shared" si="90"/>
        <v>-</v>
      </c>
      <c r="F1909" s="85"/>
      <c r="G1909" s="85" t="s">
        <v>19</v>
      </c>
      <c r="H1909" s="85"/>
      <c r="I1909" s="85"/>
      <c r="J1909" s="87"/>
      <c r="K1909" s="88">
        <f t="shared" si="91"/>
        <v>0</v>
      </c>
      <c r="L1909" s="85"/>
    </row>
    <row r="1910" spans="1:12" hidden="1" x14ac:dyDescent="0.2">
      <c r="A1910" s="84" t="str">
        <f t="shared" si="89"/>
        <v>SelecioneSelecioneSelecione</v>
      </c>
      <c r="B1910" s="85" t="s">
        <v>19</v>
      </c>
      <c r="C1910" s="85" t="s">
        <v>19</v>
      </c>
      <c r="D1910" s="86"/>
      <c r="E1910" s="116" t="str">
        <f t="shared" si="90"/>
        <v>-</v>
      </c>
      <c r="F1910" s="85"/>
      <c r="G1910" s="85" t="s">
        <v>19</v>
      </c>
      <c r="H1910" s="85"/>
      <c r="I1910" s="85"/>
      <c r="J1910" s="87"/>
      <c r="K1910" s="88">
        <f t="shared" si="91"/>
        <v>0</v>
      </c>
      <c r="L1910" s="85"/>
    </row>
    <row r="1911" spans="1:12" hidden="1" x14ac:dyDescent="0.2">
      <c r="A1911" s="84" t="str">
        <f t="shared" si="89"/>
        <v>SelecioneSelecioneSelecione</v>
      </c>
      <c r="B1911" s="85" t="s">
        <v>19</v>
      </c>
      <c r="C1911" s="85" t="s">
        <v>19</v>
      </c>
      <c r="D1911" s="86"/>
      <c r="E1911" s="116" t="str">
        <f t="shared" si="90"/>
        <v>-</v>
      </c>
      <c r="F1911" s="85"/>
      <c r="G1911" s="85" t="s">
        <v>19</v>
      </c>
      <c r="H1911" s="85"/>
      <c r="I1911" s="85"/>
      <c r="J1911" s="87"/>
      <c r="K1911" s="88">
        <f t="shared" si="91"/>
        <v>0</v>
      </c>
      <c r="L1911" s="85"/>
    </row>
    <row r="1912" spans="1:12" hidden="1" x14ac:dyDescent="0.2">
      <c r="A1912" s="84" t="str">
        <f t="shared" si="89"/>
        <v>SelecioneSelecioneSelecione</v>
      </c>
      <c r="B1912" s="85" t="s">
        <v>19</v>
      </c>
      <c r="C1912" s="85" t="s">
        <v>19</v>
      </c>
      <c r="D1912" s="86"/>
      <c r="E1912" s="116" t="str">
        <f t="shared" si="90"/>
        <v>-</v>
      </c>
      <c r="F1912" s="85"/>
      <c r="G1912" s="85" t="s">
        <v>19</v>
      </c>
      <c r="H1912" s="85"/>
      <c r="I1912" s="85"/>
      <c r="J1912" s="87"/>
      <c r="K1912" s="88">
        <f t="shared" si="91"/>
        <v>0</v>
      </c>
      <c r="L1912" s="85"/>
    </row>
    <row r="1913" spans="1:12" hidden="1" x14ac:dyDescent="0.2">
      <c r="A1913" s="84" t="str">
        <f t="shared" si="89"/>
        <v>SelecioneSelecioneSelecione</v>
      </c>
      <c r="B1913" s="85" t="s">
        <v>19</v>
      </c>
      <c r="C1913" s="85" t="s">
        <v>19</v>
      </c>
      <c r="D1913" s="86"/>
      <c r="E1913" s="116" t="str">
        <f t="shared" si="90"/>
        <v>-</v>
      </c>
      <c r="F1913" s="85"/>
      <c r="G1913" s="85" t="s">
        <v>19</v>
      </c>
      <c r="H1913" s="85"/>
      <c r="I1913" s="85"/>
      <c r="J1913" s="87"/>
      <c r="K1913" s="88">
        <f t="shared" si="91"/>
        <v>0</v>
      </c>
      <c r="L1913" s="85"/>
    </row>
    <row r="1914" spans="1:12" hidden="1" x14ac:dyDescent="0.2">
      <c r="A1914" s="84" t="str">
        <f t="shared" si="89"/>
        <v>SelecioneSelecioneSelecione</v>
      </c>
      <c r="B1914" s="85" t="s">
        <v>19</v>
      </c>
      <c r="C1914" s="85" t="s">
        <v>19</v>
      </c>
      <c r="D1914" s="86"/>
      <c r="E1914" s="116" t="str">
        <f t="shared" si="90"/>
        <v>-</v>
      </c>
      <c r="F1914" s="85"/>
      <c r="G1914" s="85" t="s">
        <v>19</v>
      </c>
      <c r="H1914" s="85"/>
      <c r="I1914" s="85"/>
      <c r="J1914" s="87"/>
      <c r="K1914" s="88">
        <f t="shared" si="91"/>
        <v>0</v>
      </c>
      <c r="L1914" s="85"/>
    </row>
    <row r="1915" spans="1:12" hidden="1" x14ac:dyDescent="0.2">
      <c r="A1915" s="84" t="str">
        <f t="shared" si="89"/>
        <v>SelecioneSelecioneSelecione</v>
      </c>
      <c r="B1915" s="85" t="s">
        <v>19</v>
      </c>
      <c r="C1915" s="85" t="s">
        <v>19</v>
      </c>
      <c r="D1915" s="86"/>
      <c r="E1915" s="116" t="str">
        <f t="shared" si="90"/>
        <v>-</v>
      </c>
      <c r="F1915" s="85"/>
      <c r="G1915" s="85" t="s">
        <v>19</v>
      </c>
      <c r="H1915" s="85"/>
      <c r="I1915" s="85"/>
      <c r="J1915" s="87"/>
      <c r="K1915" s="88">
        <f t="shared" si="91"/>
        <v>0</v>
      </c>
      <c r="L1915" s="85"/>
    </row>
    <row r="1916" spans="1:12" hidden="1" x14ac:dyDescent="0.2">
      <c r="A1916" s="84" t="str">
        <f t="shared" si="89"/>
        <v>SelecioneSelecioneSelecione</v>
      </c>
      <c r="B1916" s="85" t="s">
        <v>19</v>
      </c>
      <c r="C1916" s="85" t="s">
        <v>19</v>
      </c>
      <c r="D1916" s="86"/>
      <c r="E1916" s="116" t="str">
        <f t="shared" si="90"/>
        <v>-</v>
      </c>
      <c r="F1916" s="85"/>
      <c r="G1916" s="85" t="s">
        <v>19</v>
      </c>
      <c r="H1916" s="85"/>
      <c r="I1916" s="85"/>
      <c r="J1916" s="87"/>
      <c r="K1916" s="88">
        <f t="shared" si="91"/>
        <v>0</v>
      </c>
      <c r="L1916" s="85"/>
    </row>
    <row r="1917" spans="1:12" hidden="1" x14ac:dyDescent="0.2">
      <c r="A1917" s="84" t="str">
        <f t="shared" si="89"/>
        <v>SelecioneSelecioneSelecione</v>
      </c>
      <c r="B1917" s="85" t="s">
        <v>19</v>
      </c>
      <c r="C1917" s="85" t="s">
        <v>19</v>
      </c>
      <c r="D1917" s="86"/>
      <c r="E1917" s="116" t="str">
        <f t="shared" si="90"/>
        <v>-</v>
      </c>
      <c r="F1917" s="85"/>
      <c r="G1917" s="85" t="s">
        <v>19</v>
      </c>
      <c r="H1917" s="85"/>
      <c r="I1917" s="85"/>
      <c r="J1917" s="87"/>
      <c r="K1917" s="88">
        <f t="shared" si="91"/>
        <v>0</v>
      </c>
      <c r="L1917" s="85"/>
    </row>
    <row r="1918" spans="1:12" hidden="1" x14ac:dyDescent="0.2">
      <c r="A1918" s="84" t="str">
        <f t="shared" si="89"/>
        <v>SelecioneSelecioneSelecione</v>
      </c>
      <c r="B1918" s="85" t="s">
        <v>19</v>
      </c>
      <c r="C1918" s="85" t="s">
        <v>19</v>
      </c>
      <c r="D1918" s="86"/>
      <c r="E1918" s="116" t="str">
        <f t="shared" si="90"/>
        <v>-</v>
      </c>
      <c r="F1918" s="85"/>
      <c r="G1918" s="85" t="s">
        <v>19</v>
      </c>
      <c r="H1918" s="85"/>
      <c r="I1918" s="85"/>
      <c r="J1918" s="87"/>
      <c r="K1918" s="88">
        <f t="shared" si="91"/>
        <v>0</v>
      </c>
      <c r="L1918" s="85"/>
    </row>
    <row r="1919" spans="1:12" hidden="1" x14ac:dyDescent="0.2">
      <c r="A1919" s="84" t="str">
        <f t="shared" si="89"/>
        <v>SelecioneSelecioneSelecione</v>
      </c>
      <c r="B1919" s="85" t="s">
        <v>19</v>
      </c>
      <c r="C1919" s="85" t="s">
        <v>19</v>
      </c>
      <c r="D1919" s="86"/>
      <c r="E1919" s="116" t="str">
        <f t="shared" si="90"/>
        <v>-</v>
      </c>
      <c r="F1919" s="85"/>
      <c r="G1919" s="85" t="s">
        <v>19</v>
      </c>
      <c r="H1919" s="85"/>
      <c r="I1919" s="85"/>
      <c r="J1919" s="87"/>
      <c r="K1919" s="88">
        <f t="shared" si="91"/>
        <v>0</v>
      </c>
      <c r="L1919" s="85"/>
    </row>
    <row r="1920" spans="1:12" hidden="1" x14ac:dyDescent="0.2">
      <c r="A1920" s="84" t="str">
        <f t="shared" si="89"/>
        <v>SelecioneSelecioneSelecione</v>
      </c>
      <c r="B1920" s="85" t="s">
        <v>19</v>
      </c>
      <c r="C1920" s="85" t="s">
        <v>19</v>
      </c>
      <c r="D1920" s="86"/>
      <c r="E1920" s="116" t="str">
        <f t="shared" si="90"/>
        <v>-</v>
      </c>
      <c r="F1920" s="85"/>
      <c r="G1920" s="85" t="s">
        <v>19</v>
      </c>
      <c r="H1920" s="85"/>
      <c r="I1920" s="85"/>
      <c r="J1920" s="87"/>
      <c r="K1920" s="88">
        <f t="shared" si="91"/>
        <v>0</v>
      </c>
      <c r="L1920" s="85"/>
    </row>
    <row r="1921" spans="1:12" hidden="1" x14ac:dyDescent="0.2">
      <c r="A1921" s="84" t="str">
        <f t="shared" si="89"/>
        <v>SelecioneSelecioneSelecione</v>
      </c>
      <c r="B1921" s="85" t="s">
        <v>19</v>
      </c>
      <c r="C1921" s="85" t="s">
        <v>19</v>
      </c>
      <c r="D1921" s="86"/>
      <c r="E1921" s="116" t="str">
        <f t="shared" si="90"/>
        <v>-</v>
      </c>
      <c r="F1921" s="85"/>
      <c r="G1921" s="85" t="s">
        <v>19</v>
      </c>
      <c r="H1921" s="85"/>
      <c r="I1921" s="85"/>
      <c r="J1921" s="87"/>
      <c r="K1921" s="88">
        <f t="shared" si="91"/>
        <v>0</v>
      </c>
      <c r="L1921" s="85"/>
    </row>
    <row r="1922" spans="1:12" hidden="1" x14ac:dyDescent="0.2">
      <c r="A1922" s="84" t="str">
        <f t="shared" ref="A1922:A1985" si="92">CONCATENATE(B1922,C1922,G1922)</f>
        <v>SelecioneSelecioneSelecione</v>
      </c>
      <c r="B1922" s="85" t="s">
        <v>19</v>
      </c>
      <c r="C1922" s="85" t="s">
        <v>19</v>
      </c>
      <c r="D1922" s="86"/>
      <c r="E1922" s="116" t="str">
        <f t="shared" ref="E1922:E1985" si="93">VLOOKUP(G1922,$M$1:$O$993,3,0)</f>
        <v>-</v>
      </c>
      <c r="F1922" s="85"/>
      <c r="G1922" s="85" t="s">
        <v>19</v>
      </c>
      <c r="H1922" s="85"/>
      <c r="I1922" s="85"/>
      <c r="J1922" s="87"/>
      <c r="K1922" s="88">
        <f t="shared" ref="K1922:K1985" si="94">I1922*J1922</f>
        <v>0</v>
      </c>
      <c r="L1922" s="85"/>
    </row>
    <row r="1923" spans="1:12" hidden="1" x14ac:dyDescent="0.2">
      <c r="A1923" s="84" t="str">
        <f t="shared" si="92"/>
        <v>SelecioneSelecioneSelecione</v>
      </c>
      <c r="B1923" s="85" t="s">
        <v>19</v>
      </c>
      <c r="C1923" s="85" t="s">
        <v>19</v>
      </c>
      <c r="D1923" s="86"/>
      <c r="E1923" s="116" t="str">
        <f t="shared" si="93"/>
        <v>-</v>
      </c>
      <c r="F1923" s="85"/>
      <c r="G1923" s="85" t="s">
        <v>19</v>
      </c>
      <c r="H1923" s="85"/>
      <c r="I1923" s="85"/>
      <c r="J1923" s="87"/>
      <c r="K1923" s="88">
        <f t="shared" si="94"/>
        <v>0</v>
      </c>
      <c r="L1923" s="85"/>
    </row>
    <row r="1924" spans="1:12" hidden="1" x14ac:dyDescent="0.2">
      <c r="A1924" s="84" t="str">
        <f t="shared" si="92"/>
        <v>SelecioneSelecioneSelecione</v>
      </c>
      <c r="B1924" s="85" t="s">
        <v>19</v>
      </c>
      <c r="C1924" s="85" t="s">
        <v>19</v>
      </c>
      <c r="D1924" s="86"/>
      <c r="E1924" s="116" t="str">
        <f t="shared" si="93"/>
        <v>-</v>
      </c>
      <c r="F1924" s="85"/>
      <c r="G1924" s="85" t="s">
        <v>19</v>
      </c>
      <c r="H1924" s="85"/>
      <c r="I1924" s="85"/>
      <c r="J1924" s="87"/>
      <c r="K1924" s="88">
        <f t="shared" si="94"/>
        <v>0</v>
      </c>
      <c r="L1924" s="85"/>
    </row>
    <row r="1925" spans="1:12" hidden="1" x14ac:dyDescent="0.2">
      <c r="A1925" s="84" t="str">
        <f t="shared" si="92"/>
        <v>SelecioneSelecioneSelecione</v>
      </c>
      <c r="B1925" s="85" t="s">
        <v>19</v>
      </c>
      <c r="C1925" s="85" t="s">
        <v>19</v>
      </c>
      <c r="D1925" s="86"/>
      <c r="E1925" s="116" t="str">
        <f t="shared" si="93"/>
        <v>-</v>
      </c>
      <c r="F1925" s="85"/>
      <c r="G1925" s="85" t="s">
        <v>19</v>
      </c>
      <c r="H1925" s="85"/>
      <c r="I1925" s="85"/>
      <c r="J1925" s="87"/>
      <c r="K1925" s="88">
        <f t="shared" si="94"/>
        <v>0</v>
      </c>
      <c r="L1925" s="85"/>
    </row>
    <row r="1926" spans="1:12" hidden="1" x14ac:dyDescent="0.2">
      <c r="A1926" s="84" t="str">
        <f t="shared" si="92"/>
        <v>SelecioneSelecioneSelecione</v>
      </c>
      <c r="B1926" s="85" t="s">
        <v>19</v>
      </c>
      <c r="C1926" s="85" t="s">
        <v>19</v>
      </c>
      <c r="D1926" s="86"/>
      <c r="E1926" s="116" t="str">
        <f t="shared" si="93"/>
        <v>-</v>
      </c>
      <c r="F1926" s="85"/>
      <c r="G1926" s="85" t="s">
        <v>19</v>
      </c>
      <c r="H1926" s="85"/>
      <c r="I1926" s="85"/>
      <c r="J1926" s="87"/>
      <c r="K1926" s="88">
        <f t="shared" si="94"/>
        <v>0</v>
      </c>
      <c r="L1926" s="85"/>
    </row>
    <row r="1927" spans="1:12" hidden="1" x14ac:dyDescent="0.2">
      <c r="A1927" s="84" t="str">
        <f t="shared" si="92"/>
        <v>SelecioneSelecioneSelecione</v>
      </c>
      <c r="B1927" s="85" t="s">
        <v>19</v>
      </c>
      <c r="C1927" s="85" t="s">
        <v>19</v>
      </c>
      <c r="D1927" s="86"/>
      <c r="E1927" s="116" t="str">
        <f t="shared" si="93"/>
        <v>-</v>
      </c>
      <c r="F1927" s="85"/>
      <c r="G1927" s="85" t="s">
        <v>19</v>
      </c>
      <c r="H1927" s="85"/>
      <c r="I1927" s="85"/>
      <c r="J1927" s="87"/>
      <c r="K1927" s="88">
        <f t="shared" si="94"/>
        <v>0</v>
      </c>
      <c r="L1927" s="85"/>
    </row>
    <row r="1928" spans="1:12" hidden="1" x14ac:dyDescent="0.2">
      <c r="A1928" s="84" t="str">
        <f t="shared" si="92"/>
        <v>SelecioneSelecioneSelecione</v>
      </c>
      <c r="B1928" s="85" t="s">
        <v>19</v>
      </c>
      <c r="C1928" s="85" t="s">
        <v>19</v>
      </c>
      <c r="D1928" s="86"/>
      <c r="E1928" s="116" t="str">
        <f t="shared" si="93"/>
        <v>-</v>
      </c>
      <c r="F1928" s="85"/>
      <c r="G1928" s="85" t="s">
        <v>19</v>
      </c>
      <c r="H1928" s="85"/>
      <c r="I1928" s="85"/>
      <c r="J1928" s="87"/>
      <c r="K1928" s="88">
        <f t="shared" si="94"/>
        <v>0</v>
      </c>
      <c r="L1928" s="85"/>
    </row>
    <row r="1929" spans="1:12" hidden="1" x14ac:dyDescent="0.2">
      <c r="A1929" s="84" t="str">
        <f t="shared" si="92"/>
        <v>SelecioneSelecioneSelecione</v>
      </c>
      <c r="B1929" s="85" t="s">
        <v>19</v>
      </c>
      <c r="C1929" s="85" t="s">
        <v>19</v>
      </c>
      <c r="D1929" s="86"/>
      <c r="E1929" s="116" t="str">
        <f t="shared" si="93"/>
        <v>-</v>
      </c>
      <c r="F1929" s="85"/>
      <c r="G1929" s="85" t="s">
        <v>19</v>
      </c>
      <c r="H1929" s="85"/>
      <c r="I1929" s="85"/>
      <c r="J1929" s="87"/>
      <c r="K1929" s="88">
        <f t="shared" si="94"/>
        <v>0</v>
      </c>
      <c r="L1929" s="85"/>
    </row>
    <row r="1930" spans="1:12" hidden="1" x14ac:dyDescent="0.2">
      <c r="A1930" s="84" t="str">
        <f t="shared" si="92"/>
        <v>SelecioneSelecioneSelecione</v>
      </c>
      <c r="B1930" s="85" t="s">
        <v>19</v>
      </c>
      <c r="C1930" s="85" t="s">
        <v>19</v>
      </c>
      <c r="D1930" s="86"/>
      <c r="E1930" s="116" t="str">
        <f t="shared" si="93"/>
        <v>-</v>
      </c>
      <c r="F1930" s="85"/>
      <c r="G1930" s="85" t="s">
        <v>19</v>
      </c>
      <c r="H1930" s="85"/>
      <c r="I1930" s="85"/>
      <c r="J1930" s="87"/>
      <c r="K1930" s="88">
        <f t="shared" si="94"/>
        <v>0</v>
      </c>
      <c r="L1930" s="85"/>
    </row>
    <row r="1931" spans="1:12" hidden="1" x14ac:dyDescent="0.2">
      <c r="A1931" s="84" t="str">
        <f t="shared" si="92"/>
        <v>SelecioneSelecioneSelecione</v>
      </c>
      <c r="B1931" s="85" t="s">
        <v>19</v>
      </c>
      <c r="C1931" s="85" t="s">
        <v>19</v>
      </c>
      <c r="D1931" s="86"/>
      <c r="E1931" s="116" t="str">
        <f t="shared" si="93"/>
        <v>-</v>
      </c>
      <c r="F1931" s="85"/>
      <c r="G1931" s="85" t="s">
        <v>19</v>
      </c>
      <c r="H1931" s="85"/>
      <c r="I1931" s="85"/>
      <c r="J1931" s="87"/>
      <c r="K1931" s="88">
        <f t="shared" si="94"/>
        <v>0</v>
      </c>
      <c r="L1931" s="85"/>
    </row>
    <row r="1932" spans="1:12" hidden="1" x14ac:dyDescent="0.2">
      <c r="A1932" s="84" t="str">
        <f t="shared" si="92"/>
        <v>SelecioneSelecioneSelecione</v>
      </c>
      <c r="B1932" s="85" t="s">
        <v>19</v>
      </c>
      <c r="C1932" s="85" t="s">
        <v>19</v>
      </c>
      <c r="D1932" s="86"/>
      <c r="E1932" s="116" t="str">
        <f t="shared" si="93"/>
        <v>-</v>
      </c>
      <c r="F1932" s="85"/>
      <c r="G1932" s="85" t="s">
        <v>19</v>
      </c>
      <c r="H1932" s="85"/>
      <c r="I1932" s="85"/>
      <c r="J1932" s="87"/>
      <c r="K1932" s="88">
        <f t="shared" si="94"/>
        <v>0</v>
      </c>
      <c r="L1932" s="85"/>
    </row>
    <row r="1933" spans="1:12" hidden="1" x14ac:dyDescent="0.2">
      <c r="A1933" s="84" t="str">
        <f t="shared" si="92"/>
        <v>SelecioneSelecioneSelecione</v>
      </c>
      <c r="B1933" s="85" t="s">
        <v>19</v>
      </c>
      <c r="C1933" s="85" t="s">
        <v>19</v>
      </c>
      <c r="D1933" s="86"/>
      <c r="E1933" s="116" t="str">
        <f t="shared" si="93"/>
        <v>-</v>
      </c>
      <c r="F1933" s="85"/>
      <c r="G1933" s="85" t="s">
        <v>19</v>
      </c>
      <c r="H1933" s="85"/>
      <c r="I1933" s="85"/>
      <c r="J1933" s="87"/>
      <c r="K1933" s="88">
        <f t="shared" si="94"/>
        <v>0</v>
      </c>
      <c r="L1933" s="85"/>
    </row>
    <row r="1934" spans="1:12" hidden="1" x14ac:dyDescent="0.2">
      <c r="A1934" s="84" t="str">
        <f t="shared" si="92"/>
        <v>SelecioneSelecioneSelecione</v>
      </c>
      <c r="B1934" s="85" t="s">
        <v>19</v>
      </c>
      <c r="C1934" s="85" t="s">
        <v>19</v>
      </c>
      <c r="D1934" s="86"/>
      <c r="E1934" s="116" t="str">
        <f t="shared" si="93"/>
        <v>-</v>
      </c>
      <c r="F1934" s="85"/>
      <c r="G1934" s="85" t="s">
        <v>19</v>
      </c>
      <c r="H1934" s="85"/>
      <c r="I1934" s="85"/>
      <c r="J1934" s="87"/>
      <c r="K1934" s="88">
        <f t="shared" si="94"/>
        <v>0</v>
      </c>
      <c r="L1934" s="85"/>
    </row>
    <row r="1935" spans="1:12" hidden="1" x14ac:dyDescent="0.2">
      <c r="A1935" s="84" t="str">
        <f t="shared" si="92"/>
        <v>SelecioneSelecioneSelecione</v>
      </c>
      <c r="B1935" s="85" t="s">
        <v>19</v>
      </c>
      <c r="C1935" s="85" t="s">
        <v>19</v>
      </c>
      <c r="D1935" s="86"/>
      <c r="E1935" s="116" t="str">
        <f t="shared" si="93"/>
        <v>-</v>
      </c>
      <c r="F1935" s="85"/>
      <c r="G1935" s="85" t="s">
        <v>19</v>
      </c>
      <c r="H1935" s="85"/>
      <c r="I1935" s="85"/>
      <c r="J1935" s="87"/>
      <c r="K1935" s="88">
        <f t="shared" si="94"/>
        <v>0</v>
      </c>
      <c r="L1935" s="85"/>
    </row>
    <row r="1936" spans="1:12" hidden="1" x14ac:dyDescent="0.2">
      <c r="A1936" s="84" t="str">
        <f t="shared" si="92"/>
        <v>SelecioneSelecioneSelecione</v>
      </c>
      <c r="B1936" s="85" t="s">
        <v>19</v>
      </c>
      <c r="C1936" s="85" t="s">
        <v>19</v>
      </c>
      <c r="D1936" s="86"/>
      <c r="E1936" s="116" t="str">
        <f t="shared" si="93"/>
        <v>-</v>
      </c>
      <c r="F1936" s="85"/>
      <c r="G1936" s="85" t="s">
        <v>19</v>
      </c>
      <c r="H1936" s="85"/>
      <c r="I1936" s="85"/>
      <c r="J1936" s="87"/>
      <c r="K1936" s="88">
        <f t="shared" si="94"/>
        <v>0</v>
      </c>
      <c r="L1936" s="85"/>
    </row>
    <row r="1937" spans="1:12" hidden="1" x14ac:dyDescent="0.2">
      <c r="A1937" s="84" t="str">
        <f t="shared" si="92"/>
        <v>SelecioneSelecioneSelecione</v>
      </c>
      <c r="B1937" s="85" t="s">
        <v>19</v>
      </c>
      <c r="C1937" s="85" t="s">
        <v>19</v>
      </c>
      <c r="D1937" s="86"/>
      <c r="E1937" s="116" t="str">
        <f t="shared" si="93"/>
        <v>-</v>
      </c>
      <c r="F1937" s="85"/>
      <c r="G1937" s="85" t="s">
        <v>19</v>
      </c>
      <c r="H1937" s="85"/>
      <c r="I1937" s="85"/>
      <c r="J1937" s="87"/>
      <c r="K1937" s="88">
        <f t="shared" si="94"/>
        <v>0</v>
      </c>
      <c r="L1937" s="85"/>
    </row>
    <row r="1938" spans="1:12" hidden="1" x14ac:dyDescent="0.2">
      <c r="A1938" s="84" t="str">
        <f t="shared" si="92"/>
        <v>SelecioneSelecioneSelecione</v>
      </c>
      <c r="B1938" s="85" t="s">
        <v>19</v>
      </c>
      <c r="C1938" s="85" t="s">
        <v>19</v>
      </c>
      <c r="D1938" s="86"/>
      <c r="E1938" s="116" t="str">
        <f t="shared" si="93"/>
        <v>-</v>
      </c>
      <c r="F1938" s="85"/>
      <c r="G1938" s="85" t="s">
        <v>19</v>
      </c>
      <c r="H1938" s="85"/>
      <c r="I1938" s="85"/>
      <c r="J1938" s="87"/>
      <c r="K1938" s="88">
        <f t="shared" si="94"/>
        <v>0</v>
      </c>
      <c r="L1938" s="85"/>
    </row>
    <row r="1939" spans="1:12" hidden="1" x14ac:dyDescent="0.2">
      <c r="A1939" s="84" t="str">
        <f t="shared" si="92"/>
        <v>SelecioneSelecioneSelecione</v>
      </c>
      <c r="B1939" s="85" t="s">
        <v>19</v>
      </c>
      <c r="C1939" s="85" t="s">
        <v>19</v>
      </c>
      <c r="D1939" s="86"/>
      <c r="E1939" s="116" t="str">
        <f t="shared" si="93"/>
        <v>-</v>
      </c>
      <c r="F1939" s="85"/>
      <c r="G1939" s="85" t="s">
        <v>19</v>
      </c>
      <c r="H1939" s="85"/>
      <c r="I1939" s="85"/>
      <c r="J1939" s="87"/>
      <c r="K1939" s="88">
        <f t="shared" si="94"/>
        <v>0</v>
      </c>
      <c r="L1939" s="85"/>
    </row>
    <row r="1940" spans="1:12" hidden="1" x14ac:dyDescent="0.2">
      <c r="A1940" s="84" t="str">
        <f t="shared" si="92"/>
        <v>SelecioneSelecioneSelecione</v>
      </c>
      <c r="B1940" s="85" t="s">
        <v>19</v>
      </c>
      <c r="C1940" s="85" t="s">
        <v>19</v>
      </c>
      <c r="D1940" s="86"/>
      <c r="E1940" s="116" t="str">
        <f t="shared" si="93"/>
        <v>-</v>
      </c>
      <c r="F1940" s="85"/>
      <c r="G1940" s="85" t="s">
        <v>19</v>
      </c>
      <c r="H1940" s="85"/>
      <c r="I1940" s="85"/>
      <c r="J1940" s="87"/>
      <c r="K1940" s="88">
        <f t="shared" si="94"/>
        <v>0</v>
      </c>
      <c r="L1940" s="85"/>
    </row>
    <row r="1941" spans="1:12" hidden="1" x14ac:dyDescent="0.2">
      <c r="A1941" s="84" t="str">
        <f t="shared" si="92"/>
        <v>SelecioneSelecioneSelecione</v>
      </c>
      <c r="B1941" s="85" t="s">
        <v>19</v>
      </c>
      <c r="C1941" s="85" t="s">
        <v>19</v>
      </c>
      <c r="D1941" s="86"/>
      <c r="E1941" s="116" t="str">
        <f t="shared" si="93"/>
        <v>-</v>
      </c>
      <c r="F1941" s="85"/>
      <c r="G1941" s="85" t="s">
        <v>19</v>
      </c>
      <c r="H1941" s="85"/>
      <c r="I1941" s="85"/>
      <c r="J1941" s="87"/>
      <c r="K1941" s="88">
        <f t="shared" si="94"/>
        <v>0</v>
      </c>
      <c r="L1941" s="85"/>
    </row>
    <row r="1942" spans="1:12" hidden="1" x14ac:dyDescent="0.2">
      <c r="A1942" s="84" t="str">
        <f t="shared" si="92"/>
        <v>SelecioneSelecioneSelecione</v>
      </c>
      <c r="B1942" s="85" t="s">
        <v>19</v>
      </c>
      <c r="C1942" s="85" t="s">
        <v>19</v>
      </c>
      <c r="D1942" s="86"/>
      <c r="E1942" s="116" t="str">
        <f t="shared" si="93"/>
        <v>-</v>
      </c>
      <c r="F1942" s="85"/>
      <c r="G1942" s="85" t="s">
        <v>19</v>
      </c>
      <c r="H1942" s="85"/>
      <c r="I1942" s="85"/>
      <c r="J1942" s="87"/>
      <c r="K1942" s="88">
        <f t="shared" si="94"/>
        <v>0</v>
      </c>
      <c r="L1942" s="85"/>
    </row>
    <row r="1943" spans="1:12" hidden="1" x14ac:dyDescent="0.2">
      <c r="A1943" s="84" t="str">
        <f t="shared" si="92"/>
        <v>SelecioneSelecioneSelecione</v>
      </c>
      <c r="B1943" s="85" t="s">
        <v>19</v>
      </c>
      <c r="C1943" s="85" t="s">
        <v>19</v>
      </c>
      <c r="D1943" s="86"/>
      <c r="E1943" s="116" t="str">
        <f t="shared" si="93"/>
        <v>-</v>
      </c>
      <c r="F1943" s="85"/>
      <c r="G1943" s="85" t="s">
        <v>19</v>
      </c>
      <c r="H1943" s="85"/>
      <c r="I1943" s="85"/>
      <c r="J1943" s="87"/>
      <c r="K1943" s="88">
        <f t="shared" si="94"/>
        <v>0</v>
      </c>
      <c r="L1943" s="85"/>
    </row>
    <row r="1944" spans="1:12" hidden="1" x14ac:dyDescent="0.2">
      <c r="A1944" s="84" t="str">
        <f t="shared" si="92"/>
        <v>SelecioneSelecioneSelecione</v>
      </c>
      <c r="B1944" s="85" t="s">
        <v>19</v>
      </c>
      <c r="C1944" s="85" t="s">
        <v>19</v>
      </c>
      <c r="D1944" s="86"/>
      <c r="E1944" s="116" t="str">
        <f t="shared" si="93"/>
        <v>-</v>
      </c>
      <c r="F1944" s="85"/>
      <c r="G1944" s="85" t="s">
        <v>19</v>
      </c>
      <c r="H1944" s="85"/>
      <c r="I1944" s="85"/>
      <c r="J1944" s="87"/>
      <c r="K1944" s="88">
        <f t="shared" si="94"/>
        <v>0</v>
      </c>
      <c r="L1944" s="85"/>
    </row>
    <row r="1945" spans="1:12" hidden="1" x14ac:dyDescent="0.2">
      <c r="A1945" s="84" t="str">
        <f t="shared" si="92"/>
        <v>SelecioneSelecioneSelecione</v>
      </c>
      <c r="B1945" s="85" t="s">
        <v>19</v>
      </c>
      <c r="C1945" s="85" t="s">
        <v>19</v>
      </c>
      <c r="D1945" s="86"/>
      <c r="E1945" s="116" t="str">
        <f t="shared" si="93"/>
        <v>-</v>
      </c>
      <c r="F1945" s="85"/>
      <c r="G1945" s="85" t="s">
        <v>19</v>
      </c>
      <c r="H1945" s="85"/>
      <c r="I1945" s="85"/>
      <c r="J1945" s="87"/>
      <c r="K1945" s="88">
        <f t="shared" si="94"/>
        <v>0</v>
      </c>
      <c r="L1945" s="85"/>
    </row>
    <row r="1946" spans="1:12" hidden="1" x14ac:dyDescent="0.2">
      <c r="A1946" s="84" t="str">
        <f t="shared" si="92"/>
        <v>SelecioneSelecioneSelecione</v>
      </c>
      <c r="B1946" s="85" t="s">
        <v>19</v>
      </c>
      <c r="C1946" s="85" t="s">
        <v>19</v>
      </c>
      <c r="D1946" s="86"/>
      <c r="E1946" s="116" t="str">
        <f t="shared" si="93"/>
        <v>-</v>
      </c>
      <c r="F1946" s="85"/>
      <c r="G1946" s="85" t="s">
        <v>19</v>
      </c>
      <c r="H1946" s="85"/>
      <c r="I1946" s="85"/>
      <c r="J1946" s="87"/>
      <c r="K1946" s="88">
        <f t="shared" si="94"/>
        <v>0</v>
      </c>
      <c r="L1946" s="85"/>
    </row>
    <row r="1947" spans="1:12" hidden="1" x14ac:dyDescent="0.2">
      <c r="A1947" s="84" t="str">
        <f t="shared" si="92"/>
        <v>SelecioneSelecioneSelecione</v>
      </c>
      <c r="B1947" s="85" t="s">
        <v>19</v>
      </c>
      <c r="C1947" s="85" t="s">
        <v>19</v>
      </c>
      <c r="D1947" s="86"/>
      <c r="E1947" s="116" t="str">
        <f t="shared" si="93"/>
        <v>-</v>
      </c>
      <c r="F1947" s="85"/>
      <c r="G1947" s="85" t="s">
        <v>19</v>
      </c>
      <c r="H1947" s="85"/>
      <c r="I1947" s="85"/>
      <c r="J1947" s="87"/>
      <c r="K1947" s="88">
        <f t="shared" si="94"/>
        <v>0</v>
      </c>
      <c r="L1947" s="85"/>
    </row>
    <row r="1948" spans="1:12" hidden="1" x14ac:dyDescent="0.2">
      <c r="A1948" s="84" t="str">
        <f t="shared" si="92"/>
        <v>SelecioneSelecioneSelecione</v>
      </c>
      <c r="B1948" s="85" t="s">
        <v>19</v>
      </c>
      <c r="C1948" s="85" t="s">
        <v>19</v>
      </c>
      <c r="D1948" s="86"/>
      <c r="E1948" s="116" t="str">
        <f t="shared" si="93"/>
        <v>-</v>
      </c>
      <c r="F1948" s="85"/>
      <c r="G1948" s="85" t="s">
        <v>19</v>
      </c>
      <c r="H1948" s="85"/>
      <c r="I1948" s="85"/>
      <c r="J1948" s="87"/>
      <c r="K1948" s="88">
        <f t="shared" si="94"/>
        <v>0</v>
      </c>
      <c r="L1948" s="85"/>
    </row>
    <row r="1949" spans="1:12" hidden="1" x14ac:dyDescent="0.2">
      <c r="A1949" s="84" t="str">
        <f t="shared" si="92"/>
        <v>SelecioneSelecioneSelecione</v>
      </c>
      <c r="B1949" s="85" t="s">
        <v>19</v>
      </c>
      <c r="C1949" s="85" t="s">
        <v>19</v>
      </c>
      <c r="D1949" s="86"/>
      <c r="E1949" s="116" t="str">
        <f t="shared" si="93"/>
        <v>-</v>
      </c>
      <c r="F1949" s="85"/>
      <c r="G1949" s="85" t="s">
        <v>19</v>
      </c>
      <c r="H1949" s="85"/>
      <c r="I1949" s="85"/>
      <c r="J1949" s="87"/>
      <c r="K1949" s="88">
        <f t="shared" si="94"/>
        <v>0</v>
      </c>
      <c r="L1949" s="85"/>
    </row>
    <row r="1950" spans="1:12" hidden="1" x14ac:dyDescent="0.2">
      <c r="A1950" s="84" t="str">
        <f t="shared" si="92"/>
        <v>SelecioneSelecioneSelecione</v>
      </c>
      <c r="B1950" s="85" t="s">
        <v>19</v>
      </c>
      <c r="C1950" s="85" t="s">
        <v>19</v>
      </c>
      <c r="D1950" s="86"/>
      <c r="E1950" s="116" t="str">
        <f t="shared" si="93"/>
        <v>-</v>
      </c>
      <c r="F1950" s="85"/>
      <c r="G1950" s="85" t="s">
        <v>19</v>
      </c>
      <c r="H1950" s="85"/>
      <c r="I1950" s="85"/>
      <c r="J1950" s="87"/>
      <c r="K1950" s="88">
        <f t="shared" si="94"/>
        <v>0</v>
      </c>
      <c r="L1950" s="85"/>
    </row>
    <row r="1951" spans="1:12" hidden="1" x14ac:dyDescent="0.2">
      <c r="A1951" s="84" t="str">
        <f t="shared" si="92"/>
        <v>SelecioneSelecioneSelecione</v>
      </c>
      <c r="B1951" s="85" t="s">
        <v>19</v>
      </c>
      <c r="C1951" s="85" t="s">
        <v>19</v>
      </c>
      <c r="D1951" s="86"/>
      <c r="E1951" s="116" t="str">
        <f t="shared" si="93"/>
        <v>-</v>
      </c>
      <c r="F1951" s="85"/>
      <c r="G1951" s="85" t="s">
        <v>19</v>
      </c>
      <c r="H1951" s="85"/>
      <c r="I1951" s="85"/>
      <c r="J1951" s="87"/>
      <c r="K1951" s="88">
        <f t="shared" si="94"/>
        <v>0</v>
      </c>
      <c r="L1951" s="85"/>
    </row>
    <row r="1952" spans="1:12" hidden="1" x14ac:dyDescent="0.2">
      <c r="A1952" s="84" t="str">
        <f t="shared" si="92"/>
        <v>SelecioneSelecioneSelecione</v>
      </c>
      <c r="B1952" s="85" t="s">
        <v>19</v>
      </c>
      <c r="C1952" s="85" t="s">
        <v>19</v>
      </c>
      <c r="D1952" s="86"/>
      <c r="E1952" s="116" t="str">
        <f t="shared" si="93"/>
        <v>-</v>
      </c>
      <c r="F1952" s="85"/>
      <c r="G1952" s="85" t="s">
        <v>19</v>
      </c>
      <c r="H1952" s="85"/>
      <c r="I1952" s="85"/>
      <c r="J1952" s="87"/>
      <c r="K1952" s="88">
        <f t="shared" si="94"/>
        <v>0</v>
      </c>
      <c r="L1952" s="85"/>
    </row>
    <row r="1953" spans="1:12" hidden="1" x14ac:dyDescent="0.2">
      <c r="A1953" s="84" t="str">
        <f t="shared" si="92"/>
        <v>SelecioneSelecioneSelecione</v>
      </c>
      <c r="B1953" s="85" t="s">
        <v>19</v>
      </c>
      <c r="C1953" s="85" t="s">
        <v>19</v>
      </c>
      <c r="D1953" s="86"/>
      <c r="E1953" s="116" t="str">
        <f t="shared" si="93"/>
        <v>-</v>
      </c>
      <c r="F1953" s="85"/>
      <c r="G1953" s="85" t="s">
        <v>19</v>
      </c>
      <c r="H1953" s="85"/>
      <c r="I1953" s="85"/>
      <c r="J1953" s="87"/>
      <c r="K1953" s="88">
        <f t="shared" si="94"/>
        <v>0</v>
      </c>
      <c r="L1953" s="85"/>
    </row>
    <row r="1954" spans="1:12" hidden="1" x14ac:dyDescent="0.2">
      <c r="A1954" s="84" t="str">
        <f t="shared" si="92"/>
        <v>SelecioneSelecioneSelecione</v>
      </c>
      <c r="B1954" s="85" t="s">
        <v>19</v>
      </c>
      <c r="C1954" s="85" t="s">
        <v>19</v>
      </c>
      <c r="D1954" s="86"/>
      <c r="E1954" s="116" t="str">
        <f t="shared" si="93"/>
        <v>-</v>
      </c>
      <c r="F1954" s="85"/>
      <c r="G1954" s="85" t="s">
        <v>19</v>
      </c>
      <c r="H1954" s="85"/>
      <c r="I1954" s="85"/>
      <c r="J1954" s="87"/>
      <c r="K1954" s="88">
        <f t="shared" si="94"/>
        <v>0</v>
      </c>
      <c r="L1954" s="85"/>
    </row>
    <row r="1955" spans="1:12" hidden="1" x14ac:dyDescent="0.2">
      <c r="A1955" s="84" t="str">
        <f t="shared" si="92"/>
        <v>SelecioneSelecioneSelecione</v>
      </c>
      <c r="B1955" s="85" t="s">
        <v>19</v>
      </c>
      <c r="C1955" s="85" t="s">
        <v>19</v>
      </c>
      <c r="D1955" s="86"/>
      <c r="E1955" s="116" t="str">
        <f t="shared" si="93"/>
        <v>-</v>
      </c>
      <c r="F1955" s="85"/>
      <c r="G1955" s="85" t="s">
        <v>19</v>
      </c>
      <c r="H1955" s="85"/>
      <c r="I1955" s="85"/>
      <c r="J1955" s="87"/>
      <c r="K1955" s="88">
        <f t="shared" si="94"/>
        <v>0</v>
      </c>
      <c r="L1955" s="85"/>
    </row>
    <row r="1956" spans="1:12" hidden="1" x14ac:dyDescent="0.2">
      <c r="A1956" s="84" t="str">
        <f t="shared" si="92"/>
        <v>SelecioneSelecioneSelecione</v>
      </c>
      <c r="B1956" s="85" t="s">
        <v>19</v>
      </c>
      <c r="C1956" s="85" t="s">
        <v>19</v>
      </c>
      <c r="D1956" s="86"/>
      <c r="E1956" s="116" t="str">
        <f t="shared" si="93"/>
        <v>-</v>
      </c>
      <c r="F1956" s="85"/>
      <c r="G1956" s="85" t="s">
        <v>19</v>
      </c>
      <c r="H1956" s="85"/>
      <c r="I1956" s="85"/>
      <c r="J1956" s="87"/>
      <c r="K1956" s="88">
        <f t="shared" si="94"/>
        <v>0</v>
      </c>
      <c r="L1956" s="85"/>
    </row>
    <row r="1957" spans="1:12" hidden="1" x14ac:dyDescent="0.2">
      <c r="A1957" s="84" t="str">
        <f t="shared" si="92"/>
        <v>SelecioneSelecioneSelecione</v>
      </c>
      <c r="B1957" s="85" t="s">
        <v>19</v>
      </c>
      <c r="C1957" s="85" t="s">
        <v>19</v>
      </c>
      <c r="D1957" s="86"/>
      <c r="E1957" s="116" t="str">
        <f t="shared" si="93"/>
        <v>-</v>
      </c>
      <c r="F1957" s="85"/>
      <c r="G1957" s="85" t="s">
        <v>19</v>
      </c>
      <c r="H1957" s="85"/>
      <c r="I1957" s="85"/>
      <c r="J1957" s="87"/>
      <c r="K1957" s="88">
        <f t="shared" si="94"/>
        <v>0</v>
      </c>
      <c r="L1957" s="85"/>
    </row>
    <row r="1958" spans="1:12" hidden="1" x14ac:dyDescent="0.2">
      <c r="A1958" s="84" t="str">
        <f t="shared" si="92"/>
        <v>SelecioneSelecioneSelecione</v>
      </c>
      <c r="B1958" s="85" t="s">
        <v>19</v>
      </c>
      <c r="C1958" s="85" t="s">
        <v>19</v>
      </c>
      <c r="D1958" s="86"/>
      <c r="E1958" s="116" t="str">
        <f t="shared" si="93"/>
        <v>-</v>
      </c>
      <c r="F1958" s="85"/>
      <c r="G1958" s="85" t="s">
        <v>19</v>
      </c>
      <c r="H1958" s="85"/>
      <c r="I1958" s="85"/>
      <c r="J1958" s="87"/>
      <c r="K1958" s="88">
        <f t="shared" si="94"/>
        <v>0</v>
      </c>
      <c r="L1958" s="85"/>
    </row>
    <row r="1959" spans="1:12" hidden="1" x14ac:dyDescent="0.2">
      <c r="A1959" s="84" t="str">
        <f t="shared" si="92"/>
        <v>SelecioneSelecioneSelecione</v>
      </c>
      <c r="B1959" s="85" t="s">
        <v>19</v>
      </c>
      <c r="C1959" s="85" t="s">
        <v>19</v>
      </c>
      <c r="D1959" s="86"/>
      <c r="E1959" s="116" t="str">
        <f t="shared" si="93"/>
        <v>-</v>
      </c>
      <c r="F1959" s="85"/>
      <c r="G1959" s="85" t="s">
        <v>19</v>
      </c>
      <c r="H1959" s="85"/>
      <c r="I1959" s="85"/>
      <c r="J1959" s="87"/>
      <c r="K1959" s="88">
        <f t="shared" si="94"/>
        <v>0</v>
      </c>
      <c r="L1959" s="85"/>
    </row>
    <row r="1960" spans="1:12" hidden="1" x14ac:dyDescent="0.2">
      <c r="A1960" s="84" t="str">
        <f t="shared" si="92"/>
        <v>SelecioneSelecioneSelecione</v>
      </c>
      <c r="B1960" s="85" t="s">
        <v>19</v>
      </c>
      <c r="C1960" s="85" t="s">
        <v>19</v>
      </c>
      <c r="D1960" s="93"/>
      <c r="E1960" s="116" t="str">
        <f t="shared" si="93"/>
        <v>-</v>
      </c>
      <c r="F1960" s="90"/>
      <c r="G1960" s="85" t="s">
        <v>19</v>
      </c>
      <c r="H1960" s="85"/>
      <c r="I1960" s="90"/>
      <c r="J1960" s="89"/>
      <c r="K1960" s="88">
        <f t="shared" si="94"/>
        <v>0</v>
      </c>
      <c r="L1960" s="90"/>
    </row>
    <row r="1961" spans="1:12" hidden="1" x14ac:dyDescent="0.2">
      <c r="A1961" s="84" t="str">
        <f t="shared" si="92"/>
        <v>SelecioneSelecioneSelecione</v>
      </c>
      <c r="B1961" s="85" t="s">
        <v>19</v>
      </c>
      <c r="C1961" s="85" t="s">
        <v>19</v>
      </c>
      <c r="D1961" s="86"/>
      <c r="E1961" s="116" t="str">
        <f t="shared" si="93"/>
        <v>-</v>
      </c>
      <c r="F1961" s="85"/>
      <c r="G1961" s="85" t="s">
        <v>19</v>
      </c>
      <c r="H1961" s="85"/>
      <c r="I1961" s="85"/>
      <c r="J1961" s="87"/>
      <c r="K1961" s="88">
        <f t="shared" si="94"/>
        <v>0</v>
      </c>
      <c r="L1961" s="85"/>
    </row>
    <row r="1962" spans="1:12" hidden="1" x14ac:dyDescent="0.2">
      <c r="A1962" s="84" t="str">
        <f t="shared" si="92"/>
        <v>SelecioneSelecioneSelecione</v>
      </c>
      <c r="B1962" s="85" t="s">
        <v>19</v>
      </c>
      <c r="C1962" s="85" t="s">
        <v>19</v>
      </c>
      <c r="D1962" s="86"/>
      <c r="E1962" s="116" t="str">
        <f t="shared" si="93"/>
        <v>-</v>
      </c>
      <c r="F1962" s="85"/>
      <c r="G1962" s="85" t="s">
        <v>19</v>
      </c>
      <c r="H1962" s="85"/>
      <c r="I1962" s="85"/>
      <c r="J1962" s="87"/>
      <c r="K1962" s="88">
        <f t="shared" si="94"/>
        <v>0</v>
      </c>
      <c r="L1962" s="85"/>
    </row>
    <row r="1963" spans="1:12" hidden="1" x14ac:dyDescent="0.2">
      <c r="A1963" s="84" t="str">
        <f t="shared" si="92"/>
        <v>SelecioneSelecioneSelecione</v>
      </c>
      <c r="B1963" s="85" t="s">
        <v>19</v>
      </c>
      <c r="C1963" s="85" t="s">
        <v>19</v>
      </c>
      <c r="D1963" s="86"/>
      <c r="E1963" s="116" t="str">
        <f t="shared" si="93"/>
        <v>-</v>
      </c>
      <c r="F1963" s="85"/>
      <c r="G1963" s="85" t="s">
        <v>19</v>
      </c>
      <c r="H1963" s="85"/>
      <c r="I1963" s="85"/>
      <c r="J1963" s="87"/>
      <c r="K1963" s="88">
        <f t="shared" si="94"/>
        <v>0</v>
      </c>
      <c r="L1963" s="85"/>
    </row>
    <row r="1964" spans="1:12" hidden="1" x14ac:dyDescent="0.2">
      <c r="A1964" s="84" t="str">
        <f t="shared" si="92"/>
        <v>SelecioneSelecioneSelecione</v>
      </c>
      <c r="B1964" s="85" t="s">
        <v>19</v>
      </c>
      <c r="C1964" s="85" t="s">
        <v>19</v>
      </c>
      <c r="D1964" s="86"/>
      <c r="E1964" s="116" t="str">
        <f t="shared" si="93"/>
        <v>-</v>
      </c>
      <c r="F1964" s="85"/>
      <c r="G1964" s="85" t="s">
        <v>19</v>
      </c>
      <c r="H1964" s="85"/>
      <c r="I1964" s="85"/>
      <c r="J1964" s="87"/>
      <c r="K1964" s="88">
        <f t="shared" si="94"/>
        <v>0</v>
      </c>
      <c r="L1964" s="85"/>
    </row>
    <row r="1965" spans="1:12" hidden="1" x14ac:dyDescent="0.2">
      <c r="A1965" s="84" t="str">
        <f t="shared" si="92"/>
        <v>SelecioneSelecioneSelecione</v>
      </c>
      <c r="B1965" s="85" t="s">
        <v>19</v>
      </c>
      <c r="C1965" s="85" t="s">
        <v>19</v>
      </c>
      <c r="D1965" s="86"/>
      <c r="E1965" s="116" t="str">
        <f t="shared" si="93"/>
        <v>-</v>
      </c>
      <c r="F1965" s="85"/>
      <c r="G1965" s="85" t="s">
        <v>19</v>
      </c>
      <c r="H1965" s="85"/>
      <c r="I1965" s="85"/>
      <c r="J1965" s="87"/>
      <c r="K1965" s="88">
        <f t="shared" si="94"/>
        <v>0</v>
      </c>
      <c r="L1965" s="85"/>
    </row>
    <row r="1966" spans="1:12" hidden="1" x14ac:dyDescent="0.2">
      <c r="A1966" s="84" t="str">
        <f t="shared" si="92"/>
        <v>SelecioneSelecioneSelecione</v>
      </c>
      <c r="B1966" s="85" t="s">
        <v>19</v>
      </c>
      <c r="C1966" s="85" t="s">
        <v>19</v>
      </c>
      <c r="D1966" s="86"/>
      <c r="E1966" s="116" t="str">
        <f t="shared" si="93"/>
        <v>-</v>
      </c>
      <c r="F1966" s="85"/>
      <c r="G1966" s="85" t="s">
        <v>19</v>
      </c>
      <c r="H1966" s="85"/>
      <c r="I1966" s="85"/>
      <c r="J1966" s="87"/>
      <c r="K1966" s="88">
        <f t="shared" si="94"/>
        <v>0</v>
      </c>
      <c r="L1966" s="85"/>
    </row>
    <row r="1967" spans="1:12" hidden="1" x14ac:dyDescent="0.2">
      <c r="A1967" s="84" t="str">
        <f t="shared" si="92"/>
        <v>SelecioneSelecioneSelecione</v>
      </c>
      <c r="B1967" s="85" t="s">
        <v>19</v>
      </c>
      <c r="C1967" s="85" t="s">
        <v>19</v>
      </c>
      <c r="D1967" s="86"/>
      <c r="E1967" s="116" t="str">
        <f t="shared" si="93"/>
        <v>-</v>
      </c>
      <c r="F1967" s="85"/>
      <c r="G1967" s="85" t="s">
        <v>19</v>
      </c>
      <c r="H1967" s="85"/>
      <c r="I1967" s="85"/>
      <c r="J1967" s="87"/>
      <c r="K1967" s="88">
        <f t="shared" si="94"/>
        <v>0</v>
      </c>
      <c r="L1967" s="85"/>
    </row>
    <row r="1968" spans="1:12" hidden="1" x14ac:dyDescent="0.2">
      <c r="A1968" s="84" t="str">
        <f t="shared" si="92"/>
        <v>SelecioneSelecioneSelecione</v>
      </c>
      <c r="B1968" s="85" t="s">
        <v>19</v>
      </c>
      <c r="C1968" s="85" t="s">
        <v>19</v>
      </c>
      <c r="D1968" s="86"/>
      <c r="E1968" s="116" t="str">
        <f t="shared" si="93"/>
        <v>-</v>
      </c>
      <c r="F1968" s="85"/>
      <c r="G1968" s="85" t="s">
        <v>19</v>
      </c>
      <c r="H1968" s="85"/>
      <c r="I1968" s="85"/>
      <c r="J1968" s="87"/>
      <c r="K1968" s="88">
        <f t="shared" si="94"/>
        <v>0</v>
      </c>
      <c r="L1968" s="85"/>
    </row>
    <row r="1969" spans="1:12" hidden="1" x14ac:dyDescent="0.2">
      <c r="A1969" s="84" t="str">
        <f t="shared" si="92"/>
        <v>SelecioneSelecioneSelecione</v>
      </c>
      <c r="B1969" s="85" t="s">
        <v>19</v>
      </c>
      <c r="C1969" s="85" t="s">
        <v>19</v>
      </c>
      <c r="D1969" s="86"/>
      <c r="E1969" s="116" t="str">
        <f t="shared" si="93"/>
        <v>-</v>
      </c>
      <c r="F1969" s="85"/>
      <c r="G1969" s="85" t="s">
        <v>19</v>
      </c>
      <c r="H1969" s="85"/>
      <c r="I1969" s="85"/>
      <c r="J1969" s="87"/>
      <c r="K1969" s="88">
        <f t="shared" si="94"/>
        <v>0</v>
      </c>
      <c r="L1969" s="85"/>
    </row>
    <row r="1970" spans="1:12" hidden="1" x14ac:dyDescent="0.2">
      <c r="A1970" s="84" t="str">
        <f t="shared" si="92"/>
        <v>SelecioneSelecioneSelecione</v>
      </c>
      <c r="B1970" s="85" t="s">
        <v>19</v>
      </c>
      <c r="C1970" s="85" t="s">
        <v>19</v>
      </c>
      <c r="D1970" s="86"/>
      <c r="E1970" s="116" t="str">
        <f t="shared" si="93"/>
        <v>-</v>
      </c>
      <c r="F1970" s="85"/>
      <c r="G1970" s="85" t="s">
        <v>19</v>
      </c>
      <c r="H1970" s="85"/>
      <c r="I1970" s="85"/>
      <c r="J1970" s="87"/>
      <c r="K1970" s="88">
        <f t="shared" si="94"/>
        <v>0</v>
      </c>
      <c r="L1970" s="85"/>
    </row>
    <row r="1971" spans="1:12" hidden="1" x14ac:dyDescent="0.2">
      <c r="A1971" s="84" t="str">
        <f t="shared" si="92"/>
        <v>SelecioneSelecioneSelecione</v>
      </c>
      <c r="B1971" s="85" t="s">
        <v>19</v>
      </c>
      <c r="C1971" s="85" t="s">
        <v>19</v>
      </c>
      <c r="D1971" s="86"/>
      <c r="E1971" s="116" t="str">
        <f t="shared" si="93"/>
        <v>-</v>
      </c>
      <c r="F1971" s="85"/>
      <c r="G1971" s="85" t="s">
        <v>19</v>
      </c>
      <c r="H1971" s="85"/>
      <c r="I1971" s="85"/>
      <c r="J1971" s="87"/>
      <c r="K1971" s="88">
        <f t="shared" si="94"/>
        <v>0</v>
      </c>
      <c r="L1971" s="85"/>
    </row>
    <row r="1972" spans="1:12" hidden="1" x14ac:dyDescent="0.2">
      <c r="A1972" s="84" t="str">
        <f t="shared" si="92"/>
        <v>SelecioneSelecioneSelecione</v>
      </c>
      <c r="B1972" s="85" t="s">
        <v>19</v>
      </c>
      <c r="C1972" s="85" t="s">
        <v>19</v>
      </c>
      <c r="D1972" s="86"/>
      <c r="E1972" s="116" t="str">
        <f t="shared" si="93"/>
        <v>-</v>
      </c>
      <c r="F1972" s="85"/>
      <c r="G1972" s="85" t="s">
        <v>19</v>
      </c>
      <c r="H1972" s="85"/>
      <c r="I1972" s="85"/>
      <c r="J1972" s="87"/>
      <c r="K1972" s="88">
        <f t="shared" si="94"/>
        <v>0</v>
      </c>
      <c r="L1972" s="85"/>
    </row>
    <row r="1973" spans="1:12" hidden="1" x14ac:dyDescent="0.2">
      <c r="A1973" s="84" t="str">
        <f t="shared" si="92"/>
        <v>SelecioneSelecioneSelecione</v>
      </c>
      <c r="B1973" s="85" t="s">
        <v>19</v>
      </c>
      <c r="C1973" s="85" t="s">
        <v>19</v>
      </c>
      <c r="D1973" s="86"/>
      <c r="E1973" s="116" t="str">
        <f t="shared" si="93"/>
        <v>-</v>
      </c>
      <c r="F1973" s="85"/>
      <c r="G1973" s="85" t="s">
        <v>19</v>
      </c>
      <c r="H1973" s="85"/>
      <c r="I1973" s="85"/>
      <c r="J1973" s="87"/>
      <c r="K1973" s="88">
        <f t="shared" si="94"/>
        <v>0</v>
      </c>
      <c r="L1973" s="85"/>
    </row>
    <row r="1974" spans="1:12" hidden="1" x14ac:dyDescent="0.2">
      <c r="A1974" s="84" t="str">
        <f t="shared" si="92"/>
        <v>SelecioneSelecioneSelecione</v>
      </c>
      <c r="B1974" s="85" t="s">
        <v>19</v>
      </c>
      <c r="C1974" s="85" t="s">
        <v>19</v>
      </c>
      <c r="D1974" s="86"/>
      <c r="E1974" s="116" t="str">
        <f t="shared" si="93"/>
        <v>-</v>
      </c>
      <c r="F1974" s="85"/>
      <c r="G1974" s="85" t="s">
        <v>19</v>
      </c>
      <c r="H1974" s="85"/>
      <c r="I1974" s="85"/>
      <c r="J1974" s="87"/>
      <c r="K1974" s="88">
        <f t="shared" si="94"/>
        <v>0</v>
      </c>
      <c r="L1974" s="85"/>
    </row>
    <row r="1975" spans="1:12" hidden="1" x14ac:dyDescent="0.2">
      <c r="A1975" s="84" t="str">
        <f t="shared" si="92"/>
        <v>SelecioneSelecioneSelecione</v>
      </c>
      <c r="B1975" s="85" t="s">
        <v>19</v>
      </c>
      <c r="C1975" s="85" t="s">
        <v>19</v>
      </c>
      <c r="D1975" s="86"/>
      <c r="E1975" s="116" t="str">
        <f t="shared" si="93"/>
        <v>-</v>
      </c>
      <c r="F1975" s="85"/>
      <c r="G1975" s="85" t="s">
        <v>19</v>
      </c>
      <c r="H1975" s="85"/>
      <c r="I1975" s="85"/>
      <c r="J1975" s="87"/>
      <c r="K1975" s="88">
        <f t="shared" si="94"/>
        <v>0</v>
      </c>
      <c r="L1975" s="85"/>
    </row>
    <row r="1976" spans="1:12" hidden="1" x14ac:dyDescent="0.2">
      <c r="A1976" s="84" t="str">
        <f t="shared" si="92"/>
        <v>SelecioneSelecioneSelecione</v>
      </c>
      <c r="B1976" s="85" t="s">
        <v>19</v>
      </c>
      <c r="C1976" s="85" t="s">
        <v>19</v>
      </c>
      <c r="D1976" s="86"/>
      <c r="E1976" s="116" t="str">
        <f t="shared" si="93"/>
        <v>-</v>
      </c>
      <c r="F1976" s="85"/>
      <c r="G1976" s="85" t="s">
        <v>19</v>
      </c>
      <c r="H1976" s="85"/>
      <c r="I1976" s="85"/>
      <c r="J1976" s="87"/>
      <c r="K1976" s="88">
        <f t="shared" si="94"/>
        <v>0</v>
      </c>
      <c r="L1976" s="85"/>
    </row>
    <row r="1977" spans="1:12" hidden="1" x14ac:dyDescent="0.2">
      <c r="A1977" s="84" t="str">
        <f t="shared" si="92"/>
        <v>SelecioneSelecioneSelecione</v>
      </c>
      <c r="B1977" s="85" t="s">
        <v>19</v>
      </c>
      <c r="C1977" s="85" t="s">
        <v>19</v>
      </c>
      <c r="D1977" s="86"/>
      <c r="E1977" s="116" t="str">
        <f t="shared" si="93"/>
        <v>-</v>
      </c>
      <c r="F1977" s="85"/>
      <c r="G1977" s="85" t="s">
        <v>19</v>
      </c>
      <c r="H1977" s="85"/>
      <c r="I1977" s="85"/>
      <c r="J1977" s="87"/>
      <c r="K1977" s="88">
        <f t="shared" si="94"/>
        <v>0</v>
      </c>
      <c r="L1977" s="85"/>
    </row>
    <row r="1978" spans="1:12" hidden="1" x14ac:dyDescent="0.2">
      <c r="A1978" s="84" t="str">
        <f t="shared" si="92"/>
        <v>SelecioneSelecioneSelecione</v>
      </c>
      <c r="B1978" s="85" t="s">
        <v>19</v>
      </c>
      <c r="C1978" s="85" t="s">
        <v>19</v>
      </c>
      <c r="D1978" s="86"/>
      <c r="E1978" s="116" t="str">
        <f t="shared" si="93"/>
        <v>-</v>
      </c>
      <c r="F1978" s="85"/>
      <c r="G1978" s="85" t="s">
        <v>19</v>
      </c>
      <c r="H1978" s="85"/>
      <c r="I1978" s="85"/>
      <c r="J1978" s="87"/>
      <c r="K1978" s="88">
        <f t="shared" si="94"/>
        <v>0</v>
      </c>
      <c r="L1978" s="85"/>
    </row>
    <row r="1979" spans="1:12" hidden="1" x14ac:dyDescent="0.2">
      <c r="A1979" s="84" t="str">
        <f t="shared" si="92"/>
        <v>SelecioneSelecioneSelecione</v>
      </c>
      <c r="B1979" s="85" t="s">
        <v>19</v>
      </c>
      <c r="C1979" s="85" t="s">
        <v>19</v>
      </c>
      <c r="D1979" s="86"/>
      <c r="E1979" s="116" t="str">
        <f t="shared" si="93"/>
        <v>-</v>
      </c>
      <c r="F1979" s="85"/>
      <c r="G1979" s="85" t="s">
        <v>19</v>
      </c>
      <c r="H1979" s="85"/>
      <c r="I1979" s="85"/>
      <c r="J1979" s="87"/>
      <c r="K1979" s="88">
        <f t="shared" si="94"/>
        <v>0</v>
      </c>
      <c r="L1979" s="85"/>
    </row>
    <row r="1980" spans="1:12" hidden="1" x14ac:dyDescent="0.2">
      <c r="A1980" s="84" t="str">
        <f t="shared" si="92"/>
        <v>SelecioneSelecioneSelecione</v>
      </c>
      <c r="B1980" s="85" t="s">
        <v>19</v>
      </c>
      <c r="C1980" s="85" t="s">
        <v>19</v>
      </c>
      <c r="D1980" s="86"/>
      <c r="E1980" s="116" t="str">
        <f t="shared" si="93"/>
        <v>-</v>
      </c>
      <c r="F1980" s="85"/>
      <c r="G1980" s="85" t="s">
        <v>19</v>
      </c>
      <c r="H1980" s="85"/>
      <c r="I1980" s="85"/>
      <c r="J1980" s="87"/>
      <c r="K1980" s="88">
        <f t="shared" si="94"/>
        <v>0</v>
      </c>
      <c r="L1980" s="85"/>
    </row>
    <row r="1981" spans="1:12" hidden="1" x14ac:dyDescent="0.2">
      <c r="A1981" s="84" t="str">
        <f t="shared" si="92"/>
        <v>SelecioneSelecioneSelecione</v>
      </c>
      <c r="B1981" s="85" t="s">
        <v>19</v>
      </c>
      <c r="C1981" s="85" t="s">
        <v>19</v>
      </c>
      <c r="D1981" s="86"/>
      <c r="E1981" s="116" t="str">
        <f t="shared" si="93"/>
        <v>-</v>
      </c>
      <c r="F1981" s="85"/>
      <c r="G1981" s="85" t="s">
        <v>19</v>
      </c>
      <c r="H1981" s="85"/>
      <c r="I1981" s="85"/>
      <c r="J1981" s="87"/>
      <c r="K1981" s="88">
        <f t="shared" si="94"/>
        <v>0</v>
      </c>
      <c r="L1981" s="85"/>
    </row>
    <row r="1982" spans="1:12" hidden="1" x14ac:dyDescent="0.2">
      <c r="A1982" s="84" t="str">
        <f t="shared" si="92"/>
        <v>SelecioneSelecioneSelecione</v>
      </c>
      <c r="B1982" s="85" t="s">
        <v>19</v>
      </c>
      <c r="C1982" s="85" t="s">
        <v>19</v>
      </c>
      <c r="D1982" s="86"/>
      <c r="E1982" s="116" t="str">
        <f t="shared" si="93"/>
        <v>-</v>
      </c>
      <c r="F1982" s="85"/>
      <c r="G1982" s="85" t="s">
        <v>19</v>
      </c>
      <c r="H1982" s="85"/>
      <c r="I1982" s="85"/>
      <c r="J1982" s="87"/>
      <c r="K1982" s="88">
        <f t="shared" si="94"/>
        <v>0</v>
      </c>
      <c r="L1982" s="85"/>
    </row>
    <row r="1983" spans="1:12" hidden="1" x14ac:dyDescent="0.2">
      <c r="A1983" s="84" t="str">
        <f t="shared" si="92"/>
        <v>SelecioneSelecioneSelecione</v>
      </c>
      <c r="B1983" s="85" t="s">
        <v>19</v>
      </c>
      <c r="C1983" s="85" t="s">
        <v>19</v>
      </c>
      <c r="D1983" s="86"/>
      <c r="E1983" s="116" t="str">
        <f t="shared" si="93"/>
        <v>-</v>
      </c>
      <c r="F1983" s="85"/>
      <c r="G1983" s="85" t="s">
        <v>19</v>
      </c>
      <c r="H1983" s="85"/>
      <c r="I1983" s="85"/>
      <c r="J1983" s="87"/>
      <c r="K1983" s="88">
        <f t="shared" si="94"/>
        <v>0</v>
      </c>
      <c r="L1983" s="85"/>
    </row>
    <row r="1984" spans="1:12" hidden="1" x14ac:dyDescent="0.2">
      <c r="A1984" s="84" t="str">
        <f t="shared" si="92"/>
        <v>SelecioneSelecioneSelecione</v>
      </c>
      <c r="B1984" s="85" t="s">
        <v>19</v>
      </c>
      <c r="C1984" s="85" t="s">
        <v>19</v>
      </c>
      <c r="D1984" s="86"/>
      <c r="E1984" s="116" t="str">
        <f t="shared" si="93"/>
        <v>-</v>
      </c>
      <c r="F1984" s="85"/>
      <c r="G1984" s="85" t="s">
        <v>19</v>
      </c>
      <c r="H1984" s="85"/>
      <c r="I1984" s="85"/>
      <c r="J1984" s="87"/>
      <c r="K1984" s="88">
        <f t="shared" si="94"/>
        <v>0</v>
      </c>
      <c r="L1984" s="85"/>
    </row>
    <row r="1985" spans="1:12" hidden="1" x14ac:dyDescent="0.2">
      <c r="A1985" s="84" t="str">
        <f t="shared" si="92"/>
        <v>SelecioneSelecioneSelecione</v>
      </c>
      <c r="B1985" s="85" t="s">
        <v>19</v>
      </c>
      <c r="C1985" s="85" t="s">
        <v>19</v>
      </c>
      <c r="D1985" s="86"/>
      <c r="E1985" s="116" t="str">
        <f t="shared" si="93"/>
        <v>-</v>
      </c>
      <c r="F1985" s="85"/>
      <c r="G1985" s="85" t="s">
        <v>19</v>
      </c>
      <c r="H1985" s="85"/>
      <c r="I1985" s="85"/>
      <c r="J1985" s="87"/>
      <c r="K1985" s="88">
        <f t="shared" si="94"/>
        <v>0</v>
      </c>
      <c r="L1985" s="85"/>
    </row>
    <row r="1986" spans="1:12" hidden="1" x14ac:dyDescent="0.2">
      <c r="A1986" s="84" t="str">
        <f t="shared" ref="A1986:A2049" si="95">CONCATENATE(B1986,C1986,G1986)</f>
        <v>SelecioneSelecioneSelecione</v>
      </c>
      <c r="B1986" s="85" t="s">
        <v>19</v>
      </c>
      <c r="C1986" s="85" t="s">
        <v>19</v>
      </c>
      <c r="D1986" s="86"/>
      <c r="E1986" s="116" t="str">
        <f t="shared" ref="E1986:E2049" si="96">VLOOKUP(G1986,$M$1:$O$993,3,0)</f>
        <v>-</v>
      </c>
      <c r="F1986" s="85"/>
      <c r="G1986" s="85" t="s">
        <v>19</v>
      </c>
      <c r="H1986" s="85"/>
      <c r="I1986" s="85"/>
      <c r="J1986" s="87"/>
      <c r="K1986" s="88">
        <f t="shared" ref="K1986:K2049" si="97">I1986*J1986</f>
        <v>0</v>
      </c>
      <c r="L1986" s="85"/>
    </row>
    <row r="1987" spans="1:12" hidden="1" x14ac:dyDescent="0.2">
      <c r="A1987" s="84" t="str">
        <f t="shared" si="95"/>
        <v>SelecioneSelecioneSelecione</v>
      </c>
      <c r="B1987" s="85" t="s">
        <v>19</v>
      </c>
      <c r="C1987" s="85" t="s">
        <v>19</v>
      </c>
      <c r="D1987" s="86"/>
      <c r="E1987" s="116" t="str">
        <f t="shared" si="96"/>
        <v>-</v>
      </c>
      <c r="F1987" s="85"/>
      <c r="G1987" s="85" t="s">
        <v>19</v>
      </c>
      <c r="H1987" s="85"/>
      <c r="I1987" s="85"/>
      <c r="J1987" s="87"/>
      <c r="K1987" s="88">
        <f t="shared" si="97"/>
        <v>0</v>
      </c>
      <c r="L1987" s="85"/>
    </row>
    <row r="1988" spans="1:12" hidden="1" x14ac:dyDescent="0.2">
      <c r="A1988" s="84" t="str">
        <f t="shared" si="95"/>
        <v>SelecioneSelecioneSelecione</v>
      </c>
      <c r="B1988" s="85" t="s">
        <v>19</v>
      </c>
      <c r="C1988" s="85" t="s">
        <v>19</v>
      </c>
      <c r="D1988" s="86"/>
      <c r="E1988" s="116" t="str">
        <f t="shared" si="96"/>
        <v>-</v>
      </c>
      <c r="F1988" s="85"/>
      <c r="G1988" s="85" t="s">
        <v>19</v>
      </c>
      <c r="H1988" s="85"/>
      <c r="I1988" s="85"/>
      <c r="J1988" s="87"/>
      <c r="K1988" s="88">
        <f t="shared" si="97"/>
        <v>0</v>
      </c>
      <c r="L1988" s="85"/>
    </row>
    <row r="1989" spans="1:12" hidden="1" x14ac:dyDescent="0.2">
      <c r="A1989" s="84" t="str">
        <f t="shared" si="95"/>
        <v>SelecioneSelecioneSelecione</v>
      </c>
      <c r="B1989" s="85" t="s">
        <v>19</v>
      </c>
      <c r="C1989" s="85" t="s">
        <v>19</v>
      </c>
      <c r="D1989" s="86"/>
      <c r="E1989" s="116" t="str">
        <f t="shared" si="96"/>
        <v>-</v>
      </c>
      <c r="F1989" s="85"/>
      <c r="G1989" s="85" t="s">
        <v>19</v>
      </c>
      <c r="H1989" s="85"/>
      <c r="I1989" s="85"/>
      <c r="J1989" s="87"/>
      <c r="K1989" s="88">
        <f t="shared" si="97"/>
        <v>0</v>
      </c>
      <c r="L1989" s="85"/>
    </row>
    <row r="1990" spans="1:12" hidden="1" x14ac:dyDescent="0.2">
      <c r="A1990" s="84" t="str">
        <f t="shared" si="95"/>
        <v>SelecioneSelecioneSelecione</v>
      </c>
      <c r="B1990" s="85" t="s">
        <v>19</v>
      </c>
      <c r="C1990" s="85" t="s">
        <v>19</v>
      </c>
      <c r="D1990" s="86"/>
      <c r="E1990" s="116" t="str">
        <f t="shared" si="96"/>
        <v>-</v>
      </c>
      <c r="F1990" s="85"/>
      <c r="G1990" s="85" t="s">
        <v>19</v>
      </c>
      <c r="H1990" s="85"/>
      <c r="I1990" s="85"/>
      <c r="J1990" s="87"/>
      <c r="K1990" s="88">
        <f t="shared" si="97"/>
        <v>0</v>
      </c>
      <c r="L1990" s="85"/>
    </row>
    <row r="1991" spans="1:12" hidden="1" x14ac:dyDescent="0.2">
      <c r="A1991" s="84" t="str">
        <f t="shared" si="95"/>
        <v>SelecioneSelecioneSelecione</v>
      </c>
      <c r="B1991" s="85" t="s">
        <v>19</v>
      </c>
      <c r="C1991" s="85" t="s">
        <v>19</v>
      </c>
      <c r="D1991" s="86"/>
      <c r="E1991" s="116" t="str">
        <f t="shared" si="96"/>
        <v>-</v>
      </c>
      <c r="F1991" s="85"/>
      <c r="G1991" s="85" t="s">
        <v>19</v>
      </c>
      <c r="H1991" s="85"/>
      <c r="I1991" s="85"/>
      <c r="J1991" s="87"/>
      <c r="K1991" s="88">
        <f t="shared" si="97"/>
        <v>0</v>
      </c>
      <c r="L1991" s="85"/>
    </row>
    <row r="1992" spans="1:12" hidden="1" x14ac:dyDescent="0.2">
      <c r="A1992" s="84" t="str">
        <f t="shared" si="95"/>
        <v>SelecioneSelecioneSelecione</v>
      </c>
      <c r="B1992" s="85" t="s">
        <v>19</v>
      </c>
      <c r="C1992" s="85" t="s">
        <v>19</v>
      </c>
      <c r="D1992" s="86"/>
      <c r="E1992" s="116" t="str">
        <f t="shared" si="96"/>
        <v>-</v>
      </c>
      <c r="F1992" s="85"/>
      <c r="G1992" s="85" t="s">
        <v>19</v>
      </c>
      <c r="H1992" s="85"/>
      <c r="I1992" s="85"/>
      <c r="J1992" s="87"/>
      <c r="K1992" s="88">
        <f t="shared" si="97"/>
        <v>0</v>
      </c>
      <c r="L1992" s="85"/>
    </row>
    <row r="1993" spans="1:12" hidden="1" x14ac:dyDescent="0.2">
      <c r="A1993" s="84" t="str">
        <f t="shared" si="95"/>
        <v>SelecioneSelecioneSelecione</v>
      </c>
      <c r="B1993" s="85" t="s">
        <v>19</v>
      </c>
      <c r="C1993" s="85" t="s">
        <v>19</v>
      </c>
      <c r="D1993" s="86"/>
      <c r="E1993" s="116" t="str">
        <f t="shared" si="96"/>
        <v>-</v>
      </c>
      <c r="F1993" s="85"/>
      <c r="G1993" s="85" t="s">
        <v>19</v>
      </c>
      <c r="H1993" s="85"/>
      <c r="I1993" s="85"/>
      <c r="J1993" s="87"/>
      <c r="K1993" s="88">
        <f t="shared" si="97"/>
        <v>0</v>
      </c>
      <c r="L1993" s="85"/>
    </row>
    <row r="1994" spans="1:12" hidden="1" x14ac:dyDescent="0.2">
      <c r="A1994" s="84" t="str">
        <f t="shared" si="95"/>
        <v>SelecioneSelecioneSelecione</v>
      </c>
      <c r="B1994" s="85" t="s">
        <v>19</v>
      </c>
      <c r="C1994" s="85" t="s">
        <v>19</v>
      </c>
      <c r="D1994" s="86"/>
      <c r="E1994" s="116" t="str">
        <f t="shared" si="96"/>
        <v>-</v>
      </c>
      <c r="F1994" s="85"/>
      <c r="G1994" s="85" t="s">
        <v>19</v>
      </c>
      <c r="H1994" s="85"/>
      <c r="I1994" s="85"/>
      <c r="J1994" s="87"/>
      <c r="K1994" s="88">
        <f t="shared" si="97"/>
        <v>0</v>
      </c>
      <c r="L1994" s="85"/>
    </row>
    <row r="1995" spans="1:12" hidden="1" x14ac:dyDescent="0.2">
      <c r="A1995" s="84" t="str">
        <f t="shared" si="95"/>
        <v>SelecioneSelecioneSelecione</v>
      </c>
      <c r="B1995" s="85" t="s">
        <v>19</v>
      </c>
      <c r="C1995" s="85" t="s">
        <v>19</v>
      </c>
      <c r="D1995" s="86"/>
      <c r="E1995" s="116" t="str">
        <f t="shared" si="96"/>
        <v>-</v>
      </c>
      <c r="F1995" s="85"/>
      <c r="G1995" s="85" t="s">
        <v>19</v>
      </c>
      <c r="H1995" s="85"/>
      <c r="I1995" s="85"/>
      <c r="J1995" s="87"/>
      <c r="K1995" s="88">
        <f t="shared" si="97"/>
        <v>0</v>
      </c>
      <c r="L1995" s="85"/>
    </row>
    <row r="1996" spans="1:12" hidden="1" x14ac:dyDescent="0.2">
      <c r="A1996" s="84" t="str">
        <f t="shared" si="95"/>
        <v>SelecioneSelecioneSelecione</v>
      </c>
      <c r="B1996" s="85" t="s">
        <v>19</v>
      </c>
      <c r="C1996" s="85" t="s">
        <v>19</v>
      </c>
      <c r="D1996" s="86"/>
      <c r="E1996" s="116" t="str">
        <f t="shared" si="96"/>
        <v>-</v>
      </c>
      <c r="F1996" s="85"/>
      <c r="G1996" s="85" t="s">
        <v>19</v>
      </c>
      <c r="H1996" s="85"/>
      <c r="I1996" s="85"/>
      <c r="J1996" s="87"/>
      <c r="K1996" s="88">
        <f t="shared" si="97"/>
        <v>0</v>
      </c>
      <c r="L1996" s="85"/>
    </row>
    <row r="1997" spans="1:12" hidden="1" x14ac:dyDescent="0.2">
      <c r="A1997" s="84" t="str">
        <f t="shared" si="95"/>
        <v>SelecioneSelecioneSelecione</v>
      </c>
      <c r="B1997" s="85" t="s">
        <v>19</v>
      </c>
      <c r="C1997" s="85" t="s">
        <v>19</v>
      </c>
      <c r="D1997" s="86"/>
      <c r="E1997" s="116" t="str">
        <f t="shared" si="96"/>
        <v>-</v>
      </c>
      <c r="F1997" s="85"/>
      <c r="G1997" s="85" t="s">
        <v>19</v>
      </c>
      <c r="H1997" s="85"/>
      <c r="I1997" s="85"/>
      <c r="J1997" s="87"/>
      <c r="K1997" s="88">
        <f t="shared" si="97"/>
        <v>0</v>
      </c>
      <c r="L1997" s="85"/>
    </row>
    <row r="1998" spans="1:12" hidden="1" x14ac:dyDescent="0.2">
      <c r="A1998" s="84" t="str">
        <f t="shared" si="95"/>
        <v>SelecioneSelecioneSelecione</v>
      </c>
      <c r="B1998" s="85" t="s">
        <v>19</v>
      </c>
      <c r="C1998" s="85" t="s">
        <v>19</v>
      </c>
      <c r="D1998" s="86"/>
      <c r="E1998" s="116" t="str">
        <f t="shared" si="96"/>
        <v>-</v>
      </c>
      <c r="F1998" s="85"/>
      <c r="G1998" s="85" t="s">
        <v>19</v>
      </c>
      <c r="H1998" s="85"/>
      <c r="I1998" s="85"/>
      <c r="J1998" s="87"/>
      <c r="K1998" s="88">
        <f t="shared" si="97"/>
        <v>0</v>
      </c>
      <c r="L1998" s="85"/>
    </row>
    <row r="1999" spans="1:12" hidden="1" x14ac:dyDescent="0.2">
      <c r="A1999" s="84" t="str">
        <f t="shared" si="95"/>
        <v>SelecioneSelecioneSelecione</v>
      </c>
      <c r="B1999" s="85" t="s">
        <v>19</v>
      </c>
      <c r="C1999" s="85" t="s">
        <v>19</v>
      </c>
      <c r="D1999" s="86"/>
      <c r="E1999" s="116" t="str">
        <f t="shared" si="96"/>
        <v>-</v>
      </c>
      <c r="F1999" s="85"/>
      <c r="G1999" s="85" t="s">
        <v>19</v>
      </c>
      <c r="H1999" s="85"/>
      <c r="I1999" s="85"/>
      <c r="J1999" s="87"/>
      <c r="K1999" s="88">
        <f t="shared" si="97"/>
        <v>0</v>
      </c>
      <c r="L1999" s="85"/>
    </row>
    <row r="2000" spans="1:12" hidden="1" x14ac:dyDescent="0.2">
      <c r="A2000" s="84" t="str">
        <f t="shared" si="95"/>
        <v>SelecioneSelecioneSelecione</v>
      </c>
      <c r="B2000" s="85" t="s">
        <v>19</v>
      </c>
      <c r="C2000" s="85" t="s">
        <v>19</v>
      </c>
      <c r="D2000" s="86"/>
      <c r="E2000" s="116" t="str">
        <f t="shared" si="96"/>
        <v>-</v>
      </c>
      <c r="F2000" s="85"/>
      <c r="G2000" s="85" t="s">
        <v>19</v>
      </c>
      <c r="H2000" s="85"/>
      <c r="I2000" s="85"/>
      <c r="J2000" s="87"/>
      <c r="K2000" s="88">
        <f t="shared" si="97"/>
        <v>0</v>
      </c>
      <c r="L2000" s="85"/>
    </row>
    <row r="2001" spans="1:12" hidden="1" x14ac:dyDescent="0.2">
      <c r="A2001" s="84" t="str">
        <f t="shared" si="95"/>
        <v>SelecioneSelecioneSelecione</v>
      </c>
      <c r="B2001" s="85" t="s">
        <v>19</v>
      </c>
      <c r="C2001" s="85" t="s">
        <v>19</v>
      </c>
      <c r="D2001" s="86"/>
      <c r="E2001" s="116" t="str">
        <f t="shared" si="96"/>
        <v>-</v>
      </c>
      <c r="F2001" s="85"/>
      <c r="G2001" s="85" t="s">
        <v>19</v>
      </c>
      <c r="H2001" s="85"/>
      <c r="I2001" s="85"/>
      <c r="J2001" s="87"/>
      <c r="K2001" s="88">
        <f t="shared" si="97"/>
        <v>0</v>
      </c>
      <c r="L2001" s="85"/>
    </row>
    <row r="2002" spans="1:12" hidden="1" x14ac:dyDescent="0.2">
      <c r="A2002" s="84" t="str">
        <f t="shared" si="95"/>
        <v>SelecioneSelecioneSelecione</v>
      </c>
      <c r="B2002" s="85" t="s">
        <v>19</v>
      </c>
      <c r="C2002" s="85" t="s">
        <v>19</v>
      </c>
      <c r="D2002" s="86"/>
      <c r="E2002" s="116" t="str">
        <f t="shared" si="96"/>
        <v>-</v>
      </c>
      <c r="F2002" s="85"/>
      <c r="G2002" s="85" t="s">
        <v>19</v>
      </c>
      <c r="H2002" s="85"/>
      <c r="I2002" s="85"/>
      <c r="J2002" s="87"/>
      <c r="K2002" s="88">
        <f t="shared" si="97"/>
        <v>0</v>
      </c>
      <c r="L2002" s="85"/>
    </row>
    <row r="2003" spans="1:12" hidden="1" x14ac:dyDescent="0.2">
      <c r="A2003" s="84" t="str">
        <f t="shared" si="95"/>
        <v>SelecioneSelecioneSelecione</v>
      </c>
      <c r="B2003" s="85" t="s">
        <v>19</v>
      </c>
      <c r="C2003" s="85" t="s">
        <v>19</v>
      </c>
      <c r="D2003" s="86"/>
      <c r="E2003" s="116" t="str">
        <f t="shared" si="96"/>
        <v>-</v>
      </c>
      <c r="F2003" s="85"/>
      <c r="G2003" s="85" t="s">
        <v>19</v>
      </c>
      <c r="H2003" s="85"/>
      <c r="I2003" s="85"/>
      <c r="J2003" s="87"/>
      <c r="K2003" s="88">
        <f t="shared" si="97"/>
        <v>0</v>
      </c>
      <c r="L2003" s="85"/>
    </row>
    <row r="2004" spans="1:12" hidden="1" x14ac:dyDescent="0.2">
      <c r="A2004" s="84" t="str">
        <f t="shared" si="95"/>
        <v>SelecioneSelecioneSelecione</v>
      </c>
      <c r="B2004" s="85" t="s">
        <v>19</v>
      </c>
      <c r="C2004" s="85" t="s">
        <v>19</v>
      </c>
      <c r="D2004" s="86"/>
      <c r="E2004" s="116" t="str">
        <f t="shared" si="96"/>
        <v>-</v>
      </c>
      <c r="F2004" s="85"/>
      <c r="G2004" s="85" t="s">
        <v>19</v>
      </c>
      <c r="H2004" s="85"/>
      <c r="I2004" s="85"/>
      <c r="J2004" s="87"/>
      <c r="K2004" s="88">
        <f t="shared" si="97"/>
        <v>0</v>
      </c>
      <c r="L2004" s="85"/>
    </row>
    <row r="2005" spans="1:12" hidden="1" x14ac:dyDescent="0.2">
      <c r="A2005" s="84" t="str">
        <f t="shared" si="95"/>
        <v>SelecioneSelecioneSelecione</v>
      </c>
      <c r="B2005" s="85" t="s">
        <v>19</v>
      </c>
      <c r="C2005" s="85" t="s">
        <v>19</v>
      </c>
      <c r="D2005" s="86"/>
      <c r="E2005" s="116" t="str">
        <f t="shared" si="96"/>
        <v>-</v>
      </c>
      <c r="F2005" s="85"/>
      <c r="G2005" s="85" t="s">
        <v>19</v>
      </c>
      <c r="H2005" s="85"/>
      <c r="I2005" s="85"/>
      <c r="J2005" s="87"/>
      <c r="K2005" s="88">
        <f t="shared" si="97"/>
        <v>0</v>
      </c>
      <c r="L2005" s="85"/>
    </row>
    <row r="2006" spans="1:12" hidden="1" x14ac:dyDescent="0.2">
      <c r="A2006" s="84" t="str">
        <f t="shared" si="95"/>
        <v>SelecioneSelecioneSelecione</v>
      </c>
      <c r="B2006" s="85" t="s">
        <v>19</v>
      </c>
      <c r="C2006" s="85" t="s">
        <v>19</v>
      </c>
      <c r="D2006" s="86"/>
      <c r="E2006" s="116" t="str">
        <f t="shared" si="96"/>
        <v>-</v>
      </c>
      <c r="F2006" s="85"/>
      <c r="G2006" s="85" t="s">
        <v>19</v>
      </c>
      <c r="H2006" s="85"/>
      <c r="I2006" s="85"/>
      <c r="J2006" s="87"/>
      <c r="K2006" s="88">
        <f t="shared" si="97"/>
        <v>0</v>
      </c>
      <c r="L2006" s="85"/>
    </row>
    <row r="2007" spans="1:12" hidden="1" x14ac:dyDescent="0.2">
      <c r="A2007" s="84" t="str">
        <f t="shared" si="95"/>
        <v>SelecioneSelecioneSelecione</v>
      </c>
      <c r="B2007" s="85" t="s">
        <v>19</v>
      </c>
      <c r="C2007" s="85" t="s">
        <v>19</v>
      </c>
      <c r="D2007" s="86"/>
      <c r="E2007" s="116" t="str">
        <f t="shared" si="96"/>
        <v>-</v>
      </c>
      <c r="F2007" s="85"/>
      <c r="G2007" s="85" t="s">
        <v>19</v>
      </c>
      <c r="H2007" s="85"/>
      <c r="I2007" s="85"/>
      <c r="J2007" s="87"/>
      <c r="K2007" s="88">
        <f t="shared" si="97"/>
        <v>0</v>
      </c>
      <c r="L2007" s="85"/>
    </row>
    <row r="2008" spans="1:12" hidden="1" x14ac:dyDescent="0.2">
      <c r="A2008" s="84" t="str">
        <f t="shared" si="95"/>
        <v>SelecioneSelecioneSelecione</v>
      </c>
      <c r="B2008" s="85" t="s">
        <v>19</v>
      </c>
      <c r="C2008" s="85" t="s">
        <v>19</v>
      </c>
      <c r="D2008" s="86"/>
      <c r="E2008" s="116" t="str">
        <f t="shared" si="96"/>
        <v>-</v>
      </c>
      <c r="F2008" s="85"/>
      <c r="G2008" s="85" t="s">
        <v>19</v>
      </c>
      <c r="H2008" s="85"/>
      <c r="I2008" s="85"/>
      <c r="J2008" s="87"/>
      <c r="K2008" s="88">
        <f t="shared" si="97"/>
        <v>0</v>
      </c>
      <c r="L2008" s="85"/>
    </row>
    <row r="2009" spans="1:12" hidden="1" x14ac:dyDescent="0.2">
      <c r="A2009" s="84" t="str">
        <f t="shared" si="95"/>
        <v>SelecioneSelecioneSelecione</v>
      </c>
      <c r="B2009" s="85" t="s">
        <v>19</v>
      </c>
      <c r="C2009" s="85" t="s">
        <v>19</v>
      </c>
      <c r="D2009" s="86"/>
      <c r="E2009" s="116" t="str">
        <f t="shared" si="96"/>
        <v>-</v>
      </c>
      <c r="F2009" s="85"/>
      <c r="G2009" s="85" t="s">
        <v>19</v>
      </c>
      <c r="H2009" s="85"/>
      <c r="I2009" s="85"/>
      <c r="J2009" s="87"/>
      <c r="K2009" s="88">
        <f t="shared" si="97"/>
        <v>0</v>
      </c>
      <c r="L2009" s="85"/>
    </row>
    <row r="2010" spans="1:12" hidden="1" x14ac:dyDescent="0.2">
      <c r="A2010" s="84" t="str">
        <f t="shared" si="95"/>
        <v>SelecioneSelecioneSelecione</v>
      </c>
      <c r="B2010" s="85" t="s">
        <v>19</v>
      </c>
      <c r="C2010" s="85" t="s">
        <v>19</v>
      </c>
      <c r="D2010" s="86"/>
      <c r="E2010" s="116" t="str">
        <f t="shared" si="96"/>
        <v>-</v>
      </c>
      <c r="F2010" s="85"/>
      <c r="G2010" s="85" t="s">
        <v>19</v>
      </c>
      <c r="H2010" s="85"/>
      <c r="I2010" s="85"/>
      <c r="J2010" s="87"/>
      <c r="K2010" s="88">
        <f t="shared" si="97"/>
        <v>0</v>
      </c>
      <c r="L2010" s="85"/>
    </row>
    <row r="2011" spans="1:12" hidden="1" x14ac:dyDescent="0.2">
      <c r="A2011" s="84" t="str">
        <f t="shared" si="95"/>
        <v>SelecioneSelecioneSelecione</v>
      </c>
      <c r="B2011" s="85" t="s">
        <v>19</v>
      </c>
      <c r="C2011" s="85" t="s">
        <v>19</v>
      </c>
      <c r="D2011" s="86"/>
      <c r="E2011" s="116" t="str">
        <f t="shared" si="96"/>
        <v>-</v>
      </c>
      <c r="F2011" s="85"/>
      <c r="G2011" s="85" t="s">
        <v>19</v>
      </c>
      <c r="H2011" s="85"/>
      <c r="I2011" s="85"/>
      <c r="J2011" s="87"/>
      <c r="K2011" s="88">
        <f t="shared" si="97"/>
        <v>0</v>
      </c>
      <c r="L2011" s="85"/>
    </row>
    <row r="2012" spans="1:12" hidden="1" x14ac:dyDescent="0.2">
      <c r="A2012" s="84" t="str">
        <f t="shared" si="95"/>
        <v>SelecioneSelecioneSelecione</v>
      </c>
      <c r="B2012" s="85" t="s">
        <v>19</v>
      </c>
      <c r="C2012" s="85" t="s">
        <v>19</v>
      </c>
      <c r="D2012" s="86"/>
      <c r="E2012" s="116" t="str">
        <f t="shared" si="96"/>
        <v>-</v>
      </c>
      <c r="F2012" s="85"/>
      <c r="G2012" s="85" t="s">
        <v>19</v>
      </c>
      <c r="H2012" s="85"/>
      <c r="I2012" s="85"/>
      <c r="J2012" s="87"/>
      <c r="K2012" s="88">
        <f t="shared" si="97"/>
        <v>0</v>
      </c>
      <c r="L2012" s="85"/>
    </row>
    <row r="2013" spans="1:12" hidden="1" x14ac:dyDescent="0.2">
      <c r="A2013" s="84" t="str">
        <f t="shared" si="95"/>
        <v>SelecioneSelecioneSelecione</v>
      </c>
      <c r="B2013" s="85" t="s">
        <v>19</v>
      </c>
      <c r="C2013" s="85" t="s">
        <v>19</v>
      </c>
      <c r="D2013" s="86"/>
      <c r="E2013" s="116" t="str">
        <f t="shared" si="96"/>
        <v>-</v>
      </c>
      <c r="F2013" s="85"/>
      <c r="G2013" s="85" t="s">
        <v>19</v>
      </c>
      <c r="H2013" s="85"/>
      <c r="I2013" s="85"/>
      <c r="J2013" s="87"/>
      <c r="K2013" s="88">
        <f t="shared" si="97"/>
        <v>0</v>
      </c>
      <c r="L2013" s="85"/>
    </row>
    <row r="2014" spans="1:12" hidden="1" x14ac:dyDescent="0.2">
      <c r="A2014" s="84" t="str">
        <f t="shared" si="95"/>
        <v>SelecioneSelecioneSelecione</v>
      </c>
      <c r="B2014" s="85" t="s">
        <v>19</v>
      </c>
      <c r="C2014" s="85" t="s">
        <v>19</v>
      </c>
      <c r="D2014" s="86"/>
      <c r="E2014" s="116" t="str">
        <f t="shared" si="96"/>
        <v>-</v>
      </c>
      <c r="F2014" s="85"/>
      <c r="G2014" s="85" t="s">
        <v>19</v>
      </c>
      <c r="H2014" s="85"/>
      <c r="I2014" s="85"/>
      <c r="J2014" s="87"/>
      <c r="K2014" s="88">
        <f t="shared" si="97"/>
        <v>0</v>
      </c>
      <c r="L2014" s="85"/>
    </row>
    <row r="2015" spans="1:12" hidden="1" x14ac:dyDescent="0.2">
      <c r="A2015" s="84" t="str">
        <f t="shared" si="95"/>
        <v>SelecioneSelecioneSelecione</v>
      </c>
      <c r="B2015" s="85" t="s">
        <v>19</v>
      </c>
      <c r="C2015" s="85" t="s">
        <v>19</v>
      </c>
      <c r="D2015" s="86"/>
      <c r="E2015" s="116" t="str">
        <f t="shared" si="96"/>
        <v>-</v>
      </c>
      <c r="F2015" s="85"/>
      <c r="G2015" s="85" t="s">
        <v>19</v>
      </c>
      <c r="H2015" s="85"/>
      <c r="I2015" s="85"/>
      <c r="J2015" s="87"/>
      <c r="K2015" s="88">
        <f t="shared" si="97"/>
        <v>0</v>
      </c>
      <c r="L2015" s="85"/>
    </row>
    <row r="2016" spans="1:12" hidden="1" x14ac:dyDescent="0.2">
      <c r="A2016" s="84" t="str">
        <f t="shared" si="95"/>
        <v>SelecioneSelecioneSelecione</v>
      </c>
      <c r="B2016" s="85" t="s">
        <v>19</v>
      </c>
      <c r="C2016" s="85" t="s">
        <v>19</v>
      </c>
      <c r="D2016" s="86"/>
      <c r="E2016" s="116" t="str">
        <f t="shared" si="96"/>
        <v>-</v>
      </c>
      <c r="F2016" s="85"/>
      <c r="G2016" s="85" t="s">
        <v>19</v>
      </c>
      <c r="H2016" s="85"/>
      <c r="I2016" s="85"/>
      <c r="J2016" s="87"/>
      <c r="K2016" s="88">
        <f t="shared" si="97"/>
        <v>0</v>
      </c>
      <c r="L2016" s="85"/>
    </row>
    <row r="2017" spans="1:12" hidden="1" x14ac:dyDescent="0.2">
      <c r="A2017" s="84" t="str">
        <f t="shared" si="95"/>
        <v>SelecioneSelecioneSelecione</v>
      </c>
      <c r="B2017" s="85" t="s">
        <v>19</v>
      </c>
      <c r="C2017" s="85" t="s">
        <v>19</v>
      </c>
      <c r="D2017" s="86"/>
      <c r="E2017" s="116" t="str">
        <f t="shared" si="96"/>
        <v>-</v>
      </c>
      <c r="F2017" s="85"/>
      <c r="G2017" s="85" t="s">
        <v>19</v>
      </c>
      <c r="H2017" s="85"/>
      <c r="I2017" s="85"/>
      <c r="J2017" s="87"/>
      <c r="K2017" s="88">
        <f t="shared" si="97"/>
        <v>0</v>
      </c>
      <c r="L2017" s="85"/>
    </row>
    <row r="2018" spans="1:12" hidden="1" x14ac:dyDescent="0.2">
      <c r="A2018" s="84" t="str">
        <f t="shared" si="95"/>
        <v>SelecioneSelecioneSelecione</v>
      </c>
      <c r="B2018" s="85" t="s">
        <v>19</v>
      </c>
      <c r="C2018" s="85" t="s">
        <v>19</v>
      </c>
      <c r="D2018" s="86"/>
      <c r="E2018" s="116" t="str">
        <f t="shared" si="96"/>
        <v>-</v>
      </c>
      <c r="F2018" s="85"/>
      <c r="G2018" s="85" t="s">
        <v>19</v>
      </c>
      <c r="H2018" s="85"/>
      <c r="I2018" s="85"/>
      <c r="J2018" s="87"/>
      <c r="K2018" s="88">
        <f t="shared" si="97"/>
        <v>0</v>
      </c>
      <c r="L2018" s="85"/>
    </row>
    <row r="2019" spans="1:12" hidden="1" x14ac:dyDescent="0.2">
      <c r="A2019" s="84" t="str">
        <f t="shared" si="95"/>
        <v>SelecioneSelecioneSelecione</v>
      </c>
      <c r="B2019" s="85" t="s">
        <v>19</v>
      </c>
      <c r="C2019" s="85" t="s">
        <v>19</v>
      </c>
      <c r="D2019" s="86"/>
      <c r="E2019" s="116" t="str">
        <f t="shared" si="96"/>
        <v>-</v>
      </c>
      <c r="F2019" s="85"/>
      <c r="G2019" s="85" t="s">
        <v>19</v>
      </c>
      <c r="H2019" s="85"/>
      <c r="I2019" s="85"/>
      <c r="J2019" s="87"/>
      <c r="K2019" s="88">
        <f t="shared" si="97"/>
        <v>0</v>
      </c>
      <c r="L2019" s="85"/>
    </row>
    <row r="2020" spans="1:12" hidden="1" x14ac:dyDescent="0.2">
      <c r="A2020" s="84" t="str">
        <f t="shared" si="95"/>
        <v>SelecioneSelecioneSelecione</v>
      </c>
      <c r="B2020" s="85" t="s">
        <v>19</v>
      </c>
      <c r="C2020" s="85" t="s">
        <v>19</v>
      </c>
      <c r="D2020" s="86"/>
      <c r="E2020" s="116" t="str">
        <f t="shared" si="96"/>
        <v>-</v>
      </c>
      <c r="F2020" s="85"/>
      <c r="G2020" s="85" t="s">
        <v>19</v>
      </c>
      <c r="H2020" s="85"/>
      <c r="I2020" s="85"/>
      <c r="J2020" s="87"/>
      <c r="K2020" s="88">
        <f t="shared" si="97"/>
        <v>0</v>
      </c>
      <c r="L2020" s="85"/>
    </row>
    <row r="2021" spans="1:12" hidden="1" x14ac:dyDescent="0.2">
      <c r="A2021" s="84" t="str">
        <f t="shared" si="95"/>
        <v>SelecioneSelecioneSelecione</v>
      </c>
      <c r="B2021" s="85" t="s">
        <v>19</v>
      </c>
      <c r="C2021" s="85" t="s">
        <v>19</v>
      </c>
      <c r="D2021" s="86"/>
      <c r="E2021" s="116" t="str">
        <f t="shared" si="96"/>
        <v>-</v>
      </c>
      <c r="F2021" s="85"/>
      <c r="G2021" s="85" t="s">
        <v>19</v>
      </c>
      <c r="H2021" s="85"/>
      <c r="I2021" s="85"/>
      <c r="J2021" s="87"/>
      <c r="K2021" s="88">
        <f t="shared" si="97"/>
        <v>0</v>
      </c>
      <c r="L2021" s="85"/>
    </row>
    <row r="2022" spans="1:12" hidden="1" x14ac:dyDescent="0.2">
      <c r="A2022" s="84" t="str">
        <f t="shared" si="95"/>
        <v>SelecioneSelecioneSelecione</v>
      </c>
      <c r="B2022" s="85" t="s">
        <v>19</v>
      </c>
      <c r="C2022" s="85" t="s">
        <v>19</v>
      </c>
      <c r="D2022" s="86"/>
      <c r="E2022" s="116" t="str">
        <f t="shared" si="96"/>
        <v>-</v>
      </c>
      <c r="F2022" s="85"/>
      <c r="G2022" s="85" t="s">
        <v>19</v>
      </c>
      <c r="H2022" s="85"/>
      <c r="I2022" s="85"/>
      <c r="J2022" s="87"/>
      <c r="K2022" s="88">
        <f t="shared" si="97"/>
        <v>0</v>
      </c>
      <c r="L2022" s="85"/>
    </row>
    <row r="2023" spans="1:12" hidden="1" x14ac:dyDescent="0.2">
      <c r="A2023" s="84" t="str">
        <f t="shared" si="95"/>
        <v>SelecioneSelecioneSelecione</v>
      </c>
      <c r="B2023" s="85" t="s">
        <v>19</v>
      </c>
      <c r="C2023" s="85" t="s">
        <v>19</v>
      </c>
      <c r="D2023" s="86"/>
      <c r="E2023" s="116" t="str">
        <f t="shared" si="96"/>
        <v>-</v>
      </c>
      <c r="F2023" s="85"/>
      <c r="G2023" s="85" t="s">
        <v>19</v>
      </c>
      <c r="H2023" s="85"/>
      <c r="I2023" s="85"/>
      <c r="J2023" s="87"/>
      <c r="K2023" s="88">
        <f t="shared" si="97"/>
        <v>0</v>
      </c>
      <c r="L2023" s="85"/>
    </row>
    <row r="2024" spans="1:12" hidden="1" x14ac:dyDescent="0.2">
      <c r="A2024" s="84" t="str">
        <f t="shared" si="95"/>
        <v>SelecioneSelecioneSelecione</v>
      </c>
      <c r="B2024" s="85" t="s">
        <v>19</v>
      </c>
      <c r="C2024" s="85" t="s">
        <v>19</v>
      </c>
      <c r="D2024" s="86"/>
      <c r="E2024" s="116" t="str">
        <f t="shared" si="96"/>
        <v>-</v>
      </c>
      <c r="F2024" s="85"/>
      <c r="G2024" s="85" t="s">
        <v>19</v>
      </c>
      <c r="H2024" s="85"/>
      <c r="I2024" s="85"/>
      <c r="J2024" s="87"/>
      <c r="K2024" s="88">
        <f t="shared" si="97"/>
        <v>0</v>
      </c>
      <c r="L2024" s="85"/>
    </row>
    <row r="2025" spans="1:12" hidden="1" x14ac:dyDescent="0.2">
      <c r="A2025" s="84" t="str">
        <f t="shared" si="95"/>
        <v>SelecioneSelecioneSelecione</v>
      </c>
      <c r="B2025" s="85" t="s">
        <v>19</v>
      </c>
      <c r="C2025" s="85" t="s">
        <v>19</v>
      </c>
      <c r="D2025" s="86"/>
      <c r="E2025" s="116" t="str">
        <f t="shared" si="96"/>
        <v>-</v>
      </c>
      <c r="F2025" s="85"/>
      <c r="G2025" s="85" t="s">
        <v>19</v>
      </c>
      <c r="H2025" s="85"/>
      <c r="I2025" s="85"/>
      <c r="J2025" s="87"/>
      <c r="K2025" s="88">
        <f t="shared" si="97"/>
        <v>0</v>
      </c>
      <c r="L2025" s="85"/>
    </row>
    <row r="2026" spans="1:12" hidden="1" x14ac:dyDescent="0.2">
      <c r="A2026" s="84" t="str">
        <f t="shared" si="95"/>
        <v>SelecioneSelecioneSelecione</v>
      </c>
      <c r="B2026" s="85" t="s">
        <v>19</v>
      </c>
      <c r="C2026" s="85" t="s">
        <v>19</v>
      </c>
      <c r="D2026" s="86"/>
      <c r="E2026" s="116" t="str">
        <f t="shared" si="96"/>
        <v>-</v>
      </c>
      <c r="F2026" s="85"/>
      <c r="G2026" s="85" t="s">
        <v>19</v>
      </c>
      <c r="H2026" s="85"/>
      <c r="I2026" s="85"/>
      <c r="J2026" s="87"/>
      <c r="K2026" s="88">
        <f t="shared" si="97"/>
        <v>0</v>
      </c>
      <c r="L2026" s="85"/>
    </row>
    <row r="2027" spans="1:12" hidden="1" x14ac:dyDescent="0.2">
      <c r="A2027" s="84" t="str">
        <f t="shared" si="95"/>
        <v>SelecioneSelecioneSelecione</v>
      </c>
      <c r="B2027" s="85" t="s">
        <v>19</v>
      </c>
      <c r="C2027" s="85" t="s">
        <v>19</v>
      </c>
      <c r="D2027" s="86"/>
      <c r="E2027" s="116" t="str">
        <f t="shared" si="96"/>
        <v>-</v>
      </c>
      <c r="F2027" s="85"/>
      <c r="G2027" s="85" t="s">
        <v>19</v>
      </c>
      <c r="H2027" s="85"/>
      <c r="I2027" s="85"/>
      <c r="J2027" s="87"/>
      <c r="K2027" s="88">
        <f t="shared" si="97"/>
        <v>0</v>
      </c>
      <c r="L2027" s="85"/>
    </row>
    <row r="2028" spans="1:12" hidden="1" x14ac:dyDescent="0.2">
      <c r="A2028" s="84" t="str">
        <f t="shared" si="95"/>
        <v>SelecioneSelecioneSelecione</v>
      </c>
      <c r="B2028" s="85" t="s">
        <v>19</v>
      </c>
      <c r="C2028" s="85" t="s">
        <v>19</v>
      </c>
      <c r="D2028" s="86"/>
      <c r="E2028" s="116" t="str">
        <f t="shared" si="96"/>
        <v>-</v>
      </c>
      <c r="F2028" s="85"/>
      <c r="G2028" s="85" t="s">
        <v>19</v>
      </c>
      <c r="H2028" s="85"/>
      <c r="I2028" s="85"/>
      <c r="J2028" s="87"/>
      <c r="K2028" s="88">
        <f t="shared" si="97"/>
        <v>0</v>
      </c>
      <c r="L2028" s="85"/>
    </row>
    <row r="2029" spans="1:12" hidden="1" x14ac:dyDescent="0.2">
      <c r="A2029" s="84" t="str">
        <f t="shared" si="95"/>
        <v>SelecioneSelecioneSelecione</v>
      </c>
      <c r="B2029" s="85" t="s">
        <v>19</v>
      </c>
      <c r="C2029" s="85" t="s">
        <v>19</v>
      </c>
      <c r="D2029" s="86"/>
      <c r="E2029" s="116" t="str">
        <f t="shared" si="96"/>
        <v>-</v>
      </c>
      <c r="F2029" s="85"/>
      <c r="G2029" s="85" t="s">
        <v>19</v>
      </c>
      <c r="H2029" s="85"/>
      <c r="I2029" s="85"/>
      <c r="J2029" s="87"/>
      <c r="K2029" s="88">
        <f t="shared" si="97"/>
        <v>0</v>
      </c>
      <c r="L2029" s="85"/>
    </row>
    <row r="2030" spans="1:12" hidden="1" x14ac:dyDescent="0.2">
      <c r="A2030" s="84" t="str">
        <f t="shared" si="95"/>
        <v>SelecioneSelecioneSelecione</v>
      </c>
      <c r="B2030" s="85" t="s">
        <v>19</v>
      </c>
      <c r="C2030" s="85" t="s">
        <v>19</v>
      </c>
      <c r="D2030" s="86"/>
      <c r="E2030" s="116" t="str">
        <f t="shared" si="96"/>
        <v>-</v>
      </c>
      <c r="F2030" s="85"/>
      <c r="G2030" s="85" t="s">
        <v>19</v>
      </c>
      <c r="H2030" s="85"/>
      <c r="I2030" s="85"/>
      <c r="J2030" s="87"/>
      <c r="K2030" s="88">
        <f t="shared" si="97"/>
        <v>0</v>
      </c>
      <c r="L2030" s="85"/>
    </row>
    <row r="2031" spans="1:12" hidden="1" x14ac:dyDescent="0.2">
      <c r="A2031" s="84" t="str">
        <f t="shared" si="95"/>
        <v>SelecioneSelecioneSelecione</v>
      </c>
      <c r="B2031" s="85" t="s">
        <v>19</v>
      </c>
      <c r="C2031" s="85" t="s">
        <v>19</v>
      </c>
      <c r="D2031" s="86"/>
      <c r="E2031" s="116" t="str">
        <f t="shared" si="96"/>
        <v>-</v>
      </c>
      <c r="F2031" s="85"/>
      <c r="G2031" s="85" t="s">
        <v>19</v>
      </c>
      <c r="H2031" s="85"/>
      <c r="I2031" s="85"/>
      <c r="J2031" s="87"/>
      <c r="K2031" s="88">
        <f t="shared" si="97"/>
        <v>0</v>
      </c>
      <c r="L2031" s="85"/>
    </row>
    <row r="2032" spans="1:12" hidden="1" x14ac:dyDescent="0.2">
      <c r="A2032" s="84" t="str">
        <f t="shared" si="95"/>
        <v>SelecioneSelecioneSelecione</v>
      </c>
      <c r="B2032" s="85" t="s">
        <v>19</v>
      </c>
      <c r="C2032" s="85" t="s">
        <v>19</v>
      </c>
      <c r="D2032" s="86"/>
      <c r="E2032" s="116" t="str">
        <f t="shared" si="96"/>
        <v>-</v>
      </c>
      <c r="F2032" s="85"/>
      <c r="G2032" s="85" t="s">
        <v>19</v>
      </c>
      <c r="H2032" s="85"/>
      <c r="I2032" s="85"/>
      <c r="J2032" s="87"/>
      <c r="K2032" s="88">
        <f t="shared" si="97"/>
        <v>0</v>
      </c>
      <c r="L2032" s="85"/>
    </row>
    <row r="2033" spans="1:12" hidden="1" x14ac:dyDescent="0.2">
      <c r="A2033" s="84" t="str">
        <f t="shared" si="95"/>
        <v>SelecioneSelecioneSelecione</v>
      </c>
      <c r="B2033" s="85" t="s">
        <v>19</v>
      </c>
      <c r="C2033" s="85" t="s">
        <v>19</v>
      </c>
      <c r="D2033" s="86"/>
      <c r="E2033" s="116" t="str">
        <f t="shared" si="96"/>
        <v>-</v>
      </c>
      <c r="F2033" s="85"/>
      <c r="G2033" s="85" t="s">
        <v>19</v>
      </c>
      <c r="H2033" s="85"/>
      <c r="I2033" s="85"/>
      <c r="J2033" s="87"/>
      <c r="K2033" s="88">
        <f t="shared" si="97"/>
        <v>0</v>
      </c>
      <c r="L2033" s="85"/>
    </row>
    <row r="2034" spans="1:12" hidden="1" x14ac:dyDescent="0.2">
      <c r="A2034" s="84" t="str">
        <f t="shared" si="95"/>
        <v>SelecioneSelecioneSelecione</v>
      </c>
      <c r="B2034" s="85" t="s">
        <v>19</v>
      </c>
      <c r="C2034" s="85" t="s">
        <v>19</v>
      </c>
      <c r="D2034" s="86"/>
      <c r="E2034" s="116" t="str">
        <f t="shared" si="96"/>
        <v>-</v>
      </c>
      <c r="F2034" s="85"/>
      <c r="G2034" s="85" t="s">
        <v>19</v>
      </c>
      <c r="H2034" s="85"/>
      <c r="I2034" s="85"/>
      <c r="J2034" s="87"/>
      <c r="K2034" s="88">
        <f t="shared" si="97"/>
        <v>0</v>
      </c>
      <c r="L2034" s="85"/>
    </row>
    <row r="2035" spans="1:12" hidden="1" x14ac:dyDescent="0.2">
      <c r="A2035" s="84" t="str">
        <f t="shared" si="95"/>
        <v>SelecioneSelecioneSelecione</v>
      </c>
      <c r="B2035" s="85" t="s">
        <v>19</v>
      </c>
      <c r="C2035" s="85" t="s">
        <v>19</v>
      </c>
      <c r="D2035" s="86"/>
      <c r="E2035" s="116" t="str">
        <f t="shared" si="96"/>
        <v>-</v>
      </c>
      <c r="F2035" s="85"/>
      <c r="G2035" s="85" t="s">
        <v>19</v>
      </c>
      <c r="H2035" s="85"/>
      <c r="I2035" s="85"/>
      <c r="J2035" s="87"/>
      <c r="K2035" s="88">
        <f t="shared" si="97"/>
        <v>0</v>
      </c>
      <c r="L2035" s="85"/>
    </row>
    <row r="2036" spans="1:12" hidden="1" x14ac:dyDescent="0.2">
      <c r="A2036" s="84" t="str">
        <f t="shared" si="95"/>
        <v>SelecioneSelecioneSelecione</v>
      </c>
      <c r="B2036" s="85" t="s">
        <v>19</v>
      </c>
      <c r="C2036" s="85" t="s">
        <v>19</v>
      </c>
      <c r="D2036" s="86"/>
      <c r="E2036" s="116" t="str">
        <f t="shared" si="96"/>
        <v>-</v>
      </c>
      <c r="F2036" s="85"/>
      <c r="G2036" s="85" t="s">
        <v>19</v>
      </c>
      <c r="H2036" s="85"/>
      <c r="I2036" s="85"/>
      <c r="J2036" s="87"/>
      <c r="K2036" s="88">
        <f t="shared" si="97"/>
        <v>0</v>
      </c>
      <c r="L2036" s="85"/>
    </row>
    <row r="2037" spans="1:12" hidden="1" x14ac:dyDescent="0.2">
      <c r="A2037" s="84" t="str">
        <f t="shared" si="95"/>
        <v>SelecioneSelecioneSelecione</v>
      </c>
      <c r="B2037" s="85" t="s">
        <v>19</v>
      </c>
      <c r="C2037" s="85" t="s">
        <v>19</v>
      </c>
      <c r="D2037" s="86"/>
      <c r="E2037" s="116" t="str">
        <f t="shared" si="96"/>
        <v>-</v>
      </c>
      <c r="F2037" s="85"/>
      <c r="G2037" s="85" t="s">
        <v>19</v>
      </c>
      <c r="H2037" s="85"/>
      <c r="I2037" s="85"/>
      <c r="J2037" s="87"/>
      <c r="K2037" s="88">
        <f t="shared" si="97"/>
        <v>0</v>
      </c>
      <c r="L2037" s="85"/>
    </row>
    <row r="2038" spans="1:12" hidden="1" x14ac:dyDescent="0.2">
      <c r="A2038" s="84" t="str">
        <f t="shared" si="95"/>
        <v>SelecioneSelecioneSelecione</v>
      </c>
      <c r="B2038" s="85" t="s">
        <v>19</v>
      </c>
      <c r="C2038" s="85" t="s">
        <v>19</v>
      </c>
      <c r="D2038" s="86"/>
      <c r="E2038" s="116" t="str">
        <f t="shared" si="96"/>
        <v>-</v>
      </c>
      <c r="F2038" s="85"/>
      <c r="G2038" s="85" t="s">
        <v>19</v>
      </c>
      <c r="H2038" s="85"/>
      <c r="I2038" s="85"/>
      <c r="J2038" s="87"/>
      <c r="K2038" s="88">
        <f t="shared" si="97"/>
        <v>0</v>
      </c>
      <c r="L2038" s="85"/>
    </row>
    <row r="2039" spans="1:12" hidden="1" x14ac:dyDescent="0.2">
      <c r="A2039" s="84" t="str">
        <f t="shared" si="95"/>
        <v>SelecioneSelecioneSelecione</v>
      </c>
      <c r="B2039" s="85" t="s">
        <v>19</v>
      </c>
      <c r="C2039" s="85" t="s">
        <v>19</v>
      </c>
      <c r="D2039" s="86"/>
      <c r="E2039" s="116" t="str">
        <f t="shared" si="96"/>
        <v>-</v>
      </c>
      <c r="F2039" s="85"/>
      <c r="G2039" s="85" t="s">
        <v>19</v>
      </c>
      <c r="H2039" s="85"/>
      <c r="I2039" s="85"/>
      <c r="J2039" s="87"/>
      <c r="K2039" s="88">
        <f t="shared" si="97"/>
        <v>0</v>
      </c>
      <c r="L2039" s="85"/>
    </row>
    <row r="2040" spans="1:12" hidden="1" x14ac:dyDescent="0.2">
      <c r="A2040" s="84" t="str">
        <f t="shared" si="95"/>
        <v>SelecioneSelecioneSelecione</v>
      </c>
      <c r="B2040" s="85" t="s">
        <v>19</v>
      </c>
      <c r="C2040" s="85" t="s">
        <v>19</v>
      </c>
      <c r="D2040" s="86"/>
      <c r="E2040" s="116" t="str">
        <f t="shared" si="96"/>
        <v>-</v>
      </c>
      <c r="F2040" s="85"/>
      <c r="G2040" s="85" t="s">
        <v>19</v>
      </c>
      <c r="H2040" s="85"/>
      <c r="I2040" s="85"/>
      <c r="J2040" s="87"/>
      <c r="K2040" s="88">
        <f t="shared" si="97"/>
        <v>0</v>
      </c>
      <c r="L2040" s="85"/>
    </row>
    <row r="2041" spans="1:12" hidden="1" x14ac:dyDescent="0.2">
      <c r="A2041" s="84" t="str">
        <f t="shared" si="95"/>
        <v>SelecioneSelecioneSelecione</v>
      </c>
      <c r="B2041" s="85" t="s">
        <v>19</v>
      </c>
      <c r="C2041" s="85" t="s">
        <v>19</v>
      </c>
      <c r="D2041" s="86"/>
      <c r="E2041" s="116" t="str">
        <f t="shared" si="96"/>
        <v>-</v>
      </c>
      <c r="F2041" s="85"/>
      <c r="G2041" s="85" t="s">
        <v>19</v>
      </c>
      <c r="H2041" s="85"/>
      <c r="I2041" s="85"/>
      <c r="J2041" s="87"/>
      <c r="K2041" s="88">
        <f t="shared" si="97"/>
        <v>0</v>
      </c>
      <c r="L2041" s="85"/>
    </row>
    <row r="2042" spans="1:12" hidden="1" x14ac:dyDescent="0.2">
      <c r="A2042" s="84" t="str">
        <f t="shared" si="95"/>
        <v>SelecioneSelecioneSelecione</v>
      </c>
      <c r="B2042" s="85" t="s">
        <v>19</v>
      </c>
      <c r="C2042" s="85" t="s">
        <v>19</v>
      </c>
      <c r="D2042" s="86"/>
      <c r="E2042" s="116" t="str">
        <f t="shared" si="96"/>
        <v>-</v>
      </c>
      <c r="F2042" s="85"/>
      <c r="G2042" s="85" t="s">
        <v>19</v>
      </c>
      <c r="H2042" s="85"/>
      <c r="I2042" s="85"/>
      <c r="J2042" s="87"/>
      <c r="K2042" s="88">
        <f t="shared" si="97"/>
        <v>0</v>
      </c>
      <c r="L2042" s="85"/>
    </row>
    <row r="2043" spans="1:12" hidden="1" x14ac:dyDescent="0.2">
      <c r="A2043" s="84" t="str">
        <f t="shared" si="95"/>
        <v>SelecioneSelecioneSelecione</v>
      </c>
      <c r="B2043" s="85" t="s">
        <v>19</v>
      </c>
      <c r="C2043" s="85" t="s">
        <v>19</v>
      </c>
      <c r="D2043" s="86"/>
      <c r="E2043" s="116" t="str">
        <f t="shared" si="96"/>
        <v>-</v>
      </c>
      <c r="F2043" s="85"/>
      <c r="G2043" s="85" t="s">
        <v>19</v>
      </c>
      <c r="H2043" s="85"/>
      <c r="I2043" s="85"/>
      <c r="J2043" s="87"/>
      <c r="K2043" s="88">
        <f t="shared" si="97"/>
        <v>0</v>
      </c>
      <c r="L2043" s="85"/>
    </row>
    <row r="2044" spans="1:12" hidden="1" x14ac:dyDescent="0.2">
      <c r="A2044" s="84" t="str">
        <f t="shared" si="95"/>
        <v>SelecioneSelecioneSelecione</v>
      </c>
      <c r="B2044" s="85" t="s">
        <v>19</v>
      </c>
      <c r="C2044" s="85" t="s">
        <v>19</v>
      </c>
      <c r="D2044" s="86"/>
      <c r="E2044" s="116" t="str">
        <f t="shared" si="96"/>
        <v>-</v>
      </c>
      <c r="F2044" s="85"/>
      <c r="G2044" s="85" t="s">
        <v>19</v>
      </c>
      <c r="H2044" s="85"/>
      <c r="I2044" s="85"/>
      <c r="J2044" s="87"/>
      <c r="K2044" s="88">
        <f t="shared" si="97"/>
        <v>0</v>
      </c>
      <c r="L2044" s="85"/>
    </row>
    <row r="2045" spans="1:12" hidden="1" x14ac:dyDescent="0.2">
      <c r="A2045" s="84" t="str">
        <f t="shared" si="95"/>
        <v>SelecioneSelecioneSelecione</v>
      </c>
      <c r="B2045" s="85" t="s">
        <v>19</v>
      </c>
      <c r="C2045" s="85" t="s">
        <v>19</v>
      </c>
      <c r="D2045" s="86"/>
      <c r="E2045" s="116" t="str">
        <f t="shared" si="96"/>
        <v>-</v>
      </c>
      <c r="F2045" s="85"/>
      <c r="G2045" s="85" t="s">
        <v>19</v>
      </c>
      <c r="H2045" s="85"/>
      <c r="I2045" s="85"/>
      <c r="J2045" s="87"/>
      <c r="K2045" s="88">
        <f t="shared" si="97"/>
        <v>0</v>
      </c>
      <c r="L2045" s="85"/>
    </row>
    <row r="2046" spans="1:12" hidden="1" x14ac:dyDescent="0.2">
      <c r="A2046" s="84" t="str">
        <f t="shared" si="95"/>
        <v>SelecioneSelecioneSelecione</v>
      </c>
      <c r="B2046" s="85" t="s">
        <v>19</v>
      </c>
      <c r="C2046" s="85" t="s">
        <v>19</v>
      </c>
      <c r="D2046" s="86"/>
      <c r="E2046" s="116" t="str">
        <f t="shared" si="96"/>
        <v>-</v>
      </c>
      <c r="F2046" s="85"/>
      <c r="G2046" s="85" t="s">
        <v>19</v>
      </c>
      <c r="H2046" s="85"/>
      <c r="I2046" s="85"/>
      <c r="J2046" s="87"/>
      <c r="K2046" s="88">
        <f t="shared" si="97"/>
        <v>0</v>
      </c>
      <c r="L2046" s="85"/>
    </row>
    <row r="2047" spans="1:12" hidden="1" x14ac:dyDescent="0.2">
      <c r="A2047" s="84" t="str">
        <f t="shared" si="95"/>
        <v>SelecioneSelecioneSelecione</v>
      </c>
      <c r="B2047" s="85" t="s">
        <v>19</v>
      </c>
      <c r="C2047" s="85" t="s">
        <v>19</v>
      </c>
      <c r="D2047" s="86"/>
      <c r="E2047" s="116" t="str">
        <f t="shared" si="96"/>
        <v>-</v>
      </c>
      <c r="F2047" s="85"/>
      <c r="G2047" s="85" t="s">
        <v>19</v>
      </c>
      <c r="H2047" s="85"/>
      <c r="I2047" s="85"/>
      <c r="J2047" s="87"/>
      <c r="K2047" s="88">
        <f t="shared" si="97"/>
        <v>0</v>
      </c>
      <c r="L2047" s="85"/>
    </row>
    <row r="2048" spans="1:12" hidden="1" x14ac:dyDescent="0.2">
      <c r="A2048" s="84" t="str">
        <f t="shared" si="95"/>
        <v>SelecioneSelecioneSelecione</v>
      </c>
      <c r="B2048" s="85" t="s">
        <v>19</v>
      </c>
      <c r="C2048" s="85" t="s">
        <v>19</v>
      </c>
      <c r="D2048" s="86"/>
      <c r="E2048" s="116" t="str">
        <f t="shared" si="96"/>
        <v>-</v>
      </c>
      <c r="F2048" s="85"/>
      <c r="G2048" s="85" t="s">
        <v>19</v>
      </c>
      <c r="H2048" s="85"/>
      <c r="I2048" s="85"/>
      <c r="J2048" s="87"/>
      <c r="K2048" s="88">
        <f t="shared" si="97"/>
        <v>0</v>
      </c>
      <c r="L2048" s="85"/>
    </row>
    <row r="2049" spans="1:12" hidden="1" x14ac:dyDescent="0.2">
      <c r="A2049" s="84" t="str">
        <f t="shared" si="95"/>
        <v>SelecioneSelecioneSelecione</v>
      </c>
      <c r="B2049" s="85" t="s">
        <v>19</v>
      </c>
      <c r="C2049" s="85" t="s">
        <v>19</v>
      </c>
      <c r="D2049" s="86"/>
      <c r="E2049" s="116" t="str">
        <f t="shared" si="96"/>
        <v>-</v>
      </c>
      <c r="F2049" s="85"/>
      <c r="G2049" s="85" t="s">
        <v>19</v>
      </c>
      <c r="H2049" s="85"/>
      <c r="I2049" s="85"/>
      <c r="J2049" s="87"/>
      <c r="K2049" s="88">
        <f t="shared" si="97"/>
        <v>0</v>
      </c>
      <c r="L2049" s="85"/>
    </row>
    <row r="2050" spans="1:12" hidden="1" x14ac:dyDescent="0.2">
      <c r="A2050" s="84" t="str">
        <f t="shared" ref="A2050:A2113" si="98">CONCATENATE(B2050,C2050,G2050)</f>
        <v>SelecioneSelecioneSelecione</v>
      </c>
      <c r="B2050" s="85" t="s">
        <v>19</v>
      </c>
      <c r="C2050" s="85" t="s">
        <v>19</v>
      </c>
      <c r="D2050" s="86"/>
      <c r="E2050" s="116" t="str">
        <f t="shared" ref="E2050:E2113" si="99">VLOOKUP(G2050,$M$1:$O$993,3,0)</f>
        <v>-</v>
      </c>
      <c r="F2050" s="85"/>
      <c r="G2050" s="85" t="s">
        <v>19</v>
      </c>
      <c r="H2050" s="85"/>
      <c r="I2050" s="85"/>
      <c r="J2050" s="87"/>
      <c r="K2050" s="88">
        <f t="shared" ref="K2050:K2113" si="100">I2050*J2050</f>
        <v>0</v>
      </c>
      <c r="L2050" s="85"/>
    </row>
    <row r="2051" spans="1:12" hidden="1" x14ac:dyDescent="0.2">
      <c r="A2051" s="84" t="str">
        <f t="shared" si="98"/>
        <v>SelecioneSelecioneSelecione</v>
      </c>
      <c r="B2051" s="85" t="s">
        <v>19</v>
      </c>
      <c r="C2051" s="85" t="s">
        <v>19</v>
      </c>
      <c r="D2051" s="86"/>
      <c r="E2051" s="116" t="str">
        <f t="shared" si="99"/>
        <v>-</v>
      </c>
      <c r="F2051" s="85"/>
      <c r="G2051" s="85" t="s">
        <v>19</v>
      </c>
      <c r="H2051" s="85"/>
      <c r="I2051" s="85"/>
      <c r="J2051" s="87"/>
      <c r="K2051" s="88">
        <f t="shared" si="100"/>
        <v>0</v>
      </c>
      <c r="L2051" s="85"/>
    </row>
    <row r="2052" spans="1:12" hidden="1" x14ac:dyDescent="0.2">
      <c r="A2052" s="84" t="str">
        <f t="shared" si="98"/>
        <v>SelecioneSelecioneSelecione</v>
      </c>
      <c r="B2052" s="85" t="s">
        <v>19</v>
      </c>
      <c r="C2052" s="85" t="s">
        <v>19</v>
      </c>
      <c r="D2052" s="86"/>
      <c r="E2052" s="116" t="str">
        <f t="shared" si="99"/>
        <v>-</v>
      </c>
      <c r="F2052" s="85"/>
      <c r="G2052" s="85" t="s">
        <v>19</v>
      </c>
      <c r="H2052" s="85"/>
      <c r="I2052" s="85"/>
      <c r="J2052" s="87"/>
      <c r="K2052" s="88">
        <f t="shared" si="100"/>
        <v>0</v>
      </c>
      <c r="L2052" s="85"/>
    </row>
    <row r="2053" spans="1:12" hidden="1" x14ac:dyDescent="0.2">
      <c r="A2053" s="84" t="str">
        <f t="shared" si="98"/>
        <v>SelecioneSelecioneSelecione</v>
      </c>
      <c r="B2053" s="85" t="s">
        <v>19</v>
      </c>
      <c r="C2053" s="85" t="s">
        <v>19</v>
      </c>
      <c r="D2053" s="86"/>
      <c r="E2053" s="116" t="str">
        <f t="shared" si="99"/>
        <v>-</v>
      </c>
      <c r="F2053" s="85"/>
      <c r="G2053" s="85" t="s">
        <v>19</v>
      </c>
      <c r="H2053" s="85"/>
      <c r="I2053" s="85"/>
      <c r="J2053" s="87"/>
      <c r="K2053" s="88">
        <f t="shared" si="100"/>
        <v>0</v>
      </c>
      <c r="L2053" s="85"/>
    </row>
    <row r="2054" spans="1:12" hidden="1" x14ac:dyDescent="0.2">
      <c r="A2054" s="84" t="str">
        <f t="shared" si="98"/>
        <v>SelecioneSelecioneSelecione</v>
      </c>
      <c r="B2054" s="85" t="s">
        <v>19</v>
      </c>
      <c r="C2054" s="85" t="s">
        <v>19</v>
      </c>
      <c r="D2054" s="86"/>
      <c r="E2054" s="116" t="str">
        <f t="shared" si="99"/>
        <v>-</v>
      </c>
      <c r="F2054" s="85"/>
      <c r="G2054" s="85" t="s">
        <v>19</v>
      </c>
      <c r="H2054" s="85"/>
      <c r="I2054" s="85"/>
      <c r="J2054" s="87"/>
      <c r="K2054" s="88">
        <f t="shared" si="100"/>
        <v>0</v>
      </c>
      <c r="L2054" s="85"/>
    </row>
    <row r="2055" spans="1:12" hidden="1" x14ac:dyDescent="0.2">
      <c r="A2055" s="84" t="str">
        <f t="shared" si="98"/>
        <v>SelecioneSelecioneSelecione</v>
      </c>
      <c r="B2055" s="85" t="s">
        <v>19</v>
      </c>
      <c r="C2055" s="85" t="s">
        <v>19</v>
      </c>
      <c r="D2055" s="86"/>
      <c r="E2055" s="116" t="str">
        <f t="shared" si="99"/>
        <v>-</v>
      </c>
      <c r="F2055" s="85"/>
      <c r="G2055" s="85" t="s">
        <v>19</v>
      </c>
      <c r="H2055" s="85"/>
      <c r="I2055" s="85"/>
      <c r="J2055" s="87"/>
      <c r="K2055" s="88">
        <f t="shared" si="100"/>
        <v>0</v>
      </c>
      <c r="L2055" s="85"/>
    </row>
    <row r="2056" spans="1:12" hidden="1" x14ac:dyDescent="0.2">
      <c r="A2056" s="84" t="str">
        <f t="shared" si="98"/>
        <v>SelecioneSelecioneSelecione</v>
      </c>
      <c r="B2056" s="85" t="s">
        <v>19</v>
      </c>
      <c r="C2056" s="85" t="s">
        <v>19</v>
      </c>
      <c r="D2056" s="86"/>
      <c r="E2056" s="116" t="str">
        <f t="shared" si="99"/>
        <v>-</v>
      </c>
      <c r="F2056" s="85"/>
      <c r="G2056" s="85" t="s">
        <v>19</v>
      </c>
      <c r="H2056" s="85"/>
      <c r="I2056" s="85"/>
      <c r="J2056" s="87"/>
      <c r="K2056" s="88">
        <f t="shared" si="100"/>
        <v>0</v>
      </c>
      <c r="L2056" s="85"/>
    </row>
    <row r="2057" spans="1:12" hidden="1" x14ac:dyDescent="0.2">
      <c r="A2057" s="84" t="str">
        <f t="shared" si="98"/>
        <v>SelecioneSelecioneSelecione</v>
      </c>
      <c r="B2057" s="85" t="s">
        <v>19</v>
      </c>
      <c r="C2057" s="85" t="s">
        <v>19</v>
      </c>
      <c r="D2057" s="86"/>
      <c r="E2057" s="116" t="str">
        <f t="shared" si="99"/>
        <v>-</v>
      </c>
      <c r="F2057" s="85"/>
      <c r="G2057" s="85" t="s">
        <v>19</v>
      </c>
      <c r="H2057" s="85"/>
      <c r="I2057" s="85"/>
      <c r="J2057" s="87"/>
      <c r="K2057" s="88">
        <f t="shared" si="100"/>
        <v>0</v>
      </c>
      <c r="L2057" s="85"/>
    </row>
    <row r="2058" spans="1:12" hidden="1" x14ac:dyDescent="0.2">
      <c r="A2058" s="84" t="str">
        <f t="shared" si="98"/>
        <v>SelecioneSelecioneSelecione</v>
      </c>
      <c r="B2058" s="85" t="s">
        <v>19</v>
      </c>
      <c r="C2058" s="85" t="s">
        <v>19</v>
      </c>
      <c r="D2058" s="86"/>
      <c r="E2058" s="116" t="str">
        <f t="shared" si="99"/>
        <v>-</v>
      </c>
      <c r="F2058" s="85"/>
      <c r="G2058" s="85" t="s">
        <v>19</v>
      </c>
      <c r="H2058" s="85"/>
      <c r="I2058" s="85"/>
      <c r="J2058" s="87"/>
      <c r="K2058" s="88">
        <f t="shared" si="100"/>
        <v>0</v>
      </c>
      <c r="L2058" s="85"/>
    </row>
    <row r="2059" spans="1:12" hidden="1" x14ac:dyDescent="0.2">
      <c r="A2059" s="84" t="str">
        <f t="shared" si="98"/>
        <v>SelecioneSelecioneSelecione</v>
      </c>
      <c r="B2059" s="85" t="s">
        <v>19</v>
      </c>
      <c r="C2059" s="85" t="s">
        <v>19</v>
      </c>
      <c r="D2059" s="86"/>
      <c r="E2059" s="116" t="str">
        <f t="shared" si="99"/>
        <v>-</v>
      </c>
      <c r="F2059" s="85"/>
      <c r="G2059" s="85" t="s">
        <v>19</v>
      </c>
      <c r="H2059" s="85"/>
      <c r="I2059" s="85"/>
      <c r="J2059" s="87"/>
      <c r="K2059" s="88">
        <f t="shared" si="100"/>
        <v>0</v>
      </c>
      <c r="L2059" s="85"/>
    </row>
    <row r="2060" spans="1:12" hidden="1" x14ac:dyDescent="0.2">
      <c r="A2060" s="84" t="str">
        <f t="shared" si="98"/>
        <v>SelecioneSelecioneSelecione</v>
      </c>
      <c r="B2060" s="85" t="s">
        <v>19</v>
      </c>
      <c r="C2060" s="85" t="s">
        <v>19</v>
      </c>
      <c r="D2060" s="86"/>
      <c r="E2060" s="116" t="str">
        <f t="shared" si="99"/>
        <v>-</v>
      </c>
      <c r="F2060" s="85"/>
      <c r="G2060" s="85" t="s">
        <v>19</v>
      </c>
      <c r="H2060" s="85"/>
      <c r="I2060" s="85"/>
      <c r="J2060" s="87"/>
      <c r="K2060" s="88">
        <f t="shared" si="100"/>
        <v>0</v>
      </c>
      <c r="L2060" s="85"/>
    </row>
    <row r="2061" spans="1:12" hidden="1" x14ac:dyDescent="0.2">
      <c r="A2061" s="84" t="str">
        <f t="shared" si="98"/>
        <v>SelecioneSelecioneSelecione</v>
      </c>
      <c r="B2061" s="85" t="s">
        <v>19</v>
      </c>
      <c r="C2061" s="85" t="s">
        <v>19</v>
      </c>
      <c r="D2061" s="86"/>
      <c r="E2061" s="116" t="str">
        <f t="shared" si="99"/>
        <v>-</v>
      </c>
      <c r="F2061" s="85"/>
      <c r="G2061" s="85" t="s">
        <v>19</v>
      </c>
      <c r="H2061" s="85"/>
      <c r="I2061" s="85"/>
      <c r="J2061" s="87"/>
      <c r="K2061" s="88">
        <f t="shared" si="100"/>
        <v>0</v>
      </c>
      <c r="L2061" s="85"/>
    </row>
    <row r="2062" spans="1:12" hidden="1" x14ac:dyDescent="0.2">
      <c r="A2062" s="84" t="str">
        <f t="shared" si="98"/>
        <v>SelecioneSelecioneSelecione</v>
      </c>
      <c r="B2062" s="85" t="s">
        <v>19</v>
      </c>
      <c r="C2062" s="85" t="s">
        <v>19</v>
      </c>
      <c r="D2062" s="93"/>
      <c r="E2062" s="116" t="str">
        <f t="shared" si="99"/>
        <v>-</v>
      </c>
      <c r="F2062" s="90"/>
      <c r="G2062" s="85" t="s">
        <v>19</v>
      </c>
      <c r="H2062" s="85"/>
      <c r="I2062" s="90"/>
      <c r="J2062" s="89"/>
      <c r="K2062" s="88">
        <f t="shared" si="100"/>
        <v>0</v>
      </c>
      <c r="L2062" s="90"/>
    </row>
    <row r="2063" spans="1:12" hidden="1" x14ac:dyDescent="0.2">
      <c r="A2063" s="84" t="str">
        <f t="shared" si="98"/>
        <v>SelecioneSelecioneSelecione</v>
      </c>
      <c r="B2063" s="85" t="s">
        <v>19</v>
      </c>
      <c r="C2063" s="85" t="s">
        <v>19</v>
      </c>
      <c r="D2063" s="86"/>
      <c r="E2063" s="116" t="str">
        <f t="shared" si="99"/>
        <v>-</v>
      </c>
      <c r="F2063" s="85"/>
      <c r="G2063" s="85" t="s">
        <v>19</v>
      </c>
      <c r="H2063" s="85"/>
      <c r="I2063" s="85"/>
      <c r="J2063" s="87"/>
      <c r="K2063" s="88">
        <f t="shared" si="100"/>
        <v>0</v>
      </c>
      <c r="L2063" s="85"/>
    </row>
    <row r="2064" spans="1:12" hidden="1" x14ac:dyDescent="0.2">
      <c r="A2064" s="84" t="str">
        <f t="shared" si="98"/>
        <v>SelecioneSelecioneSelecione</v>
      </c>
      <c r="B2064" s="85" t="s">
        <v>19</v>
      </c>
      <c r="C2064" s="85" t="s">
        <v>19</v>
      </c>
      <c r="D2064" s="86"/>
      <c r="E2064" s="116" t="str">
        <f t="shared" si="99"/>
        <v>-</v>
      </c>
      <c r="F2064" s="85"/>
      <c r="G2064" s="85" t="s">
        <v>19</v>
      </c>
      <c r="H2064" s="85"/>
      <c r="I2064" s="85"/>
      <c r="J2064" s="87"/>
      <c r="K2064" s="88">
        <f t="shared" si="100"/>
        <v>0</v>
      </c>
      <c r="L2064" s="85"/>
    </row>
    <row r="2065" spans="1:12" hidden="1" x14ac:dyDescent="0.2">
      <c r="A2065" s="84" t="str">
        <f t="shared" si="98"/>
        <v>SelecioneSelecioneSelecione</v>
      </c>
      <c r="B2065" s="85" t="s">
        <v>19</v>
      </c>
      <c r="C2065" s="85" t="s">
        <v>19</v>
      </c>
      <c r="D2065" s="86"/>
      <c r="E2065" s="116" t="str">
        <f t="shared" si="99"/>
        <v>-</v>
      </c>
      <c r="F2065" s="85"/>
      <c r="G2065" s="85" t="s">
        <v>19</v>
      </c>
      <c r="H2065" s="85"/>
      <c r="I2065" s="85"/>
      <c r="J2065" s="87"/>
      <c r="K2065" s="88">
        <f t="shared" si="100"/>
        <v>0</v>
      </c>
      <c r="L2065" s="85"/>
    </row>
    <row r="2066" spans="1:12" hidden="1" x14ac:dyDescent="0.2">
      <c r="A2066" s="84" t="str">
        <f t="shared" si="98"/>
        <v>SelecioneSelecioneSelecione</v>
      </c>
      <c r="B2066" s="85" t="s">
        <v>19</v>
      </c>
      <c r="C2066" s="85" t="s">
        <v>19</v>
      </c>
      <c r="D2066" s="86"/>
      <c r="E2066" s="116" t="str">
        <f t="shared" si="99"/>
        <v>-</v>
      </c>
      <c r="F2066" s="85"/>
      <c r="G2066" s="85" t="s">
        <v>19</v>
      </c>
      <c r="H2066" s="85"/>
      <c r="I2066" s="85"/>
      <c r="J2066" s="87"/>
      <c r="K2066" s="88">
        <f t="shared" si="100"/>
        <v>0</v>
      </c>
      <c r="L2066" s="85"/>
    </row>
    <row r="2067" spans="1:12" hidden="1" x14ac:dyDescent="0.2">
      <c r="A2067" s="84" t="str">
        <f t="shared" si="98"/>
        <v>SelecioneSelecioneSelecione</v>
      </c>
      <c r="B2067" s="85" t="s">
        <v>19</v>
      </c>
      <c r="C2067" s="85" t="s">
        <v>19</v>
      </c>
      <c r="D2067" s="86"/>
      <c r="E2067" s="116" t="str">
        <f t="shared" si="99"/>
        <v>-</v>
      </c>
      <c r="F2067" s="85"/>
      <c r="G2067" s="85" t="s">
        <v>19</v>
      </c>
      <c r="H2067" s="85"/>
      <c r="I2067" s="85"/>
      <c r="J2067" s="87"/>
      <c r="K2067" s="88">
        <f t="shared" si="100"/>
        <v>0</v>
      </c>
      <c r="L2067" s="85"/>
    </row>
    <row r="2068" spans="1:12" hidden="1" x14ac:dyDescent="0.2">
      <c r="A2068" s="84" t="str">
        <f t="shared" si="98"/>
        <v>SelecioneSelecioneSelecione</v>
      </c>
      <c r="B2068" s="85" t="s">
        <v>19</v>
      </c>
      <c r="C2068" s="85" t="s">
        <v>19</v>
      </c>
      <c r="D2068" s="86"/>
      <c r="E2068" s="116" t="str">
        <f t="shared" si="99"/>
        <v>-</v>
      </c>
      <c r="F2068" s="85"/>
      <c r="G2068" s="85" t="s">
        <v>19</v>
      </c>
      <c r="H2068" s="85"/>
      <c r="I2068" s="85"/>
      <c r="J2068" s="87"/>
      <c r="K2068" s="88">
        <f t="shared" si="100"/>
        <v>0</v>
      </c>
      <c r="L2068" s="85"/>
    </row>
    <row r="2069" spans="1:12" hidden="1" x14ac:dyDescent="0.2">
      <c r="A2069" s="84" t="str">
        <f t="shared" si="98"/>
        <v>SelecioneSelecioneSelecione</v>
      </c>
      <c r="B2069" s="85" t="s">
        <v>19</v>
      </c>
      <c r="C2069" s="85" t="s">
        <v>19</v>
      </c>
      <c r="D2069" s="86"/>
      <c r="E2069" s="116" t="str">
        <f t="shared" si="99"/>
        <v>-</v>
      </c>
      <c r="F2069" s="85"/>
      <c r="G2069" s="85" t="s">
        <v>19</v>
      </c>
      <c r="H2069" s="85"/>
      <c r="I2069" s="85"/>
      <c r="J2069" s="87"/>
      <c r="K2069" s="88">
        <f t="shared" si="100"/>
        <v>0</v>
      </c>
      <c r="L2069" s="85"/>
    </row>
    <row r="2070" spans="1:12" hidden="1" x14ac:dyDescent="0.2">
      <c r="A2070" s="84" t="str">
        <f t="shared" si="98"/>
        <v>SelecioneSelecioneSelecione</v>
      </c>
      <c r="B2070" s="85" t="s">
        <v>19</v>
      </c>
      <c r="C2070" s="85" t="s">
        <v>19</v>
      </c>
      <c r="D2070" s="86"/>
      <c r="E2070" s="116" t="str">
        <f t="shared" si="99"/>
        <v>-</v>
      </c>
      <c r="F2070" s="85"/>
      <c r="G2070" s="85" t="s">
        <v>19</v>
      </c>
      <c r="H2070" s="85"/>
      <c r="I2070" s="85"/>
      <c r="J2070" s="87"/>
      <c r="K2070" s="88">
        <f t="shared" si="100"/>
        <v>0</v>
      </c>
      <c r="L2070" s="85"/>
    </row>
    <row r="2071" spans="1:12" hidden="1" x14ac:dyDescent="0.2">
      <c r="A2071" s="84" t="str">
        <f t="shared" si="98"/>
        <v>SelecioneSelecioneSelecione</v>
      </c>
      <c r="B2071" s="85" t="s">
        <v>19</v>
      </c>
      <c r="C2071" s="85" t="s">
        <v>19</v>
      </c>
      <c r="D2071" s="86"/>
      <c r="E2071" s="116" t="str">
        <f t="shared" si="99"/>
        <v>-</v>
      </c>
      <c r="F2071" s="85"/>
      <c r="G2071" s="85" t="s">
        <v>19</v>
      </c>
      <c r="H2071" s="85"/>
      <c r="I2071" s="85"/>
      <c r="J2071" s="87"/>
      <c r="K2071" s="88">
        <f t="shared" si="100"/>
        <v>0</v>
      </c>
      <c r="L2071" s="85"/>
    </row>
    <row r="2072" spans="1:12" hidden="1" x14ac:dyDescent="0.2">
      <c r="A2072" s="84" t="str">
        <f t="shared" si="98"/>
        <v>SelecioneSelecioneSelecione</v>
      </c>
      <c r="B2072" s="85" t="s">
        <v>19</v>
      </c>
      <c r="C2072" s="85" t="s">
        <v>19</v>
      </c>
      <c r="D2072" s="86"/>
      <c r="E2072" s="116" t="str">
        <f t="shared" si="99"/>
        <v>-</v>
      </c>
      <c r="F2072" s="85"/>
      <c r="G2072" s="85" t="s">
        <v>19</v>
      </c>
      <c r="H2072" s="85"/>
      <c r="I2072" s="85"/>
      <c r="J2072" s="87"/>
      <c r="K2072" s="88">
        <f t="shared" si="100"/>
        <v>0</v>
      </c>
      <c r="L2072" s="85"/>
    </row>
    <row r="2073" spans="1:12" hidden="1" x14ac:dyDescent="0.2">
      <c r="A2073" s="84" t="str">
        <f t="shared" si="98"/>
        <v>SelecioneSelecioneSelecione</v>
      </c>
      <c r="B2073" s="85" t="s">
        <v>19</v>
      </c>
      <c r="C2073" s="85" t="s">
        <v>19</v>
      </c>
      <c r="D2073" s="86"/>
      <c r="E2073" s="116" t="str">
        <f t="shared" si="99"/>
        <v>-</v>
      </c>
      <c r="F2073" s="85"/>
      <c r="G2073" s="85" t="s">
        <v>19</v>
      </c>
      <c r="H2073" s="85"/>
      <c r="I2073" s="85"/>
      <c r="J2073" s="87"/>
      <c r="K2073" s="88">
        <f t="shared" si="100"/>
        <v>0</v>
      </c>
      <c r="L2073" s="85"/>
    </row>
    <row r="2074" spans="1:12" hidden="1" x14ac:dyDescent="0.2">
      <c r="A2074" s="84" t="str">
        <f t="shared" si="98"/>
        <v>SelecioneSelecioneSelecione</v>
      </c>
      <c r="B2074" s="85" t="s">
        <v>19</v>
      </c>
      <c r="C2074" s="85" t="s">
        <v>19</v>
      </c>
      <c r="D2074" s="86"/>
      <c r="E2074" s="116" t="str">
        <f t="shared" si="99"/>
        <v>-</v>
      </c>
      <c r="F2074" s="85"/>
      <c r="G2074" s="85" t="s">
        <v>19</v>
      </c>
      <c r="H2074" s="85"/>
      <c r="I2074" s="85"/>
      <c r="J2074" s="87"/>
      <c r="K2074" s="88">
        <f t="shared" si="100"/>
        <v>0</v>
      </c>
      <c r="L2074" s="85"/>
    </row>
    <row r="2075" spans="1:12" hidden="1" x14ac:dyDescent="0.2">
      <c r="A2075" s="84" t="str">
        <f t="shared" si="98"/>
        <v>SelecioneSelecioneSelecione</v>
      </c>
      <c r="B2075" s="85" t="s">
        <v>19</v>
      </c>
      <c r="C2075" s="85" t="s">
        <v>19</v>
      </c>
      <c r="D2075" s="86"/>
      <c r="E2075" s="116" t="str">
        <f t="shared" si="99"/>
        <v>-</v>
      </c>
      <c r="F2075" s="85"/>
      <c r="G2075" s="85" t="s">
        <v>19</v>
      </c>
      <c r="H2075" s="85"/>
      <c r="I2075" s="85"/>
      <c r="J2075" s="87"/>
      <c r="K2075" s="88">
        <f t="shared" si="100"/>
        <v>0</v>
      </c>
      <c r="L2075" s="85"/>
    </row>
    <row r="2076" spans="1:12" hidden="1" x14ac:dyDescent="0.2">
      <c r="A2076" s="84" t="str">
        <f t="shared" si="98"/>
        <v>SelecioneSelecioneSelecione</v>
      </c>
      <c r="B2076" s="85" t="s">
        <v>19</v>
      </c>
      <c r="C2076" s="85" t="s">
        <v>19</v>
      </c>
      <c r="D2076" s="86"/>
      <c r="E2076" s="116" t="str">
        <f t="shared" si="99"/>
        <v>-</v>
      </c>
      <c r="F2076" s="85"/>
      <c r="G2076" s="85" t="s">
        <v>19</v>
      </c>
      <c r="H2076" s="85"/>
      <c r="I2076" s="85"/>
      <c r="J2076" s="87"/>
      <c r="K2076" s="88">
        <f t="shared" si="100"/>
        <v>0</v>
      </c>
      <c r="L2076" s="85"/>
    </row>
    <row r="2077" spans="1:12" hidden="1" x14ac:dyDescent="0.2">
      <c r="A2077" s="84" t="str">
        <f t="shared" si="98"/>
        <v>SelecioneSelecioneSelecione</v>
      </c>
      <c r="B2077" s="85" t="s">
        <v>19</v>
      </c>
      <c r="C2077" s="85" t="s">
        <v>19</v>
      </c>
      <c r="D2077" s="86"/>
      <c r="E2077" s="116" t="str">
        <f t="shared" si="99"/>
        <v>-</v>
      </c>
      <c r="F2077" s="85"/>
      <c r="G2077" s="85" t="s">
        <v>19</v>
      </c>
      <c r="H2077" s="85"/>
      <c r="I2077" s="85"/>
      <c r="J2077" s="87"/>
      <c r="K2077" s="88">
        <f t="shared" si="100"/>
        <v>0</v>
      </c>
      <c r="L2077" s="85"/>
    </row>
    <row r="2078" spans="1:12" hidden="1" x14ac:dyDescent="0.2">
      <c r="A2078" s="84" t="str">
        <f t="shared" si="98"/>
        <v>SelecioneSelecioneSelecione</v>
      </c>
      <c r="B2078" s="85" t="s">
        <v>19</v>
      </c>
      <c r="C2078" s="85" t="s">
        <v>19</v>
      </c>
      <c r="D2078" s="86"/>
      <c r="E2078" s="116" t="str">
        <f t="shared" si="99"/>
        <v>-</v>
      </c>
      <c r="F2078" s="85"/>
      <c r="G2078" s="85" t="s">
        <v>19</v>
      </c>
      <c r="H2078" s="85"/>
      <c r="I2078" s="85"/>
      <c r="J2078" s="87"/>
      <c r="K2078" s="88">
        <f t="shared" si="100"/>
        <v>0</v>
      </c>
      <c r="L2078" s="85"/>
    </row>
    <row r="2079" spans="1:12" hidden="1" x14ac:dyDescent="0.2">
      <c r="A2079" s="84" t="str">
        <f t="shared" si="98"/>
        <v>SelecioneSelecioneSelecione</v>
      </c>
      <c r="B2079" s="85" t="s">
        <v>19</v>
      </c>
      <c r="C2079" s="85" t="s">
        <v>19</v>
      </c>
      <c r="D2079" s="86"/>
      <c r="E2079" s="116" t="str">
        <f t="shared" si="99"/>
        <v>-</v>
      </c>
      <c r="F2079" s="85"/>
      <c r="G2079" s="85" t="s">
        <v>19</v>
      </c>
      <c r="H2079" s="85"/>
      <c r="I2079" s="85"/>
      <c r="J2079" s="87"/>
      <c r="K2079" s="88">
        <f t="shared" si="100"/>
        <v>0</v>
      </c>
      <c r="L2079" s="85"/>
    </row>
    <row r="2080" spans="1:12" hidden="1" x14ac:dyDescent="0.2">
      <c r="A2080" s="84" t="str">
        <f t="shared" si="98"/>
        <v>SelecioneSelecioneSelecione</v>
      </c>
      <c r="B2080" s="85" t="s">
        <v>19</v>
      </c>
      <c r="C2080" s="85" t="s">
        <v>19</v>
      </c>
      <c r="D2080" s="86"/>
      <c r="E2080" s="116" t="str">
        <f t="shared" si="99"/>
        <v>-</v>
      </c>
      <c r="F2080" s="85"/>
      <c r="G2080" s="85" t="s">
        <v>19</v>
      </c>
      <c r="H2080" s="85"/>
      <c r="I2080" s="85"/>
      <c r="J2080" s="87"/>
      <c r="K2080" s="88">
        <f t="shared" si="100"/>
        <v>0</v>
      </c>
      <c r="L2080" s="85"/>
    </row>
    <row r="2081" spans="1:12" hidden="1" x14ac:dyDescent="0.2">
      <c r="A2081" s="84" t="str">
        <f t="shared" si="98"/>
        <v>SelecioneSelecioneSelecione</v>
      </c>
      <c r="B2081" s="85" t="s">
        <v>19</v>
      </c>
      <c r="C2081" s="85" t="s">
        <v>19</v>
      </c>
      <c r="D2081" s="86"/>
      <c r="E2081" s="116" t="str">
        <f t="shared" si="99"/>
        <v>-</v>
      </c>
      <c r="F2081" s="85"/>
      <c r="G2081" s="85" t="s">
        <v>19</v>
      </c>
      <c r="H2081" s="85"/>
      <c r="I2081" s="85"/>
      <c r="J2081" s="87"/>
      <c r="K2081" s="88">
        <f t="shared" si="100"/>
        <v>0</v>
      </c>
      <c r="L2081" s="85"/>
    </row>
    <row r="2082" spans="1:12" hidden="1" x14ac:dyDescent="0.2">
      <c r="A2082" s="84" t="str">
        <f t="shared" si="98"/>
        <v>SelecioneSelecioneSelecione</v>
      </c>
      <c r="B2082" s="85" t="s">
        <v>19</v>
      </c>
      <c r="C2082" s="85" t="s">
        <v>19</v>
      </c>
      <c r="D2082" s="86"/>
      <c r="E2082" s="116" t="str">
        <f t="shared" si="99"/>
        <v>-</v>
      </c>
      <c r="F2082" s="85"/>
      <c r="G2082" s="85" t="s">
        <v>19</v>
      </c>
      <c r="H2082" s="85"/>
      <c r="I2082" s="85"/>
      <c r="J2082" s="87"/>
      <c r="K2082" s="88">
        <f t="shared" si="100"/>
        <v>0</v>
      </c>
      <c r="L2082" s="85"/>
    </row>
    <row r="2083" spans="1:12" hidden="1" x14ac:dyDescent="0.2">
      <c r="A2083" s="84" t="str">
        <f t="shared" si="98"/>
        <v>SelecioneSelecioneSelecione</v>
      </c>
      <c r="B2083" s="85" t="s">
        <v>19</v>
      </c>
      <c r="C2083" s="85" t="s">
        <v>19</v>
      </c>
      <c r="D2083" s="86"/>
      <c r="E2083" s="116" t="str">
        <f t="shared" si="99"/>
        <v>-</v>
      </c>
      <c r="F2083" s="85"/>
      <c r="G2083" s="85" t="s">
        <v>19</v>
      </c>
      <c r="H2083" s="85"/>
      <c r="I2083" s="85"/>
      <c r="J2083" s="87"/>
      <c r="K2083" s="88">
        <f t="shared" si="100"/>
        <v>0</v>
      </c>
      <c r="L2083" s="85"/>
    </row>
    <row r="2084" spans="1:12" hidden="1" x14ac:dyDescent="0.2">
      <c r="A2084" s="84" t="str">
        <f t="shared" si="98"/>
        <v>SelecioneSelecioneSelecione</v>
      </c>
      <c r="B2084" s="85" t="s">
        <v>19</v>
      </c>
      <c r="C2084" s="85" t="s">
        <v>19</v>
      </c>
      <c r="D2084" s="86"/>
      <c r="E2084" s="116" t="str">
        <f t="shared" si="99"/>
        <v>-</v>
      </c>
      <c r="F2084" s="85"/>
      <c r="G2084" s="85" t="s">
        <v>19</v>
      </c>
      <c r="H2084" s="85"/>
      <c r="I2084" s="85"/>
      <c r="J2084" s="87"/>
      <c r="K2084" s="88">
        <f t="shared" si="100"/>
        <v>0</v>
      </c>
      <c r="L2084" s="85"/>
    </row>
    <row r="2085" spans="1:12" hidden="1" x14ac:dyDescent="0.2">
      <c r="A2085" s="84" t="str">
        <f t="shared" si="98"/>
        <v>SelecioneSelecioneSelecione</v>
      </c>
      <c r="B2085" s="85" t="s">
        <v>19</v>
      </c>
      <c r="C2085" s="85" t="s">
        <v>19</v>
      </c>
      <c r="D2085" s="86"/>
      <c r="E2085" s="116" t="str">
        <f t="shared" si="99"/>
        <v>-</v>
      </c>
      <c r="F2085" s="85"/>
      <c r="G2085" s="85" t="s">
        <v>19</v>
      </c>
      <c r="H2085" s="85"/>
      <c r="I2085" s="85"/>
      <c r="J2085" s="87"/>
      <c r="K2085" s="88">
        <f t="shared" si="100"/>
        <v>0</v>
      </c>
      <c r="L2085" s="85"/>
    </row>
    <row r="2086" spans="1:12" hidden="1" x14ac:dyDescent="0.2">
      <c r="A2086" s="84" t="str">
        <f t="shared" si="98"/>
        <v>SelecioneSelecioneSelecione</v>
      </c>
      <c r="B2086" s="85" t="s">
        <v>19</v>
      </c>
      <c r="C2086" s="85" t="s">
        <v>19</v>
      </c>
      <c r="D2086" s="86"/>
      <c r="E2086" s="116" t="str">
        <f t="shared" si="99"/>
        <v>-</v>
      </c>
      <c r="F2086" s="85"/>
      <c r="G2086" s="85" t="s">
        <v>19</v>
      </c>
      <c r="H2086" s="85"/>
      <c r="I2086" s="85"/>
      <c r="J2086" s="87"/>
      <c r="K2086" s="88">
        <f t="shared" si="100"/>
        <v>0</v>
      </c>
      <c r="L2086" s="85"/>
    </row>
    <row r="2087" spans="1:12" hidden="1" x14ac:dyDescent="0.2">
      <c r="A2087" s="84" t="str">
        <f t="shared" si="98"/>
        <v>SelecioneSelecioneSelecione</v>
      </c>
      <c r="B2087" s="85" t="s">
        <v>19</v>
      </c>
      <c r="C2087" s="85" t="s">
        <v>19</v>
      </c>
      <c r="D2087" s="86"/>
      <c r="E2087" s="116" t="str">
        <f t="shared" si="99"/>
        <v>-</v>
      </c>
      <c r="F2087" s="85"/>
      <c r="G2087" s="85" t="s">
        <v>19</v>
      </c>
      <c r="H2087" s="85"/>
      <c r="I2087" s="85"/>
      <c r="J2087" s="87"/>
      <c r="K2087" s="88">
        <f t="shared" si="100"/>
        <v>0</v>
      </c>
      <c r="L2087" s="85"/>
    </row>
    <row r="2088" spans="1:12" hidden="1" x14ac:dyDescent="0.2">
      <c r="A2088" s="84" t="str">
        <f t="shared" si="98"/>
        <v>SelecioneSelecioneSelecione</v>
      </c>
      <c r="B2088" s="85" t="s">
        <v>19</v>
      </c>
      <c r="C2088" s="85" t="s">
        <v>19</v>
      </c>
      <c r="D2088" s="86"/>
      <c r="E2088" s="116" t="str">
        <f t="shared" si="99"/>
        <v>-</v>
      </c>
      <c r="F2088" s="85"/>
      <c r="G2088" s="85" t="s">
        <v>19</v>
      </c>
      <c r="H2088" s="85"/>
      <c r="I2088" s="85"/>
      <c r="J2088" s="87"/>
      <c r="K2088" s="88">
        <f t="shared" si="100"/>
        <v>0</v>
      </c>
      <c r="L2088" s="85"/>
    </row>
    <row r="2089" spans="1:12" hidden="1" x14ac:dyDescent="0.2">
      <c r="A2089" s="84" t="str">
        <f t="shared" si="98"/>
        <v>SelecioneSelecioneSelecione</v>
      </c>
      <c r="B2089" s="85" t="s">
        <v>19</v>
      </c>
      <c r="C2089" s="85" t="s">
        <v>19</v>
      </c>
      <c r="D2089" s="86"/>
      <c r="E2089" s="116" t="str">
        <f t="shared" si="99"/>
        <v>-</v>
      </c>
      <c r="F2089" s="85"/>
      <c r="G2089" s="85" t="s">
        <v>19</v>
      </c>
      <c r="H2089" s="85"/>
      <c r="I2089" s="85"/>
      <c r="J2089" s="87"/>
      <c r="K2089" s="88">
        <f t="shared" si="100"/>
        <v>0</v>
      </c>
      <c r="L2089" s="85"/>
    </row>
    <row r="2090" spans="1:12" hidden="1" x14ac:dyDescent="0.2">
      <c r="A2090" s="84" t="str">
        <f t="shared" si="98"/>
        <v>SelecioneSelecioneSelecione</v>
      </c>
      <c r="B2090" s="85" t="s">
        <v>19</v>
      </c>
      <c r="C2090" s="85" t="s">
        <v>19</v>
      </c>
      <c r="D2090" s="86"/>
      <c r="E2090" s="116" t="str">
        <f t="shared" si="99"/>
        <v>-</v>
      </c>
      <c r="F2090" s="85"/>
      <c r="G2090" s="85" t="s">
        <v>19</v>
      </c>
      <c r="H2090" s="85"/>
      <c r="I2090" s="85"/>
      <c r="J2090" s="87"/>
      <c r="K2090" s="88">
        <f t="shared" si="100"/>
        <v>0</v>
      </c>
      <c r="L2090" s="85"/>
    </row>
    <row r="2091" spans="1:12" hidden="1" x14ac:dyDescent="0.2">
      <c r="A2091" s="84" t="str">
        <f t="shared" si="98"/>
        <v>SelecioneSelecioneSelecione</v>
      </c>
      <c r="B2091" s="85" t="s">
        <v>19</v>
      </c>
      <c r="C2091" s="85" t="s">
        <v>19</v>
      </c>
      <c r="D2091" s="86"/>
      <c r="E2091" s="116" t="str">
        <f t="shared" si="99"/>
        <v>-</v>
      </c>
      <c r="F2091" s="85"/>
      <c r="G2091" s="85" t="s">
        <v>19</v>
      </c>
      <c r="H2091" s="85"/>
      <c r="I2091" s="85"/>
      <c r="J2091" s="87"/>
      <c r="K2091" s="88">
        <f t="shared" si="100"/>
        <v>0</v>
      </c>
      <c r="L2091" s="85"/>
    </row>
    <row r="2092" spans="1:12" hidden="1" x14ac:dyDescent="0.2">
      <c r="A2092" s="84" t="str">
        <f t="shared" si="98"/>
        <v>SelecioneSelecioneSelecione</v>
      </c>
      <c r="B2092" s="85" t="s">
        <v>19</v>
      </c>
      <c r="C2092" s="85" t="s">
        <v>19</v>
      </c>
      <c r="D2092" s="86"/>
      <c r="E2092" s="116" t="str">
        <f t="shared" si="99"/>
        <v>-</v>
      </c>
      <c r="F2092" s="85"/>
      <c r="G2092" s="85" t="s">
        <v>19</v>
      </c>
      <c r="H2092" s="85"/>
      <c r="I2092" s="85"/>
      <c r="J2092" s="87"/>
      <c r="K2092" s="88">
        <f t="shared" si="100"/>
        <v>0</v>
      </c>
      <c r="L2092" s="85"/>
    </row>
    <row r="2093" spans="1:12" hidden="1" x14ac:dyDescent="0.2">
      <c r="A2093" s="84" t="str">
        <f t="shared" si="98"/>
        <v>SelecioneSelecioneSelecione</v>
      </c>
      <c r="B2093" s="85" t="s">
        <v>19</v>
      </c>
      <c r="C2093" s="85" t="s">
        <v>19</v>
      </c>
      <c r="D2093" s="86"/>
      <c r="E2093" s="116" t="str">
        <f t="shared" si="99"/>
        <v>-</v>
      </c>
      <c r="F2093" s="85"/>
      <c r="G2093" s="85" t="s">
        <v>19</v>
      </c>
      <c r="H2093" s="85"/>
      <c r="I2093" s="85"/>
      <c r="J2093" s="87"/>
      <c r="K2093" s="88">
        <f t="shared" si="100"/>
        <v>0</v>
      </c>
      <c r="L2093" s="85"/>
    </row>
    <row r="2094" spans="1:12" hidden="1" x14ac:dyDescent="0.2">
      <c r="A2094" s="84" t="str">
        <f t="shared" si="98"/>
        <v>SelecioneSelecioneSelecione</v>
      </c>
      <c r="B2094" s="85" t="s">
        <v>19</v>
      </c>
      <c r="C2094" s="85" t="s">
        <v>19</v>
      </c>
      <c r="D2094" s="86"/>
      <c r="E2094" s="116" t="str">
        <f t="shared" si="99"/>
        <v>-</v>
      </c>
      <c r="F2094" s="85"/>
      <c r="G2094" s="85" t="s">
        <v>19</v>
      </c>
      <c r="H2094" s="85"/>
      <c r="I2094" s="85"/>
      <c r="J2094" s="87"/>
      <c r="K2094" s="88">
        <f t="shared" si="100"/>
        <v>0</v>
      </c>
      <c r="L2094" s="85"/>
    </row>
    <row r="2095" spans="1:12" hidden="1" x14ac:dyDescent="0.2">
      <c r="A2095" s="84" t="str">
        <f t="shared" si="98"/>
        <v>SelecioneSelecioneSelecione</v>
      </c>
      <c r="B2095" s="85" t="s">
        <v>19</v>
      </c>
      <c r="C2095" s="85" t="s">
        <v>19</v>
      </c>
      <c r="D2095" s="86"/>
      <c r="E2095" s="116" t="str">
        <f t="shared" si="99"/>
        <v>-</v>
      </c>
      <c r="F2095" s="85"/>
      <c r="G2095" s="85" t="s">
        <v>19</v>
      </c>
      <c r="H2095" s="85"/>
      <c r="I2095" s="85"/>
      <c r="J2095" s="87"/>
      <c r="K2095" s="88">
        <f t="shared" si="100"/>
        <v>0</v>
      </c>
      <c r="L2095" s="85"/>
    </row>
    <row r="2096" spans="1:12" hidden="1" x14ac:dyDescent="0.2">
      <c r="A2096" s="84" t="str">
        <f t="shared" si="98"/>
        <v>SelecioneSelecioneSelecione</v>
      </c>
      <c r="B2096" s="85" t="s">
        <v>19</v>
      </c>
      <c r="C2096" s="85" t="s">
        <v>19</v>
      </c>
      <c r="D2096" s="86"/>
      <c r="E2096" s="116" t="str">
        <f t="shared" si="99"/>
        <v>-</v>
      </c>
      <c r="F2096" s="85"/>
      <c r="G2096" s="85" t="s">
        <v>19</v>
      </c>
      <c r="H2096" s="85"/>
      <c r="I2096" s="85"/>
      <c r="J2096" s="87"/>
      <c r="K2096" s="88">
        <f t="shared" si="100"/>
        <v>0</v>
      </c>
      <c r="L2096" s="85"/>
    </row>
    <row r="2097" spans="1:12" hidden="1" x14ac:dyDescent="0.2">
      <c r="A2097" s="84" t="str">
        <f t="shared" si="98"/>
        <v>SelecioneSelecioneSelecione</v>
      </c>
      <c r="B2097" s="85" t="s">
        <v>19</v>
      </c>
      <c r="C2097" s="85" t="s">
        <v>19</v>
      </c>
      <c r="D2097" s="86"/>
      <c r="E2097" s="116" t="str">
        <f t="shared" si="99"/>
        <v>-</v>
      </c>
      <c r="F2097" s="85"/>
      <c r="G2097" s="85" t="s">
        <v>19</v>
      </c>
      <c r="H2097" s="85"/>
      <c r="I2097" s="85"/>
      <c r="J2097" s="87"/>
      <c r="K2097" s="88">
        <f t="shared" si="100"/>
        <v>0</v>
      </c>
      <c r="L2097" s="85"/>
    </row>
    <row r="2098" spans="1:12" hidden="1" x14ac:dyDescent="0.2">
      <c r="A2098" s="84" t="str">
        <f t="shared" si="98"/>
        <v>SelecioneSelecioneSelecione</v>
      </c>
      <c r="B2098" s="85" t="s">
        <v>19</v>
      </c>
      <c r="C2098" s="85" t="s">
        <v>19</v>
      </c>
      <c r="D2098" s="86"/>
      <c r="E2098" s="116" t="str">
        <f t="shared" si="99"/>
        <v>-</v>
      </c>
      <c r="F2098" s="85"/>
      <c r="G2098" s="85" t="s">
        <v>19</v>
      </c>
      <c r="H2098" s="85"/>
      <c r="I2098" s="85"/>
      <c r="J2098" s="87"/>
      <c r="K2098" s="88">
        <f t="shared" si="100"/>
        <v>0</v>
      </c>
      <c r="L2098" s="85"/>
    </row>
    <row r="2099" spans="1:12" hidden="1" x14ac:dyDescent="0.2">
      <c r="A2099" s="84" t="str">
        <f t="shared" si="98"/>
        <v>SelecioneSelecioneSelecione</v>
      </c>
      <c r="B2099" s="85" t="s">
        <v>19</v>
      </c>
      <c r="C2099" s="85" t="s">
        <v>19</v>
      </c>
      <c r="D2099" s="86"/>
      <c r="E2099" s="116" t="str">
        <f t="shared" si="99"/>
        <v>-</v>
      </c>
      <c r="F2099" s="85"/>
      <c r="G2099" s="85" t="s">
        <v>19</v>
      </c>
      <c r="H2099" s="85"/>
      <c r="I2099" s="85"/>
      <c r="J2099" s="87"/>
      <c r="K2099" s="88">
        <f t="shared" si="100"/>
        <v>0</v>
      </c>
      <c r="L2099" s="85"/>
    </row>
    <row r="2100" spans="1:12" hidden="1" x14ac:dyDescent="0.2">
      <c r="A2100" s="84" t="str">
        <f t="shared" si="98"/>
        <v>SelecioneSelecioneSelecione</v>
      </c>
      <c r="B2100" s="85" t="s">
        <v>19</v>
      </c>
      <c r="C2100" s="85" t="s">
        <v>19</v>
      </c>
      <c r="D2100" s="86"/>
      <c r="E2100" s="116" t="str">
        <f t="shared" si="99"/>
        <v>-</v>
      </c>
      <c r="F2100" s="85"/>
      <c r="G2100" s="85" t="s">
        <v>19</v>
      </c>
      <c r="H2100" s="85"/>
      <c r="I2100" s="85"/>
      <c r="J2100" s="87"/>
      <c r="K2100" s="88">
        <f t="shared" si="100"/>
        <v>0</v>
      </c>
      <c r="L2100" s="85"/>
    </row>
    <row r="2101" spans="1:12" hidden="1" x14ac:dyDescent="0.2">
      <c r="A2101" s="84" t="str">
        <f t="shared" si="98"/>
        <v>SelecioneSelecioneSelecione</v>
      </c>
      <c r="B2101" s="85" t="s">
        <v>19</v>
      </c>
      <c r="C2101" s="85" t="s">
        <v>19</v>
      </c>
      <c r="D2101" s="86"/>
      <c r="E2101" s="116" t="str">
        <f t="shared" si="99"/>
        <v>-</v>
      </c>
      <c r="F2101" s="85"/>
      <c r="G2101" s="85" t="s">
        <v>19</v>
      </c>
      <c r="H2101" s="85"/>
      <c r="I2101" s="85"/>
      <c r="J2101" s="87"/>
      <c r="K2101" s="88">
        <f t="shared" si="100"/>
        <v>0</v>
      </c>
      <c r="L2101" s="85"/>
    </row>
    <row r="2102" spans="1:12" hidden="1" x14ac:dyDescent="0.2">
      <c r="A2102" s="84" t="str">
        <f t="shared" si="98"/>
        <v>SelecioneSelecioneSelecione</v>
      </c>
      <c r="B2102" s="85" t="s">
        <v>19</v>
      </c>
      <c r="C2102" s="85" t="s">
        <v>19</v>
      </c>
      <c r="D2102" s="86"/>
      <c r="E2102" s="116" t="str">
        <f t="shared" si="99"/>
        <v>-</v>
      </c>
      <c r="F2102" s="85"/>
      <c r="G2102" s="85" t="s">
        <v>19</v>
      </c>
      <c r="H2102" s="85"/>
      <c r="I2102" s="85"/>
      <c r="J2102" s="87"/>
      <c r="K2102" s="88">
        <f t="shared" si="100"/>
        <v>0</v>
      </c>
      <c r="L2102" s="85"/>
    </row>
    <row r="2103" spans="1:12" hidden="1" x14ac:dyDescent="0.2">
      <c r="A2103" s="84" t="str">
        <f t="shared" si="98"/>
        <v>SelecioneSelecioneSelecione</v>
      </c>
      <c r="B2103" s="85" t="s">
        <v>19</v>
      </c>
      <c r="C2103" s="85" t="s">
        <v>19</v>
      </c>
      <c r="D2103" s="86"/>
      <c r="E2103" s="116" t="str">
        <f t="shared" si="99"/>
        <v>-</v>
      </c>
      <c r="F2103" s="85"/>
      <c r="G2103" s="85" t="s">
        <v>19</v>
      </c>
      <c r="H2103" s="85"/>
      <c r="I2103" s="85"/>
      <c r="J2103" s="87"/>
      <c r="K2103" s="88">
        <f t="shared" si="100"/>
        <v>0</v>
      </c>
      <c r="L2103" s="85"/>
    </row>
    <row r="2104" spans="1:12" hidden="1" x14ac:dyDescent="0.2">
      <c r="A2104" s="84" t="str">
        <f t="shared" si="98"/>
        <v>SelecioneSelecioneSelecione</v>
      </c>
      <c r="B2104" s="85" t="s">
        <v>19</v>
      </c>
      <c r="C2104" s="85" t="s">
        <v>19</v>
      </c>
      <c r="D2104" s="86"/>
      <c r="E2104" s="116" t="str">
        <f t="shared" si="99"/>
        <v>-</v>
      </c>
      <c r="F2104" s="85"/>
      <c r="G2104" s="85" t="s">
        <v>19</v>
      </c>
      <c r="H2104" s="85"/>
      <c r="I2104" s="85"/>
      <c r="J2104" s="87"/>
      <c r="K2104" s="88">
        <f t="shared" si="100"/>
        <v>0</v>
      </c>
      <c r="L2104" s="85"/>
    </row>
    <row r="2105" spans="1:12" hidden="1" x14ac:dyDescent="0.2">
      <c r="A2105" s="84" t="str">
        <f t="shared" si="98"/>
        <v>SelecioneSelecioneSelecione</v>
      </c>
      <c r="B2105" s="85" t="s">
        <v>19</v>
      </c>
      <c r="C2105" s="85" t="s">
        <v>19</v>
      </c>
      <c r="D2105" s="86"/>
      <c r="E2105" s="116" t="str">
        <f t="shared" si="99"/>
        <v>-</v>
      </c>
      <c r="F2105" s="85"/>
      <c r="G2105" s="85" t="s">
        <v>19</v>
      </c>
      <c r="H2105" s="85"/>
      <c r="I2105" s="85"/>
      <c r="J2105" s="87"/>
      <c r="K2105" s="88">
        <f t="shared" si="100"/>
        <v>0</v>
      </c>
      <c r="L2105" s="85"/>
    </row>
    <row r="2106" spans="1:12" hidden="1" x14ac:dyDescent="0.2">
      <c r="A2106" s="84" t="str">
        <f t="shared" si="98"/>
        <v>SelecioneSelecioneSelecione</v>
      </c>
      <c r="B2106" s="85" t="s">
        <v>19</v>
      </c>
      <c r="C2106" s="85" t="s">
        <v>19</v>
      </c>
      <c r="D2106" s="86"/>
      <c r="E2106" s="116" t="str">
        <f t="shared" si="99"/>
        <v>-</v>
      </c>
      <c r="F2106" s="85"/>
      <c r="G2106" s="85" t="s">
        <v>19</v>
      </c>
      <c r="H2106" s="85"/>
      <c r="I2106" s="85"/>
      <c r="J2106" s="87"/>
      <c r="K2106" s="88">
        <f t="shared" si="100"/>
        <v>0</v>
      </c>
      <c r="L2106" s="85"/>
    </row>
    <row r="2107" spans="1:12" hidden="1" x14ac:dyDescent="0.2">
      <c r="A2107" s="84" t="str">
        <f t="shared" si="98"/>
        <v>SelecioneSelecioneSelecione</v>
      </c>
      <c r="B2107" s="85" t="s">
        <v>19</v>
      </c>
      <c r="C2107" s="85" t="s">
        <v>19</v>
      </c>
      <c r="D2107" s="86"/>
      <c r="E2107" s="116" t="str">
        <f t="shared" si="99"/>
        <v>-</v>
      </c>
      <c r="F2107" s="85"/>
      <c r="G2107" s="85" t="s">
        <v>19</v>
      </c>
      <c r="H2107" s="85"/>
      <c r="I2107" s="85"/>
      <c r="J2107" s="87"/>
      <c r="K2107" s="88">
        <f t="shared" si="100"/>
        <v>0</v>
      </c>
      <c r="L2107" s="85"/>
    </row>
    <row r="2108" spans="1:12" hidden="1" x14ac:dyDescent="0.2">
      <c r="A2108" s="84" t="str">
        <f t="shared" si="98"/>
        <v>SelecioneSelecioneSelecione</v>
      </c>
      <c r="B2108" s="85" t="s">
        <v>19</v>
      </c>
      <c r="C2108" s="85" t="s">
        <v>19</v>
      </c>
      <c r="D2108" s="86"/>
      <c r="E2108" s="116" t="str">
        <f t="shared" si="99"/>
        <v>-</v>
      </c>
      <c r="F2108" s="85"/>
      <c r="G2108" s="85" t="s">
        <v>19</v>
      </c>
      <c r="H2108" s="85"/>
      <c r="I2108" s="85"/>
      <c r="J2108" s="87"/>
      <c r="K2108" s="88">
        <f t="shared" si="100"/>
        <v>0</v>
      </c>
      <c r="L2108" s="85"/>
    </row>
    <row r="2109" spans="1:12" hidden="1" x14ac:dyDescent="0.2">
      <c r="A2109" s="84" t="str">
        <f t="shared" si="98"/>
        <v>SelecioneSelecioneSelecione</v>
      </c>
      <c r="B2109" s="85" t="s">
        <v>19</v>
      </c>
      <c r="C2109" s="85" t="s">
        <v>19</v>
      </c>
      <c r="D2109" s="86"/>
      <c r="E2109" s="116" t="str">
        <f t="shared" si="99"/>
        <v>-</v>
      </c>
      <c r="F2109" s="85"/>
      <c r="G2109" s="85" t="s">
        <v>19</v>
      </c>
      <c r="H2109" s="85"/>
      <c r="I2109" s="85"/>
      <c r="J2109" s="87"/>
      <c r="K2109" s="88">
        <f t="shared" si="100"/>
        <v>0</v>
      </c>
      <c r="L2109" s="85"/>
    </row>
    <row r="2110" spans="1:12" hidden="1" x14ac:dyDescent="0.2">
      <c r="A2110" s="84" t="str">
        <f t="shared" si="98"/>
        <v>SelecioneSelecioneSelecione</v>
      </c>
      <c r="B2110" s="85" t="s">
        <v>19</v>
      </c>
      <c r="C2110" s="85" t="s">
        <v>19</v>
      </c>
      <c r="D2110" s="86"/>
      <c r="E2110" s="116" t="str">
        <f t="shared" si="99"/>
        <v>-</v>
      </c>
      <c r="F2110" s="85"/>
      <c r="G2110" s="85" t="s">
        <v>19</v>
      </c>
      <c r="H2110" s="85"/>
      <c r="I2110" s="85"/>
      <c r="J2110" s="87"/>
      <c r="K2110" s="88">
        <f t="shared" si="100"/>
        <v>0</v>
      </c>
      <c r="L2110" s="85"/>
    </row>
    <row r="2111" spans="1:12" hidden="1" x14ac:dyDescent="0.2">
      <c r="A2111" s="84" t="str">
        <f t="shared" si="98"/>
        <v>SelecioneSelecioneSelecione</v>
      </c>
      <c r="B2111" s="85" t="s">
        <v>19</v>
      </c>
      <c r="C2111" s="85" t="s">
        <v>19</v>
      </c>
      <c r="D2111" s="93"/>
      <c r="E2111" s="116" t="str">
        <f t="shared" si="99"/>
        <v>-</v>
      </c>
      <c r="F2111" s="90"/>
      <c r="G2111" s="85" t="s">
        <v>19</v>
      </c>
      <c r="H2111" s="85"/>
      <c r="I2111" s="90"/>
      <c r="J2111" s="89"/>
      <c r="K2111" s="88">
        <f t="shared" si="100"/>
        <v>0</v>
      </c>
      <c r="L2111" s="90"/>
    </row>
    <row r="2112" spans="1:12" hidden="1" x14ac:dyDescent="0.2">
      <c r="A2112" s="84" t="str">
        <f t="shared" si="98"/>
        <v>SelecioneSelecioneSelecione</v>
      </c>
      <c r="B2112" s="85" t="s">
        <v>19</v>
      </c>
      <c r="C2112" s="85" t="s">
        <v>19</v>
      </c>
      <c r="D2112" s="86"/>
      <c r="E2112" s="116" t="str">
        <f t="shared" si="99"/>
        <v>-</v>
      </c>
      <c r="F2112" s="85"/>
      <c r="G2112" s="85" t="s">
        <v>19</v>
      </c>
      <c r="H2112" s="85"/>
      <c r="I2112" s="85"/>
      <c r="J2112" s="87"/>
      <c r="K2112" s="88">
        <f t="shared" si="100"/>
        <v>0</v>
      </c>
      <c r="L2112" s="85"/>
    </row>
    <row r="2113" spans="1:12" hidden="1" x14ac:dyDescent="0.2">
      <c r="A2113" s="84" t="str">
        <f t="shared" si="98"/>
        <v>SelecioneSelecioneSelecione</v>
      </c>
      <c r="B2113" s="85" t="s">
        <v>19</v>
      </c>
      <c r="C2113" s="85" t="s">
        <v>19</v>
      </c>
      <c r="D2113" s="86"/>
      <c r="E2113" s="116" t="str">
        <f t="shared" si="99"/>
        <v>-</v>
      </c>
      <c r="F2113" s="85"/>
      <c r="G2113" s="85" t="s">
        <v>19</v>
      </c>
      <c r="H2113" s="85"/>
      <c r="I2113" s="85"/>
      <c r="J2113" s="87"/>
      <c r="K2113" s="88">
        <f t="shared" si="100"/>
        <v>0</v>
      </c>
      <c r="L2113" s="85"/>
    </row>
    <row r="2114" spans="1:12" hidden="1" x14ac:dyDescent="0.2">
      <c r="A2114" s="84" t="str">
        <f t="shared" ref="A2114:A2177" si="101">CONCATENATE(B2114,C2114,G2114)</f>
        <v>SelecioneSelecioneSelecione</v>
      </c>
      <c r="B2114" s="85" t="s">
        <v>19</v>
      </c>
      <c r="C2114" s="85" t="s">
        <v>19</v>
      </c>
      <c r="D2114" s="86"/>
      <c r="E2114" s="116" t="str">
        <f t="shared" ref="E2114:E2177" si="102">VLOOKUP(G2114,$M$1:$O$993,3,0)</f>
        <v>-</v>
      </c>
      <c r="F2114" s="85"/>
      <c r="G2114" s="85" t="s">
        <v>19</v>
      </c>
      <c r="H2114" s="85"/>
      <c r="I2114" s="85"/>
      <c r="J2114" s="87"/>
      <c r="K2114" s="88">
        <f t="shared" ref="K2114:K2177" si="103">I2114*J2114</f>
        <v>0</v>
      </c>
      <c r="L2114" s="85"/>
    </row>
    <row r="2115" spans="1:12" hidden="1" x14ac:dyDescent="0.2">
      <c r="A2115" s="84" t="str">
        <f t="shared" si="101"/>
        <v>SelecioneSelecioneSelecione</v>
      </c>
      <c r="B2115" s="85" t="s">
        <v>19</v>
      </c>
      <c r="C2115" s="85" t="s">
        <v>19</v>
      </c>
      <c r="D2115" s="86"/>
      <c r="E2115" s="116" t="str">
        <f t="shared" si="102"/>
        <v>-</v>
      </c>
      <c r="F2115" s="85"/>
      <c r="G2115" s="85" t="s">
        <v>19</v>
      </c>
      <c r="H2115" s="85"/>
      <c r="I2115" s="85"/>
      <c r="J2115" s="87"/>
      <c r="K2115" s="88">
        <f t="shared" si="103"/>
        <v>0</v>
      </c>
      <c r="L2115" s="85"/>
    </row>
    <row r="2116" spans="1:12" hidden="1" x14ac:dyDescent="0.2">
      <c r="A2116" s="84" t="str">
        <f t="shared" si="101"/>
        <v>SelecioneSelecioneSelecione</v>
      </c>
      <c r="B2116" s="85" t="s">
        <v>19</v>
      </c>
      <c r="C2116" s="85" t="s">
        <v>19</v>
      </c>
      <c r="D2116" s="86"/>
      <c r="E2116" s="116" t="str">
        <f t="shared" si="102"/>
        <v>-</v>
      </c>
      <c r="F2116" s="85"/>
      <c r="G2116" s="85" t="s">
        <v>19</v>
      </c>
      <c r="H2116" s="85"/>
      <c r="I2116" s="85"/>
      <c r="J2116" s="87"/>
      <c r="K2116" s="88">
        <f t="shared" si="103"/>
        <v>0</v>
      </c>
      <c r="L2116" s="85"/>
    </row>
    <row r="2117" spans="1:12" hidden="1" x14ac:dyDescent="0.2">
      <c r="A2117" s="84" t="str">
        <f t="shared" si="101"/>
        <v>SelecioneSelecioneSelecione</v>
      </c>
      <c r="B2117" s="85" t="s">
        <v>19</v>
      </c>
      <c r="C2117" s="85" t="s">
        <v>19</v>
      </c>
      <c r="D2117" s="86"/>
      <c r="E2117" s="116" t="str">
        <f t="shared" si="102"/>
        <v>-</v>
      </c>
      <c r="F2117" s="85"/>
      <c r="G2117" s="85" t="s">
        <v>19</v>
      </c>
      <c r="H2117" s="85"/>
      <c r="I2117" s="85"/>
      <c r="J2117" s="87"/>
      <c r="K2117" s="88">
        <f t="shared" si="103"/>
        <v>0</v>
      </c>
      <c r="L2117" s="85"/>
    </row>
    <row r="2118" spans="1:12" hidden="1" x14ac:dyDescent="0.2">
      <c r="A2118" s="84" t="str">
        <f t="shared" si="101"/>
        <v>SelecioneSelecioneSelecione</v>
      </c>
      <c r="B2118" s="85" t="s">
        <v>19</v>
      </c>
      <c r="C2118" s="85" t="s">
        <v>19</v>
      </c>
      <c r="D2118" s="86"/>
      <c r="E2118" s="116" t="str">
        <f t="shared" si="102"/>
        <v>-</v>
      </c>
      <c r="F2118" s="85"/>
      <c r="G2118" s="85" t="s">
        <v>19</v>
      </c>
      <c r="H2118" s="85"/>
      <c r="I2118" s="85"/>
      <c r="J2118" s="87"/>
      <c r="K2118" s="88">
        <f t="shared" si="103"/>
        <v>0</v>
      </c>
      <c r="L2118" s="85"/>
    </row>
    <row r="2119" spans="1:12" hidden="1" x14ac:dyDescent="0.2">
      <c r="A2119" s="84" t="str">
        <f t="shared" si="101"/>
        <v>SelecioneSelecioneSelecione</v>
      </c>
      <c r="B2119" s="85" t="s">
        <v>19</v>
      </c>
      <c r="C2119" s="85" t="s">
        <v>19</v>
      </c>
      <c r="D2119" s="86"/>
      <c r="E2119" s="116" t="str">
        <f t="shared" si="102"/>
        <v>-</v>
      </c>
      <c r="F2119" s="85"/>
      <c r="G2119" s="85" t="s">
        <v>19</v>
      </c>
      <c r="H2119" s="85"/>
      <c r="I2119" s="85"/>
      <c r="J2119" s="87"/>
      <c r="K2119" s="88">
        <f t="shared" si="103"/>
        <v>0</v>
      </c>
      <c r="L2119" s="85"/>
    </row>
    <row r="2120" spans="1:12" hidden="1" x14ac:dyDescent="0.2">
      <c r="A2120" s="84" t="str">
        <f t="shared" si="101"/>
        <v>SelecioneSelecioneSelecione</v>
      </c>
      <c r="B2120" s="85" t="s">
        <v>19</v>
      </c>
      <c r="C2120" s="85" t="s">
        <v>19</v>
      </c>
      <c r="D2120" s="86"/>
      <c r="E2120" s="116" t="str">
        <f t="shared" si="102"/>
        <v>-</v>
      </c>
      <c r="F2120" s="85"/>
      <c r="G2120" s="85" t="s">
        <v>19</v>
      </c>
      <c r="H2120" s="85"/>
      <c r="I2120" s="85"/>
      <c r="J2120" s="87"/>
      <c r="K2120" s="88">
        <f t="shared" si="103"/>
        <v>0</v>
      </c>
      <c r="L2120" s="85"/>
    </row>
    <row r="2121" spans="1:12" hidden="1" x14ac:dyDescent="0.2">
      <c r="A2121" s="84" t="str">
        <f t="shared" si="101"/>
        <v>SelecioneSelecioneSelecione</v>
      </c>
      <c r="B2121" s="85" t="s">
        <v>19</v>
      </c>
      <c r="C2121" s="85" t="s">
        <v>19</v>
      </c>
      <c r="D2121" s="86"/>
      <c r="E2121" s="116" t="str">
        <f t="shared" si="102"/>
        <v>-</v>
      </c>
      <c r="F2121" s="85"/>
      <c r="G2121" s="85" t="s">
        <v>19</v>
      </c>
      <c r="H2121" s="85"/>
      <c r="I2121" s="85"/>
      <c r="J2121" s="87"/>
      <c r="K2121" s="88">
        <f t="shared" si="103"/>
        <v>0</v>
      </c>
      <c r="L2121" s="85"/>
    </row>
    <row r="2122" spans="1:12" hidden="1" x14ac:dyDescent="0.2">
      <c r="A2122" s="84" t="str">
        <f t="shared" si="101"/>
        <v>SelecioneSelecioneSelecione</v>
      </c>
      <c r="B2122" s="85" t="s">
        <v>19</v>
      </c>
      <c r="C2122" s="85" t="s">
        <v>19</v>
      </c>
      <c r="D2122" s="86"/>
      <c r="E2122" s="116" t="str">
        <f t="shared" si="102"/>
        <v>-</v>
      </c>
      <c r="F2122" s="85"/>
      <c r="G2122" s="85" t="s">
        <v>19</v>
      </c>
      <c r="H2122" s="85"/>
      <c r="I2122" s="85"/>
      <c r="J2122" s="87"/>
      <c r="K2122" s="88">
        <f t="shared" si="103"/>
        <v>0</v>
      </c>
      <c r="L2122" s="85"/>
    </row>
    <row r="2123" spans="1:12" hidden="1" x14ac:dyDescent="0.2">
      <c r="A2123" s="84" t="str">
        <f t="shared" si="101"/>
        <v>SelecioneSelecioneSelecione</v>
      </c>
      <c r="B2123" s="85" t="s">
        <v>19</v>
      </c>
      <c r="C2123" s="85" t="s">
        <v>19</v>
      </c>
      <c r="D2123" s="86"/>
      <c r="E2123" s="116" t="str">
        <f t="shared" si="102"/>
        <v>-</v>
      </c>
      <c r="F2123" s="85"/>
      <c r="G2123" s="85" t="s">
        <v>19</v>
      </c>
      <c r="H2123" s="85"/>
      <c r="I2123" s="85"/>
      <c r="J2123" s="87"/>
      <c r="K2123" s="88">
        <f t="shared" si="103"/>
        <v>0</v>
      </c>
      <c r="L2123" s="85"/>
    </row>
    <row r="2124" spans="1:12" hidden="1" x14ac:dyDescent="0.2">
      <c r="A2124" s="84" t="str">
        <f t="shared" si="101"/>
        <v>SelecioneSelecioneSelecione</v>
      </c>
      <c r="B2124" s="85" t="s">
        <v>19</v>
      </c>
      <c r="C2124" s="85" t="s">
        <v>19</v>
      </c>
      <c r="D2124" s="86"/>
      <c r="E2124" s="116" t="str">
        <f t="shared" si="102"/>
        <v>-</v>
      </c>
      <c r="F2124" s="85"/>
      <c r="G2124" s="85" t="s">
        <v>19</v>
      </c>
      <c r="H2124" s="85"/>
      <c r="I2124" s="85"/>
      <c r="J2124" s="87"/>
      <c r="K2124" s="88">
        <f t="shared" si="103"/>
        <v>0</v>
      </c>
      <c r="L2124" s="85"/>
    </row>
    <row r="2125" spans="1:12" hidden="1" x14ac:dyDescent="0.2">
      <c r="A2125" s="84" t="str">
        <f t="shared" si="101"/>
        <v>SelecioneSelecioneSelecione</v>
      </c>
      <c r="B2125" s="85" t="s">
        <v>19</v>
      </c>
      <c r="C2125" s="85" t="s">
        <v>19</v>
      </c>
      <c r="D2125" s="86"/>
      <c r="E2125" s="116" t="str">
        <f t="shared" si="102"/>
        <v>-</v>
      </c>
      <c r="F2125" s="85"/>
      <c r="G2125" s="85" t="s">
        <v>19</v>
      </c>
      <c r="H2125" s="85"/>
      <c r="I2125" s="85"/>
      <c r="J2125" s="87"/>
      <c r="K2125" s="88">
        <f t="shared" si="103"/>
        <v>0</v>
      </c>
      <c r="L2125" s="85"/>
    </row>
    <row r="2126" spans="1:12" hidden="1" x14ac:dyDescent="0.2">
      <c r="A2126" s="84" t="str">
        <f t="shared" si="101"/>
        <v>SelecioneSelecioneSelecione</v>
      </c>
      <c r="B2126" s="85" t="s">
        <v>19</v>
      </c>
      <c r="C2126" s="85" t="s">
        <v>19</v>
      </c>
      <c r="D2126" s="86"/>
      <c r="E2126" s="116" t="str">
        <f t="shared" si="102"/>
        <v>-</v>
      </c>
      <c r="F2126" s="85"/>
      <c r="G2126" s="85" t="s">
        <v>19</v>
      </c>
      <c r="H2126" s="85"/>
      <c r="I2126" s="85"/>
      <c r="J2126" s="87"/>
      <c r="K2126" s="88">
        <f t="shared" si="103"/>
        <v>0</v>
      </c>
      <c r="L2126" s="85"/>
    </row>
    <row r="2127" spans="1:12" hidden="1" x14ac:dyDescent="0.2">
      <c r="A2127" s="84" t="str">
        <f t="shared" si="101"/>
        <v>SelecioneSelecioneSelecione</v>
      </c>
      <c r="B2127" s="85" t="s">
        <v>19</v>
      </c>
      <c r="C2127" s="85" t="s">
        <v>19</v>
      </c>
      <c r="D2127" s="86"/>
      <c r="E2127" s="116" t="str">
        <f t="shared" si="102"/>
        <v>-</v>
      </c>
      <c r="F2127" s="85"/>
      <c r="G2127" s="85" t="s">
        <v>19</v>
      </c>
      <c r="H2127" s="85"/>
      <c r="I2127" s="85"/>
      <c r="J2127" s="87"/>
      <c r="K2127" s="88">
        <f t="shared" si="103"/>
        <v>0</v>
      </c>
      <c r="L2127" s="85"/>
    </row>
    <row r="2128" spans="1:12" hidden="1" x14ac:dyDescent="0.2">
      <c r="A2128" s="84" t="str">
        <f t="shared" si="101"/>
        <v>SelecioneSelecioneSelecione</v>
      </c>
      <c r="B2128" s="85" t="s">
        <v>19</v>
      </c>
      <c r="C2128" s="85" t="s">
        <v>19</v>
      </c>
      <c r="D2128" s="86"/>
      <c r="E2128" s="116" t="str">
        <f t="shared" si="102"/>
        <v>-</v>
      </c>
      <c r="F2128" s="85"/>
      <c r="G2128" s="85" t="s">
        <v>19</v>
      </c>
      <c r="H2128" s="85"/>
      <c r="I2128" s="85"/>
      <c r="J2128" s="87"/>
      <c r="K2128" s="88">
        <f t="shared" si="103"/>
        <v>0</v>
      </c>
      <c r="L2128" s="85"/>
    </row>
    <row r="2129" spans="1:12" hidden="1" x14ac:dyDescent="0.2">
      <c r="A2129" s="84" t="str">
        <f t="shared" si="101"/>
        <v>SelecioneSelecioneSelecione</v>
      </c>
      <c r="B2129" s="85" t="s">
        <v>19</v>
      </c>
      <c r="C2129" s="85" t="s">
        <v>19</v>
      </c>
      <c r="D2129" s="86"/>
      <c r="E2129" s="116" t="str">
        <f t="shared" si="102"/>
        <v>-</v>
      </c>
      <c r="F2129" s="85"/>
      <c r="G2129" s="85" t="s">
        <v>19</v>
      </c>
      <c r="H2129" s="85"/>
      <c r="I2129" s="85"/>
      <c r="J2129" s="87"/>
      <c r="K2129" s="88">
        <f t="shared" si="103"/>
        <v>0</v>
      </c>
      <c r="L2129" s="85"/>
    </row>
    <row r="2130" spans="1:12" hidden="1" x14ac:dyDescent="0.2">
      <c r="A2130" s="84" t="str">
        <f t="shared" si="101"/>
        <v>SelecioneSelecioneSelecione</v>
      </c>
      <c r="B2130" s="85" t="s">
        <v>19</v>
      </c>
      <c r="C2130" s="85" t="s">
        <v>19</v>
      </c>
      <c r="D2130" s="86"/>
      <c r="E2130" s="116" t="str">
        <f t="shared" si="102"/>
        <v>-</v>
      </c>
      <c r="F2130" s="85"/>
      <c r="G2130" s="85" t="s">
        <v>19</v>
      </c>
      <c r="H2130" s="85"/>
      <c r="I2130" s="85"/>
      <c r="J2130" s="87"/>
      <c r="K2130" s="88">
        <f t="shared" si="103"/>
        <v>0</v>
      </c>
      <c r="L2130" s="85"/>
    </row>
    <row r="2131" spans="1:12" hidden="1" x14ac:dyDescent="0.2">
      <c r="A2131" s="84" t="str">
        <f t="shared" si="101"/>
        <v>SelecioneSelecioneSelecione</v>
      </c>
      <c r="B2131" s="85" t="s">
        <v>19</v>
      </c>
      <c r="C2131" s="85" t="s">
        <v>19</v>
      </c>
      <c r="D2131" s="86"/>
      <c r="E2131" s="116" t="str">
        <f t="shared" si="102"/>
        <v>-</v>
      </c>
      <c r="F2131" s="85"/>
      <c r="G2131" s="85" t="s">
        <v>19</v>
      </c>
      <c r="H2131" s="85"/>
      <c r="I2131" s="85"/>
      <c r="J2131" s="87"/>
      <c r="K2131" s="88">
        <f t="shared" si="103"/>
        <v>0</v>
      </c>
      <c r="L2131" s="85"/>
    </row>
    <row r="2132" spans="1:12" hidden="1" x14ac:dyDescent="0.2">
      <c r="A2132" s="84" t="str">
        <f t="shared" si="101"/>
        <v>SelecioneSelecioneSelecione</v>
      </c>
      <c r="B2132" s="85" t="s">
        <v>19</v>
      </c>
      <c r="C2132" s="85" t="s">
        <v>19</v>
      </c>
      <c r="D2132" s="86"/>
      <c r="E2132" s="116" t="str">
        <f t="shared" si="102"/>
        <v>-</v>
      </c>
      <c r="F2132" s="85"/>
      <c r="G2132" s="85" t="s">
        <v>19</v>
      </c>
      <c r="H2132" s="85"/>
      <c r="I2132" s="85"/>
      <c r="J2132" s="87"/>
      <c r="K2132" s="88">
        <f t="shared" si="103"/>
        <v>0</v>
      </c>
      <c r="L2132" s="85"/>
    </row>
    <row r="2133" spans="1:12" hidden="1" x14ac:dyDescent="0.2">
      <c r="A2133" s="84" t="str">
        <f t="shared" si="101"/>
        <v>SelecioneSelecioneSelecione</v>
      </c>
      <c r="B2133" s="85" t="s">
        <v>19</v>
      </c>
      <c r="C2133" s="85" t="s">
        <v>19</v>
      </c>
      <c r="D2133" s="86"/>
      <c r="E2133" s="116" t="str">
        <f t="shared" si="102"/>
        <v>-</v>
      </c>
      <c r="F2133" s="85"/>
      <c r="G2133" s="85" t="s">
        <v>19</v>
      </c>
      <c r="H2133" s="85"/>
      <c r="I2133" s="85"/>
      <c r="J2133" s="87"/>
      <c r="K2133" s="88">
        <f t="shared" si="103"/>
        <v>0</v>
      </c>
      <c r="L2133" s="85"/>
    </row>
    <row r="2134" spans="1:12" hidden="1" x14ac:dyDescent="0.2">
      <c r="A2134" s="84" t="str">
        <f t="shared" si="101"/>
        <v>SelecioneSelecioneSelecione</v>
      </c>
      <c r="B2134" s="85" t="s">
        <v>19</v>
      </c>
      <c r="C2134" s="85" t="s">
        <v>19</v>
      </c>
      <c r="D2134" s="86"/>
      <c r="E2134" s="116" t="str">
        <f t="shared" si="102"/>
        <v>-</v>
      </c>
      <c r="F2134" s="85"/>
      <c r="G2134" s="85" t="s">
        <v>19</v>
      </c>
      <c r="H2134" s="85"/>
      <c r="I2134" s="85"/>
      <c r="J2134" s="87"/>
      <c r="K2134" s="88">
        <f t="shared" si="103"/>
        <v>0</v>
      </c>
      <c r="L2134" s="85"/>
    </row>
    <row r="2135" spans="1:12" hidden="1" x14ac:dyDescent="0.2">
      <c r="A2135" s="84" t="str">
        <f t="shared" si="101"/>
        <v>SelecioneSelecioneSelecione</v>
      </c>
      <c r="B2135" s="85" t="s">
        <v>19</v>
      </c>
      <c r="C2135" s="85" t="s">
        <v>19</v>
      </c>
      <c r="D2135" s="86"/>
      <c r="E2135" s="116" t="str">
        <f t="shared" si="102"/>
        <v>-</v>
      </c>
      <c r="F2135" s="85"/>
      <c r="G2135" s="85" t="s">
        <v>19</v>
      </c>
      <c r="H2135" s="85"/>
      <c r="I2135" s="85"/>
      <c r="J2135" s="87"/>
      <c r="K2135" s="88">
        <f t="shared" si="103"/>
        <v>0</v>
      </c>
      <c r="L2135" s="85"/>
    </row>
    <row r="2136" spans="1:12" hidden="1" x14ac:dyDescent="0.2">
      <c r="A2136" s="84" t="str">
        <f t="shared" si="101"/>
        <v>SelecioneSelecioneSelecione</v>
      </c>
      <c r="B2136" s="85" t="s">
        <v>19</v>
      </c>
      <c r="C2136" s="85" t="s">
        <v>19</v>
      </c>
      <c r="D2136" s="86"/>
      <c r="E2136" s="116" t="str">
        <f t="shared" si="102"/>
        <v>-</v>
      </c>
      <c r="F2136" s="85"/>
      <c r="G2136" s="85" t="s">
        <v>19</v>
      </c>
      <c r="H2136" s="85"/>
      <c r="I2136" s="85"/>
      <c r="J2136" s="87"/>
      <c r="K2136" s="88">
        <f t="shared" si="103"/>
        <v>0</v>
      </c>
      <c r="L2136" s="85"/>
    </row>
    <row r="2137" spans="1:12" hidden="1" x14ac:dyDescent="0.2">
      <c r="A2137" s="84" t="str">
        <f t="shared" si="101"/>
        <v>SelecioneSelecioneSelecione</v>
      </c>
      <c r="B2137" s="85" t="s">
        <v>19</v>
      </c>
      <c r="C2137" s="85" t="s">
        <v>19</v>
      </c>
      <c r="D2137" s="86"/>
      <c r="E2137" s="116" t="str">
        <f t="shared" si="102"/>
        <v>-</v>
      </c>
      <c r="F2137" s="85"/>
      <c r="G2137" s="85" t="s">
        <v>19</v>
      </c>
      <c r="H2137" s="85"/>
      <c r="I2137" s="85"/>
      <c r="J2137" s="87"/>
      <c r="K2137" s="88">
        <f t="shared" si="103"/>
        <v>0</v>
      </c>
      <c r="L2137" s="85"/>
    </row>
    <row r="2138" spans="1:12" hidden="1" x14ac:dyDescent="0.2">
      <c r="A2138" s="84" t="str">
        <f t="shared" si="101"/>
        <v>SelecioneSelecioneSelecione</v>
      </c>
      <c r="B2138" s="85" t="s">
        <v>19</v>
      </c>
      <c r="C2138" s="85" t="s">
        <v>19</v>
      </c>
      <c r="D2138" s="86"/>
      <c r="E2138" s="116" t="str">
        <f t="shared" si="102"/>
        <v>-</v>
      </c>
      <c r="F2138" s="85"/>
      <c r="G2138" s="85" t="s">
        <v>19</v>
      </c>
      <c r="H2138" s="85"/>
      <c r="I2138" s="85"/>
      <c r="J2138" s="87"/>
      <c r="K2138" s="88">
        <f t="shared" si="103"/>
        <v>0</v>
      </c>
      <c r="L2138" s="85"/>
    </row>
    <row r="2139" spans="1:12" hidden="1" x14ac:dyDescent="0.2">
      <c r="A2139" s="84" t="str">
        <f t="shared" si="101"/>
        <v>SelecioneSelecioneSelecione</v>
      </c>
      <c r="B2139" s="85" t="s">
        <v>19</v>
      </c>
      <c r="C2139" s="85" t="s">
        <v>19</v>
      </c>
      <c r="D2139" s="86"/>
      <c r="E2139" s="116" t="str">
        <f t="shared" si="102"/>
        <v>-</v>
      </c>
      <c r="F2139" s="85"/>
      <c r="G2139" s="85" t="s">
        <v>19</v>
      </c>
      <c r="H2139" s="85"/>
      <c r="I2139" s="85"/>
      <c r="J2139" s="87"/>
      <c r="K2139" s="88">
        <f t="shared" si="103"/>
        <v>0</v>
      </c>
      <c r="L2139" s="85"/>
    </row>
    <row r="2140" spans="1:12" hidden="1" x14ac:dyDescent="0.2">
      <c r="A2140" s="84" t="str">
        <f t="shared" si="101"/>
        <v>SelecioneSelecioneSelecione</v>
      </c>
      <c r="B2140" s="85" t="s">
        <v>19</v>
      </c>
      <c r="C2140" s="85" t="s">
        <v>19</v>
      </c>
      <c r="D2140" s="86"/>
      <c r="E2140" s="116" t="str">
        <f t="shared" si="102"/>
        <v>-</v>
      </c>
      <c r="F2140" s="85"/>
      <c r="G2140" s="85" t="s">
        <v>19</v>
      </c>
      <c r="H2140" s="85"/>
      <c r="I2140" s="85"/>
      <c r="J2140" s="87"/>
      <c r="K2140" s="88">
        <f t="shared" si="103"/>
        <v>0</v>
      </c>
      <c r="L2140" s="85"/>
    </row>
    <row r="2141" spans="1:12" hidden="1" x14ac:dyDescent="0.2">
      <c r="A2141" s="84" t="str">
        <f t="shared" si="101"/>
        <v>SelecioneSelecioneSelecione</v>
      </c>
      <c r="B2141" s="85" t="s">
        <v>19</v>
      </c>
      <c r="C2141" s="85" t="s">
        <v>19</v>
      </c>
      <c r="D2141" s="86"/>
      <c r="E2141" s="116" t="str">
        <f t="shared" si="102"/>
        <v>-</v>
      </c>
      <c r="F2141" s="85"/>
      <c r="G2141" s="85" t="s">
        <v>19</v>
      </c>
      <c r="H2141" s="85"/>
      <c r="I2141" s="85"/>
      <c r="J2141" s="87"/>
      <c r="K2141" s="88">
        <f t="shared" si="103"/>
        <v>0</v>
      </c>
      <c r="L2141" s="85"/>
    </row>
    <row r="2142" spans="1:12" hidden="1" x14ac:dyDescent="0.2">
      <c r="A2142" s="84" t="str">
        <f t="shared" si="101"/>
        <v>SelecioneSelecioneSelecione</v>
      </c>
      <c r="B2142" s="85" t="s">
        <v>19</v>
      </c>
      <c r="C2142" s="85" t="s">
        <v>19</v>
      </c>
      <c r="D2142" s="93"/>
      <c r="E2142" s="116" t="str">
        <f t="shared" si="102"/>
        <v>-</v>
      </c>
      <c r="F2142" s="90"/>
      <c r="G2142" s="85" t="s">
        <v>19</v>
      </c>
      <c r="H2142" s="85"/>
      <c r="I2142" s="90"/>
      <c r="J2142" s="89"/>
      <c r="K2142" s="88">
        <f t="shared" si="103"/>
        <v>0</v>
      </c>
      <c r="L2142" s="90"/>
    </row>
    <row r="2143" spans="1:12" hidden="1" x14ac:dyDescent="0.2">
      <c r="A2143" s="84" t="str">
        <f t="shared" si="101"/>
        <v>SelecioneSelecioneSelecione</v>
      </c>
      <c r="B2143" s="85" t="s">
        <v>19</v>
      </c>
      <c r="C2143" s="85" t="s">
        <v>19</v>
      </c>
      <c r="D2143" s="86"/>
      <c r="E2143" s="116" t="str">
        <f t="shared" si="102"/>
        <v>-</v>
      </c>
      <c r="F2143" s="85"/>
      <c r="G2143" s="85" t="s">
        <v>19</v>
      </c>
      <c r="H2143" s="85"/>
      <c r="I2143" s="85"/>
      <c r="J2143" s="87"/>
      <c r="K2143" s="88">
        <f t="shared" si="103"/>
        <v>0</v>
      </c>
      <c r="L2143" s="85"/>
    </row>
    <row r="2144" spans="1:12" hidden="1" x14ac:dyDescent="0.2">
      <c r="A2144" s="84" t="str">
        <f t="shared" si="101"/>
        <v>SelecioneSelecioneSelecione</v>
      </c>
      <c r="B2144" s="85" t="s">
        <v>19</v>
      </c>
      <c r="C2144" s="85" t="s">
        <v>19</v>
      </c>
      <c r="D2144" s="86"/>
      <c r="E2144" s="116" t="str">
        <f t="shared" si="102"/>
        <v>-</v>
      </c>
      <c r="F2144" s="85"/>
      <c r="G2144" s="85" t="s">
        <v>19</v>
      </c>
      <c r="H2144" s="85"/>
      <c r="I2144" s="85"/>
      <c r="J2144" s="87"/>
      <c r="K2144" s="88">
        <f t="shared" si="103"/>
        <v>0</v>
      </c>
      <c r="L2144" s="85"/>
    </row>
    <row r="2145" spans="1:12" hidden="1" x14ac:dyDescent="0.2">
      <c r="A2145" s="84" t="str">
        <f t="shared" si="101"/>
        <v>SelecioneSelecioneSelecione</v>
      </c>
      <c r="B2145" s="85" t="s">
        <v>19</v>
      </c>
      <c r="C2145" s="85" t="s">
        <v>19</v>
      </c>
      <c r="D2145" s="86"/>
      <c r="E2145" s="116" t="str">
        <f t="shared" si="102"/>
        <v>-</v>
      </c>
      <c r="F2145" s="85"/>
      <c r="G2145" s="85" t="s">
        <v>19</v>
      </c>
      <c r="H2145" s="85"/>
      <c r="I2145" s="85"/>
      <c r="J2145" s="87"/>
      <c r="K2145" s="88">
        <f t="shared" si="103"/>
        <v>0</v>
      </c>
      <c r="L2145" s="85"/>
    </row>
    <row r="2146" spans="1:12" hidden="1" x14ac:dyDescent="0.2">
      <c r="A2146" s="84" t="str">
        <f t="shared" si="101"/>
        <v>SelecioneSelecioneSelecione</v>
      </c>
      <c r="B2146" s="85" t="s">
        <v>19</v>
      </c>
      <c r="C2146" s="85" t="s">
        <v>19</v>
      </c>
      <c r="D2146" s="86"/>
      <c r="E2146" s="116" t="str">
        <f t="shared" si="102"/>
        <v>-</v>
      </c>
      <c r="F2146" s="85"/>
      <c r="G2146" s="85" t="s">
        <v>19</v>
      </c>
      <c r="H2146" s="85"/>
      <c r="I2146" s="85"/>
      <c r="J2146" s="87"/>
      <c r="K2146" s="88">
        <f t="shared" si="103"/>
        <v>0</v>
      </c>
      <c r="L2146" s="85"/>
    </row>
    <row r="2147" spans="1:12" hidden="1" x14ac:dyDescent="0.2">
      <c r="A2147" s="84" t="str">
        <f t="shared" si="101"/>
        <v>SelecioneSelecioneSelecione</v>
      </c>
      <c r="B2147" s="85" t="s">
        <v>19</v>
      </c>
      <c r="C2147" s="85" t="s">
        <v>19</v>
      </c>
      <c r="D2147" s="86"/>
      <c r="E2147" s="116" t="str">
        <f t="shared" si="102"/>
        <v>-</v>
      </c>
      <c r="F2147" s="85"/>
      <c r="G2147" s="85" t="s">
        <v>19</v>
      </c>
      <c r="H2147" s="85"/>
      <c r="I2147" s="85"/>
      <c r="J2147" s="87"/>
      <c r="K2147" s="88">
        <f t="shared" si="103"/>
        <v>0</v>
      </c>
      <c r="L2147" s="85"/>
    </row>
    <row r="2148" spans="1:12" hidden="1" x14ac:dyDescent="0.2">
      <c r="A2148" s="84" t="str">
        <f t="shared" si="101"/>
        <v>SelecioneSelecioneSelecione</v>
      </c>
      <c r="B2148" s="85" t="s">
        <v>19</v>
      </c>
      <c r="C2148" s="85" t="s">
        <v>19</v>
      </c>
      <c r="D2148" s="86"/>
      <c r="E2148" s="116" t="str">
        <f t="shared" si="102"/>
        <v>-</v>
      </c>
      <c r="F2148" s="85"/>
      <c r="G2148" s="85" t="s">
        <v>19</v>
      </c>
      <c r="H2148" s="85"/>
      <c r="I2148" s="85"/>
      <c r="J2148" s="87"/>
      <c r="K2148" s="88">
        <f t="shared" si="103"/>
        <v>0</v>
      </c>
      <c r="L2148" s="85"/>
    </row>
    <row r="2149" spans="1:12" hidden="1" x14ac:dyDescent="0.2">
      <c r="A2149" s="84" t="str">
        <f t="shared" si="101"/>
        <v>SelecioneSelecioneSelecione</v>
      </c>
      <c r="B2149" s="85" t="s">
        <v>19</v>
      </c>
      <c r="C2149" s="85" t="s">
        <v>19</v>
      </c>
      <c r="D2149" s="86"/>
      <c r="E2149" s="116" t="str">
        <f t="shared" si="102"/>
        <v>-</v>
      </c>
      <c r="F2149" s="85"/>
      <c r="G2149" s="85" t="s">
        <v>19</v>
      </c>
      <c r="H2149" s="85"/>
      <c r="I2149" s="85"/>
      <c r="J2149" s="87"/>
      <c r="K2149" s="88">
        <f t="shared" si="103"/>
        <v>0</v>
      </c>
      <c r="L2149" s="85"/>
    </row>
    <row r="2150" spans="1:12" hidden="1" x14ac:dyDescent="0.2">
      <c r="A2150" s="84" t="str">
        <f t="shared" si="101"/>
        <v>SelecioneSelecioneSelecione</v>
      </c>
      <c r="B2150" s="85" t="s">
        <v>19</v>
      </c>
      <c r="C2150" s="85" t="s">
        <v>19</v>
      </c>
      <c r="D2150" s="93"/>
      <c r="E2150" s="116" t="str">
        <f t="shared" si="102"/>
        <v>-</v>
      </c>
      <c r="F2150" s="90"/>
      <c r="G2150" s="85" t="s">
        <v>19</v>
      </c>
      <c r="H2150" s="85"/>
      <c r="I2150" s="90"/>
      <c r="J2150" s="89"/>
      <c r="K2150" s="88">
        <f t="shared" si="103"/>
        <v>0</v>
      </c>
      <c r="L2150" s="90"/>
    </row>
    <row r="2151" spans="1:12" hidden="1" x14ac:dyDescent="0.2">
      <c r="A2151" s="84" t="str">
        <f t="shared" si="101"/>
        <v>SelecioneSelecioneSelecione</v>
      </c>
      <c r="B2151" s="85" t="s">
        <v>19</v>
      </c>
      <c r="C2151" s="85" t="s">
        <v>19</v>
      </c>
      <c r="D2151" s="93"/>
      <c r="E2151" s="116" t="str">
        <f t="shared" si="102"/>
        <v>-</v>
      </c>
      <c r="F2151" s="90"/>
      <c r="G2151" s="85" t="s">
        <v>19</v>
      </c>
      <c r="H2151" s="85"/>
      <c r="I2151" s="90"/>
      <c r="J2151" s="89"/>
      <c r="K2151" s="88">
        <f t="shared" si="103"/>
        <v>0</v>
      </c>
      <c r="L2151" s="90"/>
    </row>
    <row r="2152" spans="1:12" hidden="1" x14ac:dyDescent="0.2">
      <c r="A2152" s="84" t="str">
        <f t="shared" si="101"/>
        <v>SelecioneSelecioneSelecione</v>
      </c>
      <c r="B2152" s="85" t="s">
        <v>19</v>
      </c>
      <c r="C2152" s="85" t="s">
        <v>19</v>
      </c>
      <c r="D2152" s="86"/>
      <c r="E2152" s="116" t="str">
        <f t="shared" si="102"/>
        <v>-</v>
      </c>
      <c r="F2152" s="85"/>
      <c r="G2152" s="85" t="s">
        <v>19</v>
      </c>
      <c r="H2152" s="85"/>
      <c r="I2152" s="85"/>
      <c r="J2152" s="87"/>
      <c r="K2152" s="88">
        <f t="shared" si="103"/>
        <v>0</v>
      </c>
      <c r="L2152" s="85"/>
    </row>
    <row r="2153" spans="1:12" hidden="1" x14ac:dyDescent="0.2">
      <c r="A2153" s="84" t="str">
        <f t="shared" si="101"/>
        <v>SelecioneSelecioneSelecione</v>
      </c>
      <c r="B2153" s="85" t="s">
        <v>19</v>
      </c>
      <c r="C2153" s="85" t="s">
        <v>19</v>
      </c>
      <c r="D2153" s="86"/>
      <c r="E2153" s="116" t="str">
        <f t="shared" si="102"/>
        <v>-</v>
      </c>
      <c r="F2153" s="85"/>
      <c r="G2153" s="85" t="s">
        <v>19</v>
      </c>
      <c r="H2153" s="85"/>
      <c r="I2153" s="85"/>
      <c r="J2153" s="87"/>
      <c r="K2153" s="88">
        <f t="shared" si="103"/>
        <v>0</v>
      </c>
      <c r="L2153" s="85"/>
    </row>
    <row r="2154" spans="1:12" hidden="1" x14ac:dyDescent="0.2">
      <c r="A2154" s="84" t="str">
        <f t="shared" si="101"/>
        <v>SelecioneSelecioneSelecione</v>
      </c>
      <c r="B2154" s="85" t="s">
        <v>19</v>
      </c>
      <c r="C2154" s="85" t="s">
        <v>19</v>
      </c>
      <c r="D2154" s="86"/>
      <c r="E2154" s="116" t="str">
        <f t="shared" si="102"/>
        <v>-</v>
      </c>
      <c r="F2154" s="85"/>
      <c r="G2154" s="85" t="s">
        <v>19</v>
      </c>
      <c r="H2154" s="85"/>
      <c r="I2154" s="85"/>
      <c r="J2154" s="87"/>
      <c r="K2154" s="88">
        <f t="shared" si="103"/>
        <v>0</v>
      </c>
      <c r="L2154" s="85"/>
    </row>
    <row r="2155" spans="1:12" hidden="1" x14ac:dyDescent="0.2">
      <c r="A2155" s="84" t="str">
        <f t="shared" si="101"/>
        <v>SelecioneSelecioneSelecione</v>
      </c>
      <c r="B2155" s="85" t="s">
        <v>19</v>
      </c>
      <c r="C2155" s="85" t="s">
        <v>19</v>
      </c>
      <c r="D2155" s="86"/>
      <c r="E2155" s="116" t="str">
        <f t="shared" si="102"/>
        <v>-</v>
      </c>
      <c r="F2155" s="85"/>
      <c r="G2155" s="85" t="s">
        <v>19</v>
      </c>
      <c r="H2155" s="85"/>
      <c r="I2155" s="85"/>
      <c r="J2155" s="87"/>
      <c r="K2155" s="88">
        <f t="shared" si="103"/>
        <v>0</v>
      </c>
      <c r="L2155" s="85"/>
    </row>
    <row r="2156" spans="1:12" hidden="1" x14ac:dyDescent="0.2">
      <c r="A2156" s="84" t="str">
        <f t="shared" si="101"/>
        <v>SelecioneSelecioneSelecione</v>
      </c>
      <c r="B2156" s="85" t="s">
        <v>19</v>
      </c>
      <c r="C2156" s="85" t="s">
        <v>19</v>
      </c>
      <c r="D2156" s="86"/>
      <c r="E2156" s="116" t="str">
        <f t="shared" si="102"/>
        <v>-</v>
      </c>
      <c r="F2156" s="85"/>
      <c r="G2156" s="85" t="s">
        <v>19</v>
      </c>
      <c r="H2156" s="85"/>
      <c r="I2156" s="85"/>
      <c r="J2156" s="87"/>
      <c r="K2156" s="88">
        <f t="shared" si="103"/>
        <v>0</v>
      </c>
      <c r="L2156" s="85"/>
    </row>
    <row r="2157" spans="1:12" hidden="1" x14ac:dyDescent="0.2">
      <c r="A2157" s="84" t="str">
        <f t="shared" si="101"/>
        <v>SelecioneSelecioneSelecione</v>
      </c>
      <c r="B2157" s="85" t="s">
        <v>19</v>
      </c>
      <c r="C2157" s="85" t="s">
        <v>19</v>
      </c>
      <c r="D2157" s="86"/>
      <c r="E2157" s="116" t="str">
        <f t="shared" si="102"/>
        <v>-</v>
      </c>
      <c r="F2157" s="85"/>
      <c r="G2157" s="85" t="s">
        <v>19</v>
      </c>
      <c r="H2157" s="85"/>
      <c r="I2157" s="85"/>
      <c r="J2157" s="87"/>
      <c r="K2157" s="88">
        <f t="shared" si="103"/>
        <v>0</v>
      </c>
      <c r="L2157" s="85"/>
    </row>
    <row r="2158" spans="1:12" hidden="1" x14ac:dyDescent="0.2">
      <c r="A2158" s="84" t="str">
        <f t="shared" si="101"/>
        <v>SelecioneSelecioneSelecione</v>
      </c>
      <c r="B2158" s="85" t="s">
        <v>19</v>
      </c>
      <c r="C2158" s="85" t="s">
        <v>19</v>
      </c>
      <c r="D2158" s="86"/>
      <c r="E2158" s="116" t="str">
        <f t="shared" si="102"/>
        <v>-</v>
      </c>
      <c r="F2158" s="85"/>
      <c r="G2158" s="85" t="s">
        <v>19</v>
      </c>
      <c r="H2158" s="85"/>
      <c r="I2158" s="85"/>
      <c r="J2158" s="87"/>
      <c r="K2158" s="88">
        <f t="shared" si="103"/>
        <v>0</v>
      </c>
      <c r="L2158" s="85"/>
    </row>
    <row r="2159" spans="1:12" hidden="1" x14ac:dyDescent="0.2">
      <c r="A2159" s="84" t="str">
        <f t="shared" si="101"/>
        <v>SelecioneSelecioneSelecione</v>
      </c>
      <c r="B2159" s="85" t="s">
        <v>19</v>
      </c>
      <c r="C2159" s="85" t="s">
        <v>19</v>
      </c>
      <c r="D2159" s="86"/>
      <c r="E2159" s="116" t="str">
        <f t="shared" si="102"/>
        <v>-</v>
      </c>
      <c r="F2159" s="85"/>
      <c r="G2159" s="85" t="s">
        <v>19</v>
      </c>
      <c r="H2159" s="85"/>
      <c r="I2159" s="85"/>
      <c r="J2159" s="87"/>
      <c r="K2159" s="88">
        <f t="shared" si="103"/>
        <v>0</v>
      </c>
      <c r="L2159" s="85"/>
    </row>
    <row r="2160" spans="1:12" hidden="1" x14ac:dyDescent="0.2">
      <c r="A2160" s="84" t="str">
        <f t="shared" si="101"/>
        <v>SelecioneSelecioneSelecione</v>
      </c>
      <c r="B2160" s="85" t="s">
        <v>19</v>
      </c>
      <c r="C2160" s="85" t="s">
        <v>19</v>
      </c>
      <c r="D2160" s="86"/>
      <c r="E2160" s="116" t="str">
        <f t="shared" si="102"/>
        <v>-</v>
      </c>
      <c r="F2160" s="85"/>
      <c r="G2160" s="85" t="s">
        <v>19</v>
      </c>
      <c r="H2160" s="85"/>
      <c r="I2160" s="85"/>
      <c r="J2160" s="87"/>
      <c r="K2160" s="88">
        <f t="shared" si="103"/>
        <v>0</v>
      </c>
      <c r="L2160" s="85"/>
    </row>
    <row r="2161" spans="1:12" hidden="1" x14ac:dyDescent="0.2">
      <c r="A2161" s="84" t="str">
        <f t="shared" si="101"/>
        <v>SelecioneSelecioneSelecione</v>
      </c>
      <c r="B2161" s="85" t="s">
        <v>19</v>
      </c>
      <c r="C2161" s="85" t="s">
        <v>19</v>
      </c>
      <c r="D2161" s="86"/>
      <c r="E2161" s="116" t="str">
        <f t="shared" si="102"/>
        <v>-</v>
      </c>
      <c r="F2161" s="85"/>
      <c r="G2161" s="85" t="s">
        <v>19</v>
      </c>
      <c r="H2161" s="85"/>
      <c r="I2161" s="85"/>
      <c r="J2161" s="87"/>
      <c r="K2161" s="88">
        <f t="shared" si="103"/>
        <v>0</v>
      </c>
      <c r="L2161" s="85"/>
    </row>
    <row r="2162" spans="1:12" hidden="1" x14ac:dyDescent="0.2">
      <c r="A2162" s="84" t="str">
        <f t="shared" si="101"/>
        <v>SelecioneSelecioneSelecione</v>
      </c>
      <c r="B2162" s="85" t="s">
        <v>19</v>
      </c>
      <c r="C2162" s="85" t="s">
        <v>19</v>
      </c>
      <c r="D2162" s="86"/>
      <c r="E2162" s="116" t="str">
        <f t="shared" si="102"/>
        <v>-</v>
      </c>
      <c r="F2162" s="85"/>
      <c r="G2162" s="85" t="s">
        <v>19</v>
      </c>
      <c r="H2162" s="85"/>
      <c r="I2162" s="85"/>
      <c r="J2162" s="87"/>
      <c r="K2162" s="88">
        <f t="shared" si="103"/>
        <v>0</v>
      </c>
      <c r="L2162" s="85"/>
    </row>
    <row r="2163" spans="1:12" hidden="1" x14ac:dyDescent="0.2">
      <c r="A2163" s="84" t="str">
        <f t="shared" si="101"/>
        <v>SelecioneSelecioneSelecione</v>
      </c>
      <c r="B2163" s="85" t="s">
        <v>19</v>
      </c>
      <c r="C2163" s="85" t="s">
        <v>19</v>
      </c>
      <c r="D2163" s="86"/>
      <c r="E2163" s="116" t="str">
        <f t="shared" si="102"/>
        <v>-</v>
      </c>
      <c r="F2163" s="85"/>
      <c r="G2163" s="85" t="s">
        <v>19</v>
      </c>
      <c r="H2163" s="85"/>
      <c r="I2163" s="85"/>
      <c r="J2163" s="87"/>
      <c r="K2163" s="88">
        <f t="shared" si="103"/>
        <v>0</v>
      </c>
      <c r="L2163" s="85"/>
    </row>
    <row r="2164" spans="1:12" hidden="1" x14ac:dyDescent="0.2">
      <c r="A2164" s="84" t="str">
        <f t="shared" si="101"/>
        <v>SelecioneSelecioneSelecione</v>
      </c>
      <c r="B2164" s="85" t="s">
        <v>19</v>
      </c>
      <c r="C2164" s="85" t="s">
        <v>19</v>
      </c>
      <c r="D2164" s="86"/>
      <c r="E2164" s="116" t="str">
        <f t="shared" si="102"/>
        <v>-</v>
      </c>
      <c r="F2164" s="85"/>
      <c r="G2164" s="85" t="s">
        <v>19</v>
      </c>
      <c r="H2164" s="85"/>
      <c r="I2164" s="85"/>
      <c r="J2164" s="87"/>
      <c r="K2164" s="88">
        <f t="shared" si="103"/>
        <v>0</v>
      </c>
      <c r="L2164" s="85"/>
    </row>
    <row r="2165" spans="1:12" hidden="1" x14ac:dyDescent="0.2">
      <c r="A2165" s="84" t="str">
        <f t="shared" si="101"/>
        <v>SelecioneSelecioneSelecione</v>
      </c>
      <c r="B2165" s="85" t="s">
        <v>19</v>
      </c>
      <c r="C2165" s="85" t="s">
        <v>19</v>
      </c>
      <c r="D2165" s="86"/>
      <c r="E2165" s="116" t="str">
        <f t="shared" si="102"/>
        <v>-</v>
      </c>
      <c r="F2165" s="85"/>
      <c r="G2165" s="85" t="s">
        <v>19</v>
      </c>
      <c r="H2165" s="85"/>
      <c r="I2165" s="85"/>
      <c r="J2165" s="87"/>
      <c r="K2165" s="88">
        <f t="shared" si="103"/>
        <v>0</v>
      </c>
      <c r="L2165" s="85"/>
    </row>
    <row r="2166" spans="1:12" hidden="1" x14ac:dyDescent="0.2">
      <c r="A2166" s="84" t="str">
        <f t="shared" si="101"/>
        <v>SelecioneSelecioneSelecione</v>
      </c>
      <c r="B2166" s="85" t="s">
        <v>19</v>
      </c>
      <c r="C2166" s="85" t="s">
        <v>19</v>
      </c>
      <c r="D2166" s="86"/>
      <c r="E2166" s="116" t="str">
        <f t="shared" si="102"/>
        <v>-</v>
      </c>
      <c r="F2166" s="85"/>
      <c r="G2166" s="85" t="s">
        <v>19</v>
      </c>
      <c r="H2166" s="85"/>
      <c r="I2166" s="85"/>
      <c r="J2166" s="87"/>
      <c r="K2166" s="88">
        <f t="shared" si="103"/>
        <v>0</v>
      </c>
      <c r="L2166" s="85"/>
    </row>
    <row r="2167" spans="1:12" hidden="1" x14ac:dyDescent="0.2">
      <c r="A2167" s="84" t="str">
        <f t="shared" si="101"/>
        <v>SelecioneSelecioneSelecione</v>
      </c>
      <c r="B2167" s="85" t="s">
        <v>19</v>
      </c>
      <c r="C2167" s="85" t="s">
        <v>19</v>
      </c>
      <c r="D2167" s="86"/>
      <c r="E2167" s="116" t="str">
        <f t="shared" si="102"/>
        <v>-</v>
      </c>
      <c r="F2167" s="85"/>
      <c r="G2167" s="85" t="s">
        <v>19</v>
      </c>
      <c r="H2167" s="85"/>
      <c r="I2167" s="85"/>
      <c r="J2167" s="87"/>
      <c r="K2167" s="88">
        <f t="shared" si="103"/>
        <v>0</v>
      </c>
      <c r="L2167" s="85"/>
    </row>
    <row r="2168" spans="1:12" hidden="1" x14ac:dyDescent="0.2">
      <c r="A2168" s="84" t="str">
        <f t="shared" si="101"/>
        <v>SelecioneSelecioneSelecione</v>
      </c>
      <c r="B2168" s="85" t="s">
        <v>19</v>
      </c>
      <c r="C2168" s="85" t="s">
        <v>19</v>
      </c>
      <c r="D2168" s="86"/>
      <c r="E2168" s="116" t="str">
        <f t="shared" si="102"/>
        <v>-</v>
      </c>
      <c r="F2168" s="85"/>
      <c r="G2168" s="85" t="s">
        <v>19</v>
      </c>
      <c r="H2168" s="85"/>
      <c r="I2168" s="85"/>
      <c r="J2168" s="87"/>
      <c r="K2168" s="88">
        <f t="shared" si="103"/>
        <v>0</v>
      </c>
      <c r="L2168" s="85"/>
    </row>
    <row r="2169" spans="1:12" hidden="1" x14ac:dyDescent="0.2">
      <c r="A2169" s="84" t="str">
        <f t="shared" si="101"/>
        <v>SelecioneSelecioneSelecione</v>
      </c>
      <c r="B2169" s="85" t="s">
        <v>19</v>
      </c>
      <c r="C2169" s="85" t="s">
        <v>19</v>
      </c>
      <c r="D2169" s="86"/>
      <c r="E2169" s="116" t="str">
        <f t="shared" si="102"/>
        <v>-</v>
      </c>
      <c r="F2169" s="85"/>
      <c r="G2169" s="85" t="s">
        <v>19</v>
      </c>
      <c r="H2169" s="85"/>
      <c r="I2169" s="85"/>
      <c r="J2169" s="87"/>
      <c r="K2169" s="88">
        <f t="shared" si="103"/>
        <v>0</v>
      </c>
      <c r="L2169" s="85"/>
    </row>
    <row r="2170" spans="1:12" hidden="1" x14ac:dyDescent="0.2">
      <c r="A2170" s="84" t="str">
        <f t="shared" si="101"/>
        <v>SelecioneSelecioneSelecione</v>
      </c>
      <c r="B2170" s="85" t="s">
        <v>19</v>
      </c>
      <c r="C2170" s="85" t="s">
        <v>19</v>
      </c>
      <c r="D2170" s="86"/>
      <c r="E2170" s="116" t="str">
        <f t="shared" si="102"/>
        <v>-</v>
      </c>
      <c r="F2170" s="85"/>
      <c r="G2170" s="85" t="s">
        <v>19</v>
      </c>
      <c r="H2170" s="85"/>
      <c r="I2170" s="85"/>
      <c r="J2170" s="87"/>
      <c r="K2170" s="88">
        <f t="shared" si="103"/>
        <v>0</v>
      </c>
      <c r="L2170" s="85"/>
    </row>
    <row r="2171" spans="1:12" hidden="1" x14ac:dyDescent="0.2">
      <c r="A2171" s="84" t="str">
        <f t="shared" si="101"/>
        <v>SelecioneSelecioneSelecione</v>
      </c>
      <c r="B2171" s="85" t="s">
        <v>19</v>
      </c>
      <c r="C2171" s="85" t="s">
        <v>19</v>
      </c>
      <c r="D2171" s="86"/>
      <c r="E2171" s="116" t="str">
        <f t="shared" si="102"/>
        <v>-</v>
      </c>
      <c r="F2171" s="85"/>
      <c r="G2171" s="85" t="s">
        <v>19</v>
      </c>
      <c r="H2171" s="85"/>
      <c r="I2171" s="85"/>
      <c r="J2171" s="87"/>
      <c r="K2171" s="88">
        <f t="shared" si="103"/>
        <v>0</v>
      </c>
      <c r="L2171" s="85"/>
    </row>
    <row r="2172" spans="1:12" hidden="1" x14ac:dyDescent="0.2">
      <c r="A2172" s="84" t="str">
        <f t="shared" si="101"/>
        <v>SelecioneSelecioneSelecione</v>
      </c>
      <c r="B2172" s="85" t="s">
        <v>19</v>
      </c>
      <c r="C2172" s="85" t="s">
        <v>19</v>
      </c>
      <c r="D2172" s="86"/>
      <c r="E2172" s="116" t="str">
        <f t="shared" si="102"/>
        <v>-</v>
      </c>
      <c r="F2172" s="85"/>
      <c r="G2172" s="85" t="s">
        <v>19</v>
      </c>
      <c r="H2172" s="85"/>
      <c r="I2172" s="85"/>
      <c r="J2172" s="87"/>
      <c r="K2172" s="88">
        <f t="shared" si="103"/>
        <v>0</v>
      </c>
      <c r="L2172" s="85"/>
    </row>
    <row r="2173" spans="1:12" hidden="1" x14ac:dyDescent="0.2">
      <c r="A2173" s="84" t="str">
        <f t="shared" si="101"/>
        <v>SelecioneSelecioneSelecione</v>
      </c>
      <c r="B2173" s="85" t="s">
        <v>19</v>
      </c>
      <c r="C2173" s="85" t="s">
        <v>19</v>
      </c>
      <c r="D2173" s="86"/>
      <c r="E2173" s="116" t="str">
        <f t="shared" si="102"/>
        <v>-</v>
      </c>
      <c r="F2173" s="85"/>
      <c r="G2173" s="85" t="s">
        <v>19</v>
      </c>
      <c r="H2173" s="85"/>
      <c r="I2173" s="85"/>
      <c r="J2173" s="87"/>
      <c r="K2173" s="88">
        <f t="shared" si="103"/>
        <v>0</v>
      </c>
      <c r="L2173" s="85"/>
    </row>
    <row r="2174" spans="1:12" hidden="1" x14ac:dyDescent="0.2">
      <c r="A2174" s="84" t="str">
        <f t="shared" si="101"/>
        <v>SelecioneSelecioneSelecione</v>
      </c>
      <c r="B2174" s="85" t="s">
        <v>19</v>
      </c>
      <c r="C2174" s="85" t="s">
        <v>19</v>
      </c>
      <c r="D2174" s="86"/>
      <c r="E2174" s="116" t="str">
        <f t="shared" si="102"/>
        <v>-</v>
      </c>
      <c r="F2174" s="85"/>
      <c r="G2174" s="85" t="s">
        <v>19</v>
      </c>
      <c r="H2174" s="85"/>
      <c r="I2174" s="85"/>
      <c r="J2174" s="87"/>
      <c r="K2174" s="88">
        <f t="shared" si="103"/>
        <v>0</v>
      </c>
      <c r="L2174" s="85"/>
    </row>
    <row r="2175" spans="1:12" hidden="1" x14ac:dyDescent="0.2">
      <c r="A2175" s="84" t="str">
        <f t="shared" si="101"/>
        <v>SelecioneSelecioneSelecione</v>
      </c>
      <c r="B2175" s="85" t="s">
        <v>19</v>
      </c>
      <c r="C2175" s="85" t="s">
        <v>19</v>
      </c>
      <c r="D2175" s="86"/>
      <c r="E2175" s="116" t="str">
        <f t="shared" si="102"/>
        <v>-</v>
      </c>
      <c r="F2175" s="85"/>
      <c r="G2175" s="85" t="s">
        <v>19</v>
      </c>
      <c r="H2175" s="85"/>
      <c r="I2175" s="85"/>
      <c r="J2175" s="87"/>
      <c r="K2175" s="88">
        <f t="shared" si="103"/>
        <v>0</v>
      </c>
      <c r="L2175" s="85"/>
    </row>
    <row r="2176" spans="1:12" hidden="1" x14ac:dyDescent="0.2">
      <c r="A2176" s="84" t="str">
        <f t="shared" si="101"/>
        <v>SelecioneSelecioneSelecione</v>
      </c>
      <c r="B2176" s="85" t="s">
        <v>19</v>
      </c>
      <c r="C2176" s="85" t="s">
        <v>19</v>
      </c>
      <c r="D2176" s="86"/>
      <c r="E2176" s="116" t="str">
        <f t="shared" si="102"/>
        <v>-</v>
      </c>
      <c r="F2176" s="85"/>
      <c r="G2176" s="85" t="s">
        <v>19</v>
      </c>
      <c r="H2176" s="85"/>
      <c r="I2176" s="85"/>
      <c r="J2176" s="87"/>
      <c r="K2176" s="88">
        <f t="shared" si="103"/>
        <v>0</v>
      </c>
      <c r="L2176" s="85"/>
    </row>
    <row r="2177" spans="1:12" hidden="1" x14ac:dyDescent="0.2">
      <c r="A2177" s="84" t="str">
        <f t="shared" si="101"/>
        <v>SelecioneSelecioneSelecione</v>
      </c>
      <c r="B2177" s="85" t="s">
        <v>19</v>
      </c>
      <c r="C2177" s="85" t="s">
        <v>19</v>
      </c>
      <c r="D2177" s="86"/>
      <c r="E2177" s="116" t="str">
        <f t="shared" si="102"/>
        <v>-</v>
      </c>
      <c r="F2177" s="85"/>
      <c r="G2177" s="85" t="s">
        <v>19</v>
      </c>
      <c r="H2177" s="85"/>
      <c r="I2177" s="85"/>
      <c r="J2177" s="87"/>
      <c r="K2177" s="88">
        <f t="shared" si="103"/>
        <v>0</v>
      </c>
      <c r="L2177" s="85"/>
    </row>
    <row r="2178" spans="1:12" hidden="1" x14ac:dyDescent="0.2">
      <c r="A2178" s="84" t="str">
        <f t="shared" ref="A2178:A2241" si="104">CONCATENATE(B2178,C2178,G2178)</f>
        <v>SelecioneSelecioneSelecione</v>
      </c>
      <c r="B2178" s="85" t="s">
        <v>19</v>
      </c>
      <c r="C2178" s="85" t="s">
        <v>19</v>
      </c>
      <c r="D2178" s="86"/>
      <c r="E2178" s="116" t="str">
        <f t="shared" ref="E2178:E2241" si="105">VLOOKUP(G2178,$M$1:$O$993,3,0)</f>
        <v>-</v>
      </c>
      <c r="F2178" s="85"/>
      <c r="G2178" s="85" t="s">
        <v>19</v>
      </c>
      <c r="H2178" s="85"/>
      <c r="I2178" s="85"/>
      <c r="J2178" s="87"/>
      <c r="K2178" s="88">
        <f t="shared" ref="K2178:K2241" si="106">I2178*J2178</f>
        <v>0</v>
      </c>
      <c r="L2178" s="85"/>
    </row>
    <row r="2179" spans="1:12" hidden="1" x14ac:dyDescent="0.2">
      <c r="A2179" s="84" t="str">
        <f t="shared" si="104"/>
        <v>SelecioneSelecioneSelecione</v>
      </c>
      <c r="B2179" s="85" t="s">
        <v>19</v>
      </c>
      <c r="C2179" s="85" t="s">
        <v>19</v>
      </c>
      <c r="D2179" s="86"/>
      <c r="E2179" s="116" t="str">
        <f t="shared" si="105"/>
        <v>-</v>
      </c>
      <c r="F2179" s="85"/>
      <c r="G2179" s="85" t="s">
        <v>19</v>
      </c>
      <c r="H2179" s="85"/>
      <c r="I2179" s="85"/>
      <c r="J2179" s="87"/>
      <c r="K2179" s="88">
        <f t="shared" si="106"/>
        <v>0</v>
      </c>
      <c r="L2179" s="85"/>
    </row>
    <row r="2180" spans="1:12" hidden="1" x14ac:dyDescent="0.2">
      <c r="A2180" s="84" t="str">
        <f t="shared" si="104"/>
        <v>SelecioneSelecioneSelecione</v>
      </c>
      <c r="B2180" s="85" t="s">
        <v>19</v>
      </c>
      <c r="C2180" s="85" t="s">
        <v>19</v>
      </c>
      <c r="D2180" s="86"/>
      <c r="E2180" s="116" t="str">
        <f t="shared" si="105"/>
        <v>-</v>
      </c>
      <c r="F2180" s="85"/>
      <c r="G2180" s="85" t="s">
        <v>19</v>
      </c>
      <c r="H2180" s="85"/>
      <c r="I2180" s="85"/>
      <c r="J2180" s="87"/>
      <c r="K2180" s="88">
        <f t="shared" si="106"/>
        <v>0</v>
      </c>
      <c r="L2180" s="85"/>
    </row>
    <row r="2181" spans="1:12" hidden="1" x14ac:dyDescent="0.2">
      <c r="A2181" s="84" t="str">
        <f t="shared" si="104"/>
        <v>SelecioneSelecioneSelecione</v>
      </c>
      <c r="B2181" s="85" t="s">
        <v>19</v>
      </c>
      <c r="C2181" s="85" t="s">
        <v>19</v>
      </c>
      <c r="D2181" s="86"/>
      <c r="E2181" s="116" t="str">
        <f t="shared" si="105"/>
        <v>-</v>
      </c>
      <c r="F2181" s="85"/>
      <c r="G2181" s="85" t="s">
        <v>19</v>
      </c>
      <c r="H2181" s="85"/>
      <c r="I2181" s="85"/>
      <c r="J2181" s="87"/>
      <c r="K2181" s="88">
        <f t="shared" si="106"/>
        <v>0</v>
      </c>
      <c r="L2181" s="85"/>
    </row>
    <row r="2182" spans="1:12" hidden="1" x14ac:dyDescent="0.2">
      <c r="A2182" s="84" t="str">
        <f t="shared" si="104"/>
        <v>SelecioneSelecioneSelecione</v>
      </c>
      <c r="B2182" s="85" t="s">
        <v>19</v>
      </c>
      <c r="C2182" s="85" t="s">
        <v>19</v>
      </c>
      <c r="D2182" s="86"/>
      <c r="E2182" s="116" t="str">
        <f t="shared" si="105"/>
        <v>-</v>
      </c>
      <c r="F2182" s="85"/>
      <c r="G2182" s="85" t="s">
        <v>19</v>
      </c>
      <c r="H2182" s="85"/>
      <c r="I2182" s="85"/>
      <c r="J2182" s="87"/>
      <c r="K2182" s="88">
        <f t="shared" si="106"/>
        <v>0</v>
      </c>
      <c r="L2182" s="85"/>
    </row>
    <row r="2183" spans="1:12" hidden="1" x14ac:dyDescent="0.2">
      <c r="A2183" s="84" t="str">
        <f t="shared" si="104"/>
        <v>SelecioneSelecioneSelecione</v>
      </c>
      <c r="B2183" s="85" t="s">
        <v>19</v>
      </c>
      <c r="C2183" s="85" t="s">
        <v>19</v>
      </c>
      <c r="D2183" s="86"/>
      <c r="E2183" s="116" t="str">
        <f t="shared" si="105"/>
        <v>-</v>
      </c>
      <c r="F2183" s="90"/>
      <c r="G2183" s="85" t="s">
        <v>19</v>
      </c>
      <c r="H2183" s="85"/>
      <c r="I2183" s="85"/>
      <c r="J2183" s="87"/>
      <c r="K2183" s="88">
        <f t="shared" si="106"/>
        <v>0</v>
      </c>
      <c r="L2183" s="85"/>
    </row>
    <row r="2184" spans="1:12" hidden="1" x14ac:dyDescent="0.2">
      <c r="A2184" s="84" t="str">
        <f t="shared" si="104"/>
        <v>SelecioneSelecioneSelecione</v>
      </c>
      <c r="B2184" s="85" t="s">
        <v>19</v>
      </c>
      <c r="C2184" s="85" t="s">
        <v>19</v>
      </c>
      <c r="D2184" s="86"/>
      <c r="E2184" s="116" t="str">
        <f t="shared" si="105"/>
        <v>-</v>
      </c>
      <c r="F2184" s="85"/>
      <c r="G2184" s="85" t="s">
        <v>19</v>
      </c>
      <c r="H2184" s="85"/>
      <c r="I2184" s="85"/>
      <c r="J2184" s="87"/>
      <c r="K2184" s="88">
        <f t="shared" si="106"/>
        <v>0</v>
      </c>
      <c r="L2184" s="85"/>
    </row>
    <row r="2185" spans="1:12" hidden="1" x14ac:dyDescent="0.2">
      <c r="A2185" s="84" t="str">
        <f t="shared" si="104"/>
        <v>SelecioneSelecioneSelecione</v>
      </c>
      <c r="B2185" s="85" t="s">
        <v>19</v>
      </c>
      <c r="C2185" s="85" t="s">
        <v>19</v>
      </c>
      <c r="D2185" s="86"/>
      <c r="E2185" s="116" t="str">
        <f t="shared" si="105"/>
        <v>-</v>
      </c>
      <c r="F2185" s="85"/>
      <c r="G2185" s="85" t="s">
        <v>19</v>
      </c>
      <c r="H2185" s="85"/>
      <c r="I2185" s="85"/>
      <c r="J2185" s="87"/>
      <c r="K2185" s="88">
        <f t="shared" si="106"/>
        <v>0</v>
      </c>
      <c r="L2185" s="85"/>
    </row>
    <row r="2186" spans="1:12" hidden="1" x14ac:dyDescent="0.2">
      <c r="A2186" s="84" t="str">
        <f t="shared" si="104"/>
        <v>SelecioneSelecioneSelecione</v>
      </c>
      <c r="B2186" s="85" t="s">
        <v>19</v>
      </c>
      <c r="C2186" s="85" t="s">
        <v>19</v>
      </c>
      <c r="D2186" s="86"/>
      <c r="E2186" s="116" t="str">
        <f t="shared" si="105"/>
        <v>-</v>
      </c>
      <c r="F2186" s="85"/>
      <c r="G2186" s="85" t="s">
        <v>19</v>
      </c>
      <c r="H2186" s="85"/>
      <c r="I2186" s="85"/>
      <c r="J2186" s="87"/>
      <c r="K2186" s="88">
        <f t="shared" si="106"/>
        <v>0</v>
      </c>
      <c r="L2186" s="85"/>
    </row>
    <row r="2187" spans="1:12" hidden="1" x14ac:dyDescent="0.2">
      <c r="A2187" s="84" t="str">
        <f t="shared" si="104"/>
        <v>SelecioneSelecioneSelecione</v>
      </c>
      <c r="B2187" s="85" t="s">
        <v>19</v>
      </c>
      <c r="C2187" s="85" t="s">
        <v>19</v>
      </c>
      <c r="D2187" s="86"/>
      <c r="E2187" s="116" t="str">
        <f t="shared" si="105"/>
        <v>-</v>
      </c>
      <c r="F2187" s="85"/>
      <c r="G2187" s="85" t="s">
        <v>19</v>
      </c>
      <c r="H2187" s="85"/>
      <c r="I2187" s="85"/>
      <c r="J2187" s="87"/>
      <c r="K2187" s="88">
        <f t="shared" si="106"/>
        <v>0</v>
      </c>
      <c r="L2187" s="85"/>
    </row>
    <row r="2188" spans="1:12" hidden="1" x14ac:dyDescent="0.2">
      <c r="A2188" s="84" t="str">
        <f t="shared" si="104"/>
        <v>SelecioneSelecioneSelecione</v>
      </c>
      <c r="B2188" s="85" t="s">
        <v>19</v>
      </c>
      <c r="C2188" s="85" t="s">
        <v>19</v>
      </c>
      <c r="D2188" s="86"/>
      <c r="E2188" s="116" t="str">
        <f t="shared" si="105"/>
        <v>-</v>
      </c>
      <c r="F2188" s="85"/>
      <c r="G2188" s="85" t="s">
        <v>19</v>
      </c>
      <c r="H2188" s="85"/>
      <c r="I2188" s="85"/>
      <c r="J2188" s="87"/>
      <c r="K2188" s="88">
        <f t="shared" si="106"/>
        <v>0</v>
      </c>
      <c r="L2188" s="85"/>
    </row>
    <row r="2189" spans="1:12" hidden="1" x14ac:dyDescent="0.2">
      <c r="A2189" s="84" t="str">
        <f t="shared" si="104"/>
        <v>SelecioneSelecioneSelecione</v>
      </c>
      <c r="B2189" s="85" t="s">
        <v>19</v>
      </c>
      <c r="C2189" s="85" t="s">
        <v>19</v>
      </c>
      <c r="D2189" s="86"/>
      <c r="E2189" s="116" t="str">
        <f t="shared" si="105"/>
        <v>-</v>
      </c>
      <c r="F2189" s="85"/>
      <c r="G2189" s="85" t="s">
        <v>19</v>
      </c>
      <c r="H2189" s="85"/>
      <c r="I2189" s="85"/>
      <c r="J2189" s="87"/>
      <c r="K2189" s="88">
        <f t="shared" si="106"/>
        <v>0</v>
      </c>
      <c r="L2189" s="85"/>
    </row>
    <row r="2190" spans="1:12" hidden="1" x14ac:dyDescent="0.2">
      <c r="A2190" s="84" t="str">
        <f t="shared" si="104"/>
        <v>SelecioneSelecioneSelecione</v>
      </c>
      <c r="B2190" s="85" t="s">
        <v>19</v>
      </c>
      <c r="C2190" s="85" t="s">
        <v>19</v>
      </c>
      <c r="D2190" s="86"/>
      <c r="E2190" s="116" t="str">
        <f t="shared" si="105"/>
        <v>-</v>
      </c>
      <c r="F2190" s="85"/>
      <c r="G2190" s="85" t="s">
        <v>19</v>
      </c>
      <c r="H2190" s="85"/>
      <c r="I2190" s="85"/>
      <c r="J2190" s="87"/>
      <c r="K2190" s="88">
        <f t="shared" si="106"/>
        <v>0</v>
      </c>
      <c r="L2190" s="85"/>
    </row>
    <row r="2191" spans="1:12" hidden="1" x14ac:dyDescent="0.2">
      <c r="A2191" s="84" t="str">
        <f t="shared" si="104"/>
        <v>SelecioneSelecioneSelecione</v>
      </c>
      <c r="B2191" s="85" t="s">
        <v>19</v>
      </c>
      <c r="C2191" s="85" t="s">
        <v>19</v>
      </c>
      <c r="D2191" s="86"/>
      <c r="E2191" s="116" t="str">
        <f t="shared" si="105"/>
        <v>-</v>
      </c>
      <c r="F2191" s="85"/>
      <c r="G2191" s="85" t="s">
        <v>19</v>
      </c>
      <c r="H2191" s="85"/>
      <c r="I2191" s="85"/>
      <c r="J2191" s="87"/>
      <c r="K2191" s="88">
        <f t="shared" si="106"/>
        <v>0</v>
      </c>
      <c r="L2191" s="85"/>
    </row>
    <row r="2192" spans="1:12" hidden="1" x14ac:dyDescent="0.2">
      <c r="A2192" s="84" t="str">
        <f t="shared" si="104"/>
        <v>SelecioneSelecioneSelecione</v>
      </c>
      <c r="B2192" s="85" t="s">
        <v>19</v>
      </c>
      <c r="C2192" s="85" t="s">
        <v>19</v>
      </c>
      <c r="D2192" s="86"/>
      <c r="E2192" s="116" t="str">
        <f t="shared" si="105"/>
        <v>-</v>
      </c>
      <c r="F2192" s="85"/>
      <c r="G2192" s="85" t="s">
        <v>19</v>
      </c>
      <c r="H2192" s="85"/>
      <c r="I2192" s="85"/>
      <c r="J2192" s="87"/>
      <c r="K2192" s="88">
        <f t="shared" si="106"/>
        <v>0</v>
      </c>
      <c r="L2192" s="85"/>
    </row>
    <row r="2193" spans="1:12" hidden="1" x14ac:dyDescent="0.2">
      <c r="A2193" s="84" t="str">
        <f t="shared" si="104"/>
        <v>SelecioneSelecioneSelecione</v>
      </c>
      <c r="B2193" s="85" t="s">
        <v>19</v>
      </c>
      <c r="C2193" s="85" t="s">
        <v>19</v>
      </c>
      <c r="D2193" s="86"/>
      <c r="E2193" s="116" t="str">
        <f t="shared" si="105"/>
        <v>-</v>
      </c>
      <c r="F2193" s="85"/>
      <c r="G2193" s="85" t="s">
        <v>19</v>
      </c>
      <c r="H2193" s="85"/>
      <c r="I2193" s="85"/>
      <c r="J2193" s="87"/>
      <c r="K2193" s="88">
        <f t="shared" si="106"/>
        <v>0</v>
      </c>
      <c r="L2193" s="85"/>
    </row>
    <row r="2194" spans="1:12" hidden="1" x14ac:dyDescent="0.2">
      <c r="A2194" s="84" t="str">
        <f t="shared" si="104"/>
        <v>SelecioneSelecioneSelecione</v>
      </c>
      <c r="B2194" s="85" t="s">
        <v>19</v>
      </c>
      <c r="C2194" s="85" t="s">
        <v>19</v>
      </c>
      <c r="D2194" s="86"/>
      <c r="E2194" s="116" t="str">
        <f t="shared" si="105"/>
        <v>-</v>
      </c>
      <c r="F2194" s="85"/>
      <c r="G2194" s="85" t="s">
        <v>19</v>
      </c>
      <c r="H2194" s="85"/>
      <c r="I2194" s="85"/>
      <c r="J2194" s="87"/>
      <c r="K2194" s="88">
        <f t="shared" si="106"/>
        <v>0</v>
      </c>
      <c r="L2194" s="85"/>
    </row>
    <row r="2195" spans="1:12" hidden="1" x14ac:dyDescent="0.2">
      <c r="A2195" s="84" t="str">
        <f t="shared" si="104"/>
        <v>SelecioneSelecioneSelecione</v>
      </c>
      <c r="B2195" s="85" t="s">
        <v>19</v>
      </c>
      <c r="C2195" s="85" t="s">
        <v>19</v>
      </c>
      <c r="D2195" s="86"/>
      <c r="E2195" s="116" t="str">
        <f t="shared" si="105"/>
        <v>-</v>
      </c>
      <c r="F2195" s="85"/>
      <c r="G2195" s="85" t="s">
        <v>19</v>
      </c>
      <c r="H2195" s="85"/>
      <c r="I2195" s="85"/>
      <c r="J2195" s="87"/>
      <c r="K2195" s="88">
        <f t="shared" si="106"/>
        <v>0</v>
      </c>
      <c r="L2195" s="85"/>
    </row>
    <row r="2196" spans="1:12" hidden="1" x14ac:dyDescent="0.2">
      <c r="A2196" s="84" t="str">
        <f t="shared" si="104"/>
        <v>SelecioneSelecioneSelecione</v>
      </c>
      <c r="B2196" s="85" t="s">
        <v>19</v>
      </c>
      <c r="C2196" s="85" t="s">
        <v>19</v>
      </c>
      <c r="D2196" s="86"/>
      <c r="E2196" s="116" t="str">
        <f t="shared" si="105"/>
        <v>-</v>
      </c>
      <c r="F2196" s="85"/>
      <c r="G2196" s="85" t="s">
        <v>19</v>
      </c>
      <c r="H2196" s="85"/>
      <c r="I2196" s="85"/>
      <c r="J2196" s="87"/>
      <c r="K2196" s="88">
        <f t="shared" si="106"/>
        <v>0</v>
      </c>
      <c r="L2196" s="85"/>
    </row>
    <row r="2197" spans="1:12" hidden="1" x14ac:dyDescent="0.2">
      <c r="A2197" s="84" t="str">
        <f t="shared" si="104"/>
        <v>SelecioneSelecioneSelecione</v>
      </c>
      <c r="B2197" s="85" t="s">
        <v>19</v>
      </c>
      <c r="C2197" s="85" t="s">
        <v>19</v>
      </c>
      <c r="D2197" s="86"/>
      <c r="E2197" s="116" t="str">
        <f t="shared" si="105"/>
        <v>-</v>
      </c>
      <c r="F2197" s="85"/>
      <c r="G2197" s="85" t="s">
        <v>19</v>
      </c>
      <c r="H2197" s="85"/>
      <c r="I2197" s="85"/>
      <c r="J2197" s="87"/>
      <c r="K2197" s="88">
        <f t="shared" si="106"/>
        <v>0</v>
      </c>
      <c r="L2197" s="85"/>
    </row>
    <row r="2198" spans="1:12" hidden="1" x14ac:dyDescent="0.2">
      <c r="A2198" s="84" t="str">
        <f t="shared" si="104"/>
        <v>SelecioneSelecioneSelecione</v>
      </c>
      <c r="B2198" s="85" t="s">
        <v>19</v>
      </c>
      <c r="C2198" s="85" t="s">
        <v>19</v>
      </c>
      <c r="D2198" s="86"/>
      <c r="E2198" s="116" t="str">
        <f t="shared" si="105"/>
        <v>-</v>
      </c>
      <c r="F2198" s="85"/>
      <c r="G2198" s="85" t="s">
        <v>19</v>
      </c>
      <c r="H2198" s="85"/>
      <c r="I2198" s="85"/>
      <c r="J2198" s="87"/>
      <c r="K2198" s="88">
        <f t="shared" si="106"/>
        <v>0</v>
      </c>
      <c r="L2198" s="85"/>
    </row>
    <row r="2199" spans="1:12" hidden="1" x14ac:dyDescent="0.2">
      <c r="A2199" s="84" t="str">
        <f t="shared" si="104"/>
        <v>SelecioneSelecioneSelecione</v>
      </c>
      <c r="B2199" s="85" t="s">
        <v>19</v>
      </c>
      <c r="C2199" s="85" t="s">
        <v>19</v>
      </c>
      <c r="D2199" s="86"/>
      <c r="E2199" s="116" t="str">
        <f t="shared" si="105"/>
        <v>-</v>
      </c>
      <c r="F2199" s="85"/>
      <c r="G2199" s="85" t="s">
        <v>19</v>
      </c>
      <c r="H2199" s="85"/>
      <c r="I2199" s="85"/>
      <c r="J2199" s="87"/>
      <c r="K2199" s="88">
        <f t="shared" si="106"/>
        <v>0</v>
      </c>
      <c r="L2199" s="85"/>
    </row>
    <row r="2200" spans="1:12" hidden="1" x14ac:dyDescent="0.2">
      <c r="A2200" s="84" t="str">
        <f t="shared" si="104"/>
        <v>SelecioneSelecioneSelecione</v>
      </c>
      <c r="B2200" s="85" t="s">
        <v>19</v>
      </c>
      <c r="C2200" s="85" t="s">
        <v>19</v>
      </c>
      <c r="D2200" s="86"/>
      <c r="E2200" s="116" t="str">
        <f t="shared" si="105"/>
        <v>-</v>
      </c>
      <c r="F2200" s="85"/>
      <c r="G2200" s="85" t="s">
        <v>19</v>
      </c>
      <c r="H2200" s="85"/>
      <c r="I2200" s="85"/>
      <c r="J2200" s="87"/>
      <c r="K2200" s="88">
        <f t="shared" si="106"/>
        <v>0</v>
      </c>
      <c r="L2200" s="85"/>
    </row>
    <row r="2201" spans="1:12" hidden="1" x14ac:dyDescent="0.2">
      <c r="A2201" s="84" t="str">
        <f t="shared" si="104"/>
        <v>SelecioneSelecioneSelecione</v>
      </c>
      <c r="B2201" s="85" t="s">
        <v>19</v>
      </c>
      <c r="C2201" s="85" t="s">
        <v>19</v>
      </c>
      <c r="D2201" s="86"/>
      <c r="E2201" s="116" t="str">
        <f t="shared" si="105"/>
        <v>-</v>
      </c>
      <c r="F2201" s="85"/>
      <c r="G2201" s="85" t="s">
        <v>19</v>
      </c>
      <c r="H2201" s="85"/>
      <c r="I2201" s="85"/>
      <c r="J2201" s="87"/>
      <c r="K2201" s="88">
        <f t="shared" si="106"/>
        <v>0</v>
      </c>
      <c r="L2201" s="85"/>
    </row>
    <row r="2202" spans="1:12" hidden="1" x14ac:dyDescent="0.2">
      <c r="A2202" s="84" t="str">
        <f t="shared" si="104"/>
        <v>SelecioneSelecioneSelecione</v>
      </c>
      <c r="B2202" s="85" t="s">
        <v>19</v>
      </c>
      <c r="C2202" s="85" t="s">
        <v>19</v>
      </c>
      <c r="D2202" s="86"/>
      <c r="E2202" s="116" t="str">
        <f t="shared" si="105"/>
        <v>-</v>
      </c>
      <c r="F2202" s="85"/>
      <c r="G2202" s="85" t="s">
        <v>19</v>
      </c>
      <c r="H2202" s="85"/>
      <c r="I2202" s="85"/>
      <c r="J2202" s="87"/>
      <c r="K2202" s="88">
        <f t="shared" si="106"/>
        <v>0</v>
      </c>
      <c r="L2202" s="85"/>
    </row>
    <row r="2203" spans="1:12" hidden="1" x14ac:dyDescent="0.2">
      <c r="A2203" s="84" t="str">
        <f t="shared" si="104"/>
        <v>SelecioneSelecioneSelecione</v>
      </c>
      <c r="B2203" s="85" t="s">
        <v>19</v>
      </c>
      <c r="C2203" s="85" t="s">
        <v>19</v>
      </c>
      <c r="D2203" s="86"/>
      <c r="E2203" s="116" t="str">
        <f t="shared" si="105"/>
        <v>-</v>
      </c>
      <c r="F2203" s="85"/>
      <c r="G2203" s="85" t="s">
        <v>19</v>
      </c>
      <c r="H2203" s="85"/>
      <c r="I2203" s="85"/>
      <c r="J2203" s="87"/>
      <c r="K2203" s="88">
        <f t="shared" si="106"/>
        <v>0</v>
      </c>
      <c r="L2203" s="85"/>
    </row>
    <row r="2204" spans="1:12" hidden="1" x14ac:dyDescent="0.2">
      <c r="A2204" s="84" t="str">
        <f t="shared" si="104"/>
        <v>SelecioneSelecioneSelecione</v>
      </c>
      <c r="B2204" s="85" t="s">
        <v>19</v>
      </c>
      <c r="C2204" s="85" t="s">
        <v>19</v>
      </c>
      <c r="D2204" s="86"/>
      <c r="E2204" s="116" t="str">
        <f t="shared" si="105"/>
        <v>-</v>
      </c>
      <c r="F2204" s="85"/>
      <c r="G2204" s="85" t="s">
        <v>19</v>
      </c>
      <c r="H2204" s="85"/>
      <c r="I2204" s="85"/>
      <c r="J2204" s="87"/>
      <c r="K2204" s="88">
        <f t="shared" si="106"/>
        <v>0</v>
      </c>
      <c r="L2204" s="85"/>
    </row>
    <row r="2205" spans="1:12" hidden="1" x14ac:dyDescent="0.2">
      <c r="A2205" s="84" t="str">
        <f t="shared" si="104"/>
        <v>SelecioneSelecioneSelecione</v>
      </c>
      <c r="B2205" s="85" t="s">
        <v>19</v>
      </c>
      <c r="C2205" s="85" t="s">
        <v>19</v>
      </c>
      <c r="D2205" s="86"/>
      <c r="E2205" s="116" t="str">
        <f t="shared" si="105"/>
        <v>-</v>
      </c>
      <c r="F2205" s="85"/>
      <c r="G2205" s="85" t="s">
        <v>19</v>
      </c>
      <c r="H2205" s="85"/>
      <c r="I2205" s="85"/>
      <c r="J2205" s="87"/>
      <c r="K2205" s="88">
        <f t="shared" si="106"/>
        <v>0</v>
      </c>
      <c r="L2205" s="85"/>
    </row>
    <row r="2206" spans="1:12" hidden="1" x14ac:dyDescent="0.2">
      <c r="A2206" s="84" t="str">
        <f t="shared" si="104"/>
        <v>SelecioneSelecioneSelecione</v>
      </c>
      <c r="B2206" s="85" t="s">
        <v>19</v>
      </c>
      <c r="C2206" s="85" t="s">
        <v>19</v>
      </c>
      <c r="D2206" s="86"/>
      <c r="E2206" s="116" t="str">
        <f t="shared" si="105"/>
        <v>-</v>
      </c>
      <c r="F2206" s="85"/>
      <c r="G2206" s="85" t="s">
        <v>19</v>
      </c>
      <c r="H2206" s="85"/>
      <c r="I2206" s="85"/>
      <c r="J2206" s="87"/>
      <c r="K2206" s="88">
        <f t="shared" si="106"/>
        <v>0</v>
      </c>
      <c r="L2206" s="85"/>
    </row>
    <row r="2207" spans="1:12" hidden="1" x14ac:dyDescent="0.2">
      <c r="A2207" s="84" t="str">
        <f t="shared" si="104"/>
        <v>SelecioneSelecioneSelecione</v>
      </c>
      <c r="B2207" s="85" t="s">
        <v>19</v>
      </c>
      <c r="C2207" s="85" t="s">
        <v>19</v>
      </c>
      <c r="D2207" s="86"/>
      <c r="E2207" s="116" t="str">
        <f t="shared" si="105"/>
        <v>-</v>
      </c>
      <c r="F2207" s="85"/>
      <c r="G2207" s="85" t="s">
        <v>19</v>
      </c>
      <c r="H2207" s="85"/>
      <c r="I2207" s="85"/>
      <c r="J2207" s="87"/>
      <c r="K2207" s="88">
        <f t="shared" si="106"/>
        <v>0</v>
      </c>
      <c r="L2207" s="85"/>
    </row>
    <row r="2208" spans="1:12" hidden="1" x14ac:dyDescent="0.2">
      <c r="A2208" s="84" t="str">
        <f t="shared" si="104"/>
        <v>SelecioneSelecioneSelecione</v>
      </c>
      <c r="B2208" s="85" t="s">
        <v>19</v>
      </c>
      <c r="C2208" s="85" t="s">
        <v>19</v>
      </c>
      <c r="D2208" s="86"/>
      <c r="E2208" s="116" t="str">
        <f t="shared" si="105"/>
        <v>-</v>
      </c>
      <c r="F2208" s="85"/>
      <c r="G2208" s="85" t="s">
        <v>19</v>
      </c>
      <c r="H2208" s="85"/>
      <c r="I2208" s="85"/>
      <c r="J2208" s="87"/>
      <c r="K2208" s="88">
        <f t="shared" si="106"/>
        <v>0</v>
      </c>
      <c r="L2208" s="85"/>
    </row>
    <row r="2209" spans="1:12" hidden="1" x14ac:dyDescent="0.2">
      <c r="A2209" s="84" t="str">
        <f t="shared" si="104"/>
        <v>SelecioneSelecioneSelecione</v>
      </c>
      <c r="B2209" s="85" t="s">
        <v>19</v>
      </c>
      <c r="C2209" s="85" t="s">
        <v>19</v>
      </c>
      <c r="D2209" s="86"/>
      <c r="E2209" s="116" t="str">
        <f t="shared" si="105"/>
        <v>-</v>
      </c>
      <c r="F2209" s="85"/>
      <c r="G2209" s="85" t="s">
        <v>19</v>
      </c>
      <c r="H2209" s="85"/>
      <c r="I2209" s="85"/>
      <c r="J2209" s="87"/>
      <c r="K2209" s="88">
        <f t="shared" si="106"/>
        <v>0</v>
      </c>
      <c r="L2209" s="85"/>
    </row>
    <row r="2210" spans="1:12" hidden="1" x14ac:dyDescent="0.2">
      <c r="A2210" s="84" t="str">
        <f t="shared" si="104"/>
        <v>SelecioneSelecioneSelecione</v>
      </c>
      <c r="B2210" s="85" t="s">
        <v>19</v>
      </c>
      <c r="C2210" s="85" t="s">
        <v>19</v>
      </c>
      <c r="D2210" s="86"/>
      <c r="E2210" s="116" t="str">
        <f t="shared" si="105"/>
        <v>-</v>
      </c>
      <c r="F2210" s="85"/>
      <c r="G2210" s="85" t="s">
        <v>19</v>
      </c>
      <c r="H2210" s="85"/>
      <c r="I2210" s="85"/>
      <c r="J2210" s="87"/>
      <c r="K2210" s="88">
        <f t="shared" si="106"/>
        <v>0</v>
      </c>
      <c r="L2210" s="85"/>
    </row>
    <row r="2211" spans="1:12" hidden="1" x14ac:dyDescent="0.2">
      <c r="A2211" s="84" t="str">
        <f t="shared" si="104"/>
        <v>SelecioneSelecioneSelecione</v>
      </c>
      <c r="B2211" s="85" t="s">
        <v>19</v>
      </c>
      <c r="C2211" s="85" t="s">
        <v>19</v>
      </c>
      <c r="D2211" s="86"/>
      <c r="E2211" s="116" t="str">
        <f t="shared" si="105"/>
        <v>-</v>
      </c>
      <c r="F2211" s="85"/>
      <c r="G2211" s="85" t="s">
        <v>19</v>
      </c>
      <c r="H2211" s="85"/>
      <c r="I2211" s="85"/>
      <c r="J2211" s="87"/>
      <c r="K2211" s="88">
        <f t="shared" si="106"/>
        <v>0</v>
      </c>
      <c r="L2211" s="85"/>
    </row>
    <row r="2212" spans="1:12" hidden="1" x14ac:dyDescent="0.2">
      <c r="A2212" s="84" t="str">
        <f t="shared" si="104"/>
        <v>SelecioneSelecioneSelecione</v>
      </c>
      <c r="B2212" s="85" t="s">
        <v>19</v>
      </c>
      <c r="C2212" s="85" t="s">
        <v>19</v>
      </c>
      <c r="D2212" s="86"/>
      <c r="E2212" s="116" t="str">
        <f t="shared" si="105"/>
        <v>-</v>
      </c>
      <c r="F2212" s="85"/>
      <c r="G2212" s="85" t="s">
        <v>19</v>
      </c>
      <c r="H2212" s="85"/>
      <c r="I2212" s="85"/>
      <c r="J2212" s="87"/>
      <c r="K2212" s="88">
        <f t="shared" si="106"/>
        <v>0</v>
      </c>
      <c r="L2212" s="85"/>
    </row>
    <row r="2213" spans="1:12" hidden="1" x14ac:dyDescent="0.2">
      <c r="A2213" s="84" t="str">
        <f t="shared" si="104"/>
        <v>SelecioneSelecioneSelecione</v>
      </c>
      <c r="B2213" s="85" t="s">
        <v>19</v>
      </c>
      <c r="C2213" s="85" t="s">
        <v>19</v>
      </c>
      <c r="D2213" s="86"/>
      <c r="E2213" s="116" t="str">
        <f t="shared" si="105"/>
        <v>-</v>
      </c>
      <c r="F2213" s="85"/>
      <c r="G2213" s="85" t="s">
        <v>19</v>
      </c>
      <c r="H2213" s="85"/>
      <c r="I2213" s="85"/>
      <c r="J2213" s="87"/>
      <c r="K2213" s="88">
        <f t="shared" si="106"/>
        <v>0</v>
      </c>
      <c r="L2213" s="85"/>
    </row>
    <row r="2214" spans="1:12" hidden="1" x14ac:dyDescent="0.2">
      <c r="A2214" s="84" t="str">
        <f t="shared" si="104"/>
        <v>SelecioneSelecioneSelecione</v>
      </c>
      <c r="B2214" s="85" t="s">
        <v>19</v>
      </c>
      <c r="C2214" s="85" t="s">
        <v>19</v>
      </c>
      <c r="D2214" s="86"/>
      <c r="E2214" s="116" t="str">
        <f t="shared" si="105"/>
        <v>-</v>
      </c>
      <c r="F2214" s="85"/>
      <c r="G2214" s="85" t="s">
        <v>19</v>
      </c>
      <c r="H2214" s="85"/>
      <c r="I2214" s="85"/>
      <c r="J2214" s="87"/>
      <c r="K2214" s="88">
        <f t="shared" si="106"/>
        <v>0</v>
      </c>
      <c r="L2214" s="85"/>
    </row>
    <row r="2215" spans="1:12" hidden="1" x14ac:dyDescent="0.2">
      <c r="A2215" s="84" t="str">
        <f t="shared" si="104"/>
        <v>SelecioneSelecioneSelecione</v>
      </c>
      <c r="B2215" s="85" t="s">
        <v>19</v>
      </c>
      <c r="C2215" s="85" t="s">
        <v>19</v>
      </c>
      <c r="D2215" s="86"/>
      <c r="E2215" s="116" t="str">
        <f t="shared" si="105"/>
        <v>-</v>
      </c>
      <c r="F2215" s="85"/>
      <c r="G2215" s="85" t="s">
        <v>19</v>
      </c>
      <c r="H2215" s="85"/>
      <c r="I2215" s="85"/>
      <c r="J2215" s="87"/>
      <c r="K2215" s="88">
        <f t="shared" si="106"/>
        <v>0</v>
      </c>
      <c r="L2215" s="85"/>
    </row>
    <row r="2216" spans="1:12" hidden="1" x14ac:dyDescent="0.2">
      <c r="A2216" s="84" t="str">
        <f t="shared" si="104"/>
        <v>SelecioneSelecioneSelecione</v>
      </c>
      <c r="B2216" s="85" t="s">
        <v>19</v>
      </c>
      <c r="C2216" s="85" t="s">
        <v>19</v>
      </c>
      <c r="D2216" s="86"/>
      <c r="E2216" s="116" t="str">
        <f t="shared" si="105"/>
        <v>-</v>
      </c>
      <c r="F2216" s="85"/>
      <c r="G2216" s="85" t="s">
        <v>19</v>
      </c>
      <c r="H2216" s="85"/>
      <c r="I2216" s="85"/>
      <c r="J2216" s="87"/>
      <c r="K2216" s="88">
        <f t="shared" si="106"/>
        <v>0</v>
      </c>
      <c r="L2216" s="85"/>
    </row>
    <row r="2217" spans="1:12" hidden="1" x14ac:dyDescent="0.2">
      <c r="A2217" s="84" t="str">
        <f t="shared" si="104"/>
        <v>SelecioneSelecioneSelecione</v>
      </c>
      <c r="B2217" s="85" t="s">
        <v>19</v>
      </c>
      <c r="C2217" s="85" t="s">
        <v>19</v>
      </c>
      <c r="D2217" s="86"/>
      <c r="E2217" s="116" t="str">
        <f t="shared" si="105"/>
        <v>-</v>
      </c>
      <c r="F2217" s="85"/>
      <c r="G2217" s="85" t="s">
        <v>19</v>
      </c>
      <c r="H2217" s="85"/>
      <c r="I2217" s="85"/>
      <c r="J2217" s="87"/>
      <c r="K2217" s="88">
        <f t="shared" si="106"/>
        <v>0</v>
      </c>
      <c r="L2217" s="85"/>
    </row>
    <row r="2218" spans="1:12" hidden="1" x14ac:dyDescent="0.2">
      <c r="A2218" s="84" t="str">
        <f t="shared" si="104"/>
        <v>SelecioneSelecioneSelecione</v>
      </c>
      <c r="B2218" s="85" t="s">
        <v>19</v>
      </c>
      <c r="C2218" s="85" t="s">
        <v>19</v>
      </c>
      <c r="D2218" s="86"/>
      <c r="E2218" s="116" t="str">
        <f t="shared" si="105"/>
        <v>-</v>
      </c>
      <c r="F2218" s="85"/>
      <c r="G2218" s="85" t="s">
        <v>19</v>
      </c>
      <c r="H2218" s="85"/>
      <c r="I2218" s="85"/>
      <c r="J2218" s="87"/>
      <c r="K2218" s="88">
        <f t="shared" si="106"/>
        <v>0</v>
      </c>
      <c r="L2218" s="85"/>
    </row>
    <row r="2219" spans="1:12" hidden="1" x14ac:dyDescent="0.2">
      <c r="A2219" s="84" t="str">
        <f t="shared" si="104"/>
        <v>SelecioneSelecioneSelecione</v>
      </c>
      <c r="B2219" s="85" t="s">
        <v>19</v>
      </c>
      <c r="C2219" s="85" t="s">
        <v>19</v>
      </c>
      <c r="D2219" s="86"/>
      <c r="E2219" s="116" t="str">
        <f t="shared" si="105"/>
        <v>-</v>
      </c>
      <c r="F2219" s="85"/>
      <c r="G2219" s="85" t="s">
        <v>19</v>
      </c>
      <c r="H2219" s="85"/>
      <c r="I2219" s="85"/>
      <c r="J2219" s="87"/>
      <c r="K2219" s="88">
        <f t="shared" si="106"/>
        <v>0</v>
      </c>
      <c r="L2219" s="85"/>
    </row>
    <row r="2220" spans="1:12" hidden="1" x14ac:dyDescent="0.2">
      <c r="A2220" s="84" t="str">
        <f t="shared" si="104"/>
        <v>SelecioneSelecioneSelecione</v>
      </c>
      <c r="B2220" s="85" t="s">
        <v>19</v>
      </c>
      <c r="C2220" s="85" t="s">
        <v>19</v>
      </c>
      <c r="D2220" s="86"/>
      <c r="E2220" s="116" t="str">
        <f t="shared" si="105"/>
        <v>-</v>
      </c>
      <c r="F2220" s="85"/>
      <c r="G2220" s="85" t="s">
        <v>19</v>
      </c>
      <c r="H2220" s="85"/>
      <c r="I2220" s="85"/>
      <c r="J2220" s="87"/>
      <c r="K2220" s="88">
        <f t="shared" si="106"/>
        <v>0</v>
      </c>
      <c r="L2220" s="85"/>
    </row>
    <row r="2221" spans="1:12" hidden="1" x14ac:dyDescent="0.2">
      <c r="A2221" s="84" t="str">
        <f t="shared" si="104"/>
        <v>SelecioneSelecioneSelecione</v>
      </c>
      <c r="B2221" s="85" t="s">
        <v>19</v>
      </c>
      <c r="C2221" s="85" t="s">
        <v>19</v>
      </c>
      <c r="D2221" s="86"/>
      <c r="E2221" s="116" t="str">
        <f t="shared" si="105"/>
        <v>-</v>
      </c>
      <c r="F2221" s="85"/>
      <c r="G2221" s="85" t="s">
        <v>19</v>
      </c>
      <c r="H2221" s="85"/>
      <c r="I2221" s="85"/>
      <c r="J2221" s="87"/>
      <c r="K2221" s="88">
        <f t="shared" si="106"/>
        <v>0</v>
      </c>
      <c r="L2221" s="85"/>
    </row>
    <row r="2222" spans="1:12" hidden="1" x14ac:dyDescent="0.2">
      <c r="A2222" s="84" t="str">
        <f t="shared" si="104"/>
        <v>SelecioneSelecioneSelecione</v>
      </c>
      <c r="B2222" s="85" t="s">
        <v>19</v>
      </c>
      <c r="C2222" s="85" t="s">
        <v>19</v>
      </c>
      <c r="D2222" s="86"/>
      <c r="E2222" s="116" t="str">
        <f t="shared" si="105"/>
        <v>-</v>
      </c>
      <c r="F2222" s="85"/>
      <c r="G2222" s="85" t="s">
        <v>19</v>
      </c>
      <c r="H2222" s="85"/>
      <c r="I2222" s="85"/>
      <c r="J2222" s="87"/>
      <c r="K2222" s="88">
        <f t="shared" si="106"/>
        <v>0</v>
      </c>
      <c r="L2222" s="85"/>
    </row>
    <row r="2223" spans="1:12" hidden="1" x14ac:dyDescent="0.2">
      <c r="A2223" s="84" t="str">
        <f t="shared" si="104"/>
        <v>SelecioneSelecioneSelecione</v>
      </c>
      <c r="B2223" s="85" t="s">
        <v>19</v>
      </c>
      <c r="C2223" s="85" t="s">
        <v>19</v>
      </c>
      <c r="D2223" s="86"/>
      <c r="E2223" s="116" t="str">
        <f t="shared" si="105"/>
        <v>-</v>
      </c>
      <c r="F2223" s="85"/>
      <c r="G2223" s="85" t="s">
        <v>19</v>
      </c>
      <c r="H2223" s="85"/>
      <c r="I2223" s="85"/>
      <c r="J2223" s="87"/>
      <c r="K2223" s="88">
        <f t="shared" si="106"/>
        <v>0</v>
      </c>
      <c r="L2223" s="85"/>
    </row>
    <row r="2224" spans="1:12" hidden="1" x14ac:dyDescent="0.2">
      <c r="A2224" s="84" t="str">
        <f t="shared" si="104"/>
        <v>SelecioneSelecioneSelecione</v>
      </c>
      <c r="B2224" s="85" t="s">
        <v>19</v>
      </c>
      <c r="C2224" s="85" t="s">
        <v>19</v>
      </c>
      <c r="D2224" s="86"/>
      <c r="E2224" s="116" t="str">
        <f t="shared" si="105"/>
        <v>-</v>
      </c>
      <c r="F2224" s="85"/>
      <c r="G2224" s="85" t="s">
        <v>19</v>
      </c>
      <c r="H2224" s="85"/>
      <c r="I2224" s="85"/>
      <c r="J2224" s="87"/>
      <c r="K2224" s="88">
        <f t="shared" si="106"/>
        <v>0</v>
      </c>
      <c r="L2224" s="85"/>
    </row>
    <row r="2225" spans="1:12" hidden="1" x14ac:dyDescent="0.2">
      <c r="A2225" s="84" t="str">
        <f t="shared" si="104"/>
        <v>SelecioneSelecioneSelecione</v>
      </c>
      <c r="B2225" s="85" t="s">
        <v>19</v>
      </c>
      <c r="C2225" s="85" t="s">
        <v>19</v>
      </c>
      <c r="D2225" s="86"/>
      <c r="E2225" s="116" t="str">
        <f t="shared" si="105"/>
        <v>-</v>
      </c>
      <c r="F2225" s="85"/>
      <c r="G2225" s="85" t="s">
        <v>19</v>
      </c>
      <c r="H2225" s="85"/>
      <c r="I2225" s="85"/>
      <c r="J2225" s="87"/>
      <c r="K2225" s="88">
        <f t="shared" si="106"/>
        <v>0</v>
      </c>
      <c r="L2225" s="85"/>
    </row>
    <row r="2226" spans="1:12" hidden="1" x14ac:dyDescent="0.2">
      <c r="A2226" s="84" t="str">
        <f t="shared" si="104"/>
        <v>SelecioneSelecioneSelecione</v>
      </c>
      <c r="B2226" s="85" t="s">
        <v>19</v>
      </c>
      <c r="C2226" s="85" t="s">
        <v>19</v>
      </c>
      <c r="D2226" s="86"/>
      <c r="E2226" s="116" t="str">
        <f t="shared" si="105"/>
        <v>-</v>
      </c>
      <c r="F2226" s="85"/>
      <c r="G2226" s="85" t="s">
        <v>19</v>
      </c>
      <c r="H2226" s="85"/>
      <c r="I2226" s="85"/>
      <c r="J2226" s="87"/>
      <c r="K2226" s="88">
        <f t="shared" si="106"/>
        <v>0</v>
      </c>
      <c r="L2226" s="85"/>
    </row>
    <row r="2227" spans="1:12" hidden="1" x14ac:dyDescent="0.2">
      <c r="A2227" s="84" t="str">
        <f t="shared" si="104"/>
        <v>SelecioneSelecioneSelecione</v>
      </c>
      <c r="B2227" s="85" t="s">
        <v>19</v>
      </c>
      <c r="C2227" s="85" t="s">
        <v>19</v>
      </c>
      <c r="D2227" s="86"/>
      <c r="E2227" s="116" t="str">
        <f t="shared" si="105"/>
        <v>-</v>
      </c>
      <c r="F2227" s="85"/>
      <c r="G2227" s="85" t="s">
        <v>19</v>
      </c>
      <c r="H2227" s="85"/>
      <c r="I2227" s="85"/>
      <c r="J2227" s="87"/>
      <c r="K2227" s="88">
        <f t="shared" si="106"/>
        <v>0</v>
      </c>
      <c r="L2227" s="85"/>
    </row>
    <row r="2228" spans="1:12" hidden="1" x14ac:dyDescent="0.2">
      <c r="A2228" s="84" t="str">
        <f t="shared" si="104"/>
        <v>SelecioneSelecioneSelecione</v>
      </c>
      <c r="B2228" s="85" t="s">
        <v>19</v>
      </c>
      <c r="C2228" s="85" t="s">
        <v>19</v>
      </c>
      <c r="D2228" s="86"/>
      <c r="E2228" s="116" t="str">
        <f t="shared" si="105"/>
        <v>-</v>
      </c>
      <c r="F2228" s="85"/>
      <c r="G2228" s="85" t="s">
        <v>19</v>
      </c>
      <c r="H2228" s="85"/>
      <c r="I2228" s="85"/>
      <c r="J2228" s="87"/>
      <c r="K2228" s="88">
        <f t="shared" si="106"/>
        <v>0</v>
      </c>
      <c r="L2228" s="85"/>
    </row>
    <row r="2229" spans="1:12" hidden="1" x14ac:dyDescent="0.2">
      <c r="A2229" s="84" t="str">
        <f t="shared" si="104"/>
        <v>SelecioneSelecioneSelecione</v>
      </c>
      <c r="B2229" s="85" t="s">
        <v>19</v>
      </c>
      <c r="C2229" s="85" t="s">
        <v>19</v>
      </c>
      <c r="D2229" s="86"/>
      <c r="E2229" s="116" t="str">
        <f t="shared" si="105"/>
        <v>-</v>
      </c>
      <c r="F2229" s="85"/>
      <c r="G2229" s="85" t="s">
        <v>19</v>
      </c>
      <c r="H2229" s="85"/>
      <c r="I2229" s="85"/>
      <c r="J2229" s="87"/>
      <c r="K2229" s="88">
        <f t="shared" si="106"/>
        <v>0</v>
      </c>
      <c r="L2229" s="85"/>
    </row>
    <row r="2230" spans="1:12" hidden="1" x14ac:dyDescent="0.2">
      <c r="A2230" s="84" t="str">
        <f t="shared" si="104"/>
        <v>SelecioneSelecioneSelecione</v>
      </c>
      <c r="B2230" s="85" t="s">
        <v>19</v>
      </c>
      <c r="C2230" s="85" t="s">
        <v>19</v>
      </c>
      <c r="D2230" s="86"/>
      <c r="E2230" s="116" t="str">
        <f t="shared" si="105"/>
        <v>-</v>
      </c>
      <c r="F2230" s="85"/>
      <c r="G2230" s="85" t="s">
        <v>19</v>
      </c>
      <c r="H2230" s="85"/>
      <c r="I2230" s="85"/>
      <c r="J2230" s="87"/>
      <c r="K2230" s="88">
        <f t="shared" si="106"/>
        <v>0</v>
      </c>
      <c r="L2230" s="85"/>
    </row>
    <row r="2231" spans="1:12" hidden="1" x14ac:dyDescent="0.2">
      <c r="A2231" s="84" t="str">
        <f t="shared" si="104"/>
        <v>SelecioneSelecioneSelecione</v>
      </c>
      <c r="B2231" s="85" t="s">
        <v>19</v>
      </c>
      <c r="C2231" s="85" t="s">
        <v>19</v>
      </c>
      <c r="D2231" s="86"/>
      <c r="E2231" s="116" t="str">
        <f t="shared" si="105"/>
        <v>-</v>
      </c>
      <c r="F2231" s="85"/>
      <c r="G2231" s="85" t="s">
        <v>19</v>
      </c>
      <c r="H2231" s="85"/>
      <c r="I2231" s="85"/>
      <c r="J2231" s="87"/>
      <c r="K2231" s="88">
        <f t="shared" si="106"/>
        <v>0</v>
      </c>
      <c r="L2231" s="85"/>
    </row>
    <row r="2232" spans="1:12" hidden="1" x14ac:dyDescent="0.2">
      <c r="A2232" s="84" t="str">
        <f t="shared" si="104"/>
        <v>SelecioneSelecioneSelecione</v>
      </c>
      <c r="B2232" s="85" t="s">
        <v>19</v>
      </c>
      <c r="C2232" s="85" t="s">
        <v>19</v>
      </c>
      <c r="D2232" s="86"/>
      <c r="E2232" s="116" t="str">
        <f t="shared" si="105"/>
        <v>-</v>
      </c>
      <c r="F2232" s="85"/>
      <c r="G2232" s="85" t="s">
        <v>19</v>
      </c>
      <c r="H2232" s="85"/>
      <c r="I2232" s="85"/>
      <c r="J2232" s="87"/>
      <c r="K2232" s="88">
        <f t="shared" si="106"/>
        <v>0</v>
      </c>
      <c r="L2232" s="85"/>
    </row>
    <row r="2233" spans="1:12" hidden="1" x14ac:dyDescent="0.2">
      <c r="A2233" s="84" t="str">
        <f t="shared" si="104"/>
        <v>SelecioneSelecioneSelecione</v>
      </c>
      <c r="B2233" s="85" t="s">
        <v>19</v>
      </c>
      <c r="C2233" s="85" t="s">
        <v>19</v>
      </c>
      <c r="D2233" s="93"/>
      <c r="E2233" s="116" t="str">
        <f t="shared" si="105"/>
        <v>-</v>
      </c>
      <c r="F2233" s="90"/>
      <c r="G2233" s="85" t="s">
        <v>19</v>
      </c>
      <c r="H2233" s="85"/>
      <c r="I2233" s="90"/>
      <c r="J2233" s="89"/>
      <c r="K2233" s="88">
        <f t="shared" si="106"/>
        <v>0</v>
      </c>
      <c r="L2233" s="90"/>
    </row>
    <row r="2234" spans="1:12" hidden="1" x14ac:dyDescent="0.2">
      <c r="A2234" s="84" t="str">
        <f t="shared" si="104"/>
        <v>SelecioneSelecioneSelecione</v>
      </c>
      <c r="B2234" s="85" t="s">
        <v>19</v>
      </c>
      <c r="C2234" s="85" t="s">
        <v>19</v>
      </c>
      <c r="D2234" s="86"/>
      <c r="E2234" s="116" t="str">
        <f t="shared" si="105"/>
        <v>-</v>
      </c>
      <c r="F2234" s="85"/>
      <c r="G2234" s="85" t="s">
        <v>19</v>
      </c>
      <c r="H2234" s="85"/>
      <c r="I2234" s="85"/>
      <c r="J2234" s="87"/>
      <c r="K2234" s="88">
        <f t="shared" si="106"/>
        <v>0</v>
      </c>
      <c r="L2234" s="85"/>
    </row>
    <row r="2235" spans="1:12" hidden="1" x14ac:dyDescent="0.2">
      <c r="A2235" s="84" t="str">
        <f t="shared" si="104"/>
        <v>SelecioneSelecioneSelecione</v>
      </c>
      <c r="B2235" s="85" t="s">
        <v>19</v>
      </c>
      <c r="C2235" s="85" t="s">
        <v>19</v>
      </c>
      <c r="D2235" s="86"/>
      <c r="E2235" s="116" t="str">
        <f t="shared" si="105"/>
        <v>-</v>
      </c>
      <c r="F2235" s="85"/>
      <c r="G2235" s="85" t="s">
        <v>19</v>
      </c>
      <c r="H2235" s="85"/>
      <c r="I2235" s="85"/>
      <c r="J2235" s="87"/>
      <c r="K2235" s="88">
        <f t="shared" si="106"/>
        <v>0</v>
      </c>
      <c r="L2235" s="85"/>
    </row>
    <row r="2236" spans="1:12" hidden="1" x14ac:dyDescent="0.2">
      <c r="A2236" s="84" t="str">
        <f t="shared" si="104"/>
        <v>SelecioneSelecioneSelecione</v>
      </c>
      <c r="B2236" s="85" t="s">
        <v>19</v>
      </c>
      <c r="C2236" s="85" t="s">
        <v>19</v>
      </c>
      <c r="D2236" s="93"/>
      <c r="E2236" s="116" t="str">
        <f t="shared" si="105"/>
        <v>-</v>
      </c>
      <c r="F2236" s="90"/>
      <c r="G2236" s="85" t="s">
        <v>19</v>
      </c>
      <c r="H2236" s="85"/>
      <c r="I2236" s="90"/>
      <c r="J2236" s="89"/>
      <c r="K2236" s="88">
        <f t="shared" si="106"/>
        <v>0</v>
      </c>
      <c r="L2236" s="90"/>
    </row>
    <row r="2237" spans="1:12" hidden="1" x14ac:dyDescent="0.2">
      <c r="A2237" s="84" t="str">
        <f t="shared" si="104"/>
        <v>SelecioneSelecioneSelecione</v>
      </c>
      <c r="B2237" s="85" t="s">
        <v>19</v>
      </c>
      <c r="C2237" s="85" t="s">
        <v>19</v>
      </c>
      <c r="D2237" s="86"/>
      <c r="E2237" s="116" t="str">
        <f t="shared" si="105"/>
        <v>-</v>
      </c>
      <c r="F2237" s="85"/>
      <c r="G2237" s="85" t="s">
        <v>19</v>
      </c>
      <c r="H2237" s="85"/>
      <c r="I2237" s="85"/>
      <c r="J2237" s="87"/>
      <c r="K2237" s="88">
        <f t="shared" si="106"/>
        <v>0</v>
      </c>
      <c r="L2237" s="85"/>
    </row>
    <row r="2238" spans="1:12" hidden="1" x14ac:dyDescent="0.2">
      <c r="A2238" s="84" t="str">
        <f t="shared" si="104"/>
        <v>SelecioneSelecioneSelecione</v>
      </c>
      <c r="B2238" s="85" t="s">
        <v>19</v>
      </c>
      <c r="C2238" s="85" t="s">
        <v>19</v>
      </c>
      <c r="D2238" s="86"/>
      <c r="E2238" s="116" t="str">
        <f t="shared" si="105"/>
        <v>-</v>
      </c>
      <c r="F2238" s="85"/>
      <c r="G2238" s="85" t="s">
        <v>19</v>
      </c>
      <c r="H2238" s="85"/>
      <c r="I2238" s="85"/>
      <c r="J2238" s="87"/>
      <c r="K2238" s="88">
        <f t="shared" si="106"/>
        <v>0</v>
      </c>
      <c r="L2238" s="85"/>
    </row>
    <row r="2239" spans="1:12" hidden="1" x14ac:dyDescent="0.2">
      <c r="A2239" s="84" t="str">
        <f t="shared" si="104"/>
        <v>SelecioneSelecioneSelecione</v>
      </c>
      <c r="B2239" s="85" t="s">
        <v>19</v>
      </c>
      <c r="C2239" s="85" t="s">
        <v>19</v>
      </c>
      <c r="D2239" s="86"/>
      <c r="E2239" s="116" t="str">
        <f t="shared" si="105"/>
        <v>-</v>
      </c>
      <c r="F2239" s="85"/>
      <c r="G2239" s="85" t="s">
        <v>19</v>
      </c>
      <c r="H2239" s="85"/>
      <c r="I2239" s="85"/>
      <c r="J2239" s="87"/>
      <c r="K2239" s="88">
        <f t="shared" si="106"/>
        <v>0</v>
      </c>
      <c r="L2239" s="85"/>
    </row>
    <row r="2240" spans="1:12" hidden="1" x14ac:dyDescent="0.2">
      <c r="A2240" s="84" t="str">
        <f t="shared" si="104"/>
        <v>SelecioneSelecioneSelecione</v>
      </c>
      <c r="B2240" s="85" t="s">
        <v>19</v>
      </c>
      <c r="C2240" s="85" t="s">
        <v>19</v>
      </c>
      <c r="D2240" s="86"/>
      <c r="E2240" s="116" t="str">
        <f t="shared" si="105"/>
        <v>-</v>
      </c>
      <c r="F2240" s="85"/>
      <c r="G2240" s="85" t="s">
        <v>19</v>
      </c>
      <c r="H2240" s="85"/>
      <c r="I2240" s="85"/>
      <c r="J2240" s="87"/>
      <c r="K2240" s="88">
        <f t="shared" si="106"/>
        <v>0</v>
      </c>
      <c r="L2240" s="85"/>
    </row>
    <row r="2241" spans="1:12" hidden="1" x14ac:dyDescent="0.2">
      <c r="A2241" s="84" t="str">
        <f t="shared" si="104"/>
        <v>SelecioneSelecioneSelecione</v>
      </c>
      <c r="B2241" s="85" t="s">
        <v>19</v>
      </c>
      <c r="C2241" s="85" t="s">
        <v>19</v>
      </c>
      <c r="D2241" s="86"/>
      <c r="E2241" s="116" t="str">
        <f t="shared" si="105"/>
        <v>-</v>
      </c>
      <c r="F2241" s="85"/>
      <c r="G2241" s="85" t="s">
        <v>19</v>
      </c>
      <c r="H2241" s="85"/>
      <c r="I2241" s="85"/>
      <c r="J2241" s="87"/>
      <c r="K2241" s="88">
        <f t="shared" si="106"/>
        <v>0</v>
      </c>
      <c r="L2241" s="85"/>
    </row>
    <row r="2242" spans="1:12" hidden="1" x14ac:dyDescent="0.2">
      <c r="A2242" s="84" t="str">
        <f t="shared" ref="A2242:A2305" si="107">CONCATENATE(B2242,C2242,G2242)</f>
        <v>SelecioneSelecioneSelecione</v>
      </c>
      <c r="B2242" s="85" t="s">
        <v>19</v>
      </c>
      <c r="C2242" s="85" t="s">
        <v>19</v>
      </c>
      <c r="D2242" s="86"/>
      <c r="E2242" s="116" t="str">
        <f t="shared" ref="E2242:E2305" si="108">VLOOKUP(G2242,$M$1:$O$993,3,0)</f>
        <v>-</v>
      </c>
      <c r="F2242" s="85"/>
      <c r="G2242" s="85" t="s">
        <v>19</v>
      </c>
      <c r="H2242" s="85"/>
      <c r="I2242" s="85"/>
      <c r="J2242" s="87"/>
      <c r="K2242" s="88">
        <f t="shared" ref="K2242:K2305" si="109">I2242*J2242</f>
        <v>0</v>
      </c>
      <c r="L2242" s="85"/>
    </row>
    <row r="2243" spans="1:12" hidden="1" x14ac:dyDescent="0.2">
      <c r="A2243" s="84" t="str">
        <f t="shared" si="107"/>
        <v>SelecioneSelecioneSelecione</v>
      </c>
      <c r="B2243" s="85" t="s">
        <v>19</v>
      </c>
      <c r="C2243" s="85" t="s">
        <v>19</v>
      </c>
      <c r="D2243" s="86"/>
      <c r="E2243" s="116" t="str">
        <f t="shared" si="108"/>
        <v>-</v>
      </c>
      <c r="F2243" s="85"/>
      <c r="G2243" s="85" t="s">
        <v>19</v>
      </c>
      <c r="H2243" s="85"/>
      <c r="I2243" s="85"/>
      <c r="J2243" s="87"/>
      <c r="K2243" s="88">
        <f t="shared" si="109"/>
        <v>0</v>
      </c>
      <c r="L2243" s="85"/>
    </row>
    <row r="2244" spans="1:12" hidden="1" x14ac:dyDescent="0.2">
      <c r="A2244" s="84" t="str">
        <f t="shared" si="107"/>
        <v>SelecioneSelecioneSelecione</v>
      </c>
      <c r="B2244" s="85" t="s">
        <v>19</v>
      </c>
      <c r="C2244" s="85" t="s">
        <v>19</v>
      </c>
      <c r="D2244" s="86"/>
      <c r="E2244" s="116" t="str">
        <f t="shared" si="108"/>
        <v>-</v>
      </c>
      <c r="F2244" s="85"/>
      <c r="G2244" s="85" t="s">
        <v>19</v>
      </c>
      <c r="H2244" s="85"/>
      <c r="I2244" s="85"/>
      <c r="J2244" s="87"/>
      <c r="K2244" s="88">
        <f t="shared" si="109"/>
        <v>0</v>
      </c>
      <c r="L2244" s="85"/>
    </row>
    <row r="2245" spans="1:12" hidden="1" x14ac:dyDescent="0.2">
      <c r="A2245" s="84" t="str">
        <f t="shared" si="107"/>
        <v>SelecioneSelecioneSelecione</v>
      </c>
      <c r="B2245" s="85" t="s">
        <v>19</v>
      </c>
      <c r="C2245" s="85" t="s">
        <v>19</v>
      </c>
      <c r="D2245" s="86"/>
      <c r="E2245" s="116" t="str">
        <f t="shared" si="108"/>
        <v>-</v>
      </c>
      <c r="F2245" s="85"/>
      <c r="G2245" s="85" t="s">
        <v>19</v>
      </c>
      <c r="H2245" s="85"/>
      <c r="I2245" s="85"/>
      <c r="J2245" s="87"/>
      <c r="K2245" s="88">
        <f t="shared" si="109"/>
        <v>0</v>
      </c>
      <c r="L2245" s="85"/>
    </row>
    <row r="2246" spans="1:12" hidden="1" x14ac:dyDescent="0.2">
      <c r="A2246" s="84" t="str">
        <f t="shared" si="107"/>
        <v>SelecioneSelecioneSelecione</v>
      </c>
      <c r="B2246" s="85" t="s">
        <v>19</v>
      </c>
      <c r="C2246" s="85" t="s">
        <v>19</v>
      </c>
      <c r="D2246" s="86"/>
      <c r="E2246" s="116" t="str">
        <f t="shared" si="108"/>
        <v>-</v>
      </c>
      <c r="F2246" s="85"/>
      <c r="G2246" s="85" t="s">
        <v>19</v>
      </c>
      <c r="H2246" s="85"/>
      <c r="I2246" s="85"/>
      <c r="J2246" s="87"/>
      <c r="K2246" s="88">
        <f t="shared" si="109"/>
        <v>0</v>
      </c>
      <c r="L2246" s="85"/>
    </row>
    <row r="2247" spans="1:12" hidden="1" x14ac:dyDescent="0.2">
      <c r="A2247" s="84" t="str">
        <f t="shared" si="107"/>
        <v>SelecioneSelecioneSelecione</v>
      </c>
      <c r="B2247" s="85" t="s">
        <v>19</v>
      </c>
      <c r="C2247" s="85" t="s">
        <v>19</v>
      </c>
      <c r="D2247" s="86"/>
      <c r="E2247" s="116" t="str">
        <f t="shared" si="108"/>
        <v>-</v>
      </c>
      <c r="F2247" s="85"/>
      <c r="G2247" s="85" t="s">
        <v>19</v>
      </c>
      <c r="H2247" s="85"/>
      <c r="I2247" s="85"/>
      <c r="J2247" s="87"/>
      <c r="K2247" s="88">
        <f t="shared" si="109"/>
        <v>0</v>
      </c>
      <c r="L2247" s="85"/>
    </row>
    <row r="2248" spans="1:12" hidden="1" x14ac:dyDescent="0.2">
      <c r="A2248" s="84" t="str">
        <f t="shared" si="107"/>
        <v>SelecioneSelecioneSelecione</v>
      </c>
      <c r="B2248" s="85" t="s">
        <v>19</v>
      </c>
      <c r="C2248" s="85" t="s">
        <v>19</v>
      </c>
      <c r="D2248" s="86"/>
      <c r="E2248" s="116" t="str">
        <f t="shared" si="108"/>
        <v>-</v>
      </c>
      <c r="F2248" s="85"/>
      <c r="G2248" s="85" t="s">
        <v>19</v>
      </c>
      <c r="H2248" s="85"/>
      <c r="I2248" s="85"/>
      <c r="J2248" s="87"/>
      <c r="K2248" s="88">
        <f t="shared" si="109"/>
        <v>0</v>
      </c>
      <c r="L2248" s="85"/>
    </row>
    <row r="2249" spans="1:12" hidden="1" x14ac:dyDescent="0.2">
      <c r="A2249" s="84" t="str">
        <f t="shared" si="107"/>
        <v>SelecioneSelecioneSelecione</v>
      </c>
      <c r="B2249" s="85" t="s">
        <v>19</v>
      </c>
      <c r="C2249" s="85" t="s">
        <v>19</v>
      </c>
      <c r="D2249" s="86"/>
      <c r="E2249" s="116" t="str">
        <f t="shared" si="108"/>
        <v>-</v>
      </c>
      <c r="F2249" s="85"/>
      <c r="G2249" s="85" t="s">
        <v>19</v>
      </c>
      <c r="H2249" s="85"/>
      <c r="I2249" s="85"/>
      <c r="J2249" s="87"/>
      <c r="K2249" s="88">
        <f t="shared" si="109"/>
        <v>0</v>
      </c>
      <c r="L2249" s="85"/>
    </row>
    <row r="2250" spans="1:12" hidden="1" x14ac:dyDescent="0.2">
      <c r="A2250" s="84" t="str">
        <f t="shared" si="107"/>
        <v>SelecioneSelecioneSelecione</v>
      </c>
      <c r="B2250" s="85" t="s">
        <v>19</v>
      </c>
      <c r="C2250" s="85" t="s">
        <v>19</v>
      </c>
      <c r="D2250" s="86"/>
      <c r="E2250" s="116" t="str">
        <f t="shared" si="108"/>
        <v>-</v>
      </c>
      <c r="F2250" s="85"/>
      <c r="G2250" s="85" t="s">
        <v>19</v>
      </c>
      <c r="H2250" s="85"/>
      <c r="I2250" s="85"/>
      <c r="J2250" s="87"/>
      <c r="K2250" s="88">
        <f t="shared" si="109"/>
        <v>0</v>
      </c>
      <c r="L2250" s="85"/>
    </row>
    <row r="2251" spans="1:12" hidden="1" x14ac:dyDescent="0.2">
      <c r="A2251" s="84" t="str">
        <f t="shared" si="107"/>
        <v>SelecioneSelecioneSelecione</v>
      </c>
      <c r="B2251" s="85" t="s">
        <v>19</v>
      </c>
      <c r="C2251" s="85" t="s">
        <v>19</v>
      </c>
      <c r="D2251" s="86"/>
      <c r="E2251" s="116" t="str">
        <f t="shared" si="108"/>
        <v>-</v>
      </c>
      <c r="F2251" s="85"/>
      <c r="G2251" s="85" t="s">
        <v>19</v>
      </c>
      <c r="H2251" s="85"/>
      <c r="I2251" s="85"/>
      <c r="J2251" s="87"/>
      <c r="K2251" s="88">
        <f t="shared" si="109"/>
        <v>0</v>
      </c>
      <c r="L2251" s="85"/>
    </row>
    <row r="2252" spans="1:12" hidden="1" x14ac:dyDescent="0.2">
      <c r="A2252" s="84" t="str">
        <f t="shared" si="107"/>
        <v>SelecioneSelecioneSelecione</v>
      </c>
      <c r="B2252" s="85" t="s">
        <v>19</v>
      </c>
      <c r="C2252" s="85" t="s">
        <v>19</v>
      </c>
      <c r="D2252" s="86"/>
      <c r="E2252" s="116" t="str">
        <f t="shared" si="108"/>
        <v>-</v>
      </c>
      <c r="F2252" s="85"/>
      <c r="G2252" s="85" t="s">
        <v>19</v>
      </c>
      <c r="H2252" s="85"/>
      <c r="I2252" s="85"/>
      <c r="J2252" s="87"/>
      <c r="K2252" s="88">
        <f t="shared" si="109"/>
        <v>0</v>
      </c>
      <c r="L2252" s="85"/>
    </row>
    <row r="2253" spans="1:12" hidden="1" x14ac:dyDescent="0.2">
      <c r="A2253" s="84" t="str">
        <f t="shared" si="107"/>
        <v>SelecioneSelecioneSelecione</v>
      </c>
      <c r="B2253" s="85" t="s">
        <v>19</v>
      </c>
      <c r="C2253" s="85" t="s">
        <v>19</v>
      </c>
      <c r="D2253" s="86"/>
      <c r="E2253" s="116" t="str">
        <f t="shared" si="108"/>
        <v>-</v>
      </c>
      <c r="F2253" s="85"/>
      <c r="G2253" s="85" t="s">
        <v>19</v>
      </c>
      <c r="H2253" s="85"/>
      <c r="I2253" s="85"/>
      <c r="J2253" s="87"/>
      <c r="K2253" s="88">
        <f t="shared" si="109"/>
        <v>0</v>
      </c>
      <c r="L2253" s="85"/>
    </row>
    <row r="2254" spans="1:12" hidden="1" x14ac:dyDescent="0.2">
      <c r="A2254" s="84" t="str">
        <f t="shared" si="107"/>
        <v>SelecioneSelecioneSelecione</v>
      </c>
      <c r="B2254" s="85" t="s">
        <v>19</v>
      </c>
      <c r="C2254" s="85" t="s">
        <v>19</v>
      </c>
      <c r="D2254" s="86"/>
      <c r="E2254" s="116" t="str">
        <f t="shared" si="108"/>
        <v>-</v>
      </c>
      <c r="F2254" s="85"/>
      <c r="G2254" s="85" t="s">
        <v>19</v>
      </c>
      <c r="H2254" s="85"/>
      <c r="I2254" s="85"/>
      <c r="J2254" s="87"/>
      <c r="K2254" s="88">
        <f t="shared" si="109"/>
        <v>0</v>
      </c>
      <c r="L2254" s="85"/>
    </row>
    <row r="2255" spans="1:12" hidden="1" x14ac:dyDescent="0.2">
      <c r="A2255" s="84" t="str">
        <f t="shared" si="107"/>
        <v>SelecioneSelecioneSelecione</v>
      </c>
      <c r="B2255" s="85" t="s">
        <v>19</v>
      </c>
      <c r="C2255" s="85" t="s">
        <v>19</v>
      </c>
      <c r="D2255" s="86"/>
      <c r="E2255" s="116" t="str">
        <f t="shared" si="108"/>
        <v>-</v>
      </c>
      <c r="F2255" s="85"/>
      <c r="G2255" s="85" t="s">
        <v>19</v>
      </c>
      <c r="H2255" s="85"/>
      <c r="I2255" s="85"/>
      <c r="J2255" s="87"/>
      <c r="K2255" s="88">
        <f t="shared" si="109"/>
        <v>0</v>
      </c>
      <c r="L2255" s="85"/>
    </row>
    <row r="2256" spans="1:12" hidden="1" x14ac:dyDescent="0.2">
      <c r="A2256" s="84" t="str">
        <f t="shared" si="107"/>
        <v>SelecioneSelecioneSelecione</v>
      </c>
      <c r="B2256" s="85" t="s">
        <v>19</v>
      </c>
      <c r="C2256" s="85" t="s">
        <v>19</v>
      </c>
      <c r="D2256" s="86"/>
      <c r="E2256" s="116" t="str">
        <f t="shared" si="108"/>
        <v>-</v>
      </c>
      <c r="F2256" s="85"/>
      <c r="G2256" s="85" t="s">
        <v>19</v>
      </c>
      <c r="H2256" s="85"/>
      <c r="I2256" s="85"/>
      <c r="J2256" s="87"/>
      <c r="K2256" s="88">
        <f t="shared" si="109"/>
        <v>0</v>
      </c>
      <c r="L2256" s="85"/>
    </row>
    <row r="2257" spans="1:12" hidden="1" x14ac:dyDescent="0.2">
      <c r="A2257" s="84" t="str">
        <f t="shared" si="107"/>
        <v>SelecioneSelecioneSelecione</v>
      </c>
      <c r="B2257" s="85" t="s">
        <v>19</v>
      </c>
      <c r="C2257" s="85" t="s">
        <v>19</v>
      </c>
      <c r="D2257" s="86"/>
      <c r="E2257" s="116" t="str">
        <f t="shared" si="108"/>
        <v>-</v>
      </c>
      <c r="F2257" s="85"/>
      <c r="G2257" s="85" t="s">
        <v>19</v>
      </c>
      <c r="H2257" s="85"/>
      <c r="I2257" s="85"/>
      <c r="J2257" s="87"/>
      <c r="K2257" s="88">
        <f t="shared" si="109"/>
        <v>0</v>
      </c>
      <c r="L2257" s="85"/>
    </row>
    <row r="2258" spans="1:12" hidden="1" x14ac:dyDescent="0.2">
      <c r="A2258" s="84" t="str">
        <f t="shared" si="107"/>
        <v>SelecioneSelecioneSelecione</v>
      </c>
      <c r="B2258" s="85" t="s">
        <v>19</v>
      </c>
      <c r="C2258" s="85" t="s">
        <v>19</v>
      </c>
      <c r="D2258" s="86"/>
      <c r="E2258" s="116" t="str">
        <f t="shared" si="108"/>
        <v>-</v>
      </c>
      <c r="F2258" s="85"/>
      <c r="G2258" s="85" t="s">
        <v>19</v>
      </c>
      <c r="H2258" s="85"/>
      <c r="I2258" s="85"/>
      <c r="J2258" s="87"/>
      <c r="K2258" s="88">
        <f t="shared" si="109"/>
        <v>0</v>
      </c>
      <c r="L2258" s="85"/>
    </row>
    <row r="2259" spans="1:12" hidden="1" x14ac:dyDescent="0.2">
      <c r="A2259" s="84" t="str">
        <f t="shared" si="107"/>
        <v>SelecioneSelecioneSelecione</v>
      </c>
      <c r="B2259" s="85" t="s">
        <v>19</v>
      </c>
      <c r="C2259" s="85" t="s">
        <v>19</v>
      </c>
      <c r="D2259" s="86"/>
      <c r="E2259" s="116" t="str">
        <f t="shared" si="108"/>
        <v>-</v>
      </c>
      <c r="F2259" s="85"/>
      <c r="G2259" s="85" t="s">
        <v>19</v>
      </c>
      <c r="H2259" s="85"/>
      <c r="I2259" s="85"/>
      <c r="J2259" s="87"/>
      <c r="K2259" s="88">
        <f t="shared" si="109"/>
        <v>0</v>
      </c>
      <c r="L2259" s="85"/>
    </row>
    <row r="2260" spans="1:12" hidden="1" x14ac:dyDescent="0.2">
      <c r="A2260" s="84" t="str">
        <f t="shared" si="107"/>
        <v>SelecioneSelecioneSelecione</v>
      </c>
      <c r="B2260" s="85" t="s">
        <v>19</v>
      </c>
      <c r="C2260" s="85" t="s">
        <v>19</v>
      </c>
      <c r="D2260" s="93"/>
      <c r="E2260" s="116" t="str">
        <f t="shared" si="108"/>
        <v>-</v>
      </c>
      <c r="F2260" s="90"/>
      <c r="G2260" s="85" t="s">
        <v>19</v>
      </c>
      <c r="H2260" s="85"/>
      <c r="I2260" s="90"/>
      <c r="J2260" s="89"/>
      <c r="K2260" s="88">
        <f t="shared" si="109"/>
        <v>0</v>
      </c>
      <c r="L2260" s="90"/>
    </row>
    <row r="2261" spans="1:12" hidden="1" x14ac:dyDescent="0.2">
      <c r="A2261" s="84" t="str">
        <f t="shared" si="107"/>
        <v>SelecioneSelecioneSelecione</v>
      </c>
      <c r="B2261" s="85" t="s">
        <v>19</v>
      </c>
      <c r="C2261" s="85" t="s">
        <v>19</v>
      </c>
      <c r="D2261" s="86"/>
      <c r="E2261" s="116" t="str">
        <f t="shared" si="108"/>
        <v>-</v>
      </c>
      <c r="F2261" s="85"/>
      <c r="G2261" s="85" t="s">
        <v>19</v>
      </c>
      <c r="H2261" s="85"/>
      <c r="I2261" s="85"/>
      <c r="J2261" s="87"/>
      <c r="K2261" s="88">
        <f t="shared" si="109"/>
        <v>0</v>
      </c>
      <c r="L2261" s="85"/>
    </row>
    <row r="2262" spans="1:12" hidden="1" x14ac:dyDescent="0.2">
      <c r="A2262" s="84" t="str">
        <f t="shared" si="107"/>
        <v>SelecioneSelecioneSelecione</v>
      </c>
      <c r="B2262" s="85" t="s">
        <v>19</v>
      </c>
      <c r="C2262" s="85" t="s">
        <v>19</v>
      </c>
      <c r="D2262" s="86"/>
      <c r="E2262" s="116" t="str">
        <f t="shared" si="108"/>
        <v>-</v>
      </c>
      <c r="F2262" s="85"/>
      <c r="G2262" s="85" t="s">
        <v>19</v>
      </c>
      <c r="H2262" s="85"/>
      <c r="I2262" s="85"/>
      <c r="J2262" s="87"/>
      <c r="K2262" s="88">
        <f t="shared" si="109"/>
        <v>0</v>
      </c>
      <c r="L2262" s="85"/>
    </row>
    <row r="2263" spans="1:12" hidden="1" x14ac:dyDescent="0.2">
      <c r="A2263" s="84" t="str">
        <f t="shared" si="107"/>
        <v>SelecioneSelecioneSelecione</v>
      </c>
      <c r="B2263" s="85" t="s">
        <v>19</v>
      </c>
      <c r="C2263" s="85" t="s">
        <v>19</v>
      </c>
      <c r="D2263" s="86"/>
      <c r="E2263" s="116" t="str">
        <f t="shared" si="108"/>
        <v>-</v>
      </c>
      <c r="F2263" s="85"/>
      <c r="G2263" s="85" t="s">
        <v>19</v>
      </c>
      <c r="H2263" s="85"/>
      <c r="I2263" s="85"/>
      <c r="J2263" s="87"/>
      <c r="K2263" s="88">
        <f t="shared" si="109"/>
        <v>0</v>
      </c>
      <c r="L2263" s="85"/>
    </row>
    <row r="2264" spans="1:12" hidden="1" x14ac:dyDescent="0.2">
      <c r="A2264" s="84" t="str">
        <f t="shared" si="107"/>
        <v>SelecioneSelecioneSelecione</v>
      </c>
      <c r="B2264" s="85" t="s">
        <v>19</v>
      </c>
      <c r="C2264" s="85" t="s">
        <v>19</v>
      </c>
      <c r="D2264" s="86"/>
      <c r="E2264" s="116" t="str">
        <f t="shared" si="108"/>
        <v>-</v>
      </c>
      <c r="F2264" s="85"/>
      <c r="G2264" s="85" t="s">
        <v>19</v>
      </c>
      <c r="H2264" s="85"/>
      <c r="I2264" s="85"/>
      <c r="J2264" s="87"/>
      <c r="K2264" s="88">
        <f t="shared" si="109"/>
        <v>0</v>
      </c>
      <c r="L2264" s="85"/>
    </row>
    <row r="2265" spans="1:12" hidden="1" x14ac:dyDescent="0.2">
      <c r="A2265" s="84" t="str">
        <f t="shared" si="107"/>
        <v>SelecioneSelecioneSelecione</v>
      </c>
      <c r="B2265" s="85" t="s">
        <v>19</v>
      </c>
      <c r="C2265" s="85" t="s">
        <v>19</v>
      </c>
      <c r="D2265" s="86"/>
      <c r="E2265" s="116" t="str">
        <f t="shared" si="108"/>
        <v>-</v>
      </c>
      <c r="F2265" s="85"/>
      <c r="G2265" s="85" t="s">
        <v>19</v>
      </c>
      <c r="H2265" s="85"/>
      <c r="I2265" s="85"/>
      <c r="J2265" s="87"/>
      <c r="K2265" s="88">
        <f t="shared" si="109"/>
        <v>0</v>
      </c>
      <c r="L2265" s="85"/>
    </row>
    <row r="2266" spans="1:12" hidden="1" x14ac:dyDescent="0.2">
      <c r="A2266" s="84" t="str">
        <f t="shared" si="107"/>
        <v>SelecioneSelecioneSelecione</v>
      </c>
      <c r="B2266" s="85" t="s">
        <v>19</v>
      </c>
      <c r="C2266" s="85" t="s">
        <v>19</v>
      </c>
      <c r="D2266" s="93"/>
      <c r="E2266" s="116" t="str">
        <f t="shared" si="108"/>
        <v>-</v>
      </c>
      <c r="F2266" s="90"/>
      <c r="G2266" s="85" t="s">
        <v>19</v>
      </c>
      <c r="H2266" s="85"/>
      <c r="I2266" s="90"/>
      <c r="J2266" s="89"/>
      <c r="K2266" s="88">
        <f t="shared" si="109"/>
        <v>0</v>
      </c>
      <c r="L2266" s="90"/>
    </row>
    <row r="2267" spans="1:12" hidden="1" x14ac:dyDescent="0.2">
      <c r="A2267" s="84" t="str">
        <f t="shared" si="107"/>
        <v>SelecioneSelecioneSelecione</v>
      </c>
      <c r="B2267" s="85" t="s">
        <v>19</v>
      </c>
      <c r="C2267" s="85" t="s">
        <v>19</v>
      </c>
      <c r="D2267" s="93"/>
      <c r="E2267" s="116" t="str">
        <f t="shared" si="108"/>
        <v>-</v>
      </c>
      <c r="F2267" s="90"/>
      <c r="G2267" s="85" t="s">
        <v>19</v>
      </c>
      <c r="H2267" s="85"/>
      <c r="I2267" s="90"/>
      <c r="J2267" s="89"/>
      <c r="K2267" s="88">
        <f t="shared" si="109"/>
        <v>0</v>
      </c>
      <c r="L2267" s="90"/>
    </row>
    <row r="2268" spans="1:12" hidden="1" x14ac:dyDescent="0.2">
      <c r="A2268" s="84" t="str">
        <f t="shared" si="107"/>
        <v>SelecioneSelecioneSelecione</v>
      </c>
      <c r="B2268" s="85" t="s">
        <v>19</v>
      </c>
      <c r="C2268" s="85" t="s">
        <v>19</v>
      </c>
      <c r="D2268" s="86"/>
      <c r="E2268" s="116" t="str">
        <f t="shared" si="108"/>
        <v>-</v>
      </c>
      <c r="F2268" s="85"/>
      <c r="G2268" s="85" t="s">
        <v>19</v>
      </c>
      <c r="H2268" s="85"/>
      <c r="I2268" s="85"/>
      <c r="J2268" s="87"/>
      <c r="K2268" s="88">
        <f t="shared" si="109"/>
        <v>0</v>
      </c>
      <c r="L2268" s="85"/>
    </row>
    <row r="2269" spans="1:12" hidden="1" x14ac:dyDescent="0.2">
      <c r="A2269" s="84" t="str">
        <f t="shared" si="107"/>
        <v>SelecioneSelecioneSelecione</v>
      </c>
      <c r="B2269" s="85" t="s">
        <v>19</v>
      </c>
      <c r="C2269" s="85" t="s">
        <v>19</v>
      </c>
      <c r="D2269" s="86"/>
      <c r="E2269" s="116" t="str">
        <f t="shared" si="108"/>
        <v>-</v>
      </c>
      <c r="F2269" s="85"/>
      <c r="G2269" s="85" t="s">
        <v>19</v>
      </c>
      <c r="H2269" s="85"/>
      <c r="I2269" s="85"/>
      <c r="J2269" s="87"/>
      <c r="K2269" s="88">
        <f t="shared" si="109"/>
        <v>0</v>
      </c>
      <c r="L2269" s="85"/>
    </row>
    <row r="2270" spans="1:12" hidden="1" x14ac:dyDescent="0.2">
      <c r="A2270" s="84" t="str">
        <f t="shared" si="107"/>
        <v>SelecioneSelecioneSelecione</v>
      </c>
      <c r="B2270" s="85" t="s">
        <v>19</v>
      </c>
      <c r="C2270" s="85" t="s">
        <v>19</v>
      </c>
      <c r="D2270" s="86"/>
      <c r="E2270" s="116" t="str">
        <f t="shared" si="108"/>
        <v>-</v>
      </c>
      <c r="F2270" s="85"/>
      <c r="G2270" s="85" t="s">
        <v>19</v>
      </c>
      <c r="H2270" s="85"/>
      <c r="I2270" s="85"/>
      <c r="J2270" s="87"/>
      <c r="K2270" s="88">
        <f t="shared" si="109"/>
        <v>0</v>
      </c>
      <c r="L2270" s="85"/>
    </row>
    <row r="2271" spans="1:12" hidden="1" x14ac:dyDescent="0.2">
      <c r="A2271" s="84" t="str">
        <f t="shared" si="107"/>
        <v>SelecioneSelecioneSelecione</v>
      </c>
      <c r="B2271" s="85" t="s">
        <v>19</v>
      </c>
      <c r="C2271" s="85" t="s">
        <v>19</v>
      </c>
      <c r="D2271" s="86"/>
      <c r="E2271" s="116" t="str">
        <f t="shared" si="108"/>
        <v>-</v>
      </c>
      <c r="F2271" s="85"/>
      <c r="G2271" s="85" t="s">
        <v>19</v>
      </c>
      <c r="H2271" s="85"/>
      <c r="I2271" s="85"/>
      <c r="J2271" s="87"/>
      <c r="K2271" s="88">
        <f t="shared" si="109"/>
        <v>0</v>
      </c>
      <c r="L2271" s="85"/>
    </row>
    <row r="2272" spans="1:12" hidden="1" x14ac:dyDescent="0.2">
      <c r="A2272" s="84" t="str">
        <f t="shared" si="107"/>
        <v>SelecioneSelecioneSelecione</v>
      </c>
      <c r="B2272" s="85" t="s">
        <v>19</v>
      </c>
      <c r="C2272" s="85" t="s">
        <v>19</v>
      </c>
      <c r="D2272" s="86"/>
      <c r="E2272" s="116" t="str">
        <f t="shared" si="108"/>
        <v>-</v>
      </c>
      <c r="F2272" s="85"/>
      <c r="G2272" s="85" t="s">
        <v>19</v>
      </c>
      <c r="H2272" s="85"/>
      <c r="I2272" s="85"/>
      <c r="J2272" s="87"/>
      <c r="K2272" s="88">
        <f t="shared" si="109"/>
        <v>0</v>
      </c>
      <c r="L2272" s="85"/>
    </row>
    <row r="2273" spans="1:12" hidden="1" x14ac:dyDescent="0.2">
      <c r="A2273" s="84" t="str">
        <f t="shared" si="107"/>
        <v>SelecioneSelecioneSelecione</v>
      </c>
      <c r="B2273" s="85" t="s">
        <v>19</v>
      </c>
      <c r="C2273" s="85" t="s">
        <v>19</v>
      </c>
      <c r="D2273" s="86"/>
      <c r="E2273" s="116" t="str">
        <f t="shared" si="108"/>
        <v>-</v>
      </c>
      <c r="F2273" s="85"/>
      <c r="G2273" s="85" t="s">
        <v>19</v>
      </c>
      <c r="H2273" s="85"/>
      <c r="I2273" s="85"/>
      <c r="J2273" s="87"/>
      <c r="K2273" s="88">
        <f t="shared" si="109"/>
        <v>0</v>
      </c>
      <c r="L2273" s="85"/>
    </row>
    <row r="2274" spans="1:12" hidden="1" x14ac:dyDescent="0.2">
      <c r="A2274" s="84" t="str">
        <f t="shared" si="107"/>
        <v>SelecioneSelecioneSelecione</v>
      </c>
      <c r="B2274" s="85" t="s">
        <v>19</v>
      </c>
      <c r="C2274" s="85" t="s">
        <v>19</v>
      </c>
      <c r="D2274" s="86"/>
      <c r="E2274" s="116" t="str">
        <f t="shared" si="108"/>
        <v>-</v>
      </c>
      <c r="F2274" s="85"/>
      <c r="G2274" s="85" t="s">
        <v>19</v>
      </c>
      <c r="H2274" s="85"/>
      <c r="I2274" s="85"/>
      <c r="J2274" s="87"/>
      <c r="K2274" s="88">
        <f t="shared" si="109"/>
        <v>0</v>
      </c>
      <c r="L2274" s="85"/>
    </row>
    <row r="2275" spans="1:12" hidden="1" x14ac:dyDescent="0.2">
      <c r="A2275" s="84" t="str">
        <f t="shared" si="107"/>
        <v>SelecioneSelecioneSelecione</v>
      </c>
      <c r="B2275" s="85" t="s">
        <v>19</v>
      </c>
      <c r="C2275" s="85" t="s">
        <v>19</v>
      </c>
      <c r="D2275" s="86"/>
      <c r="E2275" s="116" t="str">
        <f t="shared" si="108"/>
        <v>-</v>
      </c>
      <c r="F2275" s="85"/>
      <c r="G2275" s="85" t="s">
        <v>19</v>
      </c>
      <c r="H2275" s="85"/>
      <c r="I2275" s="85"/>
      <c r="J2275" s="87"/>
      <c r="K2275" s="88">
        <f t="shared" si="109"/>
        <v>0</v>
      </c>
      <c r="L2275" s="85"/>
    </row>
    <row r="2276" spans="1:12" hidden="1" x14ac:dyDescent="0.2">
      <c r="A2276" s="84" t="str">
        <f t="shared" si="107"/>
        <v>SelecioneSelecioneSelecione</v>
      </c>
      <c r="B2276" s="85" t="s">
        <v>19</v>
      </c>
      <c r="C2276" s="85" t="s">
        <v>19</v>
      </c>
      <c r="D2276" s="86"/>
      <c r="E2276" s="116" t="str">
        <f t="shared" si="108"/>
        <v>-</v>
      </c>
      <c r="F2276" s="85"/>
      <c r="G2276" s="85" t="s">
        <v>19</v>
      </c>
      <c r="H2276" s="85"/>
      <c r="I2276" s="85"/>
      <c r="J2276" s="87"/>
      <c r="K2276" s="88">
        <f t="shared" si="109"/>
        <v>0</v>
      </c>
      <c r="L2276" s="85"/>
    </row>
    <row r="2277" spans="1:12" hidden="1" x14ac:dyDescent="0.2">
      <c r="A2277" s="84" t="str">
        <f t="shared" si="107"/>
        <v>SelecioneSelecioneSelecione</v>
      </c>
      <c r="B2277" s="85" t="s">
        <v>19</v>
      </c>
      <c r="C2277" s="85" t="s">
        <v>19</v>
      </c>
      <c r="D2277" s="86"/>
      <c r="E2277" s="116" t="str">
        <f t="shared" si="108"/>
        <v>-</v>
      </c>
      <c r="F2277" s="85"/>
      <c r="G2277" s="85" t="s">
        <v>19</v>
      </c>
      <c r="H2277" s="85"/>
      <c r="I2277" s="85"/>
      <c r="J2277" s="87"/>
      <c r="K2277" s="88">
        <f t="shared" si="109"/>
        <v>0</v>
      </c>
      <c r="L2277" s="85"/>
    </row>
    <row r="2278" spans="1:12" hidden="1" x14ac:dyDescent="0.2">
      <c r="A2278" s="84" t="str">
        <f t="shared" si="107"/>
        <v>SelecioneSelecioneSelecione</v>
      </c>
      <c r="B2278" s="85" t="s">
        <v>19</v>
      </c>
      <c r="C2278" s="85" t="s">
        <v>19</v>
      </c>
      <c r="D2278" s="86"/>
      <c r="E2278" s="116" t="str">
        <f t="shared" si="108"/>
        <v>-</v>
      </c>
      <c r="F2278" s="85"/>
      <c r="G2278" s="85" t="s">
        <v>19</v>
      </c>
      <c r="H2278" s="85"/>
      <c r="I2278" s="85"/>
      <c r="J2278" s="87"/>
      <c r="K2278" s="88">
        <f t="shared" si="109"/>
        <v>0</v>
      </c>
      <c r="L2278" s="85"/>
    </row>
    <row r="2279" spans="1:12" hidden="1" x14ac:dyDescent="0.2">
      <c r="A2279" s="84" t="str">
        <f t="shared" si="107"/>
        <v>SelecioneSelecioneSelecione</v>
      </c>
      <c r="B2279" s="85" t="s">
        <v>19</v>
      </c>
      <c r="C2279" s="85" t="s">
        <v>19</v>
      </c>
      <c r="D2279" s="86"/>
      <c r="E2279" s="116" t="str">
        <f t="shared" si="108"/>
        <v>-</v>
      </c>
      <c r="F2279" s="85"/>
      <c r="G2279" s="85" t="s">
        <v>19</v>
      </c>
      <c r="H2279" s="85"/>
      <c r="I2279" s="85"/>
      <c r="J2279" s="87"/>
      <c r="K2279" s="88">
        <f t="shared" si="109"/>
        <v>0</v>
      </c>
      <c r="L2279" s="85"/>
    </row>
    <row r="2280" spans="1:12" hidden="1" x14ac:dyDescent="0.2">
      <c r="A2280" s="84" t="str">
        <f t="shared" si="107"/>
        <v>SelecioneSelecioneSelecione</v>
      </c>
      <c r="B2280" s="85" t="s">
        <v>19</v>
      </c>
      <c r="C2280" s="85" t="s">
        <v>19</v>
      </c>
      <c r="D2280" s="86"/>
      <c r="E2280" s="116" t="str">
        <f t="shared" si="108"/>
        <v>-</v>
      </c>
      <c r="F2280" s="85"/>
      <c r="G2280" s="85" t="s">
        <v>19</v>
      </c>
      <c r="H2280" s="85"/>
      <c r="I2280" s="85"/>
      <c r="J2280" s="87"/>
      <c r="K2280" s="88">
        <f t="shared" si="109"/>
        <v>0</v>
      </c>
      <c r="L2280" s="85"/>
    </row>
    <row r="2281" spans="1:12" hidden="1" x14ac:dyDescent="0.2">
      <c r="A2281" s="84" t="str">
        <f t="shared" si="107"/>
        <v>SelecioneSelecioneSelecione</v>
      </c>
      <c r="B2281" s="85" t="s">
        <v>19</v>
      </c>
      <c r="C2281" s="85" t="s">
        <v>19</v>
      </c>
      <c r="D2281" s="86"/>
      <c r="E2281" s="116" t="str">
        <f t="shared" si="108"/>
        <v>-</v>
      </c>
      <c r="F2281" s="85"/>
      <c r="G2281" s="85" t="s">
        <v>19</v>
      </c>
      <c r="H2281" s="85"/>
      <c r="I2281" s="85"/>
      <c r="J2281" s="87"/>
      <c r="K2281" s="88">
        <f t="shared" si="109"/>
        <v>0</v>
      </c>
      <c r="L2281" s="85"/>
    </row>
    <row r="2282" spans="1:12" hidden="1" x14ac:dyDescent="0.2">
      <c r="A2282" s="84" t="str">
        <f t="shared" si="107"/>
        <v>SelecioneSelecioneSelecione</v>
      </c>
      <c r="B2282" s="85" t="s">
        <v>19</v>
      </c>
      <c r="C2282" s="85" t="s">
        <v>19</v>
      </c>
      <c r="D2282" s="86"/>
      <c r="E2282" s="116" t="str">
        <f t="shared" si="108"/>
        <v>-</v>
      </c>
      <c r="F2282" s="85"/>
      <c r="G2282" s="85" t="s">
        <v>19</v>
      </c>
      <c r="H2282" s="85"/>
      <c r="I2282" s="85"/>
      <c r="J2282" s="87"/>
      <c r="K2282" s="88">
        <f t="shared" si="109"/>
        <v>0</v>
      </c>
      <c r="L2282" s="85"/>
    </row>
    <row r="2283" spans="1:12" hidden="1" x14ac:dyDescent="0.2">
      <c r="A2283" s="84" t="str">
        <f t="shared" si="107"/>
        <v>SelecioneSelecioneSelecione</v>
      </c>
      <c r="B2283" s="85" t="s">
        <v>19</v>
      </c>
      <c r="C2283" s="85" t="s">
        <v>19</v>
      </c>
      <c r="D2283" s="86"/>
      <c r="E2283" s="116" t="str">
        <f t="shared" si="108"/>
        <v>-</v>
      </c>
      <c r="F2283" s="85"/>
      <c r="G2283" s="85" t="s">
        <v>19</v>
      </c>
      <c r="H2283" s="85"/>
      <c r="I2283" s="85"/>
      <c r="J2283" s="87"/>
      <c r="K2283" s="88">
        <f t="shared" si="109"/>
        <v>0</v>
      </c>
      <c r="L2283" s="85"/>
    </row>
    <row r="2284" spans="1:12" hidden="1" x14ac:dyDescent="0.2">
      <c r="A2284" s="84" t="str">
        <f t="shared" si="107"/>
        <v>SelecioneSelecioneSelecione</v>
      </c>
      <c r="B2284" s="85" t="s">
        <v>19</v>
      </c>
      <c r="C2284" s="85" t="s">
        <v>19</v>
      </c>
      <c r="D2284" s="86"/>
      <c r="E2284" s="116" t="str">
        <f t="shared" si="108"/>
        <v>-</v>
      </c>
      <c r="F2284" s="85"/>
      <c r="G2284" s="85" t="s">
        <v>19</v>
      </c>
      <c r="H2284" s="85"/>
      <c r="I2284" s="85"/>
      <c r="J2284" s="87"/>
      <c r="K2284" s="88">
        <f t="shared" si="109"/>
        <v>0</v>
      </c>
      <c r="L2284" s="85"/>
    </row>
    <row r="2285" spans="1:12" hidden="1" x14ac:dyDescent="0.2">
      <c r="A2285" s="84" t="str">
        <f t="shared" si="107"/>
        <v>SelecioneSelecioneSelecione</v>
      </c>
      <c r="B2285" s="85" t="s">
        <v>19</v>
      </c>
      <c r="C2285" s="85" t="s">
        <v>19</v>
      </c>
      <c r="D2285" s="93"/>
      <c r="E2285" s="116" t="str">
        <f t="shared" si="108"/>
        <v>-</v>
      </c>
      <c r="F2285" s="90"/>
      <c r="G2285" s="85" t="s">
        <v>19</v>
      </c>
      <c r="H2285" s="85"/>
      <c r="I2285" s="90"/>
      <c r="J2285" s="89"/>
      <c r="K2285" s="88">
        <f t="shared" si="109"/>
        <v>0</v>
      </c>
      <c r="L2285" s="90"/>
    </row>
    <row r="2286" spans="1:12" hidden="1" x14ac:dyDescent="0.2">
      <c r="A2286" s="84" t="str">
        <f t="shared" si="107"/>
        <v>SelecioneSelecioneSelecione</v>
      </c>
      <c r="B2286" s="85" t="s">
        <v>19</v>
      </c>
      <c r="C2286" s="85" t="s">
        <v>19</v>
      </c>
      <c r="D2286" s="86"/>
      <c r="E2286" s="116" t="str">
        <f t="shared" si="108"/>
        <v>-</v>
      </c>
      <c r="F2286" s="85"/>
      <c r="G2286" s="85" t="s">
        <v>19</v>
      </c>
      <c r="H2286" s="85"/>
      <c r="I2286" s="85"/>
      <c r="J2286" s="87"/>
      <c r="K2286" s="88">
        <f t="shared" si="109"/>
        <v>0</v>
      </c>
      <c r="L2286" s="85"/>
    </row>
    <row r="2287" spans="1:12" hidden="1" x14ac:dyDescent="0.2">
      <c r="A2287" s="84" t="str">
        <f t="shared" si="107"/>
        <v>SelecioneSelecioneSelecione</v>
      </c>
      <c r="B2287" s="85" t="s">
        <v>19</v>
      </c>
      <c r="C2287" s="85" t="s">
        <v>19</v>
      </c>
      <c r="D2287" s="86"/>
      <c r="E2287" s="116" t="str">
        <f t="shared" si="108"/>
        <v>-</v>
      </c>
      <c r="F2287" s="85"/>
      <c r="G2287" s="85" t="s">
        <v>19</v>
      </c>
      <c r="H2287" s="85"/>
      <c r="I2287" s="85"/>
      <c r="J2287" s="87"/>
      <c r="K2287" s="88">
        <f t="shared" si="109"/>
        <v>0</v>
      </c>
      <c r="L2287" s="85"/>
    </row>
    <row r="2288" spans="1:12" hidden="1" x14ac:dyDescent="0.2">
      <c r="A2288" s="84" t="str">
        <f t="shared" si="107"/>
        <v>SelecioneSelecioneSelecione</v>
      </c>
      <c r="B2288" s="85" t="s">
        <v>19</v>
      </c>
      <c r="C2288" s="85" t="s">
        <v>19</v>
      </c>
      <c r="D2288" s="86"/>
      <c r="E2288" s="116" t="str">
        <f t="shared" si="108"/>
        <v>-</v>
      </c>
      <c r="F2288" s="85"/>
      <c r="G2288" s="85" t="s">
        <v>19</v>
      </c>
      <c r="H2288" s="85"/>
      <c r="I2288" s="85"/>
      <c r="J2288" s="87"/>
      <c r="K2288" s="88">
        <f t="shared" si="109"/>
        <v>0</v>
      </c>
      <c r="L2288" s="85"/>
    </row>
    <row r="2289" spans="1:12" hidden="1" x14ac:dyDescent="0.2">
      <c r="A2289" s="84" t="str">
        <f t="shared" si="107"/>
        <v>SelecioneSelecioneSelecione</v>
      </c>
      <c r="B2289" s="85" t="s">
        <v>19</v>
      </c>
      <c r="C2289" s="85" t="s">
        <v>19</v>
      </c>
      <c r="D2289" s="86"/>
      <c r="E2289" s="116" t="str">
        <f t="shared" si="108"/>
        <v>-</v>
      </c>
      <c r="F2289" s="85"/>
      <c r="G2289" s="85" t="s">
        <v>19</v>
      </c>
      <c r="H2289" s="85"/>
      <c r="I2289" s="85"/>
      <c r="J2289" s="87"/>
      <c r="K2289" s="88">
        <f t="shared" si="109"/>
        <v>0</v>
      </c>
      <c r="L2289" s="85"/>
    </row>
    <row r="2290" spans="1:12" hidden="1" x14ac:dyDescent="0.2">
      <c r="A2290" s="84" t="str">
        <f t="shared" si="107"/>
        <v>SelecioneSelecioneSelecione</v>
      </c>
      <c r="B2290" s="85" t="s">
        <v>19</v>
      </c>
      <c r="C2290" s="85" t="s">
        <v>19</v>
      </c>
      <c r="D2290" s="93"/>
      <c r="E2290" s="116" t="str">
        <f t="shared" si="108"/>
        <v>-</v>
      </c>
      <c r="F2290" s="90"/>
      <c r="G2290" s="85" t="s">
        <v>19</v>
      </c>
      <c r="H2290" s="85"/>
      <c r="I2290" s="90"/>
      <c r="J2290" s="89"/>
      <c r="K2290" s="88">
        <f t="shared" si="109"/>
        <v>0</v>
      </c>
      <c r="L2290" s="90"/>
    </row>
    <row r="2291" spans="1:12" hidden="1" x14ac:dyDescent="0.2">
      <c r="A2291" s="84" t="str">
        <f t="shared" si="107"/>
        <v>SelecioneSelecioneSelecione</v>
      </c>
      <c r="B2291" s="85" t="s">
        <v>19</v>
      </c>
      <c r="C2291" s="85" t="s">
        <v>19</v>
      </c>
      <c r="D2291" s="86"/>
      <c r="E2291" s="116" t="str">
        <f t="shared" si="108"/>
        <v>-</v>
      </c>
      <c r="F2291" s="85"/>
      <c r="G2291" s="85" t="s">
        <v>19</v>
      </c>
      <c r="H2291" s="85"/>
      <c r="I2291" s="85"/>
      <c r="J2291" s="87"/>
      <c r="K2291" s="88">
        <f t="shared" si="109"/>
        <v>0</v>
      </c>
      <c r="L2291" s="85"/>
    </row>
    <row r="2292" spans="1:12" hidden="1" x14ac:dyDescent="0.2">
      <c r="A2292" s="84" t="str">
        <f t="shared" si="107"/>
        <v>SelecioneSelecioneSelecione</v>
      </c>
      <c r="B2292" s="85" t="s">
        <v>19</v>
      </c>
      <c r="C2292" s="85" t="s">
        <v>19</v>
      </c>
      <c r="D2292" s="93"/>
      <c r="E2292" s="116" t="str">
        <f t="shared" si="108"/>
        <v>-</v>
      </c>
      <c r="F2292" s="90"/>
      <c r="G2292" s="85" t="s">
        <v>19</v>
      </c>
      <c r="H2292" s="85"/>
      <c r="I2292" s="90"/>
      <c r="J2292" s="89"/>
      <c r="K2292" s="88">
        <f t="shared" si="109"/>
        <v>0</v>
      </c>
      <c r="L2292" s="90"/>
    </row>
    <row r="2293" spans="1:12" hidden="1" x14ac:dyDescent="0.2">
      <c r="A2293" s="84" t="str">
        <f t="shared" si="107"/>
        <v>SelecioneSelecioneSelecione</v>
      </c>
      <c r="B2293" s="85" t="s">
        <v>19</v>
      </c>
      <c r="C2293" s="85" t="s">
        <v>19</v>
      </c>
      <c r="D2293" s="93"/>
      <c r="E2293" s="116" t="str">
        <f t="shared" si="108"/>
        <v>-</v>
      </c>
      <c r="F2293" s="90"/>
      <c r="G2293" s="85" t="s">
        <v>19</v>
      </c>
      <c r="H2293" s="85"/>
      <c r="I2293" s="90"/>
      <c r="J2293" s="89"/>
      <c r="K2293" s="88">
        <f t="shared" si="109"/>
        <v>0</v>
      </c>
      <c r="L2293" s="90"/>
    </row>
    <row r="2294" spans="1:12" hidden="1" x14ac:dyDescent="0.2">
      <c r="A2294" s="84" t="str">
        <f t="shared" si="107"/>
        <v>SelecioneSelecioneSelecione</v>
      </c>
      <c r="B2294" s="85" t="s">
        <v>19</v>
      </c>
      <c r="C2294" s="85" t="s">
        <v>19</v>
      </c>
      <c r="D2294" s="86"/>
      <c r="E2294" s="116" t="str">
        <f t="shared" si="108"/>
        <v>-</v>
      </c>
      <c r="F2294" s="85"/>
      <c r="G2294" s="85" t="s">
        <v>19</v>
      </c>
      <c r="H2294" s="85"/>
      <c r="I2294" s="85"/>
      <c r="J2294" s="87"/>
      <c r="K2294" s="88">
        <f t="shared" si="109"/>
        <v>0</v>
      </c>
      <c r="L2294" s="85"/>
    </row>
    <row r="2295" spans="1:12" hidden="1" x14ac:dyDescent="0.2">
      <c r="A2295" s="84" t="str">
        <f t="shared" si="107"/>
        <v>SelecioneSelecioneSelecione</v>
      </c>
      <c r="B2295" s="85" t="s">
        <v>19</v>
      </c>
      <c r="C2295" s="85" t="s">
        <v>19</v>
      </c>
      <c r="D2295" s="86"/>
      <c r="E2295" s="116" t="str">
        <f t="shared" si="108"/>
        <v>-</v>
      </c>
      <c r="F2295" s="85"/>
      <c r="G2295" s="85" t="s">
        <v>19</v>
      </c>
      <c r="H2295" s="85"/>
      <c r="I2295" s="85"/>
      <c r="J2295" s="87"/>
      <c r="K2295" s="88">
        <f t="shared" si="109"/>
        <v>0</v>
      </c>
      <c r="L2295" s="85"/>
    </row>
    <row r="2296" spans="1:12" hidden="1" x14ac:dyDescent="0.2">
      <c r="A2296" s="84" t="str">
        <f t="shared" si="107"/>
        <v>SelecioneSelecioneSelecione</v>
      </c>
      <c r="B2296" s="85" t="s">
        <v>19</v>
      </c>
      <c r="C2296" s="85" t="s">
        <v>19</v>
      </c>
      <c r="D2296" s="86"/>
      <c r="E2296" s="116" t="str">
        <f t="shared" si="108"/>
        <v>-</v>
      </c>
      <c r="F2296" s="85"/>
      <c r="G2296" s="85" t="s">
        <v>19</v>
      </c>
      <c r="H2296" s="85"/>
      <c r="I2296" s="85"/>
      <c r="J2296" s="87"/>
      <c r="K2296" s="88">
        <f t="shared" si="109"/>
        <v>0</v>
      </c>
      <c r="L2296" s="85"/>
    </row>
    <row r="2297" spans="1:12" hidden="1" x14ac:dyDescent="0.2">
      <c r="A2297" s="84" t="str">
        <f t="shared" si="107"/>
        <v>SelecioneSelecioneSelecione</v>
      </c>
      <c r="B2297" s="85" t="s">
        <v>19</v>
      </c>
      <c r="C2297" s="85" t="s">
        <v>19</v>
      </c>
      <c r="D2297" s="86"/>
      <c r="E2297" s="116" t="str">
        <f t="shared" si="108"/>
        <v>-</v>
      </c>
      <c r="F2297" s="85"/>
      <c r="G2297" s="85" t="s">
        <v>19</v>
      </c>
      <c r="H2297" s="85"/>
      <c r="I2297" s="85"/>
      <c r="J2297" s="87"/>
      <c r="K2297" s="88">
        <f t="shared" si="109"/>
        <v>0</v>
      </c>
      <c r="L2297" s="85"/>
    </row>
    <row r="2298" spans="1:12" hidden="1" x14ac:dyDescent="0.2">
      <c r="A2298" s="84" t="str">
        <f t="shared" si="107"/>
        <v>SelecioneSelecioneSelecione</v>
      </c>
      <c r="B2298" s="85" t="s">
        <v>19</v>
      </c>
      <c r="C2298" s="85" t="s">
        <v>19</v>
      </c>
      <c r="D2298" s="86"/>
      <c r="E2298" s="116" t="str">
        <f t="shared" si="108"/>
        <v>-</v>
      </c>
      <c r="F2298" s="85"/>
      <c r="G2298" s="85" t="s">
        <v>19</v>
      </c>
      <c r="H2298" s="85"/>
      <c r="I2298" s="85"/>
      <c r="J2298" s="87"/>
      <c r="K2298" s="88">
        <f t="shared" si="109"/>
        <v>0</v>
      </c>
      <c r="L2298" s="85"/>
    </row>
    <row r="2299" spans="1:12" hidden="1" x14ac:dyDescent="0.2">
      <c r="A2299" s="84" t="str">
        <f t="shared" si="107"/>
        <v>SelecioneSelecioneSelecione</v>
      </c>
      <c r="B2299" s="85" t="s">
        <v>19</v>
      </c>
      <c r="C2299" s="85" t="s">
        <v>19</v>
      </c>
      <c r="D2299" s="86"/>
      <c r="E2299" s="116" t="str">
        <f t="shared" si="108"/>
        <v>-</v>
      </c>
      <c r="F2299" s="85"/>
      <c r="G2299" s="85" t="s">
        <v>19</v>
      </c>
      <c r="H2299" s="85"/>
      <c r="I2299" s="85"/>
      <c r="J2299" s="87"/>
      <c r="K2299" s="88">
        <f t="shared" si="109"/>
        <v>0</v>
      </c>
      <c r="L2299" s="85"/>
    </row>
    <row r="2300" spans="1:12" hidden="1" x14ac:dyDescent="0.2">
      <c r="A2300" s="84" t="str">
        <f t="shared" si="107"/>
        <v>SelecioneSelecioneSelecione</v>
      </c>
      <c r="B2300" s="85" t="s">
        <v>19</v>
      </c>
      <c r="C2300" s="85" t="s">
        <v>19</v>
      </c>
      <c r="D2300" s="86"/>
      <c r="E2300" s="116" t="str">
        <f t="shared" si="108"/>
        <v>-</v>
      </c>
      <c r="F2300" s="85"/>
      <c r="G2300" s="85" t="s">
        <v>19</v>
      </c>
      <c r="H2300" s="85"/>
      <c r="I2300" s="85"/>
      <c r="J2300" s="87"/>
      <c r="K2300" s="88">
        <f t="shared" si="109"/>
        <v>0</v>
      </c>
      <c r="L2300" s="85"/>
    </row>
    <row r="2301" spans="1:12" hidden="1" x14ac:dyDescent="0.2">
      <c r="A2301" s="84" t="str">
        <f t="shared" si="107"/>
        <v>SelecioneSelecioneSelecione</v>
      </c>
      <c r="B2301" s="85" t="s">
        <v>19</v>
      </c>
      <c r="C2301" s="85" t="s">
        <v>19</v>
      </c>
      <c r="D2301" s="86"/>
      <c r="E2301" s="116" t="str">
        <f t="shared" si="108"/>
        <v>-</v>
      </c>
      <c r="F2301" s="85"/>
      <c r="G2301" s="85" t="s">
        <v>19</v>
      </c>
      <c r="H2301" s="85"/>
      <c r="I2301" s="85"/>
      <c r="J2301" s="87"/>
      <c r="K2301" s="88">
        <f t="shared" si="109"/>
        <v>0</v>
      </c>
      <c r="L2301" s="85"/>
    </row>
    <row r="2302" spans="1:12" hidden="1" x14ac:dyDescent="0.2">
      <c r="A2302" s="84" t="str">
        <f t="shared" si="107"/>
        <v>SelecioneSelecioneSelecione</v>
      </c>
      <c r="B2302" s="85" t="s">
        <v>19</v>
      </c>
      <c r="C2302" s="85" t="s">
        <v>19</v>
      </c>
      <c r="D2302" s="86"/>
      <c r="E2302" s="116" t="str">
        <f t="shared" si="108"/>
        <v>-</v>
      </c>
      <c r="F2302" s="85"/>
      <c r="G2302" s="85" t="s">
        <v>19</v>
      </c>
      <c r="H2302" s="85"/>
      <c r="I2302" s="85"/>
      <c r="J2302" s="87"/>
      <c r="K2302" s="88">
        <f t="shared" si="109"/>
        <v>0</v>
      </c>
      <c r="L2302" s="85"/>
    </row>
    <row r="2303" spans="1:12" hidden="1" x14ac:dyDescent="0.2">
      <c r="A2303" s="84" t="str">
        <f t="shared" si="107"/>
        <v>SelecioneSelecioneSelecione</v>
      </c>
      <c r="B2303" s="85" t="s">
        <v>19</v>
      </c>
      <c r="C2303" s="85" t="s">
        <v>19</v>
      </c>
      <c r="D2303" s="86"/>
      <c r="E2303" s="116" t="str">
        <f t="shared" si="108"/>
        <v>-</v>
      </c>
      <c r="F2303" s="85"/>
      <c r="G2303" s="85" t="s">
        <v>19</v>
      </c>
      <c r="H2303" s="85"/>
      <c r="I2303" s="85"/>
      <c r="J2303" s="87"/>
      <c r="K2303" s="88">
        <f t="shared" si="109"/>
        <v>0</v>
      </c>
      <c r="L2303" s="85"/>
    </row>
    <row r="2304" spans="1:12" hidden="1" x14ac:dyDescent="0.2">
      <c r="A2304" s="84" t="str">
        <f t="shared" si="107"/>
        <v>SelecioneSelecioneSelecione</v>
      </c>
      <c r="B2304" s="85" t="s">
        <v>19</v>
      </c>
      <c r="C2304" s="85" t="s">
        <v>19</v>
      </c>
      <c r="D2304" s="86"/>
      <c r="E2304" s="116" t="str">
        <f t="shared" si="108"/>
        <v>-</v>
      </c>
      <c r="F2304" s="85"/>
      <c r="G2304" s="85" t="s">
        <v>19</v>
      </c>
      <c r="H2304" s="85"/>
      <c r="I2304" s="85"/>
      <c r="J2304" s="87"/>
      <c r="K2304" s="88">
        <f t="shared" si="109"/>
        <v>0</v>
      </c>
      <c r="L2304" s="85"/>
    </row>
    <row r="2305" spans="1:12" hidden="1" x14ac:dyDescent="0.2">
      <c r="A2305" s="84" t="str">
        <f t="shared" si="107"/>
        <v>SelecioneSelecioneSelecione</v>
      </c>
      <c r="B2305" s="85" t="s">
        <v>19</v>
      </c>
      <c r="C2305" s="85" t="s">
        <v>19</v>
      </c>
      <c r="D2305" s="86"/>
      <c r="E2305" s="116" t="str">
        <f t="shared" si="108"/>
        <v>-</v>
      </c>
      <c r="F2305" s="85"/>
      <c r="G2305" s="85" t="s">
        <v>19</v>
      </c>
      <c r="H2305" s="85"/>
      <c r="I2305" s="85"/>
      <c r="J2305" s="87"/>
      <c r="K2305" s="88">
        <f t="shared" si="109"/>
        <v>0</v>
      </c>
      <c r="L2305" s="85"/>
    </row>
    <row r="2306" spans="1:12" hidden="1" x14ac:dyDescent="0.2">
      <c r="A2306" s="84" t="str">
        <f t="shared" ref="A2306:A2369" si="110">CONCATENATE(B2306,C2306,G2306)</f>
        <v>SelecioneSelecioneSelecione</v>
      </c>
      <c r="B2306" s="85" t="s">
        <v>19</v>
      </c>
      <c r="C2306" s="85" t="s">
        <v>19</v>
      </c>
      <c r="D2306" s="86"/>
      <c r="E2306" s="116" t="str">
        <f t="shared" ref="E2306:E2369" si="111">VLOOKUP(G2306,$M$1:$O$993,3,0)</f>
        <v>-</v>
      </c>
      <c r="F2306" s="85"/>
      <c r="G2306" s="85" t="s">
        <v>19</v>
      </c>
      <c r="H2306" s="85"/>
      <c r="I2306" s="85"/>
      <c r="J2306" s="87"/>
      <c r="K2306" s="88">
        <f t="shared" ref="K2306:K2369" si="112">I2306*J2306</f>
        <v>0</v>
      </c>
      <c r="L2306" s="85"/>
    </row>
    <row r="2307" spans="1:12" hidden="1" x14ac:dyDescent="0.2">
      <c r="A2307" s="84" t="str">
        <f t="shared" si="110"/>
        <v>SelecioneSelecioneSelecione</v>
      </c>
      <c r="B2307" s="85" t="s">
        <v>19</v>
      </c>
      <c r="C2307" s="85" t="s">
        <v>19</v>
      </c>
      <c r="D2307" s="86"/>
      <c r="E2307" s="116" t="str">
        <f t="shared" si="111"/>
        <v>-</v>
      </c>
      <c r="F2307" s="85"/>
      <c r="G2307" s="85" t="s">
        <v>19</v>
      </c>
      <c r="H2307" s="85"/>
      <c r="I2307" s="85"/>
      <c r="J2307" s="87"/>
      <c r="K2307" s="88">
        <f t="shared" si="112"/>
        <v>0</v>
      </c>
      <c r="L2307" s="85"/>
    </row>
    <row r="2308" spans="1:12" hidden="1" x14ac:dyDescent="0.2">
      <c r="A2308" s="84" t="str">
        <f t="shared" si="110"/>
        <v>SelecioneSelecioneSelecione</v>
      </c>
      <c r="B2308" s="85" t="s">
        <v>19</v>
      </c>
      <c r="C2308" s="85" t="s">
        <v>19</v>
      </c>
      <c r="D2308" s="86"/>
      <c r="E2308" s="116" t="str">
        <f t="shared" si="111"/>
        <v>-</v>
      </c>
      <c r="F2308" s="85"/>
      <c r="G2308" s="85" t="s">
        <v>19</v>
      </c>
      <c r="H2308" s="85"/>
      <c r="I2308" s="85"/>
      <c r="J2308" s="87"/>
      <c r="K2308" s="88">
        <f t="shared" si="112"/>
        <v>0</v>
      </c>
      <c r="L2308" s="85"/>
    </row>
    <row r="2309" spans="1:12" hidden="1" x14ac:dyDescent="0.2">
      <c r="A2309" s="84" t="str">
        <f t="shared" si="110"/>
        <v>SelecioneSelecioneSelecione</v>
      </c>
      <c r="B2309" s="85" t="s">
        <v>19</v>
      </c>
      <c r="C2309" s="85" t="s">
        <v>19</v>
      </c>
      <c r="D2309" s="86"/>
      <c r="E2309" s="116" t="str">
        <f t="shared" si="111"/>
        <v>-</v>
      </c>
      <c r="F2309" s="85"/>
      <c r="G2309" s="85" t="s">
        <v>19</v>
      </c>
      <c r="H2309" s="85"/>
      <c r="I2309" s="85"/>
      <c r="J2309" s="87"/>
      <c r="K2309" s="88">
        <f t="shared" si="112"/>
        <v>0</v>
      </c>
      <c r="L2309" s="85"/>
    </row>
    <row r="2310" spans="1:12" hidden="1" x14ac:dyDescent="0.2">
      <c r="A2310" s="84" t="str">
        <f t="shared" si="110"/>
        <v>SelecioneSelecioneSelecione</v>
      </c>
      <c r="B2310" s="85" t="s">
        <v>19</v>
      </c>
      <c r="C2310" s="85" t="s">
        <v>19</v>
      </c>
      <c r="D2310" s="86"/>
      <c r="E2310" s="116" t="str">
        <f t="shared" si="111"/>
        <v>-</v>
      </c>
      <c r="F2310" s="85"/>
      <c r="G2310" s="85" t="s">
        <v>19</v>
      </c>
      <c r="H2310" s="85"/>
      <c r="I2310" s="85"/>
      <c r="J2310" s="87"/>
      <c r="K2310" s="88">
        <f t="shared" si="112"/>
        <v>0</v>
      </c>
      <c r="L2310" s="85"/>
    </row>
    <row r="2311" spans="1:12" hidden="1" x14ac:dyDescent="0.2">
      <c r="A2311" s="84" t="str">
        <f t="shared" si="110"/>
        <v>SelecioneSelecioneSelecione</v>
      </c>
      <c r="B2311" s="85" t="s">
        <v>19</v>
      </c>
      <c r="C2311" s="85" t="s">
        <v>19</v>
      </c>
      <c r="D2311" s="86"/>
      <c r="E2311" s="116" t="str">
        <f t="shared" si="111"/>
        <v>-</v>
      </c>
      <c r="F2311" s="85"/>
      <c r="G2311" s="85" t="s">
        <v>19</v>
      </c>
      <c r="H2311" s="85"/>
      <c r="I2311" s="85"/>
      <c r="J2311" s="87"/>
      <c r="K2311" s="88">
        <f t="shared" si="112"/>
        <v>0</v>
      </c>
      <c r="L2311" s="85"/>
    </row>
    <row r="2312" spans="1:12" hidden="1" x14ac:dyDescent="0.2">
      <c r="A2312" s="84" t="str">
        <f t="shared" si="110"/>
        <v>SelecioneSelecioneSelecione</v>
      </c>
      <c r="B2312" s="85" t="s">
        <v>19</v>
      </c>
      <c r="C2312" s="85" t="s">
        <v>19</v>
      </c>
      <c r="D2312" s="86"/>
      <c r="E2312" s="116" t="str">
        <f t="shared" si="111"/>
        <v>-</v>
      </c>
      <c r="F2312" s="85"/>
      <c r="G2312" s="85" t="s">
        <v>19</v>
      </c>
      <c r="H2312" s="85"/>
      <c r="I2312" s="85"/>
      <c r="J2312" s="87"/>
      <c r="K2312" s="88">
        <f t="shared" si="112"/>
        <v>0</v>
      </c>
      <c r="L2312" s="85"/>
    </row>
    <row r="2313" spans="1:12" hidden="1" x14ac:dyDescent="0.2">
      <c r="A2313" s="84" t="str">
        <f t="shared" si="110"/>
        <v>SelecioneSelecioneSelecione</v>
      </c>
      <c r="B2313" s="85" t="s">
        <v>19</v>
      </c>
      <c r="C2313" s="85" t="s">
        <v>19</v>
      </c>
      <c r="D2313" s="86"/>
      <c r="E2313" s="116" t="str">
        <f t="shared" si="111"/>
        <v>-</v>
      </c>
      <c r="F2313" s="85"/>
      <c r="G2313" s="85" t="s">
        <v>19</v>
      </c>
      <c r="H2313" s="85"/>
      <c r="I2313" s="85"/>
      <c r="J2313" s="87"/>
      <c r="K2313" s="88">
        <f t="shared" si="112"/>
        <v>0</v>
      </c>
      <c r="L2313" s="85"/>
    </row>
    <row r="2314" spans="1:12" hidden="1" x14ac:dyDescent="0.2">
      <c r="A2314" s="84" t="str">
        <f t="shared" si="110"/>
        <v>SelecioneSelecioneSelecione</v>
      </c>
      <c r="B2314" s="85" t="s">
        <v>19</v>
      </c>
      <c r="C2314" s="85" t="s">
        <v>19</v>
      </c>
      <c r="D2314" s="86"/>
      <c r="E2314" s="116" t="str">
        <f t="shared" si="111"/>
        <v>-</v>
      </c>
      <c r="F2314" s="85"/>
      <c r="G2314" s="85" t="s">
        <v>19</v>
      </c>
      <c r="H2314" s="85"/>
      <c r="I2314" s="85"/>
      <c r="J2314" s="87"/>
      <c r="K2314" s="88">
        <f t="shared" si="112"/>
        <v>0</v>
      </c>
      <c r="L2314" s="85"/>
    </row>
    <row r="2315" spans="1:12" hidden="1" x14ac:dyDescent="0.2">
      <c r="A2315" s="84" t="str">
        <f t="shared" si="110"/>
        <v>SelecioneSelecioneSelecione</v>
      </c>
      <c r="B2315" s="85" t="s">
        <v>19</v>
      </c>
      <c r="C2315" s="85" t="s">
        <v>19</v>
      </c>
      <c r="D2315" s="86"/>
      <c r="E2315" s="116" t="str">
        <f t="shared" si="111"/>
        <v>-</v>
      </c>
      <c r="F2315" s="85"/>
      <c r="G2315" s="85" t="s">
        <v>19</v>
      </c>
      <c r="H2315" s="85"/>
      <c r="I2315" s="85"/>
      <c r="J2315" s="87"/>
      <c r="K2315" s="88">
        <f t="shared" si="112"/>
        <v>0</v>
      </c>
      <c r="L2315" s="85"/>
    </row>
    <row r="2316" spans="1:12" hidden="1" x14ac:dyDescent="0.2">
      <c r="A2316" s="84" t="str">
        <f t="shared" si="110"/>
        <v>SelecioneSelecioneSelecione</v>
      </c>
      <c r="B2316" s="85" t="s">
        <v>19</v>
      </c>
      <c r="C2316" s="85" t="s">
        <v>19</v>
      </c>
      <c r="D2316" s="86"/>
      <c r="E2316" s="116" t="str">
        <f t="shared" si="111"/>
        <v>-</v>
      </c>
      <c r="F2316" s="85"/>
      <c r="G2316" s="85" t="s">
        <v>19</v>
      </c>
      <c r="H2316" s="85"/>
      <c r="I2316" s="85"/>
      <c r="J2316" s="87"/>
      <c r="K2316" s="88">
        <f t="shared" si="112"/>
        <v>0</v>
      </c>
      <c r="L2316" s="85"/>
    </row>
    <row r="2317" spans="1:12" hidden="1" x14ac:dyDescent="0.2">
      <c r="A2317" s="84" t="str">
        <f t="shared" si="110"/>
        <v>SelecioneSelecioneSelecione</v>
      </c>
      <c r="B2317" s="85" t="s">
        <v>19</v>
      </c>
      <c r="C2317" s="85" t="s">
        <v>19</v>
      </c>
      <c r="D2317" s="86"/>
      <c r="E2317" s="116" t="str">
        <f t="shared" si="111"/>
        <v>-</v>
      </c>
      <c r="F2317" s="85"/>
      <c r="G2317" s="85" t="s">
        <v>19</v>
      </c>
      <c r="H2317" s="85"/>
      <c r="I2317" s="85"/>
      <c r="J2317" s="87"/>
      <c r="K2317" s="88">
        <f t="shared" si="112"/>
        <v>0</v>
      </c>
      <c r="L2317" s="85"/>
    </row>
    <row r="2318" spans="1:12" hidden="1" x14ac:dyDescent="0.2">
      <c r="A2318" s="84" t="str">
        <f t="shared" si="110"/>
        <v>SelecioneSelecioneSelecione</v>
      </c>
      <c r="B2318" s="85" t="s">
        <v>19</v>
      </c>
      <c r="C2318" s="85" t="s">
        <v>19</v>
      </c>
      <c r="D2318" s="86"/>
      <c r="E2318" s="116" t="str">
        <f t="shared" si="111"/>
        <v>-</v>
      </c>
      <c r="F2318" s="85"/>
      <c r="G2318" s="85" t="s">
        <v>19</v>
      </c>
      <c r="H2318" s="85"/>
      <c r="I2318" s="85"/>
      <c r="J2318" s="87"/>
      <c r="K2318" s="88">
        <f t="shared" si="112"/>
        <v>0</v>
      </c>
      <c r="L2318" s="85"/>
    </row>
    <row r="2319" spans="1:12" hidden="1" x14ac:dyDescent="0.2">
      <c r="A2319" s="84" t="str">
        <f t="shared" si="110"/>
        <v>SelecioneSelecioneSelecione</v>
      </c>
      <c r="B2319" s="85" t="s">
        <v>19</v>
      </c>
      <c r="C2319" s="85" t="s">
        <v>19</v>
      </c>
      <c r="D2319" s="86"/>
      <c r="E2319" s="116" t="str">
        <f t="shared" si="111"/>
        <v>-</v>
      </c>
      <c r="F2319" s="85"/>
      <c r="G2319" s="85" t="s">
        <v>19</v>
      </c>
      <c r="H2319" s="85"/>
      <c r="I2319" s="85"/>
      <c r="J2319" s="87"/>
      <c r="K2319" s="88">
        <f t="shared" si="112"/>
        <v>0</v>
      </c>
      <c r="L2319" s="85"/>
    </row>
    <row r="2320" spans="1:12" hidden="1" x14ac:dyDescent="0.2">
      <c r="A2320" s="84" t="str">
        <f t="shared" si="110"/>
        <v>SelecioneSelecioneSelecione</v>
      </c>
      <c r="B2320" s="85" t="s">
        <v>19</v>
      </c>
      <c r="C2320" s="85" t="s">
        <v>19</v>
      </c>
      <c r="D2320" s="86"/>
      <c r="E2320" s="116" t="str">
        <f t="shared" si="111"/>
        <v>-</v>
      </c>
      <c r="F2320" s="85"/>
      <c r="G2320" s="85" t="s">
        <v>19</v>
      </c>
      <c r="H2320" s="85"/>
      <c r="I2320" s="85"/>
      <c r="J2320" s="87"/>
      <c r="K2320" s="88">
        <f t="shared" si="112"/>
        <v>0</v>
      </c>
      <c r="L2320" s="85"/>
    </row>
    <row r="2321" spans="1:12" hidden="1" x14ac:dyDescent="0.2">
      <c r="A2321" s="84" t="str">
        <f t="shared" si="110"/>
        <v>SelecioneSelecioneSelecione</v>
      </c>
      <c r="B2321" s="85" t="s">
        <v>19</v>
      </c>
      <c r="C2321" s="85" t="s">
        <v>19</v>
      </c>
      <c r="D2321" s="86"/>
      <c r="E2321" s="116" t="str">
        <f t="shared" si="111"/>
        <v>-</v>
      </c>
      <c r="F2321" s="85"/>
      <c r="G2321" s="85" t="s">
        <v>19</v>
      </c>
      <c r="H2321" s="85"/>
      <c r="I2321" s="85"/>
      <c r="J2321" s="87"/>
      <c r="K2321" s="88">
        <f t="shared" si="112"/>
        <v>0</v>
      </c>
      <c r="L2321" s="85"/>
    </row>
    <row r="2322" spans="1:12" hidden="1" x14ac:dyDescent="0.2">
      <c r="A2322" s="84" t="str">
        <f t="shared" si="110"/>
        <v>SelecioneSelecioneSelecione</v>
      </c>
      <c r="B2322" s="85" t="s">
        <v>19</v>
      </c>
      <c r="C2322" s="85" t="s">
        <v>19</v>
      </c>
      <c r="D2322" s="86"/>
      <c r="E2322" s="116" t="str">
        <f t="shared" si="111"/>
        <v>-</v>
      </c>
      <c r="F2322" s="85"/>
      <c r="G2322" s="85" t="s">
        <v>19</v>
      </c>
      <c r="H2322" s="85"/>
      <c r="I2322" s="85"/>
      <c r="J2322" s="87"/>
      <c r="K2322" s="88">
        <f t="shared" si="112"/>
        <v>0</v>
      </c>
      <c r="L2322" s="85"/>
    </row>
    <row r="2323" spans="1:12" hidden="1" x14ac:dyDescent="0.2">
      <c r="A2323" s="84" t="str">
        <f t="shared" si="110"/>
        <v>SelecioneSelecioneSelecione</v>
      </c>
      <c r="B2323" s="85" t="s">
        <v>19</v>
      </c>
      <c r="C2323" s="85" t="s">
        <v>19</v>
      </c>
      <c r="D2323" s="86"/>
      <c r="E2323" s="116" t="str">
        <f t="shared" si="111"/>
        <v>-</v>
      </c>
      <c r="F2323" s="85"/>
      <c r="G2323" s="85" t="s">
        <v>19</v>
      </c>
      <c r="H2323" s="85"/>
      <c r="I2323" s="85"/>
      <c r="J2323" s="87"/>
      <c r="K2323" s="88">
        <f t="shared" si="112"/>
        <v>0</v>
      </c>
      <c r="L2323" s="85"/>
    </row>
    <row r="2324" spans="1:12" hidden="1" x14ac:dyDescent="0.2">
      <c r="A2324" s="84" t="str">
        <f t="shared" si="110"/>
        <v>SelecioneSelecioneSelecione</v>
      </c>
      <c r="B2324" s="85" t="s">
        <v>19</v>
      </c>
      <c r="C2324" s="85" t="s">
        <v>19</v>
      </c>
      <c r="D2324" s="86"/>
      <c r="E2324" s="116" t="str">
        <f t="shared" si="111"/>
        <v>-</v>
      </c>
      <c r="F2324" s="85"/>
      <c r="G2324" s="85" t="s">
        <v>19</v>
      </c>
      <c r="H2324" s="85"/>
      <c r="I2324" s="85"/>
      <c r="J2324" s="87"/>
      <c r="K2324" s="88">
        <f t="shared" si="112"/>
        <v>0</v>
      </c>
      <c r="L2324" s="85"/>
    </row>
    <row r="2325" spans="1:12" hidden="1" x14ac:dyDescent="0.2">
      <c r="A2325" s="84" t="str">
        <f t="shared" si="110"/>
        <v>SelecioneSelecioneSelecione</v>
      </c>
      <c r="B2325" s="85" t="s">
        <v>19</v>
      </c>
      <c r="C2325" s="85" t="s">
        <v>19</v>
      </c>
      <c r="D2325" s="86"/>
      <c r="E2325" s="116" t="str">
        <f t="shared" si="111"/>
        <v>-</v>
      </c>
      <c r="F2325" s="85"/>
      <c r="G2325" s="85" t="s">
        <v>19</v>
      </c>
      <c r="H2325" s="85"/>
      <c r="I2325" s="85"/>
      <c r="J2325" s="87"/>
      <c r="K2325" s="88">
        <f t="shared" si="112"/>
        <v>0</v>
      </c>
      <c r="L2325" s="85"/>
    </row>
    <row r="2326" spans="1:12" hidden="1" x14ac:dyDescent="0.2">
      <c r="A2326" s="84" t="str">
        <f t="shared" si="110"/>
        <v>SelecioneSelecioneSelecione</v>
      </c>
      <c r="B2326" s="85" t="s">
        <v>19</v>
      </c>
      <c r="C2326" s="85" t="s">
        <v>19</v>
      </c>
      <c r="D2326" s="86"/>
      <c r="E2326" s="116" t="str">
        <f t="shared" si="111"/>
        <v>-</v>
      </c>
      <c r="F2326" s="85"/>
      <c r="G2326" s="85" t="s">
        <v>19</v>
      </c>
      <c r="H2326" s="85"/>
      <c r="I2326" s="85"/>
      <c r="J2326" s="87"/>
      <c r="K2326" s="88">
        <f t="shared" si="112"/>
        <v>0</v>
      </c>
      <c r="L2326" s="85"/>
    </row>
    <row r="2327" spans="1:12" hidden="1" x14ac:dyDescent="0.2">
      <c r="A2327" s="84" t="str">
        <f t="shared" si="110"/>
        <v>SelecioneSelecioneSelecione</v>
      </c>
      <c r="B2327" s="85" t="s">
        <v>19</v>
      </c>
      <c r="C2327" s="85" t="s">
        <v>19</v>
      </c>
      <c r="D2327" s="86"/>
      <c r="E2327" s="116" t="str">
        <f t="shared" si="111"/>
        <v>-</v>
      </c>
      <c r="F2327" s="85"/>
      <c r="G2327" s="85" t="s">
        <v>19</v>
      </c>
      <c r="H2327" s="85"/>
      <c r="I2327" s="85"/>
      <c r="J2327" s="87"/>
      <c r="K2327" s="88">
        <f t="shared" si="112"/>
        <v>0</v>
      </c>
      <c r="L2327" s="85"/>
    </row>
    <row r="2328" spans="1:12" hidden="1" x14ac:dyDescent="0.2">
      <c r="A2328" s="84" t="str">
        <f t="shared" si="110"/>
        <v>SelecioneSelecioneSelecione</v>
      </c>
      <c r="B2328" s="85" t="s">
        <v>19</v>
      </c>
      <c r="C2328" s="85" t="s">
        <v>19</v>
      </c>
      <c r="D2328" s="86"/>
      <c r="E2328" s="116" t="str">
        <f t="shared" si="111"/>
        <v>-</v>
      </c>
      <c r="F2328" s="85"/>
      <c r="G2328" s="85" t="s">
        <v>19</v>
      </c>
      <c r="H2328" s="85"/>
      <c r="I2328" s="85"/>
      <c r="J2328" s="87"/>
      <c r="K2328" s="88">
        <f t="shared" si="112"/>
        <v>0</v>
      </c>
      <c r="L2328" s="85"/>
    </row>
    <row r="2329" spans="1:12" hidden="1" x14ac:dyDescent="0.2">
      <c r="A2329" s="84" t="str">
        <f t="shared" si="110"/>
        <v>SelecioneSelecioneSelecione</v>
      </c>
      <c r="B2329" s="85" t="s">
        <v>19</v>
      </c>
      <c r="C2329" s="85" t="s">
        <v>19</v>
      </c>
      <c r="D2329" s="86"/>
      <c r="E2329" s="116" t="str">
        <f t="shared" si="111"/>
        <v>-</v>
      </c>
      <c r="F2329" s="85"/>
      <c r="G2329" s="85" t="s">
        <v>19</v>
      </c>
      <c r="H2329" s="85"/>
      <c r="I2329" s="85"/>
      <c r="J2329" s="87"/>
      <c r="K2329" s="88">
        <f t="shared" si="112"/>
        <v>0</v>
      </c>
      <c r="L2329" s="85"/>
    </row>
    <row r="2330" spans="1:12" hidden="1" x14ac:dyDescent="0.2">
      <c r="A2330" s="84" t="str">
        <f t="shared" si="110"/>
        <v>SelecioneSelecioneSelecione</v>
      </c>
      <c r="B2330" s="85" t="s">
        <v>19</v>
      </c>
      <c r="C2330" s="85" t="s">
        <v>19</v>
      </c>
      <c r="D2330" s="86"/>
      <c r="E2330" s="116" t="str">
        <f t="shared" si="111"/>
        <v>-</v>
      </c>
      <c r="F2330" s="85"/>
      <c r="G2330" s="85" t="s">
        <v>19</v>
      </c>
      <c r="H2330" s="85"/>
      <c r="I2330" s="85"/>
      <c r="J2330" s="87"/>
      <c r="K2330" s="88">
        <f t="shared" si="112"/>
        <v>0</v>
      </c>
      <c r="L2330" s="85"/>
    </row>
    <row r="2331" spans="1:12" hidden="1" x14ac:dyDescent="0.2">
      <c r="A2331" s="84" t="str">
        <f t="shared" si="110"/>
        <v>SelecioneSelecioneSelecione</v>
      </c>
      <c r="B2331" s="85" t="s">
        <v>19</v>
      </c>
      <c r="C2331" s="85" t="s">
        <v>19</v>
      </c>
      <c r="D2331" s="86"/>
      <c r="E2331" s="116" t="str">
        <f t="shared" si="111"/>
        <v>-</v>
      </c>
      <c r="F2331" s="85"/>
      <c r="G2331" s="85" t="s">
        <v>19</v>
      </c>
      <c r="H2331" s="85"/>
      <c r="I2331" s="85"/>
      <c r="J2331" s="87"/>
      <c r="K2331" s="88">
        <f t="shared" si="112"/>
        <v>0</v>
      </c>
      <c r="L2331" s="85"/>
    </row>
    <row r="2332" spans="1:12" hidden="1" x14ac:dyDescent="0.2">
      <c r="A2332" s="84" t="str">
        <f t="shared" si="110"/>
        <v>SelecioneSelecioneSelecione</v>
      </c>
      <c r="B2332" s="85" t="s">
        <v>19</v>
      </c>
      <c r="C2332" s="85" t="s">
        <v>19</v>
      </c>
      <c r="D2332" s="86"/>
      <c r="E2332" s="116" t="str">
        <f t="shared" si="111"/>
        <v>-</v>
      </c>
      <c r="F2332" s="85"/>
      <c r="G2332" s="85" t="s">
        <v>19</v>
      </c>
      <c r="H2332" s="85"/>
      <c r="I2332" s="85"/>
      <c r="J2332" s="87"/>
      <c r="K2332" s="88">
        <f t="shared" si="112"/>
        <v>0</v>
      </c>
      <c r="L2332" s="85"/>
    </row>
    <row r="2333" spans="1:12" hidden="1" x14ac:dyDescent="0.2">
      <c r="A2333" s="84" t="str">
        <f t="shared" si="110"/>
        <v>SelecioneSelecioneSelecione</v>
      </c>
      <c r="B2333" s="85" t="s">
        <v>19</v>
      </c>
      <c r="C2333" s="85" t="s">
        <v>19</v>
      </c>
      <c r="D2333" s="86"/>
      <c r="E2333" s="116" t="str">
        <f t="shared" si="111"/>
        <v>-</v>
      </c>
      <c r="F2333" s="85"/>
      <c r="G2333" s="85" t="s">
        <v>19</v>
      </c>
      <c r="H2333" s="85"/>
      <c r="I2333" s="85"/>
      <c r="J2333" s="87"/>
      <c r="K2333" s="88">
        <f t="shared" si="112"/>
        <v>0</v>
      </c>
      <c r="L2333" s="85"/>
    </row>
    <row r="2334" spans="1:12" hidden="1" x14ac:dyDescent="0.2">
      <c r="A2334" s="84" t="str">
        <f t="shared" si="110"/>
        <v>SelecioneSelecioneSelecione</v>
      </c>
      <c r="B2334" s="85" t="s">
        <v>19</v>
      </c>
      <c r="C2334" s="85" t="s">
        <v>19</v>
      </c>
      <c r="D2334" s="86"/>
      <c r="E2334" s="116" t="str">
        <f t="shared" si="111"/>
        <v>-</v>
      </c>
      <c r="F2334" s="85"/>
      <c r="G2334" s="85" t="s">
        <v>19</v>
      </c>
      <c r="H2334" s="85"/>
      <c r="I2334" s="85"/>
      <c r="J2334" s="87"/>
      <c r="K2334" s="88">
        <f t="shared" si="112"/>
        <v>0</v>
      </c>
      <c r="L2334" s="85"/>
    </row>
    <row r="2335" spans="1:12" hidden="1" x14ac:dyDescent="0.2">
      <c r="A2335" s="84" t="str">
        <f t="shared" si="110"/>
        <v>SelecioneSelecioneSelecione</v>
      </c>
      <c r="B2335" s="85" t="s">
        <v>19</v>
      </c>
      <c r="C2335" s="85" t="s">
        <v>19</v>
      </c>
      <c r="D2335" s="86"/>
      <c r="E2335" s="116" t="str">
        <f t="shared" si="111"/>
        <v>-</v>
      </c>
      <c r="F2335" s="85"/>
      <c r="G2335" s="85" t="s">
        <v>19</v>
      </c>
      <c r="H2335" s="85"/>
      <c r="I2335" s="85"/>
      <c r="J2335" s="87"/>
      <c r="K2335" s="88">
        <f t="shared" si="112"/>
        <v>0</v>
      </c>
      <c r="L2335" s="85"/>
    </row>
    <row r="2336" spans="1:12" hidden="1" x14ac:dyDescent="0.2">
      <c r="A2336" s="84" t="str">
        <f t="shared" si="110"/>
        <v>SelecioneSelecioneSelecione</v>
      </c>
      <c r="B2336" s="85" t="s">
        <v>19</v>
      </c>
      <c r="C2336" s="85" t="s">
        <v>19</v>
      </c>
      <c r="D2336" s="86"/>
      <c r="E2336" s="116" t="str">
        <f t="shared" si="111"/>
        <v>-</v>
      </c>
      <c r="F2336" s="85"/>
      <c r="G2336" s="85" t="s">
        <v>19</v>
      </c>
      <c r="H2336" s="85"/>
      <c r="I2336" s="85"/>
      <c r="J2336" s="87"/>
      <c r="K2336" s="88">
        <f t="shared" si="112"/>
        <v>0</v>
      </c>
      <c r="L2336" s="85"/>
    </row>
    <row r="2337" spans="1:12" hidden="1" x14ac:dyDescent="0.2">
      <c r="A2337" s="84" t="str">
        <f t="shared" si="110"/>
        <v>SelecioneSelecioneSelecione</v>
      </c>
      <c r="B2337" s="85" t="s">
        <v>19</v>
      </c>
      <c r="C2337" s="85" t="s">
        <v>19</v>
      </c>
      <c r="D2337" s="86"/>
      <c r="E2337" s="116" t="str">
        <f t="shared" si="111"/>
        <v>-</v>
      </c>
      <c r="F2337" s="85"/>
      <c r="G2337" s="85" t="s">
        <v>19</v>
      </c>
      <c r="H2337" s="85"/>
      <c r="I2337" s="85"/>
      <c r="J2337" s="87"/>
      <c r="K2337" s="88">
        <f t="shared" si="112"/>
        <v>0</v>
      </c>
      <c r="L2337" s="85"/>
    </row>
    <row r="2338" spans="1:12" hidden="1" x14ac:dyDescent="0.2">
      <c r="A2338" s="84" t="str">
        <f t="shared" si="110"/>
        <v>SelecioneSelecioneSelecione</v>
      </c>
      <c r="B2338" s="85" t="s">
        <v>19</v>
      </c>
      <c r="C2338" s="85" t="s">
        <v>19</v>
      </c>
      <c r="D2338" s="86"/>
      <c r="E2338" s="116" t="str">
        <f t="shared" si="111"/>
        <v>-</v>
      </c>
      <c r="F2338" s="85"/>
      <c r="G2338" s="85" t="s">
        <v>19</v>
      </c>
      <c r="H2338" s="85"/>
      <c r="I2338" s="85"/>
      <c r="J2338" s="87"/>
      <c r="K2338" s="88">
        <f t="shared" si="112"/>
        <v>0</v>
      </c>
      <c r="L2338" s="85"/>
    </row>
    <row r="2339" spans="1:12" hidden="1" x14ac:dyDescent="0.2">
      <c r="A2339" s="84" t="str">
        <f t="shared" si="110"/>
        <v>SelecioneSelecioneSelecione</v>
      </c>
      <c r="B2339" s="85" t="s">
        <v>19</v>
      </c>
      <c r="C2339" s="85" t="s">
        <v>19</v>
      </c>
      <c r="D2339" s="86"/>
      <c r="E2339" s="116" t="str">
        <f t="shared" si="111"/>
        <v>-</v>
      </c>
      <c r="F2339" s="85"/>
      <c r="G2339" s="85" t="s">
        <v>19</v>
      </c>
      <c r="H2339" s="85"/>
      <c r="I2339" s="85"/>
      <c r="J2339" s="87"/>
      <c r="K2339" s="88">
        <f t="shared" si="112"/>
        <v>0</v>
      </c>
      <c r="L2339" s="85"/>
    </row>
    <row r="2340" spans="1:12" hidden="1" x14ac:dyDescent="0.2">
      <c r="A2340" s="84" t="str">
        <f t="shared" si="110"/>
        <v>SelecioneSelecioneSelecione</v>
      </c>
      <c r="B2340" s="85" t="s">
        <v>19</v>
      </c>
      <c r="C2340" s="85" t="s">
        <v>19</v>
      </c>
      <c r="D2340" s="86"/>
      <c r="E2340" s="116" t="str">
        <f t="shared" si="111"/>
        <v>-</v>
      </c>
      <c r="F2340" s="85"/>
      <c r="G2340" s="85" t="s">
        <v>19</v>
      </c>
      <c r="H2340" s="85"/>
      <c r="I2340" s="85"/>
      <c r="J2340" s="87"/>
      <c r="K2340" s="88">
        <f t="shared" si="112"/>
        <v>0</v>
      </c>
      <c r="L2340" s="85"/>
    </row>
    <row r="2341" spans="1:12" hidden="1" x14ac:dyDescent="0.2">
      <c r="A2341" s="84" t="str">
        <f t="shared" si="110"/>
        <v>SelecioneSelecioneSelecione</v>
      </c>
      <c r="B2341" s="85" t="s">
        <v>19</v>
      </c>
      <c r="C2341" s="85" t="s">
        <v>19</v>
      </c>
      <c r="D2341" s="86"/>
      <c r="E2341" s="116" t="str">
        <f t="shared" si="111"/>
        <v>-</v>
      </c>
      <c r="F2341" s="85"/>
      <c r="G2341" s="85" t="s">
        <v>19</v>
      </c>
      <c r="H2341" s="85"/>
      <c r="I2341" s="85"/>
      <c r="J2341" s="87"/>
      <c r="K2341" s="88">
        <f t="shared" si="112"/>
        <v>0</v>
      </c>
      <c r="L2341" s="85"/>
    </row>
    <row r="2342" spans="1:12" hidden="1" x14ac:dyDescent="0.2">
      <c r="A2342" s="84" t="str">
        <f t="shared" si="110"/>
        <v>SelecioneSelecioneSelecione</v>
      </c>
      <c r="B2342" s="85" t="s">
        <v>19</v>
      </c>
      <c r="C2342" s="85" t="s">
        <v>19</v>
      </c>
      <c r="D2342" s="86"/>
      <c r="E2342" s="116" t="str">
        <f t="shared" si="111"/>
        <v>-</v>
      </c>
      <c r="F2342" s="85"/>
      <c r="G2342" s="85" t="s">
        <v>19</v>
      </c>
      <c r="H2342" s="85"/>
      <c r="I2342" s="85"/>
      <c r="J2342" s="87"/>
      <c r="K2342" s="88">
        <f t="shared" si="112"/>
        <v>0</v>
      </c>
      <c r="L2342" s="85"/>
    </row>
    <row r="2343" spans="1:12" hidden="1" x14ac:dyDescent="0.2">
      <c r="A2343" s="84" t="str">
        <f t="shared" si="110"/>
        <v>SelecioneSelecioneSelecione</v>
      </c>
      <c r="B2343" s="85" t="s">
        <v>19</v>
      </c>
      <c r="C2343" s="85" t="s">
        <v>19</v>
      </c>
      <c r="D2343" s="86"/>
      <c r="E2343" s="116" t="str">
        <f t="shared" si="111"/>
        <v>-</v>
      </c>
      <c r="F2343" s="85"/>
      <c r="G2343" s="85" t="s">
        <v>19</v>
      </c>
      <c r="H2343" s="85"/>
      <c r="I2343" s="85"/>
      <c r="J2343" s="87"/>
      <c r="K2343" s="88">
        <f t="shared" si="112"/>
        <v>0</v>
      </c>
      <c r="L2343" s="85"/>
    </row>
    <row r="2344" spans="1:12" hidden="1" x14ac:dyDescent="0.2">
      <c r="A2344" s="84" t="str">
        <f t="shared" si="110"/>
        <v>SelecioneSelecioneSelecione</v>
      </c>
      <c r="B2344" s="85" t="s">
        <v>19</v>
      </c>
      <c r="C2344" s="85" t="s">
        <v>19</v>
      </c>
      <c r="D2344" s="86"/>
      <c r="E2344" s="116" t="str">
        <f t="shared" si="111"/>
        <v>-</v>
      </c>
      <c r="F2344" s="85"/>
      <c r="G2344" s="85" t="s">
        <v>19</v>
      </c>
      <c r="H2344" s="85"/>
      <c r="I2344" s="85"/>
      <c r="J2344" s="87"/>
      <c r="K2344" s="88">
        <f t="shared" si="112"/>
        <v>0</v>
      </c>
      <c r="L2344" s="85"/>
    </row>
    <row r="2345" spans="1:12" hidden="1" x14ac:dyDescent="0.2">
      <c r="A2345" s="84" t="str">
        <f t="shared" si="110"/>
        <v>SelecioneSelecioneSelecione</v>
      </c>
      <c r="B2345" s="85" t="s">
        <v>19</v>
      </c>
      <c r="C2345" s="85" t="s">
        <v>19</v>
      </c>
      <c r="D2345" s="86"/>
      <c r="E2345" s="116" t="str">
        <f t="shared" si="111"/>
        <v>-</v>
      </c>
      <c r="F2345" s="85"/>
      <c r="G2345" s="85" t="s">
        <v>19</v>
      </c>
      <c r="H2345" s="85"/>
      <c r="I2345" s="85"/>
      <c r="J2345" s="87"/>
      <c r="K2345" s="88">
        <f t="shared" si="112"/>
        <v>0</v>
      </c>
      <c r="L2345" s="85"/>
    </row>
    <row r="2346" spans="1:12" hidden="1" x14ac:dyDescent="0.2">
      <c r="A2346" s="84" t="str">
        <f t="shared" si="110"/>
        <v>SelecioneSelecioneSelecione</v>
      </c>
      <c r="B2346" s="85" t="s">
        <v>19</v>
      </c>
      <c r="C2346" s="85" t="s">
        <v>19</v>
      </c>
      <c r="D2346" s="86"/>
      <c r="E2346" s="116" t="str">
        <f t="shared" si="111"/>
        <v>-</v>
      </c>
      <c r="F2346" s="85"/>
      <c r="G2346" s="85" t="s">
        <v>19</v>
      </c>
      <c r="H2346" s="85"/>
      <c r="I2346" s="85"/>
      <c r="J2346" s="87"/>
      <c r="K2346" s="88">
        <f t="shared" si="112"/>
        <v>0</v>
      </c>
      <c r="L2346" s="85"/>
    </row>
    <row r="2347" spans="1:12" hidden="1" x14ac:dyDescent="0.2">
      <c r="A2347" s="84" t="str">
        <f t="shared" si="110"/>
        <v>SelecioneSelecioneSelecione</v>
      </c>
      <c r="B2347" s="85" t="s">
        <v>19</v>
      </c>
      <c r="C2347" s="85" t="s">
        <v>19</v>
      </c>
      <c r="D2347" s="86"/>
      <c r="E2347" s="116" t="str">
        <f t="shared" si="111"/>
        <v>-</v>
      </c>
      <c r="F2347" s="85"/>
      <c r="G2347" s="85" t="s">
        <v>19</v>
      </c>
      <c r="H2347" s="85"/>
      <c r="I2347" s="85"/>
      <c r="J2347" s="87"/>
      <c r="K2347" s="88">
        <f t="shared" si="112"/>
        <v>0</v>
      </c>
      <c r="L2347" s="85"/>
    </row>
    <row r="2348" spans="1:12" hidden="1" x14ac:dyDescent="0.2">
      <c r="A2348" s="84" t="str">
        <f t="shared" si="110"/>
        <v>SelecioneSelecioneSelecione</v>
      </c>
      <c r="B2348" s="85" t="s">
        <v>19</v>
      </c>
      <c r="C2348" s="85" t="s">
        <v>19</v>
      </c>
      <c r="D2348" s="86"/>
      <c r="E2348" s="116" t="str">
        <f t="shared" si="111"/>
        <v>-</v>
      </c>
      <c r="F2348" s="85"/>
      <c r="G2348" s="85" t="s">
        <v>19</v>
      </c>
      <c r="H2348" s="85"/>
      <c r="I2348" s="85"/>
      <c r="J2348" s="87"/>
      <c r="K2348" s="88">
        <f t="shared" si="112"/>
        <v>0</v>
      </c>
      <c r="L2348" s="85"/>
    </row>
    <row r="2349" spans="1:12" hidden="1" x14ac:dyDescent="0.2">
      <c r="A2349" s="84" t="str">
        <f t="shared" si="110"/>
        <v>SelecioneSelecioneSelecione</v>
      </c>
      <c r="B2349" s="85" t="s">
        <v>19</v>
      </c>
      <c r="C2349" s="85" t="s">
        <v>19</v>
      </c>
      <c r="D2349" s="86"/>
      <c r="E2349" s="116" t="str">
        <f t="shared" si="111"/>
        <v>-</v>
      </c>
      <c r="F2349" s="85"/>
      <c r="G2349" s="85" t="s">
        <v>19</v>
      </c>
      <c r="H2349" s="85"/>
      <c r="I2349" s="85"/>
      <c r="J2349" s="87"/>
      <c r="K2349" s="88">
        <f t="shared" si="112"/>
        <v>0</v>
      </c>
      <c r="L2349" s="85"/>
    </row>
    <row r="2350" spans="1:12" hidden="1" x14ac:dyDescent="0.2">
      <c r="A2350" s="84" t="str">
        <f t="shared" si="110"/>
        <v>SelecioneSelecioneSelecione</v>
      </c>
      <c r="B2350" s="85" t="s">
        <v>19</v>
      </c>
      <c r="C2350" s="85" t="s">
        <v>19</v>
      </c>
      <c r="D2350" s="86"/>
      <c r="E2350" s="116" t="str">
        <f t="shared" si="111"/>
        <v>-</v>
      </c>
      <c r="F2350" s="85"/>
      <c r="G2350" s="85" t="s">
        <v>19</v>
      </c>
      <c r="H2350" s="85"/>
      <c r="I2350" s="85"/>
      <c r="J2350" s="87"/>
      <c r="K2350" s="88">
        <f t="shared" si="112"/>
        <v>0</v>
      </c>
      <c r="L2350" s="85"/>
    </row>
    <row r="2351" spans="1:12" hidden="1" x14ac:dyDescent="0.2">
      <c r="A2351" s="84" t="str">
        <f t="shared" si="110"/>
        <v>SelecioneSelecioneSelecione</v>
      </c>
      <c r="B2351" s="85" t="s">
        <v>19</v>
      </c>
      <c r="C2351" s="85" t="s">
        <v>19</v>
      </c>
      <c r="D2351" s="86"/>
      <c r="E2351" s="116" t="str">
        <f t="shared" si="111"/>
        <v>-</v>
      </c>
      <c r="F2351" s="85"/>
      <c r="G2351" s="85" t="s">
        <v>19</v>
      </c>
      <c r="H2351" s="85"/>
      <c r="I2351" s="85"/>
      <c r="J2351" s="87"/>
      <c r="K2351" s="88">
        <f t="shared" si="112"/>
        <v>0</v>
      </c>
      <c r="L2351" s="85"/>
    </row>
    <row r="2352" spans="1:12" hidden="1" x14ac:dyDescent="0.2">
      <c r="A2352" s="84" t="str">
        <f t="shared" si="110"/>
        <v>SelecioneSelecioneSelecione</v>
      </c>
      <c r="B2352" s="85" t="s">
        <v>19</v>
      </c>
      <c r="C2352" s="85" t="s">
        <v>19</v>
      </c>
      <c r="D2352" s="86"/>
      <c r="E2352" s="116" t="str">
        <f t="shared" si="111"/>
        <v>-</v>
      </c>
      <c r="F2352" s="85"/>
      <c r="G2352" s="85" t="s">
        <v>19</v>
      </c>
      <c r="H2352" s="85"/>
      <c r="I2352" s="85"/>
      <c r="J2352" s="87"/>
      <c r="K2352" s="88">
        <f t="shared" si="112"/>
        <v>0</v>
      </c>
      <c r="L2352" s="85"/>
    </row>
    <row r="2353" spans="1:12" hidden="1" x14ac:dyDescent="0.2">
      <c r="A2353" s="84" t="str">
        <f t="shared" si="110"/>
        <v>SelecioneSelecioneSelecione</v>
      </c>
      <c r="B2353" s="85" t="s">
        <v>19</v>
      </c>
      <c r="C2353" s="85" t="s">
        <v>19</v>
      </c>
      <c r="D2353" s="86"/>
      <c r="E2353" s="116" t="str">
        <f t="shared" si="111"/>
        <v>-</v>
      </c>
      <c r="F2353" s="85"/>
      <c r="G2353" s="85" t="s">
        <v>19</v>
      </c>
      <c r="H2353" s="85"/>
      <c r="I2353" s="85"/>
      <c r="J2353" s="87"/>
      <c r="K2353" s="88">
        <f t="shared" si="112"/>
        <v>0</v>
      </c>
      <c r="L2353" s="85"/>
    </row>
    <row r="2354" spans="1:12" hidden="1" x14ac:dyDescent="0.2">
      <c r="A2354" s="84" t="str">
        <f t="shared" si="110"/>
        <v>SelecioneSelecioneSelecione</v>
      </c>
      <c r="B2354" s="85" t="s">
        <v>19</v>
      </c>
      <c r="C2354" s="85" t="s">
        <v>19</v>
      </c>
      <c r="D2354" s="86"/>
      <c r="E2354" s="116" t="str">
        <f t="shared" si="111"/>
        <v>-</v>
      </c>
      <c r="F2354" s="85"/>
      <c r="G2354" s="85" t="s">
        <v>19</v>
      </c>
      <c r="H2354" s="85"/>
      <c r="I2354" s="85"/>
      <c r="J2354" s="87"/>
      <c r="K2354" s="88">
        <f t="shared" si="112"/>
        <v>0</v>
      </c>
      <c r="L2354" s="85"/>
    </row>
    <row r="2355" spans="1:12" hidden="1" x14ac:dyDescent="0.2">
      <c r="A2355" s="84" t="str">
        <f t="shared" si="110"/>
        <v>SelecioneSelecioneSelecione</v>
      </c>
      <c r="B2355" s="85" t="s">
        <v>19</v>
      </c>
      <c r="C2355" s="85" t="s">
        <v>19</v>
      </c>
      <c r="D2355" s="86"/>
      <c r="E2355" s="116" t="str">
        <f t="shared" si="111"/>
        <v>-</v>
      </c>
      <c r="F2355" s="85"/>
      <c r="G2355" s="85" t="s">
        <v>19</v>
      </c>
      <c r="H2355" s="85"/>
      <c r="I2355" s="85"/>
      <c r="J2355" s="87"/>
      <c r="K2355" s="88">
        <f t="shared" si="112"/>
        <v>0</v>
      </c>
      <c r="L2355" s="85"/>
    </row>
    <row r="2356" spans="1:12" hidden="1" x14ac:dyDescent="0.2">
      <c r="A2356" s="84" t="str">
        <f t="shared" si="110"/>
        <v>SelecioneSelecioneSelecione</v>
      </c>
      <c r="B2356" s="85" t="s">
        <v>19</v>
      </c>
      <c r="C2356" s="85" t="s">
        <v>19</v>
      </c>
      <c r="D2356" s="86"/>
      <c r="E2356" s="116" t="str">
        <f t="shared" si="111"/>
        <v>-</v>
      </c>
      <c r="F2356" s="85"/>
      <c r="G2356" s="85" t="s">
        <v>19</v>
      </c>
      <c r="H2356" s="85"/>
      <c r="I2356" s="85"/>
      <c r="J2356" s="87"/>
      <c r="K2356" s="88">
        <f t="shared" si="112"/>
        <v>0</v>
      </c>
      <c r="L2356" s="85"/>
    </row>
    <row r="2357" spans="1:12" hidden="1" x14ac:dyDescent="0.2">
      <c r="A2357" s="84" t="str">
        <f t="shared" si="110"/>
        <v>SelecioneSelecioneSelecione</v>
      </c>
      <c r="B2357" s="85" t="s">
        <v>19</v>
      </c>
      <c r="C2357" s="85" t="s">
        <v>19</v>
      </c>
      <c r="D2357" s="86"/>
      <c r="E2357" s="116" t="str">
        <f t="shared" si="111"/>
        <v>-</v>
      </c>
      <c r="F2357" s="85"/>
      <c r="G2357" s="85" t="s">
        <v>19</v>
      </c>
      <c r="H2357" s="85"/>
      <c r="I2357" s="85"/>
      <c r="J2357" s="87"/>
      <c r="K2357" s="88">
        <f t="shared" si="112"/>
        <v>0</v>
      </c>
      <c r="L2357" s="85"/>
    </row>
    <row r="2358" spans="1:12" hidden="1" x14ac:dyDescent="0.2">
      <c r="A2358" s="84" t="str">
        <f t="shared" si="110"/>
        <v>SelecioneSelecioneSelecione</v>
      </c>
      <c r="B2358" s="85" t="s">
        <v>19</v>
      </c>
      <c r="C2358" s="85" t="s">
        <v>19</v>
      </c>
      <c r="D2358" s="86"/>
      <c r="E2358" s="116" t="str">
        <f t="shared" si="111"/>
        <v>-</v>
      </c>
      <c r="F2358" s="85"/>
      <c r="G2358" s="85" t="s">
        <v>19</v>
      </c>
      <c r="H2358" s="85"/>
      <c r="I2358" s="85"/>
      <c r="J2358" s="87"/>
      <c r="K2358" s="88">
        <f t="shared" si="112"/>
        <v>0</v>
      </c>
      <c r="L2358" s="85"/>
    </row>
    <row r="2359" spans="1:12" hidden="1" x14ac:dyDescent="0.2">
      <c r="A2359" s="84" t="str">
        <f t="shared" si="110"/>
        <v>SelecioneSelecioneSelecione</v>
      </c>
      <c r="B2359" s="85" t="s">
        <v>19</v>
      </c>
      <c r="C2359" s="85" t="s">
        <v>19</v>
      </c>
      <c r="D2359" s="86"/>
      <c r="E2359" s="116" t="str">
        <f t="shared" si="111"/>
        <v>-</v>
      </c>
      <c r="F2359" s="85"/>
      <c r="G2359" s="85" t="s">
        <v>19</v>
      </c>
      <c r="H2359" s="85"/>
      <c r="I2359" s="85"/>
      <c r="J2359" s="87"/>
      <c r="K2359" s="88">
        <f t="shared" si="112"/>
        <v>0</v>
      </c>
      <c r="L2359" s="85"/>
    </row>
    <row r="2360" spans="1:12" hidden="1" x14ac:dyDescent="0.2">
      <c r="A2360" s="84" t="str">
        <f t="shared" si="110"/>
        <v>SelecioneSelecioneSelecione</v>
      </c>
      <c r="B2360" s="85" t="s">
        <v>19</v>
      </c>
      <c r="C2360" s="85" t="s">
        <v>19</v>
      </c>
      <c r="D2360" s="86"/>
      <c r="E2360" s="116" t="str">
        <f t="shared" si="111"/>
        <v>-</v>
      </c>
      <c r="F2360" s="85"/>
      <c r="G2360" s="85" t="s">
        <v>19</v>
      </c>
      <c r="H2360" s="85"/>
      <c r="I2360" s="85"/>
      <c r="J2360" s="87"/>
      <c r="K2360" s="88">
        <f t="shared" si="112"/>
        <v>0</v>
      </c>
      <c r="L2360" s="85"/>
    </row>
    <row r="2361" spans="1:12" hidden="1" x14ac:dyDescent="0.2">
      <c r="A2361" s="84" t="str">
        <f t="shared" si="110"/>
        <v>SelecioneSelecioneSelecione</v>
      </c>
      <c r="B2361" s="85" t="s">
        <v>19</v>
      </c>
      <c r="C2361" s="85" t="s">
        <v>19</v>
      </c>
      <c r="D2361" s="93"/>
      <c r="E2361" s="116" t="str">
        <f t="shared" si="111"/>
        <v>-</v>
      </c>
      <c r="F2361" s="90"/>
      <c r="G2361" s="85" t="s">
        <v>19</v>
      </c>
      <c r="H2361" s="85"/>
      <c r="I2361" s="90"/>
      <c r="J2361" s="89"/>
      <c r="K2361" s="88">
        <f t="shared" si="112"/>
        <v>0</v>
      </c>
      <c r="L2361" s="90"/>
    </row>
    <row r="2362" spans="1:12" hidden="1" x14ac:dyDescent="0.2">
      <c r="A2362" s="84" t="str">
        <f t="shared" si="110"/>
        <v>SelecioneSelecioneSelecione</v>
      </c>
      <c r="B2362" s="85" t="s">
        <v>19</v>
      </c>
      <c r="C2362" s="85" t="s">
        <v>19</v>
      </c>
      <c r="D2362" s="93"/>
      <c r="E2362" s="116" t="str">
        <f t="shared" si="111"/>
        <v>-</v>
      </c>
      <c r="F2362" s="90"/>
      <c r="G2362" s="85" t="s">
        <v>19</v>
      </c>
      <c r="H2362" s="85"/>
      <c r="I2362" s="90"/>
      <c r="J2362" s="89"/>
      <c r="K2362" s="88">
        <f t="shared" si="112"/>
        <v>0</v>
      </c>
      <c r="L2362" s="90"/>
    </row>
    <row r="2363" spans="1:12" hidden="1" x14ac:dyDescent="0.2">
      <c r="A2363" s="84" t="str">
        <f t="shared" si="110"/>
        <v>SelecioneSelecioneSelecione</v>
      </c>
      <c r="B2363" s="85" t="s">
        <v>19</v>
      </c>
      <c r="C2363" s="85" t="s">
        <v>19</v>
      </c>
      <c r="D2363" s="86"/>
      <c r="E2363" s="116" t="str">
        <f t="shared" si="111"/>
        <v>-</v>
      </c>
      <c r="F2363" s="85"/>
      <c r="G2363" s="85" t="s">
        <v>19</v>
      </c>
      <c r="H2363" s="85"/>
      <c r="I2363" s="85"/>
      <c r="J2363" s="87"/>
      <c r="K2363" s="88">
        <f t="shared" si="112"/>
        <v>0</v>
      </c>
      <c r="L2363" s="85"/>
    </row>
    <row r="2364" spans="1:12" hidden="1" x14ac:dyDescent="0.2">
      <c r="A2364" s="84" t="str">
        <f t="shared" si="110"/>
        <v>SelecioneSelecioneSelecione</v>
      </c>
      <c r="B2364" s="85" t="s">
        <v>19</v>
      </c>
      <c r="C2364" s="85" t="s">
        <v>19</v>
      </c>
      <c r="D2364" s="93"/>
      <c r="E2364" s="116" t="str">
        <f t="shared" si="111"/>
        <v>-</v>
      </c>
      <c r="F2364" s="90"/>
      <c r="G2364" s="85" t="s">
        <v>19</v>
      </c>
      <c r="H2364" s="85"/>
      <c r="I2364" s="90"/>
      <c r="J2364" s="89"/>
      <c r="K2364" s="88">
        <f t="shared" si="112"/>
        <v>0</v>
      </c>
      <c r="L2364" s="90"/>
    </row>
    <row r="2365" spans="1:12" hidden="1" x14ac:dyDescent="0.2">
      <c r="A2365" s="84" t="str">
        <f t="shared" si="110"/>
        <v>SelecioneSelecioneSelecione</v>
      </c>
      <c r="B2365" s="85" t="s">
        <v>19</v>
      </c>
      <c r="C2365" s="85" t="s">
        <v>19</v>
      </c>
      <c r="D2365" s="86"/>
      <c r="E2365" s="116" t="str">
        <f t="shared" si="111"/>
        <v>-</v>
      </c>
      <c r="F2365" s="85"/>
      <c r="G2365" s="85" t="s">
        <v>19</v>
      </c>
      <c r="H2365" s="85"/>
      <c r="I2365" s="85"/>
      <c r="J2365" s="87"/>
      <c r="K2365" s="88">
        <f t="shared" si="112"/>
        <v>0</v>
      </c>
      <c r="L2365" s="85"/>
    </row>
    <row r="2366" spans="1:12" hidden="1" x14ac:dyDescent="0.2">
      <c r="A2366" s="84" t="str">
        <f t="shared" si="110"/>
        <v>SelecioneSelecioneSelecione</v>
      </c>
      <c r="B2366" s="85" t="s">
        <v>19</v>
      </c>
      <c r="C2366" s="85" t="s">
        <v>19</v>
      </c>
      <c r="D2366" s="86"/>
      <c r="E2366" s="116" t="str">
        <f t="shared" si="111"/>
        <v>-</v>
      </c>
      <c r="F2366" s="85"/>
      <c r="G2366" s="85" t="s">
        <v>19</v>
      </c>
      <c r="H2366" s="85"/>
      <c r="I2366" s="85"/>
      <c r="J2366" s="87"/>
      <c r="K2366" s="88">
        <f t="shared" si="112"/>
        <v>0</v>
      </c>
      <c r="L2366" s="85"/>
    </row>
    <row r="2367" spans="1:12" hidden="1" x14ac:dyDescent="0.2">
      <c r="A2367" s="84" t="str">
        <f t="shared" si="110"/>
        <v>SelecioneSelecioneSelecione</v>
      </c>
      <c r="B2367" s="85" t="s">
        <v>19</v>
      </c>
      <c r="C2367" s="85" t="s">
        <v>19</v>
      </c>
      <c r="D2367" s="86"/>
      <c r="E2367" s="116" t="str">
        <f t="shared" si="111"/>
        <v>-</v>
      </c>
      <c r="F2367" s="85"/>
      <c r="G2367" s="85" t="s">
        <v>19</v>
      </c>
      <c r="H2367" s="85"/>
      <c r="I2367" s="85"/>
      <c r="J2367" s="87"/>
      <c r="K2367" s="88">
        <f t="shared" si="112"/>
        <v>0</v>
      </c>
      <c r="L2367" s="85"/>
    </row>
    <row r="2368" spans="1:12" hidden="1" x14ac:dyDescent="0.2">
      <c r="A2368" s="84" t="str">
        <f t="shared" si="110"/>
        <v>SelecioneSelecioneSelecione</v>
      </c>
      <c r="B2368" s="85" t="s">
        <v>19</v>
      </c>
      <c r="C2368" s="85" t="s">
        <v>19</v>
      </c>
      <c r="D2368" s="86"/>
      <c r="E2368" s="116" t="str">
        <f t="shared" si="111"/>
        <v>-</v>
      </c>
      <c r="F2368" s="85"/>
      <c r="G2368" s="85" t="s">
        <v>19</v>
      </c>
      <c r="H2368" s="85"/>
      <c r="I2368" s="85"/>
      <c r="J2368" s="87"/>
      <c r="K2368" s="88">
        <f t="shared" si="112"/>
        <v>0</v>
      </c>
      <c r="L2368" s="85"/>
    </row>
    <row r="2369" spans="1:12" hidden="1" x14ac:dyDescent="0.2">
      <c r="A2369" s="84" t="str">
        <f t="shared" si="110"/>
        <v>SelecioneSelecioneSelecione</v>
      </c>
      <c r="B2369" s="85" t="s">
        <v>19</v>
      </c>
      <c r="C2369" s="85" t="s">
        <v>19</v>
      </c>
      <c r="D2369" s="86"/>
      <c r="E2369" s="116" t="str">
        <f t="shared" si="111"/>
        <v>-</v>
      </c>
      <c r="F2369" s="85"/>
      <c r="G2369" s="85" t="s">
        <v>19</v>
      </c>
      <c r="H2369" s="85"/>
      <c r="I2369" s="85"/>
      <c r="J2369" s="87"/>
      <c r="K2369" s="88">
        <f t="shared" si="112"/>
        <v>0</v>
      </c>
      <c r="L2369" s="85"/>
    </row>
    <row r="2370" spans="1:12" hidden="1" x14ac:dyDescent="0.2">
      <c r="A2370" s="84" t="str">
        <f t="shared" ref="A2370:A2433" si="113">CONCATENATE(B2370,C2370,G2370)</f>
        <v>SelecioneSelecioneSelecione</v>
      </c>
      <c r="B2370" s="85" t="s">
        <v>19</v>
      </c>
      <c r="C2370" s="85" t="s">
        <v>19</v>
      </c>
      <c r="D2370" s="86"/>
      <c r="E2370" s="116" t="str">
        <f t="shared" ref="E2370:E2433" si="114">VLOOKUP(G2370,$M$1:$O$993,3,0)</f>
        <v>-</v>
      </c>
      <c r="F2370" s="85"/>
      <c r="G2370" s="85" t="s">
        <v>19</v>
      </c>
      <c r="H2370" s="85"/>
      <c r="I2370" s="85"/>
      <c r="J2370" s="87"/>
      <c r="K2370" s="88">
        <f t="shared" ref="K2370:K2433" si="115">I2370*J2370</f>
        <v>0</v>
      </c>
      <c r="L2370" s="85"/>
    </row>
    <row r="2371" spans="1:12" hidden="1" x14ac:dyDescent="0.2">
      <c r="A2371" s="84" t="str">
        <f t="shared" si="113"/>
        <v>SelecioneSelecioneSelecione</v>
      </c>
      <c r="B2371" s="85" t="s">
        <v>19</v>
      </c>
      <c r="C2371" s="85" t="s">
        <v>19</v>
      </c>
      <c r="D2371" s="86"/>
      <c r="E2371" s="116" t="str">
        <f t="shared" si="114"/>
        <v>-</v>
      </c>
      <c r="F2371" s="85"/>
      <c r="G2371" s="85" t="s">
        <v>19</v>
      </c>
      <c r="H2371" s="85"/>
      <c r="I2371" s="85"/>
      <c r="J2371" s="87"/>
      <c r="K2371" s="88">
        <f t="shared" si="115"/>
        <v>0</v>
      </c>
      <c r="L2371" s="85"/>
    </row>
    <row r="2372" spans="1:12" hidden="1" x14ac:dyDescent="0.2">
      <c r="A2372" s="84" t="str">
        <f t="shared" si="113"/>
        <v>SelecioneSelecioneSelecione</v>
      </c>
      <c r="B2372" s="85" t="s">
        <v>19</v>
      </c>
      <c r="C2372" s="85" t="s">
        <v>19</v>
      </c>
      <c r="D2372" s="86"/>
      <c r="E2372" s="116" t="str">
        <f t="shared" si="114"/>
        <v>-</v>
      </c>
      <c r="F2372" s="85"/>
      <c r="G2372" s="85" t="s">
        <v>19</v>
      </c>
      <c r="H2372" s="85"/>
      <c r="I2372" s="85"/>
      <c r="J2372" s="87"/>
      <c r="K2372" s="88">
        <f t="shared" si="115"/>
        <v>0</v>
      </c>
      <c r="L2372" s="85"/>
    </row>
    <row r="2373" spans="1:12" hidden="1" x14ac:dyDescent="0.2">
      <c r="A2373" s="84" t="str">
        <f t="shared" si="113"/>
        <v>SelecioneSelecioneSelecione</v>
      </c>
      <c r="B2373" s="85" t="s">
        <v>19</v>
      </c>
      <c r="C2373" s="85" t="s">
        <v>19</v>
      </c>
      <c r="D2373" s="86"/>
      <c r="E2373" s="116" t="str">
        <f t="shared" si="114"/>
        <v>-</v>
      </c>
      <c r="F2373" s="85"/>
      <c r="G2373" s="85" t="s">
        <v>19</v>
      </c>
      <c r="H2373" s="85"/>
      <c r="I2373" s="85"/>
      <c r="J2373" s="87"/>
      <c r="K2373" s="88">
        <f t="shared" si="115"/>
        <v>0</v>
      </c>
      <c r="L2373" s="85"/>
    </row>
    <row r="2374" spans="1:12" hidden="1" x14ac:dyDescent="0.2">
      <c r="A2374" s="84" t="str">
        <f t="shared" si="113"/>
        <v>SelecioneSelecioneSelecione</v>
      </c>
      <c r="B2374" s="85" t="s">
        <v>19</v>
      </c>
      <c r="C2374" s="85" t="s">
        <v>19</v>
      </c>
      <c r="D2374" s="86"/>
      <c r="E2374" s="116" t="str">
        <f t="shared" si="114"/>
        <v>-</v>
      </c>
      <c r="F2374" s="85"/>
      <c r="G2374" s="85" t="s">
        <v>19</v>
      </c>
      <c r="H2374" s="85"/>
      <c r="I2374" s="85"/>
      <c r="J2374" s="87"/>
      <c r="K2374" s="88">
        <f t="shared" si="115"/>
        <v>0</v>
      </c>
      <c r="L2374" s="85"/>
    </row>
    <row r="2375" spans="1:12" hidden="1" x14ac:dyDescent="0.2">
      <c r="A2375" s="84" t="str">
        <f t="shared" si="113"/>
        <v>SelecioneSelecioneSelecione</v>
      </c>
      <c r="B2375" s="85" t="s">
        <v>19</v>
      </c>
      <c r="C2375" s="85" t="s">
        <v>19</v>
      </c>
      <c r="D2375" s="86"/>
      <c r="E2375" s="116" t="str">
        <f t="shared" si="114"/>
        <v>-</v>
      </c>
      <c r="F2375" s="85"/>
      <c r="G2375" s="85" t="s">
        <v>19</v>
      </c>
      <c r="H2375" s="85"/>
      <c r="I2375" s="85"/>
      <c r="J2375" s="87"/>
      <c r="K2375" s="88">
        <f t="shared" si="115"/>
        <v>0</v>
      </c>
      <c r="L2375" s="85"/>
    </row>
    <row r="2376" spans="1:12" hidden="1" x14ac:dyDescent="0.2">
      <c r="A2376" s="84" t="str">
        <f t="shared" si="113"/>
        <v>SelecioneSelecioneSelecione</v>
      </c>
      <c r="B2376" s="85" t="s">
        <v>19</v>
      </c>
      <c r="C2376" s="85" t="s">
        <v>19</v>
      </c>
      <c r="D2376" s="86"/>
      <c r="E2376" s="116" t="str">
        <f t="shared" si="114"/>
        <v>-</v>
      </c>
      <c r="F2376" s="85"/>
      <c r="G2376" s="85" t="s">
        <v>19</v>
      </c>
      <c r="H2376" s="85"/>
      <c r="I2376" s="85"/>
      <c r="J2376" s="87"/>
      <c r="K2376" s="88">
        <f t="shared" si="115"/>
        <v>0</v>
      </c>
      <c r="L2376" s="85"/>
    </row>
    <row r="2377" spans="1:12" hidden="1" x14ac:dyDescent="0.2">
      <c r="A2377" s="84" t="str">
        <f t="shared" si="113"/>
        <v>SelecioneSelecioneSelecione</v>
      </c>
      <c r="B2377" s="85" t="s">
        <v>19</v>
      </c>
      <c r="C2377" s="85" t="s">
        <v>19</v>
      </c>
      <c r="D2377" s="86"/>
      <c r="E2377" s="116" t="str">
        <f t="shared" si="114"/>
        <v>-</v>
      </c>
      <c r="F2377" s="85"/>
      <c r="G2377" s="85" t="s">
        <v>19</v>
      </c>
      <c r="H2377" s="85"/>
      <c r="I2377" s="85"/>
      <c r="J2377" s="87"/>
      <c r="K2377" s="88">
        <f t="shared" si="115"/>
        <v>0</v>
      </c>
      <c r="L2377" s="85"/>
    </row>
    <row r="2378" spans="1:12" hidden="1" x14ac:dyDescent="0.2">
      <c r="A2378" s="84" t="str">
        <f t="shared" si="113"/>
        <v>SelecioneSelecioneSelecione</v>
      </c>
      <c r="B2378" s="85" t="s">
        <v>19</v>
      </c>
      <c r="C2378" s="85" t="s">
        <v>19</v>
      </c>
      <c r="D2378" s="86"/>
      <c r="E2378" s="116" t="str">
        <f t="shared" si="114"/>
        <v>-</v>
      </c>
      <c r="F2378" s="85"/>
      <c r="G2378" s="85" t="s">
        <v>19</v>
      </c>
      <c r="H2378" s="85"/>
      <c r="I2378" s="85"/>
      <c r="J2378" s="87"/>
      <c r="K2378" s="88">
        <f t="shared" si="115"/>
        <v>0</v>
      </c>
      <c r="L2378" s="85"/>
    </row>
    <row r="2379" spans="1:12" hidden="1" x14ac:dyDescent="0.2">
      <c r="A2379" s="84" t="str">
        <f t="shared" si="113"/>
        <v>SelecioneSelecioneSelecione</v>
      </c>
      <c r="B2379" s="85" t="s">
        <v>19</v>
      </c>
      <c r="C2379" s="85" t="s">
        <v>19</v>
      </c>
      <c r="D2379" s="86"/>
      <c r="E2379" s="116" t="str">
        <f t="shared" si="114"/>
        <v>-</v>
      </c>
      <c r="F2379" s="85"/>
      <c r="G2379" s="85" t="s">
        <v>19</v>
      </c>
      <c r="H2379" s="85"/>
      <c r="I2379" s="85"/>
      <c r="J2379" s="87"/>
      <c r="K2379" s="88">
        <f t="shared" si="115"/>
        <v>0</v>
      </c>
      <c r="L2379" s="85"/>
    </row>
    <row r="2380" spans="1:12" hidden="1" x14ac:dyDescent="0.2">
      <c r="A2380" s="84" t="str">
        <f t="shared" si="113"/>
        <v>SelecioneSelecioneSelecione</v>
      </c>
      <c r="B2380" s="85" t="s">
        <v>19</v>
      </c>
      <c r="C2380" s="85" t="s">
        <v>19</v>
      </c>
      <c r="D2380" s="86"/>
      <c r="E2380" s="116" t="str">
        <f t="shared" si="114"/>
        <v>-</v>
      </c>
      <c r="F2380" s="85"/>
      <c r="G2380" s="85" t="s">
        <v>19</v>
      </c>
      <c r="H2380" s="85"/>
      <c r="I2380" s="85"/>
      <c r="J2380" s="87"/>
      <c r="K2380" s="88">
        <f t="shared" si="115"/>
        <v>0</v>
      </c>
      <c r="L2380" s="85"/>
    </row>
    <row r="2381" spans="1:12" hidden="1" x14ac:dyDescent="0.2">
      <c r="A2381" s="84" t="str">
        <f t="shared" si="113"/>
        <v>SelecioneSelecioneSelecione</v>
      </c>
      <c r="B2381" s="85" t="s">
        <v>19</v>
      </c>
      <c r="C2381" s="85" t="s">
        <v>19</v>
      </c>
      <c r="D2381" s="86"/>
      <c r="E2381" s="116" t="str">
        <f t="shared" si="114"/>
        <v>-</v>
      </c>
      <c r="F2381" s="85"/>
      <c r="G2381" s="85" t="s">
        <v>19</v>
      </c>
      <c r="H2381" s="85"/>
      <c r="I2381" s="85"/>
      <c r="J2381" s="87"/>
      <c r="K2381" s="88">
        <f t="shared" si="115"/>
        <v>0</v>
      </c>
      <c r="L2381" s="85"/>
    </row>
    <row r="2382" spans="1:12" hidden="1" x14ac:dyDescent="0.2">
      <c r="A2382" s="84" t="str">
        <f t="shared" si="113"/>
        <v>SelecioneSelecioneSelecione</v>
      </c>
      <c r="B2382" s="85" t="s">
        <v>19</v>
      </c>
      <c r="C2382" s="85" t="s">
        <v>19</v>
      </c>
      <c r="D2382" s="86"/>
      <c r="E2382" s="116" t="str">
        <f t="shared" si="114"/>
        <v>-</v>
      </c>
      <c r="F2382" s="85"/>
      <c r="G2382" s="85" t="s">
        <v>19</v>
      </c>
      <c r="H2382" s="85"/>
      <c r="I2382" s="85"/>
      <c r="J2382" s="87"/>
      <c r="K2382" s="88">
        <f t="shared" si="115"/>
        <v>0</v>
      </c>
      <c r="L2382" s="85"/>
    </row>
    <row r="2383" spans="1:12" hidden="1" x14ac:dyDescent="0.2">
      <c r="A2383" s="84" t="str">
        <f t="shared" si="113"/>
        <v>SelecioneSelecioneSelecione</v>
      </c>
      <c r="B2383" s="85" t="s">
        <v>19</v>
      </c>
      <c r="C2383" s="85" t="s">
        <v>19</v>
      </c>
      <c r="D2383" s="86"/>
      <c r="E2383" s="116" t="str">
        <f t="shared" si="114"/>
        <v>-</v>
      </c>
      <c r="F2383" s="85"/>
      <c r="G2383" s="85" t="s">
        <v>19</v>
      </c>
      <c r="H2383" s="85"/>
      <c r="I2383" s="85"/>
      <c r="J2383" s="87"/>
      <c r="K2383" s="88">
        <f t="shared" si="115"/>
        <v>0</v>
      </c>
      <c r="L2383" s="85"/>
    </row>
    <row r="2384" spans="1:12" hidden="1" x14ac:dyDescent="0.2">
      <c r="A2384" s="84" t="str">
        <f t="shared" si="113"/>
        <v>SelecioneSelecioneSelecione</v>
      </c>
      <c r="B2384" s="85" t="s">
        <v>19</v>
      </c>
      <c r="C2384" s="85" t="s">
        <v>19</v>
      </c>
      <c r="D2384" s="86"/>
      <c r="E2384" s="116" t="str">
        <f t="shared" si="114"/>
        <v>-</v>
      </c>
      <c r="F2384" s="90"/>
      <c r="G2384" s="85" t="s">
        <v>19</v>
      </c>
      <c r="H2384" s="85"/>
      <c r="I2384" s="85"/>
      <c r="J2384" s="87"/>
      <c r="K2384" s="88">
        <f t="shared" si="115"/>
        <v>0</v>
      </c>
      <c r="L2384" s="85"/>
    </row>
    <row r="2385" spans="1:12" hidden="1" x14ac:dyDescent="0.2">
      <c r="A2385" s="84" t="str">
        <f t="shared" si="113"/>
        <v>SelecioneSelecioneSelecione</v>
      </c>
      <c r="B2385" s="85" t="s">
        <v>19</v>
      </c>
      <c r="C2385" s="85" t="s">
        <v>19</v>
      </c>
      <c r="D2385" s="86"/>
      <c r="E2385" s="116" t="str">
        <f t="shared" si="114"/>
        <v>-</v>
      </c>
      <c r="F2385" s="85"/>
      <c r="G2385" s="85" t="s">
        <v>19</v>
      </c>
      <c r="H2385" s="85"/>
      <c r="I2385" s="85"/>
      <c r="J2385" s="87"/>
      <c r="K2385" s="88">
        <f t="shared" si="115"/>
        <v>0</v>
      </c>
      <c r="L2385" s="85"/>
    </row>
    <row r="2386" spans="1:12" hidden="1" x14ac:dyDescent="0.2">
      <c r="A2386" s="84" t="str">
        <f t="shared" si="113"/>
        <v>SelecioneSelecioneSelecione</v>
      </c>
      <c r="B2386" s="85" t="s">
        <v>19</v>
      </c>
      <c r="C2386" s="85" t="s">
        <v>19</v>
      </c>
      <c r="D2386" s="86"/>
      <c r="E2386" s="116" t="str">
        <f t="shared" si="114"/>
        <v>-</v>
      </c>
      <c r="F2386" s="85"/>
      <c r="G2386" s="85" t="s">
        <v>19</v>
      </c>
      <c r="H2386" s="85"/>
      <c r="I2386" s="85"/>
      <c r="J2386" s="87"/>
      <c r="K2386" s="88">
        <f t="shared" si="115"/>
        <v>0</v>
      </c>
      <c r="L2386" s="85"/>
    </row>
    <row r="2387" spans="1:12" hidden="1" x14ac:dyDescent="0.2">
      <c r="A2387" s="84" t="str">
        <f t="shared" si="113"/>
        <v>SelecioneSelecioneSelecione</v>
      </c>
      <c r="B2387" s="85" t="s">
        <v>19</v>
      </c>
      <c r="C2387" s="85" t="s">
        <v>19</v>
      </c>
      <c r="D2387" s="86"/>
      <c r="E2387" s="116" t="str">
        <f t="shared" si="114"/>
        <v>-</v>
      </c>
      <c r="F2387" s="85"/>
      <c r="G2387" s="85" t="s">
        <v>19</v>
      </c>
      <c r="H2387" s="85"/>
      <c r="I2387" s="85"/>
      <c r="J2387" s="87"/>
      <c r="K2387" s="88">
        <f t="shared" si="115"/>
        <v>0</v>
      </c>
      <c r="L2387" s="85"/>
    </row>
    <row r="2388" spans="1:12" hidden="1" x14ac:dyDescent="0.2">
      <c r="A2388" s="84" t="str">
        <f t="shared" si="113"/>
        <v>SelecioneSelecioneSelecione</v>
      </c>
      <c r="B2388" s="85" t="s">
        <v>19</v>
      </c>
      <c r="C2388" s="85" t="s">
        <v>19</v>
      </c>
      <c r="D2388" s="86"/>
      <c r="E2388" s="116" t="str">
        <f t="shared" si="114"/>
        <v>-</v>
      </c>
      <c r="F2388" s="85"/>
      <c r="G2388" s="85" t="s">
        <v>19</v>
      </c>
      <c r="H2388" s="85"/>
      <c r="I2388" s="85"/>
      <c r="J2388" s="87"/>
      <c r="K2388" s="88">
        <f t="shared" si="115"/>
        <v>0</v>
      </c>
      <c r="L2388" s="85"/>
    </row>
    <row r="2389" spans="1:12" hidden="1" x14ac:dyDescent="0.2">
      <c r="A2389" s="84" t="str">
        <f t="shared" si="113"/>
        <v>SelecioneSelecioneSelecione</v>
      </c>
      <c r="B2389" s="85" t="s">
        <v>19</v>
      </c>
      <c r="C2389" s="85" t="s">
        <v>19</v>
      </c>
      <c r="D2389" s="86"/>
      <c r="E2389" s="116" t="str">
        <f t="shared" si="114"/>
        <v>-</v>
      </c>
      <c r="F2389" s="85"/>
      <c r="G2389" s="85" t="s">
        <v>19</v>
      </c>
      <c r="H2389" s="85"/>
      <c r="I2389" s="85"/>
      <c r="J2389" s="87"/>
      <c r="K2389" s="88">
        <f t="shared" si="115"/>
        <v>0</v>
      </c>
      <c r="L2389" s="85"/>
    </row>
    <row r="2390" spans="1:12" hidden="1" x14ac:dyDescent="0.2">
      <c r="A2390" s="84" t="str">
        <f t="shared" si="113"/>
        <v>SelecioneSelecioneSelecione</v>
      </c>
      <c r="B2390" s="85" t="s">
        <v>19</v>
      </c>
      <c r="C2390" s="85" t="s">
        <v>19</v>
      </c>
      <c r="D2390" s="86"/>
      <c r="E2390" s="116" t="str">
        <f t="shared" si="114"/>
        <v>-</v>
      </c>
      <c r="F2390" s="85"/>
      <c r="G2390" s="85" t="s">
        <v>19</v>
      </c>
      <c r="H2390" s="85"/>
      <c r="I2390" s="85"/>
      <c r="J2390" s="87"/>
      <c r="K2390" s="88">
        <f t="shared" si="115"/>
        <v>0</v>
      </c>
      <c r="L2390" s="85"/>
    </row>
    <row r="2391" spans="1:12" hidden="1" x14ac:dyDescent="0.2">
      <c r="A2391" s="84" t="str">
        <f t="shared" si="113"/>
        <v>SelecioneSelecioneSelecione</v>
      </c>
      <c r="B2391" s="85" t="s">
        <v>19</v>
      </c>
      <c r="C2391" s="85" t="s">
        <v>19</v>
      </c>
      <c r="D2391" s="86"/>
      <c r="E2391" s="116" t="str">
        <f t="shared" si="114"/>
        <v>-</v>
      </c>
      <c r="F2391" s="85"/>
      <c r="G2391" s="85" t="s">
        <v>19</v>
      </c>
      <c r="H2391" s="85"/>
      <c r="I2391" s="85"/>
      <c r="J2391" s="87"/>
      <c r="K2391" s="88">
        <f t="shared" si="115"/>
        <v>0</v>
      </c>
      <c r="L2391" s="85"/>
    </row>
    <row r="2392" spans="1:12" hidden="1" x14ac:dyDescent="0.2">
      <c r="A2392" s="84" t="str">
        <f t="shared" si="113"/>
        <v>SelecioneSelecioneSelecione</v>
      </c>
      <c r="B2392" s="85" t="s">
        <v>19</v>
      </c>
      <c r="C2392" s="85" t="s">
        <v>19</v>
      </c>
      <c r="D2392" s="86"/>
      <c r="E2392" s="116" t="str">
        <f t="shared" si="114"/>
        <v>-</v>
      </c>
      <c r="F2392" s="85"/>
      <c r="G2392" s="85" t="s">
        <v>19</v>
      </c>
      <c r="H2392" s="85"/>
      <c r="I2392" s="85"/>
      <c r="J2392" s="87"/>
      <c r="K2392" s="88">
        <f t="shared" si="115"/>
        <v>0</v>
      </c>
      <c r="L2392" s="85"/>
    </row>
    <row r="2393" spans="1:12" hidden="1" x14ac:dyDescent="0.2">
      <c r="A2393" s="84" t="str">
        <f t="shared" si="113"/>
        <v>SelecioneSelecioneSelecione</v>
      </c>
      <c r="B2393" s="85" t="s">
        <v>19</v>
      </c>
      <c r="C2393" s="85" t="s">
        <v>19</v>
      </c>
      <c r="D2393" s="86"/>
      <c r="E2393" s="116" t="str">
        <f t="shared" si="114"/>
        <v>-</v>
      </c>
      <c r="F2393" s="85"/>
      <c r="G2393" s="85" t="s">
        <v>19</v>
      </c>
      <c r="H2393" s="85"/>
      <c r="I2393" s="85"/>
      <c r="J2393" s="87"/>
      <c r="K2393" s="88">
        <f t="shared" si="115"/>
        <v>0</v>
      </c>
      <c r="L2393" s="85"/>
    </row>
    <row r="2394" spans="1:12" hidden="1" x14ac:dyDescent="0.2">
      <c r="A2394" s="84" t="str">
        <f t="shared" si="113"/>
        <v>SelecioneSelecioneSelecione</v>
      </c>
      <c r="B2394" s="85" t="s">
        <v>19</v>
      </c>
      <c r="C2394" s="85" t="s">
        <v>19</v>
      </c>
      <c r="D2394" s="86"/>
      <c r="E2394" s="116" t="str">
        <f t="shared" si="114"/>
        <v>-</v>
      </c>
      <c r="F2394" s="85"/>
      <c r="G2394" s="85" t="s">
        <v>19</v>
      </c>
      <c r="H2394" s="85"/>
      <c r="I2394" s="85"/>
      <c r="J2394" s="87"/>
      <c r="K2394" s="88">
        <f t="shared" si="115"/>
        <v>0</v>
      </c>
      <c r="L2394" s="85"/>
    </row>
    <row r="2395" spans="1:12" hidden="1" x14ac:dyDescent="0.2">
      <c r="A2395" s="84" t="str">
        <f t="shared" si="113"/>
        <v>SelecioneSelecioneSelecione</v>
      </c>
      <c r="B2395" s="85" t="s">
        <v>19</v>
      </c>
      <c r="C2395" s="85" t="s">
        <v>19</v>
      </c>
      <c r="D2395" s="86"/>
      <c r="E2395" s="116" t="str">
        <f t="shared" si="114"/>
        <v>-</v>
      </c>
      <c r="F2395" s="85"/>
      <c r="G2395" s="85" t="s">
        <v>19</v>
      </c>
      <c r="H2395" s="85"/>
      <c r="I2395" s="85"/>
      <c r="J2395" s="87"/>
      <c r="K2395" s="88">
        <f t="shared" si="115"/>
        <v>0</v>
      </c>
      <c r="L2395" s="85"/>
    </row>
    <row r="2396" spans="1:12" hidden="1" x14ac:dyDescent="0.2">
      <c r="A2396" s="84" t="str">
        <f t="shared" si="113"/>
        <v>SelecioneSelecioneSelecione</v>
      </c>
      <c r="B2396" s="85" t="s">
        <v>19</v>
      </c>
      <c r="C2396" s="85" t="s">
        <v>19</v>
      </c>
      <c r="D2396" s="86"/>
      <c r="E2396" s="116" t="str">
        <f t="shared" si="114"/>
        <v>-</v>
      </c>
      <c r="F2396" s="85"/>
      <c r="G2396" s="85" t="s">
        <v>19</v>
      </c>
      <c r="H2396" s="85"/>
      <c r="I2396" s="85"/>
      <c r="J2396" s="87"/>
      <c r="K2396" s="88">
        <f t="shared" si="115"/>
        <v>0</v>
      </c>
      <c r="L2396" s="85"/>
    </row>
    <row r="2397" spans="1:12" hidden="1" x14ac:dyDescent="0.2">
      <c r="A2397" s="84" t="str">
        <f t="shared" si="113"/>
        <v>SelecioneSelecioneSelecione</v>
      </c>
      <c r="B2397" s="85" t="s">
        <v>19</v>
      </c>
      <c r="C2397" s="85" t="s">
        <v>19</v>
      </c>
      <c r="D2397" s="86"/>
      <c r="E2397" s="116" t="str">
        <f t="shared" si="114"/>
        <v>-</v>
      </c>
      <c r="F2397" s="85"/>
      <c r="G2397" s="85" t="s">
        <v>19</v>
      </c>
      <c r="H2397" s="85"/>
      <c r="I2397" s="85"/>
      <c r="J2397" s="87"/>
      <c r="K2397" s="88">
        <f t="shared" si="115"/>
        <v>0</v>
      </c>
      <c r="L2397" s="85"/>
    </row>
    <row r="2398" spans="1:12" hidden="1" x14ac:dyDescent="0.2">
      <c r="A2398" s="84" t="str">
        <f t="shared" si="113"/>
        <v>SelecioneSelecioneSelecione</v>
      </c>
      <c r="B2398" s="85" t="s">
        <v>19</v>
      </c>
      <c r="C2398" s="85" t="s">
        <v>19</v>
      </c>
      <c r="D2398" s="86"/>
      <c r="E2398" s="116" t="str">
        <f t="shared" si="114"/>
        <v>-</v>
      </c>
      <c r="F2398" s="85"/>
      <c r="G2398" s="85" t="s">
        <v>19</v>
      </c>
      <c r="H2398" s="85"/>
      <c r="I2398" s="85"/>
      <c r="J2398" s="87"/>
      <c r="K2398" s="88">
        <f t="shared" si="115"/>
        <v>0</v>
      </c>
      <c r="L2398" s="85"/>
    </row>
    <row r="2399" spans="1:12" hidden="1" x14ac:dyDescent="0.2">
      <c r="A2399" s="84" t="str">
        <f t="shared" si="113"/>
        <v>SelecioneSelecioneSelecione</v>
      </c>
      <c r="B2399" s="85" t="s">
        <v>19</v>
      </c>
      <c r="C2399" s="85" t="s">
        <v>19</v>
      </c>
      <c r="D2399" s="86"/>
      <c r="E2399" s="116" t="str">
        <f t="shared" si="114"/>
        <v>-</v>
      </c>
      <c r="F2399" s="85"/>
      <c r="G2399" s="85" t="s">
        <v>19</v>
      </c>
      <c r="H2399" s="85"/>
      <c r="I2399" s="85"/>
      <c r="J2399" s="87"/>
      <c r="K2399" s="88">
        <f t="shared" si="115"/>
        <v>0</v>
      </c>
      <c r="L2399" s="85"/>
    </row>
    <row r="2400" spans="1:12" hidden="1" x14ac:dyDescent="0.2">
      <c r="A2400" s="84" t="str">
        <f t="shared" si="113"/>
        <v>SelecioneSelecioneSelecione</v>
      </c>
      <c r="B2400" s="85" t="s">
        <v>19</v>
      </c>
      <c r="C2400" s="85" t="s">
        <v>19</v>
      </c>
      <c r="D2400" s="86"/>
      <c r="E2400" s="116" t="str">
        <f t="shared" si="114"/>
        <v>-</v>
      </c>
      <c r="F2400" s="85"/>
      <c r="G2400" s="85" t="s">
        <v>19</v>
      </c>
      <c r="H2400" s="85"/>
      <c r="I2400" s="85"/>
      <c r="J2400" s="87"/>
      <c r="K2400" s="88">
        <f t="shared" si="115"/>
        <v>0</v>
      </c>
      <c r="L2400" s="85"/>
    </row>
    <row r="2401" spans="1:12" hidden="1" x14ac:dyDescent="0.2">
      <c r="A2401" s="84" t="str">
        <f t="shared" si="113"/>
        <v>SelecioneSelecioneSelecione</v>
      </c>
      <c r="B2401" s="85" t="s">
        <v>19</v>
      </c>
      <c r="C2401" s="85" t="s">
        <v>19</v>
      </c>
      <c r="D2401" s="86"/>
      <c r="E2401" s="116" t="str">
        <f t="shared" si="114"/>
        <v>-</v>
      </c>
      <c r="F2401" s="85"/>
      <c r="G2401" s="85" t="s">
        <v>19</v>
      </c>
      <c r="H2401" s="85"/>
      <c r="I2401" s="85"/>
      <c r="J2401" s="87"/>
      <c r="K2401" s="88">
        <f t="shared" si="115"/>
        <v>0</v>
      </c>
      <c r="L2401" s="85"/>
    </row>
    <row r="2402" spans="1:12" hidden="1" x14ac:dyDescent="0.2">
      <c r="A2402" s="84" t="str">
        <f t="shared" si="113"/>
        <v>SelecioneSelecioneSelecione</v>
      </c>
      <c r="B2402" s="85" t="s">
        <v>19</v>
      </c>
      <c r="C2402" s="85" t="s">
        <v>19</v>
      </c>
      <c r="D2402" s="86"/>
      <c r="E2402" s="116" t="str">
        <f t="shared" si="114"/>
        <v>-</v>
      </c>
      <c r="F2402" s="85"/>
      <c r="G2402" s="85" t="s">
        <v>19</v>
      </c>
      <c r="H2402" s="85"/>
      <c r="I2402" s="85"/>
      <c r="J2402" s="87"/>
      <c r="K2402" s="88">
        <f t="shared" si="115"/>
        <v>0</v>
      </c>
      <c r="L2402" s="85"/>
    </row>
    <row r="2403" spans="1:12" hidden="1" x14ac:dyDescent="0.2">
      <c r="A2403" s="84" t="str">
        <f t="shared" si="113"/>
        <v>SelecioneSelecioneSelecione</v>
      </c>
      <c r="B2403" s="85" t="s">
        <v>19</v>
      </c>
      <c r="C2403" s="85" t="s">
        <v>19</v>
      </c>
      <c r="D2403" s="86"/>
      <c r="E2403" s="116" t="str">
        <f t="shared" si="114"/>
        <v>-</v>
      </c>
      <c r="F2403" s="85"/>
      <c r="G2403" s="85" t="s">
        <v>19</v>
      </c>
      <c r="H2403" s="85"/>
      <c r="I2403" s="85"/>
      <c r="J2403" s="87"/>
      <c r="K2403" s="88">
        <f t="shared" si="115"/>
        <v>0</v>
      </c>
      <c r="L2403" s="85"/>
    </row>
    <row r="2404" spans="1:12" hidden="1" x14ac:dyDescent="0.2">
      <c r="A2404" s="84" t="str">
        <f t="shared" si="113"/>
        <v>SelecioneSelecioneSelecione</v>
      </c>
      <c r="B2404" s="85" t="s">
        <v>19</v>
      </c>
      <c r="C2404" s="85" t="s">
        <v>19</v>
      </c>
      <c r="D2404" s="86"/>
      <c r="E2404" s="116" t="str">
        <f t="shared" si="114"/>
        <v>-</v>
      </c>
      <c r="F2404" s="85"/>
      <c r="G2404" s="85" t="s">
        <v>19</v>
      </c>
      <c r="H2404" s="85"/>
      <c r="I2404" s="85"/>
      <c r="J2404" s="87"/>
      <c r="K2404" s="88">
        <f t="shared" si="115"/>
        <v>0</v>
      </c>
      <c r="L2404" s="85"/>
    </row>
    <row r="2405" spans="1:12" hidden="1" x14ac:dyDescent="0.2">
      <c r="A2405" s="84" t="str">
        <f t="shared" si="113"/>
        <v>SelecioneSelecioneSelecione</v>
      </c>
      <c r="B2405" s="85" t="s">
        <v>19</v>
      </c>
      <c r="C2405" s="85" t="s">
        <v>19</v>
      </c>
      <c r="D2405" s="86"/>
      <c r="E2405" s="116" t="str">
        <f t="shared" si="114"/>
        <v>-</v>
      </c>
      <c r="F2405" s="85"/>
      <c r="G2405" s="85" t="s">
        <v>19</v>
      </c>
      <c r="H2405" s="85"/>
      <c r="I2405" s="85"/>
      <c r="J2405" s="87"/>
      <c r="K2405" s="88">
        <f t="shared" si="115"/>
        <v>0</v>
      </c>
      <c r="L2405" s="85"/>
    </row>
    <row r="2406" spans="1:12" hidden="1" x14ac:dyDescent="0.2">
      <c r="A2406" s="84" t="str">
        <f t="shared" si="113"/>
        <v>SelecioneSelecioneSelecione</v>
      </c>
      <c r="B2406" s="85" t="s">
        <v>19</v>
      </c>
      <c r="C2406" s="85" t="s">
        <v>19</v>
      </c>
      <c r="D2406" s="86"/>
      <c r="E2406" s="116" t="str">
        <f t="shared" si="114"/>
        <v>-</v>
      </c>
      <c r="F2406" s="85"/>
      <c r="G2406" s="85" t="s">
        <v>19</v>
      </c>
      <c r="H2406" s="85"/>
      <c r="I2406" s="85"/>
      <c r="J2406" s="87"/>
      <c r="K2406" s="88">
        <f t="shared" si="115"/>
        <v>0</v>
      </c>
      <c r="L2406" s="85"/>
    </row>
    <row r="2407" spans="1:12" hidden="1" x14ac:dyDescent="0.2">
      <c r="A2407" s="84" t="str">
        <f t="shared" si="113"/>
        <v>SelecioneSelecioneSelecione</v>
      </c>
      <c r="B2407" s="85" t="s">
        <v>19</v>
      </c>
      <c r="C2407" s="85" t="s">
        <v>19</v>
      </c>
      <c r="D2407" s="86"/>
      <c r="E2407" s="116" t="str">
        <f t="shared" si="114"/>
        <v>-</v>
      </c>
      <c r="F2407" s="85"/>
      <c r="G2407" s="85" t="s">
        <v>19</v>
      </c>
      <c r="H2407" s="85"/>
      <c r="I2407" s="85"/>
      <c r="J2407" s="87"/>
      <c r="K2407" s="88">
        <f t="shared" si="115"/>
        <v>0</v>
      </c>
      <c r="L2407" s="85"/>
    </row>
    <row r="2408" spans="1:12" hidden="1" x14ac:dyDescent="0.2">
      <c r="A2408" s="84" t="str">
        <f t="shared" si="113"/>
        <v>SelecioneSelecioneSelecione</v>
      </c>
      <c r="B2408" s="85" t="s">
        <v>19</v>
      </c>
      <c r="C2408" s="85" t="s">
        <v>19</v>
      </c>
      <c r="D2408" s="93"/>
      <c r="E2408" s="116" t="str">
        <f t="shared" si="114"/>
        <v>-</v>
      </c>
      <c r="F2408" s="90"/>
      <c r="G2408" s="85" t="s">
        <v>19</v>
      </c>
      <c r="H2408" s="85"/>
      <c r="I2408" s="90"/>
      <c r="J2408" s="89"/>
      <c r="K2408" s="88">
        <f t="shared" si="115"/>
        <v>0</v>
      </c>
      <c r="L2408" s="90"/>
    </row>
    <row r="2409" spans="1:12" hidden="1" x14ac:dyDescent="0.2">
      <c r="A2409" s="84" t="str">
        <f t="shared" si="113"/>
        <v>SelecioneSelecioneSelecione</v>
      </c>
      <c r="B2409" s="85" t="s">
        <v>19</v>
      </c>
      <c r="C2409" s="85" t="s">
        <v>19</v>
      </c>
      <c r="D2409" s="86"/>
      <c r="E2409" s="116" t="str">
        <f t="shared" si="114"/>
        <v>-</v>
      </c>
      <c r="F2409" s="85"/>
      <c r="G2409" s="85" t="s">
        <v>19</v>
      </c>
      <c r="H2409" s="85"/>
      <c r="I2409" s="85"/>
      <c r="J2409" s="87"/>
      <c r="K2409" s="88">
        <f t="shared" si="115"/>
        <v>0</v>
      </c>
      <c r="L2409" s="85"/>
    </row>
    <row r="2410" spans="1:12" hidden="1" x14ac:dyDescent="0.2">
      <c r="A2410" s="84" t="str">
        <f t="shared" si="113"/>
        <v>SelecioneSelecioneSelecione</v>
      </c>
      <c r="B2410" s="85" t="s">
        <v>19</v>
      </c>
      <c r="C2410" s="85" t="s">
        <v>19</v>
      </c>
      <c r="D2410" s="86"/>
      <c r="E2410" s="116" t="str">
        <f t="shared" si="114"/>
        <v>-</v>
      </c>
      <c r="F2410" s="85"/>
      <c r="G2410" s="85" t="s">
        <v>19</v>
      </c>
      <c r="H2410" s="85"/>
      <c r="I2410" s="85"/>
      <c r="J2410" s="87"/>
      <c r="K2410" s="88">
        <f t="shared" si="115"/>
        <v>0</v>
      </c>
      <c r="L2410" s="85"/>
    </row>
    <row r="2411" spans="1:12" hidden="1" x14ac:dyDescent="0.2">
      <c r="A2411" s="84" t="str">
        <f t="shared" si="113"/>
        <v>SelecioneSelecioneSelecione</v>
      </c>
      <c r="B2411" s="85" t="s">
        <v>19</v>
      </c>
      <c r="C2411" s="85" t="s">
        <v>19</v>
      </c>
      <c r="D2411" s="86"/>
      <c r="E2411" s="116" t="str">
        <f t="shared" si="114"/>
        <v>-</v>
      </c>
      <c r="F2411" s="85"/>
      <c r="G2411" s="85" t="s">
        <v>19</v>
      </c>
      <c r="H2411" s="85"/>
      <c r="I2411" s="85"/>
      <c r="J2411" s="87"/>
      <c r="K2411" s="88">
        <f t="shared" si="115"/>
        <v>0</v>
      </c>
      <c r="L2411" s="85"/>
    </row>
    <row r="2412" spans="1:12" hidden="1" x14ac:dyDescent="0.2">
      <c r="A2412" s="84" t="str">
        <f t="shared" si="113"/>
        <v>SelecioneSelecioneSelecione</v>
      </c>
      <c r="B2412" s="85" t="s">
        <v>19</v>
      </c>
      <c r="C2412" s="85" t="s">
        <v>19</v>
      </c>
      <c r="D2412" s="86"/>
      <c r="E2412" s="116" t="str">
        <f t="shared" si="114"/>
        <v>-</v>
      </c>
      <c r="F2412" s="85"/>
      <c r="G2412" s="85" t="s">
        <v>19</v>
      </c>
      <c r="H2412" s="85"/>
      <c r="I2412" s="85"/>
      <c r="J2412" s="87"/>
      <c r="K2412" s="88">
        <f t="shared" si="115"/>
        <v>0</v>
      </c>
      <c r="L2412" s="85"/>
    </row>
    <row r="2413" spans="1:12" hidden="1" x14ac:dyDescent="0.2">
      <c r="A2413" s="84" t="str">
        <f t="shared" si="113"/>
        <v>SelecioneSelecioneSelecione</v>
      </c>
      <c r="B2413" s="85" t="s">
        <v>19</v>
      </c>
      <c r="C2413" s="85" t="s">
        <v>19</v>
      </c>
      <c r="D2413" s="86"/>
      <c r="E2413" s="116" t="str">
        <f t="shared" si="114"/>
        <v>-</v>
      </c>
      <c r="F2413" s="85"/>
      <c r="G2413" s="85" t="s">
        <v>19</v>
      </c>
      <c r="H2413" s="85"/>
      <c r="I2413" s="85"/>
      <c r="J2413" s="87"/>
      <c r="K2413" s="88">
        <f t="shared" si="115"/>
        <v>0</v>
      </c>
      <c r="L2413" s="85"/>
    </row>
    <row r="2414" spans="1:12" hidden="1" x14ac:dyDescent="0.2">
      <c r="A2414" s="84" t="str">
        <f t="shared" si="113"/>
        <v>SelecioneSelecioneSelecione</v>
      </c>
      <c r="B2414" s="85" t="s">
        <v>19</v>
      </c>
      <c r="C2414" s="85" t="s">
        <v>19</v>
      </c>
      <c r="D2414" s="86"/>
      <c r="E2414" s="116" t="str">
        <f t="shared" si="114"/>
        <v>-</v>
      </c>
      <c r="F2414" s="85"/>
      <c r="G2414" s="85" t="s">
        <v>19</v>
      </c>
      <c r="H2414" s="85"/>
      <c r="I2414" s="85"/>
      <c r="J2414" s="87"/>
      <c r="K2414" s="88">
        <f t="shared" si="115"/>
        <v>0</v>
      </c>
      <c r="L2414" s="85"/>
    </row>
    <row r="2415" spans="1:12" hidden="1" x14ac:dyDescent="0.2">
      <c r="A2415" s="84" t="str">
        <f t="shared" si="113"/>
        <v>SelecioneSelecioneSelecione</v>
      </c>
      <c r="B2415" s="85" t="s">
        <v>19</v>
      </c>
      <c r="C2415" s="85" t="s">
        <v>19</v>
      </c>
      <c r="D2415" s="86"/>
      <c r="E2415" s="116" t="str">
        <f t="shared" si="114"/>
        <v>-</v>
      </c>
      <c r="F2415" s="85"/>
      <c r="G2415" s="85" t="s">
        <v>19</v>
      </c>
      <c r="H2415" s="85"/>
      <c r="I2415" s="85"/>
      <c r="J2415" s="87"/>
      <c r="K2415" s="88">
        <f t="shared" si="115"/>
        <v>0</v>
      </c>
      <c r="L2415" s="85"/>
    </row>
    <row r="2416" spans="1:12" hidden="1" x14ac:dyDescent="0.2">
      <c r="A2416" s="84" t="str">
        <f t="shared" si="113"/>
        <v>SelecioneSelecioneSelecione</v>
      </c>
      <c r="B2416" s="85" t="s">
        <v>19</v>
      </c>
      <c r="C2416" s="85" t="s">
        <v>19</v>
      </c>
      <c r="D2416" s="86"/>
      <c r="E2416" s="116" t="str">
        <f t="shared" si="114"/>
        <v>-</v>
      </c>
      <c r="F2416" s="85"/>
      <c r="G2416" s="85" t="s">
        <v>19</v>
      </c>
      <c r="H2416" s="85"/>
      <c r="I2416" s="85"/>
      <c r="J2416" s="87"/>
      <c r="K2416" s="88">
        <f t="shared" si="115"/>
        <v>0</v>
      </c>
      <c r="L2416" s="85"/>
    </row>
    <row r="2417" spans="1:12" hidden="1" x14ac:dyDescent="0.2">
      <c r="A2417" s="84" t="str">
        <f t="shared" si="113"/>
        <v>SelecioneSelecioneSelecione</v>
      </c>
      <c r="B2417" s="85" t="s">
        <v>19</v>
      </c>
      <c r="C2417" s="85" t="s">
        <v>19</v>
      </c>
      <c r="D2417" s="86"/>
      <c r="E2417" s="116" t="str">
        <f t="shared" si="114"/>
        <v>-</v>
      </c>
      <c r="F2417" s="85"/>
      <c r="G2417" s="85" t="s">
        <v>19</v>
      </c>
      <c r="H2417" s="85"/>
      <c r="I2417" s="85"/>
      <c r="J2417" s="87"/>
      <c r="K2417" s="88">
        <f t="shared" si="115"/>
        <v>0</v>
      </c>
      <c r="L2417" s="85"/>
    </row>
    <row r="2418" spans="1:12" hidden="1" x14ac:dyDescent="0.2">
      <c r="A2418" s="84" t="str">
        <f t="shared" si="113"/>
        <v>SelecioneSelecioneSelecione</v>
      </c>
      <c r="B2418" s="85" t="s">
        <v>19</v>
      </c>
      <c r="C2418" s="85" t="s">
        <v>19</v>
      </c>
      <c r="D2418" s="86"/>
      <c r="E2418" s="116" t="str">
        <f t="shared" si="114"/>
        <v>-</v>
      </c>
      <c r="F2418" s="85"/>
      <c r="G2418" s="85" t="s">
        <v>19</v>
      </c>
      <c r="H2418" s="85"/>
      <c r="I2418" s="85"/>
      <c r="J2418" s="87"/>
      <c r="K2418" s="88">
        <f t="shared" si="115"/>
        <v>0</v>
      </c>
      <c r="L2418" s="85"/>
    </row>
    <row r="2419" spans="1:12" hidden="1" x14ac:dyDescent="0.2">
      <c r="A2419" s="84" t="str">
        <f t="shared" si="113"/>
        <v>SelecioneSelecioneSelecione</v>
      </c>
      <c r="B2419" s="85" t="s">
        <v>19</v>
      </c>
      <c r="C2419" s="85" t="s">
        <v>19</v>
      </c>
      <c r="D2419" s="86"/>
      <c r="E2419" s="116" t="str">
        <f t="shared" si="114"/>
        <v>-</v>
      </c>
      <c r="F2419" s="85"/>
      <c r="G2419" s="85" t="s">
        <v>19</v>
      </c>
      <c r="H2419" s="85"/>
      <c r="I2419" s="85"/>
      <c r="J2419" s="87"/>
      <c r="K2419" s="88">
        <f t="shared" si="115"/>
        <v>0</v>
      </c>
      <c r="L2419" s="85"/>
    </row>
    <row r="2420" spans="1:12" hidden="1" x14ac:dyDescent="0.2">
      <c r="A2420" s="84" t="str">
        <f t="shared" si="113"/>
        <v>SelecioneSelecioneSelecione</v>
      </c>
      <c r="B2420" s="85" t="s">
        <v>19</v>
      </c>
      <c r="C2420" s="85" t="s">
        <v>19</v>
      </c>
      <c r="D2420" s="86"/>
      <c r="E2420" s="116" t="str">
        <f t="shared" si="114"/>
        <v>-</v>
      </c>
      <c r="F2420" s="85"/>
      <c r="G2420" s="85" t="s">
        <v>19</v>
      </c>
      <c r="H2420" s="85"/>
      <c r="I2420" s="85"/>
      <c r="J2420" s="87"/>
      <c r="K2420" s="88">
        <f t="shared" si="115"/>
        <v>0</v>
      </c>
      <c r="L2420" s="85"/>
    </row>
    <row r="2421" spans="1:12" hidden="1" x14ac:dyDescent="0.2">
      <c r="A2421" s="84" t="str">
        <f t="shared" si="113"/>
        <v>SelecioneSelecioneSelecione</v>
      </c>
      <c r="B2421" s="85" t="s">
        <v>19</v>
      </c>
      <c r="C2421" s="85" t="s">
        <v>19</v>
      </c>
      <c r="D2421" s="86"/>
      <c r="E2421" s="116" t="str">
        <f t="shared" si="114"/>
        <v>-</v>
      </c>
      <c r="F2421" s="85"/>
      <c r="G2421" s="85" t="s">
        <v>19</v>
      </c>
      <c r="H2421" s="85"/>
      <c r="I2421" s="85"/>
      <c r="J2421" s="87"/>
      <c r="K2421" s="88">
        <f t="shared" si="115"/>
        <v>0</v>
      </c>
      <c r="L2421" s="85"/>
    </row>
    <row r="2422" spans="1:12" hidden="1" x14ac:dyDescent="0.2">
      <c r="A2422" s="84" t="str">
        <f t="shared" si="113"/>
        <v>SelecioneSelecioneSelecione</v>
      </c>
      <c r="B2422" s="85" t="s">
        <v>19</v>
      </c>
      <c r="C2422" s="85" t="s">
        <v>19</v>
      </c>
      <c r="D2422" s="86"/>
      <c r="E2422" s="116" t="str">
        <f t="shared" si="114"/>
        <v>-</v>
      </c>
      <c r="F2422" s="85"/>
      <c r="G2422" s="85" t="s">
        <v>19</v>
      </c>
      <c r="H2422" s="85"/>
      <c r="I2422" s="85"/>
      <c r="J2422" s="87"/>
      <c r="K2422" s="88">
        <f t="shared" si="115"/>
        <v>0</v>
      </c>
      <c r="L2422" s="85"/>
    </row>
    <row r="2423" spans="1:12" hidden="1" x14ac:dyDescent="0.2">
      <c r="A2423" s="84" t="str">
        <f t="shared" si="113"/>
        <v>SelecioneSelecioneSelecione</v>
      </c>
      <c r="B2423" s="85" t="s">
        <v>19</v>
      </c>
      <c r="C2423" s="85" t="s">
        <v>19</v>
      </c>
      <c r="D2423" s="86"/>
      <c r="E2423" s="116" t="str">
        <f t="shared" si="114"/>
        <v>-</v>
      </c>
      <c r="F2423" s="85"/>
      <c r="G2423" s="85" t="s">
        <v>19</v>
      </c>
      <c r="H2423" s="85"/>
      <c r="I2423" s="85"/>
      <c r="J2423" s="87"/>
      <c r="K2423" s="88">
        <f t="shared" si="115"/>
        <v>0</v>
      </c>
      <c r="L2423" s="85"/>
    </row>
    <row r="2424" spans="1:12" hidden="1" x14ac:dyDescent="0.2">
      <c r="A2424" s="84" t="str">
        <f t="shared" si="113"/>
        <v>SelecioneSelecioneSelecione</v>
      </c>
      <c r="B2424" s="85" t="s">
        <v>19</v>
      </c>
      <c r="C2424" s="85" t="s">
        <v>19</v>
      </c>
      <c r="D2424" s="86"/>
      <c r="E2424" s="116" t="str">
        <f t="shared" si="114"/>
        <v>-</v>
      </c>
      <c r="F2424" s="85"/>
      <c r="G2424" s="85" t="s">
        <v>19</v>
      </c>
      <c r="H2424" s="85"/>
      <c r="I2424" s="85"/>
      <c r="J2424" s="87"/>
      <c r="K2424" s="88">
        <f t="shared" si="115"/>
        <v>0</v>
      </c>
      <c r="L2424" s="85"/>
    </row>
    <row r="2425" spans="1:12" hidden="1" x14ac:dyDescent="0.2">
      <c r="A2425" s="84" t="str">
        <f t="shared" si="113"/>
        <v>SelecioneSelecioneSelecione</v>
      </c>
      <c r="B2425" s="85" t="s">
        <v>19</v>
      </c>
      <c r="C2425" s="85" t="s">
        <v>19</v>
      </c>
      <c r="D2425" s="86"/>
      <c r="E2425" s="116" t="str">
        <f t="shared" si="114"/>
        <v>-</v>
      </c>
      <c r="F2425" s="85"/>
      <c r="G2425" s="85" t="s">
        <v>19</v>
      </c>
      <c r="H2425" s="85"/>
      <c r="I2425" s="85"/>
      <c r="J2425" s="87"/>
      <c r="K2425" s="88">
        <f t="shared" si="115"/>
        <v>0</v>
      </c>
      <c r="L2425" s="85"/>
    </row>
    <row r="2426" spans="1:12" hidden="1" x14ac:dyDescent="0.2">
      <c r="A2426" s="84" t="str">
        <f t="shared" si="113"/>
        <v>SelecioneSelecioneSelecione</v>
      </c>
      <c r="B2426" s="85" t="s">
        <v>19</v>
      </c>
      <c r="C2426" s="85" t="s">
        <v>19</v>
      </c>
      <c r="D2426" s="86"/>
      <c r="E2426" s="116" t="str">
        <f t="shared" si="114"/>
        <v>-</v>
      </c>
      <c r="F2426" s="85"/>
      <c r="G2426" s="85" t="s">
        <v>19</v>
      </c>
      <c r="H2426" s="85"/>
      <c r="I2426" s="85"/>
      <c r="J2426" s="87"/>
      <c r="K2426" s="88">
        <f t="shared" si="115"/>
        <v>0</v>
      </c>
      <c r="L2426" s="85"/>
    </row>
    <row r="2427" spans="1:12" hidden="1" x14ac:dyDescent="0.2">
      <c r="A2427" s="84" t="str">
        <f t="shared" si="113"/>
        <v>SelecioneSelecioneSelecione</v>
      </c>
      <c r="B2427" s="85" t="s">
        <v>19</v>
      </c>
      <c r="C2427" s="85" t="s">
        <v>19</v>
      </c>
      <c r="D2427" s="86"/>
      <c r="E2427" s="116" t="str">
        <f t="shared" si="114"/>
        <v>-</v>
      </c>
      <c r="F2427" s="85"/>
      <c r="G2427" s="85" t="s">
        <v>19</v>
      </c>
      <c r="H2427" s="85"/>
      <c r="I2427" s="85"/>
      <c r="J2427" s="87"/>
      <c r="K2427" s="88">
        <f t="shared" si="115"/>
        <v>0</v>
      </c>
      <c r="L2427" s="85"/>
    </row>
    <row r="2428" spans="1:12" hidden="1" x14ac:dyDescent="0.2">
      <c r="A2428" s="84" t="str">
        <f t="shared" si="113"/>
        <v>SelecioneSelecioneSelecione</v>
      </c>
      <c r="B2428" s="85" t="s">
        <v>19</v>
      </c>
      <c r="C2428" s="85" t="s">
        <v>19</v>
      </c>
      <c r="D2428" s="86"/>
      <c r="E2428" s="116" t="str">
        <f t="shared" si="114"/>
        <v>-</v>
      </c>
      <c r="F2428" s="85"/>
      <c r="G2428" s="85" t="s">
        <v>19</v>
      </c>
      <c r="H2428" s="85"/>
      <c r="I2428" s="85"/>
      <c r="J2428" s="87"/>
      <c r="K2428" s="88">
        <f t="shared" si="115"/>
        <v>0</v>
      </c>
      <c r="L2428" s="85"/>
    </row>
    <row r="2429" spans="1:12" hidden="1" x14ac:dyDescent="0.2">
      <c r="A2429" s="84" t="str">
        <f t="shared" si="113"/>
        <v>SelecioneSelecioneSelecione</v>
      </c>
      <c r="B2429" s="85" t="s">
        <v>19</v>
      </c>
      <c r="C2429" s="85" t="s">
        <v>19</v>
      </c>
      <c r="D2429" s="86"/>
      <c r="E2429" s="116" t="str">
        <f t="shared" si="114"/>
        <v>-</v>
      </c>
      <c r="F2429" s="85"/>
      <c r="G2429" s="85" t="s">
        <v>19</v>
      </c>
      <c r="H2429" s="85"/>
      <c r="I2429" s="85"/>
      <c r="J2429" s="87"/>
      <c r="K2429" s="88">
        <f t="shared" si="115"/>
        <v>0</v>
      </c>
      <c r="L2429" s="85"/>
    </row>
    <row r="2430" spans="1:12" hidden="1" x14ac:dyDescent="0.2">
      <c r="A2430" s="84" t="str">
        <f t="shared" si="113"/>
        <v>SelecioneSelecioneSelecione</v>
      </c>
      <c r="B2430" s="85" t="s">
        <v>19</v>
      </c>
      <c r="C2430" s="85" t="s">
        <v>19</v>
      </c>
      <c r="D2430" s="86"/>
      <c r="E2430" s="116" t="str">
        <f t="shared" si="114"/>
        <v>-</v>
      </c>
      <c r="F2430" s="85"/>
      <c r="G2430" s="85" t="s">
        <v>19</v>
      </c>
      <c r="H2430" s="85"/>
      <c r="I2430" s="85"/>
      <c r="J2430" s="87"/>
      <c r="K2430" s="88">
        <f t="shared" si="115"/>
        <v>0</v>
      </c>
      <c r="L2430" s="85"/>
    </row>
    <row r="2431" spans="1:12" hidden="1" x14ac:dyDescent="0.2">
      <c r="A2431" s="84" t="str">
        <f t="shared" si="113"/>
        <v>SelecioneSelecioneSelecione</v>
      </c>
      <c r="B2431" s="85" t="s">
        <v>19</v>
      </c>
      <c r="C2431" s="85" t="s">
        <v>19</v>
      </c>
      <c r="D2431" s="86"/>
      <c r="E2431" s="116" t="str">
        <f t="shared" si="114"/>
        <v>-</v>
      </c>
      <c r="F2431" s="85"/>
      <c r="G2431" s="85" t="s">
        <v>19</v>
      </c>
      <c r="H2431" s="85"/>
      <c r="I2431" s="85"/>
      <c r="J2431" s="87"/>
      <c r="K2431" s="88">
        <f t="shared" si="115"/>
        <v>0</v>
      </c>
      <c r="L2431" s="85"/>
    </row>
    <row r="2432" spans="1:12" hidden="1" x14ac:dyDescent="0.2">
      <c r="A2432" s="84" t="str">
        <f t="shared" si="113"/>
        <v>SelecioneSelecioneSelecione</v>
      </c>
      <c r="B2432" s="85" t="s">
        <v>19</v>
      </c>
      <c r="C2432" s="85" t="s">
        <v>19</v>
      </c>
      <c r="D2432" s="86"/>
      <c r="E2432" s="116" t="str">
        <f t="shared" si="114"/>
        <v>-</v>
      </c>
      <c r="F2432" s="85"/>
      <c r="G2432" s="85" t="s">
        <v>19</v>
      </c>
      <c r="H2432" s="85"/>
      <c r="I2432" s="85"/>
      <c r="J2432" s="87"/>
      <c r="K2432" s="88">
        <f t="shared" si="115"/>
        <v>0</v>
      </c>
      <c r="L2432" s="85"/>
    </row>
    <row r="2433" spans="1:12" hidden="1" x14ac:dyDescent="0.2">
      <c r="A2433" s="84" t="str">
        <f t="shared" si="113"/>
        <v>SelecioneSelecioneSelecione</v>
      </c>
      <c r="B2433" s="85" t="s">
        <v>19</v>
      </c>
      <c r="C2433" s="85" t="s">
        <v>19</v>
      </c>
      <c r="D2433" s="86"/>
      <c r="E2433" s="116" t="str">
        <f t="shared" si="114"/>
        <v>-</v>
      </c>
      <c r="F2433" s="85"/>
      <c r="G2433" s="85" t="s">
        <v>19</v>
      </c>
      <c r="H2433" s="85"/>
      <c r="I2433" s="85"/>
      <c r="J2433" s="87"/>
      <c r="K2433" s="88">
        <f t="shared" si="115"/>
        <v>0</v>
      </c>
      <c r="L2433" s="85"/>
    </row>
    <row r="2434" spans="1:12" hidden="1" x14ac:dyDescent="0.2">
      <c r="A2434" s="84" t="str">
        <f t="shared" ref="A2434:A2497" si="116">CONCATENATE(B2434,C2434,G2434)</f>
        <v>SelecioneSelecioneSelecione</v>
      </c>
      <c r="B2434" s="85" t="s">
        <v>19</v>
      </c>
      <c r="C2434" s="85" t="s">
        <v>19</v>
      </c>
      <c r="D2434" s="86"/>
      <c r="E2434" s="116" t="str">
        <f t="shared" ref="E2434:E2497" si="117">VLOOKUP(G2434,$M$1:$O$993,3,0)</f>
        <v>-</v>
      </c>
      <c r="F2434" s="85"/>
      <c r="G2434" s="85" t="s">
        <v>19</v>
      </c>
      <c r="H2434" s="85"/>
      <c r="I2434" s="85"/>
      <c r="J2434" s="87"/>
      <c r="K2434" s="88">
        <f t="shared" ref="K2434:K2497" si="118">I2434*J2434</f>
        <v>0</v>
      </c>
      <c r="L2434" s="85"/>
    </row>
    <row r="2435" spans="1:12" hidden="1" x14ac:dyDescent="0.2">
      <c r="A2435" s="84" t="str">
        <f t="shared" si="116"/>
        <v>SelecioneSelecioneSelecione</v>
      </c>
      <c r="B2435" s="85" t="s">
        <v>19</v>
      </c>
      <c r="C2435" s="85" t="s">
        <v>19</v>
      </c>
      <c r="D2435" s="86"/>
      <c r="E2435" s="116" t="str">
        <f t="shared" si="117"/>
        <v>-</v>
      </c>
      <c r="F2435" s="85"/>
      <c r="G2435" s="85" t="s">
        <v>19</v>
      </c>
      <c r="H2435" s="85"/>
      <c r="I2435" s="85"/>
      <c r="J2435" s="87"/>
      <c r="K2435" s="88">
        <f t="shared" si="118"/>
        <v>0</v>
      </c>
      <c r="L2435" s="85"/>
    </row>
    <row r="2436" spans="1:12" hidden="1" x14ac:dyDescent="0.2">
      <c r="A2436" s="84" t="str">
        <f t="shared" si="116"/>
        <v>SelecioneSelecioneSelecione</v>
      </c>
      <c r="B2436" s="85" t="s">
        <v>19</v>
      </c>
      <c r="C2436" s="85" t="s">
        <v>19</v>
      </c>
      <c r="D2436" s="86"/>
      <c r="E2436" s="116" t="str">
        <f t="shared" si="117"/>
        <v>-</v>
      </c>
      <c r="F2436" s="85"/>
      <c r="G2436" s="85" t="s">
        <v>19</v>
      </c>
      <c r="H2436" s="85"/>
      <c r="I2436" s="85"/>
      <c r="J2436" s="87"/>
      <c r="K2436" s="88">
        <f t="shared" si="118"/>
        <v>0</v>
      </c>
      <c r="L2436" s="85"/>
    </row>
    <row r="2437" spans="1:12" hidden="1" x14ac:dyDescent="0.2">
      <c r="A2437" s="84" t="str">
        <f t="shared" si="116"/>
        <v>SelecioneSelecioneSelecione</v>
      </c>
      <c r="B2437" s="85" t="s">
        <v>19</v>
      </c>
      <c r="C2437" s="85" t="s">
        <v>19</v>
      </c>
      <c r="D2437" s="86"/>
      <c r="E2437" s="116" t="str">
        <f t="shared" si="117"/>
        <v>-</v>
      </c>
      <c r="F2437" s="85"/>
      <c r="G2437" s="85" t="s">
        <v>19</v>
      </c>
      <c r="H2437" s="85"/>
      <c r="I2437" s="85"/>
      <c r="J2437" s="87"/>
      <c r="K2437" s="88">
        <f t="shared" si="118"/>
        <v>0</v>
      </c>
      <c r="L2437" s="85"/>
    </row>
    <row r="2438" spans="1:12" hidden="1" x14ac:dyDescent="0.2">
      <c r="A2438" s="84" t="str">
        <f t="shared" si="116"/>
        <v>SelecioneSelecioneSelecione</v>
      </c>
      <c r="B2438" s="85" t="s">
        <v>19</v>
      </c>
      <c r="C2438" s="85" t="s">
        <v>19</v>
      </c>
      <c r="D2438" s="86"/>
      <c r="E2438" s="116" t="str">
        <f t="shared" si="117"/>
        <v>-</v>
      </c>
      <c r="F2438" s="85"/>
      <c r="G2438" s="85" t="s">
        <v>19</v>
      </c>
      <c r="H2438" s="85"/>
      <c r="I2438" s="85"/>
      <c r="J2438" s="87"/>
      <c r="K2438" s="88">
        <f t="shared" si="118"/>
        <v>0</v>
      </c>
      <c r="L2438" s="85"/>
    </row>
    <row r="2439" spans="1:12" hidden="1" x14ac:dyDescent="0.2">
      <c r="A2439" s="84" t="str">
        <f t="shared" si="116"/>
        <v>SelecioneSelecioneSelecione</v>
      </c>
      <c r="B2439" s="85" t="s">
        <v>19</v>
      </c>
      <c r="C2439" s="85" t="s">
        <v>19</v>
      </c>
      <c r="D2439" s="86"/>
      <c r="E2439" s="116" t="str">
        <f t="shared" si="117"/>
        <v>-</v>
      </c>
      <c r="F2439" s="85"/>
      <c r="G2439" s="85" t="s">
        <v>19</v>
      </c>
      <c r="H2439" s="85"/>
      <c r="I2439" s="85"/>
      <c r="J2439" s="87"/>
      <c r="K2439" s="88">
        <f t="shared" si="118"/>
        <v>0</v>
      </c>
      <c r="L2439" s="85"/>
    </row>
    <row r="2440" spans="1:12" hidden="1" x14ac:dyDescent="0.2">
      <c r="A2440" s="84" t="str">
        <f t="shared" si="116"/>
        <v>SelecioneSelecioneSelecione</v>
      </c>
      <c r="B2440" s="85" t="s">
        <v>19</v>
      </c>
      <c r="C2440" s="85" t="s">
        <v>19</v>
      </c>
      <c r="D2440" s="86"/>
      <c r="E2440" s="116" t="str">
        <f t="shared" si="117"/>
        <v>-</v>
      </c>
      <c r="F2440" s="85"/>
      <c r="G2440" s="85" t="s">
        <v>19</v>
      </c>
      <c r="H2440" s="85"/>
      <c r="I2440" s="85"/>
      <c r="J2440" s="87"/>
      <c r="K2440" s="88">
        <f t="shared" si="118"/>
        <v>0</v>
      </c>
      <c r="L2440" s="85"/>
    </row>
    <row r="2441" spans="1:12" hidden="1" x14ac:dyDescent="0.2">
      <c r="A2441" s="84" t="str">
        <f t="shared" si="116"/>
        <v>SelecioneSelecioneSelecione</v>
      </c>
      <c r="B2441" s="85" t="s">
        <v>19</v>
      </c>
      <c r="C2441" s="85" t="s">
        <v>19</v>
      </c>
      <c r="D2441" s="86"/>
      <c r="E2441" s="116" t="str">
        <f t="shared" si="117"/>
        <v>-</v>
      </c>
      <c r="F2441" s="85"/>
      <c r="G2441" s="85" t="s">
        <v>19</v>
      </c>
      <c r="H2441" s="85"/>
      <c r="I2441" s="85"/>
      <c r="J2441" s="87"/>
      <c r="K2441" s="88">
        <f t="shared" si="118"/>
        <v>0</v>
      </c>
      <c r="L2441" s="85"/>
    </row>
    <row r="2442" spans="1:12" hidden="1" x14ac:dyDescent="0.2">
      <c r="A2442" s="84" t="str">
        <f t="shared" si="116"/>
        <v>SelecioneSelecioneSelecione</v>
      </c>
      <c r="B2442" s="85" t="s">
        <v>19</v>
      </c>
      <c r="C2442" s="85" t="s">
        <v>19</v>
      </c>
      <c r="D2442" s="86"/>
      <c r="E2442" s="116" t="str">
        <f t="shared" si="117"/>
        <v>-</v>
      </c>
      <c r="F2442" s="85"/>
      <c r="G2442" s="85" t="s">
        <v>19</v>
      </c>
      <c r="H2442" s="85"/>
      <c r="I2442" s="85"/>
      <c r="J2442" s="87"/>
      <c r="K2442" s="88">
        <f t="shared" si="118"/>
        <v>0</v>
      </c>
      <c r="L2442" s="85"/>
    </row>
    <row r="2443" spans="1:12" hidden="1" x14ac:dyDescent="0.2">
      <c r="A2443" s="84" t="str">
        <f t="shared" si="116"/>
        <v>SelecioneSelecioneSelecione</v>
      </c>
      <c r="B2443" s="85" t="s">
        <v>19</v>
      </c>
      <c r="C2443" s="85" t="s">
        <v>19</v>
      </c>
      <c r="D2443" s="86"/>
      <c r="E2443" s="116" t="str">
        <f t="shared" si="117"/>
        <v>-</v>
      </c>
      <c r="F2443" s="85"/>
      <c r="G2443" s="85" t="s">
        <v>19</v>
      </c>
      <c r="H2443" s="85"/>
      <c r="I2443" s="85"/>
      <c r="J2443" s="87"/>
      <c r="K2443" s="88">
        <f t="shared" si="118"/>
        <v>0</v>
      </c>
      <c r="L2443" s="85"/>
    </row>
    <row r="2444" spans="1:12" hidden="1" x14ac:dyDescent="0.2">
      <c r="A2444" s="84" t="str">
        <f t="shared" si="116"/>
        <v>SelecioneSelecioneSelecione</v>
      </c>
      <c r="B2444" s="85" t="s">
        <v>19</v>
      </c>
      <c r="C2444" s="85" t="s">
        <v>19</v>
      </c>
      <c r="D2444" s="86"/>
      <c r="E2444" s="116" t="str">
        <f t="shared" si="117"/>
        <v>-</v>
      </c>
      <c r="F2444" s="85"/>
      <c r="G2444" s="85" t="s">
        <v>19</v>
      </c>
      <c r="H2444" s="85"/>
      <c r="I2444" s="85"/>
      <c r="J2444" s="87"/>
      <c r="K2444" s="88">
        <f t="shared" si="118"/>
        <v>0</v>
      </c>
      <c r="L2444" s="85"/>
    </row>
    <row r="2445" spans="1:12" hidden="1" x14ac:dyDescent="0.2">
      <c r="A2445" s="84" t="str">
        <f t="shared" si="116"/>
        <v>SelecioneSelecioneSelecione</v>
      </c>
      <c r="B2445" s="85" t="s">
        <v>19</v>
      </c>
      <c r="C2445" s="85" t="s">
        <v>19</v>
      </c>
      <c r="D2445" s="86"/>
      <c r="E2445" s="116" t="str">
        <f t="shared" si="117"/>
        <v>-</v>
      </c>
      <c r="F2445" s="85"/>
      <c r="G2445" s="85" t="s">
        <v>19</v>
      </c>
      <c r="H2445" s="85"/>
      <c r="I2445" s="85"/>
      <c r="J2445" s="87"/>
      <c r="K2445" s="88">
        <f t="shared" si="118"/>
        <v>0</v>
      </c>
      <c r="L2445" s="85"/>
    </row>
    <row r="2446" spans="1:12" hidden="1" x14ac:dyDescent="0.2">
      <c r="A2446" s="84" t="str">
        <f t="shared" si="116"/>
        <v>SelecioneSelecioneSelecione</v>
      </c>
      <c r="B2446" s="85" t="s">
        <v>19</v>
      </c>
      <c r="C2446" s="85" t="s">
        <v>19</v>
      </c>
      <c r="D2446" s="86"/>
      <c r="E2446" s="116" t="str">
        <f t="shared" si="117"/>
        <v>-</v>
      </c>
      <c r="F2446" s="85"/>
      <c r="G2446" s="85" t="s">
        <v>19</v>
      </c>
      <c r="H2446" s="85"/>
      <c r="I2446" s="85"/>
      <c r="J2446" s="87"/>
      <c r="K2446" s="88">
        <f t="shared" si="118"/>
        <v>0</v>
      </c>
      <c r="L2446" s="85"/>
    </row>
    <row r="2447" spans="1:12" hidden="1" x14ac:dyDescent="0.2">
      <c r="A2447" s="84" t="str">
        <f t="shared" si="116"/>
        <v>SelecioneSelecioneSelecione</v>
      </c>
      <c r="B2447" s="85" t="s">
        <v>19</v>
      </c>
      <c r="C2447" s="85" t="s">
        <v>19</v>
      </c>
      <c r="D2447" s="86"/>
      <c r="E2447" s="116" t="str">
        <f t="shared" si="117"/>
        <v>-</v>
      </c>
      <c r="F2447" s="85"/>
      <c r="G2447" s="85" t="s">
        <v>19</v>
      </c>
      <c r="H2447" s="85"/>
      <c r="I2447" s="85"/>
      <c r="J2447" s="87"/>
      <c r="K2447" s="88">
        <f t="shared" si="118"/>
        <v>0</v>
      </c>
      <c r="L2447" s="85"/>
    </row>
    <row r="2448" spans="1:12" hidden="1" x14ac:dyDescent="0.2">
      <c r="A2448" s="84" t="str">
        <f t="shared" si="116"/>
        <v>SelecioneSelecioneSelecione</v>
      </c>
      <c r="B2448" s="85" t="s">
        <v>19</v>
      </c>
      <c r="C2448" s="85" t="s">
        <v>19</v>
      </c>
      <c r="D2448" s="86"/>
      <c r="E2448" s="116" t="str">
        <f t="shared" si="117"/>
        <v>-</v>
      </c>
      <c r="F2448" s="85"/>
      <c r="G2448" s="85" t="s">
        <v>19</v>
      </c>
      <c r="H2448" s="85"/>
      <c r="I2448" s="85"/>
      <c r="J2448" s="87"/>
      <c r="K2448" s="88">
        <f t="shared" si="118"/>
        <v>0</v>
      </c>
      <c r="L2448" s="85"/>
    </row>
    <row r="2449" spans="1:12" hidden="1" x14ac:dyDescent="0.2">
      <c r="A2449" s="84" t="str">
        <f t="shared" si="116"/>
        <v>SelecioneSelecioneSelecione</v>
      </c>
      <c r="B2449" s="85" t="s">
        <v>19</v>
      </c>
      <c r="C2449" s="85" t="s">
        <v>19</v>
      </c>
      <c r="D2449" s="86"/>
      <c r="E2449" s="116" t="str">
        <f t="shared" si="117"/>
        <v>-</v>
      </c>
      <c r="F2449" s="85"/>
      <c r="G2449" s="85" t="s">
        <v>19</v>
      </c>
      <c r="H2449" s="85"/>
      <c r="I2449" s="85"/>
      <c r="J2449" s="87"/>
      <c r="K2449" s="88">
        <f t="shared" si="118"/>
        <v>0</v>
      </c>
      <c r="L2449" s="85"/>
    </row>
    <row r="2450" spans="1:12" hidden="1" x14ac:dyDescent="0.2">
      <c r="A2450" s="84" t="str">
        <f t="shared" si="116"/>
        <v>SelecioneSelecioneSelecione</v>
      </c>
      <c r="B2450" s="85" t="s">
        <v>19</v>
      </c>
      <c r="C2450" s="85" t="s">
        <v>19</v>
      </c>
      <c r="D2450" s="86"/>
      <c r="E2450" s="116" t="str">
        <f t="shared" si="117"/>
        <v>-</v>
      </c>
      <c r="F2450" s="85"/>
      <c r="G2450" s="85" t="s">
        <v>19</v>
      </c>
      <c r="H2450" s="85"/>
      <c r="I2450" s="85"/>
      <c r="J2450" s="87"/>
      <c r="K2450" s="88">
        <f t="shared" si="118"/>
        <v>0</v>
      </c>
      <c r="L2450" s="85"/>
    </row>
    <row r="2451" spans="1:12" hidden="1" x14ac:dyDescent="0.2">
      <c r="A2451" s="84" t="str">
        <f t="shared" si="116"/>
        <v>SelecioneSelecioneSelecione</v>
      </c>
      <c r="B2451" s="85" t="s">
        <v>19</v>
      </c>
      <c r="C2451" s="85" t="s">
        <v>19</v>
      </c>
      <c r="D2451" s="86"/>
      <c r="E2451" s="116" t="str">
        <f t="shared" si="117"/>
        <v>-</v>
      </c>
      <c r="F2451" s="85"/>
      <c r="G2451" s="85" t="s">
        <v>19</v>
      </c>
      <c r="H2451" s="85"/>
      <c r="I2451" s="85"/>
      <c r="J2451" s="87"/>
      <c r="K2451" s="88">
        <f t="shared" si="118"/>
        <v>0</v>
      </c>
      <c r="L2451" s="85"/>
    </row>
    <row r="2452" spans="1:12" hidden="1" x14ac:dyDescent="0.2">
      <c r="A2452" s="84" t="str">
        <f t="shared" si="116"/>
        <v>SelecioneSelecioneSelecione</v>
      </c>
      <c r="B2452" s="85" t="s">
        <v>19</v>
      </c>
      <c r="C2452" s="85" t="s">
        <v>19</v>
      </c>
      <c r="D2452" s="86"/>
      <c r="E2452" s="116" t="str">
        <f t="shared" si="117"/>
        <v>-</v>
      </c>
      <c r="F2452" s="85"/>
      <c r="G2452" s="85" t="s">
        <v>19</v>
      </c>
      <c r="H2452" s="85"/>
      <c r="I2452" s="85"/>
      <c r="J2452" s="87"/>
      <c r="K2452" s="88">
        <f t="shared" si="118"/>
        <v>0</v>
      </c>
      <c r="L2452" s="85"/>
    </row>
    <row r="2453" spans="1:12" hidden="1" x14ac:dyDescent="0.2">
      <c r="A2453" s="84" t="str">
        <f t="shared" si="116"/>
        <v>SelecioneSelecioneSelecione</v>
      </c>
      <c r="B2453" s="85" t="s">
        <v>19</v>
      </c>
      <c r="C2453" s="85" t="s">
        <v>19</v>
      </c>
      <c r="D2453" s="86"/>
      <c r="E2453" s="116" t="str">
        <f t="shared" si="117"/>
        <v>-</v>
      </c>
      <c r="F2453" s="85"/>
      <c r="G2453" s="85" t="s">
        <v>19</v>
      </c>
      <c r="H2453" s="85"/>
      <c r="I2453" s="85"/>
      <c r="J2453" s="87"/>
      <c r="K2453" s="88">
        <f t="shared" si="118"/>
        <v>0</v>
      </c>
      <c r="L2453" s="85"/>
    </row>
    <row r="2454" spans="1:12" hidden="1" x14ac:dyDescent="0.2">
      <c r="A2454" s="84" t="str">
        <f t="shared" si="116"/>
        <v>SelecioneSelecioneSelecione</v>
      </c>
      <c r="B2454" s="85" t="s">
        <v>19</v>
      </c>
      <c r="C2454" s="85" t="s">
        <v>19</v>
      </c>
      <c r="D2454" s="86"/>
      <c r="E2454" s="116" t="str">
        <f t="shared" si="117"/>
        <v>-</v>
      </c>
      <c r="F2454" s="85"/>
      <c r="G2454" s="85" t="s">
        <v>19</v>
      </c>
      <c r="H2454" s="85"/>
      <c r="I2454" s="85"/>
      <c r="J2454" s="87"/>
      <c r="K2454" s="88">
        <f t="shared" si="118"/>
        <v>0</v>
      </c>
      <c r="L2454" s="85"/>
    </row>
    <row r="2455" spans="1:12" hidden="1" x14ac:dyDescent="0.2">
      <c r="A2455" s="84" t="str">
        <f t="shared" si="116"/>
        <v>SelecioneSelecioneSelecione</v>
      </c>
      <c r="B2455" s="85" t="s">
        <v>19</v>
      </c>
      <c r="C2455" s="85" t="s">
        <v>19</v>
      </c>
      <c r="D2455" s="86"/>
      <c r="E2455" s="116" t="str">
        <f t="shared" si="117"/>
        <v>-</v>
      </c>
      <c r="F2455" s="85"/>
      <c r="G2455" s="85" t="s">
        <v>19</v>
      </c>
      <c r="H2455" s="85"/>
      <c r="I2455" s="85"/>
      <c r="J2455" s="87"/>
      <c r="K2455" s="88">
        <f t="shared" si="118"/>
        <v>0</v>
      </c>
      <c r="L2455" s="85"/>
    </row>
    <row r="2456" spans="1:12" hidden="1" x14ac:dyDescent="0.2">
      <c r="A2456" s="84" t="str">
        <f t="shared" si="116"/>
        <v>SelecioneSelecioneSelecione</v>
      </c>
      <c r="B2456" s="85" t="s">
        <v>19</v>
      </c>
      <c r="C2456" s="85" t="s">
        <v>19</v>
      </c>
      <c r="D2456" s="86"/>
      <c r="E2456" s="116" t="str">
        <f t="shared" si="117"/>
        <v>-</v>
      </c>
      <c r="F2456" s="85"/>
      <c r="G2456" s="85" t="s">
        <v>19</v>
      </c>
      <c r="H2456" s="85"/>
      <c r="I2456" s="85"/>
      <c r="J2456" s="87"/>
      <c r="K2456" s="88">
        <f t="shared" si="118"/>
        <v>0</v>
      </c>
      <c r="L2456" s="85"/>
    </row>
    <row r="2457" spans="1:12" hidden="1" x14ac:dyDescent="0.2">
      <c r="A2457" s="84" t="str">
        <f t="shared" si="116"/>
        <v>SelecioneSelecioneSelecione</v>
      </c>
      <c r="B2457" s="85" t="s">
        <v>19</v>
      </c>
      <c r="C2457" s="85" t="s">
        <v>19</v>
      </c>
      <c r="D2457" s="86"/>
      <c r="E2457" s="116" t="str">
        <f t="shared" si="117"/>
        <v>-</v>
      </c>
      <c r="F2457" s="85"/>
      <c r="G2457" s="85" t="s">
        <v>19</v>
      </c>
      <c r="H2457" s="85"/>
      <c r="I2457" s="85"/>
      <c r="J2457" s="87"/>
      <c r="K2457" s="88">
        <f t="shared" si="118"/>
        <v>0</v>
      </c>
      <c r="L2457" s="85"/>
    </row>
    <row r="2458" spans="1:12" hidden="1" x14ac:dyDescent="0.2">
      <c r="A2458" s="84" t="str">
        <f t="shared" si="116"/>
        <v>SelecioneSelecioneSelecione</v>
      </c>
      <c r="B2458" s="85" t="s">
        <v>19</v>
      </c>
      <c r="C2458" s="85" t="s">
        <v>19</v>
      </c>
      <c r="D2458" s="86"/>
      <c r="E2458" s="116" t="str">
        <f t="shared" si="117"/>
        <v>-</v>
      </c>
      <c r="F2458" s="85"/>
      <c r="G2458" s="85" t="s">
        <v>19</v>
      </c>
      <c r="H2458" s="85"/>
      <c r="I2458" s="85"/>
      <c r="J2458" s="87"/>
      <c r="K2458" s="88">
        <f t="shared" si="118"/>
        <v>0</v>
      </c>
      <c r="L2458" s="85"/>
    </row>
    <row r="2459" spans="1:12" hidden="1" x14ac:dyDescent="0.2">
      <c r="A2459" s="84" t="str">
        <f t="shared" si="116"/>
        <v>SelecioneSelecioneSelecione</v>
      </c>
      <c r="B2459" s="85" t="s">
        <v>19</v>
      </c>
      <c r="C2459" s="85" t="s">
        <v>19</v>
      </c>
      <c r="D2459" s="86"/>
      <c r="E2459" s="116" t="str">
        <f t="shared" si="117"/>
        <v>-</v>
      </c>
      <c r="F2459" s="85"/>
      <c r="G2459" s="85" t="s">
        <v>19</v>
      </c>
      <c r="H2459" s="85"/>
      <c r="I2459" s="85"/>
      <c r="J2459" s="87"/>
      <c r="K2459" s="88">
        <f t="shared" si="118"/>
        <v>0</v>
      </c>
      <c r="L2459" s="85"/>
    </row>
    <row r="2460" spans="1:12" hidden="1" x14ac:dyDescent="0.2">
      <c r="A2460" s="84" t="str">
        <f t="shared" si="116"/>
        <v>SelecioneSelecioneSelecione</v>
      </c>
      <c r="B2460" s="85" t="s">
        <v>19</v>
      </c>
      <c r="C2460" s="85" t="s">
        <v>19</v>
      </c>
      <c r="D2460" s="86"/>
      <c r="E2460" s="116" t="str">
        <f t="shared" si="117"/>
        <v>-</v>
      </c>
      <c r="F2460" s="85"/>
      <c r="G2460" s="85" t="s">
        <v>19</v>
      </c>
      <c r="H2460" s="85"/>
      <c r="I2460" s="85"/>
      <c r="J2460" s="87"/>
      <c r="K2460" s="88">
        <f t="shared" si="118"/>
        <v>0</v>
      </c>
      <c r="L2460" s="85"/>
    </row>
    <row r="2461" spans="1:12" hidden="1" x14ac:dyDescent="0.2">
      <c r="A2461" s="84" t="str">
        <f t="shared" si="116"/>
        <v>SelecioneSelecioneSelecione</v>
      </c>
      <c r="B2461" s="85" t="s">
        <v>19</v>
      </c>
      <c r="C2461" s="85" t="s">
        <v>19</v>
      </c>
      <c r="D2461" s="86"/>
      <c r="E2461" s="116" t="str">
        <f t="shared" si="117"/>
        <v>-</v>
      </c>
      <c r="F2461" s="85"/>
      <c r="G2461" s="85" t="s">
        <v>19</v>
      </c>
      <c r="H2461" s="85"/>
      <c r="I2461" s="85"/>
      <c r="J2461" s="87"/>
      <c r="K2461" s="88">
        <f t="shared" si="118"/>
        <v>0</v>
      </c>
      <c r="L2461" s="85"/>
    </row>
    <row r="2462" spans="1:12" hidden="1" x14ac:dyDescent="0.2">
      <c r="A2462" s="84" t="str">
        <f t="shared" si="116"/>
        <v>SelecioneSelecioneSelecione</v>
      </c>
      <c r="B2462" s="85" t="s">
        <v>19</v>
      </c>
      <c r="C2462" s="85" t="s">
        <v>19</v>
      </c>
      <c r="D2462" s="86"/>
      <c r="E2462" s="116" t="str">
        <f t="shared" si="117"/>
        <v>-</v>
      </c>
      <c r="F2462" s="85"/>
      <c r="G2462" s="85" t="s">
        <v>19</v>
      </c>
      <c r="H2462" s="85"/>
      <c r="I2462" s="85"/>
      <c r="J2462" s="87"/>
      <c r="K2462" s="88">
        <f t="shared" si="118"/>
        <v>0</v>
      </c>
      <c r="L2462" s="85"/>
    </row>
    <row r="2463" spans="1:12" hidden="1" x14ac:dyDescent="0.2">
      <c r="A2463" s="84" t="str">
        <f t="shared" si="116"/>
        <v>SelecioneSelecioneSelecione</v>
      </c>
      <c r="B2463" s="85" t="s">
        <v>19</v>
      </c>
      <c r="C2463" s="85" t="s">
        <v>19</v>
      </c>
      <c r="D2463" s="86"/>
      <c r="E2463" s="116" t="str">
        <f t="shared" si="117"/>
        <v>-</v>
      </c>
      <c r="F2463" s="85"/>
      <c r="G2463" s="85" t="s">
        <v>19</v>
      </c>
      <c r="H2463" s="85"/>
      <c r="I2463" s="85"/>
      <c r="J2463" s="87"/>
      <c r="K2463" s="88">
        <f t="shared" si="118"/>
        <v>0</v>
      </c>
      <c r="L2463" s="85"/>
    </row>
    <row r="2464" spans="1:12" hidden="1" x14ac:dyDescent="0.2">
      <c r="A2464" s="84" t="str">
        <f t="shared" si="116"/>
        <v>SelecioneSelecioneSelecione</v>
      </c>
      <c r="B2464" s="85" t="s">
        <v>19</v>
      </c>
      <c r="C2464" s="85" t="s">
        <v>19</v>
      </c>
      <c r="D2464" s="86"/>
      <c r="E2464" s="116" t="str">
        <f t="shared" si="117"/>
        <v>-</v>
      </c>
      <c r="F2464" s="85"/>
      <c r="G2464" s="85" t="s">
        <v>19</v>
      </c>
      <c r="H2464" s="85"/>
      <c r="I2464" s="85"/>
      <c r="J2464" s="87"/>
      <c r="K2464" s="88">
        <f t="shared" si="118"/>
        <v>0</v>
      </c>
      <c r="L2464" s="85"/>
    </row>
    <row r="2465" spans="1:12" hidden="1" x14ac:dyDescent="0.2">
      <c r="A2465" s="84" t="str">
        <f t="shared" si="116"/>
        <v>SelecioneSelecioneSelecione</v>
      </c>
      <c r="B2465" s="85" t="s">
        <v>19</v>
      </c>
      <c r="C2465" s="85" t="s">
        <v>19</v>
      </c>
      <c r="D2465" s="86"/>
      <c r="E2465" s="116" t="str">
        <f t="shared" si="117"/>
        <v>-</v>
      </c>
      <c r="F2465" s="85"/>
      <c r="G2465" s="85" t="s">
        <v>19</v>
      </c>
      <c r="H2465" s="85"/>
      <c r="I2465" s="85"/>
      <c r="J2465" s="87"/>
      <c r="K2465" s="88">
        <f t="shared" si="118"/>
        <v>0</v>
      </c>
      <c r="L2465" s="85"/>
    </row>
    <row r="2466" spans="1:12" hidden="1" x14ac:dyDescent="0.2">
      <c r="A2466" s="84" t="str">
        <f t="shared" si="116"/>
        <v>SelecioneSelecioneSelecione</v>
      </c>
      <c r="B2466" s="85" t="s">
        <v>19</v>
      </c>
      <c r="C2466" s="85" t="s">
        <v>19</v>
      </c>
      <c r="D2466" s="86"/>
      <c r="E2466" s="116" t="str">
        <f t="shared" si="117"/>
        <v>-</v>
      </c>
      <c r="F2466" s="85"/>
      <c r="G2466" s="85" t="s">
        <v>19</v>
      </c>
      <c r="H2466" s="85"/>
      <c r="I2466" s="85"/>
      <c r="J2466" s="87"/>
      <c r="K2466" s="88">
        <f t="shared" si="118"/>
        <v>0</v>
      </c>
      <c r="L2466" s="85"/>
    </row>
    <row r="2467" spans="1:12" hidden="1" x14ac:dyDescent="0.2">
      <c r="A2467" s="84" t="str">
        <f t="shared" si="116"/>
        <v>SelecioneSelecioneSelecione</v>
      </c>
      <c r="B2467" s="85" t="s">
        <v>19</v>
      </c>
      <c r="C2467" s="85" t="s">
        <v>19</v>
      </c>
      <c r="D2467" s="86"/>
      <c r="E2467" s="116" t="str">
        <f t="shared" si="117"/>
        <v>-</v>
      </c>
      <c r="F2467" s="85"/>
      <c r="G2467" s="85" t="s">
        <v>19</v>
      </c>
      <c r="H2467" s="85"/>
      <c r="I2467" s="85"/>
      <c r="J2467" s="87"/>
      <c r="K2467" s="88">
        <f t="shared" si="118"/>
        <v>0</v>
      </c>
      <c r="L2467" s="85"/>
    </row>
    <row r="2468" spans="1:12" hidden="1" x14ac:dyDescent="0.2">
      <c r="A2468" s="84" t="str">
        <f t="shared" si="116"/>
        <v>SelecioneSelecioneSelecione</v>
      </c>
      <c r="B2468" s="85" t="s">
        <v>19</v>
      </c>
      <c r="C2468" s="85" t="s">
        <v>19</v>
      </c>
      <c r="D2468" s="86"/>
      <c r="E2468" s="116" t="str">
        <f t="shared" si="117"/>
        <v>-</v>
      </c>
      <c r="F2468" s="85"/>
      <c r="G2468" s="85" t="s">
        <v>19</v>
      </c>
      <c r="H2468" s="85"/>
      <c r="I2468" s="85"/>
      <c r="J2468" s="87"/>
      <c r="K2468" s="88">
        <f t="shared" si="118"/>
        <v>0</v>
      </c>
      <c r="L2468" s="85"/>
    </row>
    <row r="2469" spans="1:12" hidden="1" x14ac:dyDescent="0.2">
      <c r="A2469" s="84" t="str">
        <f t="shared" si="116"/>
        <v>SelecioneSelecioneSelecione</v>
      </c>
      <c r="B2469" s="85" t="s">
        <v>19</v>
      </c>
      <c r="C2469" s="85" t="s">
        <v>19</v>
      </c>
      <c r="D2469" s="86"/>
      <c r="E2469" s="116" t="str">
        <f t="shared" si="117"/>
        <v>-</v>
      </c>
      <c r="F2469" s="85"/>
      <c r="G2469" s="85" t="s">
        <v>19</v>
      </c>
      <c r="H2469" s="85"/>
      <c r="I2469" s="85"/>
      <c r="J2469" s="87"/>
      <c r="K2469" s="88">
        <f t="shared" si="118"/>
        <v>0</v>
      </c>
      <c r="L2469" s="85"/>
    </row>
    <row r="2470" spans="1:12" hidden="1" x14ac:dyDescent="0.2">
      <c r="A2470" s="84" t="str">
        <f t="shared" si="116"/>
        <v>SelecioneSelecioneSelecione</v>
      </c>
      <c r="B2470" s="85" t="s">
        <v>19</v>
      </c>
      <c r="C2470" s="85" t="s">
        <v>19</v>
      </c>
      <c r="D2470" s="86"/>
      <c r="E2470" s="116" t="str">
        <f t="shared" si="117"/>
        <v>-</v>
      </c>
      <c r="F2470" s="85"/>
      <c r="G2470" s="85" t="s">
        <v>19</v>
      </c>
      <c r="H2470" s="85"/>
      <c r="I2470" s="85"/>
      <c r="J2470" s="87"/>
      <c r="K2470" s="88">
        <f t="shared" si="118"/>
        <v>0</v>
      </c>
      <c r="L2470" s="85"/>
    </row>
    <row r="2471" spans="1:12" hidden="1" x14ac:dyDescent="0.2">
      <c r="A2471" s="84" t="str">
        <f t="shared" si="116"/>
        <v>SelecioneSelecioneSelecione</v>
      </c>
      <c r="B2471" s="85" t="s">
        <v>19</v>
      </c>
      <c r="C2471" s="85" t="s">
        <v>19</v>
      </c>
      <c r="D2471" s="86"/>
      <c r="E2471" s="116" t="str">
        <f t="shared" si="117"/>
        <v>-</v>
      </c>
      <c r="F2471" s="85"/>
      <c r="G2471" s="85" t="s">
        <v>19</v>
      </c>
      <c r="H2471" s="85"/>
      <c r="I2471" s="85"/>
      <c r="J2471" s="87"/>
      <c r="K2471" s="88">
        <f t="shared" si="118"/>
        <v>0</v>
      </c>
      <c r="L2471" s="85"/>
    </row>
    <row r="2472" spans="1:12" hidden="1" x14ac:dyDescent="0.2">
      <c r="A2472" s="84" t="str">
        <f t="shared" si="116"/>
        <v>SelecioneSelecioneSelecione</v>
      </c>
      <c r="B2472" s="85" t="s">
        <v>19</v>
      </c>
      <c r="C2472" s="85" t="s">
        <v>19</v>
      </c>
      <c r="D2472" s="86"/>
      <c r="E2472" s="116" t="str">
        <f t="shared" si="117"/>
        <v>-</v>
      </c>
      <c r="F2472" s="85"/>
      <c r="G2472" s="85" t="s">
        <v>19</v>
      </c>
      <c r="H2472" s="85"/>
      <c r="I2472" s="85"/>
      <c r="J2472" s="87"/>
      <c r="K2472" s="88">
        <f t="shared" si="118"/>
        <v>0</v>
      </c>
      <c r="L2472" s="85"/>
    </row>
    <row r="2473" spans="1:12" hidden="1" x14ac:dyDescent="0.2">
      <c r="A2473" s="84" t="str">
        <f t="shared" si="116"/>
        <v>SelecioneSelecioneSelecione</v>
      </c>
      <c r="B2473" s="85" t="s">
        <v>19</v>
      </c>
      <c r="C2473" s="85" t="s">
        <v>19</v>
      </c>
      <c r="D2473" s="86"/>
      <c r="E2473" s="116" t="str">
        <f t="shared" si="117"/>
        <v>-</v>
      </c>
      <c r="F2473" s="85"/>
      <c r="G2473" s="85" t="s">
        <v>19</v>
      </c>
      <c r="H2473" s="85"/>
      <c r="I2473" s="85"/>
      <c r="J2473" s="87"/>
      <c r="K2473" s="88">
        <f t="shared" si="118"/>
        <v>0</v>
      </c>
      <c r="L2473" s="85"/>
    </row>
    <row r="2474" spans="1:12" hidden="1" x14ac:dyDescent="0.2">
      <c r="A2474" s="84" t="str">
        <f t="shared" si="116"/>
        <v>SelecioneSelecioneSelecione</v>
      </c>
      <c r="B2474" s="85" t="s">
        <v>19</v>
      </c>
      <c r="C2474" s="85" t="s">
        <v>19</v>
      </c>
      <c r="D2474" s="86"/>
      <c r="E2474" s="116" t="str">
        <f t="shared" si="117"/>
        <v>-</v>
      </c>
      <c r="F2474" s="85"/>
      <c r="G2474" s="85" t="s">
        <v>19</v>
      </c>
      <c r="H2474" s="85"/>
      <c r="I2474" s="85"/>
      <c r="J2474" s="87"/>
      <c r="K2474" s="88">
        <f t="shared" si="118"/>
        <v>0</v>
      </c>
      <c r="L2474" s="85"/>
    </row>
    <row r="2475" spans="1:12" hidden="1" x14ac:dyDescent="0.2">
      <c r="A2475" s="84" t="str">
        <f t="shared" si="116"/>
        <v>SelecioneSelecioneSelecione</v>
      </c>
      <c r="B2475" s="85" t="s">
        <v>19</v>
      </c>
      <c r="C2475" s="85" t="s">
        <v>19</v>
      </c>
      <c r="D2475" s="86"/>
      <c r="E2475" s="116" t="str">
        <f t="shared" si="117"/>
        <v>-</v>
      </c>
      <c r="F2475" s="85"/>
      <c r="G2475" s="85" t="s">
        <v>19</v>
      </c>
      <c r="H2475" s="85"/>
      <c r="I2475" s="85"/>
      <c r="J2475" s="87"/>
      <c r="K2475" s="88">
        <f t="shared" si="118"/>
        <v>0</v>
      </c>
      <c r="L2475" s="85"/>
    </row>
    <row r="2476" spans="1:12" hidden="1" x14ac:dyDescent="0.2">
      <c r="A2476" s="84" t="str">
        <f t="shared" si="116"/>
        <v>SelecioneSelecioneSelecione</v>
      </c>
      <c r="B2476" s="85" t="s">
        <v>19</v>
      </c>
      <c r="C2476" s="85" t="s">
        <v>19</v>
      </c>
      <c r="D2476" s="86"/>
      <c r="E2476" s="116" t="str">
        <f t="shared" si="117"/>
        <v>-</v>
      </c>
      <c r="F2476" s="85"/>
      <c r="G2476" s="85" t="s">
        <v>19</v>
      </c>
      <c r="H2476" s="85"/>
      <c r="I2476" s="85"/>
      <c r="J2476" s="87"/>
      <c r="K2476" s="88">
        <f t="shared" si="118"/>
        <v>0</v>
      </c>
      <c r="L2476" s="85"/>
    </row>
    <row r="2477" spans="1:12" hidden="1" x14ac:dyDescent="0.2">
      <c r="A2477" s="84" t="str">
        <f t="shared" si="116"/>
        <v>SelecioneSelecioneSelecione</v>
      </c>
      <c r="B2477" s="85" t="s">
        <v>19</v>
      </c>
      <c r="C2477" s="85" t="s">
        <v>19</v>
      </c>
      <c r="D2477" s="86"/>
      <c r="E2477" s="116" t="str">
        <f t="shared" si="117"/>
        <v>-</v>
      </c>
      <c r="F2477" s="85"/>
      <c r="G2477" s="85" t="s">
        <v>19</v>
      </c>
      <c r="H2477" s="85"/>
      <c r="I2477" s="85"/>
      <c r="J2477" s="87"/>
      <c r="K2477" s="88">
        <f t="shared" si="118"/>
        <v>0</v>
      </c>
      <c r="L2477" s="85"/>
    </row>
    <row r="2478" spans="1:12" hidden="1" x14ac:dyDescent="0.2">
      <c r="A2478" s="84" t="str">
        <f t="shared" si="116"/>
        <v>SelecioneSelecioneSelecione</v>
      </c>
      <c r="B2478" s="85" t="s">
        <v>19</v>
      </c>
      <c r="C2478" s="85" t="s">
        <v>19</v>
      </c>
      <c r="D2478" s="86"/>
      <c r="E2478" s="116" t="str">
        <f t="shared" si="117"/>
        <v>-</v>
      </c>
      <c r="F2478" s="85"/>
      <c r="G2478" s="85" t="s">
        <v>19</v>
      </c>
      <c r="H2478" s="85"/>
      <c r="I2478" s="85"/>
      <c r="J2478" s="87"/>
      <c r="K2478" s="88">
        <f t="shared" si="118"/>
        <v>0</v>
      </c>
      <c r="L2478" s="85"/>
    </row>
    <row r="2479" spans="1:12" hidden="1" x14ac:dyDescent="0.2">
      <c r="A2479" s="84" t="str">
        <f t="shared" si="116"/>
        <v>SelecioneSelecioneSelecione</v>
      </c>
      <c r="B2479" s="85" t="s">
        <v>19</v>
      </c>
      <c r="C2479" s="85" t="s">
        <v>19</v>
      </c>
      <c r="D2479" s="86"/>
      <c r="E2479" s="116" t="str">
        <f t="shared" si="117"/>
        <v>-</v>
      </c>
      <c r="F2479" s="85"/>
      <c r="G2479" s="85" t="s">
        <v>19</v>
      </c>
      <c r="H2479" s="85"/>
      <c r="I2479" s="85"/>
      <c r="J2479" s="87"/>
      <c r="K2479" s="88">
        <f t="shared" si="118"/>
        <v>0</v>
      </c>
      <c r="L2479" s="85"/>
    </row>
    <row r="2480" spans="1:12" hidden="1" x14ac:dyDescent="0.2">
      <c r="A2480" s="84" t="str">
        <f t="shared" si="116"/>
        <v>SelecioneSelecioneSelecione</v>
      </c>
      <c r="B2480" s="85" t="s">
        <v>19</v>
      </c>
      <c r="C2480" s="85" t="s">
        <v>19</v>
      </c>
      <c r="D2480" s="86"/>
      <c r="E2480" s="116" t="str">
        <f t="shared" si="117"/>
        <v>-</v>
      </c>
      <c r="F2480" s="85"/>
      <c r="G2480" s="85" t="s">
        <v>19</v>
      </c>
      <c r="H2480" s="85"/>
      <c r="I2480" s="85"/>
      <c r="J2480" s="87"/>
      <c r="K2480" s="88">
        <f t="shared" si="118"/>
        <v>0</v>
      </c>
      <c r="L2480" s="85"/>
    </row>
    <row r="2481" spans="1:12" hidden="1" x14ac:dyDescent="0.2">
      <c r="A2481" s="84" t="str">
        <f t="shared" si="116"/>
        <v>SelecioneSelecioneSelecione</v>
      </c>
      <c r="B2481" s="85" t="s">
        <v>19</v>
      </c>
      <c r="C2481" s="85" t="s">
        <v>19</v>
      </c>
      <c r="D2481" s="86"/>
      <c r="E2481" s="116" t="str">
        <f t="shared" si="117"/>
        <v>-</v>
      </c>
      <c r="F2481" s="85"/>
      <c r="G2481" s="85" t="s">
        <v>19</v>
      </c>
      <c r="H2481" s="85"/>
      <c r="I2481" s="85"/>
      <c r="J2481" s="87"/>
      <c r="K2481" s="88">
        <f t="shared" si="118"/>
        <v>0</v>
      </c>
      <c r="L2481" s="85"/>
    </row>
    <row r="2482" spans="1:12" hidden="1" x14ac:dyDescent="0.2">
      <c r="A2482" s="84" t="str">
        <f t="shared" si="116"/>
        <v>SelecioneSelecioneSelecione</v>
      </c>
      <c r="B2482" s="85" t="s">
        <v>19</v>
      </c>
      <c r="C2482" s="85" t="s">
        <v>19</v>
      </c>
      <c r="D2482" s="86"/>
      <c r="E2482" s="116" t="str">
        <f t="shared" si="117"/>
        <v>-</v>
      </c>
      <c r="F2482" s="85"/>
      <c r="G2482" s="85" t="s">
        <v>19</v>
      </c>
      <c r="H2482" s="85"/>
      <c r="I2482" s="85"/>
      <c r="J2482" s="87"/>
      <c r="K2482" s="88">
        <f t="shared" si="118"/>
        <v>0</v>
      </c>
      <c r="L2482" s="85"/>
    </row>
    <row r="2483" spans="1:12" hidden="1" x14ac:dyDescent="0.2">
      <c r="A2483" s="84" t="str">
        <f t="shared" si="116"/>
        <v>SelecioneSelecioneSelecione</v>
      </c>
      <c r="B2483" s="85" t="s">
        <v>19</v>
      </c>
      <c r="C2483" s="85" t="s">
        <v>19</v>
      </c>
      <c r="D2483" s="86"/>
      <c r="E2483" s="116" t="str">
        <f t="shared" si="117"/>
        <v>-</v>
      </c>
      <c r="F2483" s="85"/>
      <c r="G2483" s="85" t="s">
        <v>19</v>
      </c>
      <c r="H2483" s="85"/>
      <c r="I2483" s="85"/>
      <c r="J2483" s="87"/>
      <c r="K2483" s="88">
        <f t="shared" si="118"/>
        <v>0</v>
      </c>
      <c r="L2483" s="85"/>
    </row>
    <row r="2484" spans="1:12" hidden="1" x14ac:dyDescent="0.2">
      <c r="A2484" s="84" t="str">
        <f t="shared" si="116"/>
        <v>SelecioneSelecioneSelecione</v>
      </c>
      <c r="B2484" s="85" t="s">
        <v>19</v>
      </c>
      <c r="C2484" s="85" t="s">
        <v>19</v>
      </c>
      <c r="D2484" s="93"/>
      <c r="E2484" s="116" t="str">
        <f t="shared" si="117"/>
        <v>-</v>
      </c>
      <c r="F2484" s="90"/>
      <c r="G2484" s="85" t="s">
        <v>19</v>
      </c>
      <c r="H2484" s="85"/>
      <c r="I2484" s="90"/>
      <c r="J2484" s="89"/>
      <c r="K2484" s="88">
        <f t="shared" si="118"/>
        <v>0</v>
      </c>
      <c r="L2484" s="90"/>
    </row>
    <row r="2485" spans="1:12" hidden="1" x14ac:dyDescent="0.2">
      <c r="A2485" s="84" t="str">
        <f t="shared" si="116"/>
        <v>SelecioneSelecioneSelecione</v>
      </c>
      <c r="B2485" s="85" t="s">
        <v>19</v>
      </c>
      <c r="C2485" s="85" t="s">
        <v>19</v>
      </c>
      <c r="D2485" s="86"/>
      <c r="E2485" s="116" t="str">
        <f t="shared" si="117"/>
        <v>-</v>
      </c>
      <c r="F2485" s="85"/>
      <c r="G2485" s="85" t="s">
        <v>19</v>
      </c>
      <c r="H2485" s="85"/>
      <c r="I2485" s="85"/>
      <c r="J2485" s="87"/>
      <c r="K2485" s="88">
        <f t="shared" si="118"/>
        <v>0</v>
      </c>
      <c r="L2485" s="85"/>
    </row>
    <row r="2486" spans="1:12" hidden="1" x14ac:dyDescent="0.2">
      <c r="A2486" s="84" t="str">
        <f t="shared" si="116"/>
        <v>SelecioneSelecioneSelecione</v>
      </c>
      <c r="B2486" s="85" t="s">
        <v>19</v>
      </c>
      <c r="C2486" s="85" t="s">
        <v>19</v>
      </c>
      <c r="D2486" s="86"/>
      <c r="E2486" s="116" t="str">
        <f t="shared" si="117"/>
        <v>-</v>
      </c>
      <c r="F2486" s="85"/>
      <c r="G2486" s="85" t="s">
        <v>19</v>
      </c>
      <c r="H2486" s="85"/>
      <c r="I2486" s="85"/>
      <c r="J2486" s="87"/>
      <c r="K2486" s="88">
        <f t="shared" si="118"/>
        <v>0</v>
      </c>
      <c r="L2486" s="85"/>
    </row>
    <row r="2487" spans="1:12" hidden="1" x14ac:dyDescent="0.2">
      <c r="A2487" s="84" t="str">
        <f t="shared" si="116"/>
        <v>SelecioneSelecioneSelecione</v>
      </c>
      <c r="B2487" s="85" t="s">
        <v>19</v>
      </c>
      <c r="C2487" s="85" t="s">
        <v>19</v>
      </c>
      <c r="D2487" s="86"/>
      <c r="E2487" s="116" t="str">
        <f t="shared" si="117"/>
        <v>-</v>
      </c>
      <c r="F2487" s="85"/>
      <c r="G2487" s="85" t="s">
        <v>19</v>
      </c>
      <c r="H2487" s="85"/>
      <c r="I2487" s="85"/>
      <c r="J2487" s="87"/>
      <c r="K2487" s="88">
        <f t="shared" si="118"/>
        <v>0</v>
      </c>
      <c r="L2487" s="85"/>
    </row>
    <row r="2488" spans="1:12" hidden="1" x14ac:dyDescent="0.2">
      <c r="A2488" s="84" t="str">
        <f t="shared" si="116"/>
        <v>SelecioneSelecioneSelecione</v>
      </c>
      <c r="B2488" s="85" t="s">
        <v>19</v>
      </c>
      <c r="C2488" s="85" t="s">
        <v>19</v>
      </c>
      <c r="D2488" s="86"/>
      <c r="E2488" s="116" t="str">
        <f t="shared" si="117"/>
        <v>-</v>
      </c>
      <c r="F2488" s="85"/>
      <c r="G2488" s="85" t="s">
        <v>19</v>
      </c>
      <c r="H2488" s="85"/>
      <c r="I2488" s="85"/>
      <c r="J2488" s="87"/>
      <c r="K2488" s="88">
        <f t="shared" si="118"/>
        <v>0</v>
      </c>
      <c r="L2488" s="85"/>
    </row>
    <row r="2489" spans="1:12" hidden="1" x14ac:dyDescent="0.2">
      <c r="A2489" s="84" t="str">
        <f t="shared" si="116"/>
        <v>SelecioneSelecioneSelecione</v>
      </c>
      <c r="B2489" s="85" t="s">
        <v>19</v>
      </c>
      <c r="C2489" s="85" t="s">
        <v>19</v>
      </c>
      <c r="D2489" s="86"/>
      <c r="E2489" s="116" t="str">
        <f t="shared" si="117"/>
        <v>-</v>
      </c>
      <c r="F2489" s="85"/>
      <c r="G2489" s="85" t="s">
        <v>19</v>
      </c>
      <c r="H2489" s="85"/>
      <c r="I2489" s="85"/>
      <c r="J2489" s="87"/>
      <c r="K2489" s="88">
        <f t="shared" si="118"/>
        <v>0</v>
      </c>
      <c r="L2489" s="85"/>
    </row>
    <row r="2490" spans="1:12" hidden="1" x14ac:dyDescent="0.2">
      <c r="A2490" s="84" t="str">
        <f t="shared" si="116"/>
        <v>SelecioneSelecioneSelecione</v>
      </c>
      <c r="B2490" s="85" t="s">
        <v>19</v>
      </c>
      <c r="C2490" s="85" t="s">
        <v>19</v>
      </c>
      <c r="D2490" s="86"/>
      <c r="E2490" s="116" t="str">
        <f t="shared" si="117"/>
        <v>-</v>
      </c>
      <c r="F2490" s="85"/>
      <c r="G2490" s="85" t="s">
        <v>19</v>
      </c>
      <c r="H2490" s="85"/>
      <c r="I2490" s="85"/>
      <c r="J2490" s="87"/>
      <c r="K2490" s="88">
        <f t="shared" si="118"/>
        <v>0</v>
      </c>
      <c r="L2490" s="85"/>
    </row>
    <row r="2491" spans="1:12" hidden="1" x14ac:dyDescent="0.2">
      <c r="A2491" s="84" t="str">
        <f t="shared" si="116"/>
        <v>SelecioneSelecioneSelecione</v>
      </c>
      <c r="B2491" s="85" t="s">
        <v>19</v>
      </c>
      <c r="C2491" s="85" t="s">
        <v>19</v>
      </c>
      <c r="D2491" s="86"/>
      <c r="E2491" s="116" t="str">
        <f t="shared" si="117"/>
        <v>-</v>
      </c>
      <c r="F2491" s="85"/>
      <c r="G2491" s="85" t="s">
        <v>19</v>
      </c>
      <c r="H2491" s="85"/>
      <c r="I2491" s="85"/>
      <c r="J2491" s="87"/>
      <c r="K2491" s="88">
        <f t="shared" si="118"/>
        <v>0</v>
      </c>
      <c r="L2491" s="85"/>
    </row>
    <row r="2492" spans="1:12" hidden="1" x14ac:dyDescent="0.2">
      <c r="A2492" s="84" t="str">
        <f t="shared" si="116"/>
        <v>SelecioneSelecioneSelecione</v>
      </c>
      <c r="B2492" s="85" t="s">
        <v>19</v>
      </c>
      <c r="C2492" s="85" t="s">
        <v>19</v>
      </c>
      <c r="D2492" s="86"/>
      <c r="E2492" s="116" t="str">
        <f t="shared" si="117"/>
        <v>-</v>
      </c>
      <c r="F2492" s="85"/>
      <c r="G2492" s="85" t="s">
        <v>19</v>
      </c>
      <c r="H2492" s="85"/>
      <c r="I2492" s="85"/>
      <c r="J2492" s="87"/>
      <c r="K2492" s="88">
        <f t="shared" si="118"/>
        <v>0</v>
      </c>
      <c r="L2492" s="85"/>
    </row>
    <row r="2493" spans="1:12" hidden="1" x14ac:dyDescent="0.2">
      <c r="A2493" s="84" t="str">
        <f t="shared" si="116"/>
        <v>SelecioneSelecioneSelecione</v>
      </c>
      <c r="B2493" s="85" t="s">
        <v>19</v>
      </c>
      <c r="C2493" s="85" t="s">
        <v>19</v>
      </c>
      <c r="D2493" s="86"/>
      <c r="E2493" s="116" t="str">
        <f t="shared" si="117"/>
        <v>-</v>
      </c>
      <c r="F2493" s="85"/>
      <c r="G2493" s="85" t="s">
        <v>19</v>
      </c>
      <c r="H2493" s="85"/>
      <c r="I2493" s="85"/>
      <c r="J2493" s="87"/>
      <c r="K2493" s="88">
        <f t="shared" si="118"/>
        <v>0</v>
      </c>
      <c r="L2493" s="85"/>
    </row>
    <row r="2494" spans="1:12" hidden="1" x14ac:dyDescent="0.2">
      <c r="A2494" s="84" t="str">
        <f t="shared" si="116"/>
        <v>SelecioneSelecioneSelecione</v>
      </c>
      <c r="B2494" s="85" t="s">
        <v>19</v>
      </c>
      <c r="C2494" s="85" t="s">
        <v>19</v>
      </c>
      <c r="D2494" s="86"/>
      <c r="E2494" s="116" t="str">
        <f t="shared" si="117"/>
        <v>-</v>
      </c>
      <c r="F2494" s="85"/>
      <c r="G2494" s="85" t="s">
        <v>19</v>
      </c>
      <c r="H2494" s="85"/>
      <c r="I2494" s="85"/>
      <c r="J2494" s="87"/>
      <c r="K2494" s="88">
        <f t="shared" si="118"/>
        <v>0</v>
      </c>
      <c r="L2494" s="85"/>
    </row>
    <row r="2495" spans="1:12" hidden="1" x14ac:dyDescent="0.2">
      <c r="A2495" s="84" t="str">
        <f t="shared" si="116"/>
        <v>SelecioneSelecioneSelecione</v>
      </c>
      <c r="B2495" s="85" t="s">
        <v>19</v>
      </c>
      <c r="C2495" s="85" t="s">
        <v>19</v>
      </c>
      <c r="D2495" s="86"/>
      <c r="E2495" s="116" t="str">
        <f t="shared" si="117"/>
        <v>-</v>
      </c>
      <c r="F2495" s="85"/>
      <c r="G2495" s="85" t="s">
        <v>19</v>
      </c>
      <c r="H2495" s="85"/>
      <c r="I2495" s="85"/>
      <c r="J2495" s="87"/>
      <c r="K2495" s="88">
        <f t="shared" si="118"/>
        <v>0</v>
      </c>
      <c r="L2495" s="85"/>
    </row>
    <row r="2496" spans="1:12" hidden="1" x14ac:dyDescent="0.2">
      <c r="A2496" s="84" t="str">
        <f t="shared" si="116"/>
        <v>SelecioneSelecioneSelecione</v>
      </c>
      <c r="B2496" s="85" t="s">
        <v>19</v>
      </c>
      <c r="C2496" s="85" t="s">
        <v>19</v>
      </c>
      <c r="D2496" s="86"/>
      <c r="E2496" s="116" t="str">
        <f t="shared" si="117"/>
        <v>-</v>
      </c>
      <c r="F2496" s="85"/>
      <c r="G2496" s="85" t="s">
        <v>19</v>
      </c>
      <c r="H2496" s="85"/>
      <c r="I2496" s="85"/>
      <c r="J2496" s="87"/>
      <c r="K2496" s="88">
        <f t="shared" si="118"/>
        <v>0</v>
      </c>
      <c r="L2496" s="85"/>
    </row>
    <row r="2497" spans="1:12" hidden="1" x14ac:dyDescent="0.2">
      <c r="A2497" s="84" t="str">
        <f t="shared" si="116"/>
        <v>SelecioneSelecioneSelecione</v>
      </c>
      <c r="B2497" s="85" t="s">
        <v>19</v>
      </c>
      <c r="C2497" s="85" t="s">
        <v>19</v>
      </c>
      <c r="D2497" s="86"/>
      <c r="E2497" s="116" t="str">
        <f t="shared" si="117"/>
        <v>-</v>
      </c>
      <c r="F2497" s="85"/>
      <c r="G2497" s="85" t="s">
        <v>19</v>
      </c>
      <c r="H2497" s="85"/>
      <c r="I2497" s="85"/>
      <c r="J2497" s="87"/>
      <c r="K2497" s="88">
        <f t="shared" si="118"/>
        <v>0</v>
      </c>
      <c r="L2497" s="85"/>
    </row>
    <row r="2498" spans="1:12" hidden="1" x14ac:dyDescent="0.2">
      <c r="A2498" s="84" t="str">
        <f t="shared" ref="A2498:A2561" si="119">CONCATENATE(B2498,C2498,G2498)</f>
        <v>SelecioneSelecioneSelecione</v>
      </c>
      <c r="B2498" s="85" t="s">
        <v>19</v>
      </c>
      <c r="C2498" s="85" t="s">
        <v>19</v>
      </c>
      <c r="D2498" s="86"/>
      <c r="E2498" s="116" t="str">
        <f t="shared" ref="E2498:E2561" si="120">VLOOKUP(G2498,$M$1:$O$993,3,0)</f>
        <v>-</v>
      </c>
      <c r="F2498" s="85"/>
      <c r="G2498" s="85" t="s">
        <v>19</v>
      </c>
      <c r="H2498" s="85"/>
      <c r="I2498" s="85"/>
      <c r="J2498" s="87"/>
      <c r="K2498" s="88">
        <f t="shared" ref="K2498:K2561" si="121">I2498*J2498</f>
        <v>0</v>
      </c>
      <c r="L2498" s="85"/>
    </row>
    <row r="2499" spans="1:12" hidden="1" x14ac:dyDescent="0.2">
      <c r="A2499" s="84" t="str">
        <f t="shared" si="119"/>
        <v>SelecioneSelecioneSelecione</v>
      </c>
      <c r="B2499" s="85" t="s">
        <v>19</v>
      </c>
      <c r="C2499" s="85" t="s">
        <v>19</v>
      </c>
      <c r="D2499" s="86"/>
      <c r="E2499" s="116" t="str">
        <f t="shared" si="120"/>
        <v>-</v>
      </c>
      <c r="F2499" s="85"/>
      <c r="G2499" s="85" t="s">
        <v>19</v>
      </c>
      <c r="H2499" s="85"/>
      <c r="I2499" s="85"/>
      <c r="J2499" s="87"/>
      <c r="K2499" s="88">
        <f t="shared" si="121"/>
        <v>0</v>
      </c>
      <c r="L2499" s="85"/>
    </row>
    <row r="2500" spans="1:12" hidden="1" x14ac:dyDescent="0.2">
      <c r="A2500" s="84" t="str">
        <f t="shared" si="119"/>
        <v>SelecioneSelecioneSelecione</v>
      </c>
      <c r="B2500" s="85" t="s">
        <v>19</v>
      </c>
      <c r="C2500" s="85" t="s">
        <v>19</v>
      </c>
      <c r="D2500" s="86"/>
      <c r="E2500" s="116" t="str">
        <f t="shared" si="120"/>
        <v>-</v>
      </c>
      <c r="F2500" s="85"/>
      <c r="G2500" s="85" t="s">
        <v>19</v>
      </c>
      <c r="H2500" s="85"/>
      <c r="I2500" s="85"/>
      <c r="J2500" s="87"/>
      <c r="K2500" s="88">
        <f t="shared" si="121"/>
        <v>0</v>
      </c>
      <c r="L2500" s="85"/>
    </row>
    <row r="2501" spans="1:12" hidden="1" x14ac:dyDescent="0.2">
      <c r="A2501" s="84" t="str">
        <f t="shared" si="119"/>
        <v>SelecioneSelecioneSelecione</v>
      </c>
      <c r="B2501" s="85" t="s">
        <v>19</v>
      </c>
      <c r="C2501" s="85" t="s">
        <v>19</v>
      </c>
      <c r="D2501" s="86"/>
      <c r="E2501" s="116" t="str">
        <f t="shared" si="120"/>
        <v>-</v>
      </c>
      <c r="F2501" s="85"/>
      <c r="G2501" s="85" t="s">
        <v>19</v>
      </c>
      <c r="H2501" s="85"/>
      <c r="I2501" s="85"/>
      <c r="J2501" s="87"/>
      <c r="K2501" s="88">
        <f t="shared" si="121"/>
        <v>0</v>
      </c>
      <c r="L2501" s="85"/>
    </row>
    <row r="2502" spans="1:12" hidden="1" x14ac:dyDescent="0.2">
      <c r="A2502" s="84" t="str">
        <f t="shared" si="119"/>
        <v>SelecioneSelecioneSelecione</v>
      </c>
      <c r="B2502" s="85" t="s">
        <v>19</v>
      </c>
      <c r="C2502" s="85" t="s">
        <v>19</v>
      </c>
      <c r="D2502" s="86"/>
      <c r="E2502" s="116" t="str">
        <f t="shared" si="120"/>
        <v>-</v>
      </c>
      <c r="F2502" s="85"/>
      <c r="G2502" s="85" t="s">
        <v>19</v>
      </c>
      <c r="H2502" s="85"/>
      <c r="I2502" s="85"/>
      <c r="J2502" s="87"/>
      <c r="K2502" s="88">
        <f t="shared" si="121"/>
        <v>0</v>
      </c>
      <c r="L2502" s="85"/>
    </row>
    <row r="2503" spans="1:12" hidden="1" x14ac:dyDescent="0.2">
      <c r="A2503" s="84" t="str">
        <f t="shared" si="119"/>
        <v>SelecioneSelecioneSelecione</v>
      </c>
      <c r="B2503" s="85" t="s">
        <v>19</v>
      </c>
      <c r="C2503" s="85" t="s">
        <v>19</v>
      </c>
      <c r="D2503" s="86"/>
      <c r="E2503" s="116" t="str">
        <f t="shared" si="120"/>
        <v>-</v>
      </c>
      <c r="F2503" s="85"/>
      <c r="G2503" s="85" t="s">
        <v>19</v>
      </c>
      <c r="H2503" s="85"/>
      <c r="I2503" s="85"/>
      <c r="J2503" s="87"/>
      <c r="K2503" s="88">
        <f t="shared" si="121"/>
        <v>0</v>
      </c>
      <c r="L2503" s="85"/>
    </row>
    <row r="2504" spans="1:12" hidden="1" x14ac:dyDescent="0.2">
      <c r="A2504" s="84" t="str">
        <f t="shared" si="119"/>
        <v>SelecioneSelecioneSelecione</v>
      </c>
      <c r="B2504" s="85" t="s">
        <v>19</v>
      </c>
      <c r="C2504" s="85" t="s">
        <v>19</v>
      </c>
      <c r="D2504" s="86"/>
      <c r="E2504" s="116" t="str">
        <f t="shared" si="120"/>
        <v>-</v>
      </c>
      <c r="F2504" s="85"/>
      <c r="G2504" s="85" t="s">
        <v>19</v>
      </c>
      <c r="H2504" s="85"/>
      <c r="I2504" s="85"/>
      <c r="J2504" s="87"/>
      <c r="K2504" s="88">
        <f t="shared" si="121"/>
        <v>0</v>
      </c>
      <c r="L2504" s="85"/>
    </row>
    <row r="2505" spans="1:12" hidden="1" x14ac:dyDescent="0.2">
      <c r="A2505" s="84" t="str">
        <f t="shared" si="119"/>
        <v>SelecioneSelecioneSelecione</v>
      </c>
      <c r="B2505" s="85" t="s">
        <v>19</v>
      </c>
      <c r="C2505" s="85" t="s">
        <v>19</v>
      </c>
      <c r="D2505" s="86"/>
      <c r="E2505" s="116" t="str">
        <f t="shared" si="120"/>
        <v>-</v>
      </c>
      <c r="F2505" s="85"/>
      <c r="G2505" s="85" t="s">
        <v>19</v>
      </c>
      <c r="H2505" s="85"/>
      <c r="I2505" s="85"/>
      <c r="J2505" s="87"/>
      <c r="K2505" s="88">
        <f t="shared" si="121"/>
        <v>0</v>
      </c>
      <c r="L2505" s="85"/>
    </row>
    <row r="2506" spans="1:12" hidden="1" x14ac:dyDescent="0.2">
      <c r="A2506" s="84" t="str">
        <f t="shared" si="119"/>
        <v>SelecioneSelecioneSelecione</v>
      </c>
      <c r="B2506" s="85" t="s">
        <v>19</v>
      </c>
      <c r="C2506" s="85" t="s">
        <v>19</v>
      </c>
      <c r="D2506" s="86"/>
      <c r="E2506" s="116" t="str">
        <f t="shared" si="120"/>
        <v>-</v>
      </c>
      <c r="F2506" s="85"/>
      <c r="G2506" s="85" t="s">
        <v>19</v>
      </c>
      <c r="H2506" s="85"/>
      <c r="I2506" s="85"/>
      <c r="J2506" s="87"/>
      <c r="K2506" s="88">
        <f t="shared" si="121"/>
        <v>0</v>
      </c>
      <c r="L2506" s="85"/>
    </row>
    <row r="2507" spans="1:12" hidden="1" x14ac:dyDescent="0.2">
      <c r="A2507" s="84" t="str">
        <f t="shared" si="119"/>
        <v>SelecioneSelecioneSelecione</v>
      </c>
      <c r="B2507" s="85" t="s">
        <v>19</v>
      </c>
      <c r="C2507" s="85" t="s">
        <v>19</v>
      </c>
      <c r="D2507" s="86"/>
      <c r="E2507" s="116" t="str">
        <f t="shared" si="120"/>
        <v>-</v>
      </c>
      <c r="F2507" s="85"/>
      <c r="G2507" s="85" t="s">
        <v>19</v>
      </c>
      <c r="H2507" s="85"/>
      <c r="I2507" s="85"/>
      <c r="J2507" s="87"/>
      <c r="K2507" s="88">
        <f t="shared" si="121"/>
        <v>0</v>
      </c>
      <c r="L2507" s="85"/>
    </row>
    <row r="2508" spans="1:12" hidden="1" x14ac:dyDescent="0.2">
      <c r="A2508" s="84" t="str">
        <f t="shared" si="119"/>
        <v>SelecioneSelecioneSelecione</v>
      </c>
      <c r="B2508" s="85" t="s">
        <v>19</v>
      </c>
      <c r="C2508" s="85" t="s">
        <v>19</v>
      </c>
      <c r="D2508" s="86"/>
      <c r="E2508" s="116" t="str">
        <f t="shared" si="120"/>
        <v>-</v>
      </c>
      <c r="F2508" s="85"/>
      <c r="G2508" s="85" t="s">
        <v>19</v>
      </c>
      <c r="H2508" s="85"/>
      <c r="I2508" s="85"/>
      <c r="J2508" s="87"/>
      <c r="K2508" s="88">
        <f t="shared" si="121"/>
        <v>0</v>
      </c>
      <c r="L2508" s="85"/>
    </row>
    <row r="2509" spans="1:12" hidden="1" x14ac:dyDescent="0.2">
      <c r="A2509" s="84" t="str">
        <f t="shared" si="119"/>
        <v>SelecioneSelecioneSelecione</v>
      </c>
      <c r="B2509" s="85" t="s">
        <v>19</v>
      </c>
      <c r="C2509" s="85" t="s">
        <v>19</v>
      </c>
      <c r="D2509" s="86"/>
      <c r="E2509" s="116" t="str">
        <f t="shared" si="120"/>
        <v>-</v>
      </c>
      <c r="F2509" s="85"/>
      <c r="G2509" s="85" t="s">
        <v>19</v>
      </c>
      <c r="H2509" s="85"/>
      <c r="I2509" s="85"/>
      <c r="J2509" s="87"/>
      <c r="K2509" s="88">
        <f t="shared" si="121"/>
        <v>0</v>
      </c>
      <c r="L2509" s="85"/>
    </row>
    <row r="2510" spans="1:12" hidden="1" x14ac:dyDescent="0.2">
      <c r="A2510" s="84" t="str">
        <f t="shared" si="119"/>
        <v>SelecioneSelecioneSelecione</v>
      </c>
      <c r="B2510" s="85" t="s">
        <v>19</v>
      </c>
      <c r="C2510" s="85" t="s">
        <v>19</v>
      </c>
      <c r="D2510" s="86"/>
      <c r="E2510" s="116" t="str">
        <f t="shared" si="120"/>
        <v>-</v>
      </c>
      <c r="F2510" s="85"/>
      <c r="G2510" s="85" t="s">
        <v>19</v>
      </c>
      <c r="H2510" s="85"/>
      <c r="I2510" s="85"/>
      <c r="J2510" s="87"/>
      <c r="K2510" s="88">
        <f t="shared" si="121"/>
        <v>0</v>
      </c>
      <c r="L2510" s="85"/>
    </row>
    <row r="2511" spans="1:12" hidden="1" x14ac:dyDescent="0.2">
      <c r="A2511" s="84" t="str">
        <f t="shared" si="119"/>
        <v>SelecioneSelecioneSelecione</v>
      </c>
      <c r="B2511" s="85" t="s">
        <v>19</v>
      </c>
      <c r="C2511" s="85" t="s">
        <v>19</v>
      </c>
      <c r="D2511" s="86"/>
      <c r="E2511" s="116" t="str">
        <f t="shared" si="120"/>
        <v>-</v>
      </c>
      <c r="F2511" s="85"/>
      <c r="G2511" s="85" t="s">
        <v>19</v>
      </c>
      <c r="H2511" s="85"/>
      <c r="I2511" s="85"/>
      <c r="J2511" s="87"/>
      <c r="K2511" s="88">
        <f t="shared" si="121"/>
        <v>0</v>
      </c>
      <c r="L2511" s="85"/>
    </row>
    <row r="2512" spans="1:12" hidden="1" x14ac:dyDescent="0.2">
      <c r="A2512" s="84" t="str">
        <f t="shared" si="119"/>
        <v>SelecioneSelecioneSelecione</v>
      </c>
      <c r="B2512" s="85" t="s">
        <v>19</v>
      </c>
      <c r="C2512" s="85" t="s">
        <v>19</v>
      </c>
      <c r="D2512" s="86"/>
      <c r="E2512" s="116" t="str">
        <f t="shared" si="120"/>
        <v>-</v>
      </c>
      <c r="F2512" s="85"/>
      <c r="G2512" s="85" t="s">
        <v>19</v>
      </c>
      <c r="H2512" s="85"/>
      <c r="I2512" s="85"/>
      <c r="J2512" s="87"/>
      <c r="K2512" s="88">
        <f t="shared" si="121"/>
        <v>0</v>
      </c>
      <c r="L2512" s="85"/>
    </row>
    <row r="2513" spans="1:12" hidden="1" x14ac:dyDescent="0.2">
      <c r="A2513" s="84" t="str">
        <f t="shared" si="119"/>
        <v>SelecioneSelecioneSelecione</v>
      </c>
      <c r="B2513" s="85" t="s">
        <v>19</v>
      </c>
      <c r="C2513" s="85" t="s">
        <v>19</v>
      </c>
      <c r="D2513" s="86"/>
      <c r="E2513" s="116" t="str">
        <f t="shared" si="120"/>
        <v>-</v>
      </c>
      <c r="F2513" s="85"/>
      <c r="G2513" s="85" t="s">
        <v>19</v>
      </c>
      <c r="H2513" s="85"/>
      <c r="I2513" s="85"/>
      <c r="J2513" s="87"/>
      <c r="K2513" s="88">
        <f t="shared" si="121"/>
        <v>0</v>
      </c>
      <c r="L2513" s="85"/>
    </row>
    <row r="2514" spans="1:12" hidden="1" x14ac:dyDescent="0.2">
      <c r="A2514" s="84" t="str">
        <f t="shared" si="119"/>
        <v>SelecioneSelecioneSelecione</v>
      </c>
      <c r="B2514" s="85" t="s">
        <v>19</v>
      </c>
      <c r="C2514" s="85" t="s">
        <v>19</v>
      </c>
      <c r="D2514" s="93"/>
      <c r="E2514" s="116" t="str">
        <f t="shared" si="120"/>
        <v>-</v>
      </c>
      <c r="F2514" s="90"/>
      <c r="G2514" s="85" t="s">
        <v>19</v>
      </c>
      <c r="H2514" s="85"/>
      <c r="I2514" s="90"/>
      <c r="J2514" s="89"/>
      <c r="K2514" s="88">
        <f t="shared" si="121"/>
        <v>0</v>
      </c>
      <c r="L2514" s="90"/>
    </row>
    <row r="2515" spans="1:12" hidden="1" x14ac:dyDescent="0.2">
      <c r="A2515" s="84" t="str">
        <f t="shared" si="119"/>
        <v>SelecioneSelecioneSelecione</v>
      </c>
      <c r="B2515" s="85" t="s">
        <v>19</v>
      </c>
      <c r="C2515" s="85" t="s">
        <v>19</v>
      </c>
      <c r="D2515" s="86"/>
      <c r="E2515" s="116" t="str">
        <f t="shared" si="120"/>
        <v>-</v>
      </c>
      <c r="F2515" s="85"/>
      <c r="G2515" s="85" t="s">
        <v>19</v>
      </c>
      <c r="H2515" s="85"/>
      <c r="I2515" s="85"/>
      <c r="J2515" s="87"/>
      <c r="K2515" s="88">
        <f t="shared" si="121"/>
        <v>0</v>
      </c>
      <c r="L2515" s="85"/>
    </row>
    <row r="2516" spans="1:12" hidden="1" x14ac:dyDescent="0.2">
      <c r="A2516" s="84" t="str">
        <f t="shared" si="119"/>
        <v>SelecioneSelecioneSelecione</v>
      </c>
      <c r="B2516" s="85" t="s">
        <v>19</v>
      </c>
      <c r="C2516" s="85" t="s">
        <v>19</v>
      </c>
      <c r="D2516" s="86"/>
      <c r="E2516" s="116" t="str">
        <f t="shared" si="120"/>
        <v>-</v>
      </c>
      <c r="F2516" s="85"/>
      <c r="G2516" s="85" t="s">
        <v>19</v>
      </c>
      <c r="H2516" s="85"/>
      <c r="I2516" s="85"/>
      <c r="J2516" s="87"/>
      <c r="K2516" s="88">
        <f t="shared" si="121"/>
        <v>0</v>
      </c>
      <c r="L2516" s="85"/>
    </row>
    <row r="2517" spans="1:12" hidden="1" x14ac:dyDescent="0.2">
      <c r="A2517" s="84" t="str">
        <f t="shared" si="119"/>
        <v>SelecioneSelecioneSelecione</v>
      </c>
      <c r="B2517" s="85" t="s">
        <v>19</v>
      </c>
      <c r="C2517" s="85" t="s">
        <v>19</v>
      </c>
      <c r="D2517" s="86"/>
      <c r="E2517" s="116" t="str">
        <f t="shared" si="120"/>
        <v>-</v>
      </c>
      <c r="F2517" s="85"/>
      <c r="G2517" s="85" t="s">
        <v>19</v>
      </c>
      <c r="H2517" s="85"/>
      <c r="I2517" s="85"/>
      <c r="J2517" s="87"/>
      <c r="K2517" s="88">
        <f t="shared" si="121"/>
        <v>0</v>
      </c>
      <c r="L2517" s="85"/>
    </row>
    <row r="2518" spans="1:12" hidden="1" x14ac:dyDescent="0.2">
      <c r="A2518" s="84" t="str">
        <f t="shared" si="119"/>
        <v>SelecioneSelecioneSelecione</v>
      </c>
      <c r="B2518" s="85" t="s">
        <v>19</v>
      </c>
      <c r="C2518" s="85" t="s">
        <v>19</v>
      </c>
      <c r="D2518" s="86"/>
      <c r="E2518" s="116" t="str">
        <f t="shared" si="120"/>
        <v>-</v>
      </c>
      <c r="F2518" s="85"/>
      <c r="G2518" s="85" t="s">
        <v>19</v>
      </c>
      <c r="H2518" s="85"/>
      <c r="I2518" s="85"/>
      <c r="J2518" s="87"/>
      <c r="K2518" s="88">
        <f t="shared" si="121"/>
        <v>0</v>
      </c>
      <c r="L2518" s="85"/>
    </row>
    <row r="2519" spans="1:12" hidden="1" x14ac:dyDescent="0.2">
      <c r="A2519" s="84" t="str">
        <f t="shared" si="119"/>
        <v>SelecioneSelecioneSelecione</v>
      </c>
      <c r="B2519" s="85" t="s">
        <v>19</v>
      </c>
      <c r="C2519" s="85" t="s">
        <v>19</v>
      </c>
      <c r="D2519" s="86"/>
      <c r="E2519" s="116" t="str">
        <f t="shared" si="120"/>
        <v>-</v>
      </c>
      <c r="F2519" s="85"/>
      <c r="G2519" s="85" t="s">
        <v>19</v>
      </c>
      <c r="H2519" s="85"/>
      <c r="I2519" s="85"/>
      <c r="J2519" s="87"/>
      <c r="K2519" s="88">
        <f t="shared" si="121"/>
        <v>0</v>
      </c>
      <c r="L2519" s="85"/>
    </row>
    <row r="2520" spans="1:12" hidden="1" x14ac:dyDescent="0.2">
      <c r="A2520" s="84" t="str">
        <f t="shared" si="119"/>
        <v>SelecioneSelecioneSelecione</v>
      </c>
      <c r="B2520" s="85" t="s">
        <v>19</v>
      </c>
      <c r="C2520" s="85" t="s">
        <v>19</v>
      </c>
      <c r="D2520" s="86"/>
      <c r="E2520" s="116" t="str">
        <f t="shared" si="120"/>
        <v>-</v>
      </c>
      <c r="F2520" s="85"/>
      <c r="G2520" s="85" t="s">
        <v>19</v>
      </c>
      <c r="H2520" s="85"/>
      <c r="I2520" s="85"/>
      <c r="J2520" s="87"/>
      <c r="K2520" s="88">
        <f t="shared" si="121"/>
        <v>0</v>
      </c>
      <c r="L2520" s="85"/>
    </row>
    <row r="2521" spans="1:12" hidden="1" x14ac:dyDescent="0.2">
      <c r="A2521" s="84" t="str">
        <f t="shared" si="119"/>
        <v>SelecioneSelecioneSelecione</v>
      </c>
      <c r="B2521" s="85" t="s">
        <v>19</v>
      </c>
      <c r="C2521" s="85" t="s">
        <v>19</v>
      </c>
      <c r="D2521" s="86"/>
      <c r="E2521" s="116" t="str">
        <f t="shared" si="120"/>
        <v>-</v>
      </c>
      <c r="F2521" s="85"/>
      <c r="G2521" s="85" t="s">
        <v>19</v>
      </c>
      <c r="H2521" s="85"/>
      <c r="I2521" s="85"/>
      <c r="J2521" s="87"/>
      <c r="K2521" s="88">
        <f t="shared" si="121"/>
        <v>0</v>
      </c>
      <c r="L2521" s="85"/>
    </row>
    <row r="2522" spans="1:12" hidden="1" x14ac:dyDescent="0.2">
      <c r="A2522" s="84" t="str">
        <f t="shared" si="119"/>
        <v>SelecioneSelecioneSelecione</v>
      </c>
      <c r="B2522" s="85" t="s">
        <v>19</v>
      </c>
      <c r="C2522" s="85" t="s">
        <v>19</v>
      </c>
      <c r="D2522" s="86"/>
      <c r="E2522" s="116" t="str">
        <f t="shared" si="120"/>
        <v>-</v>
      </c>
      <c r="F2522" s="85"/>
      <c r="G2522" s="85" t="s">
        <v>19</v>
      </c>
      <c r="H2522" s="85"/>
      <c r="I2522" s="85"/>
      <c r="J2522" s="87"/>
      <c r="K2522" s="88">
        <f t="shared" si="121"/>
        <v>0</v>
      </c>
      <c r="L2522" s="85"/>
    </row>
    <row r="2523" spans="1:12" hidden="1" x14ac:dyDescent="0.2">
      <c r="A2523" s="84" t="str">
        <f t="shared" si="119"/>
        <v>SelecioneSelecioneSelecione</v>
      </c>
      <c r="B2523" s="85" t="s">
        <v>19</v>
      </c>
      <c r="C2523" s="85" t="s">
        <v>19</v>
      </c>
      <c r="D2523" s="86"/>
      <c r="E2523" s="116" t="str">
        <f t="shared" si="120"/>
        <v>-</v>
      </c>
      <c r="F2523" s="85"/>
      <c r="G2523" s="85" t="s">
        <v>19</v>
      </c>
      <c r="H2523" s="85"/>
      <c r="I2523" s="85"/>
      <c r="J2523" s="87"/>
      <c r="K2523" s="88">
        <f t="shared" si="121"/>
        <v>0</v>
      </c>
      <c r="L2523" s="85"/>
    </row>
    <row r="2524" spans="1:12" hidden="1" x14ac:dyDescent="0.2">
      <c r="A2524" s="84" t="str">
        <f t="shared" si="119"/>
        <v>SelecioneSelecioneSelecione</v>
      </c>
      <c r="B2524" s="85" t="s">
        <v>19</v>
      </c>
      <c r="C2524" s="85" t="s">
        <v>19</v>
      </c>
      <c r="D2524" s="86"/>
      <c r="E2524" s="116" t="str">
        <f t="shared" si="120"/>
        <v>-</v>
      </c>
      <c r="F2524" s="85"/>
      <c r="G2524" s="85" t="s">
        <v>19</v>
      </c>
      <c r="H2524" s="85"/>
      <c r="I2524" s="85"/>
      <c r="J2524" s="87"/>
      <c r="K2524" s="88">
        <f t="shared" si="121"/>
        <v>0</v>
      </c>
      <c r="L2524" s="85"/>
    </row>
    <row r="2525" spans="1:12" hidden="1" x14ac:dyDescent="0.2">
      <c r="A2525" s="84" t="str">
        <f t="shared" si="119"/>
        <v>SelecioneSelecioneSelecione</v>
      </c>
      <c r="B2525" s="85" t="s">
        <v>19</v>
      </c>
      <c r="C2525" s="85" t="s">
        <v>19</v>
      </c>
      <c r="D2525" s="86"/>
      <c r="E2525" s="116" t="str">
        <f t="shared" si="120"/>
        <v>-</v>
      </c>
      <c r="F2525" s="85"/>
      <c r="G2525" s="85" t="s">
        <v>19</v>
      </c>
      <c r="H2525" s="85"/>
      <c r="I2525" s="85"/>
      <c r="J2525" s="87"/>
      <c r="K2525" s="88">
        <f t="shared" si="121"/>
        <v>0</v>
      </c>
      <c r="L2525" s="85"/>
    </row>
    <row r="2526" spans="1:12" hidden="1" x14ac:dyDescent="0.2">
      <c r="A2526" s="84" t="str">
        <f t="shared" si="119"/>
        <v>SelecioneSelecioneSelecione</v>
      </c>
      <c r="B2526" s="85" t="s">
        <v>19</v>
      </c>
      <c r="C2526" s="85" t="s">
        <v>19</v>
      </c>
      <c r="D2526" s="86"/>
      <c r="E2526" s="116" t="str">
        <f t="shared" si="120"/>
        <v>-</v>
      </c>
      <c r="F2526" s="85"/>
      <c r="G2526" s="85" t="s">
        <v>19</v>
      </c>
      <c r="H2526" s="85"/>
      <c r="I2526" s="85"/>
      <c r="J2526" s="87"/>
      <c r="K2526" s="88">
        <f t="shared" si="121"/>
        <v>0</v>
      </c>
      <c r="L2526" s="85"/>
    </row>
    <row r="2527" spans="1:12" hidden="1" x14ac:dyDescent="0.2">
      <c r="A2527" s="84" t="str">
        <f t="shared" si="119"/>
        <v>SelecioneSelecioneSelecione</v>
      </c>
      <c r="B2527" s="85" t="s">
        <v>19</v>
      </c>
      <c r="C2527" s="85" t="s">
        <v>19</v>
      </c>
      <c r="D2527" s="86"/>
      <c r="E2527" s="116" t="str">
        <f t="shared" si="120"/>
        <v>-</v>
      </c>
      <c r="F2527" s="85"/>
      <c r="G2527" s="85" t="s">
        <v>19</v>
      </c>
      <c r="H2527" s="85"/>
      <c r="I2527" s="85"/>
      <c r="J2527" s="87"/>
      <c r="K2527" s="88">
        <f t="shared" si="121"/>
        <v>0</v>
      </c>
      <c r="L2527" s="85"/>
    </row>
    <row r="2528" spans="1:12" hidden="1" x14ac:dyDescent="0.2">
      <c r="A2528" s="84" t="str">
        <f t="shared" si="119"/>
        <v>SelecioneSelecioneSelecione</v>
      </c>
      <c r="B2528" s="85" t="s">
        <v>19</v>
      </c>
      <c r="C2528" s="85" t="s">
        <v>19</v>
      </c>
      <c r="D2528" s="86"/>
      <c r="E2528" s="116" t="str">
        <f t="shared" si="120"/>
        <v>-</v>
      </c>
      <c r="F2528" s="85"/>
      <c r="G2528" s="85" t="s">
        <v>19</v>
      </c>
      <c r="H2528" s="85"/>
      <c r="I2528" s="85"/>
      <c r="J2528" s="87"/>
      <c r="K2528" s="88">
        <f t="shared" si="121"/>
        <v>0</v>
      </c>
      <c r="L2528" s="85"/>
    </row>
    <row r="2529" spans="1:12" hidden="1" x14ac:dyDescent="0.2">
      <c r="A2529" s="84" t="str">
        <f t="shared" si="119"/>
        <v>SelecioneSelecioneSelecione</v>
      </c>
      <c r="B2529" s="85" t="s">
        <v>19</v>
      </c>
      <c r="C2529" s="85" t="s">
        <v>19</v>
      </c>
      <c r="D2529" s="86"/>
      <c r="E2529" s="116" t="str">
        <f t="shared" si="120"/>
        <v>-</v>
      </c>
      <c r="F2529" s="85"/>
      <c r="G2529" s="85" t="s">
        <v>19</v>
      </c>
      <c r="H2529" s="85"/>
      <c r="I2529" s="85"/>
      <c r="J2529" s="87"/>
      <c r="K2529" s="88">
        <f t="shared" si="121"/>
        <v>0</v>
      </c>
      <c r="L2529" s="85"/>
    </row>
    <row r="2530" spans="1:12" hidden="1" x14ac:dyDescent="0.2">
      <c r="A2530" s="84" t="str">
        <f t="shared" si="119"/>
        <v>SelecioneSelecioneSelecione</v>
      </c>
      <c r="B2530" s="85" t="s">
        <v>19</v>
      </c>
      <c r="C2530" s="85" t="s">
        <v>19</v>
      </c>
      <c r="D2530" s="86"/>
      <c r="E2530" s="116" t="str">
        <f t="shared" si="120"/>
        <v>-</v>
      </c>
      <c r="F2530" s="85"/>
      <c r="G2530" s="85" t="s">
        <v>19</v>
      </c>
      <c r="H2530" s="85"/>
      <c r="I2530" s="85"/>
      <c r="J2530" s="87"/>
      <c r="K2530" s="88">
        <f t="shared" si="121"/>
        <v>0</v>
      </c>
      <c r="L2530" s="85"/>
    </row>
    <row r="2531" spans="1:12" hidden="1" x14ac:dyDescent="0.2">
      <c r="A2531" s="84" t="str">
        <f t="shared" si="119"/>
        <v>SelecioneSelecioneSelecione</v>
      </c>
      <c r="B2531" s="85" t="s">
        <v>19</v>
      </c>
      <c r="C2531" s="85" t="s">
        <v>19</v>
      </c>
      <c r="D2531" s="86"/>
      <c r="E2531" s="116" t="str">
        <f t="shared" si="120"/>
        <v>-</v>
      </c>
      <c r="F2531" s="90"/>
      <c r="G2531" s="85" t="s">
        <v>19</v>
      </c>
      <c r="H2531" s="85"/>
      <c r="I2531" s="85"/>
      <c r="J2531" s="87"/>
      <c r="K2531" s="88">
        <f t="shared" si="121"/>
        <v>0</v>
      </c>
      <c r="L2531" s="85"/>
    </row>
    <row r="2532" spans="1:12" hidden="1" x14ac:dyDescent="0.2">
      <c r="A2532" s="84" t="str">
        <f t="shared" si="119"/>
        <v>SelecioneSelecioneSelecione</v>
      </c>
      <c r="B2532" s="85" t="s">
        <v>19</v>
      </c>
      <c r="C2532" s="85" t="s">
        <v>19</v>
      </c>
      <c r="D2532" s="86"/>
      <c r="E2532" s="116" t="str">
        <f t="shared" si="120"/>
        <v>-</v>
      </c>
      <c r="F2532" s="85"/>
      <c r="G2532" s="85" t="s">
        <v>19</v>
      </c>
      <c r="H2532" s="85"/>
      <c r="I2532" s="85"/>
      <c r="J2532" s="87"/>
      <c r="K2532" s="88">
        <f t="shared" si="121"/>
        <v>0</v>
      </c>
      <c r="L2532" s="85"/>
    </row>
    <row r="2533" spans="1:12" hidden="1" x14ac:dyDescent="0.2">
      <c r="A2533" s="84" t="str">
        <f t="shared" si="119"/>
        <v>SelecioneSelecioneSelecione</v>
      </c>
      <c r="B2533" s="85" t="s">
        <v>19</v>
      </c>
      <c r="C2533" s="85" t="s">
        <v>19</v>
      </c>
      <c r="D2533" s="86"/>
      <c r="E2533" s="116" t="str">
        <f t="shared" si="120"/>
        <v>-</v>
      </c>
      <c r="F2533" s="85"/>
      <c r="G2533" s="85" t="s">
        <v>19</v>
      </c>
      <c r="H2533" s="85"/>
      <c r="I2533" s="85"/>
      <c r="J2533" s="87"/>
      <c r="K2533" s="88">
        <f t="shared" si="121"/>
        <v>0</v>
      </c>
      <c r="L2533" s="85"/>
    </row>
    <row r="2534" spans="1:12" hidden="1" x14ac:dyDescent="0.2">
      <c r="A2534" s="84" t="str">
        <f t="shared" si="119"/>
        <v>SelecioneSelecioneSelecione</v>
      </c>
      <c r="B2534" s="85" t="s">
        <v>19</v>
      </c>
      <c r="C2534" s="85" t="s">
        <v>19</v>
      </c>
      <c r="D2534" s="86"/>
      <c r="E2534" s="116" t="str">
        <f t="shared" si="120"/>
        <v>-</v>
      </c>
      <c r="F2534" s="85"/>
      <c r="G2534" s="85" t="s">
        <v>19</v>
      </c>
      <c r="H2534" s="85"/>
      <c r="I2534" s="85"/>
      <c r="J2534" s="87"/>
      <c r="K2534" s="88">
        <f t="shared" si="121"/>
        <v>0</v>
      </c>
      <c r="L2534" s="85"/>
    </row>
    <row r="2535" spans="1:12" hidden="1" x14ac:dyDescent="0.2">
      <c r="A2535" s="84" t="str">
        <f t="shared" si="119"/>
        <v>SelecioneSelecioneSelecione</v>
      </c>
      <c r="B2535" s="85" t="s">
        <v>19</v>
      </c>
      <c r="C2535" s="85" t="s">
        <v>19</v>
      </c>
      <c r="D2535" s="86"/>
      <c r="E2535" s="116" t="str">
        <f t="shared" si="120"/>
        <v>-</v>
      </c>
      <c r="F2535" s="85"/>
      <c r="G2535" s="85" t="s">
        <v>19</v>
      </c>
      <c r="H2535" s="85"/>
      <c r="I2535" s="85"/>
      <c r="J2535" s="87"/>
      <c r="K2535" s="88">
        <f t="shared" si="121"/>
        <v>0</v>
      </c>
      <c r="L2535" s="85"/>
    </row>
    <row r="2536" spans="1:12" hidden="1" x14ac:dyDescent="0.2">
      <c r="A2536" s="84" t="str">
        <f t="shared" si="119"/>
        <v>SelecioneSelecioneSelecione</v>
      </c>
      <c r="B2536" s="85" t="s">
        <v>19</v>
      </c>
      <c r="C2536" s="85" t="s">
        <v>19</v>
      </c>
      <c r="D2536" s="93"/>
      <c r="E2536" s="116" t="str">
        <f t="shared" si="120"/>
        <v>-</v>
      </c>
      <c r="F2536" s="90"/>
      <c r="G2536" s="85" t="s">
        <v>19</v>
      </c>
      <c r="H2536" s="85"/>
      <c r="I2536" s="90"/>
      <c r="J2536" s="89"/>
      <c r="K2536" s="88">
        <f t="shared" si="121"/>
        <v>0</v>
      </c>
      <c r="L2536" s="90"/>
    </row>
    <row r="2537" spans="1:12" hidden="1" x14ac:dyDescent="0.2">
      <c r="A2537" s="84" t="str">
        <f t="shared" si="119"/>
        <v>SelecioneSelecioneSelecione</v>
      </c>
      <c r="B2537" s="85" t="s">
        <v>19</v>
      </c>
      <c r="C2537" s="85" t="s">
        <v>19</v>
      </c>
      <c r="D2537" s="86"/>
      <c r="E2537" s="116" t="str">
        <f t="shared" si="120"/>
        <v>-</v>
      </c>
      <c r="F2537" s="85"/>
      <c r="G2537" s="85" t="s">
        <v>19</v>
      </c>
      <c r="H2537" s="85"/>
      <c r="I2537" s="85"/>
      <c r="J2537" s="87"/>
      <c r="K2537" s="88">
        <f t="shared" si="121"/>
        <v>0</v>
      </c>
      <c r="L2537" s="85"/>
    </row>
    <row r="2538" spans="1:12" hidden="1" x14ac:dyDescent="0.2">
      <c r="A2538" s="84" t="str">
        <f t="shared" si="119"/>
        <v>SelecioneSelecioneSelecione</v>
      </c>
      <c r="B2538" s="85" t="s">
        <v>19</v>
      </c>
      <c r="C2538" s="85" t="s">
        <v>19</v>
      </c>
      <c r="D2538" s="93"/>
      <c r="E2538" s="116" t="str">
        <f t="shared" si="120"/>
        <v>-</v>
      </c>
      <c r="F2538" s="90"/>
      <c r="G2538" s="85" t="s">
        <v>19</v>
      </c>
      <c r="H2538" s="85"/>
      <c r="I2538" s="90"/>
      <c r="J2538" s="89"/>
      <c r="K2538" s="88">
        <f t="shared" si="121"/>
        <v>0</v>
      </c>
      <c r="L2538" s="90"/>
    </row>
    <row r="2539" spans="1:12" hidden="1" x14ac:dyDescent="0.2">
      <c r="A2539" s="84" t="str">
        <f t="shared" si="119"/>
        <v>SelecioneSelecioneSelecione</v>
      </c>
      <c r="B2539" s="85" t="s">
        <v>19</v>
      </c>
      <c r="C2539" s="85" t="s">
        <v>19</v>
      </c>
      <c r="D2539" s="93"/>
      <c r="E2539" s="116" t="str">
        <f t="shared" si="120"/>
        <v>-</v>
      </c>
      <c r="F2539" s="90"/>
      <c r="G2539" s="85" t="s">
        <v>19</v>
      </c>
      <c r="H2539" s="85"/>
      <c r="I2539" s="90"/>
      <c r="J2539" s="89"/>
      <c r="K2539" s="88">
        <f t="shared" si="121"/>
        <v>0</v>
      </c>
      <c r="L2539" s="90"/>
    </row>
    <row r="2540" spans="1:12" hidden="1" x14ac:dyDescent="0.2">
      <c r="A2540" s="84" t="str">
        <f t="shared" si="119"/>
        <v>SelecioneSelecioneSelecione</v>
      </c>
      <c r="B2540" s="85" t="s">
        <v>19</v>
      </c>
      <c r="C2540" s="85" t="s">
        <v>19</v>
      </c>
      <c r="D2540" s="86"/>
      <c r="E2540" s="116" t="str">
        <f t="shared" si="120"/>
        <v>-</v>
      </c>
      <c r="F2540" s="85"/>
      <c r="G2540" s="85" t="s">
        <v>19</v>
      </c>
      <c r="H2540" s="85"/>
      <c r="I2540" s="85"/>
      <c r="J2540" s="87"/>
      <c r="K2540" s="88">
        <f t="shared" si="121"/>
        <v>0</v>
      </c>
      <c r="L2540" s="85"/>
    </row>
    <row r="2541" spans="1:12" hidden="1" x14ac:dyDescent="0.2">
      <c r="A2541" s="84" t="str">
        <f t="shared" si="119"/>
        <v>SelecioneSelecioneSelecione</v>
      </c>
      <c r="B2541" s="85" t="s">
        <v>19</v>
      </c>
      <c r="C2541" s="85" t="s">
        <v>19</v>
      </c>
      <c r="D2541" s="86"/>
      <c r="E2541" s="116" t="str">
        <f t="shared" si="120"/>
        <v>-</v>
      </c>
      <c r="F2541" s="85"/>
      <c r="G2541" s="85" t="s">
        <v>19</v>
      </c>
      <c r="H2541" s="85"/>
      <c r="I2541" s="85"/>
      <c r="J2541" s="87"/>
      <c r="K2541" s="88">
        <f t="shared" si="121"/>
        <v>0</v>
      </c>
      <c r="L2541" s="85"/>
    </row>
    <row r="2542" spans="1:12" hidden="1" x14ac:dyDescent="0.2">
      <c r="A2542" s="84" t="str">
        <f t="shared" si="119"/>
        <v>SelecioneSelecioneSelecione</v>
      </c>
      <c r="B2542" s="85" t="s">
        <v>19</v>
      </c>
      <c r="C2542" s="85" t="s">
        <v>19</v>
      </c>
      <c r="D2542" s="86"/>
      <c r="E2542" s="116" t="str">
        <f t="shared" si="120"/>
        <v>-</v>
      </c>
      <c r="F2542" s="85"/>
      <c r="G2542" s="85" t="s">
        <v>19</v>
      </c>
      <c r="H2542" s="85"/>
      <c r="I2542" s="85"/>
      <c r="J2542" s="87"/>
      <c r="K2542" s="88">
        <f t="shared" si="121"/>
        <v>0</v>
      </c>
      <c r="L2542" s="85"/>
    </row>
    <row r="2543" spans="1:12" hidden="1" x14ac:dyDescent="0.2">
      <c r="A2543" s="84" t="str">
        <f t="shared" si="119"/>
        <v>SelecioneSelecioneSelecione</v>
      </c>
      <c r="B2543" s="85" t="s">
        <v>19</v>
      </c>
      <c r="C2543" s="85" t="s">
        <v>19</v>
      </c>
      <c r="D2543" s="86"/>
      <c r="E2543" s="116" t="str">
        <f t="shared" si="120"/>
        <v>-</v>
      </c>
      <c r="F2543" s="85"/>
      <c r="G2543" s="85" t="s">
        <v>19</v>
      </c>
      <c r="H2543" s="85"/>
      <c r="I2543" s="85"/>
      <c r="J2543" s="87"/>
      <c r="K2543" s="88">
        <f t="shared" si="121"/>
        <v>0</v>
      </c>
      <c r="L2543" s="85"/>
    </row>
    <row r="2544" spans="1:12" hidden="1" x14ac:dyDescent="0.2">
      <c r="A2544" s="84" t="str">
        <f t="shared" si="119"/>
        <v>SelecioneSelecioneSelecione</v>
      </c>
      <c r="B2544" s="85" t="s">
        <v>19</v>
      </c>
      <c r="C2544" s="85" t="s">
        <v>19</v>
      </c>
      <c r="D2544" s="86"/>
      <c r="E2544" s="116" t="str">
        <f t="shared" si="120"/>
        <v>-</v>
      </c>
      <c r="F2544" s="85"/>
      <c r="G2544" s="85" t="s">
        <v>19</v>
      </c>
      <c r="H2544" s="85"/>
      <c r="I2544" s="85"/>
      <c r="J2544" s="87"/>
      <c r="K2544" s="88">
        <f t="shared" si="121"/>
        <v>0</v>
      </c>
      <c r="L2544" s="85"/>
    </row>
    <row r="2545" spans="1:12" hidden="1" x14ac:dyDescent="0.2">
      <c r="A2545" s="84" t="str">
        <f t="shared" si="119"/>
        <v>SelecioneSelecioneSelecione</v>
      </c>
      <c r="B2545" s="85" t="s">
        <v>19</v>
      </c>
      <c r="C2545" s="85" t="s">
        <v>19</v>
      </c>
      <c r="D2545" s="86"/>
      <c r="E2545" s="116" t="str">
        <f t="shared" si="120"/>
        <v>-</v>
      </c>
      <c r="F2545" s="85"/>
      <c r="G2545" s="85" t="s">
        <v>19</v>
      </c>
      <c r="H2545" s="85"/>
      <c r="I2545" s="85"/>
      <c r="J2545" s="87"/>
      <c r="K2545" s="88">
        <f t="shared" si="121"/>
        <v>0</v>
      </c>
      <c r="L2545" s="85"/>
    </row>
    <row r="2546" spans="1:12" hidden="1" x14ac:dyDescent="0.2">
      <c r="A2546" s="84" t="str">
        <f t="shared" si="119"/>
        <v>SelecioneSelecioneSelecione</v>
      </c>
      <c r="B2546" s="85" t="s">
        <v>19</v>
      </c>
      <c r="C2546" s="85" t="s">
        <v>19</v>
      </c>
      <c r="D2546" s="86"/>
      <c r="E2546" s="116" t="str">
        <f t="shared" si="120"/>
        <v>-</v>
      </c>
      <c r="F2546" s="85"/>
      <c r="G2546" s="85" t="s">
        <v>19</v>
      </c>
      <c r="H2546" s="85"/>
      <c r="I2546" s="85"/>
      <c r="J2546" s="87"/>
      <c r="K2546" s="88">
        <f t="shared" si="121"/>
        <v>0</v>
      </c>
      <c r="L2546" s="85"/>
    </row>
    <row r="2547" spans="1:12" hidden="1" x14ac:dyDescent="0.2">
      <c r="A2547" s="84" t="str">
        <f t="shared" si="119"/>
        <v>SelecioneSelecioneSelecione</v>
      </c>
      <c r="B2547" s="85" t="s">
        <v>19</v>
      </c>
      <c r="C2547" s="85" t="s">
        <v>19</v>
      </c>
      <c r="D2547" s="86"/>
      <c r="E2547" s="116" t="str">
        <f t="shared" si="120"/>
        <v>-</v>
      </c>
      <c r="F2547" s="85"/>
      <c r="G2547" s="85" t="s">
        <v>19</v>
      </c>
      <c r="H2547" s="85"/>
      <c r="I2547" s="85"/>
      <c r="J2547" s="87"/>
      <c r="K2547" s="88">
        <f t="shared" si="121"/>
        <v>0</v>
      </c>
      <c r="L2547" s="85"/>
    </row>
    <row r="2548" spans="1:12" hidden="1" x14ac:dyDescent="0.2">
      <c r="A2548" s="84" t="str">
        <f t="shared" si="119"/>
        <v>SelecioneSelecioneSelecione</v>
      </c>
      <c r="B2548" s="85" t="s">
        <v>19</v>
      </c>
      <c r="C2548" s="85" t="s">
        <v>19</v>
      </c>
      <c r="D2548" s="86"/>
      <c r="E2548" s="116" t="str">
        <f t="shared" si="120"/>
        <v>-</v>
      </c>
      <c r="F2548" s="85"/>
      <c r="G2548" s="85" t="s">
        <v>19</v>
      </c>
      <c r="H2548" s="85"/>
      <c r="I2548" s="85"/>
      <c r="J2548" s="87"/>
      <c r="K2548" s="88">
        <f t="shared" si="121"/>
        <v>0</v>
      </c>
      <c r="L2548" s="85"/>
    </row>
    <row r="2549" spans="1:12" hidden="1" x14ac:dyDescent="0.2">
      <c r="A2549" s="84" t="str">
        <f t="shared" si="119"/>
        <v>SelecioneSelecioneSelecione</v>
      </c>
      <c r="B2549" s="85" t="s">
        <v>19</v>
      </c>
      <c r="C2549" s="85" t="s">
        <v>19</v>
      </c>
      <c r="D2549" s="86"/>
      <c r="E2549" s="116" t="str">
        <f t="shared" si="120"/>
        <v>-</v>
      </c>
      <c r="F2549" s="85"/>
      <c r="G2549" s="85" t="s">
        <v>19</v>
      </c>
      <c r="H2549" s="85"/>
      <c r="I2549" s="85"/>
      <c r="J2549" s="87"/>
      <c r="K2549" s="88">
        <f t="shared" si="121"/>
        <v>0</v>
      </c>
      <c r="L2549" s="85"/>
    </row>
    <row r="2550" spans="1:12" hidden="1" x14ac:dyDescent="0.2">
      <c r="A2550" s="84" t="str">
        <f t="shared" si="119"/>
        <v>SelecioneSelecioneSelecione</v>
      </c>
      <c r="B2550" s="85" t="s">
        <v>19</v>
      </c>
      <c r="C2550" s="85" t="s">
        <v>19</v>
      </c>
      <c r="D2550" s="86"/>
      <c r="E2550" s="116" t="str">
        <f t="shared" si="120"/>
        <v>-</v>
      </c>
      <c r="F2550" s="85"/>
      <c r="G2550" s="85" t="s">
        <v>19</v>
      </c>
      <c r="H2550" s="85"/>
      <c r="I2550" s="85"/>
      <c r="J2550" s="87"/>
      <c r="K2550" s="88">
        <f t="shared" si="121"/>
        <v>0</v>
      </c>
      <c r="L2550" s="85"/>
    </row>
    <row r="2551" spans="1:12" hidden="1" x14ac:dyDescent="0.2">
      <c r="A2551" s="84" t="str">
        <f t="shared" si="119"/>
        <v>SelecioneSelecioneSelecione</v>
      </c>
      <c r="B2551" s="85" t="s">
        <v>19</v>
      </c>
      <c r="C2551" s="85" t="s">
        <v>19</v>
      </c>
      <c r="D2551" s="86"/>
      <c r="E2551" s="116" t="str">
        <f t="shared" si="120"/>
        <v>-</v>
      </c>
      <c r="F2551" s="85"/>
      <c r="G2551" s="85" t="s">
        <v>19</v>
      </c>
      <c r="H2551" s="85"/>
      <c r="I2551" s="85"/>
      <c r="J2551" s="87"/>
      <c r="K2551" s="88">
        <f t="shared" si="121"/>
        <v>0</v>
      </c>
      <c r="L2551" s="85"/>
    </row>
    <row r="2552" spans="1:12" hidden="1" x14ac:dyDescent="0.2">
      <c r="A2552" s="84" t="str">
        <f t="shared" si="119"/>
        <v>SelecioneSelecioneSelecione</v>
      </c>
      <c r="B2552" s="85" t="s">
        <v>19</v>
      </c>
      <c r="C2552" s="85" t="s">
        <v>19</v>
      </c>
      <c r="D2552" s="86"/>
      <c r="E2552" s="116" t="str">
        <f t="shared" si="120"/>
        <v>-</v>
      </c>
      <c r="F2552" s="85"/>
      <c r="G2552" s="85" t="s">
        <v>19</v>
      </c>
      <c r="H2552" s="85"/>
      <c r="I2552" s="85"/>
      <c r="J2552" s="87"/>
      <c r="K2552" s="88">
        <f t="shared" si="121"/>
        <v>0</v>
      </c>
      <c r="L2552" s="85"/>
    </row>
    <row r="2553" spans="1:12" hidden="1" x14ac:dyDescent="0.2">
      <c r="A2553" s="84" t="str">
        <f t="shared" si="119"/>
        <v>SelecioneSelecioneSelecione</v>
      </c>
      <c r="B2553" s="85" t="s">
        <v>19</v>
      </c>
      <c r="C2553" s="85" t="s">
        <v>19</v>
      </c>
      <c r="D2553" s="86"/>
      <c r="E2553" s="116" t="str">
        <f t="shared" si="120"/>
        <v>-</v>
      </c>
      <c r="F2553" s="85"/>
      <c r="G2553" s="85" t="s">
        <v>19</v>
      </c>
      <c r="H2553" s="85"/>
      <c r="I2553" s="85"/>
      <c r="J2553" s="87"/>
      <c r="K2553" s="88">
        <f t="shared" si="121"/>
        <v>0</v>
      </c>
      <c r="L2553" s="85"/>
    </row>
    <row r="2554" spans="1:12" hidden="1" x14ac:dyDescent="0.2">
      <c r="A2554" s="84" t="str">
        <f t="shared" si="119"/>
        <v>SelecioneSelecioneSelecione</v>
      </c>
      <c r="B2554" s="85" t="s">
        <v>19</v>
      </c>
      <c r="C2554" s="85" t="s">
        <v>19</v>
      </c>
      <c r="D2554" s="86"/>
      <c r="E2554" s="116" t="str">
        <f t="shared" si="120"/>
        <v>-</v>
      </c>
      <c r="F2554" s="85"/>
      <c r="G2554" s="85" t="s">
        <v>19</v>
      </c>
      <c r="H2554" s="85"/>
      <c r="I2554" s="85"/>
      <c r="J2554" s="87"/>
      <c r="K2554" s="88">
        <f t="shared" si="121"/>
        <v>0</v>
      </c>
      <c r="L2554" s="85"/>
    </row>
    <row r="2555" spans="1:12" hidden="1" x14ac:dyDescent="0.2">
      <c r="A2555" s="84" t="str">
        <f t="shared" si="119"/>
        <v>SelecioneSelecioneSelecione</v>
      </c>
      <c r="B2555" s="85" t="s">
        <v>19</v>
      </c>
      <c r="C2555" s="85" t="s">
        <v>19</v>
      </c>
      <c r="D2555" s="86"/>
      <c r="E2555" s="116" t="str">
        <f t="shared" si="120"/>
        <v>-</v>
      </c>
      <c r="F2555" s="85"/>
      <c r="G2555" s="85" t="s">
        <v>19</v>
      </c>
      <c r="H2555" s="85"/>
      <c r="I2555" s="85"/>
      <c r="J2555" s="87"/>
      <c r="K2555" s="88">
        <f t="shared" si="121"/>
        <v>0</v>
      </c>
      <c r="L2555" s="85"/>
    </row>
    <row r="2556" spans="1:12" hidden="1" x14ac:dyDescent="0.2">
      <c r="A2556" s="84" t="str">
        <f t="shared" si="119"/>
        <v>SelecioneSelecioneSelecione</v>
      </c>
      <c r="B2556" s="85" t="s">
        <v>19</v>
      </c>
      <c r="C2556" s="85" t="s">
        <v>19</v>
      </c>
      <c r="D2556" s="86"/>
      <c r="E2556" s="116" t="str">
        <f t="shared" si="120"/>
        <v>-</v>
      </c>
      <c r="F2556" s="85"/>
      <c r="G2556" s="85" t="s">
        <v>19</v>
      </c>
      <c r="H2556" s="85"/>
      <c r="I2556" s="85"/>
      <c r="J2556" s="87"/>
      <c r="K2556" s="88">
        <f t="shared" si="121"/>
        <v>0</v>
      </c>
      <c r="L2556" s="85"/>
    </row>
    <row r="2557" spans="1:12" hidden="1" x14ac:dyDescent="0.2">
      <c r="A2557" s="84" t="str">
        <f t="shared" si="119"/>
        <v>SelecioneSelecioneSelecione</v>
      </c>
      <c r="B2557" s="85" t="s">
        <v>19</v>
      </c>
      <c r="C2557" s="85" t="s">
        <v>19</v>
      </c>
      <c r="D2557" s="86"/>
      <c r="E2557" s="116" t="str">
        <f t="shared" si="120"/>
        <v>-</v>
      </c>
      <c r="F2557" s="85"/>
      <c r="G2557" s="85" t="s">
        <v>19</v>
      </c>
      <c r="H2557" s="85"/>
      <c r="I2557" s="85"/>
      <c r="J2557" s="87"/>
      <c r="K2557" s="88">
        <f t="shared" si="121"/>
        <v>0</v>
      </c>
      <c r="L2557" s="85"/>
    </row>
    <row r="2558" spans="1:12" hidden="1" x14ac:dyDescent="0.2">
      <c r="A2558" s="84" t="str">
        <f t="shared" si="119"/>
        <v>SelecioneSelecioneSelecione</v>
      </c>
      <c r="B2558" s="85" t="s">
        <v>19</v>
      </c>
      <c r="C2558" s="85" t="s">
        <v>19</v>
      </c>
      <c r="D2558" s="86"/>
      <c r="E2558" s="116" t="str">
        <f t="shared" si="120"/>
        <v>-</v>
      </c>
      <c r="F2558" s="85"/>
      <c r="G2558" s="85" t="s">
        <v>19</v>
      </c>
      <c r="H2558" s="85"/>
      <c r="I2558" s="85"/>
      <c r="J2558" s="87"/>
      <c r="K2558" s="88">
        <f t="shared" si="121"/>
        <v>0</v>
      </c>
      <c r="L2558" s="85"/>
    </row>
    <row r="2559" spans="1:12" hidden="1" x14ac:dyDescent="0.2">
      <c r="A2559" s="84" t="str">
        <f t="shared" si="119"/>
        <v>SelecioneSelecioneSelecione</v>
      </c>
      <c r="B2559" s="85" t="s">
        <v>19</v>
      </c>
      <c r="C2559" s="85" t="s">
        <v>19</v>
      </c>
      <c r="D2559" s="86"/>
      <c r="E2559" s="116" t="str">
        <f t="shared" si="120"/>
        <v>-</v>
      </c>
      <c r="F2559" s="85"/>
      <c r="G2559" s="85" t="s">
        <v>19</v>
      </c>
      <c r="H2559" s="85"/>
      <c r="I2559" s="85"/>
      <c r="J2559" s="87"/>
      <c r="K2559" s="88">
        <f t="shared" si="121"/>
        <v>0</v>
      </c>
      <c r="L2559" s="85"/>
    </row>
    <row r="2560" spans="1:12" hidden="1" x14ac:dyDescent="0.2">
      <c r="A2560" s="84" t="str">
        <f t="shared" si="119"/>
        <v>SelecioneSelecioneSelecione</v>
      </c>
      <c r="B2560" s="85" t="s">
        <v>19</v>
      </c>
      <c r="C2560" s="85" t="s">
        <v>19</v>
      </c>
      <c r="D2560" s="86"/>
      <c r="E2560" s="116" t="str">
        <f t="shared" si="120"/>
        <v>-</v>
      </c>
      <c r="F2560" s="85"/>
      <c r="G2560" s="85" t="s">
        <v>19</v>
      </c>
      <c r="H2560" s="85"/>
      <c r="I2560" s="85"/>
      <c r="J2560" s="87"/>
      <c r="K2560" s="88">
        <f t="shared" si="121"/>
        <v>0</v>
      </c>
      <c r="L2560" s="85"/>
    </row>
    <row r="2561" spans="1:12" hidden="1" x14ac:dyDescent="0.2">
      <c r="A2561" s="84" t="str">
        <f t="shared" si="119"/>
        <v>SelecioneSelecioneSelecione</v>
      </c>
      <c r="B2561" s="85" t="s">
        <v>19</v>
      </c>
      <c r="C2561" s="85" t="s">
        <v>19</v>
      </c>
      <c r="D2561" s="86"/>
      <c r="E2561" s="116" t="str">
        <f t="shared" si="120"/>
        <v>-</v>
      </c>
      <c r="F2561" s="85"/>
      <c r="G2561" s="85" t="s">
        <v>19</v>
      </c>
      <c r="H2561" s="85"/>
      <c r="I2561" s="85"/>
      <c r="J2561" s="87"/>
      <c r="K2561" s="88">
        <f t="shared" si="121"/>
        <v>0</v>
      </c>
      <c r="L2561" s="85"/>
    </row>
    <row r="2562" spans="1:12" hidden="1" x14ac:dyDescent="0.2">
      <c r="A2562" s="84" t="str">
        <f t="shared" ref="A2562:A2625" si="122">CONCATENATE(B2562,C2562,G2562)</f>
        <v>SelecioneSelecioneSelecione</v>
      </c>
      <c r="B2562" s="85" t="s">
        <v>19</v>
      </c>
      <c r="C2562" s="85" t="s">
        <v>19</v>
      </c>
      <c r="D2562" s="86"/>
      <c r="E2562" s="116" t="str">
        <f t="shared" ref="E2562:E2625" si="123">VLOOKUP(G2562,$M$1:$O$993,3,0)</f>
        <v>-</v>
      </c>
      <c r="F2562" s="85"/>
      <c r="G2562" s="85" t="s">
        <v>19</v>
      </c>
      <c r="H2562" s="85"/>
      <c r="I2562" s="85"/>
      <c r="J2562" s="87"/>
      <c r="K2562" s="88">
        <f t="shared" ref="K2562:K2625" si="124">I2562*J2562</f>
        <v>0</v>
      </c>
      <c r="L2562" s="85"/>
    </row>
    <row r="2563" spans="1:12" hidden="1" x14ac:dyDescent="0.2">
      <c r="A2563" s="84" t="str">
        <f t="shared" si="122"/>
        <v>SelecioneSelecioneSelecione</v>
      </c>
      <c r="B2563" s="85" t="s">
        <v>19</v>
      </c>
      <c r="C2563" s="85" t="s">
        <v>19</v>
      </c>
      <c r="D2563" s="86"/>
      <c r="E2563" s="116" t="str">
        <f t="shared" si="123"/>
        <v>-</v>
      </c>
      <c r="F2563" s="85"/>
      <c r="G2563" s="85" t="s">
        <v>19</v>
      </c>
      <c r="H2563" s="85"/>
      <c r="I2563" s="85"/>
      <c r="J2563" s="87"/>
      <c r="K2563" s="88">
        <f t="shared" si="124"/>
        <v>0</v>
      </c>
      <c r="L2563" s="85"/>
    </row>
    <row r="2564" spans="1:12" hidden="1" x14ac:dyDescent="0.2">
      <c r="A2564" s="84" t="str">
        <f t="shared" si="122"/>
        <v>SelecioneSelecioneSelecione</v>
      </c>
      <c r="B2564" s="85" t="s">
        <v>19</v>
      </c>
      <c r="C2564" s="85" t="s">
        <v>19</v>
      </c>
      <c r="D2564" s="86"/>
      <c r="E2564" s="116" t="str">
        <f t="shared" si="123"/>
        <v>-</v>
      </c>
      <c r="F2564" s="85"/>
      <c r="G2564" s="85" t="s">
        <v>19</v>
      </c>
      <c r="H2564" s="85"/>
      <c r="I2564" s="85"/>
      <c r="J2564" s="87"/>
      <c r="K2564" s="88">
        <f t="shared" si="124"/>
        <v>0</v>
      </c>
      <c r="L2564" s="85"/>
    </row>
    <row r="2565" spans="1:12" hidden="1" x14ac:dyDescent="0.2">
      <c r="A2565" s="84" t="str">
        <f t="shared" si="122"/>
        <v>SelecioneSelecioneSelecione</v>
      </c>
      <c r="B2565" s="85" t="s">
        <v>19</v>
      </c>
      <c r="C2565" s="85" t="s">
        <v>19</v>
      </c>
      <c r="D2565" s="86"/>
      <c r="E2565" s="116" t="str">
        <f t="shared" si="123"/>
        <v>-</v>
      </c>
      <c r="F2565" s="85"/>
      <c r="G2565" s="85" t="s">
        <v>19</v>
      </c>
      <c r="H2565" s="85"/>
      <c r="I2565" s="85"/>
      <c r="J2565" s="87"/>
      <c r="K2565" s="88">
        <f t="shared" si="124"/>
        <v>0</v>
      </c>
      <c r="L2565" s="85"/>
    </row>
    <row r="2566" spans="1:12" hidden="1" x14ac:dyDescent="0.2">
      <c r="A2566" s="84" t="str">
        <f t="shared" si="122"/>
        <v>SelecioneSelecioneSelecione</v>
      </c>
      <c r="B2566" s="85" t="s">
        <v>19</v>
      </c>
      <c r="C2566" s="85" t="s">
        <v>19</v>
      </c>
      <c r="D2566" s="86"/>
      <c r="E2566" s="116" t="str">
        <f t="shared" si="123"/>
        <v>-</v>
      </c>
      <c r="F2566" s="85"/>
      <c r="G2566" s="85" t="s">
        <v>19</v>
      </c>
      <c r="H2566" s="85"/>
      <c r="I2566" s="85"/>
      <c r="J2566" s="87"/>
      <c r="K2566" s="88">
        <f t="shared" si="124"/>
        <v>0</v>
      </c>
      <c r="L2566" s="85"/>
    </row>
    <row r="2567" spans="1:12" hidden="1" x14ac:dyDescent="0.2">
      <c r="A2567" s="84" t="str">
        <f t="shared" si="122"/>
        <v>SelecioneSelecioneSelecione</v>
      </c>
      <c r="B2567" s="85" t="s">
        <v>19</v>
      </c>
      <c r="C2567" s="85" t="s">
        <v>19</v>
      </c>
      <c r="D2567" s="86"/>
      <c r="E2567" s="116" t="str">
        <f t="shared" si="123"/>
        <v>-</v>
      </c>
      <c r="F2567" s="85"/>
      <c r="G2567" s="85" t="s">
        <v>19</v>
      </c>
      <c r="H2567" s="85"/>
      <c r="I2567" s="85"/>
      <c r="J2567" s="87"/>
      <c r="K2567" s="88">
        <f t="shared" si="124"/>
        <v>0</v>
      </c>
      <c r="L2567" s="85"/>
    </row>
    <row r="2568" spans="1:12" hidden="1" x14ac:dyDescent="0.2">
      <c r="A2568" s="84" t="str">
        <f t="shared" si="122"/>
        <v>SelecioneSelecioneSelecione</v>
      </c>
      <c r="B2568" s="85" t="s">
        <v>19</v>
      </c>
      <c r="C2568" s="85" t="s">
        <v>19</v>
      </c>
      <c r="D2568" s="86"/>
      <c r="E2568" s="116" t="str">
        <f t="shared" si="123"/>
        <v>-</v>
      </c>
      <c r="F2568" s="85"/>
      <c r="G2568" s="85" t="s">
        <v>19</v>
      </c>
      <c r="H2568" s="85"/>
      <c r="I2568" s="85"/>
      <c r="J2568" s="87"/>
      <c r="K2568" s="88">
        <f t="shared" si="124"/>
        <v>0</v>
      </c>
      <c r="L2568" s="85"/>
    </row>
    <row r="2569" spans="1:12" hidden="1" x14ac:dyDescent="0.2">
      <c r="A2569" s="84" t="str">
        <f t="shared" si="122"/>
        <v>SelecioneSelecioneSelecione</v>
      </c>
      <c r="B2569" s="85" t="s">
        <v>19</v>
      </c>
      <c r="C2569" s="85" t="s">
        <v>19</v>
      </c>
      <c r="D2569" s="86"/>
      <c r="E2569" s="116" t="str">
        <f t="shared" si="123"/>
        <v>-</v>
      </c>
      <c r="F2569" s="85"/>
      <c r="G2569" s="85" t="s">
        <v>19</v>
      </c>
      <c r="H2569" s="85"/>
      <c r="I2569" s="85"/>
      <c r="J2569" s="87"/>
      <c r="K2569" s="88">
        <f t="shared" si="124"/>
        <v>0</v>
      </c>
      <c r="L2569" s="85"/>
    </row>
    <row r="2570" spans="1:12" hidden="1" x14ac:dyDescent="0.2">
      <c r="A2570" s="84" t="str">
        <f t="shared" si="122"/>
        <v>SelecioneSelecioneSelecione</v>
      </c>
      <c r="B2570" s="85" t="s">
        <v>19</v>
      </c>
      <c r="C2570" s="85" t="s">
        <v>19</v>
      </c>
      <c r="D2570" s="86"/>
      <c r="E2570" s="116" t="str">
        <f t="shared" si="123"/>
        <v>-</v>
      </c>
      <c r="F2570" s="85"/>
      <c r="G2570" s="85" t="s">
        <v>19</v>
      </c>
      <c r="H2570" s="85"/>
      <c r="I2570" s="85"/>
      <c r="J2570" s="87"/>
      <c r="K2570" s="88">
        <f t="shared" si="124"/>
        <v>0</v>
      </c>
      <c r="L2570" s="85"/>
    </row>
    <row r="2571" spans="1:12" hidden="1" x14ac:dyDescent="0.2">
      <c r="A2571" s="84" t="str">
        <f t="shared" si="122"/>
        <v>SelecioneSelecioneSelecione</v>
      </c>
      <c r="B2571" s="85" t="s">
        <v>19</v>
      </c>
      <c r="C2571" s="85" t="s">
        <v>19</v>
      </c>
      <c r="D2571" s="86"/>
      <c r="E2571" s="116" t="str">
        <f t="shared" si="123"/>
        <v>-</v>
      </c>
      <c r="F2571" s="85"/>
      <c r="G2571" s="85" t="s">
        <v>19</v>
      </c>
      <c r="H2571" s="85"/>
      <c r="I2571" s="85"/>
      <c r="J2571" s="87"/>
      <c r="K2571" s="88">
        <f t="shared" si="124"/>
        <v>0</v>
      </c>
      <c r="L2571" s="85"/>
    </row>
    <row r="2572" spans="1:12" hidden="1" x14ac:dyDescent="0.2">
      <c r="A2572" s="84" t="str">
        <f t="shared" si="122"/>
        <v>SelecioneSelecioneSelecione</v>
      </c>
      <c r="B2572" s="85" t="s">
        <v>19</v>
      </c>
      <c r="C2572" s="85" t="s">
        <v>19</v>
      </c>
      <c r="D2572" s="93"/>
      <c r="E2572" s="116" t="str">
        <f t="shared" si="123"/>
        <v>-</v>
      </c>
      <c r="F2572" s="90"/>
      <c r="G2572" s="85" t="s">
        <v>19</v>
      </c>
      <c r="H2572" s="85"/>
      <c r="I2572" s="90"/>
      <c r="J2572" s="89"/>
      <c r="K2572" s="88">
        <f t="shared" si="124"/>
        <v>0</v>
      </c>
      <c r="L2572" s="90"/>
    </row>
    <row r="2573" spans="1:12" hidden="1" x14ac:dyDescent="0.2">
      <c r="A2573" s="84" t="str">
        <f t="shared" si="122"/>
        <v>SelecioneSelecioneSelecione</v>
      </c>
      <c r="B2573" s="85" t="s">
        <v>19</v>
      </c>
      <c r="C2573" s="85" t="s">
        <v>19</v>
      </c>
      <c r="D2573" s="86"/>
      <c r="E2573" s="116" t="str">
        <f t="shared" si="123"/>
        <v>-</v>
      </c>
      <c r="F2573" s="85"/>
      <c r="G2573" s="85" t="s">
        <v>19</v>
      </c>
      <c r="H2573" s="85"/>
      <c r="I2573" s="85"/>
      <c r="J2573" s="87"/>
      <c r="K2573" s="88">
        <f t="shared" si="124"/>
        <v>0</v>
      </c>
      <c r="L2573" s="85"/>
    </row>
    <row r="2574" spans="1:12" hidden="1" x14ac:dyDescent="0.2">
      <c r="A2574" s="84" t="str">
        <f t="shared" si="122"/>
        <v>SelecioneSelecioneSelecione</v>
      </c>
      <c r="B2574" s="85" t="s">
        <v>19</v>
      </c>
      <c r="C2574" s="85" t="s">
        <v>19</v>
      </c>
      <c r="D2574" s="86"/>
      <c r="E2574" s="116" t="str">
        <f t="shared" si="123"/>
        <v>-</v>
      </c>
      <c r="F2574" s="85"/>
      <c r="G2574" s="85" t="s">
        <v>19</v>
      </c>
      <c r="H2574" s="85"/>
      <c r="I2574" s="85"/>
      <c r="J2574" s="87"/>
      <c r="K2574" s="88">
        <f t="shared" si="124"/>
        <v>0</v>
      </c>
      <c r="L2574" s="85"/>
    </row>
    <row r="2575" spans="1:12" hidden="1" x14ac:dyDescent="0.2">
      <c r="A2575" s="84" t="str">
        <f t="shared" si="122"/>
        <v>SelecioneSelecioneSelecione</v>
      </c>
      <c r="B2575" s="85" t="s">
        <v>19</v>
      </c>
      <c r="C2575" s="85" t="s">
        <v>19</v>
      </c>
      <c r="D2575" s="86"/>
      <c r="E2575" s="116" t="str">
        <f t="shared" si="123"/>
        <v>-</v>
      </c>
      <c r="F2575" s="85"/>
      <c r="G2575" s="85" t="s">
        <v>19</v>
      </c>
      <c r="H2575" s="85"/>
      <c r="I2575" s="85"/>
      <c r="J2575" s="87"/>
      <c r="K2575" s="88">
        <f t="shared" si="124"/>
        <v>0</v>
      </c>
      <c r="L2575" s="85"/>
    </row>
    <row r="2576" spans="1:12" hidden="1" x14ac:dyDescent="0.2">
      <c r="A2576" s="84" t="str">
        <f t="shared" si="122"/>
        <v>SelecioneSelecioneSelecione</v>
      </c>
      <c r="B2576" s="85" t="s">
        <v>19</v>
      </c>
      <c r="C2576" s="85" t="s">
        <v>19</v>
      </c>
      <c r="D2576" s="93"/>
      <c r="E2576" s="116" t="str">
        <f t="shared" si="123"/>
        <v>-</v>
      </c>
      <c r="F2576" s="90"/>
      <c r="G2576" s="85" t="s">
        <v>19</v>
      </c>
      <c r="H2576" s="85"/>
      <c r="I2576" s="90"/>
      <c r="J2576" s="89"/>
      <c r="K2576" s="88">
        <f t="shared" si="124"/>
        <v>0</v>
      </c>
      <c r="L2576" s="90"/>
    </row>
    <row r="2577" spans="1:12" hidden="1" x14ac:dyDescent="0.2">
      <c r="A2577" s="84" t="str">
        <f t="shared" si="122"/>
        <v>SelecioneSelecioneSelecione</v>
      </c>
      <c r="B2577" s="85" t="s">
        <v>19</v>
      </c>
      <c r="C2577" s="85" t="s">
        <v>19</v>
      </c>
      <c r="D2577" s="86"/>
      <c r="E2577" s="116" t="str">
        <f t="shared" si="123"/>
        <v>-</v>
      </c>
      <c r="F2577" s="85"/>
      <c r="G2577" s="85" t="s">
        <v>19</v>
      </c>
      <c r="H2577" s="85"/>
      <c r="I2577" s="85"/>
      <c r="J2577" s="87"/>
      <c r="K2577" s="88">
        <f t="shared" si="124"/>
        <v>0</v>
      </c>
      <c r="L2577" s="85"/>
    </row>
    <row r="2578" spans="1:12" hidden="1" x14ac:dyDescent="0.2">
      <c r="A2578" s="84" t="str">
        <f t="shared" si="122"/>
        <v>SelecioneSelecioneSelecione</v>
      </c>
      <c r="B2578" s="85" t="s">
        <v>19</v>
      </c>
      <c r="C2578" s="85" t="s">
        <v>19</v>
      </c>
      <c r="D2578" s="86"/>
      <c r="E2578" s="116" t="str">
        <f t="shared" si="123"/>
        <v>-</v>
      </c>
      <c r="F2578" s="85"/>
      <c r="G2578" s="85" t="s">
        <v>19</v>
      </c>
      <c r="H2578" s="85"/>
      <c r="I2578" s="85"/>
      <c r="J2578" s="87"/>
      <c r="K2578" s="88">
        <f t="shared" si="124"/>
        <v>0</v>
      </c>
      <c r="L2578" s="85"/>
    </row>
    <row r="2579" spans="1:12" hidden="1" x14ac:dyDescent="0.2">
      <c r="A2579" s="84" t="str">
        <f t="shared" si="122"/>
        <v>SelecioneSelecioneSelecione</v>
      </c>
      <c r="B2579" s="85" t="s">
        <v>19</v>
      </c>
      <c r="C2579" s="85" t="s">
        <v>19</v>
      </c>
      <c r="D2579" s="86"/>
      <c r="E2579" s="116" t="str">
        <f t="shared" si="123"/>
        <v>-</v>
      </c>
      <c r="F2579" s="85"/>
      <c r="G2579" s="85" t="s">
        <v>19</v>
      </c>
      <c r="H2579" s="85"/>
      <c r="I2579" s="85"/>
      <c r="J2579" s="87"/>
      <c r="K2579" s="88">
        <f t="shared" si="124"/>
        <v>0</v>
      </c>
      <c r="L2579" s="85"/>
    </row>
    <row r="2580" spans="1:12" hidden="1" x14ac:dyDescent="0.2">
      <c r="A2580" s="84" t="str">
        <f t="shared" si="122"/>
        <v>SelecioneSelecioneSelecione</v>
      </c>
      <c r="B2580" s="85" t="s">
        <v>19</v>
      </c>
      <c r="C2580" s="85" t="s">
        <v>19</v>
      </c>
      <c r="D2580" s="86"/>
      <c r="E2580" s="116" t="str">
        <f t="shared" si="123"/>
        <v>-</v>
      </c>
      <c r="F2580" s="85"/>
      <c r="G2580" s="85" t="s">
        <v>19</v>
      </c>
      <c r="H2580" s="85"/>
      <c r="I2580" s="85"/>
      <c r="J2580" s="87"/>
      <c r="K2580" s="88">
        <f t="shared" si="124"/>
        <v>0</v>
      </c>
      <c r="L2580" s="85"/>
    </row>
    <row r="2581" spans="1:12" hidden="1" x14ac:dyDescent="0.2">
      <c r="A2581" s="84" t="str">
        <f t="shared" si="122"/>
        <v>SelecioneSelecioneSelecione</v>
      </c>
      <c r="B2581" s="85" t="s">
        <v>19</v>
      </c>
      <c r="C2581" s="85" t="s">
        <v>19</v>
      </c>
      <c r="D2581" s="86"/>
      <c r="E2581" s="116" t="str">
        <f t="shared" si="123"/>
        <v>-</v>
      </c>
      <c r="F2581" s="85"/>
      <c r="G2581" s="85" t="s">
        <v>19</v>
      </c>
      <c r="H2581" s="85"/>
      <c r="I2581" s="85"/>
      <c r="J2581" s="87"/>
      <c r="K2581" s="88">
        <f t="shared" si="124"/>
        <v>0</v>
      </c>
      <c r="L2581" s="85"/>
    </row>
    <row r="2582" spans="1:12" hidden="1" x14ac:dyDescent="0.2">
      <c r="A2582" s="84" t="str">
        <f t="shared" si="122"/>
        <v>SelecioneSelecioneSelecione</v>
      </c>
      <c r="B2582" s="85" t="s">
        <v>19</v>
      </c>
      <c r="C2582" s="85" t="s">
        <v>19</v>
      </c>
      <c r="D2582" s="93"/>
      <c r="E2582" s="116" t="str">
        <f t="shared" si="123"/>
        <v>-</v>
      </c>
      <c r="F2582" s="90"/>
      <c r="G2582" s="85" t="s">
        <v>19</v>
      </c>
      <c r="H2582" s="85"/>
      <c r="I2582" s="90"/>
      <c r="J2582" s="89"/>
      <c r="K2582" s="88">
        <f t="shared" si="124"/>
        <v>0</v>
      </c>
      <c r="L2582" s="90"/>
    </row>
    <row r="2583" spans="1:12" hidden="1" x14ac:dyDescent="0.2">
      <c r="A2583" s="84" t="str">
        <f t="shared" si="122"/>
        <v>SelecioneSelecioneSelecione</v>
      </c>
      <c r="B2583" s="85" t="s">
        <v>19</v>
      </c>
      <c r="C2583" s="85" t="s">
        <v>19</v>
      </c>
      <c r="D2583" s="86"/>
      <c r="E2583" s="116" t="str">
        <f t="shared" si="123"/>
        <v>-</v>
      </c>
      <c r="F2583" s="85"/>
      <c r="G2583" s="85" t="s">
        <v>19</v>
      </c>
      <c r="H2583" s="85"/>
      <c r="I2583" s="85"/>
      <c r="J2583" s="87"/>
      <c r="K2583" s="88">
        <f t="shared" si="124"/>
        <v>0</v>
      </c>
      <c r="L2583" s="85"/>
    </row>
    <row r="2584" spans="1:12" hidden="1" x14ac:dyDescent="0.2">
      <c r="A2584" s="84" t="str">
        <f t="shared" si="122"/>
        <v>SelecioneSelecioneSelecione</v>
      </c>
      <c r="B2584" s="85" t="s">
        <v>19</v>
      </c>
      <c r="C2584" s="85" t="s">
        <v>19</v>
      </c>
      <c r="D2584" s="86"/>
      <c r="E2584" s="116" t="str">
        <f t="shared" si="123"/>
        <v>-</v>
      </c>
      <c r="F2584" s="85"/>
      <c r="G2584" s="85" t="s">
        <v>19</v>
      </c>
      <c r="H2584" s="85"/>
      <c r="I2584" s="85"/>
      <c r="J2584" s="87"/>
      <c r="K2584" s="88">
        <f t="shared" si="124"/>
        <v>0</v>
      </c>
      <c r="L2584" s="85"/>
    </row>
    <row r="2585" spans="1:12" hidden="1" x14ac:dyDescent="0.2">
      <c r="A2585" s="84" t="str">
        <f t="shared" si="122"/>
        <v>SelecioneSelecioneSelecione</v>
      </c>
      <c r="B2585" s="85" t="s">
        <v>19</v>
      </c>
      <c r="C2585" s="85" t="s">
        <v>19</v>
      </c>
      <c r="D2585" s="86"/>
      <c r="E2585" s="116" t="str">
        <f t="shared" si="123"/>
        <v>-</v>
      </c>
      <c r="F2585" s="85"/>
      <c r="G2585" s="85" t="s">
        <v>19</v>
      </c>
      <c r="H2585" s="85"/>
      <c r="I2585" s="85"/>
      <c r="J2585" s="87"/>
      <c r="K2585" s="88">
        <f t="shared" si="124"/>
        <v>0</v>
      </c>
      <c r="L2585" s="85"/>
    </row>
    <row r="2586" spans="1:12" hidden="1" x14ac:dyDescent="0.2">
      <c r="A2586" s="84" t="str">
        <f t="shared" si="122"/>
        <v>SelecioneSelecioneSelecione</v>
      </c>
      <c r="B2586" s="85" t="s">
        <v>19</v>
      </c>
      <c r="C2586" s="85" t="s">
        <v>19</v>
      </c>
      <c r="D2586" s="86"/>
      <c r="E2586" s="116" t="str">
        <f t="shared" si="123"/>
        <v>-</v>
      </c>
      <c r="F2586" s="85"/>
      <c r="G2586" s="85" t="s">
        <v>19</v>
      </c>
      <c r="H2586" s="85"/>
      <c r="I2586" s="85"/>
      <c r="J2586" s="87"/>
      <c r="K2586" s="88">
        <f t="shared" si="124"/>
        <v>0</v>
      </c>
      <c r="L2586" s="85"/>
    </row>
    <row r="2587" spans="1:12" hidden="1" x14ac:dyDescent="0.2">
      <c r="A2587" s="84" t="str">
        <f t="shared" si="122"/>
        <v>SelecioneSelecioneSelecione</v>
      </c>
      <c r="B2587" s="85" t="s">
        <v>19</v>
      </c>
      <c r="C2587" s="85" t="s">
        <v>19</v>
      </c>
      <c r="D2587" s="93"/>
      <c r="E2587" s="116" t="str">
        <f t="shared" si="123"/>
        <v>-</v>
      </c>
      <c r="F2587" s="90"/>
      <c r="G2587" s="85" t="s">
        <v>19</v>
      </c>
      <c r="H2587" s="85"/>
      <c r="I2587" s="90"/>
      <c r="J2587" s="89"/>
      <c r="K2587" s="88">
        <f t="shared" si="124"/>
        <v>0</v>
      </c>
      <c r="L2587" s="90"/>
    </row>
    <row r="2588" spans="1:12" hidden="1" x14ac:dyDescent="0.2">
      <c r="A2588" s="84" t="str">
        <f t="shared" si="122"/>
        <v>SelecioneSelecioneSelecione</v>
      </c>
      <c r="B2588" s="85" t="s">
        <v>19</v>
      </c>
      <c r="C2588" s="85" t="s">
        <v>19</v>
      </c>
      <c r="D2588" s="93"/>
      <c r="E2588" s="116" t="str">
        <f t="shared" si="123"/>
        <v>-</v>
      </c>
      <c r="F2588" s="90"/>
      <c r="G2588" s="85" t="s">
        <v>19</v>
      </c>
      <c r="H2588" s="85"/>
      <c r="I2588" s="90"/>
      <c r="J2588" s="89"/>
      <c r="K2588" s="88">
        <f t="shared" si="124"/>
        <v>0</v>
      </c>
      <c r="L2588" s="90"/>
    </row>
    <row r="2589" spans="1:12" hidden="1" x14ac:dyDescent="0.2">
      <c r="A2589" s="84" t="str">
        <f t="shared" si="122"/>
        <v>SelecioneSelecioneSelecione</v>
      </c>
      <c r="B2589" s="85" t="s">
        <v>19</v>
      </c>
      <c r="C2589" s="85" t="s">
        <v>19</v>
      </c>
      <c r="D2589" s="86"/>
      <c r="E2589" s="116" t="str">
        <f t="shared" si="123"/>
        <v>-</v>
      </c>
      <c r="F2589" s="85"/>
      <c r="G2589" s="85" t="s">
        <v>19</v>
      </c>
      <c r="H2589" s="85"/>
      <c r="I2589" s="85"/>
      <c r="J2589" s="87"/>
      <c r="K2589" s="88">
        <f t="shared" si="124"/>
        <v>0</v>
      </c>
      <c r="L2589" s="85"/>
    </row>
    <row r="2590" spans="1:12" hidden="1" x14ac:dyDescent="0.2">
      <c r="A2590" s="84" t="str">
        <f t="shared" si="122"/>
        <v>SelecioneSelecioneSelecione</v>
      </c>
      <c r="B2590" s="85" t="s">
        <v>19</v>
      </c>
      <c r="C2590" s="85" t="s">
        <v>19</v>
      </c>
      <c r="D2590" s="86"/>
      <c r="E2590" s="116" t="str">
        <f t="shared" si="123"/>
        <v>-</v>
      </c>
      <c r="F2590" s="85"/>
      <c r="G2590" s="85" t="s">
        <v>19</v>
      </c>
      <c r="H2590" s="85"/>
      <c r="I2590" s="85"/>
      <c r="J2590" s="87"/>
      <c r="K2590" s="88">
        <f t="shared" si="124"/>
        <v>0</v>
      </c>
      <c r="L2590" s="85"/>
    </row>
    <row r="2591" spans="1:12" hidden="1" x14ac:dyDescent="0.2">
      <c r="A2591" s="84" t="str">
        <f t="shared" si="122"/>
        <v>SelecioneSelecioneSelecione</v>
      </c>
      <c r="B2591" s="85" t="s">
        <v>19</v>
      </c>
      <c r="C2591" s="85" t="s">
        <v>19</v>
      </c>
      <c r="D2591" s="86"/>
      <c r="E2591" s="116" t="str">
        <f t="shared" si="123"/>
        <v>-</v>
      </c>
      <c r="F2591" s="85"/>
      <c r="G2591" s="85" t="s">
        <v>19</v>
      </c>
      <c r="H2591" s="85"/>
      <c r="I2591" s="85"/>
      <c r="J2591" s="87"/>
      <c r="K2591" s="88">
        <f t="shared" si="124"/>
        <v>0</v>
      </c>
      <c r="L2591" s="85"/>
    </row>
    <row r="2592" spans="1:12" hidden="1" x14ac:dyDescent="0.2">
      <c r="A2592" s="84" t="str">
        <f t="shared" si="122"/>
        <v>SelecioneSelecioneSelecione</v>
      </c>
      <c r="B2592" s="85" t="s">
        <v>19</v>
      </c>
      <c r="C2592" s="85" t="s">
        <v>19</v>
      </c>
      <c r="D2592" s="86"/>
      <c r="E2592" s="116" t="str">
        <f t="shared" si="123"/>
        <v>-</v>
      </c>
      <c r="F2592" s="85"/>
      <c r="G2592" s="85" t="s">
        <v>19</v>
      </c>
      <c r="H2592" s="85"/>
      <c r="I2592" s="85"/>
      <c r="J2592" s="87"/>
      <c r="K2592" s="88">
        <f t="shared" si="124"/>
        <v>0</v>
      </c>
      <c r="L2592" s="85"/>
    </row>
    <row r="2593" spans="1:12" hidden="1" x14ac:dyDescent="0.2">
      <c r="A2593" s="84" t="str">
        <f t="shared" si="122"/>
        <v>SelecioneSelecioneSelecione</v>
      </c>
      <c r="B2593" s="85" t="s">
        <v>19</v>
      </c>
      <c r="C2593" s="85" t="s">
        <v>19</v>
      </c>
      <c r="D2593" s="86"/>
      <c r="E2593" s="116" t="str">
        <f t="shared" si="123"/>
        <v>-</v>
      </c>
      <c r="F2593" s="85"/>
      <c r="G2593" s="85" t="s">
        <v>19</v>
      </c>
      <c r="H2593" s="85"/>
      <c r="I2593" s="85"/>
      <c r="J2593" s="87"/>
      <c r="K2593" s="88">
        <f t="shared" si="124"/>
        <v>0</v>
      </c>
      <c r="L2593" s="85"/>
    </row>
    <row r="2594" spans="1:12" hidden="1" x14ac:dyDescent="0.2">
      <c r="A2594" s="84" t="str">
        <f t="shared" si="122"/>
        <v>SelecioneSelecioneSelecione</v>
      </c>
      <c r="B2594" s="85" t="s">
        <v>19</v>
      </c>
      <c r="C2594" s="85" t="s">
        <v>19</v>
      </c>
      <c r="D2594" s="86"/>
      <c r="E2594" s="116" t="str">
        <f t="shared" si="123"/>
        <v>-</v>
      </c>
      <c r="F2594" s="85"/>
      <c r="G2594" s="85" t="s">
        <v>19</v>
      </c>
      <c r="H2594" s="85"/>
      <c r="I2594" s="85"/>
      <c r="J2594" s="87"/>
      <c r="K2594" s="88">
        <f t="shared" si="124"/>
        <v>0</v>
      </c>
      <c r="L2594" s="85"/>
    </row>
    <row r="2595" spans="1:12" hidden="1" x14ac:dyDescent="0.2">
      <c r="A2595" s="84" t="str">
        <f t="shared" si="122"/>
        <v>SelecioneSelecioneSelecione</v>
      </c>
      <c r="B2595" s="85" t="s">
        <v>19</v>
      </c>
      <c r="C2595" s="85" t="s">
        <v>19</v>
      </c>
      <c r="D2595" s="86"/>
      <c r="E2595" s="116" t="str">
        <f t="shared" si="123"/>
        <v>-</v>
      </c>
      <c r="F2595" s="85"/>
      <c r="G2595" s="85" t="s">
        <v>19</v>
      </c>
      <c r="H2595" s="85"/>
      <c r="I2595" s="85"/>
      <c r="J2595" s="87"/>
      <c r="K2595" s="88">
        <f t="shared" si="124"/>
        <v>0</v>
      </c>
      <c r="L2595" s="85"/>
    </row>
    <row r="2596" spans="1:12" hidden="1" x14ac:dyDescent="0.2">
      <c r="A2596" s="84" t="str">
        <f t="shared" si="122"/>
        <v>SelecioneSelecioneSelecione</v>
      </c>
      <c r="B2596" s="85" t="s">
        <v>19</v>
      </c>
      <c r="C2596" s="85" t="s">
        <v>19</v>
      </c>
      <c r="D2596" s="86"/>
      <c r="E2596" s="116" t="str">
        <f t="shared" si="123"/>
        <v>-</v>
      </c>
      <c r="F2596" s="85"/>
      <c r="G2596" s="85" t="s">
        <v>19</v>
      </c>
      <c r="H2596" s="85"/>
      <c r="I2596" s="85"/>
      <c r="J2596" s="87"/>
      <c r="K2596" s="88">
        <f t="shared" si="124"/>
        <v>0</v>
      </c>
      <c r="L2596" s="85"/>
    </row>
    <row r="2597" spans="1:12" hidden="1" x14ac:dyDescent="0.2">
      <c r="A2597" s="84" t="str">
        <f t="shared" si="122"/>
        <v>SelecioneSelecioneSelecione</v>
      </c>
      <c r="B2597" s="85" t="s">
        <v>19</v>
      </c>
      <c r="C2597" s="85" t="s">
        <v>19</v>
      </c>
      <c r="D2597" s="86"/>
      <c r="E2597" s="116" t="str">
        <f t="shared" si="123"/>
        <v>-</v>
      </c>
      <c r="F2597" s="85"/>
      <c r="G2597" s="85" t="s">
        <v>19</v>
      </c>
      <c r="H2597" s="85"/>
      <c r="I2597" s="85"/>
      <c r="J2597" s="87"/>
      <c r="K2597" s="88">
        <f t="shared" si="124"/>
        <v>0</v>
      </c>
      <c r="L2597" s="85"/>
    </row>
    <row r="2598" spans="1:12" hidden="1" x14ac:dyDescent="0.2">
      <c r="A2598" s="84" t="str">
        <f t="shared" si="122"/>
        <v>SelecioneSelecioneSelecione</v>
      </c>
      <c r="B2598" s="85" t="s">
        <v>19</v>
      </c>
      <c r="C2598" s="85" t="s">
        <v>19</v>
      </c>
      <c r="D2598" s="93"/>
      <c r="E2598" s="116" t="str">
        <f t="shared" si="123"/>
        <v>-</v>
      </c>
      <c r="F2598" s="90"/>
      <c r="G2598" s="85" t="s">
        <v>19</v>
      </c>
      <c r="H2598" s="85"/>
      <c r="I2598" s="90"/>
      <c r="J2598" s="89"/>
      <c r="K2598" s="88">
        <f t="shared" si="124"/>
        <v>0</v>
      </c>
      <c r="L2598" s="90"/>
    </row>
    <row r="2599" spans="1:12" hidden="1" x14ac:dyDescent="0.2">
      <c r="A2599" s="84" t="str">
        <f t="shared" si="122"/>
        <v>SelecioneSelecioneSelecione</v>
      </c>
      <c r="B2599" s="85" t="s">
        <v>19</v>
      </c>
      <c r="C2599" s="85" t="s">
        <v>19</v>
      </c>
      <c r="D2599" s="86"/>
      <c r="E2599" s="116" t="str">
        <f t="shared" si="123"/>
        <v>-</v>
      </c>
      <c r="F2599" s="85"/>
      <c r="G2599" s="85" t="s">
        <v>19</v>
      </c>
      <c r="H2599" s="85"/>
      <c r="I2599" s="85"/>
      <c r="J2599" s="87"/>
      <c r="K2599" s="88">
        <f t="shared" si="124"/>
        <v>0</v>
      </c>
      <c r="L2599" s="85"/>
    </row>
    <row r="2600" spans="1:12" hidden="1" x14ac:dyDescent="0.2">
      <c r="A2600" s="84" t="str">
        <f t="shared" si="122"/>
        <v>SelecioneSelecioneSelecione</v>
      </c>
      <c r="B2600" s="85" t="s">
        <v>19</v>
      </c>
      <c r="C2600" s="85" t="s">
        <v>19</v>
      </c>
      <c r="D2600" s="86"/>
      <c r="E2600" s="116" t="str">
        <f t="shared" si="123"/>
        <v>-</v>
      </c>
      <c r="F2600" s="85"/>
      <c r="G2600" s="85" t="s">
        <v>19</v>
      </c>
      <c r="H2600" s="85"/>
      <c r="I2600" s="85"/>
      <c r="J2600" s="87"/>
      <c r="K2600" s="88">
        <f t="shared" si="124"/>
        <v>0</v>
      </c>
      <c r="L2600" s="85"/>
    </row>
    <row r="2601" spans="1:12" hidden="1" x14ac:dyDescent="0.2">
      <c r="A2601" s="84" t="str">
        <f t="shared" si="122"/>
        <v>SelecioneSelecioneSelecione</v>
      </c>
      <c r="B2601" s="85" t="s">
        <v>19</v>
      </c>
      <c r="C2601" s="85" t="s">
        <v>19</v>
      </c>
      <c r="D2601" s="93"/>
      <c r="E2601" s="116" t="str">
        <f t="shared" si="123"/>
        <v>-</v>
      </c>
      <c r="F2601" s="90"/>
      <c r="G2601" s="85" t="s">
        <v>19</v>
      </c>
      <c r="H2601" s="85"/>
      <c r="I2601" s="90"/>
      <c r="J2601" s="89"/>
      <c r="K2601" s="88">
        <f t="shared" si="124"/>
        <v>0</v>
      </c>
      <c r="L2601" s="90"/>
    </row>
    <row r="2602" spans="1:12" hidden="1" x14ac:dyDescent="0.2">
      <c r="A2602" s="84" t="str">
        <f t="shared" si="122"/>
        <v>SelecioneSelecioneSelecione</v>
      </c>
      <c r="B2602" s="85" t="s">
        <v>19</v>
      </c>
      <c r="C2602" s="85" t="s">
        <v>19</v>
      </c>
      <c r="D2602" s="86"/>
      <c r="E2602" s="116" t="str">
        <f t="shared" si="123"/>
        <v>-</v>
      </c>
      <c r="F2602" s="85"/>
      <c r="G2602" s="85" t="s">
        <v>19</v>
      </c>
      <c r="H2602" s="85"/>
      <c r="I2602" s="85"/>
      <c r="J2602" s="87"/>
      <c r="K2602" s="88">
        <f t="shared" si="124"/>
        <v>0</v>
      </c>
      <c r="L2602" s="85"/>
    </row>
    <row r="2603" spans="1:12" hidden="1" x14ac:dyDescent="0.2">
      <c r="A2603" s="84" t="str">
        <f t="shared" si="122"/>
        <v>SelecioneSelecioneSelecione</v>
      </c>
      <c r="B2603" s="85" t="s">
        <v>19</v>
      </c>
      <c r="C2603" s="85" t="s">
        <v>19</v>
      </c>
      <c r="D2603" s="86"/>
      <c r="E2603" s="116" t="str">
        <f t="shared" si="123"/>
        <v>-</v>
      </c>
      <c r="F2603" s="85"/>
      <c r="G2603" s="85" t="s">
        <v>19</v>
      </c>
      <c r="H2603" s="85"/>
      <c r="I2603" s="85"/>
      <c r="J2603" s="87"/>
      <c r="K2603" s="88">
        <f t="shared" si="124"/>
        <v>0</v>
      </c>
      <c r="L2603" s="85"/>
    </row>
    <row r="2604" spans="1:12" hidden="1" x14ac:dyDescent="0.2">
      <c r="A2604" s="84" t="str">
        <f t="shared" si="122"/>
        <v>SelecioneSelecioneSelecione</v>
      </c>
      <c r="B2604" s="85" t="s">
        <v>19</v>
      </c>
      <c r="C2604" s="85" t="s">
        <v>19</v>
      </c>
      <c r="D2604" s="86"/>
      <c r="E2604" s="116" t="str">
        <f t="shared" si="123"/>
        <v>-</v>
      </c>
      <c r="F2604" s="85"/>
      <c r="G2604" s="85" t="s">
        <v>19</v>
      </c>
      <c r="H2604" s="85"/>
      <c r="I2604" s="85"/>
      <c r="J2604" s="87"/>
      <c r="K2604" s="88">
        <f t="shared" si="124"/>
        <v>0</v>
      </c>
      <c r="L2604" s="85"/>
    </row>
    <row r="2605" spans="1:12" hidden="1" x14ac:dyDescent="0.2">
      <c r="A2605" s="84" t="str">
        <f t="shared" si="122"/>
        <v>SelecioneSelecioneSelecione</v>
      </c>
      <c r="B2605" s="85" t="s">
        <v>19</v>
      </c>
      <c r="C2605" s="85" t="s">
        <v>19</v>
      </c>
      <c r="D2605" s="86"/>
      <c r="E2605" s="116" t="str">
        <f t="shared" si="123"/>
        <v>-</v>
      </c>
      <c r="F2605" s="85"/>
      <c r="G2605" s="85" t="s">
        <v>19</v>
      </c>
      <c r="H2605" s="85"/>
      <c r="I2605" s="85"/>
      <c r="J2605" s="87"/>
      <c r="K2605" s="88">
        <f t="shared" si="124"/>
        <v>0</v>
      </c>
      <c r="L2605" s="85"/>
    </row>
    <row r="2606" spans="1:12" hidden="1" x14ac:dyDescent="0.2">
      <c r="A2606" s="84" t="str">
        <f t="shared" si="122"/>
        <v>SelecioneSelecioneSelecione</v>
      </c>
      <c r="B2606" s="85" t="s">
        <v>19</v>
      </c>
      <c r="C2606" s="85" t="s">
        <v>19</v>
      </c>
      <c r="D2606" s="86"/>
      <c r="E2606" s="116" t="str">
        <f t="shared" si="123"/>
        <v>-</v>
      </c>
      <c r="F2606" s="85"/>
      <c r="G2606" s="85" t="s">
        <v>19</v>
      </c>
      <c r="H2606" s="85"/>
      <c r="I2606" s="85"/>
      <c r="J2606" s="87"/>
      <c r="K2606" s="88">
        <f t="shared" si="124"/>
        <v>0</v>
      </c>
      <c r="L2606" s="85"/>
    </row>
    <row r="2607" spans="1:12" hidden="1" x14ac:dyDescent="0.2">
      <c r="A2607" s="84" t="str">
        <f t="shared" si="122"/>
        <v>SelecioneSelecioneSelecione</v>
      </c>
      <c r="B2607" s="85" t="s">
        <v>19</v>
      </c>
      <c r="C2607" s="85" t="s">
        <v>19</v>
      </c>
      <c r="D2607" s="86"/>
      <c r="E2607" s="116" t="str">
        <f t="shared" si="123"/>
        <v>-</v>
      </c>
      <c r="F2607" s="85"/>
      <c r="G2607" s="85" t="s">
        <v>19</v>
      </c>
      <c r="H2607" s="85"/>
      <c r="I2607" s="85"/>
      <c r="J2607" s="87"/>
      <c r="K2607" s="88">
        <f t="shared" si="124"/>
        <v>0</v>
      </c>
      <c r="L2607" s="85"/>
    </row>
    <row r="2608" spans="1:12" hidden="1" x14ac:dyDescent="0.2">
      <c r="A2608" s="84" t="str">
        <f t="shared" si="122"/>
        <v>SelecioneSelecioneSelecione</v>
      </c>
      <c r="B2608" s="85" t="s">
        <v>19</v>
      </c>
      <c r="C2608" s="85" t="s">
        <v>19</v>
      </c>
      <c r="D2608" s="86"/>
      <c r="E2608" s="116" t="str">
        <f t="shared" si="123"/>
        <v>-</v>
      </c>
      <c r="F2608" s="85"/>
      <c r="G2608" s="85" t="s">
        <v>19</v>
      </c>
      <c r="H2608" s="85"/>
      <c r="I2608" s="85"/>
      <c r="J2608" s="87"/>
      <c r="K2608" s="88">
        <f t="shared" si="124"/>
        <v>0</v>
      </c>
      <c r="L2608" s="85"/>
    </row>
    <row r="2609" spans="1:12" hidden="1" x14ac:dyDescent="0.2">
      <c r="A2609" s="84" t="str">
        <f t="shared" si="122"/>
        <v>SelecioneSelecioneSelecione</v>
      </c>
      <c r="B2609" s="85" t="s">
        <v>19</v>
      </c>
      <c r="C2609" s="85" t="s">
        <v>19</v>
      </c>
      <c r="D2609" s="86"/>
      <c r="E2609" s="116" t="str">
        <f t="shared" si="123"/>
        <v>-</v>
      </c>
      <c r="F2609" s="85"/>
      <c r="G2609" s="85" t="s">
        <v>19</v>
      </c>
      <c r="H2609" s="85"/>
      <c r="I2609" s="85"/>
      <c r="J2609" s="87"/>
      <c r="K2609" s="88">
        <f t="shared" si="124"/>
        <v>0</v>
      </c>
      <c r="L2609" s="85"/>
    </row>
    <row r="2610" spans="1:12" hidden="1" x14ac:dyDescent="0.2">
      <c r="A2610" s="84" t="str">
        <f t="shared" si="122"/>
        <v>SelecioneSelecioneSelecione</v>
      </c>
      <c r="B2610" s="85" t="s">
        <v>19</v>
      </c>
      <c r="C2610" s="85" t="s">
        <v>19</v>
      </c>
      <c r="D2610" s="86"/>
      <c r="E2610" s="116" t="str">
        <f t="shared" si="123"/>
        <v>-</v>
      </c>
      <c r="F2610" s="85"/>
      <c r="G2610" s="85" t="s">
        <v>19</v>
      </c>
      <c r="H2610" s="85"/>
      <c r="I2610" s="85"/>
      <c r="J2610" s="87"/>
      <c r="K2610" s="88">
        <f t="shared" si="124"/>
        <v>0</v>
      </c>
      <c r="L2610" s="85"/>
    </row>
    <row r="2611" spans="1:12" hidden="1" x14ac:dyDescent="0.2">
      <c r="A2611" s="84" t="str">
        <f t="shared" si="122"/>
        <v>SelecioneSelecioneSelecione</v>
      </c>
      <c r="B2611" s="85" t="s">
        <v>19</v>
      </c>
      <c r="C2611" s="85" t="s">
        <v>19</v>
      </c>
      <c r="D2611" s="86"/>
      <c r="E2611" s="116" t="str">
        <f t="shared" si="123"/>
        <v>-</v>
      </c>
      <c r="F2611" s="85"/>
      <c r="G2611" s="85" t="s">
        <v>19</v>
      </c>
      <c r="H2611" s="85"/>
      <c r="I2611" s="85"/>
      <c r="J2611" s="87"/>
      <c r="K2611" s="88">
        <f t="shared" si="124"/>
        <v>0</v>
      </c>
      <c r="L2611" s="85"/>
    </row>
    <row r="2612" spans="1:12" hidden="1" x14ac:dyDescent="0.2">
      <c r="A2612" s="84" t="str">
        <f t="shared" si="122"/>
        <v>SelecioneSelecioneSelecione</v>
      </c>
      <c r="B2612" s="85" t="s">
        <v>19</v>
      </c>
      <c r="C2612" s="85" t="s">
        <v>19</v>
      </c>
      <c r="D2612" s="86"/>
      <c r="E2612" s="116" t="str">
        <f t="shared" si="123"/>
        <v>-</v>
      </c>
      <c r="F2612" s="85"/>
      <c r="G2612" s="85" t="s">
        <v>19</v>
      </c>
      <c r="H2612" s="85"/>
      <c r="I2612" s="85"/>
      <c r="J2612" s="87"/>
      <c r="K2612" s="88">
        <f t="shared" si="124"/>
        <v>0</v>
      </c>
      <c r="L2612" s="85"/>
    </row>
    <row r="2613" spans="1:12" hidden="1" x14ac:dyDescent="0.2">
      <c r="A2613" s="84" t="str">
        <f t="shared" si="122"/>
        <v>SelecioneSelecioneSelecione</v>
      </c>
      <c r="B2613" s="85" t="s">
        <v>19</v>
      </c>
      <c r="C2613" s="85" t="s">
        <v>19</v>
      </c>
      <c r="D2613" s="86"/>
      <c r="E2613" s="116" t="str">
        <f t="shared" si="123"/>
        <v>-</v>
      </c>
      <c r="F2613" s="85"/>
      <c r="G2613" s="85" t="s">
        <v>19</v>
      </c>
      <c r="H2613" s="85"/>
      <c r="I2613" s="85"/>
      <c r="J2613" s="87"/>
      <c r="K2613" s="88">
        <f t="shared" si="124"/>
        <v>0</v>
      </c>
      <c r="L2613" s="85"/>
    </row>
    <row r="2614" spans="1:12" hidden="1" x14ac:dyDescent="0.2">
      <c r="A2614" s="84" t="str">
        <f t="shared" si="122"/>
        <v>SelecioneSelecioneSelecione</v>
      </c>
      <c r="B2614" s="85" t="s">
        <v>19</v>
      </c>
      <c r="C2614" s="85" t="s">
        <v>19</v>
      </c>
      <c r="D2614" s="86"/>
      <c r="E2614" s="116" t="str">
        <f t="shared" si="123"/>
        <v>-</v>
      </c>
      <c r="F2614" s="85"/>
      <c r="G2614" s="85" t="s">
        <v>19</v>
      </c>
      <c r="H2614" s="85"/>
      <c r="I2614" s="85"/>
      <c r="J2614" s="87"/>
      <c r="K2614" s="88">
        <f t="shared" si="124"/>
        <v>0</v>
      </c>
      <c r="L2614" s="85"/>
    </row>
    <row r="2615" spans="1:12" hidden="1" x14ac:dyDescent="0.2">
      <c r="A2615" s="84" t="str">
        <f t="shared" si="122"/>
        <v>SelecioneSelecioneSelecione</v>
      </c>
      <c r="B2615" s="85" t="s">
        <v>19</v>
      </c>
      <c r="C2615" s="85" t="s">
        <v>19</v>
      </c>
      <c r="D2615" s="86"/>
      <c r="E2615" s="116" t="str">
        <f t="shared" si="123"/>
        <v>-</v>
      </c>
      <c r="F2615" s="85"/>
      <c r="G2615" s="85" t="s">
        <v>19</v>
      </c>
      <c r="H2615" s="85"/>
      <c r="I2615" s="85"/>
      <c r="J2615" s="87"/>
      <c r="K2615" s="88">
        <f t="shared" si="124"/>
        <v>0</v>
      </c>
      <c r="L2615" s="85"/>
    </row>
    <row r="2616" spans="1:12" hidden="1" x14ac:dyDescent="0.2">
      <c r="A2616" s="84" t="str">
        <f t="shared" si="122"/>
        <v>SelecioneSelecioneSelecione</v>
      </c>
      <c r="B2616" s="85" t="s">
        <v>19</v>
      </c>
      <c r="C2616" s="85" t="s">
        <v>19</v>
      </c>
      <c r="D2616" s="86"/>
      <c r="E2616" s="116" t="str">
        <f t="shared" si="123"/>
        <v>-</v>
      </c>
      <c r="F2616" s="85"/>
      <c r="G2616" s="85" t="s">
        <v>19</v>
      </c>
      <c r="H2616" s="85"/>
      <c r="I2616" s="85"/>
      <c r="J2616" s="87"/>
      <c r="K2616" s="88">
        <f t="shared" si="124"/>
        <v>0</v>
      </c>
      <c r="L2616" s="85"/>
    </row>
    <row r="2617" spans="1:12" hidden="1" x14ac:dyDescent="0.2">
      <c r="A2617" s="84" t="str">
        <f t="shared" si="122"/>
        <v>SelecioneSelecioneSelecione</v>
      </c>
      <c r="B2617" s="85" t="s">
        <v>19</v>
      </c>
      <c r="C2617" s="85" t="s">
        <v>19</v>
      </c>
      <c r="D2617" s="86"/>
      <c r="E2617" s="116" t="str">
        <f t="shared" si="123"/>
        <v>-</v>
      </c>
      <c r="F2617" s="85"/>
      <c r="G2617" s="85" t="s">
        <v>19</v>
      </c>
      <c r="H2617" s="85"/>
      <c r="I2617" s="85"/>
      <c r="J2617" s="87"/>
      <c r="K2617" s="88">
        <f t="shared" si="124"/>
        <v>0</v>
      </c>
      <c r="L2617" s="85"/>
    </row>
    <row r="2618" spans="1:12" hidden="1" x14ac:dyDescent="0.2">
      <c r="A2618" s="84" t="str">
        <f t="shared" si="122"/>
        <v>SelecioneSelecioneSelecione</v>
      </c>
      <c r="B2618" s="85" t="s">
        <v>19</v>
      </c>
      <c r="C2618" s="85" t="s">
        <v>19</v>
      </c>
      <c r="D2618" s="86"/>
      <c r="E2618" s="116" t="str">
        <f t="shared" si="123"/>
        <v>-</v>
      </c>
      <c r="F2618" s="85"/>
      <c r="G2618" s="85" t="s">
        <v>19</v>
      </c>
      <c r="H2618" s="85"/>
      <c r="I2618" s="85"/>
      <c r="J2618" s="87"/>
      <c r="K2618" s="88">
        <f t="shared" si="124"/>
        <v>0</v>
      </c>
      <c r="L2618" s="85"/>
    </row>
    <row r="2619" spans="1:12" hidden="1" x14ac:dyDescent="0.2">
      <c r="A2619" s="84" t="str">
        <f t="shared" si="122"/>
        <v>SelecioneSelecioneSelecione</v>
      </c>
      <c r="B2619" s="85" t="s">
        <v>19</v>
      </c>
      <c r="C2619" s="85" t="s">
        <v>19</v>
      </c>
      <c r="D2619" s="86"/>
      <c r="E2619" s="116" t="str">
        <f t="shared" si="123"/>
        <v>-</v>
      </c>
      <c r="F2619" s="85"/>
      <c r="G2619" s="85" t="s">
        <v>19</v>
      </c>
      <c r="H2619" s="85"/>
      <c r="I2619" s="85"/>
      <c r="J2619" s="87"/>
      <c r="K2619" s="88">
        <f t="shared" si="124"/>
        <v>0</v>
      </c>
      <c r="L2619" s="85"/>
    </row>
    <row r="2620" spans="1:12" hidden="1" x14ac:dyDescent="0.2">
      <c r="A2620" s="84" t="str">
        <f t="shared" si="122"/>
        <v>SelecioneSelecioneSelecione</v>
      </c>
      <c r="B2620" s="85" t="s">
        <v>19</v>
      </c>
      <c r="C2620" s="85" t="s">
        <v>19</v>
      </c>
      <c r="D2620" s="86"/>
      <c r="E2620" s="116" t="str">
        <f t="shared" si="123"/>
        <v>-</v>
      </c>
      <c r="F2620" s="85"/>
      <c r="G2620" s="85" t="s">
        <v>19</v>
      </c>
      <c r="H2620" s="85"/>
      <c r="I2620" s="85"/>
      <c r="J2620" s="87"/>
      <c r="K2620" s="88">
        <f t="shared" si="124"/>
        <v>0</v>
      </c>
      <c r="L2620" s="85"/>
    </row>
    <row r="2621" spans="1:12" hidden="1" x14ac:dyDescent="0.2">
      <c r="A2621" s="84" t="str">
        <f t="shared" si="122"/>
        <v>SelecioneSelecioneSelecione</v>
      </c>
      <c r="B2621" s="85" t="s">
        <v>19</v>
      </c>
      <c r="C2621" s="85" t="s">
        <v>19</v>
      </c>
      <c r="D2621" s="86"/>
      <c r="E2621" s="116" t="str">
        <f t="shared" si="123"/>
        <v>-</v>
      </c>
      <c r="F2621" s="85"/>
      <c r="G2621" s="85" t="s">
        <v>19</v>
      </c>
      <c r="H2621" s="85"/>
      <c r="I2621" s="85"/>
      <c r="J2621" s="87"/>
      <c r="K2621" s="88">
        <f t="shared" si="124"/>
        <v>0</v>
      </c>
      <c r="L2621" s="85"/>
    </row>
    <row r="2622" spans="1:12" hidden="1" x14ac:dyDescent="0.2">
      <c r="A2622" s="84" t="str">
        <f t="shared" si="122"/>
        <v>SelecioneSelecioneSelecione</v>
      </c>
      <c r="B2622" s="85" t="s">
        <v>19</v>
      </c>
      <c r="C2622" s="85" t="s">
        <v>19</v>
      </c>
      <c r="D2622" s="86"/>
      <c r="E2622" s="116" t="str">
        <f t="shared" si="123"/>
        <v>-</v>
      </c>
      <c r="F2622" s="85"/>
      <c r="G2622" s="85" t="s">
        <v>19</v>
      </c>
      <c r="H2622" s="85"/>
      <c r="I2622" s="85"/>
      <c r="J2622" s="87"/>
      <c r="K2622" s="88">
        <f t="shared" si="124"/>
        <v>0</v>
      </c>
      <c r="L2622" s="85"/>
    </row>
    <row r="2623" spans="1:12" hidden="1" x14ac:dyDescent="0.2">
      <c r="A2623" s="84" t="str">
        <f t="shared" si="122"/>
        <v>SelecioneSelecioneSelecione</v>
      </c>
      <c r="B2623" s="85" t="s">
        <v>19</v>
      </c>
      <c r="C2623" s="85" t="s">
        <v>19</v>
      </c>
      <c r="D2623" s="86"/>
      <c r="E2623" s="116" t="str">
        <f t="shared" si="123"/>
        <v>-</v>
      </c>
      <c r="F2623" s="85"/>
      <c r="G2623" s="85" t="s">
        <v>19</v>
      </c>
      <c r="H2623" s="85"/>
      <c r="I2623" s="85"/>
      <c r="J2623" s="87"/>
      <c r="K2623" s="88">
        <f t="shared" si="124"/>
        <v>0</v>
      </c>
      <c r="L2623" s="85"/>
    </row>
    <row r="2624" spans="1:12" hidden="1" x14ac:dyDescent="0.2">
      <c r="A2624" s="84" t="str">
        <f t="shared" si="122"/>
        <v>SelecioneSelecioneSelecione</v>
      </c>
      <c r="B2624" s="85" t="s">
        <v>19</v>
      </c>
      <c r="C2624" s="85" t="s">
        <v>19</v>
      </c>
      <c r="D2624" s="86"/>
      <c r="E2624" s="116" t="str">
        <f t="shared" si="123"/>
        <v>-</v>
      </c>
      <c r="F2624" s="85"/>
      <c r="G2624" s="85" t="s">
        <v>19</v>
      </c>
      <c r="H2624" s="85"/>
      <c r="I2624" s="85"/>
      <c r="J2624" s="87"/>
      <c r="K2624" s="88">
        <f t="shared" si="124"/>
        <v>0</v>
      </c>
      <c r="L2624" s="85"/>
    </row>
    <row r="2625" spans="1:12" hidden="1" x14ac:dyDescent="0.2">
      <c r="A2625" s="84" t="str">
        <f t="shared" si="122"/>
        <v>SelecioneSelecioneSelecione</v>
      </c>
      <c r="B2625" s="85" t="s">
        <v>19</v>
      </c>
      <c r="C2625" s="85" t="s">
        <v>19</v>
      </c>
      <c r="D2625" s="86"/>
      <c r="E2625" s="116" t="str">
        <f t="shared" si="123"/>
        <v>-</v>
      </c>
      <c r="F2625" s="85"/>
      <c r="G2625" s="85" t="s">
        <v>19</v>
      </c>
      <c r="H2625" s="85"/>
      <c r="I2625" s="85"/>
      <c r="J2625" s="87"/>
      <c r="K2625" s="88">
        <f t="shared" si="124"/>
        <v>0</v>
      </c>
      <c r="L2625" s="85"/>
    </row>
    <row r="2626" spans="1:12" hidden="1" x14ac:dyDescent="0.2">
      <c r="A2626" s="84" t="str">
        <f t="shared" ref="A2626:A2689" si="125">CONCATENATE(B2626,C2626,G2626)</f>
        <v>SelecioneSelecioneSelecione</v>
      </c>
      <c r="B2626" s="85" t="s">
        <v>19</v>
      </c>
      <c r="C2626" s="85" t="s">
        <v>19</v>
      </c>
      <c r="D2626" s="86"/>
      <c r="E2626" s="116" t="str">
        <f t="shared" ref="E2626:E2689" si="126">VLOOKUP(G2626,$M$1:$O$993,3,0)</f>
        <v>-</v>
      </c>
      <c r="F2626" s="85"/>
      <c r="G2626" s="85" t="s">
        <v>19</v>
      </c>
      <c r="H2626" s="85"/>
      <c r="I2626" s="85"/>
      <c r="J2626" s="87"/>
      <c r="K2626" s="88">
        <f t="shared" ref="K2626:K2689" si="127">I2626*J2626</f>
        <v>0</v>
      </c>
      <c r="L2626" s="85"/>
    </row>
    <row r="2627" spans="1:12" hidden="1" x14ac:dyDescent="0.2">
      <c r="A2627" s="84" t="str">
        <f t="shared" si="125"/>
        <v>SelecioneSelecioneSelecione</v>
      </c>
      <c r="B2627" s="85" t="s">
        <v>19</v>
      </c>
      <c r="C2627" s="85" t="s">
        <v>19</v>
      </c>
      <c r="D2627" s="86"/>
      <c r="E2627" s="116" t="str">
        <f t="shared" si="126"/>
        <v>-</v>
      </c>
      <c r="F2627" s="85"/>
      <c r="G2627" s="85" t="s">
        <v>19</v>
      </c>
      <c r="H2627" s="85"/>
      <c r="I2627" s="85"/>
      <c r="J2627" s="87"/>
      <c r="K2627" s="88">
        <f t="shared" si="127"/>
        <v>0</v>
      </c>
      <c r="L2627" s="85"/>
    </row>
    <row r="2628" spans="1:12" hidden="1" x14ac:dyDescent="0.2">
      <c r="A2628" s="84" t="str">
        <f t="shared" si="125"/>
        <v>SelecioneSelecioneSelecione</v>
      </c>
      <c r="B2628" s="85" t="s">
        <v>19</v>
      </c>
      <c r="C2628" s="85" t="s">
        <v>19</v>
      </c>
      <c r="D2628" s="86"/>
      <c r="E2628" s="116" t="str">
        <f t="shared" si="126"/>
        <v>-</v>
      </c>
      <c r="F2628" s="85"/>
      <c r="G2628" s="85" t="s">
        <v>19</v>
      </c>
      <c r="H2628" s="85"/>
      <c r="I2628" s="85"/>
      <c r="J2628" s="87"/>
      <c r="K2628" s="88">
        <f t="shared" si="127"/>
        <v>0</v>
      </c>
      <c r="L2628" s="85"/>
    </row>
    <row r="2629" spans="1:12" hidden="1" x14ac:dyDescent="0.2">
      <c r="A2629" s="84" t="str">
        <f t="shared" si="125"/>
        <v>SelecioneSelecioneSelecione</v>
      </c>
      <c r="B2629" s="85" t="s">
        <v>19</v>
      </c>
      <c r="C2629" s="85" t="s">
        <v>19</v>
      </c>
      <c r="D2629" s="86"/>
      <c r="E2629" s="116" t="str">
        <f t="shared" si="126"/>
        <v>-</v>
      </c>
      <c r="F2629" s="85"/>
      <c r="G2629" s="85" t="s">
        <v>19</v>
      </c>
      <c r="H2629" s="85"/>
      <c r="I2629" s="85"/>
      <c r="J2629" s="87"/>
      <c r="K2629" s="88">
        <f t="shared" si="127"/>
        <v>0</v>
      </c>
      <c r="L2629" s="85"/>
    </row>
    <row r="2630" spans="1:12" hidden="1" x14ac:dyDescent="0.2">
      <c r="A2630" s="84" t="str">
        <f t="shared" si="125"/>
        <v>SelecioneSelecioneSelecione</v>
      </c>
      <c r="B2630" s="85" t="s">
        <v>19</v>
      </c>
      <c r="C2630" s="85" t="s">
        <v>19</v>
      </c>
      <c r="D2630" s="86"/>
      <c r="E2630" s="116" t="str">
        <f t="shared" si="126"/>
        <v>-</v>
      </c>
      <c r="F2630" s="85"/>
      <c r="G2630" s="85" t="s">
        <v>19</v>
      </c>
      <c r="H2630" s="85"/>
      <c r="I2630" s="85"/>
      <c r="J2630" s="87"/>
      <c r="K2630" s="88">
        <f t="shared" si="127"/>
        <v>0</v>
      </c>
      <c r="L2630" s="85"/>
    </row>
    <row r="2631" spans="1:12" hidden="1" x14ac:dyDescent="0.2">
      <c r="A2631" s="84" t="str">
        <f t="shared" si="125"/>
        <v>SelecioneSelecioneSelecione</v>
      </c>
      <c r="B2631" s="85" t="s">
        <v>19</v>
      </c>
      <c r="C2631" s="85" t="s">
        <v>19</v>
      </c>
      <c r="D2631" s="86"/>
      <c r="E2631" s="116" t="str">
        <f t="shared" si="126"/>
        <v>-</v>
      </c>
      <c r="F2631" s="85"/>
      <c r="G2631" s="85" t="s">
        <v>19</v>
      </c>
      <c r="H2631" s="85"/>
      <c r="I2631" s="85"/>
      <c r="J2631" s="87"/>
      <c r="K2631" s="88">
        <f t="shared" si="127"/>
        <v>0</v>
      </c>
      <c r="L2631" s="85"/>
    </row>
    <row r="2632" spans="1:12" hidden="1" x14ac:dyDescent="0.2">
      <c r="A2632" s="84" t="str">
        <f t="shared" si="125"/>
        <v>SelecioneSelecioneSelecione</v>
      </c>
      <c r="B2632" s="85" t="s">
        <v>19</v>
      </c>
      <c r="C2632" s="85" t="s">
        <v>19</v>
      </c>
      <c r="D2632" s="86"/>
      <c r="E2632" s="116" t="str">
        <f t="shared" si="126"/>
        <v>-</v>
      </c>
      <c r="F2632" s="85"/>
      <c r="G2632" s="85" t="s">
        <v>19</v>
      </c>
      <c r="H2632" s="85"/>
      <c r="I2632" s="85"/>
      <c r="J2632" s="87"/>
      <c r="K2632" s="88">
        <f t="shared" si="127"/>
        <v>0</v>
      </c>
      <c r="L2632" s="85"/>
    </row>
    <row r="2633" spans="1:12" hidden="1" x14ac:dyDescent="0.2">
      <c r="A2633" s="84" t="str">
        <f t="shared" si="125"/>
        <v>SelecioneSelecioneSelecione</v>
      </c>
      <c r="B2633" s="85" t="s">
        <v>19</v>
      </c>
      <c r="C2633" s="85" t="s">
        <v>19</v>
      </c>
      <c r="D2633" s="86"/>
      <c r="E2633" s="116" t="str">
        <f t="shared" si="126"/>
        <v>-</v>
      </c>
      <c r="F2633" s="85"/>
      <c r="G2633" s="85" t="s">
        <v>19</v>
      </c>
      <c r="H2633" s="85"/>
      <c r="I2633" s="85"/>
      <c r="J2633" s="87"/>
      <c r="K2633" s="88">
        <f t="shared" si="127"/>
        <v>0</v>
      </c>
      <c r="L2633" s="85"/>
    </row>
    <row r="2634" spans="1:12" hidden="1" x14ac:dyDescent="0.2">
      <c r="A2634" s="84" t="str">
        <f t="shared" si="125"/>
        <v>SelecioneSelecioneSelecione</v>
      </c>
      <c r="B2634" s="85" t="s">
        <v>19</v>
      </c>
      <c r="C2634" s="85" t="s">
        <v>19</v>
      </c>
      <c r="D2634" s="86"/>
      <c r="E2634" s="116" t="str">
        <f t="shared" si="126"/>
        <v>-</v>
      </c>
      <c r="F2634" s="85"/>
      <c r="G2634" s="85" t="s">
        <v>19</v>
      </c>
      <c r="H2634" s="85"/>
      <c r="I2634" s="85"/>
      <c r="J2634" s="87"/>
      <c r="K2634" s="88">
        <f t="shared" si="127"/>
        <v>0</v>
      </c>
      <c r="L2634" s="85"/>
    </row>
    <row r="2635" spans="1:12" hidden="1" x14ac:dyDescent="0.2">
      <c r="A2635" s="84" t="str">
        <f t="shared" si="125"/>
        <v>SelecioneSelecioneSelecione</v>
      </c>
      <c r="B2635" s="85" t="s">
        <v>19</v>
      </c>
      <c r="C2635" s="85" t="s">
        <v>19</v>
      </c>
      <c r="D2635" s="86"/>
      <c r="E2635" s="116" t="str">
        <f t="shared" si="126"/>
        <v>-</v>
      </c>
      <c r="F2635" s="85"/>
      <c r="G2635" s="85" t="s">
        <v>19</v>
      </c>
      <c r="H2635" s="85"/>
      <c r="I2635" s="85"/>
      <c r="J2635" s="87"/>
      <c r="K2635" s="88">
        <f t="shared" si="127"/>
        <v>0</v>
      </c>
      <c r="L2635" s="85"/>
    </row>
    <row r="2636" spans="1:12" hidden="1" x14ac:dyDescent="0.2">
      <c r="A2636" s="84" t="str">
        <f t="shared" si="125"/>
        <v>SelecioneSelecioneSelecione</v>
      </c>
      <c r="B2636" s="85" t="s">
        <v>19</v>
      </c>
      <c r="C2636" s="85" t="s">
        <v>19</v>
      </c>
      <c r="D2636" s="86"/>
      <c r="E2636" s="116" t="str">
        <f t="shared" si="126"/>
        <v>-</v>
      </c>
      <c r="F2636" s="85"/>
      <c r="G2636" s="85" t="s">
        <v>19</v>
      </c>
      <c r="H2636" s="85"/>
      <c r="I2636" s="85"/>
      <c r="J2636" s="87"/>
      <c r="K2636" s="88">
        <f t="shared" si="127"/>
        <v>0</v>
      </c>
      <c r="L2636" s="85"/>
    </row>
    <row r="2637" spans="1:12" hidden="1" x14ac:dyDescent="0.2">
      <c r="A2637" s="84" t="str">
        <f t="shared" si="125"/>
        <v>SelecioneSelecioneSelecione</v>
      </c>
      <c r="B2637" s="85" t="s">
        <v>19</v>
      </c>
      <c r="C2637" s="85" t="s">
        <v>19</v>
      </c>
      <c r="D2637" s="86"/>
      <c r="E2637" s="116" t="str">
        <f t="shared" si="126"/>
        <v>-</v>
      </c>
      <c r="F2637" s="85"/>
      <c r="G2637" s="85" t="s">
        <v>19</v>
      </c>
      <c r="H2637" s="85"/>
      <c r="I2637" s="85"/>
      <c r="J2637" s="87"/>
      <c r="K2637" s="88">
        <f t="shared" si="127"/>
        <v>0</v>
      </c>
      <c r="L2637" s="85"/>
    </row>
    <row r="2638" spans="1:12" hidden="1" x14ac:dyDescent="0.2">
      <c r="A2638" s="84" t="str">
        <f t="shared" si="125"/>
        <v>SelecioneSelecioneSelecione</v>
      </c>
      <c r="B2638" s="85" t="s">
        <v>19</v>
      </c>
      <c r="C2638" s="85" t="s">
        <v>19</v>
      </c>
      <c r="D2638" s="86"/>
      <c r="E2638" s="116" t="str">
        <f t="shared" si="126"/>
        <v>-</v>
      </c>
      <c r="F2638" s="85"/>
      <c r="G2638" s="85" t="s">
        <v>19</v>
      </c>
      <c r="H2638" s="85"/>
      <c r="I2638" s="85"/>
      <c r="J2638" s="87"/>
      <c r="K2638" s="88">
        <f t="shared" si="127"/>
        <v>0</v>
      </c>
      <c r="L2638" s="85"/>
    </row>
    <row r="2639" spans="1:12" hidden="1" x14ac:dyDescent="0.2">
      <c r="A2639" s="84" t="str">
        <f t="shared" si="125"/>
        <v>SelecioneSelecioneSelecione</v>
      </c>
      <c r="B2639" s="85" t="s">
        <v>19</v>
      </c>
      <c r="C2639" s="85" t="s">
        <v>19</v>
      </c>
      <c r="D2639" s="86"/>
      <c r="E2639" s="116" t="str">
        <f t="shared" si="126"/>
        <v>-</v>
      </c>
      <c r="F2639" s="85"/>
      <c r="G2639" s="85" t="s">
        <v>19</v>
      </c>
      <c r="H2639" s="85"/>
      <c r="I2639" s="85"/>
      <c r="J2639" s="87"/>
      <c r="K2639" s="88">
        <f t="shared" si="127"/>
        <v>0</v>
      </c>
      <c r="L2639" s="85"/>
    </row>
    <row r="2640" spans="1:12" hidden="1" x14ac:dyDescent="0.2">
      <c r="A2640" s="84" t="str">
        <f t="shared" si="125"/>
        <v>SelecioneSelecioneSelecione</v>
      </c>
      <c r="B2640" s="85" t="s">
        <v>19</v>
      </c>
      <c r="C2640" s="85" t="s">
        <v>19</v>
      </c>
      <c r="D2640" s="86"/>
      <c r="E2640" s="116" t="str">
        <f t="shared" si="126"/>
        <v>-</v>
      </c>
      <c r="F2640" s="85"/>
      <c r="G2640" s="85" t="s">
        <v>19</v>
      </c>
      <c r="H2640" s="85"/>
      <c r="I2640" s="85"/>
      <c r="J2640" s="87"/>
      <c r="K2640" s="88">
        <f t="shared" si="127"/>
        <v>0</v>
      </c>
      <c r="L2640" s="85"/>
    </row>
    <row r="2641" spans="1:12" hidden="1" x14ac:dyDescent="0.2">
      <c r="A2641" s="84" t="str">
        <f t="shared" si="125"/>
        <v>SelecioneSelecioneSelecione</v>
      </c>
      <c r="B2641" s="85" t="s">
        <v>19</v>
      </c>
      <c r="C2641" s="85" t="s">
        <v>19</v>
      </c>
      <c r="D2641" s="86"/>
      <c r="E2641" s="116" t="str">
        <f t="shared" si="126"/>
        <v>-</v>
      </c>
      <c r="F2641" s="85"/>
      <c r="G2641" s="85" t="s">
        <v>19</v>
      </c>
      <c r="H2641" s="85"/>
      <c r="I2641" s="85"/>
      <c r="J2641" s="87"/>
      <c r="K2641" s="88">
        <f t="shared" si="127"/>
        <v>0</v>
      </c>
      <c r="L2641" s="85"/>
    </row>
    <row r="2642" spans="1:12" hidden="1" x14ac:dyDescent="0.2">
      <c r="A2642" s="84" t="str">
        <f t="shared" si="125"/>
        <v>SelecioneSelecioneSelecione</v>
      </c>
      <c r="B2642" s="85" t="s">
        <v>19</v>
      </c>
      <c r="C2642" s="85" t="s">
        <v>19</v>
      </c>
      <c r="D2642" s="86"/>
      <c r="E2642" s="116" t="str">
        <f t="shared" si="126"/>
        <v>-</v>
      </c>
      <c r="F2642" s="85"/>
      <c r="G2642" s="85" t="s">
        <v>19</v>
      </c>
      <c r="H2642" s="85"/>
      <c r="I2642" s="85"/>
      <c r="J2642" s="87"/>
      <c r="K2642" s="88">
        <f t="shared" si="127"/>
        <v>0</v>
      </c>
      <c r="L2642" s="85"/>
    </row>
    <row r="2643" spans="1:12" hidden="1" x14ac:dyDescent="0.2">
      <c r="A2643" s="84" t="str">
        <f t="shared" si="125"/>
        <v>SelecioneSelecioneSelecione</v>
      </c>
      <c r="B2643" s="85" t="s">
        <v>19</v>
      </c>
      <c r="C2643" s="85" t="s">
        <v>19</v>
      </c>
      <c r="D2643" s="86"/>
      <c r="E2643" s="116" t="str">
        <f t="shared" si="126"/>
        <v>-</v>
      </c>
      <c r="F2643" s="85"/>
      <c r="G2643" s="85" t="s">
        <v>19</v>
      </c>
      <c r="H2643" s="85"/>
      <c r="I2643" s="85"/>
      <c r="J2643" s="87"/>
      <c r="K2643" s="88">
        <f t="shared" si="127"/>
        <v>0</v>
      </c>
      <c r="L2643" s="85"/>
    </row>
    <row r="2644" spans="1:12" hidden="1" x14ac:dyDescent="0.2">
      <c r="A2644" s="84" t="str">
        <f t="shared" si="125"/>
        <v>SelecioneSelecioneSelecione</v>
      </c>
      <c r="B2644" s="85" t="s">
        <v>19</v>
      </c>
      <c r="C2644" s="85" t="s">
        <v>19</v>
      </c>
      <c r="D2644" s="86"/>
      <c r="E2644" s="116" t="str">
        <f t="shared" si="126"/>
        <v>-</v>
      </c>
      <c r="F2644" s="85"/>
      <c r="G2644" s="85" t="s">
        <v>19</v>
      </c>
      <c r="H2644" s="85"/>
      <c r="I2644" s="85"/>
      <c r="J2644" s="87"/>
      <c r="K2644" s="88">
        <f t="shared" si="127"/>
        <v>0</v>
      </c>
      <c r="L2644" s="85"/>
    </row>
    <row r="2645" spans="1:12" hidden="1" x14ac:dyDescent="0.2">
      <c r="A2645" s="84" t="str">
        <f t="shared" si="125"/>
        <v>SelecioneSelecioneSelecione</v>
      </c>
      <c r="B2645" s="85" t="s">
        <v>19</v>
      </c>
      <c r="C2645" s="85" t="s">
        <v>19</v>
      </c>
      <c r="D2645" s="86"/>
      <c r="E2645" s="116" t="str">
        <f t="shared" si="126"/>
        <v>-</v>
      </c>
      <c r="F2645" s="85"/>
      <c r="G2645" s="85" t="s">
        <v>19</v>
      </c>
      <c r="H2645" s="85"/>
      <c r="I2645" s="85"/>
      <c r="J2645" s="87"/>
      <c r="K2645" s="88">
        <f t="shared" si="127"/>
        <v>0</v>
      </c>
      <c r="L2645" s="85"/>
    </row>
    <row r="2646" spans="1:12" hidden="1" x14ac:dyDescent="0.2">
      <c r="A2646" s="84" t="str">
        <f t="shared" si="125"/>
        <v>SelecioneSelecioneSelecione</v>
      </c>
      <c r="B2646" s="85" t="s">
        <v>19</v>
      </c>
      <c r="C2646" s="85" t="s">
        <v>19</v>
      </c>
      <c r="D2646" s="86"/>
      <c r="E2646" s="116" t="str">
        <f t="shared" si="126"/>
        <v>-</v>
      </c>
      <c r="F2646" s="85"/>
      <c r="G2646" s="85" t="s">
        <v>19</v>
      </c>
      <c r="H2646" s="85"/>
      <c r="I2646" s="85"/>
      <c r="J2646" s="87"/>
      <c r="K2646" s="88">
        <f t="shared" si="127"/>
        <v>0</v>
      </c>
      <c r="L2646" s="85"/>
    </row>
    <row r="2647" spans="1:12" hidden="1" x14ac:dyDescent="0.2">
      <c r="A2647" s="84" t="str">
        <f t="shared" si="125"/>
        <v>SelecioneSelecioneSelecione</v>
      </c>
      <c r="B2647" s="85" t="s">
        <v>19</v>
      </c>
      <c r="C2647" s="85" t="s">
        <v>19</v>
      </c>
      <c r="D2647" s="86"/>
      <c r="E2647" s="116" t="str">
        <f t="shared" si="126"/>
        <v>-</v>
      </c>
      <c r="F2647" s="85"/>
      <c r="G2647" s="85" t="s">
        <v>19</v>
      </c>
      <c r="H2647" s="85"/>
      <c r="I2647" s="85"/>
      <c r="J2647" s="87"/>
      <c r="K2647" s="88">
        <f t="shared" si="127"/>
        <v>0</v>
      </c>
      <c r="L2647" s="85"/>
    </row>
    <row r="2648" spans="1:12" hidden="1" x14ac:dyDescent="0.2">
      <c r="A2648" s="84" t="str">
        <f t="shared" si="125"/>
        <v>SelecioneSelecioneSelecione</v>
      </c>
      <c r="B2648" s="85" t="s">
        <v>19</v>
      </c>
      <c r="C2648" s="85" t="s">
        <v>19</v>
      </c>
      <c r="D2648" s="86"/>
      <c r="E2648" s="116" t="str">
        <f t="shared" si="126"/>
        <v>-</v>
      </c>
      <c r="F2648" s="85"/>
      <c r="G2648" s="85" t="s">
        <v>19</v>
      </c>
      <c r="H2648" s="85"/>
      <c r="I2648" s="85"/>
      <c r="J2648" s="87"/>
      <c r="K2648" s="88">
        <f t="shared" si="127"/>
        <v>0</v>
      </c>
      <c r="L2648" s="85"/>
    </row>
    <row r="2649" spans="1:12" hidden="1" x14ac:dyDescent="0.2">
      <c r="A2649" s="84" t="str">
        <f t="shared" si="125"/>
        <v>SelecioneSelecioneSelecione</v>
      </c>
      <c r="B2649" s="85" t="s">
        <v>19</v>
      </c>
      <c r="C2649" s="85" t="s">
        <v>19</v>
      </c>
      <c r="D2649" s="86"/>
      <c r="E2649" s="116" t="str">
        <f t="shared" si="126"/>
        <v>-</v>
      </c>
      <c r="F2649" s="85"/>
      <c r="G2649" s="85" t="s">
        <v>19</v>
      </c>
      <c r="H2649" s="85"/>
      <c r="I2649" s="85"/>
      <c r="J2649" s="87"/>
      <c r="K2649" s="88">
        <f t="shared" si="127"/>
        <v>0</v>
      </c>
      <c r="L2649" s="85"/>
    </row>
    <row r="2650" spans="1:12" hidden="1" x14ac:dyDescent="0.2">
      <c r="A2650" s="84" t="str">
        <f t="shared" si="125"/>
        <v>SelecioneSelecioneSelecione</v>
      </c>
      <c r="B2650" s="85" t="s">
        <v>19</v>
      </c>
      <c r="C2650" s="85" t="s">
        <v>19</v>
      </c>
      <c r="D2650" s="86"/>
      <c r="E2650" s="116" t="str">
        <f t="shared" si="126"/>
        <v>-</v>
      </c>
      <c r="F2650" s="85"/>
      <c r="G2650" s="85" t="s">
        <v>19</v>
      </c>
      <c r="H2650" s="85"/>
      <c r="I2650" s="85"/>
      <c r="J2650" s="87"/>
      <c r="K2650" s="88">
        <f t="shared" si="127"/>
        <v>0</v>
      </c>
      <c r="L2650" s="85"/>
    </row>
    <row r="2651" spans="1:12" hidden="1" x14ac:dyDescent="0.2">
      <c r="A2651" s="84" t="str">
        <f t="shared" si="125"/>
        <v>SelecioneSelecioneSelecione</v>
      </c>
      <c r="B2651" s="85" t="s">
        <v>19</v>
      </c>
      <c r="C2651" s="85" t="s">
        <v>19</v>
      </c>
      <c r="D2651" s="86"/>
      <c r="E2651" s="116" t="str">
        <f t="shared" si="126"/>
        <v>-</v>
      </c>
      <c r="F2651" s="85"/>
      <c r="G2651" s="85" t="s">
        <v>19</v>
      </c>
      <c r="H2651" s="85"/>
      <c r="I2651" s="85"/>
      <c r="J2651" s="87"/>
      <c r="K2651" s="88">
        <f t="shared" si="127"/>
        <v>0</v>
      </c>
      <c r="L2651" s="85"/>
    </row>
    <row r="2652" spans="1:12" hidden="1" x14ac:dyDescent="0.2">
      <c r="A2652" s="84" t="str">
        <f t="shared" si="125"/>
        <v>SelecioneSelecioneSelecione</v>
      </c>
      <c r="B2652" s="85" t="s">
        <v>19</v>
      </c>
      <c r="C2652" s="85" t="s">
        <v>19</v>
      </c>
      <c r="D2652" s="86"/>
      <c r="E2652" s="116" t="str">
        <f t="shared" si="126"/>
        <v>-</v>
      </c>
      <c r="F2652" s="85"/>
      <c r="G2652" s="85" t="s">
        <v>19</v>
      </c>
      <c r="H2652" s="85"/>
      <c r="I2652" s="85"/>
      <c r="J2652" s="87"/>
      <c r="K2652" s="88">
        <f t="shared" si="127"/>
        <v>0</v>
      </c>
      <c r="L2652" s="85"/>
    </row>
    <row r="2653" spans="1:12" hidden="1" x14ac:dyDescent="0.2">
      <c r="A2653" s="84" t="str">
        <f t="shared" si="125"/>
        <v>SelecioneSelecioneSelecione</v>
      </c>
      <c r="B2653" s="85" t="s">
        <v>19</v>
      </c>
      <c r="C2653" s="85" t="s">
        <v>19</v>
      </c>
      <c r="D2653" s="86"/>
      <c r="E2653" s="116" t="str">
        <f t="shared" si="126"/>
        <v>-</v>
      </c>
      <c r="F2653" s="85"/>
      <c r="G2653" s="85" t="s">
        <v>19</v>
      </c>
      <c r="H2653" s="85"/>
      <c r="I2653" s="85"/>
      <c r="J2653" s="87"/>
      <c r="K2653" s="88">
        <f t="shared" si="127"/>
        <v>0</v>
      </c>
      <c r="L2653" s="85"/>
    </row>
    <row r="2654" spans="1:12" hidden="1" x14ac:dyDescent="0.2">
      <c r="A2654" s="84" t="str">
        <f t="shared" si="125"/>
        <v>SelecioneSelecioneSelecione</v>
      </c>
      <c r="B2654" s="85" t="s">
        <v>19</v>
      </c>
      <c r="C2654" s="85" t="s">
        <v>19</v>
      </c>
      <c r="D2654" s="86"/>
      <c r="E2654" s="116" t="str">
        <f t="shared" si="126"/>
        <v>-</v>
      </c>
      <c r="F2654" s="85"/>
      <c r="G2654" s="85" t="s">
        <v>19</v>
      </c>
      <c r="H2654" s="85"/>
      <c r="I2654" s="85"/>
      <c r="J2654" s="87"/>
      <c r="K2654" s="88">
        <f t="shared" si="127"/>
        <v>0</v>
      </c>
      <c r="L2654" s="85"/>
    </row>
    <row r="2655" spans="1:12" hidden="1" x14ac:dyDescent="0.2">
      <c r="A2655" s="84" t="str">
        <f t="shared" si="125"/>
        <v>SelecioneSelecioneSelecione</v>
      </c>
      <c r="B2655" s="85" t="s">
        <v>19</v>
      </c>
      <c r="C2655" s="85" t="s">
        <v>19</v>
      </c>
      <c r="D2655" s="93"/>
      <c r="E2655" s="116" t="str">
        <f t="shared" si="126"/>
        <v>-</v>
      </c>
      <c r="F2655" s="90"/>
      <c r="G2655" s="85" t="s">
        <v>19</v>
      </c>
      <c r="H2655" s="85"/>
      <c r="I2655" s="90"/>
      <c r="J2655" s="89"/>
      <c r="K2655" s="88">
        <f t="shared" si="127"/>
        <v>0</v>
      </c>
      <c r="L2655" s="90"/>
    </row>
    <row r="2656" spans="1:12" hidden="1" x14ac:dyDescent="0.2">
      <c r="A2656" s="84" t="str">
        <f t="shared" si="125"/>
        <v>SelecioneSelecioneSelecione</v>
      </c>
      <c r="B2656" s="85" t="s">
        <v>19</v>
      </c>
      <c r="C2656" s="85" t="s">
        <v>19</v>
      </c>
      <c r="D2656" s="86"/>
      <c r="E2656" s="116" t="str">
        <f t="shared" si="126"/>
        <v>-</v>
      </c>
      <c r="F2656" s="85"/>
      <c r="G2656" s="85" t="s">
        <v>19</v>
      </c>
      <c r="H2656" s="85"/>
      <c r="I2656" s="85"/>
      <c r="J2656" s="87"/>
      <c r="K2656" s="88">
        <f t="shared" si="127"/>
        <v>0</v>
      </c>
      <c r="L2656" s="85"/>
    </row>
    <row r="2657" spans="1:12" hidden="1" x14ac:dyDescent="0.2">
      <c r="A2657" s="84" t="str">
        <f t="shared" si="125"/>
        <v>SelecioneSelecioneSelecione</v>
      </c>
      <c r="B2657" s="85" t="s">
        <v>19</v>
      </c>
      <c r="C2657" s="85" t="s">
        <v>19</v>
      </c>
      <c r="D2657" s="86"/>
      <c r="E2657" s="116" t="str">
        <f t="shared" si="126"/>
        <v>-</v>
      </c>
      <c r="F2657" s="85"/>
      <c r="G2657" s="85" t="s">
        <v>19</v>
      </c>
      <c r="H2657" s="85"/>
      <c r="I2657" s="85"/>
      <c r="J2657" s="87"/>
      <c r="K2657" s="88">
        <f t="shared" si="127"/>
        <v>0</v>
      </c>
      <c r="L2657" s="85"/>
    </row>
    <row r="2658" spans="1:12" hidden="1" x14ac:dyDescent="0.2">
      <c r="A2658" s="84" t="str">
        <f t="shared" si="125"/>
        <v>SelecioneSelecioneSelecione</v>
      </c>
      <c r="B2658" s="85" t="s">
        <v>19</v>
      </c>
      <c r="C2658" s="85" t="s">
        <v>19</v>
      </c>
      <c r="D2658" s="86"/>
      <c r="E2658" s="116" t="str">
        <f t="shared" si="126"/>
        <v>-</v>
      </c>
      <c r="F2658" s="85"/>
      <c r="G2658" s="85" t="s">
        <v>19</v>
      </c>
      <c r="H2658" s="85"/>
      <c r="I2658" s="85"/>
      <c r="J2658" s="87"/>
      <c r="K2658" s="88">
        <f t="shared" si="127"/>
        <v>0</v>
      </c>
      <c r="L2658" s="85"/>
    </row>
    <row r="2659" spans="1:12" hidden="1" x14ac:dyDescent="0.2">
      <c r="A2659" s="84" t="str">
        <f t="shared" si="125"/>
        <v>SelecioneSelecioneSelecione</v>
      </c>
      <c r="B2659" s="85" t="s">
        <v>19</v>
      </c>
      <c r="C2659" s="85" t="s">
        <v>19</v>
      </c>
      <c r="D2659" s="86"/>
      <c r="E2659" s="116" t="str">
        <f t="shared" si="126"/>
        <v>-</v>
      </c>
      <c r="F2659" s="85"/>
      <c r="G2659" s="85" t="s">
        <v>19</v>
      </c>
      <c r="H2659" s="85"/>
      <c r="I2659" s="85"/>
      <c r="J2659" s="87"/>
      <c r="K2659" s="88">
        <f t="shared" si="127"/>
        <v>0</v>
      </c>
      <c r="L2659" s="85"/>
    </row>
    <row r="2660" spans="1:12" hidden="1" x14ac:dyDescent="0.2">
      <c r="A2660" s="84" t="str">
        <f t="shared" si="125"/>
        <v>SelecioneSelecioneSelecione</v>
      </c>
      <c r="B2660" s="85" t="s">
        <v>19</v>
      </c>
      <c r="C2660" s="85" t="s">
        <v>19</v>
      </c>
      <c r="D2660" s="86"/>
      <c r="E2660" s="116" t="str">
        <f t="shared" si="126"/>
        <v>-</v>
      </c>
      <c r="F2660" s="85"/>
      <c r="G2660" s="85" t="s">
        <v>19</v>
      </c>
      <c r="H2660" s="85"/>
      <c r="I2660" s="85"/>
      <c r="J2660" s="87"/>
      <c r="K2660" s="88">
        <f t="shared" si="127"/>
        <v>0</v>
      </c>
      <c r="L2660" s="85"/>
    </row>
    <row r="2661" spans="1:12" hidden="1" x14ac:dyDescent="0.2">
      <c r="A2661" s="84" t="str">
        <f t="shared" si="125"/>
        <v>SelecioneSelecioneSelecione</v>
      </c>
      <c r="B2661" s="85" t="s">
        <v>19</v>
      </c>
      <c r="C2661" s="85" t="s">
        <v>19</v>
      </c>
      <c r="D2661" s="86"/>
      <c r="E2661" s="116" t="str">
        <f t="shared" si="126"/>
        <v>-</v>
      </c>
      <c r="F2661" s="85"/>
      <c r="G2661" s="85" t="s">
        <v>19</v>
      </c>
      <c r="H2661" s="85"/>
      <c r="I2661" s="85"/>
      <c r="J2661" s="87"/>
      <c r="K2661" s="88">
        <f t="shared" si="127"/>
        <v>0</v>
      </c>
      <c r="L2661" s="85"/>
    </row>
    <row r="2662" spans="1:12" hidden="1" x14ac:dyDescent="0.2">
      <c r="A2662" s="84" t="str">
        <f t="shared" si="125"/>
        <v>SelecioneSelecioneSelecione</v>
      </c>
      <c r="B2662" s="85" t="s">
        <v>19</v>
      </c>
      <c r="C2662" s="85" t="s">
        <v>19</v>
      </c>
      <c r="D2662" s="86"/>
      <c r="E2662" s="116" t="str">
        <f t="shared" si="126"/>
        <v>-</v>
      </c>
      <c r="F2662" s="85"/>
      <c r="G2662" s="85" t="s">
        <v>19</v>
      </c>
      <c r="H2662" s="85"/>
      <c r="I2662" s="85"/>
      <c r="J2662" s="87"/>
      <c r="K2662" s="88">
        <f t="shared" si="127"/>
        <v>0</v>
      </c>
      <c r="L2662" s="85"/>
    </row>
    <row r="2663" spans="1:12" hidden="1" x14ac:dyDescent="0.2">
      <c r="A2663" s="84" t="str">
        <f t="shared" si="125"/>
        <v>SelecioneSelecioneSelecione</v>
      </c>
      <c r="B2663" s="85" t="s">
        <v>19</v>
      </c>
      <c r="C2663" s="85" t="s">
        <v>19</v>
      </c>
      <c r="D2663" s="86"/>
      <c r="E2663" s="116" t="str">
        <f t="shared" si="126"/>
        <v>-</v>
      </c>
      <c r="F2663" s="85"/>
      <c r="G2663" s="85" t="s">
        <v>19</v>
      </c>
      <c r="H2663" s="85"/>
      <c r="I2663" s="85"/>
      <c r="J2663" s="87"/>
      <c r="K2663" s="88">
        <f t="shared" si="127"/>
        <v>0</v>
      </c>
      <c r="L2663" s="85"/>
    </row>
    <row r="2664" spans="1:12" hidden="1" x14ac:dyDescent="0.2">
      <c r="A2664" s="84" t="str">
        <f t="shared" si="125"/>
        <v>SelecioneSelecioneSelecione</v>
      </c>
      <c r="B2664" s="85" t="s">
        <v>19</v>
      </c>
      <c r="C2664" s="85" t="s">
        <v>19</v>
      </c>
      <c r="D2664" s="86"/>
      <c r="E2664" s="116" t="str">
        <f t="shared" si="126"/>
        <v>-</v>
      </c>
      <c r="F2664" s="85"/>
      <c r="G2664" s="85" t="s">
        <v>19</v>
      </c>
      <c r="H2664" s="85"/>
      <c r="I2664" s="85"/>
      <c r="J2664" s="87"/>
      <c r="K2664" s="88">
        <f t="shared" si="127"/>
        <v>0</v>
      </c>
      <c r="L2664" s="85"/>
    </row>
    <row r="2665" spans="1:12" hidden="1" x14ac:dyDescent="0.2">
      <c r="A2665" s="84" t="str">
        <f t="shared" si="125"/>
        <v>SelecioneSelecioneSelecione</v>
      </c>
      <c r="B2665" s="85" t="s">
        <v>19</v>
      </c>
      <c r="C2665" s="85" t="s">
        <v>19</v>
      </c>
      <c r="D2665" s="86"/>
      <c r="E2665" s="116" t="str">
        <f t="shared" si="126"/>
        <v>-</v>
      </c>
      <c r="F2665" s="85"/>
      <c r="G2665" s="85" t="s">
        <v>19</v>
      </c>
      <c r="H2665" s="85"/>
      <c r="I2665" s="85"/>
      <c r="J2665" s="87"/>
      <c r="K2665" s="88">
        <f t="shared" si="127"/>
        <v>0</v>
      </c>
      <c r="L2665" s="85"/>
    </row>
    <row r="2666" spans="1:12" hidden="1" x14ac:dyDescent="0.2">
      <c r="A2666" s="84" t="str">
        <f t="shared" si="125"/>
        <v>SelecioneSelecioneSelecione</v>
      </c>
      <c r="B2666" s="85" t="s">
        <v>19</v>
      </c>
      <c r="C2666" s="85" t="s">
        <v>19</v>
      </c>
      <c r="D2666" s="86"/>
      <c r="E2666" s="116" t="str">
        <f t="shared" si="126"/>
        <v>-</v>
      </c>
      <c r="F2666" s="85"/>
      <c r="G2666" s="85" t="s">
        <v>19</v>
      </c>
      <c r="H2666" s="85"/>
      <c r="I2666" s="85"/>
      <c r="J2666" s="87"/>
      <c r="K2666" s="88">
        <f t="shared" si="127"/>
        <v>0</v>
      </c>
      <c r="L2666" s="85"/>
    </row>
    <row r="2667" spans="1:12" hidden="1" x14ac:dyDescent="0.2">
      <c r="A2667" s="84" t="str">
        <f t="shared" si="125"/>
        <v>SelecioneSelecioneSelecione</v>
      </c>
      <c r="B2667" s="85" t="s">
        <v>19</v>
      </c>
      <c r="C2667" s="85" t="s">
        <v>19</v>
      </c>
      <c r="D2667" s="86"/>
      <c r="E2667" s="116" t="str">
        <f t="shared" si="126"/>
        <v>-</v>
      </c>
      <c r="F2667" s="85"/>
      <c r="G2667" s="85" t="s">
        <v>19</v>
      </c>
      <c r="H2667" s="85"/>
      <c r="I2667" s="85"/>
      <c r="J2667" s="87"/>
      <c r="K2667" s="88">
        <f t="shared" si="127"/>
        <v>0</v>
      </c>
      <c r="L2667" s="85"/>
    </row>
    <row r="2668" spans="1:12" hidden="1" x14ac:dyDescent="0.2">
      <c r="A2668" s="84" t="str">
        <f t="shared" si="125"/>
        <v>SelecioneSelecioneSelecione</v>
      </c>
      <c r="B2668" s="85" t="s">
        <v>19</v>
      </c>
      <c r="C2668" s="85" t="s">
        <v>19</v>
      </c>
      <c r="D2668" s="86"/>
      <c r="E2668" s="116" t="str">
        <f t="shared" si="126"/>
        <v>-</v>
      </c>
      <c r="F2668" s="85"/>
      <c r="G2668" s="85" t="s">
        <v>19</v>
      </c>
      <c r="H2668" s="85"/>
      <c r="I2668" s="85"/>
      <c r="J2668" s="87"/>
      <c r="K2668" s="88">
        <f t="shared" si="127"/>
        <v>0</v>
      </c>
      <c r="L2668" s="85"/>
    </row>
    <row r="2669" spans="1:12" hidden="1" x14ac:dyDescent="0.2">
      <c r="A2669" s="84" t="str">
        <f t="shared" si="125"/>
        <v>SelecioneSelecioneSelecione</v>
      </c>
      <c r="B2669" s="85" t="s">
        <v>19</v>
      </c>
      <c r="C2669" s="85" t="s">
        <v>19</v>
      </c>
      <c r="D2669" s="86"/>
      <c r="E2669" s="116" t="str">
        <f t="shared" si="126"/>
        <v>-</v>
      </c>
      <c r="F2669" s="85"/>
      <c r="G2669" s="85" t="s">
        <v>19</v>
      </c>
      <c r="H2669" s="85"/>
      <c r="I2669" s="85"/>
      <c r="J2669" s="87"/>
      <c r="K2669" s="88">
        <f t="shared" si="127"/>
        <v>0</v>
      </c>
      <c r="L2669" s="85"/>
    </row>
    <row r="2670" spans="1:12" hidden="1" x14ac:dyDescent="0.2">
      <c r="A2670" s="84" t="str">
        <f t="shared" si="125"/>
        <v>SelecioneSelecioneSelecione</v>
      </c>
      <c r="B2670" s="85" t="s">
        <v>19</v>
      </c>
      <c r="C2670" s="85" t="s">
        <v>19</v>
      </c>
      <c r="D2670" s="86"/>
      <c r="E2670" s="116" t="str">
        <f t="shared" si="126"/>
        <v>-</v>
      </c>
      <c r="F2670" s="85"/>
      <c r="G2670" s="85" t="s">
        <v>19</v>
      </c>
      <c r="H2670" s="85"/>
      <c r="I2670" s="85"/>
      <c r="J2670" s="87"/>
      <c r="K2670" s="88">
        <f t="shared" si="127"/>
        <v>0</v>
      </c>
      <c r="L2670" s="85"/>
    </row>
    <row r="2671" spans="1:12" hidden="1" x14ac:dyDescent="0.2">
      <c r="A2671" s="84" t="str">
        <f t="shared" si="125"/>
        <v>SelecioneSelecioneSelecione</v>
      </c>
      <c r="B2671" s="85" t="s">
        <v>19</v>
      </c>
      <c r="C2671" s="85" t="s">
        <v>19</v>
      </c>
      <c r="D2671" s="86"/>
      <c r="E2671" s="116" t="str">
        <f t="shared" si="126"/>
        <v>-</v>
      </c>
      <c r="F2671" s="85"/>
      <c r="G2671" s="85" t="s">
        <v>19</v>
      </c>
      <c r="H2671" s="85"/>
      <c r="I2671" s="85"/>
      <c r="J2671" s="87"/>
      <c r="K2671" s="88">
        <f t="shared" si="127"/>
        <v>0</v>
      </c>
      <c r="L2671" s="85"/>
    </row>
    <row r="2672" spans="1:12" hidden="1" x14ac:dyDescent="0.2">
      <c r="A2672" s="84" t="str">
        <f t="shared" si="125"/>
        <v>SelecioneSelecioneSelecione</v>
      </c>
      <c r="B2672" s="85" t="s">
        <v>19</v>
      </c>
      <c r="C2672" s="85" t="s">
        <v>19</v>
      </c>
      <c r="D2672" s="86"/>
      <c r="E2672" s="116" t="str">
        <f t="shared" si="126"/>
        <v>-</v>
      </c>
      <c r="F2672" s="85"/>
      <c r="G2672" s="85" t="s">
        <v>19</v>
      </c>
      <c r="H2672" s="85"/>
      <c r="I2672" s="85"/>
      <c r="J2672" s="87"/>
      <c r="K2672" s="88">
        <f t="shared" si="127"/>
        <v>0</v>
      </c>
      <c r="L2672" s="85"/>
    </row>
    <row r="2673" spans="1:12" hidden="1" x14ac:dyDescent="0.2">
      <c r="A2673" s="84" t="str">
        <f t="shared" si="125"/>
        <v>SelecioneSelecioneSelecione</v>
      </c>
      <c r="B2673" s="85" t="s">
        <v>19</v>
      </c>
      <c r="C2673" s="85" t="s">
        <v>19</v>
      </c>
      <c r="D2673" s="86"/>
      <c r="E2673" s="116" t="str">
        <f t="shared" si="126"/>
        <v>-</v>
      </c>
      <c r="F2673" s="85"/>
      <c r="G2673" s="85" t="s">
        <v>19</v>
      </c>
      <c r="H2673" s="85"/>
      <c r="I2673" s="85"/>
      <c r="J2673" s="87"/>
      <c r="K2673" s="88">
        <f t="shared" si="127"/>
        <v>0</v>
      </c>
      <c r="L2673" s="85"/>
    </row>
    <row r="2674" spans="1:12" hidden="1" x14ac:dyDescent="0.2">
      <c r="A2674" s="84" t="str">
        <f t="shared" si="125"/>
        <v>SelecioneSelecioneSelecione</v>
      </c>
      <c r="B2674" s="85" t="s">
        <v>19</v>
      </c>
      <c r="C2674" s="85" t="s">
        <v>19</v>
      </c>
      <c r="D2674" s="86"/>
      <c r="E2674" s="116" t="str">
        <f t="shared" si="126"/>
        <v>-</v>
      </c>
      <c r="F2674" s="85"/>
      <c r="G2674" s="85" t="s">
        <v>19</v>
      </c>
      <c r="H2674" s="85"/>
      <c r="I2674" s="85"/>
      <c r="J2674" s="87"/>
      <c r="K2674" s="88">
        <f t="shared" si="127"/>
        <v>0</v>
      </c>
      <c r="L2674" s="85"/>
    </row>
    <row r="2675" spans="1:12" hidden="1" x14ac:dyDescent="0.2">
      <c r="A2675" s="84" t="str">
        <f t="shared" si="125"/>
        <v>SelecioneSelecioneSelecione</v>
      </c>
      <c r="B2675" s="85" t="s">
        <v>19</v>
      </c>
      <c r="C2675" s="85" t="s">
        <v>19</v>
      </c>
      <c r="D2675" s="86"/>
      <c r="E2675" s="116" t="str">
        <f t="shared" si="126"/>
        <v>-</v>
      </c>
      <c r="F2675" s="85"/>
      <c r="G2675" s="85" t="s">
        <v>19</v>
      </c>
      <c r="H2675" s="85"/>
      <c r="I2675" s="85"/>
      <c r="J2675" s="87"/>
      <c r="K2675" s="88">
        <f t="shared" si="127"/>
        <v>0</v>
      </c>
      <c r="L2675" s="85"/>
    </row>
    <row r="2676" spans="1:12" hidden="1" x14ac:dyDescent="0.2">
      <c r="A2676" s="84" t="str">
        <f t="shared" si="125"/>
        <v>SelecioneSelecioneSelecione</v>
      </c>
      <c r="B2676" s="85" t="s">
        <v>19</v>
      </c>
      <c r="C2676" s="85" t="s">
        <v>19</v>
      </c>
      <c r="D2676" s="86"/>
      <c r="E2676" s="116" t="str">
        <f t="shared" si="126"/>
        <v>-</v>
      </c>
      <c r="F2676" s="85"/>
      <c r="G2676" s="85" t="s">
        <v>19</v>
      </c>
      <c r="H2676" s="85"/>
      <c r="I2676" s="85"/>
      <c r="J2676" s="87"/>
      <c r="K2676" s="88">
        <f t="shared" si="127"/>
        <v>0</v>
      </c>
      <c r="L2676" s="85"/>
    </row>
    <row r="2677" spans="1:12" hidden="1" x14ac:dyDescent="0.2">
      <c r="A2677" s="84" t="str">
        <f t="shared" si="125"/>
        <v>SelecioneSelecioneSelecione</v>
      </c>
      <c r="B2677" s="85" t="s">
        <v>19</v>
      </c>
      <c r="C2677" s="85" t="s">
        <v>19</v>
      </c>
      <c r="D2677" s="86"/>
      <c r="E2677" s="116" t="str">
        <f t="shared" si="126"/>
        <v>-</v>
      </c>
      <c r="F2677" s="85"/>
      <c r="G2677" s="85" t="s">
        <v>19</v>
      </c>
      <c r="H2677" s="85"/>
      <c r="I2677" s="85"/>
      <c r="J2677" s="87"/>
      <c r="K2677" s="88">
        <f t="shared" si="127"/>
        <v>0</v>
      </c>
      <c r="L2677" s="85"/>
    </row>
    <row r="2678" spans="1:12" hidden="1" x14ac:dyDescent="0.2">
      <c r="A2678" s="84" t="str">
        <f t="shared" si="125"/>
        <v>SelecioneSelecioneSelecione</v>
      </c>
      <c r="B2678" s="85" t="s">
        <v>19</v>
      </c>
      <c r="C2678" s="85" t="s">
        <v>19</v>
      </c>
      <c r="D2678" s="86"/>
      <c r="E2678" s="116" t="str">
        <f t="shared" si="126"/>
        <v>-</v>
      </c>
      <c r="F2678" s="85"/>
      <c r="G2678" s="85" t="s">
        <v>19</v>
      </c>
      <c r="H2678" s="85"/>
      <c r="I2678" s="85"/>
      <c r="J2678" s="87"/>
      <c r="K2678" s="88">
        <f t="shared" si="127"/>
        <v>0</v>
      </c>
      <c r="L2678" s="85"/>
    </row>
    <row r="2679" spans="1:12" hidden="1" x14ac:dyDescent="0.2">
      <c r="A2679" s="84" t="str">
        <f t="shared" si="125"/>
        <v>SelecioneSelecioneSelecione</v>
      </c>
      <c r="B2679" s="85" t="s">
        <v>19</v>
      </c>
      <c r="C2679" s="85" t="s">
        <v>19</v>
      </c>
      <c r="D2679" s="86"/>
      <c r="E2679" s="116" t="str">
        <f t="shared" si="126"/>
        <v>-</v>
      </c>
      <c r="F2679" s="85"/>
      <c r="G2679" s="85" t="s">
        <v>19</v>
      </c>
      <c r="H2679" s="85"/>
      <c r="I2679" s="85"/>
      <c r="J2679" s="87"/>
      <c r="K2679" s="88">
        <f t="shared" si="127"/>
        <v>0</v>
      </c>
      <c r="L2679" s="85"/>
    </row>
    <row r="2680" spans="1:12" hidden="1" x14ac:dyDescent="0.2">
      <c r="A2680" s="84" t="str">
        <f t="shared" si="125"/>
        <v>SelecioneSelecioneSelecione</v>
      </c>
      <c r="B2680" s="85" t="s">
        <v>19</v>
      </c>
      <c r="C2680" s="85" t="s">
        <v>19</v>
      </c>
      <c r="D2680" s="86"/>
      <c r="E2680" s="116" t="str">
        <f t="shared" si="126"/>
        <v>-</v>
      </c>
      <c r="F2680" s="85"/>
      <c r="G2680" s="85" t="s">
        <v>19</v>
      </c>
      <c r="H2680" s="85"/>
      <c r="I2680" s="85"/>
      <c r="J2680" s="87"/>
      <c r="K2680" s="88">
        <f t="shared" si="127"/>
        <v>0</v>
      </c>
      <c r="L2680" s="85"/>
    </row>
    <row r="2681" spans="1:12" hidden="1" x14ac:dyDescent="0.2">
      <c r="A2681" s="84" t="str">
        <f t="shared" si="125"/>
        <v>SelecioneSelecioneSelecione</v>
      </c>
      <c r="B2681" s="85" t="s">
        <v>19</v>
      </c>
      <c r="C2681" s="85" t="s">
        <v>19</v>
      </c>
      <c r="D2681" s="86"/>
      <c r="E2681" s="116" t="str">
        <f t="shared" si="126"/>
        <v>-</v>
      </c>
      <c r="F2681" s="85"/>
      <c r="G2681" s="85" t="s">
        <v>19</v>
      </c>
      <c r="H2681" s="85"/>
      <c r="I2681" s="85"/>
      <c r="J2681" s="87"/>
      <c r="K2681" s="88">
        <f t="shared" si="127"/>
        <v>0</v>
      </c>
      <c r="L2681" s="85"/>
    </row>
    <row r="2682" spans="1:12" hidden="1" x14ac:dyDescent="0.2">
      <c r="A2682" s="84" t="str">
        <f t="shared" si="125"/>
        <v>SelecioneSelecioneSelecione</v>
      </c>
      <c r="B2682" s="85" t="s">
        <v>19</v>
      </c>
      <c r="C2682" s="85" t="s">
        <v>19</v>
      </c>
      <c r="D2682" s="86"/>
      <c r="E2682" s="116" t="str">
        <f t="shared" si="126"/>
        <v>-</v>
      </c>
      <c r="F2682" s="85"/>
      <c r="G2682" s="85" t="s">
        <v>19</v>
      </c>
      <c r="H2682" s="85"/>
      <c r="I2682" s="85"/>
      <c r="J2682" s="87"/>
      <c r="K2682" s="88">
        <f t="shared" si="127"/>
        <v>0</v>
      </c>
      <c r="L2682" s="85"/>
    </row>
    <row r="2683" spans="1:12" hidden="1" x14ac:dyDescent="0.2">
      <c r="A2683" s="84" t="str">
        <f t="shared" si="125"/>
        <v>SelecioneSelecioneSelecione</v>
      </c>
      <c r="B2683" s="85" t="s">
        <v>19</v>
      </c>
      <c r="C2683" s="85" t="s">
        <v>19</v>
      </c>
      <c r="D2683" s="86"/>
      <c r="E2683" s="116" t="str">
        <f t="shared" si="126"/>
        <v>-</v>
      </c>
      <c r="F2683" s="85"/>
      <c r="G2683" s="85" t="s">
        <v>19</v>
      </c>
      <c r="H2683" s="85"/>
      <c r="I2683" s="85"/>
      <c r="J2683" s="87"/>
      <c r="K2683" s="88">
        <f t="shared" si="127"/>
        <v>0</v>
      </c>
      <c r="L2683" s="85"/>
    </row>
    <row r="2684" spans="1:12" hidden="1" x14ac:dyDescent="0.2">
      <c r="A2684" s="84" t="str">
        <f t="shared" si="125"/>
        <v>SelecioneSelecioneSelecione</v>
      </c>
      <c r="B2684" s="85" t="s">
        <v>19</v>
      </c>
      <c r="C2684" s="85" t="s">
        <v>19</v>
      </c>
      <c r="D2684" s="86"/>
      <c r="E2684" s="116" t="str">
        <f t="shared" si="126"/>
        <v>-</v>
      </c>
      <c r="F2684" s="85"/>
      <c r="G2684" s="85" t="s">
        <v>19</v>
      </c>
      <c r="H2684" s="85"/>
      <c r="I2684" s="85"/>
      <c r="J2684" s="87"/>
      <c r="K2684" s="88">
        <f t="shared" si="127"/>
        <v>0</v>
      </c>
      <c r="L2684" s="85"/>
    </row>
    <row r="2685" spans="1:12" hidden="1" x14ac:dyDescent="0.2">
      <c r="A2685" s="84" t="str">
        <f t="shared" si="125"/>
        <v>SelecioneSelecioneSelecione</v>
      </c>
      <c r="B2685" s="85" t="s">
        <v>19</v>
      </c>
      <c r="C2685" s="85" t="s">
        <v>19</v>
      </c>
      <c r="D2685" s="86"/>
      <c r="E2685" s="116" t="str">
        <f t="shared" si="126"/>
        <v>-</v>
      </c>
      <c r="F2685" s="85"/>
      <c r="G2685" s="85" t="s">
        <v>19</v>
      </c>
      <c r="H2685" s="85"/>
      <c r="I2685" s="85"/>
      <c r="J2685" s="87"/>
      <c r="K2685" s="88">
        <f t="shared" si="127"/>
        <v>0</v>
      </c>
      <c r="L2685" s="85"/>
    </row>
    <row r="2686" spans="1:12" hidden="1" x14ac:dyDescent="0.2">
      <c r="A2686" s="84" t="str">
        <f t="shared" si="125"/>
        <v>SelecioneSelecioneSelecione</v>
      </c>
      <c r="B2686" s="85" t="s">
        <v>19</v>
      </c>
      <c r="C2686" s="85" t="s">
        <v>19</v>
      </c>
      <c r="D2686" s="86"/>
      <c r="E2686" s="116" t="str">
        <f t="shared" si="126"/>
        <v>-</v>
      </c>
      <c r="F2686" s="85"/>
      <c r="G2686" s="85" t="s">
        <v>19</v>
      </c>
      <c r="H2686" s="85"/>
      <c r="I2686" s="85"/>
      <c r="J2686" s="87"/>
      <c r="K2686" s="88">
        <f t="shared" si="127"/>
        <v>0</v>
      </c>
      <c r="L2686" s="85"/>
    </row>
    <row r="2687" spans="1:12" hidden="1" x14ac:dyDescent="0.2">
      <c r="A2687" s="84" t="str">
        <f t="shared" si="125"/>
        <v>SelecioneSelecioneSelecione</v>
      </c>
      <c r="B2687" s="85" t="s">
        <v>19</v>
      </c>
      <c r="C2687" s="85" t="s">
        <v>19</v>
      </c>
      <c r="D2687" s="86"/>
      <c r="E2687" s="116" t="str">
        <f t="shared" si="126"/>
        <v>-</v>
      </c>
      <c r="F2687" s="85"/>
      <c r="G2687" s="85" t="s">
        <v>19</v>
      </c>
      <c r="H2687" s="85"/>
      <c r="I2687" s="85"/>
      <c r="J2687" s="87"/>
      <c r="K2687" s="88">
        <f t="shared" si="127"/>
        <v>0</v>
      </c>
      <c r="L2687" s="85"/>
    </row>
    <row r="2688" spans="1:12" hidden="1" x14ac:dyDescent="0.2">
      <c r="A2688" s="84" t="str">
        <f t="shared" si="125"/>
        <v>SelecioneSelecioneSelecione</v>
      </c>
      <c r="B2688" s="85" t="s">
        <v>19</v>
      </c>
      <c r="C2688" s="85" t="s">
        <v>19</v>
      </c>
      <c r="D2688" s="86"/>
      <c r="E2688" s="116" t="str">
        <f t="shared" si="126"/>
        <v>-</v>
      </c>
      <c r="F2688" s="85"/>
      <c r="G2688" s="85" t="s">
        <v>19</v>
      </c>
      <c r="H2688" s="85"/>
      <c r="I2688" s="85"/>
      <c r="J2688" s="87"/>
      <c r="K2688" s="88">
        <f t="shared" si="127"/>
        <v>0</v>
      </c>
      <c r="L2688" s="85"/>
    </row>
    <row r="2689" spans="1:12" hidden="1" x14ac:dyDescent="0.2">
      <c r="A2689" s="84" t="str">
        <f t="shared" si="125"/>
        <v>SelecioneSelecioneSelecione</v>
      </c>
      <c r="B2689" s="85" t="s">
        <v>19</v>
      </c>
      <c r="C2689" s="85" t="s">
        <v>19</v>
      </c>
      <c r="D2689" s="86"/>
      <c r="E2689" s="116" t="str">
        <f t="shared" si="126"/>
        <v>-</v>
      </c>
      <c r="F2689" s="85"/>
      <c r="G2689" s="85" t="s">
        <v>19</v>
      </c>
      <c r="H2689" s="85"/>
      <c r="I2689" s="85"/>
      <c r="J2689" s="87"/>
      <c r="K2689" s="88">
        <f t="shared" si="127"/>
        <v>0</v>
      </c>
      <c r="L2689" s="85"/>
    </row>
    <row r="2690" spans="1:12" hidden="1" x14ac:dyDescent="0.2">
      <c r="A2690" s="84" t="str">
        <f t="shared" ref="A2690:A2753" si="128">CONCATENATE(B2690,C2690,G2690)</f>
        <v>SelecioneSelecioneSelecione</v>
      </c>
      <c r="B2690" s="85" t="s">
        <v>19</v>
      </c>
      <c r="C2690" s="85" t="s">
        <v>19</v>
      </c>
      <c r="D2690" s="86"/>
      <c r="E2690" s="116" t="str">
        <f t="shared" ref="E2690:E2753" si="129">VLOOKUP(G2690,$M$1:$O$993,3,0)</f>
        <v>-</v>
      </c>
      <c r="F2690" s="85"/>
      <c r="G2690" s="85" t="s">
        <v>19</v>
      </c>
      <c r="H2690" s="85"/>
      <c r="I2690" s="85"/>
      <c r="J2690" s="87"/>
      <c r="K2690" s="88">
        <f t="shared" ref="K2690:K2753" si="130">I2690*J2690</f>
        <v>0</v>
      </c>
      <c r="L2690" s="85"/>
    </row>
    <row r="2691" spans="1:12" hidden="1" x14ac:dyDescent="0.2">
      <c r="A2691" s="84" t="str">
        <f t="shared" si="128"/>
        <v>SelecioneSelecioneSelecione</v>
      </c>
      <c r="B2691" s="85" t="s">
        <v>19</v>
      </c>
      <c r="C2691" s="85" t="s">
        <v>19</v>
      </c>
      <c r="D2691" s="86"/>
      <c r="E2691" s="116" t="str">
        <f t="shared" si="129"/>
        <v>-</v>
      </c>
      <c r="F2691" s="85"/>
      <c r="G2691" s="85" t="s">
        <v>19</v>
      </c>
      <c r="H2691" s="85"/>
      <c r="I2691" s="85"/>
      <c r="J2691" s="87"/>
      <c r="K2691" s="88">
        <f t="shared" si="130"/>
        <v>0</v>
      </c>
      <c r="L2691" s="85"/>
    </row>
    <row r="2692" spans="1:12" hidden="1" x14ac:dyDescent="0.2">
      <c r="A2692" s="84" t="str">
        <f t="shared" si="128"/>
        <v>SelecioneSelecioneSelecione</v>
      </c>
      <c r="B2692" s="85" t="s">
        <v>19</v>
      </c>
      <c r="C2692" s="85" t="s">
        <v>19</v>
      </c>
      <c r="D2692" s="86"/>
      <c r="E2692" s="116" t="str">
        <f t="shared" si="129"/>
        <v>-</v>
      </c>
      <c r="F2692" s="85"/>
      <c r="G2692" s="85" t="s">
        <v>19</v>
      </c>
      <c r="H2692" s="85"/>
      <c r="I2692" s="85"/>
      <c r="J2692" s="87"/>
      <c r="K2692" s="88">
        <f t="shared" si="130"/>
        <v>0</v>
      </c>
      <c r="L2692" s="85"/>
    </row>
    <row r="2693" spans="1:12" hidden="1" x14ac:dyDescent="0.2">
      <c r="A2693" s="84" t="str">
        <f t="shared" si="128"/>
        <v>SelecioneSelecioneSelecione</v>
      </c>
      <c r="B2693" s="85" t="s">
        <v>19</v>
      </c>
      <c r="C2693" s="85" t="s">
        <v>19</v>
      </c>
      <c r="D2693" s="86"/>
      <c r="E2693" s="116" t="str">
        <f t="shared" si="129"/>
        <v>-</v>
      </c>
      <c r="F2693" s="85"/>
      <c r="G2693" s="85" t="s">
        <v>19</v>
      </c>
      <c r="H2693" s="85"/>
      <c r="I2693" s="85"/>
      <c r="J2693" s="87"/>
      <c r="K2693" s="88">
        <f t="shared" si="130"/>
        <v>0</v>
      </c>
      <c r="L2693" s="85"/>
    </row>
    <row r="2694" spans="1:12" hidden="1" x14ac:dyDescent="0.2">
      <c r="A2694" s="84" t="str">
        <f t="shared" si="128"/>
        <v>SelecioneSelecioneSelecione</v>
      </c>
      <c r="B2694" s="85" t="s">
        <v>19</v>
      </c>
      <c r="C2694" s="85" t="s">
        <v>19</v>
      </c>
      <c r="D2694" s="86"/>
      <c r="E2694" s="116" t="str">
        <f t="shared" si="129"/>
        <v>-</v>
      </c>
      <c r="F2694" s="85"/>
      <c r="G2694" s="85" t="s">
        <v>19</v>
      </c>
      <c r="H2694" s="85"/>
      <c r="I2694" s="85"/>
      <c r="J2694" s="87"/>
      <c r="K2694" s="88">
        <f t="shared" si="130"/>
        <v>0</v>
      </c>
      <c r="L2694" s="85"/>
    </row>
    <row r="2695" spans="1:12" hidden="1" x14ac:dyDescent="0.2">
      <c r="A2695" s="84" t="str">
        <f t="shared" si="128"/>
        <v>SelecioneSelecioneSelecione</v>
      </c>
      <c r="B2695" s="85" t="s">
        <v>19</v>
      </c>
      <c r="C2695" s="85" t="s">
        <v>19</v>
      </c>
      <c r="D2695" s="86"/>
      <c r="E2695" s="116" t="str">
        <f t="shared" si="129"/>
        <v>-</v>
      </c>
      <c r="F2695" s="85"/>
      <c r="G2695" s="85" t="s">
        <v>19</v>
      </c>
      <c r="H2695" s="85"/>
      <c r="I2695" s="85"/>
      <c r="J2695" s="87"/>
      <c r="K2695" s="88">
        <f t="shared" si="130"/>
        <v>0</v>
      </c>
      <c r="L2695" s="85"/>
    </row>
    <row r="2696" spans="1:12" hidden="1" x14ac:dyDescent="0.2">
      <c r="A2696" s="84" t="str">
        <f t="shared" si="128"/>
        <v>SelecioneSelecioneSelecione</v>
      </c>
      <c r="B2696" s="85" t="s">
        <v>19</v>
      </c>
      <c r="C2696" s="85" t="s">
        <v>19</v>
      </c>
      <c r="D2696" s="86"/>
      <c r="E2696" s="116" t="str">
        <f t="shared" si="129"/>
        <v>-</v>
      </c>
      <c r="F2696" s="85"/>
      <c r="G2696" s="85" t="s">
        <v>19</v>
      </c>
      <c r="H2696" s="85"/>
      <c r="I2696" s="85"/>
      <c r="J2696" s="87"/>
      <c r="K2696" s="88">
        <f t="shared" si="130"/>
        <v>0</v>
      </c>
      <c r="L2696" s="85"/>
    </row>
    <row r="2697" spans="1:12" hidden="1" x14ac:dyDescent="0.2">
      <c r="A2697" s="84" t="str">
        <f t="shared" si="128"/>
        <v>SelecioneSelecioneSelecione</v>
      </c>
      <c r="B2697" s="85" t="s">
        <v>19</v>
      </c>
      <c r="C2697" s="85" t="s">
        <v>19</v>
      </c>
      <c r="D2697" s="86"/>
      <c r="E2697" s="116" t="str">
        <f t="shared" si="129"/>
        <v>-</v>
      </c>
      <c r="F2697" s="85"/>
      <c r="G2697" s="85" t="s">
        <v>19</v>
      </c>
      <c r="H2697" s="85"/>
      <c r="I2697" s="85"/>
      <c r="J2697" s="87"/>
      <c r="K2697" s="88">
        <f t="shared" si="130"/>
        <v>0</v>
      </c>
      <c r="L2697" s="85"/>
    </row>
    <row r="2698" spans="1:12" hidden="1" x14ac:dyDescent="0.2">
      <c r="A2698" s="84" t="str">
        <f t="shared" si="128"/>
        <v>SelecioneSelecioneSelecione</v>
      </c>
      <c r="B2698" s="85" t="s">
        <v>19</v>
      </c>
      <c r="C2698" s="85" t="s">
        <v>19</v>
      </c>
      <c r="D2698" s="86"/>
      <c r="E2698" s="116" t="str">
        <f t="shared" si="129"/>
        <v>-</v>
      </c>
      <c r="F2698" s="85"/>
      <c r="G2698" s="85" t="s">
        <v>19</v>
      </c>
      <c r="H2698" s="85"/>
      <c r="I2698" s="85"/>
      <c r="J2698" s="87"/>
      <c r="K2698" s="88">
        <f t="shared" si="130"/>
        <v>0</v>
      </c>
      <c r="L2698" s="85"/>
    </row>
    <row r="2699" spans="1:12" hidden="1" x14ac:dyDescent="0.2">
      <c r="A2699" s="84" t="str">
        <f t="shared" si="128"/>
        <v>SelecioneSelecioneSelecione</v>
      </c>
      <c r="B2699" s="85" t="s">
        <v>19</v>
      </c>
      <c r="C2699" s="85" t="s">
        <v>19</v>
      </c>
      <c r="D2699" s="86"/>
      <c r="E2699" s="116" t="str">
        <f t="shared" si="129"/>
        <v>-</v>
      </c>
      <c r="F2699" s="85"/>
      <c r="G2699" s="85" t="s">
        <v>19</v>
      </c>
      <c r="H2699" s="85"/>
      <c r="I2699" s="85"/>
      <c r="J2699" s="87"/>
      <c r="K2699" s="88">
        <f t="shared" si="130"/>
        <v>0</v>
      </c>
      <c r="L2699" s="85"/>
    </row>
    <row r="2700" spans="1:12" hidden="1" x14ac:dyDescent="0.2">
      <c r="A2700" s="84" t="str">
        <f t="shared" si="128"/>
        <v>SelecioneSelecioneSelecione</v>
      </c>
      <c r="B2700" s="85" t="s">
        <v>19</v>
      </c>
      <c r="C2700" s="85" t="s">
        <v>19</v>
      </c>
      <c r="D2700" s="86"/>
      <c r="E2700" s="116" t="str">
        <f t="shared" si="129"/>
        <v>-</v>
      </c>
      <c r="F2700" s="85"/>
      <c r="G2700" s="85" t="s">
        <v>19</v>
      </c>
      <c r="H2700" s="85"/>
      <c r="I2700" s="85"/>
      <c r="J2700" s="87"/>
      <c r="K2700" s="88">
        <f t="shared" si="130"/>
        <v>0</v>
      </c>
      <c r="L2700" s="85"/>
    </row>
    <row r="2701" spans="1:12" hidden="1" x14ac:dyDescent="0.2">
      <c r="A2701" s="84" t="str">
        <f t="shared" si="128"/>
        <v>SelecioneSelecioneSelecione</v>
      </c>
      <c r="B2701" s="85" t="s">
        <v>19</v>
      </c>
      <c r="C2701" s="85" t="s">
        <v>19</v>
      </c>
      <c r="D2701" s="86"/>
      <c r="E2701" s="116" t="str">
        <f t="shared" si="129"/>
        <v>-</v>
      </c>
      <c r="F2701" s="85"/>
      <c r="G2701" s="85" t="s">
        <v>19</v>
      </c>
      <c r="H2701" s="85"/>
      <c r="I2701" s="85"/>
      <c r="J2701" s="87"/>
      <c r="K2701" s="88">
        <f t="shared" si="130"/>
        <v>0</v>
      </c>
      <c r="L2701" s="85"/>
    </row>
    <row r="2702" spans="1:12" hidden="1" x14ac:dyDescent="0.2">
      <c r="A2702" s="84" t="str">
        <f t="shared" si="128"/>
        <v>SelecioneSelecioneSelecione</v>
      </c>
      <c r="B2702" s="85" t="s">
        <v>19</v>
      </c>
      <c r="C2702" s="85" t="s">
        <v>19</v>
      </c>
      <c r="D2702" s="86"/>
      <c r="E2702" s="116" t="str">
        <f t="shared" si="129"/>
        <v>-</v>
      </c>
      <c r="F2702" s="85"/>
      <c r="G2702" s="85" t="s">
        <v>19</v>
      </c>
      <c r="H2702" s="85"/>
      <c r="I2702" s="85"/>
      <c r="J2702" s="87"/>
      <c r="K2702" s="88">
        <f t="shared" si="130"/>
        <v>0</v>
      </c>
      <c r="L2702" s="85"/>
    </row>
    <row r="2703" spans="1:12" hidden="1" x14ac:dyDescent="0.2">
      <c r="A2703" s="84" t="str">
        <f t="shared" si="128"/>
        <v>SelecioneSelecioneSelecione</v>
      </c>
      <c r="B2703" s="85" t="s">
        <v>19</v>
      </c>
      <c r="C2703" s="85" t="s">
        <v>19</v>
      </c>
      <c r="D2703" s="86"/>
      <c r="E2703" s="116" t="str">
        <f t="shared" si="129"/>
        <v>-</v>
      </c>
      <c r="F2703" s="85"/>
      <c r="G2703" s="85" t="s">
        <v>19</v>
      </c>
      <c r="H2703" s="85"/>
      <c r="I2703" s="85"/>
      <c r="J2703" s="87"/>
      <c r="K2703" s="88">
        <f t="shared" si="130"/>
        <v>0</v>
      </c>
      <c r="L2703" s="85"/>
    </row>
    <row r="2704" spans="1:12" hidden="1" x14ac:dyDescent="0.2">
      <c r="A2704" s="84" t="str">
        <f t="shared" si="128"/>
        <v>SelecioneSelecioneSelecione</v>
      </c>
      <c r="B2704" s="85" t="s">
        <v>19</v>
      </c>
      <c r="C2704" s="85" t="s">
        <v>19</v>
      </c>
      <c r="D2704" s="86"/>
      <c r="E2704" s="116" t="str">
        <f t="shared" si="129"/>
        <v>-</v>
      </c>
      <c r="F2704" s="85"/>
      <c r="G2704" s="85" t="s">
        <v>19</v>
      </c>
      <c r="H2704" s="85"/>
      <c r="I2704" s="85"/>
      <c r="J2704" s="87"/>
      <c r="K2704" s="88">
        <f t="shared" si="130"/>
        <v>0</v>
      </c>
      <c r="L2704" s="85"/>
    </row>
    <row r="2705" spans="1:12" hidden="1" x14ac:dyDescent="0.2">
      <c r="A2705" s="84" t="str">
        <f t="shared" si="128"/>
        <v>SelecioneSelecioneSelecione</v>
      </c>
      <c r="B2705" s="85" t="s">
        <v>19</v>
      </c>
      <c r="C2705" s="85" t="s">
        <v>19</v>
      </c>
      <c r="D2705" s="86"/>
      <c r="E2705" s="116" t="str">
        <f t="shared" si="129"/>
        <v>-</v>
      </c>
      <c r="F2705" s="85"/>
      <c r="G2705" s="85" t="s">
        <v>19</v>
      </c>
      <c r="H2705" s="85"/>
      <c r="I2705" s="85"/>
      <c r="J2705" s="87"/>
      <c r="K2705" s="88">
        <f t="shared" si="130"/>
        <v>0</v>
      </c>
      <c r="L2705" s="85"/>
    </row>
    <row r="2706" spans="1:12" hidden="1" x14ac:dyDescent="0.2">
      <c r="A2706" s="84" t="str">
        <f t="shared" si="128"/>
        <v>SelecioneSelecioneSelecione</v>
      </c>
      <c r="B2706" s="85" t="s">
        <v>19</v>
      </c>
      <c r="C2706" s="85" t="s">
        <v>19</v>
      </c>
      <c r="D2706" s="86"/>
      <c r="E2706" s="116" t="str">
        <f t="shared" si="129"/>
        <v>-</v>
      </c>
      <c r="F2706" s="85"/>
      <c r="G2706" s="85" t="s">
        <v>19</v>
      </c>
      <c r="H2706" s="85"/>
      <c r="I2706" s="85"/>
      <c r="J2706" s="87"/>
      <c r="K2706" s="88">
        <f t="shared" si="130"/>
        <v>0</v>
      </c>
      <c r="L2706" s="85"/>
    </row>
    <row r="2707" spans="1:12" hidden="1" x14ac:dyDescent="0.2">
      <c r="A2707" s="84" t="str">
        <f t="shared" si="128"/>
        <v>SelecioneSelecioneSelecione</v>
      </c>
      <c r="B2707" s="85" t="s">
        <v>19</v>
      </c>
      <c r="C2707" s="85" t="s">
        <v>19</v>
      </c>
      <c r="D2707" s="86"/>
      <c r="E2707" s="116" t="str">
        <f t="shared" si="129"/>
        <v>-</v>
      </c>
      <c r="F2707" s="85"/>
      <c r="G2707" s="85" t="s">
        <v>19</v>
      </c>
      <c r="H2707" s="85"/>
      <c r="I2707" s="85"/>
      <c r="J2707" s="87"/>
      <c r="K2707" s="88">
        <f t="shared" si="130"/>
        <v>0</v>
      </c>
      <c r="L2707" s="85"/>
    </row>
    <row r="2708" spans="1:12" hidden="1" x14ac:dyDescent="0.2">
      <c r="A2708" s="84" t="str">
        <f t="shared" si="128"/>
        <v>SelecioneSelecioneSelecione</v>
      </c>
      <c r="B2708" s="85" t="s">
        <v>19</v>
      </c>
      <c r="C2708" s="85" t="s">
        <v>19</v>
      </c>
      <c r="D2708" s="86"/>
      <c r="E2708" s="116" t="str">
        <f t="shared" si="129"/>
        <v>-</v>
      </c>
      <c r="F2708" s="85"/>
      <c r="G2708" s="85" t="s">
        <v>19</v>
      </c>
      <c r="H2708" s="85"/>
      <c r="I2708" s="85"/>
      <c r="J2708" s="87"/>
      <c r="K2708" s="88">
        <f t="shared" si="130"/>
        <v>0</v>
      </c>
      <c r="L2708" s="85"/>
    </row>
    <row r="2709" spans="1:12" hidden="1" x14ac:dyDescent="0.2">
      <c r="A2709" s="84" t="str">
        <f t="shared" si="128"/>
        <v>SelecioneSelecioneSelecione</v>
      </c>
      <c r="B2709" s="85" t="s">
        <v>19</v>
      </c>
      <c r="C2709" s="85" t="s">
        <v>19</v>
      </c>
      <c r="D2709" s="86"/>
      <c r="E2709" s="116" t="str">
        <f t="shared" si="129"/>
        <v>-</v>
      </c>
      <c r="F2709" s="85"/>
      <c r="G2709" s="85" t="s">
        <v>19</v>
      </c>
      <c r="H2709" s="85"/>
      <c r="I2709" s="85"/>
      <c r="J2709" s="87"/>
      <c r="K2709" s="88">
        <f t="shared" si="130"/>
        <v>0</v>
      </c>
      <c r="L2709" s="85"/>
    </row>
    <row r="2710" spans="1:12" hidden="1" x14ac:dyDescent="0.2">
      <c r="A2710" s="84" t="str">
        <f t="shared" si="128"/>
        <v>SelecioneSelecioneSelecione</v>
      </c>
      <c r="B2710" s="85" t="s">
        <v>19</v>
      </c>
      <c r="C2710" s="85" t="s">
        <v>19</v>
      </c>
      <c r="D2710" s="86"/>
      <c r="E2710" s="116" t="str">
        <f t="shared" si="129"/>
        <v>-</v>
      </c>
      <c r="F2710" s="85"/>
      <c r="G2710" s="85" t="s">
        <v>19</v>
      </c>
      <c r="H2710" s="85"/>
      <c r="I2710" s="85"/>
      <c r="J2710" s="87"/>
      <c r="K2710" s="88">
        <f t="shared" si="130"/>
        <v>0</v>
      </c>
      <c r="L2710" s="85"/>
    </row>
    <row r="2711" spans="1:12" hidden="1" x14ac:dyDescent="0.2">
      <c r="A2711" s="84" t="str">
        <f t="shared" si="128"/>
        <v>SelecioneSelecioneSelecione</v>
      </c>
      <c r="B2711" s="85" t="s">
        <v>19</v>
      </c>
      <c r="C2711" s="85" t="s">
        <v>19</v>
      </c>
      <c r="D2711" s="86"/>
      <c r="E2711" s="116" t="str">
        <f t="shared" si="129"/>
        <v>-</v>
      </c>
      <c r="F2711" s="85"/>
      <c r="G2711" s="85" t="s">
        <v>19</v>
      </c>
      <c r="H2711" s="85"/>
      <c r="I2711" s="85"/>
      <c r="J2711" s="87"/>
      <c r="K2711" s="88">
        <f t="shared" si="130"/>
        <v>0</v>
      </c>
      <c r="L2711" s="85"/>
    </row>
    <row r="2712" spans="1:12" hidden="1" x14ac:dyDescent="0.2">
      <c r="A2712" s="84" t="str">
        <f t="shared" si="128"/>
        <v>SelecioneSelecioneSelecione</v>
      </c>
      <c r="B2712" s="85" t="s">
        <v>19</v>
      </c>
      <c r="C2712" s="85" t="s">
        <v>19</v>
      </c>
      <c r="D2712" s="86"/>
      <c r="E2712" s="116" t="str">
        <f t="shared" si="129"/>
        <v>-</v>
      </c>
      <c r="F2712" s="85"/>
      <c r="G2712" s="85" t="s">
        <v>19</v>
      </c>
      <c r="H2712" s="85"/>
      <c r="I2712" s="85"/>
      <c r="J2712" s="87"/>
      <c r="K2712" s="88">
        <f t="shared" si="130"/>
        <v>0</v>
      </c>
      <c r="L2712" s="85"/>
    </row>
    <row r="2713" spans="1:12" hidden="1" x14ac:dyDescent="0.2">
      <c r="A2713" s="84" t="str">
        <f t="shared" si="128"/>
        <v>SelecioneSelecioneSelecione</v>
      </c>
      <c r="B2713" s="85" t="s">
        <v>19</v>
      </c>
      <c r="C2713" s="85" t="s">
        <v>19</v>
      </c>
      <c r="D2713" s="86"/>
      <c r="E2713" s="116" t="str">
        <f t="shared" si="129"/>
        <v>-</v>
      </c>
      <c r="F2713" s="85"/>
      <c r="G2713" s="85" t="s">
        <v>19</v>
      </c>
      <c r="H2713" s="85"/>
      <c r="I2713" s="85"/>
      <c r="J2713" s="87"/>
      <c r="K2713" s="88">
        <f t="shared" si="130"/>
        <v>0</v>
      </c>
      <c r="L2713" s="85"/>
    </row>
    <row r="2714" spans="1:12" hidden="1" x14ac:dyDescent="0.2">
      <c r="A2714" s="84" t="str">
        <f t="shared" si="128"/>
        <v>SelecioneSelecioneSelecione</v>
      </c>
      <c r="B2714" s="85" t="s">
        <v>19</v>
      </c>
      <c r="C2714" s="85" t="s">
        <v>19</v>
      </c>
      <c r="D2714" s="86"/>
      <c r="E2714" s="116" t="str">
        <f t="shared" si="129"/>
        <v>-</v>
      </c>
      <c r="F2714" s="85"/>
      <c r="G2714" s="85" t="s">
        <v>19</v>
      </c>
      <c r="H2714" s="85"/>
      <c r="I2714" s="85"/>
      <c r="J2714" s="87"/>
      <c r="K2714" s="88">
        <f t="shared" si="130"/>
        <v>0</v>
      </c>
      <c r="L2714" s="85"/>
    </row>
    <row r="2715" spans="1:12" hidden="1" x14ac:dyDescent="0.2">
      <c r="A2715" s="84" t="str">
        <f t="shared" si="128"/>
        <v>SelecioneSelecioneSelecione</v>
      </c>
      <c r="B2715" s="85" t="s">
        <v>19</v>
      </c>
      <c r="C2715" s="85" t="s">
        <v>19</v>
      </c>
      <c r="D2715" s="86"/>
      <c r="E2715" s="116" t="str">
        <f t="shared" si="129"/>
        <v>-</v>
      </c>
      <c r="F2715" s="85"/>
      <c r="G2715" s="85" t="s">
        <v>19</v>
      </c>
      <c r="H2715" s="85"/>
      <c r="I2715" s="85"/>
      <c r="J2715" s="87"/>
      <c r="K2715" s="88">
        <f t="shared" si="130"/>
        <v>0</v>
      </c>
      <c r="L2715" s="85"/>
    </row>
    <row r="2716" spans="1:12" hidden="1" x14ac:dyDescent="0.2">
      <c r="A2716" s="84" t="str">
        <f t="shared" si="128"/>
        <v>SelecioneSelecioneSelecione</v>
      </c>
      <c r="B2716" s="85" t="s">
        <v>19</v>
      </c>
      <c r="C2716" s="85" t="s">
        <v>19</v>
      </c>
      <c r="D2716" s="86"/>
      <c r="E2716" s="116" t="str">
        <f t="shared" si="129"/>
        <v>-</v>
      </c>
      <c r="F2716" s="85"/>
      <c r="G2716" s="85" t="s">
        <v>19</v>
      </c>
      <c r="H2716" s="85"/>
      <c r="I2716" s="85"/>
      <c r="J2716" s="87"/>
      <c r="K2716" s="88">
        <f t="shared" si="130"/>
        <v>0</v>
      </c>
      <c r="L2716" s="85"/>
    </row>
    <row r="2717" spans="1:12" hidden="1" x14ac:dyDescent="0.2">
      <c r="A2717" s="84" t="str">
        <f t="shared" si="128"/>
        <v>SelecioneSelecioneSelecione</v>
      </c>
      <c r="B2717" s="85" t="s">
        <v>19</v>
      </c>
      <c r="C2717" s="85" t="s">
        <v>19</v>
      </c>
      <c r="D2717" s="86"/>
      <c r="E2717" s="116" t="str">
        <f t="shared" si="129"/>
        <v>-</v>
      </c>
      <c r="F2717" s="85"/>
      <c r="G2717" s="85" t="s">
        <v>19</v>
      </c>
      <c r="H2717" s="85"/>
      <c r="I2717" s="85"/>
      <c r="J2717" s="87"/>
      <c r="K2717" s="88">
        <f t="shared" si="130"/>
        <v>0</v>
      </c>
      <c r="L2717" s="85"/>
    </row>
    <row r="2718" spans="1:12" hidden="1" x14ac:dyDescent="0.2">
      <c r="A2718" s="84" t="str">
        <f t="shared" si="128"/>
        <v>SelecioneSelecioneSelecione</v>
      </c>
      <c r="B2718" s="85" t="s">
        <v>19</v>
      </c>
      <c r="C2718" s="85" t="s">
        <v>19</v>
      </c>
      <c r="D2718" s="86"/>
      <c r="E2718" s="116" t="str">
        <f t="shared" si="129"/>
        <v>-</v>
      </c>
      <c r="F2718" s="85"/>
      <c r="G2718" s="85" t="s">
        <v>19</v>
      </c>
      <c r="H2718" s="85"/>
      <c r="I2718" s="85"/>
      <c r="J2718" s="87"/>
      <c r="K2718" s="88">
        <f t="shared" si="130"/>
        <v>0</v>
      </c>
      <c r="L2718" s="85"/>
    </row>
    <row r="2719" spans="1:12" hidden="1" x14ac:dyDescent="0.2">
      <c r="A2719" s="84" t="str">
        <f t="shared" si="128"/>
        <v>SelecioneSelecioneSelecione</v>
      </c>
      <c r="B2719" s="85" t="s">
        <v>19</v>
      </c>
      <c r="C2719" s="85" t="s">
        <v>19</v>
      </c>
      <c r="D2719" s="86"/>
      <c r="E2719" s="116" t="str">
        <f t="shared" si="129"/>
        <v>-</v>
      </c>
      <c r="F2719" s="85"/>
      <c r="G2719" s="85" t="s">
        <v>19</v>
      </c>
      <c r="H2719" s="85"/>
      <c r="I2719" s="85"/>
      <c r="J2719" s="87"/>
      <c r="K2719" s="88">
        <f t="shared" si="130"/>
        <v>0</v>
      </c>
      <c r="L2719" s="85"/>
    </row>
    <row r="2720" spans="1:12" hidden="1" x14ac:dyDescent="0.2">
      <c r="A2720" s="84" t="str">
        <f t="shared" si="128"/>
        <v>SelecioneSelecioneSelecione</v>
      </c>
      <c r="B2720" s="85" t="s">
        <v>19</v>
      </c>
      <c r="C2720" s="85" t="s">
        <v>19</v>
      </c>
      <c r="D2720" s="86"/>
      <c r="E2720" s="116" t="str">
        <f t="shared" si="129"/>
        <v>-</v>
      </c>
      <c r="F2720" s="85"/>
      <c r="G2720" s="85" t="s">
        <v>19</v>
      </c>
      <c r="H2720" s="85"/>
      <c r="I2720" s="85"/>
      <c r="J2720" s="87"/>
      <c r="K2720" s="88">
        <f t="shared" si="130"/>
        <v>0</v>
      </c>
      <c r="L2720" s="85"/>
    </row>
    <row r="2721" spans="1:12" hidden="1" x14ac:dyDescent="0.2">
      <c r="A2721" s="84" t="str">
        <f t="shared" si="128"/>
        <v>SelecioneSelecioneSelecione</v>
      </c>
      <c r="B2721" s="85" t="s">
        <v>19</v>
      </c>
      <c r="C2721" s="85" t="s">
        <v>19</v>
      </c>
      <c r="D2721" s="86"/>
      <c r="E2721" s="116" t="str">
        <f t="shared" si="129"/>
        <v>-</v>
      </c>
      <c r="F2721" s="85"/>
      <c r="G2721" s="85" t="s">
        <v>19</v>
      </c>
      <c r="H2721" s="85"/>
      <c r="I2721" s="85"/>
      <c r="J2721" s="87"/>
      <c r="K2721" s="88">
        <f t="shared" si="130"/>
        <v>0</v>
      </c>
      <c r="L2721" s="85"/>
    </row>
    <row r="2722" spans="1:12" hidden="1" x14ac:dyDescent="0.2">
      <c r="A2722" s="84" t="str">
        <f t="shared" si="128"/>
        <v>SelecioneSelecioneSelecione</v>
      </c>
      <c r="B2722" s="85" t="s">
        <v>19</v>
      </c>
      <c r="C2722" s="85" t="s">
        <v>19</v>
      </c>
      <c r="D2722" s="86"/>
      <c r="E2722" s="116" t="str">
        <f t="shared" si="129"/>
        <v>-</v>
      </c>
      <c r="F2722" s="85"/>
      <c r="G2722" s="85" t="s">
        <v>19</v>
      </c>
      <c r="H2722" s="85"/>
      <c r="I2722" s="85"/>
      <c r="J2722" s="87"/>
      <c r="K2722" s="88">
        <f t="shared" si="130"/>
        <v>0</v>
      </c>
      <c r="L2722" s="85"/>
    </row>
    <row r="2723" spans="1:12" hidden="1" x14ac:dyDescent="0.2">
      <c r="A2723" s="84" t="str">
        <f t="shared" si="128"/>
        <v>SelecioneSelecioneSelecione</v>
      </c>
      <c r="B2723" s="85" t="s">
        <v>19</v>
      </c>
      <c r="C2723" s="85" t="s">
        <v>19</v>
      </c>
      <c r="D2723" s="86"/>
      <c r="E2723" s="116" t="str">
        <f t="shared" si="129"/>
        <v>-</v>
      </c>
      <c r="F2723" s="85"/>
      <c r="G2723" s="85" t="s">
        <v>19</v>
      </c>
      <c r="H2723" s="85"/>
      <c r="I2723" s="85"/>
      <c r="J2723" s="87"/>
      <c r="K2723" s="88">
        <f t="shared" si="130"/>
        <v>0</v>
      </c>
      <c r="L2723" s="85"/>
    </row>
    <row r="2724" spans="1:12" hidden="1" x14ac:dyDescent="0.2">
      <c r="A2724" s="84" t="str">
        <f t="shared" si="128"/>
        <v>SelecioneSelecioneSelecione</v>
      </c>
      <c r="B2724" s="85" t="s">
        <v>19</v>
      </c>
      <c r="C2724" s="85" t="s">
        <v>19</v>
      </c>
      <c r="D2724" s="86"/>
      <c r="E2724" s="116" t="str">
        <f t="shared" si="129"/>
        <v>-</v>
      </c>
      <c r="F2724" s="85"/>
      <c r="G2724" s="85" t="s">
        <v>19</v>
      </c>
      <c r="H2724" s="85"/>
      <c r="I2724" s="85"/>
      <c r="J2724" s="87"/>
      <c r="K2724" s="88">
        <f t="shared" si="130"/>
        <v>0</v>
      </c>
      <c r="L2724" s="85"/>
    </row>
    <row r="2725" spans="1:12" hidden="1" x14ac:dyDescent="0.2">
      <c r="A2725" s="84" t="str">
        <f t="shared" si="128"/>
        <v>SelecioneSelecioneSelecione</v>
      </c>
      <c r="B2725" s="85" t="s">
        <v>19</v>
      </c>
      <c r="C2725" s="85" t="s">
        <v>19</v>
      </c>
      <c r="D2725" s="86"/>
      <c r="E2725" s="116" t="str">
        <f t="shared" si="129"/>
        <v>-</v>
      </c>
      <c r="F2725" s="85"/>
      <c r="G2725" s="85" t="s">
        <v>19</v>
      </c>
      <c r="H2725" s="85"/>
      <c r="I2725" s="85"/>
      <c r="J2725" s="87"/>
      <c r="K2725" s="88">
        <f t="shared" si="130"/>
        <v>0</v>
      </c>
      <c r="L2725" s="85"/>
    </row>
    <row r="2726" spans="1:12" hidden="1" x14ac:dyDescent="0.2">
      <c r="A2726" s="84" t="str">
        <f t="shared" si="128"/>
        <v>SelecioneSelecioneSelecione</v>
      </c>
      <c r="B2726" s="85" t="s">
        <v>19</v>
      </c>
      <c r="C2726" s="85" t="s">
        <v>19</v>
      </c>
      <c r="D2726" s="86"/>
      <c r="E2726" s="116" t="str">
        <f t="shared" si="129"/>
        <v>-</v>
      </c>
      <c r="F2726" s="85"/>
      <c r="G2726" s="85" t="s">
        <v>19</v>
      </c>
      <c r="H2726" s="85"/>
      <c r="I2726" s="85"/>
      <c r="J2726" s="87"/>
      <c r="K2726" s="88">
        <f t="shared" si="130"/>
        <v>0</v>
      </c>
      <c r="L2726" s="85"/>
    </row>
    <row r="2727" spans="1:12" hidden="1" x14ac:dyDescent="0.2">
      <c r="A2727" s="84" t="str">
        <f t="shared" si="128"/>
        <v>SelecioneSelecioneSelecione</v>
      </c>
      <c r="B2727" s="85" t="s">
        <v>19</v>
      </c>
      <c r="C2727" s="85" t="s">
        <v>19</v>
      </c>
      <c r="D2727" s="86"/>
      <c r="E2727" s="116" t="str">
        <f t="shared" si="129"/>
        <v>-</v>
      </c>
      <c r="F2727" s="85"/>
      <c r="G2727" s="85" t="s">
        <v>19</v>
      </c>
      <c r="H2727" s="85"/>
      <c r="I2727" s="85"/>
      <c r="J2727" s="87"/>
      <c r="K2727" s="88">
        <f t="shared" si="130"/>
        <v>0</v>
      </c>
      <c r="L2727" s="85"/>
    </row>
    <row r="2728" spans="1:12" hidden="1" x14ac:dyDescent="0.2">
      <c r="A2728" s="84" t="str">
        <f t="shared" si="128"/>
        <v>SelecioneSelecioneSelecione</v>
      </c>
      <c r="B2728" s="85" t="s">
        <v>19</v>
      </c>
      <c r="C2728" s="85" t="s">
        <v>19</v>
      </c>
      <c r="D2728" s="86"/>
      <c r="E2728" s="116" t="str">
        <f t="shared" si="129"/>
        <v>-</v>
      </c>
      <c r="F2728" s="85"/>
      <c r="G2728" s="85" t="s">
        <v>19</v>
      </c>
      <c r="H2728" s="85"/>
      <c r="I2728" s="85"/>
      <c r="J2728" s="87"/>
      <c r="K2728" s="88">
        <f t="shared" si="130"/>
        <v>0</v>
      </c>
      <c r="L2728" s="85"/>
    </row>
    <row r="2729" spans="1:12" hidden="1" x14ac:dyDescent="0.2">
      <c r="A2729" s="84" t="str">
        <f t="shared" si="128"/>
        <v>SelecioneSelecioneSelecione</v>
      </c>
      <c r="B2729" s="85" t="s">
        <v>19</v>
      </c>
      <c r="C2729" s="85" t="s">
        <v>19</v>
      </c>
      <c r="D2729" s="86"/>
      <c r="E2729" s="116" t="str">
        <f t="shared" si="129"/>
        <v>-</v>
      </c>
      <c r="F2729" s="85"/>
      <c r="G2729" s="85" t="s">
        <v>19</v>
      </c>
      <c r="H2729" s="85"/>
      <c r="I2729" s="85"/>
      <c r="J2729" s="87"/>
      <c r="K2729" s="88">
        <f t="shared" si="130"/>
        <v>0</v>
      </c>
      <c r="L2729" s="85"/>
    </row>
    <row r="2730" spans="1:12" hidden="1" x14ac:dyDescent="0.2">
      <c r="A2730" s="84" t="str">
        <f t="shared" si="128"/>
        <v>SelecioneSelecioneSelecione</v>
      </c>
      <c r="B2730" s="85" t="s">
        <v>19</v>
      </c>
      <c r="C2730" s="85" t="s">
        <v>19</v>
      </c>
      <c r="D2730" s="86"/>
      <c r="E2730" s="116" t="str">
        <f t="shared" si="129"/>
        <v>-</v>
      </c>
      <c r="F2730" s="85"/>
      <c r="G2730" s="85" t="s">
        <v>19</v>
      </c>
      <c r="H2730" s="85"/>
      <c r="I2730" s="85"/>
      <c r="J2730" s="87"/>
      <c r="K2730" s="88">
        <f t="shared" si="130"/>
        <v>0</v>
      </c>
      <c r="L2730" s="85"/>
    </row>
    <row r="2731" spans="1:12" hidden="1" x14ac:dyDescent="0.2">
      <c r="A2731" s="84" t="str">
        <f t="shared" si="128"/>
        <v>SelecioneSelecioneSelecione</v>
      </c>
      <c r="B2731" s="85" t="s">
        <v>19</v>
      </c>
      <c r="C2731" s="85" t="s">
        <v>19</v>
      </c>
      <c r="D2731" s="93"/>
      <c r="E2731" s="116" t="str">
        <f t="shared" si="129"/>
        <v>-</v>
      </c>
      <c r="F2731" s="90"/>
      <c r="G2731" s="85" t="s">
        <v>19</v>
      </c>
      <c r="H2731" s="85"/>
      <c r="I2731" s="90"/>
      <c r="J2731" s="89"/>
      <c r="K2731" s="88">
        <f t="shared" si="130"/>
        <v>0</v>
      </c>
      <c r="L2731" s="90"/>
    </row>
    <row r="2732" spans="1:12" hidden="1" x14ac:dyDescent="0.2">
      <c r="A2732" s="84" t="str">
        <f t="shared" si="128"/>
        <v>SelecioneSelecioneSelecione</v>
      </c>
      <c r="B2732" s="85" t="s">
        <v>19</v>
      </c>
      <c r="C2732" s="85" t="s">
        <v>19</v>
      </c>
      <c r="D2732" s="86"/>
      <c r="E2732" s="116" t="str">
        <f t="shared" si="129"/>
        <v>-</v>
      </c>
      <c r="F2732" s="85"/>
      <c r="G2732" s="85" t="s">
        <v>19</v>
      </c>
      <c r="H2732" s="85"/>
      <c r="I2732" s="85"/>
      <c r="J2732" s="87"/>
      <c r="K2732" s="88">
        <f t="shared" si="130"/>
        <v>0</v>
      </c>
      <c r="L2732" s="85"/>
    </row>
    <row r="2733" spans="1:12" hidden="1" x14ac:dyDescent="0.2">
      <c r="A2733" s="84" t="str">
        <f t="shared" si="128"/>
        <v>SelecioneSelecioneSelecione</v>
      </c>
      <c r="B2733" s="85" t="s">
        <v>19</v>
      </c>
      <c r="C2733" s="85" t="s">
        <v>19</v>
      </c>
      <c r="D2733" s="86"/>
      <c r="E2733" s="116" t="str">
        <f t="shared" si="129"/>
        <v>-</v>
      </c>
      <c r="F2733" s="85"/>
      <c r="G2733" s="85" t="s">
        <v>19</v>
      </c>
      <c r="H2733" s="85"/>
      <c r="I2733" s="85"/>
      <c r="J2733" s="87"/>
      <c r="K2733" s="88">
        <f t="shared" si="130"/>
        <v>0</v>
      </c>
      <c r="L2733" s="85"/>
    </row>
    <row r="2734" spans="1:12" hidden="1" x14ac:dyDescent="0.2">
      <c r="A2734" s="84" t="str">
        <f t="shared" si="128"/>
        <v>SelecioneSelecioneSelecione</v>
      </c>
      <c r="B2734" s="85" t="s">
        <v>19</v>
      </c>
      <c r="C2734" s="85" t="s">
        <v>19</v>
      </c>
      <c r="D2734" s="86"/>
      <c r="E2734" s="116" t="str">
        <f t="shared" si="129"/>
        <v>-</v>
      </c>
      <c r="F2734" s="85"/>
      <c r="G2734" s="85" t="s">
        <v>19</v>
      </c>
      <c r="H2734" s="85"/>
      <c r="I2734" s="85"/>
      <c r="J2734" s="87"/>
      <c r="K2734" s="88">
        <f t="shared" si="130"/>
        <v>0</v>
      </c>
      <c r="L2734" s="85"/>
    </row>
    <row r="2735" spans="1:12" hidden="1" x14ac:dyDescent="0.2">
      <c r="A2735" s="84" t="str">
        <f t="shared" si="128"/>
        <v>SelecioneSelecioneSelecione</v>
      </c>
      <c r="B2735" s="85" t="s">
        <v>19</v>
      </c>
      <c r="C2735" s="85" t="s">
        <v>19</v>
      </c>
      <c r="D2735" s="86"/>
      <c r="E2735" s="116" t="str">
        <f t="shared" si="129"/>
        <v>-</v>
      </c>
      <c r="F2735" s="85"/>
      <c r="G2735" s="85" t="s">
        <v>19</v>
      </c>
      <c r="H2735" s="85"/>
      <c r="I2735" s="85"/>
      <c r="J2735" s="87"/>
      <c r="K2735" s="88">
        <f t="shared" si="130"/>
        <v>0</v>
      </c>
      <c r="L2735" s="85"/>
    </row>
    <row r="2736" spans="1:12" hidden="1" x14ac:dyDescent="0.2">
      <c r="A2736" s="84" t="str">
        <f t="shared" si="128"/>
        <v>SelecioneSelecioneSelecione</v>
      </c>
      <c r="B2736" s="85" t="s">
        <v>19</v>
      </c>
      <c r="C2736" s="85" t="s">
        <v>19</v>
      </c>
      <c r="D2736" s="93"/>
      <c r="E2736" s="116" t="str">
        <f t="shared" si="129"/>
        <v>-</v>
      </c>
      <c r="F2736" s="90"/>
      <c r="G2736" s="85" t="s">
        <v>19</v>
      </c>
      <c r="H2736" s="85"/>
      <c r="I2736" s="90"/>
      <c r="J2736" s="89"/>
      <c r="K2736" s="88">
        <f t="shared" si="130"/>
        <v>0</v>
      </c>
      <c r="L2736" s="90"/>
    </row>
    <row r="2737" spans="1:12" hidden="1" x14ac:dyDescent="0.2">
      <c r="A2737" s="84" t="str">
        <f t="shared" si="128"/>
        <v>SelecioneSelecioneSelecione</v>
      </c>
      <c r="B2737" s="85" t="s">
        <v>19</v>
      </c>
      <c r="C2737" s="85" t="s">
        <v>19</v>
      </c>
      <c r="D2737" s="86"/>
      <c r="E2737" s="116" t="str">
        <f t="shared" si="129"/>
        <v>-</v>
      </c>
      <c r="F2737" s="85"/>
      <c r="G2737" s="85" t="s">
        <v>19</v>
      </c>
      <c r="H2737" s="85"/>
      <c r="I2737" s="85"/>
      <c r="J2737" s="87"/>
      <c r="K2737" s="88">
        <f t="shared" si="130"/>
        <v>0</v>
      </c>
      <c r="L2737" s="85"/>
    </row>
    <row r="2738" spans="1:12" hidden="1" x14ac:dyDescent="0.2">
      <c r="A2738" s="84" t="str">
        <f t="shared" si="128"/>
        <v>SelecioneSelecioneSelecione</v>
      </c>
      <c r="B2738" s="85" t="s">
        <v>19</v>
      </c>
      <c r="C2738" s="85" t="s">
        <v>19</v>
      </c>
      <c r="D2738" s="86"/>
      <c r="E2738" s="116" t="str">
        <f t="shared" si="129"/>
        <v>-</v>
      </c>
      <c r="F2738" s="85"/>
      <c r="G2738" s="85" t="s">
        <v>19</v>
      </c>
      <c r="H2738" s="85"/>
      <c r="I2738" s="85"/>
      <c r="J2738" s="87"/>
      <c r="K2738" s="88">
        <f t="shared" si="130"/>
        <v>0</v>
      </c>
      <c r="L2738" s="85"/>
    </row>
    <row r="2739" spans="1:12" hidden="1" x14ac:dyDescent="0.2">
      <c r="A2739" s="84" t="str">
        <f t="shared" si="128"/>
        <v>SelecioneSelecioneSelecione</v>
      </c>
      <c r="B2739" s="85" t="s">
        <v>19</v>
      </c>
      <c r="C2739" s="85" t="s">
        <v>19</v>
      </c>
      <c r="D2739" s="86"/>
      <c r="E2739" s="116" t="str">
        <f t="shared" si="129"/>
        <v>-</v>
      </c>
      <c r="F2739" s="85"/>
      <c r="G2739" s="85" t="s">
        <v>19</v>
      </c>
      <c r="H2739" s="85"/>
      <c r="I2739" s="85"/>
      <c r="J2739" s="87"/>
      <c r="K2739" s="88">
        <f t="shared" si="130"/>
        <v>0</v>
      </c>
      <c r="L2739" s="85"/>
    </row>
    <row r="2740" spans="1:12" hidden="1" x14ac:dyDescent="0.2">
      <c r="A2740" s="84" t="str">
        <f t="shared" si="128"/>
        <v>SelecioneSelecioneSelecione</v>
      </c>
      <c r="B2740" s="85" t="s">
        <v>19</v>
      </c>
      <c r="C2740" s="85" t="s">
        <v>19</v>
      </c>
      <c r="D2740" s="86"/>
      <c r="E2740" s="116" t="str">
        <f t="shared" si="129"/>
        <v>-</v>
      </c>
      <c r="F2740" s="85"/>
      <c r="G2740" s="85" t="s">
        <v>19</v>
      </c>
      <c r="H2740" s="85"/>
      <c r="I2740" s="85"/>
      <c r="J2740" s="87"/>
      <c r="K2740" s="88">
        <f t="shared" si="130"/>
        <v>0</v>
      </c>
      <c r="L2740" s="85"/>
    </row>
    <row r="2741" spans="1:12" hidden="1" x14ac:dyDescent="0.2">
      <c r="A2741" s="84" t="str">
        <f t="shared" si="128"/>
        <v>SelecioneSelecioneSelecione</v>
      </c>
      <c r="B2741" s="85" t="s">
        <v>19</v>
      </c>
      <c r="C2741" s="85" t="s">
        <v>19</v>
      </c>
      <c r="D2741" s="86"/>
      <c r="E2741" s="116" t="str">
        <f t="shared" si="129"/>
        <v>-</v>
      </c>
      <c r="F2741" s="85"/>
      <c r="G2741" s="85" t="s">
        <v>19</v>
      </c>
      <c r="H2741" s="85"/>
      <c r="I2741" s="85"/>
      <c r="J2741" s="87"/>
      <c r="K2741" s="88">
        <f t="shared" si="130"/>
        <v>0</v>
      </c>
      <c r="L2741" s="85"/>
    </row>
    <row r="2742" spans="1:12" hidden="1" x14ac:dyDescent="0.2">
      <c r="A2742" s="84" t="str">
        <f t="shared" si="128"/>
        <v>SelecioneSelecioneSelecione</v>
      </c>
      <c r="B2742" s="85" t="s">
        <v>19</v>
      </c>
      <c r="C2742" s="85" t="s">
        <v>19</v>
      </c>
      <c r="D2742" s="86"/>
      <c r="E2742" s="116" t="str">
        <f t="shared" si="129"/>
        <v>-</v>
      </c>
      <c r="F2742" s="85"/>
      <c r="G2742" s="85" t="s">
        <v>19</v>
      </c>
      <c r="H2742" s="85"/>
      <c r="I2742" s="85"/>
      <c r="J2742" s="87"/>
      <c r="K2742" s="88">
        <f t="shared" si="130"/>
        <v>0</v>
      </c>
      <c r="L2742" s="85"/>
    </row>
    <row r="2743" spans="1:12" hidden="1" x14ac:dyDescent="0.2">
      <c r="A2743" s="84" t="str">
        <f t="shared" si="128"/>
        <v>SelecioneSelecioneSelecione</v>
      </c>
      <c r="B2743" s="85" t="s">
        <v>19</v>
      </c>
      <c r="C2743" s="85" t="s">
        <v>19</v>
      </c>
      <c r="D2743" s="86"/>
      <c r="E2743" s="116" t="str">
        <f t="shared" si="129"/>
        <v>-</v>
      </c>
      <c r="F2743" s="85"/>
      <c r="G2743" s="85" t="s">
        <v>19</v>
      </c>
      <c r="H2743" s="85"/>
      <c r="I2743" s="85"/>
      <c r="J2743" s="87"/>
      <c r="K2743" s="88">
        <f t="shared" si="130"/>
        <v>0</v>
      </c>
      <c r="L2743" s="85"/>
    </row>
    <row r="2744" spans="1:12" hidden="1" x14ac:dyDescent="0.2">
      <c r="A2744" s="84" t="str">
        <f t="shared" si="128"/>
        <v>SelecioneSelecioneSelecione</v>
      </c>
      <c r="B2744" s="85" t="s">
        <v>19</v>
      </c>
      <c r="C2744" s="85" t="s">
        <v>19</v>
      </c>
      <c r="D2744" s="86"/>
      <c r="E2744" s="116" t="str">
        <f t="shared" si="129"/>
        <v>-</v>
      </c>
      <c r="F2744" s="85"/>
      <c r="G2744" s="85" t="s">
        <v>19</v>
      </c>
      <c r="H2744" s="85"/>
      <c r="I2744" s="85"/>
      <c r="J2744" s="87"/>
      <c r="K2744" s="88">
        <f t="shared" si="130"/>
        <v>0</v>
      </c>
      <c r="L2744" s="85"/>
    </row>
    <row r="2745" spans="1:12" hidden="1" x14ac:dyDescent="0.2">
      <c r="A2745" s="84" t="str">
        <f t="shared" si="128"/>
        <v>SelecioneSelecioneSelecione</v>
      </c>
      <c r="B2745" s="85" t="s">
        <v>19</v>
      </c>
      <c r="C2745" s="85" t="s">
        <v>19</v>
      </c>
      <c r="D2745" s="86"/>
      <c r="E2745" s="116" t="str">
        <f t="shared" si="129"/>
        <v>-</v>
      </c>
      <c r="F2745" s="85"/>
      <c r="G2745" s="85" t="s">
        <v>19</v>
      </c>
      <c r="H2745" s="85"/>
      <c r="I2745" s="85"/>
      <c r="J2745" s="87"/>
      <c r="K2745" s="88">
        <f t="shared" si="130"/>
        <v>0</v>
      </c>
      <c r="L2745" s="85"/>
    </row>
    <row r="2746" spans="1:12" hidden="1" x14ac:dyDescent="0.2">
      <c r="A2746" s="84" t="str">
        <f t="shared" si="128"/>
        <v>SelecioneSelecioneSelecione</v>
      </c>
      <c r="B2746" s="85" t="s">
        <v>19</v>
      </c>
      <c r="C2746" s="85" t="s">
        <v>19</v>
      </c>
      <c r="D2746" s="86"/>
      <c r="E2746" s="116" t="str">
        <f t="shared" si="129"/>
        <v>-</v>
      </c>
      <c r="F2746" s="85"/>
      <c r="G2746" s="85" t="s">
        <v>19</v>
      </c>
      <c r="H2746" s="85"/>
      <c r="I2746" s="85"/>
      <c r="J2746" s="87"/>
      <c r="K2746" s="88">
        <f t="shared" si="130"/>
        <v>0</v>
      </c>
      <c r="L2746" s="85"/>
    </row>
    <row r="2747" spans="1:12" hidden="1" x14ac:dyDescent="0.2">
      <c r="A2747" s="84" t="str">
        <f t="shared" si="128"/>
        <v>SelecioneSelecioneSelecione</v>
      </c>
      <c r="B2747" s="85" t="s">
        <v>19</v>
      </c>
      <c r="C2747" s="85" t="s">
        <v>19</v>
      </c>
      <c r="D2747" s="86"/>
      <c r="E2747" s="116" t="str">
        <f t="shared" si="129"/>
        <v>-</v>
      </c>
      <c r="F2747" s="85"/>
      <c r="G2747" s="85" t="s">
        <v>19</v>
      </c>
      <c r="H2747" s="85"/>
      <c r="I2747" s="85"/>
      <c r="J2747" s="87"/>
      <c r="K2747" s="88">
        <f t="shared" si="130"/>
        <v>0</v>
      </c>
      <c r="L2747" s="85"/>
    </row>
    <row r="2748" spans="1:12" hidden="1" x14ac:dyDescent="0.2">
      <c r="A2748" s="84" t="str">
        <f t="shared" si="128"/>
        <v>SelecioneSelecioneSelecione</v>
      </c>
      <c r="B2748" s="85" t="s">
        <v>19</v>
      </c>
      <c r="C2748" s="85" t="s">
        <v>19</v>
      </c>
      <c r="D2748" s="86"/>
      <c r="E2748" s="116" t="str">
        <f t="shared" si="129"/>
        <v>-</v>
      </c>
      <c r="F2748" s="85"/>
      <c r="G2748" s="85" t="s">
        <v>19</v>
      </c>
      <c r="H2748" s="85"/>
      <c r="I2748" s="85"/>
      <c r="J2748" s="87"/>
      <c r="K2748" s="88">
        <f t="shared" si="130"/>
        <v>0</v>
      </c>
      <c r="L2748" s="85"/>
    </row>
    <row r="2749" spans="1:12" hidden="1" x14ac:dyDescent="0.2">
      <c r="A2749" s="84" t="str">
        <f t="shared" si="128"/>
        <v>SelecioneSelecioneSelecione</v>
      </c>
      <c r="B2749" s="85" t="s">
        <v>19</v>
      </c>
      <c r="C2749" s="85" t="s">
        <v>19</v>
      </c>
      <c r="D2749" s="86"/>
      <c r="E2749" s="116" t="str">
        <f t="shared" si="129"/>
        <v>-</v>
      </c>
      <c r="F2749" s="85"/>
      <c r="G2749" s="85" t="s">
        <v>19</v>
      </c>
      <c r="H2749" s="85"/>
      <c r="I2749" s="85"/>
      <c r="J2749" s="87"/>
      <c r="K2749" s="88">
        <f t="shared" si="130"/>
        <v>0</v>
      </c>
      <c r="L2749" s="85"/>
    </row>
    <row r="2750" spans="1:12" hidden="1" x14ac:dyDescent="0.2">
      <c r="A2750" s="84" t="str">
        <f t="shared" si="128"/>
        <v>SelecioneSelecioneSelecione</v>
      </c>
      <c r="B2750" s="85" t="s">
        <v>19</v>
      </c>
      <c r="C2750" s="85" t="s">
        <v>19</v>
      </c>
      <c r="D2750" s="86"/>
      <c r="E2750" s="116" t="str">
        <f t="shared" si="129"/>
        <v>-</v>
      </c>
      <c r="F2750" s="85"/>
      <c r="G2750" s="85" t="s">
        <v>19</v>
      </c>
      <c r="H2750" s="85"/>
      <c r="I2750" s="85"/>
      <c r="J2750" s="87"/>
      <c r="K2750" s="88">
        <f t="shared" si="130"/>
        <v>0</v>
      </c>
      <c r="L2750" s="85"/>
    </row>
    <row r="2751" spans="1:12" hidden="1" x14ac:dyDescent="0.2">
      <c r="A2751" s="84" t="str">
        <f t="shared" si="128"/>
        <v>SelecioneSelecioneSelecione</v>
      </c>
      <c r="B2751" s="85" t="s">
        <v>19</v>
      </c>
      <c r="C2751" s="85" t="s">
        <v>19</v>
      </c>
      <c r="D2751" s="86"/>
      <c r="E2751" s="116" t="str">
        <f t="shared" si="129"/>
        <v>-</v>
      </c>
      <c r="F2751" s="85"/>
      <c r="G2751" s="85" t="s">
        <v>19</v>
      </c>
      <c r="H2751" s="85"/>
      <c r="I2751" s="85"/>
      <c r="J2751" s="87"/>
      <c r="K2751" s="88">
        <f t="shared" si="130"/>
        <v>0</v>
      </c>
      <c r="L2751" s="85"/>
    </row>
    <row r="2752" spans="1:12" hidden="1" x14ac:dyDescent="0.2">
      <c r="A2752" s="84" t="str">
        <f t="shared" si="128"/>
        <v>SelecioneSelecioneSelecione</v>
      </c>
      <c r="B2752" s="85" t="s">
        <v>19</v>
      </c>
      <c r="C2752" s="85" t="s">
        <v>19</v>
      </c>
      <c r="D2752" s="86"/>
      <c r="E2752" s="116" t="str">
        <f t="shared" si="129"/>
        <v>-</v>
      </c>
      <c r="F2752" s="85"/>
      <c r="G2752" s="85" t="s">
        <v>19</v>
      </c>
      <c r="H2752" s="85"/>
      <c r="I2752" s="85"/>
      <c r="J2752" s="87"/>
      <c r="K2752" s="88">
        <f t="shared" si="130"/>
        <v>0</v>
      </c>
      <c r="L2752" s="85"/>
    </row>
    <row r="2753" spans="1:12" hidden="1" x14ac:dyDescent="0.2">
      <c r="A2753" s="84" t="str">
        <f t="shared" si="128"/>
        <v>SelecioneSelecioneSelecione</v>
      </c>
      <c r="B2753" s="85" t="s">
        <v>19</v>
      </c>
      <c r="C2753" s="85" t="s">
        <v>19</v>
      </c>
      <c r="D2753" s="86"/>
      <c r="E2753" s="116" t="str">
        <f t="shared" si="129"/>
        <v>-</v>
      </c>
      <c r="F2753" s="85"/>
      <c r="G2753" s="85" t="s">
        <v>19</v>
      </c>
      <c r="H2753" s="85"/>
      <c r="I2753" s="85"/>
      <c r="J2753" s="87"/>
      <c r="K2753" s="88">
        <f t="shared" si="130"/>
        <v>0</v>
      </c>
      <c r="L2753" s="85"/>
    </row>
    <row r="2754" spans="1:12" hidden="1" x14ac:dyDescent="0.2">
      <c r="A2754" s="84" t="str">
        <f t="shared" ref="A2754:A2817" si="131">CONCATENATE(B2754,C2754,G2754)</f>
        <v>SelecioneSelecioneSelecione</v>
      </c>
      <c r="B2754" s="85" t="s">
        <v>19</v>
      </c>
      <c r="C2754" s="85" t="s">
        <v>19</v>
      </c>
      <c r="D2754" s="86"/>
      <c r="E2754" s="116" t="str">
        <f t="shared" ref="E2754:E2817" si="132">VLOOKUP(G2754,$M$1:$O$993,3,0)</f>
        <v>-</v>
      </c>
      <c r="F2754" s="85"/>
      <c r="G2754" s="85" t="s">
        <v>19</v>
      </c>
      <c r="H2754" s="85"/>
      <c r="I2754" s="85"/>
      <c r="J2754" s="87"/>
      <c r="K2754" s="88">
        <f t="shared" ref="K2754:K2817" si="133">I2754*J2754</f>
        <v>0</v>
      </c>
      <c r="L2754" s="85"/>
    </row>
    <row r="2755" spans="1:12" hidden="1" x14ac:dyDescent="0.2">
      <c r="A2755" s="84" t="str">
        <f t="shared" si="131"/>
        <v>SelecioneSelecioneSelecione</v>
      </c>
      <c r="B2755" s="85" t="s">
        <v>19</v>
      </c>
      <c r="C2755" s="85" t="s">
        <v>19</v>
      </c>
      <c r="D2755" s="86"/>
      <c r="E2755" s="116" t="str">
        <f t="shared" si="132"/>
        <v>-</v>
      </c>
      <c r="F2755" s="85"/>
      <c r="G2755" s="85" t="s">
        <v>19</v>
      </c>
      <c r="H2755" s="85"/>
      <c r="I2755" s="85"/>
      <c r="J2755" s="87"/>
      <c r="K2755" s="88">
        <f t="shared" si="133"/>
        <v>0</v>
      </c>
      <c r="L2755" s="85"/>
    </row>
    <row r="2756" spans="1:12" hidden="1" x14ac:dyDescent="0.2">
      <c r="A2756" s="84" t="str">
        <f t="shared" si="131"/>
        <v>SelecioneSelecioneSelecione</v>
      </c>
      <c r="B2756" s="85" t="s">
        <v>19</v>
      </c>
      <c r="C2756" s="85" t="s">
        <v>19</v>
      </c>
      <c r="D2756" s="86"/>
      <c r="E2756" s="116" t="str">
        <f t="shared" si="132"/>
        <v>-</v>
      </c>
      <c r="F2756" s="85"/>
      <c r="G2756" s="85" t="s">
        <v>19</v>
      </c>
      <c r="H2756" s="85"/>
      <c r="I2756" s="85"/>
      <c r="J2756" s="87"/>
      <c r="K2756" s="88">
        <f t="shared" si="133"/>
        <v>0</v>
      </c>
      <c r="L2756" s="85"/>
    </row>
    <row r="2757" spans="1:12" hidden="1" x14ac:dyDescent="0.2">
      <c r="A2757" s="84" t="str">
        <f t="shared" si="131"/>
        <v>SelecioneSelecioneSelecione</v>
      </c>
      <c r="B2757" s="85" t="s">
        <v>19</v>
      </c>
      <c r="C2757" s="85" t="s">
        <v>19</v>
      </c>
      <c r="D2757" s="86"/>
      <c r="E2757" s="116" t="str">
        <f t="shared" si="132"/>
        <v>-</v>
      </c>
      <c r="F2757" s="85"/>
      <c r="G2757" s="85" t="s">
        <v>19</v>
      </c>
      <c r="H2757" s="85"/>
      <c r="I2757" s="85"/>
      <c r="J2757" s="87"/>
      <c r="K2757" s="88">
        <f t="shared" si="133"/>
        <v>0</v>
      </c>
      <c r="L2757" s="85"/>
    </row>
    <row r="2758" spans="1:12" hidden="1" x14ac:dyDescent="0.2">
      <c r="A2758" s="84" t="str">
        <f t="shared" si="131"/>
        <v>SelecioneSelecioneSelecione</v>
      </c>
      <c r="B2758" s="85" t="s">
        <v>19</v>
      </c>
      <c r="C2758" s="85" t="s">
        <v>19</v>
      </c>
      <c r="D2758" s="86"/>
      <c r="E2758" s="116" t="str">
        <f t="shared" si="132"/>
        <v>-</v>
      </c>
      <c r="F2758" s="85"/>
      <c r="G2758" s="85" t="s">
        <v>19</v>
      </c>
      <c r="H2758" s="85"/>
      <c r="I2758" s="85"/>
      <c r="J2758" s="87"/>
      <c r="K2758" s="88">
        <f t="shared" si="133"/>
        <v>0</v>
      </c>
      <c r="L2758" s="85"/>
    </row>
    <row r="2759" spans="1:12" hidden="1" x14ac:dyDescent="0.2">
      <c r="A2759" s="84" t="str">
        <f t="shared" si="131"/>
        <v>SelecioneSelecioneSelecione</v>
      </c>
      <c r="B2759" s="85" t="s">
        <v>19</v>
      </c>
      <c r="C2759" s="85" t="s">
        <v>19</v>
      </c>
      <c r="D2759" s="86"/>
      <c r="E2759" s="116" t="str">
        <f t="shared" si="132"/>
        <v>-</v>
      </c>
      <c r="F2759" s="85"/>
      <c r="G2759" s="85" t="s">
        <v>19</v>
      </c>
      <c r="H2759" s="85"/>
      <c r="I2759" s="85"/>
      <c r="J2759" s="87"/>
      <c r="K2759" s="88">
        <f t="shared" si="133"/>
        <v>0</v>
      </c>
      <c r="L2759" s="85"/>
    </row>
    <row r="2760" spans="1:12" hidden="1" x14ac:dyDescent="0.2">
      <c r="A2760" s="84" t="str">
        <f t="shared" si="131"/>
        <v>SelecioneSelecioneSelecione</v>
      </c>
      <c r="B2760" s="85" t="s">
        <v>19</v>
      </c>
      <c r="C2760" s="85" t="s">
        <v>19</v>
      </c>
      <c r="D2760" s="86"/>
      <c r="E2760" s="116" t="str">
        <f t="shared" si="132"/>
        <v>-</v>
      </c>
      <c r="F2760" s="85"/>
      <c r="G2760" s="85" t="s">
        <v>19</v>
      </c>
      <c r="H2760" s="85"/>
      <c r="I2760" s="85"/>
      <c r="J2760" s="87"/>
      <c r="K2760" s="88">
        <f t="shared" si="133"/>
        <v>0</v>
      </c>
      <c r="L2760" s="85"/>
    </row>
    <row r="2761" spans="1:12" hidden="1" x14ac:dyDescent="0.2">
      <c r="A2761" s="84" t="str">
        <f t="shared" si="131"/>
        <v>SelecioneSelecioneSelecione</v>
      </c>
      <c r="B2761" s="85" t="s">
        <v>19</v>
      </c>
      <c r="C2761" s="85" t="s">
        <v>19</v>
      </c>
      <c r="D2761" s="86"/>
      <c r="E2761" s="116" t="str">
        <f t="shared" si="132"/>
        <v>-</v>
      </c>
      <c r="F2761" s="85"/>
      <c r="G2761" s="85" t="s">
        <v>19</v>
      </c>
      <c r="H2761" s="85"/>
      <c r="I2761" s="85"/>
      <c r="J2761" s="87"/>
      <c r="K2761" s="88">
        <f t="shared" si="133"/>
        <v>0</v>
      </c>
      <c r="L2761" s="85"/>
    </row>
    <row r="2762" spans="1:12" hidden="1" x14ac:dyDescent="0.2">
      <c r="A2762" s="84" t="str">
        <f t="shared" si="131"/>
        <v>SelecioneSelecioneSelecione</v>
      </c>
      <c r="B2762" s="85" t="s">
        <v>19</v>
      </c>
      <c r="C2762" s="85" t="s">
        <v>19</v>
      </c>
      <c r="D2762" s="86"/>
      <c r="E2762" s="116" t="str">
        <f t="shared" si="132"/>
        <v>-</v>
      </c>
      <c r="F2762" s="85"/>
      <c r="G2762" s="85" t="s">
        <v>19</v>
      </c>
      <c r="H2762" s="85"/>
      <c r="I2762" s="85"/>
      <c r="J2762" s="87"/>
      <c r="K2762" s="88">
        <f t="shared" si="133"/>
        <v>0</v>
      </c>
      <c r="L2762" s="85"/>
    </row>
    <row r="2763" spans="1:12" hidden="1" x14ac:dyDescent="0.2">
      <c r="A2763" s="84" t="str">
        <f t="shared" si="131"/>
        <v>SelecioneSelecioneSelecione</v>
      </c>
      <c r="B2763" s="85" t="s">
        <v>19</v>
      </c>
      <c r="C2763" s="85" t="s">
        <v>19</v>
      </c>
      <c r="D2763" s="86"/>
      <c r="E2763" s="116" t="str">
        <f t="shared" si="132"/>
        <v>-</v>
      </c>
      <c r="F2763" s="85"/>
      <c r="G2763" s="85" t="s">
        <v>19</v>
      </c>
      <c r="H2763" s="85"/>
      <c r="I2763" s="85"/>
      <c r="J2763" s="87"/>
      <c r="K2763" s="88">
        <f t="shared" si="133"/>
        <v>0</v>
      </c>
      <c r="L2763" s="85"/>
    </row>
    <row r="2764" spans="1:12" hidden="1" x14ac:dyDescent="0.2">
      <c r="A2764" s="84" t="str">
        <f t="shared" si="131"/>
        <v>SelecioneSelecioneSelecione</v>
      </c>
      <c r="B2764" s="85" t="s">
        <v>19</v>
      </c>
      <c r="C2764" s="85" t="s">
        <v>19</v>
      </c>
      <c r="D2764" s="86"/>
      <c r="E2764" s="116" t="str">
        <f t="shared" si="132"/>
        <v>-</v>
      </c>
      <c r="F2764" s="85"/>
      <c r="G2764" s="85" t="s">
        <v>19</v>
      </c>
      <c r="H2764" s="85"/>
      <c r="I2764" s="85"/>
      <c r="J2764" s="87"/>
      <c r="K2764" s="88">
        <f t="shared" si="133"/>
        <v>0</v>
      </c>
      <c r="L2764" s="85"/>
    </row>
    <row r="2765" spans="1:12" hidden="1" x14ac:dyDescent="0.2">
      <c r="A2765" s="84" t="str">
        <f t="shared" si="131"/>
        <v>SelecioneSelecioneSelecione</v>
      </c>
      <c r="B2765" s="85" t="s">
        <v>19</v>
      </c>
      <c r="C2765" s="85" t="s">
        <v>19</v>
      </c>
      <c r="D2765" s="86"/>
      <c r="E2765" s="116" t="str">
        <f t="shared" si="132"/>
        <v>-</v>
      </c>
      <c r="F2765" s="85"/>
      <c r="G2765" s="85" t="s">
        <v>19</v>
      </c>
      <c r="H2765" s="85"/>
      <c r="I2765" s="85"/>
      <c r="J2765" s="87"/>
      <c r="K2765" s="88">
        <f t="shared" si="133"/>
        <v>0</v>
      </c>
      <c r="L2765" s="85"/>
    </row>
    <row r="2766" spans="1:12" hidden="1" x14ac:dyDescent="0.2">
      <c r="A2766" s="84" t="str">
        <f t="shared" si="131"/>
        <v>SelecioneSelecioneSelecione</v>
      </c>
      <c r="B2766" s="85" t="s">
        <v>19</v>
      </c>
      <c r="C2766" s="85" t="s">
        <v>19</v>
      </c>
      <c r="D2766" s="86"/>
      <c r="E2766" s="116" t="str">
        <f t="shared" si="132"/>
        <v>-</v>
      </c>
      <c r="F2766" s="85"/>
      <c r="G2766" s="85" t="s">
        <v>19</v>
      </c>
      <c r="H2766" s="85"/>
      <c r="I2766" s="85"/>
      <c r="J2766" s="87"/>
      <c r="K2766" s="88">
        <f t="shared" si="133"/>
        <v>0</v>
      </c>
      <c r="L2766" s="85"/>
    </row>
    <row r="2767" spans="1:12" hidden="1" x14ac:dyDescent="0.2">
      <c r="A2767" s="84" t="str">
        <f t="shared" si="131"/>
        <v>SelecioneSelecioneSelecione</v>
      </c>
      <c r="B2767" s="85" t="s">
        <v>19</v>
      </c>
      <c r="C2767" s="85" t="s">
        <v>19</v>
      </c>
      <c r="D2767" s="86"/>
      <c r="E2767" s="116" t="str">
        <f t="shared" si="132"/>
        <v>-</v>
      </c>
      <c r="F2767" s="85"/>
      <c r="G2767" s="85" t="s">
        <v>19</v>
      </c>
      <c r="H2767" s="85"/>
      <c r="I2767" s="85"/>
      <c r="J2767" s="87"/>
      <c r="K2767" s="88">
        <f t="shared" si="133"/>
        <v>0</v>
      </c>
      <c r="L2767" s="85"/>
    </row>
    <row r="2768" spans="1:12" hidden="1" x14ac:dyDescent="0.2">
      <c r="A2768" s="84" t="str">
        <f t="shared" si="131"/>
        <v>SelecioneSelecioneSelecione</v>
      </c>
      <c r="B2768" s="85" t="s">
        <v>19</v>
      </c>
      <c r="C2768" s="85" t="s">
        <v>19</v>
      </c>
      <c r="D2768" s="86"/>
      <c r="E2768" s="116" t="str">
        <f t="shared" si="132"/>
        <v>-</v>
      </c>
      <c r="F2768" s="85"/>
      <c r="G2768" s="85" t="s">
        <v>19</v>
      </c>
      <c r="H2768" s="85"/>
      <c r="I2768" s="85"/>
      <c r="J2768" s="87"/>
      <c r="K2768" s="88">
        <f t="shared" si="133"/>
        <v>0</v>
      </c>
      <c r="L2768" s="85"/>
    </row>
    <row r="2769" spans="1:12" hidden="1" x14ac:dyDescent="0.2">
      <c r="A2769" s="84" t="str">
        <f t="shared" si="131"/>
        <v>SelecioneSelecioneSelecione</v>
      </c>
      <c r="B2769" s="85" t="s">
        <v>19</v>
      </c>
      <c r="C2769" s="85" t="s">
        <v>19</v>
      </c>
      <c r="D2769" s="86"/>
      <c r="E2769" s="116" t="str">
        <f t="shared" si="132"/>
        <v>-</v>
      </c>
      <c r="F2769" s="85"/>
      <c r="G2769" s="85" t="s">
        <v>19</v>
      </c>
      <c r="H2769" s="85"/>
      <c r="I2769" s="85"/>
      <c r="J2769" s="87"/>
      <c r="K2769" s="88">
        <f t="shared" si="133"/>
        <v>0</v>
      </c>
      <c r="L2769" s="85"/>
    </row>
    <row r="2770" spans="1:12" hidden="1" x14ac:dyDescent="0.2">
      <c r="A2770" s="84" t="str">
        <f t="shared" si="131"/>
        <v>SelecioneSelecioneSelecione</v>
      </c>
      <c r="B2770" s="85" t="s">
        <v>19</v>
      </c>
      <c r="C2770" s="85" t="s">
        <v>19</v>
      </c>
      <c r="D2770" s="86"/>
      <c r="E2770" s="116" t="str">
        <f t="shared" si="132"/>
        <v>-</v>
      </c>
      <c r="F2770" s="85"/>
      <c r="G2770" s="85" t="s">
        <v>19</v>
      </c>
      <c r="H2770" s="85"/>
      <c r="I2770" s="85"/>
      <c r="J2770" s="87"/>
      <c r="K2770" s="88">
        <f t="shared" si="133"/>
        <v>0</v>
      </c>
      <c r="L2770" s="85"/>
    </row>
    <row r="2771" spans="1:12" hidden="1" x14ac:dyDescent="0.2">
      <c r="A2771" s="84" t="str">
        <f t="shared" si="131"/>
        <v>SelecioneSelecioneSelecione</v>
      </c>
      <c r="B2771" s="85" t="s">
        <v>19</v>
      </c>
      <c r="C2771" s="85" t="s">
        <v>19</v>
      </c>
      <c r="D2771" s="86"/>
      <c r="E2771" s="116" t="str">
        <f t="shared" si="132"/>
        <v>-</v>
      </c>
      <c r="F2771" s="85"/>
      <c r="G2771" s="85" t="s">
        <v>19</v>
      </c>
      <c r="H2771" s="85"/>
      <c r="I2771" s="85"/>
      <c r="J2771" s="87"/>
      <c r="K2771" s="88">
        <f t="shared" si="133"/>
        <v>0</v>
      </c>
      <c r="L2771" s="85"/>
    </row>
    <row r="2772" spans="1:12" hidden="1" x14ac:dyDescent="0.2">
      <c r="A2772" s="84" t="str">
        <f t="shared" si="131"/>
        <v>SelecioneSelecioneSelecione</v>
      </c>
      <c r="B2772" s="85" t="s">
        <v>19</v>
      </c>
      <c r="C2772" s="85" t="s">
        <v>19</v>
      </c>
      <c r="D2772" s="86"/>
      <c r="E2772" s="116" t="str">
        <f t="shared" si="132"/>
        <v>-</v>
      </c>
      <c r="F2772" s="85"/>
      <c r="G2772" s="85" t="s">
        <v>19</v>
      </c>
      <c r="H2772" s="85"/>
      <c r="I2772" s="85"/>
      <c r="J2772" s="87"/>
      <c r="K2772" s="88">
        <f t="shared" si="133"/>
        <v>0</v>
      </c>
      <c r="L2772" s="85"/>
    </row>
    <row r="2773" spans="1:12" hidden="1" x14ac:dyDescent="0.2">
      <c r="A2773" s="84" t="str">
        <f t="shared" si="131"/>
        <v>SelecioneSelecioneSelecione</v>
      </c>
      <c r="B2773" s="85" t="s">
        <v>19</v>
      </c>
      <c r="C2773" s="85" t="s">
        <v>19</v>
      </c>
      <c r="D2773" s="86"/>
      <c r="E2773" s="116" t="str">
        <f t="shared" si="132"/>
        <v>-</v>
      </c>
      <c r="F2773" s="85"/>
      <c r="G2773" s="85" t="s">
        <v>19</v>
      </c>
      <c r="H2773" s="85"/>
      <c r="I2773" s="85"/>
      <c r="J2773" s="87"/>
      <c r="K2773" s="88">
        <f t="shared" si="133"/>
        <v>0</v>
      </c>
      <c r="L2773" s="85"/>
    </row>
    <row r="2774" spans="1:12" hidden="1" x14ac:dyDescent="0.2">
      <c r="A2774" s="84" t="str">
        <f t="shared" si="131"/>
        <v>SelecioneSelecioneSelecione</v>
      </c>
      <c r="B2774" s="85" t="s">
        <v>19</v>
      </c>
      <c r="C2774" s="85" t="s">
        <v>19</v>
      </c>
      <c r="D2774" s="86"/>
      <c r="E2774" s="116" t="str">
        <f t="shared" si="132"/>
        <v>-</v>
      </c>
      <c r="F2774" s="85"/>
      <c r="G2774" s="85" t="s">
        <v>19</v>
      </c>
      <c r="H2774" s="85"/>
      <c r="I2774" s="85"/>
      <c r="J2774" s="87"/>
      <c r="K2774" s="88">
        <f t="shared" si="133"/>
        <v>0</v>
      </c>
      <c r="L2774" s="85"/>
    </row>
    <row r="2775" spans="1:12" hidden="1" x14ac:dyDescent="0.2">
      <c r="A2775" s="84" t="str">
        <f t="shared" si="131"/>
        <v>SelecioneSelecioneSelecione</v>
      </c>
      <c r="B2775" s="85" t="s">
        <v>19</v>
      </c>
      <c r="C2775" s="85" t="s">
        <v>19</v>
      </c>
      <c r="D2775" s="86"/>
      <c r="E2775" s="116" t="str">
        <f t="shared" si="132"/>
        <v>-</v>
      </c>
      <c r="F2775" s="85"/>
      <c r="G2775" s="85" t="s">
        <v>19</v>
      </c>
      <c r="H2775" s="85"/>
      <c r="I2775" s="85"/>
      <c r="J2775" s="87"/>
      <c r="K2775" s="88">
        <f t="shared" si="133"/>
        <v>0</v>
      </c>
      <c r="L2775" s="85"/>
    </row>
    <row r="2776" spans="1:12" hidden="1" x14ac:dyDescent="0.2">
      <c r="A2776" s="84" t="str">
        <f t="shared" si="131"/>
        <v>SelecioneSelecioneSelecione</v>
      </c>
      <c r="B2776" s="85" t="s">
        <v>19</v>
      </c>
      <c r="C2776" s="85" t="s">
        <v>19</v>
      </c>
      <c r="D2776" s="93"/>
      <c r="E2776" s="116" t="str">
        <f t="shared" si="132"/>
        <v>-</v>
      </c>
      <c r="F2776" s="90"/>
      <c r="G2776" s="85" t="s">
        <v>19</v>
      </c>
      <c r="H2776" s="85"/>
      <c r="I2776" s="90"/>
      <c r="J2776" s="89"/>
      <c r="K2776" s="88">
        <f t="shared" si="133"/>
        <v>0</v>
      </c>
      <c r="L2776" s="90"/>
    </row>
    <row r="2777" spans="1:12" hidden="1" x14ac:dyDescent="0.2">
      <c r="A2777" s="84" t="str">
        <f t="shared" si="131"/>
        <v>SelecioneSelecioneSelecione</v>
      </c>
      <c r="B2777" s="85" t="s">
        <v>19</v>
      </c>
      <c r="C2777" s="85" t="s">
        <v>19</v>
      </c>
      <c r="D2777" s="86"/>
      <c r="E2777" s="116" t="str">
        <f t="shared" si="132"/>
        <v>-</v>
      </c>
      <c r="F2777" s="85"/>
      <c r="G2777" s="85" t="s">
        <v>19</v>
      </c>
      <c r="H2777" s="85"/>
      <c r="I2777" s="85"/>
      <c r="J2777" s="87"/>
      <c r="K2777" s="88">
        <f t="shared" si="133"/>
        <v>0</v>
      </c>
      <c r="L2777" s="85"/>
    </row>
    <row r="2778" spans="1:12" hidden="1" x14ac:dyDescent="0.2">
      <c r="A2778" s="84" t="str">
        <f t="shared" si="131"/>
        <v>SelecioneSelecioneSelecione</v>
      </c>
      <c r="B2778" s="85" t="s">
        <v>19</v>
      </c>
      <c r="C2778" s="85" t="s">
        <v>19</v>
      </c>
      <c r="D2778" s="86"/>
      <c r="E2778" s="116" t="str">
        <f t="shared" si="132"/>
        <v>-</v>
      </c>
      <c r="F2778" s="85"/>
      <c r="G2778" s="85" t="s">
        <v>19</v>
      </c>
      <c r="H2778" s="85"/>
      <c r="I2778" s="85"/>
      <c r="J2778" s="87"/>
      <c r="K2778" s="88">
        <f t="shared" si="133"/>
        <v>0</v>
      </c>
      <c r="L2778" s="85"/>
    </row>
    <row r="2779" spans="1:12" hidden="1" x14ac:dyDescent="0.2">
      <c r="A2779" s="84" t="str">
        <f t="shared" si="131"/>
        <v>SelecioneSelecioneSelecione</v>
      </c>
      <c r="B2779" s="85" t="s">
        <v>19</v>
      </c>
      <c r="C2779" s="85" t="s">
        <v>19</v>
      </c>
      <c r="D2779" s="86"/>
      <c r="E2779" s="116" t="str">
        <f t="shared" si="132"/>
        <v>-</v>
      </c>
      <c r="F2779" s="85"/>
      <c r="G2779" s="85" t="s">
        <v>19</v>
      </c>
      <c r="H2779" s="85"/>
      <c r="I2779" s="85"/>
      <c r="J2779" s="87"/>
      <c r="K2779" s="88">
        <f t="shared" si="133"/>
        <v>0</v>
      </c>
      <c r="L2779" s="85"/>
    </row>
    <row r="2780" spans="1:12" hidden="1" x14ac:dyDescent="0.2">
      <c r="A2780" s="84" t="str">
        <f t="shared" si="131"/>
        <v>SelecioneSelecioneSelecione</v>
      </c>
      <c r="B2780" s="85" t="s">
        <v>19</v>
      </c>
      <c r="C2780" s="85" t="s">
        <v>19</v>
      </c>
      <c r="D2780" s="86"/>
      <c r="E2780" s="116" t="str">
        <f t="shared" si="132"/>
        <v>-</v>
      </c>
      <c r="F2780" s="85"/>
      <c r="G2780" s="85" t="s">
        <v>19</v>
      </c>
      <c r="H2780" s="85"/>
      <c r="I2780" s="85"/>
      <c r="J2780" s="87"/>
      <c r="K2780" s="88">
        <f t="shared" si="133"/>
        <v>0</v>
      </c>
      <c r="L2780" s="85"/>
    </row>
    <row r="2781" spans="1:12" hidden="1" x14ac:dyDescent="0.2">
      <c r="A2781" s="84" t="str">
        <f t="shared" si="131"/>
        <v>SelecioneSelecioneSelecione</v>
      </c>
      <c r="B2781" s="85" t="s">
        <v>19</v>
      </c>
      <c r="C2781" s="85" t="s">
        <v>19</v>
      </c>
      <c r="D2781" s="86"/>
      <c r="E2781" s="116" t="str">
        <f t="shared" si="132"/>
        <v>-</v>
      </c>
      <c r="F2781" s="85"/>
      <c r="G2781" s="85" t="s">
        <v>19</v>
      </c>
      <c r="H2781" s="85"/>
      <c r="I2781" s="85"/>
      <c r="J2781" s="87"/>
      <c r="K2781" s="88">
        <f t="shared" si="133"/>
        <v>0</v>
      </c>
      <c r="L2781" s="85"/>
    </row>
    <row r="2782" spans="1:12" hidden="1" x14ac:dyDescent="0.2">
      <c r="A2782" s="84" t="str">
        <f t="shared" si="131"/>
        <v>SelecioneSelecioneSelecione</v>
      </c>
      <c r="B2782" s="85" t="s">
        <v>19</v>
      </c>
      <c r="C2782" s="85" t="s">
        <v>19</v>
      </c>
      <c r="D2782" s="86"/>
      <c r="E2782" s="116" t="str">
        <f t="shared" si="132"/>
        <v>-</v>
      </c>
      <c r="F2782" s="85"/>
      <c r="G2782" s="85" t="s">
        <v>19</v>
      </c>
      <c r="H2782" s="85"/>
      <c r="I2782" s="85"/>
      <c r="J2782" s="87"/>
      <c r="K2782" s="88">
        <f t="shared" si="133"/>
        <v>0</v>
      </c>
      <c r="L2782" s="85"/>
    </row>
    <row r="2783" spans="1:12" hidden="1" x14ac:dyDescent="0.2">
      <c r="A2783" s="84" t="str">
        <f t="shared" si="131"/>
        <v>SelecioneSelecioneSelecione</v>
      </c>
      <c r="B2783" s="85" t="s">
        <v>19</v>
      </c>
      <c r="C2783" s="85" t="s">
        <v>19</v>
      </c>
      <c r="D2783" s="86"/>
      <c r="E2783" s="116" t="str">
        <f t="shared" si="132"/>
        <v>-</v>
      </c>
      <c r="F2783" s="85"/>
      <c r="G2783" s="85" t="s">
        <v>19</v>
      </c>
      <c r="H2783" s="85"/>
      <c r="I2783" s="85"/>
      <c r="J2783" s="87"/>
      <c r="K2783" s="88">
        <f t="shared" si="133"/>
        <v>0</v>
      </c>
      <c r="L2783" s="85"/>
    </row>
    <row r="2784" spans="1:12" hidden="1" x14ac:dyDescent="0.2">
      <c r="A2784" s="84" t="str">
        <f t="shared" si="131"/>
        <v>SelecioneSelecioneSelecione</v>
      </c>
      <c r="B2784" s="85" t="s">
        <v>19</v>
      </c>
      <c r="C2784" s="85" t="s">
        <v>19</v>
      </c>
      <c r="D2784" s="86"/>
      <c r="E2784" s="116" t="str">
        <f t="shared" si="132"/>
        <v>-</v>
      </c>
      <c r="F2784" s="85"/>
      <c r="G2784" s="85" t="s">
        <v>19</v>
      </c>
      <c r="H2784" s="85"/>
      <c r="I2784" s="85"/>
      <c r="J2784" s="87"/>
      <c r="K2784" s="88">
        <f t="shared" si="133"/>
        <v>0</v>
      </c>
      <c r="L2784" s="85"/>
    </row>
    <row r="2785" spans="1:12" hidden="1" x14ac:dyDescent="0.2">
      <c r="A2785" s="84" t="str">
        <f t="shared" si="131"/>
        <v>SelecioneSelecioneSelecione</v>
      </c>
      <c r="B2785" s="85" t="s">
        <v>19</v>
      </c>
      <c r="C2785" s="85" t="s">
        <v>19</v>
      </c>
      <c r="D2785" s="86"/>
      <c r="E2785" s="116" t="str">
        <f t="shared" si="132"/>
        <v>-</v>
      </c>
      <c r="F2785" s="85"/>
      <c r="G2785" s="85" t="s">
        <v>19</v>
      </c>
      <c r="H2785" s="85"/>
      <c r="I2785" s="85"/>
      <c r="J2785" s="87"/>
      <c r="K2785" s="88">
        <f t="shared" si="133"/>
        <v>0</v>
      </c>
      <c r="L2785" s="85"/>
    </row>
    <row r="2786" spans="1:12" hidden="1" x14ac:dyDescent="0.2">
      <c r="A2786" s="84" t="str">
        <f t="shared" si="131"/>
        <v>SelecioneSelecioneSelecione</v>
      </c>
      <c r="B2786" s="85" t="s">
        <v>19</v>
      </c>
      <c r="C2786" s="85" t="s">
        <v>19</v>
      </c>
      <c r="D2786" s="86"/>
      <c r="E2786" s="116" t="str">
        <f t="shared" si="132"/>
        <v>-</v>
      </c>
      <c r="F2786" s="85"/>
      <c r="G2786" s="85" t="s">
        <v>19</v>
      </c>
      <c r="H2786" s="85"/>
      <c r="I2786" s="85"/>
      <c r="J2786" s="87"/>
      <c r="K2786" s="88">
        <f t="shared" si="133"/>
        <v>0</v>
      </c>
      <c r="L2786" s="85"/>
    </row>
    <row r="2787" spans="1:12" hidden="1" x14ac:dyDescent="0.2">
      <c r="A2787" s="84" t="str">
        <f t="shared" si="131"/>
        <v>SelecioneSelecioneSelecione</v>
      </c>
      <c r="B2787" s="85" t="s">
        <v>19</v>
      </c>
      <c r="C2787" s="85" t="s">
        <v>19</v>
      </c>
      <c r="D2787" s="86"/>
      <c r="E2787" s="116" t="str">
        <f t="shared" si="132"/>
        <v>-</v>
      </c>
      <c r="F2787" s="85"/>
      <c r="G2787" s="85" t="s">
        <v>19</v>
      </c>
      <c r="H2787" s="85"/>
      <c r="I2787" s="85"/>
      <c r="J2787" s="87"/>
      <c r="K2787" s="88">
        <f t="shared" si="133"/>
        <v>0</v>
      </c>
      <c r="L2787" s="85"/>
    </row>
    <row r="2788" spans="1:12" hidden="1" x14ac:dyDescent="0.2">
      <c r="A2788" s="84" t="str">
        <f t="shared" si="131"/>
        <v>SelecioneSelecioneSelecione</v>
      </c>
      <c r="B2788" s="85" t="s">
        <v>19</v>
      </c>
      <c r="C2788" s="85" t="s">
        <v>19</v>
      </c>
      <c r="D2788" s="86"/>
      <c r="E2788" s="116" t="str">
        <f t="shared" si="132"/>
        <v>-</v>
      </c>
      <c r="F2788" s="85"/>
      <c r="G2788" s="85" t="s">
        <v>19</v>
      </c>
      <c r="H2788" s="85"/>
      <c r="I2788" s="85"/>
      <c r="J2788" s="87"/>
      <c r="K2788" s="88">
        <f t="shared" si="133"/>
        <v>0</v>
      </c>
      <c r="L2788" s="85"/>
    </row>
    <row r="2789" spans="1:12" hidden="1" x14ac:dyDescent="0.2">
      <c r="A2789" s="84" t="str">
        <f t="shared" si="131"/>
        <v>SelecioneSelecioneSelecione</v>
      </c>
      <c r="B2789" s="85" t="s">
        <v>19</v>
      </c>
      <c r="C2789" s="85" t="s">
        <v>19</v>
      </c>
      <c r="D2789" s="86"/>
      <c r="E2789" s="116" t="str">
        <f t="shared" si="132"/>
        <v>-</v>
      </c>
      <c r="F2789" s="85"/>
      <c r="G2789" s="85" t="s">
        <v>19</v>
      </c>
      <c r="H2789" s="85"/>
      <c r="I2789" s="85"/>
      <c r="J2789" s="87"/>
      <c r="K2789" s="88">
        <f t="shared" si="133"/>
        <v>0</v>
      </c>
      <c r="L2789" s="85"/>
    </row>
    <row r="2790" spans="1:12" hidden="1" x14ac:dyDescent="0.2">
      <c r="A2790" s="84" t="str">
        <f t="shared" si="131"/>
        <v>SelecioneSelecioneSelecione</v>
      </c>
      <c r="B2790" s="85" t="s">
        <v>19</v>
      </c>
      <c r="C2790" s="85" t="s">
        <v>19</v>
      </c>
      <c r="D2790" s="86"/>
      <c r="E2790" s="116" t="str">
        <f t="shared" si="132"/>
        <v>-</v>
      </c>
      <c r="F2790" s="85"/>
      <c r="G2790" s="85" t="s">
        <v>19</v>
      </c>
      <c r="H2790" s="85"/>
      <c r="I2790" s="85"/>
      <c r="J2790" s="87"/>
      <c r="K2790" s="88">
        <f t="shared" si="133"/>
        <v>0</v>
      </c>
      <c r="L2790" s="85"/>
    </row>
    <row r="2791" spans="1:12" hidden="1" x14ac:dyDescent="0.2">
      <c r="A2791" s="84" t="str">
        <f t="shared" si="131"/>
        <v>SelecioneSelecioneSelecione</v>
      </c>
      <c r="B2791" s="85" t="s">
        <v>19</v>
      </c>
      <c r="C2791" s="85" t="s">
        <v>19</v>
      </c>
      <c r="D2791" s="86"/>
      <c r="E2791" s="116" t="str">
        <f t="shared" si="132"/>
        <v>-</v>
      </c>
      <c r="F2791" s="85"/>
      <c r="G2791" s="85" t="s">
        <v>19</v>
      </c>
      <c r="H2791" s="85"/>
      <c r="I2791" s="85"/>
      <c r="J2791" s="87"/>
      <c r="K2791" s="88">
        <f t="shared" si="133"/>
        <v>0</v>
      </c>
      <c r="L2791" s="85"/>
    </row>
    <row r="2792" spans="1:12" hidden="1" x14ac:dyDescent="0.2">
      <c r="A2792" s="84" t="str">
        <f t="shared" si="131"/>
        <v>SelecioneSelecioneSelecione</v>
      </c>
      <c r="B2792" s="85" t="s">
        <v>19</v>
      </c>
      <c r="C2792" s="85" t="s">
        <v>19</v>
      </c>
      <c r="D2792" s="86"/>
      <c r="E2792" s="116" t="str">
        <f t="shared" si="132"/>
        <v>-</v>
      </c>
      <c r="F2792" s="85"/>
      <c r="G2792" s="85" t="s">
        <v>19</v>
      </c>
      <c r="H2792" s="85"/>
      <c r="I2792" s="85"/>
      <c r="J2792" s="87"/>
      <c r="K2792" s="88">
        <f t="shared" si="133"/>
        <v>0</v>
      </c>
      <c r="L2792" s="85"/>
    </row>
    <row r="2793" spans="1:12" hidden="1" x14ac:dyDescent="0.2">
      <c r="A2793" s="84" t="str">
        <f t="shared" si="131"/>
        <v>SelecioneSelecioneSelecione</v>
      </c>
      <c r="B2793" s="85" t="s">
        <v>19</v>
      </c>
      <c r="C2793" s="85" t="s">
        <v>19</v>
      </c>
      <c r="D2793" s="86"/>
      <c r="E2793" s="116" t="str">
        <f t="shared" si="132"/>
        <v>-</v>
      </c>
      <c r="F2793" s="85"/>
      <c r="G2793" s="85" t="s">
        <v>19</v>
      </c>
      <c r="H2793" s="85"/>
      <c r="I2793" s="85"/>
      <c r="J2793" s="87"/>
      <c r="K2793" s="88">
        <f t="shared" si="133"/>
        <v>0</v>
      </c>
      <c r="L2793" s="85"/>
    </row>
    <row r="2794" spans="1:12" hidden="1" x14ac:dyDescent="0.2">
      <c r="A2794" s="84" t="str">
        <f t="shared" si="131"/>
        <v>SelecioneSelecioneSelecione</v>
      </c>
      <c r="B2794" s="85" t="s">
        <v>19</v>
      </c>
      <c r="C2794" s="85" t="s">
        <v>19</v>
      </c>
      <c r="D2794" s="86"/>
      <c r="E2794" s="116" t="str">
        <f t="shared" si="132"/>
        <v>-</v>
      </c>
      <c r="F2794" s="85"/>
      <c r="G2794" s="85" t="s">
        <v>19</v>
      </c>
      <c r="H2794" s="85"/>
      <c r="I2794" s="85"/>
      <c r="J2794" s="87"/>
      <c r="K2794" s="88">
        <f t="shared" si="133"/>
        <v>0</v>
      </c>
      <c r="L2794" s="85"/>
    </row>
    <row r="2795" spans="1:12" hidden="1" x14ac:dyDescent="0.2">
      <c r="A2795" s="84" t="str">
        <f t="shared" si="131"/>
        <v>SelecioneSelecioneSelecione</v>
      </c>
      <c r="B2795" s="85" t="s">
        <v>19</v>
      </c>
      <c r="C2795" s="85" t="s">
        <v>19</v>
      </c>
      <c r="D2795" s="86"/>
      <c r="E2795" s="116" t="str">
        <f t="shared" si="132"/>
        <v>-</v>
      </c>
      <c r="F2795" s="85"/>
      <c r="G2795" s="85" t="s">
        <v>19</v>
      </c>
      <c r="H2795" s="85"/>
      <c r="I2795" s="85"/>
      <c r="J2795" s="87"/>
      <c r="K2795" s="88">
        <f t="shared" si="133"/>
        <v>0</v>
      </c>
      <c r="L2795" s="85"/>
    </row>
    <row r="2796" spans="1:12" hidden="1" x14ac:dyDescent="0.2">
      <c r="A2796" s="84" t="str">
        <f t="shared" si="131"/>
        <v>SelecioneSelecioneSelecione</v>
      </c>
      <c r="B2796" s="85" t="s">
        <v>19</v>
      </c>
      <c r="C2796" s="85" t="s">
        <v>19</v>
      </c>
      <c r="D2796" s="86"/>
      <c r="E2796" s="116" t="str">
        <f t="shared" si="132"/>
        <v>-</v>
      </c>
      <c r="F2796" s="85"/>
      <c r="G2796" s="85" t="s">
        <v>19</v>
      </c>
      <c r="H2796" s="85"/>
      <c r="I2796" s="85"/>
      <c r="J2796" s="87"/>
      <c r="K2796" s="88">
        <f t="shared" si="133"/>
        <v>0</v>
      </c>
      <c r="L2796" s="85"/>
    </row>
    <row r="2797" spans="1:12" hidden="1" x14ac:dyDescent="0.2">
      <c r="A2797" s="84" t="str">
        <f t="shared" si="131"/>
        <v>SelecioneSelecioneSelecione</v>
      </c>
      <c r="B2797" s="85" t="s">
        <v>19</v>
      </c>
      <c r="C2797" s="85" t="s">
        <v>19</v>
      </c>
      <c r="D2797" s="86"/>
      <c r="E2797" s="116" t="str">
        <f t="shared" si="132"/>
        <v>-</v>
      </c>
      <c r="F2797" s="85"/>
      <c r="G2797" s="85" t="s">
        <v>19</v>
      </c>
      <c r="H2797" s="85"/>
      <c r="I2797" s="85"/>
      <c r="J2797" s="87"/>
      <c r="K2797" s="88">
        <f t="shared" si="133"/>
        <v>0</v>
      </c>
      <c r="L2797" s="85"/>
    </row>
    <row r="2798" spans="1:12" hidden="1" x14ac:dyDescent="0.2">
      <c r="A2798" s="84" t="str">
        <f t="shared" si="131"/>
        <v>SelecioneSelecioneSelecione</v>
      </c>
      <c r="B2798" s="85" t="s">
        <v>19</v>
      </c>
      <c r="C2798" s="85" t="s">
        <v>19</v>
      </c>
      <c r="D2798" s="86"/>
      <c r="E2798" s="116" t="str">
        <f t="shared" si="132"/>
        <v>-</v>
      </c>
      <c r="F2798" s="85"/>
      <c r="G2798" s="85" t="s">
        <v>19</v>
      </c>
      <c r="H2798" s="85"/>
      <c r="I2798" s="85"/>
      <c r="J2798" s="87"/>
      <c r="K2798" s="88">
        <f t="shared" si="133"/>
        <v>0</v>
      </c>
      <c r="L2798" s="85"/>
    </row>
    <row r="2799" spans="1:12" hidden="1" x14ac:dyDescent="0.2">
      <c r="A2799" s="84" t="str">
        <f t="shared" si="131"/>
        <v>SelecioneSelecioneSelecione</v>
      </c>
      <c r="B2799" s="85" t="s">
        <v>19</v>
      </c>
      <c r="C2799" s="85" t="s">
        <v>19</v>
      </c>
      <c r="D2799" s="86"/>
      <c r="E2799" s="116" t="str">
        <f t="shared" si="132"/>
        <v>-</v>
      </c>
      <c r="F2799" s="85"/>
      <c r="G2799" s="85" t="s">
        <v>19</v>
      </c>
      <c r="H2799" s="85"/>
      <c r="I2799" s="85"/>
      <c r="J2799" s="87"/>
      <c r="K2799" s="88">
        <f t="shared" si="133"/>
        <v>0</v>
      </c>
      <c r="L2799" s="85"/>
    </row>
    <row r="2800" spans="1:12" hidden="1" x14ac:dyDescent="0.2">
      <c r="A2800" s="84" t="str">
        <f t="shared" si="131"/>
        <v>SelecioneSelecioneSelecione</v>
      </c>
      <c r="B2800" s="85" t="s">
        <v>19</v>
      </c>
      <c r="C2800" s="85" t="s">
        <v>19</v>
      </c>
      <c r="D2800" s="86"/>
      <c r="E2800" s="116" t="str">
        <f t="shared" si="132"/>
        <v>-</v>
      </c>
      <c r="F2800" s="85"/>
      <c r="G2800" s="85" t="s">
        <v>19</v>
      </c>
      <c r="H2800" s="85"/>
      <c r="I2800" s="85"/>
      <c r="J2800" s="87"/>
      <c r="K2800" s="88">
        <f t="shared" si="133"/>
        <v>0</v>
      </c>
      <c r="L2800" s="85"/>
    </row>
    <row r="2801" spans="1:12" hidden="1" x14ac:dyDescent="0.2">
      <c r="A2801" s="84" t="str">
        <f t="shared" si="131"/>
        <v>SelecioneSelecioneSelecione</v>
      </c>
      <c r="B2801" s="85" t="s">
        <v>19</v>
      </c>
      <c r="C2801" s="85" t="s">
        <v>19</v>
      </c>
      <c r="D2801" s="86"/>
      <c r="E2801" s="116" t="str">
        <f t="shared" si="132"/>
        <v>-</v>
      </c>
      <c r="F2801" s="85"/>
      <c r="G2801" s="85" t="s">
        <v>19</v>
      </c>
      <c r="H2801" s="85"/>
      <c r="I2801" s="85"/>
      <c r="J2801" s="87"/>
      <c r="K2801" s="88">
        <f t="shared" si="133"/>
        <v>0</v>
      </c>
      <c r="L2801" s="85"/>
    </row>
    <row r="2802" spans="1:12" hidden="1" x14ac:dyDescent="0.2">
      <c r="A2802" s="84" t="str">
        <f t="shared" si="131"/>
        <v>SelecioneSelecioneSelecione</v>
      </c>
      <c r="B2802" s="85" t="s">
        <v>19</v>
      </c>
      <c r="C2802" s="85" t="s">
        <v>19</v>
      </c>
      <c r="D2802" s="86"/>
      <c r="E2802" s="116" t="str">
        <f t="shared" si="132"/>
        <v>-</v>
      </c>
      <c r="F2802" s="85"/>
      <c r="G2802" s="85" t="s">
        <v>19</v>
      </c>
      <c r="H2802" s="85"/>
      <c r="I2802" s="85"/>
      <c r="J2802" s="87"/>
      <c r="K2802" s="88">
        <f t="shared" si="133"/>
        <v>0</v>
      </c>
      <c r="L2802" s="85"/>
    </row>
    <row r="2803" spans="1:12" hidden="1" x14ac:dyDescent="0.2">
      <c r="A2803" s="84" t="str">
        <f t="shared" si="131"/>
        <v>SelecioneSelecioneSelecione</v>
      </c>
      <c r="B2803" s="85" t="s">
        <v>19</v>
      </c>
      <c r="C2803" s="85" t="s">
        <v>19</v>
      </c>
      <c r="D2803" s="86"/>
      <c r="E2803" s="116" t="str">
        <f t="shared" si="132"/>
        <v>-</v>
      </c>
      <c r="F2803" s="90"/>
      <c r="G2803" s="85" t="s">
        <v>19</v>
      </c>
      <c r="H2803" s="85"/>
      <c r="I2803" s="85"/>
      <c r="J2803" s="87"/>
      <c r="K2803" s="88">
        <f t="shared" si="133"/>
        <v>0</v>
      </c>
      <c r="L2803" s="85"/>
    </row>
    <row r="2804" spans="1:12" hidden="1" x14ac:dyDescent="0.2">
      <c r="A2804" s="84" t="str">
        <f t="shared" si="131"/>
        <v>SelecioneSelecioneSelecione</v>
      </c>
      <c r="B2804" s="85" t="s">
        <v>19</v>
      </c>
      <c r="C2804" s="85" t="s">
        <v>19</v>
      </c>
      <c r="D2804" s="86"/>
      <c r="E2804" s="116" t="str">
        <f t="shared" si="132"/>
        <v>-</v>
      </c>
      <c r="F2804" s="85"/>
      <c r="G2804" s="85" t="s">
        <v>19</v>
      </c>
      <c r="H2804" s="85"/>
      <c r="I2804" s="85"/>
      <c r="J2804" s="87"/>
      <c r="K2804" s="88">
        <f t="shared" si="133"/>
        <v>0</v>
      </c>
      <c r="L2804" s="85"/>
    </row>
    <row r="2805" spans="1:12" hidden="1" x14ac:dyDescent="0.2">
      <c r="A2805" s="84" t="str">
        <f t="shared" si="131"/>
        <v>SelecioneSelecioneSelecione</v>
      </c>
      <c r="B2805" s="85" t="s">
        <v>19</v>
      </c>
      <c r="C2805" s="85" t="s">
        <v>19</v>
      </c>
      <c r="D2805" s="86"/>
      <c r="E2805" s="116" t="str">
        <f t="shared" si="132"/>
        <v>-</v>
      </c>
      <c r="F2805" s="85"/>
      <c r="G2805" s="85" t="s">
        <v>19</v>
      </c>
      <c r="H2805" s="85"/>
      <c r="I2805" s="85"/>
      <c r="J2805" s="87"/>
      <c r="K2805" s="88">
        <f t="shared" si="133"/>
        <v>0</v>
      </c>
      <c r="L2805" s="85"/>
    </row>
    <row r="2806" spans="1:12" hidden="1" x14ac:dyDescent="0.2">
      <c r="A2806" s="84" t="str">
        <f t="shared" si="131"/>
        <v>SelecioneSelecioneSelecione</v>
      </c>
      <c r="B2806" s="85" t="s">
        <v>19</v>
      </c>
      <c r="C2806" s="85" t="s">
        <v>19</v>
      </c>
      <c r="D2806" s="86"/>
      <c r="E2806" s="116" t="str">
        <f t="shared" si="132"/>
        <v>-</v>
      </c>
      <c r="F2806" s="85"/>
      <c r="G2806" s="85" t="s">
        <v>19</v>
      </c>
      <c r="H2806" s="85"/>
      <c r="I2806" s="85"/>
      <c r="J2806" s="87"/>
      <c r="K2806" s="88">
        <f t="shared" si="133"/>
        <v>0</v>
      </c>
      <c r="L2806" s="85"/>
    </row>
    <row r="2807" spans="1:12" hidden="1" x14ac:dyDescent="0.2">
      <c r="A2807" s="84" t="str">
        <f t="shared" si="131"/>
        <v>SelecioneSelecioneSelecione</v>
      </c>
      <c r="B2807" s="85" t="s">
        <v>19</v>
      </c>
      <c r="C2807" s="85" t="s">
        <v>19</v>
      </c>
      <c r="D2807" s="86"/>
      <c r="E2807" s="116" t="str">
        <f t="shared" si="132"/>
        <v>-</v>
      </c>
      <c r="F2807" s="85"/>
      <c r="G2807" s="85" t="s">
        <v>19</v>
      </c>
      <c r="H2807" s="85"/>
      <c r="I2807" s="85"/>
      <c r="J2807" s="87"/>
      <c r="K2807" s="88">
        <f t="shared" si="133"/>
        <v>0</v>
      </c>
      <c r="L2807" s="85"/>
    </row>
    <row r="2808" spans="1:12" hidden="1" x14ac:dyDescent="0.2">
      <c r="A2808" s="84" t="str">
        <f t="shared" si="131"/>
        <v>SelecioneSelecioneSelecione</v>
      </c>
      <c r="B2808" s="85" t="s">
        <v>19</v>
      </c>
      <c r="C2808" s="85" t="s">
        <v>19</v>
      </c>
      <c r="D2808" s="86"/>
      <c r="E2808" s="116" t="str">
        <f t="shared" si="132"/>
        <v>-</v>
      </c>
      <c r="F2808" s="85"/>
      <c r="G2808" s="85" t="s">
        <v>19</v>
      </c>
      <c r="H2808" s="85"/>
      <c r="I2808" s="85"/>
      <c r="J2808" s="87"/>
      <c r="K2808" s="88">
        <f t="shared" si="133"/>
        <v>0</v>
      </c>
      <c r="L2808" s="85"/>
    </row>
    <row r="2809" spans="1:12" hidden="1" x14ac:dyDescent="0.2">
      <c r="A2809" s="84" t="str">
        <f t="shared" si="131"/>
        <v>SelecioneSelecioneSelecione</v>
      </c>
      <c r="B2809" s="85" t="s">
        <v>19</v>
      </c>
      <c r="C2809" s="85" t="s">
        <v>19</v>
      </c>
      <c r="D2809" s="86"/>
      <c r="E2809" s="116" t="str">
        <f t="shared" si="132"/>
        <v>-</v>
      </c>
      <c r="F2809" s="85"/>
      <c r="G2809" s="85" t="s">
        <v>19</v>
      </c>
      <c r="H2809" s="85"/>
      <c r="I2809" s="85"/>
      <c r="J2809" s="87"/>
      <c r="K2809" s="88">
        <f t="shared" si="133"/>
        <v>0</v>
      </c>
      <c r="L2809" s="85"/>
    </row>
    <row r="2810" spans="1:12" hidden="1" x14ac:dyDescent="0.2">
      <c r="A2810" s="84" t="str">
        <f t="shared" si="131"/>
        <v>SelecioneSelecioneSelecione</v>
      </c>
      <c r="B2810" s="85" t="s">
        <v>19</v>
      </c>
      <c r="C2810" s="85" t="s">
        <v>19</v>
      </c>
      <c r="D2810" s="86"/>
      <c r="E2810" s="116" t="str">
        <f t="shared" si="132"/>
        <v>-</v>
      </c>
      <c r="F2810" s="85"/>
      <c r="G2810" s="85" t="s">
        <v>19</v>
      </c>
      <c r="H2810" s="85"/>
      <c r="I2810" s="85"/>
      <c r="J2810" s="87"/>
      <c r="K2810" s="88">
        <f t="shared" si="133"/>
        <v>0</v>
      </c>
      <c r="L2810" s="91"/>
    </row>
    <row r="2811" spans="1:12" hidden="1" x14ac:dyDescent="0.2">
      <c r="A2811" s="84" t="str">
        <f t="shared" si="131"/>
        <v>SelecioneSelecioneSelecione</v>
      </c>
      <c r="B2811" s="85" t="s">
        <v>19</v>
      </c>
      <c r="C2811" s="85" t="s">
        <v>19</v>
      </c>
      <c r="D2811" s="86"/>
      <c r="E2811" s="116" t="str">
        <f t="shared" si="132"/>
        <v>-</v>
      </c>
      <c r="F2811" s="85"/>
      <c r="G2811" s="85" t="s">
        <v>19</v>
      </c>
      <c r="H2811" s="85"/>
      <c r="I2811" s="85"/>
      <c r="J2811" s="87"/>
      <c r="K2811" s="88">
        <f t="shared" si="133"/>
        <v>0</v>
      </c>
      <c r="L2811" s="85"/>
    </row>
    <row r="2812" spans="1:12" hidden="1" x14ac:dyDescent="0.2">
      <c r="A2812" s="84" t="str">
        <f t="shared" si="131"/>
        <v>SelecioneSelecioneSelecione</v>
      </c>
      <c r="B2812" s="85" t="s">
        <v>19</v>
      </c>
      <c r="C2812" s="85" t="s">
        <v>19</v>
      </c>
      <c r="D2812" s="86"/>
      <c r="E2812" s="116" t="str">
        <f t="shared" si="132"/>
        <v>-</v>
      </c>
      <c r="F2812" s="85"/>
      <c r="G2812" s="85" t="s">
        <v>19</v>
      </c>
      <c r="H2812" s="85"/>
      <c r="I2812" s="85"/>
      <c r="J2812" s="87"/>
      <c r="K2812" s="88">
        <f t="shared" si="133"/>
        <v>0</v>
      </c>
      <c r="L2812" s="85"/>
    </row>
    <row r="2813" spans="1:12" hidden="1" x14ac:dyDescent="0.2">
      <c r="A2813" s="84" t="str">
        <f t="shared" si="131"/>
        <v>SelecioneSelecioneSelecione</v>
      </c>
      <c r="B2813" s="85" t="s">
        <v>19</v>
      </c>
      <c r="C2813" s="85" t="s">
        <v>19</v>
      </c>
      <c r="D2813" s="86"/>
      <c r="E2813" s="116" t="str">
        <f t="shared" si="132"/>
        <v>-</v>
      </c>
      <c r="F2813" s="85"/>
      <c r="G2813" s="85" t="s">
        <v>19</v>
      </c>
      <c r="H2813" s="85"/>
      <c r="I2813" s="85"/>
      <c r="J2813" s="87"/>
      <c r="K2813" s="88">
        <f t="shared" si="133"/>
        <v>0</v>
      </c>
      <c r="L2813" s="85"/>
    </row>
    <row r="2814" spans="1:12" hidden="1" x14ac:dyDescent="0.2">
      <c r="A2814" s="84" t="str">
        <f t="shared" si="131"/>
        <v>SelecioneSelecioneSelecione</v>
      </c>
      <c r="B2814" s="85" t="s">
        <v>19</v>
      </c>
      <c r="C2814" s="85" t="s">
        <v>19</v>
      </c>
      <c r="D2814" s="86"/>
      <c r="E2814" s="116" t="str">
        <f t="shared" si="132"/>
        <v>-</v>
      </c>
      <c r="F2814" s="90"/>
      <c r="G2814" s="85" t="s">
        <v>19</v>
      </c>
      <c r="H2814" s="85"/>
      <c r="I2814" s="85"/>
      <c r="J2814" s="87"/>
      <c r="K2814" s="88">
        <f t="shared" si="133"/>
        <v>0</v>
      </c>
      <c r="L2814" s="85"/>
    </row>
    <row r="2815" spans="1:12" hidden="1" x14ac:dyDescent="0.2">
      <c r="A2815" s="84" t="str">
        <f t="shared" si="131"/>
        <v>SelecioneSelecioneSelecione</v>
      </c>
      <c r="B2815" s="85" t="s">
        <v>19</v>
      </c>
      <c r="C2815" s="85" t="s">
        <v>19</v>
      </c>
      <c r="D2815" s="86"/>
      <c r="E2815" s="116" t="str">
        <f t="shared" si="132"/>
        <v>-</v>
      </c>
      <c r="F2815" s="85"/>
      <c r="G2815" s="85" t="s">
        <v>19</v>
      </c>
      <c r="H2815" s="85"/>
      <c r="I2815" s="85"/>
      <c r="J2815" s="87"/>
      <c r="K2815" s="88">
        <f t="shared" si="133"/>
        <v>0</v>
      </c>
      <c r="L2815" s="85"/>
    </row>
    <row r="2816" spans="1:12" hidden="1" x14ac:dyDescent="0.2">
      <c r="A2816" s="84" t="str">
        <f t="shared" si="131"/>
        <v>SelecioneSelecioneSelecione</v>
      </c>
      <c r="B2816" s="85" t="s">
        <v>19</v>
      </c>
      <c r="C2816" s="85" t="s">
        <v>19</v>
      </c>
      <c r="D2816" s="86"/>
      <c r="E2816" s="116" t="str">
        <f t="shared" si="132"/>
        <v>-</v>
      </c>
      <c r="F2816" s="85"/>
      <c r="G2816" s="85" t="s">
        <v>19</v>
      </c>
      <c r="H2816" s="85"/>
      <c r="I2816" s="85"/>
      <c r="J2816" s="87"/>
      <c r="K2816" s="88">
        <f t="shared" si="133"/>
        <v>0</v>
      </c>
      <c r="L2816" s="85"/>
    </row>
    <row r="2817" spans="1:12" hidden="1" x14ac:dyDescent="0.2">
      <c r="A2817" s="84" t="str">
        <f t="shared" si="131"/>
        <v>SelecioneSelecioneSelecione</v>
      </c>
      <c r="B2817" s="85" t="s">
        <v>19</v>
      </c>
      <c r="C2817" s="85" t="s">
        <v>19</v>
      </c>
      <c r="D2817" s="86"/>
      <c r="E2817" s="116" t="str">
        <f t="shared" si="132"/>
        <v>-</v>
      </c>
      <c r="F2817" s="85"/>
      <c r="G2817" s="85" t="s">
        <v>19</v>
      </c>
      <c r="H2817" s="85"/>
      <c r="I2817" s="85"/>
      <c r="J2817" s="87"/>
      <c r="K2817" s="88">
        <f t="shared" si="133"/>
        <v>0</v>
      </c>
      <c r="L2817" s="85"/>
    </row>
    <row r="2818" spans="1:12" hidden="1" x14ac:dyDescent="0.2">
      <c r="A2818" s="84" t="str">
        <f t="shared" ref="A2818:A2881" si="134">CONCATENATE(B2818,C2818,G2818)</f>
        <v>SelecioneSelecioneSelecione</v>
      </c>
      <c r="B2818" s="85" t="s">
        <v>19</v>
      </c>
      <c r="C2818" s="85" t="s">
        <v>19</v>
      </c>
      <c r="D2818" s="86"/>
      <c r="E2818" s="116" t="str">
        <f t="shared" ref="E2818:E2881" si="135">VLOOKUP(G2818,$M$1:$O$993,3,0)</f>
        <v>-</v>
      </c>
      <c r="F2818" s="85"/>
      <c r="G2818" s="85" t="s">
        <v>19</v>
      </c>
      <c r="H2818" s="85"/>
      <c r="I2818" s="85"/>
      <c r="J2818" s="87"/>
      <c r="K2818" s="88">
        <f t="shared" ref="K2818:K2881" si="136">I2818*J2818</f>
        <v>0</v>
      </c>
      <c r="L2818" s="85"/>
    </row>
    <row r="2819" spans="1:12" hidden="1" x14ac:dyDescent="0.2">
      <c r="A2819" s="84" t="str">
        <f t="shared" si="134"/>
        <v>SelecioneSelecioneSelecione</v>
      </c>
      <c r="B2819" s="85" t="s">
        <v>19</v>
      </c>
      <c r="C2819" s="85" t="s">
        <v>19</v>
      </c>
      <c r="D2819" s="86"/>
      <c r="E2819" s="116" t="str">
        <f t="shared" si="135"/>
        <v>-</v>
      </c>
      <c r="F2819" s="85"/>
      <c r="G2819" s="85" t="s">
        <v>19</v>
      </c>
      <c r="H2819" s="85"/>
      <c r="I2819" s="85"/>
      <c r="J2819" s="87"/>
      <c r="K2819" s="88">
        <f t="shared" si="136"/>
        <v>0</v>
      </c>
      <c r="L2819" s="85"/>
    </row>
    <row r="2820" spans="1:12" hidden="1" x14ac:dyDescent="0.2">
      <c r="A2820" s="84" t="str">
        <f t="shared" si="134"/>
        <v>SelecioneSelecioneSelecione</v>
      </c>
      <c r="B2820" s="85" t="s">
        <v>19</v>
      </c>
      <c r="C2820" s="85" t="s">
        <v>19</v>
      </c>
      <c r="D2820" s="86"/>
      <c r="E2820" s="116" t="str">
        <f t="shared" si="135"/>
        <v>-</v>
      </c>
      <c r="F2820" s="85"/>
      <c r="G2820" s="85" t="s">
        <v>19</v>
      </c>
      <c r="H2820" s="85"/>
      <c r="I2820" s="85"/>
      <c r="J2820" s="87"/>
      <c r="K2820" s="88">
        <f t="shared" si="136"/>
        <v>0</v>
      </c>
      <c r="L2820" s="85"/>
    </row>
    <row r="2821" spans="1:12" hidden="1" x14ac:dyDescent="0.2">
      <c r="A2821" s="84" t="str">
        <f t="shared" si="134"/>
        <v>SelecioneSelecioneSelecione</v>
      </c>
      <c r="B2821" s="85" t="s">
        <v>19</v>
      </c>
      <c r="C2821" s="85" t="s">
        <v>19</v>
      </c>
      <c r="D2821" s="93"/>
      <c r="E2821" s="116" t="str">
        <f t="shared" si="135"/>
        <v>-</v>
      </c>
      <c r="F2821" s="90"/>
      <c r="G2821" s="85" t="s">
        <v>19</v>
      </c>
      <c r="H2821" s="85"/>
      <c r="I2821" s="90"/>
      <c r="J2821" s="89"/>
      <c r="K2821" s="88">
        <f t="shared" si="136"/>
        <v>0</v>
      </c>
      <c r="L2821" s="90"/>
    </row>
    <row r="2822" spans="1:12" hidden="1" x14ac:dyDescent="0.2">
      <c r="A2822" s="84" t="str">
        <f t="shared" si="134"/>
        <v>SelecioneSelecioneSelecione</v>
      </c>
      <c r="B2822" s="85" t="s">
        <v>19</v>
      </c>
      <c r="C2822" s="85" t="s">
        <v>19</v>
      </c>
      <c r="D2822" s="93"/>
      <c r="E2822" s="116" t="str">
        <f t="shared" si="135"/>
        <v>-</v>
      </c>
      <c r="F2822" s="90"/>
      <c r="G2822" s="85" t="s">
        <v>19</v>
      </c>
      <c r="H2822" s="85"/>
      <c r="I2822" s="90"/>
      <c r="J2822" s="89"/>
      <c r="K2822" s="88">
        <f t="shared" si="136"/>
        <v>0</v>
      </c>
      <c r="L2822" s="90"/>
    </row>
    <row r="2823" spans="1:12" hidden="1" x14ac:dyDescent="0.2">
      <c r="A2823" s="84" t="str">
        <f t="shared" si="134"/>
        <v>SelecioneSelecioneSelecione</v>
      </c>
      <c r="B2823" s="85" t="s">
        <v>19</v>
      </c>
      <c r="C2823" s="85" t="s">
        <v>19</v>
      </c>
      <c r="D2823" s="86"/>
      <c r="E2823" s="116" t="str">
        <f t="shared" si="135"/>
        <v>-</v>
      </c>
      <c r="F2823" s="85"/>
      <c r="G2823" s="85" t="s">
        <v>19</v>
      </c>
      <c r="H2823" s="85"/>
      <c r="I2823" s="85"/>
      <c r="J2823" s="87"/>
      <c r="K2823" s="88">
        <f t="shared" si="136"/>
        <v>0</v>
      </c>
      <c r="L2823" s="85"/>
    </row>
    <row r="2824" spans="1:12" hidden="1" x14ac:dyDescent="0.2">
      <c r="A2824" s="84" t="str">
        <f t="shared" si="134"/>
        <v>SelecioneSelecioneSelecione</v>
      </c>
      <c r="B2824" s="85" t="s">
        <v>19</v>
      </c>
      <c r="C2824" s="85" t="s">
        <v>19</v>
      </c>
      <c r="D2824" s="86"/>
      <c r="E2824" s="116" t="str">
        <f t="shared" si="135"/>
        <v>-</v>
      </c>
      <c r="F2824" s="85"/>
      <c r="G2824" s="85" t="s">
        <v>19</v>
      </c>
      <c r="H2824" s="85"/>
      <c r="I2824" s="85"/>
      <c r="J2824" s="87"/>
      <c r="K2824" s="88">
        <f t="shared" si="136"/>
        <v>0</v>
      </c>
      <c r="L2824" s="85"/>
    </row>
    <row r="2825" spans="1:12" hidden="1" x14ac:dyDescent="0.2">
      <c r="A2825" s="84" t="str">
        <f t="shared" si="134"/>
        <v>SelecioneSelecioneSelecione</v>
      </c>
      <c r="B2825" s="85" t="s">
        <v>19</v>
      </c>
      <c r="C2825" s="85" t="s">
        <v>19</v>
      </c>
      <c r="D2825" s="86"/>
      <c r="E2825" s="116" t="str">
        <f t="shared" si="135"/>
        <v>-</v>
      </c>
      <c r="F2825" s="85"/>
      <c r="G2825" s="85" t="s">
        <v>19</v>
      </c>
      <c r="H2825" s="85"/>
      <c r="I2825" s="85"/>
      <c r="J2825" s="87"/>
      <c r="K2825" s="88">
        <f t="shared" si="136"/>
        <v>0</v>
      </c>
      <c r="L2825" s="85"/>
    </row>
    <row r="2826" spans="1:12" hidden="1" x14ac:dyDescent="0.2">
      <c r="A2826" s="84" t="str">
        <f t="shared" si="134"/>
        <v>SelecioneSelecioneSelecione</v>
      </c>
      <c r="B2826" s="85" t="s">
        <v>19</v>
      </c>
      <c r="C2826" s="85" t="s">
        <v>19</v>
      </c>
      <c r="D2826" s="86"/>
      <c r="E2826" s="116" t="str">
        <f t="shared" si="135"/>
        <v>-</v>
      </c>
      <c r="F2826" s="85"/>
      <c r="G2826" s="85" t="s">
        <v>19</v>
      </c>
      <c r="H2826" s="85"/>
      <c r="I2826" s="85"/>
      <c r="J2826" s="87"/>
      <c r="K2826" s="88">
        <f t="shared" si="136"/>
        <v>0</v>
      </c>
      <c r="L2826" s="85"/>
    </row>
    <row r="2827" spans="1:12" hidden="1" x14ac:dyDescent="0.2">
      <c r="A2827" s="84" t="str">
        <f t="shared" si="134"/>
        <v>SelecioneSelecioneSelecione</v>
      </c>
      <c r="B2827" s="85" t="s">
        <v>19</v>
      </c>
      <c r="C2827" s="85" t="s">
        <v>19</v>
      </c>
      <c r="D2827" s="86"/>
      <c r="E2827" s="116" t="str">
        <f t="shared" si="135"/>
        <v>-</v>
      </c>
      <c r="F2827" s="85"/>
      <c r="G2827" s="85" t="s">
        <v>19</v>
      </c>
      <c r="H2827" s="85"/>
      <c r="I2827" s="85"/>
      <c r="J2827" s="87"/>
      <c r="K2827" s="88">
        <f t="shared" si="136"/>
        <v>0</v>
      </c>
      <c r="L2827" s="85"/>
    </row>
    <row r="2828" spans="1:12" hidden="1" x14ac:dyDescent="0.2">
      <c r="A2828" s="84" t="str">
        <f t="shared" si="134"/>
        <v>SelecioneSelecioneSelecione</v>
      </c>
      <c r="B2828" s="85" t="s">
        <v>19</v>
      </c>
      <c r="C2828" s="85" t="s">
        <v>19</v>
      </c>
      <c r="D2828" s="86"/>
      <c r="E2828" s="116" t="str">
        <f t="shared" si="135"/>
        <v>-</v>
      </c>
      <c r="F2828" s="85"/>
      <c r="G2828" s="85" t="s">
        <v>19</v>
      </c>
      <c r="H2828" s="85"/>
      <c r="I2828" s="85"/>
      <c r="J2828" s="87"/>
      <c r="K2828" s="88">
        <f t="shared" si="136"/>
        <v>0</v>
      </c>
      <c r="L2828" s="85"/>
    </row>
    <row r="2829" spans="1:12" hidden="1" x14ac:dyDescent="0.2">
      <c r="A2829" s="84" t="str">
        <f t="shared" si="134"/>
        <v>SelecioneSelecioneSelecione</v>
      </c>
      <c r="B2829" s="85" t="s">
        <v>19</v>
      </c>
      <c r="C2829" s="85" t="s">
        <v>19</v>
      </c>
      <c r="D2829" s="86"/>
      <c r="E2829" s="116" t="str">
        <f t="shared" si="135"/>
        <v>-</v>
      </c>
      <c r="F2829" s="85"/>
      <c r="G2829" s="85" t="s">
        <v>19</v>
      </c>
      <c r="H2829" s="85"/>
      <c r="I2829" s="85"/>
      <c r="J2829" s="87"/>
      <c r="K2829" s="88">
        <f t="shared" si="136"/>
        <v>0</v>
      </c>
      <c r="L2829" s="85"/>
    </row>
    <row r="2830" spans="1:12" hidden="1" x14ac:dyDescent="0.2">
      <c r="A2830" s="84" t="str">
        <f t="shared" si="134"/>
        <v>SelecioneSelecioneSelecione</v>
      </c>
      <c r="B2830" s="85" t="s">
        <v>19</v>
      </c>
      <c r="C2830" s="85" t="s">
        <v>19</v>
      </c>
      <c r="D2830" s="86"/>
      <c r="E2830" s="116" t="str">
        <f t="shared" si="135"/>
        <v>-</v>
      </c>
      <c r="F2830" s="85"/>
      <c r="G2830" s="85" t="s">
        <v>19</v>
      </c>
      <c r="H2830" s="85"/>
      <c r="I2830" s="85"/>
      <c r="J2830" s="87"/>
      <c r="K2830" s="88">
        <f t="shared" si="136"/>
        <v>0</v>
      </c>
      <c r="L2830" s="85"/>
    </row>
    <row r="2831" spans="1:12" hidden="1" x14ac:dyDescent="0.2">
      <c r="A2831" s="84" t="str">
        <f t="shared" si="134"/>
        <v>SelecioneSelecioneSelecione</v>
      </c>
      <c r="B2831" s="85" t="s">
        <v>19</v>
      </c>
      <c r="C2831" s="85" t="s">
        <v>19</v>
      </c>
      <c r="D2831" s="86"/>
      <c r="E2831" s="116" t="str">
        <f t="shared" si="135"/>
        <v>-</v>
      </c>
      <c r="F2831" s="85"/>
      <c r="G2831" s="85" t="s">
        <v>19</v>
      </c>
      <c r="H2831" s="85"/>
      <c r="I2831" s="85"/>
      <c r="J2831" s="87"/>
      <c r="K2831" s="88">
        <f t="shared" si="136"/>
        <v>0</v>
      </c>
      <c r="L2831" s="85"/>
    </row>
    <row r="2832" spans="1:12" hidden="1" x14ac:dyDescent="0.2">
      <c r="A2832" s="84" t="str">
        <f t="shared" si="134"/>
        <v>SelecioneSelecioneSelecione</v>
      </c>
      <c r="B2832" s="85" t="s">
        <v>19</v>
      </c>
      <c r="C2832" s="85" t="s">
        <v>19</v>
      </c>
      <c r="D2832" s="86"/>
      <c r="E2832" s="116" t="str">
        <f t="shared" si="135"/>
        <v>-</v>
      </c>
      <c r="F2832" s="85"/>
      <c r="G2832" s="85" t="s">
        <v>19</v>
      </c>
      <c r="H2832" s="85"/>
      <c r="I2832" s="85"/>
      <c r="J2832" s="87"/>
      <c r="K2832" s="88">
        <f t="shared" si="136"/>
        <v>0</v>
      </c>
      <c r="L2832" s="85"/>
    </row>
    <row r="2833" spans="1:12" hidden="1" x14ac:dyDescent="0.2">
      <c r="A2833" s="84" t="str">
        <f t="shared" si="134"/>
        <v>SelecioneSelecioneSelecione</v>
      </c>
      <c r="B2833" s="85" t="s">
        <v>19</v>
      </c>
      <c r="C2833" s="85" t="s">
        <v>19</v>
      </c>
      <c r="D2833" s="86"/>
      <c r="E2833" s="116" t="str">
        <f t="shared" si="135"/>
        <v>-</v>
      </c>
      <c r="F2833" s="85"/>
      <c r="G2833" s="85" t="s">
        <v>19</v>
      </c>
      <c r="H2833" s="85"/>
      <c r="I2833" s="85"/>
      <c r="J2833" s="87"/>
      <c r="K2833" s="88">
        <f t="shared" si="136"/>
        <v>0</v>
      </c>
      <c r="L2833" s="85"/>
    </row>
    <row r="2834" spans="1:12" hidden="1" x14ac:dyDescent="0.2">
      <c r="A2834" s="84" t="str">
        <f t="shared" si="134"/>
        <v>SelecioneSelecioneSelecione</v>
      </c>
      <c r="B2834" s="85" t="s">
        <v>19</v>
      </c>
      <c r="C2834" s="85" t="s">
        <v>19</v>
      </c>
      <c r="D2834" s="86"/>
      <c r="E2834" s="116" t="str">
        <f t="shared" si="135"/>
        <v>-</v>
      </c>
      <c r="F2834" s="85"/>
      <c r="G2834" s="85" t="s">
        <v>19</v>
      </c>
      <c r="H2834" s="85"/>
      <c r="I2834" s="85"/>
      <c r="J2834" s="87"/>
      <c r="K2834" s="88">
        <f t="shared" si="136"/>
        <v>0</v>
      </c>
      <c r="L2834" s="85"/>
    </row>
    <row r="2835" spans="1:12" hidden="1" x14ac:dyDescent="0.2">
      <c r="A2835" s="84" t="str">
        <f t="shared" si="134"/>
        <v>SelecioneSelecioneSelecione</v>
      </c>
      <c r="B2835" s="85" t="s">
        <v>19</v>
      </c>
      <c r="C2835" s="85" t="s">
        <v>19</v>
      </c>
      <c r="D2835" s="86"/>
      <c r="E2835" s="116" t="str">
        <f t="shared" si="135"/>
        <v>-</v>
      </c>
      <c r="F2835" s="85"/>
      <c r="G2835" s="85" t="s">
        <v>19</v>
      </c>
      <c r="H2835" s="85"/>
      <c r="I2835" s="85"/>
      <c r="J2835" s="87"/>
      <c r="K2835" s="88">
        <f t="shared" si="136"/>
        <v>0</v>
      </c>
      <c r="L2835" s="85"/>
    </row>
    <row r="2836" spans="1:12" hidden="1" x14ac:dyDescent="0.2">
      <c r="A2836" s="84" t="str">
        <f t="shared" si="134"/>
        <v>SelecioneSelecioneSelecione</v>
      </c>
      <c r="B2836" s="85" t="s">
        <v>19</v>
      </c>
      <c r="C2836" s="85" t="s">
        <v>19</v>
      </c>
      <c r="D2836" s="86"/>
      <c r="E2836" s="116" t="str">
        <f t="shared" si="135"/>
        <v>-</v>
      </c>
      <c r="F2836" s="85"/>
      <c r="G2836" s="85" t="s">
        <v>19</v>
      </c>
      <c r="H2836" s="85"/>
      <c r="I2836" s="85"/>
      <c r="J2836" s="87"/>
      <c r="K2836" s="88">
        <f t="shared" si="136"/>
        <v>0</v>
      </c>
      <c r="L2836" s="85"/>
    </row>
    <row r="2837" spans="1:12" hidden="1" x14ac:dyDescent="0.2">
      <c r="A2837" s="84" t="str">
        <f t="shared" si="134"/>
        <v>SelecioneSelecioneSelecione</v>
      </c>
      <c r="B2837" s="85" t="s">
        <v>19</v>
      </c>
      <c r="C2837" s="85" t="s">
        <v>19</v>
      </c>
      <c r="D2837" s="86"/>
      <c r="E2837" s="116" t="str">
        <f t="shared" si="135"/>
        <v>-</v>
      </c>
      <c r="F2837" s="85"/>
      <c r="G2837" s="85" t="s">
        <v>19</v>
      </c>
      <c r="H2837" s="85"/>
      <c r="I2837" s="85"/>
      <c r="J2837" s="87"/>
      <c r="K2837" s="88">
        <f t="shared" si="136"/>
        <v>0</v>
      </c>
      <c r="L2837" s="85"/>
    </row>
    <row r="2838" spans="1:12" hidden="1" x14ac:dyDescent="0.2">
      <c r="A2838" s="84" t="str">
        <f t="shared" si="134"/>
        <v>SelecioneSelecioneSelecione</v>
      </c>
      <c r="B2838" s="85" t="s">
        <v>19</v>
      </c>
      <c r="C2838" s="85" t="s">
        <v>19</v>
      </c>
      <c r="D2838" s="86"/>
      <c r="E2838" s="116" t="str">
        <f t="shared" si="135"/>
        <v>-</v>
      </c>
      <c r="F2838" s="85"/>
      <c r="G2838" s="85" t="s">
        <v>19</v>
      </c>
      <c r="H2838" s="85"/>
      <c r="I2838" s="85"/>
      <c r="J2838" s="87"/>
      <c r="K2838" s="88">
        <f t="shared" si="136"/>
        <v>0</v>
      </c>
      <c r="L2838" s="85"/>
    </row>
    <row r="2839" spans="1:12" hidden="1" x14ac:dyDescent="0.2">
      <c r="A2839" s="84" t="str">
        <f t="shared" si="134"/>
        <v>SelecioneSelecioneSelecione</v>
      </c>
      <c r="B2839" s="85" t="s">
        <v>19</v>
      </c>
      <c r="C2839" s="85" t="s">
        <v>19</v>
      </c>
      <c r="D2839" s="86"/>
      <c r="E2839" s="116" t="str">
        <f t="shared" si="135"/>
        <v>-</v>
      </c>
      <c r="F2839" s="85"/>
      <c r="G2839" s="85" t="s">
        <v>19</v>
      </c>
      <c r="H2839" s="85"/>
      <c r="I2839" s="85"/>
      <c r="J2839" s="87"/>
      <c r="K2839" s="88">
        <f t="shared" si="136"/>
        <v>0</v>
      </c>
      <c r="L2839" s="85"/>
    </row>
    <row r="2840" spans="1:12" hidden="1" x14ac:dyDescent="0.2">
      <c r="A2840" s="84" t="str">
        <f t="shared" si="134"/>
        <v>SelecioneSelecioneSelecione</v>
      </c>
      <c r="B2840" s="85" t="s">
        <v>19</v>
      </c>
      <c r="C2840" s="85" t="s">
        <v>19</v>
      </c>
      <c r="D2840" s="86"/>
      <c r="E2840" s="116" t="str">
        <f t="shared" si="135"/>
        <v>-</v>
      </c>
      <c r="F2840" s="85"/>
      <c r="G2840" s="85" t="s">
        <v>19</v>
      </c>
      <c r="H2840" s="85"/>
      <c r="I2840" s="85"/>
      <c r="J2840" s="87"/>
      <c r="K2840" s="88">
        <f t="shared" si="136"/>
        <v>0</v>
      </c>
      <c r="L2840" s="85"/>
    </row>
    <row r="2841" spans="1:12" hidden="1" x14ac:dyDescent="0.2">
      <c r="A2841" s="84" t="str">
        <f t="shared" si="134"/>
        <v>SelecioneSelecioneSelecione</v>
      </c>
      <c r="B2841" s="85" t="s">
        <v>19</v>
      </c>
      <c r="C2841" s="85" t="s">
        <v>19</v>
      </c>
      <c r="D2841" s="86"/>
      <c r="E2841" s="116" t="str">
        <f t="shared" si="135"/>
        <v>-</v>
      </c>
      <c r="F2841" s="85"/>
      <c r="G2841" s="85" t="s">
        <v>19</v>
      </c>
      <c r="H2841" s="85"/>
      <c r="I2841" s="85"/>
      <c r="J2841" s="87"/>
      <c r="K2841" s="88">
        <f t="shared" si="136"/>
        <v>0</v>
      </c>
      <c r="L2841" s="85"/>
    </row>
    <row r="2842" spans="1:12" hidden="1" x14ac:dyDescent="0.2">
      <c r="A2842" s="84" t="str">
        <f t="shared" si="134"/>
        <v>SelecioneSelecioneSelecione</v>
      </c>
      <c r="B2842" s="85" t="s">
        <v>19</v>
      </c>
      <c r="C2842" s="85" t="s">
        <v>19</v>
      </c>
      <c r="D2842" s="86"/>
      <c r="E2842" s="116" t="str">
        <f t="shared" si="135"/>
        <v>-</v>
      </c>
      <c r="F2842" s="85"/>
      <c r="G2842" s="85" t="s">
        <v>19</v>
      </c>
      <c r="H2842" s="85"/>
      <c r="I2842" s="85"/>
      <c r="J2842" s="87"/>
      <c r="K2842" s="88">
        <f t="shared" si="136"/>
        <v>0</v>
      </c>
      <c r="L2842" s="85"/>
    </row>
    <row r="2843" spans="1:12" hidden="1" x14ac:dyDescent="0.2">
      <c r="A2843" s="84" t="str">
        <f t="shared" si="134"/>
        <v>SelecioneSelecioneSelecione</v>
      </c>
      <c r="B2843" s="85" t="s">
        <v>19</v>
      </c>
      <c r="C2843" s="85" t="s">
        <v>19</v>
      </c>
      <c r="D2843" s="86"/>
      <c r="E2843" s="116" t="str">
        <f t="shared" si="135"/>
        <v>-</v>
      </c>
      <c r="F2843" s="85"/>
      <c r="G2843" s="85" t="s">
        <v>19</v>
      </c>
      <c r="H2843" s="85"/>
      <c r="I2843" s="85"/>
      <c r="J2843" s="87"/>
      <c r="K2843" s="88">
        <f t="shared" si="136"/>
        <v>0</v>
      </c>
      <c r="L2843" s="85"/>
    </row>
    <row r="2844" spans="1:12" hidden="1" x14ac:dyDescent="0.2">
      <c r="A2844" s="84" t="str">
        <f t="shared" si="134"/>
        <v>SelecioneSelecioneSelecione</v>
      </c>
      <c r="B2844" s="85" t="s">
        <v>19</v>
      </c>
      <c r="C2844" s="85" t="s">
        <v>19</v>
      </c>
      <c r="D2844" s="86"/>
      <c r="E2844" s="116" t="str">
        <f t="shared" si="135"/>
        <v>-</v>
      </c>
      <c r="F2844" s="85"/>
      <c r="G2844" s="85" t="s">
        <v>19</v>
      </c>
      <c r="H2844" s="85"/>
      <c r="I2844" s="85"/>
      <c r="J2844" s="87"/>
      <c r="K2844" s="88">
        <f t="shared" si="136"/>
        <v>0</v>
      </c>
      <c r="L2844" s="85"/>
    </row>
    <row r="2845" spans="1:12" hidden="1" x14ac:dyDescent="0.2">
      <c r="A2845" s="84" t="str">
        <f t="shared" si="134"/>
        <v>SelecioneSelecioneSelecione</v>
      </c>
      <c r="B2845" s="85" t="s">
        <v>19</v>
      </c>
      <c r="C2845" s="85" t="s">
        <v>19</v>
      </c>
      <c r="D2845" s="86"/>
      <c r="E2845" s="116" t="str">
        <f t="shared" si="135"/>
        <v>-</v>
      </c>
      <c r="F2845" s="85"/>
      <c r="G2845" s="85" t="s">
        <v>19</v>
      </c>
      <c r="H2845" s="85"/>
      <c r="I2845" s="85"/>
      <c r="J2845" s="87"/>
      <c r="K2845" s="88">
        <f t="shared" si="136"/>
        <v>0</v>
      </c>
      <c r="L2845" s="85"/>
    </row>
    <row r="2846" spans="1:12" hidden="1" x14ac:dyDescent="0.2">
      <c r="A2846" s="84" t="str">
        <f t="shared" si="134"/>
        <v>SelecioneSelecioneSelecione</v>
      </c>
      <c r="B2846" s="85" t="s">
        <v>19</v>
      </c>
      <c r="C2846" s="85" t="s">
        <v>19</v>
      </c>
      <c r="D2846" s="86"/>
      <c r="E2846" s="116" t="str">
        <f t="shared" si="135"/>
        <v>-</v>
      </c>
      <c r="F2846" s="85"/>
      <c r="G2846" s="85" t="s">
        <v>19</v>
      </c>
      <c r="H2846" s="85"/>
      <c r="I2846" s="85"/>
      <c r="J2846" s="87"/>
      <c r="K2846" s="88">
        <f t="shared" si="136"/>
        <v>0</v>
      </c>
      <c r="L2846" s="85"/>
    </row>
    <row r="2847" spans="1:12" hidden="1" x14ac:dyDescent="0.2">
      <c r="A2847" s="84" t="str">
        <f t="shared" si="134"/>
        <v>SelecioneSelecioneSelecione</v>
      </c>
      <c r="B2847" s="85" t="s">
        <v>19</v>
      </c>
      <c r="C2847" s="85" t="s">
        <v>19</v>
      </c>
      <c r="D2847" s="86"/>
      <c r="E2847" s="116" t="str">
        <f t="shared" si="135"/>
        <v>-</v>
      </c>
      <c r="F2847" s="85"/>
      <c r="G2847" s="85" t="s">
        <v>19</v>
      </c>
      <c r="H2847" s="85"/>
      <c r="I2847" s="85"/>
      <c r="J2847" s="87"/>
      <c r="K2847" s="88">
        <f t="shared" si="136"/>
        <v>0</v>
      </c>
      <c r="L2847" s="85"/>
    </row>
    <row r="2848" spans="1:12" hidden="1" x14ac:dyDescent="0.2">
      <c r="A2848" s="84" t="str">
        <f t="shared" si="134"/>
        <v>SelecioneSelecioneSelecione</v>
      </c>
      <c r="B2848" s="85" t="s">
        <v>19</v>
      </c>
      <c r="C2848" s="85" t="s">
        <v>19</v>
      </c>
      <c r="D2848" s="86"/>
      <c r="E2848" s="116" t="str">
        <f t="shared" si="135"/>
        <v>-</v>
      </c>
      <c r="F2848" s="85"/>
      <c r="G2848" s="85" t="s">
        <v>19</v>
      </c>
      <c r="H2848" s="85"/>
      <c r="I2848" s="85"/>
      <c r="J2848" s="87"/>
      <c r="K2848" s="88">
        <f t="shared" si="136"/>
        <v>0</v>
      </c>
      <c r="L2848" s="85"/>
    </row>
    <row r="2849" spans="1:12" hidden="1" x14ac:dyDescent="0.2">
      <c r="A2849" s="84" t="str">
        <f t="shared" si="134"/>
        <v>SelecioneSelecioneSelecione</v>
      </c>
      <c r="B2849" s="85" t="s">
        <v>19</v>
      </c>
      <c r="C2849" s="85" t="s">
        <v>19</v>
      </c>
      <c r="D2849" s="86"/>
      <c r="E2849" s="116" t="str">
        <f t="shared" si="135"/>
        <v>-</v>
      </c>
      <c r="F2849" s="85"/>
      <c r="G2849" s="85" t="s">
        <v>19</v>
      </c>
      <c r="H2849" s="85"/>
      <c r="I2849" s="85"/>
      <c r="J2849" s="87"/>
      <c r="K2849" s="88">
        <f t="shared" si="136"/>
        <v>0</v>
      </c>
      <c r="L2849" s="85"/>
    </row>
    <row r="2850" spans="1:12" hidden="1" x14ac:dyDescent="0.2">
      <c r="A2850" s="84" t="str">
        <f t="shared" si="134"/>
        <v>SelecioneSelecioneSelecione</v>
      </c>
      <c r="B2850" s="85" t="s">
        <v>19</v>
      </c>
      <c r="C2850" s="85" t="s">
        <v>19</v>
      </c>
      <c r="D2850" s="86"/>
      <c r="E2850" s="116" t="str">
        <f t="shared" si="135"/>
        <v>-</v>
      </c>
      <c r="F2850" s="85"/>
      <c r="G2850" s="85" t="s">
        <v>19</v>
      </c>
      <c r="H2850" s="85"/>
      <c r="I2850" s="85"/>
      <c r="J2850" s="87"/>
      <c r="K2850" s="88">
        <f t="shared" si="136"/>
        <v>0</v>
      </c>
      <c r="L2850" s="85"/>
    </row>
    <row r="2851" spans="1:12" hidden="1" x14ac:dyDescent="0.2">
      <c r="A2851" s="84" t="str">
        <f t="shared" si="134"/>
        <v>SelecioneSelecioneSelecione</v>
      </c>
      <c r="B2851" s="85" t="s">
        <v>19</v>
      </c>
      <c r="C2851" s="85" t="s">
        <v>19</v>
      </c>
      <c r="D2851" s="86"/>
      <c r="E2851" s="116" t="str">
        <f t="shared" si="135"/>
        <v>-</v>
      </c>
      <c r="F2851" s="85"/>
      <c r="G2851" s="85" t="s">
        <v>19</v>
      </c>
      <c r="H2851" s="85"/>
      <c r="I2851" s="85"/>
      <c r="J2851" s="87"/>
      <c r="K2851" s="88">
        <f t="shared" si="136"/>
        <v>0</v>
      </c>
      <c r="L2851" s="85"/>
    </row>
    <row r="2852" spans="1:12" hidden="1" x14ac:dyDescent="0.2">
      <c r="A2852" s="84" t="str">
        <f t="shared" si="134"/>
        <v>SelecioneSelecioneSelecione</v>
      </c>
      <c r="B2852" s="85" t="s">
        <v>19</v>
      </c>
      <c r="C2852" s="85" t="s">
        <v>19</v>
      </c>
      <c r="D2852" s="86"/>
      <c r="E2852" s="116" t="str">
        <f t="shared" si="135"/>
        <v>-</v>
      </c>
      <c r="F2852" s="85"/>
      <c r="G2852" s="85" t="s">
        <v>19</v>
      </c>
      <c r="H2852" s="85"/>
      <c r="I2852" s="85"/>
      <c r="J2852" s="87"/>
      <c r="K2852" s="88">
        <f t="shared" si="136"/>
        <v>0</v>
      </c>
      <c r="L2852" s="85"/>
    </row>
    <row r="2853" spans="1:12" hidden="1" x14ac:dyDescent="0.2">
      <c r="A2853" s="84" t="str">
        <f t="shared" si="134"/>
        <v>SelecioneSelecioneSelecione</v>
      </c>
      <c r="B2853" s="85" t="s">
        <v>19</v>
      </c>
      <c r="C2853" s="85" t="s">
        <v>19</v>
      </c>
      <c r="D2853" s="86"/>
      <c r="E2853" s="116" t="str">
        <f t="shared" si="135"/>
        <v>-</v>
      </c>
      <c r="F2853" s="85"/>
      <c r="G2853" s="85" t="s">
        <v>19</v>
      </c>
      <c r="H2853" s="85"/>
      <c r="I2853" s="85"/>
      <c r="J2853" s="87"/>
      <c r="K2853" s="88">
        <f t="shared" si="136"/>
        <v>0</v>
      </c>
      <c r="L2853" s="85"/>
    </row>
    <row r="2854" spans="1:12" hidden="1" x14ac:dyDescent="0.2">
      <c r="A2854" s="84" t="str">
        <f t="shared" si="134"/>
        <v>SelecioneSelecioneSelecione</v>
      </c>
      <c r="B2854" s="85" t="s">
        <v>19</v>
      </c>
      <c r="C2854" s="85" t="s">
        <v>19</v>
      </c>
      <c r="D2854" s="86"/>
      <c r="E2854" s="116" t="str">
        <f t="shared" si="135"/>
        <v>-</v>
      </c>
      <c r="F2854" s="85"/>
      <c r="G2854" s="85" t="s">
        <v>19</v>
      </c>
      <c r="H2854" s="85"/>
      <c r="I2854" s="85"/>
      <c r="J2854" s="87"/>
      <c r="K2854" s="88">
        <f t="shared" si="136"/>
        <v>0</v>
      </c>
      <c r="L2854" s="85"/>
    </row>
    <row r="2855" spans="1:12" hidden="1" x14ac:dyDescent="0.2">
      <c r="A2855" s="84" t="str">
        <f t="shared" si="134"/>
        <v>SelecioneSelecioneSelecione</v>
      </c>
      <c r="B2855" s="85" t="s">
        <v>19</v>
      </c>
      <c r="C2855" s="85" t="s">
        <v>19</v>
      </c>
      <c r="D2855" s="86"/>
      <c r="E2855" s="116" t="str">
        <f t="shared" si="135"/>
        <v>-</v>
      </c>
      <c r="F2855" s="85"/>
      <c r="G2855" s="85" t="s">
        <v>19</v>
      </c>
      <c r="H2855" s="85"/>
      <c r="I2855" s="85"/>
      <c r="J2855" s="87"/>
      <c r="K2855" s="88">
        <f t="shared" si="136"/>
        <v>0</v>
      </c>
      <c r="L2855" s="85"/>
    </row>
    <row r="2856" spans="1:12" hidden="1" x14ac:dyDescent="0.2">
      <c r="A2856" s="84" t="str">
        <f t="shared" si="134"/>
        <v>SelecioneSelecioneSelecione</v>
      </c>
      <c r="B2856" s="85" t="s">
        <v>19</v>
      </c>
      <c r="C2856" s="85" t="s">
        <v>19</v>
      </c>
      <c r="D2856" s="86"/>
      <c r="E2856" s="116" t="str">
        <f t="shared" si="135"/>
        <v>-</v>
      </c>
      <c r="F2856" s="85"/>
      <c r="G2856" s="85" t="s">
        <v>19</v>
      </c>
      <c r="H2856" s="85"/>
      <c r="I2856" s="85"/>
      <c r="J2856" s="87"/>
      <c r="K2856" s="88">
        <f t="shared" si="136"/>
        <v>0</v>
      </c>
      <c r="L2856" s="85"/>
    </row>
    <row r="2857" spans="1:12" hidden="1" x14ac:dyDescent="0.2">
      <c r="A2857" s="84" t="str">
        <f t="shared" si="134"/>
        <v>SelecioneSelecioneSelecione</v>
      </c>
      <c r="B2857" s="85" t="s">
        <v>19</v>
      </c>
      <c r="C2857" s="85" t="s">
        <v>19</v>
      </c>
      <c r="D2857" s="86"/>
      <c r="E2857" s="116" t="str">
        <f t="shared" si="135"/>
        <v>-</v>
      </c>
      <c r="F2857" s="85"/>
      <c r="G2857" s="85" t="s">
        <v>19</v>
      </c>
      <c r="H2857" s="85"/>
      <c r="I2857" s="85"/>
      <c r="J2857" s="87"/>
      <c r="K2857" s="88">
        <f t="shared" si="136"/>
        <v>0</v>
      </c>
      <c r="L2857" s="85"/>
    </row>
    <row r="2858" spans="1:12" hidden="1" x14ac:dyDescent="0.2">
      <c r="A2858" s="84" t="str">
        <f t="shared" si="134"/>
        <v>SelecioneSelecioneSelecione</v>
      </c>
      <c r="B2858" s="85" t="s">
        <v>19</v>
      </c>
      <c r="C2858" s="85" t="s">
        <v>19</v>
      </c>
      <c r="D2858" s="86"/>
      <c r="E2858" s="116" t="str">
        <f t="shared" si="135"/>
        <v>-</v>
      </c>
      <c r="F2858" s="85"/>
      <c r="G2858" s="85" t="s">
        <v>19</v>
      </c>
      <c r="H2858" s="85"/>
      <c r="I2858" s="85"/>
      <c r="J2858" s="87"/>
      <c r="K2858" s="88">
        <f t="shared" si="136"/>
        <v>0</v>
      </c>
      <c r="L2858" s="85"/>
    </row>
    <row r="2859" spans="1:12" hidden="1" x14ac:dyDescent="0.2">
      <c r="A2859" s="84" t="str">
        <f t="shared" si="134"/>
        <v>SelecioneSelecioneSelecione</v>
      </c>
      <c r="B2859" s="85" t="s">
        <v>19</v>
      </c>
      <c r="C2859" s="85" t="s">
        <v>19</v>
      </c>
      <c r="D2859" s="86"/>
      <c r="E2859" s="116" t="str">
        <f t="shared" si="135"/>
        <v>-</v>
      </c>
      <c r="F2859" s="85"/>
      <c r="G2859" s="85" t="s">
        <v>19</v>
      </c>
      <c r="H2859" s="85"/>
      <c r="I2859" s="85"/>
      <c r="J2859" s="87"/>
      <c r="K2859" s="88">
        <f t="shared" si="136"/>
        <v>0</v>
      </c>
      <c r="L2859" s="85"/>
    </row>
    <row r="2860" spans="1:12" hidden="1" x14ac:dyDescent="0.2">
      <c r="A2860" s="84" t="str">
        <f t="shared" si="134"/>
        <v>SelecioneSelecioneSelecione</v>
      </c>
      <c r="B2860" s="85" t="s">
        <v>19</v>
      </c>
      <c r="C2860" s="85" t="s">
        <v>19</v>
      </c>
      <c r="D2860" s="86"/>
      <c r="E2860" s="116" t="str">
        <f t="shared" si="135"/>
        <v>-</v>
      </c>
      <c r="F2860" s="85"/>
      <c r="G2860" s="85" t="s">
        <v>19</v>
      </c>
      <c r="H2860" s="85"/>
      <c r="I2860" s="85"/>
      <c r="J2860" s="87"/>
      <c r="K2860" s="88">
        <f t="shared" si="136"/>
        <v>0</v>
      </c>
      <c r="L2860" s="85"/>
    </row>
    <row r="2861" spans="1:12" hidden="1" x14ac:dyDescent="0.2">
      <c r="A2861" s="84" t="str">
        <f t="shared" si="134"/>
        <v>SelecioneSelecioneSelecione</v>
      </c>
      <c r="B2861" s="85" t="s">
        <v>19</v>
      </c>
      <c r="C2861" s="85" t="s">
        <v>19</v>
      </c>
      <c r="D2861" s="86"/>
      <c r="E2861" s="116" t="str">
        <f t="shared" si="135"/>
        <v>-</v>
      </c>
      <c r="F2861" s="85"/>
      <c r="G2861" s="85" t="s">
        <v>19</v>
      </c>
      <c r="H2861" s="85"/>
      <c r="I2861" s="85"/>
      <c r="J2861" s="87"/>
      <c r="K2861" s="88">
        <f t="shared" si="136"/>
        <v>0</v>
      </c>
      <c r="L2861" s="85"/>
    </row>
    <row r="2862" spans="1:12" hidden="1" x14ac:dyDescent="0.2">
      <c r="A2862" s="84" t="str">
        <f t="shared" si="134"/>
        <v>SelecioneSelecioneSelecione</v>
      </c>
      <c r="B2862" s="85" t="s">
        <v>19</v>
      </c>
      <c r="C2862" s="85" t="s">
        <v>19</v>
      </c>
      <c r="D2862" s="86"/>
      <c r="E2862" s="116" t="str">
        <f t="shared" si="135"/>
        <v>-</v>
      </c>
      <c r="F2862" s="85"/>
      <c r="G2862" s="85" t="s">
        <v>19</v>
      </c>
      <c r="H2862" s="85"/>
      <c r="I2862" s="85"/>
      <c r="J2862" s="87"/>
      <c r="K2862" s="88">
        <f t="shared" si="136"/>
        <v>0</v>
      </c>
      <c r="L2862" s="85"/>
    </row>
    <row r="2863" spans="1:12" hidden="1" x14ac:dyDescent="0.2">
      <c r="A2863" s="84" t="str">
        <f t="shared" si="134"/>
        <v>SelecioneSelecioneSelecione</v>
      </c>
      <c r="B2863" s="85" t="s">
        <v>19</v>
      </c>
      <c r="C2863" s="85" t="s">
        <v>19</v>
      </c>
      <c r="D2863" s="86"/>
      <c r="E2863" s="116" t="str">
        <f t="shared" si="135"/>
        <v>-</v>
      </c>
      <c r="F2863" s="85"/>
      <c r="G2863" s="85" t="s">
        <v>19</v>
      </c>
      <c r="H2863" s="85"/>
      <c r="I2863" s="85"/>
      <c r="J2863" s="87"/>
      <c r="K2863" s="88">
        <f t="shared" si="136"/>
        <v>0</v>
      </c>
      <c r="L2863" s="85"/>
    </row>
    <row r="2864" spans="1:12" hidden="1" x14ac:dyDescent="0.2">
      <c r="A2864" s="84" t="str">
        <f t="shared" si="134"/>
        <v>SelecioneSelecioneSelecione</v>
      </c>
      <c r="B2864" s="85" t="s">
        <v>19</v>
      </c>
      <c r="C2864" s="85" t="s">
        <v>19</v>
      </c>
      <c r="D2864" s="86"/>
      <c r="E2864" s="116" t="str">
        <f t="shared" si="135"/>
        <v>-</v>
      </c>
      <c r="F2864" s="85"/>
      <c r="G2864" s="85" t="s">
        <v>19</v>
      </c>
      <c r="H2864" s="85"/>
      <c r="I2864" s="85"/>
      <c r="J2864" s="87"/>
      <c r="K2864" s="88">
        <f t="shared" si="136"/>
        <v>0</v>
      </c>
      <c r="L2864" s="85"/>
    </row>
    <row r="2865" spans="1:12" hidden="1" x14ac:dyDescent="0.2">
      <c r="A2865" s="84" t="str">
        <f t="shared" si="134"/>
        <v>SelecioneSelecioneSelecione</v>
      </c>
      <c r="B2865" s="85" t="s">
        <v>19</v>
      </c>
      <c r="C2865" s="85" t="s">
        <v>19</v>
      </c>
      <c r="D2865" s="86"/>
      <c r="E2865" s="116" t="str">
        <f t="shared" si="135"/>
        <v>-</v>
      </c>
      <c r="F2865" s="85"/>
      <c r="G2865" s="85" t="s">
        <v>19</v>
      </c>
      <c r="H2865" s="85"/>
      <c r="I2865" s="85"/>
      <c r="J2865" s="87"/>
      <c r="K2865" s="88">
        <f t="shared" si="136"/>
        <v>0</v>
      </c>
      <c r="L2865" s="85"/>
    </row>
    <row r="2866" spans="1:12" hidden="1" x14ac:dyDescent="0.2">
      <c r="A2866" s="84" t="str">
        <f t="shared" si="134"/>
        <v>SelecioneSelecioneSelecione</v>
      </c>
      <c r="B2866" s="85" t="s">
        <v>19</v>
      </c>
      <c r="C2866" s="85" t="s">
        <v>19</v>
      </c>
      <c r="D2866" s="86"/>
      <c r="E2866" s="116" t="str">
        <f t="shared" si="135"/>
        <v>-</v>
      </c>
      <c r="F2866" s="85"/>
      <c r="G2866" s="85" t="s">
        <v>19</v>
      </c>
      <c r="H2866" s="85"/>
      <c r="I2866" s="85"/>
      <c r="J2866" s="87"/>
      <c r="K2866" s="88">
        <f t="shared" si="136"/>
        <v>0</v>
      </c>
      <c r="L2866" s="85"/>
    </row>
    <row r="2867" spans="1:12" hidden="1" x14ac:dyDescent="0.2">
      <c r="A2867" s="84" t="str">
        <f t="shared" si="134"/>
        <v>SelecioneSelecioneSelecione</v>
      </c>
      <c r="B2867" s="85" t="s">
        <v>19</v>
      </c>
      <c r="C2867" s="85" t="s">
        <v>19</v>
      </c>
      <c r="D2867" s="86"/>
      <c r="E2867" s="116" t="str">
        <f t="shared" si="135"/>
        <v>-</v>
      </c>
      <c r="F2867" s="85"/>
      <c r="G2867" s="85" t="s">
        <v>19</v>
      </c>
      <c r="H2867" s="85"/>
      <c r="I2867" s="85"/>
      <c r="J2867" s="87"/>
      <c r="K2867" s="88">
        <f t="shared" si="136"/>
        <v>0</v>
      </c>
      <c r="L2867" s="85"/>
    </row>
    <row r="2868" spans="1:12" hidden="1" x14ac:dyDescent="0.2">
      <c r="A2868" s="84" t="str">
        <f t="shared" si="134"/>
        <v>SelecioneSelecioneSelecione</v>
      </c>
      <c r="B2868" s="85" t="s">
        <v>19</v>
      </c>
      <c r="C2868" s="85" t="s">
        <v>19</v>
      </c>
      <c r="D2868" s="86"/>
      <c r="E2868" s="116" t="str">
        <f t="shared" si="135"/>
        <v>-</v>
      </c>
      <c r="F2868" s="85"/>
      <c r="G2868" s="85" t="s">
        <v>19</v>
      </c>
      <c r="H2868" s="85"/>
      <c r="I2868" s="85"/>
      <c r="J2868" s="87"/>
      <c r="K2868" s="88">
        <f t="shared" si="136"/>
        <v>0</v>
      </c>
      <c r="L2868" s="85"/>
    </row>
    <row r="2869" spans="1:12" hidden="1" x14ac:dyDescent="0.2">
      <c r="A2869" s="84" t="str">
        <f t="shared" si="134"/>
        <v>SelecioneSelecioneSelecione</v>
      </c>
      <c r="B2869" s="85" t="s">
        <v>19</v>
      </c>
      <c r="C2869" s="85" t="s">
        <v>19</v>
      </c>
      <c r="D2869" s="86"/>
      <c r="E2869" s="116" t="str">
        <f t="shared" si="135"/>
        <v>-</v>
      </c>
      <c r="F2869" s="85"/>
      <c r="G2869" s="85" t="s">
        <v>19</v>
      </c>
      <c r="H2869" s="85"/>
      <c r="I2869" s="85"/>
      <c r="J2869" s="87"/>
      <c r="K2869" s="88">
        <f t="shared" si="136"/>
        <v>0</v>
      </c>
      <c r="L2869" s="85"/>
    </row>
    <row r="2870" spans="1:12" hidden="1" x14ac:dyDescent="0.2">
      <c r="A2870" s="84" t="str">
        <f t="shared" si="134"/>
        <v>SelecioneSelecioneSelecione</v>
      </c>
      <c r="B2870" s="85" t="s">
        <v>19</v>
      </c>
      <c r="C2870" s="85" t="s">
        <v>19</v>
      </c>
      <c r="D2870" s="86"/>
      <c r="E2870" s="116" t="str">
        <f t="shared" si="135"/>
        <v>-</v>
      </c>
      <c r="F2870" s="85"/>
      <c r="G2870" s="85" t="s">
        <v>19</v>
      </c>
      <c r="H2870" s="85"/>
      <c r="I2870" s="85"/>
      <c r="J2870" s="87"/>
      <c r="K2870" s="88">
        <f t="shared" si="136"/>
        <v>0</v>
      </c>
      <c r="L2870" s="85"/>
    </row>
    <row r="2871" spans="1:12" hidden="1" x14ac:dyDescent="0.2">
      <c r="A2871" s="84" t="str">
        <f t="shared" si="134"/>
        <v>SelecioneSelecioneSelecione</v>
      </c>
      <c r="B2871" s="85" t="s">
        <v>19</v>
      </c>
      <c r="C2871" s="85" t="s">
        <v>19</v>
      </c>
      <c r="D2871" s="86"/>
      <c r="E2871" s="116" t="str">
        <f t="shared" si="135"/>
        <v>-</v>
      </c>
      <c r="F2871" s="85"/>
      <c r="G2871" s="85" t="s">
        <v>19</v>
      </c>
      <c r="H2871" s="85"/>
      <c r="I2871" s="85"/>
      <c r="J2871" s="87"/>
      <c r="K2871" s="88">
        <f t="shared" si="136"/>
        <v>0</v>
      </c>
      <c r="L2871" s="85"/>
    </row>
    <row r="2872" spans="1:12" hidden="1" x14ac:dyDescent="0.2">
      <c r="A2872" s="84" t="str">
        <f t="shared" si="134"/>
        <v>SelecioneSelecioneSelecione</v>
      </c>
      <c r="B2872" s="85" t="s">
        <v>19</v>
      </c>
      <c r="C2872" s="85" t="s">
        <v>19</v>
      </c>
      <c r="D2872" s="86"/>
      <c r="E2872" s="116" t="str">
        <f t="shared" si="135"/>
        <v>-</v>
      </c>
      <c r="F2872" s="85"/>
      <c r="G2872" s="85" t="s">
        <v>19</v>
      </c>
      <c r="H2872" s="85"/>
      <c r="I2872" s="85"/>
      <c r="J2872" s="87"/>
      <c r="K2872" s="88">
        <f t="shared" si="136"/>
        <v>0</v>
      </c>
      <c r="L2872" s="85"/>
    </row>
    <row r="2873" spans="1:12" hidden="1" x14ac:dyDescent="0.2">
      <c r="A2873" s="84" t="str">
        <f t="shared" si="134"/>
        <v>SelecioneSelecioneSelecione</v>
      </c>
      <c r="B2873" s="85" t="s">
        <v>19</v>
      </c>
      <c r="C2873" s="85" t="s">
        <v>19</v>
      </c>
      <c r="D2873" s="93"/>
      <c r="E2873" s="116" t="str">
        <f t="shared" si="135"/>
        <v>-</v>
      </c>
      <c r="F2873" s="90"/>
      <c r="G2873" s="85" t="s">
        <v>19</v>
      </c>
      <c r="H2873" s="85"/>
      <c r="I2873" s="90"/>
      <c r="J2873" s="89"/>
      <c r="K2873" s="88">
        <f t="shared" si="136"/>
        <v>0</v>
      </c>
      <c r="L2873" s="90"/>
    </row>
    <row r="2874" spans="1:12" hidden="1" x14ac:dyDescent="0.2">
      <c r="A2874" s="84" t="str">
        <f t="shared" si="134"/>
        <v>SelecioneSelecioneSelecione</v>
      </c>
      <c r="B2874" s="85" t="s">
        <v>19</v>
      </c>
      <c r="C2874" s="85" t="s">
        <v>19</v>
      </c>
      <c r="D2874" s="86"/>
      <c r="E2874" s="116" t="str">
        <f t="shared" si="135"/>
        <v>-</v>
      </c>
      <c r="F2874" s="85"/>
      <c r="G2874" s="85" t="s">
        <v>19</v>
      </c>
      <c r="H2874" s="85"/>
      <c r="I2874" s="85"/>
      <c r="J2874" s="87"/>
      <c r="K2874" s="88">
        <f t="shared" si="136"/>
        <v>0</v>
      </c>
      <c r="L2874" s="85"/>
    </row>
    <row r="2875" spans="1:12" hidden="1" x14ac:dyDescent="0.2">
      <c r="A2875" s="84" t="str">
        <f t="shared" si="134"/>
        <v>SelecioneSelecioneSelecione</v>
      </c>
      <c r="B2875" s="85" t="s">
        <v>19</v>
      </c>
      <c r="C2875" s="85" t="s">
        <v>19</v>
      </c>
      <c r="D2875" s="86"/>
      <c r="E2875" s="116" t="str">
        <f t="shared" si="135"/>
        <v>-</v>
      </c>
      <c r="F2875" s="85"/>
      <c r="G2875" s="85" t="s">
        <v>19</v>
      </c>
      <c r="H2875" s="85"/>
      <c r="I2875" s="85"/>
      <c r="J2875" s="87"/>
      <c r="K2875" s="88">
        <f t="shared" si="136"/>
        <v>0</v>
      </c>
      <c r="L2875" s="85"/>
    </row>
    <row r="2876" spans="1:12" hidden="1" x14ac:dyDescent="0.2">
      <c r="A2876" s="84" t="str">
        <f t="shared" si="134"/>
        <v>SelecioneSelecioneSelecione</v>
      </c>
      <c r="B2876" s="85" t="s">
        <v>19</v>
      </c>
      <c r="C2876" s="85" t="s">
        <v>19</v>
      </c>
      <c r="D2876" s="93"/>
      <c r="E2876" s="116" t="str">
        <f t="shared" si="135"/>
        <v>-</v>
      </c>
      <c r="F2876" s="85"/>
      <c r="G2876" s="85" t="s">
        <v>19</v>
      </c>
      <c r="H2876" s="85"/>
      <c r="I2876" s="90"/>
      <c r="J2876" s="89"/>
      <c r="K2876" s="88">
        <f t="shared" si="136"/>
        <v>0</v>
      </c>
      <c r="L2876" s="90"/>
    </row>
    <row r="2877" spans="1:12" hidden="1" x14ac:dyDescent="0.2">
      <c r="A2877" s="84" t="str">
        <f t="shared" si="134"/>
        <v>SelecioneSelecioneSelecione</v>
      </c>
      <c r="B2877" s="85" t="s">
        <v>19</v>
      </c>
      <c r="C2877" s="85" t="s">
        <v>19</v>
      </c>
      <c r="D2877" s="93"/>
      <c r="E2877" s="116" t="str">
        <f t="shared" si="135"/>
        <v>-</v>
      </c>
      <c r="F2877" s="85"/>
      <c r="G2877" s="85" t="s">
        <v>19</v>
      </c>
      <c r="H2877" s="85"/>
      <c r="I2877" s="90"/>
      <c r="J2877" s="89"/>
      <c r="K2877" s="88">
        <f t="shared" si="136"/>
        <v>0</v>
      </c>
      <c r="L2877" s="90"/>
    </row>
    <row r="2878" spans="1:12" hidden="1" x14ac:dyDescent="0.2">
      <c r="A2878" s="84" t="str">
        <f t="shared" si="134"/>
        <v>SelecioneSelecioneSelecione</v>
      </c>
      <c r="B2878" s="85" t="s">
        <v>19</v>
      </c>
      <c r="C2878" s="85" t="s">
        <v>19</v>
      </c>
      <c r="D2878" s="93"/>
      <c r="E2878" s="116" t="str">
        <f t="shared" si="135"/>
        <v>-</v>
      </c>
      <c r="F2878" s="85"/>
      <c r="G2878" s="85" t="s">
        <v>19</v>
      </c>
      <c r="H2878" s="85"/>
      <c r="I2878" s="90"/>
      <c r="J2878" s="89"/>
      <c r="K2878" s="88">
        <f t="shared" si="136"/>
        <v>0</v>
      </c>
      <c r="L2878" s="90"/>
    </row>
    <row r="2879" spans="1:12" hidden="1" x14ac:dyDescent="0.2">
      <c r="A2879" s="84" t="str">
        <f t="shared" si="134"/>
        <v>SelecioneSelecioneSelecione</v>
      </c>
      <c r="B2879" s="85" t="s">
        <v>19</v>
      </c>
      <c r="C2879" s="85" t="s">
        <v>19</v>
      </c>
      <c r="D2879" s="93"/>
      <c r="E2879" s="116" t="str">
        <f t="shared" si="135"/>
        <v>-</v>
      </c>
      <c r="F2879" s="85"/>
      <c r="G2879" s="85" t="s">
        <v>19</v>
      </c>
      <c r="H2879" s="85"/>
      <c r="I2879" s="90"/>
      <c r="J2879" s="89"/>
      <c r="K2879" s="88">
        <f t="shared" si="136"/>
        <v>0</v>
      </c>
      <c r="L2879" s="90"/>
    </row>
    <row r="2880" spans="1:12" hidden="1" x14ac:dyDescent="0.2">
      <c r="A2880" s="84" t="str">
        <f t="shared" si="134"/>
        <v>SelecioneSelecioneSelecione</v>
      </c>
      <c r="B2880" s="85" t="s">
        <v>19</v>
      </c>
      <c r="C2880" s="85" t="s">
        <v>19</v>
      </c>
      <c r="D2880" s="86"/>
      <c r="E2880" s="116" t="str">
        <f t="shared" si="135"/>
        <v>-</v>
      </c>
      <c r="F2880" s="85"/>
      <c r="G2880" s="85" t="s">
        <v>19</v>
      </c>
      <c r="H2880" s="85"/>
      <c r="I2880" s="85"/>
      <c r="J2880" s="87"/>
      <c r="K2880" s="88">
        <f t="shared" si="136"/>
        <v>0</v>
      </c>
      <c r="L2880" s="85"/>
    </row>
    <row r="2881" spans="1:12" hidden="1" x14ac:dyDescent="0.2">
      <c r="A2881" s="84" t="str">
        <f t="shared" si="134"/>
        <v>SelecioneSelecioneSelecione</v>
      </c>
      <c r="B2881" s="85" t="s">
        <v>19</v>
      </c>
      <c r="C2881" s="85" t="s">
        <v>19</v>
      </c>
      <c r="D2881" s="86"/>
      <c r="E2881" s="116" t="str">
        <f t="shared" si="135"/>
        <v>-</v>
      </c>
      <c r="F2881" s="85"/>
      <c r="G2881" s="85" t="s">
        <v>19</v>
      </c>
      <c r="H2881" s="85"/>
      <c r="I2881" s="85"/>
      <c r="J2881" s="87"/>
      <c r="K2881" s="88">
        <f t="shared" si="136"/>
        <v>0</v>
      </c>
      <c r="L2881" s="85"/>
    </row>
    <row r="2882" spans="1:12" hidden="1" x14ac:dyDescent="0.2">
      <c r="A2882" s="84" t="str">
        <f t="shared" ref="A2882:A2945" si="137">CONCATENATE(B2882,C2882,G2882)</f>
        <v>SelecioneSelecioneSelecione</v>
      </c>
      <c r="B2882" s="85" t="s">
        <v>19</v>
      </c>
      <c r="C2882" s="85" t="s">
        <v>19</v>
      </c>
      <c r="D2882" s="86"/>
      <c r="E2882" s="116" t="str">
        <f t="shared" ref="E2882:E2945" si="138">VLOOKUP(G2882,$M$1:$O$993,3,0)</f>
        <v>-</v>
      </c>
      <c r="F2882" s="85"/>
      <c r="G2882" s="85" t="s">
        <v>19</v>
      </c>
      <c r="H2882" s="85"/>
      <c r="I2882" s="85"/>
      <c r="J2882" s="87"/>
      <c r="K2882" s="88">
        <f t="shared" ref="K2882:K2945" si="139">I2882*J2882</f>
        <v>0</v>
      </c>
      <c r="L2882" s="85"/>
    </row>
    <row r="2883" spans="1:12" hidden="1" x14ac:dyDescent="0.2">
      <c r="A2883" s="84" t="str">
        <f t="shared" si="137"/>
        <v>SelecioneSelecioneSelecione</v>
      </c>
      <c r="B2883" s="85" t="s">
        <v>19</v>
      </c>
      <c r="C2883" s="85" t="s">
        <v>19</v>
      </c>
      <c r="D2883" s="86"/>
      <c r="E2883" s="116" t="str">
        <f t="shared" si="138"/>
        <v>-</v>
      </c>
      <c r="F2883" s="85"/>
      <c r="G2883" s="85" t="s">
        <v>19</v>
      </c>
      <c r="H2883" s="85"/>
      <c r="I2883" s="85"/>
      <c r="J2883" s="87"/>
      <c r="K2883" s="88">
        <f t="shared" si="139"/>
        <v>0</v>
      </c>
      <c r="L2883" s="85"/>
    </row>
    <row r="2884" spans="1:12" hidden="1" x14ac:dyDescent="0.2">
      <c r="A2884" s="84" t="str">
        <f t="shared" si="137"/>
        <v>SelecioneSelecioneSelecione</v>
      </c>
      <c r="B2884" s="85" t="s">
        <v>19</v>
      </c>
      <c r="C2884" s="85" t="s">
        <v>19</v>
      </c>
      <c r="D2884" s="86"/>
      <c r="E2884" s="116" t="str">
        <f t="shared" si="138"/>
        <v>-</v>
      </c>
      <c r="F2884" s="85"/>
      <c r="G2884" s="85" t="s">
        <v>19</v>
      </c>
      <c r="H2884" s="85"/>
      <c r="I2884" s="85"/>
      <c r="J2884" s="87"/>
      <c r="K2884" s="88">
        <f t="shared" si="139"/>
        <v>0</v>
      </c>
      <c r="L2884" s="85"/>
    </row>
    <row r="2885" spans="1:12" hidden="1" x14ac:dyDescent="0.2">
      <c r="A2885" s="84" t="str">
        <f t="shared" si="137"/>
        <v>SelecioneSelecioneSelecione</v>
      </c>
      <c r="B2885" s="85" t="s">
        <v>19</v>
      </c>
      <c r="C2885" s="85" t="s">
        <v>19</v>
      </c>
      <c r="D2885" s="86"/>
      <c r="E2885" s="116" t="str">
        <f t="shared" si="138"/>
        <v>-</v>
      </c>
      <c r="F2885" s="85"/>
      <c r="G2885" s="85" t="s">
        <v>19</v>
      </c>
      <c r="H2885" s="85"/>
      <c r="I2885" s="85"/>
      <c r="J2885" s="87"/>
      <c r="K2885" s="88">
        <f t="shared" si="139"/>
        <v>0</v>
      </c>
      <c r="L2885" s="85"/>
    </row>
    <row r="2886" spans="1:12" hidden="1" x14ac:dyDescent="0.2">
      <c r="A2886" s="84" t="str">
        <f t="shared" si="137"/>
        <v>SelecioneSelecioneSelecione</v>
      </c>
      <c r="B2886" s="85" t="s">
        <v>19</v>
      </c>
      <c r="C2886" s="85" t="s">
        <v>19</v>
      </c>
      <c r="D2886" s="86"/>
      <c r="E2886" s="116" t="str">
        <f t="shared" si="138"/>
        <v>-</v>
      </c>
      <c r="F2886" s="85"/>
      <c r="G2886" s="85" t="s">
        <v>19</v>
      </c>
      <c r="H2886" s="85"/>
      <c r="I2886" s="85"/>
      <c r="J2886" s="87"/>
      <c r="K2886" s="88">
        <f t="shared" si="139"/>
        <v>0</v>
      </c>
      <c r="L2886" s="85"/>
    </row>
    <row r="2887" spans="1:12" hidden="1" x14ac:dyDescent="0.2">
      <c r="A2887" s="84" t="str">
        <f t="shared" si="137"/>
        <v>SelecioneSelecioneSelecione</v>
      </c>
      <c r="B2887" s="85" t="s">
        <v>19</v>
      </c>
      <c r="C2887" s="85" t="s">
        <v>19</v>
      </c>
      <c r="D2887" s="93"/>
      <c r="E2887" s="116" t="str">
        <f t="shared" si="138"/>
        <v>-</v>
      </c>
      <c r="F2887" s="90"/>
      <c r="G2887" s="85" t="s">
        <v>19</v>
      </c>
      <c r="H2887" s="85"/>
      <c r="I2887" s="90"/>
      <c r="J2887" s="89"/>
      <c r="K2887" s="88">
        <f t="shared" si="139"/>
        <v>0</v>
      </c>
      <c r="L2887" s="90"/>
    </row>
    <row r="2888" spans="1:12" hidden="1" x14ac:dyDescent="0.2">
      <c r="A2888" s="84" t="str">
        <f t="shared" si="137"/>
        <v>SelecioneSelecioneSelecione</v>
      </c>
      <c r="B2888" s="85" t="s">
        <v>19</v>
      </c>
      <c r="C2888" s="85" t="s">
        <v>19</v>
      </c>
      <c r="D2888" s="86"/>
      <c r="E2888" s="116" t="str">
        <f t="shared" si="138"/>
        <v>-</v>
      </c>
      <c r="F2888" s="85"/>
      <c r="G2888" s="85" t="s">
        <v>19</v>
      </c>
      <c r="H2888" s="85"/>
      <c r="I2888" s="85"/>
      <c r="J2888" s="87"/>
      <c r="K2888" s="88">
        <f t="shared" si="139"/>
        <v>0</v>
      </c>
      <c r="L2888" s="85"/>
    </row>
    <row r="2889" spans="1:12" hidden="1" x14ac:dyDescent="0.2">
      <c r="A2889" s="84" t="str">
        <f t="shared" si="137"/>
        <v>SelecioneSelecioneSelecione</v>
      </c>
      <c r="B2889" s="85" t="s">
        <v>19</v>
      </c>
      <c r="C2889" s="85" t="s">
        <v>19</v>
      </c>
      <c r="D2889" s="86"/>
      <c r="E2889" s="116" t="str">
        <f t="shared" si="138"/>
        <v>-</v>
      </c>
      <c r="F2889" s="85"/>
      <c r="G2889" s="85" t="s">
        <v>19</v>
      </c>
      <c r="H2889" s="85"/>
      <c r="I2889" s="85"/>
      <c r="J2889" s="87"/>
      <c r="K2889" s="88">
        <f t="shared" si="139"/>
        <v>0</v>
      </c>
      <c r="L2889" s="85"/>
    </row>
    <row r="2890" spans="1:12" hidden="1" x14ac:dyDescent="0.2">
      <c r="A2890" s="84" t="str">
        <f t="shared" si="137"/>
        <v>SelecioneSelecioneSelecione</v>
      </c>
      <c r="B2890" s="85" t="s">
        <v>19</v>
      </c>
      <c r="C2890" s="85" t="s">
        <v>19</v>
      </c>
      <c r="D2890" s="86"/>
      <c r="E2890" s="116" t="str">
        <f t="shared" si="138"/>
        <v>-</v>
      </c>
      <c r="F2890" s="85"/>
      <c r="G2890" s="85" t="s">
        <v>19</v>
      </c>
      <c r="H2890" s="85"/>
      <c r="I2890" s="85"/>
      <c r="J2890" s="87"/>
      <c r="K2890" s="88">
        <f t="shared" si="139"/>
        <v>0</v>
      </c>
      <c r="L2890" s="85"/>
    </row>
    <row r="2891" spans="1:12" hidden="1" x14ac:dyDescent="0.2">
      <c r="A2891" s="84" t="str">
        <f t="shared" si="137"/>
        <v>SelecioneSelecioneSelecione</v>
      </c>
      <c r="B2891" s="85" t="s">
        <v>19</v>
      </c>
      <c r="C2891" s="85" t="s">
        <v>19</v>
      </c>
      <c r="D2891" s="93"/>
      <c r="E2891" s="116" t="str">
        <f t="shared" si="138"/>
        <v>-</v>
      </c>
      <c r="F2891" s="90"/>
      <c r="G2891" s="85" t="s">
        <v>19</v>
      </c>
      <c r="H2891" s="85"/>
      <c r="I2891" s="90"/>
      <c r="J2891" s="89"/>
      <c r="K2891" s="88">
        <f t="shared" si="139"/>
        <v>0</v>
      </c>
      <c r="L2891" s="90"/>
    </row>
    <row r="2892" spans="1:12" hidden="1" x14ac:dyDescent="0.2">
      <c r="A2892" s="84" t="str">
        <f t="shared" si="137"/>
        <v>SelecioneSelecioneSelecione</v>
      </c>
      <c r="B2892" s="85" t="s">
        <v>19</v>
      </c>
      <c r="C2892" s="85" t="s">
        <v>19</v>
      </c>
      <c r="D2892" s="93"/>
      <c r="E2892" s="116" t="str">
        <f t="shared" si="138"/>
        <v>-</v>
      </c>
      <c r="F2892" s="90"/>
      <c r="G2892" s="85" t="s">
        <v>19</v>
      </c>
      <c r="H2892" s="85"/>
      <c r="I2892" s="90"/>
      <c r="J2892" s="89"/>
      <c r="K2892" s="88">
        <f t="shared" si="139"/>
        <v>0</v>
      </c>
      <c r="L2892" s="90"/>
    </row>
    <row r="2893" spans="1:12" hidden="1" x14ac:dyDescent="0.2">
      <c r="A2893" s="84" t="str">
        <f t="shared" si="137"/>
        <v>SelecioneSelecioneSelecione</v>
      </c>
      <c r="B2893" s="85" t="s">
        <v>19</v>
      </c>
      <c r="C2893" s="85" t="s">
        <v>19</v>
      </c>
      <c r="D2893" s="93"/>
      <c r="E2893" s="116" t="str">
        <f t="shared" si="138"/>
        <v>-</v>
      </c>
      <c r="F2893" s="90"/>
      <c r="G2893" s="85" t="s">
        <v>19</v>
      </c>
      <c r="H2893" s="85"/>
      <c r="I2893" s="90"/>
      <c r="J2893" s="89"/>
      <c r="K2893" s="88">
        <f t="shared" si="139"/>
        <v>0</v>
      </c>
      <c r="L2893" s="90"/>
    </row>
    <row r="2894" spans="1:12" hidden="1" x14ac:dyDescent="0.2">
      <c r="A2894" s="84" t="str">
        <f t="shared" si="137"/>
        <v>SelecioneSelecioneSelecione</v>
      </c>
      <c r="B2894" s="85" t="s">
        <v>19</v>
      </c>
      <c r="C2894" s="85" t="s">
        <v>19</v>
      </c>
      <c r="D2894" s="86"/>
      <c r="E2894" s="116" t="str">
        <f t="shared" si="138"/>
        <v>-</v>
      </c>
      <c r="F2894" s="85"/>
      <c r="G2894" s="85" t="s">
        <v>19</v>
      </c>
      <c r="H2894" s="85"/>
      <c r="I2894" s="85"/>
      <c r="J2894" s="87"/>
      <c r="K2894" s="88">
        <f t="shared" si="139"/>
        <v>0</v>
      </c>
      <c r="L2894" s="85"/>
    </row>
    <row r="2895" spans="1:12" hidden="1" x14ac:dyDescent="0.2">
      <c r="A2895" s="84" t="str">
        <f t="shared" si="137"/>
        <v>SelecioneSelecioneSelecione</v>
      </c>
      <c r="B2895" s="85" t="s">
        <v>19</v>
      </c>
      <c r="C2895" s="85" t="s">
        <v>19</v>
      </c>
      <c r="D2895" s="86"/>
      <c r="E2895" s="116" t="str">
        <f t="shared" si="138"/>
        <v>-</v>
      </c>
      <c r="F2895" s="85"/>
      <c r="G2895" s="85" t="s">
        <v>19</v>
      </c>
      <c r="H2895" s="85"/>
      <c r="I2895" s="85"/>
      <c r="J2895" s="87"/>
      <c r="K2895" s="88">
        <f t="shared" si="139"/>
        <v>0</v>
      </c>
      <c r="L2895" s="85"/>
    </row>
    <row r="2896" spans="1:12" hidden="1" x14ac:dyDescent="0.2">
      <c r="A2896" s="84" t="str">
        <f t="shared" si="137"/>
        <v>SelecioneSelecioneSelecione</v>
      </c>
      <c r="B2896" s="85" t="s">
        <v>19</v>
      </c>
      <c r="C2896" s="85" t="s">
        <v>19</v>
      </c>
      <c r="D2896" s="86"/>
      <c r="E2896" s="116" t="str">
        <f t="shared" si="138"/>
        <v>-</v>
      </c>
      <c r="F2896" s="85"/>
      <c r="G2896" s="85" t="s">
        <v>19</v>
      </c>
      <c r="H2896" s="85"/>
      <c r="I2896" s="85"/>
      <c r="J2896" s="87"/>
      <c r="K2896" s="88">
        <f t="shared" si="139"/>
        <v>0</v>
      </c>
      <c r="L2896" s="85"/>
    </row>
    <row r="2897" spans="1:12" hidden="1" x14ac:dyDescent="0.2">
      <c r="A2897" s="84" t="str">
        <f t="shared" si="137"/>
        <v>SelecioneSelecioneSelecione</v>
      </c>
      <c r="B2897" s="85" t="s">
        <v>19</v>
      </c>
      <c r="C2897" s="85" t="s">
        <v>19</v>
      </c>
      <c r="D2897" s="86"/>
      <c r="E2897" s="116" t="str">
        <f t="shared" si="138"/>
        <v>-</v>
      </c>
      <c r="F2897" s="85"/>
      <c r="G2897" s="85" t="s">
        <v>19</v>
      </c>
      <c r="H2897" s="85"/>
      <c r="I2897" s="85"/>
      <c r="J2897" s="87"/>
      <c r="K2897" s="88">
        <f t="shared" si="139"/>
        <v>0</v>
      </c>
      <c r="L2897" s="85"/>
    </row>
    <row r="2898" spans="1:12" hidden="1" x14ac:dyDescent="0.2">
      <c r="A2898" s="84" t="str">
        <f t="shared" si="137"/>
        <v>SelecioneSelecioneSelecione</v>
      </c>
      <c r="B2898" s="85" t="s">
        <v>19</v>
      </c>
      <c r="C2898" s="85" t="s">
        <v>19</v>
      </c>
      <c r="D2898" s="86"/>
      <c r="E2898" s="116" t="str">
        <f t="shared" si="138"/>
        <v>-</v>
      </c>
      <c r="F2898" s="85"/>
      <c r="G2898" s="85" t="s">
        <v>19</v>
      </c>
      <c r="H2898" s="85"/>
      <c r="I2898" s="85"/>
      <c r="J2898" s="87"/>
      <c r="K2898" s="88">
        <f t="shared" si="139"/>
        <v>0</v>
      </c>
      <c r="L2898" s="85"/>
    </row>
    <row r="2899" spans="1:12" hidden="1" x14ac:dyDescent="0.2">
      <c r="A2899" s="84" t="str">
        <f t="shared" si="137"/>
        <v>SelecioneSelecioneSelecione</v>
      </c>
      <c r="B2899" s="85" t="s">
        <v>19</v>
      </c>
      <c r="C2899" s="85" t="s">
        <v>19</v>
      </c>
      <c r="D2899" s="86"/>
      <c r="E2899" s="116" t="str">
        <f t="shared" si="138"/>
        <v>-</v>
      </c>
      <c r="F2899" s="85"/>
      <c r="G2899" s="85" t="s">
        <v>19</v>
      </c>
      <c r="H2899" s="85"/>
      <c r="I2899" s="85"/>
      <c r="J2899" s="87"/>
      <c r="K2899" s="88">
        <f t="shared" si="139"/>
        <v>0</v>
      </c>
      <c r="L2899" s="85"/>
    </row>
    <row r="2900" spans="1:12" hidden="1" x14ac:dyDescent="0.2">
      <c r="A2900" s="84" t="str">
        <f t="shared" si="137"/>
        <v>SelecioneSelecioneSelecione</v>
      </c>
      <c r="B2900" s="85" t="s">
        <v>19</v>
      </c>
      <c r="C2900" s="85" t="s">
        <v>19</v>
      </c>
      <c r="D2900" s="86"/>
      <c r="E2900" s="116" t="str">
        <f t="shared" si="138"/>
        <v>-</v>
      </c>
      <c r="F2900" s="85"/>
      <c r="G2900" s="85" t="s">
        <v>19</v>
      </c>
      <c r="H2900" s="85"/>
      <c r="I2900" s="85"/>
      <c r="J2900" s="87"/>
      <c r="K2900" s="88">
        <f t="shared" si="139"/>
        <v>0</v>
      </c>
      <c r="L2900" s="85"/>
    </row>
    <row r="2901" spans="1:12" hidden="1" x14ac:dyDescent="0.2">
      <c r="A2901" s="84" t="str">
        <f t="shared" si="137"/>
        <v>SelecioneSelecioneSelecione</v>
      </c>
      <c r="B2901" s="85" t="s">
        <v>19</v>
      </c>
      <c r="C2901" s="85" t="s">
        <v>19</v>
      </c>
      <c r="D2901" s="86"/>
      <c r="E2901" s="116" t="str">
        <f t="shared" si="138"/>
        <v>-</v>
      </c>
      <c r="F2901" s="85"/>
      <c r="G2901" s="85" t="s">
        <v>19</v>
      </c>
      <c r="H2901" s="85"/>
      <c r="I2901" s="85"/>
      <c r="J2901" s="87"/>
      <c r="K2901" s="88">
        <f t="shared" si="139"/>
        <v>0</v>
      </c>
      <c r="L2901" s="85"/>
    </row>
    <row r="2902" spans="1:12" hidden="1" x14ac:dyDescent="0.2">
      <c r="A2902" s="84" t="str">
        <f t="shared" si="137"/>
        <v>SelecioneSelecioneSelecione</v>
      </c>
      <c r="B2902" s="85" t="s">
        <v>19</v>
      </c>
      <c r="C2902" s="85" t="s">
        <v>19</v>
      </c>
      <c r="D2902" s="86"/>
      <c r="E2902" s="116" t="str">
        <f t="shared" si="138"/>
        <v>-</v>
      </c>
      <c r="F2902" s="85"/>
      <c r="G2902" s="85" t="s">
        <v>19</v>
      </c>
      <c r="H2902" s="85"/>
      <c r="I2902" s="85"/>
      <c r="J2902" s="87"/>
      <c r="K2902" s="88">
        <f t="shared" si="139"/>
        <v>0</v>
      </c>
      <c r="L2902" s="85"/>
    </row>
    <row r="2903" spans="1:12" hidden="1" x14ac:dyDescent="0.2">
      <c r="A2903" s="84" t="str">
        <f t="shared" si="137"/>
        <v>SelecioneSelecioneSelecione</v>
      </c>
      <c r="B2903" s="85" t="s">
        <v>19</v>
      </c>
      <c r="C2903" s="85" t="s">
        <v>19</v>
      </c>
      <c r="D2903" s="86"/>
      <c r="E2903" s="116" t="str">
        <f t="shared" si="138"/>
        <v>-</v>
      </c>
      <c r="F2903" s="85"/>
      <c r="G2903" s="85" t="s">
        <v>19</v>
      </c>
      <c r="H2903" s="85"/>
      <c r="I2903" s="85"/>
      <c r="J2903" s="87"/>
      <c r="K2903" s="88">
        <f t="shared" si="139"/>
        <v>0</v>
      </c>
      <c r="L2903" s="85"/>
    </row>
    <row r="2904" spans="1:12" hidden="1" x14ac:dyDescent="0.2">
      <c r="A2904" s="84" t="str">
        <f t="shared" si="137"/>
        <v>SelecioneSelecioneSelecione</v>
      </c>
      <c r="B2904" s="85" t="s">
        <v>19</v>
      </c>
      <c r="C2904" s="85" t="s">
        <v>19</v>
      </c>
      <c r="D2904" s="86"/>
      <c r="E2904" s="116" t="str">
        <f t="shared" si="138"/>
        <v>-</v>
      </c>
      <c r="F2904" s="85"/>
      <c r="G2904" s="85" t="s">
        <v>19</v>
      </c>
      <c r="H2904" s="85"/>
      <c r="I2904" s="85"/>
      <c r="J2904" s="87"/>
      <c r="K2904" s="88">
        <f t="shared" si="139"/>
        <v>0</v>
      </c>
      <c r="L2904" s="85"/>
    </row>
    <row r="2905" spans="1:12" hidden="1" x14ac:dyDescent="0.2">
      <c r="A2905" s="84" t="str">
        <f t="shared" si="137"/>
        <v>SelecioneSelecioneSelecione</v>
      </c>
      <c r="B2905" s="85" t="s">
        <v>19</v>
      </c>
      <c r="C2905" s="85" t="s">
        <v>19</v>
      </c>
      <c r="D2905" s="93"/>
      <c r="E2905" s="116" t="str">
        <f t="shared" si="138"/>
        <v>-</v>
      </c>
      <c r="F2905" s="90"/>
      <c r="G2905" s="85" t="s">
        <v>19</v>
      </c>
      <c r="H2905" s="85"/>
      <c r="I2905" s="90"/>
      <c r="J2905" s="89"/>
      <c r="K2905" s="88">
        <f t="shared" si="139"/>
        <v>0</v>
      </c>
      <c r="L2905" s="90"/>
    </row>
    <row r="2906" spans="1:12" hidden="1" x14ac:dyDescent="0.2">
      <c r="A2906" s="84" t="str">
        <f t="shared" si="137"/>
        <v>SelecioneSelecioneSelecione</v>
      </c>
      <c r="B2906" s="85" t="s">
        <v>19</v>
      </c>
      <c r="C2906" s="85" t="s">
        <v>19</v>
      </c>
      <c r="D2906" s="86"/>
      <c r="E2906" s="116" t="str">
        <f t="shared" si="138"/>
        <v>-</v>
      </c>
      <c r="F2906" s="85"/>
      <c r="G2906" s="85" t="s">
        <v>19</v>
      </c>
      <c r="H2906" s="85"/>
      <c r="I2906" s="85"/>
      <c r="J2906" s="87"/>
      <c r="K2906" s="88">
        <f t="shared" si="139"/>
        <v>0</v>
      </c>
      <c r="L2906" s="85"/>
    </row>
    <row r="2907" spans="1:12" hidden="1" x14ac:dyDescent="0.2">
      <c r="A2907" s="84" t="str">
        <f t="shared" si="137"/>
        <v>SelecioneSelecioneSelecione</v>
      </c>
      <c r="B2907" s="85" t="s">
        <v>19</v>
      </c>
      <c r="C2907" s="85" t="s">
        <v>19</v>
      </c>
      <c r="D2907" s="86"/>
      <c r="E2907" s="116" t="str">
        <f t="shared" si="138"/>
        <v>-</v>
      </c>
      <c r="F2907" s="85"/>
      <c r="G2907" s="85" t="s">
        <v>19</v>
      </c>
      <c r="H2907" s="85"/>
      <c r="I2907" s="85"/>
      <c r="J2907" s="87"/>
      <c r="K2907" s="88">
        <f t="shared" si="139"/>
        <v>0</v>
      </c>
      <c r="L2907" s="85"/>
    </row>
    <row r="2908" spans="1:12" hidden="1" x14ac:dyDescent="0.2">
      <c r="A2908" s="84" t="str">
        <f t="shared" si="137"/>
        <v>SelecioneSelecioneSelecione</v>
      </c>
      <c r="B2908" s="85" t="s">
        <v>19</v>
      </c>
      <c r="C2908" s="85" t="s">
        <v>19</v>
      </c>
      <c r="D2908" s="86"/>
      <c r="E2908" s="116" t="str">
        <f t="shared" si="138"/>
        <v>-</v>
      </c>
      <c r="F2908" s="85"/>
      <c r="G2908" s="85" t="s">
        <v>19</v>
      </c>
      <c r="H2908" s="85"/>
      <c r="I2908" s="85"/>
      <c r="J2908" s="87"/>
      <c r="K2908" s="88">
        <f t="shared" si="139"/>
        <v>0</v>
      </c>
      <c r="L2908" s="85"/>
    </row>
    <row r="2909" spans="1:12" hidden="1" x14ac:dyDescent="0.2">
      <c r="A2909" s="84" t="str">
        <f t="shared" si="137"/>
        <v>SelecioneSelecioneSelecione</v>
      </c>
      <c r="B2909" s="85" t="s">
        <v>19</v>
      </c>
      <c r="C2909" s="85" t="s">
        <v>19</v>
      </c>
      <c r="D2909" s="86"/>
      <c r="E2909" s="116" t="str">
        <f t="shared" si="138"/>
        <v>-</v>
      </c>
      <c r="F2909" s="85"/>
      <c r="G2909" s="85" t="s">
        <v>19</v>
      </c>
      <c r="H2909" s="85"/>
      <c r="I2909" s="85"/>
      <c r="J2909" s="87"/>
      <c r="K2909" s="88">
        <f t="shared" si="139"/>
        <v>0</v>
      </c>
      <c r="L2909" s="85"/>
    </row>
    <row r="2910" spans="1:12" hidden="1" x14ac:dyDescent="0.2">
      <c r="A2910" s="84" t="str">
        <f t="shared" si="137"/>
        <v>SelecioneSelecioneSelecione</v>
      </c>
      <c r="B2910" s="85" t="s">
        <v>19</v>
      </c>
      <c r="C2910" s="85" t="s">
        <v>19</v>
      </c>
      <c r="D2910" s="86"/>
      <c r="E2910" s="116" t="str">
        <f t="shared" si="138"/>
        <v>-</v>
      </c>
      <c r="F2910" s="85"/>
      <c r="G2910" s="85" t="s">
        <v>19</v>
      </c>
      <c r="H2910" s="85"/>
      <c r="I2910" s="85"/>
      <c r="J2910" s="87"/>
      <c r="K2910" s="88">
        <f t="shared" si="139"/>
        <v>0</v>
      </c>
      <c r="L2910" s="85"/>
    </row>
    <row r="2911" spans="1:12" hidden="1" x14ac:dyDescent="0.2">
      <c r="A2911" s="84" t="str">
        <f t="shared" si="137"/>
        <v>SelecioneSelecioneSelecione</v>
      </c>
      <c r="B2911" s="85" t="s">
        <v>19</v>
      </c>
      <c r="C2911" s="85" t="s">
        <v>19</v>
      </c>
      <c r="D2911" s="86"/>
      <c r="E2911" s="116" t="str">
        <f t="shared" si="138"/>
        <v>-</v>
      </c>
      <c r="F2911" s="85"/>
      <c r="G2911" s="85" t="s">
        <v>19</v>
      </c>
      <c r="H2911" s="85"/>
      <c r="I2911" s="85"/>
      <c r="J2911" s="87"/>
      <c r="K2911" s="88">
        <f t="shared" si="139"/>
        <v>0</v>
      </c>
      <c r="L2911" s="85"/>
    </row>
    <row r="2912" spans="1:12" hidden="1" x14ac:dyDescent="0.2">
      <c r="A2912" s="84" t="str">
        <f t="shared" si="137"/>
        <v>SelecioneSelecioneSelecione</v>
      </c>
      <c r="B2912" s="85" t="s">
        <v>19</v>
      </c>
      <c r="C2912" s="85" t="s">
        <v>19</v>
      </c>
      <c r="D2912" s="86"/>
      <c r="E2912" s="116" t="str">
        <f t="shared" si="138"/>
        <v>-</v>
      </c>
      <c r="F2912" s="85"/>
      <c r="G2912" s="85" t="s">
        <v>19</v>
      </c>
      <c r="H2912" s="85"/>
      <c r="I2912" s="85"/>
      <c r="J2912" s="87"/>
      <c r="K2912" s="88">
        <f t="shared" si="139"/>
        <v>0</v>
      </c>
      <c r="L2912" s="85"/>
    </row>
    <row r="2913" spans="1:12" hidden="1" x14ac:dyDescent="0.2">
      <c r="A2913" s="84" t="str">
        <f t="shared" si="137"/>
        <v>SelecioneSelecioneSelecione</v>
      </c>
      <c r="B2913" s="85" t="s">
        <v>19</v>
      </c>
      <c r="C2913" s="85" t="s">
        <v>19</v>
      </c>
      <c r="D2913" s="86"/>
      <c r="E2913" s="116" t="str">
        <f t="shared" si="138"/>
        <v>-</v>
      </c>
      <c r="F2913" s="85"/>
      <c r="G2913" s="85" t="s">
        <v>19</v>
      </c>
      <c r="H2913" s="85"/>
      <c r="I2913" s="85"/>
      <c r="J2913" s="87"/>
      <c r="K2913" s="88">
        <f t="shared" si="139"/>
        <v>0</v>
      </c>
      <c r="L2913" s="85"/>
    </row>
    <row r="2914" spans="1:12" hidden="1" x14ac:dyDescent="0.2">
      <c r="A2914" s="84" t="str">
        <f t="shared" si="137"/>
        <v>SelecioneSelecioneSelecione</v>
      </c>
      <c r="B2914" s="85" t="s">
        <v>19</v>
      </c>
      <c r="C2914" s="85" t="s">
        <v>19</v>
      </c>
      <c r="D2914" s="86"/>
      <c r="E2914" s="116" t="str">
        <f t="shared" si="138"/>
        <v>-</v>
      </c>
      <c r="F2914" s="85"/>
      <c r="G2914" s="85" t="s">
        <v>19</v>
      </c>
      <c r="H2914" s="85"/>
      <c r="I2914" s="85"/>
      <c r="J2914" s="87"/>
      <c r="K2914" s="88">
        <f t="shared" si="139"/>
        <v>0</v>
      </c>
      <c r="L2914" s="85"/>
    </row>
    <row r="2915" spans="1:12" hidden="1" x14ac:dyDescent="0.2">
      <c r="A2915" s="84" t="str">
        <f t="shared" si="137"/>
        <v>SelecioneSelecioneSelecione</v>
      </c>
      <c r="B2915" s="85" t="s">
        <v>19</v>
      </c>
      <c r="C2915" s="85" t="s">
        <v>19</v>
      </c>
      <c r="D2915" s="86"/>
      <c r="E2915" s="116" t="str">
        <f t="shared" si="138"/>
        <v>-</v>
      </c>
      <c r="F2915" s="85"/>
      <c r="G2915" s="85" t="s">
        <v>19</v>
      </c>
      <c r="H2915" s="85"/>
      <c r="I2915" s="85"/>
      <c r="J2915" s="87"/>
      <c r="K2915" s="88">
        <f t="shared" si="139"/>
        <v>0</v>
      </c>
      <c r="L2915" s="85"/>
    </row>
    <row r="2916" spans="1:12" hidden="1" x14ac:dyDescent="0.2">
      <c r="A2916" s="84" t="str">
        <f t="shared" si="137"/>
        <v>SelecioneSelecioneSelecione</v>
      </c>
      <c r="B2916" s="85" t="s">
        <v>19</v>
      </c>
      <c r="C2916" s="85" t="s">
        <v>19</v>
      </c>
      <c r="D2916" s="86"/>
      <c r="E2916" s="116" t="str">
        <f t="shared" si="138"/>
        <v>-</v>
      </c>
      <c r="F2916" s="85"/>
      <c r="G2916" s="85" t="s">
        <v>19</v>
      </c>
      <c r="H2916" s="85"/>
      <c r="I2916" s="85"/>
      <c r="J2916" s="87"/>
      <c r="K2916" s="88">
        <f t="shared" si="139"/>
        <v>0</v>
      </c>
      <c r="L2916" s="85"/>
    </row>
    <row r="2917" spans="1:12" hidden="1" x14ac:dyDescent="0.2">
      <c r="A2917" s="84" t="str">
        <f t="shared" si="137"/>
        <v>SelecioneSelecioneSelecione</v>
      </c>
      <c r="B2917" s="85" t="s">
        <v>19</v>
      </c>
      <c r="C2917" s="85" t="s">
        <v>19</v>
      </c>
      <c r="D2917" s="86"/>
      <c r="E2917" s="116" t="str">
        <f t="shared" si="138"/>
        <v>-</v>
      </c>
      <c r="F2917" s="85"/>
      <c r="G2917" s="85" t="s">
        <v>19</v>
      </c>
      <c r="H2917" s="85"/>
      <c r="I2917" s="85"/>
      <c r="J2917" s="87"/>
      <c r="K2917" s="88">
        <f t="shared" si="139"/>
        <v>0</v>
      </c>
      <c r="L2917" s="85"/>
    </row>
    <row r="2918" spans="1:12" hidden="1" x14ac:dyDescent="0.2">
      <c r="A2918" s="84" t="str">
        <f t="shared" si="137"/>
        <v>SelecioneSelecioneSelecione</v>
      </c>
      <c r="B2918" s="85" t="s">
        <v>19</v>
      </c>
      <c r="C2918" s="85" t="s">
        <v>19</v>
      </c>
      <c r="D2918" s="86"/>
      <c r="E2918" s="116" t="str">
        <f t="shared" si="138"/>
        <v>-</v>
      </c>
      <c r="F2918" s="85"/>
      <c r="G2918" s="85" t="s">
        <v>19</v>
      </c>
      <c r="H2918" s="85"/>
      <c r="I2918" s="85"/>
      <c r="J2918" s="87"/>
      <c r="K2918" s="88">
        <f t="shared" si="139"/>
        <v>0</v>
      </c>
      <c r="L2918" s="85"/>
    </row>
    <row r="2919" spans="1:12" hidden="1" x14ac:dyDescent="0.2">
      <c r="A2919" s="84" t="str">
        <f t="shared" si="137"/>
        <v>SelecioneSelecioneSelecione</v>
      </c>
      <c r="B2919" s="85" t="s">
        <v>19</v>
      </c>
      <c r="C2919" s="85" t="s">
        <v>19</v>
      </c>
      <c r="D2919" s="86"/>
      <c r="E2919" s="116" t="str">
        <f t="shared" si="138"/>
        <v>-</v>
      </c>
      <c r="F2919" s="85"/>
      <c r="G2919" s="85" t="s">
        <v>19</v>
      </c>
      <c r="H2919" s="85"/>
      <c r="I2919" s="85"/>
      <c r="J2919" s="87"/>
      <c r="K2919" s="88">
        <f t="shared" si="139"/>
        <v>0</v>
      </c>
      <c r="L2919" s="85"/>
    </row>
    <row r="2920" spans="1:12" hidden="1" x14ac:dyDescent="0.2">
      <c r="A2920" s="84" t="str">
        <f t="shared" si="137"/>
        <v>SelecioneSelecioneSelecione</v>
      </c>
      <c r="B2920" s="85" t="s">
        <v>19</v>
      </c>
      <c r="C2920" s="85" t="s">
        <v>19</v>
      </c>
      <c r="D2920" s="86"/>
      <c r="E2920" s="116" t="str">
        <f t="shared" si="138"/>
        <v>-</v>
      </c>
      <c r="F2920" s="85"/>
      <c r="G2920" s="85" t="s">
        <v>19</v>
      </c>
      <c r="H2920" s="85"/>
      <c r="I2920" s="85"/>
      <c r="J2920" s="87"/>
      <c r="K2920" s="88">
        <f t="shared" si="139"/>
        <v>0</v>
      </c>
      <c r="L2920" s="85"/>
    </row>
    <row r="2921" spans="1:12" hidden="1" x14ac:dyDescent="0.2">
      <c r="A2921" s="84" t="str">
        <f t="shared" si="137"/>
        <v>SelecioneSelecioneSelecione</v>
      </c>
      <c r="B2921" s="85" t="s">
        <v>19</v>
      </c>
      <c r="C2921" s="85" t="s">
        <v>19</v>
      </c>
      <c r="D2921" s="86"/>
      <c r="E2921" s="116" t="str">
        <f t="shared" si="138"/>
        <v>-</v>
      </c>
      <c r="F2921" s="85"/>
      <c r="G2921" s="85" t="s">
        <v>19</v>
      </c>
      <c r="H2921" s="85"/>
      <c r="I2921" s="85"/>
      <c r="J2921" s="87"/>
      <c r="K2921" s="88">
        <f t="shared" si="139"/>
        <v>0</v>
      </c>
      <c r="L2921" s="85"/>
    </row>
    <row r="2922" spans="1:12" hidden="1" x14ac:dyDescent="0.2">
      <c r="A2922" s="84" t="str">
        <f t="shared" si="137"/>
        <v>SelecioneSelecioneSelecione</v>
      </c>
      <c r="B2922" s="85" t="s">
        <v>19</v>
      </c>
      <c r="C2922" s="85" t="s">
        <v>19</v>
      </c>
      <c r="D2922" s="86"/>
      <c r="E2922" s="116" t="str">
        <f t="shared" si="138"/>
        <v>-</v>
      </c>
      <c r="F2922" s="85"/>
      <c r="G2922" s="85" t="s">
        <v>19</v>
      </c>
      <c r="H2922" s="85"/>
      <c r="I2922" s="85"/>
      <c r="J2922" s="87"/>
      <c r="K2922" s="88">
        <f t="shared" si="139"/>
        <v>0</v>
      </c>
      <c r="L2922" s="85"/>
    </row>
    <row r="2923" spans="1:12" hidden="1" x14ac:dyDescent="0.2">
      <c r="A2923" s="84" t="str">
        <f t="shared" si="137"/>
        <v>SelecioneSelecioneSelecione</v>
      </c>
      <c r="B2923" s="85" t="s">
        <v>19</v>
      </c>
      <c r="C2923" s="85" t="s">
        <v>19</v>
      </c>
      <c r="D2923" s="86"/>
      <c r="E2923" s="116" t="str">
        <f t="shared" si="138"/>
        <v>-</v>
      </c>
      <c r="F2923" s="85"/>
      <c r="G2923" s="85" t="s">
        <v>19</v>
      </c>
      <c r="H2923" s="85"/>
      <c r="I2923" s="85"/>
      <c r="J2923" s="87"/>
      <c r="K2923" s="88">
        <f t="shared" si="139"/>
        <v>0</v>
      </c>
      <c r="L2923" s="85"/>
    </row>
    <row r="2924" spans="1:12" hidden="1" x14ac:dyDescent="0.2">
      <c r="A2924" s="84" t="str">
        <f t="shared" si="137"/>
        <v>SelecioneSelecioneSelecione</v>
      </c>
      <c r="B2924" s="85" t="s">
        <v>19</v>
      </c>
      <c r="C2924" s="85" t="s">
        <v>19</v>
      </c>
      <c r="D2924" s="86"/>
      <c r="E2924" s="116" t="str">
        <f t="shared" si="138"/>
        <v>-</v>
      </c>
      <c r="F2924" s="85"/>
      <c r="G2924" s="85" t="s">
        <v>19</v>
      </c>
      <c r="H2924" s="85"/>
      <c r="I2924" s="85"/>
      <c r="J2924" s="87"/>
      <c r="K2924" s="88">
        <f t="shared" si="139"/>
        <v>0</v>
      </c>
      <c r="L2924" s="85"/>
    </row>
    <row r="2925" spans="1:12" hidden="1" x14ac:dyDescent="0.2">
      <c r="A2925" s="84" t="str">
        <f t="shared" si="137"/>
        <v>SelecioneSelecioneSelecione</v>
      </c>
      <c r="B2925" s="85" t="s">
        <v>19</v>
      </c>
      <c r="C2925" s="85" t="s">
        <v>19</v>
      </c>
      <c r="D2925" s="86"/>
      <c r="E2925" s="116" t="str">
        <f t="shared" si="138"/>
        <v>-</v>
      </c>
      <c r="F2925" s="85"/>
      <c r="G2925" s="85" t="s">
        <v>19</v>
      </c>
      <c r="H2925" s="85"/>
      <c r="I2925" s="85"/>
      <c r="J2925" s="87"/>
      <c r="K2925" s="88">
        <f t="shared" si="139"/>
        <v>0</v>
      </c>
      <c r="L2925" s="85"/>
    </row>
    <row r="2926" spans="1:12" hidden="1" x14ac:dyDescent="0.2">
      <c r="A2926" s="84" t="str">
        <f t="shared" si="137"/>
        <v>SelecioneSelecioneSelecione</v>
      </c>
      <c r="B2926" s="85" t="s">
        <v>19</v>
      </c>
      <c r="C2926" s="85" t="s">
        <v>19</v>
      </c>
      <c r="D2926" s="86"/>
      <c r="E2926" s="116" t="str">
        <f t="shared" si="138"/>
        <v>-</v>
      </c>
      <c r="F2926" s="85"/>
      <c r="G2926" s="85" t="s">
        <v>19</v>
      </c>
      <c r="H2926" s="85"/>
      <c r="I2926" s="85"/>
      <c r="J2926" s="87"/>
      <c r="K2926" s="88">
        <f t="shared" si="139"/>
        <v>0</v>
      </c>
      <c r="L2926" s="85"/>
    </row>
    <row r="2927" spans="1:12" hidden="1" x14ac:dyDescent="0.2">
      <c r="A2927" s="84" t="str">
        <f t="shared" si="137"/>
        <v>SelecioneSelecioneSelecione</v>
      </c>
      <c r="B2927" s="85" t="s">
        <v>19</v>
      </c>
      <c r="C2927" s="85" t="s">
        <v>19</v>
      </c>
      <c r="D2927" s="86"/>
      <c r="E2927" s="116" t="str">
        <f t="shared" si="138"/>
        <v>-</v>
      </c>
      <c r="F2927" s="85"/>
      <c r="G2927" s="85" t="s">
        <v>19</v>
      </c>
      <c r="H2927" s="85"/>
      <c r="I2927" s="85"/>
      <c r="J2927" s="87"/>
      <c r="K2927" s="88">
        <f t="shared" si="139"/>
        <v>0</v>
      </c>
      <c r="L2927" s="85"/>
    </row>
    <row r="2928" spans="1:12" hidden="1" x14ac:dyDescent="0.2">
      <c r="A2928" s="84" t="str">
        <f t="shared" si="137"/>
        <v>SelecioneSelecioneSelecione</v>
      </c>
      <c r="B2928" s="85" t="s">
        <v>19</v>
      </c>
      <c r="C2928" s="85" t="s">
        <v>19</v>
      </c>
      <c r="D2928" s="86"/>
      <c r="E2928" s="116" t="str">
        <f t="shared" si="138"/>
        <v>-</v>
      </c>
      <c r="F2928" s="85"/>
      <c r="G2928" s="85" t="s">
        <v>19</v>
      </c>
      <c r="H2928" s="85"/>
      <c r="I2928" s="85"/>
      <c r="J2928" s="87"/>
      <c r="K2928" s="88">
        <f t="shared" si="139"/>
        <v>0</v>
      </c>
      <c r="L2928" s="85"/>
    </row>
    <row r="2929" spans="1:12" hidden="1" x14ac:dyDescent="0.2">
      <c r="A2929" s="84" t="str">
        <f t="shared" si="137"/>
        <v>SelecioneSelecioneSelecione</v>
      </c>
      <c r="B2929" s="85" t="s">
        <v>19</v>
      </c>
      <c r="C2929" s="85" t="s">
        <v>19</v>
      </c>
      <c r="D2929" s="86"/>
      <c r="E2929" s="116" t="str">
        <f t="shared" si="138"/>
        <v>-</v>
      </c>
      <c r="F2929" s="85"/>
      <c r="G2929" s="85" t="s">
        <v>19</v>
      </c>
      <c r="H2929" s="85"/>
      <c r="I2929" s="85"/>
      <c r="J2929" s="87"/>
      <c r="K2929" s="88">
        <f t="shared" si="139"/>
        <v>0</v>
      </c>
      <c r="L2929" s="85"/>
    </row>
    <row r="2930" spans="1:12" hidden="1" x14ac:dyDescent="0.2">
      <c r="A2930" s="84" t="str">
        <f t="shared" si="137"/>
        <v>SelecioneSelecioneSelecione</v>
      </c>
      <c r="B2930" s="85" t="s">
        <v>19</v>
      </c>
      <c r="C2930" s="85" t="s">
        <v>19</v>
      </c>
      <c r="D2930" s="86"/>
      <c r="E2930" s="116" t="str">
        <f t="shared" si="138"/>
        <v>-</v>
      </c>
      <c r="F2930" s="85"/>
      <c r="G2930" s="85" t="s">
        <v>19</v>
      </c>
      <c r="H2930" s="85"/>
      <c r="I2930" s="85"/>
      <c r="J2930" s="87"/>
      <c r="K2930" s="88">
        <f t="shared" si="139"/>
        <v>0</v>
      </c>
      <c r="L2930" s="85"/>
    </row>
    <row r="2931" spans="1:12" hidden="1" x14ac:dyDescent="0.2">
      <c r="A2931" s="84" t="str">
        <f t="shared" si="137"/>
        <v>SelecioneSelecioneSelecione</v>
      </c>
      <c r="B2931" s="85" t="s">
        <v>19</v>
      </c>
      <c r="C2931" s="85" t="s">
        <v>19</v>
      </c>
      <c r="D2931" s="86"/>
      <c r="E2931" s="116" t="str">
        <f t="shared" si="138"/>
        <v>-</v>
      </c>
      <c r="F2931" s="85"/>
      <c r="G2931" s="85" t="s">
        <v>19</v>
      </c>
      <c r="H2931" s="85"/>
      <c r="I2931" s="85"/>
      <c r="J2931" s="87"/>
      <c r="K2931" s="88">
        <f t="shared" si="139"/>
        <v>0</v>
      </c>
      <c r="L2931" s="85"/>
    </row>
    <row r="2932" spans="1:12" hidden="1" x14ac:dyDescent="0.2">
      <c r="A2932" s="84" t="str">
        <f t="shared" si="137"/>
        <v>SelecioneSelecioneSelecione</v>
      </c>
      <c r="B2932" s="85" t="s">
        <v>19</v>
      </c>
      <c r="C2932" s="85" t="s">
        <v>19</v>
      </c>
      <c r="D2932" s="86"/>
      <c r="E2932" s="116" t="str">
        <f t="shared" si="138"/>
        <v>-</v>
      </c>
      <c r="F2932" s="85"/>
      <c r="G2932" s="85" t="s">
        <v>19</v>
      </c>
      <c r="H2932" s="85"/>
      <c r="I2932" s="85"/>
      <c r="J2932" s="87"/>
      <c r="K2932" s="88">
        <f t="shared" si="139"/>
        <v>0</v>
      </c>
      <c r="L2932" s="85"/>
    </row>
    <row r="2933" spans="1:12" hidden="1" x14ac:dyDescent="0.2">
      <c r="A2933" s="84" t="str">
        <f t="shared" si="137"/>
        <v>SelecioneSelecioneSelecione</v>
      </c>
      <c r="B2933" s="85" t="s">
        <v>19</v>
      </c>
      <c r="C2933" s="85" t="s">
        <v>19</v>
      </c>
      <c r="D2933" s="86"/>
      <c r="E2933" s="116" t="str">
        <f t="shared" si="138"/>
        <v>-</v>
      </c>
      <c r="F2933" s="85"/>
      <c r="G2933" s="85" t="s">
        <v>19</v>
      </c>
      <c r="H2933" s="85"/>
      <c r="I2933" s="85"/>
      <c r="J2933" s="87"/>
      <c r="K2933" s="88">
        <f t="shared" si="139"/>
        <v>0</v>
      </c>
      <c r="L2933" s="85"/>
    </row>
    <row r="2934" spans="1:12" hidden="1" x14ac:dyDescent="0.2">
      <c r="A2934" s="84" t="str">
        <f t="shared" si="137"/>
        <v>SelecioneSelecioneSelecione</v>
      </c>
      <c r="B2934" s="85" t="s">
        <v>19</v>
      </c>
      <c r="C2934" s="85" t="s">
        <v>19</v>
      </c>
      <c r="D2934" s="86"/>
      <c r="E2934" s="116" t="str">
        <f t="shared" si="138"/>
        <v>-</v>
      </c>
      <c r="F2934" s="85"/>
      <c r="G2934" s="85" t="s">
        <v>19</v>
      </c>
      <c r="H2934" s="85"/>
      <c r="I2934" s="85"/>
      <c r="J2934" s="87"/>
      <c r="K2934" s="88">
        <f t="shared" si="139"/>
        <v>0</v>
      </c>
      <c r="L2934" s="85"/>
    </row>
    <row r="2935" spans="1:12" hidden="1" x14ac:dyDescent="0.2">
      <c r="A2935" s="84" t="str">
        <f t="shared" si="137"/>
        <v>SelecioneSelecioneSelecione</v>
      </c>
      <c r="B2935" s="85" t="s">
        <v>19</v>
      </c>
      <c r="C2935" s="85" t="s">
        <v>19</v>
      </c>
      <c r="D2935" s="86"/>
      <c r="E2935" s="116" t="str">
        <f t="shared" si="138"/>
        <v>-</v>
      </c>
      <c r="F2935" s="85"/>
      <c r="G2935" s="85" t="s">
        <v>19</v>
      </c>
      <c r="H2935" s="85"/>
      <c r="I2935" s="85"/>
      <c r="J2935" s="87"/>
      <c r="K2935" s="88">
        <f t="shared" si="139"/>
        <v>0</v>
      </c>
      <c r="L2935" s="85"/>
    </row>
    <row r="2936" spans="1:12" hidden="1" x14ac:dyDescent="0.2">
      <c r="A2936" s="84" t="str">
        <f t="shared" si="137"/>
        <v>SelecioneSelecioneSelecione</v>
      </c>
      <c r="B2936" s="85" t="s">
        <v>19</v>
      </c>
      <c r="C2936" s="85" t="s">
        <v>19</v>
      </c>
      <c r="D2936" s="86"/>
      <c r="E2936" s="116" t="str">
        <f t="shared" si="138"/>
        <v>-</v>
      </c>
      <c r="F2936" s="85"/>
      <c r="G2936" s="85" t="s">
        <v>19</v>
      </c>
      <c r="H2936" s="85"/>
      <c r="I2936" s="85"/>
      <c r="J2936" s="87"/>
      <c r="K2936" s="88">
        <f t="shared" si="139"/>
        <v>0</v>
      </c>
      <c r="L2936" s="85"/>
    </row>
    <row r="2937" spans="1:12" hidden="1" x14ac:dyDescent="0.2">
      <c r="A2937" s="84" t="str">
        <f t="shared" si="137"/>
        <v>SelecioneSelecioneSelecione</v>
      </c>
      <c r="B2937" s="85" t="s">
        <v>19</v>
      </c>
      <c r="C2937" s="85" t="s">
        <v>19</v>
      </c>
      <c r="D2937" s="86"/>
      <c r="E2937" s="116" t="str">
        <f t="shared" si="138"/>
        <v>-</v>
      </c>
      <c r="F2937" s="85"/>
      <c r="G2937" s="85" t="s">
        <v>19</v>
      </c>
      <c r="H2937" s="85"/>
      <c r="I2937" s="85"/>
      <c r="J2937" s="87"/>
      <c r="K2937" s="88">
        <f t="shared" si="139"/>
        <v>0</v>
      </c>
      <c r="L2937" s="85"/>
    </row>
    <row r="2938" spans="1:12" hidden="1" x14ac:dyDescent="0.2">
      <c r="A2938" s="84" t="str">
        <f t="shared" si="137"/>
        <v>SelecioneSelecioneSelecione</v>
      </c>
      <c r="B2938" s="85" t="s">
        <v>19</v>
      </c>
      <c r="C2938" s="85" t="s">
        <v>19</v>
      </c>
      <c r="D2938" s="86"/>
      <c r="E2938" s="116" t="str">
        <f t="shared" si="138"/>
        <v>-</v>
      </c>
      <c r="F2938" s="85"/>
      <c r="G2938" s="85" t="s">
        <v>19</v>
      </c>
      <c r="H2938" s="85"/>
      <c r="I2938" s="85"/>
      <c r="J2938" s="87"/>
      <c r="K2938" s="88">
        <f t="shared" si="139"/>
        <v>0</v>
      </c>
      <c r="L2938" s="85"/>
    </row>
    <row r="2939" spans="1:12" hidden="1" x14ac:dyDescent="0.2">
      <c r="A2939" s="84" t="str">
        <f t="shared" si="137"/>
        <v>SelecioneSelecioneSelecione</v>
      </c>
      <c r="B2939" s="85" t="s">
        <v>19</v>
      </c>
      <c r="C2939" s="85" t="s">
        <v>19</v>
      </c>
      <c r="D2939" s="86"/>
      <c r="E2939" s="116" t="str">
        <f t="shared" si="138"/>
        <v>-</v>
      </c>
      <c r="F2939" s="85"/>
      <c r="G2939" s="85" t="s">
        <v>19</v>
      </c>
      <c r="H2939" s="85"/>
      <c r="I2939" s="85"/>
      <c r="J2939" s="87"/>
      <c r="K2939" s="88">
        <f t="shared" si="139"/>
        <v>0</v>
      </c>
      <c r="L2939" s="85"/>
    </row>
    <row r="2940" spans="1:12" hidden="1" x14ac:dyDescent="0.2">
      <c r="A2940" s="84" t="str">
        <f t="shared" si="137"/>
        <v>SelecioneSelecioneSelecione</v>
      </c>
      <c r="B2940" s="85" t="s">
        <v>19</v>
      </c>
      <c r="C2940" s="85" t="s">
        <v>19</v>
      </c>
      <c r="D2940" s="86"/>
      <c r="E2940" s="116" t="str">
        <f t="shared" si="138"/>
        <v>-</v>
      </c>
      <c r="F2940" s="85"/>
      <c r="G2940" s="85" t="s">
        <v>19</v>
      </c>
      <c r="H2940" s="85"/>
      <c r="I2940" s="85"/>
      <c r="J2940" s="87"/>
      <c r="K2940" s="88">
        <f t="shared" si="139"/>
        <v>0</v>
      </c>
      <c r="L2940" s="85"/>
    </row>
    <row r="2941" spans="1:12" hidden="1" x14ac:dyDescent="0.2">
      <c r="A2941" s="84" t="str">
        <f t="shared" si="137"/>
        <v>SelecioneSelecioneSelecione</v>
      </c>
      <c r="B2941" s="85" t="s">
        <v>19</v>
      </c>
      <c r="C2941" s="85" t="s">
        <v>19</v>
      </c>
      <c r="D2941" s="86"/>
      <c r="E2941" s="116" t="str">
        <f t="shared" si="138"/>
        <v>-</v>
      </c>
      <c r="F2941" s="85"/>
      <c r="G2941" s="85" t="s">
        <v>19</v>
      </c>
      <c r="H2941" s="85"/>
      <c r="I2941" s="85"/>
      <c r="J2941" s="87"/>
      <c r="K2941" s="88">
        <f t="shared" si="139"/>
        <v>0</v>
      </c>
      <c r="L2941" s="85"/>
    </row>
    <row r="2942" spans="1:12" hidden="1" x14ac:dyDescent="0.2">
      <c r="A2942" s="84" t="str">
        <f t="shared" si="137"/>
        <v>SelecioneSelecioneSelecione</v>
      </c>
      <c r="B2942" s="85" t="s">
        <v>19</v>
      </c>
      <c r="C2942" s="85" t="s">
        <v>19</v>
      </c>
      <c r="D2942" s="86"/>
      <c r="E2942" s="116" t="str">
        <f t="shared" si="138"/>
        <v>-</v>
      </c>
      <c r="F2942" s="85"/>
      <c r="G2942" s="85" t="s">
        <v>19</v>
      </c>
      <c r="H2942" s="85"/>
      <c r="I2942" s="85"/>
      <c r="J2942" s="87"/>
      <c r="K2942" s="88">
        <f t="shared" si="139"/>
        <v>0</v>
      </c>
      <c r="L2942" s="85"/>
    </row>
    <row r="2943" spans="1:12" hidden="1" x14ac:dyDescent="0.2">
      <c r="A2943" s="84" t="str">
        <f t="shared" si="137"/>
        <v>SelecioneSelecioneSelecione</v>
      </c>
      <c r="B2943" s="85" t="s">
        <v>19</v>
      </c>
      <c r="C2943" s="85" t="s">
        <v>19</v>
      </c>
      <c r="D2943" s="86"/>
      <c r="E2943" s="116" t="str">
        <f t="shared" si="138"/>
        <v>-</v>
      </c>
      <c r="F2943" s="85"/>
      <c r="G2943" s="85" t="s">
        <v>19</v>
      </c>
      <c r="H2943" s="85"/>
      <c r="I2943" s="85"/>
      <c r="J2943" s="87"/>
      <c r="K2943" s="88">
        <f t="shared" si="139"/>
        <v>0</v>
      </c>
      <c r="L2943" s="85"/>
    </row>
    <row r="2944" spans="1:12" hidden="1" x14ac:dyDescent="0.2">
      <c r="A2944" s="84" t="str">
        <f t="shared" si="137"/>
        <v>SelecioneSelecioneSelecione</v>
      </c>
      <c r="B2944" s="85" t="s">
        <v>19</v>
      </c>
      <c r="C2944" s="85" t="s">
        <v>19</v>
      </c>
      <c r="D2944" s="86"/>
      <c r="E2944" s="116" t="str">
        <f t="shared" si="138"/>
        <v>-</v>
      </c>
      <c r="F2944" s="85"/>
      <c r="G2944" s="85" t="s">
        <v>19</v>
      </c>
      <c r="H2944" s="85"/>
      <c r="I2944" s="85"/>
      <c r="J2944" s="87"/>
      <c r="K2944" s="88">
        <f t="shared" si="139"/>
        <v>0</v>
      </c>
      <c r="L2944" s="85"/>
    </row>
    <row r="2945" spans="1:12" hidden="1" x14ac:dyDescent="0.2">
      <c r="A2945" s="84" t="str">
        <f t="shared" si="137"/>
        <v>SelecioneSelecioneSelecione</v>
      </c>
      <c r="B2945" s="85" t="s">
        <v>19</v>
      </c>
      <c r="C2945" s="85" t="s">
        <v>19</v>
      </c>
      <c r="D2945" s="86"/>
      <c r="E2945" s="116" t="str">
        <f t="shared" si="138"/>
        <v>-</v>
      </c>
      <c r="F2945" s="85"/>
      <c r="G2945" s="85" t="s">
        <v>19</v>
      </c>
      <c r="H2945" s="85"/>
      <c r="I2945" s="85"/>
      <c r="J2945" s="87"/>
      <c r="K2945" s="88">
        <f t="shared" si="139"/>
        <v>0</v>
      </c>
      <c r="L2945" s="85"/>
    </row>
    <row r="2946" spans="1:12" hidden="1" x14ac:dyDescent="0.2">
      <c r="A2946" s="84" t="str">
        <f t="shared" ref="A2946:A3009" si="140">CONCATENATE(B2946,C2946,G2946)</f>
        <v>SelecioneSelecioneSelecione</v>
      </c>
      <c r="B2946" s="85" t="s">
        <v>19</v>
      </c>
      <c r="C2946" s="85" t="s">
        <v>19</v>
      </c>
      <c r="D2946" s="86"/>
      <c r="E2946" s="116" t="str">
        <f t="shared" ref="E2946:E3009" si="141">VLOOKUP(G2946,$M$1:$O$993,3,0)</f>
        <v>-</v>
      </c>
      <c r="F2946" s="85"/>
      <c r="G2946" s="85" t="s">
        <v>19</v>
      </c>
      <c r="H2946" s="85"/>
      <c r="I2946" s="85"/>
      <c r="J2946" s="87"/>
      <c r="K2946" s="88">
        <f t="shared" ref="K2946:K3009" si="142">I2946*J2946</f>
        <v>0</v>
      </c>
      <c r="L2946" s="85"/>
    </row>
    <row r="2947" spans="1:12" hidden="1" x14ac:dyDescent="0.2">
      <c r="A2947" s="84" t="str">
        <f t="shared" si="140"/>
        <v>SelecioneSelecioneSelecione</v>
      </c>
      <c r="B2947" s="85" t="s">
        <v>19</v>
      </c>
      <c r="C2947" s="85" t="s">
        <v>19</v>
      </c>
      <c r="D2947" s="86"/>
      <c r="E2947" s="116" t="str">
        <f t="shared" si="141"/>
        <v>-</v>
      </c>
      <c r="F2947" s="85"/>
      <c r="G2947" s="85" t="s">
        <v>19</v>
      </c>
      <c r="H2947" s="85"/>
      <c r="I2947" s="85"/>
      <c r="J2947" s="87"/>
      <c r="K2947" s="88">
        <f t="shared" si="142"/>
        <v>0</v>
      </c>
      <c r="L2947" s="85"/>
    </row>
    <row r="2948" spans="1:12" hidden="1" x14ac:dyDescent="0.2">
      <c r="A2948" s="84" t="str">
        <f t="shared" si="140"/>
        <v>SelecioneSelecioneSelecione</v>
      </c>
      <c r="B2948" s="85" t="s">
        <v>19</v>
      </c>
      <c r="C2948" s="85" t="s">
        <v>19</v>
      </c>
      <c r="D2948" s="86"/>
      <c r="E2948" s="116" t="str">
        <f t="shared" si="141"/>
        <v>-</v>
      </c>
      <c r="F2948" s="85"/>
      <c r="G2948" s="85" t="s">
        <v>19</v>
      </c>
      <c r="H2948" s="85"/>
      <c r="I2948" s="85"/>
      <c r="J2948" s="87"/>
      <c r="K2948" s="88">
        <f t="shared" si="142"/>
        <v>0</v>
      </c>
      <c r="L2948" s="85"/>
    </row>
    <row r="2949" spans="1:12" hidden="1" x14ac:dyDescent="0.2">
      <c r="A2949" s="84" t="str">
        <f t="shared" si="140"/>
        <v>SelecioneSelecioneSelecione</v>
      </c>
      <c r="B2949" s="85" t="s">
        <v>19</v>
      </c>
      <c r="C2949" s="85" t="s">
        <v>19</v>
      </c>
      <c r="D2949" s="86"/>
      <c r="E2949" s="116" t="str">
        <f t="shared" si="141"/>
        <v>-</v>
      </c>
      <c r="F2949" s="85"/>
      <c r="G2949" s="85" t="s">
        <v>19</v>
      </c>
      <c r="H2949" s="85"/>
      <c r="I2949" s="85"/>
      <c r="J2949" s="87"/>
      <c r="K2949" s="88">
        <f t="shared" si="142"/>
        <v>0</v>
      </c>
      <c r="L2949" s="85"/>
    </row>
    <row r="2950" spans="1:12" hidden="1" x14ac:dyDescent="0.2">
      <c r="A2950" s="84" t="str">
        <f t="shared" si="140"/>
        <v>SelecioneSelecioneSelecione</v>
      </c>
      <c r="B2950" s="85" t="s">
        <v>19</v>
      </c>
      <c r="C2950" s="85" t="s">
        <v>19</v>
      </c>
      <c r="D2950" s="86"/>
      <c r="E2950" s="116" t="str">
        <f t="shared" si="141"/>
        <v>-</v>
      </c>
      <c r="F2950" s="85"/>
      <c r="G2950" s="85" t="s">
        <v>19</v>
      </c>
      <c r="H2950" s="85"/>
      <c r="I2950" s="85"/>
      <c r="J2950" s="87"/>
      <c r="K2950" s="88">
        <f t="shared" si="142"/>
        <v>0</v>
      </c>
      <c r="L2950" s="85"/>
    </row>
    <row r="2951" spans="1:12" hidden="1" x14ac:dyDescent="0.2">
      <c r="A2951" s="84" t="str">
        <f t="shared" si="140"/>
        <v>SelecioneSelecioneSelecione</v>
      </c>
      <c r="B2951" s="85" t="s">
        <v>19</v>
      </c>
      <c r="C2951" s="85" t="s">
        <v>19</v>
      </c>
      <c r="D2951" s="86"/>
      <c r="E2951" s="116" t="str">
        <f t="shared" si="141"/>
        <v>-</v>
      </c>
      <c r="F2951" s="85"/>
      <c r="G2951" s="85" t="s">
        <v>19</v>
      </c>
      <c r="H2951" s="85"/>
      <c r="I2951" s="85"/>
      <c r="J2951" s="87"/>
      <c r="K2951" s="88">
        <f t="shared" si="142"/>
        <v>0</v>
      </c>
      <c r="L2951" s="85"/>
    </row>
    <row r="2952" spans="1:12" hidden="1" x14ac:dyDescent="0.2">
      <c r="A2952" s="84" t="str">
        <f t="shared" si="140"/>
        <v>SelecioneSelecioneSelecione</v>
      </c>
      <c r="B2952" s="85" t="s">
        <v>19</v>
      </c>
      <c r="C2952" s="85" t="s">
        <v>19</v>
      </c>
      <c r="D2952" s="86"/>
      <c r="E2952" s="116" t="str">
        <f t="shared" si="141"/>
        <v>-</v>
      </c>
      <c r="F2952" s="85"/>
      <c r="G2952" s="85" t="s">
        <v>19</v>
      </c>
      <c r="H2952" s="85"/>
      <c r="I2952" s="85"/>
      <c r="J2952" s="87"/>
      <c r="K2952" s="88">
        <f t="shared" si="142"/>
        <v>0</v>
      </c>
      <c r="L2952" s="85"/>
    </row>
    <row r="2953" spans="1:12" hidden="1" x14ac:dyDescent="0.2">
      <c r="A2953" s="84" t="str">
        <f t="shared" si="140"/>
        <v>SelecioneSelecioneSelecione</v>
      </c>
      <c r="B2953" s="85" t="s">
        <v>19</v>
      </c>
      <c r="C2953" s="85" t="s">
        <v>19</v>
      </c>
      <c r="D2953" s="86"/>
      <c r="E2953" s="116" t="str">
        <f t="shared" si="141"/>
        <v>-</v>
      </c>
      <c r="F2953" s="85"/>
      <c r="G2953" s="85" t="s">
        <v>19</v>
      </c>
      <c r="H2953" s="85"/>
      <c r="I2953" s="85"/>
      <c r="J2953" s="87"/>
      <c r="K2953" s="88">
        <f t="shared" si="142"/>
        <v>0</v>
      </c>
      <c r="L2953" s="85"/>
    </row>
    <row r="2954" spans="1:12" hidden="1" x14ac:dyDescent="0.2">
      <c r="A2954" s="84" t="str">
        <f t="shared" si="140"/>
        <v>SelecioneSelecioneSelecione</v>
      </c>
      <c r="B2954" s="85" t="s">
        <v>19</v>
      </c>
      <c r="C2954" s="85" t="s">
        <v>19</v>
      </c>
      <c r="D2954" s="86"/>
      <c r="E2954" s="116" t="str">
        <f t="shared" si="141"/>
        <v>-</v>
      </c>
      <c r="F2954" s="85"/>
      <c r="G2954" s="85" t="s">
        <v>19</v>
      </c>
      <c r="H2954" s="85"/>
      <c r="I2954" s="85"/>
      <c r="J2954" s="87"/>
      <c r="K2954" s="88">
        <f t="shared" si="142"/>
        <v>0</v>
      </c>
      <c r="L2954" s="85"/>
    </row>
    <row r="2955" spans="1:12" hidden="1" x14ac:dyDescent="0.2">
      <c r="A2955" s="84" t="str">
        <f t="shared" si="140"/>
        <v>SelecioneSelecioneSelecione</v>
      </c>
      <c r="B2955" s="85" t="s">
        <v>19</v>
      </c>
      <c r="C2955" s="85" t="s">
        <v>19</v>
      </c>
      <c r="D2955" s="86"/>
      <c r="E2955" s="116" t="str">
        <f t="shared" si="141"/>
        <v>-</v>
      </c>
      <c r="F2955" s="85"/>
      <c r="G2955" s="85" t="s">
        <v>19</v>
      </c>
      <c r="H2955" s="85"/>
      <c r="I2955" s="85"/>
      <c r="J2955" s="87"/>
      <c r="K2955" s="88">
        <f t="shared" si="142"/>
        <v>0</v>
      </c>
      <c r="L2955" s="85"/>
    </row>
    <row r="2956" spans="1:12" hidden="1" x14ac:dyDescent="0.2">
      <c r="A2956" s="84" t="str">
        <f t="shared" si="140"/>
        <v>SelecioneSelecioneSelecione</v>
      </c>
      <c r="B2956" s="85" t="s">
        <v>19</v>
      </c>
      <c r="C2956" s="85" t="s">
        <v>19</v>
      </c>
      <c r="D2956" s="86"/>
      <c r="E2956" s="116" t="str">
        <f t="shared" si="141"/>
        <v>-</v>
      </c>
      <c r="F2956" s="85"/>
      <c r="G2956" s="85" t="s">
        <v>19</v>
      </c>
      <c r="H2956" s="85"/>
      <c r="I2956" s="85"/>
      <c r="J2956" s="87"/>
      <c r="K2956" s="88">
        <f t="shared" si="142"/>
        <v>0</v>
      </c>
      <c r="L2956" s="85"/>
    </row>
    <row r="2957" spans="1:12" hidden="1" x14ac:dyDescent="0.2">
      <c r="A2957" s="84" t="str">
        <f t="shared" si="140"/>
        <v>SelecioneSelecioneSelecione</v>
      </c>
      <c r="B2957" s="85" t="s">
        <v>19</v>
      </c>
      <c r="C2957" s="85" t="s">
        <v>19</v>
      </c>
      <c r="D2957" s="86"/>
      <c r="E2957" s="116" t="str">
        <f t="shared" si="141"/>
        <v>-</v>
      </c>
      <c r="F2957" s="85"/>
      <c r="G2957" s="85" t="s">
        <v>19</v>
      </c>
      <c r="H2957" s="85"/>
      <c r="I2957" s="85"/>
      <c r="J2957" s="87"/>
      <c r="K2957" s="88">
        <f t="shared" si="142"/>
        <v>0</v>
      </c>
      <c r="L2957" s="85"/>
    </row>
    <row r="2958" spans="1:12" hidden="1" x14ac:dyDescent="0.2">
      <c r="A2958" s="84" t="str">
        <f t="shared" si="140"/>
        <v>SelecioneSelecioneSelecione</v>
      </c>
      <c r="B2958" s="85" t="s">
        <v>19</v>
      </c>
      <c r="C2958" s="85" t="s">
        <v>19</v>
      </c>
      <c r="D2958" s="86"/>
      <c r="E2958" s="116" t="str">
        <f t="shared" si="141"/>
        <v>-</v>
      </c>
      <c r="F2958" s="85"/>
      <c r="G2958" s="85" t="s">
        <v>19</v>
      </c>
      <c r="H2958" s="85"/>
      <c r="I2958" s="85"/>
      <c r="J2958" s="87"/>
      <c r="K2958" s="88">
        <f t="shared" si="142"/>
        <v>0</v>
      </c>
      <c r="L2958" s="85"/>
    </row>
    <row r="2959" spans="1:12" hidden="1" x14ac:dyDescent="0.2">
      <c r="A2959" s="84" t="str">
        <f t="shared" si="140"/>
        <v>SelecioneSelecioneSelecione</v>
      </c>
      <c r="B2959" s="85" t="s">
        <v>19</v>
      </c>
      <c r="C2959" s="85" t="s">
        <v>19</v>
      </c>
      <c r="D2959" s="86"/>
      <c r="E2959" s="116" t="str">
        <f t="shared" si="141"/>
        <v>-</v>
      </c>
      <c r="F2959" s="85"/>
      <c r="G2959" s="85" t="s">
        <v>19</v>
      </c>
      <c r="H2959" s="85"/>
      <c r="I2959" s="85"/>
      <c r="J2959" s="87"/>
      <c r="K2959" s="88">
        <f t="shared" si="142"/>
        <v>0</v>
      </c>
      <c r="L2959" s="85"/>
    </row>
    <row r="2960" spans="1:12" hidden="1" x14ac:dyDescent="0.2">
      <c r="A2960" s="84" t="str">
        <f t="shared" si="140"/>
        <v>SelecioneSelecioneSelecione</v>
      </c>
      <c r="B2960" s="85" t="s">
        <v>19</v>
      </c>
      <c r="C2960" s="85" t="s">
        <v>19</v>
      </c>
      <c r="D2960" s="86"/>
      <c r="E2960" s="116" t="str">
        <f t="shared" si="141"/>
        <v>-</v>
      </c>
      <c r="F2960" s="85"/>
      <c r="G2960" s="85" t="s">
        <v>19</v>
      </c>
      <c r="H2960" s="85"/>
      <c r="I2960" s="85"/>
      <c r="J2960" s="87"/>
      <c r="K2960" s="88">
        <f t="shared" si="142"/>
        <v>0</v>
      </c>
      <c r="L2960" s="85"/>
    </row>
    <row r="2961" spans="1:12" hidden="1" x14ac:dyDescent="0.2">
      <c r="A2961" s="84" t="str">
        <f t="shared" si="140"/>
        <v>SelecioneSelecioneSelecione</v>
      </c>
      <c r="B2961" s="85" t="s">
        <v>19</v>
      </c>
      <c r="C2961" s="85" t="s">
        <v>19</v>
      </c>
      <c r="D2961" s="86"/>
      <c r="E2961" s="116" t="str">
        <f t="shared" si="141"/>
        <v>-</v>
      </c>
      <c r="F2961" s="85"/>
      <c r="G2961" s="85" t="s">
        <v>19</v>
      </c>
      <c r="H2961" s="85"/>
      <c r="I2961" s="85"/>
      <c r="J2961" s="87"/>
      <c r="K2961" s="88">
        <f t="shared" si="142"/>
        <v>0</v>
      </c>
      <c r="L2961" s="85"/>
    </row>
    <row r="2962" spans="1:12" hidden="1" x14ac:dyDescent="0.2">
      <c r="A2962" s="84" t="str">
        <f t="shared" si="140"/>
        <v>SelecioneSelecioneSelecione</v>
      </c>
      <c r="B2962" s="85" t="s">
        <v>19</v>
      </c>
      <c r="C2962" s="85" t="s">
        <v>19</v>
      </c>
      <c r="D2962" s="86"/>
      <c r="E2962" s="116" t="str">
        <f t="shared" si="141"/>
        <v>-</v>
      </c>
      <c r="F2962" s="85"/>
      <c r="G2962" s="85" t="s">
        <v>19</v>
      </c>
      <c r="H2962" s="85"/>
      <c r="I2962" s="85"/>
      <c r="J2962" s="87"/>
      <c r="K2962" s="88">
        <f t="shared" si="142"/>
        <v>0</v>
      </c>
      <c r="L2962" s="85"/>
    </row>
    <row r="2963" spans="1:12" hidden="1" x14ac:dyDescent="0.2">
      <c r="A2963" s="84" t="str">
        <f t="shared" si="140"/>
        <v>SelecioneSelecioneSelecione</v>
      </c>
      <c r="B2963" s="85" t="s">
        <v>19</v>
      </c>
      <c r="C2963" s="85" t="s">
        <v>19</v>
      </c>
      <c r="D2963" s="86"/>
      <c r="E2963" s="116" t="str">
        <f t="shared" si="141"/>
        <v>-</v>
      </c>
      <c r="F2963" s="85"/>
      <c r="G2963" s="85" t="s">
        <v>19</v>
      </c>
      <c r="H2963" s="85"/>
      <c r="I2963" s="85"/>
      <c r="J2963" s="87"/>
      <c r="K2963" s="88">
        <f t="shared" si="142"/>
        <v>0</v>
      </c>
      <c r="L2963" s="85"/>
    </row>
    <row r="2964" spans="1:12" hidden="1" x14ac:dyDescent="0.2">
      <c r="A2964" s="84" t="str">
        <f t="shared" si="140"/>
        <v>SelecioneSelecioneSelecione</v>
      </c>
      <c r="B2964" s="85" t="s">
        <v>19</v>
      </c>
      <c r="C2964" s="85" t="s">
        <v>19</v>
      </c>
      <c r="D2964" s="86"/>
      <c r="E2964" s="116" t="str">
        <f t="shared" si="141"/>
        <v>-</v>
      </c>
      <c r="F2964" s="85"/>
      <c r="G2964" s="85" t="s">
        <v>19</v>
      </c>
      <c r="H2964" s="85"/>
      <c r="I2964" s="85"/>
      <c r="J2964" s="87"/>
      <c r="K2964" s="88">
        <f t="shared" si="142"/>
        <v>0</v>
      </c>
      <c r="L2964" s="85"/>
    </row>
    <row r="2965" spans="1:12" hidden="1" x14ac:dyDescent="0.2">
      <c r="A2965" s="84" t="str">
        <f t="shared" si="140"/>
        <v>SelecioneSelecioneSelecione</v>
      </c>
      <c r="B2965" s="85" t="s">
        <v>19</v>
      </c>
      <c r="C2965" s="85" t="s">
        <v>19</v>
      </c>
      <c r="D2965" s="86"/>
      <c r="E2965" s="116" t="str">
        <f t="shared" si="141"/>
        <v>-</v>
      </c>
      <c r="F2965" s="85"/>
      <c r="G2965" s="85" t="s">
        <v>19</v>
      </c>
      <c r="H2965" s="85"/>
      <c r="I2965" s="85"/>
      <c r="J2965" s="87"/>
      <c r="K2965" s="88">
        <f t="shared" si="142"/>
        <v>0</v>
      </c>
      <c r="L2965" s="85"/>
    </row>
    <row r="2966" spans="1:12" hidden="1" x14ac:dyDescent="0.2">
      <c r="A2966" s="84" t="str">
        <f t="shared" si="140"/>
        <v>SelecioneSelecioneSelecione</v>
      </c>
      <c r="B2966" s="85" t="s">
        <v>19</v>
      </c>
      <c r="C2966" s="85" t="s">
        <v>19</v>
      </c>
      <c r="D2966" s="93"/>
      <c r="E2966" s="116" t="str">
        <f t="shared" si="141"/>
        <v>-</v>
      </c>
      <c r="F2966" s="90"/>
      <c r="G2966" s="85" t="s">
        <v>19</v>
      </c>
      <c r="H2966" s="85"/>
      <c r="I2966" s="90"/>
      <c r="J2966" s="89"/>
      <c r="K2966" s="88">
        <f t="shared" si="142"/>
        <v>0</v>
      </c>
      <c r="L2966" s="90"/>
    </row>
    <row r="2967" spans="1:12" hidden="1" x14ac:dyDescent="0.2">
      <c r="A2967" s="84" t="str">
        <f t="shared" si="140"/>
        <v>SelecioneSelecioneSelecione</v>
      </c>
      <c r="B2967" s="85" t="s">
        <v>19</v>
      </c>
      <c r="C2967" s="85" t="s">
        <v>19</v>
      </c>
      <c r="D2967" s="86"/>
      <c r="E2967" s="116" t="str">
        <f t="shared" si="141"/>
        <v>-</v>
      </c>
      <c r="F2967" s="85"/>
      <c r="G2967" s="85" t="s">
        <v>19</v>
      </c>
      <c r="H2967" s="85"/>
      <c r="I2967" s="85"/>
      <c r="J2967" s="87"/>
      <c r="K2967" s="88">
        <f t="shared" si="142"/>
        <v>0</v>
      </c>
      <c r="L2967" s="85"/>
    </row>
    <row r="2968" spans="1:12" hidden="1" x14ac:dyDescent="0.2">
      <c r="A2968" s="84" t="str">
        <f t="shared" si="140"/>
        <v>SelecioneSelecioneSelecione</v>
      </c>
      <c r="B2968" s="85" t="s">
        <v>19</v>
      </c>
      <c r="C2968" s="85" t="s">
        <v>19</v>
      </c>
      <c r="D2968" s="86"/>
      <c r="E2968" s="116" t="str">
        <f t="shared" si="141"/>
        <v>-</v>
      </c>
      <c r="F2968" s="85"/>
      <c r="G2968" s="85" t="s">
        <v>19</v>
      </c>
      <c r="H2968" s="85"/>
      <c r="I2968" s="85"/>
      <c r="J2968" s="87"/>
      <c r="K2968" s="88">
        <f t="shared" si="142"/>
        <v>0</v>
      </c>
      <c r="L2968" s="85"/>
    </row>
    <row r="2969" spans="1:12" hidden="1" x14ac:dyDescent="0.2">
      <c r="A2969" s="84" t="str">
        <f t="shared" si="140"/>
        <v>SelecioneSelecioneSelecione</v>
      </c>
      <c r="B2969" s="85" t="s">
        <v>19</v>
      </c>
      <c r="C2969" s="85" t="s">
        <v>19</v>
      </c>
      <c r="D2969" s="86"/>
      <c r="E2969" s="116" t="str">
        <f t="shared" si="141"/>
        <v>-</v>
      </c>
      <c r="F2969" s="85"/>
      <c r="G2969" s="85" t="s">
        <v>19</v>
      </c>
      <c r="H2969" s="85"/>
      <c r="I2969" s="85"/>
      <c r="J2969" s="87"/>
      <c r="K2969" s="88">
        <f t="shared" si="142"/>
        <v>0</v>
      </c>
      <c r="L2969" s="85"/>
    </row>
    <row r="2970" spans="1:12" hidden="1" x14ac:dyDescent="0.2">
      <c r="A2970" s="84" t="str">
        <f t="shared" si="140"/>
        <v>SelecioneSelecioneSelecione</v>
      </c>
      <c r="B2970" s="85" t="s">
        <v>19</v>
      </c>
      <c r="C2970" s="85" t="s">
        <v>19</v>
      </c>
      <c r="D2970" s="86"/>
      <c r="E2970" s="116" t="str">
        <f t="shared" si="141"/>
        <v>-</v>
      </c>
      <c r="F2970" s="85"/>
      <c r="G2970" s="85" t="s">
        <v>19</v>
      </c>
      <c r="H2970" s="85"/>
      <c r="I2970" s="85"/>
      <c r="J2970" s="87"/>
      <c r="K2970" s="88">
        <f t="shared" si="142"/>
        <v>0</v>
      </c>
      <c r="L2970" s="85"/>
    </row>
    <row r="2971" spans="1:12" hidden="1" x14ac:dyDescent="0.2">
      <c r="A2971" s="84" t="str">
        <f t="shared" si="140"/>
        <v>SelecioneSelecioneSelecione</v>
      </c>
      <c r="B2971" s="85" t="s">
        <v>19</v>
      </c>
      <c r="C2971" s="85" t="s">
        <v>19</v>
      </c>
      <c r="D2971" s="86"/>
      <c r="E2971" s="116" t="str">
        <f t="shared" si="141"/>
        <v>-</v>
      </c>
      <c r="F2971" s="85"/>
      <c r="G2971" s="85" t="s">
        <v>19</v>
      </c>
      <c r="H2971" s="85"/>
      <c r="I2971" s="85"/>
      <c r="J2971" s="87"/>
      <c r="K2971" s="88">
        <f t="shared" si="142"/>
        <v>0</v>
      </c>
      <c r="L2971" s="85"/>
    </row>
    <row r="2972" spans="1:12" hidden="1" x14ac:dyDescent="0.2">
      <c r="A2972" s="84" t="str">
        <f t="shared" si="140"/>
        <v>SelecioneSelecioneSelecione</v>
      </c>
      <c r="B2972" s="85" t="s">
        <v>19</v>
      </c>
      <c r="C2972" s="85" t="s">
        <v>19</v>
      </c>
      <c r="D2972" s="86"/>
      <c r="E2972" s="116" t="str">
        <f t="shared" si="141"/>
        <v>-</v>
      </c>
      <c r="F2972" s="85"/>
      <c r="G2972" s="85" t="s">
        <v>19</v>
      </c>
      <c r="H2972" s="85"/>
      <c r="I2972" s="85"/>
      <c r="J2972" s="87"/>
      <c r="K2972" s="88">
        <f t="shared" si="142"/>
        <v>0</v>
      </c>
      <c r="L2972" s="85"/>
    </row>
    <row r="2973" spans="1:12" hidden="1" x14ac:dyDescent="0.2">
      <c r="A2973" s="84" t="str">
        <f t="shared" si="140"/>
        <v>SelecioneSelecioneSelecione</v>
      </c>
      <c r="B2973" s="85" t="s">
        <v>19</v>
      </c>
      <c r="C2973" s="85" t="s">
        <v>19</v>
      </c>
      <c r="D2973" s="86"/>
      <c r="E2973" s="116" t="str">
        <f t="shared" si="141"/>
        <v>-</v>
      </c>
      <c r="F2973" s="85"/>
      <c r="G2973" s="85" t="s">
        <v>19</v>
      </c>
      <c r="H2973" s="85"/>
      <c r="I2973" s="85"/>
      <c r="J2973" s="87"/>
      <c r="K2973" s="88">
        <f t="shared" si="142"/>
        <v>0</v>
      </c>
      <c r="L2973" s="85"/>
    </row>
    <row r="2974" spans="1:12" hidden="1" x14ac:dyDescent="0.2">
      <c r="A2974" s="84" t="str">
        <f t="shared" si="140"/>
        <v>SelecioneSelecioneSelecione</v>
      </c>
      <c r="B2974" s="85" t="s">
        <v>19</v>
      </c>
      <c r="C2974" s="85" t="s">
        <v>19</v>
      </c>
      <c r="D2974" s="86"/>
      <c r="E2974" s="116" t="str">
        <f t="shared" si="141"/>
        <v>-</v>
      </c>
      <c r="F2974" s="85"/>
      <c r="G2974" s="85" t="s">
        <v>19</v>
      </c>
      <c r="H2974" s="85"/>
      <c r="I2974" s="85"/>
      <c r="J2974" s="87"/>
      <c r="K2974" s="88">
        <f t="shared" si="142"/>
        <v>0</v>
      </c>
      <c r="L2974" s="85"/>
    </row>
    <row r="2975" spans="1:12" hidden="1" x14ac:dyDescent="0.2">
      <c r="A2975" s="84" t="str">
        <f t="shared" si="140"/>
        <v>SelecioneSelecioneSelecione</v>
      </c>
      <c r="B2975" s="85" t="s">
        <v>19</v>
      </c>
      <c r="C2975" s="85" t="s">
        <v>19</v>
      </c>
      <c r="D2975" s="86"/>
      <c r="E2975" s="116" t="str">
        <f t="shared" si="141"/>
        <v>-</v>
      </c>
      <c r="F2975" s="85"/>
      <c r="G2975" s="85" t="s">
        <v>19</v>
      </c>
      <c r="H2975" s="85"/>
      <c r="I2975" s="85"/>
      <c r="J2975" s="87"/>
      <c r="K2975" s="88">
        <f t="shared" si="142"/>
        <v>0</v>
      </c>
      <c r="L2975" s="85"/>
    </row>
    <row r="2976" spans="1:12" hidden="1" x14ac:dyDescent="0.2">
      <c r="A2976" s="84" t="str">
        <f t="shared" si="140"/>
        <v>SelecioneSelecioneSelecione</v>
      </c>
      <c r="B2976" s="85" t="s">
        <v>19</v>
      </c>
      <c r="C2976" s="85" t="s">
        <v>19</v>
      </c>
      <c r="D2976" s="86"/>
      <c r="E2976" s="116" t="str">
        <f t="shared" si="141"/>
        <v>-</v>
      </c>
      <c r="F2976" s="85"/>
      <c r="G2976" s="85" t="s">
        <v>19</v>
      </c>
      <c r="H2976" s="85"/>
      <c r="I2976" s="85"/>
      <c r="J2976" s="87"/>
      <c r="K2976" s="88">
        <f t="shared" si="142"/>
        <v>0</v>
      </c>
      <c r="L2976" s="85"/>
    </row>
    <row r="2977" spans="1:12" hidden="1" x14ac:dyDescent="0.2">
      <c r="A2977" s="84" t="str">
        <f t="shared" si="140"/>
        <v>SelecioneSelecioneSelecione</v>
      </c>
      <c r="B2977" s="85" t="s">
        <v>19</v>
      </c>
      <c r="C2977" s="85" t="s">
        <v>19</v>
      </c>
      <c r="D2977" s="86"/>
      <c r="E2977" s="116" t="str">
        <f t="shared" si="141"/>
        <v>-</v>
      </c>
      <c r="F2977" s="85"/>
      <c r="G2977" s="85" t="s">
        <v>19</v>
      </c>
      <c r="H2977" s="85"/>
      <c r="I2977" s="85"/>
      <c r="J2977" s="87"/>
      <c r="K2977" s="88">
        <f t="shared" si="142"/>
        <v>0</v>
      </c>
      <c r="L2977" s="85"/>
    </row>
    <row r="2978" spans="1:12" hidden="1" x14ac:dyDescent="0.2">
      <c r="A2978" s="84" t="str">
        <f t="shared" si="140"/>
        <v>SelecioneSelecioneSelecione</v>
      </c>
      <c r="B2978" s="85" t="s">
        <v>19</v>
      </c>
      <c r="C2978" s="85" t="s">
        <v>19</v>
      </c>
      <c r="D2978" s="86"/>
      <c r="E2978" s="116" t="str">
        <f t="shared" si="141"/>
        <v>-</v>
      </c>
      <c r="F2978" s="85"/>
      <c r="G2978" s="85" t="s">
        <v>19</v>
      </c>
      <c r="H2978" s="85"/>
      <c r="I2978" s="85"/>
      <c r="J2978" s="87"/>
      <c r="K2978" s="88">
        <f t="shared" si="142"/>
        <v>0</v>
      </c>
      <c r="L2978" s="85"/>
    </row>
    <row r="2979" spans="1:12" hidden="1" x14ac:dyDescent="0.2">
      <c r="A2979" s="84" t="str">
        <f t="shared" si="140"/>
        <v>SelecioneSelecioneSelecione</v>
      </c>
      <c r="B2979" s="85" t="s">
        <v>19</v>
      </c>
      <c r="C2979" s="85" t="s">
        <v>19</v>
      </c>
      <c r="D2979" s="86"/>
      <c r="E2979" s="116" t="str">
        <f t="shared" si="141"/>
        <v>-</v>
      </c>
      <c r="F2979" s="85"/>
      <c r="G2979" s="85" t="s">
        <v>19</v>
      </c>
      <c r="H2979" s="85"/>
      <c r="I2979" s="85"/>
      <c r="J2979" s="87"/>
      <c r="K2979" s="88">
        <f t="shared" si="142"/>
        <v>0</v>
      </c>
      <c r="L2979" s="85"/>
    </row>
    <row r="2980" spans="1:12" hidden="1" x14ac:dyDescent="0.2">
      <c r="A2980" s="84" t="str">
        <f t="shared" si="140"/>
        <v>SelecioneSelecioneSelecione</v>
      </c>
      <c r="B2980" s="85" t="s">
        <v>19</v>
      </c>
      <c r="C2980" s="85" t="s">
        <v>19</v>
      </c>
      <c r="D2980" s="86"/>
      <c r="E2980" s="116" t="str">
        <f t="shared" si="141"/>
        <v>-</v>
      </c>
      <c r="F2980" s="85"/>
      <c r="G2980" s="85" t="s">
        <v>19</v>
      </c>
      <c r="H2980" s="85"/>
      <c r="I2980" s="85"/>
      <c r="J2980" s="87"/>
      <c r="K2980" s="88">
        <f t="shared" si="142"/>
        <v>0</v>
      </c>
      <c r="L2980" s="85"/>
    </row>
    <row r="2981" spans="1:12" hidden="1" x14ac:dyDescent="0.2">
      <c r="A2981" s="84" t="str">
        <f t="shared" si="140"/>
        <v>SelecioneSelecioneSelecione</v>
      </c>
      <c r="B2981" s="85" t="s">
        <v>19</v>
      </c>
      <c r="C2981" s="85" t="s">
        <v>19</v>
      </c>
      <c r="D2981" s="86"/>
      <c r="E2981" s="116" t="str">
        <f t="shared" si="141"/>
        <v>-</v>
      </c>
      <c r="F2981" s="85"/>
      <c r="G2981" s="85" t="s">
        <v>19</v>
      </c>
      <c r="H2981" s="85"/>
      <c r="I2981" s="85"/>
      <c r="J2981" s="87"/>
      <c r="K2981" s="88">
        <f t="shared" si="142"/>
        <v>0</v>
      </c>
      <c r="L2981" s="85"/>
    </row>
    <row r="2982" spans="1:12" hidden="1" x14ac:dyDescent="0.2">
      <c r="A2982" s="84" t="str">
        <f t="shared" si="140"/>
        <v>SelecioneSelecioneSelecione</v>
      </c>
      <c r="B2982" s="85" t="s">
        <v>19</v>
      </c>
      <c r="C2982" s="85" t="s">
        <v>19</v>
      </c>
      <c r="D2982" s="86"/>
      <c r="E2982" s="116" t="str">
        <f t="shared" si="141"/>
        <v>-</v>
      </c>
      <c r="F2982" s="85"/>
      <c r="G2982" s="85" t="s">
        <v>19</v>
      </c>
      <c r="H2982" s="85"/>
      <c r="I2982" s="85"/>
      <c r="J2982" s="87"/>
      <c r="K2982" s="88">
        <f t="shared" si="142"/>
        <v>0</v>
      </c>
      <c r="L2982" s="85"/>
    </row>
    <row r="2983" spans="1:12" hidden="1" x14ac:dyDescent="0.2">
      <c r="A2983" s="84" t="str">
        <f t="shared" si="140"/>
        <v>SelecioneSelecioneSelecione</v>
      </c>
      <c r="B2983" s="85" t="s">
        <v>19</v>
      </c>
      <c r="C2983" s="85" t="s">
        <v>19</v>
      </c>
      <c r="D2983" s="86"/>
      <c r="E2983" s="116" t="str">
        <f t="shared" si="141"/>
        <v>-</v>
      </c>
      <c r="F2983" s="85"/>
      <c r="G2983" s="85" t="s">
        <v>19</v>
      </c>
      <c r="H2983" s="85"/>
      <c r="I2983" s="85"/>
      <c r="J2983" s="87"/>
      <c r="K2983" s="88">
        <f t="shared" si="142"/>
        <v>0</v>
      </c>
      <c r="L2983" s="85"/>
    </row>
    <row r="2984" spans="1:12" hidden="1" x14ac:dyDescent="0.2">
      <c r="A2984" s="84" t="str">
        <f t="shared" si="140"/>
        <v>SelecioneSelecioneSelecione</v>
      </c>
      <c r="B2984" s="85" t="s">
        <v>19</v>
      </c>
      <c r="C2984" s="85" t="s">
        <v>19</v>
      </c>
      <c r="D2984" s="86"/>
      <c r="E2984" s="116" t="str">
        <f t="shared" si="141"/>
        <v>-</v>
      </c>
      <c r="F2984" s="85"/>
      <c r="G2984" s="85" t="s">
        <v>19</v>
      </c>
      <c r="H2984" s="85"/>
      <c r="I2984" s="85"/>
      <c r="J2984" s="87"/>
      <c r="K2984" s="88">
        <f t="shared" si="142"/>
        <v>0</v>
      </c>
      <c r="L2984" s="85"/>
    </row>
    <row r="2985" spans="1:12" hidden="1" x14ac:dyDescent="0.2">
      <c r="A2985" s="84" t="str">
        <f t="shared" si="140"/>
        <v>SelecioneSelecioneSelecione</v>
      </c>
      <c r="B2985" s="85" t="s">
        <v>19</v>
      </c>
      <c r="C2985" s="85" t="s">
        <v>19</v>
      </c>
      <c r="D2985" s="86"/>
      <c r="E2985" s="116" t="str">
        <f t="shared" si="141"/>
        <v>-</v>
      </c>
      <c r="F2985" s="85"/>
      <c r="G2985" s="85" t="s">
        <v>19</v>
      </c>
      <c r="H2985" s="85"/>
      <c r="I2985" s="85"/>
      <c r="J2985" s="87"/>
      <c r="K2985" s="88">
        <f t="shared" si="142"/>
        <v>0</v>
      </c>
      <c r="L2985" s="85"/>
    </row>
    <row r="2986" spans="1:12" hidden="1" x14ac:dyDescent="0.2">
      <c r="A2986" s="84" t="str">
        <f t="shared" si="140"/>
        <v>SelecioneSelecioneSelecione</v>
      </c>
      <c r="B2986" s="85" t="s">
        <v>19</v>
      </c>
      <c r="C2986" s="85" t="s">
        <v>19</v>
      </c>
      <c r="D2986" s="86"/>
      <c r="E2986" s="116" t="str">
        <f t="shared" si="141"/>
        <v>-</v>
      </c>
      <c r="F2986" s="85"/>
      <c r="G2986" s="85" t="s">
        <v>19</v>
      </c>
      <c r="H2986" s="85"/>
      <c r="I2986" s="85"/>
      <c r="J2986" s="87"/>
      <c r="K2986" s="88">
        <f t="shared" si="142"/>
        <v>0</v>
      </c>
      <c r="L2986" s="85"/>
    </row>
    <row r="2987" spans="1:12" hidden="1" x14ac:dyDescent="0.2">
      <c r="A2987" s="84" t="str">
        <f t="shared" si="140"/>
        <v>SelecioneSelecioneSelecione</v>
      </c>
      <c r="B2987" s="85" t="s">
        <v>19</v>
      </c>
      <c r="C2987" s="85" t="s">
        <v>19</v>
      </c>
      <c r="D2987" s="86"/>
      <c r="E2987" s="116" t="str">
        <f t="shared" si="141"/>
        <v>-</v>
      </c>
      <c r="F2987" s="85"/>
      <c r="G2987" s="85" t="s">
        <v>19</v>
      </c>
      <c r="H2987" s="85"/>
      <c r="I2987" s="85"/>
      <c r="J2987" s="87"/>
      <c r="K2987" s="88">
        <f t="shared" si="142"/>
        <v>0</v>
      </c>
      <c r="L2987" s="85"/>
    </row>
    <row r="2988" spans="1:12" hidden="1" x14ac:dyDescent="0.2">
      <c r="A2988" s="84" t="str">
        <f t="shared" si="140"/>
        <v>SelecioneSelecioneSelecione</v>
      </c>
      <c r="B2988" s="85" t="s">
        <v>19</v>
      </c>
      <c r="C2988" s="85" t="s">
        <v>19</v>
      </c>
      <c r="D2988" s="86"/>
      <c r="E2988" s="116" t="str">
        <f t="shared" si="141"/>
        <v>-</v>
      </c>
      <c r="F2988" s="85"/>
      <c r="G2988" s="85" t="s">
        <v>19</v>
      </c>
      <c r="H2988" s="85"/>
      <c r="I2988" s="85"/>
      <c r="J2988" s="87"/>
      <c r="K2988" s="88">
        <f t="shared" si="142"/>
        <v>0</v>
      </c>
      <c r="L2988" s="85"/>
    </row>
    <row r="2989" spans="1:12" hidden="1" x14ac:dyDescent="0.2">
      <c r="A2989" s="84" t="str">
        <f t="shared" si="140"/>
        <v>SelecioneSelecioneSelecione</v>
      </c>
      <c r="B2989" s="85" t="s">
        <v>19</v>
      </c>
      <c r="C2989" s="85" t="s">
        <v>19</v>
      </c>
      <c r="D2989" s="86"/>
      <c r="E2989" s="116" t="str">
        <f t="shared" si="141"/>
        <v>-</v>
      </c>
      <c r="F2989" s="85"/>
      <c r="G2989" s="85" t="s">
        <v>19</v>
      </c>
      <c r="H2989" s="85"/>
      <c r="I2989" s="85"/>
      <c r="J2989" s="87"/>
      <c r="K2989" s="88">
        <f t="shared" si="142"/>
        <v>0</v>
      </c>
      <c r="L2989" s="85"/>
    </row>
    <row r="2990" spans="1:12" hidden="1" x14ac:dyDescent="0.2">
      <c r="A2990" s="84" t="str">
        <f t="shared" si="140"/>
        <v>SelecioneSelecioneSelecione</v>
      </c>
      <c r="B2990" s="85" t="s">
        <v>19</v>
      </c>
      <c r="C2990" s="85" t="s">
        <v>19</v>
      </c>
      <c r="D2990" s="93"/>
      <c r="E2990" s="116" t="str">
        <f t="shared" si="141"/>
        <v>-</v>
      </c>
      <c r="F2990" s="90"/>
      <c r="G2990" s="85" t="s">
        <v>19</v>
      </c>
      <c r="H2990" s="85"/>
      <c r="I2990" s="90"/>
      <c r="J2990" s="89"/>
      <c r="K2990" s="88">
        <f t="shared" si="142"/>
        <v>0</v>
      </c>
      <c r="L2990" s="90"/>
    </row>
    <row r="2991" spans="1:12" hidden="1" x14ac:dyDescent="0.2">
      <c r="A2991" s="84" t="str">
        <f t="shared" si="140"/>
        <v>SelecioneSelecioneSelecione</v>
      </c>
      <c r="B2991" s="85" t="s">
        <v>19</v>
      </c>
      <c r="C2991" s="85" t="s">
        <v>19</v>
      </c>
      <c r="D2991" s="86"/>
      <c r="E2991" s="116" t="str">
        <f t="shared" si="141"/>
        <v>-</v>
      </c>
      <c r="F2991" s="85"/>
      <c r="G2991" s="85" t="s">
        <v>19</v>
      </c>
      <c r="H2991" s="85"/>
      <c r="I2991" s="85"/>
      <c r="J2991" s="87"/>
      <c r="K2991" s="88">
        <f t="shared" si="142"/>
        <v>0</v>
      </c>
      <c r="L2991" s="85"/>
    </row>
    <row r="2992" spans="1:12" hidden="1" x14ac:dyDescent="0.2">
      <c r="A2992" s="84" t="str">
        <f t="shared" si="140"/>
        <v>SelecioneSelecioneSelecione</v>
      </c>
      <c r="B2992" s="85" t="s">
        <v>19</v>
      </c>
      <c r="C2992" s="85" t="s">
        <v>19</v>
      </c>
      <c r="D2992" s="86"/>
      <c r="E2992" s="116" t="str">
        <f t="shared" si="141"/>
        <v>-</v>
      </c>
      <c r="F2992" s="85"/>
      <c r="G2992" s="85" t="s">
        <v>19</v>
      </c>
      <c r="H2992" s="85"/>
      <c r="I2992" s="85"/>
      <c r="J2992" s="87"/>
      <c r="K2992" s="88">
        <f t="shared" si="142"/>
        <v>0</v>
      </c>
      <c r="L2992" s="85"/>
    </row>
    <row r="2993" spans="1:12" hidden="1" x14ac:dyDescent="0.2">
      <c r="A2993" s="84" t="str">
        <f t="shared" si="140"/>
        <v>SelecioneSelecioneSelecione</v>
      </c>
      <c r="B2993" s="85" t="s">
        <v>19</v>
      </c>
      <c r="C2993" s="85" t="s">
        <v>19</v>
      </c>
      <c r="D2993" s="93"/>
      <c r="E2993" s="116" t="str">
        <f t="shared" si="141"/>
        <v>-</v>
      </c>
      <c r="F2993" s="90"/>
      <c r="G2993" s="85" t="s">
        <v>19</v>
      </c>
      <c r="H2993" s="85"/>
      <c r="I2993" s="90"/>
      <c r="J2993" s="89"/>
      <c r="K2993" s="88">
        <f t="shared" si="142"/>
        <v>0</v>
      </c>
      <c r="L2993" s="90"/>
    </row>
    <row r="2994" spans="1:12" hidden="1" x14ac:dyDescent="0.2">
      <c r="A2994" s="84" t="str">
        <f t="shared" si="140"/>
        <v>SelecioneSelecioneSelecione</v>
      </c>
      <c r="B2994" s="85" t="s">
        <v>19</v>
      </c>
      <c r="C2994" s="85" t="s">
        <v>19</v>
      </c>
      <c r="D2994" s="93"/>
      <c r="E2994" s="116" t="str">
        <f t="shared" si="141"/>
        <v>-</v>
      </c>
      <c r="F2994" s="90"/>
      <c r="G2994" s="85" t="s">
        <v>19</v>
      </c>
      <c r="H2994" s="85"/>
      <c r="I2994" s="90"/>
      <c r="J2994" s="89"/>
      <c r="K2994" s="88">
        <f t="shared" si="142"/>
        <v>0</v>
      </c>
      <c r="L2994" s="90"/>
    </row>
    <row r="2995" spans="1:12" hidden="1" x14ac:dyDescent="0.2">
      <c r="A2995" s="84" t="str">
        <f t="shared" si="140"/>
        <v>SelecioneSelecioneSelecione</v>
      </c>
      <c r="B2995" s="85" t="s">
        <v>19</v>
      </c>
      <c r="C2995" s="85" t="s">
        <v>19</v>
      </c>
      <c r="D2995" s="93"/>
      <c r="E2995" s="116" t="str">
        <f t="shared" si="141"/>
        <v>-</v>
      </c>
      <c r="F2995" s="90"/>
      <c r="G2995" s="85" t="s">
        <v>19</v>
      </c>
      <c r="H2995" s="85"/>
      <c r="I2995" s="90"/>
      <c r="J2995" s="89"/>
      <c r="K2995" s="88">
        <f t="shared" si="142"/>
        <v>0</v>
      </c>
      <c r="L2995" s="90"/>
    </row>
    <row r="2996" spans="1:12" hidden="1" x14ac:dyDescent="0.2">
      <c r="A2996" s="84" t="str">
        <f t="shared" si="140"/>
        <v>SelecioneSelecioneSelecione</v>
      </c>
      <c r="B2996" s="85" t="s">
        <v>19</v>
      </c>
      <c r="C2996" s="85" t="s">
        <v>19</v>
      </c>
      <c r="D2996" s="93"/>
      <c r="E2996" s="116" t="str">
        <f t="shared" si="141"/>
        <v>-</v>
      </c>
      <c r="F2996" s="90"/>
      <c r="G2996" s="85" t="s">
        <v>19</v>
      </c>
      <c r="H2996" s="85"/>
      <c r="I2996" s="90"/>
      <c r="J2996" s="89"/>
      <c r="K2996" s="88">
        <f t="shared" si="142"/>
        <v>0</v>
      </c>
      <c r="L2996" s="90"/>
    </row>
    <row r="2997" spans="1:12" hidden="1" x14ac:dyDescent="0.2">
      <c r="A2997" s="84" t="str">
        <f t="shared" si="140"/>
        <v>SelecioneSelecioneSelecione</v>
      </c>
      <c r="B2997" s="85" t="s">
        <v>19</v>
      </c>
      <c r="C2997" s="85" t="s">
        <v>19</v>
      </c>
      <c r="D2997" s="93"/>
      <c r="E2997" s="116" t="str">
        <f t="shared" si="141"/>
        <v>-</v>
      </c>
      <c r="F2997" s="90"/>
      <c r="G2997" s="85" t="s">
        <v>19</v>
      </c>
      <c r="H2997" s="85"/>
      <c r="I2997" s="90"/>
      <c r="J2997" s="89"/>
      <c r="K2997" s="88">
        <f t="shared" si="142"/>
        <v>0</v>
      </c>
      <c r="L2997" s="90"/>
    </row>
    <row r="2998" spans="1:12" hidden="1" x14ac:dyDescent="0.2">
      <c r="A2998" s="84" t="str">
        <f t="shared" si="140"/>
        <v>SelecioneSelecioneSelecione</v>
      </c>
      <c r="B2998" s="85" t="s">
        <v>19</v>
      </c>
      <c r="C2998" s="85" t="s">
        <v>19</v>
      </c>
      <c r="D2998" s="86"/>
      <c r="E2998" s="116" t="str">
        <f t="shared" si="141"/>
        <v>-</v>
      </c>
      <c r="F2998" s="85"/>
      <c r="G2998" s="85" t="s">
        <v>19</v>
      </c>
      <c r="H2998" s="85"/>
      <c r="I2998" s="85"/>
      <c r="J2998" s="87"/>
      <c r="K2998" s="88">
        <f t="shared" si="142"/>
        <v>0</v>
      </c>
      <c r="L2998" s="85"/>
    </row>
    <row r="2999" spans="1:12" hidden="1" x14ac:dyDescent="0.2">
      <c r="A2999" s="84" t="str">
        <f t="shared" si="140"/>
        <v>SelecioneSelecioneSelecione</v>
      </c>
      <c r="B2999" s="85" t="s">
        <v>19</v>
      </c>
      <c r="C2999" s="85" t="s">
        <v>19</v>
      </c>
      <c r="D2999" s="86"/>
      <c r="E2999" s="116" t="str">
        <f t="shared" si="141"/>
        <v>-</v>
      </c>
      <c r="F2999" s="85"/>
      <c r="G2999" s="85" t="s">
        <v>19</v>
      </c>
      <c r="H2999" s="85"/>
      <c r="I2999" s="85"/>
      <c r="J2999" s="87"/>
      <c r="K2999" s="88">
        <f t="shared" si="142"/>
        <v>0</v>
      </c>
      <c r="L2999" s="85"/>
    </row>
    <row r="3000" spans="1:12" hidden="1" x14ac:dyDescent="0.2">
      <c r="A3000" s="84" t="str">
        <f t="shared" si="140"/>
        <v>SelecioneSelecioneSelecione</v>
      </c>
      <c r="B3000" s="85" t="s">
        <v>19</v>
      </c>
      <c r="C3000" s="85" t="s">
        <v>19</v>
      </c>
      <c r="D3000" s="86"/>
      <c r="E3000" s="116" t="str">
        <f t="shared" si="141"/>
        <v>-</v>
      </c>
      <c r="F3000" s="85"/>
      <c r="G3000" s="85" t="s">
        <v>19</v>
      </c>
      <c r="H3000" s="85"/>
      <c r="I3000" s="85"/>
      <c r="J3000" s="87"/>
      <c r="K3000" s="88">
        <f t="shared" si="142"/>
        <v>0</v>
      </c>
      <c r="L3000" s="85"/>
    </row>
    <row r="3001" spans="1:12" hidden="1" x14ac:dyDescent="0.2">
      <c r="A3001" s="84" t="str">
        <f t="shared" si="140"/>
        <v>SelecioneSelecioneSelecione</v>
      </c>
      <c r="B3001" s="85" t="s">
        <v>19</v>
      </c>
      <c r="C3001" s="85" t="s">
        <v>19</v>
      </c>
      <c r="D3001" s="93"/>
      <c r="E3001" s="116" t="str">
        <f t="shared" si="141"/>
        <v>-</v>
      </c>
      <c r="F3001" s="90"/>
      <c r="G3001" s="85" t="s">
        <v>19</v>
      </c>
      <c r="H3001" s="85"/>
      <c r="I3001" s="90"/>
      <c r="J3001" s="89"/>
      <c r="K3001" s="88">
        <f t="shared" si="142"/>
        <v>0</v>
      </c>
      <c r="L3001" s="90"/>
    </row>
    <row r="3002" spans="1:12" hidden="1" x14ac:dyDescent="0.2">
      <c r="A3002" s="84" t="str">
        <f t="shared" si="140"/>
        <v>SelecioneSelecioneSelecione</v>
      </c>
      <c r="B3002" s="85" t="s">
        <v>19</v>
      </c>
      <c r="C3002" s="85" t="s">
        <v>19</v>
      </c>
      <c r="D3002" s="93"/>
      <c r="E3002" s="116" t="str">
        <f t="shared" si="141"/>
        <v>-</v>
      </c>
      <c r="F3002" s="90"/>
      <c r="G3002" s="85" t="s">
        <v>19</v>
      </c>
      <c r="H3002" s="85"/>
      <c r="I3002" s="90"/>
      <c r="J3002" s="89"/>
      <c r="K3002" s="88">
        <f t="shared" si="142"/>
        <v>0</v>
      </c>
      <c r="L3002" s="90"/>
    </row>
    <row r="3003" spans="1:12" hidden="1" x14ac:dyDescent="0.2">
      <c r="A3003" s="84" t="str">
        <f t="shared" si="140"/>
        <v>SelecioneSelecioneSelecione</v>
      </c>
      <c r="B3003" s="85" t="s">
        <v>19</v>
      </c>
      <c r="C3003" s="85" t="s">
        <v>19</v>
      </c>
      <c r="D3003" s="93"/>
      <c r="E3003" s="116" t="str">
        <f t="shared" si="141"/>
        <v>-</v>
      </c>
      <c r="F3003" s="85"/>
      <c r="G3003" s="85" t="s">
        <v>19</v>
      </c>
      <c r="H3003" s="85"/>
      <c r="I3003" s="90"/>
      <c r="J3003" s="89"/>
      <c r="K3003" s="88">
        <f t="shared" si="142"/>
        <v>0</v>
      </c>
      <c r="L3003" s="90"/>
    </row>
    <row r="3004" spans="1:12" hidden="1" x14ac:dyDescent="0.2">
      <c r="A3004" s="84" t="str">
        <f t="shared" si="140"/>
        <v>SelecioneSelecioneSelecione</v>
      </c>
      <c r="B3004" s="85" t="s">
        <v>19</v>
      </c>
      <c r="C3004" s="85" t="s">
        <v>19</v>
      </c>
      <c r="D3004" s="93"/>
      <c r="E3004" s="116" t="str">
        <f t="shared" si="141"/>
        <v>-</v>
      </c>
      <c r="F3004" s="85"/>
      <c r="G3004" s="85" t="s">
        <v>19</v>
      </c>
      <c r="H3004" s="85"/>
      <c r="I3004" s="90"/>
      <c r="J3004" s="89"/>
      <c r="K3004" s="88">
        <f t="shared" si="142"/>
        <v>0</v>
      </c>
      <c r="L3004" s="90"/>
    </row>
    <row r="3005" spans="1:12" hidden="1" x14ac:dyDescent="0.2">
      <c r="A3005" s="84" t="str">
        <f t="shared" si="140"/>
        <v>SelecioneSelecioneSelecione</v>
      </c>
      <c r="B3005" s="85" t="s">
        <v>19</v>
      </c>
      <c r="C3005" s="85" t="s">
        <v>19</v>
      </c>
      <c r="D3005" s="93"/>
      <c r="E3005" s="116" t="str">
        <f t="shared" si="141"/>
        <v>-</v>
      </c>
      <c r="F3005" s="90"/>
      <c r="G3005" s="85" t="s">
        <v>19</v>
      </c>
      <c r="H3005" s="85"/>
      <c r="I3005" s="90"/>
      <c r="J3005" s="89"/>
      <c r="K3005" s="88">
        <f t="shared" si="142"/>
        <v>0</v>
      </c>
      <c r="L3005" s="90"/>
    </row>
    <row r="3006" spans="1:12" hidden="1" x14ac:dyDescent="0.2">
      <c r="A3006" s="84" t="str">
        <f t="shared" si="140"/>
        <v>SelecioneSelecioneSelecione</v>
      </c>
      <c r="B3006" s="85" t="s">
        <v>19</v>
      </c>
      <c r="C3006" s="85" t="s">
        <v>19</v>
      </c>
      <c r="D3006" s="93"/>
      <c r="E3006" s="116" t="str">
        <f t="shared" si="141"/>
        <v>-</v>
      </c>
      <c r="F3006" s="90"/>
      <c r="G3006" s="85" t="s">
        <v>19</v>
      </c>
      <c r="H3006" s="85"/>
      <c r="I3006" s="90"/>
      <c r="J3006" s="89"/>
      <c r="K3006" s="88">
        <f t="shared" si="142"/>
        <v>0</v>
      </c>
      <c r="L3006" s="90"/>
    </row>
    <row r="3007" spans="1:12" hidden="1" x14ac:dyDescent="0.2">
      <c r="A3007" s="84" t="str">
        <f t="shared" si="140"/>
        <v>SelecioneSelecioneSelecione</v>
      </c>
      <c r="B3007" s="85" t="s">
        <v>19</v>
      </c>
      <c r="C3007" s="85" t="s">
        <v>19</v>
      </c>
      <c r="D3007" s="93"/>
      <c r="E3007" s="116" t="str">
        <f t="shared" si="141"/>
        <v>-</v>
      </c>
      <c r="F3007" s="90"/>
      <c r="G3007" s="85" t="s">
        <v>19</v>
      </c>
      <c r="H3007" s="85"/>
      <c r="I3007" s="90"/>
      <c r="J3007" s="89"/>
      <c r="K3007" s="88">
        <f t="shared" si="142"/>
        <v>0</v>
      </c>
      <c r="L3007" s="90"/>
    </row>
    <row r="3008" spans="1:12" hidden="1" x14ac:dyDescent="0.2">
      <c r="A3008" s="84" t="str">
        <f t="shared" si="140"/>
        <v>SelecioneSelecioneSelecione</v>
      </c>
      <c r="B3008" s="85" t="s">
        <v>19</v>
      </c>
      <c r="C3008" s="85" t="s">
        <v>19</v>
      </c>
      <c r="D3008" s="93"/>
      <c r="E3008" s="116" t="str">
        <f t="shared" si="141"/>
        <v>-</v>
      </c>
      <c r="F3008" s="90"/>
      <c r="G3008" s="85" t="s">
        <v>19</v>
      </c>
      <c r="H3008" s="85"/>
      <c r="I3008" s="90"/>
      <c r="J3008" s="89"/>
      <c r="K3008" s="88">
        <f t="shared" si="142"/>
        <v>0</v>
      </c>
      <c r="L3008" s="85"/>
    </row>
    <row r="3009" spans="1:12" hidden="1" x14ac:dyDescent="0.2">
      <c r="A3009" s="84" t="str">
        <f t="shared" si="140"/>
        <v>SelecioneSelecioneSelecione</v>
      </c>
      <c r="B3009" s="85" t="s">
        <v>19</v>
      </c>
      <c r="C3009" s="85" t="s">
        <v>19</v>
      </c>
      <c r="D3009" s="93"/>
      <c r="E3009" s="116" t="str">
        <f t="shared" si="141"/>
        <v>-</v>
      </c>
      <c r="F3009" s="90"/>
      <c r="G3009" s="85" t="s">
        <v>19</v>
      </c>
      <c r="H3009" s="85"/>
      <c r="I3009" s="90"/>
      <c r="J3009" s="89"/>
      <c r="K3009" s="88">
        <f t="shared" si="142"/>
        <v>0</v>
      </c>
      <c r="L3009" s="90"/>
    </row>
    <row r="3010" spans="1:12" hidden="1" x14ac:dyDescent="0.2">
      <c r="A3010" s="84" t="str">
        <f t="shared" ref="A3010:A3073" si="143">CONCATENATE(B3010,C3010,G3010)</f>
        <v>SelecioneSelecioneSelecione</v>
      </c>
      <c r="B3010" s="85" t="s">
        <v>19</v>
      </c>
      <c r="C3010" s="85" t="s">
        <v>19</v>
      </c>
      <c r="D3010" s="93"/>
      <c r="E3010" s="116" t="str">
        <f t="shared" ref="E3010:E3073" si="144">VLOOKUP(G3010,$M$1:$O$993,3,0)</f>
        <v>-</v>
      </c>
      <c r="F3010" s="90"/>
      <c r="G3010" s="85" t="s">
        <v>19</v>
      </c>
      <c r="H3010" s="85"/>
      <c r="I3010" s="90"/>
      <c r="J3010" s="89"/>
      <c r="K3010" s="88">
        <f t="shared" ref="K3010:K3073" si="145">I3010*J3010</f>
        <v>0</v>
      </c>
      <c r="L3010" s="90"/>
    </row>
    <row r="3011" spans="1:12" hidden="1" x14ac:dyDescent="0.2">
      <c r="A3011" s="84" t="str">
        <f t="shared" si="143"/>
        <v>SelecioneSelecioneSelecione</v>
      </c>
      <c r="B3011" s="85" t="s">
        <v>19</v>
      </c>
      <c r="C3011" s="85" t="s">
        <v>19</v>
      </c>
      <c r="D3011" s="93"/>
      <c r="E3011" s="116" t="str">
        <f t="shared" si="144"/>
        <v>-</v>
      </c>
      <c r="F3011" s="90"/>
      <c r="G3011" s="85" t="s">
        <v>19</v>
      </c>
      <c r="H3011" s="85"/>
      <c r="I3011" s="90"/>
      <c r="J3011" s="89"/>
      <c r="K3011" s="88">
        <f t="shared" si="145"/>
        <v>0</v>
      </c>
      <c r="L3011" s="90"/>
    </row>
    <row r="3012" spans="1:12" hidden="1" x14ac:dyDescent="0.2">
      <c r="A3012" s="84" t="str">
        <f t="shared" si="143"/>
        <v>SelecioneSelecioneSelecione</v>
      </c>
      <c r="B3012" s="85" t="s">
        <v>19</v>
      </c>
      <c r="C3012" s="85" t="s">
        <v>19</v>
      </c>
      <c r="D3012" s="86"/>
      <c r="E3012" s="116" t="str">
        <f t="shared" si="144"/>
        <v>-</v>
      </c>
      <c r="F3012" s="85"/>
      <c r="G3012" s="85" t="s">
        <v>19</v>
      </c>
      <c r="H3012" s="85"/>
      <c r="I3012" s="85"/>
      <c r="J3012" s="87"/>
      <c r="K3012" s="88">
        <f t="shared" si="145"/>
        <v>0</v>
      </c>
      <c r="L3012" s="85"/>
    </row>
    <row r="3013" spans="1:12" hidden="1" x14ac:dyDescent="0.2">
      <c r="A3013" s="84" t="str">
        <f t="shared" si="143"/>
        <v>SelecioneSelecioneSelecione</v>
      </c>
      <c r="B3013" s="85" t="s">
        <v>19</v>
      </c>
      <c r="C3013" s="85" t="s">
        <v>19</v>
      </c>
      <c r="D3013" s="86"/>
      <c r="E3013" s="116" t="str">
        <f t="shared" si="144"/>
        <v>-</v>
      </c>
      <c r="F3013" s="85"/>
      <c r="G3013" s="85" t="s">
        <v>19</v>
      </c>
      <c r="H3013" s="85"/>
      <c r="I3013" s="85"/>
      <c r="J3013" s="87"/>
      <c r="K3013" s="88">
        <f t="shared" si="145"/>
        <v>0</v>
      </c>
      <c r="L3013" s="85"/>
    </row>
    <row r="3014" spans="1:12" hidden="1" x14ac:dyDescent="0.2">
      <c r="A3014" s="84" t="str">
        <f t="shared" si="143"/>
        <v>SelecioneSelecioneSelecione</v>
      </c>
      <c r="B3014" s="85" t="s">
        <v>19</v>
      </c>
      <c r="C3014" s="85" t="s">
        <v>19</v>
      </c>
      <c r="D3014" s="93"/>
      <c r="E3014" s="116" t="str">
        <f t="shared" si="144"/>
        <v>-</v>
      </c>
      <c r="F3014" s="90"/>
      <c r="G3014" s="85" t="s">
        <v>19</v>
      </c>
      <c r="H3014" s="85"/>
      <c r="I3014" s="90"/>
      <c r="J3014" s="89"/>
      <c r="K3014" s="88">
        <f t="shared" si="145"/>
        <v>0</v>
      </c>
      <c r="L3014" s="90"/>
    </row>
    <row r="3015" spans="1:12" hidden="1" x14ac:dyDescent="0.2">
      <c r="A3015" s="84" t="str">
        <f t="shared" si="143"/>
        <v>SelecioneSelecioneSelecione</v>
      </c>
      <c r="B3015" s="85" t="s">
        <v>19</v>
      </c>
      <c r="C3015" s="85" t="s">
        <v>19</v>
      </c>
      <c r="D3015" s="86"/>
      <c r="E3015" s="116" t="str">
        <f t="shared" si="144"/>
        <v>-</v>
      </c>
      <c r="F3015" s="85"/>
      <c r="G3015" s="85" t="s">
        <v>19</v>
      </c>
      <c r="H3015" s="85"/>
      <c r="I3015" s="85"/>
      <c r="J3015" s="87"/>
      <c r="K3015" s="88">
        <f t="shared" si="145"/>
        <v>0</v>
      </c>
      <c r="L3015" s="85"/>
    </row>
    <row r="3016" spans="1:12" hidden="1" x14ac:dyDescent="0.2">
      <c r="A3016" s="84" t="str">
        <f t="shared" si="143"/>
        <v>SelecioneSelecioneSelecione</v>
      </c>
      <c r="B3016" s="85" t="s">
        <v>19</v>
      </c>
      <c r="C3016" s="85" t="s">
        <v>19</v>
      </c>
      <c r="D3016" s="86"/>
      <c r="E3016" s="116" t="str">
        <f t="shared" si="144"/>
        <v>-</v>
      </c>
      <c r="F3016" s="85"/>
      <c r="G3016" s="85" t="s">
        <v>19</v>
      </c>
      <c r="H3016" s="85"/>
      <c r="I3016" s="85"/>
      <c r="J3016" s="87"/>
      <c r="K3016" s="88">
        <f t="shared" si="145"/>
        <v>0</v>
      </c>
      <c r="L3016" s="85"/>
    </row>
    <row r="3017" spans="1:12" hidden="1" x14ac:dyDescent="0.2">
      <c r="A3017" s="84" t="str">
        <f t="shared" si="143"/>
        <v>SelecioneSelecioneSelecione</v>
      </c>
      <c r="B3017" s="85" t="s">
        <v>19</v>
      </c>
      <c r="C3017" s="85" t="s">
        <v>19</v>
      </c>
      <c r="D3017" s="86"/>
      <c r="E3017" s="116" t="str">
        <f t="shared" si="144"/>
        <v>-</v>
      </c>
      <c r="F3017" s="85"/>
      <c r="G3017" s="85" t="s">
        <v>19</v>
      </c>
      <c r="H3017" s="85"/>
      <c r="I3017" s="85"/>
      <c r="J3017" s="87"/>
      <c r="K3017" s="88">
        <f t="shared" si="145"/>
        <v>0</v>
      </c>
      <c r="L3017" s="85"/>
    </row>
    <row r="3018" spans="1:12" hidden="1" x14ac:dyDescent="0.2">
      <c r="A3018" s="84" t="str">
        <f t="shared" si="143"/>
        <v>SelecioneSelecioneSelecione</v>
      </c>
      <c r="B3018" s="85" t="s">
        <v>19</v>
      </c>
      <c r="C3018" s="85" t="s">
        <v>19</v>
      </c>
      <c r="D3018" s="86"/>
      <c r="E3018" s="116" t="str">
        <f t="shared" si="144"/>
        <v>-</v>
      </c>
      <c r="F3018" s="85"/>
      <c r="G3018" s="85" t="s">
        <v>19</v>
      </c>
      <c r="H3018" s="85"/>
      <c r="I3018" s="85"/>
      <c r="J3018" s="87"/>
      <c r="K3018" s="88">
        <f t="shared" si="145"/>
        <v>0</v>
      </c>
      <c r="L3018" s="85"/>
    </row>
    <row r="3019" spans="1:12" hidden="1" x14ac:dyDescent="0.2">
      <c r="A3019" s="84" t="str">
        <f t="shared" si="143"/>
        <v>SelecioneSelecioneSelecione</v>
      </c>
      <c r="B3019" s="85" t="s">
        <v>19</v>
      </c>
      <c r="C3019" s="85" t="s">
        <v>19</v>
      </c>
      <c r="D3019" s="86"/>
      <c r="E3019" s="116" t="str">
        <f t="shared" si="144"/>
        <v>-</v>
      </c>
      <c r="F3019" s="85"/>
      <c r="G3019" s="85" t="s">
        <v>19</v>
      </c>
      <c r="H3019" s="85"/>
      <c r="I3019" s="85"/>
      <c r="J3019" s="87"/>
      <c r="K3019" s="88">
        <f t="shared" si="145"/>
        <v>0</v>
      </c>
      <c r="L3019" s="85"/>
    </row>
    <row r="3020" spans="1:12" hidden="1" x14ac:dyDescent="0.2">
      <c r="A3020" s="84" t="str">
        <f t="shared" si="143"/>
        <v>SelecioneSelecioneSelecione</v>
      </c>
      <c r="B3020" s="85" t="s">
        <v>19</v>
      </c>
      <c r="C3020" s="85" t="s">
        <v>19</v>
      </c>
      <c r="D3020" s="86"/>
      <c r="E3020" s="116" t="str">
        <f t="shared" si="144"/>
        <v>-</v>
      </c>
      <c r="F3020" s="85"/>
      <c r="G3020" s="85" t="s">
        <v>19</v>
      </c>
      <c r="H3020" s="85"/>
      <c r="I3020" s="85"/>
      <c r="J3020" s="87"/>
      <c r="K3020" s="88">
        <f t="shared" si="145"/>
        <v>0</v>
      </c>
      <c r="L3020" s="85"/>
    </row>
    <row r="3021" spans="1:12" hidden="1" x14ac:dyDescent="0.2">
      <c r="A3021" s="84" t="str">
        <f t="shared" si="143"/>
        <v>SelecioneSelecioneSelecione</v>
      </c>
      <c r="B3021" s="85" t="s">
        <v>19</v>
      </c>
      <c r="C3021" s="85" t="s">
        <v>19</v>
      </c>
      <c r="D3021" s="86"/>
      <c r="E3021" s="116" t="str">
        <f t="shared" si="144"/>
        <v>-</v>
      </c>
      <c r="F3021" s="85"/>
      <c r="G3021" s="85" t="s">
        <v>19</v>
      </c>
      <c r="H3021" s="85"/>
      <c r="I3021" s="85"/>
      <c r="J3021" s="87"/>
      <c r="K3021" s="88">
        <f t="shared" si="145"/>
        <v>0</v>
      </c>
      <c r="L3021" s="85"/>
    </row>
    <row r="3022" spans="1:12" hidden="1" x14ac:dyDescent="0.2">
      <c r="A3022" s="84" t="str">
        <f t="shared" si="143"/>
        <v>SelecioneSelecioneSelecione</v>
      </c>
      <c r="B3022" s="85" t="s">
        <v>19</v>
      </c>
      <c r="C3022" s="85" t="s">
        <v>19</v>
      </c>
      <c r="D3022" s="86"/>
      <c r="E3022" s="116" t="str">
        <f t="shared" si="144"/>
        <v>-</v>
      </c>
      <c r="F3022" s="85"/>
      <c r="G3022" s="85" t="s">
        <v>19</v>
      </c>
      <c r="H3022" s="85"/>
      <c r="I3022" s="85"/>
      <c r="J3022" s="87"/>
      <c r="K3022" s="88">
        <f t="shared" si="145"/>
        <v>0</v>
      </c>
      <c r="L3022" s="85"/>
    </row>
    <row r="3023" spans="1:12" hidden="1" x14ac:dyDescent="0.2">
      <c r="A3023" s="84" t="str">
        <f t="shared" si="143"/>
        <v>SelecioneSelecioneSelecione</v>
      </c>
      <c r="B3023" s="85" t="s">
        <v>19</v>
      </c>
      <c r="C3023" s="85" t="s">
        <v>19</v>
      </c>
      <c r="D3023" s="86"/>
      <c r="E3023" s="116" t="str">
        <f t="shared" si="144"/>
        <v>-</v>
      </c>
      <c r="F3023" s="85"/>
      <c r="G3023" s="85" t="s">
        <v>19</v>
      </c>
      <c r="H3023" s="85"/>
      <c r="I3023" s="85"/>
      <c r="J3023" s="87"/>
      <c r="K3023" s="88">
        <f t="shared" si="145"/>
        <v>0</v>
      </c>
      <c r="L3023" s="85"/>
    </row>
    <row r="3024" spans="1:12" hidden="1" x14ac:dyDescent="0.2">
      <c r="A3024" s="84" t="str">
        <f t="shared" si="143"/>
        <v>SelecioneSelecioneSelecione</v>
      </c>
      <c r="B3024" s="85" t="s">
        <v>19</v>
      </c>
      <c r="C3024" s="85" t="s">
        <v>19</v>
      </c>
      <c r="D3024" s="86"/>
      <c r="E3024" s="116" t="str">
        <f t="shared" si="144"/>
        <v>-</v>
      </c>
      <c r="F3024" s="85"/>
      <c r="G3024" s="85" t="s">
        <v>19</v>
      </c>
      <c r="H3024" s="85"/>
      <c r="I3024" s="85"/>
      <c r="J3024" s="87"/>
      <c r="K3024" s="88">
        <f t="shared" si="145"/>
        <v>0</v>
      </c>
      <c r="L3024" s="85"/>
    </row>
    <row r="3025" spans="1:12" hidden="1" x14ac:dyDescent="0.2">
      <c r="A3025" s="84" t="str">
        <f t="shared" si="143"/>
        <v>SelecioneSelecioneSelecione</v>
      </c>
      <c r="B3025" s="85" t="s">
        <v>19</v>
      </c>
      <c r="C3025" s="85" t="s">
        <v>19</v>
      </c>
      <c r="D3025" s="93"/>
      <c r="E3025" s="116" t="str">
        <f t="shared" si="144"/>
        <v>-</v>
      </c>
      <c r="F3025" s="90"/>
      <c r="G3025" s="85" t="s">
        <v>19</v>
      </c>
      <c r="H3025" s="85"/>
      <c r="I3025" s="90"/>
      <c r="J3025" s="89"/>
      <c r="K3025" s="88">
        <f t="shared" si="145"/>
        <v>0</v>
      </c>
      <c r="L3025" s="90"/>
    </row>
    <row r="3026" spans="1:12" hidden="1" x14ac:dyDescent="0.2">
      <c r="A3026" s="84" t="str">
        <f t="shared" si="143"/>
        <v>SelecioneSelecioneSelecione</v>
      </c>
      <c r="B3026" s="85" t="s">
        <v>19</v>
      </c>
      <c r="C3026" s="85" t="s">
        <v>19</v>
      </c>
      <c r="D3026" s="93"/>
      <c r="E3026" s="116" t="str">
        <f t="shared" si="144"/>
        <v>-</v>
      </c>
      <c r="F3026" s="90"/>
      <c r="G3026" s="85" t="s">
        <v>19</v>
      </c>
      <c r="H3026" s="85"/>
      <c r="I3026" s="90"/>
      <c r="J3026" s="89"/>
      <c r="K3026" s="88">
        <f t="shared" si="145"/>
        <v>0</v>
      </c>
      <c r="L3026" s="90"/>
    </row>
    <row r="3027" spans="1:12" hidden="1" x14ac:dyDescent="0.2">
      <c r="A3027" s="84" t="str">
        <f t="shared" si="143"/>
        <v>SelecioneSelecioneSelecione</v>
      </c>
      <c r="B3027" s="85" t="s">
        <v>19</v>
      </c>
      <c r="C3027" s="85" t="s">
        <v>19</v>
      </c>
      <c r="D3027" s="93"/>
      <c r="E3027" s="116" t="str">
        <f t="shared" si="144"/>
        <v>-</v>
      </c>
      <c r="F3027" s="90"/>
      <c r="G3027" s="85" t="s">
        <v>19</v>
      </c>
      <c r="H3027" s="85"/>
      <c r="I3027" s="90"/>
      <c r="J3027" s="89"/>
      <c r="K3027" s="88">
        <f t="shared" si="145"/>
        <v>0</v>
      </c>
      <c r="L3027" s="90"/>
    </row>
    <row r="3028" spans="1:12" hidden="1" x14ac:dyDescent="0.2">
      <c r="A3028" s="84" t="str">
        <f t="shared" si="143"/>
        <v>SelecioneSelecioneSelecione</v>
      </c>
      <c r="B3028" s="85" t="s">
        <v>19</v>
      </c>
      <c r="C3028" s="85" t="s">
        <v>19</v>
      </c>
      <c r="D3028" s="93"/>
      <c r="E3028" s="116" t="str">
        <f t="shared" si="144"/>
        <v>-</v>
      </c>
      <c r="F3028" s="90"/>
      <c r="G3028" s="85" t="s">
        <v>19</v>
      </c>
      <c r="H3028" s="85"/>
      <c r="I3028" s="90"/>
      <c r="J3028" s="89"/>
      <c r="K3028" s="88">
        <f t="shared" si="145"/>
        <v>0</v>
      </c>
      <c r="L3028" s="90"/>
    </row>
    <row r="3029" spans="1:12" hidden="1" x14ac:dyDescent="0.2">
      <c r="A3029" s="84" t="str">
        <f t="shared" si="143"/>
        <v>SelecioneSelecioneSelecione</v>
      </c>
      <c r="B3029" s="85" t="s">
        <v>19</v>
      </c>
      <c r="C3029" s="85" t="s">
        <v>19</v>
      </c>
      <c r="D3029" s="93"/>
      <c r="E3029" s="116" t="str">
        <f t="shared" si="144"/>
        <v>-</v>
      </c>
      <c r="F3029" s="90"/>
      <c r="G3029" s="85" t="s">
        <v>19</v>
      </c>
      <c r="H3029" s="85"/>
      <c r="I3029" s="90"/>
      <c r="J3029" s="89"/>
      <c r="K3029" s="88">
        <f t="shared" si="145"/>
        <v>0</v>
      </c>
      <c r="L3029" s="90"/>
    </row>
    <row r="3030" spans="1:12" hidden="1" x14ac:dyDescent="0.2">
      <c r="A3030" s="84" t="str">
        <f t="shared" si="143"/>
        <v>SelecioneSelecioneSelecione</v>
      </c>
      <c r="B3030" s="85" t="s">
        <v>19</v>
      </c>
      <c r="C3030" s="85" t="s">
        <v>19</v>
      </c>
      <c r="D3030" s="86"/>
      <c r="E3030" s="116" t="str">
        <f t="shared" si="144"/>
        <v>-</v>
      </c>
      <c r="F3030" s="85"/>
      <c r="G3030" s="85" t="s">
        <v>19</v>
      </c>
      <c r="H3030" s="85"/>
      <c r="I3030" s="85"/>
      <c r="J3030" s="87"/>
      <c r="K3030" s="88">
        <f t="shared" si="145"/>
        <v>0</v>
      </c>
      <c r="L3030" s="85"/>
    </row>
    <row r="3031" spans="1:12" hidden="1" x14ac:dyDescent="0.2">
      <c r="A3031" s="84" t="str">
        <f t="shared" si="143"/>
        <v>SelecioneSelecioneSelecione</v>
      </c>
      <c r="B3031" s="85" t="s">
        <v>19</v>
      </c>
      <c r="C3031" s="85" t="s">
        <v>19</v>
      </c>
      <c r="D3031" s="86"/>
      <c r="E3031" s="116" t="str">
        <f t="shared" si="144"/>
        <v>-</v>
      </c>
      <c r="F3031" s="85"/>
      <c r="G3031" s="85" t="s">
        <v>19</v>
      </c>
      <c r="H3031" s="85"/>
      <c r="I3031" s="85"/>
      <c r="J3031" s="87"/>
      <c r="K3031" s="88">
        <f t="shared" si="145"/>
        <v>0</v>
      </c>
      <c r="L3031" s="85"/>
    </row>
    <row r="3032" spans="1:12" hidden="1" x14ac:dyDescent="0.2">
      <c r="A3032" s="84" t="str">
        <f t="shared" si="143"/>
        <v>SelecioneSelecioneSelecione</v>
      </c>
      <c r="B3032" s="85" t="s">
        <v>19</v>
      </c>
      <c r="C3032" s="85" t="s">
        <v>19</v>
      </c>
      <c r="D3032" s="86"/>
      <c r="E3032" s="116" t="str">
        <f t="shared" si="144"/>
        <v>-</v>
      </c>
      <c r="F3032" s="85"/>
      <c r="G3032" s="85" t="s">
        <v>19</v>
      </c>
      <c r="H3032" s="85"/>
      <c r="I3032" s="85"/>
      <c r="J3032" s="87"/>
      <c r="K3032" s="88">
        <f t="shared" si="145"/>
        <v>0</v>
      </c>
      <c r="L3032" s="85"/>
    </row>
    <row r="3033" spans="1:12" hidden="1" x14ac:dyDescent="0.2">
      <c r="A3033" s="84" t="str">
        <f t="shared" si="143"/>
        <v>SelecioneSelecioneSelecione</v>
      </c>
      <c r="B3033" s="85" t="s">
        <v>19</v>
      </c>
      <c r="C3033" s="85" t="s">
        <v>19</v>
      </c>
      <c r="D3033" s="86"/>
      <c r="E3033" s="116" t="str">
        <f t="shared" si="144"/>
        <v>-</v>
      </c>
      <c r="F3033" s="85"/>
      <c r="G3033" s="85" t="s">
        <v>19</v>
      </c>
      <c r="H3033" s="85"/>
      <c r="I3033" s="85"/>
      <c r="J3033" s="87"/>
      <c r="K3033" s="88">
        <f t="shared" si="145"/>
        <v>0</v>
      </c>
      <c r="L3033" s="85"/>
    </row>
    <row r="3034" spans="1:12" hidden="1" x14ac:dyDescent="0.2">
      <c r="A3034" s="84" t="str">
        <f t="shared" si="143"/>
        <v>SelecioneSelecioneSelecione</v>
      </c>
      <c r="B3034" s="85" t="s">
        <v>19</v>
      </c>
      <c r="C3034" s="85" t="s">
        <v>19</v>
      </c>
      <c r="D3034" s="86"/>
      <c r="E3034" s="116" t="str">
        <f t="shared" si="144"/>
        <v>-</v>
      </c>
      <c r="F3034" s="85"/>
      <c r="G3034" s="85" t="s">
        <v>19</v>
      </c>
      <c r="H3034" s="85"/>
      <c r="I3034" s="85"/>
      <c r="J3034" s="87"/>
      <c r="K3034" s="88">
        <f t="shared" si="145"/>
        <v>0</v>
      </c>
      <c r="L3034" s="85"/>
    </row>
    <row r="3035" spans="1:12" hidden="1" x14ac:dyDescent="0.2">
      <c r="A3035" s="84" t="str">
        <f t="shared" si="143"/>
        <v>SelecioneSelecioneSelecione</v>
      </c>
      <c r="B3035" s="85" t="s">
        <v>19</v>
      </c>
      <c r="C3035" s="85" t="s">
        <v>19</v>
      </c>
      <c r="D3035" s="86"/>
      <c r="E3035" s="116" t="str">
        <f t="shared" si="144"/>
        <v>-</v>
      </c>
      <c r="F3035" s="85"/>
      <c r="G3035" s="85" t="s">
        <v>19</v>
      </c>
      <c r="H3035" s="85"/>
      <c r="I3035" s="85"/>
      <c r="J3035" s="87"/>
      <c r="K3035" s="88">
        <f t="shared" si="145"/>
        <v>0</v>
      </c>
      <c r="L3035" s="85"/>
    </row>
    <row r="3036" spans="1:12" hidden="1" x14ac:dyDescent="0.2">
      <c r="A3036" s="84" t="str">
        <f t="shared" si="143"/>
        <v>SelecioneSelecioneSelecione</v>
      </c>
      <c r="B3036" s="85" t="s">
        <v>19</v>
      </c>
      <c r="C3036" s="85" t="s">
        <v>19</v>
      </c>
      <c r="D3036" s="93"/>
      <c r="E3036" s="116" t="str">
        <f t="shared" si="144"/>
        <v>-</v>
      </c>
      <c r="F3036" s="90"/>
      <c r="G3036" s="85" t="s">
        <v>19</v>
      </c>
      <c r="H3036" s="85"/>
      <c r="I3036" s="90"/>
      <c r="J3036" s="89"/>
      <c r="K3036" s="88">
        <f t="shared" si="145"/>
        <v>0</v>
      </c>
      <c r="L3036" s="90"/>
    </row>
    <row r="3037" spans="1:12" hidden="1" x14ac:dyDescent="0.2">
      <c r="A3037" s="84" t="str">
        <f t="shared" si="143"/>
        <v>SelecioneSelecioneSelecione</v>
      </c>
      <c r="B3037" s="85" t="s">
        <v>19</v>
      </c>
      <c r="C3037" s="85" t="s">
        <v>19</v>
      </c>
      <c r="D3037" s="86"/>
      <c r="E3037" s="116" t="str">
        <f t="shared" si="144"/>
        <v>-</v>
      </c>
      <c r="F3037" s="85"/>
      <c r="G3037" s="85" t="s">
        <v>19</v>
      </c>
      <c r="H3037" s="85"/>
      <c r="I3037" s="85"/>
      <c r="J3037" s="87"/>
      <c r="K3037" s="88">
        <f t="shared" si="145"/>
        <v>0</v>
      </c>
      <c r="L3037" s="85"/>
    </row>
    <row r="3038" spans="1:12" hidden="1" x14ac:dyDescent="0.2">
      <c r="A3038" s="84" t="str">
        <f t="shared" si="143"/>
        <v>SelecioneSelecioneSelecione</v>
      </c>
      <c r="B3038" s="85" t="s">
        <v>19</v>
      </c>
      <c r="C3038" s="85" t="s">
        <v>19</v>
      </c>
      <c r="D3038" s="86"/>
      <c r="E3038" s="116" t="str">
        <f t="shared" si="144"/>
        <v>-</v>
      </c>
      <c r="F3038" s="85"/>
      <c r="G3038" s="85" t="s">
        <v>19</v>
      </c>
      <c r="H3038" s="85"/>
      <c r="I3038" s="85"/>
      <c r="J3038" s="87"/>
      <c r="K3038" s="88">
        <f t="shared" si="145"/>
        <v>0</v>
      </c>
      <c r="L3038" s="85"/>
    </row>
    <row r="3039" spans="1:12" hidden="1" x14ac:dyDescent="0.2">
      <c r="A3039" s="84" t="str">
        <f t="shared" si="143"/>
        <v>SelecioneSelecioneSelecione</v>
      </c>
      <c r="B3039" s="85" t="s">
        <v>19</v>
      </c>
      <c r="C3039" s="85" t="s">
        <v>19</v>
      </c>
      <c r="D3039" s="86"/>
      <c r="E3039" s="116" t="str">
        <f t="shared" si="144"/>
        <v>-</v>
      </c>
      <c r="F3039" s="85"/>
      <c r="G3039" s="85" t="s">
        <v>19</v>
      </c>
      <c r="H3039" s="85"/>
      <c r="I3039" s="85"/>
      <c r="J3039" s="87"/>
      <c r="K3039" s="88">
        <f t="shared" si="145"/>
        <v>0</v>
      </c>
      <c r="L3039" s="85"/>
    </row>
    <row r="3040" spans="1:12" hidden="1" x14ac:dyDescent="0.2">
      <c r="A3040" s="84" t="str">
        <f t="shared" si="143"/>
        <v>SelecioneSelecioneSelecione</v>
      </c>
      <c r="B3040" s="85" t="s">
        <v>19</v>
      </c>
      <c r="C3040" s="85" t="s">
        <v>19</v>
      </c>
      <c r="D3040" s="86"/>
      <c r="E3040" s="116" t="str">
        <f t="shared" si="144"/>
        <v>-</v>
      </c>
      <c r="F3040" s="85"/>
      <c r="G3040" s="85" t="s">
        <v>19</v>
      </c>
      <c r="H3040" s="85"/>
      <c r="I3040" s="85"/>
      <c r="J3040" s="87"/>
      <c r="K3040" s="88">
        <f t="shared" si="145"/>
        <v>0</v>
      </c>
      <c r="L3040" s="85"/>
    </row>
    <row r="3041" spans="1:12" hidden="1" x14ac:dyDescent="0.2">
      <c r="A3041" s="84" t="str">
        <f t="shared" si="143"/>
        <v>SelecioneSelecioneSelecione</v>
      </c>
      <c r="B3041" s="85" t="s">
        <v>19</v>
      </c>
      <c r="C3041" s="85" t="s">
        <v>19</v>
      </c>
      <c r="D3041" s="86"/>
      <c r="E3041" s="116" t="str">
        <f t="shared" si="144"/>
        <v>-</v>
      </c>
      <c r="F3041" s="85"/>
      <c r="G3041" s="85" t="s">
        <v>19</v>
      </c>
      <c r="H3041" s="85"/>
      <c r="I3041" s="85"/>
      <c r="J3041" s="87"/>
      <c r="K3041" s="88">
        <f t="shared" si="145"/>
        <v>0</v>
      </c>
      <c r="L3041" s="85"/>
    </row>
    <row r="3042" spans="1:12" hidden="1" x14ac:dyDescent="0.2">
      <c r="A3042" s="84" t="str">
        <f t="shared" si="143"/>
        <v>SelecioneSelecioneSelecione</v>
      </c>
      <c r="B3042" s="85" t="s">
        <v>19</v>
      </c>
      <c r="C3042" s="85" t="s">
        <v>19</v>
      </c>
      <c r="D3042" s="93"/>
      <c r="E3042" s="116" t="str">
        <f t="shared" si="144"/>
        <v>-</v>
      </c>
      <c r="F3042" s="90"/>
      <c r="G3042" s="85" t="s">
        <v>19</v>
      </c>
      <c r="H3042" s="85"/>
      <c r="I3042" s="90"/>
      <c r="J3042" s="89"/>
      <c r="K3042" s="88">
        <f t="shared" si="145"/>
        <v>0</v>
      </c>
      <c r="L3042" s="90"/>
    </row>
    <row r="3043" spans="1:12" hidden="1" x14ac:dyDescent="0.2">
      <c r="A3043" s="84" t="str">
        <f t="shared" si="143"/>
        <v>SelecioneSelecioneSelecione</v>
      </c>
      <c r="B3043" s="85" t="s">
        <v>19</v>
      </c>
      <c r="C3043" s="85" t="s">
        <v>19</v>
      </c>
      <c r="D3043" s="93"/>
      <c r="E3043" s="116" t="str">
        <f t="shared" si="144"/>
        <v>-</v>
      </c>
      <c r="F3043" s="90"/>
      <c r="G3043" s="85" t="s">
        <v>19</v>
      </c>
      <c r="H3043" s="85"/>
      <c r="I3043" s="90"/>
      <c r="J3043" s="89"/>
      <c r="K3043" s="88">
        <f t="shared" si="145"/>
        <v>0</v>
      </c>
      <c r="L3043" s="90"/>
    </row>
    <row r="3044" spans="1:12" hidden="1" x14ac:dyDescent="0.2">
      <c r="A3044" s="84" t="str">
        <f t="shared" si="143"/>
        <v>SelecioneSelecioneSelecione</v>
      </c>
      <c r="B3044" s="85" t="s">
        <v>19</v>
      </c>
      <c r="C3044" s="85" t="s">
        <v>19</v>
      </c>
      <c r="D3044" s="93"/>
      <c r="E3044" s="116" t="str">
        <f t="shared" si="144"/>
        <v>-</v>
      </c>
      <c r="F3044" s="90"/>
      <c r="G3044" s="85" t="s">
        <v>19</v>
      </c>
      <c r="H3044" s="85"/>
      <c r="I3044" s="90"/>
      <c r="J3044" s="89"/>
      <c r="K3044" s="88">
        <f t="shared" si="145"/>
        <v>0</v>
      </c>
      <c r="L3044" s="90"/>
    </row>
    <row r="3045" spans="1:12" hidden="1" x14ac:dyDescent="0.2">
      <c r="A3045" s="84" t="str">
        <f t="shared" si="143"/>
        <v>SelecioneSelecioneSelecione</v>
      </c>
      <c r="B3045" s="85" t="s">
        <v>19</v>
      </c>
      <c r="C3045" s="85" t="s">
        <v>19</v>
      </c>
      <c r="D3045" s="93"/>
      <c r="E3045" s="116" t="str">
        <f t="shared" si="144"/>
        <v>-</v>
      </c>
      <c r="F3045" s="90"/>
      <c r="G3045" s="85" t="s">
        <v>19</v>
      </c>
      <c r="H3045" s="85"/>
      <c r="I3045" s="90"/>
      <c r="J3045" s="89"/>
      <c r="K3045" s="88">
        <f t="shared" si="145"/>
        <v>0</v>
      </c>
      <c r="L3045" s="90"/>
    </row>
    <row r="3046" spans="1:12" hidden="1" x14ac:dyDescent="0.2">
      <c r="A3046" s="84" t="str">
        <f t="shared" si="143"/>
        <v>SelecioneSelecioneSelecione</v>
      </c>
      <c r="B3046" s="85" t="s">
        <v>19</v>
      </c>
      <c r="C3046" s="85" t="s">
        <v>19</v>
      </c>
      <c r="D3046" s="93"/>
      <c r="E3046" s="116" t="str">
        <f t="shared" si="144"/>
        <v>-</v>
      </c>
      <c r="F3046" s="90"/>
      <c r="G3046" s="85" t="s">
        <v>19</v>
      </c>
      <c r="H3046" s="85"/>
      <c r="I3046" s="90"/>
      <c r="J3046" s="89"/>
      <c r="K3046" s="88">
        <f t="shared" si="145"/>
        <v>0</v>
      </c>
      <c r="L3046" s="90"/>
    </row>
    <row r="3047" spans="1:12" hidden="1" x14ac:dyDescent="0.2">
      <c r="A3047" s="84" t="str">
        <f t="shared" si="143"/>
        <v>SelecioneSelecioneSelecione</v>
      </c>
      <c r="B3047" s="85" t="s">
        <v>19</v>
      </c>
      <c r="C3047" s="85" t="s">
        <v>19</v>
      </c>
      <c r="D3047" s="86"/>
      <c r="E3047" s="116" t="str">
        <f t="shared" si="144"/>
        <v>-</v>
      </c>
      <c r="F3047" s="85"/>
      <c r="G3047" s="85" t="s">
        <v>19</v>
      </c>
      <c r="H3047" s="85"/>
      <c r="I3047" s="85"/>
      <c r="J3047" s="87"/>
      <c r="K3047" s="88">
        <f t="shared" si="145"/>
        <v>0</v>
      </c>
      <c r="L3047" s="85"/>
    </row>
    <row r="3048" spans="1:12" hidden="1" x14ac:dyDescent="0.2">
      <c r="A3048" s="84" t="str">
        <f t="shared" si="143"/>
        <v>SelecioneSelecioneSelecione</v>
      </c>
      <c r="B3048" s="85" t="s">
        <v>19</v>
      </c>
      <c r="C3048" s="85" t="s">
        <v>19</v>
      </c>
      <c r="D3048" s="86"/>
      <c r="E3048" s="116" t="str">
        <f t="shared" si="144"/>
        <v>-</v>
      </c>
      <c r="F3048" s="85"/>
      <c r="G3048" s="85" t="s">
        <v>19</v>
      </c>
      <c r="H3048" s="85"/>
      <c r="I3048" s="85"/>
      <c r="J3048" s="87"/>
      <c r="K3048" s="88">
        <f t="shared" si="145"/>
        <v>0</v>
      </c>
      <c r="L3048" s="85"/>
    </row>
    <row r="3049" spans="1:12" hidden="1" x14ac:dyDescent="0.2">
      <c r="A3049" s="84" t="str">
        <f t="shared" si="143"/>
        <v>SelecioneSelecioneSelecione</v>
      </c>
      <c r="B3049" s="85" t="s">
        <v>19</v>
      </c>
      <c r="C3049" s="85" t="s">
        <v>19</v>
      </c>
      <c r="D3049" s="86"/>
      <c r="E3049" s="116" t="str">
        <f t="shared" si="144"/>
        <v>-</v>
      </c>
      <c r="F3049" s="85"/>
      <c r="G3049" s="85" t="s">
        <v>19</v>
      </c>
      <c r="H3049" s="85"/>
      <c r="I3049" s="85"/>
      <c r="J3049" s="87"/>
      <c r="K3049" s="88">
        <f t="shared" si="145"/>
        <v>0</v>
      </c>
      <c r="L3049" s="85"/>
    </row>
    <row r="3050" spans="1:12" hidden="1" x14ac:dyDescent="0.2">
      <c r="A3050" s="84" t="str">
        <f t="shared" si="143"/>
        <v>SelecioneSelecioneSelecione</v>
      </c>
      <c r="B3050" s="85" t="s">
        <v>19</v>
      </c>
      <c r="C3050" s="85" t="s">
        <v>19</v>
      </c>
      <c r="D3050" s="93"/>
      <c r="E3050" s="116" t="str">
        <f t="shared" si="144"/>
        <v>-</v>
      </c>
      <c r="F3050" s="85"/>
      <c r="G3050" s="85" t="s">
        <v>19</v>
      </c>
      <c r="H3050" s="85"/>
      <c r="I3050" s="90"/>
      <c r="J3050" s="89"/>
      <c r="K3050" s="88">
        <f t="shared" si="145"/>
        <v>0</v>
      </c>
      <c r="L3050" s="90"/>
    </row>
    <row r="3051" spans="1:12" hidden="1" x14ac:dyDescent="0.2">
      <c r="A3051" s="84" t="str">
        <f t="shared" si="143"/>
        <v>SelecioneSelecioneSelecione</v>
      </c>
      <c r="B3051" s="85" t="s">
        <v>19</v>
      </c>
      <c r="C3051" s="85" t="s">
        <v>19</v>
      </c>
      <c r="D3051" s="86"/>
      <c r="E3051" s="116" t="str">
        <f t="shared" si="144"/>
        <v>-</v>
      </c>
      <c r="F3051" s="85"/>
      <c r="G3051" s="85" t="s">
        <v>19</v>
      </c>
      <c r="H3051" s="85"/>
      <c r="I3051" s="85"/>
      <c r="J3051" s="87"/>
      <c r="K3051" s="88">
        <f t="shared" si="145"/>
        <v>0</v>
      </c>
      <c r="L3051" s="85"/>
    </row>
    <row r="3052" spans="1:12" hidden="1" x14ac:dyDescent="0.2">
      <c r="A3052" s="84" t="str">
        <f t="shared" si="143"/>
        <v>SelecioneSelecioneSelecione</v>
      </c>
      <c r="B3052" s="85" t="s">
        <v>19</v>
      </c>
      <c r="C3052" s="85" t="s">
        <v>19</v>
      </c>
      <c r="D3052" s="86"/>
      <c r="E3052" s="116" t="str">
        <f t="shared" si="144"/>
        <v>-</v>
      </c>
      <c r="F3052" s="85"/>
      <c r="G3052" s="85" t="s">
        <v>19</v>
      </c>
      <c r="H3052" s="85"/>
      <c r="I3052" s="85"/>
      <c r="J3052" s="87"/>
      <c r="K3052" s="88">
        <f t="shared" si="145"/>
        <v>0</v>
      </c>
      <c r="L3052" s="85"/>
    </row>
    <row r="3053" spans="1:12" hidden="1" x14ac:dyDescent="0.2">
      <c r="A3053" s="84" t="str">
        <f t="shared" si="143"/>
        <v>SelecioneSelecioneSelecione</v>
      </c>
      <c r="B3053" s="85" t="s">
        <v>19</v>
      </c>
      <c r="C3053" s="85" t="s">
        <v>19</v>
      </c>
      <c r="D3053" s="86"/>
      <c r="E3053" s="116" t="str">
        <f t="shared" si="144"/>
        <v>-</v>
      </c>
      <c r="F3053" s="85"/>
      <c r="G3053" s="85" t="s">
        <v>19</v>
      </c>
      <c r="H3053" s="85"/>
      <c r="I3053" s="85"/>
      <c r="J3053" s="87"/>
      <c r="K3053" s="88">
        <f t="shared" si="145"/>
        <v>0</v>
      </c>
      <c r="L3053" s="85"/>
    </row>
    <row r="3054" spans="1:12" hidden="1" x14ac:dyDescent="0.2">
      <c r="A3054" s="84" t="str">
        <f t="shared" si="143"/>
        <v>SelecioneSelecioneSelecione</v>
      </c>
      <c r="B3054" s="85" t="s">
        <v>19</v>
      </c>
      <c r="C3054" s="85" t="s">
        <v>19</v>
      </c>
      <c r="D3054" s="86"/>
      <c r="E3054" s="116" t="str">
        <f t="shared" si="144"/>
        <v>-</v>
      </c>
      <c r="F3054" s="85"/>
      <c r="G3054" s="85" t="s">
        <v>19</v>
      </c>
      <c r="H3054" s="85"/>
      <c r="I3054" s="85"/>
      <c r="J3054" s="87"/>
      <c r="K3054" s="88">
        <f t="shared" si="145"/>
        <v>0</v>
      </c>
      <c r="L3054" s="85"/>
    </row>
    <row r="3055" spans="1:12" hidden="1" x14ac:dyDescent="0.2">
      <c r="A3055" s="84" t="str">
        <f t="shared" si="143"/>
        <v>SelecioneSelecioneSelecione</v>
      </c>
      <c r="B3055" s="85" t="s">
        <v>19</v>
      </c>
      <c r="C3055" s="85" t="s">
        <v>19</v>
      </c>
      <c r="D3055" s="93"/>
      <c r="E3055" s="116" t="str">
        <f t="shared" si="144"/>
        <v>-</v>
      </c>
      <c r="F3055" s="90"/>
      <c r="G3055" s="85" t="s">
        <v>19</v>
      </c>
      <c r="H3055" s="85"/>
      <c r="I3055" s="90"/>
      <c r="J3055" s="89"/>
      <c r="K3055" s="88">
        <f t="shared" si="145"/>
        <v>0</v>
      </c>
      <c r="L3055" s="90"/>
    </row>
    <row r="3056" spans="1:12" hidden="1" x14ac:dyDescent="0.2">
      <c r="A3056" s="84" t="str">
        <f t="shared" si="143"/>
        <v>SelecioneSelecioneSelecione</v>
      </c>
      <c r="B3056" s="85" t="s">
        <v>19</v>
      </c>
      <c r="C3056" s="85" t="s">
        <v>19</v>
      </c>
      <c r="D3056" s="93"/>
      <c r="E3056" s="116" t="str">
        <f t="shared" si="144"/>
        <v>-</v>
      </c>
      <c r="F3056" s="90"/>
      <c r="G3056" s="85" t="s">
        <v>19</v>
      </c>
      <c r="H3056" s="85"/>
      <c r="I3056" s="90"/>
      <c r="J3056" s="89"/>
      <c r="K3056" s="88">
        <f t="shared" si="145"/>
        <v>0</v>
      </c>
      <c r="L3056" s="90"/>
    </row>
    <row r="3057" spans="1:12" hidden="1" x14ac:dyDescent="0.2">
      <c r="A3057" s="84" t="str">
        <f t="shared" si="143"/>
        <v>SelecioneSelecioneSelecione</v>
      </c>
      <c r="B3057" s="85" t="s">
        <v>19</v>
      </c>
      <c r="C3057" s="85" t="s">
        <v>19</v>
      </c>
      <c r="D3057" s="93"/>
      <c r="E3057" s="116" t="str">
        <f t="shared" si="144"/>
        <v>-</v>
      </c>
      <c r="F3057" s="90"/>
      <c r="G3057" s="85" t="s">
        <v>19</v>
      </c>
      <c r="H3057" s="85"/>
      <c r="I3057" s="90"/>
      <c r="J3057" s="89"/>
      <c r="K3057" s="88">
        <f t="shared" si="145"/>
        <v>0</v>
      </c>
      <c r="L3057" s="90"/>
    </row>
    <row r="3058" spans="1:12" hidden="1" x14ac:dyDescent="0.2">
      <c r="A3058" s="84" t="str">
        <f t="shared" si="143"/>
        <v>SelecioneSelecioneSelecione</v>
      </c>
      <c r="B3058" s="85" t="s">
        <v>19</v>
      </c>
      <c r="C3058" s="85" t="s">
        <v>19</v>
      </c>
      <c r="D3058" s="93"/>
      <c r="E3058" s="116" t="str">
        <f t="shared" si="144"/>
        <v>-</v>
      </c>
      <c r="F3058" s="90"/>
      <c r="G3058" s="85" t="s">
        <v>19</v>
      </c>
      <c r="H3058" s="85"/>
      <c r="I3058" s="90"/>
      <c r="J3058" s="89"/>
      <c r="K3058" s="88">
        <f t="shared" si="145"/>
        <v>0</v>
      </c>
      <c r="L3058" s="90"/>
    </row>
    <row r="3059" spans="1:12" hidden="1" x14ac:dyDescent="0.2">
      <c r="A3059" s="84" t="str">
        <f t="shared" si="143"/>
        <v>SelecioneSelecioneSelecione</v>
      </c>
      <c r="B3059" s="85" t="s">
        <v>19</v>
      </c>
      <c r="C3059" s="85" t="s">
        <v>19</v>
      </c>
      <c r="D3059" s="93"/>
      <c r="E3059" s="116" t="str">
        <f t="shared" si="144"/>
        <v>-</v>
      </c>
      <c r="F3059" s="90"/>
      <c r="G3059" s="85" t="s">
        <v>19</v>
      </c>
      <c r="H3059" s="85"/>
      <c r="I3059" s="90"/>
      <c r="J3059" s="89"/>
      <c r="K3059" s="88">
        <f t="shared" si="145"/>
        <v>0</v>
      </c>
      <c r="L3059" s="90"/>
    </row>
    <row r="3060" spans="1:12" hidden="1" x14ac:dyDescent="0.2">
      <c r="A3060" s="84" t="str">
        <f t="shared" si="143"/>
        <v>SelecioneSelecioneSelecione</v>
      </c>
      <c r="B3060" s="85" t="s">
        <v>19</v>
      </c>
      <c r="C3060" s="85" t="s">
        <v>19</v>
      </c>
      <c r="D3060" s="93"/>
      <c r="E3060" s="116" t="str">
        <f t="shared" si="144"/>
        <v>-</v>
      </c>
      <c r="F3060" s="90"/>
      <c r="G3060" s="85" t="s">
        <v>19</v>
      </c>
      <c r="H3060" s="85"/>
      <c r="I3060" s="90"/>
      <c r="J3060" s="89"/>
      <c r="K3060" s="88">
        <f t="shared" si="145"/>
        <v>0</v>
      </c>
      <c r="L3060" s="90"/>
    </row>
    <row r="3061" spans="1:12" hidden="1" x14ac:dyDescent="0.2">
      <c r="A3061" s="84" t="str">
        <f t="shared" si="143"/>
        <v>SelecioneSelecioneSelecione</v>
      </c>
      <c r="B3061" s="85" t="s">
        <v>19</v>
      </c>
      <c r="C3061" s="85" t="s">
        <v>19</v>
      </c>
      <c r="D3061" s="93"/>
      <c r="E3061" s="116" t="str">
        <f t="shared" si="144"/>
        <v>-</v>
      </c>
      <c r="F3061" s="85"/>
      <c r="G3061" s="85" t="s">
        <v>19</v>
      </c>
      <c r="H3061" s="85"/>
      <c r="I3061" s="90"/>
      <c r="J3061" s="89"/>
      <c r="K3061" s="88">
        <f t="shared" si="145"/>
        <v>0</v>
      </c>
      <c r="L3061" s="90"/>
    </row>
    <row r="3062" spans="1:12" hidden="1" x14ac:dyDescent="0.2">
      <c r="A3062" s="84" t="str">
        <f t="shared" si="143"/>
        <v>SelecioneSelecioneSelecione</v>
      </c>
      <c r="B3062" s="85" t="s">
        <v>19</v>
      </c>
      <c r="C3062" s="85" t="s">
        <v>19</v>
      </c>
      <c r="D3062" s="93"/>
      <c r="E3062" s="116" t="str">
        <f t="shared" si="144"/>
        <v>-</v>
      </c>
      <c r="F3062" s="90"/>
      <c r="G3062" s="85" t="s">
        <v>19</v>
      </c>
      <c r="H3062" s="85"/>
      <c r="I3062" s="90"/>
      <c r="J3062" s="89"/>
      <c r="K3062" s="88">
        <f t="shared" si="145"/>
        <v>0</v>
      </c>
      <c r="L3062" s="90"/>
    </row>
    <row r="3063" spans="1:12" hidden="1" x14ac:dyDescent="0.2">
      <c r="A3063" s="84" t="str">
        <f t="shared" si="143"/>
        <v>SelecioneSelecioneSelecione</v>
      </c>
      <c r="B3063" s="85" t="s">
        <v>19</v>
      </c>
      <c r="C3063" s="85" t="s">
        <v>19</v>
      </c>
      <c r="D3063" s="93"/>
      <c r="E3063" s="116" t="str">
        <f t="shared" si="144"/>
        <v>-</v>
      </c>
      <c r="F3063" s="90"/>
      <c r="G3063" s="85" t="s">
        <v>19</v>
      </c>
      <c r="H3063" s="85"/>
      <c r="I3063" s="90"/>
      <c r="J3063" s="89"/>
      <c r="K3063" s="88">
        <f t="shared" si="145"/>
        <v>0</v>
      </c>
      <c r="L3063" s="90"/>
    </row>
    <row r="3064" spans="1:12" hidden="1" x14ac:dyDescent="0.2">
      <c r="A3064" s="84" t="str">
        <f t="shared" si="143"/>
        <v>SelecioneSelecioneSelecione</v>
      </c>
      <c r="B3064" s="85" t="s">
        <v>19</v>
      </c>
      <c r="C3064" s="85" t="s">
        <v>19</v>
      </c>
      <c r="D3064" s="93"/>
      <c r="E3064" s="116" t="str">
        <f t="shared" si="144"/>
        <v>-</v>
      </c>
      <c r="F3064" s="90"/>
      <c r="G3064" s="85" t="s">
        <v>19</v>
      </c>
      <c r="H3064" s="85"/>
      <c r="I3064" s="90"/>
      <c r="J3064" s="89"/>
      <c r="K3064" s="88">
        <f t="shared" si="145"/>
        <v>0</v>
      </c>
      <c r="L3064" s="90"/>
    </row>
    <row r="3065" spans="1:12" hidden="1" x14ac:dyDescent="0.2">
      <c r="A3065" s="84" t="str">
        <f t="shared" si="143"/>
        <v>SelecioneSelecioneSelecione</v>
      </c>
      <c r="B3065" s="85" t="s">
        <v>19</v>
      </c>
      <c r="C3065" s="85" t="s">
        <v>19</v>
      </c>
      <c r="D3065" s="93"/>
      <c r="E3065" s="116" t="str">
        <f t="shared" si="144"/>
        <v>-</v>
      </c>
      <c r="F3065" s="90"/>
      <c r="G3065" s="85" t="s">
        <v>19</v>
      </c>
      <c r="H3065" s="85"/>
      <c r="I3065" s="90"/>
      <c r="J3065" s="89"/>
      <c r="K3065" s="88">
        <f t="shared" si="145"/>
        <v>0</v>
      </c>
      <c r="L3065" s="90"/>
    </row>
    <row r="3066" spans="1:12" hidden="1" x14ac:dyDescent="0.2">
      <c r="A3066" s="84" t="str">
        <f t="shared" si="143"/>
        <v>SelecioneSelecioneSelecione</v>
      </c>
      <c r="B3066" s="85" t="s">
        <v>19</v>
      </c>
      <c r="C3066" s="85" t="s">
        <v>19</v>
      </c>
      <c r="D3066" s="93"/>
      <c r="E3066" s="116" t="str">
        <f t="shared" si="144"/>
        <v>-</v>
      </c>
      <c r="F3066" s="90"/>
      <c r="G3066" s="85" t="s">
        <v>19</v>
      </c>
      <c r="H3066" s="85"/>
      <c r="I3066" s="90"/>
      <c r="J3066" s="89"/>
      <c r="K3066" s="88">
        <f t="shared" si="145"/>
        <v>0</v>
      </c>
      <c r="L3066" s="90"/>
    </row>
    <row r="3067" spans="1:12" hidden="1" x14ac:dyDescent="0.2">
      <c r="A3067" s="84" t="str">
        <f t="shared" si="143"/>
        <v>SelecioneSelecioneSelecione</v>
      </c>
      <c r="B3067" s="85" t="s">
        <v>19</v>
      </c>
      <c r="C3067" s="85" t="s">
        <v>19</v>
      </c>
      <c r="D3067" s="86"/>
      <c r="E3067" s="116" t="str">
        <f t="shared" si="144"/>
        <v>-</v>
      </c>
      <c r="F3067" s="85"/>
      <c r="G3067" s="85" t="s">
        <v>19</v>
      </c>
      <c r="H3067" s="85"/>
      <c r="I3067" s="85"/>
      <c r="J3067" s="87"/>
      <c r="K3067" s="88">
        <f t="shared" si="145"/>
        <v>0</v>
      </c>
      <c r="L3067" s="85"/>
    </row>
    <row r="3068" spans="1:12" hidden="1" x14ac:dyDescent="0.2">
      <c r="A3068" s="84" t="str">
        <f t="shared" si="143"/>
        <v>SelecioneSelecioneSelecione</v>
      </c>
      <c r="B3068" s="85" t="s">
        <v>19</v>
      </c>
      <c r="C3068" s="85" t="s">
        <v>19</v>
      </c>
      <c r="D3068" s="86"/>
      <c r="E3068" s="116" t="str">
        <f t="shared" si="144"/>
        <v>-</v>
      </c>
      <c r="F3068" s="85"/>
      <c r="G3068" s="85" t="s">
        <v>19</v>
      </c>
      <c r="H3068" s="85"/>
      <c r="I3068" s="85"/>
      <c r="J3068" s="87"/>
      <c r="K3068" s="88">
        <f t="shared" si="145"/>
        <v>0</v>
      </c>
      <c r="L3068" s="85"/>
    </row>
    <row r="3069" spans="1:12" hidden="1" x14ac:dyDescent="0.2">
      <c r="A3069" s="84" t="str">
        <f t="shared" si="143"/>
        <v>SelecioneSelecioneSelecione</v>
      </c>
      <c r="B3069" s="85" t="s">
        <v>19</v>
      </c>
      <c r="C3069" s="85" t="s">
        <v>19</v>
      </c>
      <c r="D3069" s="93"/>
      <c r="E3069" s="116" t="str">
        <f t="shared" si="144"/>
        <v>-</v>
      </c>
      <c r="F3069" s="90"/>
      <c r="G3069" s="85" t="s">
        <v>19</v>
      </c>
      <c r="H3069" s="85"/>
      <c r="I3069" s="90"/>
      <c r="J3069" s="89"/>
      <c r="K3069" s="88">
        <f t="shared" si="145"/>
        <v>0</v>
      </c>
      <c r="L3069" s="90"/>
    </row>
    <row r="3070" spans="1:12" hidden="1" x14ac:dyDescent="0.2">
      <c r="A3070" s="84" t="str">
        <f t="shared" si="143"/>
        <v>SelecioneSelecioneSelecione</v>
      </c>
      <c r="B3070" s="85" t="s">
        <v>19</v>
      </c>
      <c r="C3070" s="85" t="s">
        <v>19</v>
      </c>
      <c r="D3070" s="86"/>
      <c r="E3070" s="116" t="str">
        <f t="shared" si="144"/>
        <v>-</v>
      </c>
      <c r="F3070" s="85"/>
      <c r="G3070" s="85" t="s">
        <v>19</v>
      </c>
      <c r="H3070" s="85"/>
      <c r="I3070" s="85"/>
      <c r="J3070" s="87"/>
      <c r="K3070" s="88">
        <f t="shared" si="145"/>
        <v>0</v>
      </c>
      <c r="L3070" s="85"/>
    </row>
    <row r="3071" spans="1:12" hidden="1" x14ac:dyDescent="0.2">
      <c r="A3071" s="84" t="str">
        <f t="shared" si="143"/>
        <v>SelecioneSelecioneSelecione</v>
      </c>
      <c r="B3071" s="85" t="s">
        <v>19</v>
      </c>
      <c r="C3071" s="85" t="s">
        <v>19</v>
      </c>
      <c r="D3071" s="86"/>
      <c r="E3071" s="116" t="str">
        <f t="shared" si="144"/>
        <v>-</v>
      </c>
      <c r="F3071" s="85"/>
      <c r="G3071" s="85" t="s">
        <v>19</v>
      </c>
      <c r="H3071" s="85"/>
      <c r="I3071" s="85"/>
      <c r="J3071" s="87"/>
      <c r="K3071" s="88">
        <f t="shared" si="145"/>
        <v>0</v>
      </c>
      <c r="L3071" s="85"/>
    </row>
    <row r="3072" spans="1:12" hidden="1" x14ac:dyDescent="0.2">
      <c r="A3072" s="84" t="str">
        <f t="shared" si="143"/>
        <v>SelecioneSelecioneSelecione</v>
      </c>
      <c r="B3072" s="85" t="s">
        <v>19</v>
      </c>
      <c r="C3072" s="85" t="s">
        <v>19</v>
      </c>
      <c r="D3072" s="86"/>
      <c r="E3072" s="116" t="str">
        <f t="shared" si="144"/>
        <v>-</v>
      </c>
      <c r="F3072" s="85"/>
      <c r="G3072" s="85" t="s">
        <v>19</v>
      </c>
      <c r="H3072" s="85"/>
      <c r="I3072" s="85"/>
      <c r="J3072" s="87"/>
      <c r="K3072" s="88">
        <f t="shared" si="145"/>
        <v>0</v>
      </c>
      <c r="L3072" s="85"/>
    </row>
    <row r="3073" spans="1:12" hidden="1" x14ac:dyDescent="0.2">
      <c r="A3073" s="84" t="str">
        <f t="shared" si="143"/>
        <v>SelecioneSelecioneSelecione</v>
      </c>
      <c r="B3073" s="85" t="s">
        <v>19</v>
      </c>
      <c r="C3073" s="85" t="s">
        <v>19</v>
      </c>
      <c r="D3073" s="93"/>
      <c r="E3073" s="116" t="str">
        <f t="shared" si="144"/>
        <v>-</v>
      </c>
      <c r="F3073" s="90"/>
      <c r="G3073" s="85" t="s">
        <v>19</v>
      </c>
      <c r="H3073" s="85"/>
      <c r="I3073" s="90"/>
      <c r="J3073" s="89"/>
      <c r="K3073" s="88">
        <f t="shared" si="145"/>
        <v>0</v>
      </c>
      <c r="L3073" s="90"/>
    </row>
    <row r="3074" spans="1:12" hidden="1" x14ac:dyDescent="0.2">
      <c r="A3074" s="84" t="str">
        <f t="shared" ref="A3074:A3137" si="146">CONCATENATE(B3074,C3074,G3074)</f>
        <v>SelecioneSelecioneSelecione</v>
      </c>
      <c r="B3074" s="85" t="s">
        <v>19</v>
      </c>
      <c r="C3074" s="85" t="s">
        <v>19</v>
      </c>
      <c r="D3074" s="86"/>
      <c r="E3074" s="116" t="str">
        <f t="shared" ref="E3074:E3137" si="147">VLOOKUP(G3074,$M$1:$O$993,3,0)</f>
        <v>-</v>
      </c>
      <c r="F3074" s="85"/>
      <c r="G3074" s="85" t="s">
        <v>19</v>
      </c>
      <c r="H3074" s="85"/>
      <c r="I3074" s="85"/>
      <c r="J3074" s="87"/>
      <c r="K3074" s="88">
        <f t="shared" ref="K3074:K3137" si="148">I3074*J3074</f>
        <v>0</v>
      </c>
      <c r="L3074" s="85"/>
    </row>
    <row r="3075" spans="1:12" hidden="1" x14ac:dyDescent="0.2">
      <c r="A3075" s="84" t="str">
        <f t="shared" si="146"/>
        <v>SelecioneSelecioneSelecione</v>
      </c>
      <c r="B3075" s="85" t="s">
        <v>19</v>
      </c>
      <c r="C3075" s="85" t="s">
        <v>19</v>
      </c>
      <c r="D3075" s="86"/>
      <c r="E3075" s="116" t="str">
        <f t="shared" si="147"/>
        <v>-</v>
      </c>
      <c r="F3075" s="85"/>
      <c r="G3075" s="85" t="s">
        <v>19</v>
      </c>
      <c r="H3075" s="85"/>
      <c r="I3075" s="85"/>
      <c r="J3075" s="87"/>
      <c r="K3075" s="88">
        <f t="shared" si="148"/>
        <v>0</v>
      </c>
      <c r="L3075" s="85"/>
    </row>
    <row r="3076" spans="1:12" hidden="1" x14ac:dyDescent="0.2">
      <c r="A3076" s="84" t="str">
        <f t="shared" si="146"/>
        <v>SelecioneSelecioneSelecione</v>
      </c>
      <c r="B3076" s="85" t="s">
        <v>19</v>
      </c>
      <c r="C3076" s="85" t="s">
        <v>19</v>
      </c>
      <c r="D3076" s="86"/>
      <c r="E3076" s="116" t="str">
        <f t="shared" si="147"/>
        <v>-</v>
      </c>
      <c r="F3076" s="85"/>
      <c r="G3076" s="85" t="s">
        <v>19</v>
      </c>
      <c r="H3076" s="85"/>
      <c r="I3076" s="85"/>
      <c r="J3076" s="87"/>
      <c r="K3076" s="88">
        <f t="shared" si="148"/>
        <v>0</v>
      </c>
      <c r="L3076" s="85"/>
    </row>
    <row r="3077" spans="1:12" hidden="1" x14ac:dyDescent="0.2">
      <c r="A3077" s="84" t="str">
        <f t="shared" si="146"/>
        <v>SelecioneSelecioneSelecione</v>
      </c>
      <c r="B3077" s="85" t="s">
        <v>19</v>
      </c>
      <c r="C3077" s="85" t="s">
        <v>19</v>
      </c>
      <c r="D3077" s="93"/>
      <c r="E3077" s="116" t="str">
        <f t="shared" si="147"/>
        <v>-</v>
      </c>
      <c r="F3077" s="90"/>
      <c r="G3077" s="85" t="s">
        <v>19</v>
      </c>
      <c r="H3077" s="85"/>
      <c r="I3077" s="90"/>
      <c r="J3077" s="89"/>
      <c r="K3077" s="88">
        <f t="shared" si="148"/>
        <v>0</v>
      </c>
      <c r="L3077" s="90"/>
    </row>
    <row r="3078" spans="1:12" hidden="1" x14ac:dyDescent="0.2">
      <c r="A3078" s="84" t="str">
        <f t="shared" si="146"/>
        <v>SelecioneSelecioneSelecione</v>
      </c>
      <c r="B3078" s="85" t="s">
        <v>19</v>
      </c>
      <c r="C3078" s="85" t="s">
        <v>19</v>
      </c>
      <c r="D3078" s="86"/>
      <c r="E3078" s="116" t="str">
        <f t="shared" si="147"/>
        <v>-</v>
      </c>
      <c r="F3078" s="85"/>
      <c r="G3078" s="85" t="s">
        <v>19</v>
      </c>
      <c r="H3078" s="85"/>
      <c r="I3078" s="85"/>
      <c r="J3078" s="87"/>
      <c r="K3078" s="88">
        <f t="shared" si="148"/>
        <v>0</v>
      </c>
      <c r="L3078" s="85"/>
    </row>
    <row r="3079" spans="1:12" hidden="1" x14ac:dyDescent="0.2">
      <c r="A3079" s="84" t="str">
        <f t="shared" si="146"/>
        <v>SelecioneSelecioneSelecione</v>
      </c>
      <c r="B3079" s="85" t="s">
        <v>19</v>
      </c>
      <c r="C3079" s="85" t="s">
        <v>19</v>
      </c>
      <c r="D3079" s="86"/>
      <c r="E3079" s="116" t="str">
        <f t="shared" si="147"/>
        <v>-</v>
      </c>
      <c r="F3079" s="85"/>
      <c r="G3079" s="85" t="s">
        <v>19</v>
      </c>
      <c r="H3079" s="85"/>
      <c r="I3079" s="85"/>
      <c r="J3079" s="87"/>
      <c r="K3079" s="88">
        <f t="shared" si="148"/>
        <v>0</v>
      </c>
      <c r="L3079" s="85"/>
    </row>
    <row r="3080" spans="1:12" hidden="1" x14ac:dyDescent="0.2">
      <c r="A3080" s="84" t="str">
        <f t="shared" si="146"/>
        <v>SelecioneSelecioneSelecione</v>
      </c>
      <c r="B3080" s="85" t="s">
        <v>19</v>
      </c>
      <c r="C3080" s="85" t="s">
        <v>19</v>
      </c>
      <c r="D3080" s="86"/>
      <c r="E3080" s="116" t="str">
        <f t="shared" si="147"/>
        <v>-</v>
      </c>
      <c r="F3080" s="85"/>
      <c r="G3080" s="85" t="s">
        <v>19</v>
      </c>
      <c r="H3080" s="85"/>
      <c r="I3080" s="85"/>
      <c r="J3080" s="87"/>
      <c r="K3080" s="88">
        <f t="shared" si="148"/>
        <v>0</v>
      </c>
      <c r="L3080" s="85"/>
    </row>
    <row r="3081" spans="1:12" hidden="1" x14ac:dyDescent="0.2">
      <c r="A3081" s="84" t="str">
        <f t="shared" si="146"/>
        <v>SelecioneSelecioneSelecione</v>
      </c>
      <c r="B3081" s="85" t="s">
        <v>19</v>
      </c>
      <c r="C3081" s="85" t="s">
        <v>19</v>
      </c>
      <c r="D3081" s="86"/>
      <c r="E3081" s="116" t="str">
        <f t="shared" si="147"/>
        <v>-</v>
      </c>
      <c r="F3081" s="85"/>
      <c r="G3081" s="85" t="s">
        <v>19</v>
      </c>
      <c r="H3081" s="85"/>
      <c r="I3081" s="85"/>
      <c r="J3081" s="87"/>
      <c r="K3081" s="88">
        <f t="shared" si="148"/>
        <v>0</v>
      </c>
      <c r="L3081" s="85"/>
    </row>
    <row r="3082" spans="1:12" hidden="1" x14ac:dyDescent="0.2">
      <c r="A3082" s="84" t="str">
        <f t="shared" si="146"/>
        <v>SelecioneSelecioneSelecione</v>
      </c>
      <c r="B3082" s="85" t="s">
        <v>19</v>
      </c>
      <c r="C3082" s="85" t="s">
        <v>19</v>
      </c>
      <c r="D3082" s="86"/>
      <c r="E3082" s="116" t="str">
        <f t="shared" si="147"/>
        <v>-</v>
      </c>
      <c r="F3082" s="85"/>
      <c r="G3082" s="85" t="s">
        <v>19</v>
      </c>
      <c r="H3082" s="85"/>
      <c r="I3082" s="85"/>
      <c r="J3082" s="87"/>
      <c r="K3082" s="88">
        <f t="shared" si="148"/>
        <v>0</v>
      </c>
      <c r="L3082" s="85"/>
    </row>
    <row r="3083" spans="1:12" hidden="1" x14ac:dyDescent="0.2">
      <c r="A3083" s="84" t="str">
        <f t="shared" si="146"/>
        <v>SelecioneSelecioneSelecione</v>
      </c>
      <c r="B3083" s="85" t="s">
        <v>19</v>
      </c>
      <c r="C3083" s="85" t="s">
        <v>19</v>
      </c>
      <c r="D3083" s="93"/>
      <c r="E3083" s="116" t="str">
        <f t="shared" si="147"/>
        <v>-</v>
      </c>
      <c r="F3083" s="90"/>
      <c r="G3083" s="85" t="s">
        <v>19</v>
      </c>
      <c r="H3083" s="85"/>
      <c r="I3083" s="90"/>
      <c r="J3083" s="89"/>
      <c r="K3083" s="88">
        <f t="shared" si="148"/>
        <v>0</v>
      </c>
      <c r="L3083" s="90"/>
    </row>
    <row r="3084" spans="1:12" hidden="1" x14ac:dyDescent="0.2">
      <c r="A3084" s="84" t="str">
        <f t="shared" si="146"/>
        <v>SelecioneSelecioneSelecione</v>
      </c>
      <c r="B3084" s="85" t="s">
        <v>19</v>
      </c>
      <c r="C3084" s="85" t="s">
        <v>19</v>
      </c>
      <c r="D3084" s="86"/>
      <c r="E3084" s="116" t="str">
        <f t="shared" si="147"/>
        <v>-</v>
      </c>
      <c r="F3084" s="85"/>
      <c r="G3084" s="85" t="s">
        <v>19</v>
      </c>
      <c r="H3084" s="85"/>
      <c r="I3084" s="85"/>
      <c r="J3084" s="87"/>
      <c r="K3084" s="88">
        <f t="shared" si="148"/>
        <v>0</v>
      </c>
      <c r="L3084" s="85"/>
    </row>
    <row r="3085" spans="1:12" hidden="1" x14ac:dyDescent="0.2">
      <c r="A3085" s="84" t="str">
        <f t="shared" si="146"/>
        <v>SelecioneSelecioneSelecione</v>
      </c>
      <c r="B3085" s="85" t="s">
        <v>19</v>
      </c>
      <c r="C3085" s="85" t="s">
        <v>19</v>
      </c>
      <c r="D3085" s="86"/>
      <c r="E3085" s="116" t="str">
        <f t="shared" si="147"/>
        <v>-</v>
      </c>
      <c r="F3085" s="85"/>
      <c r="G3085" s="85" t="s">
        <v>19</v>
      </c>
      <c r="H3085" s="85"/>
      <c r="I3085" s="85"/>
      <c r="J3085" s="87"/>
      <c r="K3085" s="88">
        <f t="shared" si="148"/>
        <v>0</v>
      </c>
      <c r="L3085" s="85"/>
    </row>
    <row r="3086" spans="1:12" hidden="1" x14ac:dyDescent="0.2">
      <c r="A3086" s="84" t="str">
        <f t="shared" si="146"/>
        <v>SelecioneSelecioneSelecione</v>
      </c>
      <c r="B3086" s="85" t="s">
        <v>19</v>
      </c>
      <c r="C3086" s="85" t="s">
        <v>19</v>
      </c>
      <c r="D3086" s="86"/>
      <c r="E3086" s="116" t="str">
        <f t="shared" si="147"/>
        <v>-</v>
      </c>
      <c r="F3086" s="85"/>
      <c r="G3086" s="85" t="s">
        <v>19</v>
      </c>
      <c r="H3086" s="85"/>
      <c r="I3086" s="85"/>
      <c r="J3086" s="87"/>
      <c r="K3086" s="88">
        <f t="shared" si="148"/>
        <v>0</v>
      </c>
      <c r="L3086" s="85"/>
    </row>
    <row r="3087" spans="1:12" hidden="1" x14ac:dyDescent="0.2">
      <c r="A3087" s="84" t="str">
        <f t="shared" si="146"/>
        <v>SelecioneSelecioneSelecione</v>
      </c>
      <c r="B3087" s="85" t="s">
        <v>19</v>
      </c>
      <c r="C3087" s="85" t="s">
        <v>19</v>
      </c>
      <c r="D3087" s="86"/>
      <c r="E3087" s="116" t="str">
        <f t="shared" si="147"/>
        <v>-</v>
      </c>
      <c r="F3087" s="85"/>
      <c r="G3087" s="85" t="s">
        <v>19</v>
      </c>
      <c r="H3087" s="85"/>
      <c r="I3087" s="85"/>
      <c r="J3087" s="87"/>
      <c r="K3087" s="88">
        <f t="shared" si="148"/>
        <v>0</v>
      </c>
      <c r="L3087" s="85"/>
    </row>
    <row r="3088" spans="1:12" hidden="1" x14ac:dyDescent="0.2">
      <c r="A3088" s="84" t="str">
        <f t="shared" si="146"/>
        <v>SelecioneSelecioneSelecione</v>
      </c>
      <c r="B3088" s="85" t="s">
        <v>19</v>
      </c>
      <c r="C3088" s="85" t="s">
        <v>19</v>
      </c>
      <c r="D3088" s="86"/>
      <c r="E3088" s="116" t="str">
        <f t="shared" si="147"/>
        <v>-</v>
      </c>
      <c r="F3088" s="85"/>
      <c r="G3088" s="85" t="s">
        <v>19</v>
      </c>
      <c r="H3088" s="85"/>
      <c r="I3088" s="85"/>
      <c r="J3088" s="87"/>
      <c r="K3088" s="88">
        <f t="shared" si="148"/>
        <v>0</v>
      </c>
      <c r="L3088" s="85"/>
    </row>
    <row r="3089" spans="1:12" hidden="1" x14ac:dyDescent="0.2">
      <c r="A3089" s="84" t="str">
        <f t="shared" si="146"/>
        <v>SelecioneSelecioneSelecione</v>
      </c>
      <c r="B3089" s="85" t="s">
        <v>19</v>
      </c>
      <c r="C3089" s="85" t="s">
        <v>19</v>
      </c>
      <c r="D3089" s="86"/>
      <c r="E3089" s="116" t="str">
        <f t="shared" si="147"/>
        <v>-</v>
      </c>
      <c r="F3089" s="85"/>
      <c r="G3089" s="85" t="s">
        <v>19</v>
      </c>
      <c r="H3089" s="85"/>
      <c r="I3089" s="85"/>
      <c r="J3089" s="87"/>
      <c r="K3089" s="88">
        <f t="shared" si="148"/>
        <v>0</v>
      </c>
      <c r="L3089" s="85"/>
    </row>
    <row r="3090" spans="1:12" hidden="1" x14ac:dyDescent="0.2">
      <c r="A3090" s="84" t="str">
        <f t="shared" si="146"/>
        <v>SelecioneSelecioneSelecione</v>
      </c>
      <c r="B3090" s="85" t="s">
        <v>19</v>
      </c>
      <c r="C3090" s="85" t="s">
        <v>19</v>
      </c>
      <c r="D3090" s="86"/>
      <c r="E3090" s="116" t="str">
        <f t="shared" si="147"/>
        <v>-</v>
      </c>
      <c r="F3090" s="85"/>
      <c r="G3090" s="85" t="s">
        <v>19</v>
      </c>
      <c r="H3090" s="85"/>
      <c r="I3090" s="85"/>
      <c r="J3090" s="87"/>
      <c r="K3090" s="88">
        <f t="shared" si="148"/>
        <v>0</v>
      </c>
      <c r="L3090" s="85"/>
    </row>
    <row r="3091" spans="1:12" hidden="1" x14ac:dyDescent="0.2">
      <c r="A3091" s="84" t="str">
        <f t="shared" si="146"/>
        <v>SelecioneSelecioneSelecione</v>
      </c>
      <c r="B3091" s="85" t="s">
        <v>19</v>
      </c>
      <c r="C3091" s="85" t="s">
        <v>19</v>
      </c>
      <c r="D3091" s="93"/>
      <c r="E3091" s="116" t="str">
        <f t="shared" si="147"/>
        <v>-</v>
      </c>
      <c r="F3091" s="90"/>
      <c r="G3091" s="85" t="s">
        <v>19</v>
      </c>
      <c r="H3091" s="85"/>
      <c r="I3091" s="90"/>
      <c r="J3091" s="89"/>
      <c r="K3091" s="88">
        <f t="shared" si="148"/>
        <v>0</v>
      </c>
      <c r="L3091" s="90"/>
    </row>
    <row r="3092" spans="1:12" hidden="1" x14ac:dyDescent="0.2">
      <c r="A3092" s="84" t="str">
        <f t="shared" si="146"/>
        <v>SelecioneSelecioneSelecione</v>
      </c>
      <c r="B3092" s="85" t="s">
        <v>19</v>
      </c>
      <c r="C3092" s="85" t="s">
        <v>19</v>
      </c>
      <c r="D3092" s="86"/>
      <c r="E3092" s="116" t="str">
        <f t="shared" si="147"/>
        <v>-</v>
      </c>
      <c r="F3092" s="85"/>
      <c r="G3092" s="85" t="s">
        <v>19</v>
      </c>
      <c r="H3092" s="85"/>
      <c r="I3092" s="85"/>
      <c r="J3092" s="87"/>
      <c r="K3092" s="88">
        <f t="shared" si="148"/>
        <v>0</v>
      </c>
      <c r="L3092" s="85"/>
    </row>
    <row r="3093" spans="1:12" hidden="1" x14ac:dyDescent="0.2">
      <c r="A3093" s="84" t="str">
        <f t="shared" si="146"/>
        <v>SelecioneSelecioneSelecione</v>
      </c>
      <c r="B3093" s="85" t="s">
        <v>19</v>
      </c>
      <c r="C3093" s="85" t="s">
        <v>19</v>
      </c>
      <c r="D3093" s="93"/>
      <c r="E3093" s="116" t="str">
        <f t="shared" si="147"/>
        <v>-</v>
      </c>
      <c r="F3093" s="90"/>
      <c r="G3093" s="85" t="s">
        <v>19</v>
      </c>
      <c r="H3093" s="85"/>
      <c r="I3093" s="90"/>
      <c r="J3093" s="89"/>
      <c r="K3093" s="88">
        <f t="shared" si="148"/>
        <v>0</v>
      </c>
      <c r="L3093" s="90"/>
    </row>
    <row r="3094" spans="1:12" hidden="1" x14ac:dyDescent="0.2">
      <c r="A3094" s="84" t="str">
        <f t="shared" si="146"/>
        <v>SelecioneSelecioneSelecione</v>
      </c>
      <c r="B3094" s="85" t="s">
        <v>19</v>
      </c>
      <c r="C3094" s="85" t="s">
        <v>19</v>
      </c>
      <c r="D3094" s="86"/>
      <c r="E3094" s="116" t="str">
        <f t="shared" si="147"/>
        <v>-</v>
      </c>
      <c r="F3094" s="85"/>
      <c r="G3094" s="85" t="s">
        <v>19</v>
      </c>
      <c r="H3094" s="85"/>
      <c r="I3094" s="85"/>
      <c r="J3094" s="87"/>
      <c r="K3094" s="88">
        <f t="shared" si="148"/>
        <v>0</v>
      </c>
      <c r="L3094" s="85"/>
    </row>
    <row r="3095" spans="1:12" hidden="1" x14ac:dyDescent="0.2">
      <c r="A3095" s="84" t="str">
        <f t="shared" si="146"/>
        <v>SelecioneSelecioneSelecione</v>
      </c>
      <c r="B3095" s="85" t="s">
        <v>19</v>
      </c>
      <c r="C3095" s="85" t="s">
        <v>19</v>
      </c>
      <c r="D3095" s="86"/>
      <c r="E3095" s="116" t="str">
        <f t="shared" si="147"/>
        <v>-</v>
      </c>
      <c r="F3095" s="85"/>
      <c r="G3095" s="85" t="s">
        <v>19</v>
      </c>
      <c r="H3095" s="85"/>
      <c r="I3095" s="85"/>
      <c r="J3095" s="87"/>
      <c r="K3095" s="88">
        <f t="shared" si="148"/>
        <v>0</v>
      </c>
      <c r="L3095" s="85"/>
    </row>
    <row r="3096" spans="1:12" hidden="1" x14ac:dyDescent="0.2">
      <c r="A3096" s="84" t="str">
        <f t="shared" si="146"/>
        <v>SelecioneSelecioneSelecione</v>
      </c>
      <c r="B3096" s="85" t="s">
        <v>19</v>
      </c>
      <c r="C3096" s="85" t="s">
        <v>19</v>
      </c>
      <c r="D3096" s="86"/>
      <c r="E3096" s="116" t="str">
        <f t="shared" si="147"/>
        <v>-</v>
      </c>
      <c r="F3096" s="85"/>
      <c r="G3096" s="85" t="s">
        <v>19</v>
      </c>
      <c r="H3096" s="85"/>
      <c r="I3096" s="85"/>
      <c r="J3096" s="87"/>
      <c r="K3096" s="88">
        <f t="shared" si="148"/>
        <v>0</v>
      </c>
      <c r="L3096" s="85"/>
    </row>
    <row r="3097" spans="1:12" hidden="1" x14ac:dyDescent="0.2">
      <c r="A3097" s="84" t="str">
        <f t="shared" si="146"/>
        <v>SelecioneSelecioneSelecione</v>
      </c>
      <c r="B3097" s="85" t="s">
        <v>19</v>
      </c>
      <c r="C3097" s="85" t="s">
        <v>19</v>
      </c>
      <c r="D3097" s="86"/>
      <c r="E3097" s="116" t="str">
        <f t="shared" si="147"/>
        <v>-</v>
      </c>
      <c r="F3097" s="85"/>
      <c r="G3097" s="85" t="s">
        <v>19</v>
      </c>
      <c r="H3097" s="85"/>
      <c r="I3097" s="85"/>
      <c r="J3097" s="87"/>
      <c r="K3097" s="88">
        <f t="shared" si="148"/>
        <v>0</v>
      </c>
      <c r="L3097" s="85"/>
    </row>
    <row r="3098" spans="1:12" hidden="1" x14ac:dyDescent="0.2">
      <c r="A3098" s="84" t="str">
        <f t="shared" si="146"/>
        <v>SelecioneSelecioneSelecione</v>
      </c>
      <c r="B3098" s="85" t="s">
        <v>19</v>
      </c>
      <c r="C3098" s="85" t="s">
        <v>19</v>
      </c>
      <c r="D3098" s="93"/>
      <c r="E3098" s="116" t="str">
        <f t="shared" si="147"/>
        <v>-</v>
      </c>
      <c r="F3098" s="90"/>
      <c r="G3098" s="85" t="s">
        <v>19</v>
      </c>
      <c r="H3098" s="85"/>
      <c r="I3098" s="90"/>
      <c r="J3098" s="89"/>
      <c r="K3098" s="88">
        <f t="shared" si="148"/>
        <v>0</v>
      </c>
      <c r="L3098" s="90"/>
    </row>
    <row r="3099" spans="1:12" hidden="1" x14ac:dyDescent="0.2">
      <c r="A3099" s="84" t="str">
        <f t="shared" si="146"/>
        <v>SelecioneSelecioneSelecione</v>
      </c>
      <c r="B3099" s="85" t="s">
        <v>19</v>
      </c>
      <c r="C3099" s="85" t="s">
        <v>19</v>
      </c>
      <c r="D3099" s="93"/>
      <c r="E3099" s="116" t="str">
        <f t="shared" si="147"/>
        <v>-</v>
      </c>
      <c r="F3099" s="85"/>
      <c r="G3099" s="85" t="s">
        <v>19</v>
      </c>
      <c r="H3099" s="85"/>
      <c r="I3099" s="90"/>
      <c r="J3099" s="89"/>
      <c r="K3099" s="88">
        <f t="shared" si="148"/>
        <v>0</v>
      </c>
      <c r="L3099" s="90"/>
    </row>
    <row r="3100" spans="1:12" hidden="1" x14ac:dyDescent="0.2">
      <c r="A3100" s="84" t="str">
        <f t="shared" si="146"/>
        <v>SelecioneSelecioneSelecione</v>
      </c>
      <c r="B3100" s="85" t="s">
        <v>19</v>
      </c>
      <c r="C3100" s="85" t="s">
        <v>19</v>
      </c>
      <c r="D3100" s="86"/>
      <c r="E3100" s="116" t="str">
        <f t="shared" si="147"/>
        <v>-</v>
      </c>
      <c r="F3100" s="85"/>
      <c r="G3100" s="85" t="s">
        <v>19</v>
      </c>
      <c r="H3100" s="85"/>
      <c r="I3100" s="85"/>
      <c r="J3100" s="87"/>
      <c r="K3100" s="88">
        <f t="shared" si="148"/>
        <v>0</v>
      </c>
      <c r="L3100" s="85"/>
    </row>
    <row r="3101" spans="1:12" hidden="1" x14ac:dyDescent="0.2">
      <c r="A3101" s="84" t="str">
        <f t="shared" si="146"/>
        <v>SelecioneSelecioneSelecione</v>
      </c>
      <c r="B3101" s="85" t="s">
        <v>19</v>
      </c>
      <c r="C3101" s="85" t="s">
        <v>19</v>
      </c>
      <c r="D3101" s="86"/>
      <c r="E3101" s="116" t="str">
        <f t="shared" si="147"/>
        <v>-</v>
      </c>
      <c r="F3101" s="85"/>
      <c r="G3101" s="85" t="s">
        <v>19</v>
      </c>
      <c r="H3101" s="85"/>
      <c r="I3101" s="85"/>
      <c r="J3101" s="87"/>
      <c r="K3101" s="88">
        <f t="shared" si="148"/>
        <v>0</v>
      </c>
      <c r="L3101" s="85"/>
    </row>
    <row r="3102" spans="1:12" hidden="1" x14ac:dyDescent="0.2">
      <c r="A3102" s="84" t="str">
        <f t="shared" si="146"/>
        <v>SelecioneSelecioneSelecione</v>
      </c>
      <c r="B3102" s="85" t="s">
        <v>19</v>
      </c>
      <c r="C3102" s="85" t="s">
        <v>19</v>
      </c>
      <c r="D3102" s="86"/>
      <c r="E3102" s="116" t="str">
        <f t="shared" si="147"/>
        <v>-</v>
      </c>
      <c r="F3102" s="85"/>
      <c r="G3102" s="85" t="s">
        <v>19</v>
      </c>
      <c r="H3102" s="85"/>
      <c r="I3102" s="85"/>
      <c r="J3102" s="87"/>
      <c r="K3102" s="88">
        <f t="shared" si="148"/>
        <v>0</v>
      </c>
      <c r="L3102" s="85"/>
    </row>
    <row r="3103" spans="1:12" hidden="1" x14ac:dyDescent="0.2">
      <c r="A3103" s="84" t="str">
        <f t="shared" si="146"/>
        <v>SelecioneSelecioneSelecione</v>
      </c>
      <c r="B3103" s="85" t="s">
        <v>19</v>
      </c>
      <c r="C3103" s="85" t="s">
        <v>19</v>
      </c>
      <c r="D3103" s="86"/>
      <c r="E3103" s="116" t="str">
        <f t="shared" si="147"/>
        <v>-</v>
      </c>
      <c r="F3103" s="85"/>
      <c r="G3103" s="85" t="s">
        <v>19</v>
      </c>
      <c r="H3103" s="85"/>
      <c r="I3103" s="85"/>
      <c r="J3103" s="87"/>
      <c r="K3103" s="88">
        <f t="shared" si="148"/>
        <v>0</v>
      </c>
      <c r="L3103" s="85"/>
    </row>
    <row r="3104" spans="1:12" hidden="1" x14ac:dyDescent="0.2">
      <c r="A3104" s="84" t="str">
        <f t="shared" si="146"/>
        <v>SelecioneSelecioneSelecione</v>
      </c>
      <c r="B3104" s="85" t="s">
        <v>19</v>
      </c>
      <c r="C3104" s="85" t="s">
        <v>19</v>
      </c>
      <c r="D3104" s="93"/>
      <c r="E3104" s="116" t="str">
        <f t="shared" si="147"/>
        <v>-</v>
      </c>
      <c r="F3104" s="90"/>
      <c r="G3104" s="85" t="s">
        <v>19</v>
      </c>
      <c r="H3104" s="85"/>
      <c r="I3104" s="90"/>
      <c r="J3104" s="89"/>
      <c r="K3104" s="88">
        <f t="shared" si="148"/>
        <v>0</v>
      </c>
      <c r="L3104" s="90"/>
    </row>
    <row r="3105" spans="1:12" hidden="1" x14ac:dyDescent="0.2">
      <c r="A3105" s="84" t="str">
        <f t="shared" si="146"/>
        <v>SelecioneSelecioneSelecione</v>
      </c>
      <c r="B3105" s="85" t="s">
        <v>19</v>
      </c>
      <c r="C3105" s="85" t="s">
        <v>19</v>
      </c>
      <c r="D3105" s="86"/>
      <c r="E3105" s="116" t="str">
        <f t="shared" si="147"/>
        <v>-</v>
      </c>
      <c r="F3105" s="85"/>
      <c r="G3105" s="85" t="s">
        <v>19</v>
      </c>
      <c r="H3105" s="85"/>
      <c r="I3105" s="85"/>
      <c r="J3105" s="87"/>
      <c r="K3105" s="88">
        <f t="shared" si="148"/>
        <v>0</v>
      </c>
      <c r="L3105" s="85"/>
    </row>
    <row r="3106" spans="1:12" hidden="1" x14ac:dyDescent="0.2">
      <c r="A3106" s="84" t="str">
        <f t="shared" si="146"/>
        <v>SelecioneSelecioneSelecione</v>
      </c>
      <c r="B3106" s="85" t="s">
        <v>19</v>
      </c>
      <c r="C3106" s="85" t="s">
        <v>19</v>
      </c>
      <c r="D3106" s="93"/>
      <c r="E3106" s="116" t="str">
        <f t="shared" si="147"/>
        <v>-</v>
      </c>
      <c r="F3106" s="90"/>
      <c r="G3106" s="85" t="s">
        <v>19</v>
      </c>
      <c r="H3106" s="85"/>
      <c r="I3106" s="90"/>
      <c r="J3106" s="89"/>
      <c r="K3106" s="88">
        <f t="shared" si="148"/>
        <v>0</v>
      </c>
      <c r="L3106" s="90"/>
    </row>
    <row r="3107" spans="1:12" hidden="1" x14ac:dyDescent="0.2">
      <c r="A3107" s="84" t="str">
        <f t="shared" si="146"/>
        <v>SelecioneSelecioneSelecione</v>
      </c>
      <c r="B3107" s="85" t="s">
        <v>19</v>
      </c>
      <c r="C3107" s="85" t="s">
        <v>19</v>
      </c>
      <c r="D3107" s="86"/>
      <c r="E3107" s="116" t="str">
        <f t="shared" si="147"/>
        <v>-</v>
      </c>
      <c r="F3107" s="85"/>
      <c r="G3107" s="85" t="s">
        <v>19</v>
      </c>
      <c r="H3107" s="85"/>
      <c r="I3107" s="85"/>
      <c r="J3107" s="87"/>
      <c r="K3107" s="88">
        <f t="shared" si="148"/>
        <v>0</v>
      </c>
      <c r="L3107" s="85"/>
    </row>
    <row r="3108" spans="1:12" hidden="1" x14ac:dyDescent="0.2">
      <c r="A3108" s="84" t="str">
        <f t="shared" si="146"/>
        <v>SelecioneSelecioneSelecione</v>
      </c>
      <c r="B3108" s="85" t="s">
        <v>19</v>
      </c>
      <c r="C3108" s="85" t="s">
        <v>19</v>
      </c>
      <c r="D3108" s="93"/>
      <c r="E3108" s="116" t="str">
        <f t="shared" si="147"/>
        <v>-</v>
      </c>
      <c r="F3108" s="90"/>
      <c r="G3108" s="85" t="s">
        <v>19</v>
      </c>
      <c r="H3108" s="85"/>
      <c r="I3108" s="90"/>
      <c r="J3108" s="89"/>
      <c r="K3108" s="88">
        <f t="shared" si="148"/>
        <v>0</v>
      </c>
      <c r="L3108" s="90"/>
    </row>
    <row r="3109" spans="1:12" hidden="1" x14ac:dyDescent="0.2">
      <c r="A3109" s="84" t="str">
        <f t="shared" si="146"/>
        <v>SelecioneSelecioneSelecione</v>
      </c>
      <c r="B3109" s="85" t="s">
        <v>19</v>
      </c>
      <c r="C3109" s="85" t="s">
        <v>19</v>
      </c>
      <c r="D3109" s="93"/>
      <c r="E3109" s="116" t="str">
        <f t="shared" si="147"/>
        <v>-</v>
      </c>
      <c r="F3109" s="85"/>
      <c r="G3109" s="85" t="s">
        <v>19</v>
      </c>
      <c r="H3109" s="85"/>
      <c r="I3109" s="90"/>
      <c r="J3109" s="89"/>
      <c r="K3109" s="88">
        <f t="shared" si="148"/>
        <v>0</v>
      </c>
      <c r="L3109" s="90"/>
    </row>
    <row r="3110" spans="1:12" hidden="1" x14ac:dyDescent="0.2">
      <c r="A3110" s="84" t="str">
        <f t="shared" si="146"/>
        <v>SelecioneSelecioneSelecione</v>
      </c>
      <c r="B3110" s="85" t="s">
        <v>19</v>
      </c>
      <c r="C3110" s="85" t="s">
        <v>19</v>
      </c>
      <c r="D3110" s="93"/>
      <c r="E3110" s="116" t="str">
        <f t="shared" si="147"/>
        <v>-</v>
      </c>
      <c r="F3110" s="90"/>
      <c r="G3110" s="85" t="s">
        <v>19</v>
      </c>
      <c r="H3110" s="85"/>
      <c r="I3110" s="90"/>
      <c r="J3110" s="89"/>
      <c r="K3110" s="88">
        <f t="shared" si="148"/>
        <v>0</v>
      </c>
      <c r="L3110" s="90"/>
    </row>
    <row r="3111" spans="1:12" hidden="1" x14ac:dyDescent="0.2">
      <c r="A3111" s="84" t="str">
        <f t="shared" si="146"/>
        <v>SelecioneSelecioneSelecione</v>
      </c>
      <c r="B3111" s="85" t="s">
        <v>19</v>
      </c>
      <c r="C3111" s="85" t="s">
        <v>19</v>
      </c>
      <c r="D3111" s="93"/>
      <c r="E3111" s="116" t="str">
        <f t="shared" si="147"/>
        <v>-</v>
      </c>
      <c r="F3111" s="90"/>
      <c r="G3111" s="85" t="s">
        <v>19</v>
      </c>
      <c r="H3111" s="85"/>
      <c r="I3111" s="90"/>
      <c r="J3111" s="89"/>
      <c r="K3111" s="88">
        <f t="shared" si="148"/>
        <v>0</v>
      </c>
      <c r="L3111" s="90"/>
    </row>
    <row r="3112" spans="1:12" hidden="1" x14ac:dyDescent="0.2">
      <c r="A3112" s="84" t="str">
        <f t="shared" si="146"/>
        <v>SelecioneSelecioneSelecione</v>
      </c>
      <c r="B3112" s="85" t="s">
        <v>19</v>
      </c>
      <c r="C3112" s="85" t="s">
        <v>19</v>
      </c>
      <c r="D3112" s="93"/>
      <c r="E3112" s="116" t="str">
        <f t="shared" si="147"/>
        <v>-</v>
      </c>
      <c r="F3112" s="90"/>
      <c r="G3112" s="85" t="s">
        <v>19</v>
      </c>
      <c r="H3112" s="85"/>
      <c r="I3112" s="90"/>
      <c r="J3112" s="89"/>
      <c r="K3112" s="88">
        <f t="shared" si="148"/>
        <v>0</v>
      </c>
      <c r="L3112" s="90"/>
    </row>
    <row r="3113" spans="1:12" hidden="1" x14ac:dyDescent="0.2">
      <c r="A3113" s="84" t="str">
        <f t="shared" si="146"/>
        <v>SelecioneSelecioneSelecione</v>
      </c>
      <c r="B3113" s="85" t="s">
        <v>19</v>
      </c>
      <c r="C3113" s="85" t="s">
        <v>19</v>
      </c>
      <c r="D3113" s="93"/>
      <c r="E3113" s="116" t="str">
        <f t="shared" si="147"/>
        <v>-</v>
      </c>
      <c r="F3113" s="90"/>
      <c r="G3113" s="85" t="s">
        <v>19</v>
      </c>
      <c r="H3113" s="85"/>
      <c r="I3113" s="90"/>
      <c r="J3113" s="89"/>
      <c r="K3113" s="88">
        <f t="shared" si="148"/>
        <v>0</v>
      </c>
      <c r="L3113" s="90"/>
    </row>
    <row r="3114" spans="1:12" hidden="1" x14ac:dyDescent="0.2">
      <c r="A3114" s="84" t="str">
        <f t="shared" si="146"/>
        <v>SelecioneSelecioneSelecione</v>
      </c>
      <c r="B3114" s="85" t="s">
        <v>19</v>
      </c>
      <c r="C3114" s="85" t="s">
        <v>19</v>
      </c>
      <c r="D3114" s="86"/>
      <c r="E3114" s="116" t="str">
        <f t="shared" si="147"/>
        <v>-</v>
      </c>
      <c r="F3114" s="85"/>
      <c r="G3114" s="85" t="s">
        <v>19</v>
      </c>
      <c r="H3114" s="85"/>
      <c r="I3114" s="85"/>
      <c r="J3114" s="87"/>
      <c r="K3114" s="88">
        <f t="shared" si="148"/>
        <v>0</v>
      </c>
      <c r="L3114" s="85"/>
    </row>
    <row r="3115" spans="1:12" hidden="1" x14ac:dyDescent="0.2">
      <c r="A3115" s="84" t="str">
        <f t="shared" si="146"/>
        <v>SelecioneSelecioneSelecione</v>
      </c>
      <c r="B3115" s="85" t="s">
        <v>19</v>
      </c>
      <c r="C3115" s="85" t="s">
        <v>19</v>
      </c>
      <c r="D3115" s="86"/>
      <c r="E3115" s="116" t="str">
        <f t="shared" si="147"/>
        <v>-</v>
      </c>
      <c r="F3115" s="85"/>
      <c r="G3115" s="85" t="s">
        <v>19</v>
      </c>
      <c r="H3115" s="85"/>
      <c r="I3115" s="85"/>
      <c r="J3115" s="87"/>
      <c r="K3115" s="88">
        <f t="shared" si="148"/>
        <v>0</v>
      </c>
      <c r="L3115" s="85"/>
    </row>
    <row r="3116" spans="1:12" hidden="1" x14ac:dyDescent="0.2">
      <c r="A3116" s="84" t="str">
        <f t="shared" si="146"/>
        <v>SelecioneSelecioneSelecione</v>
      </c>
      <c r="B3116" s="85" t="s">
        <v>19</v>
      </c>
      <c r="C3116" s="85" t="s">
        <v>19</v>
      </c>
      <c r="D3116" s="93"/>
      <c r="E3116" s="116" t="str">
        <f t="shared" si="147"/>
        <v>-</v>
      </c>
      <c r="F3116" s="90"/>
      <c r="G3116" s="85" t="s">
        <v>19</v>
      </c>
      <c r="H3116" s="85"/>
      <c r="I3116" s="90"/>
      <c r="J3116" s="89"/>
      <c r="K3116" s="88">
        <f t="shared" si="148"/>
        <v>0</v>
      </c>
      <c r="L3116" s="90"/>
    </row>
    <row r="3117" spans="1:12" hidden="1" x14ac:dyDescent="0.2">
      <c r="A3117" s="84" t="str">
        <f t="shared" si="146"/>
        <v>SelecioneSelecioneSelecione</v>
      </c>
      <c r="B3117" s="85" t="s">
        <v>19</v>
      </c>
      <c r="C3117" s="85" t="s">
        <v>19</v>
      </c>
      <c r="D3117" s="93"/>
      <c r="E3117" s="116" t="str">
        <f t="shared" si="147"/>
        <v>-</v>
      </c>
      <c r="F3117" s="90"/>
      <c r="G3117" s="85" t="s">
        <v>19</v>
      </c>
      <c r="H3117" s="85"/>
      <c r="I3117" s="90"/>
      <c r="J3117" s="89"/>
      <c r="K3117" s="88">
        <f t="shared" si="148"/>
        <v>0</v>
      </c>
      <c r="L3117" s="90"/>
    </row>
    <row r="3118" spans="1:12" hidden="1" x14ac:dyDescent="0.2">
      <c r="A3118" s="84" t="str">
        <f t="shared" si="146"/>
        <v>SelecioneSelecioneSelecione</v>
      </c>
      <c r="B3118" s="85" t="s">
        <v>19</v>
      </c>
      <c r="C3118" s="85" t="s">
        <v>19</v>
      </c>
      <c r="D3118" s="86"/>
      <c r="E3118" s="116" t="str">
        <f t="shared" si="147"/>
        <v>-</v>
      </c>
      <c r="F3118" s="85"/>
      <c r="G3118" s="85" t="s">
        <v>19</v>
      </c>
      <c r="H3118" s="85"/>
      <c r="I3118" s="85"/>
      <c r="J3118" s="87"/>
      <c r="K3118" s="88">
        <f t="shared" si="148"/>
        <v>0</v>
      </c>
      <c r="L3118" s="85"/>
    </row>
    <row r="3119" spans="1:12" hidden="1" x14ac:dyDescent="0.2">
      <c r="A3119" s="84" t="str">
        <f t="shared" si="146"/>
        <v>SelecioneSelecioneSelecione</v>
      </c>
      <c r="B3119" s="85" t="s">
        <v>19</v>
      </c>
      <c r="C3119" s="85" t="s">
        <v>19</v>
      </c>
      <c r="D3119" s="86"/>
      <c r="E3119" s="116" t="str">
        <f t="shared" si="147"/>
        <v>-</v>
      </c>
      <c r="F3119" s="85"/>
      <c r="G3119" s="85" t="s">
        <v>19</v>
      </c>
      <c r="H3119" s="85"/>
      <c r="I3119" s="85"/>
      <c r="J3119" s="87"/>
      <c r="K3119" s="88">
        <f t="shared" si="148"/>
        <v>0</v>
      </c>
      <c r="L3119" s="85"/>
    </row>
    <row r="3120" spans="1:12" hidden="1" x14ac:dyDescent="0.2">
      <c r="A3120" s="84" t="str">
        <f t="shared" si="146"/>
        <v>SelecioneSelecioneSelecione</v>
      </c>
      <c r="B3120" s="85" t="s">
        <v>19</v>
      </c>
      <c r="C3120" s="85" t="s">
        <v>19</v>
      </c>
      <c r="D3120" s="86"/>
      <c r="E3120" s="116" t="str">
        <f t="shared" si="147"/>
        <v>-</v>
      </c>
      <c r="F3120" s="85"/>
      <c r="G3120" s="85" t="s">
        <v>19</v>
      </c>
      <c r="H3120" s="85"/>
      <c r="I3120" s="85"/>
      <c r="J3120" s="87"/>
      <c r="K3120" s="88">
        <f t="shared" si="148"/>
        <v>0</v>
      </c>
      <c r="L3120" s="85"/>
    </row>
    <row r="3121" spans="1:12" hidden="1" x14ac:dyDescent="0.2">
      <c r="A3121" s="84" t="str">
        <f t="shared" si="146"/>
        <v>SelecioneSelecioneSelecione</v>
      </c>
      <c r="B3121" s="85" t="s">
        <v>19</v>
      </c>
      <c r="C3121" s="85" t="s">
        <v>19</v>
      </c>
      <c r="D3121" s="86"/>
      <c r="E3121" s="116" t="str">
        <f t="shared" si="147"/>
        <v>-</v>
      </c>
      <c r="F3121" s="85"/>
      <c r="G3121" s="85" t="s">
        <v>19</v>
      </c>
      <c r="H3121" s="85"/>
      <c r="I3121" s="85"/>
      <c r="J3121" s="87"/>
      <c r="K3121" s="88">
        <f t="shared" si="148"/>
        <v>0</v>
      </c>
      <c r="L3121" s="85"/>
    </row>
    <row r="3122" spans="1:12" hidden="1" x14ac:dyDescent="0.2">
      <c r="A3122" s="84" t="str">
        <f t="shared" si="146"/>
        <v>SelecioneSelecioneSelecione</v>
      </c>
      <c r="B3122" s="85" t="s">
        <v>19</v>
      </c>
      <c r="C3122" s="85" t="s">
        <v>19</v>
      </c>
      <c r="D3122" s="93"/>
      <c r="E3122" s="116" t="str">
        <f t="shared" si="147"/>
        <v>-</v>
      </c>
      <c r="F3122" s="90"/>
      <c r="G3122" s="85" t="s">
        <v>19</v>
      </c>
      <c r="H3122" s="85"/>
      <c r="I3122" s="90"/>
      <c r="J3122" s="89"/>
      <c r="K3122" s="88">
        <f t="shared" si="148"/>
        <v>0</v>
      </c>
      <c r="L3122" s="90"/>
    </row>
    <row r="3123" spans="1:12" hidden="1" x14ac:dyDescent="0.2">
      <c r="A3123" s="84" t="str">
        <f t="shared" si="146"/>
        <v>SelecioneSelecioneSelecione</v>
      </c>
      <c r="B3123" s="85" t="s">
        <v>19</v>
      </c>
      <c r="C3123" s="85" t="s">
        <v>19</v>
      </c>
      <c r="D3123" s="93"/>
      <c r="E3123" s="116" t="str">
        <f t="shared" si="147"/>
        <v>-</v>
      </c>
      <c r="F3123" s="85"/>
      <c r="G3123" s="85" t="s">
        <v>19</v>
      </c>
      <c r="H3123" s="85"/>
      <c r="I3123" s="90"/>
      <c r="J3123" s="89"/>
      <c r="K3123" s="88">
        <f t="shared" si="148"/>
        <v>0</v>
      </c>
      <c r="L3123" s="90"/>
    </row>
    <row r="3124" spans="1:12" hidden="1" x14ac:dyDescent="0.2">
      <c r="A3124" s="84" t="str">
        <f t="shared" si="146"/>
        <v>SelecioneSelecioneSelecione</v>
      </c>
      <c r="B3124" s="85" t="s">
        <v>19</v>
      </c>
      <c r="C3124" s="85" t="s">
        <v>19</v>
      </c>
      <c r="D3124" s="93"/>
      <c r="E3124" s="116" t="str">
        <f t="shared" si="147"/>
        <v>-</v>
      </c>
      <c r="F3124" s="90"/>
      <c r="G3124" s="85" t="s">
        <v>19</v>
      </c>
      <c r="H3124" s="85"/>
      <c r="I3124" s="90"/>
      <c r="J3124" s="89"/>
      <c r="K3124" s="88">
        <f t="shared" si="148"/>
        <v>0</v>
      </c>
      <c r="L3124" s="90"/>
    </row>
    <row r="3125" spans="1:12" hidden="1" x14ac:dyDescent="0.2">
      <c r="A3125" s="84" t="str">
        <f t="shared" si="146"/>
        <v>SelecioneSelecioneSelecione</v>
      </c>
      <c r="B3125" s="85" t="s">
        <v>19</v>
      </c>
      <c r="C3125" s="85" t="s">
        <v>19</v>
      </c>
      <c r="D3125" s="86"/>
      <c r="E3125" s="116" t="str">
        <f t="shared" si="147"/>
        <v>-</v>
      </c>
      <c r="F3125" s="85"/>
      <c r="G3125" s="85" t="s">
        <v>19</v>
      </c>
      <c r="H3125" s="85"/>
      <c r="I3125" s="85"/>
      <c r="J3125" s="87"/>
      <c r="K3125" s="88">
        <f t="shared" si="148"/>
        <v>0</v>
      </c>
      <c r="L3125" s="85"/>
    </row>
    <row r="3126" spans="1:12" hidden="1" x14ac:dyDescent="0.2">
      <c r="A3126" s="84" t="str">
        <f t="shared" si="146"/>
        <v>SelecioneSelecioneSelecione</v>
      </c>
      <c r="B3126" s="85" t="s">
        <v>19</v>
      </c>
      <c r="C3126" s="85" t="s">
        <v>19</v>
      </c>
      <c r="D3126" s="86"/>
      <c r="E3126" s="116" t="str">
        <f t="shared" si="147"/>
        <v>-</v>
      </c>
      <c r="F3126" s="85"/>
      <c r="G3126" s="85" t="s">
        <v>19</v>
      </c>
      <c r="H3126" s="85"/>
      <c r="I3126" s="85"/>
      <c r="J3126" s="87"/>
      <c r="K3126" s="88">
        <f t="shared" si="148"/>
        <v>0</v>
      </c>
      <c r="L3126" s="85"/>
    </row>
    <row r="3127" spans="1:12" hidden="1" x14ac:dyDescent="0.2">
      <c r="A3127" s="84" t="str">
        <f t="shared" si="146"/>
        <v>SelecioneSelecioneSelecione</v>
      </c>
      <c r="B3127" s="85" t="s">
        <v>19</v>
      </c>
      <c r="C3127" s="85" t="s">
        <v>19</v>
      </c>
      <c r="D3127" s="86"/>
      <c r="E3127" s="116" t="str">
        <f t="shared" si="147"/>
        <v>-</v>
      </c>
      <c r="F3127" s="85"/>
      <c r="G3127" s="85" t="s">
        <v>19</v>
      </c>
      <c r="H3127" s="85"/>
      <c r="I3127" s="85"/>
      <c r="J3127" s="87"/>
      <c r="K3127" s="88">
        <f t="shared" si="148"/>
        <v>0</v>
      </c>
      <c r="L3127" s="85"/>
    </row>
    <row r="3128" spans="1:12" hidden="1" x14ac:dyDescent="0.2">
      <c r="A3128" s="84" t="str">
        <f t="shared" si="146"/>
        <v>SelecioneSelecioneSelecione</v>
      </c>
      <c r="B3128" s="85" t="s">
        <v>19</v>
      </c>
      <c r="C3128" s="85" t="s">
        <v>19</v>
      </c>
      <c r="D3128" s="86"/>
      <c r="E3128" s="116" t="str">
        <f t="shared" si="147"/>
        <v>-</v>
      </c>
      <c r="F3128" s="85"/>
      <c r="G3128" s="85" t="s">
        <v>19</v>
      </c>
      <c r="H3128" s="85"/>
      <c r="I3128" s="85"/>
      <c r="J3128" s="87"/>
      <c r="K3128" s="88">
        <f t="shared" si="148"/>
        <v>0</v>
      </c>
      <c r="L3128" s="85"/>
    </row>
    <row r="3129" spans="1:12" hidden="1" x14ac:dyDescent="0.2">
      <c r="A3129" s="84" t="str">
        <f t="shared" si="146"/>
        <v>SelecioneSelecioneSelecione</v>
      </c>
      <c r="B3129" s="85" t="s">
        <v>19</v>
      </c>
      <c r="C3129" s="85" t="s">
        <v>19</v>
      </c>
      <c r="D3129" s="86"/>
      <c r="E3129" s="116" t="str">
        <f t="shared" si="147"/>
        <v>-</v>
      </c>
      <c r="F3129" s="85"/>
      <c r="G3129" s="85" t="s">
        <v>19</v>
      </c>
      <c r="H3129" s="85"/>
      <c r="I3129" s="85"/>
      <c r="J3129" s="87"/>
      <c r="K3129" s="88">
        <f t="shared" si="148"/>
        <v>0</v>
      </c>
      <c r="L3129" s="85"/>
    </row>
    <row r="3130" spans="1:12" hidden="1" x14ac:dyDescent="0.2">
      <c r="A3130" s="84" t="str">
        <f t="shared" si="146"/>
        <v>SelecioneSelecioneSelecione</v>
      </c>
      <c r="B3130" s="85" t="s">
        <v>19</v>
      </c>
      <c r="C3130" s="85" t="s">
        <v>19</v>
      </c>
      <c r="D3130" s="93"/>
      <c r="E3130" s="116" t="str">
        <f t="shared" si="147"/>
        <v>-</v>
      </c>
      <c r="F3130" s="90"/>
      <c r="G3130" s="85" t="s">
        <v>19</v>
      </c>
      <c r="H3130" s="85"/>
      <c r="I3130" s="90"/>
      <c r="J3130" s="89"/>
      <c r="K3130" s="88">
        <f t="shared" si="148"/>
        <v>0</v>
      </c>
      <c r="L3130" s="90"/>
    </row>
    <row r="3131" spans="1:12" hidden="1" x14ac:dyDescent="0.2">
      <c r="A3131" s="84" t="str">
        <f t="shared" si="146"/>
        <v>SelecioneSelecioneSelecione</v>
      </c>
      <c r="B3131" s="85" t="s">
        <v>19</v>
      </c>
      <c r="C3131" s="85" t="s">
        <v>19</v>
      </c>
      <c r="D3131" s="86"/>
      <c r="E3131" s="116" t="str">
        <f t="shared" si="147"/>
        <v>-</v>
      </c>
      <c r="F3131" s="85"/>
      <c r="G3131" s="85" t="s">
        <v>19</v>
      </c>
      <c r="H3131" s="85"/>
      <c r="I3131" s="85"/>
      <c r="J3131" s="87"/>
      <c r="K3131" s="88">
        <f t="shared" si="148"/>
        <v>0</v>
      </c>
      <c r="L3131" s="85"/>
    </row>
    <row r="3132" spans="1:12" hidden="1" x14ac:dyDescent="0.2">
      <c r="A3132" s="84" t="str">
        <f t="shared" si="146"/>
        <v>SelecioneSelecioneSelecione</v>
      </c>
      <c r="B3132" s="85" t="s">
        <v>19</v>
      </c>
      <c r="C3132" s="85" t="s">
        <v>19</v>
      </c>
      <c r="D3132" s="86"/>
      <c r="E3132" s="116" t="str">
        <f t="shared" si="147"/>
        <v>-</v>
      </c>
      <c r="F3132" s="85"/>
      <c r="G3132" s="85" t="s">
        <v>19</v>
      </c>
      <c r="H3132" s="85"/>
      <c r="I3132" s="85"/>
      <c r="J3132" s="87"/>
      <c r="K3132" s="88">
        <f t="shared" si="148"/>
        <v>0</v>
      </c>
      <c r="L3132" s="85"/>
    </row>
    <row r="3133" spans="1:12" hidden="1" x14ac:dyDescent="0.2">
      <c r="A3133" s="84" t="str">
        <f t="shared" si="146"/>
        <v>SelecioneSelecioneSelecione</v>
      </c>
      <c r="B3133" s="85" t="s">
        <v>19</v>
      </c>
      <c r="C3133" s="85" t="s">
        <v>19</v>
      </c>
      <c r="D3133" s="93"/>
      <c r="E3133" s="116" t="str">
        <f t="shared" si="147"/>
        <v>-</v>
      </c>
      <c r="F3133" s="90"/>
      <c r="G3133" s="85" t="s">
        <v>19</v>
      </c>
      <c r="H3133" s="85"/>
      <c r="I3133" s="90"/>
      <c r="J3133" s="89"/>
      <c r="K3133" s="88">
        <f t="shared" si="148"/>
        <v>0</v>
      </c>
      <c r="L3133" s="90"/>
    </row>
    <row r="3134" spans="1:12" hidden="1" x14ac:dyDescent="0.2">
      <c r="A3134" s="84" t="str">
        <f t="shared" si="146"/>
        <v>SelecioneSelecioneSelecione</v>
      </c>
      <c r="B3134" s="85" t="s">
        <v>19</v>
      </c>
      <c r="C3134" s="85" t="s">
        <v>19</v>
      </c>
      <c r="D3134" s="86"/>
      <c r="E3134" s="116" t="str">
        <f t="shared" si="147"/>
        <v>-</v>
      </c>
      <c r="F3134" s="85"/>
      <c r="G3134" s="85" t="s">
        <v>19</v>
      </c>
      <c r="H3134" s="85"/>
      <c r="I3134" s="85"/>
      <c r="J3134" s="87"/>
      <c r="K3134" s="88">
        <f t="shared" si="148"/>
        <v>0</v>
      </c>
      <c r="L3134" s="85"/>
    </row>
    <row r="3135" spans="1:12" hidden="1" x14ac:dyDescent="0.2">
      <c r="A3135" s="84" t="str">
        <f t="shared" si="146"/>
        <v>SelecioneSelecioneSelecione</v>
      </c>
      <c r="B3135" s="85" t="s">
        <v>19</v>
      </c>
      <c r="C3135" s="85" t="s">
        <v>19</v>
      </c>
      <c r="D3135" s="86"/>
      <c r="E3135" s="116" t="str">
        <f t="shared" si="147"/>
        <v>-</v>
      </c>
      <c r="F3135" s="85"/>
      <c r="G3135" s="85" t="s">
        <v>19</v>
      </c>
      <c r="H3135" s="85"/>
      <c r="I3135" s="85"/>
      <c r="J3135" s="87"/>
      <c r="K3135" s="88">
        <f t="shared" si="148"/>
        <v>0</v>
      </c>
      <c r="L3135" s="85"/>
    </row>
    <row r="3136" spans="1:12" hidden="1" x14ac:dyDescent="0.2">
      <c r="A3136" s="84" t="str">
        <f t="shared" si="146"/>
        <v>SelecioneSelecioneSelecione</v>
      </c>
      <c r="B3136" s="85" t="s">
        <v>19</v>
      </c>
      <c r="C3136" s="85" t="s">
        <v>19</v>
      </c>
      <c r="D3136" s="86"/>
      <c r="E3136" s="116" t="str">
        <f t="shared" si="147"/>
        <v>-</v>
      </c>
      <c r="F3136" s="85"/>
      <c r="G3136" s="85" t="s">
        <v>19</v>
      </c>
      <c r="H3136" s="85"/>
      <c r="I3136" s="85"/>
      <c r="J3136" s="87"/>
      <c r="K3136" s="88">
        <f t="shared" si="148"/>
        <v>0</v>
      </c>
      <c r="L3136" s="85"/>
    </row>
    <row r="3137" spans="1:12" hidden="1" x14ac:dyDescent="0.2">
      <c r="A3137" s="84" t="str">
        <f t="shared" si="146"/>
        <v>SelecioneSelecioneSelecione</v>
      </c>
      <c r="B3137" s="85" t="s">
        <v>19</v>
      </c>
      <c r="C3137" s="85" t="s">
        <v>19</v>
      </c>
      <c r="D3137" s="93"/>
      <c r="E3137" s="116" t="str">
        <f t="shared" si="147"/>
        <v>-</v>
      </c>
      <c r="F3137" s="90"/>
      <c r="G3137" s="85" t="s">
        <v>19</v>
      </c>
      <c r="H3137" s="85"/>
      <c r="I3137" s="90"/>
      <c r="J3137" s="89"/>
      <c r="K3137" s="88">
        <f t="shared" si="148"/>
        <v>0</v>
      </c>
      <c r="L3137" s="90"/>
    </row>
    <row r="1048576" spans="10:10" x14ac:dyDescent="0.25">
      <c r="J1048576" s="84"/>
    </row>
  </sheetData>
  <sheetProtection selectLockedCells="1" autoFilter="0" pivotTables="0"/>
  <autoFilter ref="B1:L3137">
    <filterColumn colId="3">
      <filters>
        <filter val="Hortifruti"/>
      </filters>
    </filterColumn>
  </autoFilter>
  <sortState ref="M2:O986">
    <sortCondition ref="M2"/>
  </sortState>
  <dataValidations xWindow="598" yWindow="526" count="4">
    <dataValidation type="list" allowBlank="1" showInputMessage="1" showErrorMessage="1" sqref="B2:B3137">
      <formula1>"Selecione,Janeiro,Fevereiro,Março,Abril,Maio,Junho,Julho,Agosto,Setembro,Outubro,Novembro,Dezembro"</formula1>
    </dataValidation>
    <dataValidation type="whole" allowBlank="1" showInputMessage="1" showErrorMessage="1" sqref="D2:D122 D246 D321">
      <formula1>1</formula1>
      <formula2>31</formula2>
    </dataValidation>
    <dataValidation type="list" allowBlank="1" showInputMessage="1" showErrorMessage="1" prompt="Dê 02 cliques na célula para pesquisar o produto." sqref="G2:G3137">
      <formula1>Produtos</formula1>
    </dataValidation>
    <dataValidation type="list" allowBlank="1" showInputMessage="1" showErrorMessage="1" sqref="C2:C3137">
      <formula1>"Selecione,SEMANA 1,SEMANA 2,SEMANA 3,SEMANA 4,SEMANA 5"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/>
  <picture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1031"/>
  <sheetViews>
    <sheetView showGridLines="0" zoomScale="110" zoomScaleNormal="110" workbookViewId="0">
      <pane xSplit="2" ySplit="3" topLeftCell="C914" activePane="bottomRight" state="frozen"/>
      <selection pane="topRight" activeCell="C1" sqref="C1"/>
      <selection pane="bottomLeft" activeCell="A4" sqref="A4"/>
      <selection pane="bottomRight" activeCell="A946" sqref="A946"/>
    </sheetView>
  </sheetViews>
  <sheetFormatPr defaultColWidth="9.140625" defaultRowHeight="15" x14ac:dyDescent="0.25"/>
  <cols>
    <col min="1" max="1" width="52.7109375" style="112" bestFit="1" customWidth="1"/>
    <col min="2" max="2" width="1.7109375" style="13" customWidth="1"/>
    <col min="3" max="3" width="16.85546875" style="3" bestFit="1" customWidth="1"/>
    <col min="4" max="4" width="1.7109375" style="3" customWidth="1"/>
    <col min="5" max="5" width="5.85546875" style="3" hidden="1" customWidth="1"/>
    <col min="6" max="6" width="10.85546875" style="3" bestFit="1" customWidth="1"/>
    <col min="7" max="10" width="15.28515625" style="3" customWidth="1"/>
    <col min="11" max="11" width="16.140625" style="3" bestFit="1" customWidth="1"/>
    <col min="12" max="13" width="17.140625" style="3" bestFit="1" customWidth="1"/>
    <col min="14" max="14" width="17.7109375" style="3" bestFit="1" customWidth="1"/>
    <col min="15" max="15" width="14" style="3" bestFit="1" customWidth="1"/>
    <col min="16" max="16" width="1.7109375" style="3" customWidth="1"/>
    <col min="17" max="17" width="8.7109375" style="3" hidden="1" customWidth="1"/>
    <col min="18" max="18" width="14.28515625" style="3" customWidth="1"/>
    <col min="19" max="19" width="16.85546875" style="3" bestFit="1" customWidth="1"/>
    <col min="20" max="21" width="16.140625" style="3" bestFit="1" customWidth="1"/>
    <col min="22" max="22" width="17.140625" style="3" bestFit="1" customWidth="1"/>
    <col min="23" max="24" width="16.140625" style="3" bestFit="1" customWidth="1"/>
    <col min="25" max="25" width="17.140625" style="3" bestFit="1" customWidth="1"/>
    <col min="26" max="26" width="18.42578125" style="3" bestFit="1" customWidth="1"/>
    <col min="27" max="27" width="14" style="3" bestFit="1" customWidth="1"/>
    <col min="28" max="28" width="1.7109375" style="3" customWidth="1"/>
    <col min="29" max="29" width="6.42578125" style="3" hidden="1" customWidth="1"/>
    <col min="30" max="30" width="10.85546875" style="3" bestFit="1" customWidth="1"/>
    <col min="31" max="31" width="18" style="3" bestFit="1" customWidth="1"/>
    <col min="32" max="32" width="16.42578125" style="3" bestFit="1" customWidth="1"/>
    <col min="33" max="33" width="16.140625" style="3" bestFit="1" customWidth="1"/>
    <col min="34" max="34" width="17.140625" style="3" bestFit="1" customWidth="1"/>
    <col min="35" max="35" width="18" style="3" bestFit="1" customWidth="1"/>
    <col min="36" max="36" width="17.140625" style="3" bestFit="1" customWidth="1"/>
    <col min="37" max="37" width="16.42578125" style="3" bestFit="1" customWidth="1"/>
    <col min="38" max="38" width="18.42578125" style="3" bestFit="1" customWidth="1"/>
    <col min="39" max="39" width="14" style="3" bestFit="1" customWidth="1"/>
    <col min="40" max="40" width="1.7109375" style="3" customWidth="1"/>
    <col min="41" max="41" width="6.42578125" style="3" hidden="1" customWidth="1"/>
    <col min="42" max="42" width="10.85546875" style="3" bestFit="1" customWidth="1"/>
    <col min="43" max="43" width="16.85546875" style="3" bestFit="1" customWidth="1"/>
    <col min="44" max="44" width="17.140625" style="3" bestFit="1" customWidth="1"/>
    <col min="45" max="45" width="16.140625" style="3" bestFit="1" customWidth="1"/>
    <col min="46" max="46" width="19.42578125" style="3" customWidth="1"/>
    <col min="47" max="47" width="17.42578125" style="3" customWidth="1"/>
    <col min="48" max="48" width="18.42578125" style="3" customWidth="1"/>
    <col min="49" max="49" width="19.140625" style="3" customWidth="1"/>
    <col min="50" max="50" width="17.7109375" style="3" bestFit="1" customWidth="1"/>
    <col min="51" max="51" width="14" style="3" bestFit="1" customWidth="1"/>
    <col min="52" max="52" width="1.7109375" style="3" customWidth="1"/>
    <col min="53" max="53" width="11.85546875" style="3" hidden="1" customWidth="1"/>
    <col min="54" max="54" width="10.85546875" style="3" bestFit="1" customWidth="1"/>
    <col min="55" max="55" width="18.140625" style="3" customWidth="1"/>
    <col min="56" max="56" width="17.7109375" style="3" customWidth="1"/>
    <col min="57" max="57" width="18.42578125" style="3" customWidth="1"/>
    <col min="58" max="58" width="19.42578125" style="3" customWidth="1"/>
    <col min="59" max="59" width="18.85546875" style="3" customWidth="1"/>
    <col min="60" max="60" width="18.42578125" style="3" customWidth="1"/>
    <col min="61" max="61" width="17.85546875" style="3" customWidth="1"/>
    <col min="62" max="62" width="17.28515625" style="3" customWidth="1"/>
    <col min="63" max="63" width="19.85546875" style="3" customWidth="1"/>
    <col min="64" max="64" width="19" style="3" customWidth="1"/>
    <col min="65" max="65" width="1.7109375" style="3" customWidth="1"/>
    <col min="66" max="66" width="21.28515625" style="1" customWidth="1"/>
    <col min="67" max="67" width="24.28515625" style="1" bestFit="1" customWidth="1"/>
    <col min="68" max="68" width="1.7109375" style="3" customWidth="1"/>
    <col min="69" max="69" width="6.42578125" style="142" hidden="1" customWidth="1"/>
    <col min="70" max="70" width="12.42578125" style="142" hidden="1" customWidth="1"/>
    <col min="71" max="71" width="12.140625" style="142" hidden="1" customWidth="1"/>
    <col min="72" max="72" width="6.42578125" style="142" hidden="1" customWidth="1"/>
    <col min="73" max="73" width="2.140625" style="142" customWidth="1"/>
    <col min="74" max="74" width="12.7109375" style="81" bestFit="1" customWidth="1"/>
    <col min="75" max="78" width="11.28515625" style="81" bestFit="1" customWidth="1"/>
    <col min="79" max="16384" width="9.140625" style="1"/>
  </cols>
  <sheetData>
    <row r="1" spans="1:78 16384:16384" ht="15.75" customHeight="1" thickBot="1" x14ac:dyDescent="0.3">
      <c r="A1" s="222" t="s">
        <v>0</v>
      </c>
      <c r="B1" s="12"/>
      <c r="C1" s="72" t="s">
        <v>28</v>
      </c>
      <c r="D1" s="24"/>
      <c r="F1" s="226" t="s">
        <v>20</v>
      </c>
      <c r="G1" s="227"/>
      <c r="H1" s="227"/>
      <c r="I1" s="227"/>
      <c r="J1" s="227"/>
      <c r="K1" s="227"/>
      <c r="L1" s="227"/>
      <c r="M1" s="227"/>
      <c r="N1" s="227"/>
      <c r="O1" s="227"/>
      <c r="P1" s="24"/>
      <c r="R1" s="226" t="s">
        <v>21</v>
      </c>
      <c r="S1" s="227"/>
      <c r="T1" s="227"/>
      <c r="U1" s="227"/>
      <c r="V1" s="227"/>
      <c r="W1" s="227"/>
      <c r="X1" s="227"/>
      <c r="Y1" s="227"/>
      <c r="Z1" s="227"/>
      <c r="AA1" s="227"/>
      <c r="AB1" s="24"/>
      <c r="AD1" s="226" t="s">
        <v>22</v>
      </c>
      <c r="AE1" s="227"/>
      <c r="AF1" s="227"/>
      <c r="AG1" s="227"/>
      <c r="AH1" s="227"/>
      <c r="AI1" s="227"/>
      <c r="AJ1" s="227"/>
      <c r="AK1" s="227"/>
      <c r="AL1" s="227"/>
      <c r="AM1" s="227"/>
      <c r="AN1" s="24"/>
      <c r="AP1" s="226" t="s">
        <v>23</v>
      </c>
      <c r="AQ1" s="227"/>
      <c r="AR1" s="227"/>
      <c r="AS1" s="227"/>
      <c r="AT1" s="227"/>
      <c r="AU1" s="227"/>
      <c r="AV1" s="227"/>
      <c r="AW1" s="227"/>
      <c r="AX1" s="227"/>
      <c r="AY1" s="227"/>
      <c r="AZ1" s="24"/>
      <c r="BB1" s="226" t="s">
        <v>24</v>
      </c>
      <c r="BC1" s="227"/>
      <c r="BD1" s="227"/>
      <c r="BE1" s="227"/>
      <c r="BF1" s="227"/>
      <c r="BG1" s="227"/>
      <c r="BH1" s="227"/>
      <c r="BI1" s="227"/>
      <c r="BJ1" s="227"/>
      <c r="BK1" s="227"/>
      <c r="BL1" s="231"/>
      <c r="BM1" s="49"/>
      <c r="BN1" s="229" t="s">
        <v>53</v>
      </c>
      <c r="BO1" s="229" t="s">
        <v>54</v>
      </c>
      <c r="BP1" s="49"/>
      <c r="BV1" s="228" t="s">
        <v>1047</v>
      </c>
      <c r="BW1" s="228"/>
      <c r="BX1" s="228"/>
      <c r="BY1" s="228"/>
      <c r="BZ1" s="228"/>
      <c r="XFD1" s="141" t="s">
        <v>1360</v>
      </c>
    </row>
    <row r="2" spans="1:78 16384:16384" x14ac:dyDescent="0.25">
      <c r="A2" s="223"/>
      <c r="B2" s="12"/>
      <c r="C2" s="73" t="s">
        <v>31</v>
      </c>
      <c r="D2" s="25"/>
      <c r="E2" s="4"/>
      <c r="F2" s="224" t="s">
        <v>1</v>
      </c>
      <c r="G2" s="75" t="s">
        <v>3</v>
      </c>
      <c r="H2" s="75" t="s">
        <v>4</v>
      </c>
      <c r="I2" s="75" t="s">
        <v>5</v>
      </c>
      <c r="J2" s="20" t="s">
        <v>6</v>
      </c>
      <c r="K2" s="20" t="s">
        <v>7</v>
      </c>
      <c r="L2" s="20" t="s">
        <v>10</v>
      </c>
      <c r="M2" s="20" t="s">
        <v>2</v>
      </c>
      <c r="N2" s="224" t="s">
        <v>8</v>
      </c>
      <c r="O2" s="224" t="s">
        <v>9</v>
      </c>
      <c r="P2" s="25"/>
      <c r="Q2" s="4"/>
      <c r="R2" s="224" t="s">
        <v>1</v>
      </c>
      <c r="S2" s="20" t="s">
        <v>3</v>
      </c>
      <c r="T2" s="20" t="s">
        <v>4</v>
      </c>
      <c r="U2" s="20" t="s">
        <v>5</v>
      </c>
      <c r="V2" s="20" t="s">
        <v>6</v>
      </c>
      <c r="W2" s="20" t="s">
        <v>7</v>
      </c>
      <c r="X2" s="20" t="s">
        <v>10</v>
      </c>
      <c r="Y2" s="20" t="s">
        <v>2</v>
      </c>
      <c r="Z2" s="224" t="s">
        <v>8</v>
      </c>
      <c r="AA2" s="224" t="s">
        <v>9</v>
      </c>
      <c r="AB2" s="25"/>
      <c r="AC2" s="4"/>
      <c r="AD2" s="224" t="s">
        <v>1</v>
      </c>
      <c r="AE2" s="20" t="s">
        <v>3</v>
      </c>
      <c r="AF2" s="20" t="s">
        <v>4</v>
      </c>
      <c r="AG2" s="20" t="s">
        <v>5</v>
      </c>
      <c r="AH2" s="20" t="s">
        <v>6</v>
      </c>
      <c r="AI2" s="20" t="s">
        <v>7</v>
      </c>
      <c r="AJ2" s="20" t="s">
        <v>10</v>
      </c>
      <c r="AK2" s="20" t="s">
        <v>2</v>
      </c>
      <c r="AL2" s="224" t="s">
        <v>8</v>
      </c>
      <c r="AM2" s="224" t="s">
        <v>9</v>
      </c>
      <c r="AN2" s="25"/>
      <c r="AO2" s="4"/>
      <c r="AP2" s="224" t="s">
        <v>1</v>
      </c>
      <c r="AQ2" s="20" t="s">
        <v>3</v>
      </c>
      <c r="AR2" s="20" t="s">
        <v>4</v>
      </c>
      <c r="AS2" s="20" t="s">
        <v>5</v>
      </c>
      <c r="AT2" s="20" t="s">
        <v>6</v>
      </c>
      <c r="AU2" s="20" t="s">
        <v>7</v>
      </c>
      <c r="AV2" s="20" t="s">
        <v>10</v>
      </c>
      <c r="AW2" s="20" t="s">
        <v>2</v>
      </c>
      <c r="AX2" s="224" t="s">
        <v>8</v>
      </c>
      <c r="AY2" s="224" t="s">
        <v>9</v>
      </c>
      <c r="AZ2" s="25"/>
      <c r="BA2" s="4"/>
      <c r="BB2" s="224" t="s">
        <v>1</v>
      </c>
      <c r="BC2" s="20" t="s">
        <v>3</v>
      </c>
      <c r="BD2" s="20" t="s">
        <v>4</v>
      </c>
      <c r="BE2" s="20" t="s">
        <v>5</v>
      </c>
      <c r="BF2" s="20" t="s">
        <v>6</v>
      </c>
      <c r="BG2" s="20" t="s">
        <v>7</v>
      </c>
      <c r="BH2" s="20" t="s">
        <v>10</v>
      </c>
      <c r="BI2" s="75" t="s">
        <v>2</v>
      </c>
      <c r="BJ2" s="75" t="s">
        <v>3</v>
      </c>
      <c r="BK2" s="224" t="s">
        <v>8</v>
      </c>
      <c r="BL2" s="224" t="s">
        <v>9</v>
      </c>
      <c r="BM2" s="50"/>
      <c r="BN2" s="230"/>
      <c r="BO2" s="230"/>
      <c r="BP2" s="50"/>
      <c r="BQ2" s="143"/>
      <c r="BR2" s="143"/>
      <c r="BS2" s="143"/>
      <c r="BV2" s="228"/>
      <c r="BW2" s="228"/>
      <c r="BX2" s="228"/>
      <c r="BY2" s="228"/>
      <c r="BZ2" s="228"/>
    </row>
    <row r="3" spans="1:78 16384:16384" s="16" customFormat="1" ht="30" customHeight="1" thickBot="1" x14ac:dyDescent="0.3">
      <c r="A3" s="223"/>
      <c r="B3" s="14"/>
      <c r="C3" s="121" t="s">
        <v>27</v>
      </c>
      <c r="D3" s="25"/>
      <c r="E3" s="15"/>
      <c r="F3" s="225"/>
      <c r="G3" s="76">
        <v>26</v>
      </c>
      <c r="H3" s="76">
        <v>27</v>
      </c>
      <c r="I3" s="76">
        <v>28</v>
      </c>
      <c r="J3" s="21">
        <v>1</v>
      </c>
      <c r="K3" s="21">
        <v>2</v>
      </c>
      <c r="L3" s="21">
        <v>3</v>
      </c>
      <c r="M3" s="21">
        <v>4</v>
      </c>
      <c r="N3" s="225"/>
      <c r="O3" s="225"/>
      <c r="P3" s="25"/>
      <c r="Q3" s="15"/>
      <c r="R3" s="225"/>
      <c r="S3" s="21">
        <v>5</v>
      </c>
      <c r="T3" s="21">
        <v>6</v>
      </c>
      <c r="U3" s="21">
        <v>7</v>
      </c>
      <c r="V3" s="21">
        <v>8</v>
      </c>
      <c r="W3" s="21">
        <v>9</v>
      </c>
      <c r="X3" s="21">
        <v>10</v>
      </c>
      <c r="Y3" s="21">
        <v>11</v>
      </c>
      <c r="Z3" s="225"/>
      <c r="AA3" s="225"/>
      <c r="AB3" s="25"/>
      <c r="AC3" s="15"/>
      <c r="AD3" s="225"/>
      <c r="AE3" s="21">
        <v>12</v>
      </c>
      <c r="AF3" s="21">
        <v>13</v>
      </c>
      <c r="AG3" s="21">
        <v>14</v>
      </c>
      <c r="AH3" s="21">
        <v>15</v>
      </c>
      <c r="AI3" s="21">
        <v>16</v>
      </c>
      <c r="AJ3" s="21">
        <v>17</v>
      </c>
      <c r="AK3" s="21">
        <v>18</v>
      </c>
      <c r="AL3" s="225"/>
      <c r="AM3" s="225"/>
      <c r="AN3" s="25"/>
      <c r="AO3" s="15"/>
      <c r="AP3" s="225"/>
      <c r="AQ3" s="21">
        <v>19</v>
      </c>
      <c r="AR3" s="21">
        <v>20</v>
      </c>
      <c r="AS3" s="21">
        <v>21</v>
      </c>
      <c r="AT3" s="21">
        <v>22</v>
      </c>
      <c r="AU3" s="21">
        <v>23</v>
      </c>
      <c r="AV3" s="21">
        <v>24</v>
      </c>
      <c r="AW3" s="21">
        <v>25</v>
      </c>
      <c r="AX3" s="225"/>
      <c r="AY3" s="225"/>
      <c r="AZ3" s="25"/>
      <c r="BA3" s="15"/>
      <c r="BB3" s="225"/>
      <c r="BC3" s="21">
        <v>26</v>
      </c>
      <c r="BD3" s="21">
        <v>27</v>
      </c>
      <c r="BE3" s="21">
        <v>28</v>
      </c>
      <c r="BF3" s="21">
        <v>29</v>
      </c>
      <c r="BG3" s="21">
        <v>30</v>
      </c>
      <c r="BH3" s="21">
        <v>31</v>
      </c>
      <c r="BI3" s="76">
        <v>1</v>
      </c>
      <c r="BJ3" s="76">
        <v>2</v>
      </c>
      <c r="BK3" s="225"/>
      <c r="BL3" s="225"/>
      <c r="BM3" s="50"/>
      <c r="BN3" s="230"/>
      <c r="BO3" s="230"/>
      <c r="BP3" s="50"/>
      <c r="BQ3" s="144"/>
      <c r="BR3" s="144" t="s">
        <v>55</v>
      </c>
      <c r="BS3" s="144" t="s">
        <v>56</v>
      </c>
      <c r="BT3" s="145"/>
      <c r="BU3" s="145"/>
      <c r="BV3" s="151" t="s">
        <v>1042</v>
      </c>
      <c r="BW3" s="152" t="s">
        <v>1043</v>
      </c>
      <c r="BX3" s="152" t="s">
        <v>1044</v>
      </c>
      <c r="BY3" s="152" t="s">
        <v>1045</v>
      </c>
      <c r="BZ3" s="152" t="s">
        <v>1046</v>
      </c>
    </row>
    <row r="4" spans="1:78 16384:16384" s="16" customFormat="1" ht="30" customHeight="1" thickBot="1" x14ac:dyDescent="0.25">
      <c r="A4" s="139" t="s">
        <v>917</v>
      </c>
      <c r="B4" s="130"/>
      <c r="C4" s="131"/>
      <c r="D4" s="132"/>
      <c r="E4" s="133"/>
      <c r="F4" s="134"/>
      <c r="G4" s="135"/>
      <c r="H4" s="135"/>
      <c r="I4" s="135"/>
      <c r="J4" s="133"/>
      <c r="K4" s="133"/>
      <c r="L4" s="133"/>
      <c r="M4" s="133"/>
      <c r="N4" s="134"/>
      <c r="O4" s="134"/>
      <c r="P4" s="132"/>
      <c r="Q4" s="133"/>
      <c r="R4" s="134"/>
      <c r="S4" s="133"/>
      <c r="T4" s="133"/>
      <c r="U4" s="133"/>
      <c r="V4" s="133"/>
      <c r="W4" s="133"/>
      <c r="X4" s="133"/>
      <c r="Y4" s="133"/>
      <c r="Z4" s="134"/>
      <c r="AA4" s="134"/>
      <c r="AB4" s="132"/>
      <c r="AC4" s="133"/>
      <c r="AD4" s="134"/>
      <c r="AE4" s="133"/>
      <c r="AF4" s="133"/>
      <c r="AG4" s="133"/>
      <c r="AH4" s="133"/>
      <c r="AI4" s="133"/>
      <c r="AJ4" s="133"/>
      <c r="AK4" s="133"/>
      <c r="AL4" s="134"/>
      <c r="AM4" s="134"/>
      <c r="AN4" s="132"/>
      <c r="AO4" s="133"/>
      <c r="AP4" s="134"/>
      <c r="AQ4" s="133"/>
      <c r="AR4" s="133"/>
      <c r="AS4" s="133"/>
      <c r="AT4" s="133"/>
      <c r="AU4" s="133"/>
      <c r="AV4" s="133"/>
      <c r="AW4" s="133"/>
      <c r="AX4" s="134"/>
      <c r="AY4" s="134"/>
      <c r="AZ4" s="132"/>
      <c r="BA4" s="133"/>
      <c r="BB4" s="134"/>
      <c r="BC4" s="133"/>
      <c r="BD4" s="133"/>
      <c r="BE4" s="133"/>
      <c r="BF4" s="133"/>
      <c r="BG4" s="133"/>
      <c r="BH4" s="133"/>
      <c r="BI4" s="135"/>
      <c r="BJ4" s="135"/>
      <c r="BK4" s="134"/>
      <c r="BL4" s="134"/>
      <c r="BM4" s="136"/>
      <c r="BN4" s="137"/>
      <c r="BO4" s="137"/>
      <c r="BP4" s="138"/>
      <c r="BQ4" s="144"/>
      <c r="BR4" s="144"/>
      <c r="BS4" s="144"/>
      <c r="BT4" s="145"/>
      <c r="BU4" s="145"/>
      <c r="BV4" s="153"/>
      <c r="BW4" s="153"/>
      <c r="BX4" s="153"/>
      <c r="BY4" s="153"/>
      <c r="BZ4" s="153"/>
    </row>
    <row r="5" spans="1:78 16384:16384" x14ac:dyDescent="0.25">
      <c r="A5" s="122" t="s">
        <v>89</v>
      </c>
      <c r="B5" s="12"/>
      <c r="C5" s="123">
        <v>0</v>
      </c>
      <c r="D5" s="25"/>
      <c r="E5" s="124" t="str">
        <f t="shared" ref="E5:E73" si="0">CONCATENATE($C$2,$F$1,$A5)</f>
        <v>MarçoSEMANA 1Água Mineral Bb 5 lt</v>
      </c>
      <c r="F5" s="125">
        <f>SUMIF(NF!$A:$A,$E5,NF!$I:$I)</f>
        <v>0</v>
      </c>
      <c r="G5" s="126"/>
      <c r="H5" s="126"/>
      <c r="I5" s="126"/>
      <c r="J5" s="127"/>
      <c r="K5" s="127"/>
      <c r="L5" s="127"/>
      <c r="M5" s="127"/>
      <c r="N5" s="125">
        <f>SUM(G5:M5)</f>
        <v>0</v>
      </c>
      <c r="O5" s="128">
        <f t="shared" ref="O5:O69" si="1">F5+C5-N5</f>
        <v>0</v>
      </c>
      <c r="P5" s="25"/>
      <c r="Q5" s="124" t="str">
        <f t="shared" ref="Q5:Q73" si="2">CONCATENATE($C$2,$R$1,$A5)</f>
        <v>MarçoSEMANA 2Água Mineral Bb 5 lt</v>
      </c>
      <c r="R5" s="125">
        <f>SUMIF(NF!$A:$A,$Q5,NF!$I:$I)</f>
        <v>0</v>
      </c>
      <c r="S5" s="127"/>
      <c r="T5" s="127"/>
      <c r="U5" s="127"/>
      <c r="V5" s="127"/>
      <c r="W5" s="127"/>
      <c r="X5" s="127"/>
      <c r="Y5" s="127"/>
      <c r="Z5" s="125">
        <f>SUM(S5:Y5)</f>
        <v>0</v>
      </c>
      <c r="AA5" s="128">
        <f t="shared" ref="AA5:AA69" si="3">R5+O5-Z5</f>
        <v>0</v>
      </c>
      <c r="AB5" s="25"/>
      <c r="AC5" s="124" t="str">
        <f t="shared" ref="AC5:AC73" si="4">CONCATENATE($C$2,$AD$1,$A5)</f>
        <v>MarçoSEMANA 3Água Mineral Bb 5 lt</v>
      </c>
      <c r="AD5" s="125">
        <f>SUMIF(NF!$A:$A,$AC5,NF!$I:$I)</f>
        <v>0</v>
      </c>
      <c r="AE5" s="127"/>
      <c r="AF5" s="127"/>
      <c r="AG5" s="127"/>
      <c r="AH5" s="127"/>
      <c r="AI5" s="127"/>
      <c r="AJ5" s="127"/>
      <c r="AK5" s="127"/>
      <c r="AL5" s="125">
        <f>SUM(AE5:AK5)</f>
        <v>0</v>
      </c>
      <c r="AM5" s="128">
        <f t="shared" ref="AM5:AM69" si="5">AD5+AA5-AL5</f>
        <v>0</v>
      </c>
      <c r="AN5" s="25"/>
      <c r="AO5" s="124" t="str">
        <f t="shared" ref="AO5:AO73" si="6">CONCATENATE($C$2,$AP$1,$A5)</f>
        <v>MarçoSEMANA 4Água Mineral Bb 5 lt</v>
      </c>
      <c r="AP5" s="125">
        <f>SUMIF(NF!$A:$A,$AO5,NF!$I:$I)</f>
        <v>0</v>
      </c>
      <c r="AQ5" s="127"/>
      <c r="AR5" s="127"/>
      <c r="AS5" s="127"/>
      <c r="AT5" s="127"/>
      <c r="AU5" s="127"/>
      <c r="AV5" s="127"/>
      <c r="AW5" s="127"/>
      <c r="AX5" s="125">
        <f>SUM(AQ5:AW5)</f>
        <v>0</v>
      </c>
      <c r="AY5" s="128">
        <f t="shared" ref="AY5:AY69" si="7">AP5+AM5-AX5</f>
        <v>0</v>
      </c>
      <c r="AZ5" s="25"/>
      <c r="BA5" s="124" t="str">
        <f t="shared" ref="BA5:BA73" si="8">CONCATENATE($C$2,$BB$1,$A5)</f>
        <v>MarçoSEMANA 5Água Mineral Bb 5 lt</v>
      </c>
      <c r="BB5" s="125">
        <f>SUMIF(NF!$A:$A,$BA5,NF!$I:$I)</f>
        <v>0</v>
      </c>
      <c r="BC5" s="127"/>
      <c r="BD5" s="127"/>
      <c r="BE5" s="127"/>
      <c r="BF5" s="127"/>
      <c r="BG5" s="127"/>
      <c r="BH5" s="127"/>
      <c r="BI5" s="126"/>
      <c r="BJ5" s="126"/>
      <c r="BK5" s="125">
        <f>SUM(BC5:BJ5)</f>
        <v>0</v>
      </c>
      <c r="BL5" s="129">
        <f t="shared" ref="BL5:BL69" si="9">BB5+AY5-BK5</f>
        <v>0</v>
      </c>
      <c r="BM5" s="51" t="str">
        <f>IFERROR(VLOOKUP(A5,NF!$M:$O,3,0),"")</f>
        <v>Bebidas</v>
      </c>
      <c r="BN5" s="125">
        <f t="shared" ref="BN5:BN69" si="10">SUM(N5,Z5,AL5,AX5,BK5)</f>
        <v>0</v>
      </c>
      <c r="BO5" s="129">
        <f t="array" ref="BO5">IFERROR(LARGE(IF(NF!$G$2:$G$3137='Mês atual'!A5,NF!$J$2:$J$3137),1),0)*BN5</f>
        <v>0</v>
      </c>
      <c r="BP5" s="50"/>
      <c r="BR5" s="146">
        <f t="array" ref="BR5">IFERROR(LARGE(IF(NF!$G$2:$G$3137='Mês atual'!A5,NF!$J$2:$J$3137),1),0)</f>
        <v>0</v>
      </c>
      <c r="BS5" s="142" t="str">
        <f>VLOOKUP(A5,NF!M:O,3,0)</f>
        <v>Bebidas</v>
      </c>
      <c r="BV5" s="126">
        <f t="shared" ref="BV5:BV71" si="11">N5</f>
        <v>0</v>
      </c>
      <c r="BW5" s="126">
        <f t="shared" ref="BW5:BW71" si="12">Z5</f>
        <v>0</v>
      </c>
      <c r="BX5" s="126">
        <f t="shared" ref="BX5:BX71" si="13">AL5</f>
        <v>0</v>
      </c>
      <c r="BY5" s="126">
        <f t="shared" ref="BY5:BY71" si="14">AX5</f>
        <v>0</v>
      </c>
      <c r="BZ5" s="126">
        <f t="shared" ref="BZ5:BZ71" si="15">BK5</f>
        <v>0</v>
      </c>
    </row>
    <row r="6" spans="1:78 16384:16384" x14ac:dyDescent="0.25">
      <c r="A6" s="108" t="s">
        <v>90</v>
      </c>
      <c r="B6" s="12"/>
      <c r="C6" s="9">
        <v>22</v>
      </c>
      <c r="D6" s="25"/>
      <c r="E6" s="10" t="str">
        <f t="shared" si="0"/>
        <v>MarçoSEMANA 1Água Mineral com Gás</v>
      </c>
      <c r="F6" s="7">
        <f>SUMIF(NF!$A:$A,$E6,NF!$I:$I)</f>
        <v>210</v>
      </c>
      <c r="G6" s="74"/>
      <c r="H6" s="74"/>
      <c r="I6" s="74"/>
      <c r="J6" s="6">
        <f>16+5</f>
        <v>21</v>
      </c>
      <c r="K6" s="6">
        <f>7+15</f>
        <v>22</v>
      </c>
      <c r="L6" s="6">
        <f>3+6+5</f>
        <v>14</v>
      </c>
      <c r="M6" s="6">
        <f>15+17</f>
        <v>32</v>
      </c>
      <c r="N6" s="7">
        <f t="shared" ref="N6:N28" si="16">SUM(G6:M6)</f>
        <v>89</v>
      </c>
      <c r="O6" s="11">
        <f t="shared" si="1"/>
        <v>143</v>
      </c>
      <c r="P6" s="25"/>
      <c r="Q6" s="10" t="str">
        <f t="shared" si="2"/>
        <v>MarçoSEMANA 2Água Mineral com Gás</v>
      </c>
      <c r="R6" s="7">
        <f>SUMIF(NF!$A:$A,$Q6,NF!$I:$I)</f>
        <v>180</v>
      </c>
      <c r="S6" s="6">
        <f>12+20</f>
        <v>32</v>
      </c>
      <c r="T6" s="6">
        <f>10+16</f>
        <v>26</v>
      </c>
      <c r="U6" s="6">
        <f>8+11+9</f>
        <v>28</v>
      </c>
      <c r="V6" s="6">
        <f>1+7+6</f>
        <v>14</v>
      </c>
      <c r="W6" s="6">
        <f>3+12+5+12</f>
        <v>32</v>
      </c>
      <c r="X6" s="6">
        <f>4+9+12</f>
        <v>25</v>
      </c>
      <c r="Y6" s="6">
        <f>11+10</f>
        <v>21</v>
      </c>
      <c r="Z6" s="7">
        <f t="shared" ref="Z6:Z28" si="17">SUM(S6:Y6)</f>
        <v>178</v>
      </c>
      <c r="AA6" s="11">
        <f t="shared" si="3"/>
        <v>145</v>
      </c>
      <c r="AB6" s="25"/>
      <c r="AC6" s="10" t="str">
        <f t="shared" si="4"/>
        <v>MarçoSEMANA 3Água Mineral com Gás</v>
      </c>
      <c r="AD6" s="7">
        <f>SUMIF(NF!$A:$A,$AC6,NF!$I:$I)</f>
        <v>210</v>
      </c>
      <c r="AE6" s="6">
        <f>12+14</f>
        <v>26</v>
      </c>
      <c r="AF6" s="6">
        <f>2+2+5</f>
        <v>9</v>
      </c>
      <c r="AG6" s="6">
        <f>1+14+7</f>
        <v>22</v>
      </c>
      <c r="AH6" s="6">
        <f>2+7+4</f>
        <v>13</v>
      </c>
      <c r="AI6" s="6">
        <f>13+4+7</f>
        <v>24</v>
      </c>
      <c r="AJ6" s="6">
        <f>1+11+3</f>
        <v>15</v>
      </c>
      <c r="AK6" s="6">
        <f>17+9</f>
        <v>26</v>
      </c>
      <c r="AL6" s="7">
        <f t="shared" ref="AL6:AL28" si="18">SUM(AE6:AK6)</f>
        <v>135</v>
      </c>
      <c r="AM6" s="11">
        <f t="shared" si="5"/>
        <v>220</v>
      </c>
      <c r="AN6" s="25"/>
      <c r="AO6" s="10" t="str">
        <f t="shared" si="6"/>
        <v>MarçoSEMANA 4Água Mineral com Gás</v>
      </c>
      <c r="AP6" s="7">
        <f>SUMIF(NF!$A:$A,$AO6,NF!$I:$I)</f>
        <v>138</v>
      </c>
      <c r="AQ6" s="6">
        <v>24</v>
      </c>
      <c r="AR6" s="6">
        <f>1+10</f>
        <v>11</v>
      </c>
      <c r="AS6" s="6">
        <f>4+4+12</f>
        <v>20</v>
      </c>
      <c r="AT6" s="6">
        <f>1+1+11</f>
        <v>13</v>
      </c>
      <c r="AU6" s="6">
        <f>2+14+12+3</f>
        <v>31</v>
      </c>
      <c r="AV6" s="6">
        <f>1+15+5</f>
        <v>21</v>
      </c>
      <c r="AW6" s="6">
        <f>1+14+11</f>
        <v>26</v>
      </c>
      <c r="AX6" s="7">
        <f t="shared" ref="AX6:AX28" si="19">SUM(AQ6:AW6)</f>
        <v>146</v>
      </c>
      <c r="AY6" s="11">
        <f t="shared" si="7"/>
        <v>212</v>
      </c>
      <c r="AZ6" s="25"/>
      <c r="BA6" s="10" t="str">
        <f t="shared" si="8"/>
        <v>MarçoSEMANA 5Água Mineral com Gás</v>
      </c>
      <c r="BB6" s="7">
        <f>SUMIF(NF!$A:$A,$BA6,NF!$I:$I)</f>
        <v>60</v>
      </c>
      <c r="BC6" s="6">
        <f>2+10+14</f>
        <v>26</v>
      </c>
      <c r="BD6" s="6">
        <f>2+11+13</f>
        <v>26</v>
      </c>
      <c r="BE6" s="6">
        <f>3+6+7</f>
        <v>16</v>
      </c>
      <c r="BF6" s="6">
        <f>3+12+10</f>
        <v>25</v>
      </c>
      <c r="BG6" s="6">
        <f>11+6</f>
        <v>17</v>
      </c>
      <c r="BH6" s="6">
        <f>6+4+15</f>
        <v>25</v>
      </c>
      <c r="BI6" s="74"/>
      <c r="BJ6" s="74"/>
      <c r="BK6" s="7">
        <f t="shared" ref="BK6:BK28" si="20">SUM(BC6:BJ6)</f>
        <v>135</v>
      </c>
      <c r="BL6" s="8">
        <f t="shared" si="9"/>
        <v>137</v>
      </c>
      <c r="BM6" s="51" t="str">
        <f>IFERROR(VLOOKUP(A6,NF!$M:$O,3,0),"")</f>
        <v>Bebidas</v>
      </c>
      <c r="BN6" s="7">
        <f t="shared" si="10"/>
        <v>683</v>
      </c>
      <c r="BO6" s="8">
        <f t="array" ref="BO6">IFERROR(LARGE(IF(NF!$G$2:$G$3137='Mês atual'!A6,NF!$J$2:$J$3137),1),0)*BN6</f>
        <v>945.27199999999993</v>
      </c>
      <c r="BP6" s="50"/>
      <c r="BR6" s="146">
        <f t="array" ref="BR6">IFERROR(LARGE(IF(NF!$G$2:$G$3137='Mês atual'!A6,NF!$J$2:$J$3137),1),0)</f>
        <v>1.3839999999999999</v>
      </c>
      <c r="BS6" s="142" t="str">
        <f>VLOOKUP(A6,NF!M:O,3,0)</f>
        <v>Bebidas</v>
      </c>
      <c r="BV6" s="74">
        <f t="shared" si="11"/>
        <v>89</v>
      </c>
      <c r="BW6" s="74">
        <f t="shared" si="12"/>
        <v>178</v>
      </c>
      <c r="BX6" s="74">
        <f t="shared" si="13"/>
        <v>135</v>
      </c>
      <c r="BY6" s="74">
        <f t="shared" si="14"/>
        <v>146</v>
      </c>
      <c r="BZ6" s="74">
        <f t="shared" si="15"/>
        <v>135</v>
      </c>
    </row>
    <row r="7" spans="1:78 16384:16384" x14ac:dyDescent="0.25">
      <c r="A7" s="108" t="s">
        <v>91</v>
      </c>
      <c r="B7" s="12"/>
      <c r="C7" s="9">
        <v>80</v>
      </c>
      <c r="D7" s="25"/>
      <c r="E7" s="10" t="str">
        <f t="shared" si="0"/>
        <v>MarçoSEMANA 1Água Mineral sem Gás</v>
      </c>
      <c r="F7" s="7">
        <f>SUMIF(NF!$A:$A,$E7,NF!$I:$I)</f>
        <v>210</v>
      </c>
      <c r="G7" s="74"/>
      <c r="H7" s="74"/>
      <c r="I7" s="74"/>
      <c r="J7" s="6">
        <f>5+7+19</f>
        <v>31</v>
      </c>
      <c r="K7" s="6">
        <f>(1)+5+4+14</f>
        <v>24</v>
      </c>
      <c r="L7" s="6">
        <f>16+5</f>
        <v>21</v>
      </c>
      <c r="M7" s="6">
        <f>4+19+20</f>
        <v>43</v>
      </c>
      <c r="N7" s="7">
        <f t="shared" si="16"/>
        <v>119</v>
      </c>
      <c r="O7" s="11">
        <f t="shared" si="1"/>
        <v>171</v>
      </c>
      <c r="P7" s="25"/>
      <c r="Q7" s="10" t="str">
        <f t="shared" si="2"/>
        <v>MarçoSEMANA 2Água Mineral sem Gás</v>
      </c>
      <c r="R7" s="7">
        <f>SUMIF(NF!$A:$A,$Q7,NF!$I:$I)</f>
        <v>156</v>
      </c>
      <c r="S7" s="6">
        <f>4+6+12</f>
        <v>22</v>
      </c>
      <c r="T7" s="6">
        <f>3+7+21</f>
        <v>31</v>
      </c>
      <c r="U7" s="6">
        <f>4+5+11</f>
        <v>20</v>
      </c>
      <c r="V7" s="6">
        <f>3+5+9</f>
        <v>17</v>
      </c>
      <c r="W7" s="6">
        <f>4+9+8-11</f>
        <v>10</v>
      </c>
      <c r="X7" s="6">
        <f>2+15+13</f>
        <v>30</v>
      </c>
      <c r="Y7" s="6">
        <f>10+18+18</f>
        <v>46</v>
      </c>
      <c r="Z7" s="7">
        <f t="shared" si="17"/>
        <v>176</v>
      </c>
      <c r="AA7" s="11">
        <f t="shared" si="3"/>
        <v>151</v>
      </c>
      <c r="AB7" s="25"/>
      <c r="AC7" s="10" t="str">
        <f t="shared" si="4"/>
        <v>MarçoSEMANA 3Água Mineral sem Gás</v>
      </c>
      <c r="AD7" s="7">
        <f>SUMIF(NF!$A:$A,$AC7,NF!$I:$I)</f>
        <v>210</v>
      </c>
      <c r="AE7" s="6">
        <f>1+18+5</f>
        <v>24</v>
      </c>
      <c r="AF7" s="6">
        <f>4+4+14</f>
        <v>22</v>
      </c>
      <c r="AG7" s="6">
        <f>5+12+11</f>
        <v>28</v>
      </c>
      <c r="AH7" s="6">
        <f>(1)+9+7+16</f>
        <v>33</v>
      </c>
      <c r="AI7" s="6">
        <f>1+6+10-5</f>
        <v>12</v>
      </c>
      <c r="AJ7" s="6">
        <f>3+17+5</f>
        <v>25</v>
      </c>
      <c r="AK7" s="6">
        <f>7+17+9</f>
        <v>33</v>
      </c>
      <c r="AL7" s="7">
        <f t="shared" si="18"/>
        <v>177</v>
      </c>
      <c r="AM7" s="11">
        <f t="shared" si="5"/>
        <v>184</v>
      </c>
      <c r="AN7" s="25"/>
      <c r="AO7" s="10" t="str">
        <f t="shared" si="6"/>
        <v>MarçoSEMANA 4Água Mineral sem Gás</v>
      </c>
      <c r="AP7" s="7">
        <f>SUMIF(NF!$A:$A,$AO7,NF!$I:$I)</f>
        <v>210</v>
      </c>
      <c r="AQ7" s="6">
        <f>19+2</f>
        <v>21</v>
      </c>
      <c r="AR7" s="6">
        <f>3+14+9</f>
        <v>26</v>
      </c>
      <c r="AS7" s="6">
        <f>5+6+6</f>
        <v>17</v>
      </c>
      <c r="AT7" s="6">
        <f>1+4+5</f>
        <v>10</v>
      </c>
      <c r="AU7" s="6">
        <f>2+11+9-1</f>
        <v>21</v>
      </c>
      <c r="AV7" s="6">
        <f>9+23+5</f>
        <v>37</v>
      </c>
      <c r="AW7" s="6">
        <f>9+8+18</f>
        <v>35</v>
      </c>
      <c r="AX7" s="7">
        <f t="shared" si="19"/>
        <v>167</v>
      </c>
      <c r="AY7" s="11">
        <f t="shared" si="7"/>
        <v>227</v>
      </c>
      <c r="AZ7" s="25"/>
      <c r="BA7" s="10" t="str">
        <f t="shared" si="8"/>
        <v>MarçoSEMANA 5Água Mineral sem Gás</v>
      </c>
      <c r="BB7" s="7">
        <f>SUMIF(NF!$A:$A,$BA7,NF!$I:$I)</f>
        <v>60</v>
      </c>
      <c r="BC7" s="6">
        <f>10+7+8</f>
        <v>25</v>
      </c>
      <c r="BD7" s="6">
        <f>6+7+12</f>
        <v>25</v>
      </c>
      <c r="BE7" s="6">
        <f>6+7+7</f>
        <v>20</v>
      </c>
      <c r="BF7" s="6">
        <f>2+8+14</f>
        <v>24</v>
      </c>
      <c r="BG7" s="6">
        <f>4+14+7</f>
        <v>25</v>
      </c>
      <c r="BH7" s="6">
        <f>2+7+9-13</f>
        <v>5</v>
      </c>
      <c r="BI7" s="74"/>
      <c r="BJ7" s="74"/>
      <c r="BK7" s="7">
        <f t="shared" si="20"/>
        <v>124</v>
      </c>
      <c r="BL7" s="8">
        <f t="shared" si="9"/>
        <v>163</v>
      </c>
      <c r="BM7" s="51" t="str">
        <f>IFERROR(VLOOKUP(A7,NF!$M:$O,3,0),"")</f>
        <v>Bebidas</v>
      </c>
      <c r="BN7" s="7">
        <f t="shared" si="10"/>
        <v>763</v>
      </c>
      <c r="BO7" s="8">
        <f t="array" ref="BO7">IFERROR(LARGE(IF(NF!$G$2:$G$3137='Mês atual'!A7,NF!$J$2:$J$3137),1),0)*BN7</f>
        <v>1055.992</v>
      </c>
      <c r="BP7" s="50"/>
      <c r="BR7" s="146">
        <f t="array" ref="BR7">IFERROR(LARGE(IF(NF!$G$2:$G$3137='Mês atual'!A7,NF!$J$2:$J$3137),1),0)</f>
        <v>1.3839999999999999</v>
      </c>
      <c r="BS7" s="142" t="str">
        <f>VLOOKUP(A7,NF!M:O,3,0)</f>
        <v>Bebidas</v>
      </c>
      <c r="BV7" s="74">
        <f t="shared" si="11"/>
        <v>119</v>
      </c>
      <c r="BW7" s="74">
        <f t="shared" si="12"/>
        <v>176</v>
      </c>
      <c r="BX7" s="74">
        <f t="shared" si="13"/>
        <v>177</v>
      </c>
      <c r="BY7" s="74">
        <f t="shared" si="14"/>
        <v>167</v>
      </c>
      <c r="BZ7" s="74">
        <f t="shared" si="15"/>
        <v>124</v>
      </c>
    </row>
    <row r="8" spans="1:78 16384:16384" x14ac:dyDescent="0.25">
      <c r="A8" s="108" t="s">
        <v>92</v>
      </c>
      <c r="B8" s="12"/>
      <c r="C8" s="9">
        <v>20</v>
      </c>
      <c r="D8" s="25"/>
      <c r="E8" s="10" t="str">
        <f t="shared" si="0"/>
        <v>MarçoSEMANA 1Água Tonica</v>
      </c>
      <c r="F8" s="7">
        <f>SUMIF(NF!$A:$A,$E8,NF!$I:$I)</f>
        <v>12</v>
      </c>
      <c r="G8" s="74"/>
      <c r="H8" s="74"/>
      <c r="I8" s="74"/>
      <c r="J8" s="6">
        <f>1+1</f>
        <v>2</v>
      </c>
      <c r="K8" s="6">
        <f>(1)</f>
        <v>1</v>
      </c>
      <c r="L8" s="6">
        <f>1</f>
        <v>1</v>
      </c>
      <c r="M8" s="6">
        <f>3+2</f>
        <v>5</v>
      </c>
      <c r="N8" s="7">
        <f t="shared" si="16"/>
        <v>9</v>
      </c>
      <c r="O8" s="11">
        <f t="shared" si="1"/>
        <v>23</v>
      </c>
      <c r="P8" s="25"/>
      <c r="Q8" s="10" t="str">
        <f t="shared" si="2"/>
        <v>MarçoSEMANA 2Água Tonica</v>
      </c>
      <c r="R8" s="7">
        <f>SUMIF(NF!$A:$A,$Q8,NF!$I:$I)</f>
        <v>0</v>
      </c>
      <c r="S8" s="6">
        <f>1+1</f>
        <v>2</v>
      </c>
      <c r="T8" s="6">
        <f>1+2</f>
        <v>3</v>
      </c>
      <c r="U8" s="6">
        <f>1+2</f>
        <v>3</v>
      </c>
      <c r="V8" s="6"/>
      <c r="W8" s="6">
        <f>2+2-3</f>
        <v>1</v>
      </c>
      <c r="X8" s="6">
        <f>3+1+2</f>
        <v>6</v>
      </c>
      <c r="Y8" s="6">
        <f>2+3</f>
        <v>5</v>
      </c>
      <c r="Z8" s="7">
        <f t="shared" si="17"/>
        <v>20</v>
      </c>
      <c r="AA8" s="11">
        <f t="shared" si="3"/>
        <v>3</v>
      </c>
      <c r="AB8" s="25"/>
      <c r="AC8" s="10" t="str">
        <f t="shared" si="4"/>
        <v>MarçoSEMANA 3Água Tonica</v>
      </c>
      <c r="AD8" s="7">
        <f>SUMIF(NF!$A:$A,$AC8,NF!$I:$I)</f>
        <v>24</v>
      </c>
      <c r="AE8" s="6">
        <f>1</f>
        <v>1</v>
      </c>
      <c r="AF8" s="6"/>
      <c r="AG8" s="6">
        <v>2</v>
      </c>
      <c r="AH8" s="6"/>
      <c r="AI8" s="6">
        <f>1</f>
        <v>1</v>
      </c>
      <c r="AJ8" s="6">
        <f>1</f>
        <v>1</v>
      </c>
      <c r="AK8" s="6">
        <f>1+3</f>
        <v>4</v>
      </c>
      <c r="AL8" s="7">
        <f t="shared" si="18"/>
        <v>9</v>
      </c>
      <c r="AM8" s="11">
        <f t="shared" si="5"/>
        <v>18</v>
      </c>
      <c r="AN8" s="25"/>
      <c r="AO8" s="10" t="str">
        <f t="shared" si="6"/>
        <v>MarçoSEMANA 4Água Tonica</v>
      </c>
      <c r="AP8" s="7">
        <f>SUMIF(NF!$A:$A,$AO8,NF!$I:$I)</f>
        <v>24</v>
      </c>
      <c r="AQ8" s="6"/>
      <c r="AR8" s="6">
        <f>1+2</f>
        <v>3</v>
      </c>
      <c r="AS8" s="6"/>
      <c r="AT8" s="6">
        <f>1</f>
        <v>1</v>
      </c>
      <c r="AU8" s="6">
        <f>1-1</f>
        <v>0</v>
      </c>
      <c r="AV8" s="6">
        <f>1+1</f>
        <v>2</v>
      </c>
      <c r="AW8" s="6"/>
      <c r="AX8" s="7">
        <f t="shared" si="19"/>
        <v>6</v>
      </c>
      <c r="AY8" s="11">
        <f t="shared" si="7"/>
        <v>36</v>
      </c>
      <c r="AZ8" s="25"/>
      <c r="BA8" s="10" t="str">
        <f t="shared" si="8"/>
        <v>MarçoSEMANA 5Água Tonica</v>
      </c>
      <c r="BB8" s="7">
        <f>SUMIF(NF!$A:$A,$BA8,NF!$I:$I)</f>
        <v>0</v>
      </c>
      <c r="BC8" s="6">
        <f>1+1</f>
        <v>2</v>
      </c>
      <c r="BD8" s="6">
        <f>1</f>
        <v>1</v>
      </c>
      <c r="BE8" s="6"/>
      <c r="BF8" s="6">
        <f>1+3</f>
        <v>4</v>
      </c>
      <c r="BG8" s="6">
        <f>1</f>
        <v>1</v>
      </c>
      <c r="BH8" s="6"/>
      <c r="BI8" s="74"/>
      <c r="BJ8" s="74"/>
      <c r="BK8" s="7">
        <f t="shared" si="20"/>
        <v>8</v>
      </c>
      <c r="BL8" s="8">
        <f t="shared" si="9"/>
        <v>28</v>
      </c>
      <c r="BM8" s="51" t="str">
        <f>IFERROR(VLOOKUP(A8,NF!$M:$O,3,0),"")</f>
        <v>Bebidas</v>
      </c>
      <c r="BN8" s="7">
        <f t="shared" si="10"/>
        <v>52</v>
      </c>
      <c r="BO8" s="8">
        <f t="array" ref="BO8">IFERROR(LARGE(IF(NF!$G$2:$G$3137='Mês atual'!A8,NF!$J$2:$J$3137),1),0)*BN8</f>
        <v>92.018333333333331</v>
      </c>
      <c r="BP8" s="50"/>
      <c r="BR8" s="146">
        <f t="array" ref="BR8">IFERROR(LARGE(IF(NF!$G$2:$G$3137='Mês atual'!A8,NF!$J$2:$J$3137),1),0)</f>
        <v>1.7695833333333333</v>
      </c>
      <c r="BS8" s="142" t="str">
        <f>VLOOKUP(A8,NF!M:O,3,0)</f>
        <v>Bebidas</v>
      </c>
      <c r="BV8" s="74">
        <f t="shared" si="11"/>
        <v>9</v>
      </c>
      <c r="BW8" s="74">
        <f t="shared" si="12"/>
        <v>20</v>
      </c>
      <c r="BX8" s="74">
        <f t="shared" si="13"/>
        <v>9</v>
      </c>
      <c r="BY8" s="74">
        <f t="shared" si="14"/>
        <v>6</v>
      </c>
      <c r="BZ8" s="74">
        <f t="shared" si="15"/>
        <v>8</v>
      </c>
    </row>
    <row r="9" spans="1:78 16384:16384" x14ac:dyDescent="0.25">
      <c r="A9" s="108" t="s">
        <v>93</v>
      </c>
      <c r="B9" s="12"/>
      <c r="C9" s="9">
        <v>34</v>
      </c>
      <c r="D9" s="25"/>
      <c r="E9" s="10" t="str">
        <f t="shared" si="0"/>
        <v>MarçoSEMANA 1Água Tonica Diet</v>
      </c>
      <c r="F9" s="7">
        <f>SUMIF(NF!$A:$A,$E9,NF!$I:$I)</f>
        <v>0</v>
      </c>
      <c r="G9" s="74"/>
      <c r="H9" s="74"/>
      <c r="I9" s="74"/>
      <c r="J9" s="6">
        <f>1+1</f>
        <v>2</v>
      </c>
      <c r="K9" s="6">
        <v>1</v>
      </c>
      <c r="L9" s="6">
        <f>1</f>
        <v>1</v>
      </c>
      <c r="M9" s="6">
        <f>1+1</f>
        <v>2</v>
      </c>
      <c r="N9" s="7">
        <f t="shared" si="16"/>
        <v>6</v>
      </c>
      <c r="O9" s="11">
        <f t="shared" si="1"/>
        <v>28</v>
      </c>
      <c r="P9" s="25"/>
      <c r="Q9" s="10" t="str">
        <f t="shared" si="2"/>
        <v>MarçoSEMANA 2Água Tonica Diet</v>
      </c>
      <c r="R9" s="7">
        <f>SUMIF(NF!$A:$A,$Q9,NF!$I:$I)</f>
        <v>0</v>
      </c>
      <c r="S9" s="6"/>
      <c r="T9" s="6">
        <f>2</f>
        <v>2</v>
      </c>
      <c r="U9" s="6">
        <f>1</f>
        <v>1</v>
      </c>
      <c r="V9" s="6"/>
      <c r="W9" s="6">
        <f>1+2</f>
        <v>3</v>
      </c>
      <c r="X9" s="6">
        <f>2+1</f>
        <v>3</v>
      </c>
      <c r="Y9" s="6">
        <f>1+2</f>
        <v>3</v>
      </c>
      <c r="Z9" s="7">
        <f t="shared" si="17"/>
        <v>12</v>
      </c>
      <c r="AA9" s="11">
        <f t="shared" si="3"/>
        <v>16</v>
      </c>
      <c r="AB9" s="25"/>
      <c r="AC9" s="10" t="str">
        <f t="shared" si="4"/>
        <v>MarçoSEMANA 3Água Tonica Diet</v>
      </c>
      <c r="AD9" s="7">
        <f>SUMIF(NF!$A:$A,$AC9,NF!$I:$I)</f>
        <v>24</v>
      </c>
      <c r="AE9" s="6">
        <v>1</v>
      </c>
      <c r="AF9" s="6"/>
      <c r="AG9" s="6"/>
      <c r="AH9" s="6">
        <f>1</f>
        <v>1</v>
      </c>
      <c r="AI9" s="6">
        <v>1</v>
      </c>
      <c r="AJ9" s="6">
        <f>1</f>
        <v>1</v>
      </c>
      <c r="AK9" s="6">
        <f>1+1</f>
        <v>2</v>
      </c>
      <c r="AL9" s="7">
        <f t="shared" si="18"/>
        <v>6</v>
      </c>
      <c r="AM9" s="11">
        <f t="shared" si="5"/>
        <v>34</v>
      </c>
      <c r="AN9" s="25"/>
      <c r="AO9" s="10" t="str">
        <f t="shared" si="6"/>
        <v>MarçoSEMANA 4Água Tonica Diet</v>
      </c>
      <c r="AP9" s="7">
        <f>SUMIF(NF!$A:$A,$AO9,NF!$I:$I)</f>
        <v>12</v>
      </c>
      <c r="AQ9" s="6"/>
      <c r="AR9" s="6"/>
      <c r="AS9" s="6"/>
      <c r="AT9" s="6"/>
      <c r="AU9" s="6">
        <f>1+1</f>
        <v>2</v>
      </c>
      <c r="AV9" s="6">
        <f>3</f>
        <v>3</v>
      </c>
      <c r="AW9" s="6">
        <f>1+1+2</f>
        <v>4</v>
      </c>
      <c r="AX9" s="7">
        <f t="shared" si="19"/>
        <v>9</v>
      </c>
      <c r="AY9" s="11">
        <f t="shared" si="7"/>
        <v>37</v>
      </c>
      <c r="AZ9" s="25"/>
      <c r="BA9" s="10" t="str">
        <f t="shared" si="8"/>
        <v>MarçoSEMANA 5Água Tonica Diet</v>
      </c>
      <c r="BB9" s="7">
        <f>SUMIF(NF!$A:$A,$BA9,NF!$I:$I)</f>
        <v>0</v>
      </c>
      <c r="BC9" s="6"/>
      <c r="BD9" s="6">
        <f>1+1</f>
        <v>2</v>
      </c>
      <c r="BE9" s="6"/>
      <c r="BF9" s="6">
        <v>1</v>
      </c>
      <c r="BG9" s="6"/>
      <c r="BH9" s="6">
        <f>1+1</f>
        <v>2</v>
      </c>
      <c r="BI9" s="74"/>
      <c r="BJ9" s="74"/>
      <c r="BK9" s="7">
        <f t="shared" si="20"/>
        <v>5</v>
      </c>
      <c r="BL9" s="8">
        <f t="shared" si="9"/>
        <v>32</v>
      </c>
      <c r="BM9" s="51" t="str">
        <f>IFERROR(VLOOKUP(A9,NF!$M:$O,3,0),"")</f>
        <v>Bebidas</v>
      </c>
      <c r="BN9" s="7">
        <f t="shared" si="10"/>
        <v>38</v>
      </c>
      <c r="BO9" s="8">
        <f t="array" ref="BO9">IFERROR(LARGE(IF(NF!$G$2:$G$3137='Mês atual'!A9,NF!$J$2:$J$3137),1),0)*BN9</f>
        <v>67.228333333333339</v>
      </c>
      <c r="BP9" s="50"/>
      <c r="BR9" s="146">
        <f t="array" ref="BR9">IFERROR(LARGE(IF(NF!$G$2:$G$3137='Mês atual'!A9,NF!$J$2:$J$3137),1),0)</f>
        <v>1.7691666666666668</v>
      </c>
      <c r="BS9" s="142" t="str">
        <f>VLOOKUP(A9,NF!M:O,3,0)</f>
        <v>Bebidas</v>
      </c>
      <c r="BV9" s="74">
        <f t="shared" si="11"/>
        <v>6</v>
      </c>
      <c r="BW9" s="74">
        <f t="shared" si="12"/>
        <v>12</v>
      </c>
      <c r="BX9" s="74">
        <f t="shared" si="13"/>
        <v>6</v>
      </c>
      <c r="BY9" s="74">
        <f t="shared" si="14"/>
        <v>9</v>
      </c>
      <c r="BZ9" s="74">
        <f t="shared" si="15"/>
        <v>5</v>
      </c>
    </row>
    <row r="10" spans="1:78 16384:16384" x14ac:dyDescent="0.2">
      <c r="A10" s="108" t="s">
        <v>94</v>
      </c>
      <c r="B10" s="12"/>
      <c r="C10" s="9">
        <v>1</v>
      </c>
      <c r="D10" s="25"/>
      <c r="E10" s="10" t="str">
        <f t="shared" si="0"/>
        <v>MarçoSEMANA 1Aguardente 51</v>
      </c>
      <c r="F10" s="7">
        <f>SUMIF(NF!$A:$A,$E10,NF!$I:$I)</f>
        <v>1</v>
      </c>
      <c r="G10" s="74"/>
      <c r="H10" s="74"/>
      <c r="I10" s="74"/>
      <c r="J10" s="6"/>
      <c r="K10" s="6"/>
      <c r="L10" s="6"/>
      <c r="M10" s="6"/>
      <c r="N10" s="7">
        <f t="shared" si="16"/>
        <v>0</v>
      </c>
      <c r="O10" s="11">
        <f t="shared" si="1"/>
        <v>2</v>
      </c>
      <c r="P10" s="25"/>
      <c r="Q10" s="10" t="str">
        <f t="shared" si="2"/>
        <v>MarçoSEMANA 2Aguardente 51</v>
      </c>
      <c r="R10" s="7">
        <f>SUMIF(NF!$A:$A,$Q10,NF!$I:$I)</f>
        <v>2</v>
      </c>
      <c r="S10" s="6"/>
      <c r="T10" s="6"/>
      <c r="U10" s="6"/>
      <c r="V10" s="6"/>
      <c r="W10" s="6"/>
      <c r="X10" s="6"/>
      <c r="Y10" s="6">
        <v>1</v>
      </c>
      <c r="Z10" s="7">
        <f t="shared" si="17"/>
        <v>1</v>
      </c>
      <c r="AA10" s="11">
        <f t="shared" si="3"/>
        <v>3</v>
      </c>
      <c r="AB10" s="25"/>
      <c r="AC10" s="10" t="str">
        <f t="shared" si="4"/>
        <v>MarçoSEMANA 3Aguardente 51</v>
      </c>
      <c r="AD10" s="7">
        <f>SUMIF(NF!$A:$A,$AC10,NF!$I:$I)</f>
        <v>0</v>
      </c>
      <c r="AE10" s="6"/>
      <c r="AF10" s="6"/>
      <c r="AG10" s="6"/>
      <c r="AH10" s="6"/>
      <c r="AI10" s="6"/>
      <c r="AJ10" s="6"/>
      <c r="AK10" s="6"/>
      <c r="AL10" s="7">
        <f t="shared" si="18"/>
        <v>0</v>
      </c>
      <c r="AM10" s="11">
        <f t="shared" si="5"/>
        <v>3</v>
      </c>
      <c r="AN10" s="25"/>
      <c r="AO10" s="10" t="str">
        <f t="shared" si="6"/>
        <v>MarçoSEMANA 4Aguardente 51</v>
      </c>
      <c r="AP10" s="7">
        <f>SUMIF(NF!$A:$A,$AO10,NF!$I:$I)</f>
        <v>0</v>
      </c>
      <c r="AQ10" s="6"/>
      <c r="AR10" s="6"/>
      <c r="AS10" s="6"/>
      <c r="AT10" s="6"/>
      <c r="AU10" s="6"/>
      <c r="AV10" s="6"/>
      <c r="AW10" s="6"/>
      <c r="AX10" s="7">
        <f t="shared" si="19"/>
        <v>0</v>
      </c>
      <c r="AY10" s="11">
        <f t="shared" si="7"/>
        <v>3</v>
      </c>
      <c r="AZ10" s="25"/>
      <c r="BA10" s="10" t="str">
        <f t="shared" si="8"/>
        <v>MarçoSEMANA 5Aguardente 51</v>
      </c>
      <c r="BB10" s="7">
        <f>SUMIF(NF!$A:$A,$BA10,NF!$I:$I)</f>
        <v>0</v>
      </c>
      <c r="BC10" s="6"/>
      <c r="BD10" s="6"/>
      <c r="BE10" s="6"/>
      <c r="BF10" s="6"/>
      <c r="BG10" s="6"/>
      <c r="BH10" s="6"/>
      <c r="BI10" s="74"/>
      <c r="BJ10" s="74"/>
      <c r="BK10" s="7">
        <f t="shared" si="20"/>
        <v>0</v>
      </c>
      <c r="BL10" s="8">
        <f t="shared" si="9"/>
        <v>3</v>
      </c>
      <c r="BM10" s="51" t="str">
        <f>IFERROR(VLOOKUP(A10,NF!$M:$O,3,0),"")</f>
        <v>Bebidas</v>
      </c>
      <c r="BN10" s="7">
        <f t="shared" si="10"/>
        <v>1</v>
      </c>
      <c r="BO10" s="8">
        <f t="array" ref="BO10">IFERROR(LARGE(IF(NF!$G$2:$G$3137='Mês atual'!A10,NF!$J$2:$J$3137),1),0)*BN10</f>
        <v>7.98</v>
      </c>
      <c r="BP10" s="50"/>
      <c r="BR10" s="146">
        <f t="array" ref="BR10">IFERROR(LARGE(IF(NF!$G$2:$G$3137='Mês atual'!A10,NF!$J$2:$J$3137),1),0)</f>
        <v>7.98</v>
      </c>
      <c r="BS10" s="142" t="str">
        <f>VLOOKUP(A10,NF!M:O,3,0)</f>
        <v>Bebidas</v>
      </c>
      <c r="BV10" s="74">
        <f t="shared" si="11"/>
        <v>0</v>
      </c>
      <c r="BW10" s="74">
        <f t="shared" si="12"/>
        <v>1</v>
      </c>
      <c r="BX10" s="74">
        <f t="shared" si="13"/>
        <v>0</v>
      </c>
      <c r="BY10" s="74">
        <f t="shared" si="14"/>
        <v>0</v>
      </c>
      <c r="BZ10" s="74">
        <f t="shared" si="15"/>
        <v>0</v>
      </c>
    </row>
    <row r="11" spans="1:78 16384:16384" x14ac:dyDescent="0.25">
      <c r="A11" s="108" t="s">
        <v>933</v>
      </c>
      <c r="B11" s="12"/>
      <c r="C11" s="9">
        <v>0</v>
      </c>
      <c r="D11" s="25"/>
      <c r="E11" s="10" t="str">
        <f t="shared" si="0"/>
        <v>MarçoSEMANA 1Cachaça Seleta Branca 670 ml</v>
      </c>
      <c r="F11" s="7">
        <f>SUMIF(NF!$A:$A,$E11,NF!$I:$I)</f>
        <v>0</v>
      </c>
      <c r="G11" s="74"/>
      <c r="H11" s="74"/>
      <c r="I11" s="74"/>
      <c r="J11" s="6"/>
      <c r="K11" s="6"/>
      <c r="L11" s="6"/>
      <c r="M11" s="6"/>
      <c r="N11" s="7">
        <f t="shared" si="16"/>
        <v>0</v>
      </c>
      <c r="O11" s="11">
        <f t="shared" si="1"/>
        <v>0</v>
      </c>
      <c r="P11" s="25"/>
      <c r="Q11" s="10" t="str">
        <f t="shared" si="2"/>
        <v>MarçoSEMANA 2Cachaça Seleta Branca 670 ml</v>
      </c>
      <c r="R11" s="7">
        <f>SUMIF(NF!$A:$A,$Q11,NF!$I:$I)</f>
        <v>0</v>
      </c>
      <c r="S11" s="6"/>
      <c r="T11" s="6"/>
      <c r="U11" s="6"/>
      <c r="V11" s="6"/>
      <c r="W11" s="6"/>
      <c r="X11" s="6"/>
      <c r="Y11" s="6"/>
      <c r="Z11" s="7">
        <f t="shared" si="17"/>
        <v>0</v>
      </c>
      <c r="AA11" s="11">
        <f t="shared" si="3"/>
        <v>0</v>
      </c>
      <c r="AB11" s="25"/>
      <c r="AC11" s="10" t="str">
        <f t="shared" si="4"/>
        <v>MarçoSEMANA 3Cachaça Seleta Branca 670 ml</v>
      </c>
      <c r="AD11" s="7">
        <f>SUMIF(NF!$A:$A,$AC11,NF!$I:$I)</f>
        <v>0</v>
      </c>
      <c r="AE11" s="6"/>
      <c r="AF11" s="6"/>
      <c r="AG11" s="6"/>
      <c r="AH11" s="6"/>
      <c r="AI11" s="6"/>
      <c r="AJ11" s="6"/>
      <c r="AK11" s="6"/>
      <c r="AL11" s="7">
        <f t="shared" si="18"/>
        <v>0</v>
      </c>
      <c r="AM11" s="11">
        <f t="shared" si="5"/>
        <v>0</v>
      </c>
      <c r="AN11" s="25"/>
      <c r="AO11" s="10" t="str">
        <f t="shared" si="6"/>
        <v>MarçoSEMANA 4Cachaça Seleta Branca 670 ml</v>
      </c>
      <c r="AP11" s="7">
        <f>SUMIF(NF!$A:$A,$AO11,NF!$I:$I)</f>
        <v>0</v>
      </c>
      <c r="AQ11" s="6"/>
      <c r="AR11" s="6"/>
      <c r="AS11" s="6"/>
      <c r="AT11" s="6"/>
      <c r="AU11" s="6"/>
      <c r="AV11" s="6"/>
      <c r="AW11" s="6"/>
      <c r="AX11" s="7">
        <f t="shared" si="19"/>
        <v>0</v>
      </c>
      <c r="AY11" s="11">
        <f t="shared" si="7"/>
        <v>0</v>
      </c>
      <c r="AZ11" s="25"/>
      <c r="BA11" s="10" t="str">
        <f t="shared" si="8"/>
        <v>MarçoSEMANA 5Cachaça Seleta Branca 670 ml</v>
      </c>
      <c r="BB11" s="7">
        <f>SUMIF(NF!$A:$A,$BA11,NF!$I:$I)</f>
        <v>0</v>
      </c>
      <c r="BC11" s="6"/>
      <c r="BD11" s="6"/>
      <c r="BE11" s="6"/>
      <c r="BF11" s="6"/>
      <c r="BG11" s="6"/>
      <c r="BH11" s="6"/>
      <c r="BI11" s="74"/>
      <c r="BJ11" s="74"/>
      <c r="BK11" s="7">
        <f t="shared" si="20"/>
        <v>0</v>
      </c>
      <c r="BL11" s="8">
        <f t="shared" si="9"/>
        <v>0</v>
      </c>
      <c r="BM11" s="51" t="str">
        <f>IFERROR(VLOOKUP(A11,NF!$M:$O,3,0),"")</f>
        <v>Bebidas</v>
      </c>
      <c r="BN11" s="7">
        <f t="shared" si="10"/>
        <v>0</v>
      </c>
      <c r="BO11" s="8">
        <f t="array" ref="BO11">IFERROR(LARGE(IF(NF!$G$2:$G$3137='Mês atual'!A11,NF!$J$2:$J$3137),1),0)*BN11</f>
        <v>0</v>
      </c>
      <c r="BP11" s="50"/>
      <c r="BR11" s="146">
        <f t="array" ref="BR11">IFERROR(LARGE(IF(NF!$G$2:$G$3137='Mês atual'!A11,NF!$J$2:$J$3137),1),0)</f>
        <v>0</v>
      </c>
      <c r="BS11" s="142" t="str">
        <f>VLOOKUP(A11,NF!M:O,3,0)</f>
        <v>Bebidas</v>
      </c>
      <c r="BV11" s="74">
        <f t="shared" si="11"/>
        <v>0</v>
      </c>
      <c r="BW11" s="74">
        <f t="shared" si="12"/>
        <v>0</v>
      </c>
      <c r="BX11" s="74">
        <f t="shared" si="13"/>
        <v>0</v>
      </c>
      <c r="BY11" s="74">
        <f t="shared" si="14"/>
        <v>0</v>
      </c>
      <c r="BZ11" s="74">
        <f t="shared" si="15"/>
        <v>0</v>
      </c>
    </row>
    <row r="12" spans="1:78 16384:16384" x14ac:dyDescent="0.25">
      <c r="A12" s="108" t="s">
        <v>934</v>
      </c>
      <c r="B12" s="12"/>
      <c r="C12" s="9">
        <v>0</v>
      </c>
      <c r="D12" s="25"/>
      <c r="E12" s="10" t="str">
        <f t="shared" si="0"/>
        <v>MarçoSEMANA 1Cachaça Seleta Preta 600 ml</v>
      </c>
      <c r="F12" s="7">
        <f>SUMIF(NF!$A:$A,$E12,NF!$I:$I)</f>
        <v>0</v>
      </c>
      <c r="G12" s="74"/>
      <c r="H12" s="74"/>
      <c r="I12" s="74"/>
      <c r="J12" s="6"/>
      <c r="K12" s="6"/>
      <c r="L12" s="6"/>
      <c r="M12" s="6"/>
      <c r="N12" s="7">
        <f t="shared" si="16"/>
        <v>0</v>
      </c>
      <c r="O12" s="11">
        <f t="shared" si="1"/>
        <v>0</v>
      </c>
      <c r="P12" s="25"/>
      <c r="Q12" s="10" t="str">
        <f t="shared" si="2"/>
        <v>MarçoSEMANA 2Cachaça Seleta Preta 600 ml</v>
      </c>
      <c r="R12" s="7">
        <f>SUMIF(NF!$A:$A,$Q12,NF!$I:$I)</f>
        <v>0</v>
      </c>
      <c r="S12" s="6"/>
      <c r="T12" s="6"/>
      <c r="U12" s="6"/>
      <c r="V12" s="6"/>
      <c r="W12" s="6"/>
      <c r="X12" s="6"/>
      <c r="Y12" s="6"/>
      <c r="Z12" s="7">
        <f t="shared" si="17"/>
        <v>0</v>
      </c>
      <c r="AA12" s="11">
        <f t="shared" si="3"/>
        <v>0</v>
      </c>
      <c r="AB12" s="25"/>
      <c r="AC12" s="10" t="str">
        <f t="shared" si="4"/>
        <v>MarçoSEMANA 3Cachaça Seleta Preta 600 ml</v>
      </c>
      <c r="AD12" s="7">
        <f>SUMIF(NF!$A:$A,$AC12,NF!$I:$I)</f>
        <v>0</v>
      </c>
      <c r="AE12" s="6"/>
      <c r="AF12" s="6"/>
      <c r="AG12" s="6"/>
      <c r="AH12" s="6"/>
      <c r="AI12" s="6"/>
      <c r="AJ12" s="6"/>
      <c r="AK12" s="6"/>
      <c r="AL12" s="7">
        <f t="shared" si="18"/>
        <v>0</v>
      </c>
      <c r="AM12" s="11">
        <f t="shared" si="5"/>
        <v>0</v>
      </c>
      <c r="AN12" s="25"/>
      <c r="AO12" s="10" t="str">
        <f t="shared" si="6"/>
        <v>MarçoSEMANA 4Cachaça Seleta Preta 600 ml</v>
      </c>
      <c r="AP12" s="7">
        <f>SUMIF(NF!$A:$A,$AO12,NF!$I:$I)</f>
        <v>0</v>
      </c>
      <c r="AQ12" s="6"/>
      <c r="AR12" s="6"/>
      <c r="AS12" s="6"/>
      <c r="AT12" s="6"/>
      <c r="AU12" s="6"/>
      <c r="AV12" s="6"/>
      <c r="AW12" s="6"/>
      <c r="AX12" s="7">
        <f t="shared" si="19"/>
        <v>0</v>
      </c>
      <c r="AY12" s="11">
        <f t="shared" si="7"/>
        <v>0</v>
      </c>
      <c r="AZ12" s="25"/>
      <c r="BA12" s="10" t="str">
        <f t="shared" si="8"/>
        <v>MarçoSEMANA 5Cachaça Seleta Preta 600 ml</v>
      </c>
      <c r="BB12" s="7">
        <f>SUMIF(NF!$A:$A,$BA12,NF!$I:$I)</f>
        <v>0</v>
      </c>
      <c r="BC12" s="6"/>
      <c r="BD12" s="6"/>
      <c r="BE12" s="6"/>
      <c r="BF12" s="6"/>
      <c r="BG12" s="6"/>
      <c r="BH12" s="6"/>
      <c r="BI12" s="74"/>
      <c r="BJ12" s="74"/>
      <c r="BK12" s="7">
        <f t="shared" si="20"/>
        <v>0</v>
      </c>
      <c r="BL12" s="8">
        <f t="shared" si="9"/>
        <v>0</v>
      </c>
      <c r="BM12" s="51" t="str">
        <f>IFERROR(VLOOKUP(A12,NF!$M:$O,3,0),"")</f>
        <v>Bebidas</v>
      </c>
      <c r="BN12" s="7">
        <f t="shared" si="10"/>
        <v>0</v>
      </c>
      <c r="BO12" s="8">
        <f t="array" ref="BO12">IFERROR(LARGE(IF(NF!$G$2:$G$3137='Mês atual'!A12,NF!$J$2:$J$3137),1),0)*BN12</f>
        <v>0</v>
      </c>
      <c r="BP12" s="50"/>
      <c r="BR12" s="146">
        <f t="array" ref="BR12">IFERROR(LARGE(IF(NF!$G$2:$G$3137='Mês atual'!A12,NF!$J$2:$J$3137),1),0)</f>
        <v>0</v>
      </c>
      <c r="BS12" s="142" t="str">
        <f>VLOOKUP(A12,NF!M:O,3,0)</f>
        <v>Bebidas</v>
      </c>
      <c r="BV12" s="74">
        <f t="shared" si="11"/>
        <v>0</v>
      </c>
      <c r="BW12" s="74">
        <f t="shared" si="12"/>
        <v>0</v>
      </c>
      <c r="BX12" s="74">
        <f t="shared" si="13"/>
        <v>0</v>
      </c>
      <c r="BY12" s="74">
        <f t="shared" si="14"/>
        <v>0</v>
      </c>
      <c r="BZ12" s="74">
        <f t="shared" si="15"/>
        <v>0</v>
      </c>
    </row>
    <row r="13" spans="1:78 16384:16384" x14ac:dyDescent="0.2">
      <c r="A13" s="108" t="s">
        <v>254</v>
      </c>
      <c r="B13" s="12"/>
      <c r="C13" s="9">
        <v>0</v>
      </c>
      <c r="D13" s="25"/>
      <c r="E13" s="10" t="str">
        <f t="shared" si="0"/>
        <v>MarçoSEMANA 1Cerveja 1795</v>
      </c>
      <c r="F13" s="7">
        <f>SUMIF(NF!$A:$A,$E13,NF!$I:$I)</f>
        <v>0</v>
      </c>
      <c r="G13" s="74"/>
      <c r="H13" s="74"/>
      <c r="I13" s="74"/>
      <c r="J13" s="6"/>
      <c r="K13" s="6"/>
      <c r="L13" s="6"/>
      <c r="M13" s="6"/>
      <c r="N13" s="7">
        <f t="shared" si="16"/>
        <v>0</v>
      </c>
      <c r="O13" s="11">
        <f t="shared" si="1"/>
        <v>0</v>
      </c>
      <c r="P13" s="25"/>
      <c r="Q13" s="10" t="str">
        <f t="shared" si="2"/>
        <v>MarçoSEMANA 2Cerveja 1795</v>
      </c>
      <c r="R13" s="7">
        <f>SUMIF(NF!$A:$A,$Q13,NF!$I:$I)</f>
        <v>0</v>
      </c>
      <c r="S13" s="6"/>
      <c r="T13" s="6"/>
      <c r="U13" s="6"/>
      <c r="V13" s="6"/>
      <c r="W13" s="6"/>
      <c r="X13" s="6"/>
      <c r="Y13" s="6"/>
      <c r="Z13" s="7">
        <f t="shared" si="17"/>
        <v>0</v>
      </c>
      <c r="AA13" s="11">
        <f t="shared" si="3"/>
        <v>0</v>
      </c>
      <c r="AB13" s="25"/>
      <c r="AC13" s="10" t="str">
        <f t="shared" si="4"/>
        <v>MarçoSEMANA 3Cerveja 1795</v>
      </c>
      <c r="AD13" s="7">
        <f>SUMIF(NF!$A:$A,$AC13,NF!$I:$I)</f>
        <v>0</v>
      </c>
      <c r="AE13" s="6"/>
      <c r="AF13" s="6"/>
      <c r="AG13" s="6"/>
      <c r="AH13" s="6"/>
      <c r="AI13" s="6"/>
      <c r="AJ13" s="6"/>
      <c r="AK13" s="6"/>
      <c r="AL13" s="7">
        <f t="shared" si="18"/>
        <v>0</v>
      </c>
      <c r="AM13" s="11">
        <f t="shared" si="5"/>
        <v>0</v>
      </c>
      <c r="AN13" s="25"/>
      <c r="AO13" s="10" t="str">
        <f t="shared" si="6"/>
        <v>MarçoSEMANA 4Cerveja 1795</v>
      </c>
      <c r="AP13" s="7">
        <f>SUMIF(NF!$A:$A,$AO13,NF!$I:$I)</f>
        <v>0</v>
      </c>
      <c r="AQ13" s="6"/>
      <c r="AR13" s="6"/>
      <c r="AS13" s="6"/>
      <c r="AT13" s="6"/>
      <c r="AU13" s="6"/>
      <c r="AV13" s="6"/>
      <c r="AW13" s="6"/>
      <c r="AX13" s="7">
        <f t="shared" si="19"/>
        <v>0</v>
      </c>
      <c r="AY13" s="11">
        <f t="shared" si="7"/>
        <v>0</v>
      </c>
      <c r="AZ13" s="25"/>
      <c r="BA13" s="10" t="str">
        <f t="shared" si="8"/>
        <v>MarçoSEMANA 5Cerveja 1795</v>
      </c>
      <c r="BB13" s="7">
        <f>SUMIF(NF!$A:$A,$BA13,NF!$I:$I)</f>
        <v>0</v>
      </c>
      <c r="BC13" s="6"/>
      <c r="BD13" s="6"/>
      <c r="BE13" s="6"/>
      <c r="BF13" s="6"/>
      <c r="BG13" s="6"/>
      <c r="BH13" s="6"/>
      <c r="BI13" s="74"/>
      <c r="BJ13" s="74"/>
      <c r="BK13" s="7">
        <f t="shared" si="20"/>
        <v>0</v>
      </c>
      <c r="BL13" s="8">
        <f t="shared" si="9"/>
        <v>0</v>
      </c>
      <c r="BM13" s="51" t="str">
        <f>IFERROR(VLOOKUP(A13,NF!$M:$O,3,0),"")</f>
        <v>Bebidas</v>
      </c>
      <c r="BN13" s="7">
        <f t="shared" si="10"/>
        <v>0</v>
      </c>
      <c r="BO13" s="8">
        <f t="array" ref="BO13">IFERROR(LARGE(IF(NF!$G$2:$G$3137='Mês atual'!A13,NF!$J$2:$J$3137),1),0)*BN13</f>
        <v>0</v>
      </c>
      <c r="BP13" s="50"/>
      <c r="BR13" s="146">
        <f t="array" ref="BR13">IFERROR(LARGE(IF(NF!$G$2:$G$3137='Mês atual'!A13,NF!$J$2:$J$3137),1),0)</f>
        <v>0</v>
      </c>
      <c r="BS13" s="142" t="str">
        <f>VLOOKUP(A13,NF!M:O,3,0)</f>
        <v>Bebidas</v>
      </c>
      <c r="BV13" s="74">
        <f t="shared" si="11"/>
        <v>0</v>
      </c>
      <c r="BW13" s="74">
        <f t="shared" si="12"/>
        <v>0</v>
      </c>
      <c r="BX13" s="74">
        <f t="shared" si="13"/>
        <v>0</v>
      </c>
      <c r="BY13" s="74">
        <f t="shared" si="14"/>
        <v>0</v>
      </c>
      <c r="BZ13" s="74">
        <f t="shared" si="15"/>
        <v>0</v>
      </c>
    </row>
    <row r="14" spans="1:78 16384:16384" x14ac:dyDescent="0.2">
      <c r="A14" s="108" t="s">
        <v>255</v>
      </c>
      <c r="B14" s="12"/>
      <c r="C14" s="9">
        <v>0</v>
      </c>
      <c r="D14" s="25"/>
      <c r="E14" s="10" t="str">
        <f t="shared" si="0"/>
        <v>MarçoSEMANA 1Cerveja Affligem Blonde</v>
      </c>
      <c r="F14" s="7">
        <f>SUMIF(NF!$A:$A,$E14,NF!$I:$I)</f>
        <v>0</v>
      </c>
      <c r="G14" s="74"/>
      <c r="H14" s="74"/>
      <c r="I14" s="74"/>
      <c r="J14" s="6"/>
      <c r="K14" s="6"/>
      <c r="L14" s="6"/>
      <c r="M14" s="6"/>
      <c r="N14" s="7">
        <f t="shared" si="16"/>
        <v>0</v>
      </c>
      <c r="O14" s="11">
        <f t="shared" si="1"/>
        <v>0</v>
      </c>
      <c r="P14" s="25"/>
      <c r="Q14" s="10" t="str">
        <f t="shared" si="2"/>
        <v>MarçoSEMANA 2Cerveja Affligem Blonde</v>
      </c>
      <c r="R14" s="7">
        <f>SUMIF(NF!$A:$A,$Q14,NF!$I:$I)</f>
        <v>0</v>
      </c>
      <c r="S14" s="6"/>
      <c r="T14" s="6"/>
      <c r="U14" s="6"/>
      <c r="V14" s="6"/>
      <c r="W14" s="6"/>
      <c r="X14" s="6"/>
      <c r="Y14" s="6"/>
      <c r="Z14" s="7">
        <f t="shared" si="17"/>
        <v>0</v>
      </c>
      <c r="AA14" s="11">
        <f t="shared" si="3"/>
        <v>0</v>
      </c>
      <c r="AB14" s="25"/>
      <c r="AC14" s="10" t="str">
        <f t="shared" si="4"/>
        <v>MarçoSEMANA 3Cerveja Affligem Blonde</v>
      </c>
      <c r="AD14" s="7">
        <f>SUMIF(NF!$A:$A,$AC14,NF!$I:$I)</f>
        <v>0</v>
      </c>
      <c r="AE14" s="6"/>
      <c r="AF14" s="6"/>
      <c r="AG14" s="6"/>
      <c r="AH14" s="6"/>
      <c r="AI14" s="6"/>
      <c r="AJ14" s="6"/>
      <c r="AK14" s="6"/>
      <c r="AL14" s="7">
        <f t="shared" si="18"/>
        <v>0</v>
      </c>
      <c r="AM14" s="11">
        <f t="shared" si="5"/>
        <v>0</v>
      </c>
      <c r="AN14" s="25"/>
      <c r="AO14" s="10" t="str">
        <f t="shared" si="6"/>
        <v>MarçoSEMANA 4Cerveja Affligem Blonde</v>
      </c>
      <c r="AP14" s="7">
        <f>SUMIF(NF!$A:$A,$AO14,NF!$I:$I)</f>
        <v>0</v>
      </c>
      <c r="AQ14" s="6"/>
      <c r="AR14" s="6"/>
      <c r="AS14" s="6"/>
      <c r="AT14" s="6"/>
      <c r="AU14" s="6"/>
      <c r="AV14" s="6"/>
      <c r="AW14" s="6"/>
      <c r="AX14" s="7">
        <f t="shared" si="19"/>
        <v>0</v>
      </c>
      <c r="AY14" s="11">
        <f t="shared" si="7"/>
        <v>0</v>
      </c>
      <c r="AZ14" s="25"/>
      <c r="BA14" s="10" t="str">
        <f t="shared" si="8"/>
        <v>MarçoSEMANA 5Cerveja Affligem Blonde</v>
      </c>
      <c r="BB14" s="7">
        <f>SUMIF(NF!$A:$A,$BA14,NF!$I:$I)</f>
        <v>0</v>
      </c>
      <c r="BC14" s="6"/>
      <c r="BD14" s="6"/>
      <c r="BE14" s="6"/>
      <c r="BF14" s="6"/>
      <c r="BG14" s="6"/>
      <c r="BH14" s="6"/>
      <c r="BI14" s="74"/>
      <c r="BJ14" s="74"/>
      <c r="BK14" s="7">
        <f t="shared" si="20"/>
        <v>0</v>
      </c>
      <c r="BL14" s="8">
        <f t="shared" si="9"/>
        <v>0</v>
      </c>
      <c r="BM14" s="51" t="str">
        <f>IFERROR(VLOOKUP(A14,NF!$M:$O,3,0),"")</f>
        <v>Bebidas</v>
      </c>
      <c r="BN14" s="7">
        <f t="shared" si="10"/>
        <v>0</v>
      </c>
      <c r="BO14" s="8">
        <f t="array" ref="BO14">IFERROR(LARGE(IF(NF!$G$2:$G$3137='Mês atual'!A14,NF!$J$2:$J$3137),1),0)*BN14</f>
        <v>0</v>
      </c>
      <c r="BP14" s="50"/>
      <c r="BR14" s="146">
        <f t="array" ref="BR14">IFERROR(LARGE(IF(NF!$G$2:$G$3137='Mês atual'!A14,NF!$J$2:$J$3137),1),0)</f>
        <v>0</v>
      </c>
      <c r="BS14" s="142" t="str">
        <f>VLOOKUP(A14,NF!M:O,3,0)</f>
        <v>Bebidas</v>
      </c>
      <c r="BV14" s="74">
        <f t="shared" si="11"/>
        <v>0</v>
      </c>
      <c r="BW14" s="74">
        <f t="shared" si="12"/>
        <v>0</v>
      </c>
      <c r="BX14" s="74">
        <f t="shared" si="13"/>
        <v>0</v>
      </c>
      <c r="BY14" s="74">
        <f t="shared" si="14"/>
        <v>0</v>
      </c>
      <c r="BZ14" s="74">
        <f t="shared" si="15"/>
        <v>0</v>
      </c>
    </row>
    <row r="15" spans="1:78 16384:16384" x14ac:dyDescent="0.2">
      <c r="A15" s="108" t="s">
        <v>256</v>
      </c>
      <c r="B15" s="12"/>
      <c r="C15" s="9">
        <v>0</v>
      </c>
      <c r="D15" s="25"/>
      <c r="E15" s="10" t="str">
        <f t="shared" si="0"/>
        <v>MarçoSEMANA 1Cerveja Antartica 600 ml</v>
      </c>
      <c r="F15" s="7">
        <f>SUMIF(NF!$A:$A,$E15,NF!$I:$I)</f>
        <v>0</v>
      </c>
      <c r="G15" s="74"/>
      <c r="H15" s="74"/>
      <c r="I15" s="74"/>
      <c r="J15" s="6"/>
      <c r="K15" s="6"/>
      <c r="L15" s="6"/>
      <c r="M15" s="6"/>
      <c r="N15" s="7">
        <f t="shared" si="16"/>
        <v>0</v>
      </c>
      <c r="O15" s="11">
        <f t="shared" si="1"/>
        <v>0</v>
      </c>
      <c r="P15" s="25"/>
      <c r="Q15" s="10" t="str">
        <f t="shared" si="2"/>
        <v>MarçoSEMANA 2Cerveja Antartica 600 ml</v>
      </c>
      <c r="R15" s="7">
        <f>SUMIF(NF!$A:$A,$Q15,NF!$I:$I)</f>
        <v>0</v>
      </c>
      <c r="S15" s="6"/>
      <c r="T15" s="6"/>
      <c r="U15" s="6"/>
      <c r="V15" s="6"/>
      <c r="W15" s="6"/>
      <c r="X15" s="6"/>
      <c r="Y15" s="6"/>
      <c r="Z15" s="7">
        <f t="shared" si="17"/>
        <v>0</v>
      </c>
      <c r="AA15" s="11">
        <f t="shared" si="3"/>
        <v>0</v>
      </c>
      <c r="AB15" s="25"/>
      <c r="AC15" s="10" t="str">
        <f t="shared" si="4"/>
        <v>MarçoSEMANA 3Cerveja Antartica 600 ml</v>
      </c>
      <c r="AD15" s="7">
        <f>SUMIF(NF!$A:$A,$AC15,NF!$I:$I)</f>
        <v>0</v>
      </c>
      <c r="AE15" s="6"/>
      <c r="AF15" s="6"/>
      <c r="AG15" s="6"/>
      <c r="AH15" s="6"/>
      <c r="AI15" s="6"/>
      <c r="AJ15" s="6"/>
      <c r="AK15" s="6"/>
      <c r="AL15" s="7">
        <f t="shared" si="18"/>
        <v>0</v>
      </c>
      <c r="AM15" s="11">
        <f t="shared" si="5"/>
        <v>0</v>
      </c>
      <c r="AN15" s="25"/>
      <c r="AO15" s="10" t="str">
        <f t="shared" si="6"/>
        <v>MarçoSEMANA 4Cerveja Antartica 600 ml</v>
      </c>
      <c r="AP15" s="7">
        <f>SUMIF(NF!$A:$A,$AO15,NF!$I:$I)</f>
        <v>0</v>
      </c>
      <c r="AQ15" s="6"/>
      <c r="AR15" s="6"/>
      <c r="AS15" s="6"/>
      <c r="AT15" s="6"/>
      <c r="AU15" s="6"/>
      <c r="AV15" s="6"/>
      <c r="AW15" s="6"/>
      <c r="AX15" s="7">
        <f t="shared" si="19"/>
        <v>0</v>
      </c>
      <c r="AY15" s="11">
        <f t="shared" si="7"/>
        <v>0</v>
      </c>
      <c r="AZ15" s="25"/>
      <c r="BA15" s="10" t="str">
        <f t="shared" si="8"/>
        <v>MarçoSEMANA 5Cerveja Antartica 600 ml</v>
      </c>
      <c r="BB15" s="7">
        <f>SUMIF(NF!$A:$A,$BA15,NF!$I:$I)</f>
        <v>0</v>
      </c>
      <c r="BC15" s="6"/>
      <c r="BD15" s="6"/>
      <c r="BE15" s="6"/>
      <c r="BF15" s="6"/>
      <c r="BG15" s="6"/>
      <c r="BH15" s="6"/>
      <c r="BI15" s="74"/>
      <c r="BJ15" s="74"/>
      <c r="BK15" s="7">
        <f t="shared" si="20"/>
        <v>0</v>
      </c>
      <c r="BL15" s="8">
        <f t="shared" si="9"/>
        <v>0</v>
      </c>
      <c r="BM15" s="51" t="str">
        <f>IFERROR(VLOOKUP(A15,NF!$M:$O,3,0),"")</f>
        <v>Bebidas</v>
      </c>
      <c r="BN15" s="7">
        <f t="shared" si="10"/>
        <v>0</v>
      </c>
      <c r="BO15" s="8">
        <f t="array" ref="BO15">IFERROR(LARGE(IF(NF!$G$2:$G$3137='Mês atual'!A15,NF!$J$2:$J$3137),1),0)*BN15</f>
        <v>0</v>
      </c>
      <c r="BP15" s="50"/>
      <c r="BR15" s="146">
        <f t="array" ref="BR15">IFERROR(LARGE(IF(NF!$G$2:$G$3137='Mês atual'!A15,NF!$J$2:$J$3137),1),0)</f>
        <v>0</v>
      </c>
      <c r="BS15" s="142" t="str">
        <f>VLOOKUP(A15,NF!M:O,3,0)</f>
        <v>Bebidas</v>
      </c>
      <c r="BV15" s="74">
        <f t="shared" si="11"/>
        <v>0</v>
      </c>
      <c r="BW15" s="74">
        <f t="shared" si="12"/>
        <v>0</v>
      </c>
      <c r="BX15" s="74">
        <f t="shared" si="13"/>
        <v>0</v>
      </c>
      <c r="BY15" s="74">
        <f t="shared" si="14"/>
        <v>0</v>
      </c>
      <c r="BZ15" s="74">
        <f t="shared" si="15"/>
        <v>0</v>
      </c>
    </row>
    <row r="16" spans="1:78 16384:16384" x14ac:dyDescent="0.2">
      <c r="A16" s="108" t="s">
        <v>257</v>
      </c>
      <c r="B16" s="12"/>
      <c r="C16" s="9">
        <v>0</v>
      </c>
      <c r="D16" s="25"/>
      <c r="E16" s="10" t="str">
        <f t="shared" si="0"/>
        <v>MarçoSEMANA 1Cerveja Antartica Long Neck 355 ml</v>
      </c>
      <c r="F16" s="7">
        <f>SUMIF(NF!$A:$A,$E16,NF!$I:$I)</f>
        <v>0</v>
      </c>
      <c r="G16" s="74"/>
      <c r="H16" s="74"/>
      <c r="I16" s="74"/>
      <c r="J16" s="6"/>
      <c r="K16" s="6"/>
      <c r="L16" s="6"/>
      <c r="M16" s="6"/>
      <c r="N16" s="7">
        <f t="shared" si="16"/>
        <v>0</v>
      </c>
      <c r="O16" s="11">
        <f t="shared" si="1"/>
        <v>0</v>
      </c>
      <c r="P16" s="25"/>
      <c r="Q16" s="10" t="str">
        <f t="shared" si="2"/>
        <v>MarçoSEMANA 2Cerveja Antartica Long Neck 355 ml</v>
      </c>
      <c r="R16" s="7">
        <f>SUMIF(NF!$A:$A,$Q16,NF!$I:$I)</f>
        <v>0</v>
      </c>
      <c r="S16" s="6"/>
      <c r="T16" s="6"/>
      <c r="U16" s="6"/>
      <c r="V16" s="6"/>
      <c r="W16" s="6"/>
      <c r="X16" s="6"/>
      <c r="Y16" s="6"/>
      <c r="Z16" s="7">
        <f t="shared" si="17"/>
        <v>0</v>
      </c>
      <c r="AA16" s="11">
        <f t="shared" si="3"/>
        <v>0</v>
      </c>
      <c r="AB16" s="25"/>
      <c r="AC16" s="10" t="str">
        <f t="shared" si="4"/>
        <v>MarçoSEMANA 3Cerveja Antartica Long Neck 355 ml</v>
      </c>
      <c r="AD16" s="7">
        <f>SUMIF(NF!$A:$A,$AC16,NF!$I:$I)</f>
        <v>0</v>
      </c>
      <c r="AE16" s="6"/>
      <c r="AF16" s="6"/>
      <c r="AG16" s="6"/>
      <c r="AH16" s="6"/>
      <c r="AI16" s="6"/>
      <c r="AJ16" s="6"/>
      <c r="AK16" s="6"/>
      <c r="AL16" s="7">
        <f t="shared" si="18"/>
        <v>0</v>
      </c>
      <c r="AM16" s="11">
        <f t="shared" si="5"/>
        <v>0</v>
      </c>
      <c r="AN16" s="25"/>
      <c r="AO16" s="10" t="str">
        <f t="shared" si="6"/>
        <v>MarçoSEMANA 4Cerveja Antartica Long Neck 355 ml</v>
      </c>
      <c r="AP16" s="7">
        <f>SUMIF(NF!$A:$A,$AO16,NF!$I:$I)</f>
        <v>0</v>
      </c>
      <c r="AQ16" s="6"/>
      <c r="AR16" s="6"/>
      <c r="AS16" s="6"/>
      <c r="AT16" s="6"/>
      <c r="AU16" s="6"/>
      <c r="AV16" s="6"/>
      <c r="AW16" s="6"/>
      <c r="AX16" s="7">
        <f t="shared" si="19"/>
        <v>0</v>
      </c>
      <c r="AY16" s="11">
        <f t="shared" si="7"/>
        <v>0</v>
      </c>
      <c r="AZ16" s="25"/>
      <c r="BA16" s="10" t="str">
        <f t="shared" si="8"/>
        <v>MarçoSEMANA 5Cerveja Antartica Long Neck 355 ml</v>
      </c>
      <c r="BB16" s="7">
        <f>SUMIF(NF!$A:$A,$BA16,NF!$I:$I)</f>
        <v>0</v>
      </c>
      <c r="BC16" s="6"/>
      <c r="BD16" s="6"/>
      <c r="BE16" s="6"/>
      <c r="BF16" s="6"/>
      <c r="BG16" s="6"/>
      <c r="BH16" s="6"/>
      <c r="BI16" s="74"/>
      <c r="BJ16" s="74"/>
      <c r="BK16" s="7">
        <f t="shared" si="20"/>
        <v>0</v>
      </c>
      <c r="BL16" s="8">
        <f t="shared" si="9"/>
        <v>0</v>
      </c>
      <c r="BM16" s="51" t="str">
        <f>IFERROR(VLOOKUP(A16,NF!$M:$O,3,0),"")</f>
        <v>Bebidas</v>
      </c>
      <c r="BN16" s="7">
        <f t="shared" si="10"/>
        <v>0</v>
      </c>
      <c r="BO16" s="8">
        <f t="array" ref="BO16">IFERROR(LARGE(IF(NF!$G$2:$G$3137='Mês atual'!A16,NF!$J$2:$J$3137),1),0)*BN16</f>
        <v>0</v>
      </c>
      <c r="BP16" s="50"/>
      <c r="BR16" s="146">
        <f t="array" ref="BR16">IFERROR(LARGE(IF(NF!$G$2:$G$3137='Mês atual'!A16,NF!$J$2:$J$3137),1),0)</f>
        <v>0</v>
      </c>
      <c r="BS16" s="142" t="str">
        <f>VLOOKUP(A16,NF!M:O,3,0)</f>
        <v>Bebidas</v>
      </c>
      <c r="BV16" s="74">
        <f t="shared" si="11"/>
        <v>0</v>
      </c>
      <c r="BW16" s="74">
        <f t="shared" si="12"/>
        <v>0</v>
      </c>
      <c r="BX16" s="74">
        <f t="shared" si="13"/>
        <v>0</v>
      </c>
      <c r="BY16" s="74">
        <f t="shared" si="14"/>
        <v>0</v>
      </c>
      <c r="BZ16" s="74">
        <f t="shared" si="15"/>
        <v>0</v>
      </c>
    </row>
    <row r="17" spans="1:78" x14ac:dyDescent="0.2">
      <c r="A17" s="108" t="s">
        <v>258</v>
      </c>
      <c r="B17" s="12"/>
      <c r="C17" s="9">
        <v>0</v>
      </c>
      <c r="D17" s="25"/>
      <c r="E17" s="10" t="str">
        <f t="shared" si="0"/>
        <v>MarçoSEMANA 1Cerveja Bierland Vienna 500ml</v>
      </c>
      <c r="F17" s="7">
        <f>SUMIF(NF!$A:$A,$E17,NF!$I:$I)</f>
        <v>0</v>
      </c>
      <c r="G17" s="74"/>
      <c r="H17" s="74"/>
      <c r="I17" s="74"/>
      <c r="J17" s="6"/>
      <c r="K17" s="6"/>
      <c r="L17" s="6"/>
      <c r="M17" s="6"/>
      <c r="N17" s="7">
        <f t="shared" si="16"/>
        <v>0</v>
      </c>
      <c r="O17" s="11">
        <f t="shared" si="1"/>
        <v>0</v>
      </c>
      <c r="P17" s="25"/>
      <c r="Q17" s="10" t="str">
        <f t="shared" si="2"/>
        <v>MarçoSEMANA 2Cerveja Bierland Vienna 500ml</v>
      </c>
      <c r="R17" s="7">
        <f>SUMIF(NF!$A:$A,$Q17,NF!$I:$I)</f>
        <v>0</v>
      </c>
      <c r="S17" s="6"/>
      <c r="T17" s="6"/>
      <c r="U17" s="6"/>
      <c r="V17" s="6"/>
      <c r="W17" s="6"/>
      <c r="X17" s="6"/>
      <c r="Y17" s="6"/>
      <c r="Z17" s="7">
        <f t="shared" si="17"/>
        <v>0</v>
      </c>
      <c r="AA17" s="11">
        <f t="shared" si="3"/>
        <v>0</v>
      </c>
      <c r="AB17" s="25"/>
      <c r="AC17" s="10" t="str">
        <f t="shared" si="4"/>
        <v>MarçoSEMANA 3Cerveja Bierland Vienna 500ml</v>
      </c>
      <c r="AD17" s="7">
        <f>SUMIF(NF!$A:$A,$AC17,NF!$I:$I)</f>
        <v>0</v>
      </c>
      <c r="AE17" s="6"/>
      <c r="AF17" s="6"/>
      <c r="AG17" s="6"/>
      <c r="AH17" s="6"/>
      <c r="AI17" s="6"/>
      <c r="AJ17" s="6"/>
      <c r="AK17" s="6"/>
      <c r="AL17" s="7">
        <f t="shared" si="18"/>
        <v>0</v>
      </c>
      <c r="AM17" s="11">
        <f t="shared" si="5"/>
        <v>0</v>
      </c>
      <c r="AN17" s="25"/>
      <c r="AO17" s="10" t="str">
        <f t="shared" si="6"/>
        <v>MarçoSEMANA 4Cerveja Bierland Vienna 500ml</v>
      </c>
      <c r="AP17" s="7">
        <f>SUMIF(NF!$A:$A,$AO17,NF!$I:$I)</f>
        <v>0</v>
      </c>
      <c r="AQ17" s="6"/>
      <c r="AR17" s="6"/>
      <c r="AS17" s="6"/>
      <c r="AT17" s="6"/>
      <c r="AU17" s="6"/>
      <c r="AV17" s="6"/>
      <c r="AW17" s="6"/>
      <c r="AX17" s="7">
        <f t="shared" si="19"/>
        <v>0</v>
      </c>
      <c r="AY17" s="11">
        <f t="shared" si="7"/>
        <v>0</v>
      </c>
      <c r="AZ17" s="25"/>
      <c r="BA17" s="10" t="str">
        <f t="shared" si="8"/>
        <v>MarçoSEMANA 5Cerveja Bierland Vienna 500ml</v>
      </c>
      <c r="BB17" s="7">
        <f>SUMIF(NF!$A:$A,$BA17,NF!$I:$I)</f>
        <v>0</v>
      </c>
      <c r="BC17" s="6"/>
      <c r="BD17" s="6"/>
      <c r="BE17" s="6"/>
      <c r="BF17" s="6"/>
      <c r="BG17" s="6"/>
      <c r="BH17" s="6"/>
      <c r="BI17" s="74"/>
      <c r="BJ17" s="74"/>
      <c r="BK17" s="7">
        <f t="shared" si="20"/>
        <v>0</v>
      </c>
      <c r="BL17" s="8">
        <f t="shared" si="9"/>
        <v>0</v>
      </c>
      <c r="BM17" s="51" t="str">
        <f>IFERROR(VLOOKUP(A17,NF!$M:$O,3,0),"")</f>
        <v>Bebidas</v>
      </c>
      <c r="BN17" s="7">
        <f t="shared" si="10"/>
        <v>0</v>
      </c>
      <c r="BO17" s="8">
        <f t="array" ref="BO17">IFERROR(LARGE(IF(NF!$G$2:$G$3137='Mês atual'!A17,NF!$J$2:$J$3137),1),0)*BN17</f>
        <v>0</v>
      </c>
      <c r="BP17" s="50"/>
      <c r="BR17" s="146">
        <f t="array" ref="BR17">IFERROR(LARGE(IF(NF!$G$2:$G$3137='Mês atual'!A17,NF!$J$2:$J$3137),1),0)</f>
        <v>0</v>
      </c>
      <c r="BS17" s="142" t="str">
        <f>VLOOKUP(A17,NF!M:O,3,0)</f>
        <v>Bebidas</v>
      </c>
      <c r="BV17" s="74">
        <f t="shared" si="11"/>
        <v>0</v>
      </c>
      <c r="BW17" s="74">
        <f t="shared" si="12"/>
        <v>0</v>
      </c>
      <c r="BX17" s="74">
        <f t="shared" si="13"/>
        <v>0</v>
      </c>
      <c r="BY17" s="74">
        <f t="shared" si="14"/>
        <v>0</v>
      </c>
      <c r="BZ17" s="74">
        <f t="shared" si="15"/>
        <v>0</v>
      </c>
    </row>
    <row r="18" spans="1:78" x14ac:dyDescent="0.2">
      <c r="A18" s="108" t="s">
        <v>259</v>
      </c>
      <c r="B18" s="12"/>
      <c r="C18" s="9">
        <v>52</v>
      </c>
      <c r="D18" s="25"/>
      <c r="E18" s="10" t="str">
        <f t="shared" si="0"/>
        <v>MarçoSEMANA 1Cerveja Bohemia 600 ml</v>
      </c>
      <c r="F18" s="7">
        <f>SUMIF(NF!$A:$A,$E18,NF!$I:$I)</f>
        <v>0</v>
      </c>
      <c r="G18" s="74"/>
      <c r="H18" s="74"/>
      <c r="I18" s="74"/>
      <c r="J18" s="6"/>
      <c r="K18" s="6">
        <v>5</v>
      </c>
      <c r="L18" s="6">
        <f>2</f>
        <v>2</v>
      </c>
      <c r="M18" s="6">
        <f>1+2+1</f>
        <v>4</v>
      </c>
      <c r="N18" s="7">
        <f t="shared" si="16"/>
        <v>11</v>
      </c>
      <c r="O18" s="11">
        <f t="shared" si="1"/>
        <v>41</v>
      </c>
      <c r="P18" s="25"/>
      <c r="Q18" s="10" t="str">
        <f t="shared" si="2"/>
        <v>MarçoSEMANA 2Cerveja Bohemia 600 ml</v>
      </c>
      <c r="R18" s="7">
        <f>SUMIF(NF!$A:$A,$Q18,NF!$I:$I)</f>
        <v>0</v>
      </c>
      <c r="S18" s="6"/>
      <c r="T18" s="6">
        <f>(1)</f>
        <v>1</v>
      </c>
      <c r="U18" s="6"/>
      <c r="V18" s="6"/>
      <c r="W18" s="6"/>
      <c r="X18" s="6"/>
      <c r="Y18" s="6"/>
      <c r="Z18" s="7">
        <f t="shared" si="17"/>
        <v>1</v>
      </c>
      <c r="AA18" s="11">
        <f t="shared" si="3"/>
        <v>40</v>
      </c>
      <c r="AB18" s="25"/>
      <c r="AC18" s="10" t="str">
        <f t="shared" si="4"/>
        <v>MarçoSEMANA 3Cerveja Bohemia 600 ml</v>
      </c>
      <c r="AD18" s="7">
        <f>SUMIF(NF!$A:$A,$AC18,NF!$I:$I)</f>
        <v>0</v>
      </c>
      <c r="AE18" s="6"/>
      <c r="AF18" s="6"/>
      <c r="AG18" s="6"/>
      <c r="AH18" s="6">
        <f>1+2</f>
        <v>3</v>
      </c>
      <c r="AI18" s="6"/>
      <c r="AJ18" s="6">
        <f>1+1+1</f>
        <v>3</v>
      </c>
      <c r="AK18" s="6">
        <v>1</v>
      </c>
      <c r="AL18" s="7">
        <f t="shared" si="18"/>
        <v>7</v>
      </c>
      <c r="AM18" s="11">
        <f t="shared" si="5"/>
        <v>33</v>
      </c>
      <c r="AN18" s="25"/>
      <c r="AO18" s="10" t="str">
        <f t="shared" si="6"/>
        <v>MarçoSEMANA 4Cerveja Bohemia 600 ml</v>
      </c>
      <c r="AP18" s="7">
        <f>SUMIF(NF!$A:$A,$AO18,NF!$I:$I)</f>
        <v>0</v>
      </c>
      <c r="AQ18" s="6"/>
      <c r="AR18" s="6"/>
      <c r="AS18" s="6">
        <f>2</f>
        <v>2</v>
      </c>
      <c r="AT18" s="6"/>
      <c r="AU18" s="6">
        <f>1+5+1+2</f>
        <v>9</v>
      </c>
      <c r="AV18" s="6">
        <f>1+1</f>
        <v>2</v>
      </c>
      <c r="AW18" s="6">
        <f>1+1</f>
        <v>2</v>
      </c>
      <c r="AX18" s="7">
        <f t="shared" si="19"/>
        <v>15</v>
      </c>
      <c r="AY18" s="11">
        <f t="shared" si="7"/>
        <v>18</v>
      </c>
      <c r="AZ18" s="25"/>
      <c r="BA18" s="10" t="str">
        <f t="shared" si="8"/>
        <v>MarçoSEMANA 5Cerveja Bohemia 600 ml</v>
      </c>
      <c r="BB18" s="7">
        <f>SUMIF(NF!$A:$A,$BA18,NF!$I:$I)</f>
        <v>24</v>
      </c>
      <c r="BC18" s="6"/>
      <c r="BD18" s="6"/>
      <c r="BE18" s="6"/>
      <c r="BF18" s="6"/>
      <c r="BG18" s="6">
        <v>1</v>
      </c>
      <c r="BH18" s="6">
        <f>5+1-2</f>
        <v>4</v>
      </c>
      <c r="BI18" s="74"/>
      <c r="BJ18" s="74"/>
      <c r="BK18" s="7">
        <f t="shared" si="20"/>
        <v>5</v>
      </c>
      <c r="BL18" s="8">
        <f t="shared" si="9"/>
        <v>37</v>
      </c>
      <c r="BM18" s="51" t="str">
        <f>IFERROR(VLOOKUP(A18,NF!$M:$O,3,0),"")</f>
        <v>Bebidas</v>
      </c>
      <c r="BN18" s="7">
        <f t="shared" si="10"/>
        <v>39</v>
      </c>
      <c r="BO18" s="8">
        <f t="array" ref="BO18">IFERROR(LARGE(IF(NF!$G$2:$G$3137='Mês atual'!A18,NF!$J$2:$J$3137),1),0)*BN18</f>
        <v>170.13749999999999</v>
      </c>
      <c r="BP18" s="50"/>
      <c r="BR18" s="146">
        <f t="array" ref="BR18">IFERROR(LARGE(IF(NF!$G$2:$G$3137='Mês atual'!A18,NF!$J$2:$J$3137),1),0)</f>
        <v>4.3624999999999998</v>
      </c>
      <c r="BS18" s="142" t="str">
        <f>VLOOKUP(A18,NF!M:O,3,0)</f>
        <v>Bebidas</v>
      </c>
      <c r="BV18" s="74">
        <f t="shared" si="11"/>
        <v>11</v>
      </c>
      <c r="BW18" s="74">
        <f t="shared" si="12"/>
        <v>1</v>
      </c>
      <c r="BX18" s="74">
        <f t="shared" si="13"/>
        <v>7</v>
      </c>
      <c r="BY18" s="74">
        <f t="shared" si="14"/>
        <v>15</v>
      </c>
      <c r="BZ18" s="74">
        <f t="shared" si="15"/>
        <v>5</v>
      </c>
    </row>
    <row r="19" spans="1:78" x14ac:dyDescent="0.2">
      <c r="A19" s="108" t="s">
        <v>260</v>
      </c>
      <c r="B19" s="12"/>
      <c r="C19" s="9">
        <v>19</v>
      </c>
      <c r="D19" s="25"/>
      <c r="E19" s="10" t="str">
        <f t="shared" si="0"/>
        <v>MarçoSEMANA 1Cerveja Bohemia Long Neck 355 ml</v>
      </c>
      <c r="F19" s="7">
        <f>SUMIF(NF!$A:$A,$E19,NF!$I:$I)</f>
        <v>48</v>
      </c>
      <c r="G19" s="74"/>
      <c r="H19" s="74"/>
      <c r="I19" s="74"/>
      <c r="J19" s="6">
        <f>3+1</f>
        <v>4</v>
      </c>
      <c r="K19" s="6">
        <f>1+5</f>
        <v>6</v>
      </c>
      <c r="L19" s="6">
        <f>3</f>
        <v>3</v>
      </c>
      <c r="M19" s="6">
        <f>2+9+3</f>
        <v>14</v>
      </c>
      <c r="N19" s="7">
        <f t="shared" si="16"/>
        <v>27</v>
      </c>
      <c r="O19" s="11">
        <f t="shared" si="1"/>
        <v>40</v>
      </c>
      <c r="P19" s="25"/>
      <c r="Q19" s="10" t="str">
        <f t="shared" si="2"/>
        <v>MarçoSEMANA 2Cerveja Bohemia Long Neck 355 ml</v>
      </c>
      <c r="R19" s="7">
        <f>SUMIF(NF!$A:$A,$Q19,NF!$I:$I)</f>
        <v>24</v>
      </c>
      <c r="S19" s="6"/>
      <c r="T19" s="6">
        <v>1</v>
      </c>
      <c r="U19" s="6">
        <f>3</f>
        <v>3</v>
      </c>
      <c r="V19" s="6"/>
      <c r="W19" s="6">
        <f>1</f>
        <v>1</v>
      </c>
      <c r="X19" s="6">
        <f>3+2</f>
        <v>5</v>
      </c>
      <c r="Y19" s="6">
        <f>8+1</f>
        <v>9</v>
      </c>
      <c r="Z19" s="7">
        <f t="shared" si="17"/>
        <v>19</v>
      </c>
      <c r="AA19" s="11">
        <f t="shared" si="3"/>
        <v>45</v>
      </c>
      <c r="AB19" s="25"/>
      <c r="AC19" s="10" t="str">
        <f t="shared" si="4"/>
        <v>MarçoSEMANA 3Cerveja Bohemia Long Neck 355 ml</v>
      </c>
      <c r="AD19" s="7">
        <f>SUMIF(NF!$A:$A,$AC19,NF!$I:$I)</f>
        <v>24</v>
      </c>
      <c r="AE19" s="6">
        <v>1</v>
      </c>
      <c r="AF19" s="6">
        <f>(1)+1+1</f>
        <v>3</v>
      </c>
      <c r="AG19" s="6">
        <f>1+2</f>
        <v>3</v>
      </c>
      <c r="AH19" s="6">
        <v>1</v>
      </c>
      <c r="AI19" s="6">
        <f>2+2</f>
        <v>4</v>
      </c>
      <c r="AJ19" s="6">
        <f>2+5+1</f>
        <v>8</v>
      </c>
      <c r="AK19" s="6">
        <f>6+3</f>
        <v>9</v>
      </c>
      <c r="AL19" s="7">
        <f t="shared" si="18"/>
        <v>29</v>
      </c>
      <c r="AM19" s="11">
        <f t="shared" si="5"/>
        <v>40</v>
      </c>
      <c r="AN19" s="25"/>
      <c r="AO19" s="10" t="str">
        <f t="shared" si="6"/>
        <v>MarçoSEMANA 4Cerveja Bohemia Long Neck 355 ml</v>
      </c>
      <c r="AP19" s="7">
        <f>SUMIF(NF!$A:$A,$AO19,NF!$I:$I)</f>
        <v>24</v>
      </c>
      <c r="AQ19" s="6">
        <v>4</v>
      </c>
      <c r="AR19" s="6"/>
      <c r="AS19" s="6">
        <v>1</v>
      </c>
      <c r="AT19" s="6">
        <f>1</f>
        <v>1</v>
      </c>
      <c r="AU19" s="6">
        <f>1-1</f>
        <v>0</v>
      </c>
      <c r="AV19" s="6">
        <f>2+7+1</f>
        <v>10</v>
      </c>
      <c r="AW19" s="6">
        <f>1+3+1</f>
        <v>5</v>
      </c>
      <c r="AX19" s="7">
        <f t="shared" si="19"/>
        <v>21</v>
      </c>
      <c r="AY19" s="11">
        <f t="shared" si="7"/>
        <v>43</v>
      </c>
      <c r="AZ19" s="25"/>
      <c r="BA19" s="10" t="str">
        <f t="shared" si="8"/>
        <v>MarçoSEMANA 5Cerveja Bohemia Long Neck 355 ml</v>
      </c>
      <c r="BB19" s="7">
        <f>SUMIF(NF!$A:$A,$BA19,NF!$I:$I)</f>
        <v>24</v>
      </c>
      <c r="BC19" s="6"/>
      <c r="BD19" s="6">
        <f>(1)+1</f>
        <v>2</v>
      </c>
      <c r="BE19" s="6">
        <f>1+2</f>
        <v>3</v>
      </c>
      <c r="BF19" s="6">
        <f>(1)+1+2+2</f>
        <v>6</v>
      </c>
      <c r="BG19" s="6">
        <f>1</f>
        <v>1</v>
      </c>
      <c r="BH19" s="6">
        <f>1-1</f>
        <v>0</v>
      </c>
      <c r="BI19" s="74"/>
      <c r="BJ19" s="74"/>
      <c r="BK19" s="7">
        <f t="shared" si="20"/>
        <v>12</v>
      </c>
      <c r="BL19" s="8">
        <f t="shared" si="9"/>
        <v>55</v>
      </c>
      <c r="BM19" s="51" t="str">
        <f>IFERROR(VLOOKUP(A19,NF!$M:$O,3,0),"")</f>
        <v>Bebidas</v>
      </c>
      <c r="BN19" s="7">
        <f t="shared" si="10"/>
        <v>108</v>
      </c>
      <c r="BO19" s="8">
        <f t="array" ref="BO19">IFERROR(LARGE(IF(NF!$G$2:$G$3137='Mês atual'!A19,NF!$J$2:$J$3137),1),0)*BN19</f>
        <v>307.03500000000003</v>
      </c>
      <c r="BP19" s="50"/>
      <c r="BR19" s="146">
        <f t="array" ref="BR19">IFERROR(LARGE(IF(NF!$G$2:$G$3137='Mês atual'!A19,NF!$J$2:$J$3137),1),0)</f>
        <v>2.842916666666667</v>
      </c>
      <c r="BS19" s="142" t="str">
        <f>VLOOKUP(A19,NF!M:O,3,0)</f>
        <v>Bebidas</v>
      </c>
      <c r="BV19" s="74">
        <f t="shared" si="11"/>
        <v>27</v>
      </c>
      <c r="BW19" s="74">
        <f t="shared" si="12"/>
        <v>19</v>
      </c>
      <c r="BX19" s="74">
        <f t="shared" si="13"/>
        <v>29</v>
      </c>
      <c r="BY19" s="74">
        <f t="shared" si="14"/>
        <v>21</v>
      </c>
      <c r="BZ19" s="74">
        <f t="shared" si="15"/>
        <v>12</v>
      </c>
    </row>
    <row r="20" spans="1:78" x14ac:dyDescent="0.2">
      <c r="A20" s="108" t="s">
        <v>261</v>
      </c>
      <c r="B20" s="12"/>
      <c r="C20" s="9">
        <v>0</v>
      </c>
      <c r="D20" s="25"/>
      <c r="E20" s="10" t="str">
        <f t="shared" si="0"/>
        <v>MarçoSEMANA 1Cerveja Dama IPA 355 ml</v>
      </c>
      <c r="F20" s="7">
        <f>SUMIF(NF!$A:$A,$E20,NF!$I:$I)</f>
        <v>0</v>
      </c>
      <c r="G20" s="74"/>
      <c r="H20" s="74"/>
      <c r="I20" s="74"/>
      <c r="J20" s="6"/>
      <c r="K20" s="6"/>
      <c r="L20" s="6"/>
      <c r="M20" s="6"/>
      <c r="N20" s="7">
        <f t="shared" si="16"/>
        <v>0</v>
      </c>
      <c r="O20" s="11">
        <f t="shared" si="1"/>
        <v>0</v>
      </c>
      <c r="P20" s="25"/>
      <c r="Q20" s="10" t="str">
        <f t="shared" si="2"/>
        <v>MarçoSEMANA 2Cerveja Dama IPA 355 ml</v>
      </c>
      <c r="R20" s="7">
        <f>SUMIF(NF!$A:$A,$Q20,NF!$I:$I)</f>
        <v>0</v>
      </c>
      <c r="S20" s="6"/>
      <c r="T20" s="6"/>
      <c r="U20" s="6"/>
      <c r="V20" s="6"/>
      <c r="W20" s="6"/>
      <c r="X20" s="6"/>
      <c r="Y20" s="6"/>
      <c r="Z20" s="7">
        <f t="shared" si="17"/>
        <v>0</v>
      </c>
      <c r="AA20" s="11">
        <f t="shared" si="3"/>
        <v>0</v>
      </c>
      <c r="AB20" s="25"/>
      <c r="AC20" s="10" t="str">
        <f t="shared" si="4"/>
        <v>MarçoSEMANA 3Cerveja Dama IPA 355 ml</v>
      </c>
      <c r="AD20" s="7">
        <f>SUMIF(NF!$A:$A,$AC20,NF!$I:$I)</f>
        <v>0</v>
      </c>
      <c r="AE20" s="6"/>
      <c r="AF20" s="6"/>
      <c r="AG20" s="6"/>
      <c r="AH20" s="6"/>
      <c r="AI20" s="6"/>
      <c r="AJ20" s="6"/>
      <c r="AK20" s="6"/>
      <c r="AL20" s="7">
        <f t="shared" si="18"/>
        <v>0</v>
      </c>
      <c r="AM20" s="11">
        <f t="shared" si="5"/>
        <v>0</v>
      </c>
      <c r="AN20" s="25"/>
      <c r="AO20" s="10" t="str">
        <f t="shared" si="6"/>
        <v>MarçoSEMANA 4Cerveja Dama IPA 355 ml</v>
      </c>
      <c r="AP20" s="7">
        <f>SUMIF(NF!$A:$A,$AO20,NF!$I:$I)</f>
        <v>0</v>
      </c>
      <c r="AQ20" s="6"/>
      <c r="AR20" s="6"/>
      <c r="AS20" s="6"/>
      <c r="AT20" s="6"/>
      <c r="AU20" s="6"/>
      <c r="AV20" s="6"/>
      <c r="AW20" s="6"/>
      <c r="AX20" s="7">
        <f t="shared" si="19"/>
        <v>0</v>
      </c>
      <c r="AY20" s="11">
        <f t="shared" si="7"/>
        <v>0</v>
      </c>
      <c r="AZ20" s="25"/>
      <c r="BA20" s="10" t="str">
        <f t="shared" si="8"/>
        <v>MarçoSEMANA 5Cerveja Dama IPA 355 ml</v>
      </c>
      <c r="BB20" s="7">
        <f>SUMIF(NF!$A:$A,$BA20,NF!$I:$I)</f>
        <v>0</v>
      </c>
      <c r="BC20" s="6"/>
      <c r="BD20" s="6"/>
      <c r="BE20" s="6"/>
      <c r="BF20" s="6"/>
      <c r="BG20" s="6"/>
      <c r="BH20" s="6"/>
      <c r="BI20" s="74"/>
      <c r="BJ20" s="74"/>
      <c r="BK20" s="7">
        <f t="shared" si="20"/>
        <v>0</v>
      </c>
      <c r="BL20" s="8">
        <f t="shared" si="9"/>
        <v>0</v>
      </c>
      <c r="BM20" s="51" t="str">
        <f>IFERROR(VLOOKUP(A20,NF!$M:$O,3,0),"")</f>
        <v>Bebidas</v>
      </c>
      <c r="BN20" s="7">
        <f t="shared" si="10"/>
        <v>0</v>
      </c>
      <c r="BO20" s="8">
        <f t="array" ref="BO20">IFERROR(LARGE(IF(NF!$G$2:$G$3137='Mês atual'!A20,NF!$J$2:$J$3137),1),0)*BN20</f>
        <v>0</v>
      </c>
      <c r="BP20" s="50"/>
      <c r="BR20" s="146">
        <f t="array" ref="BR20">IFERROR(LARGE(IF(NF!$G$2:$G$3137='Mês atual'!A20,NF!$J$2:$J$3137),1),0)</f>
        <v>0</v>
      </c>
      <c r="BS20" s="142" t="str">
        <f>VLOOKUP(A20,NF!M:O,3,0)</f>
        <v>Bebidas</v>
      </c>
      <c r="BV20" s="74">
        <f t="shared" si="11"/>
        <v>0</v>
      </c>
      <c r="BW20" s="74">
        <f t="shared" si="12"/>
        <v>0</v>
      </c>
      <c r="BX20" s="74">
        <f t="shared" si="13"/>
        <v>0</v>
      </c>
      <c r="BY20" s="74">
        <f t="shared" si="14"/>
        <v>0</v>
      </c>
      <c r="BZ20" s="74">
        <f t="shared" si="15"/>
        <v>0</v>
      </c>
    </row>
    <row r="21" spans="1:78" x14ac:dyDescent="0.2">
      <c r="A21" s="108" t="s">
        <v>262</v>
      </c>
      <c r="B21" s="12"/>
      <c r="C21" s="9">
        <v>0</v>
      </c>
      <c r="D21" s="25"/>
      <c r="E21" s="10" t="str">
        <f t="shared" si="0"/>
        <v>MarçoSEMANA 1Cerveja Garrafa Mary Angel 600 ml</v>
      </c>
      <c r="F21" s="7">
        <f>SUMIF(NF!$A:$A,$E21,NF!$I:$I)</f>
        <v>0</v>
      </c>
      <c r="G21" s="74"/>
      <c r="H21" s="74"/>
      <c r="I21" s="74"/>
      <c r="J21" s="6"/>
      <c r="K21" s="6"/>
      <c r="L21" s="6"/>
      <c r="M21" s="6"/>
      <c r="N21" s="7">
        <f t="shared" si="16"/>
        <v>0</v>
      </c>
      <c r="O21" s="11">
        <f t="shared" si="1"/>
        <v>0</v>
      </c>
      <c r="P21" s="25"/>
      <c r="Q21" s="10" t="str">
        <f t="shared" si="2"/>
        <v>MarçoSEMANA 2Cerveja Garrafa Mary Angel 600 ml</v>
      </c>
      <c r="R21" s="7">
        <f>SUMIF(NF!$A:$A,$Q21,NF!$I:$I)</f>
        <v>0</v>
      </c>
      <c r="S21" s="6"/>
      <c r="T21" s="6"/>
      <c r="U21" s="6"/>
      <c r="V21" s="6"/>
      <c r="W21" s="6"/>
      <c r="X21" s="6"/>
      <c r="Y21" s="6"/>
      <c r="Z21" s="7">
        <f t="shared" si="17"/>
        <v>0</v>
      </c>
      <c r="AA21" s="11">
        <f t="shared" si="3"/>
        <v>0</v>
      </c>
      <c r="AB21" s="25"/>
      <c r="AC21" s="10" t="str">
        <f t="shared" si="4"/>
        <v>MarçoSEMANA 3Cerveja Garrafa Mary Angel 600 ml</v>
      </c>
      <c r="AD21" s="7">
        <f>SUMIF(NF!$A:$A,$AC21,NF!$I:$I)</f>
        <v>0</v>
      </c>
      <c r="AE21" s="6"/>
      <c r="AF21" s="6"/>
      <c r="AG21" s="6"/>
      <c r="AH21" s="6"/>
      <c r="AI21" s="6"/>
      <c r="AJ21" s="6"/>
      <c r="AK21" s="6"/>
      <c r="AL21" s="7">
        <f t="shared" si="18"/>
        <v>0</v>
      </c>
      <c r="AM21" s="11">
        <f t="shared" si="5"/>
        <v>0</v>
      </c>
      <c r="AN21" s="25"/>
      <c r="AO21" s="10" t="str">
        <f t="shared" si="6"/>
        <v>MarçoSEMANA 4Cerveja Garrafa Mary Angel 600 ml</v>
      </c>
      <c r="AP21" s="7">
        <f>SUMIF(NF!$A:$A,$AO21,NF!$I:$I)</f>
        <v>0</v>
      </c>
      <c r="AQ21" s="6"/>
      <c r="AR21" s="6"/>
      <c r="AS21" s="6"/>
      <c r="AT21" s="6"/>
      <c r="AU21" s="6"/>
      <c r="AV21" s="6"/>
      <c r="AW21" s="6"/>
      <c r="AX21" s="7">
        <f t="shared" si="19"/>
        <v>0</v>
      </c>
      <c r="AY21" s="11">
        <f t="shared" si="7"/>
        <v>0</v>
      </c>
      <c r="AZ21" s="25"/>
      <c r="BA21" s="10" t="str">
        <f t="shared" si="8"/>
        <v>MarçoSEMANA 5Cerveja Garrafa Mary Angel 600 ml</v>
      </c>
      <c r="BB21" s="7">
        <f>SUMIF(NF!$A:$A,$BA21,NF!$I:$I)</f>
        <v>0</v>
      </c>
      <c r="BC21" s="6"/>
      <c r="BD21" s="6"/>
      <c r="BE21" s="6"/>
      <c r="BF21" s="6"/>
      <c r="BG21" s="6"/>
      <c r="BH21" s="6"/>
      <c r="BI21" s="74"/>
      <c r="BJ21" s="74"/>
      <c r="BK21" s="7">
        <f t="shared" si="20"/>
        <v>0</v>
      </c>
      <c r="BL21" s="8">
        <f t="shared" si="9"/>
        <v>0</v>
      </c>
      <c r="BM21" s="51" t="str">
        <f>IFERROR(VLOOKUP(A21,NF!$M:$O,3,0),"")</f>
        <v>Bebidas</v>
      </c>
      <c r="BN21" s="7">
        <f t="shared" si="10"/>
        <v>0</v>
      </c>
      <c r="BO21" s="8">
        <f t="array" ref="BO21">IFERROR(LARGE(IF(NF!$G$2:$G$3137='Mês atual'!A21,NF!$J$2:$J$3137),1),0)*BN21</f>
        <v>0</v>
      </c>
      <c r="BP21" s="50"/>
      <c r="BR21" s="146">
        <f t="array" ref="BR21">IFERROR(LARGE(IF(NF!$G$2:$G$3137='Mês atual'!A21,NF!$J$2:$J$3137),1),0)</f>
        <v>0</v>
      </c>
      <c r="BS21" s="142" t="str">
        <f>VLOOKUP(A21,NF!M:O,3,0)</f>
        <v>Bebidas</v>
      </c>
      <c r="BV21" s="74">
        <f t="shared" si="11"/>
        <v>0</v>
      </c>
      <c r="BW21" s="74">
        <f t="shared" si="12"/>
        <v>0</v>
      </c>
      <c r="BX21" s="74">
        <f t="shared" si="13"/>
        <v>0</v>
      </c>
      <c r="BY21" s="74">
        <f t="shared" si="14"/>
        <v>0</v>
      </c>
      <c r="BZ21" s="74">
        <f t="shared" si="15"/>
        <v>0</v>
      </c>
    </row>
    <row r="22" spans="1:78" x14ac:dyDescent="0.2">
      <c r="A22" s="108" t="s">
        <v>263</v>
      </c>
      <c r="B22" s="12"/>
      <c r="C22" s="9">
        <v>19</v>
      </c>
      <c r="D22" s="25"/>
      <c r="E22" s="10" t="str">
        <f t="shared" si="0"/>
        <v>MarçoSEMANA 1Cerveja Heineken 600 ml</v>
      </c>
      <c r="F22" s="7">
        <f>SUMIF(NF!$A:$A,$E22,NF!$I:$I)</f>
        <v>0</v>
      </c>
      <c r="G22" s="74"/>
      <c r="H22" s="74"/>
      <c r="I22" s="74"/>
      <c r="J22" s="6">
        <v>2</v>
      </c>
      <c r="K22" s="6">
        <f>1</f>
        <v>1</v>
      </c>
      <c r="L22" s="6">
        <f>1+1</f>
        <v>2</v>
      </c>
      <c r="M22" s="6">
        <f>1</f>
        <v>1</v>
      </c>
      <c r="N22" s="7">
        <f t="shared" si="16"/>
        <v>6</v>
      </c>
      <c r="O22" s="11">
        <f t="shared" si="1"/>
        <v>13</v>
      </c>
      <c r="P22" s="25"/>
      <c r="Q22" s="10" t="str">
        <f t="shared" si="2"/>
        <v>MarçoSEMANA 2Cerveja Heineken 600 ml</v>
      </c>
      <c r="R22" s="7">
        <f>SUMIF(NF!$A:$A,$Q22,NF!$I:$I)</f>
        <v>24</v>
      </c>
      <c r="S22" s="6"/>
      <c r="T22" s="6"/>
      <c r="U22" s="6">
        <f>1+2</f>
        <v>3</v>
      </c>
      <c r="V22" s="6">
        <f>1</f>
        <v>1</v>
      </c>
      <c r="W22" s="6"/>
      <c r="X22" s="6">
        <f>3</f>
        <v>3</v>
      </c>
      <c r="Y22" s="6">
        <f>2+2</f>
        <v>4</v>
      </c>
      <c r="Z22" s="7">
        <f t="shared" si="17"/>
        <v>11</v>
      </c>
      <c r="AA22" s="11">
        <f t="shared" si="3"/>
        <v>26</v>
      </c>
      <c r="AB22" s="25"/>
      <c r="AC22" s="10" t="str">
        <f t="shared" si="4"/>
        <v>MarçoSEMANA 3Cerveja Heineken 600 ml</v>
      </c>
      <c r="AD22" s="7">
        <f>SUMIF(NF!$A:$A,$AC22,NF!$I:$I)</f>
        <v>0</v>
      </c>
      <c r="AE22" s="6">
        <f>1</f>
        <v>1</v>
      </c>
      <c r="AF22" s="6"/>
      <c r="AG22" s="6">
        <f>1</f>
        <v>1</v>
      </c>
      <c r="AH22" s="6"/>
      <c r="AI22" s="6"/>
      <c r="AJ22" s="6">
        <f>1</f>
        <v>1</v>
      </c>
      <c r="AK22" s="6">
        <f>1+2</f>
        <v>3</v>
      </c>
      <c r="AL22" s="7">
        <f t="shared" si="18"/>
        <v>6</v>
      </c>
      <c r="AM22" s="11">
        <f t="shared" si="5"/>
        <v>20</v>
      </c>
      <c r="AN22" s="25"/>
      <c r="AO22" s="10" t="str">
        <f t="shared" si="6"/>
        <v>MarçoSEMANA 4Cerveja Heineken 600 ml</v>
      </c>
      <c r="AP22" s="7">
        <f>SUMIF(NF!$A:$A,$AO22,NF!$I:$I)</f>
        <v>0</v>
      </c>
      <c r="AQ22" s="6"/>
      <c r="AR22" s="6">
        <f>(1)</f>
        <v>1</v>
      </c>
      <c r="AS22" s="6"/>
      <c r="AT22" s="6"/>
      <c r="AU22" s="6">
        <f>(1)</f>
        <v>1</v>
      </c>
      <c r="AV22" s="6">
        <v>3</v>
      </c>
      <c r="AW22" s="6">
        <f>1</f>
        <v>1</v>
      </c>
      <c r="AX22" s="7">
        <f t="shared" si="19"/>
        <v>6</v>
      </c>
      <c r="AY22" s="11">
        <f t="shared" si="7"/>
        <v>14</v>
      </c>
      <c r="AZ22" s="25"/>
      <c r="BA22" s="10" t="str">
        <f t="shared" si="8"/>
        <v>MarçoSEMANA 5Cerveja Heineken 600 ml</v>
      </c>
      <c r="BB22" s="7">
        <f>SUMIF(NF!$A:$A,$BA22,NF!$I:$I)</f>
        <v>0</v>
      </c>
      <c r="BC22" s="6"/>
      <c r="BD22" s="6"/>
      <c r="BE22" s="6"/>
      <c r="BF22" s="6">
        <v>1</v>
      </c>
      <c r="BG22" s="6">
        <f>1</f>
        <v>1</v>
      </c>
      <c r="BH22" s="6">
        <f>1+2+2</f>
        <v>5</v>
      </c>
      <c r="BI22" s="74"/>
      <c r="BJ22" s="74"/>
      <c r="BK22" s="7">
        <f t="shared" si="20"/>
        <v>7</v>
      </c>
      <c r="BL22" s="8">
        <f t="shared" si="9"/>
        <v>7</v>
      </c>
      <c r="BM22" s="51" t="str">
        <f>IFERROR(VLOOKUP(A22,NF!$M:$O,3,0),"")</f>
        <v>Bebidas</v>
      </c>
      <c r="BN22" s="7">
        <f t="shared" si="10"/>
        <v>36</v>
      </c>
      <c r="BO22" s="8">
        <f t="array" ref="BO22">IFERROR(LARGE(IF(NF!$G$2:$G$3137='Mês atual'!A22,NF!$J$2:$J$3137),1),0)*BN22</f>
        <v>252</v>
      </c>
      <c r="BP22" s="50"/>
      <c r="BR22" s="146">
        <f t="array" ref="BR22">IFERROR(LARGE(IF(NF!$G$2:$G$3137='Mês atual'!A22,NF!$J$2:$J$3137),1),0)</f>
        <v>7</v>
      </c>
      <c r="BS22" s="142" t="str">
        <f>VLOOKUP(A22,NF!M:O,3,0)</f>
        <v>Bebidas</v>
      </c>
      <c r="BV22" s="74">
        <f t="shared" si="11"/>
        <v>6</v>
      </c>
      <c r="BW22" s="74">
        <f t="shared" si="12"/>
        <v>11</v>
      </c>
      <c r="BX22" s="74">
        <f t="shared" si="13"/>
        <v>6</v>
      </c>
      <c r="BY22" s="74">
        <f t="shared" si="14"/>
        <v>6</v>
      </c>
      <c r="BZ22" s="74">
        <f t="shared" si="15"/>
        <v>7</v>
      </c>
    </row>
    <row r="23" spans="1:78" x14ac:dyDescent="0.2">
      <c r="A23" s="108" t="s">
        <v>264</v>
      </c>
      <c r="B23" s="12"/>
      <c r="C23" s="9">
        <v>28</v>
      </c>
      <c r="D23" s="25"/>
      <c r="E23" s="10" t="str">
        <f t="shared" si="0"/>
        <v>MarçoSEMANA 1Cerveja Heineken Long Neck 330 ml</v>
      </c>
      <c r="F23" s="7">
        <f>SUMIF(NF!$A:$A,$E23,NF!$I:$I)</f>
        <v>48</v>
      </c>
      <c r="G23" s="74"/>
      <c r="H23" s="74"/>
      <c r="I23" s="74"/>
      <c r="J23" s="6">
        <f>1+2</f>
        <v>3</v>
      </c>
      <c r="K23" s="6">
        <f>1+1</f>
        <v>2</v>
      </c>
      <c r="L23" s="6">
        <f>3+4</f>
        <v>7</v>
      </c>
      <c r="M23" s="6">
        <f>1+6+1</f>
        <v>8</v>
      </c>
      <c r="N23" s="7">
        <f t="shared" si="16"/>
        <v>20</v>
      </c>
      <c r="O23" s="11">
        <f t="shared" si="1"/>
        <v>56</v>
      </c>
      <c r="P23" s="25"/>
      <c r="Q23" s="10" t="str">
        <f t="shared" si="2"/>
        <v>MarçoSEMANA 2Cerveja Heineken Long Neck 330 ml</v>
      </c>
      <c r="R23" s="7">
        <f>SUMIF(NF!$A:$A,$Q23,NF!$I:$I)</f>
        <v>24</v>
      </c>
      <c r="S23" s="6"/>
      <c r="T23" s="6">
        <f>1+2</f>
        <v>3</v>
      </c>
      <c r="U23" s="6">
        <v>1</v>
      </c>
      <c r="V23" s="6">
        <v>2</v>
      </c>
      <c r="W23" s="6">
        <v>1</v>
      </c>
      <c r="X23" s="6">
        <f>1+3</f>
        <v>4</v>
      </c>
      <c r="Y23" s="6">
        <f>2+3</f>
        <v>5</v>
      </c>
      <c r="Z23" s="7">
        <f t="shared" si="17"/>
        <v>16</v>
      </c>
      <c r="AA23" s="11">
        <f t="shared" si="3"/>
        <v>64</v>
      </c>
      <c r="AB23" s="25"/>
      <c r="AC23" s="10" t="str">
        <f t="shared" si="4"/>
        <v>MarçoSEMANA 3Cerveja Heineken Long Neck 330 ml</v>
      </c>
      <c r="AD23" s="7">
        <f>SUMIF(NF!$A:$A,$AC23,NF!$I:$I)</f>
        <v>0</v>
      </c>
      <c r="AE23" s="6">
        <v>5</v>
      </c>
      <c r="AF23" s="6">
        <f>(2)+1+2</f>
        <v>5</v>
      </c>
      <c r="AG23" s="6">
        <f>3</f>
        <v>3</v>
      </c>
      <c r="AH23" s="6"/>
      <c r="AI23" s="6">
        <f>1+1-2</f>
        <v>0</v>
      </c>
      <c r="AJ23" s="6">
        <f>1+1</f>
        <v>2</v>
      </c>
      <c r="AK23" s="6">
        <f>2+4+3</f>
        <v>9</v>
      </c>
      <c r="AL23" s="7">
        <f t="shared" si="18"/>
        <v>24</v>
      </c>
      <c r="AM23" s="11">
        <f t="shared" si="5"/>
        <v>40</v>
      </c>
      <c r="AN23" s="25"/>
      <c r="AO23" s="10" t="str">
        <f t="shared" si="6"/>
        <v>MarçoSEMANA 4Cerveja Heineken Long Neck 330 ml</v>
      </c>
      <c r="AP23" s="7">
        <f>SUMIF(NF!$A:$A,$AO23,NF!$I:$I)</f>
        <v>24</v>
      </c>
      <c r="AQ23" s="6">
        <v>3</v>
      </c>
      <c r="AR23" s="6">
        <f>1+4</f>
        <v>5</v>
      </c>
      <c r="AS23" s="6">
        <f>1</f>
        <v>1</v>
      </c>
      <c r="AT23" s="6"/>
      <c r="AU23" s="6">
        <f>1+2</f>
        <v>3</v>
      </c>
      <c r="AV23" s="6">
        <f>5</f>
        <v>5</v>
      </c>
      <c r="AW23" s="6">
        <f>1+2</f>
        <v>3</v>
      </c>
      <c r="AX23" s="7">
        <f t="shared" si="19"/>
        <v>20</v>
      </c>
      <c r="AY23" s="11">
        <f t="shared" si="7"/>
        <v>44</v>
      </c>
      <c r="AZ23" s="25"/>
      <c r="BA23" s="10" t="str">
        <f t="shared" si="8"/>
        <v>MarçoSEMANA 5Cerveja Heineken Long Neck 330 ml</v>
      </c>
      <c r="BB23" s="7">
        <f>SUMIF(NF!$A:$A,$BA23,NF!$I:$I)</f>
        <v>0</v>
      </c>
      <c r="BC23" s="6">
        <f>1</f>
        <v>1</v>
      </c>
      <c r="BD23" s="6">
        <f>2+3</f>
        <v>5</v>
      </c>
      <c r="BE23" s="6"/>
      <c r="BF23" s="6">
        <f>1+1</f>
        <v>2</v>
      </c>
      <c r="BG23" s="6">
        <f>1+5+4</f>
        <v>10</v>
      </c>
      <c r="BH23" s="6">
        <f>1+6+1+1</f>
        <v>9</v>
      </c>
      <c r="BI23" s="74"/>
      <c r="BJ23" s="74"/>
      <c r="BK23" s="7">
        <f t="shared" si="20"/>
        <v>27</v>
      </c>
      <c r="BL23" s="8">
        <f t="shared" si="9"/>
        <v>17</v>
      </c>
      <c r="BM23" s="51" t="str">
        <f>IFERROR(VLOOKUP(A23,NF!$M:$O,3,0),"")</f>
        <v>Bebidas</v>
      </c>
      <c r="BN23" s="7">
        <f t="shared" si="10"/>
        <v>107</v>
      </c>
      <c r="BO23" s="8">
        <f t="array" ref="BO23">IFERROR(LARGE(IF(NF!$G$2:$G$3137='Mês atual'!A23,NF!$J$2:$J$3137),1),0)*BN23</f>
        <v>428</v>
      </c>
      <c r="BP23" s="50"/>
      <c r="BR23" s="146">
        <f t="array" ref="BR23">IFERROR(LARGE(IF(NF!$G$2:$G$3137='Mês atual'!A23,NF!$J$2:$J$3137),1),0)</f>
        <v>4</v>
      </c>
      <c r="BS23" s="142" t="str">
        <f>VLOOKUP(A23,NF!M:O,3,0)</f>
        <v>Bebidas</v>
      </c>
      <c r="BV23" s="74">
        <f t="shared" si="11"/>
        <v>20</v>
      </c>
      <c r="BW23" s="74">
        <f t="shared" si="12"/>
        <v>16</v>
      </c>
      <c r="BX23" s="74">
        <f t="shared" si="13"/>
        <v>24</v>
      </c>
      <c r="BY23" s="74">
        <f t="shared" si="14"/>
        <v>20</v>
      </c>
      <c r="BZ23" s="74">
        <f t="shared" si="15"/>
        <v>27</v>
      </c>
    </row>
    <row r="24" spans="1:78" s="81" customFormat="1" x14ac:dyDescent="0.2">
      <c r="A24" s="147" t="s">
        <v>265</v>
      </c>
      <c r="B24" s="148"/>
      <c r="C24" s="9">
        <v>0</v>
      </c>
      <c r="D24" s="25"/>
      <c r="E24" s="149" t="str">
        <f t="shared" si="0"/>
        <v>MarçoSEMANA 1Cerveja La Trappe Dubbel</v>
      </c>
      <c r="F24" s="7">
        <f>SUMIF(NF!$A:$A,$E24,NF!$I:$I)</f>
        <v>0</v>
      </c>
      <c r="G24" s="74"/>
      <c r="H24" s="74"/>
      <c r="I24" s="74"/>
      <c r="J24" s="6"/>
      <c r="K24" s="6"/>
      <c r="L24" s="6"/>
      <c r="M24" s="6"/>
      <c r="N24" s="7">
        <f t="shared" si="16"/>
        <v>0</v>
      </c>
      <c r="O24" s="11">
        <f t="shared" si="1"/>
        <v>0</v>
      </c>
      <c r="P24" s="25"/>
      <c r="Q24" s="149" t="str">
        <f t="shared" si="2"/>
        <v>MarçoSEMANA 2Cerveja La Trappe Dubbel</v>
      </c>
      <c r="R24" s="7">
        <f>SUMIF(NF!$A:$A,$Q24,NF!$I:$I)</f>
        <v>0</v>
      </c>
      <c r="S24" s="6"/>
      <c r="T24" s="6"/>
      <c r="U24" s="6"/>
      <c r="V24" s="6"/>
      <c r="W24" s="6"/>
      <c r="X24" s="6"/>
      <c r="Y24" s="6"/>
      <c r="Z24" s="7">
        <f t="shared" si="17"/>
        <v>0</v>
      </c>
      <c r="AA24" s="11">
        <f t="shared" si="3"/>
        <v>0</v>
      </c>
      <c r="AB24" s="25"/>
      <c r="AC24" s="149" t="str">
        <f t="shared" si="4"/>
        <v>MarçoSEMANA 3Cerveja La Trappe Dubbel</v>
      </c>
      <c r="AD24" s="7">
        <f>SUMIF(NF!$A:$A,$AC24,NF!$I:$I)</f>
        <v>0</v>
      </c>
      <c r="AE24" s="6"/>
      <c r="AF24" s="6"/>
      <c r="AG24" s="6"/>
      <c r="AH24" s="6"/>
      <c r="AI24" s="6"/>
      <c r="AJ24" s="6"/>
      <c r="AK24" s="6"/>
      <c r="AL24" s="7">
        <f t="shared" si="18"/>
        <v>0</v>
      </c>
      <c r="AM24" s="11">
        <f t="shared" si="5"/>
        <v>0</v>
      </c>
      <c r="AN24" s="25"/>
      <c r="AO24" s="149" t="str">
        <f t="shared" si="6"/>
        <v>MarçoSEMANA 4Cerveja La Trappe Dubbel</v>
      </c>
      <c r="AP24" s="7">
        <f>SUMIF(NF!$A:$A,$AO24,NF!$I:$I)</f>
        <v>0</v>
      </c>
      <c r="AQ24" s="6"/>
      <c r="AR24" s="6"/>
      <c r="AS24" s="6"/>
      <c r="AT24" s="6"/>
      <c r="AU24" s="6"/>
      <c r="AV24" s="6"/>
      <c r="AW24" s="6"/>
      <c r="AX24" s="7">
        <f t="shared" si="19"/>
        <v>0</v>
      </c>
      <c r="AY24" s="11">
        <f t="shared" si="7"/>
        <v>0</v>
      </c>
      <c r="AZ24" s="25"/>
      <c r="BA24" s="149" t="str">
        <f t="shared" si="8"/>
        <v>MarçoSEMANA 5Cerveja La Trappe Dubbel</v>
      </c>
      <c r="BB24" s="7">
        <f>SUMIF(NF!$A:$A,$BA24,NF!$I:$I)</f>
        <v>0</v>
      </c>
      <c r="BC24" s="6"/>
      <c r="BD24" s="6"/>
      <c r="BE24" s="6"/>
      <c r="BF24" s="6"/>
      <c r="BG24" s="6"/>
      <c r="BH24" s="6"/>
      <c r="BI24" s="74"/>
      <c r="BJ24" s="74"/>
      <c r="BK24" s="7">
        <f t="shared" si="20"/>
        <v>0</v>
      </c>
      <c r="BL24" s="8">
        <f t="shared" si="9"/>
        <v>0</v>
      </c>
      <c r="BM24" s="150" t="str">
        <f>IFERROR(VLOOKUP(A24,NF!$M:$O,3,0),"")</f>
        <v>Bebidas</v>
      </c>
      <c r="BN24" s="7">
        <f t="shared" si="10"/>
        <v>0</v>
      </c>
      <c r="BO24" s="8">
        <f t="array" ref="BO24">IFERROR(LARGE(IF(NF!$G$2:$G$3137='Mês atual'!A24,NF!$J$2:$J$3137),1),0)*BN24</f>
        <v>0</v>
      </c>
      <c r="BP24" s="25"/>
      <c r="BR24" s="3">
        <f t="array" ref="BR24">IFERROR(LARGE(IF(NF!$G$2:$G$3137='Mês atual'!A24,NF!$J$2:$J$3137),1),0)</f>
        <v>0</v>
      </c>
      <c r="BS24" s="81" t="str">
        <f>VLOOKUP(A24,NF!M:O,3,0)</f>
        <v>Bebidas</v>
      </c>
      <c r="BV24" s="74">
        <f t="shared" si="11"/>
        <v>0</v>
      </c>
      <c r="BW24" s="74">
        <f t="shared" si="12"/>
        <v>0</v>
      </c>
      <c r="BX24" s="74">
        <f t="shared" si="13"/>
        <v>0</v>
      </c>
      <c r="BY24" s="74">
        <f t="shared" si="14"/>
        <v>0</v>
      </c>
      <c r="BZ24" s="74">
        <f t="shared" si="15"/>
        <v>0</v>
      </c>
    </row>
    <row r="25" spans="1:78" x14ac:dyDescent="0.2">
      <c r="A25" s="108" t="s">
        <v>266</v>
      </c>
      <c r="B25" s="12"/>
      <c r="C25" s="9">
        <v>12</v>
      </c>
      <c r="D25" s="25"/>
      <c r="E25" s="10" t="str">
        <f t="shared" si="0"/>
        <v>MarçoSEMANA 1Cerveja Malzbier Brahma Long Neck</v>
      </c>
      <c r="F25" s="7">
        <f>SUMIF(NF!$A:$A,$E25,NF!$I:$I)</f>
        <v>0</v>
      </c>
      <c r="G25" s="74"/>
      <c r="H25" s="74"/>
      <c r="I25" s="74"/>
      <c r="J25" s="6"/>
      <c r="K25" s="6"/>
      <c r="L25" s="6"/>
      <c r="M25" s="6"/>
      <c r="N25" s="7">
        <f t="shared" si="16"/>
        <v>0</v>
      </c>
      <c r="O25" s="11">
        <f t="shared" si="1"/>
        <v>12</v>
      </c>
      <c r="P25" s="25"/>
      <c r="Q25" s="10" t="str">
        <f t="shared" si="2"/>
        <v>MarçoSEMANA 2Cerveja Malzbier Brahma Long Neck</v>
      </c>
      <c r="R25" s="7">
        <f>SUMIF(NF!$A:$A,$Q25,NF!$I:$I)</f>
        <v>24</v>
      </c>
      <c r="S25" s="6"/>
      <c r="T25" s="6"/>
      <c r="U25" s="6"/>
      <c r="V25" s="6"/>
      <c r="W25" s="6"/>
      <c r="X25" s="6"/>
      <c r="Y25" s="6">
        <v>6</v>
      </c>
      <c r="Z25" s="7">
        <f t="shared" si="17"/>
        <v>6</v>
      </c>
      <c r="AA25" s="11">
        <f t="shared" si="3"/>
        <v>30</v>
      </c>
      <c r="AB25" s="25"/>
      <c r="AC25" s="10" t="str">
        <f t="shared" si="4"/>
        <v>MarçoSEMANA 3Cerveja Malzbier Brahma Long Neck</v>
      </c>
      <c r="AD25" s="7">
        <f>SUMIF(NF!$A:$A,$AC25,NF!$I:$I)</f>
        <v>0</v>
      </c>
      <c r="AE25" s="6"/>
      <c r="AF25" s="6"/>
      <c r="AG25" s="6"/>
      <c r="AH25" s="6">
        <v>6</v>
      </c>
      <c r="AI25" s="6"/>
      <c r="AJ25" s="6"/>
      <c r="AK25" s="6"/>
      <c r="AL25" s="7">
        <f t="shared" si="18"/>
        <v>6</v>
      </c>
      <c r="AM25" s="11">
        <f t="shared" si="5"/>
        <v>24</v>
      </c>
      <c r="AN25" s="25"/>
      <c r="AO25" s="10" t="str">
        <f t="shared" si="6"/>
        <v>MarçoSEMANA 4Cerveja Malzbier Brahma Long Neck</v>
      </c>
      <c r="AP25" s="7">
        <f>SUMIF(NF!$A:$A,$AO25,NF!$I:$I)</f>
        <v>0</v>
      </c>
      <c r="AQ25" s="6"/>
      <c r="AR25" s="6"/>
      <c r="AS25" s="6"/>
      <c r="AT25" s="6"/>
      <c r="AU25" s="6"/>
      <c r="AV25" s="6">
        <v>3</v>
      </c>
      <c r="AW25" s="6"/>
      <c r="AX25" s="7">
        <f t="shared" si="19"/>
        <v>3</v>
      </c>
      <c r="AY25" s="11">
        <f t="shared" si="7"/>
        <v>21</v>
      </c>
      <c r="AZ25" s="25"/>
      <c r="BA25" s="10" t="str">
        <f t="shared" si="8"/>
        <v>MarçoSEMANA 5Cerveja Malzbier Brahma Long Neck</v>
      </c>
      <c r="BB25" s="7">
        <f>SUMIF(NF!$A:$A,$BA25,NF!$I:$I)</f>
        <v>0</v>
      </c>
      <c r="BC25" s="6"/>
      <c r="BD25" s="6"/>
      <c r="BE25" s="6"/>
      <c r="BF25" s="6"/>
      <c r="BG25" s="6"/>
      <c r="BH25" s="6"/>
      <c r="BI25" s="74"/>
      <c r="BJ25" s="74"/>
      <c r="BK25" s="7">
        <f t="shared" si="20"/>
        <v>0</v>
      </c>
      <c r="BL25" s="8">
        <f t="shared" si="9"/>
        <v>21</v>
      </c>
      <c r="BM25" s="51" t="str">
        <f>IFERROR(VLOOKUP(A25,NF!$M:$O,3,0),"")</f>
        <v>Bebidas</v>
      </c>
      <c r="BN25" s="7">
        <f t="shared" si="10"/>
        <v>15</v>
      </c>
      <c r="BO25" s="8">
        <f t="array" ref="BO25">IFERROR(LARGE(IF(NF!$G$2:$G$3137='Mês atual'!A25,NF!$J$2:$J$3137),1),0)*BN25</f>
        <v>44.537500000000001</v>
      </c>
      <c r="BP25" s="50"/>
      <c r="BR25" s="146">
        <f t="array" ref="BR25">IFERROR(LARGE(IF(NF!$G$2:$G$3137='Mês atual'!A25,NF!$J$2:$J$3137),1),0)</f>
        <v>2.9691666666666667</v>
      </c>
      <c r="BS25" s="142" t="str">
        <f>VLOOKUP(A25,NF!M:O,3,0)</f>
        <v>Bebidas</v>
      </c>
      <c r="BV25" s="74">
        <f t="shared" si="11"/>
        <v>0</v>
      </c>
      <c r="BW25" s="74">
        <f t="shared" si="12"/>
        <v>6</v>
      </c>
      <c r="BX25" s="74">
        <f t="shared" si="13"/>
        <v>6</v>
      </c>
      <c r="BY25" s="74">
        <f t="shared" si="14"/>
        <v>3</v>
      </c>
      <c r="BZ25" s="74">
        <f t="shared" si="15"/>
        <v>0</v>
      </c>
    </row>
    <row r="26" spans="1:78" x14ac:dyDescent="0.2">
      <c r="A26" s="108" t="s">
        <v>267</v>
      </c>
      <c r="B26" s="12"/>
      <c r="C26" s="9">
        <v>0</v>
      </c>
      <c r="D26" s="25"/>
      <c r="E26" s="10" t="str">
        <f t="shared" si="0"/>
        <v>MarçoSEMANA 1Cerveja Paulaner Heufe 500 ml</v>
      </c>
      <c r="F26" s="7">
        <f>SUMIF(NF!$A:$A,$E26,NF!$I:$I)</f>
        <v>0</v>
      </c>
      <c r="G26" s="74"/>
      <c r="H26" s="74"/>
      <c r="I26" s="74"/>
      <c r="J26" s="6"/>
      <c r="K26" s="6"/>
      <c r="L26" s="6"/>
      <c r="M26" s="6"/>
      <c r="N26" s="7">
        <f t="shared" si="16"/>
        <v>0</v>
      </c>
      <c r="O26" s="11">
        <f t="shared" si="1"/>
        <v>0</v>
      </c>
      <c r="P26" s="25"/>
      <c r="Q26" s="10" t="str">
        <f t="shared" si="2"/>
        <v>MarçoSEMANA 2Cerveja Paulaner Heufe 500 ml</v>
      </c>
      <c r="R26" s="7">
        <f>SUMIF(NF!$A:$A,$Q26,NF!$I:$I)</f>
        <v>0</v>
      </c>
      <c r="S26" s="6"/>
      <c r="T26" s="6"/>
      <c r="U26" s="6"/>
      <c r="V26" s="6"/>
      <c r="W26" s="6"/>
      <c r="X26" s="6"/>
      <c r="Y26" s="6"/>
      <c r="Z26" s="7">
        <f t="shared" si="17"/>
        <v>0</v>
      </c>
      <c r="AA26" s="11">
        <f t="shared" si="3"/>
        <v>0</v>
      </c>
      <c r="AB26" s="25"/>
      <c r="AC26" s="10" t="str">
        <f t="shared" si="4"/>
        <v>MarçoSEMANA 3Cerveja Paulaner Heufe 500 ml</v>
      </c>
      <c r="AD26" s="7">
        <f>SUMIF(NF!$A:$A,$AC26,NF!$I:$I)</f>
        <v>0</v>
      </c>
      <c r="AE26" s="6"/>
      <c r="AF26" s="6"/>
      <c r="AG26" s="6"/>
      <c r="AH26" s="6"/>
      <c r="AI26" s="6"/>
      <c r="AJ26" s="6"/>
      <c r="AK26" s="6"/>
      <c r="AL26" s="7">
        <f t="shared" si="18"/>
        <v>0</v>
      </c>
      <c r="AM26" s="11">
        <f t="shared" si="5"/>
        <v>0</v>
      </c>
      <c r="AN26" s="25"/>
      <c r="AO26" s="10" t="str">
        <f t="shared" si="6"/>
        <v>MarçoSEMANA 4Cerveja Paulaner Heufe 500 ml</v>
      </c>
      <c r="AP26" s="7">
        <f>SUMIF(NF!$A:$A,$AO26,NF!$I:$I)</f>
        <v>0</v>
      </c>
      <c r="AQ26" s="6"/>
      <c r="AR26" s="6"/>
      <c r="AS26" s="6"/>
      <c r="AT26" s="6"/>
      <c r="AU26" s="6"/>
      <c r="AV26" s="6"/>
      <c r="AW26" s="6"/>
      <c r="AX26" s="7">
        <f t="shared" si="19"/>
        <v>0</v>
      </c>
      <c r="AY26" s="11">
        <f t="shared" si="7"/>
        <v>0</v>
      </c>
      <c r="AZ26" s="25"/>
      <c r="BA26" s="10" t="str">
        <f t="shared" si="8"/>
        <v>MarçoSEMANA 5Cerveja Paulaner Heufe 500 ml</v>
      </c>
      <c r="BB26" s="7">
        <f>SUMIF(NF!$A:$A,$BA26,NF!$I:$I)</f>
        <v>0</v>
      </c>
      <c r="BC26" s="6"/>
      <c r="BD26" s="6"/>
      <c r="BE26" s="6"/>
      <c r="BF26" s="6"/>
      <c r="BG26" s="6"/>
      <c r="BH26" s="6"/>
      <c r="BI26" s="74"/>
      <c r="BJ26" s="74"/>
      <c r="BK26" s="7">
        <f t="shared" si="20"/>
        <v>0</v>
      </c>
      <c r="BL26" s="8">
        <f t="shared" si="9"/>
        <v>0</v>
      </c>
      <c r="BM26" s="51" t="str">
        <f>IFERROR(VLOOKUP(A26,NF!$M:$O,3,0),"")</f>
        <v>Bebidas</v>
      </c>
      <c r="BN26" s="7">
        <f t="shared" si="10"/>
        <v>0</v>
      </c>
      <c r="BO26" s="8">
        <f t="array" ref="BO26">IFERROR(LARGE(IF(NF!$G$2:$G$3137='Mês atual'!A26,NF!$J$2:$J$3137),1),0)*BN26</f>
        <v>0</v>
      </c>
      <c r="BP26" s="50"/>
      <c r="BR26" s="146">
        <f t="array" ref="BR26">IFERROR(LARGE(IF(NF!$G$2:$G$3137='Mês atual'!A26,NF!$J$2:$J$3137),1),0)</f>
        <v>0</v>
      </c>
      <c r="BS26" s="142" t="str">
        <f>VLOOKUP(A26,NF!M:O,3,0)</f>
        <v>Bebidas</v>
      </c>
      <c r="BV26" s="74">
        <f t="shared" si="11"/>
        <v>0</v>
      </c>
      <c r="BW26" s="74">
        <f t="shared" si="12"/>
        <v>0</v>
      </c>
      <c r="BX26" s="74">
        <f t="shared" si="13"/>
        <v>0</v>
      </c>
      <c r="BY26" s="74">
        <f t="shared" si="14"/>
        <v>0</v>
      </c>
      <c r="BZ26" s="74">
        <f t="shared" si="15"/>
        <v>0</v>
      </c>
    </row>
    <row r="27" spans="1:78" x14ac:dyDescent="0.25">
      <c r="A27" s="108" t="s">
        <v>268</v>
      </c>
      <c r="B27" s="12"/>
      <c r="C27" s="9">
        <v>0</v>
      </c>
      <c r="D27" s="25"/>
      <c r="E27" s="10" t="str">
        <f t="shared" si="0"/>
        <v>MarçoSEMANA 1Cerveja W*Kattz Kölsh</v>
      </c>
      <c r="F27" s="7">
        <f>SUMIF(NF!$A:$A,$E27,NF!$I:$I)</f>
        <v>0</v>
      </c>
      <c r="G27" s="74"/>
      <c r="H27" s="74"/>
      <c r="I27" s="74"/>
      <c r="J27" s="6"/>
      <c r="K27" s="6"/>
      <c r="L27" s="6"/>
      <c r="M27" s="6"/>
      <c r="N27" s="7">
        <f t="shared" si="16"/>
        <v>0</v>
      </c>
      <c r="O27" s="11">
        <f t="shared" si="1"/>
        <v>0</v>
      </c>
      <c r="P27" s="25"/>
      <c r="Q27" s="10" t="str">
        <f t="shared" si="2"/>
        <v>MarçoSEMANA 2Cerveja W*Kattz Kölsh</v>
      </c>
      <c r="R27" s="7">
        <f>SUMIF(NF!$A:$A,$Q27,NF!$I:$I)</f>
        <v>0</v>
      </c>
      <c r="S27" s="6"/>
      <c r="T27" s="6"/>
      <c r="U27" s="6"/>
      <c r="V27" s="6"/>
      <c r="W27" s="6"/>
      <c r="X27" s="6"/>
      <c r="Y27" s="6"/>
      <c r="Z27" s="7">
        <f t="shared" si="17"/>
        <v>0</v>
      </c>
      <c r="AA27" s="11">
        <f t="shared" si="3"/>
        <v>0</v>
      </c>
      <c r="AB27" s="25"/>
      <c r="AC27" s="10" t="str">
        <f t="shared" si="4"/>
        <v>MarçoSEMANA 3Cerveja W*Kattz Kölsh</v>
      </c>
      <c r="AD27" s="7">
        <f>SUMIF(NF!$A:$A,$AC27,NF!$I:$I)</f>
        <v>0</v>
      </c>
      <c r="AE27" s="6"/>
      <c r="AF27" s="6"/>
      <c r="AG27" s="6"/>
      <c r="AH27" s="6"/>
      <c r="AI27" s="6"/>
      <c r="AJ27" s="6"/>
      <c r="AK27" s="6"/>
      <c r="AL27" s="7">
        <f t="shared" si="18"/>
        <v>0</v>
      </c>
      <c r="AM27" s="11">
        <f t="shared" si="5"/>
        <v>0</v>
      </c>
      <c r="AN27" s="25"/>
      <c r="AO27" s="10" t="str">
        <f t="shared" si="6"/>
        <v>MarçoSEMANA 4Cerveja W*Kattz Kölsh</v>
      </c>
      <c r="AP27" s="7">
        <f>SUMIF(NF!$A:$A,$AO27,NF!$I:$I)</f>
        <v>0</v>
      </c>
      <c r="AQ27" s="6"/>
      <c r="AR27" s="6"/>
      <c r="AS27" s="6"/>
      <c r="AT27" s="6"/>
      <c r="AU27" s="6"/>
      <c r="AV27" s="6"/>
      <c r="AW27" s="6"/>
      <c r="AX27" s="7">
        <f t="shared" si="19"/>
        <v>0</v>
      </c>
      <c r="AY27" s="11">
        <f t="shared" si="7"/>
        <v>0</v>
      </c>
      <c r="AZ27" s="25"/>
      <c r="BA27" s="10" t="str">
        <f t="shared" si="8"/>
        <v>MarçoSEMANA 5Cerveja W*Kattz Kölsh</v>
      </c>
      <c r="BB27" s="7">
        <f>SUMIF(NF!$A:$A,$BA27,NF!$I:$I)</f>
        <v>0</v>
      </c>
      <c r="BC27" s="6"/>
      <c r="BD27" s="6"/>
      <c r="BE27" s="6"/>
      <c r="BF27" s="6"/>
      <c r="BG27" s="6"/>
      <c r="BH27" s="6"/>
      <c r="BI27" s="74"/>
      <c r="BJ27" s="74"/>
      <c r="BK27" s="7">
        <f t="shared" si="20"/>
        <v>0</v>
      </c>
      <c r="BL27" s="8">
        <f t="shared" si="9"/>
        <v>0</v>
      </c>
      <c r="BM27" s="51" t="str">
        <f>IFERROR(VLOOKUP(A27,NF!$M:$O,3,0),"")</f>
        <v>Bebidas</v>
      </c>
      <c r="BN27" s="7">
        <f t="shared" si="10"/>
        <v>0</v>
      </c>
      <c r="BO27" s="8">
        <f t="array" ref="BO27">IFERROR(LARGE(IF(NF!$G$2:$G$3137='Mês atual'!A27,NF!$J$2:$J$3137),1),0)*BN27</f>
        <v>0</v>
      </c>
      <c r="BP27" s="50"/>
      <c r="BR27" s="146">
        <f t="array" ref="BR27">IFERROR(LARGE(IF(NF!$G$2:$G$3137='Mês atual'!A27,NF!$J$2:$J$3137),1),0)</f>
        <v>0</v>
      </c>
      <c r="BS27" s="142" t="str">
        <f>VLOOKUP(A27,NF!M:O,3,0)</f>
        <v>Bebidas</v>
      </c>
      <c r="BV27" s="74">
        <f t="shared" si="11"/>
        <v>0</v>
      </c>
      <c r="BW27" s="74">
        <f t="shared" si="12"/>
        <v>0</v>
      </c>
      <c r="BX27" s="74">
        <f t="shared" si="13"/>
        <v>0</v>
      </c>
      <c r="BY27" s="74">
        <f t="shared" si="14"/>
        <v>0</v>
      </c>
      <c r="BZ27" s="74">
        <f t="shared" si="15"/>
        <v>0</v>
      </c>
    </row>
    <row r="28" spans="1:78" x14ac:dyDescent="0.2">
      <c r="A28" s="108" t="s">
        <v>285</v>
      </c>
      <c r="B28" s="12"/>
      <c r="C28" s="9">
        <v>83</v>
      </c>
      <c r="D28" s="25"/>
      <c r="E28" s="10" t="str">
        <f t="shared" si="0"/>
        <v>MarçoSEMANA 1Coca Cola (lata)</v>
      </c>
      <c r="F28" s="7">
        <f>SUMIF(NF!$A:$A,$E28,NF!$I:$I)</f>
        <v>84</v>
      </c>
      <c r="G28" s="74"/>
      <c r="H28" s="74"/>
      <c r="I28" s="74"/>
      <c r="J28" s="6">
        <f>2+4+7</f>
        <v>13</v>
      </c>
      <c r="K28" s="6">
        <f>2+6+14</f>
        <v>22</v>
      </c>
      <c r="L28" s="6">
        <f>3+12+6</f>
        <v>21</v>
      </c>
      <c r="M28" s="6">
        <f>2+9+9</f>
        <v>20</v>
      </c>
      <c r="N28" s="7">
        <f t="shared" si="16"/>
        <v>76</v>
      </c>
      <c r="O28" s="11">
        <f t="shared" si="1"/>
        <v>91</v>
      </c>
      <c r="P28" s="25"/>
      <c r="Q28" s="10" t="str">
        <f t="shared" si="2"/>
        <v>MarçoSEMANA 2Coca Cola (lata)</v>
      </c>
      <c r="R28" s="7">
        <f>SUMIF(NF!$A:$A,$Q28,NF!$I:$I)</f>
        <v>96</v>
      </c>
      <c r="S28" s="6">
        <f>4+7</f>
        <v>11</v>
      </c>
      <c r="T28" s="6">
        <f>(1)+2+3+7</f>
        <v>13</v>
      </c>
      <c r="U28" s="6">
        <f>1+4+5</f>
        <v>10</v>
      </c>
      <c r="V28" s="6">
        <f>5+2</f>
        <v>7</v>
      </c>
      <c r="W28" s="6">
        <f>2+4+6+3</f>
        <v>15</v>
      </c>
      <c r="X28" s="6">
        <f>8+8</f>
        <v>16</v>
      </c>
      <c r="Y28" s="6">
        <f>2+9+15</f>
        <v>26</v>
      </c>
      <c r="Z28" s="7">
        <f t="shared" si="17"/>
        <v>98</v>
      </c>
      <c r="AA28" s="11">
        <f t="shared" si="3"/>
        <v>89</v>
      </c>
      <c r="AB28" s="25"/>
      <c r="AC28" s="10" t="str">
        <f t="shared" si="4"/>
        <v>MarçoSEMANA 3Coca Cola (lata)</v>
      </c>
      <c r="AD28" s="7">
        <f>SUMIF(NF!$A:$A,$AC28,NF!$I:$I)</f>
        <v>96</v>
      </c>
      <c r="AE28" s="6">
        <f>1+3+2</f>
        <v>6</v>
      </c>
      <c r="AF28" s="6">
        <f>3+4+5</f>
        <v>12</v>
      </c>
      <c r="AG28" s="6">
        <f>(1)+1+7+5</f>
        <v>14</v>
      </c>
      <c r="AH28" s="6">
        <f>3+7</f>
        <v>10</v>
      </c>
      <c r="AI28" s="6">
        <f>6+7</f>
        <v>13</v>
      </c>
      <c r="AJ28" s="6">
        <f>1+9+4</f>
        <v>14</v>
      </c>
      <c r="AK28" s="6">
        <f>10+4</f>
        <v>14</v>
      </c>
      <c r="AL28" s="7">
        <f t="shared" si="18"/>
        <v>83</v>
      </c>
      <c r="AM28" s="11">
        <f t="shared" si="5"/>
        <v>102</v>
      </c>
      <c r="AN28" s="25"/>
      <c r="AO28" s="10" t="str">
        <f t="shared" si="6"/>
        <v>MarçoSEMANA 4Coca Cola (lata)</v>
      </c>
      <c r="AP28" s="7">
        <f>SUMIF(NF!$A:$A,$AO28,NF!$I:$I)</f>
        <v>72</v>
      </c>
      <c r="AQ28" s="6">
        <f>12</f>
        <v>12</v>
      </c>
      <c r="AR28" s="6">
        <f>3+3+7</f>
        <v>13</v>
      </c>
      <c r="AS28" s="6">
        <f>4+6+7</f>
        <v>17</v>
      </c>
      <c r="AT28" s="6">
        <f>1+2+7</f>
        <v>10</v>
      </c>
      <c r="AU28" s="6">
        <f>9+6+2</f>
        <v>17</v>
      </c>
      <c r="AV28" s="6">
        <f>1+16+7</f>
        <v>24</v>
      </c>
      <c r="AW28" s="6">
        <f>1+9+12</f>
        <v>22</v>
      </c>
      <c r="AX28" s="7">
        <f t="shared" si="19"/>
        <v>115</v>
      </c>
      <c r="AY28" s="11">
        <f t="shared" si="7"/>
        <v>59</v>
      </c>
      <c r="AZ28" s="25"/>
      <c r="BA28" s="10" t="str">
        <f t="shared" si="8"/>
        <v>MarçoSEMANA 5Coca Cola (lata)</v>
      </c>
      <c r="BB28" s="7">
        <f>SUMIF(NF!$A:$A,$BA28,NF!$I:$I)</f>
        <v>60</v>
      </c>
      <c r="BC28" s="6">
        <f>1+5+1</f>
        <v>7</v>
      </c>
      <c r="BD28" s="6">
        <f>3+5</f>
        <v>8</v>
      </c>
      <c r="BE28" s="6">
        <f>3+3+7</f>
        <v>13</v>
      </c>
      <c r="BF28" s="6">
        <f>5+10</f>
        <v>15</v>
      </c>
      <c r="BG28" s="6">
        <f>6+3</f>
        <v>9</v>
      </c>
      <c r="BH28" s="6">
        <f>10+6+2</f>
        <v>18</v>
      </c>
      <c r="BI28" s="74"/>
      <c r="BJ28" s="74"/>
      <c r="BK28" s="7">
        <f t="shared" si="20"/>
        <v>70</v>
      </c>
      <c r="BL28" s="8">
        <f t="shared" si="9"/>
        <v>49</v>
      </c>
      <c r="BM28" s="51" t="str">
        <f>IFERROR(VLOOKUP(A28,NF!$M:$O,3,0),"")</f>
        <v>Bebidas</v>
      </c>
      <c r="BN28" s="7">
        <f t="shared" si="10"/>
        <v>442</v>
      </c>
      <c r="BO28" s="8">
        <f t="array" ref="BO28">IFERROR(LARGE(IF(NF!$G$2:$G$3137='Mês atual'!A28,NF!$J$2:$J$3137),1),0)*BN28</f>
        <v>1256.0166666666667</v>
      </c>
      <c r="BP28" s="50"/>
      <c r="BR28" s="146">
        <f t="array" ref="BR28">IFERROR(LARGE(IF(NF!$G$2:$G$3137='Mês atual'!A28,NF!$J$2:$J$3137),1),0)</f>
        <v>2.8416666666666668</v>
      </c>
      <c r="BS28" s="142" t="str">
        <f>VLOOKUP(A28,NF!M:O,3,0)</f>
        <v>Bebidas</v>
      </c>
      <c r="BV28" s="74">
        <f t="shared" si="11"/>
        <v>76</v>
      </c>
      <c r="BW28" s="74">
        <f t="shared" si="12"/>
        <v>98</v>
      </c>
      <c r="BX28" s="74">
        <f t="shared" si="13"/>
        <v>83</v>
      </c>
      <c r="BY28" s="74">
        <f t="shared" si="14"/>
        <v>115</v>
      </c>
      <c r="BZ28" s="74">
        <f t="shared" si="15"/>
        <v>70</v>
      </c>
    </row>
    <row r="29" spans="1:78" x14ac:dyDescent="0.2">
      <c r="A29" s="108" t="s">
        <v>935</v>
      </c>
      <c r="B29" s="12"/>
      <c r="C29" s="9">
        <v>0</v>
      </c>
      <c r="D29" s="25"/>
      <c r="E29" s="10" t="str">
        <f t="shared" si="0"/>
        <v>MarçoSEMANA 1Coca-Cola Pet 2 Lt</v>
      </c>
      <c r="F29" s="7">
        <f>SUMIF(NF!$A:$A,$E29,NF!$I:$I)</f>
        <v>0</v>
      </c>
      <c r="G29" s="74"/>
      <c r="H29" s="74"/>
      <c r="I29" s="74"/>
      <c r="J29" s="6"/>
      <c r="K29" s="6"/>
      <c r="L29" s="6"/>
      <c r="M29" s="6"/>
      <c r="N29" s="7">
        <f t="shared" ref="N29:N36" si="21">SUM(G29:M29)</f>
        <v>0</v>
      </c>
      <c r="O29" s="11">
        <f t="shared" si="1"/>
        <v>0</v>
      </c>
      <c r="P29" s="25"/>
      <c r="Q29" s="10" t="str">
        <f t="shared" si="2"/>
        <v>MarçoSEMANA 2Coca-Cola Pet 2 Lt</v>
      </c>
      <c r="R29" s="7">
        <f>SUMIF(NF!$A:$A,$Q29,NF!$I:$I)</f>
        <v>0</v>
      </c>
      <c r="S29" s="6"/>
      <c r="T29" s="6"/>
      <c r="U29" s="6"/>
      <c r="V29" s="6"/>
      <c r="W29" s="6"/>
      <c r="X29" s="6"/>
      <c r="Y29" s="6"/>
      <c r="Z29" s="7">
        <f t="shared" ref="Z29:Z36" si="22">SUM(S29:Y29)</f>
        <v>0</v>
      </c>
      <c r="AA29" s="11">
        <f t="shared" si="3"/>
        <v>0</v>
      </c>
      <c r="AB29" s="25"/>
      <c r="AC29" s="10" t="str">
        <f t="shared" si="4"/>
        <v>MarçoSEMANA 3Coca-Cola Pet 2 Lt</v>
      </c>
      <c r="AD29" s="7">
        <f>SUMIF(NF!$A:$A,$AC29,NF!$I:$I)</f>
        <v>0</v>
      </c>
      <c r="AE29" s="6"/>
      <c r="AF29" s="6"/>
      <c r="AG29" s="6"/>
      <c r="AH29" s="6"/>
      <c r="AI29" s="6"/>
      <c r="AJ29" s="6"/>
      <c r="AK29" s="6"/>
      <c r="AL29" s="7">
        <f t="shared" ref="AL29:AL36" si="23">SUM(AE29:AK29)</f>
        <v>0</v>
      </c>
      <c r="AM29" s="11">
        <f t="shared" si="5"/>
        <v>0</v>
      </c>
      <c r="AN29" s="25"/>
      <c r="AO29" s="10" t="str">
        <f t="shared" si="6"/>
        <v>MarçoSEMANA 4Coca-Cola Pet 2 Lt</v>
      </c>
      <c r="AP29" s="7">
        <f>SUMIF(NF!$A:$A,$AO29,NF!$I:$I)</f>
        <v>0</v>
      </c>
      <c r="AQ29" s="6"/>
      <c r="AR29" s="6"/>
      <c r="AS29" s="6"/>
      <c r="AT29" s="6"/>
      <c r="AU29" s="6"/>
      <c r="AV29" s="6"/>
      <c r="AW29" s="6"/>
      <c r="AX29" s="7">
        <f t="shared" ref="AX29:AX36" si="24">SUM(AQ29:AW29)</f>
        <v>0</v>
      </c>
      <c r="AY29" s="11">
        <f t="shared" si="7"/>
        <v>0</v>
      </c>
      <c r="AZ29" s="25"/>
      <c r="BA29" s="10" t="str">
        <f t="shared" si="8"/>
        <v>MarçoSEMANA 5Coca-Cola Pet 2 Lt</v>
      </c>
      <c r="BB29" s="7">
        <f>SUMIF(NF!$A:$A,$BA29,NF!$I:$I)</f>
        <v>0</v>
      </c>
      <c r="BC29" s="6"/>
      <c r="BD29" s="6"/>
      <c r="BE29" s="6"/>
      <c r="BF29" s="6"/>
      <c r="BG29" s="6"/>
      <c r="BH29" s="6"/>
      <c r="BI29" s="74"/>
      <c r="BJ29" s="74"/>
      <c r="BK29" s="7">
        <f>SUM(BC29:BJ29)</f>
        <v>0</v>
      </c>
      <c r="BL29" s="8">
        <f t="shared" si="9"/>
        <v>0</v>
      </c>
      <c r="BM29" s="51" t="str">
        <f>IFERROR(VLOOKUP(A29,NF!$M:$O,3,0),"")</f>
        <v>Bebidas</v>
      </c>
      <c r="BN29" s="7">
        <f t="shared" si="10"/>
        <v>0</v>
      </c>
      <c r="BO29" s="8">
        <f t="array" ref="BO29">IFERROR(LARGE(IF(NF!$G$2:$G$3137='Mês atual'!A29,NF!$J$2:$J$3137),1),0)*BN29</f>
        <v>0</v>
      </c>
      <c r="BP29" s="50"/>
      <c r="BR29" s="146">
        <f t="array" ref="BR29">IFERROR(LARGE(IF(NF!$G$2:$G$3137='Mês atual'!A29,NF!$J$2:$J$3137),1),0)</f>
        <v>0</v>
      </c>
      <c r="BS29" s="142" t="str">
        <f>VLOOKUP(A29,NF!M:O,3,0)</f>
        <v>Bebidas</v>
      </c>
      <c r="BV29" s="74">
        <f t="shared" si="11"/>
        <v>0</v>
      </c>
      <c r="BW29" s="74">
        <f t="shared" si="12"/>
        <v>0</v>
      </c>
      <c r="BX29" s="74">
        <f t="shared" si="13"/>
        <v>0</v>
      </c>
      <c r="BY29" s="74">
        <f t="shared" si="14"/>
        <v>0</v>
      </c>
      <c r="BZ29" s="74">
        <f t="shared" si="15"/>
        <v>0</v>
      </c>
    </row>
    <row r="30" spans="1:78" x14ac:dyDescent="0.2">
      <c r="A30" s="108" t="s">
        <v>286</v>
      </c>
      <c r="B30" s="12"/>
      <c r="C30" s="9">
        <v>95</v>
      </c>
      <c r="D30" s="25"/>
      <c r="E30" s="10" t="str">
        <f t="shared" si="0"/>
        <v>MarçoSEMANA 1Coca Cola Zero (lata)</v>
      </c>
      <c r="F30" s="7">
        <f>SUMIF(NF!$A:$A,$E30,NF!$I:$I)</f>
        <v>96</v>
      </c>
      <c r="G30" s="74"/>
      <c r="H30" s="74"/>
      <c r="I30" s="74"/>
      <c r="J30" s="6">
        <f>1+13+10</f>
        <v>24</v>
      </c>
      <c r="K30" s="6">
        <f>4+5+8</f>
        <v>17</v>
      </c>
      <c r="L30" s="6">
        <f>13+8</f>
        <v>21</v>
      </c>
      <c r="M30" s="6">
        <f>3+10+9</f>
        <v>22</v>
      </c>
      <c r="N30" s="7">
        <f t="shared" si="21"/>
        <v>84</v>
      </c>
      <c r="O30" s="11">
        <f t="shared" si="1"/>
        <v>107</v>
      </c>
      <c r="P30" s="25"/>
      <c r="Q30" s="10" t="str">
        <f t="shared" si="2"/>
        <v>MarçoSEMANA 2Coca Cola Zero (lata)</v>
      </c>
      <c r="R30" s="7">
        <f>SUMIF(NF!$A:$A,$Q30,NF!$I:$I)</f>
        <v>120</v>
      </c>
      <c r="S30" s="6">
        <f>1+3+6</f>
        <v>10</v>
      </c>
      <c r="T30" s="6">
        <f>1+5+12</f>
        <v>18</v>
      </c>
      <c r="U30" s="6">
        <f>2+2+6</f>
        <v>10</v>
      </c>
      <c r="V30" s="6">
        <f>1+6+7</f>
        <v>14</v>
      </c>
      <c r="W30" s="6">
        <f>1+6+8+(1)</f>
        <v>16</v>
      </c>
      <c r="X30" s="6">
        <f>7+8</f>
        <v>15</v>
      </c>
      <c r="Y30" s="6">
        <f>1+12+11</f>
        <v>24</v>
      </c>
      <c r="Z30" s="7">
        <f t="shared" si="22"/>
        <v>107</v>
      </c>
      <c r="AA30" s="11">
        <f t="shared" si="3"/>
        <v>120</v>
      </c>
      <c r="AB30" s="25"/>
      <c r="AC30" s="10" t="str">
        <f t="shared" si="4"/>
        <v>MarçoSEMANA 3Coca Cola Zero (lata)</v>
      </c>
      <c r="AD30" s="7">
        <f>SUMIF(NF!$A:$A,$AC30,NF!$I:$I)</f>
        <v>96</v>
      </c>
      <c r="AE30" s="6">
        <f>9+6</f>
        <v>15</v>
      </c>
      <c r="AF30" s="6">
        <f>3+3+7</f>
        <v>13</v>
      </c>
      <c r="AG30" s="6">
        <f>1+6+11</f>
        <v>18</v>
      </c>
      <c r="AH30" s="6">
        <f>1+5+5</f>
        <v>11</v>
      </c>
      <c r="AI30" s="6">
        <f>1+8+10+1</f>
        <v>20</v>
      </c>
      <c r="AJ30" s="6">
        <f>5+3</f>
        <v>8</v>
      </c>
      <c r="AK30" s="6">
        <f>2+12+5</f>
        <v>19</v>
      </c>
      <c r="AL30" s="7">
        <f t="shared" si="23"/>
        <v>104</v>
      </c>
      <c r="AM30" s="11">
        <f t="shared" si="5"/>
        <v>112</v>
      </c>
      <c r="AN30" s="25"/>
      <c r="AO30" s="10" t="str">
        <f t="shared" si="6"/>
        <v>MarçoSEMANA 4Coca Cola Zero (lata)</v>
      </c>
      <c r="AP30" s="7">
        <f>SUMIF(NF!$A:$A,$AO30,NF!$I:$I)</f>
        <v>96</v>
      </c>
      <c r="AQ30" s="6">
        <v>13</v>
      </c>
      <c r="AR30" s="6">
        <f>4+6</f>
        <v>10</v>
      </c>
      <c r="AS30" s="6">
        <f>5+1+11</f>
        <v>17</v>
      </c>
      <c r="AT30" s="6">
        <f>3+1+7</f>
        <v>11</v>
      </c>
      <c r="AU30" s="6">
        <f>2+13+12-2</f>
        <v>25</v>
      </c>
      <c r="AV30" s="6">
        <f>1+6+2</f>
        <v>9</v>
      </c>
      <c r="AW30" s="6">
        <f>3+13+10</f>
        <v>26</v>
      </c>
      <c r="AX30" s="7">
        <f t="shared" si="24"/>
        <v>111</v>
      </c>
      <c r="AY30" s="11">
        <f t="shared" si="7"/>
        <v>97</v>
      </c>
      <c r="AZ30" s="25"/>
      <c r="BA30" s="10" t="str">
        <f t="shared" si="8"/>
        <v>MarçoSEMANA 5Coca Cola Zero (lata)</v>
      </c>
      <c r="BB30" s="7">
        <f>SUMIF(NF!$A:$A,$BA30,NF!$I:$I)</f>
        <v>48</v>
      </c>
      <c r="BC30" s="6">
        <f>1+4+10</f>
        <v>15</v>
      </c>
      <c r="BD30" s="6">
        <f>2+2+11</f>
        <v>15</v>
      </c>
      <c r="BE30" s="6">
        <f>3+7+10</f>
        <v>20</v>
      </c>
      <c r="BF30" s="6">
        <f>1+7+11</f>
        <v>19</v>
      </c>
      <c r="BG30" s="6">
        <f>1+7+4</f>
        <v>12</v>
      </c>
      <c r="BH30" s="6">
        <f>8+6+4</f>
        <v>18</v>
      </c>
      <c r="BI30" s="74"/>
      <c r="BJ30" s="74"/>
      <c r="BK30" s="7">
        <f t="shared" ref="BK30:BK35" si="25">SUM(BC30:BJ30)</f>
        <v>99</v>
      </c>
      <c r="BL30" s="8">
        <f t="shared" si="9"/>
        <v>46</v>
      </c>
      <c r="BM30" s="51" t="str">
        <f>IFERROR(VLOOKUP(A30,NF!$M:$O,3,0),"")</f>
        <v>Bebidas</v>
      </c>
      <c r="BN30" s="7">
        <f t="shared" si="10"/>
        <v>505</v>
      </c>
      <c r="BO30" s="8">
        <f t="array" ref="BO30">IFERROR(LARGE(IF(NF!$G$2:$G$3137='Mês atual'!A30,NF!$J$2:$J$3137),1),0)*BN30</f>
        <v>1427.0458333333336</v>
      </c>
      <c r="BP30" s="50"/>
      <c r="BR30" s="146">
        <f t="array" ref="BR30">IFERROR(LARGE(IF(NF!$G$2:$G$3137='Mês atual'!A30,NF!$J$2:$J$3137),1),0)</f>
        <v>2.8258333333333336</v>
      </c>
      <c r="BS30" s="142" t="str">
        <f>VLOOKUP(A30,NF!M:O,3,0)</f>
        <v>Bebidas</v>
      </c>
      <c r="BV30" s="74">
        <f t="shared" si="11"/>
        <v>84</v>
      </c>
      <c r="BW30" s="74">
        <f t="shared" si="12"/>
        <v>107</v>
      </c>
      <c r="BX30" s="74">
        <f t="shared" si="13"/>
        <v>104</v>
      </c>
      <c r="BY30" s="74">
        <f t="shared" si="14"/>
        <v>111</v>
      </c>
      <c r="BZ30" s="74">
        <f t="shared" si="15"/>
        <v>99</v>
      </c>
    </row>
    <row r="31" spans="1:78" x14ac:dyDescent="0.2">
      <c r="A31" s="108" t="s">
        <v>1050</v>
      </c>
      <c r="B31" s="12"/>
      <c r="C31" s="9">
        <v>0</v>
      </c>
      <c r="D31" s="25"/>
      <c r="E31" s="10" t="str">
        <f t="shared" si="0"/>
        <v>MarçoSEMANA 1Conhaque Dreher 900ml</v>
      </c>
      <c r="F31" s="7">
        <f>SUMIF(NF!$A:$A,$E31,NF!$I:$I)</f>
        <v>0</v>
      </c>
      <c r="G31" s="74"/>
      <c r="H31" s="74"/>
      <c r="I31" s="74"/>
      <c r="J31" s="6"/>
      <c r="K31" s="6"/>
      <c r="L31" s="6"/>
      <c r="M31" s="6"/>
      <c r="N31" s="7">
        <f t="shared" si="21"/>
        <v>0</v>
      </c>
      <c r="O31" s="11">
        <f>F31+C31-N31</f>
        <v>0</v>
      </c>
      <c r="P31" s="25"/>
      <c r="Q31" s="10" t="str">
        <f t="shared" si="2"/>
        <v>MarçoSEMANA 2Conhaque Dreher 900ml</v>
      </c>
      <c r="R31" s="7">
        <f>SUMIF(NF!$A:$A,$Q31,NF!$I:$I)</f>
        <v>0</v>
      </c>
      <c r="S31" s="6"/>
      <c r="T31" s="6"/>
      <c r="U31" s="6"/>
      <c r="V31" s="6"/>
      <c r="W31" s="6"/>
      <c r="X31" s="6"/>
      <c r="Y31" s="6"/>
      <c r="Z31" s="7">
        <f t="shared" si="22"/>
        <v>0</v>
      </c>
      <c r="AA31" s="11">
        <f>R31+O31-Z31</f>
        <v>0</v>
      </c>
      <c r="AB31" s="25"/>
      <c r="AC31" s="10" t="str">
        <f t="shared" si="4"/>
        <v>MarçoSEMANA 3Conhaque Dreher 900ml</v>
      </c>
      <c r="AD31" s="7">
        <f>SUMIF(NF!$A:$A,$AC31,NF!$I:$I)</f>
        <v>0</v>
      </c>
      <c r="AE31" s="6"/>
      <c r="AF31" s="6"/>
      <c r="AG31" s="6"/>
      <c r="AH31" s="6"/>
      <c r="AI31" s="6"/>
      <c r="AJ31" s="6"/>
      <c r="AK31" s="6"/>
      <c r="AL31" s="7">
        <f t="shared" si="23"/>
        <v>0</v>
      </c>
      <c r="AM31" s="11">
        <f>AD31+AA31-AL31</f>
        <v>0</v>
      </c>
      <c r="AN31" s="25"/>
      <c r="AO31" s="10" t="str">
        <f t="shared" si="6"/>
        <v>MarçoSEMANA 4Conhaque Dreher 900ml</v>
      </c>
      <c r="AP31" s="7">
        <f>SUMIF(NF!$A:$A,$AO31,NF!$I:$I)</f>
        <v>0</v>
      </c>
      <c r="AQ31" s="6"/>
      <c r="AR31" s="6"/>
      <c r="AS31" s="6"/>
      <c r="AT31" s="6"/>
      <c r="AU31" s="6"/>
      <c r="AV31" s="6"/>
      <c r="AW31" s="6"/>
      <c r="AX31" s="7">
        <f t="shared" si="24"/>
        <v>0</v>
      </c>
      <c r="AY31" s="11">
        <f>AP31+AM31-AX31</f>
        <v>0</v>
      </c>
      <c r="AZ31" s="25"/>
      <c r="BA31" s="10" t="str">
        <f t="shared" si="8"/>
        <v>MarçoSEMANA 5Conhaque Dreher 900ml</v>
      </c>
      <c r="BB31" s="7">
        <f>SUMIF(NF!$A:$A,$BA31,NF!$I:$I)</f>
        <v>0</v>
      </c>
      <c r="BC31" s="6"/>
      <c r="BD31" s="6"/>
      <c r="BE31" s="6"/>
      <c r="BF31" s="6"/>
      <c r="BG31" s="6"/>
      <c r="BH31" s="6"/>
      <c r="BI31" s="74"/>
      <c r="BJ31" s="74"/>
      <c r="BK31" s="7">
        <f t="shared" si="25"/>
        <v>0</v>
      </c>
      <c r="BL31" s="8">
        <f>BB31+AY31-BK31</f>
        <v>0</v>
      </c>
      <c r="BM31" s="51" t="str">
        <f>IFERROR(VLOOKUP(A31,NF!$M:$O,3,0),"")</f>
        <v>Bebidas</v>
      </c>
      <c r="BN31" s="7">
        <f>SUM(N31,Z31,AL31,AX31,BK31)</f>
        <v>0</v>
      </c>
      <c r="BO31" s="8">
        <f t="array" ref="BO31">IFERROR(LARGE(IF(NF!$G$2:$G$3137='Mês atual'!A31,NF!$J$2:$J$3137),1),0)*BN31</f>
        <v>0</v>
      </c>
      <c r="BP31" s="50"/>
      <c r="BR31" s="146">
        <f t="array" ref="BR31">IFERROR(LARGE(IF(NF!$G$2:$G$3137='Mês atual'!A31,NF!$J$2:$J$3137),1),0)</f>
        <v>0</v>
      </c>
      <c r="BS31" s="142" t="str">
        <f>VLOOKUP(A31,NF!M:O,3,0)</f>
        <v>Bebidas</v>
      </c>
      <c r="BV31" s="74">
        <f>N31</f>
        <v>0</v>
      </c>
      <c r="BW31" s="74">
        <f>Z31</f>
        <v>0</v>
      </c>
      <c r="BX31" s="74">
        <f>AL31</f>
        <v>0</v>
      </c>
      <c r="BY31" s="74">
        <f>AX31</f>
        <v>0</v>
      </c>
      <c r="BZ31" s="74">
        <f>BK31</f>
        <v>0</v>
      </c>
    </row>
    <row r="32" spans="1:78" x14ac:dyDescent="0.25">
      <c r="A32" s="108" t="s">
        <v>1062</v>
      </c>
      <c r="B32" s="12"/>
      <c r="C32" s="9">
        <v>0</v>
      </c>
      <c r="D32" s="25"/>
      <c r="E32" s="10" t="str">
        <f t="shared" si="0"/>
        <v>MarçoSEMANA 1Fanta Guaraná (lata)</v>
      </c>
      <c r="F32" s="7">
        <f>SUMIF(NF!$A:$A,$E32,NF!$I:$I)</f>
        <v>0</v>
      </c>
      <c r="G32" s="74"/>
      <c r="H32" s="74"/>
      <c r="I32" s="74"/>
      <c r="J32" s="6"/>
      <c r="K32" s="6"/>
      <c r="L32" s="6"/>
      <c r="M32" s="6"/>
      <c r="N32" s="7">
        <f t="shared" si="21"/>
        <v>0</v>
      </c>
      <c r="O32" s="11">
        <f>F32+C32-N32</f>
        <v>0</v>
      </c>
      <c r="P32" s="25"/>
      <c r="Q32" s="10" t="str">
        <f t="shared" si="2"/>
        <v>MarçoSEMANA 2Fanta Guaraná (lata)</v>
      </c>
      <c r="R32" s="7">
        <f>SUMIF(NF!$A:$A,$Q32,NF!$I:$I)</f>
        <v>0</v>
      </c>
      <c r="S32" s="6"/>
      <c r="T32" s="6"/>
      <c r="U32" s="6"/>
      <c r="V32" s="6"/>
      <c r="W32" s="6"/>
      <c r="X32" s="6"/>
      <c r="Y32" s="6"/>
      <c r="Z32" s="7">
        <f t="shared" si="22"/>
        <v>0</v>
      </c>
      <c r="AA32" s="11">
        <f>R32+O32-Z32</f>
        <v>0</v>
      </c>
      <c r="AB32" s="25"/>
      <c r="AC32" s="10" t="str">
        <f t="shared" si="4"/>
        <v>MarçoSEMANA 3Fanta Guaraná (lata)</v>
      </c>
      <c r="AD32" s="7">
        <f>SUMIF(NF!$A:$A,$AC32,NF!$I:$I)</f>
        <v>0</v>
      </c>
      <c r="AE32" s="6"/>
      <c r="AF32" s="6"/>
      <c r="AG32" s="6"/>
      <c r="AH32" s="6"/>
      <c r="AI32" s="6"/>
      <c r="AJ32" s="6"/>
      <c r="AK32" s="6"/>
      <c r="AL32" s="7">
        <f t="shared" si="23"/>
        <v>0</v>
      </c>
      <c r="AM32" s="11">
        <f>AD32+AA32-AL32</f>
        <v>0</v>
      </c>
      <c r="AN32" s="25"/>
      <c r="AO32" s="10" t="str">
        <f t="shared" si="6"/>
        <v>MarçoSEMANA 4Fanta Guaraná (lata)</v>
      </c>
      <c r="AP32" s="7">
        <f>SUMIF(NF!$A:$A,$AO32,NF!$I:$I)</f>
        <v>0</v>
      </c>
      <c r="AQ32" s="6"/>
      <c r="AR32" s="6"/>
      <c r="AS32" s="6"/>
      <c r="AT32" s="6"/>
      <c r="AU32" s="6"/>
      <c r="AV32" s="6"/>
      <c r="AW32" s="6"/>
      <c r="AX32" s="7">
        <f t="shared" si="24"/>
        <v>0</v>
      </c>
      <c r="AY32" s="11">
        <f>AP32+AM32-AX32</f>
        <v>0</v>
      </c>
      <c r="AZ32" s="25"/>
      <c r="BA32" s="10" t="str">
        <f t="shared" si="8"/>
        <v>MarçoSEMANA 5Fanta Guaraná (lata)</v>
      </c>
      <c r="BB32" s="7">
        <f>SUMIF(NF!$A:$A,$BA32,NF!$I:$I)</f>
        <v>0</v>
      </c>
      <c r="BC32" s="6"/>
      <c r="BD32" s="6"/>
      <c r="BE32" s="6"/>
      <c r="BF32" s="6"/>
      <c r="BG32" s="6"/>
      <c r="BH32" s="6"/>
      <c r="BI32" s="74"/>
      <c r="BJ32" s="74"/>
      <c r="BK32" s="7">
        <f t="shared" si="25"/>
        <v>0</v>
      </c>
      <c r="BL32" s="8">
        <f>BB32+AY32-BK32</f>
        <v>0</v>
      </c>
      <c r="BM32" s="51" t="str">
        <f>IFERROR(VLOOKUP(A32,NF!$M:$O,3,0),"")</f>
        <v>Bebidas</v>
      </c>
      <c r="BN32" s="7">
        <f>SUM(N32,Z32,AL32,AX32,BK32)</f>
        <v>0</v>
      </c>
      <c r="BO32" s="8">
        <f t="array" ref="BO32">IFERROR(LARGE(IF(NF!$G$2:$G$3137='Mês atual'!A32,NF!$J$2:$J$3137),1),0)*BN32</f>
        <v>0</v>
      </c>
      <c r="BP32" s="50"/>
      <c r="BR32" s="146">
        <f t="array" ref="BR32">IFERROR(LARGE(IF(NF!$G$2:$G$3137='Mês atual'!A32,NF!$J$2:$J$3137),1),0)</f>
        <v>0</v>
      </c>
      <c r="BS32" s="142" t="str">
        <f>VLOOKUP(A32,NF!M:O,3,0)</f>
        <v>Bebidas</v>
      </c>
      <c r="BV32" s="74">
        <f>N32</f>
        <v>0</v>
      </c>
      <c r="BW32" s="74">
        <f>Z32</f>
        <v>0</v>
      </c>
      <c r="BX32" s="74">
        <f>AL32</f>
        <v>0</v>
      </c>
      <c r="BY32" s="74">
        <f>AX32</f>
        <v>0</v>
      </c>
      <c r="BZ32" s="74">
        <f>BK32</f>
        <v>0</v>
      </c>
    </row>
    <row r="33" spans="1:78" x14ac:dyDescent="0.2">
      <c r="A33" s="108" t="s">
        <v>1061</v>
      </c>
      <c r="B33" s="12"/>
      <c r="C33" s="9">
        <v>12</v>
      </c>
      <c r="D33" s="25"/>
      <c r="E33" s="10" t="str">
        <f t="shared" si="0"/>
        <v>MarçoSEMANA 1Fanta Laranja (lata)</v>
      </c>
      <c r="F33" s="7">
        <f>SUMIF(NF!$A:$A,$E33,NF!$I:$I)</f>
        <v>0</v>
      </c>
      <c r="G33" s="74"/>
      <c r="H33" s="74"/>
      <c r="I33" s="74"/>
      <c r="J33" s="6"/>
      <c r="K33" s="6"/>
      <c r="L33" s="6"/>
      <c r="M33" s="6"/>
      <c r="N33" s="7">
        <f t="shared" si="21"/>
        <v>0</v>
      </c>
      <c r="O33" s="11">
        <f>F33+C33-N33</f>
        <v>12</v>
      </c>
      <c r="P33" s="25"/>
      <c r="Q33" s="10" t="str">
        <f t="shared" si="2"/>
        <v>MarçoSEMANA 2Fanta Laranja (lata)</v>
      </c>
      <c r="R33" s="7">
        <f>SUMIF(NF!$A:$A,$Q33,NF!$I:$I)</f>
        <v>0</v>
      </c>
      <c r="S33" s="6"/>
      <c r="T33" s="6"/>
      <c r="U33" s="6"/>
      <c r="V33" s="6"/>
      <c r="W33" s="6"/>
      <c r="X33" s="6"/>
      <c r="Y33" s="6"/>
      <c r="Z33" s="7">
        <f t="shared" si="22"/>
        <v>0</v>
      </c>
      <c r="AA33" s="11">
        <f>R33+O33-Z33</f>
        <v>12</v>
      </c>
      <c r="AB33" s="25"/>
      <c r="AC33" s="10" t="str">
        <f t="shared" si="4"/>
        <v>MarçoSEMANA 3Fanta Laranja (lata)</v>
      </c>
      <c r="AD33" s="7">
        <f>SUMIF(NF!$A:$A,$AC33,NF!$I:$I)</f>
        <v>0</v>
      </c>
      <c r="AE33" s="6"/>
      <c r="AF33" s="6"/>
      <c r="AG33" s="6"/>
      <c r="AH33" s="6"/>
      <c r="AI33" s="6"/>
      <c r="AJ33" s="6"/>
      <c r="AK33" s="6"/>
      <c r="AL33" s="7">
        <f t="shared" si="23"/>
        <v>0</v>
      </c>
      <c r="AM33" s="11">
        <f>AD33+AA33-AL33</f>
        <v>12</v>
      </c>
      <c r="AN33" s="25"/>
      <c r="AO33" s="10" t="str">
        <f t="shared" si="6"/>
        <v>MarçoSEMANA 4Fanta Laranja (lata)</v>
      </c>
      <c r="AP33" s="7">
        <f>SUMIF(NF!$A:$A,$AO33,NF!$I:$I)</f>
        <v>0</v>
      </c>
      <c r="AQ33" s="6"/>
      <c r="AR33" s="6"/>
      <c r="AS33" s="6"/>
      <c r="AT33" s="6"/>
      <c r="AU33" s="6"/>
      <c r="AV33" s="6"/>
      <c r="AW33" s="6"/>
      <c r="AX33" s="7">
        <f t="shared" si="24"/>
        <v>0</v>
      </c>
      <c r="AY33" s="11">
        <f>AP33+AM33-AX33</f>
        <v>12</v>
      </c>
      <c r="AZ33" s="25"/>
      <c r="BA33" s="10" t="str">
        <f t="shared" si="8"/>
        <v>MarçoSEMANA 5Fanta Laranja (lata)</v>
      </c>
      <c r="BB33" s="7">
        <f>SUMIF(NF!$A:$A,$BA33,NF!$I:$I)</f>
        <v>0</v>
      </c>
      <c r="BC33" s="6"/>
      <c r="BD33" s="6"/>
      <c r="BE33" s="6"/>
      <c r="BF33" s="6"/>
      <c r="BG33" s="6"/>
      <c r="BH33" s="6"/>
      <c r="BI33" s="74"/>
      <c r="BJ33" s="74"/>
      <c r="BK33" s="7">
        <f t="shared" si="25"/>
        <v>0</v>
      </c>
      <c r="BL33" s="8">
        <f>BB33+AY33-BK33</f>
        <v>12</v>
      </c>
      <c r="BM33" s="51" t="str">
        <f>IFERROR(VLOOKUP(A33,NF!$M:$O,3,0),"")</f>
        <v>Bebidas</v>
      </c>
      <c r="BN33" s="7">
        <f>SUM(N33,Z33,AL33,AX33,BK33)</f>
        <v>0</v>
      </c>
      <c r="BO33" s="8">
        <f t="array" ref="BO33">IFERROR(LARGE(IF(NF!$G$2:$G$3137='Mês atual'!A33,NF!$J$2:$J$3137),1),0)*BN33</f>
        <v>0</v>
      </c>
      <c r="BP33" s="50"/>
      <c r="BR33" s="146">
        <f t="array" ref="BR33">IFERROR(LARGE(IF(NF!$G$2:$G$3137='Mês atual'!A33,NF!$J$2:$J$3137),1),0)</f>
        <v>0</v>
      </c>
      <c r="BS33" s="142" t="str">
        <f>VLOOKUP(A33,NF!M:O,3,0)</f>
        <v>Bebidas</v>
      </c>
      <c r="BV33" s="74">
        <f>N33</f>
        <v>0</v>
      </c>
      <c r="BW33" s="74">
        <f>Z33</f>
        <v>0</v>
      </c>
      <c r="BX33" s="74">
        <f>AL33</f>
        <v>0</v>
      </c>
      <c r="BY33" s="74">
        <f>AX33</f>
        <v>0</v>
      </c>
      <c r="BZ33" s="74">
        <f>BK33</f>
        <v>0</v>
      </c>
    </row>
    <row r="34" spans="1:78" x14ac:dyDescent="0.2">
      <c r="A34" s="108" t="s">
        <v>1063</v>
      </c>
      <c r="B34" s="12"/>
      <c r="C34" s="9">
        <v>12</v>
      </c>
      <c r="D34" s="25"/>
      <c r="E34" s="10" t="str">
        <f t="shared" si="0"/>
        <v>MarçoSEMANA 1Fanta Uva (lata)</v>
      </c>
      <c r="F34" s="7">
        <f>SUMIF(NF!$A:$A,$E34,NF!$I:$I)</f>
        <v>0</v>
      </c>
      <c r="G34" s="74"/>
      <c r="H34" s="74"/>
      <c r="I34" s="74"/>
      <c r="J34" s="6"/>
      <c r="K34" s="6"/>
      <c r="L34" s="6"/>
      <c r="M34" s="6"/>
      <c r="N34" s="7">
        <f t="shared" si="21"/>
        <v>0</v>
      </c>
      <c r="O34" s="11">
        <f>F34+C34-N34</f>
        <v>12</v>
      </c>
      <c r="P34" s="25"/>
      <c r="Q34" s="10" t="str">
        <f t="shared" si="2"/>
        <v>MarçoSEMANA 2Fanta Uva (lata)</v>
      </c>
      <c r="R34" s="7">
        <f>SUMIF(NF!$A:$A,$Q34,NF!$I:$I)</f>
        <v>0</v>
      </c>
      <c r="S34" s="6"/>
      <c r="T34" s="6"/>
      <c r="U34" s="6"/>
      <c r="V34" s="6"/>
      <c r="W34" s="6"/>
      <c r="X34" s="6"/>
      <c r="Y34" s="6"/>
      <c r="Z34" s="7">
        <f t="shared" si="22"/>
        <v>0</v>
      </c>
      <c r="AA34" s="11">
        <f>R34+O34-Z34</f>
        <v>12</v>
      </c>
      <c r="AB34" s="25"/>
      <c r="AC34" s="10" t="str">
        <f t="shared" si="4"/>
        <v>MarçoSEMANA 3Fanta Uva (lata)</v>
      </c>
      <c r="AD34" s="7">
        <f>SUMIF(NF!$A:$A,$AC34,NF!$I:$I)</f>
        <v>0</v>
      </c>
      <c r="AE34" s="6"/>
      <c r="AF34" s="6"/>
      <c r="AG34" s="6"/>
      <c r="AH34" s="6"/>
      <c r="AI34" s="6"/>
      <c r="AJ34" s="6"/>
      <c r="AK34" s="6"/>
      <c r="AL34" s="7">
        <f t="shared" si="23"/>
        <v>0</v>
      </c>
      <c r="AM34" s="11">
        <f>AD34+AA34-AL34</f>
        <v>12</v>
      </c>
      <c r="AN34" s="25"/>
      <c r="AO34" s="10" t="str">
        <f t="shared" si="6"/>
        <v>MarçoSEMANA 4Fanta Uva (lata)</v>
      </c>
      <c r="AP34" s="7">
        <f>SUMIF(NF!$A:$A,$AO34,NF!$I:$I)</f>
        <v>0</v>
      </c>
      <c r="AQ34" s="6"/>
      <c r="AR34" s="6"/>
      <c r="AS34" s="6"/>
      <c r="AT34" s="6"/>
      <c r="AU34" s="6"/>
      <c r="AV34" s="6"/>
      <c r="AW34" s="6"/>
      <c r="AX34" s="7">
        <f t="shared" si="24"/>
        <v>0</v>
      </c>
      <c r="AY34" s="11">
        <f>AP34+AM34-AX34</f>
        <v>12</v>
      </c>
      <c r="AZ34" s="25"/>
      <c r="BA34" s="10" t="str">
        <f t="shared" si="8"/>
        <v>MarçoSEMANA 5Fanta Uva (lata)</v>
      </c>
      <c r="BB34" s="7">
        <f>SUMIF(NF!$A:$A,$BA34,NF!$I:$I)</f>
        <v>0</v>
      </c>
      <c r="BC34" s="6"/>
      <c r="BD34" s="6"/>
      <c r="BE34" s="6"/>
      <c r="BF34" s="6"/>
      <c r="BG34" s="6"/>
      <c r="BH34" s="6"/>
      <c r="BI34" s="74"/>
      <c r="BJ34" s="74"/>
      <c r="BK34" s="7">
        <f t="shared" si="25"/>
        <v>0</v>
      </c>
      <c r="BL34" s="8">
        <f>BB34+AY34-BK34</f>
        <v>12</v>
      </c>
      <c r="BM34" s="51" t="str">
        <f>IFERROR(VLOOKUP(A34,NF!$M:$O,3,0),"")</f>
        <v>Bebidas</v>
      </c>
      <c r="BN34" s="7">
        <f>SUM(N34,Z34,AL34,AX34,BK34)</f>
        <v>0</v>
      </c>
      <c r="BO34" s="8">
        <f t="array" ref="BO34">IFERROR(LARGE(IF(NF!$G$2:$G$3137='Mês atual'!A34,NF!$J$2:$J$3137),1),0)*BN34</f>
        <v>0</v>
      </c>
      <c r="BP34" s="50"/>
      <c r="BR34" s="146">
        <f t="array" ref="BR34">IFERROR(LARGE(IF(NF!$G$2:$G$3137='Mês atual'!A34,NF!$J$2:$J$3137),1),0)</f>
        <v>0</v>
      </c>
      <c r="BS34" s="142" t="str">
        <f>VLOOKUP(A34,NF!M:O,3,0)</f>
        <v>Bebidas</v>
      </c>
      <c r="BV34" s="74">
        <f>N34</f>
        <v>0</v>
      </c>
      <c r="BW34" s="74">
        <f>Z34</f>
        <v>0</v>
      </c>
      <c r="BX34" s="74">
        <f>AL34</f>
        <v>0</v>
      </c>
      <c r="BY34" s="74">
        <f>AX34</f>
        <v>0</v>
      </c>
      <c r="BZ34" s="74">
        <f>BK34</f>
        <v>0</v>
      </c>
    </row>
    <row r="35" spans="1:78" x14ac:dyDescent="0.25">
      <c r="A35" s="108" t="s">
        <v>397</v>
      </c>
      <c r="B35" s="12"/>
      <c r="C35" s="9">
        <v>1</v>
      </c>
      <c r="D35" s="25"/>
      <c r="E35" s="10" t="str">
        <f t="shared" si="0"/>
        <v>MarçoSEMANA 1Guaraná Antarctica (lata)</v>
      </c>
      <c r="F35" s="7">
        <f>SUMIF(NF!$A:$A,$E35,NF!$I:$I)</f>
        <v>36</v>
      </c>
      <c r="G35" s="74"/>
      <c r="H35" s="74"/>
      <c r="I35" s="74"/>
      <c r="J35" s="6">
        <f>1+1</f>
        <v>2</v>
      </c>
      <c r="K35" s="6">
        <v>3</v>
      </c>
      <c r="L35" s="6">
        <f>4+3</f>
        <v>7</v>
      </c>
      <c r="M35" s="6">
        <f>4+3</f>
        <v>7</v>
      </c>
      <c r="N35" s="7">
        <f t="shared" si="21"/>
        <v>19</v>
      </c>
      <c r="O35" s="11">
        <f t="shared" si="1"/>
        <v>18</v>
      </c>
      <c r="P35" s="25"/>
      <c r="Q35" s="10" t="str">
        <f t="shared" si="2"/>
        <v>MarçoSEMANA 2Guaraná Antarctica (lata)</v>
      </c>
      <c r="R35" s="7">
        <f>SUMIF(NF!$A:$A,$Q35,NF!$I:$I)</f>
        <v>0</v>
      </c>
      <c r="S35" s="6">
        <f>1+2</f>
        <v>3</v>
      </c>
      <c r="T35" s="6">
        <f>1+3</f>
        <v>4</v>
      </c>
      <c r="U35" s="6">
        <v>1</v>
      </c>
      <c r="V35" s="6"/>
      <c r="W35" s="6">
        <f>1+2+1-2</f>
        <v>2</v>
      </c>
      <c r="X35" s="6">
        <f>1+2</f>
        <v>3</v>
      </c>
      <c r="Y35" s="6">
        <f>3+2</f>
        <v>5</v>
      </c>
      <c r="Z35" s="7">
        <f t="shared" si="22"/>
        <v>18</v>
      </c>
      <c r="AA35" s="11">
        <f t="shared" si="3"/>
        <v>0</v>
      </c>
      <c r="AB35" s="25"/>
      <c r="AC35" s="10" t="str">
        <f t="shared" si="4"/>
        <v>MarçoSEMANA 3Guaraná Antarctica (lata)</v>
      </c>
      <c r="AD35" s="7">
        <f>SUMIF(NF!$A:$A,$AC35,NF!$I:$I)</f>
        <v>48</v>
      </c>
      <c r="AE35" s="6"/>
      <c r="AF35" s="6"/>
      <c r="AG35" s="6">
        <f>1+1+2</f>
        <v>4</v>
      </c>
      <c r="AH35" s="6">
        <f>1</f>
        <v>1</v>
      </c>
      <c r="AI35" s="6">
        <f>3</f>
        <v>3</v>
      </c>
      <c r="AJ35" s="6">
        <f>1</f>
        <v>1</v>
      </c>
      <c r="AK35" s="6">
        <f>2+4+3</f>
        <v>9</v>
      </c>
      <c r="AL35" s="7">
        <f t="shared" si="23"/>
        <v>18</v>
      </c>
      <c r="AM35" s="11">
        <f t="shared" si="5"/>
        <v>30</v>
      </c>
      <c r="AN35" s="25"/>
      <c r="AO35" s="10" t="str">
        <f t="shared" si="6"/>
        <v>MarçoSEMANA 4Guaraná Antarctica (lata)</v>
      </c>
      <c r="AP35" s="7">
        <f>SUMIF(NF!$A:$A,$AO35,NF!$I:$I)</f>
        <v>36</v>
      </c>
      <c r="AQ35" s="6">
        <v>2</v>
      </c>
      <c r="AR35" s="6">
        <v>3</v>
      </c>
      <c r="AS35" s="6">
        <f>1</f>
        <v>1</v>
      </c>
      <c r="AT35" s="6">
        <f>2+1</f>
        <v>3</v>
      </c>
      <c r="AU35" s="6">
        <f>2+1+2</f>
        <v>5</v>
      </c>
      <c r="AV35" s="6">
        <f>3+3</f>
        <v>6</v>
      </c>
      <c r="AW35" s="6">
        <f>2+7+2</f>
        <v>11</v>
      </c>
      <c r="AX35" s="7">
        <f t="shared" si="24"/>
        <v>31</v>
      </c>
      <c r="AY35" s="11">
        <f t="shared" si="7"/>
        <v>35</v>
      </c>
      <c r="AZ35" s="25"/>
      <c r="BA35" s="10" t="str">
        <f t="shared" si="8"/>
        <v>MarçoSEMANA 5Guaraná Antarctica (lata)</v>
      </c>
      <c r="BB35" s="7">
        <f>SUMIF(NF!$A:$A,$BA35,NF!$I:$I)</f>
        <v>24</v>
      </c>
      <c r="BC35" s="6"/>
      <c r="BD35" s="6">
        <f>2</f>
        <v>2</v>
      </c>
      <c r="BE35" s="6">
        <f>3+1</f>
        <v>4</v>
      </c>
      <c r="BF35" s="6">
        <f>1</f>
        <v>1</v>
      </c>
      <c r="BG35" s="6">
        <f>1+3+3</f>
        <v>7</v>
      </c>
      <c r="BH35" s="6">
        <f>1+1+3</f>
        <v>5</v>
      </c>
      <c r="BI35" s="74"/>
      <c r="BJ35" s="74"/>
      <c r="BK35" s="7">
        <f t="shared" si="25"/>
        <v>19</v>
      </c>
      <c r="BL35" s="8">
        <f t="shared" si="9"/>
        <v>40</v>
      </c>
      <c r="BM35" s="51" t="str">
        <f>IFERROR(VLOOKUP(A35,NF!$M:$O,3,0),"")</f>
        <v>Bebidas</v>
      </c>
      <c r="BN35" s="7">
        <f t="shared" si="10"/>
        <v>105</v>
      </c>
      <c r="BO35" s="8">
        <f t="array" ref="BO35">IFERROR(LARGE(IF(NF!$G$2:$G$3137='Mês atual'!A35,NF!$J$2:$J$3137),1),0)*BN35</f>
        <v>179.84166666666667</v>
      </c>
      <c r="BP35" s="50"/>
      <c r="BR35" s="146">
        <f t="array" ref="BR35">IFERROR(LARGE(IF(NF!$G$2:$G$3137='Mês atual'!A35,NF!$J$2:$J$3137),1),0)</f>
        <v>1.7127777777777777</v>
      </c>
      <c r="BS35" s="142" t="str">
        <f>VLOOKUP(A35,NF!M:O,3,0)</f>
        <v>Bebidas</v>
      </c>
      <c r="BV35" s="74">
        <f t="shared" si="11"/>
        <v>19</v>
      </c>
      <c r="BW35" s="74">
        <f t="shared" si="12"/>
        <v>18</v>
      </c>
      <c r="BX35" s="74">
        <f t="shared" si="13"/>
        <v>18</v>
      </c>
      <c r="BY35" s="74">
        <f t="shared" si="14"/>
        <v>31</v>
      </c>
      <c r="BZ35" s="74">
        <f t="shared" si="15"/>
        <v>19</v>
      </c>
    </row>
    <row r="36" spans="1:78" x14ac:dyDescent="0.25">
      <c r="A36" s="108" t="s">
        <v>936</v>
      </c>
      <c r="B36" s="12"/>
      <c r="C36" s="9">
        <v>0</v>
      </c>
      <c r="D36" s="25"/>
      <c r="E36" s="10" t="str">
        <f t="shared" si="0"/>
        <v>MarçoSEMANA 1Guaraná Antarctica Pet 2 Lt</v>
      </c>
      <c r="F36" s="7">
        <f>SUMIF(NF!$A:$A,$E36,NF!$I:$I)</f>
        <v>0</v>
      </c>
      <c r="G36" s="74"/>
      <c r="H36" s="74"/>
      <c r="I36" s="74"/>
      <c r="J36" s="6"/>
      <c r="K36" s="6"/>
      <c r="L36" s="6"/>
      <c r="M36" s="6"/>
      <c r="N36" s="7">
        <f t="shared" si="21"/>
        <v>0</v>
      </c>
      <c r="O36" s="11">
        <f t="shared" si="1"/>
        <v>0</v>
      </c>
      <c r="P36" s="25"/>
      <c r="Q36" s="10" t="str">
        <f t="shared" si="2"/>
        <v>MarçoSEMANA 2Guaraná Antarctica Pet 2 Lt</v>
      </c>
      <c r="R36" s="7">
        <f>SUMIF(NF!$A:$A,$Q36,NF!$I:$I)</f>
        <v>0</v>
      </c>
      <c r="S36" s="6"/>
      <c r="T36" s="6"/>
      <c r="U36" s="6"/>
      <c r="V36" s="6"/>
      <c r="W36" s="6"/>
      <c r="X36" s="6"/>
      <c r="Y36" s="6"/>
      <c r="Z36" s="7">
        <f t="shared" si="22"/>
        <v>0</v>
      </c>
      <c r="AA36" s="11">
        <f t="shared" si="3"/>
        <v>0</v>
      </c>
      <c r="AB36" s="25"/>
      <c r="AC36" s="10" t="str">
        <f t="shared" si="4"/>
        <v>MarçoSEMANA 3Guaraná Antarctica Pet 2 Lt</v>
      </c>
      <c r="AD36" s="7">
        <f>SUMIF(NF!$A:$A,$AC36,NF!$I:$I)</f>
        <v>0</v>
      </c>
      <c r="AE36" s="6"/>
      <c r="AF36" s="6"/>
      <c r="AG36" s="6"/>
      <c r="AH36" s="6"/>
      <c r="AI36" s="6"/>
      <c r="AJ36" s="6"/>
      <c r="AK36" s="6"/>
      <c r="AL36" s="7">
        <f t="shared" si="23"/>
        <v>0</v>
      </c>
      <c r="AM36" s="11">
        <f t="shared" si="5"/>
        <v>0</v>
      </c>
      <c r="AN36" s="25"/>
      <c r="AO36" s="10" t="str">
        <f t="shared" si="6"/>
        <v>MarçoSEMANA 4Guaraná Antarctica Pet 2 Lt</v>
      </c>
      <c r="AP36" s="7">
        <f>SUMIF(NF!$A:$A,$AO36,NF!$I:$I)</f>
        <v>0</v>
      </c>
      <c r="AQ36" s="6"/>
      <c r="AR36" s="6"/>
      <c r="AS36" s="6"/>
      <c r="AT36" s="6"/>
      <c r="AU36" s="6"/>
      <c r="AV36" s="6"/>
      <c r="AW36" s="6"/>
      <c r="AX36" s="7">
        <f t="shared" si="24"/>
        <v>0</v>
      </c>
      <c r="AY36" s="11">
        <f t="shared" si="7"/>
        <v>0</v>
      </c>
      <c r="AZ36" s="25"/>
      <c r="BA36" s="10" t="str">
        <f t="shared" si="8"/>
        <v>MarçoSEMANA 5Guaraná Antarctica Pet 2 Lt</v>
      </c>
      <c r="BB36" s="7">
        <f>SUMIF(NF!$A:$A,$BA36,NF!$I:$I)</f>
        <v>0</v>
      </c>
      <c r="BC36" s="6"/>
      <c r="BD36" s="6"/>
      <c r="BE36" s="6"/>
      <c r="BF36" s="6"/>
      <c r="BG36" s="6"/>
      <c r="BH36" s="6"/>
      <c r="BI36" s="74"/>
      <c r="BJ36" s="74"/>
      <c r="BK36" s="7">
        <f>SUM(BC36:BJ36)</f>
        <v>0</v>
      </c>
      <c r="BL36" s="8">
        <f t="shared" si="9"/>
        <v>0</v>
      </c>
      <c r="BM36" s="51" t="str">
        <f>IFERROR(VLOOKUP(A36,NF!$M:$O,3,0),"")</f>
        <v>Bebidas</v>
      </c>
      <c r="BN36" s="7">
        <f t="shared" si="10"/>
        <v>0</v>
      </c>
      <c r="BO36" s="8">
        <f t="array" ref="BO36">IFERROR(LARGE(IF(NF!$G$2:$G$3137='Mês atual'!A36,NF!$J$2:$J$3137),1),0)*BN36</f>
        <v>0</v>
      </c>
      <c r="BP36" s="50"/>
      <c r="BR36" s="146">
        <f t="array" ref="BR36">IFERROR(LARGE(IF(NF!$G$2:$G$3137='Mês atual'!A36,NF!$J$2:$J$3137),1),0)</f>
        <v>0</v>
      </c>
      <c r="BS36" s="142" t="str">
        <f>VLOOKUP(A36,NF!M:O,3,0)</f>
        <v>Bebidas</v>
      </c>
      <c r="BV36" s="74">
        <f t="shared" si="11"/>
        <v>0</v>
      </c>
      <c r="BW36" s="74">
        <f t="shared" si="12"/>
        <v>0</v>
      </c>
      <c r="BX36" s="74">
        <f t="shared" si="13"/>
        <v>0</v>
      </c>
      <c r="BY36" s="74">
        <f t="shared" si="14"/>
        <v>0</v>
      </c>
      <c r="BZ36" s="74">
        <f t="shared" si="15"/>
        <v>0</v>
      </c>
    </row>
    <row r="37" spans="1:78" x14ac:dyDescent="0.25">
      <c r="A37" s="108" t="s">
        <v>398</v>
      </c>
      <c r="B37" s="12"/>
      <c r="C37" s="9">
        <v>56</v>
      </c>
      <c r="D37" s="25"/>
      <c r="E37" s="10" t="str">
        <f t="shared" si="0"/>
        <v>MarçoSEMANA 1Guaraná Antarctica Zero (lata)</v>
      </c>
      <c r="F37" s="7">
        <f>SUMIF(NF!$A:$A,$E37,NF!$I:$I)</f>
        <v>36</v>
      </c>
      <c r="G37" s="74"/>
      <c r="H37" s="74"/>
      <c r="I37" s="74"/>
      <c r="J37" s="6">
        <f>6+3</f>
        <v>9</v>
      </c>
      <c r="K37" s="6">
        <f>1+2+2</f>
        <v>5</v>
      </c>
      <c r="L37" s="6">
        <f>1+6+2</f>
        <v>9</v>
      </c>
      <c r="M37" s="6">
        <f>1+8+8</f>
        <v>17</v>
      </c>
      <c r="N37" s="7">
        <f t="shared" ref="N37:N48" si="26">SUM(G37:M37)</f>
        <v>40</v>
      </c>
      <c r="O37" s="11">
        <f t="shared" si="1"/>
        <v>52</v>
      </c>
      <c r="P37" s="25"/>
      <c r="Q37" s="10" t="str">
        <f t="shared" si="2"/>
        <v>MarçoSEMANA 2Guaraná Antarctica Zero (lata)</v>
      </c>
      <c r="R37" s="7">
        <f>SUMIF(NF!$A:$A,$Q37,NF!$I:$I)</f>
        <v>84</v>
      </c>
      <c r="S37" s="6">
        <f>2+1+4</f>
        <v>7</v>
      </c>
      <c r="T37" s="6">
        <f>1+6</f>
        <v>7</v>
      </c>
      <c r="U37" s="6">
        <f>6+5</f>
        <v>11</v>
      </c>
      <c r="V37" s="6">
        <f>1+5+3</f>
        <v>9</v>
      </c>
      <c r="W37" s="6">
        <f>3+3+2+4</f>
        <v>12</v>
      </c>
      <c r="X37" s="6">
        <f>2+5+4</f>
        <v>11</v>
      </c>
      <c r="Y37" s="6">
        <f>6+4+9</f>
        <v>19</v>
      </c>
      <c r="Z37" s="7">
        <f t="shared" ref="Z37:Z48" si="27">SUM(S37:Y37)</f>
        <v>76</v>
      </c>
      <c r="AA37" s="11">
        <f t="shared" si="3"/>
        <v>60</v>
      </c>
      <c r="AB37" s="25"/>
      <c r="AC37" s="10" t="str">
        <f t="shared" si="4"/>
        <v>MarçoSEMANA 3Guaraná Antarctica Zero (lata)</v>
      </c>
      <c r="AD37" s="7">
        <f>SUMIF(NF!$A:$A,$AC37,NF!$I:$I)</f>
        <v>60</v>
      </c>
      <c r="AE37" s="6">
        <f>1+4+3</f>
        <v>8</v>
      </c>
      <c r="AF37" s="6">
        <f>1+2+6</f>
        <v>9</v>
      </c>
      <c r="AG37" s="6">
        <f>5+5</f>
        <v>10</v>
      </c>
      <c r="AH37" s="6">
        <f>1+4</f>
        <v>5</v>
      </c>
      <c r="AI37" s="6">
        <f>2+3+5+2</f>
        <v>12</v>
      </c>
      <c r="AJ37" s="6">
        <f>3+8+6</f>
        <v>17</v>
      </c>
      <c r="AK37" s="6">
        <f>1+14+8</f>
        <v>23</v>
      </c>
      <c r="AL37" s="7">
        <f t="shared" ref="AL37:AL48" si="28">SUM(AE37:AK37)</f>
        <v>84</v>
      </c>
      <c r="AM37" s="11">
        <f t="shared" si="5"/>
        <v>36</v>
      </c>
      <c r="AN37" s="25"/>
      <c r="AO37" s="10" t="str">
        <f t="shared" si="6"/>
        <v>MarçoSEMANA 4Guaraná Antarctica Zero (lata)</v>
      </c>
      <c r="AP37" s="7">
        <f>SUMIF(NF!$A:$A,$AO37,NF!$I:$I)</f>
        <v>96</v>
      </c>
      <c r="AQ37" s="6">
        <v>7</v>
      </c>
      <c r="AR37" s="6">
        <f>4+2</f>
        <v>6</v>
      </c>
      <c r="AS37" s="6"/>
      <c r="AT37" s="6">
        <f>1+3</f>
        <v>4</v>
      </c>
      <c r="AU37" s="6">
        <f>1+1+2</f>
        <v>4</v>
      </c>
      <c r="AV37" s="6">
        <f>1+12+5</f>
        <v>18</v>
      </c>
      <c r="AW37" s="6">
        <f>2+10+8</f>
        <v>20</v>
      </c>
      <c r="AX37" s="7">
        <f t="shared" ref="AX37:AX48" si="29">SUM(AQ37:AW37)</f>
        <v>59</v>
      </c>
      <c r="AY37" s="11">
        <f t="shared" si="7"/>
        <v>73</v>
      </c>
      <c r="AZ37" s="25"/>
      <c r="BA37" s="10" t="str">
        <f t="shared" si="8"/>
        <v>MarçoSEMANA 5Guaraná Antarctica Zero (lata)</v>
      </c>
      <c r="BB37" s="7">
        <f>SUMIF(NF!$A:$A,$BA37,NF!$I:$I)</f>
        <v>36</v>
      </c>
      <c r="BC37" s="6">
        <f>2+1</f>
        <v>3</v>
      </c>
      <c r="BD37" s="6">
        <f>1+4+6</f>
        <v>11</v>
      </c>
      <c r="BE37" s="6">
        <f>4+8</f>
        <v>12</v>
      </c>
      <c r="BF37" s="6">
        <f>4+4</f>
        <v>8</v>
      </c>
      <c r="BG37" s="6">
        <f>13+2</f>
        <v>15</v>
      </c>
      <c r="BH37" s="6">
        <f>4+3+1</f>
        <v>8</v>
      </c>
      <c r="BI37" s="74"/>
      <c r="BJ37" s="74"/>
      <c r="BK37" s="7">
        <f t="shared" ref="BK37:BK48" si="30">SUM(BC37:BJ37)</f>
        <v>57</v>
      </c>
      <c r="BL37" s="8">
        <f t="shared" si="9"/>
        <v>52</v>
      </c>
      <c r="BM37" s="51" t="str">
        <f>IFERROR(VLOOKUP(A37,NF!$M:$O,3,0),"")</f>
        <v>Bebidas</v>
      </c>
      <c r="BN37" s="7">
        <f t="shared" si="10"/>
        <v>316</v>
      </c>
      <c r="BO37" s="8">
        <f t="array" ref="BO37">IFERROR(LARGE(IF(NF!$G$2:$G$3137='Mês atual'!A37,NF!$J$2:$J$3137),1),0)*BN37</f>
        <v>541.23777777777775</v>
      </c>
      <c r="BP37" s="50"/>
      <c r="BR37" s="146">
        <f t="array" ref="BR37">IFERROR(LARGE(IF(NF!$G$2:$G$3137='Mês atual'!A37,NF!$J$2:$J$3137),1),0)</f>
        <v>1.7127777777777777</v>
      </c>
      <c r="BS37" s="142" t="str">
        <f>VLOOKUP(A37,NF!M:O,3,0)</f>
        <v>Bebidas</v>
      </c>
      <c r="BV37" s="74">
        <f t="shared" si="11"/>
        <v>40</v>
      </c>
      <c r="BW37" s="74">
        <f t="shared" si="12"/>
        <v>76</v>
      </c>
      <c r="BX37" s="74">
        <f t="shared" si="13"/>
        <v>84</v>
      </c>
      <c r="BY37" s="74">
        <f t="shared" si="14"/>
        <v>59</v>
      </c>
      <c r="BZ37" s="74">
        <f t="shared" si="15"/>
        <v>57</v>
      </c>
    </row>
    <row r="38" spans="1:78" x14ac:dyDescent="0.25">
      <c r="A38" s="108" t="s">
        <v>400</v>
      </c>
      <c r="B38" s="12"/>
      <c r="C38" s="9">
        <f>47-12</f>
        <v>35</v>
      </c>
      <c r="D38" s="25"/>
      <c r="E38" s="10" t="str">
        <f t="shared" si="0"/>
        <v>MarçoSEMANA 1H2O Limão</v>
      </c>
      <c r="F38" s="7">
        <f>SUMIF(NF!$A:$A,$E38,NF!$I:$I)</f>
        <v>36</v>
      </c>
      <c r="G38" s="74"/>
      <c r="H38" s="74"/>
      <c r="I38" s="74"/>
      <c r="J38" s="6">
        <f>2+2</f>
        <v>4</v>
      </c>
      <c r="K38" s="6">
        <f>1+2</f>
        <v>3</v>
      </c>
      <c r="L38" s="6">
        <f>2</f>
        <v>2</v>
      </c>
      <c r="M38" s="6"/>
      <c r="N38" s="7">
        <f t="shared" si="26"/>
        <v>9</v>
      </c>
      <c r="O38" s="11">
        <f t="shared" si="1"/>
        <v>62</v>
      </c>
      <c r="P38" s="25"/>
      <c r="Q38" s="10" t="str">
        <f t="shared" si="2"/>
        <v>MarçoSEMANA 2H2O Limão</v>
      </c>
      <c r="R38" s="7">
        <f>SUMIF(NF!$A:$A,$Q38,NF!$I:$I)</f>
        <v>0</v>
      </c>
      <c r="S38" s="6">
        <f>1</f>
        <v>1</v>
      </c>
      <c r="T38" s="6">
        <v>3</v>
      </c>
      <c r="U38" s="6">
        <f>4</f>
        <v>4</v>
      </c>
      <c r="V38" s="6">
        <f>1</f>
        <v>1</v>
      </c>
      <c r="W38" s="6">
        <f>1+2+1</f>
        <v>4</v>
      </c>
      <c r="X38" s="6">
        <f>1+1</f>
        <v>2</v>
      </c>
      <c r="Y38" s="6">
        <f>1+2+1</f>
        <v>4</v>
      </c>
      <c r="Z38" s="7">
        <f t="shared" si="27"/>
        <v>19</v>
      </c>
      <c r="AA38" s="11">
        <f t="shared" si="3"/>
        <v>43</v>
      </c>
      <c r="AB38" s="25"/>
      <c r="AC38" s="10" t="str">
        <f t="shared" si="4"/>
        <v>MarçoSEMANA 3H2O Limão</v>
      </c>
      <c r="AD38" s="7">
        <f>SUMIF(NF!$A:$A,$AC38,NF!$I:$I)</f>
        <v>12</v>
      </c>
      <c r="AE38" s="6">
        <f>3+1</f>
        <v>4</v>
      </c>
      <c r="AF38" s="6">
        <f>1+1</f>
        <v>2</v>
      </c>
      <c r="AG38" s="6">
        <v>1</v>
      </c>
      <c r="AH38" s="6">
        <f>2</f>
        <v>2</v>
      </c>
      <c r="AI38" s="6">
        <f>2+1+2</f>
        <v>5</v>
      </c>
      <c r="AJ38" s="6">
        <f>2+1</f>
        <v>3</v>
      </c>
      <c r="AK38" s="6">
        <f>1+4+1</f>
        <v>6</v>
      </c>
      <c r="AL38" s="7">
        <f t="shared" si="28"/>
        <v>23</v>
      </c>
      <c r="AM38" s="11">
        <f t="shared" si="5"/>
        <v>32</v>
      </c>
      <c r="AN38" s="25"/>
      <c r="AO38" s="10" t="str">
        <f t="shared" si="6"/>
        <v>MarçoSEMANA 4H2O Limão</v>
      </c>
      <c r="AP38" s="7">
        <f>SUMIF(NF!$A:$A,$AO38,NF!$I:$I)</f>
        <v>12</v>
      </c>
      <c r="AQ38" s="6">
        <v>4</v>
      </c>
      <c r="AR38" s="6">
        <v>1</v>
      </c>
      <c r="AS38" s="6">
        <f>1</f>
        <v>1</v>
      </c>
      <c r="AT38" s="6">
        <v>1</v>
      </c>
      <c r="AU38" s="6">
        <f>2</f>
        <v>2</v>
      </c>
      <c r="AV38" s="6">
        <f>2</f>
        <v>2</v>
      </c>
      <c r="AW38" s="6">
        <f>2+1</f>
        <v>3</v>
      </c>
      <c r="AX38" s="7">
        <f t="shared" si="29"/>
        <v>14</v>
      </c>
      <c r="AY38" s="11">
        <f t="shared" si="7"/>
        <v>30</v>
      </c>
      <c r="AZ38" s="25"/>
      <c r="BA38" s="10" t="str">
        <f t="shared" si="8"/>
        <v>MarçoSEMANA 5H2O Limão</v>
      </c>
      <c r="BB38" s="7">
        <f>SUMIF(NF!$A:$A,$BA38,NF!$I:$I)</f>
        <v>24</v>
      </c>
      <c r="BC38" s="6">
        <f>3+2</f>
        <v>5</v>
      </c>
      <c r="BD38" s="6">
        <f>1+1</f>
        <v>2</v>
      </c>
      <c r="BE38" s="6">
        <f>1+1+1</f>
        <v>3</v>
      </c>
      <c r="BF38" s="6">
        <f>3+1</f>
        <v>4</v>
      </c>
      <c r="BG38" s="6"/>
      <c r="BH38" s="6">
        <f>3+2</f>
        <v>5</v>
      </c>
      <c r="BI38" s="74"/>
      <c r="BJ38" s="74"/>
      <c r="BK38" s="7">
        <f t="shared" si="30"/>
        <v>19</v>
      </c>
      <c r="BL38" s="8">
        <f t="shared" si="9"/>
        <v>35</v>
      </c>
      <c r="BM38" s="51" t="str">
        <f>IFERROR(VLOOKUP(A38,NF!$M:$O,3,0),"")</f>
        <v>Bebidas</v>
      </c>
      <c r="BN38" s="7">
        <f t="shared" si="10"/>
        <v>84</v>
      </c>
      <c r="BO38" s="8">
        <f t="array" ref="BO38">IFERROR(LARGE(IF(NF!$G$2:$G$3137='Mês atual'!A38,NF!$J$2:$J$3137),1),0)*BN38</f>
        <v>170.55499999999998</v>
      </c>
      <c r="BP38" s="50"/>
      <c r="BR38" s="146">
        <f t="array" ref="BR38">IFERROR(LARGE(IF(NF!$G$2:$G$3137='Mês atual'!A38,NF!$J$2:$J$3137),1),0)</f>
        <v>2.0304166666666665</v>
      </c>
      <c r="BS38" s="142" t="str">
        <f>VLOOKUP(A38,NF!M:O,3,0)</f>
        <v>Bebidas</v>
      </c>
      <c r="BV38" s="74">
        <f t="shared" si="11"/>
        <v>9</v>
      </c>
      <c r="BW38" s="74">
        <f t="shared" si="12"/>
        <v>19</v>
      </c>
      <c r="BX38" s="74">
        <f t="shared" si="13"/>
        <v>23</v>
      </c>
      <c r="BY38" s="74">
        <f t="shared" si="14"/>
        <v>14</v>
      </c>
      <c r="BZ38" s="74">
        <f t="shared" si="15"/>
        <v>19</v>
      </c>
    </row>
    <row r="39" spans="1:78" x14ac:dyDescent="0.25">
      <c r="A39" s="108" t="s">
        <v>443</v>
      </c>
      <c r="B39" s="12"/>
      <c r="C39" s="9">
        <v>33</v>
      </c>
      <c r="D39" s="25"/>
      <c r="E39" s="10" t="str">
        <f t="shared" si="0"/>
        <v>MarçoSEMANA 1Ice Tea Limão</v>
      </c>
      <c r="F39" s="7">
        <f>SUMIF(NF!$A:$A,$E39,NF!$I:$I)</f>
        <v>24</v>
      </c>
      <c r="G39" s="74"/>
      <c r="H39" s="74"/>
      <c r="I39" s="74"/>
      <c r="J39" s="6">
        <f>2+1</f>
        <v>3</v>
      </c>
      <c r="K39" s="6"/>
      <c r="L39" s="6">
        <f>4+1</f>
        <v>5</v>
      </c>
      <c r="M39" s="6">
        <f>1+1</f>
        <v>2</v>
      </c>
      <c r="N39" s="7">
        <f t="shared" si="26"/>
        <v>10</v>
      </c>
      <c r="O39" s="11">
        <f t="shared" si="1"/>
        <v>47</v>
      </c>
      <c r="P39" s="25"/>
      <c r="Q39" s="10" t="str">
        <f t="shared" si="2"/>
        <v>MarçoSEMANA 2Ice Tea Limão</v>
      </c>
      <c r="R39" s="7">
        <f>SUMIF(NF!$A:$A,$Q39,NF!$I:$I)</f>
        <v>0</v>
      </c>
      <c r="S39" s="6"/>
      <c r="T39" s="6">
        <f>2+2</f>
        <v>4</v>
      </c>
      <c r="U39" s="6">
        <f>1+1</f>
        <v>2</v>
      </c>
      <c r="V39" s="6">
        <f>1</f>
        <v>1</v>
      </c>
      <c r="W39" s="6">
        <f>1+1</f>
        <v>2</v>
      </c>
      <c r="X39" s="6">
        <f>1+2+3</f>
        <v>6</v>
      </c>
      <c r="Y39" s="6">
        <f>1+2</f>
        <v>3</v>
      </c>
      <c r="Z39" s="7">
        <f t="shared" si="27"/>
        <v>18</v>
      </c>
      <c r="AA39" s="11">
        <f t="shared" si="3"/>
        <v>29</v>
      </c>
      <c r="AB39" s="25"/>
      <c r="AC39" s="10" t="str">
        <f t="shared" si="4"/>
        <v>MarçoSEMANA 3Ice Tea Limão</v>
      </c>
      <c r="AD39" s="7">
        <f>SUMIF(NF!$A:$A,$AC39,NF!$I:$I)</f>
        <v>48</v>
      </c>
      <c r="AE39" s="6">
        <f>2+2</f>
        <v>4</v>
      </c>
      <c r="AF39" s="6">
        <f>1</f>
        <v>1</v>
      </c>
      <c r="AG39" s="6">
        <f>1+1</f>
        <v>2</v>
      </c>
      <c r="AH39" s="6">
        <f>1</f>
        <v>1</v>
      </c>
      <c r="AI39" s="6">
        <f>1+2</f>
        <v>3</v>
      </c>
      <c r="AJ39" s="6">
        <f>1</f>
        <v>1</v>
      </c>
      <c r="AK39" s="6">
        <f>1+3</f>
        <v>4</v>
      </c>
      <c r="AL39" s="7">
        <f t="shared" si="28"/>
        <v>16</v>
      </c>
      <c r="AM39" s="11">
        <f t="shared" si="5"/>
        <v>61</v>
      </c>
      <c r="AN39" s="25"/>
      <c r="AO39" s="10" t="str">
        <f t="shared" si="6"/>
        <v>MarçoSEMANA 4Ice Tea Limão</v>
      </c>
      <c r="AP39" s="7">
        <f>SUMIF(NF!$A:$A,$AO39,NF!$I:$I)</f>
        <v>0</v>
      </c>
      <c r="AQ39" s="6"/>
      <c r="AR39" s="6"/>
      <c r="AS39" s="6">
        <f>1+3</f>
        <v>4</v>
      </c>
      <c r="AT39" s="6">
        <f>3</f>
        <v>3</v>
      </c>
      <c r="AU39" s="6"/>
      <c r="AV39" s="6">
        <v>1</v>
      </c>
      <c r="AW39" s="6">
        <f>1+2</f>
        <v>3</v>
      </c>
      <c r="AX39" s="7">
        <f t="shared" si="29"/>
        <v>11</v>
      </c>
      <c r="AY39" s="11">
        <f t="shared" si="7"/>
        <v>50</v>
      </c>
      <c r="AZ39" s="25"/>
      <c r="BA39" s="10" t="str">
        <f t="shared" si="8"/>
        <v>MarçoSEMANA 5Ice Tea Limão</v>
      </c>
      <c r="BB39" s="7">
        <f>SUMIF(NF!$A:$A,$BA39,NF!$I:$I)</f>
        <v>24</v>
      </c>
      <c r="BC39" s="6">
        <f>2+1</f>
        <v>3</v>
      </c>
      <c r="BD39" s="6">
        <v>2</v>
      </c>
      <c r="BE39" s="6"/>
      <c r="BF39" s="6">
        <v>1</v>
      </c>
      <c r="BG39" s="6">
        <f>2+1+1</f>
        <v>4</v>
      </c>
      <c r="BH39" s="6">
        <f>3+1+1</f>
        <v>5</v>
      </c>
      <c r="BI39" s="74"/>
      <c r="BJ39" s="74"/>
      <c r="BK39" s="7">
        <f t="shared" si="30"/>
        <v>15</v>
      </c>
      <c r="BL39" s="8">
        <f t="shared" si="9"/>
        <v>59</v>
      </c>
      <c r="BM39" s="51" t="str">
        <f>IFERROR(VLOOKUP(A39,NF!$M:$O,3,0),"")</f>
        <v>Bebidas</v>
      </c>
      <c r="BN39" s="7">
        <f t="shared" si="10"/>
        <v>70</v>
      </c>
      <c r="BO39" s="8">
        <f t="array" ref="BO39">IFERROR(LARGE(IF(NF!$G$2:$G$3137='Mês atual'!A39,NF!$J$2:$J$3137),1),0)*BN39</f>
        <v>140.37916666666666</v>
      </c>
      <c r="BP39" s="50"/>
      <c r="BR39" s="146">
        <f t="array" ref="BR39">IFERROR(LARGE(IF(NF!$G$2:$G$3137='Mês atual'!A39,NF!$J$2:$J$3137),1),0)</f>
        <v>2.0054166666666666</v>
      </c>
      <c r="BS39" s="142" t="str">
        <f>VLOOKUP(A39,NF!M:O,3,0)</f>
        <v>Bebidas</v>
      </c>
      <c r="BV39" s="74">
        <f t="shared" si="11"/>
        <v>10</v>
      </c>
      <c r="BW39" s="74">
        <f t="shared" si="12"/>
        <v>18</v>
      </c>
      <c r="BX39" s="74">
        <f t="shared" si="13"/>
        <v>16</v>
      </c>
      <c r="BY39" s="74">
        <f t="shared" si="14"/>
        <v>11</v>
      </c>
      <c r="BZ39" s="74">
        <f t="shared" si="15"/>
        <v>15</v>
      </c>
    </row>
    <row r="40" spans="1:78" x14ac:dyDescent="0.25">
      <c r="A40" s="108" t="s">
        <v>444</v>
      </c>
      <c r="B40" s="12"/>
      <c r="C40" s="9">
        <v>0</v>
      </c>
      <c r="D40" s="25"/>
      <c r="E40" s="10" t="str">
        <f t="shared" si="0"/>
        <v>MarçoSEMANA 1Ice Tea Limão Ligth</v>
      </c>
      <c r="F40" s="7">
        <f>SUMIF(NF!$A:$A,$E40,NF!$I:$I)</f>
        <v>0</v>
      </c>
      <c r="G40" s="74"/>
      <c r="H40" s="74"/>
      <c r="I40" s="74"/>
      <c r="J40" s="6"/>
      <c r="K40" s="6"/>
      <c r="L40" s="6"/>
      <c r="M40" s="6"/>
      <c r="N40" s="7">
        <f t="shared" si="26"/>
        <v>0</v>
      </c>
      <c r="O40" s="11">
        <f t="shared" si="1"/>
        <v>0</v>
      </c>
      <c r="P40" s="25"/>
      <c r="Q40" s="10" t="str">
        <f t="shared" si="2"/>
        <v>MarçoSEMANA 2Ice Tea Limão Ligth</v>
      </c>
      <c r="R40" s="7">
        <f>SUMIF(NF!$A:$A,$Q40,NF!$I:$I)</f>
        <v>0</v>
      </c>
      <c r="S40" s="6"/>
      <c r="T40" s="6"/>
      <c r="U40" s="6"/>
      <c r="V40" s="6"/>
      <c r="W40" s="6"/>
      <c r="X40" s="6"/>
      <c r="Y40" s="6"/>
      <c r="Z40" s="7">
        <f t="shared" si="27"/>
        <v>0</v>
      </c>
      <c r="AA40" s="11">
        <f t="shared" si="3"/>
        <v>0</v>
      </c>
      <c r="AB40" s="25"/>
      <c r="AC40" s="10" t="str">
        <f t="shared" si="4"/>
        <v>MarçoSEMANA 3Ice Tea Limão Ligth</v>
      </c>
      <c r="AD40" s="7">
        <f>SUMIF(NF!$A:$A,$AC40,NF!$I:$I)</f>
        <v>0</v>
      </c>
      <c r="AE40" s="6"/>
      <c r="AF40" s="6"/>
      <c r="AG40" s="6"/>
      <c r="AH40" s="6"/>
      <c r="AI40" s="6"/>
      <c r="AJ40" s="6"/>
      <c r="AK40" s="6"/>
      <c r="AL40" s="7">
        <f t="shared" si="28"/>
        <v>0</v>
      </c>
      <c r="AM40" s="11">
        <f t="shared" si="5"/>
        <v>0</v>
      </c>
      <c r="AN40" s="25"/>
      <c r="AO40" s="10" t="str">
        <f t="shared" si="6"/>
        <v>MarçoSEMANA 4Ice Tea Limão Ligth</v>
      </c>
      <c r="AP40" s="7">
        <f>SUMIF(NF!$A:$A,$AO40,NF!$I:$I)</f>
        <v>0</v>
      </c>
      <c r="AQ40" s="6"/>
      <c r="AR40" s="6"/>
      <c r="AS40" s="6"/>
      <c r="AT40" s="6"/>
      <c r="AU40" s="6"/>
      <c r="AV40" s="6"/>
      <c r="AW40" s="6"/>
      <c r="AX40" s="7">
        <f t="shared" si="29"/>
        <v>0</v>
      </c>
      <c r="AY40" s="11">
        <f t="shared" si="7"/>
        <v>0</v>
      </c>
      <c r="AZ40" s="25"/>
      <c r="BA40" s="10" t="str">
        <f t="shared" si="8"/>
        <v>MarçoSEMANA 5Ice Tea Limão Ligth</v>
      </c>
      <c r="BB40" s="7">
        <f>SUMIF(NF!$A:$A,$BA40,NF!$I:$I)</f>
        <v>0</v>
      </c>
      <c r="BC40" s="6"/>
      <c r="BD40" s="6"/>
      <c r="BE40" s="6"/>
      <c r="BF40" s="6"/>
      <c r="BG40" s="6"/>
      <c r="BH40" s="6"/>
      <c r="BI40" s="74"/>
      <c r="BJ40" s="74"/>
      <c r="BK40" s="7">
        <f t="shared" si="30"/>
        <v>0</v>
      </c>
      <c r="BL40" s="8">
        <f t="shared" si="9"/>
        <v>0</v>
      </c>
      <c r="BM40" s="51" t="str">
        <f>IFERROR(VLOOKUP(A40,NF!$M:$O,3,0),"")</f>
        <v>Bebidas</v>
      </c>
      <c r="BN40" s="7">
        <f t="shared" si="10"/>
        <v>0</v>
      </c>
      <c r="BO40" s="8">
        <f t="array" ref="BO40">IFERROR(LARGE(IF(NF!$G$2:$G$3137='Mês atual'!A40,NF!$J$2:$J$3137),1),0)*BN40</f>
        <v>0</v>
      </c>
      <c r="BP40" s="50"/>
      <c r="BR40" s="146">
        <f t="array" ref="BR40">IFERROR(LARGE(IF(NF!$G$2:$G$3137='Mês atual'!A40,NF!$J$2:$J$3137),1),0)</f>
        <v>0</v>
      </c>
      <c r="BS40" s="142" t="str">
        <f>VLOOKUP(A40,NF!M:O,3,0)</f>
        <v>Bebidas</v>
      </c>
      <c r="BV40" s="74">
        <f t="shared" si="11"/>
        <v>0</v>
      </c>
      <c r="BW40" s="74">
        <f t="shared" si="12"/>
        <v>0</v>
      </c>
      <c r="BX40" s="74">
        <f t="shared" si="13"/>
        <v>0</v>
      </c>
      <c r="BY40" s="74">
        <f t="shared" si="14"/>
        <v>0</v>
      </c>
      <c r="BZ40" s="74">
        <f t="shared" si="15"/>
        <v>0</v>
      </c>
    </row>
    <row r="41" spans="1:78" x14ac:dyDescent="0.25">
      <c r="A41" s="108" t="s">
        <v>445</v>
      </c>
      <c r="B41" s="12"/>
      <c r="C41" s="9">
        <v>42</v>
      </c>
      <c r="D41" s="25"/>
      <c r="E41" s="10" t="str">
        <f t="shared" si="0"/>
        <v>MarçoSEMANA 1Ice Tea Pêssego</v>
      </c>
      <c r="F41" s="7">
        <f>SUMIF(NF!$A:$A,$E41,NF!$I:$I)</f>
        <v>12</v>
      </c>
      <c r="G41" s="74"/>
      <c r="H41" s="74"/>
      <c r="I41" s="74"/>
      <c r="J41" s="6">
        <f>1+8+1</f>
        <v>10</v>
      </c>
      <c r="K41" s="6">
        <v>4</v>
      </c>
      <c r="L41" s="6">
        <v>4</v>
      </c>
      <c r="M41" s="6">
        <f>1+4+3</f>
        <v>8</v>
      </c>
      <c r="N41" s="7">
        <f t="shared" si="26"/>
        <v>26</v>
      </c>
      <c r="O41" s="11">
        <f t="shared" si="1"/>
        <v>28</v>
      </c>
      <c r="P41" s="25"/>
      <c r="Q41" s="10" t="str">
        <f t="shared" si="2"/>
        <v>MarçoSEMANA 2Ice Tea Pêssego</v>
      </c>
      <c r="R41" s="7">
        <f>SUMIF(NF!$A:$A,$Q41,NF!$I:$I)</f>
        <v>0</v>
      </c>
      <c r="S41" s="6">
        <f>2</f>
        <v>2</v>
      </c>
      <c r="T41" s="6">
        <f>1+1</f>
        <v>2</v>
      </c>
      <c r="U41" s="6">
        <f>1+1</f>
        <v>2</v>
      </c>
      <c r="V41" s="6">
        <f>2+1</f>
        <v>3</v>
      </c>
      <c r="W41" s="6">
        <f>4+1+1-2</f>
        <v>4</v>
      </c>
      <c r="X41" s="6">
        <f>3+3</f>
        <v>6</v>
      </c>
      <c r="Y41" s="6">
        <f>2+4+2</f>
        <v>8</v>
      </c>
      <c r="Z41" s="7">
        <f t="shared" si="27"/>
        <v>27</v>
      </c>
      <c r="AA41" s="11">
        <f t="shared" si="3"/>
        <v>1</v>
      </c>
      <c r="AB41" s="25"/>
      <c r="AC41" s="10" t="str">
        <f t="shared" si="4"/>
        <v>MarçoSEMANA 3Ice Tea Pêssego</v>
      </c>
      <c r="AD41" s="7">
        <f>SUMIF(NF!$A:$A,$AC41,NF!$I:$I)</f>
        <v>48</v>
      </c>
      <c r="AE41" s="6">
        <f>1+1</f>
        <v>2</v>
      </c>
      <c r="AF41" s="6">
        <f>(1)+2</f>
        <v>3</v>
      </c>
      <c r="AG41" s="6">
        <v>2</v>
      </c>
      <c r="AH41" s="6">
        <f>2+2+1+2</f>
        <v>7</v>
      </c>
      <c r="AI41" s="6">
        <f>3+1+1-6</f>
        <v>-1</v>
      </c>
      <c r="AJ41" s="6">
        <f>1</f>
        <v>1</v>
      </c>
      <c r="AK41" s="6">
        <f>3+3</f>
        <v>6</v>
      </c>
      <c r="AL41" s="7">
        <f t="shared" si="28"/>
        <v>20</v>
      </c>
      <c r="AM41" s="11">
        <f t="shared" si="5"/>
        <v>29</v>
      </c>
      <c r="AN41" s="25"/>
      <c r="AO41" s="10" t="str">
        <f t="shared" si="6"/>
        <v>MarçoSEMANA 4Ice Tea Pêssego</v>
      </c>
      <c r="AP41" s="7">
        <f>SUMIF(NF!$A:$A,$AO41,NF!$I:$I)</f>
        <v>60</v>
      </c>
      <c r="AQ41" s="6">
        <v>3</v>
      </c>
      <c r="AR41" s="6">
        <f>1+2+4</f>
        <v>7</v>
      </c>
      <c r="AS41" s="6">
        <f>2+2+3</f>
        <v>7</v>
      </c>
      <c r="AT41" s="6">
        <f>1+1</f>
        <v>2</v>
      </c>
      <c r="AU41" s="6">
        <f>2+1</f>
        <v>3</v>
      </c>
      <c r="AV41" s="6">
        <f>2+2</f>
        <v>4</v>
      </c>
      <c r="AW41" s="6">
        <f>1+1+3+2</f>
        <v>7</v>
      </c>
      <c r="AX41" s="7">
        <f t="shared" si="29"/>
        <v>33</v>
      </c>
      <c r="AY41" s="11">
        <f t="shared" si="7"/>
        <v>56</v>
      </c>
      <c r="AZ41" s="25"/>
      <c r="BA41" s="10" t="str">
        <f t="shared" si="8"/>
        <v>MarçoSEMANA 5Ice Tea Pêssego</v>
      </c>
      <c r="BB41" s="7">
        <f>SUMIF(NF!$A:$A,$BA41,NF!$I:$I)</f>
        <v>0</v>
      </c>
      <c r="BC41" s="6">
        <f>1+3+1</f>
        <v>5</v>
      </c>
      <c r="BD41" s="6">
        <f>2+1</f>
        <v>3</v>
      </c>
      <c r="BE41" s="6">
        <f>1+2+1</f>
        <v>4</v>
      </c>
      <c r="BF41" s="6">
        <f>1+2</f>
        <v>3</v>
      </c>
      <c r="BG41" s="6">
        <f>1+2</f>
        <v>3</v>
      </c>
      <c r="BH41" s="6">
        <f>4-1</f>
        <v>3</v>
      </c>
      <c r="BI41" s="74"/>
      <c r="BJ41" s="74"/>
      <c r="BK41" s="7">
        <f t="shared" si="30"/>
        <v>21</v>
      </c>
      <c r="BL41" s="8">
        <f t="shared" si="9"/>
        <v>35</v>
      </c>
      <c r="BM41" s="51" t="str">
        <f>IFERROR(VLOOKUP(A41,NF!$M:$O,3,0),"")</f>
        <v>Bebidas</v>
      </c>
      <c r="BN41" s="7">
        <f t="shared" si="10"/>
        <v>127</v>
      </c>
      <c r="BO41" s="8">
        <f t="array" ref="BO41">IFERROR(LARGE(IF(NF!$G$2:$G$3137='Mês atual'!A41,NF!$J$2:$J$3137),1),0)*BN41</f>
        <v>254.65616666666668</v>
      </c>
      <c r="BP41" s="50"/>
      <c r="BR41" s="146">
        <f t="array" ref="BR41">IFERROR(LARGE(IF(NF!$G$2:$G$3137='Mês atual'!A41,NF!$J$2:$J$3137),1),0)</f>
        <v>2.0051666666666668</v>
      </c>
      <c r="BS41" s="142" t="str">
        <f>VLOOKUP(A41,NF!M:O,3,0)</f>
        <v>Bebidas</v>
      </c>
      <c r="BV41" s="74">
        <f t="shared" si="11"/>
        <v>26</v>
      </c>
      <c r="BW41" s="74">
        <f t="shared" si="12"/>
        <v>27</v>
      </c>
      <c r="BX41" s="74">
        <f t="shared" si="13"/>
        <v>20</v>
      </c>
      <c r="BY41" s="74">
        <f t="shared" si="14"/>
        <v>33</v>
      </c>
      <c r="BZ41" s="74">
        <f t="shared" si="15"/>
        <v>21</v>
      </c>
    </row>
    <row r="42" spans="1:78" x14ac:dyDescent="0.25">
      <c r="A42" s="108" t="s">
        <v>446</v>
      </c>
      <c r="B42" s="12"/>
      <c r="C42" s="9">
        <v>35</v>
      </c>
      <c r="D42" s="25"/>
      <c r="E42" s="10" t="str">
        <f t="shared" si="0"/>
        <v>MarçoSEMANA 1Ice Tea Pêssego Light</v>
      </c>
      <c r="F42" s="7">
        <f>SUMIF(NF!$A:$A,$E42,NF!$I:$I)</f>
        <v>12</v>
      </c>
      <c r="G42" s="74"/>
      <c r="H42" s="74"/>
      <c r="I42" s="74"/>
      <c r="J42" s="6">
        <f>2+2</f>
        <v>4</v>
      </c>
      <c r="K42" s="6">
        <f>1</f>
        <v>1</v>
      </c>
      <c r="L42" s="6">
        <f>3</f>
        <v>3</v>
      </c>
      <c r="M42" s="6">
        <f>1+3</f>
        <v>4</v>
      </c>
      <c r="N42" s="7">
        <f t="shared" si="26"/>
        <v>12</v>
      </c>
      <c r="O42" s="11">
        <f t="shared" si="1"/>
        <v>35</v>
      </c>
      <c r="P42" s="25"/>
      <c r="Q42" s="10" t="str">
        <f t="shared" si="2"/>
        <v>MarçoSEMANA 2Ice Tea Pêssego Light</v>
      </c>
      <c r="R42" s="7">
        <f>SUMIF(NF!$A:$A,$Q42,NF!$I:$I)</f>
        <v>0</v>
      </c>
      <c r="S42" s="6">
        <f>2+1</f>
        <v>3</v>
      </c>
      <c r="T42" s="6">
        <v>2</v>
      </c>
      <c r="U42" s="6">
        <f>1+1</f>
        <v>2</v>
      </c>
      <c r="V42" s="6"/>
      <c r="W42" s="6">
        <f>1+1+6</f>
        <v>8</v>
      </c>
      <c r="X42" s="6">
        <f>3</f>
        <v>3</v>
      </c>
      <c r="Y42" s="6">
        <f>4+1</f>
        <v>5</v>
      </c>
      <c r="Z42" s="7">
        <f t="shared" si="27"/>
        <v>23</v>
      </c>
      <c r="AA42" s="11">
        <f t="shared" si="3"/>
        <v>12</v>
      </c>
      <c r="AB42" s="25"/>
      <c r="AC42" s="10" t="str">
        <f t="shared" si="4"/>
        <v>MarçoSEMANA 3Ice Tea Pêssego Light</v>
      </c>
      <c r="AD42" s="7">
        <f>SUMIF(NF!$A:$A,$AC42,NF!$I:$I)</f>
        <v>0</v>
      </c>
      <c r="AE42" s="6">
        <f>1+1</f>
        <v>2</v>
      </c>
      <c r="AF42" s="6">
        <f>1+2</f>
        <v>3</v>
      </c>
      <c r="AG42" s="6">
        <f>1+2+1</f>
        <v>4</v>
      </c>
      <c r="AH42" s="6">
        <v>3</v>
      </c>
      <c r="AI42" s="6"/>
      <c r="AJ42" s="6"/>
      <c r="AK42" s="6"/>
      <c r="AL42" s="7">
        <f t="shared" si="28"/>
        <v>12</v>
      </c>
      <c r="AM42" s="11">
        <f t="shared" si="5"/>
        <v>0</v>
      </c>
      <c r="AN42" s="25"/>
      <c r="AO42" s="10" t="str">
        <f t="shared" si="6"/>
        <v>MarçoSEMANA 4Ice Tea Pêssego Light</v>
      </c>
      <c r="AP42" s="7">
        <f>SUMIF(NF!$A:$A,$AO42,NF!$I:$I)</f>
        <v>0</v>
      </c>
      <c r="AQ42" s="6"/>
      <c r="AR42" s="6"/>
      <c r="AS42" s="6"/>
      <c r="AT42" s="6"/>
      <c r="AU42" s="6"/>
      <c r="AV42" s="6"/>
      <c r="AW42" s="6"/>
      <c r="AX42" s="7">
        <f t="shared" si="29"/>
        <v>0</v>
      </c>
      <c r="AY42" s="11">
        <f t="shared" si="7"/>
        <v>0</v>
      </c>
      <c r="AZ42" s="25"/>
      <c r="BA42" s="10" t="str">
        <f t="shared" si="8"/>
        <v>MarçoSEMANA 5Ice Tea Pêssego Light</v>
      </c>
      <c r="BB42" s="7">
        <f>SUMIF(NF!$A:$A,$BA42,NF!$I:$I)</f>
        <v>0</v>
      </c>
      <c r="BC42" s="6"/>
      <c r="BD42" s="6"/>
      <c r="BE42" s="6"/>
      <c r="BF42" s="6"/>
      <c r="BG42" s="6"/>
      <c r="BH42" s="6"/>
      <c r="BI42" s="74"/>
      <c r="BJ42" s="74"/>
      <c r="BK42" s="7">
        <f t="shared" si="30"/>
        <v>0</v>
      </c>
      <c r="BL42" s="8">
        <f t="shared" si="9"/>
        <v>0</v>
      </c>
      <c r="BM42" s="51" t="str">
        <f>IFERROR(VLOOKUP(A42,NF!$M:$O,3,0),"")</f>
        <v>Bebidas</v>
      </c>
      <c r="BN42" s="7">
        <f t="shared" si="10"/>
        <v>47</v>
      </c>
      <c r="BO42" s="8">
        <f t="array" ref="BO42">IFERROR(LARGE(IF(NF!$G$2:$G$3137='Mês atual'!A42,NF!$J$2:$J$3137),1),0)*BN42</f>
        <v>94.19583333333334</v>
      </c>
      <c r="BP42" s="50"/>
      <c r="BR42" s="146">
        <f t="array" ref="BR42">IFERROR(LARGE(IF(NF!$G$2:$G$3137='Mês atual'!A42,NF!$J$2:$J$3137),1),0)</f>
        <v>2.0041666666666669</v>
      </c>
      <c r="BS42" s="142" t="str">
        <f>VLOOKUP(A42,NF!M:O,3,0)</f>
        <v>Bebidas</v>
      </c>
      <c r="BV42" s="74">
        <f t="shared" si="11"/>
        <v>12</v>
      </c>
      <c r="BW42" s="74">
        <f t="shared" si="12"/>
        <v>23</v>
      </c>
      <c r="BX42" s="74">
        <f t="shared" si="13"/>
        <v>12</v>
      </c>
      <c r="BY42" s="74">
        <f t="shared" si="14"/>
        <v>0</v>
      </c>
      <c r="BZ42" s="74">
        <f t="shared" si="15"/>
        <v>0</v>
      </c>
    </row>
    <row r="43" spans="1:78" x14ac:dyDescent="0.25">
      <c r="A43" s="108" t="s">
        <v>510</v>
      </c>
      <c r="B43" s="12"/>
      <c r="C43" s="9">
        <v>42</v>
      </c>
      <c r="D43" s="25"/>
      <c r="E43" s="10" t="str">
        <f t="shared" si="0"/>
        <v>MarçoSEMANA 1Mate Orgânico Limão</v>
      </c>
      <c r="F43" s="7">
        <f>SUMIF(NF!$A:$A,$E43,NF!$I:$I)</f>
        <v>0</v>
      </c>
      <c r="G43" s="74"/>
      <c r="H43" s="74"/>
      <c r="I43" s="74"/>
      <c r="J43" s="6">
        <f>6+6</f>
        <v>12</v>
      </c>
      <c r="K43" s="6">
        <f>2+5</f>
        <v>7</v>
      </c>
      <c r="L43" s="6">
        <f>1+2+5</f>
        <v>8</v>
      </c>
      <c r="M43" s="6">
        <f>1+6+6</f>
        <v>13</v>
      </c>
      <c r="N43" s="7">
        <f t="shared" si="26"/>
        <v>40</v>
      </c>
      <c r="O43" s="11">
        <f t="shared" si="1"/>
        <v>2</v>
      </c>
      <c r="P43" s="25"/>
      <c r="Q43" s="10" t="str">
        <f t="shared" si="2"/>
        <v>MarçoSEMANA 2Mate Orgânico Limão</v>
      </c>
      <c r="R43" s="7">
        <f>SUMIF(NF!$A:$A,$Q43,NF!$I:$I)</f>
        <v>276</v>
      </c>
      <c r="S43" s="6">
        <f>1</f>
        <v>1</v>
      </c>
      <c r="T43" s="6">
        <v>1</v>
      </c>
      <c r="U43" s="6">
        <f>2+2+1</f>
        <v>5</v>
      </c>
      <c r="V43" s="6">
        <f>1+4+4</f>
        <v>9</v>
      </c>
      <c r="W43" s="6">
        <f>1+4+1</f>
        <v>6</v>
      </c>
      <c r="X43" s="6">
        <f>4+3</f>
        <v>7</v>
      </c>
      <c r="Y43" s="6">
        <f>7+5</f>
        <v>12</v>
      </c>
      <c r="Z43" s="7">
        <f t="shared" si="27"/>
        <v>41</v>
      </c>
      <c r="AA43" s="11">
        <f t="shared" si="3"/>
        <v>237</v>
      </c>
      <c r="AB43" s="25"/>
      <c r="AC43" s="10" t="str">
        <f t="shared" si="4"/>
        <v>MarçoSEMANA 3Mate Orgânico Limão</v>
      </c>
      <c r="AD43" s="7">
        <f>SUMIF(NF!$A:$A,$AC43,NF!$I:$I)</f>
        <v>0</v>
      </c>
      <c r="AE43" s="6">
        <f>5+3</f>
        <v>8</v>
      </c>
      <c r="AF43" s="6">
        <v>2</v>
      </c>
      <c r="AG43" s="6">
        <f>2+4</f>
        <v>6</v>
      </c>
      <c r="AH43" s="6">
        <f>1+3</f>
        <v>4</v>
      </c>
      <c r="AI43" s="6">
        <f>3+2+1</f>
        <v>6</v>
      </c>
      <c r="AJ43" s="6">
        <f>1+4+2</f>
        <v>7</v>
      </c>
      <c r="AK43" s="6">
        <f>10+3</f>
        <v>13</v>
      </c>
      <c r="AL43" s="7">
        <f t="shared" si="28"/>
        <v>46</v>
      </c>
      <c r="AM43" s="11">
        <f t="shared" si="5"/>
        <v>191</v>
      </c>
      <c r="AN43" s="25"/>
      <c r="AO43" s="10" t="str">
        <f t="shared" si="6"/>
        <v>MarçoSEMANA 4Mate Orgânico Limão</v>
      </c>
      <c r="AP43" s="7">
        <f>SUMIF(NF!$A:$A,$AO43,NF!$I:$I)</f>
        <v>0</v>
      </c>
      <c r="AQ43" s="6">
        <v>5</v>
      </c>
      <c r="AR43" s="6">
        <f>4+2</f>
        <v>6</v>
      </c>
      <c r="AS43" s="6">
        <f>1+3</f>
        <v>4</v>
      </c>
      <c r="AT43" s="6">
        <f>1+2</f>
        <v>3</v>
      </c>
      <c r="AU43" s="6">
        <f>2</f>
        <v>2</v>
      </c>
      <c r="AV43" s="6">
        <f>9+1</f>
        <v>10</v>
      </c>
      <c r="AW43" s="6">
        <f>4+3+6</f>
        <v>13</v>
      </c>
      <c r="AX43" s="7">
        <f t="shared" si="29"/>
        <v>43</v>
      </c>
      <c r="AY43" s="11">
        <f t="shared" si="7"/>
        <v>148</v>
      </c>
      <c r="AZ43" s="25"/>
      <c r="BA43" s="10" t="str">
        <f t="shared" si="8"/>
        <v>MarçoSEMANA 5Mate Orgânico Limão</v>
      </c>
      <c r="BB43" s="7">
        <f>SUMIF(NF!$A:$A,$BA43,NF!$I:$I)</f>
        <v>0</v>
      </c>
      <c r="BC43" s="6">
        <v>3</v>
      </c>
      <c r="BD43" s="6">
        <f>2+3</f>
        <v>5</v>
      </c>
      <c r="BE43" s="6">
        <f>1+2+1</f>
        <v>4</v>
      </c>
      <c r="BF43" s="6">
        <f>2+1+4</f>
        <v>7</v>
      </c>
      <c r="BG43" s="6">
        <f>4+2</f>
        <v>6</v>
      </c>
      <c r="BH43" s="6">
        <f>1+4+1+6</f>
        <v>12</v>
      </c>
      <c r="BI43" s="74"/>
      <c r="BJ43" s="74"/>
      <c r="BK43" s="7">
        <f t="shared" si="30"/>
        <v>37</v>
      </c>
      <c r="BL43" s="8">
        <f t="shared" si="9"/>
        <v>111</v>
      </c>
      <c r="BM43" s="51" t="str">
        <f>IFERROR(VLOOKUP(A43,NF!$M:$O,3,0),"")</f>
        <v>Bebidas</v>
      </c>
      <c r="BN43" s="7">
        <f t="shared" si="10"/>
        <v>207</v>
      </c>
      <c r="BO43" s="8">
        <f t="array" ref="BO43">IFERROR(LARGE(IF(NF!$G$2:$G$3137='Mês atual'!A43,NF!$J$2:$J$3137),1),0)*BN43</f>
        <v>1068.1344900000001</v>
      </c>
      <c r="BP43" s="50"/>
      <c r="BR43" s="146">
        <f t="array" ref="BR43">IFERROR(LARGE(IF(NF!$G$2:$G$3137='Mês atual'!A43,NF!$J$2:$J$3137),1),0)</f>
        <v>5.1600700000000002</v>
      </c>
      <c r="BS43" s="142" t="str">
        <f>VLOOKUP(A43,NF!M:O,3,0)</f>
        <v>Bebidas</v>
      </c>
      <c r="BV43" s="74">
        <f t="shared" si="11"/>
        <v>40</v>
      </c>
      <c r="BW43" s="74">
        <f t="shared" si="12"/>
        <v>41</v>
      </c>
      <c r="BX43" s="74">
        <f t="shared" si="13"/>
        <v>46</v>
      </c>
      <c r="BY43" s="74">
        <f t="shared" si="14"/>
        <v>43</v>
      </c>
      <c r="BZ43" s="74">
        <f t="shared" si="15"/>
        <v>37</v>
      </c>
    </row>
    <row r="44" spans="1:78" x14ac:dyDescent="0.25">
      <c r="A44" s="108" t="s">
        <v>511</v>
      </c>
      <c r="B44" s="12"/>
      <c r="C44" s="9">
        <v>76</v>
      </c>
      <c r="D44" s="25"/>
      <c r="E44" s="10" t="str">
        <f t="shared" si="0"/>
        <v>MarçoSEMANA 1Mate Orgânico Natural</v>
      </c>
      <c r="F44" s="7">
        <f>SUMIF(NF!$A:$A,$E44,NF!$I:$I)</f>
        <v>0</v>
      </c>
      <c r="G44" s="74"/>
      <c r="H44" s="74"/>
      <c r="I44" s="74"/>
      <c r="J44" s="6">
        <f>4+2</f>
        <v>6</v>
      </c>
      <c r="K44" s="6">
        <v>1</v>
      </c>
      <c r="L44" s="6">
        <f>3+3+1</f>
        <v>7</v>
      </c>
      <c r="M44" s="6">
        <f>1+3+2</f>
        <v>6</v>
      </c>
      <c r="N44" s="7">
        <f t="shared" si="26"/>
        <v>20</v>
      </c>
      <c r="O44" s="11">
        <f t="shared" si="1"/>
        <v>56</v>
      </c>
      <c r="P44" s="25"/>
      <c r="Q44" s="10" t="str">
        <f t="shared" si="2"/>
        <v>MarçoSEMANA 2Mate Orgânico Natural</v>
      </c>
      <c r="R44" s="7">
        <f>SUMIF(NF!$A:$A,$Q44,NF!$I:$I)</f>
        <v>240</v>
      </c>
      <c r="S44" s="6">
        <f>2+4</f>
        <v>6</v>
      </c>
      <c r="T44" s="6">
        <f>2+4</f>
        <v>6</v>
      </c>
      <c r="U44" s="6">
        <f>1+1</f>
        <v>2</v>
      </c>
      <c r="V44" s="6">
        <f>2</f>
        <v>2</v>
      </c>
      <c r="W44" s="6">
        <f>3+3</f>
        <v>6</v>
      </c>
      <c r="X44" s="6">
        <f>4+7</f>
        <v>11</v>
      </c>
      <c r="Y44" s="6">
        <f>2+6+8</f>
        <v>16</v>
      </c>
      <c r="Z44" s="7">
        <f t="shared" si="27"/>
        <v>49</v>
      </c>
      <c r="AA44" s="11">
        <f t="shared" si="3"/>
        <v>247</v>
      </c>
      <c r="AB44" s="25"/>
      <c r="AC44" s="10" t="str">
        <f t="shared" si="4"/>
        <v>MarçoSEMANA 3Mate Orgânico Natural</v>
      </c>
      <c r="AD44" s="7">
        <f>SUMIF(NF!$A:$A,$AC44,NF!$I:$I)</f>
        <v>0</v>
      </c>
      <c r="AE44" s="6">
        <f>2+2</f>
        <v>4</v>
      </c>
      <c r="AF44" s="6">
        <f>2+1+1</f>
        <v>4</v>
      </c>
      <c r="AG44" s="6">
        <f>2</f>
        <v>2</v>
      </c>
      <c r="AH44" s="6">
        <f>1</f>
        <v>1</v>
      </c>
      <c r="AI44" s="6">
        <f>1</f>
        <v>1</v>
      </c>
      <c r="AJ44" s="6">
        <f>3+4+2</f>
        <v>9</v>
      </c>
      <c r="AK44" s="6">
        <f>8+5</f>
        <v>13</v>
      </c>
      <c r="AL44" s="7">
        <f t="shared" si="28"/>
        <v>34</v>
      </c>
      <c r="AM44" s="11">
        <f t="shared" si="5"/>
        <v>213</v>
      </c>
      <c r="AN44" s="25"/>
      <c r="AO44" s="10" t="str">
        <f t="shared" si="6"/>
        <v>MarçoSEMANA 4Mate Orgânico Natural</v>
      </c>
      <c r="AP44" s="7">
        <f>SUMIF(NF!$A:$A,$AO44,NF!$I:$I)</f>
        <v>0</v>
      </c>
      <c r="AQ44" s="6">
        <v>1</v>
      </c>
      <c r="AR44" s="6">
        <f>1</f>
        <v>1</v>
      </c>
      <c r="AS44" s="6">
        <f>1+1</f>
        <v>2</v>
      </c>
      <c r="AT44" s="6">
        <v>1</v>
      </c>
      <c r="AU44" s="6">
        <f>1+2</f>
        <v>3</v>
      </c>
      <c r="AV44" s="6">
        <f>2+1</f>
        <v>3</v>
      </c>
      <c r="AW44" s="6">
        <f>1+1+1</f>
        <v>3</v>
      </c>
      <c r="AX44" s="7">
        <f t="shared" si="29"/>
        <v>14</v>
      </c>
      <c r="AY44" s="11">
        <f t="shared" si="7"/>
        <v>199</v>
      </c>
      <c r="AZ44" s="25"/>
      <c r="BA44" s="10" t="str">
        <f t="shared" si="8"/>
        <v>MarçoSEMANA 5Mate Orgânico Natural</v>
      </c>
      <c r="BB44" s="7">
        <f>SUMIF(NF!$A:$A,$BA44,NF!$I:$I)</f>
        <v>0</v>
      </c>
      <c r="BC44" s="6">
        <f>1+2</f>
        <v>3</v>
      </c>
      <c r="BD44" s="6">
        <f>1</f>
        <v>1</v>
      </c>
      <c r="BE44" s="6">
        <f>1</f>
        <v>1</v>
      </c>
      <c r="BF44" s="6">
        <f>2+1+2</f>
        <v>5</v>
      </c>
      <c r="BG44" s="6">
        <f>3+5</f>
        <v>8</v>
      </c>
      <c r="BH44" s="6">
        <f>2+2-3</f>
        <v>1</v>
      </c>
      <c r="BI44" s="74"/>
      <c r="BJ44" s="74"/>
      <c r="BK44" s="7">
        <f t="shared" si="30"/>
        <v>19</v>
      </c>
      <c r="BL44" s="8">
        <f t="shared" si="9"/>
        <v>180</v>
      </c>
      <c r="BM44" s="51" t="str">
        <f>IFERROR(VLOOKUP(A44,NF!$M:$O,3,0),"")</f>
        <v>Bebidas</v>
      </c>
      <c r="BN44" s="7">
        <f t="shared" si="10"/>
        <v>136</v>
      </c>
      <c r="BO44" s="8">
        <f t="array" ref="BO44">IFERROR(LARGE(IF(NF!$G$2:$G$3137='Mês atual'!A44,NF!$J$2:$J$3137),1),0)*BN44</f>
        <v>701.76952000000006</v>
      </c>
      <c r="BP44" s="50"/>
      <c r="BR44" s="146">
        <f t="array" ref="BR44">IFERROR(LARGE(IF(NF!$G$2:$G$3137='Mês atual'!A44,NF!$J$2:$J$3137),1),0)</f>
        <v>5.1600700000000002</v>
      </c>
      <c r="BS44" s="142" t="str">
        <f>VLOOKUP(A44,NF!M:O,3,0)</f>
        <v>Bebidas</v>
      </c>
      <c r="BV44" s="74">
        <f t="shared" si="11"/>
        <v>20</v>
      </c>
      <c r="BW44" s="74">
        <f t="shared" si="12"/>
        <v>49</v>
      </c>
      <c r="BX44" s="74">
        <f t="shared" si="13"/>
        <v>34</v>
      </c>
      <c r="BY44" s="74">
        <f t="shared" si="14"/>
        <v>14</v>
      </c>
      <c r="BZ44" s="74">
        <f t="shared" si="15"/>
        <v>19</v>
      </c>
    </row>
    <row r="45" spans="1:78" x14ac:dyDescent="0.25">
      <c r="A45" s="108" t="s">
        <v>512</v>
      </c>
      <c r="B45" s="12"/>
      <c r="C45" s="9">
        <v>0</v>
      </c>
      <c r="D45" s="25"/>
      <c r="E45" s="10" t="str">
        <f t="shared" si="0"/>
        <v>MarçoSEMANA 1Matte Leão Limão Pet 1,5 Lt</v>
      </c>
      <c r="F45" s="7">
        <f>SUMIF(NF!$A:$A,$E45,NF!$I:$I)</f>
        <v>0</v>
      </c>
      <c r="G45" s="74"/>
      <c r="H45" s="74"/>
      <c r="I45" s="74"/>
      <c r="J45" s="6"/>
      <c r="K45" s="6"/>
      <c r="L45" s="6"/>
      <c r="M45" s="6"/>
      <c r="N45" s="7">
        <f t="shared" si="26"/>
        <v>0</v>
      </c>
      <c r="O45" s="11">
        <f t="shared" si="1"/>
        <v>0</v>
      </c>
      <c r="P45" s="25"/>
      <c r="Q45" s="10" t="str">
        <f t="shared" si="2"/>
        <v>MarçoSEMANA 2Matte Leão Limão Pet 1,5 Lt</v>
      </c>
      <c r="R45" s="7">
        <f>SUMIF(NF!$A:$A,$Q45,NF!$I:$I)</f>
        <v>0</v>
      </c>
      <c r="S45" s="6"/>
      <c r="T45" s="6"/>
      <c r="U45" s="6"/>
      <c r="V45" s="6"/>
      <c r="W45" s="6"/>
      <c r="X45" s="6"/>
      <c r="Y45" s="6"/>
      <c r="Z45" s="7">
        <f t="shared" si="27"/>
        <v>0</v>
      </c>
      <c r="AA45" s="11">
        <f t="shared" si="3"/>
        <v>0</v>
      </c>
      <c r="AB45" s="25"/>
      <c r="AC45" s="10" t="str">
        <f t="shared" si="4"/>
        <v>MarçoSEMANA 3Matte Leão Limão Pet 1,5 Lt</v>
      </c>
      <c r="AD45" s="7">
        <f>SUMIF(NF!$A:$A,$AC45,NF!$I:$I)</f>
        <v>0</v>
      </c>
      <c r="AE45" s="6"/>
      <c r="AF45" s="6"/>
      <c r="AG45" s="6"/>
      <c r="AH45" s="6"/>
      <c r="AI45" s="6"/>
      <c r="AJ45" s="6"/>
      <c r="AK45" s="6"/>
      <c r="AL45" s="7">
        <f t="shared" si="28"/>
        <v>0</v>
      </c>
      <c r="AM45" s="11">
        <f t="shared" si="5"/>
        <v>0</v>
      </c>
      <c r="AN45" s="25"/>
      <c r="AO45" s="10" t="str">
        <f t="shared" si="6"/>
        <v>MarçoSEMANA 4Matte Leão Limão Pet 1,5 Lt</v>
      </c>
      <c r="AP45" s="7">
        <f>SUMIF(NF!$A:$A,$AO45,NF!$I:$I)</f>
        <v>0</v>
      </c>
      <c r="AQ45" s="6"/>
      <c r="AR45" s="6"/>
      <c r="AS45" s="6"/>
      <c r="AT45" s="6"/>
      <c r="AU45" s="6"/>
      <c r="AV45" s="6"/>
      <c r="AW45" s="6"/>
      <c r="AX45" s="7">
        <f t="shared" si="29"/>
        <v>0</v>
      </c>
      <c r="AY45" s="11">
        <f t="shared" si="7"/>
        <v>0</v>
      </c>
      <c r="AZ45" s="25"/>
      <c r="BA45" s="10" t="str">
        <f t="shared" si="8"/>
        <v>MarçoSEMANA 5Matte Leão Limão Pet 1,5 Lt</v>
      </c>
      <c r="BB45" s="7">
        <f>SUMIF(NF!$A:$A,$BA45,NF!$I:$I)</f>
        <v>0</v>
      </c>
      <c r="BC45" s="6"/>
      <c r="BD45" s="6"/>
      <c r="BE45" s="6"/>
      <c r="BF45" s="6"/>
      <c r="BG45" s="6"/>
      <c r="BH45" s="6"/>
      <c r="BI45" s="74"/>
      <c r="BJ45" s="74"/>
      <c r="BK45" s="7">
        <f t="shared" si="30"/>
        <v>0</v>
      </c>
      <c r="BL45" s="8">
        <f t="shared" si="9"/>
        <v>0</v>
      </c>
      <c r="BM45" s="51" t="str">
        <f>IFERROR(VLOOKUP(A45,NF!$M:$O,3,0),"")</f>
        <v>Bebidas</v>
      </c>
      <c r="BN45" s="7">
        <f t="shared" si="10"/>
        <v>0</v>
      </c>
      <c r="BO45" s="8">
        <f t="array" ref="BO45">IFERROR(LARGE(IF(NF!$G$2:$G$3137='Mês atual'!A45,NF!$J$2:$J$3137),1),0)*BN45</f>
        <v>0</v>
      </c>
      <c r="BP45" s="50"/>
      <c r="BR45" s="146">
        <f t="array" ref="BR45">IFERROR(LARGE(IF(NF!$G$2:$G$3137='Mês atual'!A45,NF!$J$2:$J$3137),1),0)</f>
        <v>0</v>
      </c>
      <c r="BS45" s="142" t="str">
        <f>VLOOKUP(A45,NF!M:O,3,0)</f>
        <v>Bebidas</v>
      </c>
      <c r="BV45" s="74">
        <f t="shared" si="11"/>
        <v>0</v>
      </c>
      <c r="BW45" s="74">
        <f t="shared" si="12"/>
        <v>0</v>
      </c>
      <c r="BX45" s="74">
        <f t="shared" si="13"/>
        <v>0</v>
      </c>
      <c r="BY45" s="74">
        <f t="shared" si="14"/>
        <v>0</v>
      </c>
      <c r="BZ45" s="74">
        <f t="shared" si="15"/>
        <v>0</v>
      </c>
    </row>
    <row r="46" spans="1:78" x14ac:dyDescent="0.25">
      <c r="A46" s="108" t="s">
        <v>513</v>
      </c>
      <c r="B46" s="12"/>
      <c r="C46" s="9">
        <v>0</v>
      </c>
      <c r="D46" s="25"/>
      <c r="E46" s="10" t="str">
        <f t="shared" si="0"/>
        <v>MarçoSEMANA 1Matte Leão Limão Zero Pet 1,5 Lt</v>
      </c>
      <c r="F46" s="7">
        <f>SUMIF(NF!$A:$A,$E46,NF!$I:$I)</f>
        <v>0</v>
      </c>
      <c r="G46" s="74"/>
      <c r="H46" s="74"/>
      <c r="I46" s="74"/>
      <c r="J46" s="6"/>
      <c r="K46" s="6"/>
      <c r="L46" s="6"/>
      <c r="M46" s="6"/>
      <c r="N46" s="7">
        <f t="shared" si="26"/>
        <v>0</v>
      </c>
      <c r="O46" s="11">
        <f t="shared" si="1"/>
        <v>0</v>
      </c>
      <c r="P46" s="25"/>
      <c r="Q46" s="10" t="str">
        <f t="shared" si="2"/>
        <v>MarçoSEMANA 2Matte Leão Limão Zero Pet 1,5 Lt</v>
      </c>
      <c r="R46" s="7">
        <f>SUMIF(NF!$A:$A,$Q46,NF!$I:$I)</f>
        <v>0</v>
      </c>
      <c r="S46" s="6"/>
      <c r="T46" s="6"/>
      <c r="U46" s="6"/>
      <c r="V46" s="6"/>
      <c r="W46" s="6"/>
      <c r="X46" s="6"/>
      <c r="Y46" s="6"/>
      <c r="Z46" s="7">
        <f t="shared" si="27"/>
        <v>0</v>
      </c>
      <c r="AA46" s="11">
        <f t="shared" si="3"/>
        <v>0</v>
      </c>
      <c r="AB46" s="25"/>
      <c r="AC46" s="10" t="str">
        <f t="shared" si="4"/>
        <v>MarçoSEMANA 3Matte Leão Limão Zero Pet 1,5 Lt</v>
      </c>
      <c r="AD46" s="7">
        <f>SUMIF(NF!$A:$A,$AC46,NF!$I:$I)</f>
        <v>0</v>
      </c>
      <c r="AE46" s="6"/>
      <c r="AF46" s="6"/>
      <c r="AG46" s="6"/>
      <c r="AH46" s="6"/>
      <c r="AI46" s="6"/>
      <c r="AJ46" s="6"/>
      <c r="AK46" s="6"/>
      <c r="AL46" s="7">
        <f t="shared" si="28"/>
        <v>0</v>
      </c>
      <c r="AM46" s="11">
        <f t="shared" si="5"/>
        <v>0</v>
      </c>
      <c r="AN46" s="25"/>
      <c r="AO46" s="10" t="str">
        <f t="shared" si="6"/>
        <v>MarçoSEMANA 4Matte Leão Limão Zero Pet 1,5 Lt</v>
      </c>
      <c r="AP46" s="7">
        <f>SUMIF(NF!$A:$A,$AO46,NF!$I:$I)</f>
        <v>0</v>
      </c>
      <c r="AQ46" s="6"/>
      <c r="AR46" s="6"/>
      <c r="AS46" s="6"/>
      <c r="AT46" s="6"/>
      <c r="AU46" s="6"/>
      <c r="AV46" s="6"/>
      <c r="AW46" s="6"/>
      <c r="AX46" s="7">
        <f t="shared" si="29"/>
        <v>0</v>
      </c>
      <c r="AY46" s="11">
        <f t="shared" si="7"/>
        <v>0</v>
      </c>
      <c r="AZ46" s="25"/>
      <c r="BA46" s="10" t="str">
        <f t="shared" si="8"/>
        <v>MarçoSEMANA 5Matte Leão Limão Zero Pet 1,5 Lt</v>
      </c>
      <c r="BB46" s="7">
        <f>SUMIF(NF!$A:$A,$BA46,NF!$I:$I)</f>
        <v>0</v>
      </c>
      <c r="BC46" s="6"/>
      <c r="BD46" s="6"/>
      <c r="BE46" s="6"/>
      <c r="BF46" s="6"/>
      <c r="BG46" s="6"/>
      <c r="BH46" s="6"/>
      <c r="BI46" s="74"/>
      <c r="BJ46" s="74"/>
      <c r="BK46" s="7">
        <f t="shared" si="30"/>
        <v>0</v>
      </c>
      <c r="BL46" s="8">
        <f t="shared" si="9"/>
        <v>0</v>
      </c>
      <c r="BM46" s="51" t="str">
        <f>IFERROR(VLOOKUP(A46,NF!$M:$O,3,0),"")</f>
        <v>Bebidas</v>
      </c>
      <c r="BN46" s="7">
        <f t="shared" si="10"/>
        <v>0</v>
      </c>
      <c r="BO46" s="8">
        <f t="array" ref="BO46">IFERROR(LARGE(IF(NF!$G$2:$G$3137='Mês atual'!A46,NF!$J$2:$J$3137),1),0)*BN46</f>
        <v>0</v>
      </c>
      <c r="BP46" s="50"/>
      <c r="BR46" s="146">
        <f t="array" ref="BR46">IFERROR(LARGE(IF(NF!$G$2:$G$3137='Mês atual'!A46,NF!$J$2:$J$3137),1),0)</f>
        <v>0</v>
      </c>
      <c r="BS46" s="142" t="str">
        <f>VLOOKUP(A46,NF!M:O,3,0)</f>
        <v>Bebidas</v>
      </c>
      <c r="BV46" s="74">
        <f t="shared" si="11"/>
        <v>0</v>
      </c>
      <c r="BW46" s="74">
        <f t="shared" si="12"/>
        <v>0</v>
      </c>
      <c r="BX46" s="74">
        <f t="shared" si="13"/>
        <v>0</v>
      </c>
      <c r="BY46" s="74">
        <f t="shared" si="14"/>
        <v>0</v>
      </c>
      <c r="BZ46" s="74">
        <f t="shared" si="15"/>
        <v>0</v>
      </c>
    </row>
    <row r="47" spans="1:78" x14ac:dyDescent="0.2">
      <c r="A47" s="108" t="s">
        <v>738</v>
      </c>
      <c r="B47" s="12"/>
      <c r="C47" s="9">
        <v>45</v>
      </c>
      <c r="D47" s="25"/>
      <c r="E47" s="10" t="str">
        <f t="shared" si="0"/>
        <v>MarçoSEMANA 1Schweppes Citrus</v>
      </c>
      <c r="F47" s="7">
        <f>SUMIF(NF!$A:$A,$E47,NF!$I:$I)</f>
        <v>0</v>
      </c>
      <c r="G47" s="74"/>
      <c r="H47" s="74"/>
      <c r="I47" s="74"/>
      <c r="J47" s="6">
        <f>1</f>
        <v>1</v>
      </c>
      <c r="K47" s="6"/>
      <c r="L47" s="6"/>
      <c r="M47" s="6">
        <f>1</f>
        <v>1</v>
      </c>
      <c r="N47" s="7">
        <f t="shared" si="26"/>
        <v>2</v>
      </c>
      <c r="O47" s="11">
        <f t="shared" si="1"/>
        <v>43</v>
      </c>
      <c r="P47" s="25"/>
      <c r="Q47" s="10" t="str">
        <f t="shared" si="2"/>
        <v>MarçoSEMANA 2Schweppes Citrus</v>
      </c>
      <c r="R47" s="7">
        <f>SUMIF(NF!$A:$A,$Q47,NF!$I:$I)</f>
        <v>0</v>
      </c>
      <c r="S47" s="6">
        <f>1</f>
        <v>1</v>
      </c>
      <c r="T47" s="6">
        <f>1+2</f>
        <v>3</v>
      </c>
      <c r="U47" s="6">
        <v>1</v>
      </c>
      <c r="V47" s="6">
        <f>2</f>
        <v>2</v>
      </c>
      <c r="W47" s="6">
        <f>1+1</f>
        <v>2</v>
      </c>
      <c r="X47" s="6">
        <f>1+5+2</f>
        <v>8</v>
      </c>
      <c r="Y47" s="6">
        <f>1+2</f>
        <v>3</v>
      </c>
      <c r="Z47" s="7">
        <f t="shared" si="27"/>
        <v>20</v>
      </c>
      <c r="AA47" s="11">
        <f t="shared" si="3"/>
        <v>23</v>
      </c>
      <c r="AB47" s="25"/>
      <c r="AC47" s="10" t="str">
        <f t="shared" si="4"/>
        <v>MarçoSEMANA 3Schweppes Citrus</v>
      </c>
      <c r="AD47" s="7">
        <f>SUMIF(NF!$A:$A,$AC47,NF!$I:$I)</f>
        <v>36</v>
      </c>
      <c r="AE47" s="6">
        <f>1</f>
        <v>1</v>
      </c>
      <c r="AF47" s="6">
        <v>1</v>
      </c>
      <c r="AG47" s="6">
        <f>1+1</f>
        <v>2</v>
      </c>
      <c r="AH47" s="6">
        <f>1+1</f>
        <v>2</v>
      </c>
      <c r="AI47" s="6">
        <f>3+3</f>
        <v>6</v>
      </c>
      <c r="AJ47" s="6">
        <f>2+2</f>
        <v>4</v>
      </c>
      <c r="AK47" s="6">
        <f>1+3+4</f>
        <v>8</v>
      </c>
      <c r="AL47" s="7">
        <f t="shared" si="28"/>
        <v>24</v>
      </c>
      <c r="AM47" s="11">
        <f t="shared" si="5"/>
        <v>35</v>
      </c>
      <c r="AN47" s="25"/>
      <c r="AO47" s="10" t="str">
        <f t="shared" si="6"/>
        <v>MarçoSEMANA 4Schweppes Citrus</v>
      </c>
      <c r="AP47" s="7">
        <f>SUMIF(NF!$A:$A,$AO47,NF!$I:$I)</f>
        <v>12</v>
      </c>
      <c r="AQ47" s="6">
        <v>2</v>
      </c>
      <c r="AR47" s="6"/>
      <c r="AS47" s="6">
        <v>2</v>
      </c>
      <c r="AT47" s="6"/>
      <c r="AU47" s="6">
        <v>3</v>
      </c>
      <c r="AV47" s="6">
        <f>1</f>
        <v>1</v>
      </c>
      <c r="AW47" s="6">
        <f>1</f>
        <v>1</v>
      </c>
      <c r="AX47" s="7">
        <f t="shared" si="29"/>
        <v>9</v>
      </c>
      <c r="AY47" s="11">
        <f t="shared" si="7"/>
        <v>38</v>
      </c>
      <c r="AZ47" s="25"/>
      <c r="BA47" s="10" t="str">
        <f t="shared" si="8"/>
        <v>MarçoSEMANA 5Schweppes Citrus</v>
      </c>
      <c r="BB47" s="7">
        <f>SUMIF(NF!$A:$A,$BA47,NF!$I:$I)</f>
        <v>0</v>
      </c>
      <c r="BC47" s="6">
        <f>1+1</f>
        <v>2</v>
      </c>
      <c r="BD47" s="6"/>
      <c r="BE47" s="6"/>
      <c r="BF47" s="6">
        <f>1</f>
        <v>1</v>
      </c>
      <c r="BG47" s="6">
        <f>2</f>
        <v>2</v>
      </c>
      <c r="BH47" s="6">
        <f>1</f>
        <v>1</v>
      </c>
      <c r="BI47" s="74"/>
      <c r="BJ47" s="74"/>
      <c r="BK47" s="7">
        <f t="shared" si="30"/>
        <v>6</v>
      </c>
      <c r="BL47" s="8">
        <f t="shared" si="9"/>
        <v>32</v>
      </c>
      <c r="BM47" s="51" t="str">
        <f>IFERROR(VLOOKUP(A47,NF!$M:$O,3,0),"")</f>
        <v>Bebidas</v>
      </c>
      <c r="BN47" s="7">
        <f t="shared" si="10"/>
        <v>61</v>
      </c>
      <c r="BO47" s="8">
        <f t="array" ref="BO47">IFERROR(LARGE(IF(NF!$G$2:$G$3137='Mês atual'!A47,NF!$J$2:$J$3137),1),0)*BN47</f>
        <v>169.78333333333333</v>
      </c>
      <c r="BP47" s="50"/>
      <c r="BR47" s="146">
        <f t="array" ref="BR47">IFERROR(LARGE(IF(NF!$G$2:$G$3137='Mês atual'!A47,NF!$J$2:$J$3137),1),0)</f>
        <v>2.7833333333333332</v>
      </c>
      <c r="BS47" s="142" t="str">
        <f>VLOOKUP(A47,NF!M:O,3,0)</f>
        <v>Bebidas</v>
      </c>
      <c r="BV47" s="74">
        <f t="shared" si="11"/>
        <v>2</v>
      </c>
      <c r="BW47" s="74">
        <f t="shared" si="12"/>
        <v>20</v>
      </c>
      <c r="BX47" s="74">
        <f t="shared" si="13"/>
        <v>24</v>
      </c>
      <c r="BY47" s="74">
        <f t="shared" si="14"/>
        <v>9</v>
      </c>
      <c r="BZ47" s="74">
        <f t="shared" si="15"/>
        <v>6</v>
      </c>
    </row>
    <row r="48" spans="1:78" x14ac:dyDescent="0.2">
      <c r="A48" s="108" t="s">
        <v>739</v>
      </c>
      <c r="B48" s="12"/>
      <c r="C48" s="9">
        <v>0</v>
      </c>
      <c r="D48" s="25"/>
      <c r="E48" s="10" t="str">
        <f t="shared" si="0"/>
        <v>MarçoSEMANA 1Schweppes Citrus Light</v>
      </c>
      <c r="F48" s="7">
        <f>SUMIF(NF!$A:$A,$E48,NF!$I:$I)</f>
        <v>0</v>
      </c>
      <c r="G48" s="74"/>
      <c r="H48" s="74"/>
      <c r="I48" s="74"/>
      <c r="J48" s="6"/>
      <c r="K48" s="6"/>
      <c r="L48" s="6"/>
      <c r="M48" s="6"/>
      <c r="N48" s="7">
        <f t="shared" si="26"/>
        <v>0</v>
      </c>
      <c r="O48" s="11">
        <f t="shared" si="1"/>
        <v>0</v>
      </c>
      <c r="P48" s="25"/>
      <c r="Q48" s="10" t="str">
        <f t="shared" si="2"/>
        <v>MarçoSEMANA 2Schweppes Citrus Light</v>
      </c>
      <c r="R48" s="7">
        <f>SUMIF(NF!$A:$A,$Q48,NF!$I:$I)</f>
        <v>0</v>
      </c>
      <c r="S48" s="6"/>
      <c r="T48" s="6"/>
      <c r="U48" s="6"/>
      <c r="V48" s="6"/>
      <c r="W48" s="6"/>
      <c r="X48" s="6"/>
      <c r="Y48" s="6"/>
      <c r="Z48" s="7">
        <f t="shared" si="27"/>
        <v>0</v>
      </c>
      <c r="AA48" s="11">
        <f t="shared" si="3"/>
        <v>0</v>
      </c>
      <c r="AB48" s="25"/>
      <c r="AC48" s="10" t="str">
        <f t="shared" si="4"/>
        <v>MarçoSEMANA 3Schweppes Citrus Light</v>
      </c>
      <c r="AD48" s="7">
        <f>SUMIF(NF!$A:$A,$AC48,NF!$I:$I)</f>
        <v>0</v>
      </c>
      <c r="AE48" s="6"/>
      <c r="AF48" s="6"/>
      <c r="AG48" s="6"/>
      <c r="AH48" s="6"/>
      <c r="AI48" s="6"/>
      <c r="AJ48" s="6"/>
      <c r="AK48" s="6"/>
      <c r="AL48" s="7">
        <f t="shared" si="28"/>
        <v>0</v>
      </c>
      <c r="AM48" s="11">
        <f t="shared" si="5"/>
        <v>0</v>
      </c>
      <c r="AN48" s="25"/>
      <c r="AO48" s="10" t="str">
        <f t="shared" si="6"/>
        <v>MarçoSEMANA 4Schweppes Citrus Light</v>
      </c>
      <c r="AP48" s="7">
        <f>SUMIF(NF!$A:$A,$AO48,NF!$I:$I)</f>
        <v>0</v>
      </c>
      <c r="AQ48" s="6"/>
      <c r="AR48" s="6"/>
      <c r="AS48" s="6"/>
      <c r="AT48" s="6"/>
      <c r="AU48" s="6"/>
      <c r="AV48" s="6"/>
      <c r="AW48" s="6"/>
      <c r="AX48" s="7">
        <f t="shared" si="29"/>
        <v>0</v>
      </c>
      <c r="AY48" s="11">
        <f t="shared" si="7"/>
        <v>0</v>
      </c>
      <c r="AZ48" s="25"/>
      <c r="BA48" s="10" t="str">
        <f t="shared" si="8"/>
        <v>MarçoSEMANA 5Schweppes Citrus Light</v>
      </c>
      <c r="BB48" s="7">
        <f>SUMIF(NF!$A:$A,$BA48,NF!$I:$I)</f>
        <v>0</v>
      </c>
      <c r="BC48" s="6"/>
      <c r="BD48" s="6"/>
      <c r="BE48" s="6"/>
      <c r="BF48" s="6"/>
      <c r="BG48" s="6"/>
      <c r="BH48" s="6"/>
      <c r="BI48" s="74"/>
      <c r="BJ48" s="74"/>
      <c r="BK48" s="7">
        <f t="shared" si="30"/>
        <v>0</v>
      </c>
      <c r="BL48" s="8">
        <f t="shared" si="9"/>
        <v>0</v>
      </c>
      <c r="BM48" s="51" t="str">
        <f>IFERROR(VLOOKUP(A48,NF!$M:$O,3,0),"")</f>
        <v>Bebidas</v>
      </c>
      <c r="BN48" s="7">
        <f t="shared" si="10"/>
        <v>0</v>
      </c>
      <c r="BO48" s="8">
        <f t="array" ref="BO48">IFERROR(LARGE(IF(NF!$G$2:$G$3137='Mês atual'!A48,NF!$J$2:$J$3137),1),0)*BN48</f>
        <v>0</v>
      </c>
      <c r="BP48" s="50"/>
      <c r="BR48" s="146">
        <f t="array" ref="BR48">IFERROR(LARGE(IF(NF!$G$2:$G$3137='Mês atual'!A48,NF!$J$2:$J$3137),1),0)</f>
        <v>0</v>
      </c>
      <c r="BS48" s="142" t="str">
        <f>VLOOKUP(A48,NF!M:O,3,0)</f>
        <v>Bebidas</v>
      </c>
      <c r="BV48" s="74">
        <f t="shared" si="11"/>
        <v>0</v>
      </c>
      <c r="BW48" s="74">
        <f t="shared" si="12"/>
        <v>0</v>
      </c>
      <c r="BX48" s="74">
        <f t="shared" si="13"/>
        <v>0</v>
      </c>
      <c r="BY48" s="74">
        <f t="shared" si="14"/>
        <v>0</v>
      </c>
      <c r="BZ48" s="74">
        <f t="shared" si="15"/>
        <v>0</v>
      </c>
    </row>
    <row r="49" spans="1:78" x14ac:dyDescent="0.2">
      <c r="A49" s="108" t="s">
        <v>745</v>
      </c>
      <c r="B49" s="12"/>
      <c r="C49" s="9">
        <v>0</v>
      </c>
      <c r="D49" s="25"/>
      <c r="E49" s="10" t="str">
        <f t="shared" si="0"/>
        <v>MarçoSEMANA 1Sidra Espumante</v>
      </c>
      <c r="F49" s="7">
        <f>SUMIF(NF!$A:$A,$E49,NF!$I:$I)</f>
        <v>0</v>
      </c>
      <c r="G49" s="74"/>
      <c r="H49" s="74"/>
      <c r="I49" s="74"/>
      <c r="J49" s="6"/>
      <c r="K49" s="6"/>
      <c r="L49" s="6"/>
      <c r="M49" s="6"/>
      <c r="N49" s="7">
        <f>SUM(G49:M49)</f>
        <v>0</v>
      </c>
      <c r="O49" s="11">
        <f t="shared" si="1"/>
        <v>0</v>
      </c>
      <c r="P49" s="25"/>
      <c r="Q49" s="10" t="str">
        <f t="shared" si="2"/>
        <v>MarçoSEMANA 2Sidra Espumante</v>
      </c>
      <c r="R49" s="7">
        <f>SUMIF(NF!$A:$A,$Q49,NF!$I:$I)</f>
        <v>0</v>
      </c>
      <c r="S49" s="6"/>
      <c r="T49" s="6"/>
      <c r="U49" s="6"/>
      <c r="V49" s="6"/>
      <c r="W49" s="6"/>
      <c r="X49" s="6"/>
      <c r="Y49" s="6"/>
      <c r="Z49" s="7">
        <f>SUM(S49:Y49)</f>
        <v>0</v>
      </c>
      <c r="AA49" s="11">
        <f t="shared" si="3"/>
        <v>0</v>
      </c>
      <c r="AB49" s="25"/>
      <c r="AC49" s="10" t="str">
        <f t="shared" si="4"/>
        <v>MarçoSEMANA 3Sidra Espumante</v>
      </c>
      <c r="AD49" s="7">
        <f>SUMIF(NF!$A:$A,$AC49,NF!$I:$I)</f>
        <v>0</v>
      </c>
      <c r="AE49" s="6"/>
      <c r="AF49" s="6"/>
      <c r="AG49" s="6"/>
      <c r="AH49" s="6"/>
      <c r="AI49" s="6"/>
      <c r="AJ49" s="6"/>
      <c r="AK49" s="6"/>
      <c r="AL49" s="7">
        <f>SUM(AE49:AK49)</f>
        <v>0</v>
      </c>
      <c r="AM49" s="11">
        <f t="shared" si="5"/>
        <v>0</v>
      </c>
      <c r="AN49" s="25"/>
      <c r="AO49" s="10" t="str">
        <f t="shared" si="6"/>
        <v>MarçoSEMANA 4Sidra Espumante</v>
      </c>
      <c r="AP49" s="7">
        <f>SUMIF(NF!$A:$A,$AO49,NF!$I:$I)</f>
        <v>0</v>
      </c>
      <c r="AQ49" s="6"/>
      <c r="AR49" s="6"/>
      <c r="AS49" s="6"/>
      <c r="AT49" s="6"/>
      <c r="AU49" s="6"/>
      <c r="AV49" s="6"/>
      <c r="AW49" s="6"/>
      <c r="AX49" s="7">
        <f>SUM(AQ49:AW49)</f>
        <v>0</v>
      </c>
      <c r="AY49" s="11">
        <f t="shared" si="7"/>
        <v>0</v>
      </c>
      <c r="AZ49" s="25"/>
      <c r="BA49" s="10" t="str">
        <f t="shared" si="8"/>
        <v>MarçoSEMANA 5Sidra Espumante</v>
      </c>
      <c r="BB49" s="7">
        <f>SUMIF(NF!$A:$A,$BA49,NF!$I:$I)</f>
        <v>0</v>
      </c>
      <c r="BC49" s="6"/>
      <c r="BD49" s="6"/>
      <c r="BE49" s="6"/>
      <c r="BF49" s="6"/>
      <c r="BG49" s="6"/>
      <c r="BH49" s="6"/>
      <c r="BI49" s="74"/>
      <c r="BJ49" s="74"/>
      <c r="BK49" s="7">
        <f>SUM(BC49:BJ49)</f>
        <v>0</v>
      </c>
      <c r="BL49" s="8">
        <f t="shared" si="9"/>
        <v>0</v>
      </c>
      <c r="BM49" s="51" t="str">
        <f>IFERROR(VLOOKUP(A49,NF!$M:$O,3,0),"")</f>
        <v>Bebidas</v>
      </c>
      <c r="BN49" s="7">
        <f t="shared" si="10"/>
        <v>0</v>
      </c>
      <c r="BO49" s="8">
        <f t="array" ref="BO49">IFERROR(LARGE(IF(NF!$G$2:$G$3137='Mês atual'!A49,NF!$J$2:$J$3137),1),0)*BN49</f>
        <v>0</v>
      </c>
      <c r="BP49" s="50"/>
      <c r="BR49" s="146">
        <f t="array" ref="BR49">IFERROR(LARGE(IF(NF!$G$2:$G$3137='Mês atual'!A49,NF!$J$2:$J$3137),1),0)</f>
        <v>0</v>
      </c>
      <c r="BS49" s="142" t="str">
        <f>VLOOKUP(A49,NF!M:O,3,0)</f>
        <v>Bebidas</v>
      </c>
      <c r="BV49" s="74">
        <f t="shared" si="11"/>
        <v>0</v>
      </c>
      <c r="BW49" s="74">
        <f t="shared" si="12"/>
        <v>0</v>
      </c>
      <c r="BX49" s="74">
        <f t="shared" si="13"/>
        <v>0</v>
      </c>
      <c r="BY49" s="74">
        <f t="shared" si="14"/>
        <v>0</v>
      </c>
      <c r="BZ49" s="74">
        <f t="shared" si="15"/>
        <v>0</v>
      </c>
    </row>
    <row r="50" spans="1:78" x14ac:dyDescent="0.2">
      <c r="A50" s="108" t="s">
        <v>937</v>
      </c>
      <c r="B50" s="12"/>
      <c r="C50" s="9">
        <v>0</v>
      </c>
      <c r="D50" s="25"/>
      <c r="E50" s="10" t="str">
        <f t="shared" si="0"/>
        <v>MarçoSEMANA 1Sukita Laranja Pet 2 Lt</v>
      </c>
      <c r="F50" s="7">
        <f>SUMIF(NF!$A:$A,$E50,NF!$I:$I)</f>
        <v>0</v>
      </c>
      <c r="G50" s="74"/>
      <c r="H50" s="74"/>
      <c r="I50" s="74"/>
      <c r="J50" s="6"/>
      <c r="K50" s="6"/>
      <c r="L50" s="6"/>
      <c r="M50" s="6"/>
      <c r="N50" s="7">
        <f t="shared" ref="N50:N73" si="31">SUM(G50:M50)</f>
        <v>0</v>
      </c>
      <c r="O50" s="11">
        <f t="shared" si="1"/>
        <v>0</v>
      </c>
      <c r="P50" s="25"/>
      <c r="Q50" s="10" t="str">
        <f t="shared" si="2"/>
        <v>MarçoSEMANA 2Sukita Laranja Pet 2 Lt</v>
      </c>
      <c r="R50" s="7">
        <f>SUMIF(NF!$A:$A,$Q50,NF!$I:$I)</f>
        <v>0</v>
      </c>
      <c r="S50" s="6"/>
      <c r="T50" s="6"/>
      <c r="U50" s="6"/>
      <c r="V50" s="6"/>
      <c r="W50" s="6"/>
      <c r="X50" s="6"/>
      <c r="Y50" s="6"/>
      <c r="Z50" s="7">
        <f t="shared" ref="Z50:Z72" si="32">SUM(S50:Y50)</f>
        <v>0</v>
      </c>
      <c r="AA50" s="11">
        <f t="shared" si="3"/>
        <v>0</v>
      </c>
      <c r="AB50" s="25"/>
      <c r="AC50" s="10" t="str">
        <f t="shared" si="4"/>
        <v>MarçoSEMANA 3Sukita Laranja Pet 2 Lt</v>
      </c>
      <c r="AD50" s="7">
        <f>SUMIF(NF!$A:$A,$AC50,NF!$I:$I)</f>
        <v>0</v>
      </c>
      <c r="AE50" s="6"/>
      <c r="AF50" s="6"/>
      <c r="AG50" s="6"/>
      <c r="AH50" s="6"/>
      <c r="AI50" s="6"/>
      <c r="AJ50" s="6"/>
      <c r="AK50" s="6"/>
      <c r="AL50" s="7">
        <f t="shared" ref="AL50:AL72" si="33">SUM(AE50:AK50)</f>
        <v>0</v>
      </c>
      <c r="AM50" s="11">
        <f t="shared" si="5"/>
        <v>0</v>
      </c>
      <c r="AN50" s="25"/>
      <c r="AO50" s="10" t="str">
        <f t="shared" si="6"/>
        <v>MarçoSEMANA 4Sukita Laranja Pet 2 Lt</v>
      </c>
      <c r="AP50" s="7">
        <f>SUMIF(NF!$A:$A,$AO50,NF!$I:$I)</f>
        <v>0</v>
      </c>
      <c r="AQ50" s="6"/>
      <c r="AR50" s="6"/>
      <c r="AS50" s="6"/>
      <c r="AT50" s="6"/>
      <c r="AU50" s="6"/>
      <c r="AV50" s="6"/>
      <c r="AW50" s="6"/>
      <c r="AX50" s="7">
        <f t="shared" ref="AX50:AX72" si="34">SUM(AQ50:AW50)</f>
        <v>0</v>
      </c>
      <c r="AY50" s="11">
        <f t="shared" si="7"/>
        <v>0</v>
      </c>
      <c r="AZ50" s="25"/>
      <c r="BA50" s="10" t="str">
        <f t="shared" si="8"/>
        <v>MarçoSEMANA 5Sukita Laranja Pet 2 Lt</v>
      </c>
      <c r="BB50" s="7">
        <f>SUMIF(NF!$A:$A,$BA50,NF!$I:$I)</f>
        <v>0</v>
      </c>
      <c r="BC50" s="6"/>
      <c r="BD50" s="6"/>
      <c r="BE50" s="6"/>
      <c r="BF50" s="6"/>
      <c r="BG50" s="6"/>
      <c r="BH50" s="6"/>
      <c r="BI50" s="74"/>
      <c r="BJ50" s="74"/>
      <c r="BK50" s="7">
        <f t="shared" ref="BK50:BK73" si="35">SUM(BC50:BJ50)</f>
        <v>0</v>
      </c>
      <c r="BL50" s="8">
        <f t="shared" si="9"/>
        <v>0</v>
      </c>
      <c r="BM50" s="51" t="str">
        <f>IFERROR(VLOOKUP(A50,NF!$M:$O,3,0),"")</f>
        <v>Bebidas</v>
      </c>
      <c r="BN50" s="7">
        <f t="shared" si="10"/>
        <v>0</v>
      </c>
      <c r="BO50" s="8">
        <f t="array" ref="BO50">IFERROR(LARGE(IF(NF!$G$2:$G$3137='Mês atual'!A50,NF!$J$2:$J$3137),1),0)*BN50</f>
        <v>0</v>
      </c>
      <c r="BP50" s="50"/>
      <c r="BR50" s="146">
        <f t="array" ref="BR50">IFERROR(LARGE(IF(NF!$G$2:$G$3137='Mês atual'!A50,NF!$J$2:$J$3137),1),0)</f>
        <v>0</v>
      </c>
      <c r="BS50" s="142" t="str">
        <f>VLOOKUP(A50,NF!M:O,3,0)</f>
        <v>Bebidas</v>
      </c>
      <c r="BV50" s="74">
        <f t="shared" si="11"/>
        <v>0</v>
      </c>
      <c r="BW50" s="74">
        <f t="shared" si="12"/>
        <v>0</v>
      </c>
      <c r="BX50" s="74">
        <f t="shared" si="13"/>
        <v>0</v>
      </c>
      <c r="BY50" s="74">
        <f t="shared" si="14"/>
        <v>0</v>
      </c>
      <c r="BZ50" s="74">
        <f t="shared" si="15"/>
        <v>0</v>
      </c>
    </row>
    <row r="51" spans="1:78" x14ac:dyDescent="0.2">
      <c r="A51" s="108" t="s">
        <v>843</v>
      </c>
      <c r="B51" s="12"/>
      <c r="C51" s="9">
        <v>8</v>
      </c>
      <c r="D51" s="25"/>
      <c r="E51" s="10" t="str">
        <f t="shared" si="0"/>
        <v>MarçoSEMANA 1Vinho  Espumante Veuve Du Vernay 187 ml</v>
      </c>
      <c r="F51" s="7">
        <f>SUMIF(NF!$A:$A,$E51,NF!$I:$I)</f>
        <v>0</v>
      </c>
      <c r="G51" s="74"/>
      <c r="H51" s="74"/>
      <c r="I51" s="74"/>
      <c r="J51" s="6"/>
      <c r="K51" s="6"/>
      <c r="L51" s="6"/>
      <c r="M51" s="6"/>
      <c r="N51" s="7">
        <f t="shared" si="31"/>
        <v>0</v>
      </c>
      <c r="O51" s="11">
        <f t="shared" si="1"/>
        <v>8</v>
      </c>
      <c r="P51" s="25"/>
      <c r="Q51" s="10" t="str">
        <f t="shared" si="2"/>
        <v>MarçoSEMANA 2Vinho  Espumante Veuve Du Vernay 187 ml</v>
      </c>
      <c r="R51" s="7">
        <f>SUMIF(NF!$A:$A,$Q51,NF!$I:$I)</f>
        <v>0</v>
      </c>
      <c r="S51" s="6"/>
      <c r="T51" s="6"/>
      <c r="U51" s="6"/>
      <c r="V51" s="6"/>
      <c r="W51" s="6"/>
      <c r="X51" s="6"/>
      <c r="Y51" s="6"/>
      <c r="Z51" s="7">
        <f t="shared" si="32"/>
        <v>0</v>
      </c>
      <c r="AA51" s="11">
        <f t="shared" si="3"/>
        <v>8</v>
      </c>
      <c r="AB51" s="25"/>
      <c r="AC51" s="10" t="str">
        <f t="shared" si="4"/>
        <v>MarçoSEMANA 3Vinho  Espumante Veuve Du Vernay 187 ml</v>
      </c>
      <c r="AD51" s="7">
        <f>SUMIF(NF!$A:$A,$AC51,NF!$I:$I)</f>
        <v>0</v>
      </c>
      <c r="AE51" s="6"/>
      <c r="AF51" s="6"/>
      <c r="AG51" s="6"/>
      <c r="AH51" s="6"/>
      <c r="AI51" s="6"/>
      <c r="AJ51" s="6"/>
      <c r="AK51" s="6"/>
      <c r="AL51" s="7">
        <f t="shared" si="33"/>
        <v>0</v>
      </c>
      <c r="AM51" s="11">
        <f t="shared" si="5"/>
        <v>8</v>
      </c>
      <c r="AN51" s="25"/>
      <c r="AO51" s="10" t="str">
        <f t="shared" si="6"/>
        <v>MarçoSEMANA 4Vinho  Espumante Veuve Du Vernay 187 ml</v>
      </c>
      <c r="AP51" s="7">
        <f>SUMIF(NF!$A:$A,$AO51,NF!$I:$I)</f>
        <v>0</v>
      </c>
      <c r="AQ51" s="6"/>
      <c r="AR51" s="6"/>
      <c r="AS51" s="6"/>
      <c r="AT51" s="6"/>
      <c r="AU51" s="6"/>
      <c r="AV51" s="6"/>
      <c r="AW51" s="6"/>
      <c r="AX51" s="7">
        <f t="shared" si="34"/>
        <v>0</v>
      </c>
      <c r="AY51" s="11">
        <f t="shared" si="7"/>
        <v>8</v>
      </c>
      <c r="AZ51" s="25"/>
      <c r="BA51" s="10" t="str">
        <f t="shared" si="8"/>
        <v>MarçoSEMANA 5Vinho  Espumante Veuve Du Vernay 187 ml</v>
      </c>
      <c r="BB51" s="7">
        <f>SUMIF(NF!$A:$A,$BA51,NF!$I:$I)</f>
        <v>0</v>
      </c>
      <c r="BC51" s="6"/>
      <c r="BD51" s="6"/>
      <c r="BE51" s="6"/>
      <c r="BF51" s="6"/>
      <c r="BG51" s="6"/>
      <c r="BH51" s="6"/>
      <c r="BI51" s="74"/>
      <c r="BJ51" s="74"/>
      <c r="BK51" s="7">
        <f t="shared" si="35"/>
        <v>0</v>
      </c>
      <c r="BL51" s="8">
        <f t="shared" si="9"/>
        <v>8</v>
      </c>
      <c r="BM51" s="51" t="str">
        <f>IFERROR(VLOOKUP(A51,NF!$M:$O,3,0),"")</f>
        <v>Bebidas</v>
      </c>
      <c r="BN51" s="7">
        <f t="shared" si="10"/>
        <v>0</v>
      </c>
      <c r="BO51" s="8">
        <f t="array" ref="BO51">IFERROR(LARGE(IF(NF!$G$2:$G$3137='Mês atual'!A51,NF!$J$2:$J$3137),1),0)*BN51</f>
        <v>0</v>
      </c>
      <c r="BP51" s="50"/>
      <c r="BR51" s="146">
        <f t="array" ref="BR51">IFERROR(LARGE(IF(NF!$G$2:$G$3137='Mês atual'!A51,NF!$J$2:$J$3137),1),0)</f>
        <v>0</v>
      </c>
      <c r="BS51" s="142" t="str">
        <f>VLOOKUP(A51,NF!M:O,3,0)</f>
        <v>Bebidas</v>
      </c>
      <c r="BV51" s="74">
        <f t="shared" si="11"/>
        <v>0</v>
      </c>
      <c r="BW51" s="74">
        <f t="shared" si="12"/>
        <v>0</v>
      </c>
      <c r="BX51" s="74">
        <f t="shared" si="13"/>
        <v>0</v>
      </c>
      <c r="BY51" s="74">
        <f t="shared" si="14"/>
        <v>0</v>
      </c>
      <c r="BZ51" s="74">
        <f t="shared" si="15"/>
        <v>0</v>
      </c>
    </row>
    <row r="52" spans="1:78" x14ac:dyDescent="0.2">
      <c r="A52" s="108" t="s">
        <v>844</v>
      </c>
      <c r="B52" s="12"/>
      <c r="C52" s="9">
        <v>7</v>
      </c>
      <c r="D52" s="25"/>
      <c r="E52" s="10" t="str">
        <f t="shared" si="0"/>
        <v>MarçoSEMANA 1Vinho Alfredo Roca Malbec 375 ml</v>
      </c>
      <c r="F52" s="7">
        <f>SUMIF(NF!$A:$A,$E52,NF!$I:$I)</f>
        <v>0</v>
      </c>
      <c r="G52" s="74"/>
      <c r="H52" s="74"/>
      <c r="I52" s="74"/>
      <c r="J52" s="6"/>
      <c r="K52" s="6"/>
      <c r="L52" s="6"/>
      <c r="M52" s="6"/>
      <c r="N52" s="7">
        <f t="shared" si="31"/>
        <v>0</v>
      </c>
      <c r="O52" s="11">
        <f t="shared" si="1"/>
        <v>7</v>
      </c>
      <c r="P52" s="25"/>
      <c r="Q52" s="10" t="str">
        <f t="shared" si="2"/>
        <v>MarçoSEMANA 2Vinho Alfredo Roca Malbec 375 ml</v>
      </c>
      <c r="R52" s="7">
        <f>SUMIF(NF!$A:$A,$Q52,NF!$I:$I)</f>
        <v>0</v>
      </c>
      <c r="S52" s="6"/>
      <c r="T52" s="6"/>
      <c r="U52" s="6"/>
      <c r="V52" s="6">
        <f>1</f>
        <v>1</v>
      </c>
      <c r="W52" s="6">
        <v>1</v>
      </c>
      <c r="X52" s="6"/>
      <c r="Y52" s="6"/>
      <c r="Z52" s="7">
        <f t="shared" si="32"/>
        <v>2</v>
      </c>
      <c r="AA52" s="11">
        <f t="shared" si="3"/>
        <v>5</v>
      </c>
      <c r="AB52" s="25"/>
      <c r="AC52" s="10" t="str">
        <f t="shared" si="4"/>
        <v>MarçoSEMANA 3Vinho Alfredo Roca Malbec 375 ml</v>
      </c>
      <c r="AD52" s="7">
        <f>SUMIF(NF!$A:$A,$AC52,NF!$I:$I)</f>
        <v>0</v>
      </c>
      <c r="AE52" s="6"/>
      <c r="AF52" s="6"/>
      <c r="AG52" s="6"/>
      <c r="AH52" s="6"/>
      <c r="AI52" s="6">
        <v>1</v>
      </c>
      <c r="AJ52" s="6"/>
      <c r="AK52" s="6"/>
      <c r="AL52" s="7">
        <f t="shared" si="33"/>
        <v>1</v>
      </c>
      <c r="AM52" s="11">
        <f t="shared" si="5"/>
        <v>4</v>
      </c>
      <c r="AN52" s="25"/>
      <c r="AO52" s="10" t="str">
        <f t="shared" si="6"/>
        <v>MarçoSEMANA 4Vinho Alfredo Roca Malbec 375 ml</v>
      </c>
      <c r="AP52" s="7">
        <f>SUMIF(NF!$A:$A,$AO52,NF!$I:$I)</f>
        <v>0</v>
      </c>
      <c r="AQ52" s="6"/>
      <c r="AR52" s="6"/>
      <c r="AS52" s="6"/>
      <c r="AT52" s="6"/>
      <c r="AU52" s="6"/>
      <c r="AV52" s="6"/>
      <c r="AW52" s="6"/>
      <c r="AX52" s="7">
        <f t="shared" si="34"/>
        <v>0</v>
      </c>
      <c r="AY52" s="11">
        <f t="shared" si="7"/>
        <v>4</v>
      </c>
      <c r="AZ52" s="25"/>
      <c r="BA52" s="10" t="str">
        <f t="shared" si="8"/>
        <v>MarçoSEMANA 5Vinho Alfredo Roca Malbec 375 ml</v>
      </c>
      <c r="BB52" s="7">
        <f>SUMIF(NF!$A:$A,$BA52,NF!$I:$I)</f>
        <v>0</v>
      </c>
      <c r="BC52" s="6"/>
      <c r="BD52" s="6"/>
      <c r="BE52" s="6"/>
      <c r="BF52" s="6"/>
      <c r="BG52" s="6"/>
      <c r="BH52" s="6">
        <f>1</f>
        <v>1</v>
      </c>
      <c r="BI52" s="74"/>
      <c r="BJ52" s="74"/>
      <c r="BK52" s="7">
        <f t="shared" si="35"/>
        <v>1</v>
      </c>
      <c r="BL52" s="8">
        <f t="shared" si="9"/>
        <v>3</v>
      </c>
      <c r="BM52" s="51" t="str">
        <f>IFERROR(VLOOKUP(A52,NF!$M:$O,3,0),"")</f>
        <v>Bebidas</v>
      </c>
      <c r="BN52" s="7">
        <f t="shared" si="10"/>
        <v>4</v>
      </c>
      <c r="BO52" s="8">
        <f t="array" ref="BO52">IFERROR(LARGE(IF(NF!$G$2:$G$3137='Mês atual'!A52,NF!$J$2:$J$3137),1),0)*BN52</f>
        <v>0</v>
      </c>
      <c r="BP52" s="50"/>
      <c r="BR52" s="146">
        <f t="array" ref="BR52">IFERROR(LARGE(IF(NF!$G$2:$G$3137='Mês atual'!A52,NF!$J$2:$J$3137),1),0)</f>
        <v>0</v>
      </c>
      <c r="BS52" s="142" t="str">
        <f>VLOOKUP(A52,NF!M:O,3,0)</f>
        <v>Bebidas</v>
      </c>
      <c r="BV52" s="74">
        <f t="shared" si="11"/>
        <v>0</v>
      </c>
      <c r="BW52" s="74">
        <f t="shared" si="12"/>
        <v>2</v>
      </c>
      <c r="BX52" s="74">
        <f t="shared" si="13"/>
        <v>1</v>
      </c>
      <c r="BY52" s="74">
        <f t="shared" si="14"/>
        <v>0</v>
      </c>
      <c r="BZ52" s="74">
        <f t="shared" si="15"/>
        <v>1</v>
      </c>
    </row>
    <row r="53" spans="1:78" x14ac:dyDescent="0.2">
      <c r="A53" s="108" t="s">
        <v>845</v>
      </c>
      <c r="B53" s="12"/>
      <c r="C53" s="9">
        <v>0</v>
      </c>
      <c r="D53" s="25"/>
      <c r="E53" s="10" t="str">
        <f t="shared" si="0"/>
        <v>MarçoSEMANA 1Vinho Arg. Nieto Reserva Cab Sal 750ml</v>
      </c>
      <c r="F53" s="7">
        <f>SUMIF(NF!$A:$A,$E53,NF!$I:$I)</f>
        <v>0</v>
      </c>
      <c r="G53" s="74"/>
      <c r="H53" s="74"/>
      <c r="I53" s="74"/>
      <c r="J53" s="6"/>
      <c r="K53" s="6"/>
      <c r="L53" s="6"/>
      <c r="M53" s="6"/>
      <c r="N53" s="7">
        <f t="shared" si="31"/>
        <v>0</v>
      </c>
      <c r="O53" s="11">
        <f t="shared" si="1"/>
        <v>0</v>
      </c>
      <c r="P53" s="25"/>
      <c r="Q53" s="10" t="str">
        <f t="shared" si="2"/>
        <v>MarçoSEMANA 2Vinho Arg. Nieto Reserva Cab Sal 750ml</v>
      </c>
      <c r="R53" s="7">
        <f>SUMIF(NF!$A:$A,$Q53,NF!$I:$I)</f>
        <v>0</v>
      </c>
      <c r="S53" s="6"/>
      <c r="T53" s="6"/>
      <c r="U53" s="6"/>
      <c r="V53" s="6"/>
      <c r="W53" s="6"/>
      <c r="X53" s="6"/>
      <c r="Y53" s="6"/>
      <c r="Z53" s="7">
        <f t="shared" si="32"/>
        <v>0</v>
      </c>
      <c r="AA53" s="11">
        <f t="shared" si="3"/>
        <v>0</v>
      </c>
      <c r="AB53" s="25"/>
      <c r="AC53" s="10" t="str">
        <f t="shared" si="4"/>
        <v>MarçoSEMANA 3Vinho Arg. Nieto Reserva Cab Sal 750ml</v>
      </c>
      <c r="AD53" s="7">
        <f>SUMIF(NF!$A:$A,$AC53,NF!$I:$I)</f>
        <v>0</v>
      </c>
      <c r="AE53" s="6"/>
      <c r="AF53" s="6"/>
      <c r="AG53" s="6"/>
      <c r="AH53" s="6"/>
      <c r="AI53" s="6"/>
      <c r="AJ53" s="6"/>
      <c r="AK53" s="6"/>
      <c r="AL53" s="7">
        <f t="shared" si="33"/>
        <v>0</v>
      </c>
      <c r="AM53" s="11">
        <f t="shared" si="5"/>
        <v>0</v>
      </c>
      <c r="AN53" s="25"/>
      <c r="AO53" s="10" t="str">
        <f t="shared" si="6"/>
        <v>MarçoSEMANA 4Vinho Arg. Nieto Reserva Cab Sal 750ml</v>
      </c>
      <c r="AP53" s="7">
        <f>SUMIF(NF!$A:$A,$AO53,NF!$I:$I)</f>
        <v>0</v>
      </c>
      <c r="AQ53" s="6"/>
      <c r="AR53" s="6"/>
      <c r="AS53" s="6"/>
      <c r="AT53" s="6"/>
      <c r="AU53" s="6"/>
      <c r="AV53" s="6"/>
      <c r="AW53" s="6"/>
      <c r="AX53" s="7">
        <f t="shared" si="34"/>
        <v>0</v>
      </c>
      <c r="AY53" s="11">
        <f t="shared" si="7"/>
        <v>0</v>
      </c>
      <c r="AZ53" s="25"/>
      <c r="BA53" s="10" t="str">
        <f t="shared" si="8"/>
        <v>MarçoSEMANA 5Vinho Arg. Nieto Reserva Cab Sal 750ml</v>
      </c>
      <c r="BB53" s="7">
        <f>SUMIF(NF!$A:$A,$BA53,NF!$I:$I)</f>
        <v>0</v>
      </c>
      <c r="BC53" s="6"/>
      <c r="BD53" s="6"/>
      <c r="BE53" s="6"/>
      <c r="BF53" s="6"/>
      <c r="BG53" s="6"/>
      <c r="BH53" s="6"/>
      <c r="BI53" s="74"/>
      <c r="BJ53" s="74"/>
      <c r="BK53" s="7">
        <f t="shared" si="35"/>
        <v>0</v>
      </c>
      <c r="BL53" s="8">
        <f t="shared" si="9"/>
        <v>0</v>
      </c>
      <c r="BM53" s="51" t="str">
        <f>IFERROR(VLOOKUP(A53,NF!$M:$O,3,0),"")</f>
        <v>Bebidas</v>
      </c>
      <c r="BN53" s="7">
        <f t="shared" si="10"/>
        <v>0</v>
      </c>
      <c r="BO53" s="8">
        <f t="array" ref="BO53">IFERROR(LARGE(IF(NF!$G$2:$G$3137='Mês atual'!A53,NF!$J$2:$J$3137),1),0)*BN53</f>
        <v>0</v>
      </c>
      <c r="BP53" s="50"/>
      <c r="BR53" s="146">
        <f t="array" ref="BR53">IFERROR(LARGE(IF(NF!$G$2:$G$3137='Mês atual'!A53,NF!$J$2:$J$3137),1),0)</f>
        <v>0</v>
      </c>
      <c r="BS53" s="142" t="str">
        <f>VLOOKUP(A53,NF!M:O,3,0)</f>
        <v>Bebidas</v>
      </c>
      <c r="BV53" s="74">
        <f t="shared" si="11"/>
        <v>0</v>
      </c>
      <c r="BW53" s="74">
        <f t="shared" si="12"/>
        <v>0</v>
      </c>
      <c r="BX53" s="74">
        <f t="shared" si="13"/>
        <v>0</v>
      </c>
      <c r="BY53" s="74">
        <f t="shared" si="14"/>
        <v>0</v>
      </c>
      <c r="BZ53" s="74">
        <f t="shared" si="15"/>
        <v>0</v>
      </c>
    </row>
    <row r="54" spans="1:78" x14ac:dyDescent="0.2">
      <c r="A54" s="108" t="s">
        <v>846</v>
      </c>
      <c r="B54" s="12"/>
      <c r="C54" s="9">
        <v>6</v>
      </c>
      <c r="D54" s="25"/>
      <c r="E54" s="10" t="str">
        <f t="shared" si="0"/>
        <v>MarçoSEMANA 1Vinho Benjamin Cab. Sauvignon 750 ml</v>
      </c>
      <c r="F54" s="7">
        <f>SUMIF(NF!$A:$A,$E54,NF!$I:$I)</f>
        <v>0</v>
      </c>
      <c r="G54" s="74"/>
      <c r="H54" s="74"/>
      <c r="I54" s="74"/>
      <c r="J54" s="6"/>
      <c r="K54" s="6"/>
      <c r="L54" s="6"/>
      <c r="M54" s="6"/>
      <c r="N54" s="7">
        <f t="shared" si="31"/>
        <v>0</v>
      </c>
      <c r="O54" s="11">
        <f t="shared" si="1"/>
        <v>6</v>
      </c>
      <c r="P54" s="25"/>
      <c r="Q54" s="10" t="str">
        <f t="shared" si="2"/>
        <v>MarçoSEMANA 2Vinho Benjamin Cab. Sauvignon 750 ml</v>
      </c>
      <c r="R54" s="7">
        <f>SUMIF(NF!$A:$A,$Q54,NF!$I:$I)</f>
        <v>0</v>
      </c>
      <c r="S54" s="6"/>
      <c r="T54" s="6"/>
      <c r="U54" s="6"/>
      <c r="V54" s="6"/>
      <c r="W54" s="6"/>
      <c r="X54" s="6"/>
      <c r="Y54" s="6">
        <v>1</v>
      </c>
      <c r="Z54" s="7">
        <f t="shared" si="32"/>
        <v>1</v>
      </c>
      <c r="AA54" s="11">
        <f t="shared" si="3"/>
        <v>5</v>
      </c>
      <c r="AB54" s="25"/>
      <c r="AC54" s="10" t="str">
        <f t="shared" si="4"/>
        <v>MarçoSEMANA 3Vinho Benjamin Cab. Sauvignon 750 ml</v>
      </c>
      <c r="AD54" s="7">
        <f>SUMIF(NF!$A:$A,$AC54,NF!$I:$I)</f>
        <v>0</v>
      </c>
      <c r="AE54" s="6"/>
      <c r="AF54" s="6"/>
      <c r="AG54" s="6"/>
      <c r="AH54" s="6"/>
      <c r="AI54" s="6"/>
      <c r="AJ54" s="6"/>
      <c r="AK54" s="6"/>
      <c r="AL54" s="7">
        <f t="shared" si="33"/>
        <v>0</v>
      </c>
      <c r="AM54" s="11">
        <f t="shared" si="5"/>
        <v>5</v>
      </c>
      <c r="AN54" s="25"/>
      <c r="AO54" s="10" t="str">
        <f t="shared" si="6"/>
        <v>MarçoSEMANA 4Vinho Benjamin Cab. Sauvignon 750 ml</v>
      </c>
      <c r="AP54" s="7">
        <f>SUMIF(NF!$A:$A,$AO54,NF!$I:$I)</f>
        <v>0</v>
      </c>
      <c r="AQ54" s="6"/>
      <c r="AR54" s="6"/>
      <c r="AS54" s="6"/>
      <c r="AT54" s="6"/>
      <c r="AU54" s="6">
        <f>1-(1)</f>
        <v>0</v>
      </c>
      <c r="AV54" s="6"/>
      <c r="AW54" s="6"/>
      <c r="AX54" s="7">
        <f t="shared" si="34"/>
        <v>0</v>
      </c>
      <c r="AY54" s="11">
        <f t="shared" si="7"/>
        <v>5</v>
      </c>
      <c r="AZ54" s="25"/>
      <c r="BA54" s="10" t="str">
        <f t="shared" si="8"/>
        <v>MarçoSEMANA 5Vinho Benjamin Cab. Sauvignon 750 ml</v>
      </c>
      <c r="BB54" s="7">
        <f>SUMIF(NF!$A:$A,$BA54,NF!$I:$I)</f>
        <v>0</v>
      </c>
      <c r="BC54" s="6"/>
      <c r="BD54" s="6"/>
      <c r="BE54" s="6"/>
      <c r="BF54" s="6"/>
      <c r="BG54" s="6"/>
      <c r="BH54" s="6"/>
      <c r="BI54" s="74"/>
      <c r="BJ54" s="74"/>
      <c r="BK54" s="7">
        <f t="shared" si="35"/>
        <v>0</v>
      </c>
      <c r="BL54" s="8">
        <f t="shared" si="9"/>
        <v>5</v>
      </c>
      <c r="BM54" s="51" t="str">
        <f>IFERROR(VLOOKUP(A54,NF!$M:$O,3,0),"")</f>
        <v>Bebidas</v>
      </c>
      <c r="BN54" s="7">
        <f t="shared" si="10"/>
        <v>1</v>
      </c>
      <c r="BO54" s="8">
        <f t="array" ref="BO54">IFERROR(LARGE(IF(NF!$G$2:$G$3137='Mês atual'!A54,NF!$J$2:$J$3137),1),0)*BN54</f>
        <v>0</v>
      </c>
      <c r="BP54" s="50"/>
      <c r="BR54" s="146">
        <f t="array" ref="BR54">IFERROR(LARGE(IF(NF!$G$2:$G$3137='Mês atual'!A54,NF!$J$2:$J$3137),1),0)</f>
        <v>0</v>
      </c>
      <c r="BS54" s="142" t="str">
        <f>VLOOKUP(A54,NF!M:O,3,0)</f>
        <v>Bebidas</v>
      </c>
      <c r="BV54" s="74">
        <f t="shared" si="11"/>
        <v>0</v>
      </c>
      <c r="BW54" s="74">
        <f t="shared" si="12"/>
        <v>1</v>
      </c>
      <c r="BX54" s="74">
        <f t="shared" si="13"/>
        <v>0</v>
      </c>
      <c r="BY54" s="74">
        <f t="shared" si="14"/>
        <v>0</v>
      </c>
      <c r="BZ54" s="74">
        <f t="shared" si="15"/>
        <v>0</v>
      </c>
    </row>
    <row r="55" spans="1:78" x14ac:dyDescent="0.2">
      <c r="A55" s="108" t="s">
        <v>847</v>
      </c>
      <c r="B55" s="12"/>
      <c r="C55" s="9">
        <v>4</v>
      </c>
      <c r="D55" s="25"/>
      <c r="E55" s="10" t="str">
        <f t="shared" si="0"/>
        <v>MarçoSEMANA 1Vinho Benjamin Chardonnay 750 ml</v>
      </c>
      <c r="F55" s="7">
        <f>SUMIF(NF!$A:$A,$E55,NF!$I:$I)</f>
        <v>0</v>
      </c>
      <c r="G55" s="74"/>
      <c r="H55" s="74"/>
      <c r="I55" s="74"/>
      <c r="J55" s="6"/>
      <c r="K55" s="6"/>
      <c r="L55" s="6"/>
      <c r="M55" s="6">
        <f>1</f>
        <v>1</v>
      </c>
      <c r="N55" s="7">
        <f t="shared" si="31"/>
        <v>1</v>
      </c>
      <c r="O55" s="11">
        <f t="shared" si="1"/>
        <v>3</v>
      </c>
      <c r="P55" s="25"/>
      <c r="Q55" s="10" t="str">
        <f t="shared" si="2"/>
        <v>MarçoSEMANA 2Vinho Benjamin Chardonnay 750 ml</v>
      </c>
      <c r="R55" s="7">
        <f>SUMIF(NF!$A:$A,$Q55,NF!$I:$I)</f>
        <v>0</v>
      </c>
      <c r="S55" s="6"/>
      <c r="T55" s="6"/>
      <c r="U55" s="6"/>
      <c r="V55" s="6"/>
      <c r="W55" s="6"/>
      <c r="X55" s="6"/>
      <c r="Y55" s="6"/>
      <c r="Z55" s="7">
        <f t="shared" si="32"/>
        <v>0</v>
      </c>
      <c r="AA55" s="11">
        <f t="shared" si="3"/>
        <v>3</v>
      </c>
      <c r="AB55" s="25"/>
      <c r="AC55" s="10" t="str">
        <f t="shared" si="4"/>
        <v>MarçoSEMANA 3Vinho Benjamin Chardonnay 750 ml</v>
      </c>
      <c r="AD55" s="7">
        <f>SUMIF(NF!$A:$A,$AC55,NF!$I:$I)</f>
        <v>0</v>
      </c>
      <c r="AE55" s="6"/>
      <c r="AF55" s="6"/>
      <c r="AG55" s="6"/>
      <c r="AH55" s="6"/>
      <c r="AI55" s="6"/>
      <c r="AJ55" s="6"/>
      <c r="AK55" s="6"/>
      <c r="AL55" s="7">
        <f t="shared" si="33"/>
        <v>0</v>
      </c>
      <c r="AM55" s="11">
        <f t="shared" si="5"/>
        <v>3</v>
      </c>
      <c r="AN55" s="25"/>
      <c r="AO55" s="10" t="str">
        <f t="shared" si="6"/>
        <v>MarçoSEMANA 4Vinho Benjamin Chardonnay 750 ml</v>
      </c>
      <c r="AP55" s="7">
        <f>SUMIF(NF!$A:$A,$AO55,NF!$I:$I)</f>
        <v>0</v>
      </c>
      <c r="AQ55" s="6"/>
      <c r="AR55" s="6"/>
      <c r="AS55" s="6"/>
      <c r="AT55" s="6"/>
      <c r="AU55" s="6"/>
      <c r="AV55" s="6"/>
      <c r="AW55" s="6"/>
      <c r="AX55" s="7">
        <f t="shared" si="34"/>
        <v>0</v>
      </c>
      <c r="AY55" s="11">
        <f t="shared" si="7"/>
        <v>3</v>
      </c>
      <c r="AZ55" s="25"/>
      <c r="BA55" s="10" t="str">
        <f t="shared" si="8"/>
        <v>MarçoSEMANA 5Vinho Benjamin Chardonnay 750 ml</v>
      </c>
      <c r="BB55" s="7">
        <f>SUMIF(NF!$A:$A,$BA55,NF!$I:$I)</f>
        <v>0</v>
      </c>
      <c r="BC55" s="6"/>
      <c r="BD55" s="6"/>
      <c r="BE55" s="6"/>
      <c r="BF55" s="6"/>
      <c r="BG55" s="6">
        <v>1</v>
      </c>
      <c r="BH55" s="6"/>
      <c r="BI55" s="74"/>
      <c r="BJ55" s="74"/>
      <c r="BK55" s="7">
        <f t="shared" si="35"/>
        <v>1</v>
      </c>
      <c r="BL55" s="8">
        <f t="shared" si="9"/>
        <v>2</v>
      </c>
      <c r="BM55" s="51" t="str">
        <f>IFERROR(VLOOKUP(A55,NF!$M:$O,3,0),"")</f>
        <v>Bebidas</v>
      </c>
      <c r="BN55" s="7">
        <f t="shared" si="10"/>
        <v>2</v>
      </c>
      <c r="BO55" s="8">
        <f t="array" ref="BO55">IFERROR(LARGE(IF(NF!$G$2:$G$3137='Mês atual'!A55,NF!$J$2:$J$3137),1),0)*BN55</f>
        <v>0</v>
      </c>
      <c r="BP55" s="50"/>
      <c r="BR55" s="146">
        <f t="array" ref="BR55">IFERROR(LARGE(IF(NF!$G$2:$G$3137='Mês atual'!A55,NF!$J$2:$J$3137),1),0)</f>
        <v>0</v>
      </c>
      <c r="BS55" s="142" t="str">
        <f>VLOOKUP(A55,NF!M:O,3,0)</f>
        <v>Bebidas</v>
      </c>
      <c r="BV55" s="74">
        <f t="shared" si="11"/>
        <v>1</v>
      </c>
      <c r="BW55" s="74">
        <f t="shared" si="12"/>
        <v>0</v>
      </c>
      <c r="BX55" s="74">
        <f t="shared" si="13"/>
        <v>0</v>
      </c>
      <c r="BY55" s="74">
        <f t="shared" si="14"/>
        <v>0</v>
      </c>
      <c r="BZ55" s="74">
        <f t="shared" si="15"/>
        <v>1</v>
      </c>
    </row>
    <row r="56" spans="1:78" x14ac:dyDescent="0.2">
      <c r="A56" s="108" t="s">
        <v>848</v>
      </c>
      <c r="B56" s="12"/>
      <c r="C56" s="9">
        <v>13</v>
      </c>
      <c r="D56" s="25"/>
      <c r="E56" s="10" t="str">
        <f t="shared" si="0"/>
        <v>MarçoSEMANA 1Vinho Benjamin Malbec 375 ml</v>
      </c>
      <c r="F56" s="7">
        <f>SUMIF(NF!$A:$A,$E56,NF!$I:$I)</f>
        <v>0</v>
      </c>
      <c r="G56" s="74"/>
      <c r="H56" s="74"/>
      <c r="I56" s="74"/>
      <c r="J56" s="6"/>
      <c r="K56" s="6"/>
      <c r="L56" s="6"/>
      <c r="M56" s="6"/>
      <c r="N56" s="7">
        <f t="shared" si="31"/>
        <v>0</v>
      </c>
      <c r="O56" s="11">
        <f t="shared" si="1"/>
        <v>13</v>
      </c>
      <c r="P56" s="25"/>
      <c r="Q56" s="10" t="str">
        <f t="shared" si="2"/>
        <v>MarçoSEMANA 2Vinho Benjamin Malbec 375 ml</v>
      </c>
      <c r="R56" s="7">
        <f>SUMIF(NF!$A:$A,$Q56,NF!$I:$I)</f>
        <v>0</v>
      </c>
      <c r="S56" s="6"/>
      <c r="T56" s="6"/>
      <c r="U56" s="6">
        <v>1</v>
      </c>
      <c r="V56" s="6"/>
      <c r="W56" s="6"/>
      <c r="X56" s="6"/>
      <c r="Y56" s="6"/>
      <c r="Z56" s="7">
        <f t="shared" si="32"/>
        <v>1</v>
      </c>
      <c r="AA56" s="11">
        <f t="shared" si="3"/>
        <v>12</v>
      </c>
      <c r="AB56" s="25"/>
      <c r="AC56" s="10" t="str">
        <f t="shared" si="4"/>
        <v>MarçoSEMANA 3Vinho Benjamin Malbec 375 ml</v>
      </c>
      <c r="AD56" s="7">
        <f>SUMIF(NF!$A:$A,$AC56,NF!$I:$I)</f>
        <v>0</v>
      </c>
      <c r="AE56" s="6"/>
      <c r="AF56" s="6"/>
      <c r="AG56" s="6"/>
      <c r="AH56" s="6"/>
      <c r="AI56" s="6"/>
      <c r="AJ56" s="6"/>
      <c r="AK56" s="6"/>
      <c r="AL56" s="7">
        <f t="shared" si="33"/>
        <v>0</v>
      </c>
      <c r="AM56" s="11">
        <f t="shared" si="5"/>
        <v>12</v>
      </c>
      <c r="AN56" s="25"/>
      <c r="AO56" s="10" t="str">
        <f t="shared" si="6"/>
        <v>MarçoSEMANA 4Vinho Benjamin Malbec 375 ml</v>
      </c>
      <c r="AP56" s="7">
        <f>SUMIF(NF!$A:$A,$AO56,NF!$I:$I)</f>
        <v>0</v>
      </c>
      <c r="AQ56" s="6"/>
      <c r="AR56" s="6"/>
      <c r="AS56" s="6"/>
      <c r="AT56" s="6"/>
      <c r="AU56" s="6"/>
      <c r="AV56" s="6"/>
      <c r="AW56" s="6"/>
      <c r="AX56" s="7">
        <f t="shared" si="34"/>
        <v>0</v>
      </c>
      <c r="AY56" s="11">
        <f t="shared" si="7"/>
        <v>12</v>
      </c>
      <c r="AZ56" s="25"/>
      <c r="BA56" s="10" t="str">
        <f t="shared" si="8"/>
        <v>MarçoSEMANA 5Vinho Benjamin Malbec 375 ml</v>
      </c>
      <c r="BB56" s="7">
        <f>SUMIF(NF!$A:$A,$BA56,NF!$I:$I)</f>
        <v>0</v>
      </c>
      <c r="BC56" s="6"/>
      <c r="BD56" s="6"/>
      <c r="BE56" s="6">
        <v>1</v>
      </c>
      <c r="BF56" s="6"/>
      <c r="BG56" s="6">
        <v>1</v>
      </c>
      <c r="BH56" s="6"/>
      <c r="BI56" s="74"/>
      <c r="BJ56" s="74"/>
      <c r="BK56" s="7">
        <f t="shared" si="35"/>
        <v>2</v>
      </c>
      <c r="BL56" s="8">
        <f t="shared" si="9"/>
        <v>10</v>
      </c>
      <c r="BM56" s="51" t="str">
        <f>IFERROR(VLOOKUP(A56,NF!$M:$O,3,0),"")</f>
        <v>Bebidas</v>
      </c>
      <c r="BN56" s="7">
        <f t="shared" si="10"/>
        <v>3</v>
      </c>
      <c r="BO56" s="8">
        <f t="array" ref="BO56">IFERROR(LARGE(IF(NF!$G$2:$G$3137='Mês atual'!A56,NF!$J$2:$J$3137),1),0)*BN56</f>
        <v>0</v>
      </c>
      <c r="BP56" s="50"/>
      <c r="BR56" s="146">
        <f t="array" ref="BR56">IFERROR(LARGE(IF(NF!$G$2:$G$3137='Mês atual'!A56,NF!$J$2:$J$3137),1),0)</f>
        <v>0</v>
      </c>
      <c r="BS56" s="142" t="str">
        <f>VLOOKUP(A56,NF!M:O,3,0)</f>
        <v>Bebidas</v>
      </c>
      <c r="BV56" s="74">
        <f t="shared" si="11"/>
        <v>0</v>
      </c>
      <c r="BW56" s="74">
        <f t="shared" si="12"/>
        <v>1</v>
      </c>
      <c r="BX56" s="74">
        <f t="shared" si="13"/>
        <v>0</v>
      </c>
      <c r="BY56" s="74">
        <f t="shared" si="14"/>
        <v>0</v>
      </c>
      <c r="BZ56" s="74">
        <f t="shared" si="15"/>
        <v>2</v>
      </c>
    </row>
    <row r="57" spans="1:78" x14ac:dyDescent="0.2">
      <c r="A57" s="108" t="s">
        <v>849</v>
      </c>
      <c r="B57" s="12"/>
      <c r="C57" s="9">
        <v>2</v>
      </c>
      <c r="D57" s="25"/>
      <c r="E57" s="10" t="str">
        <f t="shared" si="0"/>
        <v>MarçoSEMANA 1Vinho Benjamin Malbec 750 ml</v>
      </c>
      <c r="F57" s="7">
        <f>SUMIF(NF!$A:$A,$E57,NF!$I:$I)</f>
        <v>0</v>
      </c>
      <c r="G57" s="74"/>
      <c r="H57" s="74"/>
      <c r="I57" s="74"/>
      <c r="J57" s="6"/>
      <c r="K57" s="6"/>
      <c r="L57" s="6"/>
      <c r="M57" s="6"/>
      <c r="N57" s="7">
        <f t="shared" si="31"/>
        <v>0</v>
      </c>
      <c r="O57" s="11">
        <f t="shared" si="1"/>
        <v>2</v>
      </c>
      <c r="P57" s="25"/>
      <c r="Q57" s="10" t="str">
        <f t="shared" si="2"/>
        <v>MarçoSEMANA 2Vinho Benjamin Malbec 750 ml</v>
      </c>
      <c r="R57" s="7">
        <f>SUMIF(NF!$A:$A,$Q57,NF!$I:$I)</f>
        <v>0</v>
      </c>
      <c r="S57" s="6"/>
      <c r="T57" s="6"/>
      <c r="U57" s="6"/>
      <c r="V57" s="6"/>
      <c r="W57" s="6"/>
      <c r="X57" s="6"/>
      <c r="Y57" s="6"/>
      <c r="Z57" s="7">
        <f t="shared" si="32"/>
        <v>0</v>
      </c>
      <c r="AA57" s="11">
        <f t="shared" si="3"/>
        <v>2</v>
      </c>
      <c r="AB57" s="25"/>
      <c r="AC57" s="10" t="str">
        <f t="shared" si="4"/>
        <v>MarçoSEMANA 3Vinho Benjamin Malbec 750 ml</v>
      </c>
      <c r="AD57" s="7">
        <f>SUMIF(NF!$A:$A,$AC57,NF!$I:$I)</f>
        <v>0</v>
      </c>
      <c r="AE57" s="6"/>
      <c r="AF57" s="6"/>
      <c r="AG57" s="6"/>
      <c r="AH57" s="6"/>
      <c r="AI57" s="6"/>
      <c r="AJ57" s="6"/>
      <c r="AK57" s="6"/>
      <c r="AL57" s="7">
        <f t="shared" si="33"/>
        <v>0</v>
      </c>
      <c r="AM57" s="11">
        <f t="shared" si="5"/>
        <v>2</v>
      </c>
      <c r="AN57" s="25"/>
      <c r="AO57" s="10" t="str">
        <f t="shared" si="6"/>
        <v>MarçoSEMANA 4Vinho Benjamin Malbec 750 ml</v>
      </c>
      <c r="AP57" s="7">
        <f>SUMIF(NF!$A:$A,$AO57,NF!$I:$I)</f>
        <v>0</v>
      </c>
      <c r="AQ57" s="6"/>
      <c r="AR57" s="6"/>
      <c r="AS57" s="6"/>
      <c r="AT57" s="6"/>
      <c r="AU57" s="6">
        <v>1</v>
      </c>
      <c r="AV57" s="6"/>
      <c r="AW57" s="6"/>
      <c r="AX57" s="7">
        <f t="shared" si="34"/>
        <v>1</v>
      </c>
      <c r="AY57" s="11">
        <f t="shared" si="7"/>
        <v>1</v>
      </c>
      <c r="AZ57" s="25"/>
      <c r="BA57" s="10" t="str">
        <f t="shared" si="8"/>
        <v>MarçoSEMANA 5Vinho Benjamin Malbec 750 ml</v>
      </c>
      <c r="BB57" s="7">
        <f>SUMIF(NF!$A:$A,$BA57,NF!$I:$I)</f>
        <v>0</v>
      </c>
      <c r="BC57" s="6"/>
      <c r="BD57" s="6"/>
      <c r="BE57" s="6"/>
      <c r="BF57" s="6"/>
      <c r="BG57" s="6"/>
      <c r="BH57" s="6"/>
      <c r="BI57" s="74"/>
      <c r="BJ57" s="74"/>
      <c r="BK57" s="7">
        <f t="shared" si="35"/>
        <v>0</v>
      </c>
      <c r="BL57" s="8">
        <f t="shared" si="9"/>
        <v>1</v>
      </c>
      <c r="BM57" s="51" t="str">
        <f>IFERROR(VLOOKUP(A57,NF!$M:$O,3,0),"")</f>
        <v>Bebidas</v>
      </c>
      <c r="BN57" s="7">
        <f t="shared" si="10"/>
        <v>1</v>
      </c>
      <c r="BO57" s="8">
        <f t="array" ref="BO57">IFERROR(LARGE(IF(NF!$G$2:$G$3137='Mês atual'!A57,NF!$J$2:$J$3137),1),0)*BN57</f>
        <v>0</v>
      </c>
      <c r="BP57" s="50"/>
      <c r="BR57" s="146">
        <f t="array" ref="BR57">IFERROR(LARGE(IF(NF!$G$2:$G$3137='Mês atual'!A57,NF!$J$2:$J$3137),1),0)</f>
        <v>0</v>
      </c>
      <c r="BS57" s="142" t="str">
        <f>VLOOKUP(A57,NF!M:O,3,0)</f>
        <v>Bebidas</v>
      </c>
      <c r="BV57" s="74">
        <f t="shared" si="11"/>
        <v>0</v>
      </c>
      <c r="BW57" s="74">
        <f t="shared" si="12"/>
        <v>0</v>
      </c>
      <c r="BX57" s="74">
        <f t="shared" si="13"/>
        <v>0</v>
      </c>
      <c r="BY57" s="74">
        <f t="shared" si="14"/>
        <v>1</v>
      </c>
      <c r="BZ57" s="74">
        <f t="shared" si="15"/>
        <v>0</v>
      </c>
    </row>
    <row r="58" spans="1:78" x14ac:dyDescent="0.2">
      <c r="A58" s="108" t="s">
        <v>851</v>
      </c>
      <c r="B58" s="12"/>
      <c r="C58" s="9">
        <v>0</v>
      </c>
      <c r="D58" s="25"/>
      <c r="E58" s="10" t="str">
        <f t="shared" si="0"/>
        <v>MarçoSEMANA 1Vinho Cassal Del Ronco - Prosseco</v>
      </c>
      <c r="F58" s="7">
        <f>SUMIF(NF!$A:$A,$E58,NF!$I:$I)</f>
        <v>0</v>
      </c>
      <c r="G58" s="74"/>
      <c r="H58" s="74"/>
      <c r="I58" s="74"/>
      <c r="J58" s="6"/>
      <c r="K58" s="6"/>
      <c r="L58" s="6"/>
      <c r="M58" s="6"/>
      <c r="N58" s="7">
        <f t="shared" si="31"/>
        <v>0</v>
      </c>
      <c r="O58" s="11">
        <f t="shared" si="1"/>
        <v>0</v>
      </c>
      <c r="P58" s="25"/>
      <c r="Q58" s="10" t="str">
        <f t="shared" si="2"/>
        <v>MarçoSEMANA 2Vinho Cassal Del Ronco - Prosseco</v>
      </c>
      <c r="R58" s="7">
        <f>SUMIF(NF!$A:$A,$Q58,NF!$I:$I)</f>
        <v>0</v>
      </c>
      <c r="S58" s="6"/>
      <c r="T58" s="6"/>
      <c r="U58" s="6"/>
      <c r="V58" s="6"/>
      <c r="W58" s="6"/>
      <c r="X58" s="6"/>
      <c r="Y58" s="6"/>
      <c r="Z58" s="7">
        <f t="shared" si="32"/>
        <v>0</v>
      </c>
      <c r="AA58" s="11">
        <f t="shared" si="3"/>
        <v>0</v>
      </c>
      <c r="AB58" s="25"/>
      <c r="AC58" s="10" t="str">
        <f t="shared" si="4"/>
        <v>MarçoSEMANA 3Vinho Cassal Del Ronco - Prosseco</v>
      </c>
      <c r="AD58" s="7">
        <f>SUMIF(NF!$A:$A,$AC58,NF!$I:$I)</f>
        <v>0</v>
      </c>
      <c r="AE58" s="6"/>
      <c r="AF58" s="6"/>
      <c r="AG58" s="6"/>
      <c r="AH58" s="6"/>
      <c r="AI58" s="6"/>
      <c r="AJ58" s="6"/>
      <c r="AK58" s="6"/>
      <c r="AL58" s="7">
        <f t="shared" si="33"/>
        <v>0</v>
      </c>
      <c r="AM58" s="11">
        <f t="shared" si="5"/>
        <v>0</v>
      </c>
      <c r="AN58" s="25"/>
      <c r="AO58" s="10" t="str">
        <f t="shared" si="6"/>
        <v>MarçoSEMANA 4Vinho Cassal Del Ronco - Prosseco</v>
      </c>
      <c r="AP58" s="7">
        <f>SUMIF(NF!$A:$A,$AO58,NF!$I:$I)</f>
        <v>0</v>
      </c>
      <c r="AQ58" s="6"/>
      <c r="AR58" s="6"/>
      <c r="AS58" s="6"/>
      <c r="AT58" s="6"/>
      <c r="AU58" s="6"/>
      <c r="AV58" s="6"/>
      <c r="AW58" s="6"/>
      <c r="AX58" s="7">
        <f t="shared" si="34"/>
        <v>0</v>
      </c>
      <c r="AY58" s="11">
        <f t="shared" si="7"/>
        <v>0</v>
      </c>
      <c r="AZ58" s="25"/>
      <c r="BA58" s="10" t="str">
        <f t="shared" si="8"/>
        <v>MarçoSEMANA 5Vinho Cassal Del Ronco - Prosseco</v>
      </c>
      <c r="BB58" s="7">
        <f>SUMIF(NF!$A:$A,$BA58,NF!$I:$I)</f>
        <v>0</v>
      </c>
      <c r="BC58" s="6"/>
      <c r="BD58" s="6"/>
      <c r="BE58" s="6"/>
      <c r="BF58" s="6"/>
      <c r="BG58" s="6"/>
      <c r="BH58" s="6"/>
      <c r="BI58" s="74"/>
      <c r="BJ58" s="74"/>
      <c r="BK58" s="7">
        <f t="shared" si="35"/>
        <v>0</v>
      </c>
      <c r="BL58" s="8">
        <f t="shared" si="9"/>
        <v>0</v>
      </c>
      <c r="BM58" s="51" t="str">
        <f>IFERROR(VLOOKUP(A58,NF!$M:$O,3,0),"")</f>
        <v>Bebidas</v>
      </c>
      <c r="BN58" s="7">
        <f t="shared" si="10"/>
        <v>0</v>
      </c>
      <c r="BO58" s="8">
        <f t="array" ref="BO58">IFERROR(LARGE(IF(NF!$G$2:$G$3137='Mês atual'!A58,NF!$J$2:$J$3137),1),0)*BN58</f>
        <v>0</v>
      </c>
      <c r="BP58" s="50"/>
      <c r="BR58" s="146">
        <f t="array" ref="BR58">IFERROR(LARGE(IF(NF!$G$2:$G$3137='Mês atual'!A58,NF!$J$2:$J$3137),1),0)</f>
        <v>0</v>
      </c>
      <c r="BS58" s="142" t="str">
        <f>VLOOKUP(A58,NF!M:O,3,0)</f>
        <v>Bebidas</v>
      </c>
      <c r="BV58" s="74">
        <f t="shared" si="11"/>
        <v>0</v>
      </c>
      <c r="BW58" s="74">
        <f t="shared" si="12"/>
        <v>0</v>
      </c>
      <c r="BX58" s="74">
        <f t="shared" si="13"/>
        <v>0</v>
      </c>
      <c r="BY58" s="74">
        <f t="shared" si="14"/>
        <v>0</v>
      </c>
      <c r="BZ58" s="74">
        <f t="shared" si="15"/>
        <v>0</v>
      </c>
    </row>
    <row r="59" spans="1:78" x14ac:dyDescent="0.2">
      <c r="A59" s="108" t="s">
        <v>852</v>
      </c>
      <c r="B59" s="12"/>
      <c r="C59" s="9">
        <v>0</v>
      </c>
      <c r="D59" s="25"/>
      <c r="E59" s="10" t="str">
        <f t="shared" si="0"/>
        <v>MarçoSEMANA 1Vinho Cefiro Cab. Sauvignon 187 ml</v>
      </c>
      <c r="F59" s="7">
        <f>SUMIF(NF!$A:$A,$E59,NF!$I:$I)</f>
        <v>0</v>
      </c>
      <c r="G59" s="74"/>
      <c r="H59" s="74"/>
      <c r="I59" s="74"/>
      <c r="J59" s="6"/>
      <c r="K59" s="6"/>
      <c r="L59" s="6"/>
      <c r="M59" s="6"/>
      <c r="N59" s="7">
        <f t="shared" si="31"/>
        <v>0</v>
      </c>
      <c r="O59" s="11">
        <f t="shared" si="1"/>
        <v>0</v>
      </c>
      <c r="P59" s="25"/>
      <c r="Q59" s="10" t="str">
        <f t="shared" si="2"/>
        <v>MarçoSEMANA 2Vinho Cefiro Cab. Sauvignon 187 ml</v>
      </c>
      <c r="R59" s="7">
        <f>SUMIF(NF!$A:$A,$Q59,NF!$I:$I)</f>
        <v>0</v>
      </c>
      <c r="S59" s="6"/>
      <c r="T59" s="6"/>
      <c r="U59" s="6"/>
      <c r="V59" s="6"/>
      <c r="W59" s="6"/>
      <c r="X59" s="6"/>
      <c r="Y59" s="6"/>
      <c r="Z59" s="7">
        <f t="shared" si="32"/>
        <v>0</v>
      </c>
      <c r="AA59" s="11">
        <f t="shared" si="3"/>
        <v>0</v>
      </c>
      <c r="AB59" s="25"/>
      <c r="AC59" s="10" t="str">
        <f t="shared" si="4"/>
        <v>MarçoSEMANA 3Vinho Cefiro Cab. Sauvignon 187 ml</v>
      </c>
      <c r="AD59" s="7">
        <f>SUMIF(NF!$A:$A,$AC59,NF!$I:$I)</f>
        <v>0</v>
      </c>
      <c r="AE59" s="6"/>
      <c r="AF59" s="6"/>
      <c r="AG59" s="6"/>
      <c r="AH59" s="6"/>
      <c r="AI59" s="6"/>
      <c r="AJ59" s="6"/>
      <c r="AK59" s="6"/>
      <c r="AL59" s="7">
        <f t="shared" si="33"/>
        <v>0</v>
      </c>
      <c r="AM59" s="11">
        <f t="shared" si="5"/>
        <v>0</v>
      </c>
      <c r="AN59" s="25"/>
      <c r="AO59" s="10" t="str">
        <f t="shared" si="6"/>
        <v>MarçoSEMANA 4Vinho Cefiro Cab. Sauvignon 187 ml</v>
      </c>
      <c r="AP59" s="7">
        <f>SUMIF(NF!$A:$A,$AO59,NF!$I:$I)</f>
        <v>0</v>
      </c>
      <c r="AQ59" s="6"/>
      <c r="AR59" s="6"/>
      <c r="AS59" s="6"/>
      <c r="AT59" s="6"/>
      <c r="AU59" s="6"/>
      <c r="AV59" s="6"/>
      <c r="AW59" s="6"/>
      <c r="AX59" s="7">
        <f t="shared" si="34"/>
        <v>0</v>
      </c>
      <c r="AY59" s="11">
        <f t="shared" si="7"/>
        <v>0</v>
      </c>
      <c r="AZ59" s="25"/>
      <c r="BA59" s="10" t="str">
        <f t="shared" si="8"/>
        <v>MarçoSEMANA 5Vinho Cefiro Cab. Sauvignon 187 ml</v>
      </c>
      <c r="BB59" s="7">
        <f>SUMIF(NF!$A:$A,$BA59,NF!$I:$I)</f>
        <v>0</v>
      </c>
      <c r="BC59" s="6"/>
      <c r="BD59" s="6"/>
      <c r="BE59" s="6"/>
      <c r="BF59" s="6"/>
      <c r="BG59" s="6"/>
      <c r="BH59" s="6"/>
      <c r="BI59" s="74"/>
      <c r="BJ59" s="74"/>
      <c r="BK59" s="7">
        <f t="shared" si="35"/>
        <v>0</v>
      </c>
      <c r="BL59" s="8">
        <f t="shared" si="9"/>
        <v>0</v>
      </c>
      <c r="BM59" s="51" t="str">
        <f>IFERROR(VLOOKUP(A59,NF!$M:$O,3,0),"")</f>
        <v>Bebidas</v>
      </c>
      <c r="BN59" s="7">
        <f t="shared" si="10"/>
        <v>0</v>
      </c>
      <c r="BO59" s="8">
        <f t="array" ref="BO59">IFERROR(LARGE(IF(NF!$G$2:$G$3137='Mês atual'!A59,NF!$J$2:$J$3137),1),0)*BN59</f>
        <v>0</v>
      </c>
      <c r="BP59" s="50"/>
      <c r="BR59" s="146">
        <f t="array" ref="BR59">IFERROR(LARGE(IF(NF!$G$2:$G$3137='Mês atual'!A59,NF!$J$2:$J$3137),1),0)</f>
        <v>0</v>
      </c>
      <c r="BS59" s="142" t="str">
        <f>VLOOKUP(A59,NF!M:O,3,0)</f>
        <v>Bebidas</v>
      </c>
      <c r="BV59" s="74">
        <f t="shared" si="11"/>
        <v>0</v>
      </c>
      <c r="BW59" s="74">
        <f t="shared" si="12"/>
        <v>0</v>
      </c>
      <c r="BX59" s="74">
        <f t="shared" si="13"/>
        <v>0</v>
      </c>
      <c r="BY59" s="74">
        <f t="shared" si="14"/>
        <v>0</v>
      </c>
      <c r="BZ59" s="74">
        <f t="shared" si="15"/>
        <v>0</v>
      </c>
    </row>
    <row r="60" spans="1:78" x14ac:dyDescent="0.2">
      <c r="A60" s="108" t="s">
        <v>853</v>
      </c>
      <c r="B60" s="12"/>
      <c r="C60" s="9">
        <v>4</v>
      </c>
      <c r="D60" s="25"/>
      <c r="E60" s="10" t="str">
        <f t="shared" si="0"/>
        <v>MarçoSEMANA 1Vinho Cefiro Cab. Sauvignon 375 ml</v>
      </c>
      <c r="F60" s="7">
        <f>SUMIF(NF!$A:$A,$E60,NF!$I:$I)</f>
        <v>0</v>
      </c>
      <c r="G60" s="74"/>
      <c r="H60" s="74"/>
      <c r="I60" s="74"/>
      <c r="J60" s="6"/>
      <c r="K60" s="6"/>
      <c r="L60" s="6"/>
      <c r="M60" s="6"/>
      <c r="N60" s="7">
        <f t="shared" si="31"/>
        <v>0</v>
      </c>
      <c r="O60" s="11">
        <f t="shared" si="1"/>
        <v>4</v>
      </c>
      <c r="P60" s="25"/>
      <c r="Q60" s="10" t="str">
        <f t="shared" si="2"/>
        <v>MarçoSEMANA 2Vinho Cefiro Cab. Sauvignon 375 ml</v>
      </c>
      <c r="R60" s="7">
        <f>SUMIF(NF!$A:$A,$Q60,NF!$I:$I)</f>
        <v>0</v>
      </c>
      <c r="S60" s="6"/>
      <c r="T60" s="6"/>
      <c r="U60" s="6">
        <v>2</v>
      </c>
      <c r="V60" s="6">
        <v>1</v>
      </c>
      <c r="W60" s="6">
        <f>(1)</f>
        <v>1</v>
      </c>
      <c r="X60" s="6"/>
      <c r="Y60" s="6"/>
      <c r="Z60" s="7">
        <f t="shared" si="32"/>
        <v>4</v>
      </c>
      <c r="AA60" s="11">
        <f t="shared" si="3"/>
        <v>0</v>
      </c>
      <c r="AB60" s="25"/>
      <c r="AC60" s="10" t="str">
        <f t="shared" si="4"/>
        <v>MarçoSEMANA 3Vinho Cefiro Cab. Sauvignon 375 ml</v>
      </c>
      <c r="AD60" s="7">
        <f>SUMIF(NF!$A:$A,$AC60,NF!$I:$I)</f>
        <v>0</v>
      </c>
      <c r="AE60" s="6"/>
      <c r="AF60" s="6"/>
      <c r="AG60" s="6"/>
      <c r="AH60" s="6"/>
      <c r="AI60" s="6"/>
      <c r="AJ60" s="6"/>
      <c r="AK60" s="6"/>
      <c r="AL60" s="7">
        <f t="shared" si="33"/>
        <v>0</v>
      </c>
      <c r="AM60" s="11">
        <f t="shared" si="5"/>
        <v>0</v>
      </c>
      <c r="AN60" s="25"/>
      <c r="AO60" s="10" t="str">
        <f t="shared" si="6"/>
        <v>MarçoSEMANA 4Vinho Cefiro Cab. Sauvignon 375 ml</v>
      </c>
      <c r="AP60" s="7">
        <f>SUMIF(NF!$A:$A,$AO60,NF!$I:$I)</f>
        <v>0</v>
      </c>
      <c r="AQ60" s="6"/>
      <c r="AR60" s="6"/>
      <c r="AS60" s="6"/>
      <c r="AT60" s="6"/>
      <c r="AU60" s="6"/>
      <c r="AV60" s="6"/>
      <c r="AW60" s="6"/>
      <c r="AX60" s="7">
        <f t="shared" si="34"/>
        <v>0</v>
      </c>
      <c r="AY60" s="11">
        <f t="shared" si="7"/>
        <v>0</v>
      </c>
      <c r="AZ60" s="25"/>
      <c r="BA60" s="10" t="str">
        <f t="shared" si="8"/>
        <v>MarçoSEMANA 5Vinho Cefiro Cab. Sauvignon 375 ml</v>
      </c>
      <c r="BB60" s="7">
        <f>SUMIF(NF!$A:$A,$BA60,NF!$I:$I)</f>
        <v>0</v>
      </c>
      <c r="BC60" s="6"/>
      <c r="BD60" s="6"/>
      <c r="BE60" s="6"/>
      <c r="BF60" s="6"/>
      <c r="BG60" s="6"/>
      <c r="BH60" s="6"/>
      <c r="BI60" s="74"/>
      <c r="BJ60" s="74"/>
      <c r="BK60" s="7">
        <f t="shared" si="35"/>
        <v>0</v>
      </c>
      <c r="BL60" s="8">
        <f t="shared" si="9"/>
        <v>0</v>
      </c>
      <c r="BM60" s="51" t="str">
        <f>IFERROR(VLOOKUP(A60,NF!$M:$O,3,0),"")</f>
        <v>Bebidas</v>
      </c>
      <c r="BN60" s="7">
        <f t="shared" si="10"/>
        <v>4</v>
      </c>
      <c r="BO60" s="8">
        <f t="array" ref="BO60">IFERROR(LARGE(IF(NF!$G$2:$G$3137='Mês atual'!A60,NF!$J$2:$J$3137),1),0)*BN60</f>
        <v>0</v>
      </c>
      <c r="BP60" s="50"/>
      <c r="BR60" s="146">
        <f t="array" ref="BR60">IFERROR(LARGE(IF(NF!$G$2:$G$3137='Mês atual'!A60,NF!$J$2:$J$3137),1),0)</f>
        <v>0</v>
      </c>
      <c r="BS60" s="142" t="str">
        <f>VLOOKUP(A60,NF!M:O,3,0)</f>
        <v>Bebidas</v>
      </c>
      <c r="BV60" s="74">
        <f t="shared" si="11"/>
        <v>0</v>
      </c>
      <c r="BW60" s="74">
        <f t="shared" si="12"/>
        <v>4</v>
      </c>
      <c r="BX60" s="74">
        <f t="shared" si="13"/>
        <v>0</v>
      </c>
      <c r="BY60" s="74">
        <f t="shared" si="14"/>
        <v>0</v>
      </c>
      <c r="BZ60" s="74">
        <f t="shared" si="15"/>
        <v>0</v>
      </c>
    </row>
    <row r="61" spans="1:78" x14ac:dyDescent="0.2">
      <c r="A61" s="108" t="s">
        <v>854</v>
      </c>
      <c r="B61" s="12"/>
      <c r="C61" s="9">
        <v>2</v>
      </c>
      <c r="D61" s="25"/>
      <c r="E61" s="10" t="str">
        <f t="shared" si="0"/>
        <v>MarçoSEMANA 1Vinho Cefiro Cab. Sauvignon 750 ml</v>
      </c>
      <c r="F61" s="7">
        <f>SUMIF(NF!$A:$A,$E61,NF!$I:$I)</f>
        <v>0</v>
      </c>
      <c r="G61" s="74"/>
      <c r="H61" s="74"/>
      <c r="I61" s="74"/>
      <c r="J61" s="6"/>
      <c r="K61" s="6"/>
      <c r="L61" s="6"/>
      <c r="M61" s="6"/>
      <c r="N61" s="7">
        <f t="shared" si="31"/>
        <v>0</v>
      </c>
      <c r="O61" s="11">
        <f t="shared" si="1"/>
        <v>2</v>
      </c>
      <c r="P61" s="25"/>
      <c r="Q61" s="10" t="str">
        <f t="shared" si="2"/>
        <v>MarçoSEMANA 2Vinho Cefiro Cab. Sauvignon 750 ml</v>
      </c>
      <c r="R61" s="7">
        <f>SUMIF(NF!$A:$A,$Q61,NF!$I:$I)</f>
        <v>0</v>
      </c>
      <c r="S61" s="6"/>
      <c r="T61" s="6"/>
      <c r="U61" s="6"/>
      <c r="V61" s="6"/>
      <c r="W61" s="6">
        <v>1</v>
      </c>
      <c r="X61" s="6"/>
      <c r="Y61" s="6"/>
      <c r="Z61" s="7">
        <f t="shared" si="32"/>
        <v>1</v>
      </c>
      <c r="AA61" s="11">
        <f t="shared" si="3"/>
        <v>1</v>
      </c>
      <c r="AB61" s="25"/>
      <c r="AC61" s="10" t="str">
        <f t="shared" si="4"/>
        <v>MarçoSEMANA 3Vinho Cefiro Cab. Sauvignon 750 ml</v>
      </c>
      <c r="AD61" s="7">
        <f>SUMIF(NF!$A:$A,$AC61,NF!$I:$I)</f>
        <v>0</v>
      </c>
      <c r="AE61" s="6"/>
      <c r="AF61" s="6"/>
      <c r="AG61" s="6">
        <v>1</v>
      </c>
      <c r="AH61" s="6"/>
      <c r="AI61" s="6"/>
      <c r="AJ61" s="6"/>
      <c r="AK61" s="6"/>
      <c r="AL61" s="7">
        <f t="shared" si="33"/>
        <v>1</v>
      </c>
      <c r="AM61" s="11">
        <f t="shared" si="5"/>
        <v>0</v>
      </c>
      <c r="AN61" s="25"/>
      <c r="AO61" s="10" t="str">
        <f t="shared" si="6"/>
        <v>MarçoSEMANA 4Vinho Cefiro Cab. Sauvignon 750 ml</v>
      </c>
      <c r="AP61" s="7">
        <f>SUMIF(NF!$A:$A,$AO61,NF!$I:$I)</f>
        <v>0</v>
      </c>
      <c r="AQ61" s="6"/>
      <c r="AR61" s="6"/>
      <c r="AS61" s="6"/>
      <c r="AT61" s="6"/>
      <c r="AU61" s="6"/>
      <c r="AV61" s="6"/>
      <c r="AW61" s="6"/>
      <c r="AX61" s="7">
        <f t="shared" si="34"/>
        <v>0</v>
      </c>
      <c r="AY61" s="11">
        <f t="shared" si="7"/>
        <v>0</v>
      </c>
      <c r="AZ61" s="25"/>
      <c r="BA61" s="10" t="str">
        <f t="shared" si="8"/>
        <v>MarçoSEMANA 5Vinho Cefiro Cab. Sauvignon 750 ml</v>
      </c>
      <c r="BB61" s="7">
        <f>SUMIF(NF!$A:$A,$BA61,NF!$I:$I)</f>
        <v>0</v>
      </c>
      <c r="BC61" s="6"/>
      <c r="BD61" s="6"/>
      <c r="BE61" s="6"/>
      <c r="BF61" s="6"/>
      <c r="BG61" s="6"/>
      <c r="BH61" s="6"/>
      <c r="BI61" s="74"/>
      <c r="BJ61" s="74"/>
      <c r="BK61" s="7">
        <f t="shared" si="35"/>
        <v>0</v>
      </c>
      <c r="BL61" s="8">
        <f t="shared" si="9"/>
        <v>0</v>
      </c>
      <c r="BM61" s="51" t="str">
        <f>IFERROR(VLOOKUP(A61,NF!$M:$O,3,0),"")</f>
        <v>Bebidas</v>
      </c>
      <c r="BN61" s="7">
        <f t="shared" si="10"/>
        <v>2</v>
      </c>
      <c r="BO61" s="8">
        <f t="array" ref="BO61">IFERROR(LARGE(IF(NF!$G$2:$G$3137='Mês atual'!A61,NF!$J$2:$J$3137),1),0)*BN61</f>
        <v>0</v>
      </c>
      <c r="BP61" s="50"/>
      <c r="BR61" s="146">
        <f t="array" ref="BR61">IFERROR(LARGE(IF(NF!$G$2:$G$3137='Mês atual'!A61,NF!$J$2:$J$3137),1),0)</f>
        <v>0</v>
      </c>
      <c r="BS61" s="142" t="str">
        <f>VLOOKUP(A61,NF!M:O,3,0)</f>
        <v>Bebidas</v>
      </c>
      <c r="BV61" s="74">
        <f t="shared" si="11"/>
        <v>0</v>
      </c>
      <c r="BW61" s="74">
        <f t="shared" si="12"/>
        <v>1</v>
      </c>
      <c r="BX61" s="74">
        <f t="shared" si="13"/>
        <v>1</v>
      </c>
      <c r="BY61" s="74">
        <f t="shared" si="14"/>
        <v>0</v>
      </c>
      <c r="BZ61" s="74">
        <f t="shared" si="15"/>
        <v>0</v>
      </c>
    </row>
    <row r="62" spans="1:78" x14ac:dyDescent="0.2">
      <c r="A62" s="108" t="s">
        <v>855</v>
      </c>
      <c r="B62" s="12"/>
      <c r="C62" s="9">
        <v>0</v>
      </c>
      <c r="D62" s="25"/>
      <c r="E62" s="10" t="str">
        <f t="shared" si="0"/>
        <v>MarçoSEMANA 1Vinho Cefiro Sauv. Blanc 187 ml</v>
      </c>
      <c r="F62" s="7">
        <f>SUMIF(NF!$A:$A,$E62,NF!$I:$I)</f>
        <v>0</v>
      </c>
      <c r="G62" s="74"/>
      <c r="H62" s="74"/>
      <c r="I62" s="74"/>
      <c r="J62" s="6"/>
      <c r="K62" s="6"/>
      <c r="L62" s="6"/>
      <c r="M62" s="6"/>
      <c r="N62" s="7">
        <f t="shared" si="31"/>
        <v>0</v>
      </c>
      <c r="O62" s="11">
        <f t="shared" si="1"/>
        <v>0</v>
      </c>
      <c r="P62" s="25"/>
      <c r="Q62" s="10" t="str">
        <f t="shared" si="2"/>
        <v>MarçoSEMANA 2Vinho Cefiro Sauv. Blanc 187 ml</v>
      </c>
      <c r="R62" s="7">
        <f>SUMIF(NF!$A:$A,$Q62,NF!$I:$I)</f>
        <v>0</v>
      </c>
      <c r="S62" s="6"/>
      <c r="T62" s="6"/>
      <c r="U62" s="6"/>
      <c r="V62" s="6"/>
      <c r="W62" s="6"/>
      <c r="X62" s="6"/>
      <c r="Y62" s="6"/>
      <c r="Z62" s="7">
        <f t="shared" si="32"/>
        <v>0</v>
      </c>
      <c r="AA62" s="11">
        <f t="shared" si="3"/>
        <v>0</v>
      </c>
      <c r="AB62" s="25"/>
      <c r="AC62" s="10" t="str">
        <f t="shared" si="4"/>
        <v>MarçoSEMANA 3Vinho Cefiro Sauv. Blanc 187 ml</v>
      </c>
      <c r="AD62" s="7">
        <f>SUMIF(NF!$A:$A,$AC62,NF!$I:$I)</f>
        <v>0</v>
      </c>
      <c r="AE62" s="6"/>
      <c r="AF62" s="6"/>
      <c r="AG62" s="6"/>
      <c r="AH62" s="6"/>
      <c r="AI62" s="6"/>
      <c r="AJ62" s="6"/>
      <c r="AK62" s="6"/>
      <c r="AL62" s="7">
        <f t="shared" si="33"/>
        <v>0</v>
      </c>
      <c r="AM62" s="11">
        <f t="shared" si="5"/>
        <v>0</v>
      </c>
      <c r="AN62" s="25"/>
      <c r="AO62" s="10" t="str">
        <f t="shared" si="6"/>
        <v>MarçoSEMANA 4Vinho Cefiro Sauv. Blanc 187 ml</v>
      </c>
      <c r="AP62" s="7">
        <f>SUMIF(NF!$A:$A,$AO62,NF!$I:$I)</f>
        <v>0</v>
      </c>
      <c r="AQ62" s="6"/>
      <c r="AR62" s="6"/>
      <c r="AS62" s="6"/>
      <c r="AT62" s="6"/>
      <c r="AU62" s="6"/>
      <c r="AV62" s="6"/>
      <c r="AW62" s="6"/>
      <c r="AX62" s="7">
        <f t="shared" si="34"/>
        <v>0</v>
      </c>
      <c r="AY62" s="11">
        <f t="shared" si="7"/>
        <v>0</v>
      </c>
      <c r="AZ62" s="25"/>
      <c r="BA62" s="10" t="str">
        <f t="shared" si="8"/>
        <v>MarçoSEMANA 5Vinho Cefiro Sauv. Blanc 187 ml</v>
      </c>
      <c r="BB62" s="7">
        <f>SUMIF(NF!$A:$A,$BA62,NF!$I:$I)</f>
        <v>0</v>
      </c>
      <c r="BC62" s="6"/>
      <c r="BD62" s="6"/>
      <c r="BE62" s="6"/>
      <c r="BF62" s="6"/>
      <c r="BG62" s="6"/>
      <c r="BH62" s="6"/>
      <c r="BI62" s="74"/>
      <c r="BJ62" s="74"/>
      <c r="BK62" s="7">
        <f t="shared" si="35"/>
        <v>0</v>
      </c>
      <c r="BL62" s="8">
        <f t="shared" si="9"/>
        <v>0</v>
      </c>
      <c r="BM62" s="51" t="str">
        <f>IFERROR(VLOOKUP(A62,NF!$M:$O,3,0),"")</f>
        <v>Bebidas</v>
      </c>
      <c r="BN62" s="7">
        <f t="shared" si="10"/>
        <v>0</v>
      </c>
      <c r="BO62" s="8">
        <f t="array" ref="BO62">IFERROR(LARGE(IF(NF!$G$2:$G$3137='Mês atual'!A62,NF!$J$2:$J$3137),1),0)*BN62</f>
        <v>0</v>
      </c>
      <c r="BP62" s="50"/>
      <c r="BR62" s="146">
        <f t="array" ref="BR62">IFERROR(LARGE(IF(NF!$G$2:$G$3137='Mês atual'!A62,NF!$J$2:$J$3137),1),0)</f>
        <v>0</v>
      </c>
      <c r="BS62" s="142" t="str">
        <f>VLOOKUP(A62,NF!M:O,3,0)</f>
        <v>Bebidas</v>
      </c>
      <c r="BV62" s="74">
        <f t="shared" si="11"/>
        <v>0</v>
      </c>
      <c r="BW62" s="74">
        <f t="shared" si="12"/>
        <v>0</v>
      </c>
      <c r="BX62" s="74">
        <f t="shared" si="13"/>
        <v>0</v>
      </c>
      <c r="BY62" s="74">
        <f t="shared" si="14"/>
        <v>0</v>
      </c>
      <c r="BZ62" s="74">
        <f t="shared" si="15"/>
        <v>0</v>
      </c>
    </row>
    <row r="63" spans="1:78" x14ac:dyDescent="0.2">
      <c r="A63" s="108" t="s">
        <v>856</v>
      </c>
      <c r="B63" s="12"/>
      <c r="C63" s="9">
        <v>4</v>
      </c>
      <c r="D63" s="25"/>
      <c r="E63" s="10" t="str">
        <f t="shared" si="0"/>
        <v>MarçoSEMANA 1Vinho Cefiro Sauv. Blanc 750 ml</v>
      </c>
      <c r="F63" s="7">
        <f>SUMIF(NF!$A:$A,$E63,NF!$I:$I)</f>
        <v>0</v>
      </c>
      <c r="G63" s="74"/>
      <c r="H63" s="74"/>
      <c r="I63" s="74"/>
      <c r="J63" s="6"/>
      <c r="K63" s="6"/>
      <c r="L63" s="6"/>
      <c r="M63" s="6"/>
      <c r="N63" s="7">
        <f t="shared" si="31"/>
        <v>0</v>
      </c>
      <c r="O63" s="11">
        <f t="shared" si="1"/>
        <v>4</v>
      </c>
      <c r="P63" s="25"/>
      <c r="Q63" s="10" t="str">
        <f t="shared" si="2"/>
        <v>MarçoSEMANA 2Vinho Cefiro Sauv. Blanc 750 ml</v>
      </c>
      <c r="R63" s="7">
        <f>SUMIF(NF!$A:$A,$Q63,NF!$I:$I)</f>
        <v>0</v>
      </c>
      <c r="S63" s="6"/>
      <c r="T63" s="6"/>
      <c r="U63" s="6"/>
      <c r="V63" s="6"/>
      <c r="W63" s="6"/>
      <c r="X63" s="6"/>
      <c r="Y63" s="6"/>
      <c r="Z63" s="7">
        <f t="shared" si="32"/>
        <v>0</v>
      </c>
      <c r="AA63" s="11">
        <f t="shared" si="3"/>
        <v>4</v>
      </c>
      <c r="AB63" s="25"/>
      <c r="AC63" s="10" t="str">
        <f t="shared" si="4"/>
        <v>MarçoSEMANA 3Vinho Cefiro Sauv. Blanc 750 ml</v>
      </c>
      <c r="AD63" s="7">
        <f>SUMIF(NF!$A:$A,$AC63,NF!$I:$I)</f>
        <v>0</v>
      </c>
      <c r="AE63" s="6"/>
      <c r="AF63" s="6"/>
      <c r="AG63" s="6"/>
      <c r="AH63" s="6"/>
      <c r="AI63" s="6"/>
      <c r="AJ63" s="6"/>
      <c r="AK63" s="6"/>
      <c r="AL63" s="7">
        <f t="shared" si="33"/>
        <v>0</v>
      </c>
      <c r="AM63" s="11">
        <f t="shared" si="5"/>
        <v>4</v>
      </c>
      <c r="AN63" s="25"/>
      <c r="AO63" s="10" t="str">
        <f t="shared" si="6"/>
        <v>MarçoSEMANA 4Vinho Cefiro Sauv. Blanc 750 ml</v>
      </c>
      <c r="AP63" s="7">
        <f>SUMIF(NF!$A:$A,$AO63,NF!$I:$I)</f>
        <v>0</v>
      </c>
      <c r="AQ63" s="6"/>
      <c r="AR63" s="6"/>
      <c r="AS63" s="6"/>
      <c r="AT63" s="6"/>
      <c r="AU63" s="6"/>
      <c r="AV63" s="6"/>
      <c r="AW63" s="6"/>
      <c r="AX63" s="7">
        <f t="shared" si="34"/>
        <v>0</v>
      </c>
      <c r="AY63" s="11">
        <f t="shared" si="7"/>
        <v>4</v>
      </c>
      <c r="AZ63" s="25"/>
      <c r="BA63" s="10" t="str">
        <f t="shared" si="8"/>
        <v>MarçoSEMANA 5Vinho Cefiro Sauv. Blanc 750 ml</v>
      </c>
      <c r="BB63" s="7">
        <f>SUMIF(NF!$A:$A,$BA63,NF!$I:$I)</f>
        <v>0</v>
      </c>
      <c r="BC63" s="6"/>
      <c r="BD63" s="6"/>
      <c r="BE63" s="6"/>
      <c r="BF63" s="6"/>
      <c r="BG63" s="6"/>
      <c r="BH63" s="6"/>
      <c r="BI63" s="74"/>
      <c r="BJ63" s="74"/>
      <c r="BK63" s="7">
        <f t="shared" si="35"/>
        <v>0</v>
      </c>
      <c r="BL63" s="8">
        <f t="shared" si="9"/>
        <v>4</v>
      </c>
      <c r="BM63" s="51" t="str">
        <f>IFERROR(VLOOKUP(A63,NF!$M:$O,3,0),"")</f>
        <v>Bebidas</v>
      </c>
      <c r="BN63" s="7">
        <f t="shared" si="10"/>
        <v>0</v>
      </c>
      <c r="BO63" s="8">
        <f t="array" ref="BO63">IFERROR(LARGE(IF(NF!$G$2:$G$3137='Mês atual'!A63,NF!$J$2:$J$3137),1),0)*BN63</f>
        <v>0</v>
      </c>
      <c r="BP63" s="50"/>
      <c r="BR63" s="146">
        <f t="array" ref="BR63">IFERROR(LARGE(IF(NF!$G$2:$G$3137='Mês atual'!A63,NF!$J$2:$J$3137),1),0)</f>
        <v>0</v>
      </c>
      <c r="BS63" s="142" t="str">
        <f>VLOOKUP(A63,NF!M:O,3,0)</f>
        <v>Bebidas</v>
      </c>
      <c r="BV63" s="74">
        <f t="shared" si="11"/>
        <v>0</v>
      </c>
      <c r="BW63" s="74">
        <f t="shared" si="12"/>
        <v>0</v>
      </c>
      <c r="BX63" s="74">
        <f t="shared" si="13"/>
        <v>0</v>
      </c>
      <c r="BY63" s="74">
        <f t="shared" si="14"/>
        <v>0</v>
      </c>
      <c r="BZ63" s="74">
        <f t="shared" si="15"/>
        <v>0</v>
      </c>
    </row>
    <row r="64" spans="1:78" x14ac:dyDescent="0.2">
      <c r="A64" s="108" t="s">
        <v>857</v>
      </c>
      <c r="B64" s="12"/>
      <c r="C64" s="9">
        <v>9</v>
      </c>
      <c r="D64" s="25"/>
      <c r="E64" s="10" t="str">
        <f t="shared" si="0"/>
        <v>MarçoSEMANA 1Vinho Espumante Veuve Du Vernay 750 ml</v>
      </c>
      <c r="F64" s="7">
        <f>SUMIF(NF!$A:$A,$E64,NF!$I:$I)</f>
        <v>0</v>
      </c>
      <c r="G64" s="74"/>
      <c r="H64" s="74"/>
      <c r="I64" s="74"/>
      <c r="J64" s="6">
        <f>1</f>
        <v>1</v>
      </c>
      <c r="K64" s="6"/>
      <c r="L64" s="6"/>
      <c r="M64" s="6"/>
      <c r="N64" s="7">
        <f t="shared" si="31"/>
        <v>1</v>
      </c>
      <c r="O64" s="11">
        <f t="shared" si="1"/>
        <v>8</v>
      </c>
      <c r="P64" s="25"/>
      <c r="Q64" s="10" t="str">
        <f t="shared" si="2"/>
        <v>MarçoSEMANA 2Vinho Espumante Veuve Du Vernay 750 ml</v>
      </c>
      <c r="R64" s="7">
        <f>SUMIF(NF!$A:$A,$Q64,NF!$I:$I)</f>
        <v>0</v>
      </c>
      <c r="S64" s="6"/>
      <c r="T64" s="6"/>
      <c r="U64" s="6"/>
      <c r="V64" s="6"/>
      <c r="W64" s="6"/>
      <c r="X64" s="6"/>
      <c r="Y64" s="6"/>
      <c r="Z64" s="7">
        <f t="shared" si="32"/>
        <v>0</v>
      </c>
      <c r="AA64" s="11">
        <f t="shared" si="3"/>
        <v>8</v>
      </c>
      <c r="AB64" s="25"/>
      <c r="AC64" s="10" t="str">
        <f t="shared" si="4"/>
        <v>MarçoSEMANA 3Vinho Espumante Veuve Du Vernay 750 ml</v>
      </c>
      <c r="AD64" s="7">
        <f>SUMIF(NF!$A:$A,$AC64,NF!$I:$I)</f>
        <v>0</v>
      </c>
      <c r="AE64" s="6"/>
      <c r="AF64" s="6"/>
      <c r="AG64" s="6"/>
      <c r="AH64" s="6"/>
      <c r="AI64" s="6"/>
      <c r="AJ64" s="6"/>
      <c r="AK64" s="6"/>
      <c r="AL64" s="7">
        <f t="shared" si="33"/>
        <v>0</v>
      </c>
      <c r="AM64" s="11">
        <f t="shared" si="5"/>
        <v>8</v>
      </c>
      <c r="AN64" s="25"/>
      <c r="AO64" s="10" t="str">
        <f t="shared" si="6"/>
        <v>MarçoSEMANA 4Vinho Espumante Veuve Du Vernay 750 ml</v>
      </c>
      <c r="AP64" s="7">
        <f>SUMIF(NF!$A:$A,$AO64,NF!$I:$I)</f>
        <v>0</v>
      </c>
      <c r="AQ64" s="6"/>
      <c r="AR64" s="6"/>
      <c r="AS64" s="6"/>
      <c r="AT64" s="6"/>
      <c r="AU64" s="6"/>
      <c r="AV64" s="6"/>
      <c r="AW64" s="6"/>
      <c r="AX64" s="7">
        <f t="shared" si="34"/>
        <v>0</v>
      </c>
      <c r="AY64" s="11">
        <f t="shared" si="7"/>
        <v>8</v>
      </c>
      <c r="AZ64" s="25"/>
      <c r="BA64" s="10" t="str">
        <f t="shared" si="8"/>
        <v>MarçoSEMANA 5Vinho Espumante Veuve Du Vernay 750 ml</v>
      </c>
      <c r="BB64" s="7">
        <f>SUMIF(NF!$A:$A,$BA64,NF!$I:$I)</f>
        <v>0</v>
      </c>
      <c r="BC64" s="6"/>
      <c r="BD64" s="6"/>
      <c r="BE64" s="6"/>
      <c r="BF64" s="6"/>
      <c r="BG64" s="6"/>
      <c r="BH64" s="6"/>
      <c r="BI64" s="74"/>
      <c r="BJ64" s="74"/>
      <c r="BK64" s="7">
        <f t="shared" si="35"/>
        <v>0</v>
      </c>
      <c r="BL64" s="8">
        <f t="shared" si="9"/>
        <v>8</v>
      </c>
      <c r="BM64" s="51" t="str">
        <f>IFERROR(VLOOKUP(A64,NF!$M:$O,3,0),"")</f>
        <v>Bebidas</v>
      </c>
      <c r="BN64" s="7">
        <f t="shared" si="10"/>
        <v>1</v>
      </c>
      <c r="BO64" s="8">
        <f t="array" ref="BO64">IFERROR(LARGE(IF(NF!$G$2:$G$3137='Mês atual'!A64,NF!$J$2:$J$3137),1),0)*BN64</f>
        <v>0</v>
      </c>
      <c r="BP64" s="50"/>
      <c r="BR64" s="146">
        <f t="array" ref="BR64">IFERROR(LARGE(IF(NF!$G$2:$G$3137='Mês atual'!A64,NF!$J$2:$J$3137),1),0)</f>
        <v>0</v>
      </c>
      <c r="BS64" s="142" t="str">
        <f>VLOOKUP(A64,NF!M:O,3,0)</f>
        <v>Bebidas</v>
      </c>
      <c r="BV64" s="74">
        <f t="shared" si="11"/>
        <v>1</v>
      </c>
      <c r="BW64" s="74">
        <f t="shared" si="12"/>
        <v>0</v>
      </c>
      <c r="BX64" s="74">
        <f t="shared" si="13"/>
        <v>0</v>
      </c>
      <c r="BY64" s="74">
        <f t="shared" si="14"/>
        <v>0</v>
      </c>
      <c r="BZ64" s="74">
        <f t="shared" si="15"/>
        <v>0</v>
      </c>
    </row>
    <row r="65" spans="1:78" x14ac:dyDescent="0.2">
      <c r="A65" s="108" t="s">
        <v>858</v>
      </c>
      <c r="B65" s="12"/>
      <c r="C65" s="9">
        <v>0</v>
      </c>
      <c r="D65" s="25"/>
      <c r="E65" s="10" t="str">
        <f t="shared" si="0"/>
        <v>MarçoSEMANA 1Vinho Loios</v>
      </c>
      <c r="F65" s="7">
        <f>SUMIF(NF!$A:$A,$E65,NF!$I:$I)</f>
        <v>0</v>
      </c>
      <c r="G65" s="74"/>
      <c r="H65" s="74"/>
      <c r="I65" s="74"/>
      <c r="J65" s="6"/>
      <c r="K65" s="6"/>
      <c r="L65" s="6"/>
      <c r="M65" s="6"/>
      <c r="N65" s="7">
        <f t="shared" si="31"/>
        <v>0</v>
      </c>
      <c r="O65" s="11">
        <f t="shared" si="1"/>
        <v>0</v>
      </c>
      <c r="P65" s="25"/>
      <c r="Q65" s="10" t="str">
        <f t="shared" si="2"/>
        <v>MarçoSEMANA 2Vinho Loios</v>
      </c>
      <c r="R65" s="7">
        <f>SUMIF(NF!$A:$A,$Q65,NF!$I:$I)</f>
        <v>0</v>
      </c>
      <c r="S65" s="6"/>
      <c r="T65" s="6"/>
      <c r="U65" s="6"/>
      <c r="V65" s="6"/>
      <c r="W65" s="6"/>
      <c r="X65" s="6"/>
      <c r="Y65" s="6"/>
      <c r="Z65" s="7">
        <f t="shared" si="32"/>
        <v>0</v>
      </c>
      <c r="AA65" s="11">
        <f t="shared" si="3"/>
        <v>0</v>
      </c>
      <c r="AB65" s="25"/>
      <c r="AC65" s="10" t="str">
        <f t="shared" si="4"/>
        <v>MarçoSEMANA 3Vinho Loios</v>
      </c>
      <c r="AD65" s="7">
        <f>SUMIF(NF!$A:$A,$AC65,NF!$I:$I)</f>
        <v>0</v>
      </c>
      <c r="AE65" s="6"/>
      <c r="AF65" s="6"/>
      <c r="AG65" s="6"/>
      <c r="AH65" s="6"/>
      <c r="AI65" s="6"/>
      <c r="AJ65" s="6"/>
      <c r="AK65" s="6"/>
      <c r="AL65" s="7">
        <f t="shared" si="33"/>
        <v>0</v>
      </c>
      <c r="AM65" s="11">
        <f t="shared" si="5"/>
        <v>0</v>
      </c>
      <c r="AN65" s="25"/>
      <c r="AO65" s="10" t="str">
        <f t="shared" si="6"/>
        <v>MarçoSEMANA 4Vinho Loios</v>
      </c>
      <c r="AP65" s="7">
        <f>SUMIF(NF!$A:$A,$AO65,NF!$I:$I)</f>
        <v>0</v>
      </c>
      <c r="AQ65" s="6"/>
      <c r="AR65" s="6"/>
      <c r="AS65" s="6"/>
      <c r="AT65" s="6"/>
      <c r="AU65" s="6"/>
      <c r="AV65" s="6"/>
      <c r="AW65" s="6"/>
      <c r="AX65" s="7">
        <f t="shared" si="34"/>
        <v>0</v>
      </c>
      <c r="AY65" s="11">
        <f t="shared" si="7"/>
        <v>0</v>
      </c>
      <c r="AZ65" s="25"/>
      <c r="BA65" s="10" t="str">
        <f t="shared" si="8"/>
        <v>MarçoSEMANA 5Vinho Loios</v>
      </c>
      <c r="BB65" s="7">
        <f>SUMIF(NF!$A:$A,$BA65,NF!$I:$I)</f>
        <v>0</v>
      </c>
      <c r="BC65" s="6"/>
      <c r="BD65" s="6"/>
      <c r="BE65" s="6"/>
      <c r="BF65" s="6"/>
      <c r="BG65" s="6"/>
      <c r="BH65" s="6"/>
      <c r="BI65" s="74"/>
      <c r="BJ65" s="74"/>
      <c r="BK65" s="7">
        <f t="shared" si="35"/>
        <v>0</v>
      </c>
      <c r="BL65" s="8">
        <f t="shared" si="9"/>
        <v>0</v>
      </c>
      <c r="BM65" s="51" t="str">
        <f>IFERROR(VLOOKUP(A65,NF!$M:$O,3,0),"")</f>
        <v>Bebidas</v>
      </c>
      <c r="BN65" s="7">
        <f t="shared" si="10"/>
        <v>0</v>
      </c>
      <c r="BO65" s="8">
        <f t="array" ref="BO65">IFERROR(LARGE(IF(NF!$G$2:$G$3137='Mês atual'!A65,NF!$J$2:$J$3137),1),0)*BN65</f>
        <v>0</v>
      </c>
      <c r="BP65" s="50"/>
      <c r="BR65" s="146">
        <f t="array" ref="BR65">IFERROR(LARGE(IF(NF!$G$2:$G$3137='Mês atual'!A65,NF!$J$2:$J$3137),1),0)</f>
        <v>0</v>
      </c>
      <c r="BS65" s="142" t="str">
        <f>VLOOKUP(A65,NF!M:O,3,0)</f>
        <v>Bebidas</v>
      </c>
      <c r="BV65" s="74">
        <f t="shared" si="11"/>
        <v>0</v>
      </c>
      <c r="BW65" s="74">
        <f t="shared" si="12"/>
        <v>0</v>
      </c>
      <c r="BX65" s="74">
        <f t="shared" si="13"/>
        <v>0</v>
      </c>
      <c r="BY65" s="74">
        <f t="shared" si="14"/>
        <v>0</v>
      </c>
      <c r="BZ65" s="74">
        <f t="shared" si="15"/>
        <v>0</v>
      </c>
    </row>
    <row r="66" spans="1:78" x14ac:dyDescent="0.2">
      <c r="A66" s="108" t="s">
        <v>859</v>
      </c>
      <c r="B66" s="12"/>
      <c r="C66" s="9">
        <v>4</v>
      </c>
      <c r="D66" s="25"/>
      <c r="E66" s="10" t="str">
        <f t="shared" si="0"/>
        <v>MarçoSEMANA 1Vinho Nieto Senet D.O.C. Malbec 750 ml</v>
      </c>
      <c r="F66" s="7">
        <f>SUMIF(NF!$A:$A,$E66,NF!$I:$I)</f>
        <v>0</v>
      </c>
      <c r="G66" s="74"/>
      <c r="H66" s="74"/>
      <c r="I66" s="74"/>
      <c r="J66" s="6"/>
      <c r="K66" s="6"/>
      <c r="L66" s="6"/>
      <c r="M66" s="6"/>
      <c r="N66" s="7">
        <f t="shared" si="31"/>
        <v>0</v>
      </c>
      <c r="O66" s="11">
        <f t="shared" si="1"/>
        <v>4</v>
      </c>
      <c r="P66" s="25"/>
      <c r="Q66" s="10" t="str">
        <f t="shared" si="2"/>
        <v>MarçoSEMANA 2Vinho Nieto Senet D.O.C. Malbec 750 ml</v>
      </c>
      <c r="R66" s="7">
        <f>SUMIF(NF!$A:$A,$Q66,NF!$I:$I)</f>
        <v>0</v>
      </c>
      <c r="S66" s="6"/>
      <c r="T66" s="6"/>
      <c r="U66" s="6"/>
      <c r="V66" s="6"/>
      <c r="W66" s="6"/>
      <c r="X66" s="6"/>
      <c r="Y66" s="6"/>
      <c r="Z66" s="7">
        <f t="shared" si="32"/>
        <v>0</v>
      </c>
      <c r="AA66" s="11">
        <f t="shared" si="3"/>
        <v>4</v>
      </c>
      <c r="AB66" s="25"/>
      <c r="AC66" s="10" t="str">
        <f t="shared" si="4"/>
        <v>MarçoSEMANA 3Vinho Nieto Senet D.O.C. Malbec 750 ml</v>
      </c>
      <c r="AD66" s="7">
        <f>SUMIF(NF!$A:$A,$AC66,NF!$I:$I)</f>
        <v>0</v>
      </c>
      <c r="AE66" s="6"/>
      <c r="AF66" s="6"/>
      <c r="AG66" s="6"/>
      <c r="AH66" s="6"/>
      <c r="AI66" s="6"/>
      <c r="AJ66" s="6"/>
      <c r="AK66" s="6"/>
      <c r="AL66" s="7">
        <f t="shared" si="33"/>
        <v>0</v>
      </c>
      <c r="AM66" s="11">
        <f t="shared" si="5"/>
        <v>4</v>
      </c>
      <c r="AN66" s="25"/>
      <c r="AO66" s="10" t="str">
        <f t="shared" si="6"/>
        <v>MarçoSEMANA 4Vinho Nieto Senet D.O.C. Malbec 750 ml</v>
      </c>
      <c r="AP66" s="7">
        <f>SUMIF(NF!$A:$A,$AO66,NF!$I:$I)</f>
        <v>0</v>
      </c>
      <c r="AQ66" s="6"/>
      <c r="AR66" s="6"/>
      <c r="AS66" s="6"/>
      <c r="AT66" s="6"/>
      <c r="AU66" s="6"/>
      <c r="AV66" s="6"/>
      <c r="AW66" s="6"/>
      <c r="AX66" s="7">
        <f t="shared" si="34"/>
        <v>0</v>
      </c>
      <c r="AY66" s="11">
        <f t="shared" si="7"/>
        <v>4</v>
      </c>
      <c r="AZ66" s="25"/>
      <c r="BA66" s="10" t="str">
        <f t="shared" si="8"/>
        <v>MarçoSEMANA 5Vinho Nieto Senet D.O.C. Malbec 750 ml</v>
      </c>
      <c r="BB66" s="7">
        <f>SUMIF(NF!$A:$A,$BA66,NF!$I:$I)</f>
        <v>0</v>
      </c>
      <c r="BC66" s="6"/>
      <c r="BD66" s="6"/>
      <c r="BE66" s="6"/>
      <c r="BF66" s="6"/>
      <c r="BG66" s="6"/>
      <c r="BH66" s="6"/>
      <c r="BI66" s="74"/>
      <c r="BJ66" s="74"/>
      <c r="BK66" s="7">
        <f t="shared" si="35"/>
        <v>0</v>
      </c>
      <c r="BL66" s="8">
        <f t="shared" si="9"/>
        <v>4</v>
      </c>
      <c r="BM66" s="51" t="str">
        <f>IFERROR(VLOOKUP(A66,NF!$M:$O,3,0),"")</f>
        <v>Bebidas</v>
      </c>
      <c r="BN66" s="7">
        <f t="shared" si="10"/>
        <v>0</v>
      </c>
      <c r="BO66" s="8">
        <f t="array" ref="BO66">IFERROR(LARGE(IF(NF!$G$2:$G$3137='Mês atual'!A66,NF!$J$2:$J$3137),1),0)*BN66</f>
        <v>0</v>
      </c>
      <c r="BP66" s="50"/>
      <c r="BR66" s="146">
        <f t="array" ref="BR66">IFERROR(LARGE(IF(NF!$G$2:$G$3137='Mês atual'!A66,NF!$J$2:$J$3137),1),0)</f>
        <v>0</v>
      </c>
      <c r="BS66" s="142" t="str">
        <f>VLOOKUP(A66,NF!M:O,3,0)</f>
        <v>Bebidas</v>
      </c>
      <c r="BV66" s="74">
        <f t="shared" si="11"/>
        <v>0</v>
      </c>
      <c r="BW66" s="74">
        <f t="shared" si="12"/>
        <v>0</v>
      </c>
      <c r="BX66" s="74">
        <f t="shared" si="13"/>
        <v>0</v>
      </c>
      <c r="BY66" s="74">
        <f t="shared" si="14"/>
        <v>0</v>
      </c>
      <c r="BZ66" s="74">
        <f t="shared" si="15"/>
        <v>0</v>
      </c>
    </row>
    <row r="67" spans="1:78" x14ac:dyDescent="0.2">
      <c r="A67" s="108" t="s">
        <v>860</v>
      </c>
      <c r="B67" s="12"/>
      <c r="C67" s="9">
        <v>0</v>
      </c>
      <c r="D67" s="25"/>
      <c r="E67" s="10" t="str">
        <f t="shared" si="0"/>
        <v>MarçoSEMANA 1Vinho Nieto Senet Espumante 187 ml</v>
      </c>
      <c r="F67" s="7">
        <f>SUMIF(NF!$A:$A,$E67,NF!$I:$I)</f>
        <v>0</v>
      </c>
      <c r="G67" s="74"/>
      <c r="H67" s="74"/>
      <c r="I67" s="74"/>
      <c r="J67" s="6"/>
      <c r="K67" s="6"/>
      <c r="L67" s="6"/>
      <c r="M67" s="6"/>
      <c r="N67" s="7">
        <f t="shared" si="31"/>
        <v>0</v>
      </c>
      <c r="O67" s="11">
        <f t="shared" si="1"/>
        <v>0</v>
      </c>
      <c r="P67" s="25"/>
      <c r="Q67" s="10" t="str">
        <f t="shared" si="2"/>
        <v>MarçoSEMANA 2Vinho Nieto Senet Espumante 187 ml</v>
      </c>
      <c r="R67" s="7">
        <f>SUMIF(NF!$A:$A,$Q67,NF!$I:$I)</f>
        <v>0</v>
      </c>
      <c r="S67" s="6"/>
      <c r="T67" s="6"/>
      <c r="U67" s="6"/>
      <c r="V67" s="6"/>
      <c r="W67" s="6"/>
      <c r="X67" s="6"/>
      <c r="Y67" s="6"/>
      <c r="Z67" s="7">
        <f t="shared" si="32"/>
        <v>0</v>
      </c>
      <c r="AA67" s="11">
        <f t="shared" si="3"/>
        <v>0</v>
      </c>
      <c r="AB67" s="25"/>
      <c r="AC67" s="10" t="str">
        <f t="shared" si="4"/>
        <v>MarçoSEMANA 3Vinho Nieto Senet Espumante 187 ml</v>
      </c>
      <c r="AD67" s="7">
        <f>SUMIF(NF!$A:$A,$AC67,NF!$I:$I)</f>
        <v>0</v>
      </c>
      <c r="AE67" s="6"/>
      <c r="AF67" s="6"/>
      <c r="AG67" s="6"/>
      <c r="AH67" s="6"/>
      <c r="AI67" s="6"/>
      <c r="AJ67" s="6"/>
      <c r="AK67" s="6"/>
      <c r="AL67" s="7">
        <f t="shared" si="33"/>
        <v>0</v>
      </c>
      <c r="AM67" s="11">
        <f t="shared" si="5"/>
        <v>0</v>
      </c>
      <c r="AN67" s="25"/>
      <c r="AO67" s="10" t="str">
        <f t="shared" si="6"/>
        <v>MarçoSEMANA 4Vinho Nieto Senet Espumante 187 ml</v>
      </c>
      <c r="AP67" s="7">
        <f>SUMIF(NF!$A:$A,$AO67,NF!$I:$I)</f>
        <v>0</v>
      </c>
      <c r="AQ67" s="6"/>
      <c r="AR67" s="6"/>
      <c r="AS67" s="6"/>
      <c r="AT67" s="6"/>
      <c r="AU67" s="6"/>
      <c r="AV67" s="6"/>
      <c r="AW67" s="6"/>
      <c r="AX67" s="7">
        <f t="shared" si="34"/>
        <v>0</v>
      </c>
      <c r="AY67" s="11">
        <f t="shared" si="7"/>
        <v>0</v>
      </c>
      <c r="AZ67" s="25"/>
      <c r="BA67" s="10" t="str">
        <f t="shared" si="8"/>
        <v>MarçoSEMANA 5Vinho Nieto Senet Espumante 187 ml</v>
      </c>
      <c r="BB67" s="7">
        <f>SUMIF(NF!$A:$A,$BA67,NF!$I:$I)</f>
        <v>0</v>
      </c>
      <c r="BC67" s="6"/>
      <c r="BD67" s="6"/>
      <c r="BE67" s="6"/>
      <c r="BF67" s="6"/>
      <c r="BG67" s="6"/>
      <c r="BH67" s="6"/>
      <c r="BI67" s="74"/>
      <c r="BJ67" s="74"/>
      <c r="BK67" s="7">
        <f t="shared" si="35"/>
        <v>0</v>
      </c>
      <c r="BL67" s="8">
        <f t="shared" si="9"/>
        <v>0</v>
      </c>
      <c r="BM67" s="51" t="str">
        <f>IFERROR(VLOOKUP(A67,NF!$M:$O,3,0),"")</f>
        <v>Bebidas</v>
      </c>
      <c r="BN67" s="7">
        <f t="shared" si="10"/>
        <v>0</v>
      </c>
      <c r="BO67" s="8">
        <f t="array" ref="BO67">IFERROR(LARGE(IF(NF!$G$2:$G$3137='Mês atual'!A67,NF!$J$2:$J$3137),1),0)*BN67</f>
        <v>0</v>
      </c>
      <c r="BP67" s="50"/>
      <c r="BR67" s="146">
        <f t="array" ref="BR67">IFERROR(LARGE(IF(NF!$G$2:$G$3137='Mês atual'!A67,NF!$J$2:$J$3137),1),0)</f>
        <v>0</v>
      </c>
      <c r="BS67" s="142" t="str">
        <f>VLOOKUP(A67,NF!M:O,3,0)</f>
        <v>Bebidas</v>
      </c>
      <c r="BV67" s="74">
        <f t="shared" si="11"/>
        <v>0</v>
      </c>
      <c r="BW67" s="74">
        <f t="shared" si="12"/>
        <v>0</v>
      </c>
      <c r="BX67" s="74">
        <f t="shared" si="13"/>
        <v>0</v>
      </c>
      <c r="BY67" s="74">
        <f t="shared" si="14"/>
        <v>0</v>
      </c>
      <c r="BZ67" s="74">
        <f t="shared" si="15"/>
        <v>0</v>
      </c>
    </row>
    <row r="68" spans="1:78" x14ac:dyDescent="0.2">
      <c r="A68" s="108" t="s">
        <v>1041</v>
      </c>
      <c r="B68" s="12"/>
      <c r="C68" s="9">
        <v>4</v>
      </c>
      <c r="D68" s="25"/>
      <c r="E68" s="10" t="str">
        <f t="shared" si="0"/>
        <v>MarçoSEMANA 1Vinho Nieto Senet Espumante (Brut) 750 ml</v>
      </c>
      <c r="F68" s="7">
        <f>SUMIF(NF!$A:$A,$E68,NF!$I:$I)</f>
        <v>0</v>
      </c>
      <c r="G68" s="74"/>
      <c r="H68" s="74"/>
      <c r="I68" s="74"/>
      <c r="J68" s="6"/>
      <c r="K68" s="6"/>
      <c r="L68" s="6"/>
      <c r="M68" s="6"/>
      <c r="N68" s="7">
        <f t="shared" si="31"/>
        <v>0</v>
      </c>
      <c r="O68" s="11">
        <f t="shared" si="1"/>
        <v>4</v>
      </c>
      <c r="P68" s="25"/>
      <c r="Q68" s="10" t="str">
        <f t="shared" si="2"/>
        <v>MarçoSEMANA 2Vinho Nieto Senet Espumante (Brut) 750 ml</v>
      </c>
      <c r="R68" s="7">
        <f>SUMIF(NF!$A:$A,$Q68,NF!$I:$I)</f>
        <v>0</v>
      </c>
      <c r="S68" s="6"/>
      <c r="T68" s="6"/>
      <c r="U68" s="6"/>
      <c r="V68" s="6"/>
      <c r="W68" s="6"/>
      <c r="X68" s="6"/>
      <c r="Y68" s="6"/>
      <c r="Z68" s="7">
        <f t="shared" si="32"/>
        <v>0</v>
      </c>
      <c r="AA68" s="11">
        <f t="shared" si="3"/>
        <v>4</v>
      </c>
      <c r="AB68" s="25"/>
      <c r="AC68" s="10" t="str">
        <f t="shared" si="4"/>
        <v>MarçoSEMANA 3Vinho Nieto Senet Espumante (Brut) 750 ml</v>
      </c>
      <c r="AD68" s="7">
        <f>SUMIF(NF!$A:$A,$AC68,NF!$I:$I)</f>
        <v>0</v>
      </c>
      <c r="AE68" s="6"/>
      <c r="AF68" s="6"/>
      <c r="AG68" s="6"/>
      <c r="AH68" s="6"/>
      <c r="AI68" s="6"/>
      <c r="AJ68" s="6"/>
      <c r="AK68" s="6"/>
      <c r="AL68" s="7">
        <f t="shared" si="33"/>
        <v>0</v>
      </c>
      <c r="AM68" s="11">
        <f t="shared" si="5"/>
        <v>4</v>
      </c>
      <c r="AN68" s="25"/>
      <c r="AO68" s="10" t="str">
        <f t="shared" si="6"/>
        <v>MarçoSEMANA 4Vinho Nieto Senet Espumante (Brut) 750 ml</v>
      </c>
      <c r="AP68" s="7">
        <f>SUMIF(NF!$A:$A,$AO68,NF!$I:$I)</f>
        <v>0</v>
      </c>
      <c r="AQ68" s="6"/>
      <c r="AR68" s="6"/>
      <c r="AS68" s="6"/>
      <c r="AT68" s="6"/>
      <c r="AU68" s="6"/>
      <c r="AV68" s="6"/>
      <c r="AW68" s="6"/>
      <c r="AX68" s="7">
        <f t="shared" si="34"/>
        <v>0</v>
      </c>
      <c r="AY68" s="11">
        <f t="shared" si="7"/>
        <v>4</v>
      </c>
      <c r="AZ68" s="25"/>
      <c r="BA68" s="10" t="str">
        <f t="shared" si="8"/>
        <v>MarçoSEMANA 5Vinho Nieto Senet Espumante (Brut) 750 ml</v>
      </c>
      <c r="BB68" s="7">
        <f>SUMIF(NF!$A:$A,$BA68,NF!$I:$I)</f>
        <v>0</v>
      </c>
      <c r="BC68" s="6"/>
      <c r="BD68" s="6"/>
      <c r="BE68" s="6"/>
      <c r="BF68" s="6"/>
      <c r="BG68" s="6"/>
      <c r="BH68" s="6"/>
      <c r="BI68" s="74"/>
      <c r="BJ68" s="74"/>
      <c r="BK68" s="7">
        <f t="shared" si="35"/>
        <v>0</v>
      </c>
      <c r="BL68" s="8">
        <f t="shared" si="9"/>
        <v>4</v>
      </c>
      <c r="BM68" s="51" t="str">
        <f>IFERROR(VLOOKUP(A68,NF!$M:$O,3,0),"")</f>
        <v>Bebidas</v>
      </c>
      <c r="BN68" s="7">
        <f t="shared" si="10"/>
        <v>0</v>
      </c>
      <c r="BO68" s="8">
        <f t="array" ref="BO68">IFERROR(LARGE(IF(NF!$G$2:$G$3137='Mês atual'!A68,NF!$J$2:$J$3137),1),0)*BN68</f>
        <v>0</v>
      </c>
      <c r="BP68" s="50"/>
      <c r="BR68" s="146">
        <f t="array" ref="BR68">IFERROR(LARGE(IF(NF!$G$2:$G$3137='Mês atual'!A68,NF!$J$2:$J$3137),1),0)</f>
        <v>0</v>
      </c>
      <c r="BS68" s="142" t="str">
        <f>VLOOKUP(A68,NF!M:O,3,0)</f>
        <v>Bebidas</v>
      </c>
      <c r="BV68" s="74">
        <f t="shared" si="11"/>
        <v>0</v>
      </c>
      <c r="BW68" s="74">
        <f t="shared" si="12"/>
        <v>0</v>
      </c>
      <c r="BX68" s="74">
        <f t="shared" si="13"/>
        <v>0</v>
      </c>
      <c r="BY68" s="74">
        <f t="shared" si="14"/>
        <v>0</v>
      </c>
      <c r="BZ68" s="74">
        <f t="shared" si="15"/>
        <v>0</v>
      </c>
    </row>
    <row r="69" spans="1:78" x14ac:dyDescent="0.2">
      <c r="A69" s="108" t="s">
        <v>861</v>
      </c>
      <c r="B69" s="12"/>
      <c r="C69" s="9">
        <v>4</v>
      </c>
      <c r="D69" s="25"/>
      <c r="E69" s="10" t="str">
        <f t="shared" si="0"/>
        <v>MarçoSEMANA 1Vinho Nieto Senet Malbec 375 ml</v>
      </c>
      <c r="F69" s="7">
        <f>SUMIF(NF!$A:$A,$E69,NF!$I:$I)</f>
        <v>0</v>
      </c>
      <c r="G69" s="74"/>
      <c r="H69" s="74"/>
      <c r="I69" s="74"/>
      <c r="J69" s="6"/>
      <c r="K69" s="6"/>
      <c r="L69" s="6"/>
      <c r="M69" s="6"/>
      <c r="N69" s="7">
        <f t="shared" si="31"/>
        <v>0</v>
      </c>
      <c r="O69" s="11">
        <f t="shared" si="1"/>
        <v>4</v>
      </c>
      <c r="P69" s="25"/>
      <c r="Q69" s="10" t="str">
        <f t="shared" si="2"/>
        <v>MarçoSEMANA 2Vinho Nieto Senet Malbec 375 ml</v>
      </c>
      <c r="R69" s="7">
        <f>SUMIF(NF!$A:$A,$Q69,NF!$I:$I)</f>
        <v>0</v>
      </c>
      <c r="S69" s="6"/>
      <c r="T69" s="6">
        <v>1</v>
      </c>
      <c r="U69" s="6"/>
      <c r="V69" s="6"/>
      <c r="W69" s="6"/>
      <c r="X69" s="6"/>
      <c r="Y69" s="6"/>
      <c r="Z69" s="7">
        <f t="shared" si="32"/>
        <v>1</v>
      </c>
      <c r="AA69" s="11">
        <f t="shared" si="3"/>
        <v>3</v>
      </c>
      <c r="AB69" s="25"/>
      <c r="AC69" s="10" t="str">
        <f t="shared" si="4"/>
        <v>MarçoSEMANA 3Vinho Nieto Senet Malbec 375 ml</v>
      </c>
      <c r="AD69" s="7">
        <f>SUMIF(NF!$A:$A,$AC69,NF!$I:$I)</f>
        <v>0</v>
      </c>
      <c r="AE69" s="6"/>
      <c r="AF69" s="6"/>
      <c r="AG69" s="6"/>
      <c r="AH69" s="6"/>
      <c r="AI69" s="6"/>
      <c r="AJ69" s="6"/>
      <c r="AK69" s="6"/>
      <c r="AL69" s="7">
        <f t="shared" si="33"/>
        <v>0</v>
      </c>
      <c r="AM69" s="11">
        <f t="shared" si="5"/>
        <v>3</v>
      </c>
      <c r="AN69" s="25"/>
      <c r="AO69" s="10" t="str">
        <f t="shared" si="6"/>
        <v>MarçoSEMANA 4Vinho Nieto Senet Malbec 375 ml</v>
      </c>
      <c r="AP69" s="7">
        <f>SUMIF(NF!$A:$A,$AO69,NF!$I:$I)</f>
        <v>0</v>
      </c>
      <c r="AQ69" s="6"/>
      <c r="AR69" s="6"/>
      <c r="AS69" s="6"/>
      <c r="AT69" s="6"/>
      <c r="AU69" s="6"/>
      <c r="AV69" s="6"/>
      <c r="AW69" s="6"/>
      <c r="AX69" s="7">
        <f t="shared" si="34"/>
        <v>0</v>
      </c>
      <c r="AY69" s="11">
        <f t="shared" si="7"/>
        <v>3</v>
      </c>
      <c r="AZ69" s="25"/>
      <c r="BA69" s="10" t="str">
        <f t="shared" si="8"/>
        <v>MarçoSEMANA 5Vinho Nieto Senet Malbec 375 ml</v>
      </c>
      <c r="BB69" s="7">
        <f>SUMIF(NF!$A:$A,$BA69,NF!$I:$I)</f>
        <v>0</v>
      </c>
      <c r="BC69" s="6"/>
      <c r="BD69" s="6"/>
      <c r="BE69" s="6"/>
      <c r="BF69" s="6"/>
      <c r="BG69" s="6"/>
      <c r="BH69" s="6"/>
      <c r="BI69" s="74"/>
      <c r="BJ69" s="74"/>
      <c r="BK69" s="7">
        <f t="shared" si="35"/>
        <v>0</v>
      </c>
      <c r="BL69" s="8">
        <f t="shared" si="9"/>
        <v>3</v>
      </c>
      <c r="BM69" s="51" t="str">
        <f>IFERROR(VLOOKUP(A69,NF!$M:$O,3,0),"")</f>
        <v>Bebidas</v>
      </c>
      <c r="BN69" s="7">
        <f t="shared" si="10"/>
        <v>1</v>
      </c>
      <c r="BO69" s="8">
        <f t="array" ref="BO69">IFERROR(LARGE(IF(NF!$G$2:$G$3137='Mês atual'!A69,NF!$J$2:$J$3137),1),0)*BN69</f>
        <v>0</v>
      </c>
      <c r="BP69" s="50"/>
      <c r="BR69" s="146">
        <f t="array" ref="BR69">IFERROR(LARGE(IF(NF!$G$2:$G$3137='Mês atual'!A69,NF!$J$2:$J$3137),1),0)</f>
        <v>0</v>
      </c>
      <c r="BS69" s="142" t="str">
        <f>VLOOKUP(A69,NF!M:O,3,0)</f>
        <v>Bebidas</v>
      </c>
      <c r="BV69" s="74">
        <f t="shared" si="11"/>
        <v>0</v>
      </c>
      <c r="BW69" s="74">
        <f t="shared" si="12"/>
        <v>1</v>
      </c>
      <c r="BX69" s="74">
        <f t="shared" si="13"/>
        <v>0</v>
      </c>
      <c r="BY69" s="74">
        <f t="shared" si="14"/>
        <v>0</v>
      </c>
      <c r="BZ69" s="74">
        <f t="shared" si="15"/>
        <v>0</v>
      </c>
    </row>
    <row r="70" spans="1:78" x14ac:dyDescent="0.2">
      <c r="A70" s="108" t="s">
        <v>862</v>
      </c>
      <c r="B70" s="12"/>
      <c r="C70" s="9">
        <v>1</v>
      </c>
      <c r="D70" s="25"/>
      <c r="E70" s="10" t="str">
        <f t="shared" si="0"/>
        <v>MarçoSEMANA 1Vinho Nieto Senet Pinot Noir 750 ml</v>
      </c>
      <c r="F70" s="7">
        <f>SUMIF(NF!$A:$A,$E70,NF!$I:$I)</f>
        <v>0</v>
      </c>
      <c r="G70" s="74"/>
      <c r="H70" s="74"/>
      <c r="I70" s="74"/>
      <c r="J70" s="6"/>
      <c r="K70" s="6"/>
      <c r="L70" s="6"/>
      <c r="M70" s="6"/>
      <c r="N70" s="7">
        <f t="shared" si="31"/>
        <v>0</v>
      </c>
      <c r="O70" s="11">
        <f>F70+C70-N70</f>
        <v>1</v>
      </c>
      <c r="P70" s="25"/>
      <c r="Q70" s="10" t="str">
        <f t="shared" si="2"/>
        <v>MarçoSEMANA 2Vinho Nieto Senet Pinot Noir 750 ml</v>
      </c>
      <c r="R70" s="7">
        <f>SUMIF(NF!$A:$A,$Q70,NF!$I:$I)</f>
        <v>0</v>
      </c>
      <c r="S70" s="6"/>
      <c r="T70" s="6"/>
      <c r="U70" s="6"/>
      <c r="V70" s="6"/>
      <c r="W70" s="6"/>
      <c r="X70" s="6"/>
      <c r="Y70" s="6"/>
      <c r="Z70" s="7">
        <f t="shared" si="32"/>
        <v>0</v>
      </c>
      <c r="AA70" s="11">
        <f>R70+O70-Z70</f>
        <v>1</v>
      </c>
      <c r="AB70" s="25"/>
      <c r="AC70" s="10" t="str">
        <f t="shared" si="4"/>
        <v>MarçoSEMANA 3Vinho Nieto Senet Pinot Noir 750 ml</v>
      </c>
      <c r="AD70" s="7">
        <f>SUMIF(NF!$A:$A,$AC70,NF!$I:$I)</f>
        <v>0</v>
      </c>
      <c r="AE70" s="6"/>
      <c r="AF70" s="6"/>
      <c r="AG70" s="6"/>
      <c r="AH70" s="6"/>
      <c r="AI70" s="6"/>
      <c r="AJ70" s="6"/>
      <c r="AK70" s="6"/>
      <c r="AL70" s="7">
        <f t="shared" si="33"/>
        <v>0</v>
      </c>
      <c r="AM70" s="11">
        <f>AD70+AA70-AL70</f>
        <v>1</v>
      </c>
      <c r="AN70" s="25"/>
      <c r="AO70" s="10" t="str">
        <f t="shared" si="6"/>
        <v>MarçoSEMANA 4Vinho Nieto Senet Pinot Noir 750 ml</v>
      </c>
      <c r="AP70" s="7">
        <f>SUMIF(NF!$A:$A,$AO70,NF!$I:$I)</f>
        <v>0</v>
      </c>
      <c r="AQ70" s="6"/>
      <c r="AR70" s="6"/>
      <c r="AS70" s="6"/>
      <c r="AT70" s="6"/>
      <c r="AU70" s="6"/>
      <c r="AV70" s="6"/>
      <c r="AW70" s="6"/>
      <c r="AX70" s="7">
        <f t="shared" si="34"/>
        <v>0</v>
      </c>
      <c r="AY70" s="11">
        <f>AP70+AM70-AX70</f>
        <v>1</v>
      </c>
      <c r="AZ70" s="25"/>
      <c r="BA70" s="10" t="str">
        <f t="shared" si="8"/>
        <v>MarçoSEMANA 5Vinho Nieto Senet Pinot Noir 750 ml</v>
      </c>
      <c r="BB70" s="7">
        <f>SUMIF(NF!$A:$A,$BA70,NF!$I:$I)</f>
        <v>0</v>
      </c>
      <c r="BC70" s="6"/>
      <c r="BD70" s="6"/>
      <c r="BE70" s="6"/>
      <c r="BF70" s="6"/>
      <c r="BG70" s="6"/>
      <c r="BH70" s="6"/>
      <c r="BI70" s="74"/>
      <c r="BJ70" s="74"/>
      <c r="BK70" s="7">
        <f t="shared" si="35"/>
        <v>0</v>
      </c>
      <c r="BL70" s="8">
        <f>BB70+AY70-BK70</f>
        <v>1</v>
      </c>
      <c r="BM70" s="51" t="str">
        <f>IFERROR(VLOOKUP(A70,NF!$M:$O,3,0),"")</f>
        <v>Bebidas</v>
      </c>
      <c r="BN70" s="7">
        <f>SUM(N70,Z70,AL70,AX70,BK70)</f>
        <v>0</v>
      </c>
      <c r="BO70" s="8">
        <f t="array" ref="BO70">IFERROR(LARGE(IF(NF!$G$2:$G$3137='Mês atual'!A70,NF!$J$2:$J$3137),1),0)*BN70</f>
        <v>0</v>
      </c>
      <c r="BP70" s="50"/>
      <c r="BR70" s="146">
        <f t="array" ref="BR70">IFERROR(LARGE(IF(NF!$G$2:$G$3137='Mês atual'!A70,NF!$J$2:$J$3137),1),0)</f>
        <v>0</v>
      </c>
      <c r="BS70" s="142" t="str">
        <f>VLOOKUP(A70,NF!M:O,3,0)</f>
        <v>Bebidas</v>
      </c>
      <c r="BV70" s="74">
        <f t="shared" si="11"/>
        <v>0</v>
      </c>
      <c r="BW70" s="74">
        <f t="shared" si="12"/>
        <v>0</v>
      </c>
      <c r="BX70" s="74">
        <f t="shared" si="13"/>
        <v>0</v>
      </c>
      <c r="BY70" s="74">
        <f t="shared" si="14"/>
        <v>0</v>
      </c>
      <c r="BZ70" s="74">
        <f t="shared" si="15"/>
        <v>0</v>
      </c>
    </row>
    <row r="71" spans="1:78" x14ac:dyDescent="0.2">
      <c r="A71" s="108" t="s">
        <v>863</v>
      </c>
      <c r="B71" s="12"/>
      <c r="C71" s="9">
        <v>34</v>
      </c>
      <c r="D71" s="25"/>
      <c r="E71" s="10" t="str">
        <f t="shared" si="0"/>
        <v>MarçoSEMANA 1Vinho Sta Carolina Cab. Sauvignon 187 ml</v>
      </c>
      <c r="F71" s="7">
        <f>SUMIF(NF!$A:$A,$E71,NF!$I:$I)</f>
        <v>0</v>
      </c>
      <c r="G71" s="74"/>
      <c r="H71" s="74"/>
      <c r="I71" s="74"/>
      <c r="J71" s="6"/>
      <c r="K71" s="6"/>
      <c r="L71" s="6">
        <f>1+1</f>
        <v>2</v>
      </c>
      <c r="M71" s="6">
        <v>1</v>
      </c>
      <c r="N71" s="7">
        <f t="shared" si="31"/>
        <v>3</v>
      </c>
      <c r="O71" s="11">
        <f>F71+C71-N71</f>
        <v>31</v>
      </c>
      <c r="P71" s="25"/>
      <c r="Q71" s="10" t="str">
        <f t="shared" si="2"/>
        <v>MarçoSEMANA 2Vinho Sta Carolina Cab. Sauvignon 187 ml</v>
      </c>
      <c r="R71" s="7">
        <f>SUMIF(NF!$A:$A,$Q71,NF!$I:$I)</f>
        <v>0</v>
      </c>
      <c r="S71" s="6">
        <f>1</f>
        <v>1</v>
      </c>
      <c r="T71" s="6"/>
      <c r="U71" s="6">
        <v>2</v>
      </c>
      <c r="V71" s="6">
        <f>2</f>
        <v>2</v>
      </c>
      <c r="W71" s="6"/>
      <c r="X71" s="6">
        <f>1+1</f>
        <v>2</v>
      </c>
      <c r="Y71" s="6">
        <f>1</f>
        <v>1</v>
      </c>
      <c r="Z71" s="7">
        <f t="shared" si="32"/>
        <v>8</v>
      </c>
      <c r="AA71" s="11">
        <f>R71+O71-Z71</f>
        <v>23</v>
      </c>
      <c r="AB71" s="25"/>
      <c r="AC71" s="10" t="str">
        <f t="shared" si="4"/>
        <v>MarçoSEMANA 3Vinho Sta Carolina Cab. Sauvignon 187 ml</v>
      </c>
      <c r="AD71" s="7">
        <f>SUMIF(NF!$A:$A,$AC71,NF!$I:$I)</f>
        <v>0</v>
      </c>
      <c r="AE71" s="6">
        <v>2</v>
      </c>
      <c r="AF71" s="6"/>
      <c r="AG71" s="6"/>
      <c r="AH71" s="6"/>
      <c r="AI71" s="6"/>
      <c r="AJ71" s="6">
        <f>1</f>
        <v>1</v>
      </c>
      <c r="AK71" s="6">
        <f>1</f>
        <v>1</v>
      </c>
      <c r="AL71" s="7">
        <f t="shared" si="33"/>
        <v>4</v>
      </c>
      <c r="AM71" s="11">
        <f>AD71+AA71-AL71</f>
        <v>19</v>
      </c>
      <c r="AN71" s="25"/>
      <c r="AO71" s="10" t="str">
        <f t="shared" si="6"/>
        <v>MarçoSEMANA 4Vinho Sta Carolina Cab. Sauvignon 187 ml</v>
      </c>
      <c r="AP71" s="7">
        <f>SUMIF(NF!$A:$A,$AO71,NF!$I:$I)</f>
        <v>0</v>
      </c>
      <c r="AQ71" s="6"/>
      <c r="AR71" s="6"/>
      <c r="AS71" s="6">
        <f>1+1</f>
        <v>2</v>
      </c>
      <c r="AT71" s="6"/>
      <c r="AU71" s="6"/>
      <c r="AV71" s="6"/>
      <c r="AW71" s="6"/>
      <c r="AX71" s="7">
        <f t="shared" si="34"/>
        <v>2</v>
      </c>
      <c r="AY71" s="11">
        <f>AP71+AM71-AX71</f>
        <v>17</v>
      </c>
      <c r="AZ71" s="25"/>
      <c r="BA71" s="10" t="str">
        <f t="shared" si="8"/>
        <v>MarçoSEMANA 5Vinho Sta Carolina Cab. Sauvignon 187 ml</v>
      </c>
      <c r="BB71" s="7">
        <f>SUMIF(NF!$A:$A,$BA71,NF!$I:$I)</f>
        <v>0</v>
      </c>
      <c r="BC71" s="6"/>
      <c r="BD71" s="6">
        <v>1</v>
      </c>
      <c r="BE71" s="6"/>
      <c r="BF71" s="6">
        <v>1</v>
      </c>
      <c r="BG71" s="6">
        <f>1</f>
        <v>1</v>
      </c>
      <c r="BH71" s="6"/>
      <c r="BI71" s="74"/>
      <c r="BJ71" s="74"/>
      <c r="BK71" s="7">
        <f t="shared" si="35"/>
        <v>3</v>
      </c>
      <c r="BL71" s="8">
        <f>BB71+AY71-BK71</f>
        <v>14</v>
      </c>
      <c r="BM71" s="51" t="str">
        <f>IFERROR(VLOOKUP(A71,NF!$M:$O,3,0),"")</f>
        <v>Bebidas</v>
      </c>
      <c r="BN71" s="7">
        <f>SUM(N71,Z71,AL71,AX71,BK71)</f>
        <v>20</v>
      </c>
      <c r="BO71" s="8">
        <f t="array" ref="BO71">IFERROR(LARGE(IF(NF!$G$2:$G$3137='Mês atual'!A71,NF!$J$2:$J$3137),1),0)*BN71</f>
        <v>0</v>
      </c>
      <c r="BP71" s="50"/>
      <c r="BR71" s="146">
        <f t="array" ref="BR71">IFERROR(LARGE(IF(NF!$G$2:$G$3137='Mês atual'!A71,NF!$J$2:$J$3137),1),0)</f>
        <v>0</v>
      </c>
      <c r="BS71" s="142" t="str">
        <f>VLOOKUP(A71,NF!M:O,3,0)</f>
        <v>Bebidas</v>
      </c>
      <c r="BV71" s="74">
        <f t="shared" si="11"/>
        <v>3</v>
      </c>
      <c r="BW71" s="74">
        <f t="shared" si="12"/>
        <v>8</v>
      </c>
      <c r="BX71" s="74">
        <f t="shared" si="13"/>
        <v>4</v>
      </c>
      <c r="BY71" s="74">
        <f t="shared" si="14"/>
        <v>2</v>
      </c>
      <c r="BZ71" s="74">
        <f t="shared" si="15"/>
        <v>3</v>
      </c>
    </row>
    <row r="72" spans="1:78" x14ac:dyDescent="0.2">
      <c r="A72" s="108" t="s">
        <v>864</v>
      </c>
      <c r="B72" s="12"/>
      <c r="C72" s="9">
        <v>21</v>
      </c>
      <c r="D72" s="25"/>
      <c r="E72" s="10" t="str">
        <f t="shared" si="0"/>
        <v>MarçoSEMANA 1Vinho Sta Carolina Sauv. Blanc 187 ml</v>
      </c>
      <c r="F72" s="7">
        <f>SUMIF(NF!$A:$A,$E72,NF!$I:$I)</f>
        <v>0</v>
      </c>
      <c r="G72" s="74"/>
      <c r="H72" s="74"/>
      <c r="I72" s="74"/>
      <c r="J72" s="6"/>
      <c r="K72" s="6"/>
      <c r="L72" s="6"/>
      <c r="M72" s="6"/>
      <c r="N72" s="7">
        <f t="shared" si="31"/>
        <v>0</v>
      </c>
      <c r="O72" s="11">
        <f>F72+C72-N72</f>
        <v>21</v>
      </c>
      <c r="P72" s="25"/>
      <c r="Q72" s="10" t="str">
        <f t="shared" si="2"/>
        <v>MarçoSEMANA 2Vinho Sta Carolina Sauv. Blanc 187 ml</v>
      </c>
      <c r="R72" s="7">
        <f>SUMIF(NF!$A:$A,$Q72,NF!$I:$I)</f>
        <v>0</v>
      </c>
      <c r="S72" s="6"/>
      <c r="T72" s="6"/>
      <c r="U72" s="6"/>
      <c r="V72" s="6"/>
      <c r="W72" s="6">
        <f>2</f>
        <v>2</v>
      </c>
      <c r="X72" s="6"/>
      <c r="Y72" s="6"/>
      <c r="Z72" s="7">
        <f t="shared" si="32"/>
        <v>2</v>
      </c>
      <c r="AA72" s="11">
        <f>R72+O72-Z72</f>
        <v>19</v>
      </c>
      <c r="AB72" s="25"/>
      <c r="AC72" s="10" t="str">
        <f t="shared" si="4"/>
        <v>MarçoSEMANA 3Vinho Sta Carolina Sauv. Blanc 187 ml</v>
      </c>
      <c r="AD72" s="7">
        <f>SUMIF(NF!$A:$A,$AC72,NF!$I:$I)</f>
        <v>0</v>
      </c>
      <c r="AE72" s="6"/>
      <c r="AF72" s="6"/>
      <c r="AG72" s="6"/>
      <c r="AH72" s="6"/>
      <c r="AI72" s="6"/>
      <c r="AJ72" s="6">
        <v>1</v>
      </c>
      <c r="AK72" s="6"/>
      <c r="AL72" s="7">
        <f t="shared" si="33"/>
        <v>1</v>
      </c>
      <c r="AM72" s="11">
        <f>AD72+AA72-AL72</f>
        <v>18</v>
      </c>
      <c r="AN72" s="25"/>
      <c r="AO72" s="10" t="str">
        <f t="shared" si="6"/>
        <v>MarçoSEMANA 4Vinho Sta Carolina Sauv. Blanc 187 ml</v>
      </c>
      <c r="AP72" s="7">
        <f>SUMIF(NF!$A:$A,$AO72,NF!$I:$I)</f>
        <v>0</v>
      </c>
      <c r="AQ72" s="6"/>
      <c r="AR72" s="6"/>
      <c r="AS72" s="6"/>
      <c r="AT72" s="6"/>
      <c r="AU72" s="6"/>
      <c r="AV72" s="6"/>
      <c r="AW72" s="6"/>
      <c r="AX72" s="7">
        <f t="shared" si="34"/>
        <v>0</v>
      </c>
      <c r="AY72" s="11">
        <f>AP72+AM72-AX72</f>
        <v>18</v>
      </c>
      <c r="AZ72" s="25"/>
      <c r="BA72" s="10" t="str">
        <f t="shared" si="8"/>
        <v>MarçoSEMANA 5Vinho Sta Carolina Sauv. Blanc 187 ml</v>
      </c>
      <c r="BB72" s="7">
        <f>SUMIF(NF!$A:$A,$BA72,NF!$I:$I)</f>
        <v>0</v>
      </c>
      <c r="BC72" s="6"/>
      <c r="BD72" s="6"/>
      <c r="BE72" s="6"/>
      <c r="BF72" s="6"/>
      <c r="BG72" s="6"/>
      <c r="BH72" s="6"/>
      <c r="BI72" s="74"/>
      <c r="BJ72" s="74"/>
      <c r="BK72" s="7">
        <f t="shared" si="35"/>
        <v>0</v>
      </c>
      <c r="BL72" s="8">
        <f>BB72+AY72-BK72</f>
        <v>18</v>
      </c>
      <c r="BM72" s="51" t="str">
        <f>IFERROR(VLOOKUP(A72,NF!$M:$O,3,0),"")</f>
        <v>Bebidas</v>
      </c>
      <c r="BN72" s="7">
        <f>SUM(N72,Z72,AL72,AX72,BK72)</f>
        <v>3</v>
      </c>
      <c r="BO72" s="8">
        <f t="array" ref="BO72">IFERROR(LARGE(IF(NF!$G$2:$G$3137='Mês atual'!A72,NF!$J$2:$J$3137),1),0)*BN72</f>
        <v>0</v>
      </c>
      <c r="BP72" s="50"/>
      <c r="BR72" s="146">
        <f t="array" ref="BR72">IFERROR(LARGE(IF(NF!$G$2:$G$3137='Mês atual'!A72,NF!$J$2:$J$3137),1),0)</f>
        <v>0</v>
      </c>
      <c r="BS72" s="142" t="str">
        <f>VLOOKUP(A72,NF!M:O,3,0)</f>
        <v>Bebidas</v>
      </c>
      <c r="BV72" s="74">
        <f t="shared" ref="BV72:BV135" si="36">N72</f>
        <v>0</v>
      </c>
      <c r="BW72" s="74">
        <f t="shared" ref="BW72:BW135" si="37">Z72</f>
        <v>2</v>
      </c>
      <c r="BX72" s="74">
        <f t="shared" ref="BX72:BX135" si="38">AL72</f>
        <v>1</v>
      </c>
      <c r="BY72" s="74">
        <f t="shared" ref="BY72:BY135" si="39">AX72</f>
        <v>0</v>
      </c>
      <c r="BZ72" s="74">
        <f t="shared" ref="BZ72:BZ135" si="40">BK72</f>
        <v>0</v>
      </c>
    </row>
    <row r="73" spans="1:78" ht="15.95" thickBot="1" x14ac:dyDescent="0.25">
      <c r="A73" s="108" t="s">
        <v>866</v>
      </c>
      <c r="B73" s="12"/>
      <c r="C73" s="9">
        <v>0</v>
      </c>
      <c r="D73" s="25"/>
      <c r="E73" s="10" t="str">
        <f t="shared" si="0"/>
        <v>MarçoSEMANA 1Vodka Smirnoff</v>
      </c>
      <c r="F73" s="7">
        <f>SUMIF(NF!$A:$A,$E73,NF!$I:$I)</f>
        <v>1</v>
      </c>
      <c r="G73" s="74"/>
      <c r="H73" s="74"/>
      <c r="I73" s="74"/>
      <c r="J73" s="6"/>
      <c r="K73" s="6"/>
      <c r="L73" s="6"/>
      <c r="M73" s="6"/>
      <c r="N73" s="7">
        <f t="shared" si="31"/>
        <v>0</v>
      </c>
      <c r="O73" s="11">
        <f>F73+C73-N73</f>
        <v>1</v>
      </c>
      <c r="P73" s="25"/>
      <c r="Q73" s="10" t="str">
        <f t="shared" si="2"/>
        <v>MarçoSEMANA 2Vodka Smirnoff</v>
      </c>
      <c r="R73" s="7">
        <f>SUMIF(NF!$A:$A,$Q73,NF!$I:$I)</f>
        <v>0</v>
      </c>
      <c r="S73" s="6"/>
      <c r="T73" s="6"/>
      <c r="U73" s="6"/>
      <c r="V73" s="6"/>
      <c r="W73" s="6"/>
      <c r="X73" s="6"/>
      <c r="Y73" s="6">
        <v>1</v>
      </c>
      <c r="Z73" s="7">
        <f>SUM(S73:Y73)</f>
        <v>1</v>
      </c>
      <c r="AA73" s="11">
        <f>R73+O73-Z73</f>
        <v>0</v>
      </c>
      <c r="AB73" s="25"/>
      <c r="AC73" s="10" t="str">
        <f t="shared" si="4"/>
        <v>MarçoSEMANA 3Vodka Smirnoff</v>
      </c>
      <c r="AD73" s="7">
        <f>SUMIF(NF!$A:$A,$AC73,NF!$I:$I)</f>
        <v>2</v>
      </c>
      <c r="AE73" s="6"/>
      <c r="AF73" s="6"/>
      <c r="AG73" s="6"/>
      <c r="AH73" s="6"/>
      <c r="AI73" s="6"/>
      <c r="AJ73" s="6"/>
      <c r="AK73" s="6"/>
      <c r="AL73" s="7">
        <f>SUM(AE73:AK73)</f>
        <v>0</v>
      </c>
      <c r="AM73" s="11">
        <f>AD73+AA73-AL73</f>
        <v>2</v>
      </c>
      <c r="AN73" s="25"/>
      <c r="AO73" s="10" t="str">
        <f t="shared" si="6"/>
        <v>MarçoSEMANA 4Vodka Smirnoff</v>
      </c>
      <c r="AP73" s="7">
        <f>SUMIF(NF!$A:$A,$AO73,NF!$I:$I)</f>
        <v>0</v>
      </c>
      <c r="AQ73" s="6"/>
      <c r="AR73" s="6"/>
      <c r="AS73" s="6"/>
      <c r="AT73" s="6"/>
      <c r="AU73" s="6"/>
      <c r="AV73" s="6"/>
      <c r="AW73" s="6"/>
      <c r="AX73" s="7">
        <f>SUM(AQ73:AW73)</f>
        <v>0</v>
      </c>
      <c r="AY73" s="11">
        <f>AP73+AM73-AX73</f>
        <v>2</v>
      </c>
      <c r="AZ73" s="25"/>
      <c r="BA73" s="10" t="str">
        <f t="shared" si="8"/>
        <v>MarçoSEMANA 5Vodka Smirnoff</v>
      </c>
      <c r="BB73" s="7">
        <f>SUMIF(NF!$A:$A,$BA73,NF!$I:$I)</f>
        <v>0</v>
      </c>
      <c r="BC73" s="6"/>
      <c r="BD73" s="6"/>
      <c r="BE73" s="6"/>
      <c r="BF73" s="6"/>
      <c r="BG73" s="6"/>
      <c r="BH73" s="6"/>
      <c r="BI73" s="74"/>
      <c r="BJ73" s="74"/>
      <c r="BK73" s="7">
        <f t="shared" si="35"/>
        <v>0</v>
      </c>
      <c r="BL73" s="8">
        <f>BB73+AY73-BK73</f>
        <v>2</v>
      </c>
      <c r="BM73" s="51" t="str">
        <f>IFERROR(VLOOKUP(A73,NF!$M:$O,3,0),"")</f>
        <v>Bebidas</v>
      </c>
      <c r="BN73" s="7">
        <f>SUM(N73,Z73,AL73,AX73,BK73)</f>
        <v>1</v>
      </c>
      <c r="BO73" s="8">
        <f t="array" ref="BO73">IFERROR(LARGE(IF(NF!$G$2:$G$3137='Mês atual'!A73,NF!$J$2:$J$3137),1),0)*BN73</f>
        <v>29.63</v>
      </c>
      <c r="BP73" s="50"/>
      <c r="BR73" s="146">
        <f t="array" ref="BR73">IFERROR(LARGE(IF(NF!$G$2:$G$3137='Mês atual'!A73,NF!$J$2:$J$3137),1),0)</f>
        <v>29.63</v>
      </c>
      <c r="BS73" s="142" t="str">
        <f>VLOOKUP(A73,NF!M:O,3,0)</f>
        <v>Bebidas</v>
      </c>
      <c r="BV73" s="74">
        <f t="shared" si="36"/>
        <v>0</v>
      </c>
      <c r="BW73" s="74">
        <f t="shared" si="37"/>
        <v>1</v>
      </c>
      <c r="BX73" s="74">
        <f t="shared" si="38"/>
        <v>0</v>
      </c>
      <c r="BY73" s="74">
        <f t="shared" si="39"/>
        <v>0</v>
      </c>
      <c r="BZ73" s="74">
        <f t="shared" si="40"/>
        <v>0</v>
      </c>
    </row>
    <row r="74" spans="1:78" s="16" customFormat="1" ht="30" customHeight="1" thickBot="1" x14ac:dyDescent="0.25">
      <c r="A74" s="139" t="s">
        <v>918</v>
      </c>
      <c r="B74" s="130"/>
      <c r="C74" s="131"/>
      <c r="D74" s="132"/>
      <c r="E74" s="133"/>
      <c r="F74" s="134"/>
      <c r="G74" s="135"/>
      <c r="H74" s="135"/>
      <c r="I74" s="135"/>
      <c r="J74" s="133"/>
      <c r="K74" s="133"/>
      <c r="L74" s="133"/>
      <c r="M74" s="133"/>
      <c r="N74" s="134"/>
      <c r="O74" s="134"/>
      <c r="P74" s="132"/>
      <c r="Q74" s="133"/>
      <c r="R74" s="134"/>
      <c r="S74" s="133"/>
      <c r="T74" s="133"/>
      <c r="U74" s="133"/>
      <c r="V74" s="133"/>
      <c r="W74" s="133"/>
      <c r="X74" s="133"/>
      <c r="Y74" s="133"/>
      <c r="Z74" s="134"/>
      <c r="AA74" s="134"/>
      <c r="AB74" s="132"/>
      <c r="AC74" s="133"/>
      <c r="AD74" s="134"/>
      <c r="AE74" s="133"/>
      <c r="AF74" s="133"/>
      <c r="AG74" s="133"/>
      <c r="AH74" s="133"/>
      <c r="AI74" s="133"/>
      <c r="AJ74" s="133"/>
      <c r="AK74" s="133"/>
      <c r="AL74" s="134"/>
      <c r="AM74" s="134"/>
      <c r="AN74" s="132"/>
      <c r="AO74" s="133"/>
      <c r="AP74" s="134"/>
      <c r="AQ74" s="133"/>
      <c r="AR74" s="133"/>
      <c r="AS74" s="133"/>
      <c r="AT74" s="133"/>
      <c r="AU74" s="133"/>
      <c r="AV74" s="133"/>
      <c r="AW74" s="133"/>
      <c r="AX74" s="134"/>
      <c r="AY74" s="134"/>
      <c r="AZ74" s="132"/>
      <c r="BA74" s="133"/>
      <c r="BB74" s="134"/>
      <c r="BC74" s="133"/>
      <c r="BD74" s="133"/>
      <c r="BE74" s="133"/>
      <c r="BF74" s="133"/>
      <c r="BG74" s="133"/>
      <c r="BH74" s="133"/>
      <c r="BI74" s="135"/>
      <c r="BJ74" s="135"/>
      <c r="BK74" s="134"/>
      <c r="BL74" s="134"/>
      <c r="BM74" s="136"/>
      <c r="BN74" s="137"/>
      <c r="BO74" s="137"/>
      <c r="BP74" s="138"/>
      <c r="BQ74" s="144"/>
      <c r="BR74" s="144"/>
      <c r="BS74" s="144"/>
      <c r="BT74" s="145"/>
      <c r="BU74" s="145"/>
      <c r="BV74" s="154"/>
      <c r="BW74" s="154"/>
      <c r="BX74" s="154"/>
      <c r="BY74" s="154"/>
      <c r="BZ74" s="154"/>
    </row>
    <row r="75" spans="1:78" x14ac:dyDescent="0.2">
      <c r="A75" s="108" t="s">
        <v>938</v>
      </c>
      <c r="B75" s="12"/>
      <c r="C75" s="9">
        <v>0</v>
      </c>
      <c r="D75" s="25"/>
      <c r="E75" s="10" t="str">
        <f t="shared" ref="E75:E198" si="41">CONCATENATE($C$2,$F$1,$A75)</f>
        <v>MarçoSEMANA 1Aves - Drumet de Frango</v>
      </c>
      <c r="F75" s="7">
        <f>SUMIF(NF!$A:$A,$E75,NF!$I:$I)</f>
        <v>0</v>
      </c>
      <c r="G75" s="74"/>
      <c r="H75" s="74"/>
      <c r="I75" s="74"/>
      <c r="J75" s="6"/>
      <c r="K75" s="6"/>
      <c r="L75" s="6"/>
      <c r="M75" s="6"/>
      <c r="N75" s="7">
        <f>SUM(G75:M75)</f>
        <v>0</v>
      </c>
      <c r="O75" s="11">
        <f t="shared" ref="O75:O139" si="42">F75+C75-N75</f>
        <v>0</v>
      </c>
      <c r="P75" s="25"/>
      <c r="Q75" s="10" t="str">
        <f t="shared" ref="Q75:Q198" si="43">CONCATENATE($C$2,$R$1,$A75)</f>
        <v>MarçoSEMANA 2Aves - Drumet de Frango</v>
      </c>
      <c r="R75" s="7">
        <f>SUMIF(NF!$A:$A,$Q75,NF!$I:$I)</f>
        <v>0</v>
      </c>
      <c r="S75" s="6"/>
      <c r="T75" s="6"/>
      <c r="U75" s="6"/>
      <c r="V75" s="6"/>
      <c r="W75" s="6"/>
      <c r="X75" s="6"/>
      <c r="Y75" s="6"/>
      <c r="Z75" s="7">
        <f>SUM(S75:Y75)</f>
        <v>0</v>
      </c>
      <c r="AA75" s="11">
        <f t="shared" ref="AA75:AA139" si="44">R75+O75-Z75</f>
        <v>0</v>
      </c>
      <c r="AB75" s="25"/>
      <c r="AC75" s="10" t="str">
        <f t="shared" ref="AC75:AC198" si="45">CONCATENATE($C$2,$AD$1,$A75)</f>
        <v>MarçoSEMANA 3Aves - Drumet de Frango</v>
      </c>
      <c r="AD75" s="7">
        <f>SUMIF(NF!$A:$A,$AC75,NF!$I:$I)</f>
        <v>0</v>
      </c>
      <c r="AE75" s="6"/>
      <c r="AF75" s="6"/>
      <c r="AG75" s="6"/>
      <c r="AH75" s="6"/>
      <c r="AI75" s="6"/>
      <c r="AJ75" s="6"/>
      <c r="AK75" s="6"/>
      <c r="AL75" s="7">
        <f>SUM(AE75:AK75)</f>
        <v>0</v>
      </c>
      <c r="AM75" s="11">
        <f t="shared" ref="AM75:AM139" si="46">AD75+AA75-AL75</f>
        <v>0</v>
      </c>
      <c r="AN75" s="25"/>
      <c r="AO75" s="10" t="str">
        <f t="shared" ref="AO75:AO198" si="47">CONCATENATE($C$2,$AP$1,$A75)</f>
        <v>MarçoSEMANA 4Aves - Drumet de Frango</v>
      </c>
      <c r="AP75" s="7">
        <f>SUMIF(NF!$A:$A,$AO75,NF!$I:$I)</f>
        <v>0</v>
      </c>
      <c r="AQ75" s="6"/>
      <c r="AR75" s="6"/>
      <c r="AS75" s="6"/>
      <c r="AT75" s="6"/>
      <c r="AU75" s="6"/>
      <c r="AV75" s="6"/>
      <c r="AW75" s="6"/>
      <c r="AX75" s="7">
        <f>SUM(AQ75:AW75)</f>
        <v>0</v>
      </c>
      <c r="AY75" s="11">
        <f t="shared" ref="AY75:AY139" si="48">AP75+AM75-AX75</f>
        <v>0</v>
      </c>
      <c r="AZ75" s="25"/>
      <c r="BA75" s="10" t="str">
        <f t="shared" ref="BA75:BA198" si="49">CONCATENATE($C$2,$BB$1,$A75)</f>
        <v>MarçoSEMANA 5Aves - Drumet de Frango</v>
      </c>
      <c r="BB75" s="7">
        <f>SUMIF(NF!$A:$A,$BA75,NF!$I:$I)</f>
        <v>0</v>
      </c>
      <c r="BC75" s="6"/>
      <c r="BD75" s="6"/>
      <c r="BE75" s="6"/>
      <c r="BF75" s="6"/>
      <c r="BG75" s="6"/>
      <c r="BH75" s="6"/>
      <c r="BI75" s="74"/>
      <c r="BJ75" s="74"/>
      <c r="BK75" s="7">
        <f>SUM(BC75:BJ75)</f>
        <v>0</v>
      </c>
      <c r="BL75" s="8">
        <f t="shared" ref="BL75:BL139" si="50">BB75+AY75-BK75</f>
        <v>0</v>
      </c>
      <c r="BM75" s="51" t="str">
        <f>IFERROR(VLOOKUP(A75,NF!$M:$O,3,0),"")</f>
        <v>Carnes</v>
      </c>
      <c r="BN75" s="7">
        <f t="shared" ref="BN75:BN139" si="51">SUM(N75,Z75,AL75,AX75,BK75)</f>
        <v>0</v>
      </c>
      <c r="BO75" s="8">
        <f t="array" ref="BO75">IFERROR(LARGE(IF(NF!$G$2:$G$3137='Mês atual'!A75,NF!$J$2:$J$3137),1),0)*BN75</f>
        <v>0</v>
      </c>
      <c r="BP75" s="50"/>
      <c r="BR75" s="146">
        <f t="array" ref="BR75">IFERROR(LARGE(IF(NF!$G$2:$G$3137='Mês atual'!A75,NF!$J$2:$J$3137),1),0)</f>
        <v>0</v>
      </c>
      <c r="BS75" s="142" t="str">
        <f>VLOOKUP(A75,NF!M:O,3,0)</f>
        <v>Carnes</v>
      </c>
      <c r="BV75" s="74">
        <f t="shared" si="36"/>
        <v>0</v>
      </c>
      <c r="BW75" s="74">
        <f t="shared" si="37"/>
        <v>0</v>
      </c>
      <c r="BX75" s="74">
        <f t="shared" si="38"/>
        <v>0</v>
      </c>
      <c r="BY75" s="74">
        <f t="shared" si="39"/>
        <v>0</v>
      </c>
      <c r="BZ75" s="74">
        <f t="shared" si="40"/>
        <v>0</v>
      </c>
    </row>
    <row r="76" spans="1:78" x14ac:dyDescent="0.25">
      <c r="A76" s="108" t="s">
        <v>134</v>
      </c>
      <c r="B76" s="12"/>
      <c r="C76" s="9">
        <v>0</v>
      </c>
      <c r="D76" s="25"/>
      <c r="E76" s="10" t="str">
        <f t="shared" si="41"/>
        <v>MarçoSEMANA 1Aves -  Linguiça de frango</v>
      </c>
      <c r="F76" s="7">
        <f>SUMIF(NF!$A:$A,$E76,NF!$I:$I)</f>
        <v>0</v>
      </c>
      <c r="G76" s="74"/>
      <c r="H76" s="74"/>
      <c r="I76" s="74"/>
      <c r="J76" s="6"/>
      <c r="K76" s="6"/>
      <c r="L76" s="6"/>
      <c r="M76" s="6"/>
      <c r="N76" s="7">
        <f>SUM(G76:M76)</f>
        <v>0</v>
      </c>
      <c r="O76" s="11">
        <f t="shared" si="42"/>
        <v>0</v>
      </c>
      <c r="P76" s="25"/>
      <c r="Q76" s="10" t="str">
        <f t="shared" si="43"/>
        <v>MarçoSEMANA 2Aves -  Linguiça de frango</v>
      </c>
      <c r="R76" s="7">
        <f>SUMIF(NF!$A:$A,$Q76,NF!$I:$I)</f>
        <v>0</v>
      </c>
      <c r="S76" s="6"/>
      <c r="T76" s="6"/>
      <c r="U76" s="6"/>
      <c r="V76" s="6"/>
      <c r="W76" s="6"/>
      <c r="X76" s="6"/>
      <c r="Y76" s="6"/>
      <c r="Z76" s="7">
        <f>SUM(S76:Y76)</f>
        <v>0</v>
      </c>
      <c r="AA76" s="11">
        <f t="shared" si="44"/>
        <v>0</v>
      </c>
      <c r="AB76" s="25"/>
      <c r="AC76" s="10" t="str">
        <f t="shared" si="45"/>
        <v>MarçoSEMANA 3Aves -  Linguiça de frango</v>
      </c>
      <c r="AD76" s="7">
        <f>SUMIF(NF!$A:$A,$AC76,NF!$I:$I)</f>
        <v>0</v>
      </c>
      <c r="AE76" s="6"/>
      <c r="AF76" s="6"/>
      <c r="AG76" s="6"/>
      <c r="AH76" s="6"/>
      <c r="AI76" s="6"/>
      <c r="AJ76" s="6"/>
      <c r="AK76" s="6"/>
      <c r="AL76" s="7">
        <f>SUM(AE76:AK76)</f>
        <v>0</v>
      </c>
      <c r="AM76" s="11">
        <f t="shared" si="46"/>
        <v>0</v>
      </c>
      <c r="AN76" s="25"/>
      <c r="AO76" s="10" t="str">
        <f t="shared" si="47"/>
        <v>MarçoSEMANA 4Aves -  Linguiça de frango</v>
      </c>
      <c r="AP76" s="7">
        <f>SUMIF(NF!$A:$A,$AO76,NF!$I:$I)</f>
        <v>0</v>
      </c>
      <c r="AQ76" s="6"/>
      <c r="AR76" s="6"/>
      <c r="AS76" s="6"/>
      <c r="AT76" s="6"/>
      <c r="AU76" s="6"/>
      <c r="AV76" s="6"/>
      <c r="AW76" s="6"/>
      <c r="AX76" s="7">
        <f>SUM(AQ76:AW76)</f>
        <v>0</v>
      </c>
      <c r="AY76" s="11">
        <f t="shared" si="48"/>
        <v>0</v>
      </c>
      <c r="AZ76" s="25"/>
      <c r="BA76" s="10" t="str">
        <f t="shared" si="49"/>
        <v>MarçoSEMANA 5Aves -  Linguiça de frango</v>
      </c>
      <c r="BB76" s="7">
        <f>SUMIF(NF!$A:$A,$BA76,NF!$I:$I)</f>
        <v>0</v>
      </c>
      <c r="BC76" s="6"/>
      <c r="BD76" s="6"/>
      <c r="BE76" s="6"/>
      <c r="BF76" s="6"/>
      <c r="BG76" s="6"/>
      <c r="BH76" s="6"/>
      <c r="BI76" s="74"/>
      <c r="BJ76" s="74"/>
      <c r="BK76" s="7">
        <f>SUM(BC76:BJ76)</f>
        <v>0</v>
      </c>
      <c r="BL76" s="8">
        <f t="shared" si="50"/>
        <v>0</v>
      </c>
      <c r="BM76" s="51" t="str">
        <f>IFERROR(VLOOKUP(A76,NF!$M:$O,3,0),"")</f>
        <v>Carnes</v>
      </c>
      <c r="BN76" s="7">
        <f t="shared" si="51"/>
        <v>0</v>
      </c>
      <c r="BO76" s="8">
        <f t="array" ref="BO76">IFERROR(LARGE(IF(NF!$G$2:$G$3137='Mês atual'!A76,NF!$J$2:$J$3137),1),0)*BN76</f>
        <v>0</v>
      </c>
      <c r="BP76" s="50"/>
      <c r="BR76" s="146">
        <f t="array" ref="BR76">IFERROR(LARGE(IF(NF!$G$2:$G$3137='Mês atual'!A76,NF!$J$2:$J$3137),1),0)</f>
        <v>0</v>
      </c>
      <c r="BS76" s="142" t="str">
        <f>VLOOKUP(A76,NF!M:O,3,0)</f>
        <v>Carnes</v>
      </c>
      <c r="BV76" s="74">
        <f t="shared" si="36"/>
        <v>0</v>
      </c>
      <c r="BW76" s="74">
        <f t="shared" si="37"/>
        <v>0</v>
      </c>
      <c r="BX76" s="74">
        <f t="shared" si="38"/>
        <v>0</v>
      </c>
      <c r="BY76" s="74">
        <f t="shared" si="39"/>
        <v>0</v>
      </c>
      <c r="BZ76" s="74">
        <f t="shared" si="40"/>
        <v>0</v>
      </c>
    </row>
    <row r="77" spans="1:78" x14ac:dyDescent="0.2">
      <c r="A77" s="108" t="s">
        <v>135</v>
      </c>
      <c r="B77" s="12"/>
      <c r="C77" s="9">
        <v>0</v>
      </c>
      <c r="D77" s="25"/>
      <c r="E77" s="10" t="str">
        <f t="shared" si="41"/>
        <v>MarçoSEMANA 1Aves - Blanquete de Peru</v>
      </c>
      <c r="F77" s="7">
        <f>SUMIF(NF!$A:$A,$E77,NF!$I:$I)</f>
        <v>0</v>
      </c>
      <c r="G77" s="74"/>
      <c r="H77" s="74"/>
      <c r="I77" s="74"/>
      <c r="J77" s="6"/>
      <c r="K77" s="6"/>
      <c r="L77" s="6"/>
      <c r="M77" s="6"/>
      <c r="N77" s="7">
        <f t="shared" ref="N77:N83" si="52">SUM(G77:M77)</f>
        <v>0</v>
      </c>
      <c r="O77" s="11">
        <f t="shared" si="42"/>
        <v>0</v>
      </c>
      <c r="P77" s="25"/>
      <c r="Q77" s="10" t="str">
        <f t="shared" si="43"/>
        <v>MarçoSEMANA 2Aves - Blanquete de Peru</v>
      </c>
      <c r="R77" s="7">
        <f>SUMIF(NF!$A:$A,$Q77,NF!$I:$I)</f>
        <v>0</v>
      </c>
      <c r="S77" s="6"/>
      <c r="T77" s="6"/>
      <c r="U77" s="6"/>
      <c r="V77" s="6"/>
      <c r="W77" s="6"/>
      <c r="X77" s="6"/>
      <c r="Y77" s="6"/>
      <c r="Z77" s="7">
        <f t="shared" ref="Z77:Z83" si="53">SUM(S77:Y77)</f>
        <v>0</v>
      </c>
      <c r="AA77" s="11">
        <f t="shared" si="44"/>
        <v>0</v>
      </c>
      <c r="AB77" s="25"/>
      <c r="AC77" s="10" t="str">
        <f t="shared" si="45"/>
        <v>MarçoSEMANA 3Aves - Blanquete de Peru</v>
      </c>
      <c r="AD77" s="7">
        <f>SUMIF(NF!$A:$A,$AC77,NF!$I:$I)</f>
        <v>0</v>
      </c>
      <c r="AE77" s="6"/>
      <c r="AF77" s="6"/>
      <c r="AG77" s="6"/>
      <c r="AH77" s="6"/>
      <c r="AI77" s="6"/>
      <c r="AJ77" s="6"/>
      <c r="AK77" s="6"/>
      <c r="AL77" s="7">
        <f t="shared" ref="AL77:AL83" si="54">SUM(AE77:AK77)</f>
        <v>0</v>
      </c>
      <c r="AM77" s="11">
        <f t="shared" si="46"/>
        <v>0</v>
      </c>
      <c r="AN77" s="25"/>
      <c r="AO77" s="10" t="str">
        <f t="shared" si="47"/>
        <v>MarçoSEMANA 4Aves - Blanquete de Peru</v>
      </c>
      <c r="AP77" s="7">
        <f>SUMIF(NF!$A:$A,$AO77,NF!$I:$I)</f>
        <v>0</v>
      </c>
      <c r="AQ77" s="6"/>
      <c r="AR77" s="6"/>
      <c r="AS77" s="6"/>
      <c r="AT77" s="6"/>
      <c r="AU77" s="6"/>
      <c r="AV77" s="6"/>
      <c r="AW77" s="6"/>
      <c r="AX77" s="7">
        <f t="shared" ref="AX77:AX83" si="55">SUM(AQ77:AW77)</f>
        <v>0</v>
      </c>
      <c r="AY77" s="11">
        <f t="shared" si="48"/>
        <v>0</v>
      </c>
      <c r="AZ77" s="25"/>
      <c r="BA77" s="10" t="str">
        <f t="shared" si="49"/>
        <v>MarçoSEMANA 5Aves - Blanquete de Peru</v>
      </c>
      <c r="BB77" s="7">
        <f>SUMIF(NF!$A:$A,$BA77,NF!$I:$I)</f>
        <v>0</v>
      </c>
      <c r="BC77" s="6"/>
      <c r="BD77" s="6"/>
      <c r="BE77" s="6"/>
      <c r="BF77" s="6"/>
      <c r="BG77" s="6"/>
      <c r="BH77" s="6"/>
      <c r="BI77" s="74"/>
      <c r="BJ77" s="74"/>
      <c r="BK77" s="7">
        <f t="shared" ref="BK77:BK83" si="56">SUM(BC77:BJ77)</f>
        <v>0</v>
      </c>
      <c r="BL77" s="8">
        <f t="shared" si="50"/>
        <v>0</v>
      </c>
      <c r="BM77" s="51" t="str">
        <f>IFERROR(VLOOKUP(A77,NF!$M:$O,3,0),"")</f>
        <v>Carnes</v>
      </c>
      <c r="BN77" s="7">
        <f t="shared" si="51"/>
        <v>0</v>
      </c>
      <c r="BO77" s="8">
        <f t="array" ref="BO77">IFERROR(LARGE(IF(NF!$G$2:$G$3137='Mês atual'!A77,NF!$J$2:$J$3137),1),0)*BN77</f>
        <v>0</v>
      </c>
      <c r="BP77" s="50"/>
      <c r="BR77" s="146">
        <f t="array" ref="BR77">IFERROR(LARGE(IF(NF!$G$2:$G$3137='Mês atual'!A77,NF!$J$2:$J$3137),1),0)</f>
        <v>0</v>
      </c>
      <c r="BS77" s="142" t="str">
        <f>VLOOKUP(A77,NF!M:O,3,0)</f>
        <v>Carnes</v>
      </c>
      <c r="BV77" s="74">
        <f t="shared" si="36"/>
        <v>0</v>
      </c>
      <c r="BW77" s="74">
        <f t="shared" si="37"/>
        <v>0</v>
      </c>
      <c r="BX77" s="74">
        <f t="shared" si="38"/>
        <v>0</v>
      </c>
      <c r="BY77" s="74">
        <f t="shared" si="39"/>
        <v>0</v>
      </c>
      <c r="BZ77" s="74">
        <f t="shared" si="40"/>
        <v>0</v>
      </c>
    </row>
    <row r="78" spans="1:78" x14ac:dyDescent="0.25">
      <c r="A78" s="108" t="s">
        <v>136</v>
      </c>
      <c r="B78" s="12"/>
      <c r="C78" s="9">
        <v>0</v>
      </c>
      <c r="D78" s="25"/>
      <c r="E78" s="10" t="str">
        <f t="shared" si="41"/>
        <v>MarçoSEMANA 1Aves - Coração de Frango</v>
      </c>
      <c r="F78" s="7">
        <f>SUMIF(NF!$A:$A,$E78,NF!$I:$I)</f>
        <v>12</v>
      </c>
      <c r="G78" s="74"/>
      <c r="H78" s="74"/>
      <c r="I78" s="74"/>
      <c r="J78" s="6"/>
      <c r="K78" s="6">
        <v>12</v>
      </c>
      <c r="L78" s="6"/>
      <c r="M78" s="6"/>
      <c r="N78" s="7">
        <f t="shared" si="52"/>
        <v>12</v>
      </c>
      <c r="O78" s="11">
        <f t="shared" si="42"/>
        <v>0</v>
      </c>
      <c r="P78" s="25"/>
      <c r="Q78" s="10" t="str">
        <f t="shared" si="43"/>
        <v>MarçoSEMANA 2Aves - Coração de Frango</v>
      </c>
      <c r="R78" s="7">
        <f>SUMIF(NF!$A:$A,$Q78,NF!$I:$I)</f>
        <v>0</v>
      </c>
      <c r="S78" s="6"/>
      <c r="T78" s="6"/>
      <c r="U78" s="6"/>
      <c r="V78" s="6"/>
      <c r="W78" s="6"/>
      <c r="X78" s="6"/>
      <c r="Y78" s="6"/>
      <c r="Z78" s="7">
        <f t="shared" si="53"/>
        <v>0</v>
      </c>
      <c r="AA78" s="11">
        <f t="shared" si="44"/>
        <v>0</v>
      </c>
      <c r="AB78" s="25"/>
      <c r="AC78" s="10" t="str">
        <f t="shared" si="45"/>
        <v>MarçoSEMANA 3Aves - Coração de Frango</v>
      </c>
      <c r="AD78" s="7">
        <f>SUMIF(NF!$A:$A,$AC78,NF!$I:$I)</f>
        <v>0</v>
      </c>
      <c r="AE78" s="6"/>
      <c r="AF78" s="6"/>
      <c r="AG78" s="6"/>
      <c r="AH78" s="6"/>
      <c r="AI78" s="6"/>
      <c r="AJ78" s="6"/>
      <c r="AK78" s="6"/>
      <c r="AL78" s="7">
        <f t="shared" si="54"/>
        <v>0</v>
      </c>
      <c r="AM78" s="11">
        <f t="shared" si="46"/>
        <v>0</v>
      </c>
      <c r="AN78" s="25"/>
      <c r="AO78" s="10" t="str">
        <f t="shared" si="47"/>
        <v>MarçoSEMANA 4Aves - Coração de Frango</v>
      </c>
      <c r="AP78" s="7">
        <f>SUMIF(NF!$A:$A,$AO78,NF!$I:$I)</f>
        <v>5</v>
      </c>
      <c r="AQ78" s="6"/>
      <c r="AR78" s="6"/>
      <c r="AS78" s="6"/>
      <c r="AT78" s="6"/>
      <c r="AU78" s="6"/>
      <c r="AV78" s="6">
        <v>5</v>
      </c>
      <c r="AW78" s="6"/>
      <c r="AX78" s="7">
        <f t="shared" si="55"/>
        <v>5</v>
      </c>
      <c r="AY78" s="11">
        <f t="shared" si="48"/>
        <v>0</v>
      </c>
      <c r="AZ78" s="25"/>
      <c r="BA78" s="10" t="str">
        <f t="shared" si="49"/>
        <v>MarçoSEMANA 5Aves - Coração de Frango</v>
      </c>
      <c r="BB78" s="7">
        <f>SUMIF(NF!$A:$A,$BA78,NF!$I:$I)</f>
        <v>0</v>
      </c>
      <c r="BC78" s="6"/>
      <c r="BD78" s="6"/>
      <c r="BE78" s="6"/>
      <c r="BF78" s="6"/>
      <c r="BG78" s="6"/>
      <c r="BH78" s="6"/>
      <c r="BI78" s="74"/>
      <c r="BJ78" s="74"/>
      <c r="BK78" s="7">
        <f t="shared" si="56"/>
        <v>0</v>
      </c>
      <c r="BL78" s="8">
        <f t="shared" si="50"/>
        <v>0</v>
      </c>
      <c r="BM78" s="51" t="str">
        <f>IFERROR(VLOOKUP(A78,NF!$M:$O,3,0),"")</f>
        <v>Carnes</v>
      </c>
      <c r="BN78" s="7">
        <f t="shared" si="51"/>
        <v>17</v>
      </c>
      <c r="BO78" s="8">
        <f t="array" ref="BO78">IFERROR(LARGE(IF(NF!$G$2:$G$3137='Mês atual'!A78,NF!$J$2:$J$3137),1),0)*BN78</f>
        <v>271.14999999999998</v>
      </c>
      <c r="BP78" s="50"/>
      <c r="BR78" s="146">
        <f t="array" ref="BR78">IFERROR(LARGE(IF(NF!$G$2:$G$3137='Mês atual'!A78,NF!$J$2:$J$3137),1),0)</f>
        <v>15.95</v>
      </c>
      <c r="BS78" s="142" t="str">
        <f>VLOOKUP(A78,NF!M:O,3,0)</f>
        <v>Carnes</v>
      </c>
      <c r="BV78" s="74">
        <f t="shared" si="36"/>
        <v>12</v>
      </c>
      <c r="BW78" s="74">
        <f t="shared" si="37"/>
        <v>0</v>
      </c>
      <c r="BX78" s="74">
        <f t="shared" si="38"/>
        <v>0</v>
      </c>
      <c r="BY78" s="74">
        <f t="shared" si="39"/>
        <v>5</v>
      </c>
      <c r="BZ78" s="74">
        <f t="shared" si="40"/>
        <v>0</v>
      </c>
    </row>
    <row r="79" spans="1:78" x14ac:dyDescent="0.25">
      <c r="A79" s="108" t="s">
        <v>137</v>
      </c>
      <c r="B79" s="12"/>
      <c r="C79" s="9">
        <v>20.3</v>
      </c>
      <c r="D79" s="25"/>
      <c r="E79" s="10" t="str">
        <f t="shared" si="41"/>
        <v>MarçoSEMANA 1Aves - Filé de Coxa</v>
      </c>
      <c r="F79" s="7">
        <f>SUMIF(NF!$A:$A,$E79,NF!$I:$I)</f>
        <v>16.799999999999997</v>
      </c>
      <c r="G79" s="74"/>
      <c r="H79" s="74"/>
      <c r="I79" s="74"/>
      <c r="J79" s="6"/>
      <c r="K79" s="6">
        <v>12.6</v>
      </c>
      <c r="L79" s="6"/>
      <c r="M79" s="6">
        <v>10.5</v>
      </c>
      <c r="N79" s="7">
        <f t="shared" si="52"/>
        <v>23.1</v>
      </c>
      <c r="O79" s="11">
        <f t="shared" si="42"/>
        <v>13.999999999999993</v>
      </c>
      <c r="P79" s="25"/>
      <c r="Q79" s="10" t="str">
        <f t="shared" si="43"/>
        <v>MarçoSEMANA 2Aves - Filé de Coxa</v>
      </c>
      <c r="R79" s="7">
        <f>SUMIF(NF!$A:$A,$Q79,NF!$I:$I)</f>
        <v>25.2</v>
      </c>
      <c r="S79" s="6"/>
      <c r="T79" s="6"/>
      <c r="U79" s="6">
        <f>8.4+4.2</f>
        <v>12.600000000000001</v>
      </c>
      <c r="V79" s="6">
        <v>14</v>
      </c>
      <c r="W79" s="6"/>
      <c r="X79" s="6"/>
      <c r="Y79" s="6"/>
      <c r="Z79" s="7">
        <f t="shared" si="53"/>
        <v>26.6</v>
      </c>
      <c r="AA79" s="11">
        <f t="shared" si="44"/>
        <v>12.599999999999987</v>
      </c>
      <c r="AB79" s="25"/>
      <c r="AC79" s="10" t="str">
        <f t="shared" si="45"/>
        <v>MarçoSEMANA 3Aves - Filé de Coxa</v>
      </c>
      <c r="AD79" s="7">
        <f>SUMIF(NF!$A:$A,$AC79,NF!$I:$I)</f>
        <v>33.599999999999994</v>
      </c>
      <c r="AE79" s="6"/>
      <c r="AF79" s="6">
        <f>12.6-3.98</f>
        <v>8.6199999999999992</v>
      </c>
      <c r="AG79" s="6"/>
      <c r="AH79" s="6"/>
      <c r="AI79" s="6">
        <f>8.4+3.98</f>
        <v>12.38</v>
      </c>
      <c r="AJ79" s="6"/>
      <c r="AK79" s="6"/>
      <c r="AL79" s="7">
        <f t="shared" si="54"/>
        <v>21</v>
      </c>
      <c r="AM79" s="11">
        <f t="shared" si="46"/>
        <v>25.199999999999982</v>
      </c>
      <c r="AN79" s="25"/>
      <c r="AO79" s="10" t="str">
        <f t="shared" si="47"/>
        <v>MarçoSEMANA 4Aves - Filé de Coxa</v>
      </c>
      <c r="AP79" s="7">
        <f>SUMIF(NF!$A:$A,$AO79,NF!$I:$I)</f>
        <v>25.2</v>
      </c>
      <c r="AQ79" s="6"/>
      <c r="AR79" s="6"/>
      <c r="AS79" s="6"/>
      <c r="AT79" s="6">
        <f>16.8-5.52</f>
        <v>11.280000000000001</v>
      </c>
      <c r="AU79" s="6">
        <f>8.4+5.52</f>
        <v>13.92</v>
      </c>
      <c r="AV79" s="6">
        <v>8.4</v>
      </c>
      <c r="AW79" s="6"/>
      <c r="AX79" s="7">
        <f t="shared" si="55"/>
        <v>33.6</v>
      </c>
      <c r="AY79" s="11">
        <f t="shared" si="48"/>
        <v>16.799999999999976</v>
      </c>
      <c r="AZ79" s="25"/>
      <c r="BA79" s="10" t="str">
        <f t="shared" si="49"/>
        <v>MarçoSEMANA 5Aves - Filé de Coxa</v>
      </c>
      <c r="BB79" s="7">
        <f>SUMIF(NF!$A:$A,$BA79,NF!$I:$I)</f>
        <v>16.799999999999997</v>
      </c>
      <c r="BC79" s="6">
        <v>16.8</v>
      </c>
      <c r="BD79" s="6"/>
      <c r="BE79" s="6"/>
      <c r="BF79" s="6"/>
      <c r="BG79" s="6"/>
      <c r="BH79" s="6">
        <v>8.4</v>
      </c>
      <c r="BI79" s="74"/>
      <c r="BJ79" s="74"/>
      <c r="BK79" s="7">
        <f t="shared" si="56"/>
        <v>25.200000000000003</v>
      </c>
      <c r="BL79" s="8">
        <f t="shared" si="50"/>
        <v>8.3999999999999702</v>
      </c>
      <c r="BM79" s="51" t="str">
        <f>IFERROR(VLOOKUP(A79,NF!$M:$O,3,0),"")</f>
        <v>Carnes</v>
      </c>
      <c r="BN79" s="7">
        <f t="shared" si="51"/>
        <v>129.5</v>
      </c>
      <c r="BO79" s="8">
        <f t="array" ref="BO79">IFERROR(LARGE(IF(NF!$G$2:$G$3137='Mês atual'!A79,NF!$J$2:$J$3137),1),0)*BN79</f>
        <v>1126.6500000000001</v>
      </c>
      <c r="BP79" s="50"/>
      <c r="BR79" s="146">
        <f t="array" ref="BR79">IFERROR(LARGE(IF(NF!$G$2:$G$3137='Mês atual'!A79,NF!$J$2:$J$3137),1),0)</f>
        <v>8.7000000000000011</v>
      </c>
      <c r="BS79" s="142" t="str">
        <f>VLOOKUP(A79,NF!M:O,3,0)</f>
        <v>Carnes</v>
      </c>
      <c r="BV79" s="74">
        <f t="shared" si="36"/>
        <v>23.1</v>
      </c>
      <c r="BW79" s="74">
        <f t="shared" si="37"/>
        <v>26.6</v>
      </c>
      <c r="BX79" s="74">
        <f t="shared" si="38"/>
        <v>21</v>
      </c>
      <c r="BY79" s="74">
        <f t="shared" si="39"/>
        <v>33.6</v>
      </c>
      <c r="BZ79" s="74">
        <f t="shared" si="40"/>
        <v>25.200000000000003</v>
      </c>
    </row>
    <row r="80" spans="1:78" x14ac:dyDescent="0.25">
      <c r="A80" s="108" t="s">
        <v>138</v>
      </c>
      <c r="B80" s="12"/>
      <c r="C80" s="9">
        <v>0</v>
      </c>
      <c r="D80" s="25"/>
      <c r="E80" s="10" t="str">
        <f t="shared" si="41"/>
        <v>MarçoSEMANA 1Aves - Filé de Coxa c/ pele</v>
      </c>
      <c r="F80" s="7">
        <f>SUMIF(NF!$A:$A,$E80,NF!$I:$I)</f>
        <v>0</v>
      </c>
      <c r="G80" s="74"/>
      <c r="H80" s="74"/>
      <c r="I80" s="74"/>
      <c r="J80" s="6"/>
      <c r="K80" s="6"/>
      <c r="L80" s="6"/>
      <c r="M80" s="6"/>
      <c r="N80" s="7">
        <f t="shared" si="52"/>
        <v>0</v>
      </c>
      <c r="O80" s="11">
        <f t="shared" si="42"/>
        <v>0</v>
      </c>
      <c r="P80" s="25"/>
      <c r="Q80" s="10" t="str">
        <f t="shared" si="43"/>
        <v>MarçoSEMANA 2Aves - Filé de Coxa c/ pele</v>
      </c>
      <c r="R80" s="7">
        <f>SUMIF(NF!$A:$A,$Q80,NF!$I:$I)</f>
        <v>0</v>
      </c>
      <c r="S80" s="6"/>
      <c r="T80" s="6"/>
      <c r="U80" s="6"/>
      <c r="V80" s="6"/>
      <c r="W80" s="6"/>
      <c r="X80" s="6"/>
      <c r="Y80" s="6"/>
      <c r="Z80" s="7">
        <f t="shared" si="53"/>
        <v>0</v>
      </c>
      <c r="AA80" s="11">
        <f t="shared" si="44"/>
        <v>0</v>
      </c>
      <c r="AB80" s="25"/>
      <c r="AC80" s="10" t="str">
        <f t="shared" si="45"/>
        <v>MarçoSEMANA 3Aves - Filé de Coxa c/ pele</v>
      </c>
      <c r="AD80" s="7">
        <f>SUMIF(NF!$A:$A,$AC80,NF!$I:$I)</f>
        <v>0</v>
      </c>
      <c r="AE80" s="6"/>
      <c r="AF80" s="6"/>
      <c r="AG80" s="6"/>
      <c r="AH80" s="6"/>
      <c r="AI80" s="6"/>
      <c r="AJ80" s="6"/>
      <c r="AK80" s="6"/>
      <c r="AL80" s="7">
        <f t="shared" si="54"/>
        <v>0</v>
      </c>
      <c r="AM80" s="11">
        <f t="shared" si="46"/>
        <v>0</v>
      </c>
      <c r="AN80" s="25"/>
      <c r="AO80" s="10" t="str">
        <f t="shared" si="47"/>
        <v>MarçoSEMANA 4Aves - Filé de Coxa c/ pele</v>
      </c>
      <c r="AP80" s="7">
        <f>SUMIF(NF!$A:$A,$AO80,NF!$I:$I)</f>
        <v>0</v>
      </c>
      <c r="AQ80" s="6"/>
      <c r="AR80" s="6"/>
      <c r="AS80" s="6"/>
      <c r="AT80" s="6"/>
      <c r="AU80" s="6"/>
      <c r="AV80" s="6"/>
      <c r="AW80" s="6"/>
      <c r="AX80" s="7">
        <f t="shared" si="55"/>
        <v>0</v>
      </c>
      <c r="AY80" s="11">
        <f t="shared" si="48"/>
        <v>0</v>
      </c>
      <c r="AZ80" s="25"/>
      <c r="BA80" s="10" t="str">
        <f t="shared" si="49"/>
        <v>MarçoSEMANA 5Aves - Filé de Coxa c/ pele</v>
      </c>
      <c r="BB80" s="7">
        <f>SUMIF(NF!$A:$A,$BA80,NF!$I:$I)</f>
        <v>0</v>
      </c>
      <c r="BC80" s="6"/>
      <c r="BD80" s="6"/>
      <c r="BE80" s="6"/>
      <c r="BF80" s="6"/>
      <c r="BG80" s="6"/>
      <c r="BH80" s="6"/>
      <c r="BI80" s="74"/>
      <c r="BJ80" s="74"/>
      <c r="BK80" s="7">
        <f t="shared" si="56"/>
        <v>0</v>
      </c>
      <c r="BL80" s="8">
        <f t="shared" si="50"/>
        <v>0</v>
      </c>
      <c r="BM80" s="51" t="str">
        <f>IFERROR(VLOOKUP(A80,NF!$M:$O,3,0),"")</f>
        <v>Carnes</v>
      </c>
      <c r="BN80" s="7">
        <f t="shared" si="51"/>
        <v>0</v>
      </c>
      <c r="BO80" s="8">
        <f t="array" ref="BO80">IFERROR(LARGE(IF(NF!$G$2:$G$3137='Mês atual'!A80,NF!$J$2:$J$3137),1),0)*BN80</f>
        <v>0</v>
      </c>
      <c r="BP80" s="50"/>
      <c r="BR80" s="146">
        <f t="array" ref="BR80">IFERROR(LARGE(IF(NF!$G$2:$G$3137='Mês atual'!A80,NF!$J$2:$J$3137),1),0)</f>
        <v>0</v>
      </c>
      <c r="BS80" s="142" t="str">
        <f>VLOOKUP(A80,NF!M:O,3,0)</f>
        <v>Carnes</v>
      </c>
      <c r="BV80" s="74">
        <f t="shared" si="36"/>
        <v>0</v>
      </c>
      <c r="BW80" s="74">
        <f t="shared" si="37"/>
        <v>0</v>
      </c>
      <c r="BX80" s="74">
        <f t="shared" si="38"/>
        <v>0</v>
      </c>
      <c r="BY80" s="74">
        <f t="shared" si="39"/>
        <v>0</v>
      </c>
      <c r="BZ80" s="74">
        <f t="shared" si="40"/>
        <v>0</v>
      </c>
    </row>
    <row r="81" spans="1:78" x14ac:dyDescent="0.25">
      <c r="A81" s="108" t="s">
        <v>883</v>
      </c>
      <c r="B81" s="12"/>
      <c r="C81" s="9">
        <v>0</v>
      </c>
      <c r="D81" s="25"/>
      <c r="E81" s="10" t="str">
        <f t="shared" si="41"/>
        <v>MarçoSEMANA 1Aves - Filé de Coxa e Sobrecoxa s/pele</v>
      </c>
      <c r="F81" s="7">
        <f>SUMIF(NF!$A:$A,$E81,NF!$I:$I)</f>
        <v>0</v>
      </c>
      <c r="G81" s="74"/>
      <c r="H81" s="74"/>
      <c r="I81" s="74"/>
      <c r="J81" s="6"/>
      <c r="K81" s="6"/>
      <c r="L81" s="6"/>
      <c r="M81" s="6"/>
      <c r="N81" s="7">
        <f t="shared" si="52"/>
        <v>0</v>
      </c>
      <c r="O81" s="11">
        <f t="shared" si="42"/>
        <v>0</v>
      </c>
      <c r="P81" s="25"/>
      <c r="Q81" s="10" t="str">
        <f t="shared" si="43"/>
        <v>MarçoSEMANA 2Aves - Filé de Coxa e Sobrecoxa s/pele</v>
      </c>
      <c r="R81" s="7">
        <f>SUMIF(NF!$A:$A,$Q81,NF!$I:$I)</f>
        <v>0</v>
      </c>
      <c r="S81" s="6"/>
      <c r="T81" s="6"/>
      <c r="U81" s="6"/>
      <c r="V81" s="6"/>
      <c r="W81" s="6"/>
      <c r="X81" s="6"/>
      <c r="Y81" s="6"/>
      <c r="Z81" s="7">
        <f t="shared" si="53"/>
        <v>0</v>
      </c>
      <c r="AA81" s="11">
        <f t="shared" si="44"/>
        <v>0</v>
      </c>
      <c r="AB81" s="25"/>
      <c r="AC81" s="10" t="str">
        <f t="shared" si="45"/>
        <v>MarçoSEMANA 3Aves - Filé de Coxa e Sobrecoxa s/pele</v>
      </c>
      <c r="AD81" s="7">
        <f>SUMIF(NF!$A:$A,$AC81,NF!$I:$I)</f>
        <v>0</v>
      </c>
      <c r="AE81" s="6"/>
      <c r="AF81" s="6"/>
      <c r="AG81" s="6"/>
      <c r="AH81" s="6"/>
      <c r="AI81" s="6"/>
      <c r="AJ81" s="6"/>
      <c r="AK81" s="6"/>
      <c r="AL81" s="7">
        <f t="shared" si="54"/>
        <v>0</v>
      </c>
      <c r="AM81" s="11">
        <f t="shared" si="46"/>
        <v>0</v>
      </c>
      <c r="AN81" s="25"/>
      <c r="AO81" s="10" t="str">
        <f t="shared" si="47"/>
        <v>MarçoSEMANA 4Aves - Filé de Coxa e Sobrecoxa s/pele</v>
      </c>
      <c r="AP81" s="7">
        <f>SUMIF(NF!$A:$A,$AO81,NF!$I:$I)</f>
        <v>0</v>
      </c>
      <c r="AQ81" s="6"/>
      <c r="AR81" s="6"/>
      <c r="AS81" s="6"/>
      <c r="AT81" s="6"/>
      <c r="AU81" s="6"/>
      <c r="AV81" s="6"/>
      <c r="AW81" s="6"/>
      <c r="AX81" s="7">
        <f t="shared" si="55"/>
        <v>0</v>
      </c>
      <c r="AY81" s="11">
        <f t="shared" si="48"/>
        <v>0</v>
      </c>
      <c r="AZ81" s="25"/>
      <c r="BA81" s="10" t="str">
        <f t="shared" si="49"/>
        <v>MarçoSEMANA 5Aves - Filé de Coxa e Sobrecoxa s/pele</v>
      </c>
      <c r="BB81" s="7">
        <f>SUMIF(NF!$A:$A,$BA81,NF!$I:$I)</f>
        <v>0</v>
      </c>
      <c r="BC81" s="6"/>
      <c r="BD81" s="6"/>
      <c r="BE81" s="6"/>
      <c r="BF81" s="6"/>
      <c r="BG81" s="6"/>
      <c r="BH81" s="6"/>
      <c r="BI81" s="74"/>
      <c r="BJ81" s="74"/>
      <c r="BK81" s="7">
        <f t="shared" si="56"/>
        <v>0</v>
      </c>
      <c r="BL81" s="8">
        <f t="shared" si="50"/>
        <v>0</v>
      </c>
      <c r="BM81" s="51" t="str">
        <f>IFERROR(VLOOKUP(A81,NF!$M:$O,3,0),"")</f>
        <v>Carnes</v>
      </c>
      <c r="BN81" s="7">
        <f t="shared" si="51"/>
        <v>0</v>
      </c>
      <c r="BO81" s="8">
        <f t="array" ref="BO81">IFERROR(LARGE(IF(NF!$G$2:$G$3137='Mês atual'!A81,NF!$J$2:$J$3137),1),0)*BN81</f>
        <v>0</v>
      </c>
      <c r="BP81" s="50"/>
      <c r="BR81" s="146">
        <f t="array" ref="BR81">IFERROR(LARGE(IF(NF!$G$2:$G$3137='Mês atual'!A81,NF!$J$2:$J$3137),1),0)</f>
        <v>0</v>
      </c>
      <c r="BS81" s="142" t="str">
        <f>VLOOKUP(A81,NF!M:O,3,0)</f>
        <v>Carnes</v>
      </c>
      <c r="BV81" s="74">
        <f t="shared" si="36"/>
        <v>0</v>
      </c>
      <c r="BW81" s="74">
        <f t="shared" si="37"/>
        <v>0</v>
      </c>
      <c r="BX81" s="74">
        <f t="shared" si="38"/>
        <v>0</v>
      </c>
      <c r="BY81" s="74">
        <f t="shared" si="39"/>
        <v>0</v>
      </c>
      <c r="BZ81" s="74">
        <f t="shared" si="40"/>
        <v>0</v>
      </c>
    </row>
    <row r="82" spans="1:78" x14ac:dyDescent="0.25">
      <c r="A82" s="108" t="s">
        <v>139</v>
      </c>
      <c r="B82" s="12"/>
      <c r="C82" s="9">
        <v>57.08</v>
      </c>
      <c r="D82" s="25"/>
      <c r="E82" s="10" t="str">
        <f t="shared" si="41"/>
        <v>MarçoSEMANA 1Aves - Filé de Peito de Frango</v>
      </c>
      <c r="F82" s="7">
        <f>SUMIF(NF!$A:$A,$E82,NF!$I:$I)</f>
        <v>47</v>
      </c>
      <c r="G82" s="74"/>
      <c r="H82" s="74"/>
      <c r="I82" s="74"/>
      <c r="J82" s="6">
        <v>16.54</v>
      </c>
      <c r="K82" s="6"/>
      <c r="L82" s="6">
        <v>26.66</v>
      </c>
      <c r="M82" s="6"/>
      <c r="N82" s="7">
        <f t="shared" si="52"/>
        <v>43.2</v>
      </c>
      <c r="O82" s="11">
        <f t="shared" si="42"/>
        <v>60.879999999999995</v>
      </c>
      <c r="P82" s="25"/>
      <c r="Q82" s="10" t="str">
        <f t="shared" si="43"/>
        <v>MarçoSEMANA 2Aves - Filé de Peito de Frango</v>
      </c>
      <c r="R82" s="7">
        <f>SUMIF(NF!$A:$A,$Q82,NF!$I:$I)</f>
        <v>48</v>
      </c>
      <c r="S82" s="6">
        <f>27.36-16.08</f>
        <v>11.280000000000001</v>
      </c>
      <c r="T82" s="6">
        <v>16.079999999999998</v>
      </c>
      <c r="U82" s="6">
        <v>15.46</v>
      </c>
      <c r="V82" s="6">
        <v>16.559999999999999</v>
      </c>
      <c r="W82" s="6"/>
      <c r="X82" s="6">
        <f>22.62-6</f>
        <v>16.62</v>
      </c>
      <c r="Y82" s="6"/>
      <c r="Z82" s="7">
        <f t="shared" si="53"/>
        <v>76</v>
      </c>
      <c r="AA82" s="11">
        <f t="shared" si="44"/>
        <v>32.879999999999995</v>
      </c>
      <c r="AB82" s="25"/>
      <c r="AC82" s="10" t="str">
        <f t="shared" si="45"/>
        <v>MarçoSEMANA 3Aves - Filé de Peito de Frango</v>
      </c>
      <c r="AD82" s="7">
        <f>SUMIF(NF!$A:$A,$AC82,NF!$I:$I)</f>
        <v>119.5</v>
      </c>
      <c r="AE82" s="6">
        <v>18.54</v>
      </c>
      <c r="AF82" s="6">
        <v>6</v>
      </c>
      <c r="AG82" s="6">
        <v>20.2</v>
      </c>
      <c r="AH82" s="6">
        <v>23.98</v>
      </c>
      <c r="AI82" s="6"/>
      <c r="AJ82" s="6">
        <v>26.58</v>
      </c>
      <c r="AK82" s="6"/>
      <c r="AL82" s="7">
        <f t="shared" si="54"/>
        <v>95.3</v>
      </c>
      <c r="AM82" s="11">
        <f t="shared" si="46"/>
        <v>57.08</v>
      </c>
      <c r="AN82" s="25"/>
      <c r="AO82" s="10" t="str">
        <f t="shared" si="47"/>
        <v>MarçoSEMANA 4Aves - Filé de Peito de Frango</v>
      </c>
      <c r="AP82" s="7">
        <f>SUMIF(NF!$A:$A,$AO82,NF!$I:$I)</f>
        <v>96</v>
      </c>
      <c r="AQ82" s="6">
        <v>27.88</v>
      </c>
      <c r="AR82" s="6">
        <v>21.46</v>
      </c>
      <c r="AS82" s="6">
        <f>29.86-18</f>
        <v>11.86</v>
      </c>
      <c r="AT82" s="6"/>
      <c r="AU82" s="6"/>
      <c r="AV82" s="6"/>
      <c r="AW82" s="6">
        <v>20.420000000000002</v>
      </c>
      <c r="AX82" s="7">
        <f t="shared" si="55"/>
        <v>81.62</v>
      </c>
      <c r="AY82" s="11">
        <f t="shared" si="48"/>
        <v>71.45999999999998</v>
      </c>
      <c r="AZ82" s="25"/>
      <c r="BA82" s="10" t="str">
        <f t="shared" si="49"/>
        <v>MarçoSEMANA 5Aves - Filé de Peito de Frango</v>
      </c>
      <c r="BB82" s="7">
        <f>SUMIF(NF!$A:$A,$BA82,NF!$I:$I)</f>
        <v>48</v>
      </c>
      <c r="BC82" s="6"/>
      <c r="BD82" s="6">
        <v>18</v>
      </c>
      <c r="BE82" s="6">
        <v>29.14</v>
      </c>
      <c r="BF82" s="6">
        <f>17.54+6.78</f>
        <v>24.32</v>
      </c>
      <c r="BG82" s="6"/>
      <c r="BH82" s="6"/>
      <c r="BI82" s="74"/>
      <c r="BJ82" s="74"/>
      <c r="BK82" s="7">
        <f t="shared" si="56"/>
        <v>71.460000000000008</v>
      </c>
      <c r="BL82" s="8">
        <f t="shared" si="50"/>
        <v>47.999999999999972</v>
      </c>
      <c r="BM82" s="51" t="str">
        <f>IFERROR(VLOOKUP(A82,NF!$M:$O,3,0),"")</f>
        <v>Carnes</v>
      </c>
      <c r="BN82" s="7">
        <f t="shared" si="51"/>
        <v>367.58000000000004</v>
      </c>
      <c r="BO82" s="8">
        <f t="array" ref="BO82">IFERROR(LARGE(IF(NF!$G$2:$G$3137='Mês atual'!A82,NF!$J$2:$J$3137),1),0)*BN82</f>
        <v>2867.1240000000003</v>
      </c>
      <c r="BP82" s="50"/>
      <c r="BR82" s="146">
        <f t="array" ref="BR82">IFERROR(LARGE(IF(NF!$G$2:$G$3137='Mês atual'!A82,NF!$J$2:$J$3137),1),0)</f>
        <v>7.8</v>
      </c>
      <c r="BS82" s="142" t="str">
        <f>VLOOKUP(A82,NF!M:O,3,0)</f>
        <v>Carnes</v>
      </c>
      <c r="BV82" s="74">
        <f t="shared" si="36"/>
        <v>43.2</v>
      </c>
      <c r="BW82" s="74">
        <f t="shared" si="37"/>
        <v>76</v>
      </c>
      <c r="BX82" s="74">
        <f t="shared" si="38"/>
        <v>95.3</v>
      </c>
      <c r="BY82" s="74">
        <f t="shared" si="39"/>
        <v>81.62</v>
      </c>
      <c r="BZ82" s="74">
        <f t="shared" si="40"/>
        <v>71.460000000000008</v>
      </c>
    </row>
    <row r="83" spans="1:78" x14ac:dyDescent="0.25">
      <c r="A83" s="108" t="s">
        <v>140</v>
      </c>
      <c r="B83" s="12"/>
      <c r="C83" s="9">
        <v>0</v>
      </c>
      <c r="D83" s="25"/>
      <c r="E83" s="10" t="str">
        <f t="shared" si="41"/>
        <v>MarçoSEMANA 1Aves - Filé de Peito Korin</v>
      </c>
      <c r="F83" s="7">
        <f>SUMIF(NF!$A:$A,$E83,NF!$I:$I)</f>
        <v>0</v>
      </c>
      <c r="G83" s="74"/>
      <c r="H83" s="74"/>
      <c r="I83" s="74"/>
      <c r="J83" s="6"/>
      <c r="K83" s="6"/>
      <c r="L83" s="6"/>
      <c r="M83" s="6"/>
      <c r="N83" s="7">
        <f t="shared" si="52"/>
        <v>0</v>
      </c>
      <c r="O83" s="11">
        <f t="shared" si="42"/>
        <v>0</v>
      </c>
      <c r="P83" s="25"/>
      <c r="Q83" s="10" t="str">
        <f t="shared" si="43"/>
        <v>MarçoSEMANA 2Aves - Filé de Peito Korin</v>
      </c>
      <c r="R83" s="7">
        <f>SUMIF(NF!$A:$A,$Q83,NF!$I:$I)</f>
        <v>0</v>
      </c>
      <c r="S83" s="6"/>
      <c r="T83" s="6"/>
      <c r="U83" s="6"/>
      <c r="V83" s="6"/>
      <c r="W83" s="6"/>
      <c r="X83" s="6"/>
      <c r="Y83" s="6"/>
      <c r="Z83" s="7">
        <f t="shared" si="53"/>
        <v>0</v>
      </c>
      <c r="AA83" s="11">
        <f t="shared" si="44"/>
        <v>0</v>
      </c>
      <c r="AB83" s="25"/>
      <c r="AC83" s="10" t="str">
        <f t="shared" si="45"/>
        <v>MarçoSEMANA 3Aves - Filé de Peito Korin</v>
      </c>
      <c r="AD83" s="7">
        <f>SUMIF(NF!$A:$A,$AC83,NF!$I:$I)</f>
        <v>0</v>
      </c>
      <c r="AE83" s="6"/>
      <c r="AF83" s="6"/>
      <c r="AG83" s="6"/>
      <c r="AH83" s="6"/>
      <c r="AI83" s="6"/>
      <c r="AJ83" s="6"/>
      <c r="AK83" s="6"/>
      <c r="AL83" s="7">
        <f t="shared" si="54"/>
        <v>0</v>
      </c>
      <c r="AM83" s="11">
        <f t="shared" si="46"/>
        <v>0</v>
      </c>
      <c r="AN83" s="25"/>
      <c r="AO83" s="10" t="str">
        <f t="shared" si="47"/>
        <v>MarçoSEMANA 4Aves - Filé de Peito Korin</v>
      </c>
      <c r="AP83" s="7">
        <f>SUMIF(NF!$A:$A,$AO83,NF!$I:$I)</f>
        <v>0</v>
      </c>
      <c r="AQ83" s="6"/>
      <c r="AR83" s="6"/>
      <c r="AS83" s="6"/>
      <c r="AT83" s="6"/>
      <c r="AU83" s="6"/>
      <c r="AV83" s="6"/>
      <c r="AW83" s="6"/>
      <c r="AX83" s="7">
        <f t="shared" si="55"/>
        <v>0</v>
      </c>
      <c r="AY83" s="11">
        <f t="shared" si="48"/>
        <v>0</v>
      </c>
      <c r="AZ83" s="25"/>
      <c r="BA83" s="10" t="str">
        <f t="shared" si="49"/>
        <v>MarçoSEMANA 5Aves - Filé de Peito Korin</v>
      </c>
      <c r="BB83" s="7">
        <f>SUMIF(NF!$A:$A,$BA83,NF!$I:$I)</f>
        <v>0</v>
      </c>
      <c r="BC83" s="6"/>
      <c r="BD83" s="6"/>
      <c r="BE83" s="6"/>
      <c r="BF83" s="6"/>
      <c r="BG83" s="6"/>
      <c r="BH83" s="6"/>
      <c r="BI83" s="74"/>
      <c r="BJ83" s="74"/>
      <c r="BK83" s="7">
        <f t="shared" si="56"/>
        <v>0</v>
      </c>
      <c r="BL83" s="8">
        <f t="shared" si="50"/>
        <v>0</v>
      </c>
      <c r="BM83" s="51" t="str">
        <f>IFERROR(VLOOKUP(A83,NF!$M:$O,3,0),"")</f>
        <v>Carnes</v>
      </c>
      <c r="BN83" s="7">
        <f t="shared" si="51"/>
        <v>0</v>
      </c>
      <c r="BO83" s="8">
        <f t="array" ref="BO83">IFERROR(LARGE(IF(NF!$G$2:$G$3137='Mês atual'!A83,NF!$J$2:$J$3137),1),0)*BN83</f>
        <v>0</v>
      </c>
      <c r="BP83" s="50"/>
      <c r="BR83" s="146">
        <f t="array" ref="BR83">IFERROR(LARGE(IF(NF!$G$2:$G$3137='Mês atual'!A83,NF!$J$2:$J$3137),1),0)</f>
        <v>0</v>
      </c>
      <c r="BS83" s="142" t="str">
        <f>VLOOKUP(A83,NF!M:O,3,0)</f>
        <v>Carnes</v>
      </c>
      <c r="BV83" s="74">
        <f t="shared" si="36"/>
        <v>0</v>
      </c>
      <c r="BW83" s="74">
        <f t="shared" si="37"/>
        <v>0</v>
      </c>
      <c r="BX83" s="74">
        <f t="shared" si="38"/>
        <v>0</v>
      </c>
      <c r="BY83" s="74">
        <f t="shared" si="39"/>
        <v>0</v>
      </c>
      <c r="BZ83" s="74">
        <f t="shared" si="40"/>
        <v>0</v>
      </c>
    </row>
    <row r="84" spans="1:78" x14ac:dyDescent="0.2">
      <c r="A84" s="108" t="s">
        <v>141</v>
      </c>
      <c r="B84" s="12"/>
      <c r="C84" s="9">
        <v>0</v>
      </c>
      <c r="D84" s="25"/>
      <c r="E84" s="10" t="str">
        <f t="shared" si="41"/>
        <v>MarçoSEMANA 1Aves - Filezinho Sassami</v>
      </c>
      <c r="F84" s="7">
        <f>SUMIF(NF!$A:$A,$E84,NF!$I:$I)</f>
        <v>0</v>
      </c>
      <c r="G84" s="74"/>
      <c r="H84" s="74"/>
      <c r="I84" s="74"/>
      <c r="J84" s="6"/>
      <c r="K84" s="6"/>
      <c r="L84" s="6"/>
      <c r="M84" s="6"/>
      <c r="N84" s="7">
        <f>SUM(G84:M84)</f>
        <v>0</v>
      </c>
      <c r="O84" s="11">
        <f t="shared" si="42"/>
        <v>0</v>
      </c>
      <c r="P84" s="25"/>
      <c r="Q84" s="10" t="str">
        <f t="shared" si="43"/>
        <v>MarçoSEMANA 2Aves - Filezinho Sassami</v>
      </c>
      <c r="R84" s="7">
        <f>SUMIF(NF!$A:$A,$Q84,NF!$I:$I)</f>
        <v>0</v>
      </c>
      <c r="S84" s="6"/>
      <c r="T84" s="6"/>
      <c r="U84" s="6"/>
      <c r="V84" s="6"/>
      <c r="W84" s="6"/>
      <c r="X84" s="6"/>
      <c r="Y84" s="6"/>
      <c r="Z84" s="7">
        <f>SUM(S84:Y84)</f>
        <v>0</v>
      </c>
      <c r="AA84" s="11">
        <f t="shared" si="44"/>
        <v>0</v>
      </c>
      <c r="AB84" s="25"/>
      <c r="AC84" s="10" t="str">
        <f t="shared" si="45"/>
        <v>MarçoSEMANA 3Aves - Filezinho Sassami</v>
      </c>
      <c r="AD84" s="7">
        <f>SUMIF(NF!$A:$A,$AC84,NF!$I:$I)</f>
        <v>0</v>
      </c>
      <c r="AE84" s="6"/>
      <c r="AF84" s="6"/>
      <c r="AG84" s="6"/>
      <c r="AH84" s="6"/>
      <c r="AI84" s="6"/>
      <c r="AJ84" s="6"/>
      <c r="AK84" s="6"/>
      <c r="AL84" s="7">
        <f>SUM(AE84:AK84)</f>
        <v>0</v>
      </c>
      <c r="AM84" s="11">
        <f t="shared" si="46"/>
        <v>0</v>
      </c>
      <c r="AN84" s="25"/>
      <c r="AO84" s="10" t="str">
        <f t="shared" si="47"/>
        <v>MarçoSEMANA 4Aves - Filezinho Sassami</v>
      </c>
      <c r="AP84" s="7">
        <f>SUMIF(NF!$A:$A,$AO84,NF!$I:$I)</f>
        <v>0</v>
      </c>
      <c r="AQ84" s="6"/>
      <c r="AR84" s="6"/>
      <c r="AS84" s="6"/>
      <c r="AT84" s="6"/>
      <c r="AU84" s="6"/>
      <c r="AV84" s="6"/>
      <c r="AW84" s="6"/>
      <c r="AX84" s="7">
        <f>SUM(AQ84:AW84)</f>
        <v>0</v>
      </c>
      <c r="AY84" s="11">
        <f t="shared" si="48"/>
        <v>0</v>
      </c>
      <c r="AZ84" s="25"/>
      <c r="BA84" s="10" t="str">
        <f t="shared" si="49"/>
        <v>MarçoSEMANA 5Aves - Filezinho Sassami</v>
      </c>
      <c r="BB84" s="7">
        <f>SUMIF(NF!$A:$A,$BA84,NF!$I:$I)</f>
        <v>0</v>
      </c>
      <c r="BC84" s="6"/>
      <c r="BD84" s="6"/>
      <c r="BE84" s="6"/>
      <c r="BF84" s="6"/>
      <c r="BG84" s="6"/>
      <c r="BH84" s="6"/>
      <c r="BI84" s="74"/>
      <c r="BJ84" s="74"/>
      <c r="BK84" s="7">
        <f>SUM(BC84:BJ84)</f>
        <v>0</v>
      </c>
      <c r="BL84" s="8">
        <f t="shared" si="50"/>
        <v>0</v>
      </c>
      <c r="BM84" s="51" t="str">
        <f>IFERROR(VLOOKUP(A84,NF!$M:$O,3,0),"")</f>
        <v>Carnes</v>
      </c>
      <c r="BN84" s="7">
        <f t="shared" si="51"/>
        <v>0</v>
      </c>
      <c r="BO84" s="8">
        <f t="array" ref="BO84">IFERROR(LARGE(IF(NF!$G$2:$G$3137='Mês atual'!A84,NF!$J$2:$J$3137),1),0)*BN84</f>
        <v>0</v>
      </c>
      <c r="BP84" s="50"/>
      <c r="BR84" s="146">
        <f t="array" ref="BR84">IFERROR(LARGE(IF(NF!$G$2:$G$3137='Mês atual'!A84,NF!$J$2:$J$3137),1),0)</f>
        <v>0</v>
      </c>
      <c r="BS84" s="142" t="str">
        <f>VLOOKUP(A84,NF!M:O,3,0)</f>
        <v>Carnes</v>
      </c>
      <c r="BV84" s="74">
        <f t="shared" si="36"/>
        <v>0</v>
      </c>
      <c r="BW84" s="74">
        <f t="shared" si="37"/>
        <v>0</v>
      </c>
      <c r="BX84" s="74">
        <f t="shared" si="38"/>
        <v>0</v>
      </c>
      <c r="BY84" s="74">
        <f t="shared" si="39"/>
        <v>0</v>
      </c>
      <c r="BZ84" s="74">
        <f t="shared" si="40"/>
        <v>0</v>
      </c>
    </row>
    <row r="85" spans="1:78" x14ac:dyDescent="0.25">
      <c r="A85" s="108" t="s">
        <v>142</v>
      </c>
      <c r="B85" s="12"/>
      <c r="C85" s="9">
        <v>0</v>
      </c>
      <c r="D85" s="25"/>
      <c r="E85" s="10" t="str">
        <f t="shared" si="41"/>
        <v>MarçoSEMANA 1Aves - Frangão Rica (Chester)</v>
      </c>
      <c r="F85" s="7">
        <f>SUMIF(NF!$A:$A,$E85,NF!$I:$I)</f>
        <v>0</v>
      </c>
      <c r="G85" s="74"/>
      <c r="H85" s="74"/>
      <c r="I85" s="74"/>
      <c r="J85" s="6"/>
      <c r="K85" s="6"/>
      <c r="L85" s="6"/>
      <c r="M85" s="6"/>
      <c r="N85" s="7">
        <f t="shared" ref="N85:N99" si="57">SUM(G85:M85)</f>
        <v>0</v>
      </c>
      <c r="O85" s="11">
        <f t="shared" si="42"/>
        <v>0</v>
      </c>
      <c r="P85" s="25"/>
      <c r="Q85" s="10" t="str">
        <f t="shared" si="43"/>
        <v>MarçoSEMANA 2Aves - Frangão Rica (Chester)</v>
      </c>
      <c r="R85" s="7">
        <f>SUMIF(NF!$A:$A,$Q85,NF!$I:$I)</f>
        <v>0</v>
      </c>
      <c r="S85" s="6"/>
      <c r="T85" s="6"/>
      <c r="U85" s="6"/>
      <c r="V85" s="6"/>
      <c r="W85" s="6"/>
      <c r="X85" s="6"/>
      <c r="Y85" s="6"/>
      <c r="Z85" s="7">
        <f t="shared" ref="Z85:Z99" si="58">SUM(S85:Y85)</f>
        <v>0</v>
      </c>
      <c r="AA85" s="11">
        <f t="shared" si="44"/>
        <v>0</v>
      </c>
      <c r="AB85" s="25"/>
      <c r="AC85" s="10" t="str">
        <f t="shared" si="45"/>
        <v>MarçoSEMANA 3Aves - Frangão Rica (Chester)</v>
      </c>
      <c r="AD85" s="7">
        <f>SUMIF(NF!$A:$A,$AC85,NF!$I:$I)</f>
        <v>0</v>
      </c>
      <c r="AE85" s="6"/>
      <c r="AF85" s="6"/>
      <c r="AG85" s="6"/>
      <c r="AH85" s="6"/>
      <c r="AI85" s="6"/>
      <c r="AJ85" s="6"/>
      <c r="AK85" s="6"/>
      <c r="AL85" s="7">
        <f t="shared" ref="AL85:AL99" si="59">SUM(AE85:AK85)</f>
        <v>0</v>
      </c>
      <c r="AM85" s="11">
        <f t="shared" si="46"/>
        <v>0</v>
      </c>
      <c r="AN85" s="25"/>
      <c r="AO85" s="10" t="str">
        <f t="shared" si="47"/>
        <v>MarçoSEMANA 4Aves - Frangão Rica (Chester)</v>
      </c>
      <c r="AP85" s="7">
        <f>SUMIF(NF!$A:$A,$AO85,NF!$I:$I)</f>
        <v>0</v>
      </c>
      <c r="AQ85" s="6"/>
      <c r="AR85" s="6"/>
      <c r="AS85" s="6"/>
      <c r="AT85" s="6"/>
      <c r="AU85" s="6"/>
      <c r="AV85" s="6"/>
      <c r="AW85" s="6"/>
      <c r="AX85" s="7">
        <f t="shared" ref="AX85:AX99" si="60">SUM(AQ85:AW85)</f>
        <v>0</v>
      </c>
      <c r="AY85" s="11">
        <f t="shared" si="48"/>
        <v>0</v>
      </c>
      <c r="AZ85" s="25"/>
      <c r="BA85" s="10" t="str">
        <f t="shared" si="49"/>
        <v>MarçoSEMANA 5Aves - Frangão Rica (Chester)</v>
      </c>
      <c r="BB85" s="7">
        <f>SUMIF(NF!$A:$A,$BA85,NF!$I:$I)</f>
        <v>0</v>
      </c>
      <c r="BC85" s="6"/>
      <c r="BD85" s="6"/>
      <c r="BE85" s="6"/>
      <c r="BF85" s="6"/>
      <c r="BG85" s="6"/>
      <c r="BH85" s="6"/>
      <c r="BI85" s="74"/>
      <c r="BJ85" s="74"/>
      <c r="BK85" s="7">
        <f t="shared" ref="BK85:BK99" si="61">SUM(BC85:BJ85)</f>
        <v>0</v>
      </c>
      <c r="BL85" s="8">
        <f t="shared" si="50"/>
        <v>0</v>
      </c>
      <c r="BM85" s="51" t="str">
        <f>IFERROR(VLOOKUP(A85,NF!$M:$O,3,0),"")</f>
        <v>Carnes</v>
      </c>
      <c r="BN85" s="7">
        <f t="shared" si="51"/>
        <v>0</v>
      </c>
      <c r="BO85" s="8">
        <f t="array" ref="BO85">IFERROR(LARGE(IF(NF!$G$2:$G$3137='Mês atual'!A85,NF!$J$2:$J$3137),1),0)*BN85</f>
        <v>0</v>
      </c>
      <c r="BP85" s="50"/>
      <c r="BR85" s="146">
        <f t="array" ref="BR85">IFERROR(LARGE(IF(NF!$G$2:$G$3137='Mês atual'!A85,NF!$J$2:$J$3137),1),0)</f>
        <v>0</v>
      </c>
      <c r="BS85" s="142" t="str">
        <f>VLOOKUP(A85,NF!M:O,3,0)</f>
        <v>Carnes</v>
      </c>
      <c r="BV85" s="74">
        <f t="shared" si="36"/>
        <v>0</v>
      </c>
      <c r="BW85" s="74">
        <f t="shared" si="37"/>
        <v>0</v>
      </c>
      <c r="BX85" s="74">
        <f t="shared" si="38"/>
        <v>0</v>
      </c>
      <c r="BY85" s="74">
        <f t="shared" si="39"/>
        <v>0</v>
      </c>
      <c r="BZ85" s="74">
        <f t="shared" si="40"/>
        <v>0</v>
      </c>
    </row>
    <row r="86" spans="1:78" x14ac:dyDescent="0.2">
      <c r="A86" s="108" t="s">
        <v>143</v>
      </c>
      <c r="B86" s="12"/>
      <c r="C86" s="9">
        <v>0</v>
      </c>
      <c r="D86" s="25"/>
      <c r="E86" s="10" t="str">
        <f t="shared" si="41"/>
        <v>MarçoSEMANA 1Aves - Galeto</v>
      </c>
      <c r="F86" s="7">
        <f>SUMIF(NF!$A:$A,$E86,NF!$I:$I)</f>
        <v>0</v>
      </c>
      <c r="G86" s="74"/>
      <c r="H86" s="74"/>
      <c r="I86" s="74"/>
      <c r="J86" s="6"/>
      <c r="K86" s="6"/>
      <c r="L86" s="6"/>
      <c r="M86" s="6"/>
      <c r="N86" s="7">
        <f t="shared" si="57"/>
        <v>0</v>
      </c>
      <c r="O86" s="11">
        <f t="shared" si="42"/>
        <v>0</v>
      </c>
      <c r="P86" s="25"/>
      <c r="Q86" s="10" t="str">
        <f t="shared" si="43"/>
        <v>MarçoSEMANA 2Aves - Galeto</v>
      </c>
      <c r="R86" s="7">
        <f>SUMIF(NF!$A:$A,$Q86,NF!$I:$I)</f>
        <v>0</v>
      </c>
      <c r="S86" s="6"/>
      <c r="T86" s="6"/>
      <c r="U86" s="6"/>
      <c r="V86" s="6"/>
      <c r="W86" s="6"/>
      <c r="X86" s="6"/>
      <c r="Y86" s="6"/>
      <c r="Z86" s="7">
        <f t="shared" si="58"/>
        <v>0</v>
      </c>
      <c r="AA86" s="11">
        <f t="shared" si="44"/>
        <v>0</v>
      </c>
      <c r="AB86" s="25"/>
      <c r="AC86" s="10" t="str">
        <f t="shared" si="45"/>
        <v>MarçoSEMANA 3Aves - Galeto</v>
      </c>
      <c r="AD86" s="7">
        <f>SUMIF(NF!$A:$A,$AC86,NF!$I:$I)</f>
        <v>0</v>
      </c>
      <c r="AE86" s="6"/>
      <c r="AF86" s="6"/>
      <c r="AG86" s="6"/>
      <c r="AH86" s="6"/>
      <c r="AI86" s="6"/>
      <c r="AJ86" s="6"/>
      <c r="AK86" s="6"/>
      <c r="AL86" s="7">
        <f t="shared" si="59"/>
        <v>0</v>
      </c>
      <c r="AM86" s="11">
        <f t="shared" si="46"/>
        <v>0</v>
      </c>
      <c r="AN86" s="25"/>
      <c r="AO86" s="10" t="str">
        <f t="shared" si="47"/>
        <v>MarçoSEMANA 4Aves - Galeto</v>
      </c>
      <c r="AP86" s="7">
        <f>SUMIF(NF!$A:$A,$AO86,NF!$I:$I)</f>
        <v>0</v>
      </c>
      <c r="AQ86" s="6"/>
      <c r="AR86" s="6"/>
      <c r="AS86" s="6"/>
      <c r="AT86" s="6"/>
      <c r="AU86" s="6"/>
      <c r="AV86" s="6"/>
      <c r="AW86" s="6"/>
      <c r="AX86" s="7">
        <f t="shared" si="60"/>
        <v>0</v>
      </c>
      <c r="AY86" s="11">
        <f t="shared" si="48"/>
        <v>0</v>
      </c>
      <c r="AZ86" s="25"/>
      <c r="BA86" s="10" t="str">
        <f t="shared" si="49"/>
        <v>MarçoSEMANA 5Aves - Galeto</v>
      </c>
      <c r="BB86" s="7">
        <f>SUMIF(NF!$A:$A,$BA86,NF!$I:$I)</f>
        <v>0</v>
      </c>
      <c r="BC86" s="6"/>
      <c r="BD86" s="6"/>
      <c r="BE86" s="6"/>
      <c r="BF86" s="6"/>
      <c r="BG86" s="6"/>
      <c r="BH86" s="6"/>
      <c r="BI86" s="74"/>
      <c r="BJ86" s="74"/>
      <c r="BK86" s="7">
        <f t="shared" si="61"/>
        <v>0</v>
      </c>
      <c r="BL86" s="8">
        <f t="shared" si="50"/>
        <v>0</v>
      </c>
      <c r="BM86" s="51" t="str">
        <f>IFERROR(VLOOKUP(A86,NF!$M:$O,3,0),"")</f>
        <v>Carnes</v>
      </c>
      <c r="BN86" s="7">
        <f t="shared" si="51"/>
        <v>0</v>
      </c>
      <c r="BO86" s="8">
        <f t="array" ref="BO86">IFERROR(LARGE(IF(NF!$G$2:$G$3137='Mês atual'!A86,NF!$J$2:$J$3137),1),0)*BN86</f>
        <v>0</v>
      </c>
      <c r="BP86" s="50"/>
      <c r="BR86" s="146">
        <f t="array" ref="BR86">IFERROR(LARGE(IF(NF!$G$2:$G$3137='Mês atual'!A86,NF!$J$2:$J$3137),1),0)</f>
        <v>0</v>
      </c>
      <c r="BS86" s="142" t="str">
        <f>VLOOKUP(A86,NF!M:O,3,0)</f>
        <v>Carnes</v>
      </c>
      <c r="BV86" s="74">
        <f t="shared" si="36"/>
        <v>0</v>
      </c>
      <c r="BW86" s="74">
        <f t="shared" si="37"/>
        <v>0</v>
      </c>
      <c r="BX86" s="74">
        <f t="shared" si="38"/>
        <v>0</v>
      </c>
      <c r="BY86" s="74">
        <f t="shared" si="39"/>
        <v>0</v>
      </c>
      <c r="BZ86" s="74">
        <f t="shared" si="40"/>
        <v>0</v>
      </c>
    </row>
    <row r="87" spans="1:78" x14ac:dyDescent="0.2">
      <c r="A87" s="108" t="s">
        <v>144</v>
      </c>
      <c r="B87" s="12"/>
      <c r="C87" s="9">
        <v>0</v>
      </c>
      <c r="D87" s="25"/>
      <c r="E87" s="10" t="str">
        <f t="shared" si="41"/>
        <v>MarçoSEMANA 1Aves - Magret de Pato</v>
      </c>
      <c r="F87" s="7">
        <f>SUMIF(NF!$A:$A,$E87,NF!$I:$I)</f>
        <v>0</v>
      </c>
      <c r="G87" s="74"/>
      <c r="H87" s="74"/>
      <c r="I87" s="74"/>
      <c r="J87" s="6"/>
      <c r="K87" s="6"/>
      <c r="L87" s="6"/>
      <c r="M87" s="6"/>
      <c r="N87" s="7">
        <f t="shared" si="57"/>
        <v>0</v>
      </c>
      <c r="O87" s="11">
        <f t="shared" si="42"/>
        <v>0</v>
      </c>
      <c r="P87" s="25"/>
      <c r="Q87" s="10" t="str">
        <f t="shared" si="43"/>
        <v>MarçoSEMANA 2Aves - Magret de Pato</v>
      </c>
      <c r="R87" s="7">
        <f>SUMIF(NF!$A:$A,$Q87,NF!$I:$I)</f>
        <v>0</v>
      </c>
      <c r="S87" s="6"/>
      <c r="T87" s="6"/>
      <c r="U87" s="6"/>
      <c r="V87" s="6"/>
      <c r="W87" s="6"/>
      <c r="X87" s="6"/>
      <c r="Y87" s="6"/>
      <c r="Z87" s="7">
        <f t="shared" si="58"/>
        <v>0</v>
      </c>
      <c r="AA87" s="11">
        <f t="shared" si="44"/>
        <v>0</v>
      </c>
      <c r="AB87" s="25"/>
      <c r="AC87" s="10" t="str">
        <f t="shared" si="45"/>
        <v>MarçoSEMANA 3Aves - Magret de Pato</v>
      </c>
      <c r="AD87" s="7">
        <f>SUMIF(NF!$A:$A,$AC87,NF!$I:$I)</f>
        <v>15.8</v>
      </c>
      <c r="AE87" s="6"/>
      <c r="AF87" s="6"/>
      <c r="AG87" s="6"/>
      <c r="AH87" s="6">
        <v>15.8</v>
      </c>
      <c r="AI87" s="6"/>
      <c r="AJ87" s="6"/>
      <c r="AK87" s="6"/>
      <c r="AL87" s="7">
        <f t="shared" si="59"/>
        <v>15.8</v>
      </c>
      <c r="AM87" s="11">
        <f t="shared" si="46"/>
        <v>0</v>
      </c>
      <c r="AN87" s="25"/>
      <c r="AO87" s="10" t="str">
        <f t="shared" si="47"/>
        <v>MarçoSEMANA 4Aves - Magret de Pato</v>
      </c>
      <c r="AP87" s="7">
        <f>SUMIF(NF!$A:$A,$AO87,NF!$I:$I)</f>
        <v>10.92</v>
      </c>
      <c r="AQ87" s="6"/>
      <c r="AR87" s="6"/>
      <c r="AS87" s="6"/>
      <c r="AT87" s="6"/>
      <c r="AU87" s="6"/>
      <c r="AV87" s="6"/>
      <c r="AW87" s="6">
        <v>10.92</v>
      </c>
      <c r="AX87" s="7">
        <f t="shared" si="60"/>
        <v>10.92</v>
      </c>
      <c r="AY87" s="11">
        <f t="shared" si="48"/>
        <v>0</v>
      </c>
      <c r="AZ87" s="25"/>
      <c r="BA87" s="10" t="str">
        <f t="shared" si="49"/>
        <v>MarçoSEMANA 5Aves - Magret de Pato</v>
      </c>
      <c r="BB87" s="7">
        <f>SUMIF(NF!$A:$A,$BA87,NF!$I:$I)</f>
        <v>0</v>
      </c>
      <c r="BC87" s="6"/>
      <c r="BD87" s="6"/>
      <c r="BE87" s="6"/>
      <c r="BF87" s="6"/>
      <c r="BG87" s="6"/>
      <c r="BH87" s="6"/>
      <c r="BI87" s="74"/>
      <c r="BJ87" s="74"/>
      <c r="BK87" s="7">
        <f t="shared" si="61"/>
        <v>0</v>
      </c>
      <c r="BL87" s="8">
        <f t="shared" si="50"/>
        <v>0</v>
      </c>
      <c r="BM87" s="51" t="str">
        <f>IFERROR(VLOOKUP(A87,NF!$M:$O,3,0),"")</f>
        <v>Carnes</v>
      </c>
      <c r="BN87" s="7">
        <f t="shared" si="51"/>
        <v>26.72</v>
      </c>
      <c r="BO87" s="8">
        <f t="array" ref="BO87">IFERROR(LARGE(IF(NF!$G$2:$G$3137='Mês atual'!A87,NF!$J$2:$J$3137),1),0)*BN87</f>
        <v>668</v>
      </c>
      <c r="BP87" s="50"/>
      <c r="BR87" s="146">
        <f t="array" ref="BR87">IFERROR(LARGE(IF(NF!$G$2:$G$3137='Mês atual'!A87,NF!$J$2:$J$3137),1),0)</f>
        <v>25</v>
      </c>
      <c r="BS87" s="142" t="str">
        <f>VLOOKUP(A87,NF!M:O,3,0)</f>
        <v>Carnes</v>
      </c>
      <c r="BV87" s="74">
        <f t="shared" si="36"/>
        <v>0</v>
      </c>
      <c r="BW87" s="74">
        <f t="shared" si="37"/>
        <v>0</v>
      </c>
      <c r="BX87" s="74">
        <f t="shared" si="38"/>
        <v>15.8</v>
      </c>
      <c r="BY87" s="74">
        <f t="shared" si="39"/>
        <v>10.92</v>
      </c>
      <c r="BZ87" s="74">
        <f t="shared" si="40"/>
        <v>0</v>
      </c>
    </row>
    <row r="88" spans="1:78" x14ac:dyDescent="0.25">
      <c r="A88" s="108" t="s">
        <v>888</v>
      </c>
      <c r="B88" s="12"/>
      <c r="C88" s="9">
        <v>0</v>
      </c>
      <c r="D88" s="25"/>
      <c r="E88" s="10" t="str">
        <f t="shared" si="41"/>
        <v>MarçoSEMANA 1Aves - Medalhão de Frango</v>
      </c>
      <c r="F88" s="7">
        <f>SUMIF(NF!$A:$A,$E88,NF!$I:$I)</f>
        <v>0</v>
      </c>
      <c r="G88" s="74"/>
      <c r="H88" s="74"/>
      <c r="I88" s="74"/>
      <c r="J88" s="6"/>
      <c r="K88" s="6"/>
      <c r="L88" s="6"/>
      <c r="M88" s="6"/>
      <c r="N88" s="7">
        <f t="shared" si="57"/>
        <v>0</v>
      </c>
      <c r="O88" s="11">
        <f t="shared" si="42"/>
        <v>0</v>
      </c>
      <c r="P88" s="25"/>
      <c r="Q88" s="10" t="str">
        <f t="shared" si="43"/>
        <v>MarçoSEMANA 2Aves - Medalhão de Frango</v>
      </c>
      <c r="R88" s="7">
        <f>SUMIF(NF!$A:$A,$Q88,NF!$I:$I)</f>
        <v>0</v>
      </c>
      <c r="S88" s="6"/>
      <c r="T88" s="6"/>
      <c r="U88" s="6"/>
      <c r="V88" s="6"/>
      <c r="W88" s="6"/>
      <c r="X88" s="6"/>
      <c r="Y88" s="6"/>
      <c r="Z88" s="7">
        <f t="shared" si="58"/>
        <v>0</v>
      </c>
      <c r="AA88" s="11">
        <f t="shared" si="44"/>
        <v>0</v>
      </c>
      <c r="AB88" s="25"/>
      <c r="AC88" s="10" t="str">
        <f t="shared" si="45"/>
        <v>MarçoSEMANA 3Aves - Medalhão de Frango</v>
      </c>
      <c r="AD88" s="7">
        <f>SUMIF(NF!$A:$A,$AC88,NF!$I:$I)</f>
        <v>0</v>
      </c>
      <c r="AE88" s="6"/>
      <c r="AF88" s="6"/>
      <c r="AG88" s="6"/>
      <c r="AH88" s="6"/>
      <c r="AI88" s="6"/>
      <c r="AJ88" s="6"/>
      <c r="AK88" s="6"/>
      <c r="AL88" s="7">
        <f t="shared" si="59"/>
        <v>0</v>
      </c>
      <c r="AM88" s="11">
        <f t="shared" si="46"/>
        <v>0</v>
      </c>
      <c r="AN88" s="25"/>
      <c r="AO88" s="10" t="str">
        <f t="shared" si="47"/>
        <v>MarçoSEMANA 4Aves - Medalhão de Frango</v>
      </c>
      <c r="AP88" s="7">
        <f>SUMIF(NF!$A:$A,$AO88,NF!$I:$I)</f>
        <v>0</v>
      </c>
      <c r="AQ88" s="6"/>
      <c r="AR88" s="6"/>
      <c r="AS88" s="6"/>
      <c r="AT88" s="6"/>
      <c r="AU88" s="6"/>
      <c r="AV88" s="6"/>
      <c r="AW88" s="6"/>
      <c r="AX88" s="7">
        <f t="shared" si="60"/>
        <v>0</v>
      </c>
      <c r="AY88" s="11">
        <f t="shared" si="48"/>
        <v>0</v>
      </c>
      <c r="AZ88" s="25"/>
      <c r="BA88" s="10" t="str">
        <f t="shared" si="49"/>
        <v>MarçoSEMANA 5Aves - Medalhão de Frango</v>
      </c>
      <c r="BB88" s="7">
        <f>SUMIF(NF!$A:$A,$BA88,NF!$I:$I)</f>
        <v>0</v>
      </c>
      <c r="BC88" s="6"/>
      <c r="BD88" s="6"/>
      <c r="BE88" s="6"/>
      <c r="BF88" s="6"/>
      <c r="BG88" s="6"/>
      <c r="BH88" s="6"/>
      <c r="BI88" s="74"/>
      <c r="BJ88" s="74"/>
      <c r="BK88" s="7">
        <f t="shared" si="61"/>
        <v>0</v>
      </c>
      <c r="BL88" s="8">
        <f t="shared" si="50"/>
        <v>0</v>
      </c>
      <c r="BM88" s="51" t="str">
        <f>IFERROR(VLOOKUP(A88,NF!$M:$O,3,0),"")</f>
        <v>Carnes</v>
      </c>
      <c r="BN88" s="7">
        <f t="shared" si="51"/>
        <v>0</v>
      </c>
      <c r="BO88" s="8">
        <f t="array" ref="BO88">IFERROR(LARGE(IF(NF!$G$2:$G$3137='Mês atual'!A88,NF!$J$2:$J$3137),1),0)*BN88</f>
        <v>0</v>
      </c>
      <c r="BP88" s="50"/>
      <c r="BR88" s="146">
        <f t="array" ref="BR88">IFERROR(LARGE(IF(NF!$G$2:$G$3137='Mês atual'!A88,NF!$J$2:$J$3137),1),0)</f>
        <v>0</v>
      </c>
      <c r="BS88" s="142" t="str">
        <f>VLOOKUP(A88,NF!M:O,3,0)</f>
        <v>Carnes</v>
      </c>
      <c r="BV88" s="74">
        <f t="shared" si="36"/>
        <v>0</v>
      </c>
      <c r="BW88" s="74">
        <f t="shared" si="37"/>
        <v>0</v>
      </c>
      <c r="BX88" s="74">
        <f t="shared" si="38"/>
        <v>0</v>
      </c>
      <c r="BY88" s="74">
        <f t="shared" si="39"/>
        <v>0</v>
      </c>
      <c r="BZ88" s="74">
        <f t="shared" si="40"/>
        <v>0</v>
      </c>
    </row>
    <row r="89" spans="1:78" x14ac:dyDescent="0.2">
      <c r="A89" s="108" t="s">
        <v>145</v>
      </c>
      <c r="B89" s="12"/>
      <c r="C89" s="9">
        <v>0</v>
      </c>
      <c r="D89" s="25"/>
      <c r="E89" s="10" t="str">
        <f t="shared" si="41"/>
        <v>MarçoSEMANA 1Aves - Peito de Frango Defumado</v>
      </c>
      <c r="F89" s="7">
        <f>SUMIF(NF!$A:$A,$E89,NF!$I:$I)</f>
        <v>0</v>
      </c>
      <c r="G89" s="74"/>
      <c r="H89" s="74"/>
      <c r="I89" s="74"/>
      <c r="J89" s="6"/>
      <c r="K89" s="6"/>
      <c r="L89" s="6"/>
      <c r="M89" s="6"/>
      <c r="N89" s="7">
        <f t="shared" si="57"/>
        <v>0</v>
      </c>
      <c r="O89" s="11">
        <f t="shared" si="42"/>
        <v>0</v>
      </c>
      <c r="P89" s="25"/>
      <c r="Q89" s="10" t="str">
        <f t="shared" si="43"/>
        <v>MarçoSEMANA 2Aves - Peito de Frango Defumado</v>
      </c>
      <c r="R89" s="7">
        <f>SUMIF(NF!$A:$A,$Q89,NF!$I:$I)</f>
        <v>0</v>
      </c>
      <c r="S89" s="6"/>
      <c r="T89" s="6"/>
      <c r="U89" s="6"/>
      <c r="V89" s="6"/>
      <c r="W89" s="6"/>
      <c r="X89" s="6"/>
      <c r="Y89" s="6"/>
      <c r="Z89" s="7">
        <f t="shared" si="58"/>
        <v>0</v>
      </c>
      <c r="AA89" s="11">
        <f t="shared" si="44"/>
        <v>0</v>
      </c>
      <c r="AB89" s="25"/>
      <c r="AC89" s="10" t="str">
        <f t="shared" si="45"/>
        <v>MarçoSEMANA 3Aves - Peito de Frango Defumado</v>
      </c>
      <c r="AD89" s="7">
        <f>SUMIF(NF!$A:$A,$AC89,NF!$I:$I)</f>
        <v>3.7</v>
      </c>
      <c r="AE89" s="6"/>
      <c r="AF89" s="6"/>
      <c r="AG89" s="6"/>
      <c r="AH89" s="6"/>
      <c r="AI89" s="6">
        <v>2.2360000000000002</v>
      </c>
      <c r="AJ89" s="6"/>
      <c r="AK89" s="6"/>
      <c r="AL89" s="7">
        <f t="shared" si="59"/>
        <v>2.2360000000000002</v>
      </c>
      <c r="AM89" s="11">
        <f t="shared" si="46"/>
        <v>1.464</v>
      </c>
      <c r="AN89" s="25"/>
      <c r="AO89" s="10" t="str">
        <f t="shared" si="47"/>
        <v>MarçoSEMANA 4Aves - Peito de Frango Defumado</v>
      </c>
      <c r="AP89" s="7">
        <f>SUMIF(NF!$A:$A,$AO89,NF!$I:$I)</f>
        <v>0</v>
      </c>
      <c r="AQ89" s="6"/>
      <c r="AR89" s="6"/>
      <c r="AS89" s="6"/>
      <c r="AT89" s="6"/>
      <c r="AU89" s="6"/>
      <c r="AV89" s="6"/>
      <c r="AW89" s="6">
        <v>1.46</v>
      </c>
      <c r="AX89" s="7">
        <f t="shared" si="60"/>
        <v>1.46</v>
      </c>
      <c r="AY89" s="11">
        <f t="shared" si="48"/>
        <v>4.0000000000000036E-3</v>
      </c>
      <c r="AZ89" s="25"/>
      <c r="BA89" s="10" t="str">
        <f t="shared" si="49"/>
        <v>MarçoSEMANA 5Aves - Peito de Frango Defumado</v>
      </c>
      <c r="BB89" s="7">
        <f>SUMIF(NF!$A:$A,$BA89,NF!$I:$I)</f>
        <v>0</v>
      </c>
      <c r="BC89" s="6"/>
      <c r="BD89" s="6"/>
      <c r="BE89" s="6"/>
      <c r="BF89" s="6"/>
      <c r="BG89" s="6"/>
      <c r="BH89" s="6"/>
      <c r="BI89" s="74"/>
      <c r="BJ89" s="74"/>
      <c r="BK89" s="7">
        <f t="shared" si="61"/>
        <v>0</v>
      </c>
      <c r="BL89" s="8">
        <f t="shared" si="50"/>
        <v>4.0000000000000036E-3</v>
      </c>
      <c r="BM89" s="51" t="str">
        <f>IFERROR(VLOOKUP(A89,NF!$M:$O,3,0),"")</f>
        <v>Carnes</v>
      </c>
      <c r="BN89" s="7">
        <f t="shared" si="51"/>
        <v>3.6960000000000002</v>
      </c>
      <c r="BO89" s="8">
        <f t="array" ref="BO89">IFERROR(LARGE(IF(NF!$G$2:$G$3137='Mês atual'!A89,NF!$J$2:$J$3137),1),0)*BN89</f>
        <v>70.224000000000004</v>
      </c>
      <c r="BP89" s="50"/>
      <c r="BR89" s="146">
        <f t="array" ref="BR89">IFERROR(LARGE(IF(NF!$G$2:$G$3137='Mês atual'!A89,NF!$J$2:$J$3137),1),0)</f>
        <v>19</v>
      </c>
      <c r="BS89" s="142" t="str">
        <f>VLOOKUP(A89,NF!M:O,3,0)</f>
        <v>Carnes</v>
      </c>
      <c r="BV89" s="74">
        <f t="shared" si="36"/>
        <v>0</v>
      </c>
      <c r="BW89" s="74">
        <f t="shared" si="37"/>
        <v>0</v>
      </c>
      <c r="BX89" s="74">
        <f t="shared" si="38"/>
        <v>2.2360000000000002</v>
      </c>
      <c r="BY89" s="74">
        <f t="shared" si="39"/>
        <v>1.46</v>
      </c>
      <c r="BZ89" s="74">
        <f t="shared" si="40"/>
        <v>0</v>
      </c>
    </row>
    <row r="90" spans="1:78" x14ac:dyDescent="0.2">
      <c r="A90" s="108" t="s">
        <v>146</v>
      </c>
      <c r="B90" s="12"/>
      <c r="C90" s="9">
        <v>0</v>
      </c>
      <c r="D90" s="25"/>
      <c r="E90" s="10" t="str">
        <f t="shared" si="41"/>
        <v>MarçoSEMANA 1Aves - Peito de Peru Bolinha</v>
      </c>
      <c r="F90" s="7">
        <f>SUMIF(NF!$A:$A,$E90,NF!$I:$I)</f>
        <v>18</v>
      </c>
      <c r="G90" s="74"/>
      <c r="H90" s="74"/>
      <c r="I90" s="74"/>
      <c r="J90" s="6"/>
      <c r="K90" s="6"/>
      <c r="L90" s="6"/>
      <c r="M90" s="6"/>
      <c r="N90" s="7">
        <f t="shared" si="57"/>
        <v>0</v>
      </c>
      <c r="O90" s="11">
        <f t="shared" si="42"/>
        <v>18</v>
      </c>
      <c r="P90" s="25"/>
      <c r="Q90" s="10" t="str">
        <f t="shared" si="43"/>
        <v>MarçoSEMANA 2Aves - Peito de Peru Bolinha</v>
      </c>
      <c r="R90" s="7">
        <f>SUMIF(NF!$A:$A,$Q90,NF!$I:$I)</f>
        <v>0</v>
      </c>
      <c r="S90" s="6"/>
      <c r="T90" s="6">
        <v>18</v>
      </c>
      <c r="U90" s="6"/>
      <c r="V90" s="6"/>
      <c r="W90" s="6"/>
      <c r="X90" s="6"/>
      <c r="Y90" s="6"/>
      <c r="Z90" s="7">
        <f t="shared" si="58"/>
        <v>18</v>
      </c>
      <c r="AA90" s="11">
        <f t="shared" si="44"/>
        <v>0</v>
      </c>
      <c r="AB90" s="25"/>
      <c r="AC90" s="10" t="str">
        <f t="shared" si="45"/>
        <v>MarçoSEMANA 3Aves - Peito de Peru Bolinha</v>
      </c>
      <c r="AD90" s="7">
        <f>SUMIF(NF!$A:$A,$AC90,NF!$I:$I)</f>
        <v>0</v>
      </c>
      <c r="AE90" s="6"/>
      <c r="AF90" s="6"/>
      <c r="AG90" s="6"/>
      <c r="AH90" s="6"/>
      <c r="AI90" s="6"/>
      <c r="AJ90" s="6"/>
      <c r="AK90" s="6"/>
      <c r="AL90" s="7">
        <f t="shared" si="59"/>
        <v>0</v>
      </c>
      <c r="AM90" s="11">
        <f t="shared" si="46"/>
        <v>0</v>
      </c>
      <c r="AN90" s="25"/>
      <c r="AO90" s="10" t="str">
        <f t="shared" si="47"/>
        <v>MarçoSEMANA 4Aves - Peito de Peru Bolinha</v>
      </c>
      <c r="AP90" s="7">
        <f>SUMIF(NF!$A:$A,$AO90,NF!$I:$I)</f>
        <v>0</v>
      </c>
      <c r="AQ90" s="6"/>
      <c r="AR90" s="6"/>
      <c r="AS90" s="6"/>
      <c r="AT90" s="6"/>
      <c r="AU90" s="6"/>
      <c r="AV90" s="6"/>
      <c r="AW90" s="6"/>
      <c r="AX90" s="7">
        <f t="shared" si="60"/>
        <v>0</v>
      </c>
      <c r="AY90" s="11">
        <f t="shared" si="48"/>
        <v>0</v>
      </c>
      <c r="AZ90" s="25"/>
      <c r="BA90" s="10" t="str">
        <f t="shared" si="49"/>
        <v>MarçoSEMANA 5Aves - Peito de Peru Bolinha</v>
      </c>
      <c r="BB90" s="7">
        <f>SUMIF(NF!$A:$A,$BA90,NF!$I:$I)</f>
        <v>0</v>
      </c>
      <c r="BC90" s="6"/>
      <c r="BD90" s="6"/>
      <c r="BE90" s="6"/>
      <c r="BF90" s="6"/>
      <c r="BG90" s="6"/>
      <c r="BH90" s="6"/>
      <c r="BI90" s="74"/>
      <c r="BJ90" s="74"/>
      <c r="BK90" s="7">
        <f t="shared" si="61"/>
        <v>0</v>
      </c>
      <c r="BL90" s="8">
        <f t="shared" si="50"/>
        <v>0</v>
      </c>
      <c r="BM90" s="51" t="str">
        <f>IFERROR(VLOOKUP(A90,NF!$M:$O,3,0),"")</f>
        <v>Carnes</v>
      </c>
      <c r="BN90" s="7">
        <f t="shared" si="51"/>
        <v>18</v>
      </c>
      <c r="BO90" s="8">
        <f t="array" ref="BO90">IFERROR(LARGE(IF(NF!$G$2:$G$3137='Mês atual'!A90,NF!$J$2:$J$3137),1),0)*BN90</f>
        <v>459</v>
      </c>
      <c r="BP90" s="50"/>
      <c r="BR90" s="146">
        <f t="array" ref="BR90">IFERROR(LARGE(IF(NF!$G$2:$G$3137='Mês atual'!A90,NF!$J$2:$J$3137),1),0)</f>
        <v>25.5</v>
      </c>
      <c r="BS90" s="142" t="str">
        <f>VLOOKUP(A90,NF!M:O,3,0)</f>
        <v>Carnes</v>
      </c>
      <c r="BV90" s="74">
        <f t="shared" si="36"/>
        <v>0</v>
      </c>
      <c r="BW90" s="74">
        <f t="shared" si="37"/>
        <v>18</v>
      </c>
      <c r="BX90" s="74">
        <f t="shared" si="38"/>
        <v>0</v>
      </c>
      <c r="BY90" s="74">
        <f t="shared" si="39"/>
        <v>0</v>
      </c>
      <c r="BZ90" s="74">
        <f t="shared" si="40"/>
        <v>0</v>
      </c>
    </row>
    <row r="91" spans="1:78" x14ac:dyDescent="0.2">
      <c r="A91" s="108" t="s">
        <v>147</v>
      </c>
      <c r="B91" s="12"/>
      <c r="C91" s="9">
        <v>0</v>
      </c>
      <c r="D91" s="25"/>
      <c r="E91" s="10" t="str">
        <f t="shared" si="41"/>
        <v>MarçoSEMANA 1Aves - Peito de Peru Defumado Light</v>
      </c>
      <c r="F91" s="7">
        <f>SUMIF(NF!$A:$A,$E91,NF!$I:$I)</f>
        <v>0</v>
      </c>
      <c r="G91" s="74"/>
      <c r="H91" s="74"/>
      <c r="I91" s="74"/>
      <c r="J91" s="6"/>
      <c r="K91" s="6"/>
      <c r="L91" s="6"/>
      <c r="M91" s="6"/>
      <c r="N91" s="7">
        <f t="shared" si="57"/>
        <v>0</v>
      </c>
      <c r="O91" s="11">
        <f t="shared" si="42"/>
        <v>0</v>
      </c>
      <c r="P91" s="25"/>
      <c r="Q91" s="10" t="str">
        <f t="shared" si="43"/>
        <v>MarçoSEMANA 2Aves - Peito de Peru Defumado Light</v>
      </c>
      <c r="R91" s="7">
        <f>SUMIF(NF!$A:$A,$Q91,NF!$I:$I)</f>
        <v>0</v>
      </c>
      <c r="S91" s="6"/>
      <c r="T91" s="6"/>
      <c r="U91" s="6"/>
      <c r="V91" s="6"/>
      <c r="W91" s="6"/>
      <c r="X91" s="6"/>
      <c r="Y91" s="6"/>
      <c r="Z91" s="7">
        <f t="shared" si="58"/>
        <v>0</v>
      </c>
      <c r="AA91" s="11">
        <f t="shared" si="44"/>
        <v>0</v>
      </c>
      <c r="AB91" s="25"/>
      <c r="AC91" s="10" t="str">
        <f t="shared" si="45"/>
        <v>MarçoSEMANA 3Aves - Peito de Peru Defumado Light</v>
      </c>
      <c r="AD91" s="7">
        <f>SUMIF(NF!$A:$A,$AC91,NF!$I:$I)</f>
        <v>0</v>
      </c>
      <c r="AE91" s="6"/>
      <c r="AF91" s="6"/>
      <c r="AG91" s="6"/>
      <c r="AH91" s="6"/>
      <c r="AI91" s="6"/>
      <c r="AJ91" s="6"/>
      <c r="AK91" s="6"/>
      <c r="AL91" s="7">
        <f t="shared" si="59"/>
        <v>0</v>
      </c>
      <c r="AM91" s="11">
        <f t="shared" si="46"/>
        <v>0</v>
      </c>
      <c r="AN91" s="25"/>
      <c r="AO91" s="10" t="str">
        <f t="shared" si="47"/>
        <v>MarçoSEMANA 4Aves - Peito de Peru Defumado Light</v>
      </c>
      <c r="AP91" s="7">
        <f>SUMIF(NF!$A:$A,$AO91,NF!$I:$I)</f>
        <v>0</v>
      </c>
      <c r="AQ91" s="6"/>
      <c r="AR91" s="6"/>
      <c r="AS91" s="6"/>
      <c r="AT91" s="6"/>
      <c r="AU91" s="6"/>
      <c r="AV91" s="6"/>
      <c r="AW91" s="6"/>
      <c r="AX91" s="7">
        <f t="shared" si="60"/>
        <v>0</v>
      </c>
      <c r="AY91" s="11">
        <f t="shared" si="48"/>
        <v>0</v>
      </c>
      <c r="AZ91" s="25"/>
      <c r="BA91" s="10" t="str">
        <f t="shared" si="49"/>
        <v>MarçoSEMANA 5Aves - Peito de Peru Defumado Light</v>
      </c>
      <c r="BB91" s="7">
        <f>SUMIF(NF!$A:$A,$BA91,NF!$I:$I)</f>
        <v>0</v>
      </c>
      <c r="BC91" s="6"/>
      <c r="BD91" s="6"/>
      <c r="BE91" s="6"/>
      <c r="BF91" s="6"/>
      <c r="BG91" s="6"/>
      <c r="BH91" s="6"/>
      <c r="BI91" s="74"/>
      <c r="BJ91" s="74"/>
      <c r="BK91" s="7">
        <f t="shared" si="61"/>
        <v>0</v>
      </c>
      <c r="BL91" s="8">
        <f t="shared" si="50"/>
        <v>0</v>
      </c>
      <c r="BM91" s="51" t="str">
        <f>IFERROR(VLOOKUP(A91,NF!$M:$O,3,0),"")</f>
        <v>Carnes</v>
      </c>
      <c r="BN91" s="7">
        <f t="shared" si="51"/>
        <v>0</v>
      </c>
      <c r="BO91" s="8">
        <f t="array" ref="BO91">IFERROR(LARGE(IF(NF!$G$2:$G$3137='Mês atual'!A91,NF!$J$2:$J$3137),1),0)*BN91</f>
        <v>0</v>
      </c>
      <c r="BP91" s="50"/>
      <c r="BR91" s="146">
        <f t="array" ref="BR91">IFERROR(LARGE(IF(NF!$G$2:$G$3137='Mês atual'!A91,NF!$J$2:$J$3137),1),0)</f>
        <v>0</v>
      </c>
      <c r="BS91" s="142" t="str">
        <f>VLOOKUP(A91,NF!M:O,3,0)</f>
        <v>Carnes</v>
      </c>
      <c r="BV91" s="74">
        <f t="shared" si="36"/>
        <v>0</v>
      </c>
      <c r="BW91" s="74">
        <f t="shared" si="37"/>
        <v>0</v>
      </c>
      <c r="BX91" s="74">
        <f t="shared" si="38"/>
        <v>0</v>
      </c>
      <c r="BY91" s="74">
        <f t="shared" si="39"/>
        <v>0</v>
      </c>
      <c r="BZ91" s="74">
        <f t="shared" si="40"/>
        <v>0</v>
      </c>
    </row>
    <row r="92" spans="1:78" x14ac:dyDescent="0.2">
      <c r="A92" s="108" t="s">
        <v>148</v>
      </c>
      <c r="B92" s="12"/>
      <c r="C92" s="9">
        <v>0</v>
      </c>
      <c r="D92" s="25"/>
      <c r="E92" s="10" t="str">
        <f t="shared" si="41"/>
        <v>MarçoSEMANA 1Aves - Peito de Peru Fresco</v>
      </c>
      <c r="F92" s="7">
        <f>SUMIF(NF!$A:$A,$E92,NF!$I:$I)</f>
        <v>0</v>
      </c>
      <c r="G92" s="74"/>
      <c r="H92" s="74"/>
      <c r="I92" s="74"/>
      <c r="J92" s="6"/>
      <c r="K92" s="6"/>
      <c r="L92" s="6"/>
      <c r="M92" s="6"/>
      <c r="N92" s="7">
        <f t="shared" si="57"/>
        <v>0</v>
      </c>
      <c r="O92" s="11">
        <f t="shared" si="42"/>
        <v>0</v>
      </c>
      <c r="P92" s="25"/>
      <c r="Q92" s="10" t="str">
        <f t="shared" si="43"/>
        <v>MarçoSEMANA 2Aves - Peito de Peru Fresco</v>
      </c>
      <c r="R92" s="7">
        <f>SUMIF(NF!$A:$A,$Q92,NF!$I:$I)</f>
        <v>0</v>
      </c>
      <c r="S92" s="6"/>
      <c r="T92" s="6"/>
      <c r="U92" s="6"/>
      <c r="V92" s="6"/>
      <c r="W92" s="6"/>
      <c r="X92" s="6"/>
      <c r="Y92" s="6"/>
      <c r="Z92" s="7">
        <f t="shared" si="58"/>
        <v>0</v>
      </c>
      <c r="AA92" s="11">
        <f t="shared" si="44"/>
        <v>0</v>
      </c>
      <c r="AB92" s="25"/>
      <c r="AC92" s="10" t="str">
        <f t="shared" si="45"/>
        <v>MarçoSEMANA 3Aves - Peito de Peru Fresco</v>
      </c>
      <c r="AD92" s="7">
        <f>SUMIF(NF!$A:$A,$AC92,NF!$I:$I)</f>
        <v>0</v>
      </c>
      <c r="AE92" s="6"/>
      <c r="AF92" s="6"/>
      <c r="AG92" s="6"/>
      <c r="AH92" s="6"/>
      <c r="AI92" s="6"/>
      <c r="AJ92" s="6"/>
      <c r="AK92" s="6"/>
      <c r="AL92" s="7">
        <f t="shared" si="59"/>
        <v>0</v>
      </c>
      <c r="AM92" s="11">
        <f t="shared" si="46"/>
        <v>0</v>
      </c>
      <c r="AN92" s="25"/>
      <c r="AO92" s="10" t="str">
        <f t="shared" si="47"/>
        <v>MarçoSEMANA 4Aves - Peito de Peru Fresco</v>
      </c>
      <c r="AP92" s="7">
        <f>SUMIF(NF!$A:$A,$AO92,NF!$I:$I)</f>
        <v>0</v>
      </c>
      <c r="AQ92" s="6"/>
      <c r="AR92" s="6"/>
      <c r="AS92" s="6"/>
      <c r="AT92" s="6"/>
      <c r="AU92" s="6"/>
      <c r="AV92" s="6"/>
      <c r="AW92" s="6"/>
      <c r="AX92" s="7">
        <f t="shared" si="60"/>
        <v>0</v>
      </c>
      <c r="AY92" s="11">
        <f t="shared" si="48"/>
        <v>0</v>
      </c>
      <c r="AZ92" s="25"/>
      <c r="BA92" s="10" t="str">
        <f t="shared" si="49"/>
        <v>MarçoSEMANA 5Aves - Peito de Peru Fresco</v>
      </c>
      <c r="BB92" s="7">
        <f>SUMIF(NF!$A:$A,$BA92,NF!$I:$I)</f>
        <v>0</v>
      </c>
      <c r="BC92" s="6"/>
      <c r="BD92" s="6"/>
      <c r="BE92" s="6"/>
      <c r="BF92" s="6"/>
      <c r="BG92" s="6"/>
      <c r="BH92" s="6"/>
      <c r="BI92" s="74"/>
      <c r="BJ92" s="74"/>
      <c r="BK92" s="7">
        <f t="shared" si="61"/>
        <v>0</v>
      </c>
      <c r="BL92" s="8">
        <f t="shared" si="50"/>
        <v>0</v>
      </c>
      <c r="BM92" s="51" t="str">
        <f>IFERROR(VLOOKUP(A92,NF!$M:$O,3,0),"")</f>
        <v>Carnes</v>
      </c>
      <c r="BN92" s="7">
        <f t="shared" si="51"/>
        <v>0</v>
      </c>
      <c r="BO92" s="8">
        <f t="array" ref="BO92">IFERROR(LARGE(IF(NF!$G$2:$G$3137='Mês atual'!A92,NF!$J$2:$J$3137),1),0)*BN92</f>
        <v>0</v>
      </c>
      <c r="BP92" s="50"/>
      <c r="BR92" s="146">
        <f t="array" ref="BR92">IFERROR(LARGE(IF(NF!$G$2:$G$3137='Mês atual'!A92,NF!$J$2:$J$3137),1),0)</f>
        <v>0</v>
      </c>
      <c r="BS92" s="142" t="str">
        <f>VLOOKUP(A92,NF!M:O,3,0)</f>
        <v>Carnes</v>
      </c>
      <c r="BV92" s="74">
        <f t="shared" si="36"/>
        <v>0</v>
      </c>
      <c r="BW92" s="74">
        <f t="shared" si="37"/>
        <v>0</v>
      </c>
      <c r="BX92" s="74">
        <f t="shared" si="38"/>
        <v>0</v>
      </c>
      <c r="BY92" s="74">
        <f t="shared" si="39"/>
        <v>0</v>
      </c>
      <c r="BZ92" s="74">
        <f t="shared" si="40"/>
        <v>0</v>
      </c>
    </row>
    <row r="93" spans="1:78" x14ac:dyDescent="0.2">
      <c r="A93" s="108" t="s">
        <v>149</v>
      </c>
      <c r="B93" s="12"/>
      <c r="C93" s="9">
        <v>0</v>
      </c>
      <c r="D93" s="25"/>
      <c r="E93" s="10" t="str">
        <f t="shared" si="41"/>
        <v>MarçoSEMANA 1Aves - Peito s/ Osso</v>
      </c>
      <c r="F93" s="7">
        <f>SUMIF(NF!$A:$A,$E93,NF!$I:$I)</f>
        <v>0</v>
      </c>
      <c r="G93" s="74"/>
      <c r="H93" s="74"/>
      <c r="I93" s="74"/>
      <c r="J93" s="6"/>
      <c r="K93" s="6"/>
      <c r="L93" s="6"/>
      <c r="M93" s="6"/>
      <c r="N93" s="7">
        <f t="shared" si="57"/>
        <v>0</v>
      </c>
      <c r="O93" s="11">
        <f t="shared" si="42"/>
        <v>0</v>
      </c>
      <c r="P93" s="25"/>
      <c r="Q93" s="10" t="str">
        <f t="shared" si="43"/>
        <v>MarçoSEMANA 2Aves - Peito s/ Osso</v>
      </c>
      <c r="R93" s="7">
        <f>SUMIF(NF!$A:$A,$Q93,NF!$I:$I)</f>
        <v>0</v>
      </c>
      <c r="S93" s="6"/>
      <c r="T93" s="6"/>
      <c r="U93" s="6"/>
      <c r="V93" s="6"/>
      <c r="W93" s="6"/>
      <c r="X93" s="6"/>
      <c r="Y93" s="6"/>
      <c r="Z93" s="7">
        <f t="shared" si="58"/>
        <v>0</v>
      </c>
      <c r="AA93" s="11">
        <f t="shared" si="44"/>
        <v>0</v>
      </c>
      <c r="AB93" s="25"/>
      <c r="AC93" s="10" t="str">
        <f t="shared" si="45"/>
        <v>MarçoSEMANA 3Aves - Peito s/ Osso</v>
      </c>
      <c r="AD93" s="7">
        <f>SUMIF(NF!$A:$A,$AC93,NF!$I:$I)</f>
        <v>0</v>
      </c>
      <c r="AE93" s="6"/>
      <c r="AF93" s="6"/>
      <c r="AG93" s="6"/>
      <c r="AH93" s="6"/>
      <c r="AI93" s="6"/>
      <c r="AJ93" s="6"/>
      <c r="AK93" s="6"/>
      <c r="AL93" s="7">
        <f t="shared" si="59"/>
        <v>0</v>
      </c>
      <c r="AM93" s="11">
        <f t="shared" si="46"/>
        <v>0</v>
      </c>
      <c r="AN93" s="25"/>
      <c r="AO93" s="10" t="str">
        <f t="shared" si="47"/>
        <v>MarçoSEMANA 4Aves - Peito s/ Osso</v>
      </c>
      <c r="AP93" s="7">
        <f>SUMIF(NF!$A:$A,$AO93,NF!$I:$I)</f>
        <v>0</v>
      </c>
      <c r="AQ93" s="6"/>
      <c r="AR93" s="6"/>
      <c r="AS93" s="6"/>
      <c r="AT93" s="6"/>
      <c r="AU93" s="6"/>
      <c r="AV93" s="6"/>
      <c r="AW93" s="6"/>
      <c r="AX93" s="7">
        <f t="shared" si="60"/>
        <v>0</v>
      </c>
      <c r="AY93" s="11">
        <f t="shared" si="48"/>
        <v>0</v>
      </c>
      <c r="AZ93" s="25"/>
      <c r="BA93" s="10" t="str">
        <f t="shared" si="49"/>
        <v>MarçoSEMANA 5Aves - Peito s/ Osso</v>
      </c>
      <c r="BB93" s="7">
        <f>SUMIF(NF!$A:$A,$BA93,NF!$I:$I)</f>
        <v>0</v>
      </c>
      <c r="BC93" s="6"/>
      <c r="BD93" s="6"/>
      <c r="BE93" s="6"/>
      <c r="BF93" s="6"/>
      <c r="BG93" s="6"/>
      <c r="BH93" s="6"/>
      <c r="BI93" s="74"/>
      <c r="BJ93" s="74"/>
      <c r="BK93" s="7">
        <f t="shared" si="61"/>
        <v>0</v>
      </c>
      <c r="BL93" s="8">
        <f t="shared" si="50"/>
        <v>0</v>
      </c>
      <c r="BM93" s="51" t="str">
        <f>IFERROR(VLOOKUP(A93,NF!$M:$O,3,0),"")</f>
        <v>Carnes</v>
      </c>
      <c r="BN93" s="7">
        <f t="shared" si="51"/>
        <v>0</v>
      </c>
      <c r="BO93" s="8">
        <f t="array" ref="BO93">IFERROR(LARGE(IF(NF!$G$2:$G$3137='Mês atual'!A93,NF!$J$2:$J$3137),1),0)*BN93</f>
        <v>0</v>
      </c>
      <c r="BP93" s="50"/>
      <c r="BR93" s="146">
        <f t="array" ref="BR93">IFERROR(LARGE(IF(NF!$G$2:$G$3137='Mês atual'!A93,NF!$J$2:$J$3137),1),0)</f>
        <v>0</v>
      </c>
      <c r="BS93" s="142" t="str">
        <f>VLOOKUP(A93,NF!M:O,3,0)</f>
        <v>Carnes</v>
      </c>
      <c r="BV93" s="74">
        <f t="shared" si="36"/>
        <v>0</v>
      </c>
      <c r="BW93" s="74">
        <f t="shared" si="37"/>
        <v>0</v>
      </c>
      <c r="BX93" s="74">
        <f t="shared" si="38"/>
        <v>0</v>
      </c>
      <c r="BY93" s="74">
        <f t="shared" si="39"/>
        <v>0</v>
      </c>
      <c r="BZ93" s="74">
        <f t="shared" si="40"/>
        <v>0</v>
      </c>
    </row>
    <row r="94" spans="1:78" x14ac:dyDescent="0.2">
      <c r="A94" s="108" t="s">
        <v>1053</v>
      </c>
      <c r="B94" s="12"/>
      <c r="C94" s="9">
        <v>0</v>
      </c>
      <c r="D94" s="25"/>
      <c r="E94" s="10" t="str">
        <f t="shared" si="41"/>
        <v>MarçoSEMANA 1Aves - Peru Inteiro</v>
      </c>
      <c r="F94" s="7">
        <f>SUMIF(NF!$A:$A,$E94,NF!$I:$I)</f>
        <v>0</v>
      </c>
      <c r="G94" s="74"/>
      <c r="H94" s="74"/>
      <c r="I94" s="74"/>
      <c r="J94" s="6"/>
      <c r="K94" s="6"/>
      <c r="L94" s="6"/>
      <c r="M94" s="6"/>
      <c r="N94" s="7">
        <f>SUM(G94:M94)</f>
        <v>0</v>
      </c>
      <c r="O94" s="11">
        <f>F94+C94-N94</f>
        <v>0</v>
      </c>
      <c r="P94" s="25"/>
      <c r="Q94" s="10" t="str">
        <f t="shared" si="43"/>
        <v>MarçoSEMANA 2Aves - Peru Inteiro</v>
      </c>
      <c r="R94" s="7">
        <f>SUMIF(NF!$A:$A,$Q94,NF!$I:$I)</f>
        <v>0</v>
      </c>
      <c r="S94" s="6"/>
      <c r="T94" s="6"/>
      <c r="U94" s="6"/>
      <c r="V94" s="6"/>
      <c r="W94" s="6"/>
      <c r="X94" s="6"/>
      <c r="Y94" s="6"/>
      <c r="Z94" s="7">
        <f>SUM(S94:Y94)</f>
        <v>0</v>
      </c>
      <c r="AA94" s="11">
        <f>R94+O94-Z94</f>
        <v>0</v>
      </c>
      <c r="AB94" s="25"/>
      <c r="AC94" s="10" t="str">
        <f t="shared" si="45"/>
        <v>MarçoSEMANA 3Aves - Peru Inteiro</v>
      </c>
      <c r="AD94" s="7">
        <f>SUMIF(NF!$A:$A,$AC94,NF!$I:$I)</f>
        <v>0</v>
      </c>
      <c r="AE94" s="6"/>
      <c r="AF94" s="6"/>
      <c r="AG94" s="6"/>
      <c r="AH94" s="6"/>
      <c r="AI94" s="6"/>
      <c r="AJ94" s="6"/>
      <c r="AK94" s="6"/>
      <c r="AL94" s="7">
        <f>SUM(AE94:AK94)</f>
        <v>0</v>
      </c>
      <c r="AM94" s="11">
        <f>AD94+AA94-AL94</f>
        <v>0</v>
      </c>
      <c r="AN94" s="25"/>
      <c r="AO94" s="10" t="str">
        <f t="shared" si="47"/>
        <v>MarçoSEMANA 4Aves - Peru Inteiro</v>
      </c>
      <c r="AP94" s="7">
        <f>SUMIF(NF!$A:$A,$AO94,NF!$I:$I)</f>
        <v>0</v>
      </c>
      <c r="AQ94" s="6"/>
      <c r="AR94" s="6"/>
      <c r="AS94" s="6"/>
      <c r="AT94" s="6"/>
      <c r="AU94" s="6"/>
      <c r="AV94" s="6"/>
      <c r="AW94" s="6"/>
      <c r="AX94" s="7">
        <f>SUM(AQ94:AW94)</f>
        <v>0</v>
      </c>
      <c r="AY94" s="11">
        <f>AP94+AM94-AX94</f>
        <v>0</v>
      </c>
      <c r="AZ94" s="25"/>
      <c r="BA94" s="10" t="str">
        <f t="shared" si="49"/>
        <v>MarçoSEMANA 5Aves - Peru Inteiro</v>
      </c>
      <c r="BB94" s="7">
        <f>SUMIF(NF!$A:$A,$BA94,NF!$I:$I)</f>
        <v>0</v>
      </c>
      <c r="BC94" s="6"/>
      <c r="BD94" s="6"/>
      <c r="BE94" s="6"/>
      <c r="BF94" s="6"/>
      <c r="BG94" s="6"/>
      <c r="BH94" s="6"/>
      <c r="BI94" s="74"/>
      <c r="BJ94" s="74"/>
      <c r="BK94" s="7">
        <f>SUM(BC94:BJ94)</f>
        <v>0</v>
      </c>
      <c r="BL94" s="8">
        <f>BB94+AY94-BK94</f>
        <v>0</v>
      </c>
      <c r="BM94" s="51" t="str">
        <f>IFERROR(VLOOKUP(A94,NF!$M:$O,3,0),"")</f>
        <v>Carnes</v>
      </c>
      <c r="BN94" s="7">
        <f>SUM(N94,Z94,AL94,AX94,BK94)</f>
        <v>0</v>
      </c>
      <c r="BO94" s="8">
        <f t="array" ref="BO94">IFERROR(LARGE(IF(NF!$G$2:$G$3137='Mês atual'!A94,NF!$J$2:$J$3137),1),0)*BN94</f>
        <v>0</v>
      </c>
      <c r="BP94" s="50"/>
      <c r="BR94" s="146">
        <f t="array" ref="BR94">IFERROR(LARGE(IF(NF!$G$2:$G$3137='Mês atual'!A94,NF!$J$2:$J$3137),1),0)</f>
        <v>0</v>
      </c>
      <c r="BS94" s="142" t="str">
        <f>VLOOKUP(A94,NF!M:O,3,0)</f>
        <v>Carnes</v>
      </c>
      <c r="BV94" s="74">
        <f>N94</f>
        <v>0</v>
      </c>
      <c r="BW94" s="74">
        <f>Z94</f>
        <v>0</v>
      </c>
      <c r="BX94" s="74">
        <f>AL94</f>
        <v>0</v>
      </c>
      <c r="BY94" s="74">
        <f>AX94</f>
        <v>0</v>
      </c>
      <c r="BZ94" s="74">
        <f>BK94</f>
        <v>0</v>
      </c>
    </row>
    <row r="95" spans="1:78" x14ac:dyDescent="0.2">
      <c r="A95" s="108" t="s">
        <v>150</v>
      </c>
      <c r="B95" s="12"/>
      <c r="C95" s="9">
        <v>0</v>
      </c>
      <c r="D95" s="25"/>
      <c r="E95" s="10" t="str">
        <f t="shared" si="41"/>
        <v>MarçoSEMANA 1Aves - Sobrecoxa</v>
      </c>
      <c r="F95" s="7">
        <f>SUMIF(NF!$A:$A,$E95,NF!$I:$I)</f>
        <v>0</v>
      </c>
      <c r="G95" s="74"/>
      <c r="H95" s="74"/>
      <c r="I95" s="74"/>
      <c r="J95" s="6"/>
      <c r="K95" s="6"/>
      <c r="L95" s="6"/>
      <c r="M95" s="6"/>
      <c r="N95" s="7">
        <f t="shared" si="57"/>
        <v>0</v>
      </c>
      <c r="O95" s="11">
        <f t="shared" si="42"/>
        <v>0</v>
      </c>
      <c r="P95" s="25"/>
      <c r="Q95" s="10" t="str">
        <f t="shared" si="43"/>
        <v>MarçoSEMANA 2Aves - Sobrecoxa</v>
      </c>
      <c r="R95" s="7">
        <f>SUMIF(NF!$A:$A,$Q95,NF!$I:$I)</f>
        <v>36</v>
      </c>
      <c r="S95" s="6"/>
      <c r="T95" s="6"/>
      <c r="U95" s="6"/>
      <c r="V95" s="6"/>
      <c r="W95" s="6">
        <v>18</v>
      </c>
      <c r="X95" s="6"/>
      <c r="Y95" s="6">
        <v>8.5399999999999991</v>
      </c>
      <c r="Z95" s="7">
        <f t="shared" si="58"/>
        <v>26.54</v>
      </c>
      <c r="AA95" s="11">
        <f t="shared" si="44"/>
        <v>9.4600000000000009</v>
      </c>
      <c r="AB95" s="25"/>
      <c r="AC95" s="10" t="str">
        <f t="shared" si="45"/>
        <v>MarçoSEMANA 3Aves - Sobrecoxa</v>
      </c>
      <c r="AD95" s="7">
        <f>SUMIF(NF!$A:$A,$AC95,NF!$I:$I)</f>
        <v>0</v>
      </c>
      <c r="AE95" s="6"/>
      <c r="AF95" s="6"/>
      <c r="AG95" s="6"/>
      <c r="AH95" s="6"/>
      <c r="AI95" s="6"/>
      <c r="AJ95" s="6"/>
      <c r="AK95" s="6">
        <v>9.4600000000000009</v>
      </c>
      <c r="AL95" s="7">
        <f t="shared" si="59"/>
        <v>9.4600000000000009</v>
      </c>
      <c r="AM95" s="11">
        <f t="shared" si="46"/>
        <v>0</v>
      </c>
      <c r="AN95" s="25"/>
      <c r="AO95" s="10" t="str">
        <f t="shared" si="47"/>
        <v>MarçoSEMANA 4Aves - Sobrecoxa</v>
      </c>
      <c r="AP95" s="7">
        <f>SUMIF(NF!$A:$A,$AO95,NF!$I:$I)</f>
        <v>0</v>
      </c>
      <c r="AQ95" s="6"/>
      <c r="AR95" s="6"/>
      <c r="AS95" s="6"/>
      <c r="AT95" s="6"/>
      <c r="AU95" s="6"/>
      <c r="AV95" s="6"/>
      <c r="AW95" s="6"/>
      <c r="AX95" s="7">
        <f t="shared" si="60"/>
        <v>0</v>
      </c>
      <c r="AY95" s="11">
        <f t="shared" si="48"/>
        <v>0</v>
      </c>
      <c r="AZ95" s="25"/>
      <c r="BA95" s="10" t="str">
        <f t="shared" si="49"/>
        <v>MarçoSEMANA 5Aves - Sobrecoxa</v>
      </c>
      <c r="BB95" s="7">
        <f>SUMIF(NF!$A:$A,$BA95,NF!$I:$I)</f>
        <v>0</v>
      </c>
      <c r="BC95" s="6"/>
      <c r="BD95" s="6"/>
      <c r="BE95" s="6"/>
      <c r="BF95" s="6"/>
      <c r="BG95" s="6"/>
      <c r="BH95" s="6"/>
      <c r="BI95" s="74"/>
      <c r="BJ95" s="74"/>
      <c r="BK95" s="7">
        <f t="shared" si="61"/>
        <v>0</v>
      </c>
      <c r="BL95" s="8">
        <f t="shared" si="50"/>
        <v>0</v>
      </c>
      <c r="BM95" s="51" t="str">
        <f>IFERROR(VLOOKUP(A95,NF!$M:$O,3,0),"")</f>
        <v>Carnes</v>
      </c>
      <c r="BN95" s="7">
        <f t="shared" si="51"/>
        <v>36</v>
      </c>
      <c r="BO95" s="8">
        <f t="array" ref="BO95">IFERROR(LARGE(IF(NF!$G$2:$G$3137='Mês atual'!A95,NF!$J$2:$J$3137),1),0)*BN95</f>
        <v>215.28000000000003</v>
      </c>
      <c r="BP95" s="50"/>
      <c r="BR95" s="146">
        <f t="array" ref="BR95">IFERROR(LARGE(IF(NF!$G$2:$G$3137='Mês atual'!A95,NF!$J$2:$J$3137),1),0)</f>
        <v>5.98</v>
      </c>
      <c r="BS95" s="142" t="str">
        <f>VLOOKUP(A95,NF!M:O,3,0)</f>
        <v>Carnes</v>
      </c>
      <c r="BV95" s="74">
        <f t="shared" si="36"/>
        <v>0</v>
      </c>
      <c r="BW95" s="74">
        <f t="shared" si="37"/>
        <v>26.54</v>
      </c>
      <c r="BX95" s="74">
        <f t="shared" si="38"/>
        <v>9.4600000000000009</v>
      </c>
      <c r="BY95" s="74">
        <f t="shared" si="39"/>
        <v>0</v>
      </c>
      <c r="BZ95" s="74">
        <f t="shared" si="40"/>
        <v>0</v>
      </c>
    </row>
    <row r="96" spans="1:78" x14ac:dyDescent="0.25">
      <c r="A96" s="108" t="s">
        <v>215</v>
      </c>
      <c r="B96" s="12"/>
      <c r="C96" s="9">
        <v>0</v>
      </c>
      <c r="D96" s="25"/>
      <c r="E96" s="10" t="str">
        <f t="shared" si="41"/>
        <v>MarçoSEMANA 1Carne Bovina  - Contra-filé - (Filé Noix)</v>
      </c>
      <c r="F96" s="7">
        <f>SUMIF(NF!$A:$A,$E96,NF!$I:$I)</f>
        <v>1</v>
      </c>
      <c r="G96" s="74"/>
      <c r="H96" s="74"/>
      <c r="I96" s="74"/>
      <c r="J96" s="6"/>
      <c r="K96" s="6"/>
      <c r="L96" s="6"/>
      <c r="M96" s="6"/>
      <c r="N96" s="7">
        <f t="shared" si="57"/>
        <v>0</v>
      </c>
      <c r="O96" s="11">
        <f t="shared" si="42"/>
        <v>1</v>
      </c>
      <c r="P96" s="25"/>
      <c r="Q96" s="10" t="str">
        <f t="shared" si="43"/>
        <v>MarçoSEMANA 2Carne Bovina  - Contra-filé - (Filé Noix)</v>
      </c>
      <c r="R96" s="7">
        <f>SUMIF(NF!$A:$A,$Q96,NF!$I:$I)</f>
        <v>0</v>
      </c>
      <c r="S96" s="6"/>
      <c r="T96" s="6"/>
      <c r="U96" s="6"/>
      <c r="V96" s="6"/>
      <c r="W96" s="6"/>
      <c r="X96" s="6"/>
      <c r="Y96" s="6"/>
      <c r="Z96" s="7">
        <f t="shared" si="58"/>
        <v>0</v>
      </c>
      <c r="AA96" s="11">
        <f t="shared" si="44"/>
        <v>1</v>
      </c>
      <c r="AB96" s="25"/>
      <c r="AC96" s="10" t="str">
        <f t="shared" si="45"/>
        <v>MarçoSEMANA 3Carne Bovina  - Contra-filé - (Filé Noix)</v>
      </c>
      <c r="AD96" s="7">
        <f>SUMIF(NF!$A:$A,$AC96,NF!$I:$I)</f>
        <v>0</v>
      </c>
      <c r="AE96" s="6"/>
      <c r="AF96" s="6"/>
      <c r="AG96" s="6"/>
      <c r="AH96" s="6"/>
      <c r="AI96" s="6"/>
      <c r="AJ96" s="6"/>
      <c r="AK96" s="6"/>
      <c r="AL96" s="7">
        <f t="shared" si="59"/>
        <v>0</v>
      </c>
      <c r="AM96" s="11">
        <f t="shared" si="46"/>
        <v>1</v>
      </c>
      <c r="AN96" s="25"/>
      <c r="AO96" s="10" t="str">
        <f t="shared" si="47"/>
        <v>MarçoSEMANA 4Carne Bovina  - Contra-filé - (Filé Noix)</v>
      </c>
      <c r="AP96" s="7">
        <f>SUMIF(NF!$A:$A,$AO96,NF!$I:$I)</f>
        <v>0</v>
      </c>
      <c r="AQ96" s="6"/>
      <c r="AR96" s="6"/>
      <c r="AS96" s="6"/>
      <c r="AT96" s="6"/>
      <c r="AU96" s="6"/>
      <c r="AV96" s="6"/>
      <c r="AW96" s="6"/>
      <c r="AX96" s="7">
        <f t="shared" si="60"/>
        <v>0</v>
      </c>
      <c r="AY96" s="11">
        <f t="shared" si="48"/>
        <v>1</v>
      </c>
      <c r="AZ96" s="25"/>
      <c r="BA96" s="10" t="str">
        <f t="shared" si="49"/>
        <v>MarçoSEMANA 5Carne Bovina  - Contra-filé - (Filé Noix)</v>
      </c>
      <c r="BB96" s="7">
        <f>SUMIF(NF!$A:$A,$BA96,NF!$I:$I)</f>
        <v>0</v>
      </c>
      <c r="BC96" s="6"/>
      <c r="BD96" s="6"/>
      <c r="BE96" s="6"/>
      <c r="BF96" s="6"/>
      <c r="BG96" s="6"/>
      <c r="BH96" s="6"/>
      <c r="BI96" s="74"/>
      <c r="BJ96" s="74"/>
      <c r="BK96" s="7">
        <f t="shared" si="61"/>
        <v>0</v>
      </c>
      <c r="BL96" s="8">
        <f t="shared" si="50"/>
        <v>1</v>
      </c>
      <c r="BM96" s="51" t="str">
        <f>IFERROR(VLOOKUP(A96,NF!$M:$O,3,0),"")</f>
        <v>Carnes</v>
      </c>
      <c r="BN96" s="7">
        <f t="shared" si="51"/>
        <v>0</v>
      </c>
      <c r="BO96" s="8">
        <f t="array" ref="BO96">IFERROR(LARGE(IF(NF!$G$2:$G$3137='Mês atual'!A96,NF!$J$2:$J$3137),1),0)*BN96</f>
        <v>0</v>
      </c>
      <c r="BP96" s="50"/>
      <c r="BR96" s="146">
        <f t="array" ref="BR96">IFERROR(LARGE(IF(NF!$G$2:$G$3137='Mês atual'!A96,NF!$J$2:$J$3137),1),0)</f>
        <v>389.92</v>
      </c>
      <c r="BS96" s="142" t="str">
        <f>VLOOKUP(A96,NF!M:O,3,0)</f>
        <v>Carnes</v>
      </c>
      <c r="BV96" s="74">
        <f t="shared" si="36"/>
        <v>0</v>
      </c>
      <c r="BW96" s="74">
        <f t="shared" si="37"/>
        <v>0</v>
      </c>
      <c r="BX96" s="74">
        <f t="shared" si="38"/>
        <v>0</v>
      </c>
      <c r="BY96" s="74">
        <f t="shared" si="39"/>
        <v>0</v>
      </c>
      <c r="BZ96" s="74">
        <f t="shared" si="40"/>
        <v>0</v>
      </c>
    </row>
    <row r="97" spans="1:78" x14ac:dyDescent="0.2">
      <c r="A97" s="108" t="s">
        <v>216</v>
      </c>
      <c r="B97" s="12"/>
      <c r="C97" s="9">
        <v>0</v>
      </c>
      <c r="D97" s="25"/>
      <c r="E97" s="10" t="str">
        <f t="shared" si="41"/>
        <v>MarçoSEMANA 1Carne Bovina - Alcatra Miolo</v>
      </c>
      <c r="F97" s="7">
        <f>SUMIF(NF!$A:$A,$E97,NF!$I:$I)</f>
        <v>0</v>
      </c>
      <c r="G97" s="74"/>
      <c r="H97" s="74"/>
      <c r="I97" s="74"/>
      <c r="J97" s="6"/>
      <c r="K97" s="6"/>
      <c r="L97" s="6"/>
      <c r="M97" s="6"/>
      <c r="N97" s="7">
        <f t="shared" si="57"/>
        <v>0</v>
      </c>
      <c r="O97" s="11">
        <f t="shared" si="42"/>
        <v>0</v>
      </c>
      <c r="P97" s="25"/>
      <c r="Q97" s="10" t="str">
        <f t="shared" si="43"/>
        <v>MarçoSEMANA 2Carne Bovina - Alcatra Miolo</v>
      </c>
      <c r="R97" s="7">
        <f>SUMIF(NF!$A:$A,$Q97,NF!$I:$I)</f>
        <v>0</v>
      </c>
      <c r="S97" s="6"/>
      <c r="T97" s="6"/>
      <c r="U97" s="6"/>
      <c r="V97" s="6"/>
      <c r="W97" s="6"/>
      <c r="X97" s="6"/>
      <c r="Y97" s="6"/>
      <c r="Z97" s="7">
        <f t="shared" si="58"/>
        <v>0</v>
      </c>
      <c r="AA97" s="11">
        <f t="shared" si="44"/>
        <v>0</v>
      </c>
      <c r="AB97" s="25"/>
      <c r="AC97" s="10" t="str">
        <f t="shared" si="45"/>
        <v>MarçoSEMANA 3Carne Bovina - Alcatra Miolo</v>
      </c>
      <c r="AD97" s="7">
        <f>SUMIF(NF!$A:$A,$AC97,NF!$I:$I)</f>
        <v>0</v>
      </c>
      <c r="AE97" s="6"/>
      <c r="AF97" s="6"/>
      <c r="AG97" s="6"/>
      <c r="AH97" s="6"/>
      <c r="AI97" s="6"/>
      <c r="AJ97" s="6"/>
      <c r="AK97" s="6"/>
      <c r="AL97" s="7">
        <f t="shared" si="59"/>
        <v>0</v>
      </c>
      <c r="AM97" s="11">
        <f t="shared" si="46"/>
        <v>0</v>
      </c>
      <c r="AN97" s="25"/>
      <c r="AO97" s="10" t="str">
        <f t="shared" si="47"/>
        <v>MarçoSEMANA 4Carne Bovina - Alcatra Miolo</v>
      </c>
      <c r="AP97" s="7">
        <f>SUMIF(NF!$A:$A,$AO97,NF!$I:$I)</f>
        <v>24.408000000000001</v>
      </c>
      <c r="AQ97" s="6"/>
      <c r="AR97" s="6"/>
      <c r="AS97" s="6"/>
      <c r="AT97" s="6"/>
      <c r="AU97" s="6"/>
      <c r="AV97" s="6"/>
      <c r="AW97" s="6"/>
      <c r="AX97" s="7">
        <f t="shared" si="60"/>
        <v>0</v>
      </c>
      <c r="AY97" s="11">
        <f t="shared" si="48"/>
        <v>24.408000000000001</v>
      </c>
      <c r="AZ97" s="25"/>
      <c r="BA97" s="10" t="str">
        <f t="shared" si="49"/>
        <v>MarçoSEMANA 5Carne Bovina - Alcatra Miolo</v>
      </c>
      <c r="BB97" s="7">
        <f>SUMIF(NF!$A:$A,$BA97,NF!$I:$I)</f>
        <v>0</v>
      </c>
      <c r="BC97" s="6">
        <f>16.52+3.54+0.85</f>
        <v>20.91</v>
      </c>
      <c r="BD97" s="6"/>
      <c r="BE97" s="6"/>
      <c r="BF97" s="6"/>
      <c r="BG97" s="6"/>
      <c r="BH97" s="6"/>
      <c r="BI97" s="74"/>
      <c r="BJ97" s="74"/>
      <c r="BK97" s="7">
        <f t="shared" si="61"/>
        <v>20.91</v>
      </c>
      <c r="BL97" s="8">
        <f t="shared" si="50"/>
        <v>3.4980000000000011</v>
      </c>
      <c r="BM97" s="51" t="str">
        <f>IFERROR(VLOOKUP(A97,NF!$M:$O,3,0),"")</f>
        <v>Carnes</v>
      </c>
      <c r="BN97" s="7">
        <f t="shared" si="51"/>
        <v>20.91</v>
      </c>
      <c r="BO97" s="8">
        <f t="array" ref="BO97">IFERROR(LARGE(IF(NF!$G$2:$G$3137='Mês atual'!A97,NF!$J$2:$J$3137),1),0)*BN97</f>
        <v>401.47199999999998</v>
      </c>
      <c r="BP97" s="50"/>
      <c r="BR97" s="146">
        <f t="array" ref="BR97">IFERROR(LARGE(IF(NF!$G$2:$G$3137='Mês atual'!A97,NF!$J$2:$J$3137),1),0)</f>
        <v>19.2</v>
      </c>
      <c r="BS97" s="142" t="str">
        <f>VLOOKUP(A97,NF!M:O,3,0)</f>
        <v>Carnes</v>
      </c>
      <c r="BV97" s="74">
        <f t="shared" si="36"/>
        <v>0</v>
      </c>
      <c r="BW97" s="74">
        <f t="shared" si="37"/>
        <v>0</v>
      </c>
      <c r="BX97" s="74">
        <f t="shared" si="38"/>
        <v>0</v>
      </c>
      <c r="BY97" s="74">
        <f t="shared" si="39"/>
        <v>0</v>
      </c>
      <c r="BZ97" s="74">
        <f t="shared" si="40"/>
        <v>20.91</v>
      </c>
    </row>
    <row r="98" spans="1:78" x14ac:dyDescent="0.2">
      <c r="A98" s="108" t="s">
        <v>217</v>
      </c>
      <c r="B98" s="12"/>
      <c r="C98" s="9">
        <v>0</v>
      </c>
      <c r="D98" s="25"/>
      <c r="E98" s="10" t="str">
        <f t="shared" si="41"/>
        <v>MarçoSEMANA 1Carne Bovina - Bucho</v>
      </c>
      <c r="F98" s="7">
        <f>SUMIF(NF!$A:$A,$E98,NF!$I:$I)</f>
        <v>0</v>
      </c>
      <c r="G98" s="74"/>
      <c r="H98" s="74"/>
      <c r="I98" s="74"/>
      <c r="J98" s="6"/>
      <c r="K98" s="6"/>
      <c r="L98" s="6"/>
      <c r="M98" s="6"/>
      <c r="N98" s="7">
        <f t="shared" si="57"/>
        <v>0</v>
      </c>
      <c r="O98" s="11">
        <f t="shared" si="42"/>
        <v>0</v>
      </c>
      <c r="P98" s="25"/>
      <c r="Q98" s="10" t="str">
        <f t="shared" si="43"/>
        <v>MarçoSEMANA 2Carne Bovina - Bucho</v>
      </c>
      <c r="R98" s="7">
        <f>SUMIF(NF!$A:$A,$Q98,NF!$I:$I)</f>
        <v>0</v>
      </c>
      <c r="S98" s="6"/>
      <c r="T98" s="6"/>
      <c r="U98" s="6"/>
      <c r="V98" s="6"/>
      <c r="W98" s="6"/>
      <c r="X98" s="6"/>
      <c r="Y98" s="6"/>
      <c r="Z98" s="7">
        <f t="shared" si="58"/>
        <v>0</v>
      </c>
      <c r="AA98" s="11">
        <f t="shared" si="44"/>
        <v>0</v>
      </c>
      <c r="AB98" s="25"/>
      <c r="AC98" s="10" t="str">
        <f t="shared" si="45"/>
        <v>MarçoSEMANA 3Carne Bovina - Bucho</v>
      </c>
      <c r="AD98" s="7">
        <f>SUMIF(NF!$A:$A,$AC98,NF!$I:$I)</f>
        <v>0</v>
      </c>
      <c r="AE98" s="6"/>
      <c r="AF98" s="6"/>
      <c r="AG98" s="6"/>
      <c r="AH98" s="6"/>
      <c r="AI98" s="6"/>
      <c r="AJ98" s="6"/>
      <c r="AK98" s="6"/>
      <c r="AL98" s="7">
        <f t="shared" si="59"/>
        <v>0</v>
      </c>
      <c r="AM98" s="11">
        <f t="shared" si="46"/>
        <v>0</v>
      </c>
      <c r="AN98" s="25"/>
      <c r="AO98" s="10" t="str">
        <f t="shared" si="47"/>
        <v>MarçoSEMANA 4Carne Bovina - Bucho</v>
      </c>
      <c r="AP98" s="7">
        <f>SUMIF(NF!$A:$A,$AO98,NF!$I:$I)</f>
        <v>0</v>
      </c>
      <c r="AQ98" s="6"/>
      <c r="AR98" s="6"/>
      <c r="AS98" s="6"/>
      <c r="AT98" s="6"/>
      <c r="AU98" s="6"/>
      <c r="AV98" s="6"/>
      <c r="AW98" s="6"/>
      <c r="AX98" s="7">
        <f t="shared" si="60"/>
        <v>0</v>
      </c>
      <c r="AY98" s="11">
        <f t="shared" si="48"/>
        <v>0</v>
      </c>
      <c r="AZ98" s="25"/>
      <c r="BA98" s="10" t="str">
        <f t="shared" si="49"/>
        <v>MarçoSEMANA 5Carne Bovina - Bucho</v>
      </c>
      <c r="BB98" s="7">
        <f>SUMIF(NF!$A:$A,$BA98,NF!$I:$I)</f>
        <v>0</v>
      </c>
      <c r="BC98" s="6"/>
      <c r="BD98" s="6"/>
      <c r="BE98" s="6"/>
      <c r="BF98" s="6"/>
      <c r="BG98" s="6"/>
      <c r="BH98" s="6"/>
      <c r="BI98" s="74"/>
      <c r="BJ98" s="74"/>
      <c r="BK98" s="7">
        <f t="shared" si="61"/>
        <v>0</v>
      </c>
      <c r="BL98" s="8">
        <f t="shared" si="50"/>
        <v>0</v>
      </c>
      <c r="BM98" s="51" t="str">
        <f>IFERROR(VLOOKUP(A98,NF!$M:$O,3,0),"")</f>
        <v>Carnes</v>
      </c>
      <c r="BN98" s="7">
        <f t="shared" si="51"/>
        <v>0</v>
      </c>
      <c r="BO98" s="8">
        <f t="array" ref="BO98">IFERROR(LARGE(IF(NF!$G$2:$G$3137='Mês atual'!A98,NF!$J$2:$J$3137),1),0)*BN98</f>
        <v>0</v>
      </c>
      <c r="BP98" s="50"/>
      <c r="BR98" s="146">
        <f t="array" ref="BR98">IFERROR(LARGE(IF(NF!$G$2:$G$3137='Mês atual'!A98,NF!$J$2:$J$3137),1),0)</f>
        <v>0</v>
      </c>
      <c r="BS98" s="142" t="str">
        <f>VLOOKUP(A98,NF!M:O,3,0)</f>
        <v>Carnes</v>
      </c>
      <c r="BV98" s="74">
        <f t="shared" si="36"/>
        <v>0</v>
      </c>
      <c r="BW98" s="74">
        <f t="shared" si="37"/>
        <v>0</v>
      </c>
      <c r="BX98" s="74">
        <f t="shared" si="38"/>
        <v>0</v>
      </c>
      <c r="BY98" s="74">
        <f t="shared" si="39"/>
        <v>0</v>
      </c>
      <c r="BZ98" s="74">
        <f t="shared" si="40"/>
        <v>0</v>
      </c>
    </row>
    <row r="99" spans="1:78" x14ac:dyDescent="0.2">
      <c r="A99" s="108" t="s">
        <v>218</v>
      </c>
      <c r="B99" s="12"/>
      <c r="C99" s="9">
        <v>31.98</v>
      </c>
      <c r="D99" s="25"/>
      <c r="E99" s="10" t="str">
        <f t="shared" si="41"/>
        <v>MarçoSEMANA 1Carne Bovina - Carne Seca</v>
      </c>
      <c r="F99" s="7">
        <f>SUMIF(NF!$A:$A,$E99,NF!$I:$I)</f>
        <v>10</v>
      </c>
      <c r="G99" s="74"/>
      <c r="H99" s="74"/>
      <c r="I99" s="74"/>
      <c r="J99" s="6">
        <v>15</v>
      </c>
      <c r="K99" s="6">
        <v>10</v>
      </c>
      <c r="L99" s="6"/>
      <c r="M99" s="6"/>
      <c r="N99" s="7">
        <f t="shared" si="57"/>
        <v>25</v>
      </c>
      <c r="O99" s="11">
        <f t="shared" si="42"/>
        <v>16.980000000000004</v>
      </c>
      <c r="P99" s="25"/>
      <c r="Q99" s="10" t="str">
        <f t="shared" si="43"/>
        <v>MarçoSEMANA 2Carne Bovina - Carne Seca</v>
      </c>
      <c r="R99" s="7">
        <f>SUMIF(NF!$A:$A,$Q99,NF!$I:$I)</f>
        <v>10</v>
      </c>
      <c r="S99" s="6"/>
      <c r="T99" s="6"/>
      <c r="U99" s="6"/>
      <c r="V99" s="6"/>
      <c r="W99" s="6">
        <v>10</v>
      </c>
      <c r="X99" s="6"/>
      <c r="Y99" s="6">
        <v>8</v>
      </c>
      <c r="Z99" s="7">
        <f t="shared" si="58"/>
        <v>18</v>
      </c>
      <c r="AA99" s="11">
        <f t="shared" si="44"/>
        <v>8.980000000000004</v>
      </c>
      <c r="AB99" s="25"/>
      <c r="AC99" s="10" t="str">
        <f t="shared" si="45"/>
        <v>MarçoSEMANA 3Carne Bovina - Carne Seca</v>
      </c>
      <c r="AD99" s="7">
        <f>SUMIF(NF!$A:$A,$AC99,NF!$I:$I)</f>
        <v>40</v>
      </c>
      <c r="AE99" s="6"/>
      <c r="AF99" s="6"/>
      <c r="AG99" s="6"/>
      <c r="AH99" s="6"/>
      <c r="AI99" s="6">
        <f>6+0.605</f>
        <v>6.6050000000000004</v>
      </c>
      <c r="AJ99" s="6">
        <f>4+0.605</f>
        <v>4.6050000000000004</v>
      </c>
      <c r="AK99" s="6"/>
      <c r="AL99" s="7">
        <f t="shared" si="59"/>
        <v>11.21</v>
      </c>
      <c r="AM99" s="11">
        <f t="shared" si="46"/>
        <v>37.770000000000003</v>
      </c>
      <c r="AN99" s="25"/>
      <c r="AO99" s="10" t="str">
        <f t="shared" si="47"/>
        <v>MarçoSEMANA 4Carne Bovina - Carne Seca</v>
      </c>
      <c r="AP99" s="7">
        <f>SUMIF(NF!$A:$A,$AO99,NF!$I:$I)</f>
        <v>0</v>
      </c>
      <c r="AQ99" s="6"/>
      <c r="AR99" s="6"/>
      <c r="AS99" s="6">
        <f>15+0.605</f>
        <v>15.605</v>
      </c>
      <c r="AT99" s="6">
        <f>2.82+0.605</f>
        <v>3.4249999999999998</v>
      </c>
      <c r="AU99" s="6">
        <f>6+0.605</f>
        <v>6.6050000000000004</v>
      </c>
      <c r="AV99" s="6">
        <f>4+0.605</f>
        <v>4.6050000000000004</v>
      </c>
      <c r="AW99" s="6"/>
      <c r="AX99" s="7">
        <f t="shared" si="60"/>
        <v>30.240000000000002</v>
      </c>
      <c r="AY99" s="11">
        <f t="shared" si="48"/>
        <v>7.5300000000000011</v>
      </c>
      <c r="AZ99" s="25"/>
      <c r="BA99" s="10" t="str">
        <f t="shared" si="49"/>
        <v>MarçoSEMANA 5Carne Bovina - Carne Seca</v>
      </c>
      <c r="BB99" s="7">
        <f>SUMIF(NF!$A:$A,$BA99,NF!$I:$I)</f>
        <v>0</v>
      </c>
      <c r="BC99" s="6"/>
      <c r="BD99" s="6"/>
      <c r="BE99" s="6"/>
      <c r="BF99" s="6"/>
      <c r="BG99" s="6"/>
      <c r="BH99" s="6">
        <f>5.24+0.605</f>
        <v>5.8450000000000006</v>
      </c>
      <c r="BI99" s="74"/>
      <c r="BJ99" s="74"/>
      <c r="BK99" s="7">
        <f t="shared" si="61"/>
        <v>5.8450000000000006</v>
      </c>
      <c r="BL99" s="8">
        <f t="shared" si="50"/>
        <v>1.6850000000000005</v>
      </c>
      <c r="BM99" s="51" t="str">
        <f>IFERROR(VLOOKUP(A99,NF!$M:$O,3,0),"")</f>
        <v>Carnes</v>
      </c>
      <c r="BN99" s="7">
        <f t="shared" si="51"/>
        <v>90.295000000000002</v>
      </c>
      <c r="BO99" s="8">
        <f t="array" ref="BO99">IFERROR(LARGE(IF(NF!$G$2:$G$3137='Mês atual'!A99,NF!$J$2:$J$3137),1),0)*BN99</f>
        <v>1825.7648999999999</v>
      </c>
      <c r="BP99" s="50"/>
      <c r="BR99" s="146">
        <f t="array" ref="BR99">IFERROR(LARGE(IF(NF!$G$2:$G$3137='Mês atual'!A99,NF!$J$2:$J$3137),1),0)</f>
        <v>20.22</v>
      </c>
      <c r="BS99" s="142" t="str">
        <f>VLOOKUP(A99,NF!M:O,3,0)</f>
        <v>Carnes</v>
      </c>
      <c r="BV99" s="74">
        <f t="shared" si="36"/>
        <v>25</v>
      </c>
      <c r="BW99" s="74">
        <f t="shared" si="37"/>
        <v>18</v>
      </c>
      <c r="BX99" s="74">
        <f t="shared" si="38"/>
        <v>11.21</v>
      </c>
      <c r="BY99" s="74">
        <f t="shared" si="39"/>
        <v>30.240000000000002</v>
      </c>
      <c r="BZ99" s="74">
        <f t="shared" si="40"/>
        <v>5.8450000000000006</v>
      </c>
    </row>
    <row r="100" spans="1:78" x14ac:dyDescent="0.25">
      <c r="A100" s="108" t="s">
        <v>971</v>
      </c>
      <c r="B100" s="12"/>
      <c r="C100" s="9">
        <v>0</v>
      </c>
      <c r="D100" s="25"/>
      <c r="E100" s="10" t="str">
        <f t="shared" si="41"/>
        <v>MarçoSEMANA 1Carne Bovina - Contra-filé (Chorizo)</v>
      </c>
      <c r="F100" s="7">
        <f>SUMIF(NF!$A:$A,$E100,NF!$I:$I)</f>
        <v>0</v>
      </c>
      <c r="G100" s="74"/>
      <c r="H100" s="74"/>
      <c r="I100" s="74"/>
      <c r="J100" s="6"/>
      <c r="K100" s="6"/>
      <c r="L100" s="6"/>
      <c r="M100" s="6"/>
      <c r="N100" s="7">
        <f>SUM(G100:M100)</f>
        <v>0</v>
      </c>
      <c r="O100" s="11">
        <f t="shared" si="42"/>
        <v>0</v>
      </c>
      <c r="P100" s="25"/>
      <c r="Q100" s="10" t="str">
        <f t="shared" si="43"/>
        <v>MarçoSEMANA 2Carne Bovina - Contra-filé (Chorizo)</v>
      </c>
      <c r="R100" s="7">
        <f>SUMIF(NF!$A:$A,$Q100,NF!$I:$I)</f>
        <v>0</v>
      </c>
      <c r="S100" s="6"/>
      <c r="T100" s="6"/>
      <c r="U100" s="6"/>
      <c r="V100" s="6"/>
      <c r="W100" s="6"/>
      <c r="X100" s="6"/>
      <c r="Y100" s="6"/>
      <c r="Z100" s="7">
        <f>SUM(S100:Y100)</f>
        <v>0</v>
      </c>
      <c r="AA100" s="11">
        <f t="shared" si="44"/>
        <v>0</v>
      </c>
      <c r="AB100" s="25"/>
      <c r="AC100" s="10" t="str">
        <f t="shared" si="45"/>
        <v>MarçoSEMANA 3Carne Bovina - Contra-filé (Chorizo)</v>
      </c>
      <c r="AD100" s="7">
        <f>SUMIF(NF!$A:$A,$AC100,NF!$I:$I)</f>
        <v>0</v>
      </c>
      <c r="AE100" s="6"/>
      <c r="AF100" s="6"/>
      <c r="AG100" s="6"/>
      <c r="AH100" s="6"/>
      <c r="AI100" s="6"/>
      <c r="AJ100" s="6"/>
      <c r="AK100" s="6"/>
      <c r="AL100" s="7">
        <f>SUM(AE100:AK100)</f>
        <v>0</v>
      </c>
      <c r="AM100" s="11">
        <f t="shared" si="46"/>
        <v>0</v>
      </c>
      <c r="AN100" s="25"/>
      <c r="AO100" s="10" t="str">
        <f t="shared" si="47"/>
        <v>MarçoSEMANA 4Carne Bovina - Contra-filé (Chorizo)</v>
      </c>
      <c r="AP100" s="7">
        <f>SUMIF(NF!$A:$A,$AO100,NF!$I:$I)</f>
        <v>0</v>
      </c>
      <c r="AQ100" s="6"/>
      <c r="AR100" s="6"/>
      <c r="AS100" s="6"/>
      <c r="AT100" s="6"/>
      <c r="AU100" s="6"/>
      <c r="AV100" s="6"/>
      <c r="AW100" s="6"/>
      <c r="AX100" s="7">
        <f>SUM(AQ100:AW100)</f>
        <v>0</v>
      </c>
      <c r="AY100" s="11">
        <f t="shared" si="48"/>
        <v>0</v>
      </c>
      <c r="AZ100" s="25"/>
      <c r="BA100" s="10" t="str">
        <f t="shared" si="49"/>
        <v>MarçoSEMANA 5Carne Bovina - Contra-filé (Chorizo)</v>
      </c>
      <c r="BB100" s="7">
        <f>SUMIF(NF!$A:$A,$BA100,NF!$I:$I)</f>
        <v>0</v>
      </c>
      <c r="BC100" s="6"/>
      <c r="BD100" s="6"/>
      <c r="BE100" s="6"/>
      <c r="BF100" s="6"/>
      <c r="BG100" s="6"/>
      <c r="BH100" s="6"/>
      <c r="BI100" s="74"/>
      <c r="BJ100" s="74"/>
      <c r="BK100" s="7">
        <f>SUM(BC100:BJ100)</f>
        <v>0</v>
      </c>
      <c r="BL100" s="8">
        <f t="shared" si="50"/>
        <v>0</v>
      </c>
      <c r="BM100" s="51" t="str">
        <f>IFERROR(VLOOKUP(A100,NF!$M:$O,3,0),"")</f>
        <v>Carnes</v>
      </c>
      <c r="BN100" s="7">
        <f t="shared" si="51"/>
        <v>0</v>
      </c>
      <c r="BO100" s="8">
        <f t="array" ref="BO100">IFERROR(LARGE(IF(NF!$G$2:$G$3137='Mês atual'!A100,NF!$J$2:$J$3137),1),0)*BN100</f>
        <v>0</v>
      </c>
      <c r="BP100" s="50"/>
      <c r="BR100" s="146">
        <f t="array" ref="BR100">IFERROR(LARGE(IF(NF!$G$2:$G$3137='Mês atual'!A100,NF!$J$2:$J$3137),1),0)</f>
        <v>0</v>
      </c>
      <c r="BS100" s="142" t="str">
        <f>VLOOKUP(A100,NF!M:O,3,0)</f>
        <v>Carnes</v>
      </c>
      <c r="BV100" s="74">
        <f t="shared" si="36"/>
        <v>0</v>
      </c>
      <c r="BW100" s="74">
        <f t="shared" si="37"/>
        <v>0</v>
      </c>
      <c r="BX100" s="74">
        <f t="shared" si="38"/>
        <v>0</v>
      </c>
      <c r="BY100" s="74">
        <f t="shared" si="39"/>
        <v>0</v>
      </c>
      <c r="BZ100" s="74">
        <f t="shared" si="40"/>
        <v>0</v>
      </c>
    </row>
    <row r="101" spans="1:78" x14ac:dyDescent="0.25">
      <c r="A101" s="108" t="s">
        <v>219</v>
      </c>
      <c r="B101" s="12"/>
      <c r="C101" s="9">
        <v>15.76</v>
      </c>
      <c r="D101" s="25"/>
      <c r="E101" s="10" t="str">
        <f t="shared" si="41"/>
        <v>MarçoSEMANA 1Carne Bovina - Coração Alcatra</v>
      </c>
      <c r="F101" s="7">
        <f>SUMIF(NF!$A:$A,$E101,NF!$I:$I)</f>
        <v>0</v>
      </c>
      <c r="G101" s="74"/>
      <c r="H101" s="74"/>
      <c r="I101" s="74"/>
      <c r="J101" s="6"/>
      <c r="K101" s="6">
        <v>7.0049999999999999</v>
      </c>
      <c r="L101" s="6"/>
      <c r="M101" s="6"/>
      <c r="N101" s="7">
        <f t="shared" ref="N101:N113" si="62">SUM(G101:M101)</f>
        <v>7.0049999999999999</v>
      </c>
      <c r="O101" s="11">
        <f t="shared" si="42"/>
        <v>8.754999999999999</v>
      </c>
      <c r="P101" s="25"/>
      <c r="Q101" s="10" t="str">
        <f t="shared" si="43"/>
        <v>MarçoSEMANA 2Carne Bovina - Coração Alcatra</v>
      </c>
      <c r="R101" s="7">
        <f>SUMIF(NF!$A:$A,$Q101,NF!$I:$I)</f>
        <v>47.507000000000005</v>
      </c>
      <c r="S101" s="6"/>
      <c r="T101" s="6">
        <f>8.76+12.12+3.298</f>
        <v>24.177999999999997</v>
      </c>
      <c r="U101" s="6"/>
      <c r="V101" s="6"/>
      <c r="W101" s="6"/>
      <c r="X101" s="6">
        <v>2.98</v>
      </c>
      <c r="Y101" s="6"/>
      <c r="Z101" s="7">
        <f t="shared" ref="Z101:Z113" si="63">SUM(S101:Y101)</f>
        <v>27.157999999999998</v>
      </c>
      <c r="AA101" s="11">
        <f t="shared" si="44"/>
        <v>29.104000000000003</v>
      </c>
      <c r="AB101" s="25"/>
      <c r="AC101" s="10" t="str">
        <f t="shared" si="45"/>
        <v>MarçoSEMANA 3Carne Bovina - Coração Alcatra</v>
      </c>
      <c r="AD101" s="7">
        <f>SUMIF(NF!$A:$A,$AC101,NF!$I:$I)</f>
        <v>52.57</v>
      </c>
      <c r="AE101" s="6">
        <f>15.06+13.076</f>
        <v>28.136000000000003</v>
      </c>
      <c r="AF101" s="6"/>
      <c r="AG101" s="6"/>
      <c r="AH101" s="6"/>
      <c r="AI101" s="6">
        <v>22.32</v>
      </c>
      <c r="AJ101" s="6">
        <f>15.52-5.176</f>
        <v>10.343999999999999</v>
      </c>
      <c r="AK101" s="6"/>
      <c r="AL101" s="7">
        <f t="shared" ref="AL101:AL113" si="64">SUM(AE101:AK101)</f>
        <v>60.800000000000004</v>
      </c>
      <c r="AM101" s="11">
        <f t="shared" si="46"/>
        <v>20.874000000000002</v>
      </c>
      <c r="AN101" s="25"/>
      <c r="AO101" s="10" t="str">
        <f t="shared" si="47"/>
        <v>MarçoSEMANA 4Carne Bovina - Coração Alcatra</v>
      </c>
      <c r="AP101" s="7">
        <f>SUMIF(NF!$A:$A,$AO101,NF!$I:$I)</f>
        <v>0</v>
      </c>
      <c r="AQ101" s="6"/>
      <c r="AR101" s="6"/>
      <c r="AS101" s="6"/>
      <c r="AT101" s="6">
        <f>5.176+10.2</f>
        <v>15.375999999999999</v>
      </c>
      <c r="AU101" s="6"/>
      <c r="AV101" s="6"/>
      <c r="AW101" s="6"/>
      <c r="AX101" s="7">
        <f t="shared" ref="AX101:AX113" si="65">SUM(AQ101:AW101)</f>
        <v>15.375999999999999</v>
      </c>
      <c r="AY101" s="11">
        <f t="shared" si="48"/>
        <v>5.4980000000000029</v>
      </c>
      <c r="AZ101" s="25"/>
      <c r="BA101" s="10" t="str">
        <f t="shared" si="49"/>
        <v>MarçoSEMANA 5Carne Bovina - Coração Alcatra</v>
      </c>
      <c r="BB101" s="7">
        <f>SUMIF(NF!$A:$A,$BA101,NF!$I:$I)</f>
        <v>0</v>
      </c>
      <c r="BC101" s="6">
        <v>5.4950000000000001</v>
      </c>
      <c r="BD101" s="6"/>
      <c r="BE101" s="6"/>
      <c r="BF101" s="6"/>
      <c r="BG101" s="6"/>
      <c r="BH101" s="6"/>
      <c r="BI101" s="74"/>
      <c r="BJ101" s="74"/>
      <c r="BK101" s="7">
        <f t="shared" ref="BK101:BK113" si="66">SUM(BC101:BJ101)</f>
        <v>5.4950000000000001</v>
      </c>
      <c r="BL101" s="8">
        <f t="shared" si="50"/>
        <v>3.0000000000027782E-3</v>
      </c>
      <c r="BM101" s="51" t="str">
        <f>IFERROR(VLOOKUP(A101,NF!$M:$O,3,0),"")</f>
        <v>Carnes</v>
      </c>
      <c r="BN101" s="7">
        <f t="shared" si="51"/>
        <v>115.834</v>
      </c>
      <c r="BO101" s="8">
        <f t="array" ref="BO101">IFERROR(LARGE(IF(NF!$G$2:$G$3137='Mês atual'!A101,NF!$J$2:$J$3137),1),0)*BN101</f>
        <v>2197.3014796000002</v>
      </c>
      <c r="BP101" s="50"/>
      <c r="BR101" s="146">
        <f t="array" ref="BR101">IFERROR(LARGE(IF(NF!$G$2:$G$3137='Mês atual'!A101,NF!$J$2:$J$3137),1),0)</f>
        <v>18.9694</v>
      </c>
      <c r="BS101" s="142" t="str">
        <f>VLOOKUP(A101,NF!M:O,3,0)</f>
        <v>Carnes</v>
      </c>
      <c r="BV101" s="74">
        <f t="shared" si="36"/>
        <v>7.0049999999999999</v>
      </c>
      <c r="BW101" s="74">
        <f t="shared" si="37"/>
        <v>27.157999999999998</v>
      </c>
      <c r="BX101" s="74">
        <f t="shared" si="38"/>
        <v>60.800000000000004</v>
      </c>
      <c r="BY101" s="74">
        <f t="shared" si="39"/>
        <v>15.375999999999999</v>
      </c>
      <c r="BZ101" s="74">
        <f t="shared" si="40"/>
        <v>5.4950000000000001</v>
      </c>
    </row>
    <row r="102" spans="1:78" x14ac:dyDescent="0.2">
      <c r="A102" s="108" t="s">
        <v>220</v>
      </c>
      <c r="B102" s="12"/>
      <c r="C102" s="9">
        <v>0</v>
      </c>
      <c r="D102" s="25"/>
      <c r="E102" s="10" t="str">
        <f t="shared" si="41"/>
        <v>MarçoSEMANA 1Carne Bovina - Costela</v>
      </c>
      <c r="F102" s="7">
        <f>SUMIF(NF!$A:$A,$E102,NF!$I:$I)</f>
        <v>0</v>
      </c>
      <c r="G102" s="74"/>
      <c r="H102" s="74"/>
      <c r="I102" s="74"/>
      <c r="J102" s="6"/>
      <c r="K102" s="6"/>
      <c r="L102" s="6"/>
      <c r="M102" s="6"/>
      <c r="N102" s="7">
        <f t="shared" si="62"/>
        <v>0</v>
      </c>
      <c r="O102" s="11">
        <f t="shared" si="42"/>
        <v>0</v>
      </c>
      <c r="P102" s="25"/>
      <c r="Q102" s="10" t="str">
        <f t="shared" si="43"/>
        <v>MarçoSEMANA 2Carne Bovina - Costela</v>
      </c>
      <c r="R102" s="7">
        <f>SUMIF(NF!$A:$A,$Q102,NF!$I:$I)</f>
        <v>0</v>
      </c>
      <c r="S102" s="6"/>
      <c r="T102" s="6"/>
      <c r="U102" s="6"/>
      <c r="V102" s="6"/>
      <c r="W102" s="6"/>
      <c r="X102" s="6"/>
      <c r="Y102" s="6"/>
      <c r="Z102" s="7">
        <f t="shared" si="63"/>
        <v>0</v>
      </c>
      <c r="AA102" s="11">
        <f t="shared" si="44"/>
        <v>0</v>
      </c>
      <c r="AB102" s="25"/>
      <c r="AC102" s="10" t="str">
        <f t="shared" si="45"/>
        <v>MarçoSEMANA 3Carne Bovina - Costela</v>
      </c>
      <c r="AD102" s="7">
        <f>SUMIF(NF!$A:$A,$AC102,NF!$I:$I)</f>
        <v>0</v>
      </c>
      <c r="AE102" s="6"/>
      <c r="AF102" s="6"/>
      <c r="AG102" s="6"/>
      <c r="AH102" s="6"/>
      <c r="AI102" s="6"/>
      <c r="AJ102" s="6"/>
      <c r="AK102" s="6"/>
      <c r="AL102" s="7">
        <f t="shared" si="64"/>
        <v>0</v>
      </c>
      <c r="AM102" s="11">
        <f t="shared" si="46"/>
        <v>0</v>
      </c>
      <c r="AN102" s="25"/>
      <c r="AO102" s="10" t="str">
        <f t="shared" si="47"/>
        <v>MarçoSEMANA 4Carne Bovina - Costela</v>
      </c>
      <c r="AP102" s="7">
        <f>SUMIF(NF!$A:$A,$AO102,NF!$I:$I)</f>
        <v>0</v>
      </c>
      <c r="AQ102" s="6"/>
      <c r="AR102" s="6"/>
      <c r="AS102" s="6"/>
      <c r="AT102" s="6"/>
      <c r="AU102" s="6"/>
      <c r="AV102" s="6"/>
      <c r="AW102" s="6"/>
      <c r="AX102" s="7">
        <f t="shared" si="65"/>
        <v>0</v>
      </c>
      <c r="AY102" s="11">
        <f t="shared" si="48"/>
        <v>0</v>
      </c>
      <c r="AZ102" s="25"/>
      <c r="BA102" s="10" t="str">
        <f t="shared" si="49"/>
        <v>MarçoSEMANA 5Carne Bovina - Costela</v>
      </c>
      <c r="BB102" s="7">
        <f>SUMIF(NF!$A:$A,$BA102,NF!$I:$I)</f>
        <v>0</v>
      </c>
      <c r="BC102" s="6"/>
      <c r="BD102" s="6"/>
      <c r="BE102" s="6"/>
      <c r="BF102" s="6"/>
      <c r="BG102" s="6"/>
      <c r="BH102" s="6"/>
      <c r="BI102" s="74"/>
      <c r="BJ102" s="74"/>
      <c r="BK102" s="7">
        <f t="shared" si="66"/>
        <v>0</v>
      </c>
      <c r="BL102" s="8">
        <f t="shared" si="50"/>
        <v>0</v>
      </c>
      <c r="BM102" s="51" t="str">
        <f>IFERROR(VLOOKUP(A102,NF!$M:$O,3,0),"")</f>
        <v>Carnes</v>
      </c>
      <c r="BN102" s="7">
        <f t="shared" si="51"/>
        <v>0</v>
      </c>
      <c r="BO102" s="8">
        <f t="array" ref="BO102">IFERROR(LARGE(IF(NF!$G$2:$G$3137='Mês atual'!A102,NF!$J$2:$J$3137),1),0)*BN102</f>
        <v>0</v>
      </c>
      <c r="BP102" s="50"/>
      <c r="BR102" s="146">
        <f t="array" ref="BR102">IFERROR(LARGE(IF(NF!$G$2:$G$3137='Mês atual'!A102,NF!$J$2:$J$3137),1),0)</f>
        <v>0</v>
      </c>
      <c r="BS102" s="142" t="str">
        <f>VLOOKUP(A102,NF!M:O,3,0)</f>
        <v>Carnes</v>
      </c>
      <c r="BV102" s="74">
        <f t="shared" si="36"/>
        <v>0</v>
      </c>
      <c r="BW102" s="74">
        <f t="shared" si="37"/>
        <v>0</v>
      </c>
      <c r="BX102" s="74">
        <f t="shared" si="38"/>
        <v>0</v>
      </c>
      <c r="BY102" s="74">
        <f t="shared" si="39"/>
        <v>0</v>
      </c>
      <c r="BZ102" s="74">
        <f t="shared" si="40"/>
        <v>0</v>
      </c>
    </row>
    <row r="103" spans="1:78" x14ac:dyDescent="0.2">
      <c r="A103" s="108" t="s">
        <v>221</v>
      </c>
      <c r="B103" s="12"/>
      <c r="C103" s="9">
        <v>0</v>
      </c>
      <c r="D103" s="25"/>
      <c r="E103" s="10" t="str">
        <f t="shared" si="41"/>
        <v>MarçoSEMANA 1Carne Bovina - Cupim</v>
      </c>
      <c r="F103" s="7">
        <f>SUMIF(NF!$A:$A,$E103,NF!$I:$I)</f>
        <v>0</v>
      </c>
      <c r="G103" s="74"/>
      <c r="H103" s="74"/>
      <c r="I103" s="74"/>
      <c r="J103" s="6"/>
      <c r="K103" s="6"/>
      <c r="L103" s="6"/>
      <c r="M103" s="6"/>
      <c r="N103" s="7">
        <f t="shared" si="62"/>
        <v>0</v>
      </c>
      <c r="O103" s="11">
        <f t="shared" si="42"/>
        <v>0</v>
      </c>
      <c r="P103" s="25"/>
      <c r="Q103" s="10" t="str">
        <f t="shared" si="43"/>
        <v>MarçoSEMANA 2Carne Bovina - Cupim</v>
      </c>
      <c r="R103" s="7">
        <f>SUMIF(NF!$A:$A,$Q103,NF!$I:$I)</f>
        <v>0</v>
      </c>
      <c r="S103" s="6"/>
      <c r="T103" s="6"/>
      <c r="U103" s="6"/>
      <c r="V103" s="6"/>
      <c r="W103" s="6"/>
      <c r="X103" s="6"/>
      <c r="Y103" s="6"/>
      <c r="Z103" s="7">
        <f t="shared" si="63"/>
        <v>0</v>
      </c>
      <c r="AA103" s="11">
        <f t="shared" si="44"/>
        <v>0</v>
      </c>
      <c r="AB103" s="25"/>
      <c r="AC103" s="10" t="str">
        <f t="shared" si="45"/>
        <v>MarçoSEMANA 3Carne Bovina - Cupim</v>
      </c>
      <c r="AD103" s="7">
        <f>SUMIF(NF!$A:$A,$AC103,NF!$I:$I)</f>
        <v>0</v>
      </c>
      <c r="AE103" s="6"/>
      <c r="AF103" s="6"/>
      <c r="AG103" s="6"/>
      <c r="AH103" s="6"/>
      <c r="AI103" s="6"/>
      <c r="AJ103" s="6"/>
      <c r="AK103" s="6"/>
      <c r="AL103" s="7">
        <f t="shared" si="64"/>
        <v>0</v>
      </c>
      <c r="AM103" s="11">
        <f t="shared" si="46"/>
        <v>0</v>
      </c>
      <c r="AN103" s="25"/>
      <c r="AO103" s="10" t="str">
        <f t="shared" si="47"/>
        <v>MarçoSEMANA 4Carne Bovina - Cupim</v>
      </c>
      <c r="AP103" s="7">
        <f>SUMIF(NF!$A:$A,$AO103,NF!$I:$I)</f>
        <v>0</v>
      </c>
      <c r="AQ103" s="6"/>
      <c r="AR103" s="6"/>
      <c r="AS103" s="6"/>
      <c r="AT103" s="6"/>
      <c r="AU103" s="6"/>
      <c r="AV103" s="6"/>
      <c r="AW103" s="6"/>
      <c r="AX103" s="7">
        <f t="shared" si="65"/>
        <v>0</v>
      </c>
      <c r="AY103" s="11">
        <f t="shared" si="48"/>
        <v>0</v>
      </c>
      <c r="AZ103" s="25"/>
      <c r="BA103" s="10" t="str">
        <f t="shared" si="49"/>
        <v>MarçoSEMANA 5Carne Bovina - Cupim</v>
      </c>
      <c r="BB103" s="7">
        <f>SUMIF(NF!$A:$A,$BA103,NF!$I:$I)</f>
        <v>0</v>
      </c>
      <c r="BC103" s="6"/>
      <c r="BD103" s="6"/>
      <c r="BE103" s="6"/>
      <c r="BF103" s="6"/>
      <c r="BG103" s="6"/>
      <c r="BH103" s="6"/>
      <c r="BI103" s="74"/>
      <c r="BJ103" s="74"/>
      <c r="BK103" s="7">
        <f t="shared" si="66"/>
        <v>0</v>
      </c>
      <c r="BL103" s="8">
        <f t="shared" si="50"/>
        <v>0</v>
      </c>
      <c r="BM103" s="51" t="str">
        <f>IFERROR(VLOOKUP(A103,NF!$M:$O,3,0),"")</f>
        <v>Carnes</v>
      </c>
      <c r="BN103" s="7">
        <f t="shared" si="51"/>
        <v>0</v>
      </c>
      <c r="BO103" s="8">
        <f t="array" ref="BO103">IFERROR(LARGE(IF(NF!$G$2:$G$3137='Mês atual'!A103,NF!$J$2:$J$3137),1),0)*BN103</f>
        <v>0</v>
      </c>
      <c r="BP103" s="50"/>
      <c r="BR103" s="146">
        <f t="array" ref="BR103">IFERROR(LARGE(IF(NF!$G$2:$G$3137='Mês atual'!A103,NF!$J$2:$J$3137),1),0)</f>
        <v>0</v>
      </c>
      <c r="BS103" s="142" t="str">
        <f>VLOOKUP(A103,NF!M:O,3,0)</f>
        <v>Carnes</v>
      </c>
      <c r="BV103" s="74">
        <f t="shared" si="36"/>
        <v>0</v>
      </c>
      <c r="BW103" s="74">
        <f t="shared" si="37"/>
        <v>0</v>
      </c>
      <c r="BX103" s="74">
        <f t="shared" si="38"/>
        <v>0</v>
      </c>
      <c r="BY103" s="74">
        <f t="shared" si="39"/>
        <v>0</v>
      </c>
      <c r="BZ103" s="74">
        <f t="shared" si="40"/>
        <v>0</v>
      </c>
    </row>
    <row r="104" spans="1:78" x14ac:dyDescent="0.25">
      <c r="A104" s="108" t="s">
        <v>222</v>
      </c>
      <c r="B104" s="12"/>
      <c r="C104" s="9">
        <v>0</v>
      </c>
      <c r="D104" s="25"/>
      <c r="E104" s="10" t="str">
        <f t="shared" si="41"/>
        <v>MarçoSEMANA 1Carne Bovina - Fígado</v>
      </c>
      <c r="F104" s="7">
        <f>SUMIF(NF!$A:$A,$E104,NF!$I:$I)</f>
        <v>0</v>
      </c>
      <c r="G104" s="74"/>
      <c r="H104" s="74"/>
      <c r="I104" s="74"/>
      <c r="J104" s="6"/>
      <c r="K104" s="6"/>
      <c r="L104" s="6"/>
      <c r="M104" s="6"/>
      <c r="N104" s="7">
        <f t="shared" si="62"/>
        <v>0</v>
      </c>
      <c r="O104" s="11">
        <f t="shared" si="42"/>
        <v>0</v>
      </c>
      <c r="P104" s="25"/>
      <c r="Q104" s="10" t="str">
        <f t="shared" si="43"/>
        <v>MarçoSEMANA 2Carne Bovina - Fígado</v>
      </c>
      <c r="R104" s="7">
        <f>SUMIF(NF!$A:$A,$Q104,NF!$I:$I)</f>
        <v>0</v>
      </c>
      <c r="S104" s="6"/>
      <c r="T104" s="6"/>
      <c r="U104" s="6"/>
      <c r="V104" s="6"/>
      <c r="W104" s="6"/>
      <c r="X104" s="6"/>
      <c r="Y104" s="6"/>
      <c r="Z104" s="7">
        <f t="shared" si="63"/>
        <v>0</v>
      </c>
      <c r="AA104" s="11">
        <f t="shared" si="44"/>
        <v>0</v>
      </c>
      <c r="AB104" s="25"/>
      <c r="AC104" s="10" t="str">
        <f t="shared" si="45"/>
        <v>MarçoSEMANA 3Carne Bovina - Fígado</v>
      </c>
      <c r="AD104" s="7">
        <f>SUMIF(NF!$A:$A,$AC104,NF!$I:$I)</f>
        <v>0</v>
      </c>
      <c r="AE104" s="6"/>
      <c r="AF104" s="6"/>
      <c r="AG104" s="6"/>
      <c r="AH104" s="6"/>
      <c r="AI104" s="6"/>
      <c r="AJ104" s="6"/>
      <c r="AK104" s="6"/>
      <c r="AL104" s="7">
        <f t="shared" si="64"/>
        <v>0</v>
      </c>
      <c r="AM104" s="11">
        <f t="shared" si="46"/>
        <v>0</v>
      </c>
      <c r="AN104" s="25"/>
      <c r="AO104" s="10" t="str">
        <f t="shared" si="47"/>
        <v>MarçoSEMANA 4Carne Bovina - Fígado</v>
      </c>
      <c r="AP104" s="7">
        <f>SUMIF(NF!$A:$A,$AO104,NF!$I:$I)</f>
        <v>0</v>
      </c>
      <c r="AQ104" s="6"/>
      <c r="AR104" s="6"/>
      <c r="AS104" s="6"/>
      <c r="AT104" s="6"/>
      <c r="AU104" s="6"/>
      <c r="AV104" s="6"/>
      <c r="AW104" s="6"/>
      <c r="AX104" s="7">
        <f t="shared" si="65"/>
        <v>0</v>
      </c>
      <c r="AY104" s="11">
        <f t="shared" si="48"/>
        <v>0</v>
      </c>
      <c r="AZ104" s="25"/>
      <c r="BA104" s="10" t="str">
        <f t="shared" si="49"/>
        <v>MarçoSEMANA 5Carne Bovina - Fígado</v>
      </c>
      <c r="BB104" s="7">
        <f>SUMIF(NF!$A:$A,$BA104,NF!$I:$I)</f>
        <v>0</v>
      </c>
      <c r="BC104" s="6"/>
      <c r="BD104" s="6"/>
      <c r="BE104" s="6"/>
      <c r="BF104" s="6"/>
      <c r="BG104" s="6"/>
      <c r="BH104" s="6"/>
      <c r="BI104" s="74"/>
      <c r="BJ104" s="74"/>
      <c r="BK104" s="7">
        <f t="shared" si="66"/>
        <v>0</v>
      </c>
      <c r="BL104" s="8">
        <f t="shared" si="50"/>
        <v>0</v>
      </c>
      <c r="BM104" s="51" t="str">
        <f>IFERROR(VLOOKUP(A104,NF!$M:$O,3,0),"")</f>
        <v>Carnes</v>
      </c>
      <c r="BN104" s="7">
        <f t="shared" si="51"/>
        <v>0</v>
      </c>
      <c r="BO104" s="8">
        <f t="array" ref="BO104">IFERROR(LARGE(IF(NF!$G$2:$G$3137='Mês atual'!A104,NF!$J$2:$J$3137),1),0)*BN104</f>
        <v>0</v>
      </c>
      <c r="BP104" s="50"/>
      <c r="BR104" s="146">
        <f t="array" ref="BR104">IFERROR(LARGE(IF(NF!$G$2:$G$3137='Mês atual'!A104,NF!$J$2:$J$3137),1),0)</f>
        <v>0</v>
      </c>
      <c r="BS104" s="142" t="str">
        <f>VLOOKUP(A104,NF!M:O,3,0)</f>
        <v>Carnes</v>
      </c>
      <c r="BV104" s="74">
        <f t="shared" si="36"/>
        <v>0</v>
      </c>
      <c r="BW104" s="74">
        <f t="shared" si="37"/>
        <v>0</v>
      </c>
      <c r="BX104" s="74">
        <f t="shared" si="38"/>
        <v>0</v>
      </c>
      <c r="BY104" s="74">
        <f t="shared" si="39"/>
        <v>0</v>
      </c>
      <c r="BZ104" s="74">
        <f t="shared" si="40"/>
        <v>0</v>
      </c>
    </row>
    <row r="105" spans="1:78" x14ac:dyDescent="0.25">
      <c r="A105" s="108" t="s">
        <v>223</v>
      </c>
      <c r="B105" s="12"/>
      <c r="C105" s="9">
        <v>19.38</v>
      </c>
      <c r="D105" s="25"/>
      <c r="E105" s="10" t="str">
        <f t="shared" si="41"/>
        <v>MarçoSEMANA 1Carne Bovina - Filé Mignon 3/4</v>
      </c>
      <c r="F105" s="7">
        <f>SUMIF(NF!$A:$A,$E105,NF!$I:$I)</f>
        <v>0</v>
      </c>
      <c r="G105" s="74"/>
      <c r="H105" s="74"/>
      <c r="I105" s="74"/>
      <c r="J105" s="6"/>
      <c r="K105" s="6"/>
      <c r="L105" s="6">
        <v>14.4</v>
      </c>
      <c r="M105" s="6"/>
      <c r="N105" s="7">
        <f t="shared" si="62"/>
        <v>14.4</v>
      </c>
      <c r="O105" s="11">
        <f t="shared" si="42"/>
        <v>4.9799999999999986</v>
      </c>
      <c r="P105" s="25"/>
      <c r="Q105" s="10" t="str">
        <f t="shared" si="43"/>
        <v>MarçoSEMANA 2Carne Bovina - Filé Mignon 3/4</v>
      </c>
      <c r="R105" s="7">
        <f>SUMIF(NF!$A:$A,$Q105,NF!$I:$I)</f>
        <v>0</v>
      </c>
      <c r="S105" s="6">
        <v>1.78</v>
      </c>
      <c r="T105" s="6"/>
      <c r="U105" s="6"/>
      <c r="V105" s="6"/>
      <c r="W105" s="6"/>
      <c r="X105" s="6"/>
      <c r="Y105" s="6"/>
      <c r="Z105" s="7">
        <f t="shared" si="63"/>
        <v>1.78</v>
      </c>
      <c r="AA105" s="11">
        <f t="shared" si="44"/>
        <v>3.1999999999999984</v>
      </c>
      <c r="AB105" s="25"/>
      <c r="AC105" s="10" t="str">
        <f t="shared" si="45"/>
        <v>MarçoSEMANA 3Carne Bovina - Filé Mignon 3/4</v>
      </c>
      <c r="AD105" s="7">
        <f>SUMIF(NF!$A:$A,$AC105,NF!$I:$I)</f>
        <v>67.97</v>
      </c>
      <c r="AE105" s="6"/>
      <c r="AF105" s="6">
        <v>24.071999999999999</v>
      </c>
      <c r="AG105" s="6"/>
      <c r="AH105" s="6"/>
      <c r="AI105" s="6"/>
      <c r="AJ105" s="6"/>
      <c r="AK105" s="6"/>
      <c r="AL105" s="7">
        <f t="shared" si="64"/>
        <v>24.071999999999999</v>
      </c>
      <c r="AM105" s="11">
        <f t="shared" si="46"/>
        <v>47.097999999999999</v>
      </c>
      <c r="AN105" s="25"/>
      <c r="AO105" s="10" t="str">
        <f t="shared" si="47"/>
        <v>MarçoSEMANA 4Carne Bovina - Filé Mignon 3/4</v>
      </c>
      <c r="AP105" s="7">
        <f>SUMIF(NF!$A:$A,$AO105,NF!$I:$I)</f>
        <v>25.056000000000001</v>
      </c>
      <c r="AQ105" s="6">
        <f>25.66+12.222</f>
        <v>37.881999999999998</v>
      </c>
      <c r="AR105" s="6"/>
      <c r="AS105" s="6"/>
      <c r="AT105" s="6"/>
      <c r="AU105" s="6"/>
      <c r="AV105" s="6"/>
      <c r="AW105" s="6">
        <f>17.38+4.4</f>
        <v>21.78</v>
      </c>
      <c r="AX105" s="7">
        <f t="shared" si="65"/>
        <v>59.661999999999999</v>
      </c>
      <c r="AY105" s="11">
        <f t="shared" si="48"/>
        <v>12.491999999999997</v>
      </c>
      <c r="AZ105" s="25"/>
      <c r="BA105" s="10" t="str">
        <f t="shared" si="49"/>
        <v>MarçoSEMANA 5Carne Bovina - Filé Mignon 3/4</v>
      </c>
      <c r="BB105" s="7">
        <f>SUMIF(NF!$A:$A,$BA105,NF!$I:$I)</f>
        <v>74.087000000000003</v>
      </c>
      <c r="BC105" s="6"/>
      <c r="BD105" s="6">
        <v>1.5</v>
      </c>
      <c r="BE105" s="6">
        <f>12.94+11.12-0.927</f>
        <v>23.132999999999999</v>
      </c>
      <c r="BF105" s="6"/>
      <c r="BG105" s="6">
        <v>2.278</v>
      </c>
      <c r="BH105" s="6"/>
      <c r="BI105" s="74"/>
      <c r="BJ105" s="74"/>
      <c r="BK105" s="7">
        <f t="shared" si="66"/>
        <v>26.910999999999998</v>
      </c>
      <c r="BL105" s="8">
        <f t="shared" si="50"/>
        <v>59.668000000000006</v>
      </c>
      <c r="BM105" s="51" t="str">
        <f>IFERROR(VLOOKUP(A105,NF!$M:$O,3,0),"")</f>
        <v>Carnes</v>
      </c>
      <c r="BN105" s="7">
        <f t="shared" si="51"/>
        <v>126.82499999999999</v>
      </c>
      <c r="BO105" s="8">
        <f t="array" ref="BO105">IFERROR(LARGE(IF(NF!$G$2:$G$3137='Mês atual'!A105,NF!$J$2:$J$3137),1),0)*BN105</f>
        <v>4226.6333624999997</v>
      </c>
      <c r="BP105" s="50"/>
      <c r="BR105" s="146">
        <f t="array" ref="BR105">IFERROR(LARGE(IF(NF!$G$2:$G$3137='Mês atual'!A105,NF!$J$2:$J$3137),1),0)</f>
        <v>33.326500000000003</v>
      </c>
      <c r="BS105" s="142" t="str">
        <f>VLOOKUP(A105,NF!M:O,3,0)</f>
        <v>Carnes</v>
      </c>
      <c r="BV105" s="74">
        <f t="shared" si="36"/>
        <v>14.4</v>
      </c>
      <c r="BW105" s="74">
        <f t="shared" si="37"/>
        <v>1.78</v>
      </c>
      <c r="BX105" s="74">
        <f t="shared" si="38"/>
        <v>24.071999999999999</v>
      </c>
      <c r="BY105" s="74">
        <f t="shared" si="39"/>
        <v>59.661999999999999</v>
      </c>
      <c r="BZ105" s="74">
        <f t="shared" si="40"/>
        <v>26.910999999999998</v>
      </c>
    </row>
    <row r="106" spans="1:78" x14ac:dyDescent="0.25">
      <c r="A106" s="108" t="s">
        <v>224</v>
      </c>
      <c r="B106" s="12"/>
      <c r="C106" s="9">
        <v>0</v>
      </c>
      <c r="D106" s="25"/>
      <c r="E106" s="10" t="str">
        <f t="shared" si="41"/>
        <v>MarçoSEMANA 1Carne Bovina - Filé Mignon 4/5</v>
      </c>
      <c r="F106" s="7">
        <f>SUMIF(NF!$A:$A,$E106,NF!$I:$I)</f>
        <v>0</v>
      </c>
      <c r="G106" s="74"/>
      <c r="H106" s="74"/>
      <c r="I106" s="74"/>
      <c r="J106" s="6"/>
      <c r="K106" s="6"/>
      <c r="L106" s="6"/>
      <c r="M106" s="6"/>
      <c r="N106" s="7">
        <f t="shared" si="62"/>
        <v>0</v>
      </c>
      <c r="O106" s="11">
        <f t="shared" si="42"/>
        <v>0</v>
      </c>
      <c r="P106" s="25"/>
      <c r="Q106" s="10" t="str">
        <f t="shared" si="43"/>
        <v>MarçoSEMANA 2Carne Bovina - Filé Mignon 4/5</v>
      </c>
      <c r="R106" s="7">
        <f>SUMIF(NF!$A:$A,$Q106,NF!$I:$I)</f>
        <v>0</v>
      </c>
      <c r="S106" s="6"/>
      <c r="T106" s="6"/>
      <c r="U106" s="6"/>
      <c r="V106" s="6"/>
      <c r="W106" s="6"/>
      <c r="X106" s="6"/>
      <c r="Y106" s="6"/>
      <c r="Z106" s="7">
        <f t="shared" si="63"/>
        <v>0</v>
      </c>
      <c r="AA106" s="11">
        <f t="shared" si="44"/>
        <v>0</v>
      </c>
      <c r="AB106" s="25"/>
      <c r="AC106" s="10" t="str">
        <f t="shared" si="45"/>
        <v>MarçoSEMANA 3Carne Bovina - Filé Mignon 4/5</v>
      </c>
      <c r="AD106" s="7">
        <f>SUMIF(NF!$A:$A,$AC106,NF!$I:$I)</f>
        <v>0</v>
      </c>
      <c r="AE106" s="6"/>
      <c r="AF106" s="6"/>
      <c r="AG106" s="6"/>
      <c r="AH106" s="6"/>
      <c r="AI106" s="6"/>
      <c r="AJ106" s="6"/>
      <c r="AK106" s="6"/>
      <c r="AL106" s="7">
        <f t="shared" si="64"/>
        <v>0</v>
      </c>
      <c r="AM106" s="11">
        <f t="shared" si="46"/>
        <v>0</v>
      </c>
      <c r="AN106" s="25"/>
      <c r="AO106" s="10" t="str">
        <f t="shared" si="47"/>
        <v>MarçoSEMANA 4Carne Bovina - Filé Mignon 4/5</v>
      </c>
      <c r="AP106" s="7">
        <f>SUMIF(NF!$A:$A,$AO106,NF!$I:$I)</f>
        <v>0</v>
      </c>
      <c r="AQ106" s="6"/>
      <c r="AR106" s="6"/>
      <c r="AS106" s="6"/>
      <c r="AT106" s="6"/>
      <c r="AU106" s="6"/>
      <c r="AV106" s="6"/>
      <c r="AW106" s="6" t="s">
        <v>1157</v>
      </c>
      <c r="AX106" s="7">
        <f t="shared" si="65"/>
        <v>0</v>
      </c>
      <c r="AY106" s="11">
        <f t="shared" si="48"/>
        <v>0</v>
      </c>
      <c r="AZ106" s="25"/>
      <c r="BA106" s="10" t="str">
        <f t="shared" si="49"/>
        <v>MarçoSEMANA 5Carne Bovina - Filé Mignon 4/5</v>
      </c>
      <c r="BB106" s="7">
        <f>SUMIF(NF!$A:$A,$BA106,NF!$I:$I)</f>
        <v>0</v>
      </c>
      <c r="BC106" s="6"/>
      <c r="BD106" s="6"/>
      <c r="BE106" s="6"/>
      <c r="BF106" s="6"/>
      <c r="BG106" s="6"/>
      <c r="BH106" s="6"/>
      <c r="BI106" s="74"/>
      <c r="BJ106" s="74"/>
      <c r="BK106" s="7">
        <f t="shared" si="66"/>
        <v>0</v>
      </c>
      <c r="BL106" s="8">
        <f t="shared" si="50"/>
        <v>0</v>
      </c>
      <c r="BM106" s="51" t="str">
        <f>IFERROR(VLOOKUP(A106,NF!$M:$O,3,0),"")</f>
        <v>Carnes</v>
      </c>
      <c r="BN106" s="7">
        <f t="shared" si="51"/>
        <v>0</v>
      </c>
      <c r="BO106" s="8">
        <f t="array" ref="BO106">IFERROR(LARGE(IF(NF!$G$2:$G$3137='Mês atual'!A106,NF!$J$2:$J$3137),1),0)*BN106</f>
        <v>0</v>
      </c>
      <c r="BP106" s="50"/>
      <c r="BR106" s="146">
        <f t="array" ref="BR106">IFERROR(LARGE(IF(NF!$G$2:$G$3137='Mês atual'!A106,NF!$J$2:$J$3137),1),0)</f>
        <v>0</v>
      </c>
      <c r="BS106" s="142" t="str">
        <f>VLOOKUP(A106,NF!M:O,3,0)</f>
        <v>Carnes</v>
      </c>
      <c r="BV106" s="74">
        <f t="shared" si="36"/>
        <v>0</v>
      </c>
      <c r="BW106" s="74">
        <f t="shared" si="37"/>
        <v>0</v>
      </c>
      <c r="BX106" s="74">
        <f t="shared" si="38"/>
        <v>0</v>
      </c>
      <c r="BY106" s="74">
        <f t="shared" si="39"/>
        <v>0</v>
      </c>
      <c r="BZ106" s="74">
        <f t="shared" si="40"/>
        <v>0</v>
      </c>
    </row>
    <row r="107" spans="1:78" x14ac:dyDescent="0.2">
      <c r="A107" s="108" t="s">
        <v>225</v>
      </c>
      <c r="B107" s="12"/>
      <c r="C107" s="9">
        <v>0</v>
      </c>
      <c r="D107" s="25"/>
      <c r="E107" s="10" t="str">
        <f t="shared" si="41"/>
        <v>MarçoSEMANA 1Carne Bovina - Lagarto Plano</v>
      </c>
      <c r="F107" s="7">
        <f>SUMIF(NF!$A:$A,$E107,NF!$I:$I)</f>
        <v>24.14</v>
      </c>
      <c r="G107" s="74"/>
      <c r="H107" s="74"/>
      <c r="I107" s="74"/>
      <c r="J107" s="6"/>
      <c r="K107" s="6"/>
      <c r="L107" s="6"/>
      <c r="M107" s="6"/>
      <c r="N107" s="7">
        <f t="shared" si="62"/>
        <v>0</v>
      </c>
      <c r="O107" s="11">
        <f t="shared" si="42"/>
        <v>24.14</v>
      </c>
      <c r="P107" s="25"/>
      <c r="Q107" s="10" t="str">
        <f t="shared" si="43"/>
        <v>MarçoSEMANA 2Carne Bovina - Lagarto Plano</v>
      </c>
      <c r="R107" s="7">
        <f>SUMIF(NF!$A:$A,$Q107,NF!$I:$I)</f>
        <v>0</v>
      </c>
      <c r="S107" s="6">
        <v>12.8</v>
      </c>
      <c r="T107" s="6"/>
      <c r="U107" s="6"/>
      <c r="V107" s="6"/>
      <c r="W107" s="6"/>
      <c r="X107" s="6"/>
      <c r="Y107" s="6">
        <v>11.34</v>
      </c>
      <c r="Z107" s="7">
        <f t="shared" si="63"/>
        <v>24.14</v>
      </c>
      <c r="AA107" s="11">
        <f t="shared" si="44"/>
        <v>0</v>
      </c>
      <c r="AB107" s="25"/>
      <c r="AC107" s="10" t="str">
        <f t="shared" si="45"/>
        <v>MarçoSEMANA 3Carne Bovina - Lagarto Plano</v>
      </c>
      <c r="AD107" s="7">
        <f>SUMIF(NF!$A:$A,$AC107,NF!$I:$I)</f>
        <v>0</v>
      </c>
      <c r="AE107" s="6"/>
      <c r="AF107" s="6"/>
      <c r="AG107" s="6"/>
      <c r="AH107" s="6"/>
      <c r="AI107" s="6"/>
      <c r="AJ107" s="6"/>
      <c r="AK107" s="6"/>
      <c r="AL107" s="7">
        <f t="shared" si="64"/>
        <v>0</v>
      </c>
      <c r="AM107" s="11">
        <f t="shared" si="46"/>
        <v>0</v>
      </c>
      <c r="AN107" s="25"/>
      <c r="AO107" s="10" t="str">
        <f t="shared" si="47"/>
        <v>MarçoSEMANA 4Carne Bovina - Lagarto Plano</v>
      </c>
      <c r="AP107" s="7">
        <f>SUMIF(NF!$A:$A,$AO107,NF!$I:$I)</f>
        <v>0</v>
      </c>
      <c r="AQ107" s="6"/>
      <c r="AR107" s="6"/>
      <c r="AS107" s="6"/>
      <c r="AT107" s="6"/>
      <c r="AU107" s="6"/>
      <c r="AV107" s="6"/>
      <c r="AW107" s="6"/>
      <c r="AX107" s="7">
        <f t="shared" si="65"/>
        <v>0</v>
      </c>
      <c r="AY107" s="11">
        <f t="shared" si="48"/>
        <v>0</v>
      </c>
      <c r="AZ107" s="25"/>
      <c r="BA107" s="10" t="str">
        <f t="shared" si="49"/>
        <v>MarçoSEMANA 5Carne Bovina - Lagarto Plano</v>
      </c>
      <c r="BB107" s="7">
        <f>SUMIF(NF!$A:$A,$BA107,NF!$I:$I)</f>
        <v>0</v>
      </c>
      <c r="BC107" s="6"/>
      <c r="BD107" s="6"/>
      <c r="BE107" s="6"/>
      <c r="BF107" s="6"/>
      <c r="BG107" s="6"/>
      <c r="BH107" s="6"/>
      <c r="BI107" s="74"/>
      <c r="BJ107" s="74"/>
      <c r="BK107" s="7">
        <f t="shared" si="66"/>
        <v>0</v>
      </c>
      <c r="BL107" s="8">
        <f t="shared" si="50"/>
        <v>0</v>
      </c>
      <c r="BM107" s="51" t="str">
        <f>IFERROR(VLOOKUP(A107,NF!$M:$O,3,0),"")</f>
        <v>Carnes</v>
      </c>
      <c r="BN107" s="7">
        <f t="shared" si="51"/>
        <v>24.14</v>
      </c>
      <c r="BO107" s="8">
        <f t="array" ref="BO107">IFERROR(LARGE(IF(NF!$G$2:$G$3137='Mês atual'!A107,NF!$J$2:$J$3137),1),0)*BN107</f>
        <v>337.96000000000004</v>
      </c>
      <c r="BP107" s="50"/>
      <c r="BR107" s="146">
        <f t="array" ref="BR107">IFERROR(LARGE(IF(NF!$G$2:$G$3137='Mês atual'!A107,NF!$J$2:$J$3137),1),0)</f>
        <v>14</v>
      </c>
      <c r="BS107" s="142" t="str">
        <f>VLOOKUP(A107,NF!M:O,3,0)</f>
        <v>Carnes</v>
      </c>
      <c r="BV107" s="74">
        <f t="shared" si="36"/>
        <v>0</v>
      </c>
      <c r="BW107" s="74">
        <f t="shared" si="37"/>
        <v>24.14</v>
      </c>
      <c r="BX107" s="74">
        <f t="shared" si="38"/>
        <v>0</v>
      </c>
      <c r="BY107" s="74">
        <f t="shared" si="39"/>
        <v>0</v>
      </c>
      <c r="BZ107" s="74">
        <f t="shared" si="40"/>
        <v>0</v>
      </c>
    </row>
    <row r="108" spans="1:78" x14ac:dyDescent="0.2">
      <c r="A108" s="108" t="s">
        <v>226</v>
      </c>
      <c r="B108" s="12"/>
      <c r="C108" s="9">
        <v>0</v>
      </c>
      <c r="D108" s="25"/>
      <c r="E108" s="10" t="str">
        <f t="shared" si="41"/>
        <v>MarçoSEMANA 1Carne Bovina - Lagarto Redondo</v>
      </c>
      <c r="F108" s="7">
        <f>SUMIF(NF!$A:$A,$E108,NF!$I:$I)</f>
        <v>0</v>
      </c>
      <c r="G108" s="74"/>
      <c r="H108" s="74"/>
      <c r="I108" s="74"/>
      <c r="J108" s="6"/>
      <c r="K108" s="6"/>
      <c r="L108" s="6"/>
      <c r="M108" s="6"/>
      <c r="N108" s="7">
        <f t="shared" si="62"/>
        <v>0</v>
      </c>
      <c r="O108" s="11">
        <f t="shared" si="42"/>
        <v>0</v>
      </c>
      <c r="P108" s="25"/>
      <c r="Q108" s="10" t="str">
        <f t="shared" si="43"/>
        <v>MarçoSEMANA 2Carne Bovina - Lagarto Redondo</v>
      </c>
      <c r="R108" s="7">
        <f>SUMIF(NF!$A:$A,$Q108,NF!$I:$I)</f>
        <v>0</v>
      </c>
      <c r="S108" s="6"/>
      <c r="T108" s="6"/>
      <c r="U108" s="6"/>
      <c r="V108" s="6"/>
      <c r="W108" s="6"/>
      <c r="X108" s="6"/>
      <c r="Y108" s="6"/>
      <c r="Z108" s="7">
        <f t="shared" si="63"/>
        <v>0</v>
      </c>
      <c r="AA108" s="11">
        <f t="shared" si="44"/>
        <v>0</v>
      </c>
      <c r="AB108" s="25"/>
      <c r="AC108" s="10" t="str">
        <f t="shared" si="45"/>
        <v>MarçoSEMANA 3Carne Bovina - Lagarto Redondo</v>
      </c>
      <c r="AD108" s="7">
        <f>SUMIF(NF!$A:$A,$AC108,NF!$I:$I)</f>
        <v>0</v>
      </c>
      <c r="AE108" s="6"/>
      <c r="AF108" s="6"/>
      <c r="AG108" s="6"/>
      <c r="AH108" s="6"/>
      <c r="AI108" s="6"/>
      <c r="AJ108" s="6"/>
      <c r="AK108" s="6"/>
      <c r="AL108" s="7">
        <f t="shared" si="64"/>
        <v>0</v>
      </c>
      <c r="AM108" s="11">
        <f t="shared" si="46"/>
        <v>0</v>
      </c>
      <c r="AN108" s="25"/>
      <c r="AO108" s="10" t="str">
        <f t="shared" si="47"/>
        <v>MarçoSEMANA 4Carne Bovina - Lagarto Redondo</v>
      </c>
      <c r="AP108" s="7">
        <f>SUMIF(NF!$A:$A,$AO108,NF!$I:$I)</f>
        <v>18.57</v>
      </c>
      <c r="AQ108" s="6"/>
      <c r="AR108" s="6"/>
      <c r="AS108" s="6">
        <v>12.8</v>
      </c>
      <c r="AT108" s="6"/>
      <c r="AU108" s="6"/>
      <c r="AV108" s="6"/>
      <c r="AW108" s="6"/>
      <c r="AX108" s="7">
        <f t="shared" si="65"/>
        <v>12.8</v>
      </c>
      <c r="AY108" s="11">
        <f t="shared" si="48"/>
        <v>5.77</v>
      </c>
      <c r="AZ108" s="25"/>
      <c r="BA108" s="10" t="str">
        <f t="shared" si="49"/>
        <v>MarçoSEMANA 5Carne Bovina - Lagarto Redondo</v>
      </c>
      <c r="BB108" s="7">
        <f>SUMIF(NF!$A:$A,$BA108,NF!$I:$I)</f>
        <v>13</v>
      </c>
      <c r="BC108" s="6"/>
      <c r="BD108" s="6"/>
      <c r="BE108" s="6"/>
      <c r="BF108" s="6">
        <v>11.14</v>
      </c>
      <c r="BG108" s="6"/>
      <c r="BH108" s="6"/>
      <c r="BI108" s="74"/>
      <c r="BJ108" s="74"/>
      <c r="BK108" s="7">
        <f t="shared" si="66"/>
        <v>11.14</v>
      </c>
      <c r="BL108" s="8">
        <f t="shared" si="50"/>
        <v>7.629999999999999</v>
      </c>
      <c r="BM108" s="51" t="str">
        <f>IFERROR(VLOOKUP(A108,NF!$M:$O,3,0),"")</f>
        <v>Carnes</v>
      </c>
      <c r="BN108" s="7">
        <f t="shared" si="51"/>
        <v>23.94</v>
      </c>
      <c r="BO108" s="8">
        <f t="array" ref="BO108">IFERROR(LARGE(IF(NF!$G$2:$G$3137='Mês atual'!A108,NF!$J$2:$J$3137),1),0)*BN108</f>
        <v>371.07</v>
      </c>
      <c r="BP108" s="50"/>
      <c r="BR108" s="146">
        <f t="array" ref="BR108">IFERROR(LARGE(IF(NF!$G$2:$G$3137='Mês atual'!A108,NF!$J$2:$J$3137),1),0)</f>
        <v>15.5</v>
      </c>
      <c r="BS108" s="142" t="str">
        <f>VLOOKUP(A108,NF!M:O,3,0)</f>
        <v>Carnes</v>
      </c>
      <c r="BV108" s="74">
        <f t="shared" si="36"/>
        <v>0</v>
      </c>
      <c r="BW108" s="74">
        <f t="shared" si="37"/>
        <v>0</v>
      </c>
      <c r="BX108" s="74">
        <f t="shared" si="38"/>
        <v>0</v>
      </c>
      <c r="BY108" s="74">
        <f t="shared" si="39"/>
        <v>12.8</v>
      </c>
      <c r="BZ108" s="74">
        <f t="shared" si="40"/>
        <v>11.14</v>
      </c>
    </row>
    <row r="109" spans="1:78" x14ac:dyDescent="0.25">
      <c r="A109" s="108" t="s">
        <v>227</v>
      </c>
      <c r="B109" s="12"/>
      <c r="C109" s="9">
        <v>0</v>
      </c>
      <c r="D109" s="25"/>
      <c r="E109" s="10" t="str">
        <f t="shared" si="41"/>
        <v>MarçoSEMANA 1Carne Bovina - Língua</v>
      </c>
      <c r="F109" s="7">
        <f>SUMIF(NF!$A:$A,$E109,NF!$I:$I)</f>
        <v>0</v>
      </c>
      <c r="G109" s="74"/>
      <c r="H109" s="74"/>
      <c r="I109" s="74"/>
      <c r="J109" s="6"/>
      <c r="K109" s="6"/>
      <c r="L109" s="6"/>
      <c r="M109" s="6"/>
      <c r="N109" s="7">
        <f t="shared" si="62"/>
        <v>0</v>
      </c>
      <c r="O109" s="11">
        <f t="shared" si="42"/>
        <v>0</v>
      </c>
      <c r="P109" s="25"/>
      <c r="Q109" s="10" t="str">
        <f t="shared" si="43"/>
        <v>MarçoSEMANA 2Carne Bovina - Língua</v>
      </c>
      <c r="R109" s="7">
        <f>SUMIF(NF!$A:$A,$Q109,NF!$I:$I)</f>
        <v>0</v>
      </c>
      <c r="S109" s="6"/>
      <c r="T109" s="6"/>
      <c r="U109" s="6"/>
      <c r="V109" s="6"/>
      <c r="W109" s="6"/>
      <c r="X109" s="6"/>
      <c r="Y109" s="6"/>
      <c r="Z109" s="7">
        <f t="shared" si="63"/>
        <v>0</v>
      </c>
      <c r="AA109" s="11">
        <f t="shared" si="44"/>
        <v>0</v>
      </c>
      <c r="AB109" s="25"/>
      <c r="AC109" s="10" t="str">
        <f t="shared" si="45"/>
        <v>MarçoSEMANA 3Carne Bovina - Língua</v>
      </c>
      <c r="AD109" s="7">
        <f>SUMIF(NF!$A:$A,$AC109,NF!$I:$I)</f>
        <v>0</v>
      </c>
      <c r="AE109" s="6"/>
      <c r="AF109" s="6"/>
      <c r="AG109" s="6"/>
      <c r="AH109" s="6"/>
      <c r="AI109" s="6"/>
      <c r="AJ109" s="6"/>
      <c r="AK109" s="6"/>
      <c r="AL109" s="7">
        <f t="shared" si="64"/>
        <v>0</v>
      </c>
      <c r="AM109" s="11">
        <f t="shared" si="46"/>
        <v>0</v>
      </c>
      <c r="AN109" s="25"/>
      <c r="AO109" s="10" t="str">
        <f t="shared" si="47"/>
        <v>MarçoSEMANA 4Carne Bovina - Língua</v>
      </c>
      <c r="AP109" s="7">
        <f>SUMIF(NF!$A:$A,$AO109,NF!$I:$I)</f>
        <v>0</v>
      </c>
      <c r="AQ109" s="6"/>
      <c r="AR109" s="6"/>
      <c r="AS109" s="6"/>
      <c r="AT109" s="6"/>
      <c r="AU109" s="6"/>
      <c r="AV109" s="6"/>
      <c r="AW109" s="6"/>
      <c r="AX109" s="7">
        <f t="shared" si="65"/>
        <v>0</v>
      </c>
      <c r="AY109" s="11">
        <f t="shared" si="48"/>
        <v>0</v>
      </c>
      <c r="AZ109" s="25"/>
      <c r="BA109" s="10" t="str">
        <f t="shared" si="49"/>
        <v>MarçoSEMANA 5Carne Bovina - Língua</v>
      </c>
      <c r="BB109" s="7">
        <f>SUMIF(NF!$A:$A,$BA109,NF!$I:$I)</f>
        <v>18</v>
      </c>
      <c r="BC109" s="6"/>
      <c r="BD109" s="6"/>
      <c r="BE109" s="6">
        <v>18</v>
      </c>
      <c r="BF109" s="6"/>
      <c r="BG109" s="6"/>
      <c r="BH109" s="6"/>
      <c r="BI109" s="74"/>
      <c r="BJ109" s="74"/>
      <c r="BK109" s="7">
        <f t="shared" si="66"/>
        <v>18</v>
      </c>
      <c r="BL109" s="8">
        <f t="shared" si="50"/>
        <v>0</v>
      </c>
      <c r="BM109" s="51" t="str">
        <f>IFERROR(VLOOKUP(A109,NF!$M:$O,3,0),"")</f>
        <v>Carnes</v>
      </c>
      <c r="BN109" s="7">
        <f t="shared" si="51"/>
        <v>18</v>
      </c>
      <c r="BO109" s="8">
        <f t="array" ref="BO109">IFERROR(LARGE(IF(NF!$G$2:$G$3137='Mês atual'!A109,NF!$J$2:$J$3137),1),0)*BN109</f>
        <v>120.60000000000001</v>
      </c>
      <c r="BP109" s="50"/>
      <c r="BR109" s="146">
        <f t="array" ref="BR109">IFERROR(LARGE(IF(NF!$G$2:$G$3137='Mês atual'!A109,NF!$J$2:$J$3137),1),0)</f>
        <v>6.7</v>
      </c>
      <c r="BS109" s="142" t="str">
        <f>VLOOKUP(A109,NF!M:O,3,0)</f>
        <v>Carnes</v>
      </c>
      <c r="BV109" s="74">
        <f t="shared" si="36"/>
        <v>0</v>
      </c>
      <c r="BW109" s="74">
        <f t="shared" si="37"/>
        <v>0</v>
      </c>
      <c r="BX109" s="74">
        <f t="shared" si="38"/>
        <v>0</v>
      </c>
      <c r="BY109" s="74">
        <f t="shared" si="39"/>
        <v>0</v>
      </c>
      <c r="BZ109" s="74">
        <f t="shared" si="40"/>
        <v>18</v>
      </c>
    </row>
    <row r="110" spans="1:78" x14ac:dyDescent="0.2">
      <c r="A110" s="108" t="s">
        <v>228</v>
      </c>
      <c r="B110" s="12"/>
      <c r="C110" s="9">
        <v>6.42</v>
      </c>
      <c r="D110" s="25"/>
      <c r="E110" s="10" t="str">
        <f t="shared" si="41"/>
        <v>MarçoSEMANA 1Carne Bovina - Maminha</v>
      </c>
      <c r="F110" s="7">
        <f>SUMIF(NF!$A:$A,$E110,NF!$I:$I)</f>
        <v>0</v>
      </c>
      <c r="G110" s="74"/>
      <c r="H110" s="74"/>
      <c r="I110" s="74"/>
      <c r="J110" s="6"/>
      <c r="K110" s="6">
        <v>4.8319999999999999</v>
      </c>
      <c r="L110" s="6"/>
      <c r="M110" s="6"/>
      <c r="N110" s="7">
        <f t="shared" si="62"/>
        <v>4.8319999999999999</v>
      </c>
      <c r="O110" s="11">
        <f t="shared" si="42"/>
        <v>1.5880000000000001</v>
      </c>
      <c r="P110" s="25"/>
      <c r="Q110" s="10" t="str">
        <f t="shared" si="43"/>
        <v>MarçoSEMANA 2Carne Bovina - Maminha</v>
      </c>
      <c r="R110" s="7">
        <f>SUMIF(NF!$A:$A,$Q110,NF!$I:$I)</f>
        <v>0</v>
      </c>
      <c r="S110" s="6">
        <v>1.585</v>
      </c>
      <c r="T110" s="6"/>
      <c r="U110" s="6"/>
      <c r="V110" s="6"/>
      <c r="W110" s="6"/>
      <c r="X110" s="6"/>
      <c r="Y110" s="6"/>
      <c r="Z110" s="7">
        <f t="shared" si="63"/>
        <v>1.585</v>
      </c>
      <c r="AA110" s="11">
        <f t="shared" si="44"/>
        <v>3.0000000000001137E-3</v>
      </c>
      <c r="AB110" s="25"/>
      <c r="AC110" s="10" t="str">
        <f t="shared" si="45"/>
        <v>MarçoSEMANA 3Carne Bovina - Maminha</v>
      </c>
      <c r="AD110" s="7">
        <f>SUMIF(NF!$A:$A,$AC110,NF!$I:$I)</f>
        <v>15.789</v>
      </c>
      <c r="AE110" s="6"/>
      <c r="AF110" s="6"/>
      <c r="AG110" s="6"/>
      <c r="AH110" s="6">
        <v>15.789</v>
      </c>
      <c r="AI110" s="6"/>
      <c r="AJ110" s="6"/>
      <c r="AK110" s="6"/>
      <c r="AL110" s="7">
        <f t="shared" si="64"/>
        <v>15.789</v>
      </c>
      <c r="AM110" s="11">
        <f t="shared" si="46"/>
        <v>3.0000000000001137E-3</v>
      </c>
      <c r="AN110" s="25"/>
      <c r="AO110" s="10" t="str">
        <f t="shared" si="47"/>
        <v>MarçoSEMANA 4Carne Bovina - Maminha</v>
      </c>
      <c r="AP110" s="7">
        <f>SUMIF(NF!$A:$A,$AO110,NF!$I:$I)</f>
        <v>15.864000000000001</v>
      </c>
      <c r="AQ110" s="6"/>
      <c r="AR110" s="6"/>
      <c r="AS110" s="6"/>
      <c r="AT110" s="6"/>
      <c r="AU110" s="6"/>
      <c r="AV110" s="6">
        <f>8.6+4.498</f>
        <v>13.097999999999999</v>
      </c>
      <c r="AW110" s="6"/>
      <c r="AX110" s="7">
        <f t="shared" si="65"/>
        <v>13.097999999999999</v>
      </c>
      <c r="AY110" s="11">
        <f t="shared" si="48"/>
        <v>2.7690000000000019</v>
      </c>
      <c r="AZ110" s="25"/>
      <c r="BA110" s="10" t="str">
        <f t="shared" si="49"/>
        <v>MarçoSEMANA 5Carne Bovina - Maminha</v>
      </c>
      <c r="BB110" s="7">
        <f>SUMIF(NF!$A:$A,$BA110,NF!$I:$I)</f>
        <v>0</v>
      </c>
      <c r="BC110" s="6"/>
      <c r="BD110" s="6"/>
      <c r="BE110" s="6"/>
      <c r="BF110" s="6"/>
      <c r="BG110" s="6"/>
      <c r="BH110" s="6"/>
      <c r="BI110" s="74"/>
      <c r="BJ110" s="74"/>
      <c r="BK110" s="7">
        <f t="shared" si="66"/>
        <v>0</v>
      </c>
      <c r="BL110" s="8">
        <f t="shared" si="50"/>
        <v>2.7690000000000019</v>
      </c>
      <c r="BM110" s="51" t="str">
        <f>IFERROR(VLOOKUP(A110,NF!$M:$O,3,0),"")</f>
        <v>Carnes</v>
      </c>
      <c r="BN110" s="7">
        <f t="shared" si="51"/>
        <v>35.304000000000002</v>
      </c>
      <c r="BO110" s="8">
        <f t="array" ref="BO110">IFERROR(LARGE(IF(NF!$G$2:$G$3137='Mês atual'!A110,NF!$J$2:$J$3137),1),0)*BN110</f>
        <v>615.65939520000006</v>
      </c>
      <c r="BP110" s="50"/>
      <c r="BR110" s="146">
        <f t="array" ref="BR110">IFERROR(LARGE(IF(NF!$G$2:$G$3137='Mês atual'!A110,NF!$J$2:$J$3137),1),0)</f>
        <v>17.438800000000001</v>
      </c>
      <c r="BS110" s="142" t="str">
        <f>VLOOKUP(A110,NF!M:O,3,0)</f>
        <v>Carnes</v>
      </c>
      <c r="BV110" s="74">
        <f t="shared" si="36"/>
        <v>4.8319999999999999</v>
      </c>
      <c r="BW110" s="74">
        <f t="shared" si="37"/>
        <v>1.585</v>
      </c>
      <c r="BX110" s="74">
        <f t="shared" si="38"/>
        <v>15.789</v>
      </c>
      <c r="BY110" s="74">
        <f t="shared" si="39"/>
        <v>13.097999999999999</v>
      </c>
      <c r="BZ110" s="74">
        <f t="shared" si="40"/>
        <v>0</v>
      </c>
    </row>
    <row r="111" spans="1:78" x14ac:dyDescent="0.25">
      <c r="A111" s="108" t="s">
        <v>229</v>
      </c>
      <c r="B111" s="12"/>
      <c r="C111" s="9">
        <v>0</v>
      </c>
      <c r="D111" s="25"/>
      <c r="E111" s="10" t="str">
        <f t="shared" si="41"/>
        <v>MarçoSEMANA 1Carne Bovina - Músculo</v>
      </c>
      <c r="F111" s="7">
        <f>SUMIF(NF!$A:$A,$E111,NF!$I:$I)</f>
        <v>0</v>
      </c>
      <c r="G111" s="74"/>
      <c r="H111" s="74"/>
      <c r="I111" s="74"/>
      <c r="J111" s="6"/>
      <c r="K111" s="6"/>
      <c r="L111" s="6"/>
      <c r="M111" s="6"/>
      <c r="N111" s="7">
        <f t="shared" si="62"/>
        <v>0</v>
      </c>
      <c r="O111" s="11">
        <f t="shared" si="42"/>
        <v>0</v>
      </c>
      <c r="P111" s="25"/>
      <c r="Q111" s="10" t="str">
        <f t="shared" si="43"/>
        <v>MarçoSEMANA 2Carne Bovina - Músculo</v>
      </c>
      <c r="R111" s="7">
        <f>SUMIF(NF!$A:$A,$Q111,NF!$I:$I)</f>
        <v>0</v>
      </c>
      <c r="S111" s="6"/>
      <c r="T111" s="6"/>
      <c r="U111" s="6"/>
      <c r="V111" s="6"/>
      <c r="W111" s="6"/>
      <c r="X111" s="6"/>
      <c r="Y111" s="6"/>
      <c r="Z111" s="7">
        <f t="shared" si="63"/>
        <v>0</v>
      </c>
      <c r="AA111" s="11">
        <f t="shared" si="44"/>
        <v>0</v>
      </c>
      <c r="AB111" s="25"/>
      <c r="AC111" s="10" t="str">
        <f t="shared" si="45"/>
        <v>MarçoSEMANA 3Carne Bovina - Músculo</v>
      </c>
      <c r="AD111" s="7">
        <f>SUMIF(NF!$A:$A,$AC111,NF!$I:$I)</f>
        <v>0</v>
      </c>
      <c r="AE111" s="6"/>
      <c r="AF111" s="6"/>
      <c r="AG111" s="6"/>
      <c r="AH111" s="6"/>
      <c r="AI111" s="6"/>
      <c r="AJ111" s="6"/>
      <c r="AK111" s="6"/>
      <c r="AL111" s="7">
        <f t="shared" si="64"/>
        <v>0</v>
      </c>
      <c r="AM111" s="11">
        <f t="shared" si="46"/>
        <v>0</v>
      </c>
      <c r="AN111" s="25"/>
      <c r="AO111" s="10" t="str">
        <f t="shared" si="47"/>
        <v>MarçoSEMANA 4Carne Bovina - Músculo</v>
      </c>
      <c r="AP111" s="7">
        <f>SUMIF(NF!$A:$A,$AO111,NF!$I:$I)</f>
        <v>0</v>
      </c>
      <c r="AQ111" s="6"/>
      <c r="AR111" s="6"/>
      <c r="AS111" s="6"/>
      <c r="AT111" s="6"/>
      <c r="AU111" s="6"/>
      <c r="AV111" s="6"/>
      <c r="AW111" s="6"/>
      <c r="AX111" s="7">
        <f t="shared" si="65"/>
        <v>0</v>
      </c>
      <c r="AY111" s="11">
        <f t="shared" si="48"/>
        <v>0</v>
      </c>
      <c r="AZ111" s="25"/>
      <c r="BA111" s="10" t="str">
        <f t="shared" si="49"/>
        <v>MarçoSEMANA 5Carne Bovina - Músculo</v>
      </c>
      <c r="BB111" s="7">
        <f>SUMIF(NF!$A:$A,$BA111,NF!$I:$I)</f>
        <v>0</v>
      </c>
      <c r="BC111" s="6"/>
      <c r="BD111" s="6"/>
      <c r="BE111" s="6"/>
      <c r="BF111" s="6"/>
      <c r="BG111" s="6"/>
      <c r="BH111" s="6"/>
      <c r="BI111" s="74"/>
      <c r="BJ111" s="74"/>
      <c r="BK111" s="7">
        <f t="shared" si="66"/>
        <v>0</v>
      </c>
      <c r="BL111" s="8">
        <f t="shared" si="50"/>
        <v>0</v>
      </c>
      <c r="BM111" s="51" t="str">
        <f>IFERROR(VLOOKUP(A111,NF!$M:$O,3,0),"")</f>
        <v>Carnes</v>
      </c>
      <c r="BN111" s="7">
        <f t="shared" si="51"/>
        <v>0</v>
      </c>
      <c r="BO111" s="8">
        <f t="array" ref="BO111">IFERROR(LARGE(IF(NF!$G$2:$G$3137='Mês atual'!A111,NF!$J$2:$J$3137),1),0)*BN111</f>
        <v>0</v>
      </c>
      <c r="BP111" s="50"/>
      <c r="BR111" s="146">
        <f t="array" ref="BR111">IFERROR(LARGE(IF(NF!$G$2:$G$3137='Mês atual'!A111,NF!$J$2:$J$3137),1),0)</f>
        <v>0</v>
      </c>
      <c r="BS111" s="142" t="str">
        <f>VLOOKUP(A111,NF!M:O,3,0)</f>
        <v>Carnes</v>
      </c>
      <c r="BV111" s="74">
        <f t="shared" si="36"/>
        <v>0</v>
      </c>
      <c r="BW111" s="74">
        <f t="shared" si="37"/>
        <v>0</v>
      </c>
      <c r="BX111" s="74">
        <f t="shared" si="38"/>
        <v>0</v>
      </c>
      <c r="BY111" s="74">
        <f t="shared" si="39"/>
        <v>0</v>
      </c>
      <c r="BZ111" s="74">
        <f t="shared" si="40"/>
        <v>0</v>
      </c>
    </row>
    <row r="112" spans="1:78" x14ac:dyDescent="0.2">
      <c r="A112" s="108" t="s">
        <v>230</v>
      </c>
      <c r="B112" s="12"/>
      <c r="C112" s="9">
        <v>12.29</v>
      </c>
      <c r="D112" s="25"/>
      <c r="E112" s="10" t="str">
        <f t="shared" si="41"/>
        <v>MarçoSEMANA 1Carne Bovina - Patinho</v>
      </c>
      <c r="F112" s="7">
        <f>SUMIF(NF!$A:$A,$E112,NF!$I:$I)</f>
        <v>0</v>
      </c>
      <c r="G112" s="74"/>
      <c r="H112" s="74"/>
      <c r="I112" s="74"/>
      <c r="J112" s="6"/>
      <c r="K112" s="6"/>
      <c r="L112" s="6"/>
      <c r="M112" s="6"/>
      <c r="N112" s="7">
        <f t="shared" si="62"/>
        <v>0</v>
      </c>
      <c r="O112" s="11">
        <f t="shared" si="42"/>
        <v>12.29</v>
      </c>
      <c r="P112" s="25"/>
      <c r="Q112" s="10" t="str">
        <f t="shared" si="43"/>
        <v>MarçoSEMANA 2Carne Bovina - Patinho</v>
      </c>
      <c r="R112" s="7">
        <f>SUMIF(NF!$A:$A,$Q112,NF!$I:$I)</f>
        <v>0</v>
      </c>
      <c r="S112" s="6">
        <v>12.29</v>
      </c>
      <c r="T112" s="6"/>
      <c r="U112" s="6"/>
      <c r="V112" s="6"/>
      <c r="W112" s="6"/>
      <c r="X112" s="6"/>
      <c r="Y112" s="6"/>
      <c r="Z112" s="7">
        <f t="shared" si="63"/>
        <v>12.29</v>
      </c>
      <c r="AA112" s="11">
        <f t="shared" si="44"/>
        <v>0</v>
      </c>
      <c r="AB112" s="25"/>
      <c r="AC112" s="10" t="str">
        <f t="shared" si="45"/>
        <v>MarçoSEMANA 3Carne Bovina - Patinho</v>
      </c>
      <c r="AD112" s="7">
        <f>SUMIF(NF!$A:$A,$AC112,NF!$I:$I)</f>
        <v>23.963000000000001</v>
      </c>
      <c r="AE112" s="6"/>
      <c r="AF112" s="6"/>
      <c r="AG112" s="6"/>
      <c r="AH112" s="6">
        <v>11.46</v>
      </c>
      <c r="AI112" s="6"/>
      <c r="AJ112" s="6"/>
      <c r="AK112" s="6"/>
      <c r="AL112" s="7">
        <f t="shared" si="64"/>
        <v>11.46</v>
      </c>
      <c r="AM112" s="11">
        <f t="shared" si="46"/>
        <v>12.503</v>
      </c>
      <c r="AN112" s="25"/>
      <c r="AO112" s="10" t="str">
        <f t="shared" si="47"/>
        <v>MarçoSEMANA 4Carne Bovina - Patinho</v>
      </c>
      <c r="AP112" s="7">
        <f>SUMIF(NF!$A:$A,$AO112,NF!$I:$I)</f>
        <v>0</v>
      </c>
      <c r="AQ112" s="6"/>
      <c r="AR112" s="6"/>
      <c r="AS112" s="6"/>
      <c r="AT112" s="6">
        <v>12.5</v>
      </c>
      <c r="AU112" s="6"/>
      <c r="AV112" s="6"/>
      <c r="AW112" s="6"/>
      <c r="AX112" s="7">
        <f t="shared" si="65"/>
        <v>12.5</v>
      </c>
      <c r="AY112" s="11">
        <f t="shared" si="48"/>
        <v>3.0000000000001137E-3</v>
      </c>
      <c r="AZ112" s="25"/>
      <c r="BA112" s="10" t="str">
        <f t="shared" si="49"/>
        <v>MarçoSEMANA 5Carne Bovina - Patinho</v>
      </c>
      <c r="BB112" s="7">
        <f>SUMIF(NF!$A:$A,$BA112,NF!$I:$I)</f>
        <v>0</v>
      </c>
      <c r="BC112" s="6"/>
      <c r="BD112" s="6"/>
      <c r="BE112" s="6"/>
      <c r="BF112" s="6"/>
      <c r="BG112" s="6"/>
      <c r="BH112" s="6"/>
      <c r="BI112" s="74"/>
      <c r="BJ112" s="74"/>
      <c r="BK112" s="7">
        <f t="shared" si="66"/>
        <v>0</v>
      </c>
      <c r="BL112" s="8">
        <f t="shared" si="50"/>
        <v>3.0000000000001137E-3</v>
      </c>
      <c r="BM112" s="51" t="str">
        <f>IFERROR(VLOOKUP(A112,NF!$M:$O,3,0),"")</f>
        <v>Carnes</v>
      </c>
      <c r="BN112" s="7">
        <f t="shared" si="51"/>
        <v>36.25</v>
      </c>
      <c r="BO112" s="8">
        <f t="array" ref="BO112">IFERROR(LARGE(IF(NF!$G$2:$G$3137='Mês atual'!A112,NF!$J$2:$J$3137),1),0)*BN112</f>
        <v>528.88750000000005</v>
      </c>
      <c r="BP112" s="50"/>
      <c r="BR112" s="146">
        <f t="array" ref="BR112">IFERROR(LARGE(IF(NF!$G$2:$G$3137='Mês atual'!A112,NF!$J$2:$J$3137),1),0)</f>
        <v>14.59</v>
      </c>
      <c r="BS112" s="142" t="str">
        <f>VLOOKUP(A112,NF!M:O,3,0)</f>
        <v>Carnes</v>
      </c>
      <c r="BV112" s="74">
        <f t="shared" si="36"/>
        <v>0</v>
      </c>
      <c r="BW112" s="74">
        <f t="shared" si="37"/>
        <v>12.29</v>
      </c>
      <c r="BX112" s="74">
        <f t="shared" si="38"/>
        <v>11.46</v>
      </c>
      <c r="BY112" s="74">
        <f t="shared" si="39"/>
        <v>12.5</v>
      </c>
      <c r="BZ112" s="74">
        <f t="shared" si="40"/>
        <v>0</v>
      </c>
    </row>
    <row r="113" spans="1:78" x14ac:dyDescent="0.2">
      <c r="A113" s="108" t="s">
        <v>231</v>
      </c>
      <c r="B113" s="12"/>
      <c r="C113" s="9">
        <v>0</v>
      </c>
      <c r="D113" s="25"/>
      <c r="E113" s="10" t="str">
        <f t="shared" si="41"/>
        <v>MarçoSEMANA 1Carne Bovina - Peito</v>
      </c>
      <c r="F113" s="7">
        <f>SUMIF(NF!$A:$A,$E113,NF!$I:$I)</f>
        <v>0</v>
      </c>
      <c r="G113" s="74"/>
      <c r="H113" s="74"/>
      <c r="I113" s="74"/>
      <c r="J113" s="6"/>
      <c r="K113" s="6"/>
      <c r="L113" s="6"/>
      <c r="M113" s="6"/>
      <c r="N113" s="7">
        <f t="shared" si="62"/>
        <v>0</v>
      </c>
      <c r="O113" s="11">
        <f t="shared" si="42"/>
        <v>0</v>
      </c>
      <c r="P113" s="25"/>
      <c r="Q113" s="10" t="str">
        <f t="shared" si="43"/>
        <v>MarçoSEMANA 2Carne Bovina - Peito</v>
      </c>
      <c r="R113" s="7">
        <f>SUMIF(NF!$A:$A,$Q113,NF!$I:$I)</f>
        <v>25.4</v>
      </c>
      <c r="S113" s="6"/>
      <c r="T113" s="6"/>
      <c r="U113" s="6"/>
      <c r="V113" s="6">
        <v>25.4</v>
      </c>
      <c r="W113" s="6"/>
      <c r="X113" s="6"/>
      <c r="Y113" s="6"/>
      <c r="Z113" s="7">
        <f t="shared" si="63"/>
        <v>25.4</v>
      </c>
      <c r="AA113" s="11">
        <f t="shared" si="44"/>
        <v>0</v>
      </c>
      <c r="AB113" s="25"/>
      <c r="AC113" s="10" t="str">
        <f t="shared" si="45"/>
        <v>MarçoSEMANA 3Carne Bovina - Peito</v>
      </c>
      <c r="AD113" s="7">
        <f>SUMIF(NF!$A:$A,$AC113,NF!$I:$I)</f>
        <v>0</v>
      </c>
      <c r="AE113" s="6"/>
      <c r="AF113" s="6"/>
      <c r="AG113" s="6"/>
      <c r="AH113" s="6"/>
      <c r="AI113" s="6"/>
      <c r="AJ113" s="6"/>
      <c r="AK113" s="6"/>
      <c r="AL113" s="7">
        <f t="shared" si="64"/>
        <v>0</v>
      </c>
      <c r="AM113" s="11">
        <f t="shared" si="46"/>
        <v>0</v>
      </c>
      <c r="AN113" s="25"/>
      <c r="AO113" s="10" t="str">
        <f t="shared" si="47"/>
        <v>MarçoSEMANA 4Carne Bovina - Peito</v>
      </c>
      <c r="AP113" s="7">
        <f>SUMIF(NF!$A:$A,$AO113,NF!$I:$I)</f>
        <v>0</v>
      </c>
      <c r="AQ113" s="6"/>
      <c r="AR113" s="6"/>
      <c r="AS113" s="6"/>
      <c r="AT113" s="6"/>
      <c r="AU113" s="6"/>
      <c r="AV113" s="6"/>
      <c r="AW113" s="6"/>
      <c r="AX113" s="7">
        <f t="shared" si="65"/>
        <v>0</v>
      </c>
      <c r="AY113" s="11">
        <f t="shared" si="48"/>
        <v>0</v>
      </c>
      <c r="AZ113" s="25"/>
      <c r="BA113" s="10" t="str">
        <f t="shared" si="49"/>
        <v>MarçoSEMANA 5Carne Bovina - Peito</v>
      </c>
      <c r="BB113" s="7">
        <f>SUMIF(NF!$A:$A,$BA113,NF!$I:$I)</f>
        <v>22.419</v>
      </c>
      <c r="BC113" s="6"/>
      <c r="BD113" s="6"/>
      <c r="BE113" s="6"/>
      <c r="BF113" s="6">
        <v>22.414999999999999</v>
      </c>
      <c r="BG113" s="6"/>
      <c r="BH113" s="6"/>
      <c r="BI113" s="74"/>
      <c r="BJ113" s="74"/>
      <c r="BK113" s="7">
        <f t="shared" si="66"/>
        <v>22.414999999999999</v>
      </c>
      <c r="BL113" s="8">
        <f t="shared" si="50"/>
        <v>4.0000000000013358E-3</v>
      </c>
      <c r="BM113" s="51" t="str">
        <f>IFERROR(VLOOKUP(A113,NF!$M:$O,3,0),"")</f>
        <v>Carnes</v>
      </c>
      <c r="BN113" s="7">
        <f t="shared" si="51"/>
        <v>47.814999999999998</v>
      </c>
      <c r="BO113" s="8">
        <f t="array" ref="BO113">IFERROR(LARGE(IF(NF!$G$2:$G$3137='Mês atual'!A113,NF!$J$2:$J$3137),1),0)*BN113</f>
        <v>572.82370000000003</v>
      </c>
      <c r="BP113" s="50"/>
      <c r="BR113" s="146">
        <f t="array" ref="BR113">IFERROR(LARGE(IF(NF!$G$2:$G$3137='Mês atual'!A113,NF!$J$2:$J$3137),1),0)</f>
        <v>11.98</v>
      </c>
      <c r="BS113" s="142" t="str">
        <f>VLOOKUP(A113,NF!M:O,3,0)</f>
        <v>Carnes</v>
      </c>
      <c r="BV113" s="74">
        <f t="shared" si="36"/>
        <v>0</v>
      </c>
      <c r="BW113" s="74">
        <f t="shared" si="37"/>
        <v>25.4</v>
      </c>
      <c r="BX113" s="74">
        <f t="shared" si="38"/>
        <v>0</v>
      </c>
      <c r="BY113" s="74">
        <f t="shared" si="39"/>
        <v>0</v>
      </c>
      <c r="BZ113" s="74">
        <f t="shared" si="40"/>
        <v>22.414999999999999</v>
      </c>
    </row>
    <row r="114" spans="1:78" x14ac:dyDescent="0.25">
      <c r="A114" s="108" t="s">
        <v>972</v>
      </c>
      <c r="B114" s="12"/>
      <c r="C114" s="9">
        <v>0</v>
      </c>
      <c r="D114" s="25"/>
      <c r="E114" s="10" t="str">
        <f t="shared" si="41"/>
        <v>MarçoSEMANA 1Carne Bovina - Perinha da Chã</v>
      </c>
      <c r="F114" s="7">
        <f>SUMIF(NF!$A:$A,$E114,NF!$I:$I)</f>
        <v>0</v>
      </c>
      <c r="G114" s="74"/>
      <c r="H114" s="74"/>
      <c r="I114" s="74"/>
      <c r="J114" s="6"/>
      <c r="K114" s="6"/>
      <c r="L114" s="6"/>
      <c r="M114" s="6"/>
      <c r="N114" s="7">
        <f>SUM(G114:M114)</f>
        <v>0</v>
      </c>
      <c r="O114" s="11">
        <f t="shared" si="42"/>
        <v>0</v>
      </c>
      <c r="P114" s="25"/>
      <c r="Q114" s="10" t="str">
        <f t="shared" si="43"/>
        <v>MarçoSEMANA 2Carne Bovina - Perinha da Chã</v>
      </c>
      <c r="R114" s="7">
        <f>SUMIF(NF!$A:$A,$Q114,NF!$I:$I)</f>
        <v>0</v>
      </c>
      <c r="S114" s="6"/>
      <c r="T114" s="6"/>
      <c r="U114" s="6"/>
      <c r="V114" s="6"/>
      <c r="W114" s="6"/>
      <c r="X114" s="6"/>
      <c r="Y114" s="6"/>
      <c r="Z114" s="7">
        <f>SUM(S114:Y114)</f>
        <v>0</v>
      </c>
      <c r="AA114" s="11">
        <f t="shared" si="44"/>
        <v>0</v>
      </c>
      <c r="AB114" s="25"/>
      <c r="AC114" s="10" t="str">
        <f t="shared" si="45"/>
        <v>MarçoSEMANA 3Carne Bovina - Perinha da Chã</v>
      </c>
      <c r="AD114" s="7">
        <f>SUMIF(NF!$A:$A,$AC114,NF!$I:$I)</f>
        <v>0</v>
      </c>
      <c r="AE114" s="6"/>
      <c r="AF114" s="6"/>
      <c r="AG114" s="6"/>
      <c r="AH114" s="6"/>
      <c r="AI114" s="6"/>
      <c r="AJ114" s="6"/>
      <c r="AK114" s="6"/>
      <c r="AL114" s="7">
        <f>SUM(AE114:AK114)</f>
        <v>0</v>
      </c>
      <c r="AM114" s="11">
        <f t="shared" si="46"/>
        <v>0</v>
      </c>
      <c r="AN114" s="25"/>
      <c r="AO114" s="10" t="str">
        <f t="shared" si="47"/>
        <v>MarçoSEMANA 4Carne Bovina - Perinha da Chã</v>
      </c>
      <c r="AP114" s="7">
        <f>SUMIF(NF!$A:$A,$AO114,NF!$I:$I)</f>
        <v>0</v>
      </c>
      <c r="AQ114" s="6"/>
      <c r="AR114" s="6"/>
      <c r="AS114" s="6"/>
      <c r="AT114" s="6"/>
      <c r="AU114" s="6"/>
      <c r="AV114" s="6"/>
      <c r="AW114" s="6"/>
      <c r="AX114" s="7">
        <f>SUM(AQ114:AW114)</f>
        <v>0</v>
      </c>
      <c r="AY114" s="11">
        <f t="shared" si="48"/>
        <v>0</v>
      </c>
      <c r="AZ114" s="25"/>
      <c r="BA114" s="10" t="str">
        <f t="shared" si="49"/>
        <v>MarçoSEMANA 5Carne Bovina - Perinha da Chã</v>
      </c>
      <c r="BB114" s="7">
        <f>SUMIF(NF!$A:$A,$BA114,NF!$I:$I)</f>
        <v>0</v>
      </c>
      <c r="BC114" s="6"/>
      <c r="BD114" s="6"/>
      <c r="BE114" s="6"/>
      <c r="BF114" s="6"/>
      <c r="BG114" s="6"/>
      <c r="BH114" s="6"/>
      <c r="BI114" s="74"/>
      <c r="BJ114" s="74"/>
      <c r="BK114" s="7">
        <f>SUM(BC114:BJ114)</f>
        <v>0</v>
      </c>
      <c r="BL114" s="8">
        <f t="shared" si="50"/>
        <v>0</v>
      </c>
      <c r="BM114" s="51" t="str">
        <f>IFERROR(VLOOKUP(A114,NF!$M:$O,3,0),"")</f>
        <v>Carnes</v>
      </c>
      <c r="BN114" s="7">
        <f t="shared" si="51"/>
        <v>0</v>
      </c>
      <c r="BO114" s="8">
        <f t="array" ref="BO114">IFERROR(LARGE(IF(NF!$G$2:$G$3137='Mês atual'!A114,NF!$J$2:$J$3137),1),0)*BN114</f>
        <v>0</v>
      </c>
      <c r="BP114" s="50"/>
      <c r="BR114" s="146">
        <f t="array" ref="BR114">IFERROR(LARGE(IF(NF!$G$2:$G$3137='Mês atual'!A114,NF!$J$2:$J$3137),1),0)</f>
        <v>0</v>
      </c>
      <c r="BS114" s="142" t="str">
        <f>VLOOKUP(A114,NF!M:O,3,0)</f>
        <v>Carnes</v>
      </c>
      <c r="BV114" s="74">
        <f t="shared" si="36"/>
        <v>0</v>
      </c>
      <c r="BW114" s="74">
        <f t="shared" si="37"/>
        <v>0</v>
      </c>
      <c r="BX114" s="74">
        <f t="shared" si="38"/>
        <v>0</v>
      </c>
      <c r="BY114" s="74">
        <f t="shared" si="39"/>
        <v>0</v>
      </c>
      <c r="BZ114" s="74">
        <f t="shared" si="40"/>
        <v>0</v>
      </c>
    </row>
    <row r="115" spans="1:78" x14ac:dyDescent="0.2">
      <c r="A115" s="108" t="s">
        <v>232</v>
      </c>
      <c r="B115" s="12"/>
      <c r="C115" s="9">
        <v>0</v>
      </c>
      <c r="D115" s="25"/>
      <c r="E115" s="10" t="str">
        <f t="shared" si="41"/>
        <v>MarçoSEMANA 1Carne Bovina - Picanha A</v>
      </c>
      <c r="F115" s="7">
        <f>SUMIF(NF!$A:$A,$E115,NF!$I:$I)</f>
        <v>0</v>
      </c>
      <c r="G115" s="74"/>
      <c r="H115" s="74"/>
      <c r="I115" s="74"/>
      <c r="J115" s="6"/>
      <c r="K115" s="6"/>
      <c r="L115" s="6"/>
      <c r="M115" s="6"/>
      <c r="N115" s="7">
        <f>SUM(G115:M115)</f>
        <v>0</v>
      </c>
      <c r="O115" s="11">
        <f t="shared" si="42"/>
        <v>0</v>
      </c>
      <c r="P115" s="25"/>
      <c r="Q115" s="10" t="str">
        <f t="shared" si="43"/>
        <v>MarçoSEMANA 2Carne Bovina - Picanha A</v>
      </c>
      <c r="R115" s="7">
        <f>SUMIF(NF!$A:$A,$Q115,NF!$I:$I)</f>
        <v>0</v>
      </c>
      <c r="S115" s="6"/>
      <c r="T115" s="6"/>
      <c r="U115" s="6"/>
      <c r="V115" s="6"/>
      <c r="W115" s="6"/>
      <c r="X115" s="6"/>
      <c r="Y115" s="6"/>
      <c r="Z115" s="7">
        <f>SUM(S115:Y115)</f>
        <v>0</v>
      </c>
      <c r="AA115" s="11">
        <f t="shared" si="44"/>
        <v>0</v>
      </c>
      <c r="AB115" s="25"/>
      <c r="AC115" s="10" t="str">
        <f t="shared" si="45"/>
        <v>MarçoSEMANA 3Carne Bovina - Picanha A</v>
      </c>
      <c r="AD115" s="7">
        <f>SUMIF(NF!$A:$A,$AC115,NF!$I:$I)</f>
        <v>0</v>
      </c>
      <c r="AE115" s="6"/>
      <c r="AF115" s="6"/>
      <c r="AG115" s="6"/>
      <c r="AH115" s="6"/>
      <c r="AI115" s="6"/>
      <c r="AJ115" s="6"/>
      <c r="AK115" s="6"/>
      <c r="AL115" s="7">
        <f>SUM(AE115:AK115)</f>
        <v>0</v>
      </c>
      <c r="AM115" s="11">
        <f t="shared" si="46"/>
        <v>0</v>
      </c>
      <c r="AN115" s="25"/>
      <c r="AO115" s="10" t="str">
        <f t="shared" si="47"/>
        <v>MarçoSEMANA 4Carne Bovina - Picanha A</v>
      </c>
      <c r="AP115" s="7">
        <f>SUMIF(NF!$A:$A,$AO115,NF!$I:$I)</f>
        <v>0</v>
      </c>
      <c r="AQ115" s="6"/>
      <c r="AR115" s="6"/>
      <c r="AS115" s="6"/>
      <c r="AT115" s="6"/>
      <c r="AU115" s="6"/>
      <c r="AV115" s="6"/>
      <c r="AW115" s="6"/>
      <c r="AX115" s="7">
        <f>SUM(AQ115:AW115)</f>
        <v>0</v>
      </c>
      <c r="AY115" s="11">
        <f t="shared" si="48"/>
        <v>0</v>
      </c>
      <c r="AZ115" s="25"/>
      <c r="BA115" s="10" t="str">
        <f t="shared" si="49"/>
        <v>MarçoSEMANA 5Carne Bovina - Picanha A</v>
      </c>
      <c r="BB115" s="7">
        <f>SUMIF(NF!$A:$A,$BA115,NF!$I:$I)</f>
        <v>0</v>
      </c>
      <c r="BC115" s="6"/>
      <c r="BD115" s="6"/>
      <c r="BE115" s="6"/>
      <c r="BF115" s="6"/>
      <c r="BG115" s="6"/>
      <c r="BH115" s="6"/>
      <c r="BI115" s="74"/>
      <c r="BJ115" s="74"/>
      <c r="BK115" s="7">
        <f>SUM(BC115:BJ115)</f>
        <v>0</v>
      </c>
      <c r="BL115" s="8">
        <f t="shared" si="50"/>
        <v>0</v>
      </c>
      <c r="BM115" s="51" t="str">
        <f>IFERROR(VLOOKUP(A115,NF!$M:$O,3,0),"")</f>
        <v>Carnes</v>
      </c>
      <c r="BN115" s="7">
        <f t="shared" si="51"/>
        <v>0</v>
      </c>
      <c r="BO115" s="8">
        <f t="array" ref="BO115">IFERROR(LARGE(IF(NF!$G$2:$G$3137='Mês atual'!A115,NF!$J$2:$J$3137),1),0)*BN115</f>
        <v>0</v>
      </c>
      <c r="BP115" s="50"/>
      <c r="BR115" s="146">
        <f t="array" ref="BR115">IFERROR(LARGE(IF(NF!$G$2:$G$3137='Mês atual'!A115,NF!$J$2:$J$3137),1),0)</f>
        <v>0</v>
      </c>
      <c r="BS115" s="142" t="str">
        <f>VLOOKUP(A115,NF!M:O,3,0)</f>
        <v>Carnes</v>
      </c>
      <c r="BV115" s="74">
        <f t="shared" si="36"/>
        <v>0</v>
      </c>
      <c r="BW115" s="74">
        <f t="shared" si="37"/>
        <v>0</v>
      </c>
      <c r="BX115" s="74">
        <f t="shared" si="38"/>
        <v>0</v>
      </c>
      <c r="BY115" s="74">
        <f t="shared" si="39"/>
        <v>0</v>
      </c>
      <c r="BZ115" s="74">
        <f t="shared" si="40"/>
        <v>0</v>
      </c>
    </row>
    <row r="116" spans="1:78" x14ac:dyDescent="0.2">
      <c r="A116" s="108" t="s">
        <v>233</v>
      </c>
      <c r="B116" s="12"/>
      <c r="C116" s="9">
        <v>31.82</v>
      </c>
      <c r="D116" s="25"/>
      <c r="E116" s="10" t="str">
        <f t="shared" si="41"/>
        <v>MarçoSEMANA 1Carne Bovina - Picanha Grill/Churrascaria</v>
      </c>
      <c r="F116" s="7">
        <f>SUMIF(NF!$A:$A,$E116,NF!$I:$I)</f>
        <v>19.61</v>
      </c>
      <c r="G116" s="74"/>
      <c r="H116" s="74"/>
      <c r="I116" s="74"/>
      <c r="J116" s="6">
        <f>20.44+5.04+3.19</f>
        <v>28.67</v>
      </c>
      <c r="K116" s="6"/>
      <c r="L116" s="6"/>
      <c r="M116" s="6">
        <f>19.72+1.694-3+1.488</f>
        <v>19.901999999999997</v>
      </c>
      <c r="N116" s="7">
        <f>SUM(G116:M116)</f>
        <v>48.572000000000003</v>
      </c>
      <c r="O116" s="11">
        <f t="shared" si="42"/>
        <v>2.857999999999997</v>
      </c>
      <c r="P116" s="25"/>
      <c r="Q116" s="10" t="str">
        <f t="shared" si="43"/>
        <v>MarçoSEMANA 2Carne Bovina - Picanha Grill/Churrascaria</v>
      </c>
      <c r="R116" s="7">
        <f>SUMIF(NF!$A:$A,$Q116,NF!$I:$I)</f>
        <v>38.57</v>
      </c>
      <c r="S116" s="6"/>
      <c r="T116" s="6"/>
      <c r="U116" s="6"/>
      <c r="V116" s="6"/>
      <c r="W116" s="6">
        <f>3+14.12-2.526+1.488</f>
        <v>16.081999999999997</v>
      </c>
      <c r="X116" s="6"/>
      <c r="Y116" s="6"/>
      <c r="Z116" s="7">
        <f>SUM(S116:Y116)</f>
        <v>16.081999999999997</v>
      </c>
      <c r="AA116" s="11">
        <f t="shared" si="44"/>
        <v>25.346</v>
      </c>
      <c r="AB116" s="25"/>
      <c r="AC116" s="10" t="str">
        <f t="shared" si="45"/>
        <v>MarçoSEMANA 3Carne Bovina - Picanha Grill/Churrascaria</v>
      </c>
      <c r="AD116" s="7">
        <f>SUMIF(NF!$A:$A,$AC116,NF!$I:$I)</f>
        <v>30.15</v>
      </c>
      <c r="AE116" s="6"/>
      <c r="AF116" s="6"/>
      <c r="AG116" s="6">
        <f>21.3+1.28+1.488</f>
        <v>24.068000000000001</v>
      </c>
      <c r="AH116" s="6"/>
      <c r="AI116" s="6"/>
      <c r="AJ116" s="6"/>
      <c r="AK116" s="6">
        <f>18.098+1.384+1.38+1.49</f>
        <v>22.351999999999997</v>
      </c>
      <c r="AL116" s="7">
        <f>SUM(AE116:AK116)</f>
        <v>46.42</v>
      </c>
      <c r="AM116" s="11">
        <f t="shared" si="46"/>
        <v>9.0759999999999934</v>
      </c>
      <c r="AN116" s="25"/>
      <c r="AO116" s="10" t="str">
        <f t="shared" si="47"/>
        <v>MarçoSEMANA 4Carne Bovina - Picanha Grill/Churrascaria</v>
      </c>
      <c r="AP116" s="7">
        <f>SUMIF(NF!$A:$A,$AO116,NF!$I:$I)</f>
        <v>29.506</v>
      </c>
      <c r="AQ116" s="6"/>
      <c r="AR116" s="6"/>
      <c r="AS116" s="6"/>
      <c r="AT116" s="6"/>
      <c r="AU116" s="6">
        <f>17.88+4.442+1.488</f>
        <v>23.81</v>
      </c>
      <c r="AV116" s="6"/>
      <c r="AW116" s="6"/>
      <c r="AX116" s="7">
        <f>SUM(AQ116:AW116)</f>
        <v>23.81</v>
      </c>
      <c r="AY116" s="11">
        <f t="shared" si="48"/>
        <v>14.771999999999995</v>
      </c>
      <c r="AZ116" s="25"/>
      <c r="BA116" s="10" t="str">
        <f t="shared" si="49"/>
        <v>MarçoSEMANA 5Carne Bovina - Picanha Grill/Churrascaria</v>
      </c>
      <c r="BB116" s="7">
        <f>SUMIF(NF!$A:$A,$BA116,NF!$I:$I)</f>
        <v>30.756</v>
      </c>
      <c r="BC116" s="6"/>
      <c r="BD116" s="6">
        <f>17.92+1.316+1.488</f>
        <v>20.724</v>
      </c>
      <c r="BE116" s="6"/>
      <c r="BF116" s="6"/>
      <c r="BG116" s="6"/>
      <c r="BH116" s="6"/>
      <c r="BI116" s="74"/>
      <c r="BJ116" s="74"/>
      <c r="BK116" s="7">
        <f>SUM(BC116:BJ116)</f>
        <v>20.724</v>
      </c>
      <c r="BL116" s="8">
        <f t="shared" si="50"/>
        <v>24.803999999999991</v>
      </c>
      <c r="BM116" s="51" t="str">
        <f>IFERROR(VLOOKUP(A116,NF!$M:$O,3,0),"")</f>
        <v>Carnes</v>
      </c>
      <c r="BN116" s="7">
        <f t="shared" si="51"/>
        <v>155.60799999999998</v>
      </c>
      <c r="BO116" s="8">
        <f t="array" ref="BO116">IFERROR(LARGE(IF(NF!$G$2:$G$3137='Mês atual'!A116,NF!$J$2:$J$3137),1),0)*BN116</f>
        <v>5425.630818399999</v>
      </c>
      <c r="BP116" s="50"/>
      <c r="BR116" s="146">
        <f t="array" ref="BR116">IFERROR(LARGE(IF(NF!$G$2:$G$3137='Mês atual'!A116,NF!$J$2:$J$3137),1),0)</f>
        <v>34.8673</v>
      </c>
      <c r="BS116" s="142" t="str">
        <f>VLOOKUP(A116,NF!M:O,3,0)</f>
        <v>Carnes</v>
      </c>
      <c r="BV116" s="74">
        <f t="shared" si="36"/>
        <v>48.572000000000003</v>
      </c>
      <c r="BW116" s="74">
        <f t="shared" si="37"/>
        <v>16.081999999999997</v>
      </c>
      <c r="BX116" s="74">
        <f t="shared" si="38"/>
        <v>46.42</v>
      </c>
      <c r="BY116" s="74">
        <f t="shared" si="39"/>
        <v>23.81</v>
      </c>
      <c r="BZ116" s="74">
        <f t="shared" si="40"/>
        <v>20.724</v>
      </c>
    </row>
    <row r="117" spans="1:78" x14ac:dyDescent="0.2">
      <c r="A117" s="108" t="s">
        <v>234</v>
      </c>
      <c r="B117" s="12"/>
      <c r="C117" s="9">
        <v>0</v>
      </c>
      <c r="D117" s="25"/>
      <c r="E117" s="10" t="str">
        <f t="shared" si="41"/>
        <v>MarçoSEMANA 1Carne Bovina - Rabada cortada</v>
      </c>
      <c r="F117" s="7">
        <f>SUMIF(NF!$A:$A,$E117,NF!$I:$I)</f>
        <v>0</v>
      </c>
      <c r="G117" s="74"/>
      <c r="H117" s="74"/>
      <c r="I117" s="74"/>
      <c r="J117" s="6"/>
      <c r="K117" s="6"/>
      <c r="L117" s="6"/>
      <c r="M117" s="6"/>
      <c r="N117" s="7">
        <f>SUM(G117:M117)</f>
        <v>0</v>
      </c>
      <c r="O117" s="11">
        <f t="shared" si="42"/>
        <v>0</v>
      </c>
      <c r="P117" s="25"/>
      <c r="Q117" s="10" t="str">
        <f t="shared" si="43"/>
        <v>MarçoSEMANA 2Carne Bovina - Rabada cortada</v>
      </c>
      <c r="R117" s="7">
        <f>SUMIF(NF!$A:$A,$Q117,NF!$I:$I)</f>
        <v>0</v>
      </c>
      <c r="S117" s="6"/>
      <c r="T117" s="6"/>
      <c r="U117" s="6"/>
      <c r="V117" s="6"/>
      <c r="W117" s="6"/>
      <c r="X117" s="6"/>
      <c r="Y117" s="6"/>
      <c r="Z117" s="7">
        <f>SUM(S117:Y117)</f>
        <v>0</v>
      </c>
      <c r="AA117" s="11">
        <f t="shared" si="44"/>
        <v>0</v>
      </c>
      <c r="AB117" s="25"/>
      <c r="AC117" s="10" t="str">
        <f t="shared" si="45"/>
        <v>MarçoSEMANA 3Carne Bovina - Rabada cortada</v>
      </c>
      <c r="AD117" s="7">
        <f>SUMIF(NF!$A:$A,$AC117,NF!$I:$I)</f>
        <v>0</v>
      </c>
      <c r="AE117" s="6"/>
      <c r="AF117" s="6"/>
      <c r="AG117" s="6"/>
      <c r="AH117" s="6"/>
      <c r="AI117" s="6"/>
      <c r="AJ117" s="6"/>
      <c r="AK117" s="6"/>
      <c r="AL117" s="7">
        <f>SUM(AE117:AK117)</f>
        <v>0</v>
      </c>
      <c r="AM117" s="11">
        <f t="shared" si="46"/>
        <v>0</v>
      </c>
      <c r="AN117" s="25"/>
      <c r="AO117" s="10" t="str">
        <f t="shared" si="47"/>
        <v>MarçoSEMANA 4Carne Bovina - Rabada cortada</v>
      </c>
      <c r="AP117" s="7">
        <f>SUMIF(NF!$A:$A,$AO117,NF!$I:$I)</f>
        <v>0</v>
      </c>
      <c r="AQ117" s="6"/>
      <c r="AR117" s="6"/>
      <c r="AS117" s="6"/>
      <c r="AT117" s="6"/>
      <c r="AU117" s="6" t="s">
        <v>1157</v>
      </c>
      <c r="AV117" s="6"/>
      <c r="AW117" s="6"/>
      <c r="AX117" s="7">
        <f>SUM(AQ117:AW117)</f>
        <v>0</v>
      </c>
      <c r="AY117" s="11">
        <f t="shared" si="48"/>
        <v>0</v>
      </c>
      <c r="AZ117" s="25"/>
      <c r="BA117" s="10" t="str">
        <f t="shared" si="49"/>
        <v>MarçoSEMANA 5Carne Bovina - Rabada cortada</v>
      </c>
      <c r="BB117" s="7">
        <f>SUMIF(NF!$A:$A,$BA117,NF!$I:$I)</f>
        <v>0</v>
      </c>
      <c r="BC117" s="6"/>
      <c r="BD117" s="6"/>
      <c r="BE117" s="6"/>
      <c r="BF117" s="6"/>
      <c r="BG117" s="6"/>
      <c r="BH117" s="6"/>
      <c r="BI117" s="74"/>
      <c r="BJ117" s="74"/>
      <c r="BK117" s="7">
        <f>SUM(BC117:BJ117)</f>
        <v>0</v>
      </c>
      <c r="BL117" s="8">
        <f t="shared" si="50"/>
        <v>0</v>
      </c>
      <c r="BM117" s="51" t="str">
        <f>IFERROR(VLOOKUP(A117,NF!$M:$O,3,0),"")</f>
        <v>Carnes</v>
      </c>
      <c r="BN117" s="7">
        <f t="shared" si="51"/>
        <v>0</v>
      </c>
      <c r="BO117" s="8">
        <f t="array" ref="BO117">IFERROR(LARGE(IF(NF!$G$2:$G$3137='Mês atual'!A117,NF!$J$2:$J$3137),1),0)*BN117</f>
        <v>0</v>
      </c>
      <c r="BP117" s="50"/>
      <c r="BR117" s="146">
        <f t="array" ref="BR117">IFERROR(LARGE(IF(NF!$G$2:$G$3137='Mês atual'!A117,NF!$J$2:$J$3137),1),0)</f>
        <v>0</v>
      </c>
      <c r="BS117" s="142" t="str">
        <f>VLOOKUP(A117,NF!M:O,3,0)</f>
        <v>Carnes</v>
      </c>
      <c r="BV117" s="74">
        <f t="shared" si="36"/>
        <v>0</v>
      </c>
      <c r="BW117" s="74">
        <f t="shared" si="37"/>
        <v>0</v>
      </c>
      <c r="BX117" s="74">
        <f t="shared" si="38"/>
        <v>0</v>
      </c>
      <c r="BY117" s="74">
        <f t="shared" si="39"/>
        <v>0</v>
      </c>
      <c r="BZ117" s="74">
        <f t="shared" si="40"/>
        <v>0</v>
      </c>
    </row>
    <row r="118" spans="1:78" x14ac:dyDescent="0.2">
      <c r="A118" s="108" t="s">
        <v>939</v>
      </c>
      <c r="B118" s="12"/>
      <c r="C118" s="9">
        <v>0</v>
      </c>
      <c r="D118" s="25"/>
      <c r="E118" s="10" t="str">
        <f t="shared" si="41"/>
        <v>MarçoSEMANA 1Carnes - File de Costela (Noix)</v>
      </c>
      <c r="F118" s="7">
        <f>SUMIF(NF!$A:$A,$E118,NF!$I:$I)</f>
        <v>0</v>
      </c>
      <c r="G118" s="74"/>
      <c r="H118" s="74"/>
      <c r="I118" s="74"/>
      <c r="J118" s="6"/>
      <c r="K118" s="6"/>
      <c r="L118" s="6"/>
      <c r="M118" s="6"/>
      <c r="N118" s="7">
        <f>SUM(G118:M118)</f>
        <v>0</v>
      </c>
      <c r="O118" s="11">
        <f t="shared" si="42"/>
        <v>0</v>
      </c>
      <c r="P118" s="25"/>
      <c r="Q118" s="10" t="str">
        <f t="shared" si="43"/>
        <v>MarçoSEMANA 2Carnes - File de Costela (Noix)</v>
      </c>
      <c r="R118" s="7">
        <f>SUMIF(NF!$A:$A,$Q118,NF!$I:$I)</f>
        <v>17.670000000000002</v>
      </c>
      <c r="S118" s="6"/>
      <c r="T118" s="6"/>
      <c r="U118" s="6"/>
      <c r="V118" s="6"/>
      <c r="W118" s="6"/>
      <c r="X118" s="6">
        <v>17.670000000000002</v>
      </c>
      <c r="Y118" s="6"/>
      <c r="Z118" s="7">
        <f>SUM(S118:Y118)</f>
        <v>17.670000000000002</v>
      </c>
      <c r="AA118" s="11">
        <f t="shared" si="44"/>
        <v>0</v>
      </c>
      <c r="AB118" s="25"/>
      <c r="AC118" s="10" t="str">
        <f t="shared" si="45"/>
        <v>MarçoSEMANA 3Carnes - File de Costela (Noix)</v>
      </c>
      <c r="AD118" s="7">
        <f>SUMIF(NF!$A:$A,$AC118,NF!$I:$I)</f>
        <v>0</v>
      </c>
      <c r="AE118" s="6"/>
      <c r="AF118" s="6"/>
      <c r="AG118" s="6"/>
      <c r="AH118" s="6"/>
      <c r="AI118" s="6"/>
      <c r="AJ118" s="6"/>
      <c r="AK118" s="6"/>
      <c r="AL118" s="7">
        <f>SUM(AE118:AK118)</f>
        <v>0</v>
      </c>
      <c r="AM118" s="11">
        <f t="shared" si="46"/>
        <v>0</v>
      </c>
      <c r="AN118" s="25"/>
      <c r="AO118" s="10" t="str">
        <f t="shared" si="47"/>
        <v>MarçoSEMANA 4Carnes - File de Costela (Noix)</v>
      </c>
      <c r="AP118" s="7">
        <f>SUMIF(NF!$A:$A,$AO118,NF!$I:$I)</f>
        <v>0</v>
      </c>
      <c r="AQ118" s="6"/>
      <c r="AR118" s="6"/>
      <c r="AS118" s="6"/>
      <c r="AT118" s="6"/>
      <c r="AU118" s="6"/>
      <c r="AV118" s="6"/>
      <c r="AW118" s="6"/>
      <c r="AX118" s="7">
        <f>SUM(AQ118:AW118)</f>
        <v>0</v>
      </c>
      <c r="AY118" s="11">
        <f t="shared" si="48"/>
        <v>0</v>
      </c>
      <c r="AZ118" s="25"/>
      <c r="BA118" s="10" t="str">
        <f t="shared" si="49"/>
        <v>MarçoSEMANA 5Carnes - File de Costela (Noix)</v>
      </c>
      <c r="BB118" s="7">
        <f>SUMIF(NF!$A:$A,$BA118,NF!$I:$I)</f>
        <v>38.56</v>
      </c>
      <c r="BC118" s="6"/>
      <c r="BD118" s="6"/>
      <c r="BE118" s="6"/>
      <c r="BF118" s="6"/>
      <c r="BG118" s="6"/>
      <c r="BH118" s="6">
        <v>20.14</v>
      </c>
      <c r="BI118" s="74"/>
      <c r="BJ118" s="74"/>
      <c r="BK118" s="7">
        <f>SUM(BC118:BJ118)</f>
        <v>20.14</v>
      </c>
      <c r="BL118" s="8">
        <f t="shared" si="50"/>
        <v>18.420000000000002</v>
      </c>
      <c r="BM118" s="51" t="str">
        <f>IFERROR(VLOOKUP(A118,NF!$M:$O,3,0),"")</f>
        <v>Carnes</v>
      </c>
      <c r="BN118" s="7">
        <f t="shared" si="51"/>
        <v>37.81</v>
      </c>
      <c r="BO118" s="8">
        <f t="array" ref="BO118">IFERROR(LARGE(IF(NF!$G$2:$G$3137='Mês atual'!A118,NF!$J$2:$J$3137),1),0)*BN118</f>
        <v>899.87800000000004</v>
      </c>
      <c r="BP118" s="50"/>
      <c r="BR118" s="146">
        <f t="array" ref="BR118">IFERROR(LARGE(IF(NF!$G$2:$G$3137='Mês atual'!A118,NF!$J$2:$J$3137),1),0)</f>
        <v>23.8</v>
      </c>
      <c r="BS118" s="142" t="str">
        <f>VLOOKUP(A118,NF!M:O,3,0)</f>
        <v>Carnes</v>
      </c>
      <c r="BV118" s="74">
        <f t="shared" si="36"/>
        <v>0</v>
      </c>
      <c r="BW118" s="74">
        <f t="shared" si="37"/>
        <v>17.670000000000002</v>
      </c>
      <c r="BX118" s="74">
        <f t="shared" si="38"/>
        <v>0</v>
      </c>
      <c r="BY118" s="74">
        <f t="shared" si="39"/>
        <v>0</v>
      </c>
      <c r="BZ118" s="74">
        <f t="shared" si="40"/>
        <v>20.14</v>
      </c>
    </row>
    <row r="119" spans="1:78" x14ac:dyDescent="0.2">
      <c r="A119" s="108" t="s">
        <v>302</v>
      </c>
      <c r="B119" s="12"/>
      <c r="C119" s="9">
        <v>0</v>
      </c>
      <c r="D119" s="25"/>
      <c r="E119" s="10" t="str">
        <f t="shared" si="41"/>
        <v>MarçoSEMANA 1Cordeiro - Paleta s/ Osso</v>
      </c>
      <c r="F119" s="7">
        <f>SUMIF(NF!$A:$A,$E119,NF!$I:$I)</f>
        <v>0</v>
      </c>
      <c r="G119" s="74"/>
      <c r="H119" s="74"/>
      <c r="I119" s="74"/>
      <c r="J119" s="6"/>
      <c r="K119" s="6"/>
      <c r="L119" s="6"/>
      <c r="M119" s="6"/>
      <c r="N119" s="7">
        <f t="shared" ref="N119:N146" si="67">SUM(G119:M119)</f>
        <v>0</v>
      </c>
      <c r="O119" s="11">
        <f t="shared" si="42"/>
        <v>0</v>
      </c>
      <c r="P119" s="25"/>
      <c r="Q119" s="10" t="str">
        <f t="shared" si="43"/>
        <v>MarçoSEMANA 2Cordeiro - Paleta s/ Osso</v>
      </c>
      <c r="R119" s="7">
        <f>SUMIF(NF!$A:$A,$Q119,NF!$I:$I)</f>
        <v>0</v>
      </c>
      <c r="S119" s="6"/>
      <c r="T119" s="6"/>
      <c r="U119" s="6"/>
      <c r="V119" s="6"/>
      <c r="W119" s="6"/>
      <c r="X119" s="6"/>
      <c r="Y119" s="6"/>
      <c r="Z119" s="7">
        <f t="shared" ref="Z119:Z146" si="68">SUM(S119:Y119)</f>
        <v>0</v>
      </c>
      <c r="AA119" s="11">
        <f t="shared" si="44"/>
        <v>0</v>
      </c>
      <c r="AB119" s="25"/>
      <c r="AC119" s="10" t="str">
        <f t="shared" si="45"/>
        <v>MarçoSEMANA 3Cordeiro - Paleta s/ Osso</v>
      </c>
      <c r="AD119" s="7">
        <f>SUMIF(NF!$A:$A,$AC119,NF!$I:$I)</f>
        <v>0</v>
      </c>
      <c r="AE119" s="6"/>
      <c r="AF119" s="6"/>
      <c r="AG119" s="6"/>
      <c r="AH119" s="6"/>
      <c r="AI119" s="6"/>
      <c r="AJ119" s="6"/>
      <c r="AK119" s="6"/>
      <c r="AL119" s="7">
        <f t="shared" ref="AL119:AL146" si="69">SUM(AE119:AK119)</f>
        <v>0</v>
      </c>
      <c r="AM119" s="11">
        <f t="shared" si="46"/>
        <v>0</v>
      </c>
      <c r="AN119" s="25"/>
      <c r="AO119" s="10" t="str">
        <f t="shared" si="47"/>
        <v>MarçoSEMANA 4Cordeiro - Paleta s/ Osso</v>
      </c>
      <c r="AP119" s="7">
        <f>SUMIF(NF!$A:$A,$AO119,NF!$I:$I)</f>
        <v>0</v>
      </c>
      <c r="AQ119" s="6"/>
      <c r="AR119" s="6"/>
      <c r="AS119" s="6"/>
      <c r="AT119" s="6"/>
      <c r="AU119" s="6"/>
      <c r="AV119" s="6"/>
      <c r="AW119" s="6"/>
      <c r="AX119" s="7">
        <f t="shared" ref="AX119:AX146" si="70">SUM(AQ119:AW119)</f>
        <v>0</v>
      </c>
      <c r="AY119" s="11">
        <f t="shared" si="48"/>
        <v>0</v>
      </c>
      <c r="AZ119" s="25"/>
      <c r="BA119" s="10" t="str">
        <f t="shared" si="49"/>
        <v>MarçoSEMANA 5Cordeiro - Paleta s/ Osso</v>
      </c>
      <c r="BB119" s="7">
        <f>SUMIF(NF!$A:$A,$BA119,NF!$I:$I)</f>
        <v>0</v>
      </c>
      <c r="BC119" s="6"/>
      <c r="BD119" s="6"/>
      <c r="BE119" s="6"/>
      <c r="BF119" s="6"/>
      <c r="BG119" s="6"/>
      <c r="BH119" s="6"/>
      <c r="BI119" s="74"/>
      <c r="BJ119" s="74"/>
      <c r="BK119" s="7">
        <f t="shared" ref="BK119:BK146" si="71">SUM(BC119:BJ119)</f>
        <v>0</v>
      </c>
      <c r="BL119" s="8">
        <f t="shared" si="50"/>
        <v>0</v>
      </c>
      <c r="BM119" s="51" t="str">
        <f>IFERROR(VLOOKUP(A119,NF!$M:$O,3,0),"")</f>
        <v>Carnes</v>
      </c>
      <c r="BN119" s="7">
        <f t="shared" si="51"/>
        <v>0</v>
      </c>
      <c r="BO119" s="8">
        <f t="array" ref="BO119">IFERROR(LARGE(IF(NF!$G$2:$G$3137='Mês atual'!A119,NF!$J$2:$J$3137),1),0)*BN119</f>
        <v>0</v>
      </c>
      <c r="BP119" s="50"/>
      <c r="BR119" s="146">
        <f t="array" ref="BR119">IFERROR(LARGE(IF(NF!$G$2:$G$3137='Mês atual'!A119,NF!$J$2:$J$3137),1),0)</f>
        <v>0</v>
      </c>
      <c r="BS119" s="142" t="str">
        <f>VLOOKUP(A119,NF!M:O,3,0)</f>
        <v>Carnes</v>
      </c>
      <c r="BV119" s="74">
        <f t="shared" si="36"/>
        <v>0</v>
      </c>
      <c r="BW119" s="74">
        <f t="shared" si="37"/>
        <v>0</v>
      </c>
      <c r="BX119" s="74">
        <f t="shared" si="38"/>
        <v>0</v>
      </c>
      <c r="BY119" s="74">
        <f t="shared" si="39"/>
        <v>0</v>
      </c>
      <c r="BZ119" s="74">
        <f t="shared" si="40"/>
        <v>0</v>
      </c>
    </row>
    <row r="120" spans="1:78" x14ac:dyDescent="0.2">
      <c r="A120" s="108" t="s">
        <v>303</v>
      </c>
      <c r="B120" s="12"/>
      <c r="C120" s="9">
        <v>0</v>
      </c>
      <c r="D120" s="25"/>
      <c r="E120" s="10" t="str">
        <f t="shared" si="41"/>
        <v>MarçoSEMANA 1Cordeiro - Pernil s/ Osso</v>
      </c>
      <c r="F120" s="7">
        <f>SUMIF(NF!$A:$A,$E120,NF!$I:$I)</f>
        <v>0</v>
      </c>
      <c r="G120" s="74"/>
      <c r="H120" s="74"/>
      <c r="I120" s="74"/>
      <c r="J120" s="6"/>
      <c r="K120" s="6"/>
      <c r="L120" s="6"/>
      <c r="M120" s="6"/>
      <c r="N120" s="7">
        <f t="shared" si="67"/>
        <v>0</v>
      </c>
      <c r="O120" s="11">
        <f t="shared" si="42"/>
        <v>0</v>
      </c>
      <c r="P120" s="25"/>
      <c r="Q120" s="10" t="str">
        <f t="shared" si="43"/>
        <v>MarçoSEMANA 2Cordeiro - Pernil s/ Osso</v>
      </c>
      <c r="R120" s="7">
        <f>SUMIF(NF!$A:$A,$Q120,NF!$I:$I)</f>
        <v>0</v>
      </c>
      <c r="S120" s="6"/>
      <c r="T120" s="6"/>
      <c r="U120" s="6"/>
      <c r="V120" s="6"/>
      <c r="W120" s="6"/>
      <c r="X120" s="6"/>
      <c r="Y120" s="6"/>
      <c r="Z120" s="7">
        <f t="shared" si="68"/>
        <v>0</v>
      </c>
      <c r="AA120" s="11">
        <f t="shared" si="44"/>
        <v>0</v>
      </c>
      <c r="AB120" s="25"/>
      <c r="AC120" s="10" t="str">
        <f t="shared" si="45"/>
        <v>MarçoSEMANA 3Cordeiro - Pernil s/ Osso</v>
      </c>
      <c r="AD120" s="7">
        <f>SUMIF(NF!$A:$A,$AC120,NF!$I:$I)</f>
        <v>0</v>
      </c>
      <c r="AE120" s="6"/>
      <c r="AF120" s="6"/>
      <c r="AG120" s="6"/>
      <c r="AH120" s="6"/>
      <c r="AI120" s="6"/>
      <c r="AJ120" s="6"/>
      <c r="AK120" s="6"/>
      <c r="AL120" s="7">
        <f t="shared" si="69"/>
        <v>0</v>
      </c>
      <c r="AM120" s="11">
        <f t="shared" si="46"/>
        <v>0</v>
      </c>
      <c r="AN120" s="25"/>
      <c r="AO120" s="10" t="str">
        <f t="shared" si="47"/>
        <v>MarçoSEMANA 4Cordeiro - Pernil s/ Osso</v>
      </c>
      <c r="AP120" s="7">
        <f>SUMIF(NF!$A:$A,$AO120,NF!$I:$I)</f>
        <v>0</v>
      </c>
      <c r="AQ120" s="6"/>
      <c r="AR120" s="6"/>
      <c r="AS120" s="6"/>
      <c r="AT120" s="6"/>
      <c r="AU120" s="6"/>
      <c r="AV120" s="6"/>
      <c r="AW120" s="6"/>
      <c r="AX120" s="7">
        <f t="shared" si="70"/>
        <v>0</v>
      </c>
      <c r="AY120" s="11">
        <f t="shared" si="48"/>
        <v>0</v>
      </c>
      <c r="AZ120" s="25"/>
      <c r="BA120" s="10" t="str">
        <f t="shared" si="49"/>
        <v>MarçoSEMANA 5Cordeiro - Pernil s/ Osso</v>
      </c>
      <c r="BB120" s="7">
        <f>SUMIF(NF!$A:$A,$BA120,NF!$I:$I)</f>
        <v>0</v>
      </c>
      <c r="BC120" s="6"/>
      <c r="BD120" s="6"/>
      <c r="BE120" s="6"/>
      <c r="BF120" s="6"/>
      <c r="BG120" s="6"/>
      <c r="BH120" s="6"/>
      <c r="BI120" s="74"/>
      <c r="BJ120" s="74"/>
      <c r="BK120" s="7">
        <f t="shared" si="71"/>
        <v>0</v>
      </c>
      <c r="BL120" s="8">
        <f t="shared" si="50"/>
        <v>0</v>
      </c>
      <c r="BM120" s="51" t="str">
        <f>IFERROR(VLOOKUP(A120,NF!$M:$O,3,0),"")</f>
        <v>Carnes</v>
      </c>
      <c r="BN120" s="7">
        <f t="shared" si="51"/>
        <v>0</v>
      </c>
      <c r="BO120" s="8">
        <f t="array" ref="BO120">IFERROR(LARGE(IF(NF!$G$2:$G$3137='Mês atual'!A120,NF!$J$2:$J$3137),1),0)*BN120</f>
        <v>0</v>
      </c>
      <c r="BP120" s="50"/>
      <c r="BR120" s="146">
        <f t="array" ref="BR120">IFERROR(LARGE(IF(NF!$G$2:$G$3137='Mês atual'!A120,NF!$J$2:$J$3137),1),0)</f>
        <v>0</v>
      </c>
      <c r="BS120" s="142" t="str">
        <f>VLOOKUP(A120,NF!M:O,3,0)</f>
        <v>Carnes</v>
      </c>
      <c r="BV120" s="74">
        <f t="shared" si="36"/>
        <v>0</v>
      </c>
      <c r="BW120" s="74">
        <f t="shared" si="37"/>
        <v>0</v>
      </c>
      <c r="BX120" s="74">
        <f t="shared" si="38"/>
        <v>0</v>
      </c>
      <c r="BY120" s="74">
        <f t="shared" si="39"/>
        <v>0</v>
      </c>
      <c r="BZ120" s="74">
        <f t="shared" si="40"/>
        <v>0</v>
      </c>
    </row>
    <row r="121" spans="1:78" x14ac:dyDescent="0.25">
      <c r="A121" s="108" t="s">
        <v>583</v>
      </c>
      <c r="B121" s="12"/>
      <c r="C121" s="9">
        <v>0</v>
      </c>
      <c r="D121" s="25"/>
      <c r="E121" s="10" t="str">
        <f t="shared" si="41"/>
        <v>MarçoSEMANA 1Pescados  - Filé de Badejo</v>
      </c>
      <c r="F121" s="7">
        <f>SUMIF(NF!$A:$A,$E121,NF!$I:$I)</f>
        <v>0</v>
      </c>
      <c r="G121" s="74"/>
      <c r="H121" s="74"/>
      <c r="I121" s="74"/>
      <c r="J121" s="6"/>
      <c r="K121" s="6"/>
      <c r="L121" s="6"/>
      <c r="M121" s="6"/>
      <c r="N121" s="7">
        <f t="shared" si="67"/>
        <v>0</v>
      </c>
      <c r="O121" s="11">
        <f t="shared" si="42"/>
        <v>0</v>
      </c>
      <c r="P121" s="25"/>
      <c r="Q121" s="10" t="str">
        <f t="shared" si="43"/>
        <v>MarçoSEMANA 2Pescados  - Filé de Badejo</v>
      </c>
      <c r="R121" s="7">
        <f>SUMIF(NF!$A:$A,$Q121,NF!$I:$I)</f>
        <v>0</v>
      </c>
      <c r="S121" s="6"/>
      <c r="T121" s="6"/>
      <c r="U121" s="6"/>
      <c r="V121" s="6"/>
      <c r="W121" s="6"/>
      <c r="X121" s="6"/>
      <c r="Y121" s="6"/>
      <c r="Z121" s="7">
        <f t="shared" si="68"/>
        <v>0</v>
      </c>
      <c r="AA121" s="11">
        <f t="shared" si="44"/>
        <v>0</v>
      </c>
      <c r="AB121" s="25"/>
      <c r="AC121" s="10" t="str">
        <f t="shared" si="45"/>
        <v>MarçoSEMANA 3Pescados  - Filé de Badejo</v>
      </c>
      <c r="AD121" s="7">
        <f>SUMIF(NF!$A:$A,$AC121,NF!$I:$I)</f>
        <v>0</v>
      </c>
      <c r="AE121" s="6"/>
      <c r="AF121" s="6"/>
      <c r="AG121" s="6"/>
      <c r="AH121" s="6"/>
      <c r="AI121" s="6"/>
      <c r="AJ121" s="6"/>
      <c r="AK121" s="6"/>
      <c r="AL121" s="7">
        <f t="shared" si="69"/>
        <v>0</v>
      </c>
      <c r="AM121" s="11">
        <f t="shared" si="46"/>
        <v>0</v>
      </c>
      <c r="AN121" s="25"/>
      <c r="AO121" s="10" t="str">
        <f t="shared" si="47"/>
        <v>MarçoSEMANA 4Pescados  - Filé de Badejo</v>
      </c>
      <c r="AP121" s="7">
        <f>SUMIF(NF!$A:$A,$AO121,NF!$I:$I)</f>
        <v>0</v>
      </c>
      <c r="AQ121" s="6"/>
      <c r="AR121" s="6"/>
      <c r="AS121" s="6"/>
      <c r="AT121" s="6"/>
      <c r="AU121" s="6"/>
      <c r="AV121" s="6"/>
      <c r="AW121" s="6"/>
      <c r="AX121" s="7">
        <f t="shared" si="70"/>
        <v>0</v>
      </c>
      <c r="AY121" s="11">
        <f t="shared" si="48"/>
        <v>0</v>
      </c>
      <c r="AZ121" s="25"/>
      <c r="BA121" s="10" t="str">
        <f t="shared" si="49"/>
        <v>MarçoSEMANA 5Pescados  - Filé de Badejo</v>
      </c>
      <c r="BB121" s="7">
        <f>SUMIF(NF!$A:$A,$BA121,NF!$I:$I)</f>
        <v>0</v>
      </c>
      <c r="BC121" s="6"/>
      <c r="BD121" s="6"/>
      <c r="BE121" s="6"/>
      <c r="BF121" s="6"/>
      <c r="BG121" s="6"/>
      <c r="BH121" s="6"/>
      <c r="BI121" s="74"/>
      <c r="BJ121" s="74"/>
      <c r="BK121" s="7">
        <f t="shared" si="71"/>
        <v>0</v>
      </c>
      <c r="BL121" s="8">
        <f t="shared" si="50"/>
        <v>0</v>
      </c>
      <c r="BM121" s="51" t="str">
        <f>IFERROR(VLOOKUP(A121,NF!$M:$O,3,0),"")</f>
        <v>Carnes</v>
      </c>
      <c r="BN121" s="7">
        <f t="shared" si="51"/>
        <v>0</v>
      </c>
      <c r="BO121" s="8">
        <f t="array" ref="BO121">IFERROR(LARGE(IF(NF!$G$2:$G$3137='Mês atual'!A121,NF!$J$2:$J$3137),1),0)*BN121</f>
        <v>0</v>
      </c>
      <c r="BP121" s="50"/>
      <c r="BR121" s="146">
        <f t="array" ref="BR121">IFERROR(LARGE(IF(NF!$G$2:$G$3137='Mês atual'!A121,NF!$J$2:$J$3137),1),0)</f>
        <v>0</v>
      </c>
      <c r="BS121" s="142" t="str">
        <f>VLOOKUP(A121,NF!M:O,3,0)</f>
        <v>Carnes</v>
      </c>
      <c r="BV121" s="74">
        <f t="shared" si="36"/>
        <v>0</v>
      </c>
      <c r="BW121" s="74">
        <f t="shared" si="37"/>
        <v>0</v>
      </c>
      <c r="BX121" s="74">
        <f t="shared" si="38"/>
        <v>0</v>
      </c>
      <c r="BY121" s="74">
        <f t="shared" si="39"/>
        <v>0</v>
      </c>
      <c r="BZ121" s="74">
        <f t="shared" si="40"/>
        <v>0</v>
      </c>
    </row>
    <row r="122" spans="1:78" x14ac:dyDescent="0.2">
      <c r="A122" s="108" t="s">
        <v>584</v>
      </c>
      <c r="B122" s="12"/>
      <c r="C122" s="9">
        <v>0</v>
      </c>
      <c r="D122" s="25"/>
      <c r="E122" s="10" t="str">
        <f t="shared" si="41"/>
        <v>MarçoSEMANA 1Pescados - Anchova</v>
      </c>
      <c r="F122" s="7">
        <f>SUMIF(NF!$A:$A,$E122,NF!$I:$I)</f>
        <v>0</v>
      </c>
      <c r="G122" s="74"/>
      <c r="H122" s="74"/>
      <c r="I122" s="74"/>
      <c r="J122" s="6"/>
      <c r="K122" s="6"/>
      <c r="L122" s="6"/>
      <c r="M122" s="6"/>
      <c r="N122" s="7">
        <f t="shared" si="67"/>
        <v>0</v>
      </c>
      <c r="O122" s="11">
        <f t="shared" si="42"/>
        <v>0</v>
      </c>
      <c r="P122" s="25"/>
      <c r="Q122" s="10" t="str">
        <f t="shared" si="43"/>
        <v>MarçoSEMANA 2Pescados - Anchova</v>
      </c>
      <c r="R122" s="7">
        <f>SUMIF(NF!$A:$A,$Q122,NF!$I:$I)</f>
        <v>0</v>
      </c>
      <c r="S122" s="6"/>
      <c r="T122" s="6"/>
      <c r="U122" s="6"/>
      <c r="V122" s="6"/>
      <c r="W122" s="6"/>
      <c r="X122" s="6"/>
      <c r="Y122" s="6"/>
      <c r="Z122" s="7">
        <f t="shared" si="68"/>
        <v>0</v>
      </c>
      <c r="AA122" s="11">
        <f t="shared" si="44"/>
        <v>0</v>
      </c>
      <c r="AB122" s="25"/>
      <c r="AC122" s="10" t="str">
        <f t="shared" si="45"/>
        <v>MarçoSEMANA 3Pescados - Anchova</v>
      </c>
      <c r="AD122" s="7">
        <f>SUMIF(NF!$A:$A,$AC122,NF!$I:$I)</f>
        <v>0</v>
      </c>
      <c r="AE122" s="6"/>
      <c r="AF122" s="6"/>
      <c r="AG122" s="6"/>
      <c r="AH122" s="6"/>
      <c r="AI122" s="6"/>
      <c r="AJ122" s="6"/>
      <c r="AK122" s="6"/>
      <c r="AL122" s="7">
        <f t="shared" si="69"/>
        <v>0</v>
      </c>
      <c r="AM122" s="11">
        <f t="shared" si="46"/>
        <v>0</v>
      </c>
      <c r="AN122" s="25"/>
      <c r="AO122" s="10" t="str">
        <f t="shared" si="47"/>
        <v>MarçoSEMANA 4Pescados - Anchova</v>
      </c>
      <c r="AP122" s="7">
        <f>SUMIF(NF!$A:$A,$AO122,NF!$I:$I)</f>
        <v>0</v>
      </c>
      <c r="AQ122" s="6"/>
      <c r="AR122" s="6"/>
      <c r="AS122" s="6"/>
      <c r="AT122" s="6"/>
      <c r="AU122" s="6"/>
      <c r="AV122" s="6"/>
      <c r="AW122" s="6"/>
      <c r="AX122" s="7">
        <f t="shared" si="70"/>
        <v>0</v>
      </c>
      <c r="AY122" s="11">
        <f t="shared" si="48"/>
        <v>0</v>
      </c>
      <c r="AZ122" s="25"/>
      <c r="BA122" s="10" t="str">
        <f t="shared" si="49"/>
        <v>MarçoSEMANA 5Pescados - Anchova</v>
      </c>
      <c r="BB122" s="7">
        <f>SUMIF(NF!$A:$A,$BA122,NF!$I:$I)</f>
        <v>0</v>
      </c>
      <c r="BC122" s="6"/>
      <c r="BD122" s="6"/>
      <c r="BE122" s="6"/>
      <c r="BF122" s="6"/>
      <c r="BG122" s="6"/>
      <c r="BH122" s="6"/>
      <c r="BI122" s="74"/>
      <c r="BJ122" s="74"/>
      <c r="BK122" s="7">
        <f t="shared" si="71"/>
        <v>0</v>
      </c>
      <c r="BL122" s="8">
        <f t="shared" si="50"/>
        <v>0</v>
      </c>
      <c r="BM122" s="51" t="str">
        <f>IFERROR(VLOOKUP(A122,NF!$M:$O,3,0),"")</f>
        <v>Carnes</v>
      </c>
      <c r="BN122" s="7">
        <f t="shared" si="51"/>
        <v>0</v>
      </c>
      <c r="BO122" s="8">
        <f t="array" ref="BO122">IFERROR(LARGE(IF(NF!$G$2:$G$3137='Mês atual'!A122,NF!$J$2:$J$3137),1),0)*BN122</f>
        <v>0</v>
      </c>
      <c r="BP122" s="50"/>
      <c r="BR122" s="146">
        <f t="array" ref="BR122">IFERROR(LARGE(IF(NF!$G$2:$G$3137='Mês atual'!A122,NF!$J$2:$J$3137),1),0)</f>
        <v>0</v>
      </c>
      <c r="BS122" s="142" t="str">
        <f>VLOOKUP(A122,NF!M:O,3,0)</f>
        <v>Carnes</v>
      </c>
      <c r="BV122" s="74">
        <f t="shared" si="36"/>
        <v>0</v>
      </c>
      <c r="BW122" s="74">
        <f t="shared" si="37"/>
        <v>0</v>
      </c>
      <c r="BX122" s="74">
        <f t="shared" si="38"/>
        <v>0</v>
      </c>
      <c r="BY122" s="74">
        <f t="shared" si="39"/>
        <v>0</v>
      </c>
      <c r="BZ122" s="74">
        <f t="shared" si="40"/>
        <v>0</v>
      </c>
    </row>
    <row r="123" spans="1:78" x14ac:dyDescent="0.2">
      <c r="A123" s="108" t="s">
        <v>585</v>
      </c>
      <c r="B123" s="12"/>
      <c r="C123" s="9">
        <v>0</v>
      </c>
      <c r="D123" s="25"/>
      <c r="E123" s="10" t="str">
        <f t="shared" si="41"/>
        <v>MarçoSEMANA 1Pescados - Atum Fresco</v>
      </c>
      <c r="F123" s="7">
        <f>SUMIF(NF!$A:$A,$E123,NF!$I:$I)</f>
        <v>0</v>
      </c>
      <c r="G123" s="74"/>
      <c r="H123" s="74"/>
      <c r="I123" s="74"/>
      <c r="J123" s="6"/>
      <c r="K123" s="6"/>
      <c r="L123" s="6"/>
      <c r="M123" s="6"/>
      <c r="N123" s="7">
        <f t="shared" si="67"/>
        <v>0</v>
      </c>
      <c r="O123" s="11">
        <f t="shared" si="42"/>
        <v>0</v>
      </c>
      <c r="P123" s="25"/>
      <c r="Q123" s="10" t="str">
        <f t="shared" si="43"/>
        <v>MarçoSEMANA 2Pescados - Atum Fresco</v>
      </c>
      <c r="R123" s="7">
        <f>SUMIF(NF!$A:$A,$Q123,NF!$I:$I)</f>
        <v>39.880000000000003</v>
      </c>
      <c r="S123" s="6"/>
      <c r="T123" s="6"/>
      <c r="U123" s="6"/>
      <c r="V123" s="6">
        <f>39.88-4.64-4.1</f>
        <v>31.14</v>
      </c>
      <c r="W123" s="6"/>
      <c r="X123" s="6">
        <v>4.6399999999999997</v>
      </c>
      <c r="Y123" s="6"/>
      <c r="Z123" s="7">
        <f t="shared" si="68"/>
        <v>35.78</v>
      </c>
      <c r="AA123" s="11">
        <f t="shared" si="44"/>
        <v>4.1000000000000014</v>
      </c>
      <c r="AB123" s="25"/>
      <c r="AC123" s="10" t="str">
        <f t="shared" si="45"/>
        <v>MarçoSEMANA 3Pescados - Atum Fresco</v>
      </c>
      <c r="AD123" s="7">
        <f>SUMIF(NF!$A:$A,$AC123,NF!$I:$I)</f>
        <v>44</v>
      </c>
      <c r="AE123" s="6"/>
      <c r="AF123" s="6">
        <v>4.0999999999999996</v>
      </c>
      <c r="AG123" s="6"/>
      <c r="AH123" s="6"/>
      <c r="AI123" s="6"/>
      <c r="AJ123" s="6">
        <v>44</v>
      </c>
      <c r="AK123" s="6"/>
      <c r="AL123" s="7">
        <f t="shared" si="69"/>
        <v>48.1</v>
      </c>
      <c r="AM123" s="11">
        <f t="shared" si="46"/>
        <v>0</v>
      </c>
      <c r="AN123" s="25"/>
      <c r="AO123" s="10" t="str">
        <f t="shared" si="47"/>
        <v>MarçoSEMANA 4Pescados - Atum Fresco</v>
      </c>
      <c r="AP123" s="7">
        <f>SUMIF(NF!$A:$A,$AO123,NF!$I:$I)</f>
        <v>37</v>
      </c>
      <c r="AQ123" s="6"/>
      <c r="AR123" s="6"/>
      <c r="AS123" s="6"/>
      <c r="AT123" s="6"/>
      <c r="AU123" s="6"/>
      <c r="AV123" s="6">
        <f>37-5.5</f>
        <v>31.5</v>
      </c>
      <c r="AW123" s="6"/>
      <c r="AX123" s="7">
        <f t="shared" si="70"/>
        <v>31.5</v>
      </c>
      <c r="AY123" s="11">
        <f t="shared" si="48"/>
        <v>5.5</v>
      </c>
      <c r="AZ123" s="25"/>
      <c r="BA123" s="10" t="str">
        <f t="shared" si="49"/>
        <v>MarçoSEMANA 5Pescados - Atum Fresco</v>
      </c>
      <c r="BB123" s="7">
        <f>SUMIF(NF!$A:$A,$BA123,NF!$I:$I)</f>
        <v>58</v>
      </c>
      <c r="BC123" s="6"/>
      <c r="BD123" s="6">
        <v>5.5</v>
      </c>
      <c r="BE123" s="6">
        <f>58-7.61</f>
        <v>50.39</v>
      </c>
      <c r="BF123" s="6"/>
      <c r="BG123" s="6">
        <v>7.61</v>
      </c>
      <c r="BH123" s="6"/>
      <c r="BI123" s="74"/>
      <c r="BJ123" s="74"/>
      <c r="BK123" s="7">
        <f t="shared" si="71"/>
        <v>63.5</v>
      </c>
      <c r="BL123" s="8">
        <f t="shared" si="50"/>
        <v>0</v>
      </c>
      <c r="BM123" s="51" t="str">
        <f>IFERROR(VLOOKUP(A123,NF!$M:$O,3,0),"")</f>
        <v>Carnes</v>
      </c>
      <c r="BN123" s="7">
        <f t="shared" si="51"/>
        <v>178.88</v>
      </c>
      <c r="BO123" s="8">
        <f t="array" ref="BO123">IFERROR(LARGE(IF(NF!$G$2:$G$3137='Mês atual'!A123,NF!$J$2:$J$3137),1),0)*BN123</f>
        <v>2683.2</v>
      </c>
      <c r="BP123" s="50"/>
      <c r="BR123" s="146">
        <f t="array" ref="BR123">IFERROR(LARGE(IF(NF!$G$2:$G$3137='Mês atual'!A123,NF!$J$2:$J$3137),1),0)</f>
        <v>15</v>
      </c>
      <c r="BS123" s="142" t="str">
        <f>VLOOKUP(A123,NF!M:O,3,0)</f>
        <v>Carnes</v>
      </c>
      <c r="BV123" s="74">
        <f t="shared" si="36"/>
        <v>0</v>
      </c>
      <c r="BW123" s="74">
        <f t="shared" si="37"/>
        <v>35.78</v>
      </c>
      <c r="BX123" s="74">
        <f t="shared" si="38"/>
        <v>48.1</v>
      </c>
      <c r="BY123" s="74">
        <f t="shared" si="39"/>
        <v>31.5</v>
      </c>
      <c r="BZ123" s="74">
        <f t="shared" si="40"/>
        <v>63.5</v>
      </c>
    </row>
    <row r="124" spans="1:78" x14ac:dyDescent="0.2">
      <c r="A124" s="108" t="s">
        <v>587</v>
      </c>
      <c r="B124" s="12"/>
      <c r="C124" s="9">
        <v>0</v>
      </c>
      <c r="D124" s="25"/>
      <c r="E124" s="10" t="str">
        <f t="shared" si="41"/>
        <v>MarçoSEMANA 1Pescados - Bacalhau Dessalgado</v>
      </c>
      <c r="F124" s="7">
        <f>SUMIF(NF!$A:$A,$E124,NF!$I:$I)</f>
        <v>0</v>
      </c>
      <c r="G124" s="74"/>
      <c r="H124" s="74"/>
      <c r="I124" s="74"/>
      <c r="J124" s="6"/>
      <c r="K124" s="6"/>
      <c r="L124" s="6"/>
      <c r="M124" s="6"/>
      <c r="N124" s="7">
        <f t="shared" si="67"/>
        <v>0</v>
      </c>
      <c r="O124" s="11">
        <f t="shared" si="42"/>
        <v>0</v>
      </c>
      <c r="P124" s="25"/>
      <c r="Q124" s="10" t="str">
        <f t="shared" si="43"/>
        <v>MarçoSEMANA 2Pescados - Bacalhau Dessalgado</v>
      </c>
      <c r="R124" s="7">
        <f>SUMIF(NF!$A:$A,$Q124,NF!$I:$I)</f>
        <v>0</v>
      </c>
      <c r="S124" s="6"/>
      <c r="T124" s="6"/>
      <c r="U124" s="6"/>
      <c r="V124" s="6"/>
      <c r="W124" s="6"/>
      <c r="X124" s="6"/>
      <c r="Y124" s="6"/>
      <c r="Z124" s="7">
        <f t="shared" si="68"/>
        <v>0</v>
      </c>
      <c r="AA124" s="11">
        <f t="shared" si="44"/>
        <v>0</v>
      </c>
      <c r="AB124" s="25"/>
      <c r="AC124" s="10" t="str">
        <f t="shared" si="45"/>
        <v>MarçoSEMANA 3Pescados - Bacalhau Dessalgado</v>
      </c>
      <c r="AD124" s="7">
        <f>SUMIF(NF!$A:$A,$AC124,NF!$I:$I)</f>
        <v>0</v>
      </c>
      <c r="AE124" s="6"/>
      <c r="AF124" s="6"/>
      <c r="AG124" s="6"/>
      <c r="AH124" s="6"/>
      <c r="AI124" s="6"/>
      <c r="AJ124" s="6"/>
      <c r="AK124" s="6"/>
      <c r="AL124" s="7">
        <f t="shared" si="69"/>
        <v>0</v>
      </c>
      <c r="AM124" s="11">
        <f t="shared" si="46"/>
        <v>0</v>
      </c>
      <c r="AN124" s="25"/>
      <c r="AO124" s="10" t="str">
        <f t="shared" si="47"/>
        <v>MarçoSEMANA 4Pescados - Bacalhau Dessalgado</v>
      </c>
      <c r="AP124" s="7">
        <f>SUMIF(NF!$A:$A,$AO124,NF!$I:$I)</f>
        <v>0</v>
      </c>
      <c r="AQ124" s="6"/>
      <c r="AR124" s="6"/>
      <c r="AS124" s="6"/>
      <c r="AT124" s="6"/>
      <c r="AU124" s="6"/>
      <c r="AV124" s="6"/>
      <c r="AW124" s="6"/>
      <c r="AX124" s="7">
        <f t="shared" si="70"/>
        <v>0</v>
      </c>
      <c r="AY124" s="11">
        <f t="shared" si="48"/>
        <v>0</v>
      </c>
      <c r="AZ124" s="25"/>
      <c r="BA124" s="10" t="str">
        <f t="shared" si="49"/>
        <v>MarçoSEMANA 5Pescados - Bacalhau Dessalgado</v>
      </c>
      <c r="BB124" s="7">
        <f>SUMIF(NF!$A:$A,$BA124,NF!$I:$I)</f>
        <v>0</v>
      </c>
      <c r="BC124" s="6"/>
      <c r="BD124" s="6"/>
      <c r="BE124" s="6"/>
      <c r="BF124" s="6"/>
      <c r="BG124" s="6"/>
      <c r="BH124" s="6"/>
      <c r="BI124" s="74"/>
      <c r="BJ124" s="74"/>
      <c r="BK124" s="7">
        <f t="shared" si="71"/>
        <v>0</v>
      </c>
      <c r="BL124" s="8">
        <f t="shared" si="50"/>
        <v>0</v>
      </c>
      <c r="BM124" s="51" t="str">
        <f>IFERROR(VLOOKUP(A124,NF!$M:$O,3,0),"")</f>
        <v>Carnes</v>
      </c>
      <c r="BN124" s="7">
        <f t="shared" si="51"/>
        <v>0</v>
      </c>
      <c r="BO124" s="8">
        <f t="array" ref="BO124">IFERROR(LARGE(IF(NF!$G$2:$G$3137='Mês atual'!A124,NF!$J$2:$J$3137),1),0)*BN124</f>
        <v>0</v>
      </c>
      <c r="BP124" s="50"/>
      <c r="BR124" s="146">
        <f t="array" ref="BR124">IFERROR(LARGE(IF(NF!$G$2:$G$3137='Mês atual'!A124,NF!$J$2:$J$3137),1),0)</f>
        <v>0</v>
      </c>
      <c r="BS124" s="142" t="str">
        <f>VLOOKUP(A124,NF!M:O,3,0)</f>
        <v>Carnes</v>
      </c>
      <c r="BV124" s="74">
        <f t="shared" si="36"/>
        <v>0</v>
      </c>
      <c r="BW124" s="74">
        <f t="shared" si="37"/>
        <v>0</v>
      </c>
      <c r="BX124" s="74">
        <f t="shared" si="38"/>
        <v>0</v>
      </c>
      <c r="BY124" s="74">
        <f t="shared" si="39"/>
        <v>0</v>
      </c>
      <c r="BZ124" s="74">
        <f t="shared" si="40"/>
        <v>0</v>
      </c>
    </row>
    <row r="125" spans="1:78" x14ac:dyDescent="0.2">
      <c r="A125" s="108" t="s">
        <v>588</v>
      </c>
      <c r="B125" s="12"/>
      <c r="C125" s="9">
        <v>12.5</v>
      </c>
      <c r="D125" s="25"/>
      <c r="E125" s="10" t="str">
        <f t="shared" si="41"/>
        <v>MarçoSEMANA 1Pescados - Bacalhau Salgado</v>
      </c>
      <c r="F125" s="7">
        <f>SUMIF(NF!$A:$A,$E125,NF!$I:$I)</f>
        <v>25</v>
      </c>
      <c r="G125" s="74"/>
      <c r="H125" s="74"/>
      <c r="I125" s="74"/>
      <c r="J125" s="6"/>
      <c r="K125" s="6"/>
      <c r="L125" s="6"/>
      <c r="M125" s="6">
        <v>12.5</v>
      </c>
      <c r="N125" s="7">
        <f t="shared" si="67"/>
        <v>12.5</v>
      </c>
      <c r="O125" s="11">
        <f t="shared" si="42"/>
        <v>25</v>
      </c>
      <c r="P125" s="25"/>
      <c r="Q125" s="10" t="str">
        <f t="shared" si="43"/>
        <v>MarçoSEMANA 2Pescados - Bacalhau Salgado</v>
      </c>
      <c r="R125" s="7">
        <f>SUMIF(NF!$A:$A,$Q125,NF!$I:$I)</f>
        <v>25</v>
      </c>
      <c r="S125" s="6">
        <f>25-12.5</f>
        <v>12.5</v>
      </c>
      <c r="T125" s="6"/>
      <c r="U125" s="6"/>
      <c r="V125" s="6"/>
      <c r="W125" s="6"/>
      <c r="X125" s="6">
        <v>25</v>
      </c>
      <c r="Y125" s="6"/>
      <c r="Z125" s="7">
        <f t="shared" si="68"/>
        <v>37.5</v>
      </c>
      <c r="AA125" s="11">
        <f t="shared" si="44"/>
        <v>12.5</v>
      </c>
      <c r="AB125" s="25"/>
      <c r="AC125" s="10" t="str">
        <f t="shared" si="45"/>
        <v>MarçoSEMANA 3Pescados - Bacalhau Salgado</v>
      </c>
      <c r="AD125" s="7">
        <f>SUMIF(NF!$A:$A,$AC125,NF!$I:$I)</f>
        <v>50</v>
      </c>
      <c r="AE125" s="6">
        <v>12.5</v>
      </c>
      <c r="AF125" s="6"/>
      <c r="AG125" s="6"/>
      <c r="AH125" s="6"/>
      <c r="AI125" s="6"/>
      <c r="AJ125" s="6"/>
      <c r="AK125" s="6">
        <v>25</v>
      </c>
      <c r="AL125" s="7">
        <f t="shared" si="69"/>
        <v>37.5</v>
      </c>
      <c r="AM125" s="11">
        <f t="shared" si="46"/>
        <v>25</v>
      </c>
      <c r="AN125" s="25"/>
      <c r="AO125" s="10" t="str">
        <f t="shared" si="47"/>
        <v>MarçoSEMANA 4Pescados - Bacalhau Salgado</v>
      </c>
      <c r="AP125" s="7">
        <f>SUMIF(NF!$A:$A,$AO125,NF!$I:$I)</f>
        <v>25</v>
      </c>
      <c r="AQ125" s="6">
        <v>25</v>
      </c>
      <c r="AR125" s="6"/>
      <c r="AS125" s="6"/>
      <c r="AT125" s="6"/>
      <c r="AU125" s="6"/>
      <c r="AV125" s="6"/>
      <c r="AW125" s="6"/>
      <c r="AX125" s="7">
        <f t="shared" si="70"/>
        <v>25</v>
      </c>
      <c r="AY125" s="11">
        <f t="shared" si="48"/>
        <v>25</v>
      </c>
      <c r="AZ125" s="25"/>
      <c r="BA125" s="10" t="str">
        <f t="shared" si="49"/>
        <v>MarçoSEMANA 5Pescados - Bacalhau Salgado</v>
      </c>
      <c r="BB125" s="7">
        <f>SUMIF(NF!$A:$A,$BA125,NF!$I:$I)</f>
        <v>50</v>
      </c>
      <c r="BC125" s="6"/>
      <c r="BD125" s="6">
        <v>25</v>
      </c>
      <c r="BE125" s="6"/>
      <c r="BF125" s="6"/>
      <c r="BG125" s="6"/>
      <c r="BH125" s="6"/>
      <c r="BI125" s="74"/>
      <c r="BJ125" s="74"/>
      <c r="BK125" s="7">
        <f t="shared" si="71"/>
        <v>25</v>
      </c>
      <c r="BL125" s="8">
        <f t="shared" si="50"/>
        <v>50</v>
      </c>
      <c r="BM125" s="51" t="str">
        <f>IFERROR(VLOOKUP(A125,NF!$M:$O,3,0),"")</f>
        <v>Carnes</v>
      </c>
      <c r="BN125" s="7">
        <f t="shared" si="51"/>
        <v>137.5</v>
      </c>
      <c r="BO125" s="8">
        <f t="array" ref="BO125">IFERROR(LARGE(IF(NF!$G$2:$G$3137='Mês atual'!A125,NF!$J$2:$J$3137),1),0)*BN125</f>
        <v>7550.8400000000011</v>
      </c>
      <c r="BP125" s="50"/>
      <c r="BR125" s="146">
        <f t="array" ref="BR125">IFERROR(LARGE(IF(NF!$G$2:$G$3137='Mês atual'!A125,NF!$J$2:$J$3137),1),0)</f>
        <v>54.915200000000006</v>
      </c>
      <c r="BS125" s="142" t="str">
        <f>VLOOKUP(A125,NF!M:O,3,0)</f>
        <v>Carnes</v>
      </c>
      <c r="BV125" s="74">
        <f t="shared" si="36"/>
        <v>12.5</v>
      </c>
      <c r="BW125" s="74">
        <f t="shared" si="37"/>
        <v>37.5</v>
      </c>
      <c r="BX125" s="74">
        <f t="shared" si="38"/>
        <v>37.5</v>
      </c>
      <c r="BY125" s="74">
        <f t="shared" si="39"/>
        <v>25</v>
      </c>
      <c r="BZ125" s="74">
        <f t="shared" si="40"/>
        <v>25</v>
      </c>
    </row>
    <row r="126" spans="1:78" x14ac:dyDescent="0.25">
      <c r="A126" s="108" t="s">
        <v>589</v>
      </c>
      <c r="B126" s="12"/>
      <c r="C126" s="9">
        <v>0</v>
      </c>
      <c r="D126" s="25"/>
      <c r="E126" s="10" t="str">
        <f t="shared" si="41"/>
        <v>MarçoSEMANA 1Pescados - Camarão Desc. Evisc. 36/40 (Drenado)</v>
      </c>
      <c r="F126" s="7">
        <f>SUMIF(NF!$A:$A,$E126,NF!$I:$I)</f>
        <v>0</v>
      </c>
      <c r="G126" s="74"/>
      <c r="H126" s="74"/>
      <c r="I126" s="74"/>
      <c r="J126" s="6"/>
      <c r="K126" s="6"/>
      <c r="L126" s="6"/>
      <c r="M126" s="6"/>
      <c r="N126" s="7">
        <f t="shared" si="67"/>
        <v>0</v>
      </c>
      <c r="O126" s="11">
        <f t="shared" si="42"/>
        <v>0</v>
      </c>
      <c r="P126" s="25"/>
      <c r="Q126" s="10" t="str">
        <f t="shared" si="43"/>
        <v>MarçoSEMANA 2Pescados - Camarão Desc. Evisc. 36/40 (Drenado)</v>
      </c>
      <c r="R126" s="7">
        <f>SUMIF(NF!$A:$A,$Q126,NF!$I:$I)</f>
        <v>0</v>
      </c>
      <c r="S126" s="6"/>
      <c r="T126" s="6"/>
      <c r="U126" s="6"/>
      <c r="V126" s="6"/>
      <c r="W126" s="6"/>
      <c r="X126" s="6"/>
      <c r="Y126" s="6"/>
      <c r="Z126" s="7">
        <f t="shared" si="68"/>
        <v>0</v>
      </c>
      <c r="AA126" s="11">
        <f t="shared" si="44"/>
        <v>0</v>
      </c>
      <c r="AB126" s="25"/>
      <c r="AC126" s="10" t="str">
        <f t="shared" si="45"/>
        <v>MarçoSEMANA 3Pescados - Camarão Desc. Evisc. 36/40 (Drenado)</v>
      </c>
      <c r="AD126" s="7">
        <f>SUMIF(NF!$A:$A,$AC126,NF!$I:$I)</f>
        <v>0</v>
      </c>
      <c r="AE126" s="6"/>
      <c r="AF126" s="6"/>
      <c r="AG126" s="6"/>
      <c r="AH126" s="6"/>
      <c r="AI126" s="6"/>
      <c r="AJ126" s="6"/>
      <c r="AK126" s="6"/>
      <c r="AL126" s="7">
        <f t="shared" si="69"/>
        <v>0</v>
      </c>
      <c r="AM126" s="11">
        <f t="shared" si="46"/>
        <v>0</v>
      </c>
      <c r="AN126" s="25"/>
      <c r="AO126" s="10" t="str">
        <f t="shared" si="47"/>
        <v>MarçoSEMANA 4Pescados - Camarão Desc. Evisc. 36/40 (Drenado)</v>
      </c>
      <c r="AP126" s="7">
        <f>SUMIF(NF!$A:$A,$AO126,NF!$I:$I)</f>
        <v>0</v>
      </c>
      <c r="AQ126" s="6"/>
      <c r="AR126" s="6"/>
      <c r="AS126" s="6"/>
      <c r="AT126" s="6"/>
      <c r="AU126" s="6"/>
      <c r="AV126" s="6"/>
      <c r="AW126" s="6"/>
      <c r="AX126" s="7">
        <f t="shared" si="70"/>
        <v>0</v>
      </c>
      <c r="AY126" s="11">
        <f t="shared" si="48"/>
        <v>0</v>
      </c>
      <c r="AZ126" s="25"/>
      <c r="BA126" s="10" t="str">
        <f t="shared" si="49"/>
        <v>MarçoSEMANA 5Pescados - Camarão Desc. Evisc. 36/40 (Drenado)</v>
      </c>
      <c r="BB126" s="7">
        <f>SUMIF(NF!$A:$A,$BA126,NF!$I:$I)</f>
        <v>0</v>
      </c>
      <c r="BC126" s="6"/>
      <c r="BD126" s="6"/>
      <c r="BE126" s="6"/>
      <c r="BF126" s="6"/>
      <c r="BG126" s="6"/>
      <c r="BH126" s="6"/>
      <c r="BI126" s="74"/>
      <c r="BJ126" s="74"/>
      <c r="BK126" s="7">
        <f t="shared" si="71"/>
        <v>0</v>
      </c>
      <c r="BL126" s="8">
        <f t="shared" si="50"/>
        <v>0</v>
      </c>
      <c r="BM126" s="51" t="str">
        <f>IFERROR(VLOOKUP(A126,NF!$M:$O,3,0),"")</f>
        <v>Carnes</v>
      </c>
      <c r="BN126" s="7">
        <f t="shared" si="51"/>
        <v>0</v>
      </c>
      <c r="BO126" s="8">
        <f t="array" ref="BO126">IFERROR(LARGE(IF(NF!$G$2:$G$3137='Mês atual'!A126,NF!$J$2:$J$3137),1),0)*BN126</f>
        <v>0</v>
      </c>
      <c r="BP126" s="50"/>
      <c r="BR126" s="146">
        <f t="array" ref="BR126">IFERROR(LARGE(IF(NF!$G$2:$G$3137='Mês atual'!A126,NF!$J$2:$J$3137),1),0)</f>
        <v>0</v>
      </c>
      <c r="BS126" s="142" t="str">
        <f>VLOOKUP(A126,NF!M:O,3,0)</f>
        <v>Carnes</v>
      </c>
      <c r="BV126" s="74">
        <f t="shared" si="36"/>
        <v>0</v>
      </c>
      <c r="BW126" s="74">
        <f t="shared" si="37"/>
        <v>0</v>
      </c>
      <c r="BX126" s="74">
        <f t="shared" si="38"/>
        <v>0</v>
      </c>
      <c r="BY126" s="74">
        <f t="shared" si="39"/>
        <v>0</v>
      </c>
      <c r="BZ126" s="74">
        <f t="shared" si="40"/>
        <v>0</v>
      </c>
    </row>
    <row r="127" spans="1:78" x14ac:dyDescent="0.25">
      <c r="A127" s="108" t="s">
        <v>590</v>
      </c>
      <c r="B127" s="12"/>
      <c r="C127" s="9">
        <v>0</v>
      </c>
      <c r="D127" s="25"/>
      <c r="E127" s="10" t="str">
        <f t="shared" si="41"/>
        <v>MarçoSEMANA 1Pescados - Camarão Desc. Evisc. 41/50 (Drenado)</v>
      </c>
      <c r="F127" s="7">
        <f>SUMIF(NF!$A:$A,$E127,NF!$I:$I)</f>
        <v>0</v>
      </c>
      <c r="G127" s="74"/>
      <c r="H127" s="74"/>
      <c r="I127" s="74"/>
      <c r="J127" s="6"/>
      <c r="K127" s="6"/>
      <c r="L127" s="6"/>
      <c r="M127" s="6"/>
      <c r="N127" s="7">
        <f t="shared" si="67"/>
        <v>0</v>
      </c>
      <c r="O127" s="11">
        <f t="shared" si="42"/>
        <v>0</v>
      </c>
      <c r="P127" s="25"/>
      <c r="Q127" s="10" t="str">
        <f t="shared" si="43"/>
        <v>MarçoSEMANA 2Pescados - Camarão Desc. Evisc. 41/50 (Drenado)</v>
      </c>
      <c r="R127" s="7">
        <f>SUMIF(NF!$A:$A,$Q127,NF!$I:$I)</f>
        <v>0</v>
      </c>
      <c r="S127" s="6"/>
      <c r="T127" s="6"/>
      <c r="U127" s="6"/>
      <c r="V127" s="6"/>
      <c r="W127" s="6"/>
      <c r="X127" s="6"/>
      <c r="Y127" s="6"/>
      <c r="Z127" s="7">
        <f t="shared" si="68"/>
        <v>0</v>
      </c>
      <c r="AA127" s="11">
        <f t="shared" si="44"/>
        <v>0</v>
      </c>
      <c r="AB127" s="25"/>
      <c r="AC127" s="10" t="str">
        <f t="shared" si="45"/>
        <v>MarçoSEMANA 3Pescados - Camarão Desc. Evisc. 41/50 (Drenado)</v>
      </c>
      <c r="AD127" s="7">
        <f>SUMIF(NF!$A:$A,$AC127,NF!$I:$I)</f>
        <v>0</v>
      </c>
      <c r="AE127" s="6"/>
      <c r="AF127" s="6"/>
      <c r="AG127" s="6"/>
      <c r="AH127" s="6"/>
      <c r="AI127" s="6"/>
      <c r="AJ127" s="6"/>
      <c r="AK127" s="6"/>
      <c r="AL127" s="7">
        <f t="shared" si="69"/>
        <v>0</v>
      </c>
      <c r="AM127" s="11">
        <f t="shared" si="46"/>
        <v>0</v>
      </c>
      <c r="AN127" s="25"/>
      <c r="AO127" s="10" t="str">
        <f t="shared" si="47"/>
        <v>MarçoSEMANA 4Pescados - Camarão Desc. Evisc. 41/50 (Drenado)</v>
      </c>
      <c r="AP127" s="7">
        <f>SUMIF(NF!$A:$A,$AO127,NF!$I:$I)</f>
        <v>0</v>
      </c>
      <c r="AQ127" s="6"/>
      <c r="AR127" s="6"/>
      <c r="AS127" s="6"/>
      <c r="AT127" s="6"/>
      <c r="AU127" s="6"/>
      <c r="AV127" s="6"/>
      <c r="AW127" s="6"/>
      <c r="AX127" s="7">
        <f t="shared" si="70"/>
        <v>0</v>
      </c>
      <c r="AY127" s="11">
        <f t="shared" si="48"/>
        <v>0</v>
      </c>
      <c r="AZ127" s="25"/>
      <c r="BA127" s="10" t="str">
        <f t="shared" si="49"/>
        <v>MarçoSEMANA 5Pescados - Camarão Desc. Evisc. 41/50 (Drenado)</v>
      </c>
      <c r="BB127" s="7">
        <f>SUMIF(NF!$A:$A,$BA127,NF!$I:$I)</f>
        <v>0</v>
      </c>
      <c r="BC127" s="6"/>
      <c r="BD127" s="6"/>
      <c r="BE127" s="6"/>
      <c r="BF127" s="6"/>
      <c r="BG127" s="6"/>
      <c r="BH127" s="6"/>
      <c r="BI127" s="74"/>
      <c r="BJ127" s="74"/>
      <c r="BK127" s="7">
        <f t="shared" si="71"/>
        <v>0</v>
      </c>
      <c r="BL127" s="8">
        <f t="shared" si="50"/>
        <v>0</v>
      </c>
      <c r="BM127" s="51" t="str">
        <f>IFERROR(VLOOKUP(A127,NF!$M:$O,3,0),"")</f>
        <v>Carnes</v>
      </c>
      <c r="BN127" s="7">
        <f t="shared" si="51"/>
        <v>0</v>
      </c>
      <c r="BO127" s="8">
        <f t="array" ref="BO127">IFERROR(LARGE(IF(NF!$G$2:$G$3137='Mês atual'!A127,NF!$J$2:$J$3137),1),0)*BN127</f>
        <v>0</v>
      </c>
      <c r="BP127" s="50"/>
      <c r="BR127" s="146">
        <f t="array" ref="BR127">IFERROR(LARGE(IF(NF!$G$2:$G$3137='Mês atual'!A127,NF!$J$2:$J$3137),1),0)</f>
        <v>0</v>
      </c>
      <c r="BS127" s="142" t="str">
        <f>VLOOKUP(A127,NF!M:O,3,0)</f>
        <v>Carnes</v>
      </c>
      <c r="BV127" s="74">
        <f t="shared" si="36"/>
        <v>0</v>
      </c>
      <c r="BW127" s="74">
        <f t="shared" si="37"/>
        <v>0</v>
      </c>
      <c r="BX127" s="74">
        <f t="shared" si="38"/>
        <v>0</v>
      </c>
      <c r="BY127" s="74">
        <f t="shared" si="39"/>
        <v>0</v>
      </c>
      <c r="BZ127" s="74">
        <f t="shared" si="40"/>
        <v>0</v>
      </c>
    </row>
    <row r="128" spans="1:78" x14ac:dyDescent="0.25">
      <c r="A128" s="108" t="s">
        <v>591</v>
      </c>
      <c r="B128" s="12"/>
      <c r="C128" s="9">
        <v>0</v>
      </c>
      <c r="D128" s="25"/>
      <c r="E128" s="10" t="str">
        <f t="shared" si="41"/>
        <v>MarçoSEMANA 1Pescados - Camarão Desc. Evisc. 51/60 (Drenado)</v>
      </c>
      <c r="F128" s="7">
        <f>SUMIF(NF!$A:$A,$E128,NF!$I:$I)</f>
        <v>0</v>
      </c>
      <c r="G128" s="74"/>
      <c r="H128" s="74"/>
      <c r="I128" s="74"/>
      <c r="J128" s="6"/>
      <c r="K128" s="6"/>
      <c r="L128" s="6"/>
      <c r="M128" s="6"/>
      <c r="N128" s="7">
        <f t="shared" si="67"/>
        <v>0</v>
      </c>
      <c r="O128" s="11">
        <f t="shared" si="42"/>
        <v>0</v>
      </c>
      <c r="P128" s="25"/>
      <c r="Q128" s="10" t="str">
        <f t="shared" si="43"/>
        <v>MarçoSEMANA 2Pescados - Camarão Desc. Evisc. 51/60 (Drenado)</v>
      </c>
      <c r="R128" s="7">
        <f>SUMIF(NF!$A:$A,$Q128,NF!$I:$I)</f>
        <v>0</v>
      </c>
      <c r="S128" s="6"/>
      <c r="T128" s="6"/>
      <c r="U128" s="6"/>
      <c r="V128" s="6"/>
      <c r="W128" s="6"/>
      <c r="X128" s="6"/>
      <c r="Y128" s="6"/>
      <c r="Z128" s="7">
        <f t="shared" si="68"/>
        <v>0</v>
      </c>
      <c r="AA128" s="11">
        <f t="shared" si="44"/>
        <v>0</v>
      </c>
      <c r="AB128" s="25"/>
      <c r="AC128" s="10" t="str">
        <f t="shared" si="45"/>
        <v>MarçoSEMANA 3Pescados - Camarão Desc. Evisc. 51/60 (Drenado)</v>
      </c>
      <c r="AD128" s="7">
        <f>SUMIF(NF!$A:$A,$AC128,NF!$I:$I)</f>
        <v>0</v>
      </c>
      <c r="AE128" s="6"/>
      <c r="AF128" s="6"/>
      <c r="AG128" s="6"/>
      <c r="AH128" s="6"/>
      <c r="AI128" s="6"/>
      <c r="AJ128" s="6"/>
      <c r="AK128" s="6"/>
      <c r="AL128" s="7">
        <f t="shared" si="69"/>
        <v>0</v>
      </c>
      <c r="AM128" s="11">
        <f t="shared" si="46"/>
        <v>0</v>
      </c>
      <c r="AN128" s="25"/>
      <c r="AO128" s="10" t="str">
        <f t="shared" si="47"/>
        <v>MarçoSEMANA 4Pescados - Camarão Desc. Evisc. 51/60 (Drenado)</v>
      </c>
      <c r="AP128" s="7">
        <f>SUMIF(NF!$A:$A,$AO128,NF!$I:$I)</f>
        <v>0</v>
      </c>
      <c r="AQ128" s="6"/>
      <c r="AR128" s="6"/>
      <c r="AS128" s="6"/>
      <c r="AT128" s="6"/>
      <c r="AU128" s="6"/>
      <c r="AV128" s="6"/>
      <c r="AW128" s="6"/>
      <c r="AX128" s="7">
        <f t="shared" si="70"/>
        <v>0</v>
      </c>
      <c r="AY128" s="11">
        <f t="shared" si="48"/>
        <v>0</v>
      </c>
      <c r="AZ128" s="25"/>
      <c r="BA128" s="10" t="str">
        <f t="shared" si="49"/>
        <v>MarçoSEMANA 5Pescados - Camarão Desc. Evisc. 51/60 (Drenado)</v>
      </c>
      <c r="BB128" s="7">
        <f>SUMIF(NF!$A:$A,$BA128,NF!$I:$I)</f>
        <v>0</v>
      </c>
      <c r="BC128" s="6"/>
      <c r="BD128" s="6"/>
      <c r="BE128" s="6"/>
      <c r="BF128" s="6"/>
      <c r="BG128" s="6"/>
      <c r="BH128" s="6"/>
      <c r="BI128" s="74"/>
      <c r="BJ128" s="74"/>
      <c r="BK128" s="7">
        <f t="shared" si="71"/>
        <v>0</v>
      </c>
      <c r="BL128" s="8">
        <f t="shared" si="50"/>
        <v>0</v>
      </c>
      <c r="BM128" s="51" t="str">
        <f>IFERROR(VLOOKUP(A128,NF!$M:$O,3,0),"")</f>
        <v>Carnes</v>
      </c>
      <c r="BN128" s="7">
        <f t="shared" si="51"/>
        <v>0</v>
      </c>
      <c r="BO128" s="8">
        <f t="array" ref="BO128">IFERROR(LARGE(IF(NF!$G$2:$G$3137='Mês atual'!A128,NF!$J$2:$J$3137),1),0)*BN128</f>
        <v>0</v>
      </c>
      <c r="BP128" s="50"/>
      <c r="BR128" s="146">
        <f t="array" ref="BR128">IFERROR(LARGE(IF(NF!$G$2:$G$3137='Mês atual'!A128,NF!$J$2:$J$3137),1),0)</f>
        <v>0</v>
      </c>
      <c r="BS128" s="142" t="str">
        <f>VLOOKUP(A128,NF!M:O,3,0)</f>
        <v>Carnes</v>
      </c>
      <c r="BV128" s="74">
        <f t="shared" si="36"/>
        <v>0</v>
      </c>
      <c r="BW128" s="74">
        <f t="shared" si="37"/>
        <v>0</v>
      </c>
      <c r="BX128" s="74">
        <f t="shared" si="38"/>
        <v>0</v>
      </c>
      <c r="BY128" s="74">
        <f t="shared" si="39"/>
        <v>0</v>
      </c>
      <c r="BZ128" s="74">
        <f t="shared" si="40"/>
        <v>0</v>
      </c>
    </row>
    <row r="129" spans="1:78" x14ac:dyDescent="0.25">
      <c r="A129" s="108" t="s">
        <v>592</v>
      </c>
      <c r="B129" s="12"/>
      <c r="C129" s="9">
        <v>0</v>
      </c>
      <c r="D129" s="25"/>
      <c r="E129" s="10" t="str">
        <f t="shared" si="41"/>
        <v>MarçoSEMANA 1Pescados - Camarão IQF Evisc. 41/50</v>
      </c>
      <c r="F129" s="7">
        <f>SUMIF(NF!$A:$A,$E129,NF!$I:$I)</f>
        <v>0</v>
      </c>
      <c r="G129" s="74"/>
      <c r="H129" s="74"/>
      <c r="I129" s="74"/>
      <c r="J129" s="6"/>
      <c r="K129" s="6"/>
      <c r="L129" s="6"/>
      <c r="M129" s="6"/>
      <c r="N129" s="7">
        <f t="shared" si="67"/>
        <v>0</v>
      </c>
      <c r="O129" s="11">
        <f t="shared" si="42"/>
        <v>0</v>
      </c>
      <c r="P129" s="25"/>
      <c r="Q129" s="10" t="str">
        <f t="shared" si="43"/>
        <v>MarçoSEMANA 2Pescados - Camarão IQF Evisc. 41/50</v>
      </c>
      <c r="R129" s="7">
        <f>SUMIF(NF!$A:$A,$Q129,NF!$I:$I)</f>
        <v>0</v>
      </c>
      <c r="S129" s="6"/>
      <c r="T129" s="6"/>
      <c r="U129" s="6"/>
      <c r="V129" s="6"/>
      <c r="W129" s="6"/>
      <c r="X129" s="6"/>
      <c r="Y129" s="6"/>
      <c r="Z129" s="7">
        <f t="shared" si="68"/>
        <v>0</v>
      </c>
      <c r="AA129" s="11">
        <f t="shared" si="44"/>
        <v>0</v>
      </c>
      <c r="AB129" s="25"/>
      <c r="AC129" s="10" t="str">
        <f t="shared" si="45"/>
        <v>MarçoSEMANA 3Pescados - Camarão IQF Evisc. 41/50</v>
      </c>
      <c r="AD129" s="7">
        <f>SUMIF(NF!$A:$A,$AC129,NF!$I:$I)</f>
        <v>0</v>
      </c>
      <c r="AE129" s="6"/>
      <c r="AF129" s="6"/>
      <c r="AG129" s="6"/>
      <c r="AH129" s="6"/>
      <c r="AI129" s="6"/>
      <c r="AJ129" s="6"/>
      <c r="AK129" s="6"/>
      <c r="AL129" s="7">
        <f t="shared" si="69"/>
        <v>0</v>
      </c>
      <c r="AM129" s="11">
        <f t="shared" si="46"/>
        <v>0</v>
      </c>
      <c r="AN129" s="25"/>
      <c r="AO129" s="10" t="str">
        <f t="shared" si="47"/>
        <v>MarçoSEMANA 4Pescados - Camarão IQF Evisc. 41/50</v>
      </c>
      <c r="AP129" s="7">
        <f>SUMIF(NF!$A:$A,$AO129,NF!$I:$I)</f>
        <v>0</v>
      </c>
      <c r="AQ129" s="6"/>
      <c r="AR129" s="6"/>
      <c r="AS129" s="6"/>
      <c r="AT129" s="6"/>
      <c r="AU129" s="6"/>
      <c r="AV129" s="6"/>
      <c r="AW129" s="6"/>
      <c r="AX129" s="7">
        <f t="shared" si="70"/>
        <v>0</v>
      </c>
      <c r="AY129" s="11">
        <f t="shared" si="48"/>
        <v>0</v>
      </c>
      <c r="AZ129" s="25"/>
      <c r="BA129" s="10" t="str">
        <f t="shared" si="49"/>
        <v>MarçoSEMANA 5Pescados - Camarão IQF Evisc. 41/50</v>
      </c>
      <c r="BB129" s="7">
        <f>SUMIF(NF!$A:$A,$BA129,NF!$I:$I)</f>
        <v>0</v>
      </c>
      <c r="BC129" s="6"/>
      <c r="BD129" s="6"/>
      <c r="BE129" s="6"/>
      <c r="BF129" s="6"/>
      <c r="BG129" s="6"/>
      <c r="BH129" s="6"/>
      <c r="BI129" s="74"/>
      <c r="BJ129" s="74"/>
      <c r="BK129" s="7">
        <f t="shared" si="71"/>
        <v>0</v>
      </c>
      <c r="BL129" s="8">
        <f t="shared" si="50"/>
        <v>0</v>
      </c>
      <c r="BM129" s="51" t="str">
        <f>IFERROR(VLOOKUP(A129,NF!$M:$O,3,0),"")</f>
        <v>Carnes</v>
      </c>
      <c r="BN129" s="7">
        <f t="shared" si="51"/>
        <v>0</v>
      </c>
      <c r="BO129" s="8">
        <f t="array" ref="BO129">IFERROR(LARGE(IF(NF!$G$2:$G$3137='Mês atual'!A129,NF!$J$2:$J$3137),1),0)*BN129</f>
        <v>0</v>
      </c>
      <c r="BP129" s="50"/>
      <c r="BR129" s="146">
        <f t="array" ref="BR129">IFERROR(LARGE(IF(NF!$G$2:$G$3137='Mês atual'!A129,NF!$J$2:$J$3137),1),0)</f>
        <v>0</v>
      </c>
      <c r="BS129" s="142" t="str">
        <f>VLOOKUP(A129,NF!M:O,3,0)</f>
        <v>Carnes</v>
      </c>
      <c r="BV129" s="74">
        <f t="shared" si="36"/>
        <v>0</v>
      </c>
      <c r="BW129" s="74">
        <f t="shared" si="37"/>
        <v>0</v>
      </c>
      <c r="BX129" s="74">
        <f t="shared" si="38"/>
        <v>0</v>
      </c>
      <c r="BY129" s="74">
        <f t="shared" si="39"/>
        <v>0</v>
      </c>
      <c r="BZ129" s="74">
        <f t="shared" si="40"/>
        <v>0</v>
      </c>
    </row>
    <row r="130" spans="1:78" x14ac:dyDescent="0.25">
      <c r="A130" s="108" t="s">
        <v>593</v>
      </c>
      <c r="B130" s="12"/>
      <c r="C130" s="9">
        <v>6</v>
      </c>
      <c r="D130" s="25"/>
      <c r="E130" s="10" t="str">
        <f t="shared" si="41"/>
        <v>MarçoSEMANA 1Pescados - Camarão IQF Evisc. 51/60</v>
      </c>
      <c r="F130" s="7">
        <f>SUMIF(NF!$A:$A,$E130,NF!$I:$I)</f>
        <v>6</v>
      </c>
      <c r="G130" s="74"/>
      <c r="H130" s="74"/>
      <c r="I130" s="74"/>
      <c r="J130" s="6">
        <v>3</v>
      </c>
      <c r="K130" s="6"/>
      <c r="L130" s="6"/>
      <c r="M130" s="6">
        <v>3</v>
      </c>
      <c r="N130" s="7">
        <f t="shared" si="67"/>
        <v>6</v>
      </c>
      <c r="O130" s="11">
        <f t="shared" si="42"/>
        <v>6</v>
      </c>
      <c r="P130" s="25"/>
      <c r="Q130" s="10" t="str">
        <f t="shared" si="43"/>
        <v>MarçoSEMANA 2Pescados - Camarão IQF Evisc. 51/60</v>
      </c>
      <c r="R130" s="7">
        <f>SUMIF(NF!$A:$A,$Q130,NF!$I:$I)</f>
        <v>18</v>
      </c>
      <c r="S130" s="6"/>
      <c r="T130" s="6"/>
      <c r="U130" s="6">
        <v>2</v>
      </c>
      <c r="V130" s="6">
        <v>6</v>
      </c>
      <c r="W130" s="6"/>
      <c r="X130" s="6"/>
      <c r="Y130" s="6">
        <f>6+4+2</f>
        <v>12</v>
      </c>
      <c r="Z130" s="7">
        <f t="shared" si="68"/>
        <v>20</v>
      </c>
      <c r="AA130" s="11">
        <f t="shared" si="44"/>
        <v>4</v>
      </c>
      <c r="AB130" s="25"/>
      <c r="AC130" s="10" t="str">
        <f t="shared" si="45"/>
        <v>MarçoSEMANA 3Pescados - Camarão IQF Evisc. 51/60</v>
      </c>
      <c r="AD130" s="7">
        <f>SUMIF(NF!$A:$A,$AC130,NF!$I:$I)</f>
        <v>6</v>
      </c>
      <c r="AE130" s="6"/>
      <c r="AF130" s="6">
        <v>4</v>
      </c>
      <c r="AG130" s="6"/>
      <c r="AH130" s="6">
        <v>3</v>
      </c>
      <c r="AI130" s="6"/>
      <c r="AJ130" s="6"/>
      <c r="AK130" s="6">
        <v>3</v>
      </c>
      <c r="AL130" s="7">
        <f t="shared" si="69"/>
        <v>10</v>
      </c>
      <c r="AM130" s="11">
        <f t="shared" si="46"/>
        <v>0</v>
      </c>
      <c r="AN130" s="25"/>
      <c r="AO130" s="10" t="str">
        <f t="shared" si="47"/>
        <v>MarçoSEMANA 4Pescados - Camarão IQF Evisc. 51/60</v>
      </c>
      <c r="AP130" s="7">
        <f>SUMIF(NF!$A:$A,$AO130,NF!$I:$I)</f>
        <v>18</v>
      </c>
      <c r="AQ130" s="6"/>
      <c r="AR130" s="6">
        <v>2</v>
      </c>
      <c r="AS130" s="6">
        <v>5</v>
      </c>
      <c r="AT130" s="6">
        <v>4</v>
      </c>
      <c r="AU130" s="6"/>
      <c r="AV130" s="6"/>
      <c r="AW130" s="6">
        <v>4</v>
      </c>
      <c r="AX130" s="7">
        <f t="shared" si="70"/>
        <v>15</v>
      </c>
      <c r="AY130" s="11">
        <f t="shared" si="48"/>
        <v>3</v>
      </c>
      <c r="AZ130" s="25"/>
      <c r="BA130" s="10" t="str">
        <f t="shared" si="49"/>
        <v>MarçoSEMANA 5Pescados - Camarão IQF Evisc. 51/60</v>
      </c>
      <c r="BB130" s="7">
        <f>SUMIF(NF!$A:$A,$BA130,NF!$I:$I)</f>
        <v>12</v>
      </c>
      <c r="BC130" s="6"/>
      <c r="BD130" s="6"/>
      <c r="BE130" s="6"/>
      <c r="BF130" s="6">
        <v>3</v>
      </c>
      <c r="BG130" s="6"/>
      <c r="BH130" s="6"/>
      <c r="BI130" s="74"/>
      <c r="BJ130" s="74"/>
      <c r="BK130" s="7">
        <f t="shared" si="71"/>
        <v>3</v>
      </c>
      <c r="BL130" s="8">
        <f t="shared" si="50"/>
        <v>12</v>
      </c>
      <c r="BM130" s="51" t="str">
        <f>IFERROR(VLOOKUP(A130,NF!$M:$O,3,0),"")</f>
        <v>Carnes</v>
      </c>
      <c r="BN130" s="7">
        <f t="shared" si="51"/>
        <v>54</v>
      </c>
      <c r="BO130" s="8">
        <f t="array" ref="BO130">IFERROR(LARGE(IF(NF!$G$2:$G$3137='Mês atual'!A130,NF!$J$2:$J$3137),1),0)*BN130</f>
        <v>3774.6000000000004</v>
      </c>
      <c r="BP130" s="50"/>
      <c r="BR130" s="146">
        <f t="array" ref="BR130">IFERROR(LARGE(IF(NF!$G$2:$G$3137='Mês atual'!A130,NF!$J$2:$J$3137),1),0)</f>
        <v>69.900000000000006</v>
      </c>
      <c r="BS130" s="142" t="str">
        <f>VLOOKUP(A130,NF!M:O,3,0)</f>
        <v>Carnes</v>
      </c>
      <c r="BV130" s="74">
        <f t="shared" si="36"/>
        <v>6</v>
      </c>
      <c r="BW130" s="74">
        <f t="shared" si="37"/>
        <v>20</v>
      </c>
      <c r="BX130" s="74">
        <f t="shared" si="38"/>
        <v>10</v>
      </c>
      <c r="BY130" s="74">
        <f t="shared" si="39"/>
        <v>15</v>
      </c>
      <c r="BZ130" s="74">
        <f t="shared" si="40"/>
        <v>3</v>
      </c>
    </row>
    <row r="131" spans="1:78" x14ac:dyDescent="0.25">
      <c r="A131" s="108" t="s">
        <v>594</v>
      </c>
      <c r="B131" s="12"/>
      <c r="C131" s="9">
        <v>0</v>
      </c>
      <c r="D131" s="25"/>
      <c r="E131" s="10" t="str">
        <f t="shared" si="41"/>
        <v>MarçoSEMANA 1Pescados - Camarão Seco</v>
      </c>
      <c r="F131" s="7">
        <f>SUMIF(NF!$A:$A,$E131,NF!$I:$I)</f>
        <v>0</v>
      </c>
      <c r="G131" s="74"/>
      <c r="H131" s="74"/>
      <c r="I131" s="74"/>
      <c r="J131" s="6"/>
      <c r="K131" s="6"/>
      <c r="L131" s="6"/>
      <c r="M131" s="6"/>
      <c r="N131" s="7">
        <f t="shared" si="67"/>
        <v>0</v>
      </c>
      <c r="O131" s="11">
        <f t="shared" si="42"/>
        <v>0</v>
      </c>
      <c r="P131" s="25"/>
      <c r="Q131" s="10" t="str">
        <f t="shared" si="43"/>
        <v>MarçoSEMANA 2Pescados - Camarão Seco</v>
      </c>
      <c r="R131" s="7">
        <f>SUMIF(NF!$A:$A,$Q131,NF!$I:$I)</f>
        <v>0</v>
      </c>
      <c r="S131" s="6"/>
      <c r="T131" s="6"/>
      <c r="U131" s="6"/>
      <c r="V131" s="6"/>
      <c r="W131" s="6"/>
      <c r="X131" s="6"/>
      <c r="Y131" s="6"/>
      <c r="Z131" s="7">
        <f t="shared" si="68"/>
        <v>0</v>
      </c>
      <c r="AA131" s="11">
        <f t="shared" si="44"/>
        <v>0</v>
      </c>
      <c r="AB131" s="25"/>
      <c r="AC131" s="10" t="str">
        <f t="shared" si="45"/>
        <v>MarçoSEMANA 3Pescados - Camarão Seco</v>
      </c>
      <c r="AD131" s="7">
        <f>SUMIF(NF!$A:$A,$AC131,NF!$I:$I)</f>
        <v>0</v>
      </c>
      <c r="AE131" s="6"/>
      <c r="AF131" s="6"/>
      <c r="AG131" s="6"/>
      <c r="AH131" s="6"/>
      <c r="AI131" s="6"/>
      <c r="AJ131" s="6"/>
      <c r="AK131" s="6"/>
      <c r="AL131" s="7">
        <f t="shared" si="69"/>
        <v>0</v>
      </c>
      <c r="AM131" s="11">
        <f t="shared" si="46"/>
        <v>0</v>
      </c>
      <c r="AN131" s="25"/>
      <c r="AO131" s="10" t="str">
        <f t="shared" si="47"/>
        <v>MarçoSEMANA 4Pescados - Camarão Seco</v>
      </c>
      <c r="AP131" s="7">
        <f>SUMIF(NF!$A:$A,$AO131,NF!$I:$I)</f>
        <v>0</v>
      </c>
      <c r="AQ131" s="6"/>
      <c r="AR131" s="6"/>
      <c r="AS131" s="6"/>
      <c r="AT131" s="6"/>
      <c r="AU131" s="6"/>
      <c r="AV131" s="6"/>
      <c r="AW131" s="6"/>
      <c r="AX131" s="7">
        <f t="shared" si="70"/>
        <v>0</v>
      </c>
      <c r="AY131" s="11">
        <f t="shared" si="48"/>
        <v>0</v>
      </c>
      <c r="AZ131" s="25"/>
      <c r="BA131" s="10" t="str">
        <f t="shared" si="49"/>
        <v>MarçoSEMANA 5Pescados - Camarão Seco</v>
      </c>
      <c r="BB131" s="7">
        <f>SUMIF(NF!$A:$A,$BA131,NF!$I:$I)</f>
        <v>0</v>
      </c>
      <c r="BC131" s="6"/>
      <c r="BD131" s="6"/>
      <c r="BE131" s="6"/>
      <c r="BF131" s="6"/>
      <c r="BG131" s="6"/>
      <c r="BH131" s="6"/>
      <c r="BI131" s="74"/>
      <c r="BJ131" s="74"/>
      <c r="BK131" s="7">
        <f t="shared" si="71"/>
        <v>0</v>
      </c>
      <c r="BL131" s="8">
        <f t="shared" si="50"/>
        <v>0</v>
      </c>
      <c r="BM131" s="51" t="str">
        <f>IFERROR(VLOOKUP(A131,NF!$M:$O,3,0),"")</f>
        <v>Carnes</v>
      </c>
      <c r="BN131" s="7">
        <f t="shared" si="51"/>
        <v>0</v>
      </c>
      <c r="BO131" s="8">
        <f t="array" ref="BO131">IFERROR(LARGE(IF(NF!$G$2:$G$3137='Mês atual'!A131,NF!$J$2:$J$3137),1),0)*BN131</f>
        <v>0</v>
      </c>
      <c r="BP131" s="50"/>
      <c r="BR131" s="146">
        <f t="array" ref="BR131">IFERROR(LARGE(IF(NF!$G$2:$G$3137='Mês atual'!A131,NF!$J$2:$J$3137),1),0)</f>
        <v>0</v>
      </c>
      <c r="BS131" s="142" t="str">
        <f>VLOOKUP(A131,NF!M:O,3,0)</f>
        <v>Carnes</v>
      </c>
      <c r="BV131" s="74">
        <f t="shared" si="36"/>
        <v>0</v>
      </c>
      <c r="BW131" s="74">
        <f t="shared" si="37"/>
        <v>0</v>
      </c>
      <c r="BX131" s="74">
        <f t="shared" si="38"/>
        <v>0</v>
      </c>
      <c r="BY131" s="74">
        <f t="shared" si="39"/>
        <v>0</v>
      </c>
      <c r="BZ131" s="74">
        <f t="shared" si="40"/>
        <v>0</v>
      </c>
    </row>
    <row r="132" spans="1:78" x14ac:dyDescent="0.25">
      <c r="A132" s="108" t="s">
        <v>595</v>
      </c>
      <c r="B132" s="12"/>
      <c r="C132" s="9">
        <v>0</v>
      </c>
      <c r="D132" s="25"/>
      <c r="E132" s="10" t="str">
        <f t="shared" si="41"/>
        <v>MarçoSEMANA 1Pescados - Camarão Sujo 41/50</v>
      </c>
      <c r="F132" s="7">
        <f>SUMIF(NF!$A:$A,$E132,NF!$I:$I)</f>
        <v>0</v>
      </c>
      <c r="G132" s="74"/>
      <c r="H132" s="74"/>
      <c r="I132" s="74"/>
      <c r="J132" s="6"/>
      <c r="K132" s="6"/>
      <c r="L132" s="6"/>
      <c r="M132" s="6"/>
      <c r="N132" s="7">
        <f t="shared" si="67"/>
        <v>0</v>
      </c>
      <c r="O132" s="11">
        <f t="shared" si="42"/>
        <v>0</v>
      </c>
      <c r="P132" s="25"/>
      <c r="Q132" s="10" t="str">
        <f t="shared" si="43"/>
        <v>MarçoSEMANA 2Pescados - Camarão Sujo 41/50</v>
      </c>
      <c r="R132" s="7">
        <f>SUMIF(NF!$A:$A,$Q132,NF!$I:$I)</f>
        <v>0</v>
      </c>
      <c r="S132" s="6"/>
      <c r="T132" s="6"/>
      <c r="U132" s="6"/>
      <c r="V132" s="6"/>
      <c r="W132" s="6"/>
      <c r="X132" s="6"/>
      <c r="Y132" s="6"/>
      <c r="Z132" s="7">
        <f t="shared" si="68"/>
        <v>0</v>
      </c>
      <c r="AA132" s="11">
        <f t="shared" si="44"/>
        <v>0</v>
      </c>
      <c r="AB132" s="25"/>
      <c r="AC132" s="10" t="str">
        <f t="shared" si="45"/>
        <v>MarçoSEMANA 3Pescados - Camarão Sujo 41/50</v>
      </c>
      <c r="AD132" s="7">
        <f>SUMIF(NF!$A:$A,$AC132,NF!$I:$I)</f>
        <v>0</v>
      </c>
      <c r="AE132" s="6"/>
      <c r="AF132" s="6"/>
      <c r="AG132" s="6"/>
      <c r="AH132" s="6"/>
      <c r="AI132" s="6"/>
      <c r="AJ132" s="6"/>
      <c r="AK132" s="6"/>
      <c r="AL132" s="7">
        <f t="shared" si="69"/>
        <v>0</v>
      </c>
      <c r="AM132" s="11">
        <f t="shared" si="46"/>
        <v>0</v>
      </c>
      <c r="AN132" s="25"/>
      <c r="AO132" s="10" t="str">
        <f t="shared" si="47"/>
        <v>MarçoSEMANA 4Pescados - Camarão Sujo 41/50</v>
      </c>
      <c r="AP132" s="7">
        <f>SUMIF(NF!$A:$A,$AO132,NF!$I:$I)</f>
        <v>0</v>
      </c>
      <c r="AQ132" s="6"/>
      <c r="AR132" s="6"/>
      <c r="AS132" s="6"/>
      <c r="AT132" s="6"/>
      <c r="AU132" s="6"/>
      <c r="AV132" s="6"/>
      <c r="AW132" s="6"/>
      <c r="AX132" s="7">
        <f t="shared" si="70"/>
        <v>0</v>
      </c>
      <c r="AY132" s="11">
        <f t="shared" si="48"/>
        <v>0</v>
      </c>
      <c r="AZ132" s="25"/>
      <c r="BA132" s="10" t="str">
        <f t="shared" si="49"/>
        <v>MarçoSEMANA 5Pescados - Camarão Sujo 41/50</v>
      </c>
      <c r="BB132" s="7">
        <f>SUMIF(NF!$A:$A,$BA132,NF!$I:$I)</f>
        <v>0</v>
      </c>
      <c r="BC132" s="6"/>
      <c r="BD132" s="6"/>
      <c r="BE132" s="6"/>
      <c r="BF132" s="6"/>
      <c r="BG132" s="6"/>
      <c r="BH132" s="6"/>
      <c r="BI132" s="74"/>
      <c r="BJ132" s="74"/>
      <c r="BK132" s="7">
        <f t="shared" si="71"/>
        <v>0</v>
      </c>
      <c r="BL132" s="8">
        <f t="shared" si="50"/>
        <v>0</v>
      </c>
      <c r="BM132" s="51" t="str">
        <f>IFERROR(VLOOKUP(A132,NF!$M:$O,3,0),"")</f>
        <v>Carnes</v>
      </c>
      <c r="BN132" s="7">
        <f t="shared" si="51"/>
        <v>0</v>
      </c>
      <c r="BO132" s="8">
        <f t="array" ref="BO132">IFERROR(LARGE(IF(NF!$G$2:$G$3137='Mês atual'!A132,NF!$J$2:$J$3137),1),0)*BN132</f>
        <v>0</v>
      </c>
      <c r="BP132" s="50"/>
      <c r="BR132" s="146">
        <f t="array" ref="BR132">IFERROR(LARGE(IF(NF!$G$2:$G$3137='Mês atual'!A132,NF!$J$2:$J$3137),1),0)</f>
        <v>0</v>
      </c>
      <c r="BS132" s="142" t="str">
        <f>VLOOKUP(A132,NF!M:O,3,0)</f>
        <v>Carnes</v>
      </c>
      <c r="BV132" s="74">
        <f t="shared" si="36"/>
        <v>0</v>
      </c>
      <c r="BW132" s="74">
        <f t="shared" si="37"/>
        <v>0</v>
      </c>
      <c r="BX132" s="74">
        <f t="shared" si="38"/>
        <v>0</v>
      </c>
      <c r="BY132" s="74">
        <f t="shared" si="39"/>
        <v>0</v>
      </c>
      <c r="BZ132" s="74">
        <f t="shared" si="40"/>
        <v>0</v>
      </c>
    </row>
    <row r="133" spans="1:78" x14ac:dyDescent="0.25">
      <c r="A133" s="108" t="s">
        <v>596</v>
      </c>
      <c r="B133" s="12"/>
      <c r="C133" s="9">
        <v>0</v>
      </c>
      <c r="D133" s="25"/>
      <c r="E133" s="10" t="str">
        <f t="shared" si="41"/>
        <v>MarçoSEMANA 1Pescados - Camarão Sujo 51/60</v>
      </c>
      <c r="F133" s="7">
        <f>SUMIF(NF!$A:$A,$E133,NF!$I:$I)</f>
        <v>0</v>
      </c>
      <c r="G133" s="74"/>
      <c r="H133" s="74"/>
      <c r="I133" s="74"/>
      <c r="J133" s="6"/>
      <c r="K133" s="6"/>
      <c r="L133" s="6"/>
      <c r="M133" s="6"/>
      <c r="N133" s="7">
        <f t="shared" si="67"/>
        <v>0</v>
      </c>
      <c r="O133" s="11">
        <f t="shared" si="42"/>
        <v>0</v>
      </c>
      <c r="P133" s="25"/>
      <c r="Q133" s="10" t="str">
        <f t="shared" si="43"/>
        <v>MarçoSEMANA 2Pescados - Camarão Sujo 51/60</v>
      </c>
      <c r="R133" s="7">
        <f>SUMIF(NF!$A:$A,$Q133,NF!$I:$I)</f>
        <v>0</v>
      </c>
      <c r="S133" s="6"/>
      <c r="T133" s="6"/>
      <c r="U133" s="6"/>
      <c r="V133" s="6"/>
      <c r="W133" s="6"/>
      <c r="X133" s="6"/>
      <c r="Y133" s="6"/>
      <c r="Z133" s="7">
        <f t="shared" si="68"/>
        <v>0</v>
      </c>
      <c r="AA133" s="11">
        <f t="shared" si="44"/>
        <v>0</v>
      </c>
      <c r="AB133" s="25"/>
      <c r="AC133" s="10" t="str">
        <f t="shared" si="45"/>
        <v>MarçoSEMANA 3Pescados - Camarão Sujo 51/60</v>
      </c>
      <c r="AD133" s="7">
        <f>SUMIF(NF!$A:$A,$AC133,NF!$I:$I)</f>
        <v>0</v>
      </c>
      <c r="AE133" s="6"/>
      <c r="AF133" s="6"/>
      <c r="AG133" s="6"/>
      <c r="AH133" s="6"/>
      <c r="AI133" s="6"/>
      <c r="AJ133" s="6"/>
      <c r="AK133" s="6"/>
      <c r="AL133" s="7">
        <f t="shared" si="69"/>
        <v>0</v>
      </c>
      <c r="AM133" s="11">
        <f t="shared" si="46"/>
        <v>0</v>
      </c>
      <c r="AN133" s="25"/>
      <c r="AO133" s="10" t="str">
        <f t="shared" si="47"/>
        <v>MarçoSEMANA 4Pescados - Camarão Sujo 51/60</v>
      </c>
      <c r="AP133" s="7">
        <f>SUMIF(NF!$A:$A,$AO133,NF!$I:$I)</f>
        <v>0</v>
      </c>
      <c r="AQ133" s="6"/>
      <c r="AR133" s="6"/>
      <c r="AS133" s="6"/>
      <c r="AT133" s="6"/>
      <c r="AU133" s="6"/>
      <c r="AV133" s="6"/>
      <c r="AW133" s="6"/>
      <c r="AX133" s="7">
        <f t="shared" si="70"/>
        <v>0</v>
      </c>
      <c r="AY133" s="11">
        <f t="shared" si="48"/>
        <v>0</v>
      </c>
      <c r="AZ133" s="25"/>
      <c r="BA133" s="10" t="str">
        <f t="shared" si="49"/>
        <v>MarçoSEMANA 5Pescados - Camarão Sujo 51/60</v>
      </c>
      <c r="BB133" s="7">
        <f>SUMIF(NF!$A:$A,$BA133,NF!$I:$I)</f>
        <v>0</v>
      </c>
      <c r="BC133" s="6"/>
      <c r="BD133" s="6"/>
      <c r="BE133" s="6"/>
      <c r="BF133" s="6"/>
      <c r="BG133" s="6"/>
      <c r="BH133" s="6"/>
      <c r="BI133" s="74"/>
      <c r="BJ133" s="74"/>
      <c r="BK133" s="7">
        <f t="shared" si="71"/>
        <v>0</v>
      </c>
      <c r="BL133" s="8">
        <f t="shared" si="50"/>
        <v>0</v>
      </c>
      <c r="BM133" s="51" t="str">
        <f>IFERROR(VLOOKUP(A133,NF!$M:$O,3,0),"")</f>
        <v>Carnes</v>
      </c>
      <c r="BN133" s="7">
        <f t="shared" si="51"/>
        <v>0</v>
      </c>
      <c r="BO133" s="8">
        <f t="array" ref="BO133">IFERROR(LARGE(IF(NF!$G$2:$G$3137='Mês atual'!A133,NF!$J$2:$J$3137),1),0)*BN133</f>
        <v>0</v>
      </c>
      <c r="BP133" s="50"/>
      <c r="BR133" s="146">
        <f t="array" ref="BR133">IFERROR(LARGE(IF(NF!$G$2:$G$3137='Mês atual'!A133,NF!$J$2:$J$3137),1),0)</f>
        <v>0</v>
      </c>
      <c r="BS133" s="142" t="str">
        <f>VLOOKUP(A133,NF!M:O,3,0)</f>
        <v>Carnes</v>
      </c>
      <c r="BV133" s="74">
        <f t="shared" si="36"/>
        <v>0</v>
      </c>
      <c r="BW133" s="74">
        <f t="shared" si="37"/>
        <v>0</v>
      </c>
      <c r="BX133" s="74">
        <f t="shared" si="38"/>
        <v>0</v>
      </c>
      <c r="BY133" s="74">
        <f t="shared" si="39"/>
        <v>0</v>
      </c>
      <c r="BZ133" s="74">
        <f t="shared" si="40"/>
        <v>0</v>
      </c>
    </row>
    <row r="134" spans="1:78" x14ac:dyDescent="0.25">
      <c r="A134" s="108" t="s">
        <v>597</v>
      </c>
      <c r="B134" s="12"/>
      <c r="C134" s="9">
        <v>0</v>
      </c>
      <c r="D134" s="25"/>
      <c r="E134" s="10" t="str">
        <f t="shared" si="41"/>
        <v>MarçoSEMANA 1Pescados - Camarão VG</v>
      </c>
      <c r="F134" s="7">
        <f>SUMIF(NF!$A:$A,$E134,NF!$I:$I)</f>
        <v>0</v>
      </c>
      <c r="G134" s="74"/>
      <c r="H134" s="74"/>
      <c r="I134" s="74"/>
      <c r="J134" s="6"/>
      <c r="K134" s="6"/>
      <c r="L134" s="6"/>
      <c r="M134" s="6"/>
      <c r="N134" s="7">
        <f t="shared" si="67"/>
        <v>0</v>
      </c>
      <c r="O134" s="11">
        <f t="shared" si="42"/>
        <v>0</v>
      </c>
      <c r="P134" s="25"/>
      <c r="Q134" s="10" t="str">
        <f t="shared" si="43"/>
        <v>MarçoSEMANA 2Pescados - Camarão VG</v>
      </c>
      <c r="R134" s="7">
        <f>SUMIF(NF!$A:$A,$Q134,NF!$I:$I)</f>
        <v>0</v>
      </c>
      <c r="S134" s="6"/>
      <c r="T134" s="6"/>
      <c r="U134" s="6"/>
      <c r="V134" s="6"/>
      <c r="W134" s="6"/>
      <c r="X134" s="6"/>
      <c r="Y134" s="6"/>
      <c r="Z134" s="7">
        <f t="shared" si="68"/>
        <v>0</v>
      </c>
      <c r="AA134" s="11">
        <f t="shared" si="44"/>
        <v>0</v>
      </c>
      <c r="AB134" s="25"/>
      <c r="AC134" s="10" t="str">
        <f t="shared" si="45"/>
        <v>MarçoSEMANA 3Pescados - Camarão VG</v>
      </c>
      <c r="AD134" s="7">
        <f>SUMIF(NF!$A:$A,$AC134,NF!$I:$I)</f>
        <v>0</v>
      </c>
      <c r="AE134" s="6"/>
      <c r="AF134" s="6"/>
      <c r="AG134" s="6"/>
      <c r="AH134" s="6"/>
      <c r="AI134" s="6"/>
      <c r="AJ134" s="6"/>
      <c r="AK134" s="6"/>
      <c r="AL134" s="7">
        <f t="shared" si="69"/>
        <v>0</v>
      </c>
      <c r="AM134" s="11">
        <f t="shared" si="46"/>
        <v>0</v>
      </c>
      <c r="AN134" s="25"/>
      <c r="AO134" s="10" t="str">
        <f t="shared" si="47"/>
        <v>MarçoSEMANA 4Pescados - Camarão VG</v>
      </c>
      <c r="AP134" s="7">
        <f>SUMIF(NF!$A:$A,$AO134,NF!$I:$I)</f>
        <v>0</v>
      </c>
      <c r="AQ134" s="6"/>
      <c r="AR134" s="6"/>
      <c r="AS134" s="6"/>
      <c r="AT134" s="6"/>
      <c r="AU134" s="6"/>
      <c r="AV134" s="6"/>
      <c r="AW134" s="6"/>
      <c r="AX134" s="7">
        <f t="shared" si="70"/>
        <v>0</v>
      </c>
      <c r="AY134" s="11">
        <f t="shared" si="48"/>
        <v>0</v>
      </c>
      <c r="AZ134" s="25"/>
      <c r="BA134" s="10" t="str">
        <f t="shared" si="49"/>
        <v>MarçoSEMANA 5Pescados - Camarão VG</v>
      </c>
      <c r="BB134" s="7">
        <f>SUMIF(NF!$A:$A,$BA134,NF!$I:$I)</f>
        <v>0</v>
      </c>
      <c r="BC134" s="6"/>
      <c r="BD134" s="6"/>
      <c r="BE134" s="6"/>
      <c r="BF134" s="6"/>
      <c r="BG134" s="6"/>
      <c r="BH134" s="6"/>
      <c r="BI134" s="74"/>
      <c r="BJ134" s="74"/>
      <c r="BK134" s="7">
        <f t="shared" si="71"/>
        <v>0</v>
      </c>
      <c r="BL134" s="8">
        <f t="shared" si="50"/>
        <v>0</v>
      </c>
      <c r="BM134" s="51" t="str">
        <f>IFERROR(VLOOKUP(A134,NF!$M:$O,3,0),"")</f>
        <v>Carnes</v>
      </c>
      <c r="BN134" s="7">
        <f t="shared" si="51"/>
        <v>0</v>
      </c>
      <c r="BO134" s="8">
        <f t="array" ref="BO134">IFERROR(LARGE(IF(NF!$G$2:$G$3137='Mês atual'!A134,NF!$J$2:$J$3137),1),0)*BN134</f>
        <v>0</v>
      </c>
      <c r="BP134" s="50"/>
      <c r="BR134" s="146">
        <f t="array" ref="BR134">IFERROR(LARGE(IF(NF!$G$2:$G$3137='Mês atual'!A134,NF!$J$2:$J$3137),1),0)</f>
        <v>0</v>
      </c>
      <c r="BS134" s="142" t="str">
        <f>VLOOKUP(A134,NF!M:O,3,0)</f>
        <v>Carnes</v>
      </c>
      <c r="BV134" s="74">
        <f t="shared" si="36"/>
        <v>0</v>
      </c>
      <c r="BW134" s="74">
        <f t="shared" si="37"/>
        <v>0</v>
      </c>
      <c r="BX134" s="74">
        <f t="shared" si="38"/>
        <v>0</v>
      </c>
      <c r="BY134" s="74">
        <f t="shared" si="39"/>
        <v>0</v>
      </c>
      <c r="BZ134" s="74">
        <f t="shared" si="40"/>
        <v>0</v>
      </c>
    </row>
    <row r="135" spans="1:78" x14ac:dyDescent="0.25">
      <c r="A135" s="108" t="s">
        <v>598</v>
      </c>
      <c r="B135" s="12"/>
      <c r="C135" s="9">
        <v>0</v>
      </c>
      <c r="D135" s="25"/>
      <c r="E135" s="10" t="str">
        <f t="shared" si="41"/>
        <v>MarçoSEMANA 1Pescados - Camarão VM</v>
      </c>
      <c r="F135" s="7">
        <f>SUMIF(NF!$A:$A,$E135,NF!$I:$I)</f>
        <v>0</v>
      </c>
      <c r="G135" s="74"/>
      <c r="H135" s="74"/>
      <c r="I135" s="74"/>
      <c r="J135" s="6"/>
      <c r="K135" s="6"/>
      <c r="L135" s="6"/>
      <c r="M135" s="6"/>
      <c r="N135" s="7">
        <f t="shared" si="67"/>
        <v>0</v>
      </c>
      <c r="O135" s="11">
        <f t="shared" si="42"/>
        <v>0</v>
      </c>
      <c r="P135" s="25"/>
      <c r="Q135" s="10" t="str">
        <f t="shared" si="43"/>
        <v>MarçoSEMANA 2Pescados - Camarão VM</v>
      </c>
      <c r="R135" s="7">
        <f>SUMIF(NF!$A:$A,$Q135,NF!$I:$I)</f>
        <v>0</v>
      </c>
      <c r="S135" s="6"/>
      <c r="T135" s="6"/>
      <c r="U135" s="6"/>
      <c r="V135" s="6"/>
      <c r="W135" s="6"/>
      <c r="X135" s="6"/>
      <c r="Y135" s="6"/>
      <c r="Z135" s="7">
        <f t="shared" si="68"/>
        <v>0</v>
      </c>
      <c r="AA135" s="11">
        <f t="shared" si="44"/>
        <v>0</v>
      </c>
      <c r="AB135" s="25"/>
      <c r="AC135" s="10" t="str">
        <f t="shared" si="45"/>
        <v>MarçoSEMANA 3Pescados - Camarão VM</v>
      </c>
      <c r="AD135" s="7">
        <f>SUMIF(NF!$A:$A,$AC135,NF!$I:$I)</f>
        <v>0</v>
      </c>
      <c r="AE135" s="6"/>
      <c r="AF135" s="6"/>
      <c r="AG135" s="6"/>
      <c r="AH135" s="6"/>
      <c r="AI135" s="6"/>
      <c r="AJ135" s="6"/>
      <c r="AK135" s="6"/>
      <c r="AL135" s="7">
        <f t="shared" si="69"/>
        <v>0</v>
      </c>
      <c r="AM135" s="11">
        <f t="shared" si="46"/>
        <v>0</v>
      </c>
      <c r="AN135" s="25"/>
      <c r="AO135" s="10" t="str">
        <f t="shared" si="47"/>
        <v>MarçoSEMANA 4Pescados - Camarão VM</v>
      </c>
      <c r="AP135" s="7">
        <f>SUMIF(NF!$A:$A,$AO135,NF!$I:$I)</f>
        <v>0</v>
      </c>
      <c r="AQ135" s="6"/>
      <c r="AR135" s="6"/>
      <c r="AS135" s="6"/>
      <c r="AT135" s="6"/>
      <c r="AU135" s="6"/>
      <c r="AV135" s="6"/>
      <c r="AW135" s="6"/>
      <c r="AX135" s="7">
        <f t="shared" si="70"/>
        <v>0</v>
      </c>
      <c r="AY135" s="11">
        <f t="shared" si="48"/>
        <v>0</v>
      </c>
      <c r="AZ135" s="25"/>
      <c r="BA135" s="10" t="str">
        <f t="shared" si="49"/>
        <v>MarçoSEMANA 5Pescados - Camarão VM</v>
      </c>
      <c r="BB135" s="7">
        <f>SUMIF(NF!$A:$A,$BA135,NF!$I:$I)</f>
        <v>0</v>
      </c>
      <c r="BC135" s="6"/>
      <c r="BD135" s="6"/>
      <c r="BE135" s="6"/>
      <c r="BF135" s="6"/>
      <c r="BG135" s="6"/>
      <c r="BH135" s="6"/>
      <c r="BI135" s="74"/>
      <c r="BJ135" s="74"/>
      <c r="BK135" s="7">
        <f t="shared" si="71"/>
        <v>0</v>
      </c>
      <c r="BL135" s="8">
        <f t="shared" si="50"/>
        <v>0</v>
      </c>
      <c r="BM135" s="51" t="str">
        <f>IFERROR(VLOOKUP(A135,NF!$M:$O,3,0),"")</f>
        <v>Carnes</v>
      </c>
      <c r="BN135" s="7">
        <f t="shared" si="51"/>
        <v>0</v>
      </c>
      <c r="BO135" s="8">
        <f t="array" ref="BO135">IFERROR(LARGE(IF(NF!$G$2:$G$3137='Mês atual'!A135,NF!$J$2:$J$3137),1),0)*BN135</f>
        <v>0</v>
      </c>
      <c r="BP135" s="50"/>
      <c r="BR135" s="146">
        <f t="array" ref="BR135">IFERROR(LARGE(IF(NF!$G$2:$G$3137='Mês atual'!A135,NF!$J$2:$J$3137),1),0)</f>
        <v>0</v>
      </c>
      <c r="BS135" s="142" t="str">
        <f>VLOOKUP(A135,NF!M:O,3,0)</f>
        <v>Carnes</v>
      </c>
      <c r="BV135" s="74">
        <f t="shared" si="36"/>
        <v>0</v>
      </c>
      <c r="BW135" s="74">
        <f t="shared" si="37"/>
        <v>0</v>
      </c>
      <c r="BX135" s="74">
        <f t="shared" si="38"/>
        <v>0</v>
      </c>
      <c r="BY135" s="74">
        <f t="shared" si="39"/>
        <v>0</v>
      </c>
      <c r="BZ135" s="74">
        <f t="shared" si="40"/>
        <v>0</v>
      </c>
    </row>
    <row r="136" spans="1:78" x14ac:dyDescent="0.2">
      <c r="A136" s="108" t="s">
        <v>599</v>
      </c>
      <c r="B136" s="12"/>
      <c r="C136" s="9">
        <v>0</v>
      </c>
      <c r="D136" s="25"/>
      <c r="E136" s="10" t="str">
        <f t="shared" si="41"/>
        <v>MarçoSEMANA 1Pescados - Carne de siri</v>
      </c>
      <c r="F136" s="7">
        <f>SUMIF(NF!$A:$A,$E136,NF!$I:$I)</f>
        <v>0</v>
      </c>
      <c r="G136" s="74"/>
      <c r="H136" s="74"/>
      <c r="I136" s="74"/>
      <c r="J136" s="6"/>
      <c r="K136" s="6"/>
      <c r="L136" s="6"/>
      <c r="M136" s="6"/>
      <c r="N136" s="7">
        <f t="shared" si="67"/>
        <v>0</v>
      </c>
      <c r="O136" s="11">
        <f t="shared" si="42"/>
        <v>0</v>
      </c>
      <c r="P136" s="25"/>
      <c r="Q136" s="10" t="str">
        <f t="shared" si="43"/>
        <v>MarçoSEMANA 2Pescados - Carne de siri</v>
      </c>
      <c r="R136" s="7">
        <f>SUMIF(NF!$A:$A,$Q136,NF!$I:$I)</f>
        <v>20</v>
      </c>
      <c r="S136" s="6"/>
      <c r="T136" s="6"/>
      <c r="U136" s="6"/>
      <c r="V136" s="6"/>
      <c r="W136" s="6"/>
      <c r="X136" s="6">
        <v>3</v>
      </c>
      <c r="Y136" s="6"/>
      <c r="Z136" s="7">
        <f t="shared" si="68"/>
        <v>3</v>
      </c>
      <c r="AA136" s="11">
        <f t="shared" si="44"/>
        <v>17</v>
      </c>
      <c r="AB136" s="25"/>
      <c r="AC136" s="10" t="str">
        <f t="shared" si="45"/>
        <v>MarçoSEMANA 3Pescados - Carne de siri</v>
      </c>
      <c r="AD136" s="7">
        <f>SUMIF(NF!$A:$A,$AC136,NF!$I:$I)</f>
        <v>0</v>
      </c>
      <c r="AE136" s="6"/>
      <c r="AF136" s="6"/>
      <c r="AG136" s="6">
        <v>12</v>
      </c>
      <c r="AH136" s="6"/>
      <c r="AI136" s="6"/>
      <c r="AJ136" s="6"/>
      <c r="AK136" s="6"/>
      <c r="AL136" s="7">
        <f t="shared" si="69"/>
        <v>12</v>
      </c>
      <c r="AM136" s="11">
        <f t="shared" si="46"/>
        <v>5</v>
      </c>
      <c r="AN136" s="25"/>
      <c r="AO136" s="10" t="str">
        <f t="shared" si="47"/>
        <v>MarçoSEMANA 4Pescados - Carne de siri</v>
      </c>
      <c r="AP136" s="7">
        <f>SUMIF(NF!$A:$A,$AO136,NF!$I:$I)</f>
        <v>10</v>
      </c>
      <c r="AQ136" s="6">
        <v>5</v>
      </c>
      <c r="AR136" s="6"/>
      <c r="AS136" s="6"/>
      <c r="AT136" s="6"/>
      <c r="AU136" s="6"/>
      <c r="AV136" s="6"/>
      <c r="AW136" s="6"/>
      <c r="AX136" s="7">
        <f t="shared" si="70"/>
        <v>5</v>
      </c>
      <c r="AY136" s="11">
        <f t="shared" si="48"/>
        <v>10</v>
      </c>
      <c r="AZ136" s="25"/>
      <c r="BA136" s="10" t="str">
        <f t="shared" si="49"/>
        <v>MarçoSEMANA 5Pescados - Carne de siri</v>
      </c>
      <c r="BB136" s="7">
        <f>SUMIF(NF!$A:$A,$BA136,NF!$I:$I)</f>
        <v>10</v>
      </c>
      <c r="BC136" s="6">
        <v>6</v>
      </c>
      <c r="BD136" s="6"/>
      <c r="BE136" s="6"/>
      <c r="BF136" s="6">
        <v>4</v>
      </c>
      <c r="BG136" s="6"/>
      <c r="BH136" s="6">
        <v>3</v>
      </c>
      <c r="BI136" s="74"/>
      <c r="BJ136" s="74"/>
      <c r="BK136" s="7">
        <f t="shared" si="71"/>
        <v>13</v>
      </c>
      <c r="BL136" s="8">
        <f t="shared" si="50"/>
        <v>7</v>
      </c>
      <c r="BM136" s="51" t="str">
        <f>IFERROR(VLOOKUP(A136,NF!$M:$O,3,0),"")</f>
        <v>Carnes</v>
      </c>
      <c r="BN136" s="7">
        <f t="shared" si="51"/>
        <v>33</v>
      </c>
      <c r="BO136" s="8">
        <f t="array" ref="BO136">IFERROR(LARGE(IF(NF!$G$2:$G$3137='Mês atual'!A136,NF!$J$2:$J$3137),1),0)*BN136</f>
        <v>755.69999999999993</v>
      </c>
      <c r="BP136" s="50"/>
      <c r="BR136" s="146">
        <f t="array" ref="BR136">IFERROR(LARGE(IF(NF!$G$2:$G$3137='Mês atual'!A136,NF!$J$2:$J$3137),1),0)</f>
        <v>22.9</v>
      </c>
      <c r="BS136" s="142" t="str">
        <f>VLOOKUP(A136,NF!M:O,3,0)</f>
        <v>Carnes</v>
      </c>
      <c r="BV136" s="74">
        <f t="shared" ref="BV136:BV200" si="72">N136</f>
        <v>0</v>
      </c>
      <c r="BW136" s="74">
        <f t="shared" ref="BW136:BW200" si="73">Z136</f>
        <v>3</v>
      </c>
      <c r="BX136" s="74">
        <f t="shared" ref="BX136:BX200" si="74">AL136</f>
        <v>12</v>
      </c>
      <c r="BY136" s="74">
        <f t="shared" ref="BY136:BY200" si="75">AX136</f>
        <v>5</v>
      </c>
      <c r="BZ136" s="74">
        <f t="shared" ref="BZ136:BZ200" si="76">BK136</f>
        <v>13</v>
      </c>
    </row>
    <row r="137" spans="1:78" x14ac:dyDescent="0.2">
      <c r="A137" s="108" t="s">
        <v>600</v>
      </c>
      <c r="B137" s="12"/>
      <c r="C137" s="9">
        <v>0</v>
      </c>
      <c r="D137" s="25"/>
      <c r="E137" s="10" t="str">
        <f t="shared" si="41"/>
        <v>MarçoSEMANA 1Pescados - Cherne Fresco</v>
      </c>
      <c r="F137" s="7">
        <f>SUMIF(NF!$A:$A,$E137,NF!$I:$I)</f>
        <v>0</v>
      </c>
      <c r="G137" s="74"/>
      <c r="H137" s="74"/>
      <c r="I137" s="74"/>
      <c r="J137" s="6"/>
      <c r="K137" s="6"/>
      <c r="L137" s="6"/>
      <c r="M137" s="6"/>
      <c r="N137" s="7">
        <f t="shared" si="67"/>
        <v>0</v>
      </c>
      <c r="O137" s="11">
        <f t="shared" si="42"/>
        <v>0</v>
      </c>
      <c r="P137" s="25"/>
      <c r="Q137" s="10" t="str">
        <f t="shared" si="43"/>
        <v>MarçoSEMANA 2Pescados - Cherne Fresco</v>
      </c>
      <c r="R137" s="7">
        <f>SUMIF(NF!$A:$A,$Q137,NF!$I:$I)</f>
        <v>0</v>
      </c>
      <c r="S137" s="6"/>
      <c r="T137" s="6"/>
      <c r="U137" s="6"/>
      <c r="V137" s="6"/>
      <c r="W137" s="6"/>
      <c r="X137" s="6"/>
      <c r="Y137" s="6"/>
      <c r="Z137" s="7">
        <f t="shared" si="68"/>
        <v>0</v>
      </c>
      <c r="AA137" s="11">
        <f t="shared" si="44"/>
        <v>0</v>
      </c>
      <c r="AB137" s="25"/>
      <c r="AC137" s="10" t="str">
        <f t="shared" si="45"/>
        <v>MarçoSEMANA 3Pescados - Cherne Fresco</v>
      </c>
      <c r="AD137" s="7">
        <f>SUMIF(NF!$A:$A,$AC137,NF!$I:$I)</f>
        <v>0</v>
      </c>
      <c r="AE137" s="6"/>
      <c r="AF137" s="6"/>
      <c r="AG137" s="6"/>
      <c r="AH137" s="6"/>
      <c r="AI137" s="6"/>
      <c r="AJ137" s="6"/>
      <c r="AK137" s="6"/>
      <c r="AL137" s="7">
        <f t="shared" si="69"/>
        <v>0</v>
      </c>
      <c r="AM137" s="11">
        <f t="shared" si="46"/>
        <v>0</v>
      </c>
      <c r="AN137" s="25"/>
      <c r="AO137" s="10" t="str">
        <f t="shared" si="47"/>
        <v>MarçoSEMANA 4Pescados - Cherne Fresco</v>
      </c>
      <c r="AP137" s="7">
        <f>SUMIF(NF!$A:$A,$AO137,NF!$I:$I)</f>
        <v>0</v>
      </c>
      <c r="AQ137" s="6"/>
      <c r="AR137" s="6"/>
      <c r="AS137" s="6"/>
      <c r="AT137" s="6"/>
      <c r="AU137" s="6"/>
      <c r="AV137" s="6"/>
      <c r="AW137" s="6"/>
      <c r="AX137" s="7">
        <f t="shared" si="70"/>
        <v>0</v>
      </c>
      <c r="AY137" s="11">
        <f t="shared" si="48"/>
        <v>0</v>
      </c>
      <c r="AZ137" s="25"/>
      <c r="BA137" s="10" t="str">
        <f t="shared" si="49"/>
        <v>MarçoSEMANA 5Pescados - Cherne Fresco</v>
      </c>
      <c r="BB137" s="7">
        <f>SUMIF(NF!$A:$A,$BA137,NF!$I:$I)</f>
        <v>0</v>
      </c>
      <c r="BC137" s="6"/>
      <c r="BD137" s="6"/>
      <c r="BE137" s="6"/>
      <c r="BF137" s="6"/>
      <c r="BG137" s="6"/>
      <c r="BH137" s="6"/>
      <c r="BI137" s="74"/>
      <c r="BJ137" s="74"/>
      <c r="BK137" s="7">
        <f t="shared" si="71"/>
        <v>0</v>
      </c>
      <c r="BL137" s="8">
        <f t="shared" si="50"/>
        <v>0</v>
      </c>
      <c r="BM137" s="51" t="str">
        <f>IFERROR(VLOOKUP(A137,NF!$M:$O,3,0),"")</f>
        <v>Carnes</v>
      </c>
      <c r="BN137" s="7">
        <f t="shared" si="51"/>
        <v>0</v>
      </c>
      <c r="BO137" s="8">
        <f t="array" ref="BO137">IFERROR(LARGE(IF(NF!$G$2:$G$3137='Mês atual'!A137,NF!$J$2:$J$3137),1),0)*BN137</f>
        <v>0</v>
      </c>
      <c r="BP137" s="50"/>
      <c r="BR137" s="146">
        <f t="array" ref="BR137">IFERROR(LARGE(IF(NF!$G$2:$G$3137='Mês atual'!A137,NF!$J$2:$J$3137),1),0)</f>
        <v>0</v>
      </c>
      <c r="BS137" s="142" t="str">
        <f>VLOOKUP(A137,NF!M:O,3,0)</f>
        <v>Carnes</v>
      </c>
      <c r="BV137" s="74">
        <f t="shared" si="72"/>
        <v>0</v>
      </c>
      <c r="BW137" s="74">
        <f t="shared" si="73"/>
        <v>0</v>
      </c>
      <c r="BX137" s="74">
        <f t="shared" si="74"/>
        <v>0</v>
      </c>
      <c r="BY137" s="74">
        <f t="shared" si="75"/>
        <v>0</v>
      </c>
      <c r="BZ137" s="74">
        <f t="shared" si="76"/>
        <v>0</v>
      </c>
    </row>
    <row r="138" spans="1:78" x14ac:dyDescent="0.2">
      <c r="A138" s="108" t="s">
        <v>601</v>
      </c>
      <c r="B138" s="12"/>
      <c r="C138" s="9">
        <v>0</v>
      </c>
      <c r="D138" s="25"/>
      <c r="E138" s="10" t="str">
        <f t="shared" si="41"/>
        <v>MarçoSEMANA 1Pescados - Congro Rosa Fresco</v>
      </c>
      <c r="F138" s="7">
        <f>SUMIF(NF!$A:$A,$E138,NF!$I:$I)</f>
        <v>0</v>
      </c>
      <c r="G138" s="74"/>
      <c r="H138" s="74"/>
      <c r="I138" s="74"/>
      <c r="J138" s="6"/>
      <c r="K138" s="6"/>
      <c r="L138" s="6"/>
      <c r="M138" s="6"/>
      <c r="N138" s="7">
        <f t="shared" si="67"/>
        <v>0</v>
      </c>
      <c r="O138" s="11">
        <f t="shared" si="42"/>
        <v>0</v>
      </c>
      <c r="P138" s="25"/>
      <c r="Q138" s="10" t="str">
        <f t="shared" si="43"/>
        <v>MarçoSEMANA 2Pescados - Congro Rosa Fresco</v>
      </c>
      <c r="R138" s="7">
        <f>SUMIF(NF!$A:$A,$Q138,NF!$I:$I)</f>
        <v>0</v>
      </c>
      <c r="S138" s="6"/>
      <c r="T138" s="6"/>
      <c r="U138" s="6"/>
      <c r="V138" s="6"/>
      <c r="W138" s="6"/>
      <c r="X138" s="6"/>
      <c r="Y138" s="6"/>
      <c r="Z138" s="7">
        <f t="shared" si="68"/>
        <v>0</v>
      </c>
      <c r="AA138" s="11">
        <f t="shared" si="44"/>
        <v>0</v>
      </c>
      <c r="AB138" s="25"/>
      <c r="AC138" s="10" t="str">
        <f t="shared" si="45"/>
        <v>MarçoSEMANA 3Pescados - Congro Rosa Fresco</v>
      </c>
      <c r="AD138" s="7">
        <f>SUMIF(NF!$A:$A,$AC138,NF!$I:$I)</f>
        <v>0</v>
      </c>
      <c r="AE138" s="6"/>
      <c r="AF138" s="6"/>
      <c r="AG138" s="6"/>
      <c r="AH138" s="6"/>
      <c r="AI138" s="6"/>
      <c r="AJ138" s="6"/>
      <c r="AK138" s="6"/>
      <c r="AL138" s="7">
        <f t="shared" si="69"/>
        <v>0</v>
      </c>
      <c r="AM138" s="11">
        <f t="shared" si="46"/>
        <v>0</v>
      </c>
      <c r="AN138" s="25"/>
      <c r="AO138" s="10" t="str">
        <f t="shared" si="47"/>
        <v>MarçoSEMANA 4Pescados - Congro Rosa Fresco</v>
      </c>
      <c r="AP138" s="7">
        <f>SUMIF(NF!$A:$A,$AO138,NF!$I:$I)</f>
        <v>0</v>
      </c>
      <c r="AQ138" s="6"/>
      <c r="AR138" s="6"/>
      <c r="AS138" s="6"/>
      <c r="AT138" s="6"/>
      <c r="AU138" s="6"/>
      <c r="AV138" s="6"/>
      <c r="AW138" s="6"/>
      <c r="AX138" s="7">
        <f t="shared" si="70"/>
        <v>0</v>
      </c>
      <c r="AY138" s="11">
        <f t="shared" si="48"/>
        <v>0</v>
      </c>
      <c r="AZ138" s="25"/>
      <c r="BA138" s="10" t="str">
        <f t="shared" si="49"/>
        <v>MarçoSEMANA 5Pescados - Congro Rosa Fresco</v>
      </c>
      <c r="BB138" s="7">
        <f>SUMIF(NF!$A:$A,$BA138,NF!$I:$I)</f>
        <v>0</v>
      </c>
      <c r="BC138" s="6"/>
      <c r="BD138" s="6"/>
      <c r="BE138" s="6"/>
      <c r="BF138" s="6"/>
      <c r="BG138" s="6"/>
      <c r="BH138" s="6"/>
      <c r="BI138" s="74"/>
      <c r="BJ138" s="74"/>
      <c r="BK138" s="7">
        <f t="shared" si="71"/>
        <v>0</v>
      </c>
      <c r="BL138" s="8">
        <f t="shared" si="50"/>
        <v>0</v>
      </c>
      <c r="BM138" s="51" t="str">
        <f>IFERROR(VLOOKUP(A138,NF!$M:$O,3,0),"")</f>
        <v>Carnes</v>
      </c>
      <c r="BN138" s="7">
        <f t="shared" si="51"/>
        <v>0</v>
      </c>
      <c r="BO138" s="8">
        <f t="array" ref="BO138">IFERROR(LARGE(IF(NF!$G$2:$G$3137='Mês atual'!A138,NF!$J$2:$J$3137),1),0)*BN138</f>
        <v>0</v>
      </c>
      <c r="BP138" s="50"/>
      <c r="BR138" s="146">
        <f t="array" ref="BR138">IFERROR(LARGE(IF(NF!$G$2:$G$3137='Mês atual'!A138,NF!$J$2:$J$3137),1),0)</f>
        <v>0</v>
      </c>
      <c r="BS138" s="142" t="str">
        <f>VLOOKUP(A138,NF!M:O,3,0)</f>
        <v>Carnes</v>
      </c>
      <c r="BV138" s="74">
        <f t="shared" si="72"/>
        <v>0</v>
      </c>
      <c r="BW138" s="74">
        <f t="shared" si="73"/>
        <v>0</v>
      </c>
      <c r="BX138" s="74">
        <f t="shared" si="74"/>
        <v>0</v>
      </c>
      <c r="BY138" s="74">
        <f t="shared" si="75"/>
        <v>0</v>
      </c>
      <c r="BZ138" s="74">
        <f t="shared" si="76"/>
        <v>0</v>
      </c>
    </row>
    <row r="139" spans="1:78" x14ac:dyDescent="0.2">
      <c r="A139" s="108" t="s">
        <v>602</v>
      </c>
      <c r="B139" s="12"/>
      <c r="C139" s="9">
        <v>0</v>
      </c>
      <c r="D139" s="25"/>
      <c r="E139" s="10" t="str">
        <f t="shared" si="41"/>
        <v>MarçoSEMANA 1Pescados - Costela de Tambaqui</v>
      </c>
      <c r="F139" s="7">
        <f>SUMIF(NF!$A:$A,$E139,NF!$I:$I)</f>
        <v>0</v>
      </c>
      <c r="G139" s="74"/>
      <c r="H139" s="74"/>
      <c r="I139" s="74"/>
      <c r="J139" s="6"/>
      <c r="K139" s="6"/>
      <c r="L139" s="6"/>
      <c r="M139" s="6"/>
      <c r="N139" s="7">
        <f t="shared" si="67"/>
        <v>0</v>
      </c>
      <c r="O139" s="11">
        <f t="shared" si="42"/>
        <v>0</v>
      </c>
      <c r="P139" s="25"/>
      <c r="Q139" s="10" t="str">
        <f t="shared" si="43"/>
        <v>MarçoSEMANA 2Pescados - Costela de Tambaqui</v>
      </c>
      <c r="R139" s="7">
        <f>SUMIF(NF!$A:$A,$Q139,NF!$I:$I)</f>
        <v>0</v>
      </c>
      <c r="S139" s="6"/>
      <c r="T139" s="6"/>
      <c r="U139" s="6"/>
      <c r="V139" s="6"/>
      <c r="W139" s="6"/>
      <c r="X139" s="6"/>
      <c r="Y139" s="6"/>
      <c r="Z139" s="7">
        <f t="shared" si="68"/>
        <v>0</v>
      </c>
      <c r="AA139" s="11">
        <f t="shared" si="44"/>
        <v>0</v>
      </c>
      <c r="AB139" s="25"/>
      <c r="AC139" s="10" t="str">
        <f t="shared" si="45"/>
        <v>MarçoSEMANA 3Pescados - Costela de Tambaqui</v>
      </c>
      <c r="AD139" s="7">
        <f>SUMIF(NF!$A:$A,$AC139,NF!$I:$I)</f>
        <v>0</v>
      </c>
      <c r="AE139" s="6"/>
      <c r="AF139" s="6"/>
      <c r="AG139" s="6"/>
      <c r="AH139" s="6"/>
      <c r="AI139" s="6"/>
      <c r="AJ139" s="6"/>
      <c r="AK139" s="6"/>
      <c r="AL139" s="7">
        <f t="shared" si="69"/>
        <v>0</v>
      </c>
      <c r="AM139" s="11">
        <f t="shared" si="46"/>
        <v>0</v>
      </c>
      <c r="AN139" s="25"/>
      <c r="AO139" s="10" t="str">
        <f t="shared" si="47"/>
        <v>MarçoSEMANA 4Pescados - Costela de Tambaqui</v>
      </c>
      <c r="AP139" s="7">
        <f>SUMIF(NF!$A:$A,$AO139,NF!$I:$I)</f>
        <v>0</v>
      </c>
      <c r="AQ139" s="6"/>
      <c r="AR139" s="6"/>
      <c r="AS139" s="6"/>
      <c r="AT139" s="6"/>
      <c r="AU139" s="6"/>
      <c r="AV139" s="6"/>
      <c r="AW139" s="6"/>
      <c r="AX139" s="7">
        <f t="shared" si="70"/>
        <v>0</v>
      </c>
      <c r="AY139" s="11">
        <f t="shared" si="48"/>
        <v>0</v>
      </c>
      <c r="AZ139" s="25"/>
      <c r="BA139" s="10" t="str">
        <f t="shared" si="49"/>
        <v>MarçoSEMANA 5Pescados - Costela de Tambaqui</v>
      </c>
      <c r="BB139" s="7">
        <f>SUMIF(NF!$A:$A,$BA139,NF!$I:$I)</f>
        <v>0</v>
      </c>
      <c r="BC139" s="6"/>
      <c r="BD139" s="6"/>
      <c r="BE139" s="6"/>
      <c r="BF139" s="6"/>
      <c r="BG139" s="6"/>
      <c r="BH139" s="6"/>
      <c r="BI139" s="74"/>
      <c r="BJ139" s="74"/>
      <c r="BK139" s="7">
        <f t="shared" si="71"/>
        <v>0</v>
      </c>
      <c r="BL139" s="8">
        <f t="shared" si="50"/>
        <v>0</v>
      </c>
      <c r="BM139" s="51" t="str">
        <f>IFERROR(VLOOKUP(A139,NF!$M:$O,3,0),"")</f>
        <v>Carnes</v>
      </c>
      <c r="BN139" s="7">
        <f t="shared" si="51"/>
        <v>0</v>
      </c>
      <c r="BO139" s="8">
        <f t="array" ref="BO139">IFERROR(LARGE(IF(NF!$G$2:$G$3137='Mês atual'!A139,NF!$J$2:$J$3137),1),0)*BN139</f>
        <v>0</v>
      </c>
      <c r="BP139" s="50"/>
      <c r="BR139" s="146">
        <f t="array" ref="BR139">IFERROR(LARGE(IF(NF!$G$2:$G$3137='Mês atual'!A139,NF!$J$2:$J$3137),1),0)</f>
        <v>0</v>
      </c>
      <c r="BS139" s="142" t="str">
        <f>VLOOKUP(A139,NF!M:O,3,0)</f>
        <v>Carnes</v>
      </c>
      <c r="BV139" s="74">
        <f t="shared" si="72"/>
        <v>0</v>
      </c>
      <c r="BW139" s="74">
        <f t="shared" si="73"/>
        <v>0</v>
      </c>
      <c r="BX139" s="74">
        <f t="shared" si="74"/>
        <v>0</v>
      </c>
      <c r="BY139" s="74">
        <f t="shared" si="75"/>
        <v>0</v>
      </c>
      <c r="BZ139" s="74">
        <f t="shared" si="76"/>
        <v>0</v>
      </c>
    </row>
    <row r="140" spans="1:78" x14ac:dyDescent="0.2">
      <c r="A140" s="108" t="s">
        <v>603</v>
      </c>
      <c r="B140" s="12"/>
      <c r="C140" s="9">
        <v>0</v>
      </c>
      <c r="D140" s="25"/>
      <c r="E140" s="10" t="str">
        <f t="shared" si="41"/>
        <v>MarçoSEMANA 1Pescados - Dourado Fresco</v>
      </c>
      <c r="F140" s="7">
        <f>SUMIF(NF!$A:$A,$E140,NF!$I:$I)</f>
        <v>0</v>
      </c>
      <c r="G140" s="74"/>
      <c r="H140" s="74"/>
      <c r="I140" s="74"/>
      <c r="J140" s="6"/>
      <c r="K140" s="6"/>
      <c r="L140" s="6"/>
      <c r="M140" s="6"/>
      <c r="N140" s="7">
        <f t="shared" si="67"/>
        <v>0</v>
      </c>
      <c r="O140" s="11">
        <f t="shared" ref="O140:O198" si="77">F140+C140-N140</f>
        <v>0</v>
      </c>
      <c r="P140" s="25"/>
      <c r="Q140" s="10" t="str">
        <f t="shared" si="43"/>
        <v>MarçoSEMANA 2Pescados - Dourado Fresco</v>
      </c>
      <c r="R140" s="7">
        <f>SUMIF(NF!$A:$A,$Q140,NF!$I:$I)</f>
        <v>0</v>
      </c>
      <c r="S140" s="6"/>
      <c r="T140" s="6"/>
      <c r="U140" s="6"/>
      <c r="V140" s="6"/>
      <c r="W140" s="6"/>
      <c r="X140" s="6"/>
      <c r="Y140" s="6"/>
      <c r="Z140" s="7">
        <f t="shared" si="68"/>
        <v>0</v>
      </c>
      <c r="AA140" s="11">
        <f t="shared" ref="AA140:AA198" si="78">R140+O140-Z140</f>
        <v>0</v>
      </c>
      <c r="AB140" s="25"/>
      <c r="AC140" s="10" t="str">
        <f t="shared" si="45"/>
        <v>MarçoSEMANA 3Pescados - Dourado Fresco</v>
      </c>
      <c r="AD140" s="7">
        <f>SUMIF(NF!$A:$A,$AC140,NF!$I:$I)</f>
        <v>0</v>
      </c>
      <c r="AE140" s="6"/>
      <c r="AF140" s="6"/>
      <c r="AG140" s="6"/>
      <c r="AH140" s="6"/>
      <c r="AI140" s="6"/>
      <c r="AJ140" s="6"/>
      <c r="AK140" s="6"/>
      <c r="AL140" s="7">
        <f t="shared" si="69"/>
        <v>0</v>
      </c>
      <c r="AM140" s="11">
        <f t="shared" ref="AM140:AM198" si="79">AD140+AA140-AL140</f>
        <v>0</v>
      </c>
      <c r="AN140" s="25"/>
      <c r="AO140" s="10" t="str">
        <f t="shared" si="47"/>
        <v>MarçoSEMANA 4Pescados - Dourado Fresco</v>
      </c>
      <c r="AP140" s="7">
        <f>SUMIF(NF!$A:$A,$AO140,NF!$I:$I)</f>
        <v>0</v>
      </c>
      <c r="AQ140" s="6"/>
      <c r="AR140" s="6"/>
      <c r="AS140" s="6"/>
      <c r="AT140" s="6"/>
      <c r="AU140" s="6"/>
      <c r="AV140" s="6"/>
      <c r="AW140" s="6"/>
      <c r="AX140" s="7">
        <f t="shared" si="70"/>
        <v>0</v>
      </c>
      <c r="AY140" s="11">
        <f t="shared" ref="AY140:AY198" si="80">AP140+AM140-AX140</f>
        <v>0</v>
      </c>
      <c r="AZ140" s="25"/>
      <c r="BA140" s="10" t="str">
        <f t="shared" si="49"/>
        <v>MarçoSEMANA 5Pescados - Dourado Fresco</v>
      </c>
      <c r="BB140" s="7">
        <f>SUMIF(NF!$A:$A,$BA140,NF!$I:$I)</f>
        <v>19.5</v>
      </c>
      <c r="BC140" s="6"/>
      <c r="BD140" s="6"/>
      <c r="BE140" s="6"/>
      <c r="BF140" s="6"/>
      <c r="BG140" s="6">
        <v>19.5</v>
      </c>
      <c r="BH140" s="6"/>
      <c r="BI140" s="74"/>
      <c r="BJ140" s="74"/>
      <c r="BK140" s="7">
        <f t="shared" si="71"/>
        <v>19.5</v>
      </c>
      <c r="BL140" s="8">
        <f t="shared" ref="BL140:BL198" si="81">BB140+AY140-BK140</f>
        <v>0</v>
      </c>
      <c r="BM140" s="51" t="str">
        <f>IFERROR(VLOOKUP(A140,NF!$M:$O,3,0),"")</f>
        <v>Carnes</v>
      </c>
      <c r="BN140" s="7">
        <f t="shared" ref="BN140:BN198" si="82">SUM(N140,Z140,AL140,AX140,BK140)</f>
        <v>19.5</v>
      </c>
      <c r="BO140" s="8">
        <f t="array" ref="BO140">IFERROR(LARGE(IF(NF!$G$2:$G$3137='Mês atual'!A140,NF!$J$2:$J$3137),1),0)*BN140</f>
        <v>388.04999999999995</v>
      </c>
      <c r="BP140" s="50"/>
      <c r="BR140" s="146">
        <f t="array" ref="BR140">IFERROR(LARGE(IF(NF!$G$2:$G$3137='Mês atual'!A140,NF!$J$2:$J$3137),1),0)</f>
        <v>19.899999999999999</v>
      </c>
      <c r="BS140" s="142" t="str">
        <f>VLOOKUP(A140,NF!M:O,3,0)</f>
        <v>Carnes</v>
      </c>
      <c r="BV140" s="74">
        <f t="shared" si="72"/>
        <v>0</v>
      </c>
      <c r="BW140" s="74">
        <f t="shared" si="73"/>
        <v>0</v>
      </c>
      <c r="BX140" s="74">
        <f t="shared" si="74"/>
        <v>0</v>
      </c>
      <c r="BY140" s="74">
        <f t="shared" si="75"/>
        <v>0</v>
      </c>
      <c r="BZ140" s="74">
        <f t="shared" si="76"/>
        <v>19.5</v>
      </c>
    </row>
    <row r="141" spans="1:78" x14ac:dyDescent="0.2">
      <c r="A141" s="108" t="s">
        <v>1070</v>
      </c>
      <c r="B141" s="12"/>
      <c r="C141" s="9">
        <v>0</v>
      </c>
      <c r="D141" s="25"/>
      <c r="E141" s="10" t="str">
        <f t="shared" si="41"/>
        <v xml:space="preserve">MarçoSEMANA 1Pescados -  File Congro Negro </v>
      </c>
      <c r="F141" s="7">
        <f>SUMIF(NF!$A:$A,$E141,NF!$I:$I)</f>
        <v>0</v>
      </c>
      <c r="G141" s="74"/>
      <c r="H141" s="74"/>
      <c r="I141" s="74"/>
      <c r="J141" s="6"/>
      <c r="K141" s="6"/>
      <c r="L141" s="6"/>
      <c r="M141" s="6"/>
      <c r="N141" s="7">
        <f t="shared" ref="N141" si="83">SUM(G141:M141)</f>
        <v>0</v>
      </c>
      <c r="O141" s="11">
        <f t="shared" ref="O141" si="84">F141+C141-N141</f>
        <v>0</v>
      </c>
      <c r="P141" s="25"/>
      <c r="Q141" s="10" t="str">
        <f t="shared" si="43"/>
        <v xml:space="preserve">MarçoSEMANA 2Pescados -  File Congro Negro </v>
      </c>
      <c r="R141" s="7">
        <f>SUMIF(NF!$A:$A,$Q141,NF!$I:$I)</f>
        <v>0</v>
      </c>
      <c r="S141" s="6"/>
      <c r="T141" s="6"/>
      <c r="U141" s="6"/>
      <c r="V141" s="6"/>
      <c r="W141" s="6"/>
      <c r="X141" s="6"/>
      <c r="Y141" s="6"/>
      <c r="Z141" s="7">
        <f t="shared" ref="Z141" si="85">SUM(S141:Y141)</f>
        <v>0</v>
      </c>
      <c r="AA141" s="11">
        <f t="shared" ref="AA141" si="86">R141+O141-Z141</f>
        <v>0</v>
      </c>
      <c r="AB141" s="25"/>
      <c r="AC141" s="10" t="str">
        <f t="shared" si="45"/>
        <v xml:space="preserve">MarçoSEMANA 3Pescados -  File Congro Negro </v>
      </c>
      <c r="AD141" s="7">
        <f>SUMIF(NF!$A:$A,$AC141,NF!$I:$I)</f>
        <v>0</v>
      </c>
      <c r="AE141" s="6"/>
      <c r="AF141" s="6"/>
      <c r="AG141" s="6"/>
      <c r="AH141" s="6"/>
      <c r="AI141" s="6"/>
      <c r="AJ141" s="6"/>
      <c r="AK141" s="6"/>
      <c r="AL141" s="7">
        <f t="shared" ref="AL141" si="87">SUM(AE141:AK141)</f>
        <v>0</v>
      </c>
      <c r="AM141" s="11">
        <f t="shared" ref="AM141" si="88">AD141+AA141-AL141</f>
        <v>0</v>
      </c>
      <c r="AN141" s="25"/>
      <c r="AO141" s="10" t="str">
        <f t="shared" si="47"/>
        <v xml:space="preserve">MarçoSEMANA 4Pescados -  File Congro Negro </v>
      </c>
      <c r="AP141" s="7">
        <f>SUMIF(NF!$A:$A,$AO141,NF!$I:$I)</f>
        <v>0</v>
      </c>
      <c r="AQ141" s="6"/>
      <c r="AR141" s="6"/>
      <c r="AS141" s="6"/>
      <c r="AT141" s="6"/>
      <c r="AU141" s="6"/>
      <c r="AV141" s="6"/>
      <c r="AW141" s="6"/>
      <c r="AX141" s="7">
        <f t="shared" ref="AX141" si="89">SUM(AQ141:AW141)</f>
        <v>0</v>
      </c>
      <c r="AY141" s="11">
        <f t="shared" ref="AY141" si="90">AP141+AM141-AX141</f>
        <v>0</v>
      </c>
      <c r="AZ141" s="25"/>
      <c r="BA141" s="10" t="str">
        <f t="shared" si="49"/>
        <v xml:space="preserve">MarçoSEMANA 5Pescados -  File Congro Negro </v>
      </c>
      <c r="BB141" s="7">
        <f>SUMIF(NF!$A:$A,$BA141,NF!$I:$I)</f>
        <v>0</v>
      </c>
      <c r="BC141" s="6"/>
      <c r="BD141" s="6"/>
      <c r="BE141" s="6"/>
      <c r="BF141" s="6"/>
      <c r="BG141" s="6"/>
      <c r="BH141" s="6"/>
      <c r="BI141" s="74"/>
      <c r="BJ141" s="74"/>
      <c r="BK141" s="7">
        <f t="shared" ref="BK141" si="91">SUM(BC141:BJ141)</f>
        <v>0</v>
      </c>
      <c r="BL141" s="8">
        <f t="shared" ref="BL141" si="92">BB141+AY141-BK141</f>
        <v>0</v>
      </c>
      <c r="BM141" s="51" t="str">
        <f>IFERROR(VLOOKUP(A141,NF!$M:$O,3,0),"")</f>
        <v>Carnes</v>
      </c>
      <c r="BN141" s="7">
        <f t="shared" ref="BN141" si="93">SUM(N141,Z141,AL141,AX141,BK141)</f>
        <v>0</v>
      </c>
      <c r="BO141" s="8">
        <f t="array" ref="BO141">IFERROR(LARGE(IF(NF!$G$2:$G$3137='Mês atual'!A141,NF!$J$2:$J$3137),1),0)*BN141</f>
        <v>0</v>
      </c>
      <c r="BP141" s="50"/>
      <c r="BR141" s="146">
        <f t="array" ref="BR141">IFERROR(LARGE(IF(NF!$G$2:$G$3137='Mês atual'!A141,NF!$J$2:$J$3137),1),0)</f>
        <v>0</v>
      </c>
      <c r="BS141" s="142" t="str">
        <f>VLOOKUP(A141,NF!M:O,3,0)</f>
        <v>Carnes</v>
      </c>
      <c r="BV141" s="74">
        <f t="shared" ref="BV141" si="94">N141</f>
        <v>0</v>
      </c>
      <c r="BW141" s="74">
        <f t="shared" ref="BW141" si="95">Z141</f>
        <v>0</v>
      </c>
      <c r="BX141" s="74">
        <f t="shared" ref="BX141" si="96">AL141</f>
        <v>0</v>
      </c>
      <c r="BY141" s="74">
        <f t="shared" ref="BY141" si="97">AX141</f>
        <v>0</v>
      </c>
      <c r="BZ141" s="74">
        <f t="shared" ref="BZ141" si="98">BK141</f>
        <v>0</v>
      </c>
    </row>
    <row r="142" spans="1:78" x14ac:dyDescent="0.25">
      <c r="A142" s="108" t="s">
        <v>605</v>
      </c>
      <c r="B142" s="12"/>
      <c r="C142" s="9">
        <v>6</v>
      </c>
      <c r="D142" s="25"/>
      <c r="E142" s="10" t="str">
        <f t="shared" si="41"/>
        <v>MarçoSEMANA 1Pescados - Filé de Pescada</v>
      </c>
      <c r="F142" s="7">
        <f>SUMIF(NF!$A:$A,$E142,NF!$I:$I)</f>
        <v>0</v>
      </c>
      <c r="G142" s="74"/>
      <c r="H142" s="74"/>
      <c r="I142" s="74"/>
      <c r="J142" s="6"/>
      <c r="K142" s="6">
        <v>6</v>
      </c>
      <c r="L142" s="6"/>
      <c r="M142" s="6"/>
      <c r="N142" s="7">
        <f t="shared" si="67"/>
        <v>6</v>
      </c>
      <c r="O142" s="11">
        <f t="shared" si="77"/>
        <v>0</v>
      </c>
      <c r="P142" s="25"/>
      <c r="Q142" s="10" t="str">
        <f t="shared" si="43"/>
        <v>MarçoSEMANA 2Pescados - Filé de Pescada</v>
      </c>
      <c r="R142" s="7">
        <f>SUMIF(NF!$A:$A,$Q142,NF!$I:$I)</f>
        <v>24</v>
      </c>
      <c r="S142" s="6"/>
      <c r="T142" s="6"/>
      <c r="U142" s="6">
        <v>18</v>
      </c>
      <c r="V142" s="6"/>
      <c r="W142" s="6"/>
      <c r="X142" s="6"/>
      <c r="Y142" s="6"/>
      <c r="Z142" s="7">
        <f t="shared" si="68"/>
        <v>18</v>
      </c>
      <c r="AA142" s="11">
        <f t="shared" si="78"/>
        <v>6</v>
      </c>
      <c r="AB142" s="25"/>
      <c r="AC142" s="10" t="str">
        <f t="shared" si="45"/>
        <v>MarçoSEMANA 3Pescados - Filé de Pescada</v>
      </c>
      <c r="AD142" s="7">
        <f>SUMIF(NF!$A:$A,$AC142,NF!$I:$I)</f>
        <v>0</v>
      </c>
      <c r="AE142" s="6"/>
      <c r="AF142" s="6"/>
      <c r="AG142" s="6"/>
      <c r="AH142" s="6"/>
      <c r="AI142" s="6"/>
      <c r="AJ142" s="6"/>
      <c r="AK142" s="6"/>
      <c r="AL142" s="7">
        <f t="shared" si="69"/>
        <v>0</v>
      </c>
      <c r="AM142" s="11">
        <f t="shared" si="79"/>
        <v>6</v>
      </c>
      <c r="AN142" s="25"/>
      <c r="AO142" s="10" t="str">
        <f t="shared" si="47"/>
        <v>MarçoSEMANA 4Pescados - Filé de Pescada</v>
      </c>
      <c r="AP142" s="7">
        <f>SUMIF(NF!$A:$A,$AO142,NF!$I:$I)</f>
        <v>0</v>
      </c>
      <c r="AQ142" s="6"/>
      <c r="AR142" s="6"/>
      <c r="AS142" s="6"/>
      <c r="AT142" s="6">
        <v>6</v>
      </c>
      <c r="AU142" s="6"/>
      <c r="AV142" s="6"/>
      <c r="AW142" s="6"/>
      <c r="AX142" s="7">
        <f t="shared" si="70"/>
        <v>6</v>
      </c>
      <c r="AY142" s="11">
        <f t="shared" si="80"/>
        <v>0</v>
      </c>
      <c r="AZ142" s="25"/>
      <c r="BA142" s="10" t="str">
        <f t="shared" si="49"/>
        <v>MarçoSEMANA 5Pescados - Filé de Pescada</v>
      </c>
      <c r="BB142" s="7">
        <f>SUMIF(NF!$A:$A,$BA142,NF!$I:$I)</f>
        <v>0</v>
      </c>
      <c r="BC142" s="6"/>
      <c r="BD142" s="6"/>
      <c r="BE142" s="6"/>
      <c r="BF142" s="6"/>
      <c r="BG142" s="6"/>
      <c r="BH142" s="6"/>
      <c r="BI142" s="74"/>
      <c r="BJ142" s="74"/>
      <c r="BK142" s="7">
        <f t="shared" si="71"/>
        <v>0</v>
      </c>
      <c r="BL142" s="8">
        <f t="shared" si="81"/>
        <v>0</v>
      </c>
      <c r="BM142" s="51" t="str">
        <f>IFERROR(VLOOKUP(A142,NF!$M:$O,3,0),"")</f>
        <v>Carnes</v>
      </c>
      <c r="BN142" s="7">
        <f t="shared" si="82"/>
        <v>30</v>
      </c>
      <c r="BO142" s="8">
        <f t="array" ref="BO142">IFERROR(LARGE(IF(NF!$G$2:$G$3137='Mês atual'!A142,NF!$J$2:$J$3137),1),0)*BN142</f>
        <v>387</v>
      </c>
      <c r="BP142" s="50"/>
      <c r="BR142" s="146">
        <f t="array" ref="BR142">IFERROR(LARGE(IF(NF!$G$2:$G$3137='Mês atual'!A142,NF!$J$2:$J$3137),1),0)</f>
        <v>12.9</v>
      </c>
      <c r="BS142" s="142" t="str">
        <f>VLOOKUP(A142,NF!M:O,3,0)</f>
        <v>Carnes</v>
      </c>
      <c r="BV142" s="74">
        <f t="shared" si="72"/>
        <v>6</v>
      </c>
      <c r="BW142" s="74">
        <f t="shared" si="73"/>
        <v>18</v>
      </c>
      <c r="BX142" s="74">
        <f t="shared" si="74"/>
        <v>0</v>
      </c>
      <c r="BY142" s="74">
        <f t="shared" si="75"/>
        <v>6</v>
      </c>
      <c r="BZ142" s="74">
        <f t="shared" si="76"/>
        <v>0</v>
      </c>
    </row>
    <row r="143" spans="1:78" x14ac:dyDescent="0.25">
      <c r="A143" s="108" t="s">
        <v>606</v>
      </c>
      <c r="B143" s="12"/>
      <c r="C143" s="9">
        <v>0</v>
      </c>
      <c r="D143" s="25"/>
      <c r="E143" s="10" t="str">
        <f t="shared" si="41"/>
        <v>MarçoSEMANA 1Pescados - Filé Linguado Cong. G</v>
      </c>
      <c r="F143" s="7">
        <f>SUMIF(NF!$A:$A,$E143,NF!$I:$I)</f>
        <v>0</v>
      </c>
      <c r="G143" s="74"/>
      <c r="H143" s="74"/>
      <c r="I143" s="74"/>
      <c r="J143" s="6"/>
      <c r="K143" s="6"/>
      <c r="L143" s="6"/>
      <c r="M143" s="6"/>
      <c r="N143" s="7">
        <f t="shared" si="67"/>
        <v>0</v>
      </c>
      <c r="O143" s="11">
        <f t="shared" si="77"/>
        <v>0</v>
      </c>
      <c r="P143" s="25"/>
      <c r="Q143" s="10" t="str">
        <f t="shared" si="43"/>
        <v>MarçoSEMANA 2Pescados - Filé Linguado Cong. G</v>
      </c>
      <c r="R143" s="7">
        <f>SUMIF(NF!$A:$A,$Q143,NF!$I:$I)</f>
        <v>0</v>
      </c>
      <c r="S143" s="6"/>
      <c r="T143" s="6"/>
      <c r="U143" s="6"/>
      <c r="V143" s="6"/>
      <c r="W143" s="6"/>
      <c r="X143" s="6"/>
      <c r="Y143" s="6"/>
      <c r="Z143" s="7">
        <f t="shared" si="68"/>
        <v>0</v>
      </c>
      <c r="AA143" s="11">
        <f t="shared" si="78"/>
        <v>0</v>
      </c>
      <c r="AB143" s="25"/>
      <c r="AC143" s="10" t="str">
        <f t="shared" si="45"/>
        <v>MarçoSEMANA 3Pescados - Filé Linguado Cong. G</v>
      </c>
      <c r="AD143" s="7">
        <f>SUMIF(NF!$A:$A,$AC143,NF!$I:$I)</f>
        <v>0</v>
      </c>
      <c r="AE143" s="6"/>
      <c r="AF143" s="6"/>
      <c r="AG143" s="6"/>
      <c r="AH143" s="6"/>
      <c r="AI143" s="6"/>
      <c r="AJ143" s="6"/>
      <c r="AK143" s="6"/>
      <c r="AL143" s="7">
        <f t="shared" si="69"/>
        <v>0</v>
      </c>
      <c r="AM143" s="11">
        <f t="shared" si="79"/>
        <v>0</v>
      </c>
      <c r="AN143" s="25"/>
      <c r="AO143" s="10" t="str">
        <f t="shared" si="47"/>
        <v>MarçoSEMANA 4Pescados - Filé Linguado Cong. G</v>
      </c>
      <c r="AP143" s="7">
        <f>SUMIF(NF!$A:$A,$AO143,NF!$I:$I)</f>
        <v>0</v>
      </c>
      <c r="AQ143" s="6"/>
      <c r="AR143" s="6"/>
      <c r="AS143" s="6"/>
      <c r="AT143" s="6"/>
      <c r="AU143" s="6"/>
      <c r="AV143" s="6"/>
      <c r="AW143" s="6"/>
      <c r="AX143" s="7">
        <f t="shared" si="70"/>
        <v>0</v>
      </c>
      <c r="AY143" s="11">
        <f t="shared" si="80"/>
        <v>0</v>
      </c>
      <c r="AZ143" s="25"/>
      <c r="BA143" s="10" t="str">
        <f t="shared" si="49"/>
        <v>MarçoSEMANA 5Pescados - Filé Linguado Cong. G</v>
      </c>
      <c r="BB143" s="7">
        <f>SUMIF(NF!$A:$A,$BA143,NF!$I:$I)</f>
        <v>0</v>
      </c>
      <c r="BC143" s="6"/>
      <c r="BD143" s="6"/>
      <c r="BE143" s="6"/>
      <c r="BF143" s="6"/>
      <c r="BG143" s="6"/>
      <c r="BH143" s="6"/>
      <c r="BI143" s="74"/>
      <c r="BJ143" s="74"/>
      <c r="BK143" s="7">
        <f t="shared" si="71"/>
        <v>0</v>
      </c>
      <c r="BL143" s="8">
        <f t="shared" si="81"/>
        <v>0</v>
      </c>
      <c r="BM143" s="51" t="str">
        <f>IFERROR(VLOOKUP(A143,NF!$M:$O,3,0),"")</f>
        <v>Carnes</v>
      </c>
      <c r="BN143" s="7">
        <f t="shared" si="82"/>
        <v>0</v>
      </c>
      <c r="BO143" s="8">
        <f t="array" ref="BO143">IFERROR(LARGE(IF(NF!$G$2:$G$3137='Mês atual'!A143,NF!$J$2:$J$3137),1),0)*BN143</f>
        <v>0</v>
      </c>
      <c r="BP143" s="50"/>
      <c r="BR143" s="146">
        <f t="array" ref="BR143">IFERROR(LARGE(IF(NF!$G$2:$G$3137='Mês atual'!A143,NF!$J$2:$J$3137),1),0)</f>
        <v>0</v>
      </c>
      <c r="BS143" s="142" t="str">
        <f>VLOOKUP(A143,NF!M:O,3,0)</f>
        <v>Carnes</v>
      </c>
      <c r="BV143" s="74">
        <f t="shared" si="72"/>
        <v>0</v>
      </c>
      <c r="BW143" s="74">
        <f t="shared" si="73"/>
        <v>0</v>
      </c>
      <c r="BX143" s="74">
        <f t="shared" si="74"/>
        <v>0</v>
      </c>
      <c r="BY143" s="74">
        <f t="shared" si="75"/>
        <v>0</v>
      </c>
      <c r="BZ143" s="74">
        <f t="shared" si="76"/>
        <v>0</v>
      </c>
    </row>
    <row r="144" spans="1:78" x14ac:dyDescent="0.25">
      <c r="A144" s="108" t="s">
        <v>607</v>
      </c>
      <c r="B144" s="12"/>
      <c r="C144" s="9">
        <v>40</v>
      </c>
      <c r="D144" s="25"/>
      <c r="E144" s="10" t="str">
        <f t="shared" si="41"/>
        <v>MarçoSEMANA 1Pescados - Filé Linguado Cong. M</v>
      </c>
      <c r="F144" s="7">
        <f>SUMIF(NF!$A:$A,$E144,NF!$I:$I)</f>
        <v>0</v>
      </c>
      <c r="G144" s="74"/>
      <c r="H144" s="74"/>
      <c r="I144" s="74"/>
      <c r="J144" s="6">
        <v>40</v>
      </c>
      <c r="K144" s="6"/>
      <c r="L144" s="6"/>
      <c r="M144" s="6"/>
      <c r="N144" s="7">
        <f t="shared" si="67"/>
        <v>40</v>
      </c>
      <c r="O144" s="11">
        <f t="shared" si="77"/>
        <v>0</v>
      </c>
      <c r="P144" s="25"/>
      <c r="Q144" s="10" t="str">
        <f t="shared" si="43"/>
        <v>MarçoSEMANA 2Pescados - Filé Linguado Cong. M</v>
      </c>
      <c r="R144" s="7">
        <f>SUMIF(NF!$A:$A,$Q144,NF!$I:$I)</f>
        <v>0</v>
      </c>
      <c r="S144" s="6"/>
      <c r="T144" s="6"/>
      <c r="U144" s="6"/>
      <c r="V144" s="6"/>
      <c r="W144" s="6"/>
      <c r="X144" s="6"/>
      <c r="Y144" s="6"/>
      <c r="Z144" s="7">
        <f t="shared" si="68"/>
        <v>0</v>
      </c>
      <c r="AA144" s="11">
        <f t="shared" si="78"/>
        <v>0</v>
      </c>
      <c r="AB144" s="25"/>
      <c r="AC144" s="10" t="str">
        <f t="shared" si="45"/>
        <v>MarçoSEMANA 3Pescados - Filé Linguado Cong. M</v>
      </c>
      <c r="AD144" s="7">
        <f>SUMIF(NF!$A:$A,$AC144,NF!$I:$I)</f>
        <v>40</v>
      </c>
      <c r="AE144" s="6"/>
      <c r="AF144" s="6"/>
      <c r="AG144" s="6"/>
      <c r="AH144" s="6">
        <v>30</v>
      </c>
      <c r="AI144" s="6"/>
      <c r="AJ144" s="6"/>
      <c r="AK144" s="6"/>
      <c r="AL144" s="7">
        <f t="shared" si="69"/>
        <v>30</v>
      </c>
      <c r="AM144" s="11">
        <f t="shared" si="79"/>
        <v>10</v>
      </c>
      <c r="AN144" s="25"/>
      <c r="AO144" s="10" t="str">
        <f t="shared" si="47"/>
        <v>MarçoSEMANA 4Pescados - Filé Linguado Cong. M</v>
      </c>
      <c r="AP144" s="7">
        <f>SUMIF(NF!$A:$A,$AO144,NF!$I:$I)</f>
        <v>40</v>
      </c>
      <c r="AQ144" s="6"/>
      <c r="AR144" s="6"/>
      <c r="AS144" s="6"/>
      <c r="AT144" s="6">
        <f>36-4.22</f>
        <v>31.78</v>
      </c>
      <c r="AU144" s="6"/>
      <c r="AV144" s="6"/>
      <c r="AW144" s="6"/>
      <c r="AX144" s="7">
        <f t="shared" si="70"/>
        <v>31.78</v>
      </c>
      <c r="AY144" s="11">
        <f t="shared" si="80"/>
        <v>18.22</v>
      </c>
      <c r="AZ144" s="25"/>
      <c r="BA144" s="10" t="str">
        <f t="shared" si="49"/>
        <v>MarçoSEMANA 5Pescados - Filé Linguado Cong. M</v>
      </c>
      <c r="BB144" s="7">
        <f>SUMIF(NF!$A:$A,$BA144,NF!$I:$I)</f>
        <v>0</v>
      </c>
      <c r="BC144" s="6"/>
      <c r="BD144" s="6"/>
      <c r="BE144" s="6"/>
      <c r="BF144" s="6"/>
      <c r="BG144" s="6">
        <f>4.22+2+10</f>
        <v>16.22</v>
      </c>
      <c r="BH144" s="6"/>
      <c r="BI144" s="74"/>
      <c r="BJ144" s="74"/>
      <c r="BK144" s="7">
        <f t="shared" si="71"/>
        <v>16.22</v>
      </c>
      <c r="BL144" s="8">
        <f t="shared" si="81"/>
        <v>2</v>
      </c>
      <c r="BM144" s="51" t="str">
        <f>IFERROR(VLOOKUP(A144,NF!$M:$O,3,0),"")</f>
        <v>Carnes</v>
      </c>
      <c r="BN144" s="7">
        <f t="shared" si="82"/>
        <v>118</v>
      </c>
      <c r="BO144" s="8">
        <f t="array" ref="BO144">IFERROR(LARGE(IF(NF!$G$2:$G$3137='Mês atual'!A144,NF!$J$2:$J$3137),1),0)*BN144</f>
        <v>4484</v>
      </c>
      <c r="BP144" s="50"/>
      <c r="BR144" s="146">
        <f t="array" ref="BR144">IFERROR(LARGE(IF(NF!$G$2:$G$3137='Mês atual'!A144,NF!$J$2:$J$3137),1),0)</f>
        <v>38</v>
      </c>
      <c r="BS144" s="142" t="str">
        <f>VLOOKUP(A144,NF!M:O,3,0)</f>
        <v>Carnes</v>
      </c>
      <c r="BV144" s="74">
        <f t="shared" si="72"/>
        <v>40</v>
      </c>
      <c r="BW144" s="74">
        <f t="shared" si="73"/>
        <v>0</v>
      </c>
      <c r="BX144" s="74">
        <f t="shared" si="74"/>
        <v>30</v>
      </c>
      <c r="BY144" s="74">
        <f t="shared" si="75"/>
        <v>31.78</v>
      </c>
      <c r="BZ144" s="74">
        <f t="shared" si="76"/>
        <v>16.22</v>
      </c>
    </row>
    <row r="145" spans="1:78" x14ac:dyDescent="0.25">
      <c r="A145" s="108" t="s">
        <v>608</v>
      </c>
      <c r="B145" s="12"/>
      <c r="C145" s="9">
        <v>0</v>
      </c>
      <c r="D145" s="25"/>
      <c r="E145" s="10" t="str">
        <f t="shared" si="41"/>
        <v>MarçoSEMANA 1Pescados - Filé Pescada Branca Cong.</v>
      </c>
      <c r="F145" s="7">
        <f>SUMIF(NF!$A:$A,$E145,NF!$I:$I)</f>
        <v>0</v>
      </c>
      <c r="G145" s="74"/>
      <c r="H145" s="74"/>
      <c r="I145" s="74"/>
      <c r="J145" s="6"/>
      <c r="K145" s="6"/>
      <c r="L145" s="6"/>
      <c r="M145" s="6"/>
      <c r="N145" s="7">
        <f t="shared" si="67"/>
        <v>0</v>
      </c>
      <c r="O145" s="11">
        <f t="shared" si="77"/>
        <v>0</v>
      </c>
      <c r="P145" s="25"/>
      <c r="Q145" s="10" t="str">
        <f t="shared" si="43"/>
        <v>MarçoSEMANA 2Pescados - Filé Pescada Branca Cong.</v>
      </c>
      <c r="R145" s="7">
        <f>SUMIF(NF!$A:$A,$Q145,NF!$I:$I)</f>
        <v>0</v>
      </c>
      <c r="S145" s="6"/>
      <c r="T145" s="6"/>
      <c r="U145" s="6"/>
      <c r="V145" s="6"/>
      <c r="W145" s="6"/>
      <c r="X145" s="6"/>
      <c r="Y145" s="6"/>
      <c r="Z145" s="7">
        <f t="shared" si="68"/>
        <v>0</v>
      </c>
      <c r="AA145" s="11">
        <f t="shared" si="78"/>
        <v>0</v>
      </c>
      <c r="AB145" s="25"/>
      <c r="AC145" s="10" t="str">
        <f t="shared" si="45"/>
        <v>MarçoSEMANA 3Pescados - Filé Pescada Branca Cong.</v>
      </c>
      <c r="AD145" s="7">
        <f>SUMIF(NF!$A:$A,$AC145,NF!$I:$I)</f>
        <v>0</v>
      </c>
      <c r="AE145" s="6"/>
      <c r="AF145" s="6"/>
      <c r="AG145" s="6"/>
      <c r="AH145" s="6"/>
      <c r="AI145" s="6"/>
      <c r="AJ145" s="6"/>
      <c r="AK145" s="6"/>
      <c r="AL145" s="7">
        <f t="shared" si="69"/>
        <v>0</v>
      </c>
      <c r="AM145" s="11">
        <f t="shared" si="79"/>
        <v>0</v>
      </c>
      <c r="AN145" s="25"/>
      <c r="AO145" s="10" t="str">
        <f t="shared" si="47"/>
        <v>MarçoSEMANA 4Pescados - Filé Pescada Branca Cong.</v>
      </c>
      <c r="AP145" s="7">
        <f>SUMIF(NF!$A:$A,$AO145,NF!$I:$I)</f>
        <v>0</v>
      </c>
      <c r="AQ145" s="6"/>
      <c r="AR145" s="6"/>
      <c r="AS145" s="6"/>
      <c r="AT145" s="6"/>
      <c r="AU145" s="6"/>
      <c r="AV145" s="6"/>
      <c r="AW145" s="6"/>
      <c r="AX145" s="7">
        <f t="shared" si="70"/>
        <v>0</v>
      </c>
      <c r="AY145" s="11">
        <f t="shared" si="80"/>
        <v>0</v>
      </c>
      <c r="AZ145" s="25"/>
      <c r="BA145" s="10" t="str">
        <f t="shared" si="49"/>
        <v>MarçoSEMANA 5Pescados - Filé Pescada Branca Cong.</v>
      </c>
      <c r="BB145" s="7">
        <f>SUMIF(NF!$A:$A,$BA145,NF!$I:$I)</f>
        <v>0</v>
      </c>
      <c r="BC145" s="6"/>
      <c r="BD145" s="6"/>
      <c r="BE145" s="6"/>
      <c r="BF145" s="6"/>
      <c r="BG145" s="6"/>
      <c r="BH145" s="6"/>
      <c r="BI145" s="74"/>
      <c r="BJ145" s="74"/>
      <c r="BK145" s="7">
        <f t="shared" si="71"/>
        <v>0</v>
      </c>
      <c r="BL145" s="8">
        <f t="shared" si="81"/>
        <v>0</v>
      </c>
      <c r="BM145" s="51" t="str">
        <f>IFERROR(VLOOKUP(A145,NF!$M:$O,3,0),"")</f>
        <v>Carnes</v>
      </c>
      <c r="BN145" s="7">
        <f t="shared" si="82"/>
        <v>0</v>
      </c>
      <c r="BO145" s="8">
        <f t="array" ref="BO145">IFERROR(LARGE(IF(NF!$G$2:$G$3137='Mês atual'!A145,NF!$J$2:$J$3137),1),0)*BN145</f>
        <v>0</v>
      </c>
      <c r="BP145" s="50"/>
      <c r="BR145" s="146">
        <f t="array" ref="BR145">IFERROR(LARGE(IF(NF!$G$2:$G$3137='Mês atual'!A145,NF!$J$2:$J$3137),1),0)</f>
        <v>0</v>
      </c>
      <c r="BS145" s="142" t="str">
        <f>VLOOKUP(A145,NF!M:O,3,0)</f>
        <v>Carnes</v>
      </c>
      <c r="BV145" s="74">
        <f t="shared" si="72"/>
        <v>0</v>
      </c>
      <c r="BW145" s="74">
        <f t="shared" si="73"/>
        <v>0</v>
      </c>
      <c r="BX145" s="74">
        <f t="shared" si="74"/>
        <v>0</v>
      </c>
      <c r="BY145" s="74">
        <f t="shared" si="75"/>
        <v>0</v>
      </c>
      <c r="BZ145" s="74">
        <f t="shared" si="76"/>
        <v>0</v>
      </c>
    </row>
    <row r="146" spans="1:78" x14ac:dyDescent="0.25">
      <c r="A146" s="108" t="s">
        <v>609</v>
      </c>
      <c r="B146" s="12"/>
      <c r="C146" s="9">
        <v>0</v>
      </c>
      <c r="D146" s="25"/>
      <c r="E146" s="10" t="str">
        <f t="shared" si="41"/>
        <v>MarçoSEMANA 1Pescados - Filé Pintado</v>
      </c>
      <c r="F146" s="7">
        <f>SUMIF(NF!$A:$A,$E146,NF!$I:$I)</f>
        <v>0</v>
      </c>
      <c r="G146" s="74"/>
      <c r="H146" s="74"/>
      <c r="I146" s="74"/>
      <c r="J146" s="6"/>
      <c r="K146" s="6"/>
      <c r="L146" s="6"/>
      <c r="M146" s="6"/>
      <c r="N146" s="7">
        <f t="shared" si="67"/>
        <v>0</v>
      </c>
      <c r="O146" s="11">
        <f t="shared" si="77"/>
        <v>0</v>
      </c>
      <c r="P146" s="25"/>
      <c r="Q146" s="10" t="str">
        <f t="shared" si="43"/>
        <v>MarçoSEMANA 2Pescados - Filé Pintado</v>
      </c>
      <c r="R146" s="7">
        <f>SUMIF(NF!$A:$A,$Q146,NF!$I:$I)</f>
        <v>0</v>
      </c>
      <c r="S146" s="6"/>
      <c r="T146" s="6"/>
      <c r="U146" s="6"/>
      <c r="V146" s="6"/>
      <c r="W146" s="6"/>
      <c r="X146" s="6"/>
      <c r="Y146" s="6"/>
      <c r="Z146" s="7">
        <f t="shared" si="68"/>
        <v>0</v>
      </c>
      <c r="AA146" s="11">
        <f t="shared" si="78"/>
        <v>0</v>
      </c>
      <c r="AB146" s="25"/>
      <c r="AC146" s="10" t="str">
        <f t="shared" si="45"/>
        <v>MarçoSEMANA 3Pescados - Filé Pintado</v>
      </c>
      <c r="AD146" s="7">
        <f>SUMIF(NF!$A:$A,$AC146,NF!$I:$I)</f>
        <v>0</v>
      </c>
      <c r="AE146" s="6"/>
      <c r="AF146" s="6"/>
      <c r="AG146" s="6"/>
      <c r="AH146" s="6"/>
      <c r="AI146" s="6"/>
      <c r="AJ146" s="6"/>
      <c r="AK146" s="6"/>
      <c r="AL146" s="7">
        <f t="shared" si="69"/>
        <v>0</v>
      </c>
      <c r="AM146" s="11">
        <f t="shared" si="79"/>
        <v>0</v>
      </c>
      <c r="AN146" s="25"/>
      <c r="AO146" s="10" t="str">
        <f t="shared" si="47"/>
        <v>MarçoSEMANA 4Pescados - Filé Pintado</v>
      </c>
      <c r="AP146" s="7">
        <f>SUMIF(NF!$A:$A,$AO146,NF!$I:$I)</f>
        <v>0</v>
      </c>
      <c r="AQ146" s="6"/>
      <c r="AR146" s="6"/>
      <c r="AS146" s="6"/>
      <c r="AT146" s="6"/>
      <c r="AU146" s="6"/>
      <c r="AV146" s="6"/>
      <c r="AW146" s="6"/>
      <c r="AX146" s="7">
        <f t="shared" si="70"/>
        <v>0</v>
      </c>
      <c r="AY146" s="11">
        <f t="shared" si="80"/>
        <v>0</v>
      </c>
      <c r="AZ146" s="25"/>
      <c r="BA146" s="10" t="str">
        <f t="shared" si="49"/>
        <v>MarçoSEMANA 5Pescados - Filé Pintado</v>
      </c>
      <c r="BB146" s="7">
        <f>SUMIF(NF!$A:$A,$BA146,NF!$I:$I)</f>
        <v>0</v>
      </c>
      <c r="BC146" s="6"/>
      <c r="BD146" s="6"/>
      <c r="BE146" s="6"/>
      <c r="BF146" s="6"/>
      <c r="BG146" s="6"/>
      <c r="BH146" s="6"/>
      <c r="BI146" s="74"/>
      <c r="BJ146" s="74"/>
      <c r="BK146" s="7">
        <f t="shared" si="71"/>
        <v>0</v>
      </c>
      <c r="BL146" s="8">
        <f t="shared" si="81"/>
        <v>0</v>
      </c>
      <c r="BM146" s="51" t="str">
        <f>IFERROR(VLOOKUP(A146,NF!$M:$O,3,0),"")</f>
        <v>Carnes</v>
      </c>
      <c r="BN146" s="7">
        <f t="shared" si="82"/>
        <v>0</v>
      </c>
      <c r="BO146" s="8">
        <f t="array" ref="BO146">IFERROR(LARGE(IF(NF!$G$2:$G$3137='Mês atual'!A146,NF!$J$2:$J$3137),1),0)*BN146</f>
        <v>0</v>
      </c>
      <c r="BP146" s="50"/>
      <c r="BR146" s="146">
        <f t="array" ref="BR146">IFERROR(LARGE(IF(NF!$G$2:$G$3137='Mês atual'!A146,NF!$J$2:$J$3137),1),0)</f>
        <v>0</v>
      </c>
      <c r="BS146" s="142" t="str">
        <f>VLOOKUP(A146,NF!M:O,3,0)</f>
        <v>Carnes</v>
      </c>
      <c r="BV146" s="74">
        <f t="shared" si="72"/>
        <v>0</v>
      </c>
      <c r="BW146" s="74">
        <f t="shared" si="73"/>
        <v>0</v>
      </c>
      <c r="BX146" s="74">
        <f t="shared" si="74"/>
        <v>0</v>
      </c>
      <c r="BY146" s="74">
        <f t="shared" si="75"/>
        <v>0</v>
      </c>
      <c r="BZ146" s="74">
        <f t="shared" si="76"/>
        <v>0</v>
      </c>
    </row>
    <row r="147" spans="1:78" x14ac:dyDescent="0.25">
      <c r="A147" s="108" t="s">
        <v>610</v>
      </c>
      <c r="B147" s="12"/>
      <c r="C147" s="9">
        <v>0</v>
      </c>
      <c r="D147" s="25"/>
      <c r="E147" s="10" t="str">
        <f t="shared" si="41"/>
        <v>MarçoSEMANA 1Pescados - Filé Pirarucu Cong.</v>
      </c>
      <c r="F147" s="7">
        <f>SUMIF(NF!$A:$A,$E147,NF!$I:$I)</f>
        <v>0</v>
      </c>
      <c r="G147" s="74"/>
      <c r="H147" s="74"/>
      <c r="I147" s="74"/>
      <c r="J147" s="6"/>
      <c r="K147" s="6"/>
      <c r="L147" s="6"/>
      <c r="M147" s="6"/>
      <c r="N147" s="7">
        <f t="shared" ref="N147:N158" si="99">SUM(G147:M147)</f>
        <v>0</v>
      </c>
      <c r="O147" s="11">
        <f t="shared" si="77"/>
        <v>0</v>
      </c>
      <c r="P147" s="25"/>
      <c r="Q147" s="10" t="str">
        <f t="shared" si="43"/>
        <v>MarçoSEMANA 2Pescados - Filé Pirarucu Cong.</v>
      </c>
      <c r="R147" s="7">
        <f>SUMIF(NF!$A:$A,$Q147,NF!$I:$I)</f>
        <v>0</v>
      </c>
      <c r="S147" s="6"/>
      <c r="T147" s="6"/>
      <c r="U147" s="6"/>
      <c r="V147" s="6"/>
      <c r="W147" s="6"/>
      <c r="X147" s="6"/>
      <c r="Y147" s="6"/>
      <c r="Z147" s="7">
        <f t="shared" ref="Z147:Z158" si="100">SUM(S147:Y147)</f>
        <v>0</v>
      </c>
      <c r="AA147" s="11">
        <f t="shared" si="78"/>
        <v>0</v>
      </c>
      <c r="AB147" s="25"/>
      <c r="AC147" s="10" t="str">
        <f t="shared" si="45"/>
        <v>MarçoSEMANA 3Pescados - Filé Pirarucu Cong.</v>
      </c>
      <c r="AD147" s="7">
        <f>SUMIF(NF!$A:$A,$AC147,NF!$I:$I)</f>
        <v>0</v>
      </c>
      <c r="AE147" s="6"/>
      <c r="AF147" s="6"/>
      <c r="AG147" s="6"/>
      <c r="AH147" s="6"/>
      <c r="AI147" s="6"/>
      <c r="AJ147" s="6"/>
      <c r="AK147" s="6"/>
      <c r="AL147" s="7">
        <f t="shared" ref="AL147:AL158" si="101">SUM(AE147:AK147)</f>
        <v>0</v>
      </c>
      <c r="AM147" s="11">
        <f t="shared" si="79"/>
        <v>0</v>
      </c>
      <c r="AN147" s="25"/>
      <c r="AO147" s="10" t="str">
        <f t="shared" si="47"/>
        <v>MarçoSEMANA 4Pescados - Filé Pirarucu Cong.</v>
      </c>
      <c r="AP147" s="7">
        <f>SUMIF(NF!$A:$A,$AO147,NF!$I:$I)</f>
        <v>0</v>
      </c>
      <c r="AQ147" s="6"/>
      <c r="AR147" s="6"/>
      <c r="AS147" s="6"/>
      <c r="AT147" s="6"/>
      <c r="AU147" s="6"/>
      <c r="AV147" s="6"/>
      <c r="AW147" s="6"/>
      <c r="AX147" s="7">
        <f t="shared" ref="AX147:AX158" si="102">SUM(AQ147:AW147)</f>
        <v>0</v>
      </c>
      <c r="AY147" s="11">
        <f t="shared" si="80"/>
        <v>0</v>
      </c>
      <c r="AZ147" s="25"/>
      <c r="BA147" s="10" t="str">
        <f t="shared" si="49"/>
        <v>MarçoSEMANA 5Pescados - Filé Pirarucu Cong.</v>
      </c>
      <c r="BB147" s="7">
        <f>SUMIF(NF!$A:$A,$BA147,NF!$I:$I)</f>
        <v>0</v>
      </c>
      <c r="BC147" s="6"/>
      <c r="BD147" s="6"/>
      <c r="BE147" s="6"/>
      <c r="BF147" s="6"/>
      <c r="BG147" s="6"/>
      <c r="BH147" s="6"/>
      <c r="BI147" s="74"/>
      <c r="BJ147" s="74"/>
      <c r="BK147" s="7">
        <f t="shared" ref="BK147:BK158" si="103">SUM(BC147:BJ147)</f>
        <v>0</v>
      </c>
      <c r="BL147" s="8">
        <f t="shared" si="81"/>
        <v>0</v>
      </c>
      <c r="BM147" s="51" t="str">
        <f>IFERROR(VLOOKUP(A147,NF!$M:$O,3,0),"")</f>
        <v>Carnes</v>
      </c>
      <c r="BN147" s="7">
        <f t="shared" si="82"/>
        <v>0</v>
      </c>
      <c r="BO147" s="8">
        <f t="array" ref="BO147">IFERROR(LARGE(IF(NF!$G$2:$G$3137='Mês atual'!A147,NF!$J$2:$J$3137),1),0)*BN147</f>
        <v>0</v>
      </c>
      <c r="BP147" s="50"/>
      <c r="BR147" s="146">
        <f t="array" ref="BR147">IFERROR(LARGE(IF(NF!$G$2:$G$3137='Mês atual'!A147,NF!$J$2:$J$3137),1),0)</f>
        <v>0</v>
      </c>
      <c r="BS147" s="142" t="str">
        <f>VLOOKUP(A147,NF!M:O,3,0)</f>
        <v>Carnes</v>
      </c>
      <c r="BV147" s="74">
        <f t="shared" si="72"/>
        <v>0</v>
      </c>
      <c r="BW147" s="74">
        <f t="shared" si="73"/>
        <v>0</v>
      </c>
      <c r="BX147" s="74">
        <f t="shared" si="74"/>
        <v>0</v>
      </c>
      <c r="BY147" s="74">
        <f t="shared" si="75"/>
        <v>0</v>
      </c>
      <c r="BZ147" s="74">
        <f t="shared" si="76"/>
        <v>0</v>
      </c>
    </row>
    <row r="148" spans="1:78" x14ac:dyDescent="0.25">
      <c r="A148" s="108" t="s">
        <v>612</v>
      </c>
      <c r="B148" s="12"/>
      <c r="C148" s="9">
        <v>0</v>
      </c>
      <c r="D148" s="25"/>
      <c r="E148" s="10" t="str">
        <f t="shared" si="41"/>
        <v>MarçoSEMANA 1Pescados - Filé Surubim</v>
      </c>
      <c r="F148" s="7">
        <f>SUMIF(NF!$A:$A,$E148,NF!$I:$I)</f>
        <v>0</v>
      </c>
      <c r="G148" s="74"/>
      <c r="H148" s="74"/>
      <c r="I148" s="74"/>
      <c r="J148" s="6"/>
      <c r="K148" s="6"/>
      <c r="L148" s="6"/>
      <c r="M148" s="6"/>
      <c r="N148" s="7">
        <f t="shared" si="99"/>
        <v>0</v>
      </c>
      <c r="O148" s="11">
        <f t="shared" si="77"/>
        <v>0</v>
      </c>
      <c r="P148" s="25"/>
      <c r="Q148" s="10" t="str">
        <f t="shared" si="43"/>
        <v>MarçoSEMANA 2Pescados - Filé Surubim</v>
      </c>
      <c r="R148" s="7">
        <f>SUMIF(NF!$A:$A,$Q148,NF!$I:$I)</f>
        <v>0</v>
      </c>
      <c r="S148" s="6"/>
      <c r="T148" s="6"/>
      <c r="U148" s="6"/>
      <c r="V148" s="6"/>
      <c r="W148" s="6"/>
      <c r="X148" s="6"/>
      <c r="Y148" s="6"/>
      <c r="Z148" s="7">
        <f t="shared" si="100"/>
        <v>0</v>
      </c>
      <c r="AA148" s="11">
        <f t="shared" si="78"/>
        <v>0</v>
      </c>
      <c r="AB148" s="25"/>
      <c r="AC148" s="10" t="str">
        <f t="shared" si="45"/>
        <v>MarçoSEMANA 3Pescados - Filé Surubim</v>
      </c>
      <c r="AD148" s="7">
        <f>SUMIF(NF!$A:$A,$AC148,NF!$I:$I)</f>
        <v>0</v>
      </c>
      <c r="AE148" s="6"/>
      <c r="AF148" s="6"/>
      <c r="AG148" s="6"/>
      <c r="AH148" s="6"/>
      <c r="AI148" s="6"/>
      <c r="AJ148" s="6"/>
      <c r="AK148" s="6"/>
      <c r="AL148" s="7">
        <f t="shared" si="101"/>
        <v>0</v>
      </c>
      <c r="AM148" s="11">
        <f t="shared" si="79"/>
        <v>0</v>
      </c>
      <c r="AN148" s="25"/>
      <c r="AO148" s="10" t="str">
        <f t="shared" si="47"/>
        <v>MarçoSEMANA 4Pescados - Filé Surubim</v>
      </c>
      <c r="AP148" s="7">
        <f>SUMIF(NF!$A:$A,$AO148,NF!$I:$I)</f>
        <v>0</v>
      </c>
      <c r="AQ148" s="6"/>
      <c r="AR148" s="6"/>
      <c r="AS148" s="6"/>
      <c r="AT148" s="6"/>
      <c r="AU148" s="6"/>
      <c r="AV148" s="6"/>
      <c r="AW148" s="6"/>
      <c r="AX148" s="7">
        <f t="shared" si="102"/>
        <v>0</v>
      </c>
      <c r="AY148" s="11">
        <f t="shared" si="80"/>
        <v>0</v>
      </c>
      <c r="AZ148" s="25"/>
      <c r="BA148" s="10" t="str">
        <f t="shared" si="49"/>
        <v>MarçoSEMANA 5Pescados - Filé Surubim</v>
      </c>
      <c r="BB148" s="7">
        <f>SUMIF(NF!$A:$A,$BA148,NF!$I:$I)</f>
        <v>0</v>
      </c>
      <c r="BC148" s="6"/>
      <c r="BD148" s="6"/>
      <c r="BE148" s="6"/>
      <c r="BF148" s="6"/>
      <c r="BG148" s="6"/>
      <c r="BH148" s="6"/>
      <c r="BI148" s="74"/>
      <c r="BJ148" s="74"/>
      <c r="BK148" s="7">
        <f t="shared" si="103"/>
        <v>0</v>
      </c>
      <c r="BL148" s="8">
        <f t="shared" si="81"/>
        <v>0</v>
      </c>
      <c r="BM148" s="51" t="str">
        <f>IFERROR(VLOOKUP(A148,NF!$M:$O,3,0),"")</f>
        <v>Carnes</v>
      </c>
      <c r="BN148" s="7">
        <f t="shared" si="82"/>
        <v>0</v>
      </c>
      <c r="BO148" s="8">
        <f t="array" ref="BO148">IFERROR(LARGE(IF(NF!$G$2:$G$3137='Mês atual'!A148,NF!$J$2:$J$3137),1),0)*BN148</f>
        <v>0</v>
      </c>
      <c r="BP148" s="50"/>
      <c r="BR148" s="146">
        <f t="array" ref="BR148">IFERROR(LARGE(IF(NF!$G$2:$G$3137='Mês atual'!A148,NF!$J$2:$J$3137),1),0)</f>
        <v>0</v>
      </c>
      <c r="BS148" s="142" t="str">
        <f>VLOOKUP(A148,NF!M:O,3,0)</f>
        <v>Carnes</v>
      </c>
      <c r="BV148" s="74">
        <f t="shared" si="72"/>
        <v>0</v>
      </c>
      <c r="BW148" s="74">
        <f t="shared" si="73"/>
        <v>0</v>
      </c>
      <c r="BX148" s="74">
        <f t="shared" si="74"/>
        <v>0</v>
      </c>
      <c r="BY148" s="74">
        <f t="shared" si="75"/>
        <v>0</v>
      </c>
      <c r="BZ148" s="74">
        <f t="shared" si="76"/>
        <v>0</v>
      </c>
    </row>
    <row r="149" spans="1:78" x14ac:dyDescent="0.25">
      <c r="A149" s="108" t="s">
        <v>613</v>
      </c>
      <c r="B149" s="12"/>
      <c r="C149" s="9">
        <v>8</v>
      </c>
      <c r="D149" s="25"/>
      <c r="E149" s="10" t="str">
        <f t="shared" si="41"/>
        <v>MarçoSEMANA 1Pescados - Filé Tilápia Cong.</v>
      </c>
      <c r="F149" s="7">
        <f>SUMIF(NF!$A:$A,$E149,NF!$I:$I)</f>
        <v>24</v>
      </c>
      <c r="G149" s="74"/>
      <c r="H149" s="74"/>
      <c r="I149" s="74"/>
      <c r="J149" s="6"/>
      <c r="K149" s="6">
        <v>8</v>
      </c>
      <c r="L149" s="6"/>
      <c r="M149" s="6"/>
      <c r="N149" s="7">
        <f t="shared" si="99"/>
        <v>8</v>
      </c>
      <c r="O149" s="11">
        <f t="shared" si="77"/>
        <v>24</v>
      </c>
      <c r="P149" s="25"/>
      <c r="Q149" s="10" t="str">
        <f t="shared" si="43"/>
        <v>MarçoSEMANA 2Pescados - Filé Tilápia Cong.</v>
      </c>
      <c r="R149" s="7">
        <f>SUMIF(NF!$A:$A,$Q149,NF!$I:$I)</f>
        <v>16</v>
      </c>
      <c r="S149" s="6"/>
      <c r="T149" s="6">
        <v>16</v>
      </c>
      <c r="U149" s="6"/>
      <c r="V149" s="6"/>
      <c r="W149" s="6"/>
      <c r="X149" s="6"/>
      <c r="Y149" s="6"/>
      <c r="Z149" s="7">
        <f t="shared" si="100"/>
        <v>16</v>
      </c>
      <c r="AA149" s="11">
        <f t="shared" si="78"/>
        <v>24</v>
      </c>
      <c r="AB149" s="25"/>
      <c r="AC149" s="10" t="str">
        <f t="shared" si="45"/>
        <v>MarçoSEMANA 3Pescados - Filé Tilápia Cong.</v>
      </c>
      <c r="AD149" s="7">
        <f>SUMIF(NF!$A:$A,$AC149,NF!$I:$I)</f>
        <v>24</v>
      </c>
      <c r="AE149" s="6">
        <v>16</v>
      </c>
      <c r="AF149" s="6"/>
      <c r="AG149" s="6"/>
      <c r="AH149" s="6"/>
      <c r="AI149" s="6"/>
      <c r="AJ149" s="6">
        <f>12+2</f>
        <v>14</v>
      </c>
      <c r="AK149" s="6"/>
      <c r="AL149" s="7">
        <f t="shared" si="101"/>
        <v>30</v>
      </c>
      <c r="AM149" s="11">
        <f t="shared" si="79"/>
        <v>18</v>
      </c>
      <c r="AN149" s="25"/>
      <c r="AO149" s="10" t="str">
        <f t="shared" si="47"/>
        <v>MarçoSEMANA 4Pescados - Filé Tilápia Cong.</v>
      </c>
      <c r="AP149" s="7">
        <f>SUMIF(NF!$A:$A,$AO149,NF!$I:$I)</f>
        <v>24</v>
      </c>
      <c r="AQ149" s="6"/>
      <c r="AR149" s="6">
        <v>14</v>
      </c>
      <c r="AS149" s="6"/>
      <c r="AT149" s="6"/>
      <c r="AU149" s="6"/>
      <c r="AV149" s="6"/>
      <c r="AW149" s="6"/>
      <c r="AX149" s="7">
        <f t="shared" si="102"/>
        <v>14</v>
      </c>
      <c r="AY149" s="11">
        <f t="shared" si="80"/>
        <v>28</v>
      </c>
      <c r="AZ149" s="25"/>
      <c r="BA149" s="10" t="str">
        <f t="shared" si="49"/>
        <v>MarçoSEMANA 5Pescados - Filé Tilápia Cong.</v>
      </c>
      <c r="BB149" s="7">
        <f>SUMIF(NF!$A:$A,$BA149,NF!$I:$I)</f>
        <v>24</v>
      </c>
      <c r="BC149" s="6">
        <f>16+1.642</f>
        <v>17.641999999999999</v>
      </c>
      <c r="BD149" s="6"/>
      <c r="BE149" s="6"/>
      <c r="BF149" s="6"/>
      <c r="BG149" s="6"/>
      <c r="BH149" s="6"/>
      <c r="BI149" s="74"/>
      <c r="BJ149" s="74"/>
      <c r="BK149" s="7">
        <f t="shared" si="103"/>
        <v>17.641999999999999</v>
      </c>
      <c r="BL149" s="8">
        <f t="shared" si="81"/>
        <v>34.358000000000004</v>
      </c>
      <c r="BM149" s="51" t="str">
        <f>IFERROR(VLOOKUP(A149,NF!$M:$O,3,0),"")</f>
        <v>Carnes</v>
      </c>
      <c r="BN149" s="7">
        <f t="shared" si="82"/>
        <v>85.641999999999996</v>
      </c>
      <c r="BO149" s="8">
        <f t="array" ref="BO149">IFERROR(LARGE(IF(NF!$G$2:$G$3137='Mês atual'!A149,NF!$J$2:$J$3137),1),0)*BN149</f>
        <v>2252.3845999999999</v>
      </c>
      <c r="BP149" s="50"/>
      <c r="BR149" s="146">
        <f t="array" ref="BR149">IFERROR(LARGE(IF(NF!$G$2:$G$3137='Mês atual'!A149,NF!$J$2:$J$3137),1),0)</f>
        <v>26.3</v>
      </c>
      <c r="BS149" s="142" t="str">
        <f>VLOOKUP(A149,NF!M:O,3,0)</f>
        <v>Carnes</v>
      </c>
      <c r="BV149" s="74">
        <f t="shared" si="72"/>
        <v>8</v>
      </c>
      <c r="BW149" s="74">
        <f t="shared" si="73"/>
        <v>16</v>
      </c>
      <c r="BX149" s="74">
        <f t="shared" si="74"/>
        <v>30</v>
      </c>
      <c r="BY149" s="74">
        <f t="shared" si="75"/>
        <v>14</v>
      </c>
      <c r="BZ149" s="74">
        <f t="shared" si="76"/>
        <v>17.641999999999999</v>
      </c>
    </row>
    <row r="150" spans="1:78" x14ac:dyDescent="0.25">
      <c r="A150" s="108" t="s">
        <v>614</v>
      </c>
      <c r="B150" s="12"/>
      <c r="C150" s="9">
        <v>0</v>
      </c>
      <c r="D150" s="25"/>
      <c r="E150" s="10" t="str">
        <f t="shared" si="41"/>
        <v>MarçoSEMANA 1Pescados - Filé Tilápia Fresco</v>
      </c>
      <c r="F150" s="7">
        <f>SUMIF(NF!$A:$A,$E150,NF!$I:$I)</f>
        <v>0</v>
      </c>
      <c r="G150" s="74"/>
      <c r="H150" s="74"/>
      <c r="I150" s="74"/>
      <c r="J150" s="6"/>
      <c r="K150" s="6"/>
      <c r="L150" s="6"/>
      <c r="M150" s="6"/>
      <c r="N150" s="7">
        <f t="shared" si="99"/>
        <v>0</v>
      </c>
      <c r="O150" s="11">
        <f t="shared" si="77"/>
        <v>0</v>
      </c>
      <c r="P150" s="25"/>
      <c r="Q150" s="10" t="str">
        <f t="shared" si="43"/>
        <v>MarçoSEMANA 2Pescados - Filé Tilápia Fresco</v>
      </c>
      <c r="R150" s="7">
        <f>SUMIF(NF!$A:$A,$Q150,NF!$I:$I)</f>
        <v>0</v>
      </c>
      <c r="S150" s="6"/>
      <c r="T150" s="6"/>
      <c r="U150" s="6"/>
      <c r="V150" s="6"/>
      <c r="W150" s="6"/>
      <c r="X150" s="6"/>
      <c r="Y150" s="6"/>
      <c r="Z150" s="7">
        <f t="shared" si="100"/>
        <v>0</v>
      </c>
      <c r="AA150" s="11">
        <f t="shared" si="78"/>
        <v>0</v>
      </c>
      <c r="AB150" s="25"/>
      <c r="AC150" s="10" t="str">
        <f t="shared" si="45"/>
        <v>MarçoSEMANA 3Pescados - Filé Tilápia Fresco</v>
      </c>
      <c r="AD150" s="7">
        <f>SUMIF(NF!$A:$A,$AC150,NF!$I:$I)</f>
        <v>0</v>
      </c>
      <c r="AE150" s="6"/>
      <c r="AF150" s="6"/>
      <c r="AG150" s="6"/>
      <c r="AH150" s="6"/>
      <c r="AI150" s="6"/>
      <c r="AJ150" s="6"/>
      <c r="AK150" s="6"/>
      <c r="AL150" s="7">
        <f t="shared" si="101"/>
        <v>0</v>
      </c>
      <c r="AM150" s="11">
        <f t="shared" si="79"/>
        <v>0</v>
      </c>
      <c r="AN150" s="25"/>
      <c r="AO150" s="10" t="str">
        <f t="shared" si="47"/>
        <v>MarçoSEMANA 4Pescados - Filé Tilápia Fresco</v>
      </c>
      <c r="AP150" s="7">
        <f>SUMIF(NF!$A:$A,$AO150,NF!$I:$I)</f>
        <v>0</v>
      </c>
      <c r="AQ150" s="6"/>
      <c r="AR150" s="6"/>
      <c r="AS150" s="6"/>
      <c r="AT150" s="6"/>
      <c r="AU150" s="6"/>
      <c r="AV150" s="6"/>
      <c r="AW150" s="6"/>
      <c r="AX150" s="7">
        <f t="shared" si="102"/>
        <v>0</v>
      </c>
      <c r="AY150" s="11">
        <f t="shared" si="80"/>
        <v>0</v>
      </c>
      <c r="AZ150" s="25"/>
      <c r="BA150" s="10" t="str">
        <f t="shared" si="49"/>
        <v>MarçoSEMANA 5Pescados - Filé Tilápia Fresco</v>
      </c>
      <c r="BB150" s="7">
        <f>SUMIF(NF!$A:$A,$BA150,NF!$I:$I)</f>
        <v>0</v>
      </c>
      <c r="BC150" s="6"/>
      <c r="BD150" s="6"/>
      <c r="BE150" s="6"/>
      <c r="BF150" s="6"/>
      <c r="BG150" s="6"/>
      <c r="BH150" s="6"/>
      <c r="BI150" s="74"/>
      <c r="BJ150" s="74"/>
      <c r="BK150" s="7">
        <f t="shared" si="103"/>
        <v>0</v>
      </c>
      <c r="BL150" s="8">
        <f t="shared" si="81"/>
        <v>0</v>
      </c>
      <c r="BM150" s="51" t="str">
        <f>IFERROR(VLOOKUP(A150,NF!$M:$O,3,0),"")</f>
        <v>Carnes</v>
      </c>
      <c r="BN150" s="7">
        <f t="shared" si="82"/>
        <v>0</v>
      </c>
      <c r="BO150" s="8">
        <f t="array" ref="BO150">IFERROR(LARGE(IF(NF!$G$2:$G$3137='Mês atual'!A150,NF!$J$2:$J$3137),1),0)*BN150</f>
        <v>0</v>
      </c>
      <c r="BP150" s="50"/>
      <c r="BR150" s="146">
        <f t="array" ref="BR150">IFERROR(LARGE(IF(NF!$G$2:$G$3137='Mês atual'!A150,NF!$J$2:$J$3137),1),0)</f>
        <v>0</v>
      </c>
      <c r="BS150" s="142" t="str">
        <f>VLOOKUP(A150,NF!M:O,3,0)</f>
        <v>Carnes</v>
      </c>
      <c r="BV150" s="74">
        <f t="shared" si="72"/>
        <v>0</v>
      </c>
      <c r="BW150" s="74">
        <f t="shared" si="73"/>
        <v>0</v>
      </c>
      <c r="BX150" s="74">
        <f t="shared" si="74"/>
        <v>0</v>
      </c>
      <c r="BY150" s="74">
        <f t="shared" si="75"/>
        <v>0</v>
      </c>
      <c r="BZ150" s="74">
        <f t="shared" si="76"/>
        <v>0</v>
      </c>
    </row>
    <row r="151" spans="1:78" x14ac:dyDescent="0.25">
      <c r="A151" s="108" t="s">
        <v>616</v>
      </c>
      <c r="B151" s="12"/>
      <c r="C151" s="9">
        <v>13.76</v>
      </c>
      <c r="D151" s="25"/>
      <c r="E151" s="10" t="str">
        <f t="shared" si="41"/>
        <v>MarçoSEMANA 1Pescados - Filé Truta Cong.</v>
      </c>
      <c r="F151" s="7">
        <f>SUMIF(NF!$A:$A,$E151,NF!$I:$I)</f>
        <v>24</v>
      </c>
      <c r="G151" s="74"/>
      <c r="H151" s="74"/>
      <c r="I151" s="74"/>
      <c r="J151" s="6"/>
      <c r="K151" s="6"/>
      <c r="L151" s="6">
        <f>13.16+2.5-1</f>
        <v>14.66</v>
      </c>
      <c r="M151" s="6"/>
      <c r="N151" s="7">
        <f t="shared" si="99"/>
        <v>14.66</v>
      </c>
      <c r="O151" s="11">
        <f t="shared" si="77"/>
        <v>23.099999999999998</v>
      </c>
      <c r="P151" s="25"/>
      <c r="Q151" s="10" t="str">
        <f t="shared" si="43"/>
        <v>MarçoSEMANA 2Pescados - Filé Truta Cong.</v>
      </c>
      <c r="R151" s="7">
        <f>SUMIF(NF!$A:$A,$Q151,NF!$I:$I)</f>
        <v>36</v>
      </c>
      <c r="S151" s="6"/>
      <c r="T151" s="6"/>
      <c r="U151" s="6">
        <f>20.34-7.68-1</f>
        <v>11.66</v>
      </c>
      <c r="V151" s="6"/>
      <c r="W151" s="6"/>
      <c r="X151" s="6"/>
      <c r="Y151" s="6">
        <f>15.1+4.5-1</f>
        <v>18.600000000000001</v>
      </c>
      <c r="Z151" s="7">
        <f t="shared" si="100"/>
        <v>30.26</v>
      </c>
      <c r="AA151" s="11">
        <f t="shared" si="78"/>
        <v>28.839999999999993</v>
      </c>
      <c r="AB151" s="25"/>
      <c r="AC151" s="10" t="str">
        <f t="shared" si="45"/>
        <v>MarçoSEMANA 3Pescados - Filé Truta Cong.</v>
      </c>
      <c r="AD151" s="7">
        <f>SUMIF(NF!$A:$A,$AC151,NF!$I:$I)</f>
        <v>24</v>
      </c>
      <c r="AE151" s="6"/>
      <c r="AF151" s="6">
        <f>20.14-1</f>
        <v>19.14</v>
      </c>
      <c r="AG151" s="6"/>
      <c r="AH151" s="6"/>
      <c r="AI151" s="6"/>
      <c r="AJ151" s="6"/>
      <c r="AK151" s="6"/>
      <c r="AL151" s="7">
        <f t="shared" si="101"/>
        <v>19.14</v>
      </c>
      <c r="AM151" s="11">
        <f t="shared" si="79"/>
        <v>33.699999999999989</v>
      </c>
      <c r="AN151" s="25"/>
      <c r="AO151" s="10" t="str">
        <f t="shared" si="47"/>
        <v>MarçoSEMANA 4Pescados - Filé Truta Cong.</v>
      </c>
      <c r="AP151" s="7">
        <f>SUMIF(NF!$A:$A,$AO151,NF!$I:$I)</f>
        <v>36</v>
      </c>
      <c r="AQ151" s="6">
        <f>2.405+20.18+3.82-1</f>
        <v>25.405000000000001</v>
      </c>
      <c r="AR151" s="6"/>
      <c r="AS151" s="6"/>
      <c r="AT151" s="6"/>
      <c r="AU151" s="6">
        <f>20.62+4.852-1</f>
        <v>24.472000000000001</v>
      </c>
      <c r="AV151" s="6"/>
      <c r="AW151" s="6"/>
      <c r="AX151" s="7">
        <f t="shared" si="102"/>
        <v>49.877000000000002</v>
      </c>
      <c r="AY151" s="11">
        <f t="shared" si="80"/>
        <v>19.822999999999986</v>
      </c>
      <c r="AZ151" s="25"/>
      <c r="BA151" s="10" t="str">
        <f t="shared" si="49"/>
        <v>MarçoSEMANA 5Pescados - Filé Truta Cong.</v>
      </c>
      <c r="BB151" s="7">
        <f>SUMIF(NF!$A:$A,$BA151,NF!$I:$I)</f>
        <v>47</v>
      </c>
      <c r="BC151" s="6"/>
      <c r="BD151" s="6">
        <f>21.76+4.45-1.94-5.32</f>
        <v>18.95</v>
      </c>
      <c r="BE151" s="6"/>
      <c r="BF151" s="6"/>
      <c r="BG151" s="6"/>
      <c r="BH151" s="6"/>
      <c r="BI151" s="74"/>
      <c r="BJ151" s="74"/>
      <c r="BK151" s="7">
        <f t="shared" si="103"/>
        <v>18.95</v>
      </c>
      <c r="BL151" s="8">
        <f t="shared" si="81"/>
        <v>47.872999999999976</v>
      </c>
      <c r="BM151" s="51" t="str">
        <f>IFERROR(VLOOKUP(A151,NF!$M:$O,3,0),"")</f>
        <v>Carnes</v>
      </c>
      <c r="BN151" s="7">
        <f t="shared" si="82"/>
        <v>132.887</v>
      </c>
      <c r="BO151" s="8">
        <f t="array" ref="BO151">IFERROR(LARGE(IF(NF!$G$2:$G$3137='Mês atual'!A151,NF!$J$2:$J$3137),1),0)*BN151</f>
        <v>3455.0619999999999</v>
      </c>
      <c r="BP151" s="50"/>
      <c r="BR151" s="146">
        <f t="array" ref="BR151">IFERROR(LARGE(IF(NF!$G$2:$G$3137='Mês atual'!A151,NF!$J$2:$J$3137),1),0)</f>
        <v>26</v>
      </c>
      <c r="BS151" s="142" t="str">
        <f>VLOOKUP(A151,NF!M:O,3,0)</f>
        <v>Carnes</v>
      </c>
      <c r="BV151" s="74">
        <f t="shared" si="72"/>
        <v>14.66</v>
      </c>
      <c r="BW151" s="74">
        <f t="shared" si="73"/>
        <v>30.26</v>
      </c>
      <c r="BX151" s="74">
        <f t="shared" si="74"/>
        <v>19.14</v>
      </c>
      <c r="BY151" s="74">
        <f t="shared" si="75"/>
        <v>49.877000000000002</v>
      </c>
      <c r="BZ151" s="74">
        <f t="shared" si="76"/>
        <v>18.95</v>
      </c>
    </row>
    <row r="152" spans="1:78" x14ac:dyDescent="0.2">
      <c r="A152" s="108" t="s">
        <v>617</v>
      </c>
      <c r="B152" s="12"/>
      <c r="C152" s="9">
        <v>0</v>
      </c>
      <c r="D152" s="25"/>
      <c r="E152" s="10" t="str">
        <f t="shared" si="41"/>
        <v>MarçoSEMANA 1Pescados - Garoupa Fresca</v>
      </c>
      <c r="F152" s="7">
        <f>SUMIF(NF!$A:$A,$E152,NF!$I:$I)</f>
        <v>0</v>
      </c>
      <c r="G152" s="74"/>
      <c r="H152" s="74"/>
      <c r="I152" s="74"/>
      <c r="J152" s="6"/>
      <c r="K152" s="6"/>
      <c r="L152" s="6"/>
      <c r="M152" s="6"/>
      <c r="N152" s="7">
        <f t="shared" si="99"/>
        <v>0</v>
      </c>
      <c r="O152" s="11">
        <f t="shared" si="77"/>
        <v>0</v>
      </c>
      <c r="P152" s="25"/>
      <c r="Q152" s="10" t="str">
        <f t="shared" si="43"/>
        <v>MarçoSEMANA 2Pescados - Garoupa Fresca</v>
      </c>
      <c r="R152" s="7">
        <f>SUMIF(NF!$A:$A,$Q152,NF!$I:$I)</f>
        <v>0</v>
      </c>
      <c r="S152" s="6"/>
      <c r="T152" s="6"/>
      <c r="U152" s="6"/>
      <c r="V152" s="6"/>
      <c r="W152" s="6"/>
      <c r="X152" s="6"/>
      <c r="Y152" s="6"/>
      <c r="Z152" s="7">
        <f t="shared" si="100"/>
        <v>0</v>
      </c>
      <c r="AA152" s="11">
        <f t="shared" si="78"/>
        <v>0</v>
      </c>
      <c r="AB152" s="25"/>
      <c r="AC152" s="10" t="str">
        <f t="shared" si="45"/>
        <v>MarçoSEMANA 3Pescados - Garoupa Fresca</v>
      </c>
      <c r="AD152" s="7">
        <f>SUMIF(NF!$A:$A,$AC152,NF!$I:$I)</f>
        <v>0</v>
      </c>
      <c r="AE152" s="6"/>
      <c r="AF152" s="6"/>
      <c r="AG152" s="6"/>
      <c r="AH152" s="6"/>
      <c r="AI152" s="6"/>
      <c r="AJ152" s="6"/>
      <c r="AK152" s="6"/>
      <c r="AL152" s="7">
        <f t="shared" si="101"/>
        <v>0</v>
      </c>
      <c r="AM152" s="11">
        <f t="shared" si="79"/>
        <v>0</v>
      </c>
      <c r="AN152" s="25"/>
      <c r="AO152" s="10" t="str">
        <f t="shared" si="47"/>
        <v>MarçoSEMANA 4Pescados - Garoupa Fresca</v>
      </c>
      <c r="AP152" s="7">
        <f>SUMIF(NF!$A:$A,$AO152,NF!$I:$I)</f>
        <v>0</v>
      </c>
      <c r="AQ152" s="6"/>
      <c r="AR152" s="6"/>
      <c r="AS152" s="6"/>
      <c r="AT152" s="6"/>
      <c r="AU152" s="6"/>
      <c r="AV152" s="6"/>
      <c r="AW152" s="6"/>
      <c r="AX152" s="7">
        <f t="shared" si="102"/>
        <v>0</v>
      </c>
      <c r="AY152" s="11">
        <f t="shared" si="80"/>
        <v>0</v>
      </c>
      <c r="AZ152" s="25"/>
      <c r="BA152" s="10" t="str">
        <f t="shared" si="49"/>
        <v>MarçoSEMANA 5Pescados - Garoupa Fresca</v>
      </c>
      <c r="BB152" s="7">
        <f>SUMIF(NF!$A:$A,$BA152,NF!$I:$I)</f>
        <v>0</v>
      </c>
      <c r="BC152" s="6"/>
      <c r="BD152" s="6"/>
      <c r="BE152" s="6"/>
      <c r="BF152" s="6"/>
      <c r="BG152" s="6"/>
      <c r="BH152" s="6"/>
      <c r="BI152" s="74"/>
      <c r="BJ152" s="74"/>
      <c r="BK152" s="7">
        <f t="shared" si="103"/>
        <v>0</v>
      </c>
      <c r="BL152" s="8">
        <f t="shared" si="81"/>
        <v>0</v>
      </c>
      <c r="BM152" s="51" t="str">
        <f>IFERROR(VLOOKUP(A152,NF!$M:$O,3,0),"")</f>
        <v>Carnes</v>
      </c>
      <c r="BN152" s="7">
        <f t="shared" si="82"/>
        <v>0</v>
      </c>
      <c r="BO152" s="8">
        <f t="array" ref="BO152">IFERROR(LARGE(IF(NF!$G$2:$G$3137='Mês atual'!A152,NF!$J$2:$J$3137),1),0)*BN152</f>
        <v>0</v>
      </c>
      <c r="BP152" s="50"/>
      <c r="BR152" s="146">
        <f t="array" ref="BR152">IFERROR(LARGE(IF(NF!$G$2:$G$3137='Mês atual'!A152,NF!$J$2:$J$3137),1),0)</f>
        <v>0</v>
      </c>
      <c r="BS152" s="142" t="str">
        <f>VLOOKUP(A152,NF!M:O,3,0)</f>
        <v>Carnes</v>
      </c>
      <c r="BV152" s="74">
        <f t="shared" si="72"/>
        <v>0</v>
      </c>
      <c r="BW152" s="74">
        <f t="shared" si="73"/>
        <v>0</v>
      </c>
      <c r="BX152" s="74">
        <f t="shared" si="74"/>
        <v>0</v>
      </c>
      <c r="BY152" s="74">
        <f t="shared" si="75"/>
        <v>0</v>
      </c>
      <c r="BZ152" s="74">
        <f t="shared" si="76"/>
        <v>0</v>
      </c>
    </row>
    <row r="153" spans="1:78" x14ac:dyDescent="0.2">
      <c r="A153" s="108" t="s">
        <v>618</v>
      </c>
      <c r="B153" s="12"/>
      <c r="C153" s="9">
        <f>8.5-0.25-0.25-0.25-0.25-0.5-0.25-0.25</f>
        <v>6.5</v>
      </c>
      <c r="D153" s="25"/>
      <c r="E153" s="10" t="str">
        <f t="shared" si="41"/>
        <v>MarçoSEMANA 1Pescados - Kani</v>
      </c>
      <c r="F153" s="7">
        <f>SUMIF(NF!$A:$A,$E153,NF!$I:$I)</f>
        <v>0</v>
      </c>
      <c r="G153" s="74"/>
      <c r="H153" s="74"/>
      <c r="I153" s="74"/>
      <c r="J153" s="6"/>
      <c r="K153" s="6"/>
      <c r="L153" s="6">
        <v>0.25</v>
      </c>
      <c r="M153" s="6"/>
      <c r="N153" s="7">
        <f t="shared" si="99"/>
        <v>0.25</v>
      </c>
      <c r="O153" s="11">
        <f t="shared" si="77"/>
        <v>6.25</v>
      </c>
      <c r="P153" s="25"/>
      <c r="Q153" s="10" t="str">
        <f t="shared" si="43"/>
        <v>MarçoSEMANA 2Pescados - Kani</v>
      </c>
      <c r="R153" s="7">
        <f>SUMIF(NF!$A:$A,$Q153,NF!$I:$I)</f>
        <v>0</v>
      </c>
      <c r="S153" s="6"/>
      <c r="T153" s="6">
        <v>0.5</v>
      </c>
      <c r="U153" s="6">
        <v>2</v>
      </c>
      <c r="V153" s="6"/>
      <c r="W153" s="6"/>
      <c r="X153" s="6">
        <v>0.25</v>
      </c>
      <c r="Y153" s="6">
        <v>0.25</v>
      </c>
      <c r="Z153" s="7">
        <f t="shared" si="100"/>
        <v>3</v>
      </c>
      <c r="AA153" s="11">
        <f t="shared" si="78"/>
        <v>3.25</v>
      </c>
      <c r="AB153" s="25"/>
      <c r="AC153" s="10" t="str">
        <f t="shared" si="45"/>
        <v>MarçoSEMANA 3Pescados - Kani</v>
      </c>
      <c r="AD153" s="7">
        <f>SUMIF(NF!$A:$A,$AC153,NF!$I:$I)</f>
        <v>0</v>
      </c>
      <c r="AE153" s="6"/>
      <c r="AF153" s="6"/>
      <c r="AG153" s="6"/>
      <c r="AH153" s="6"/>
      <c r="AI153" s="6"/>
      <c r="AJ153" s="6"/>
      <c r="AK153" s="6"/>
      <c r="AL153" s="7">
        <f t="shared" si="101"/>
        <v>0</v>
      </c>
      <c r="AM153" s="11">
        <f t="shared" si="79"/>
        <v>3.25</v>
      </c>
      <c r="AN153" s="25"/>
      <c r="AO153" s="10" t="str">
        <f t="shared" si="47"/>
        <v>MarçoSEMANA 4Pescados - Kani</v>
      </c>
      <c r="AP153" s="7">
        <f>SUMIF(NF!$A:$A,$AO153,NF!$I:$I)</f>
        <v>8.25</v>
      </c>
      <c r="AQ153" s="6">
        <v>2</v>
      </c>
      <c r="AR153" s="6"/>
      <c r="AS153" s="6">
        <v>0.25</v>
      </c>
      <c r="AT153" s="6"/>
      <c r="AU153" s="6"/>
      <c r="AV153" s="6"/>
      <c r="AW153" s="6">
        <v>0.25</v>
      </c>
      <c r="AX153" s="7">
        <f t="shared" si="102"/>
        <v>2.5</v>
      </c>
      <c r="AY153" s="11">
        <f t="shared" si="80"/>
        <v>9</v>
      </c>
      <c r="AZ153" s="25"/>
      <c r="BA153" s="10" t="str">
        <f t="shared" si="49"/>
        <v>MarçoSEMANA 5Pescados - Kani</v>
      </c>
      <c r="BB153" s="7">
        <f>SUMIF(NF!$A:$A,$BA153,NF!$I:$I)</f>
        <v>0</v>
      </c>
      <c r="BC153" s="6"/>
      <c r="BD153" s="6"/>
      <c r="BE153" s="6">
        <v>0.5</v>
      </c>
      <c r="BF153" s="6"/>
      <c r="BG153" s="6">
        <v>0.25</v>
      </c>
      <c r="BH153" s="6"/>
      <c r="BI153" s="74"/>
      <c r="BJ153" s="74"/>
      <c r="BK153" s="7">
        <f t="shared" si="103"/>
        <v>0.75</v>
      </c>
      <c r="BL153" s="8">
        <f t="shared" si="81"/>
        <v>8.25</v>
      </c>
      <c r="BM153" s="51" t="str">
        <f>IFERROR(VLOOKUP(A153,NF!$M:$O,3,0),"")</f>
        <v>Carnes</v>
      </c>
      <c r="BN153" s="7">
        <f t="shared" si="82"/>
        <v>6.5</v>
      </c>
      <c r="BO153" s="8">
        <f t="array" ref="BO153">IFERROR(LARGE(IF(NF!$G$2:$G$3137='Mês atual'!A153,NF!$J$2:$J$3137),1),0)*BN153</f>
        <v>142.935</v>
      </c>
      <c r="BP153" s="50"/>
      <c r="BR153" s="146">
        <f t="array" ref="BR153">IFERROR(LARGE(IF(NF!$G$2:$G$3137='Mês atual'!A153,NF!$J$2:$J$3137),1),0)</f>
        <v>21.99</v>
      </c>
      <c r="BS153" s="142" t="str">
        <f>VLOOKUP(A153,NF!M:O,3,0)</f>
        <v>Carnes</v>
      </c>
      <c r="BV153" s="74">
        <f t="shared" si="72"/>
        <v>0.25</v>
      </c>
      <c r="BW153" s="74">
        <f t="shared" si="73"/>
        <v>3</v>
      </c>
      <c r="BX153" s="74">
        <f t="shared" si="74"/>
        <v>0</v>
      </c>
      <c r="BY153" s="74">
        <f t="shared" si="75"/>
        <v>2.5</v>
      </c>
      <c r="BZ153" s="74">
        <f t="shared" si="76"/>
        <v>0.75</v>
      </c>
    </row>
    <row r="154" spans="1:78" x14ac:dyDescent="0.2">
      <c r="A154" s="108" t="s">
        <v>620</v>
      </c>
      <c r="B154" s="12"/>
      <c r="C154" s="9">
        <v>0</v>
      </c>
      <c r="D154" s="25"/>
      <c r="E154" s="10" t="str">
        <f t="shared" si="41"/>
        <v>MarçoSEMANA 1Pescados - Lula Calamares</v>
      </c>
      <c r="F154" s="7">
        <f>SUMIF(NF!$A:$A,$E154,NF!$I:$I)</f>
        <v>0</v>
      </c>
      <c r="G154" s="74"/>
      <c r="H154" s="74"/>
      <c r="I154" s="74"/>
      <c r="J154" s="6"/>
      <c r="K154" s="6"/>
      <c r="L154" s="6"/>
      <c r="M154" s="6"/>
      <c r="N154" s="7">
        <f t="shared" si="99"/>
        <v>0</v>
      </c>
      <c r="O154" s="11">
        <f t="shared" si="77"/>
        <v>0</v>
      </c>
      <c r="P154" s="25"/>
      <c r="Q154" s="10" t="str">
        <f t="shared" si="43"/>
        <v>MarçoSEMANA 2Pescados - Lula Calamares</v>
      </c>
      <c r="R154" s="7">
        <f>SUMIF(NF!$A:$A,$Q154,NF!$I:$I)</f>
        <v>20</v>
      </c>
      <c r="S154" s="6"/>
      <c r="T154" s="6"/>
      <c r="U154" s="6"/>
      <c r="V154" s="6"/>
      <c r="W154" s="6">
        <f>10-5.12</f>
        <v>4.88</v>
      </c>
      <c r="X154" s="6"/>
      <c r="Y154" s="6"/>
      <c r="Z154" s="7">
        <f t="shared" si="100"/>
        <v>4.88</v>
      </c>
      <c r="AA154" s="11">
        <f t="shared" si="78"/>
        <v>15.120000000000001</v>
      </c>
      <c r="AB154" s="25"/>
      <c r="AC154" s="10" t="str">
        <f t="shared" si="45"/>
        <v>MarçoSEMANA 3Pescados - Lula Calamares</v>
      </c>
      <c r="AD154" s="7">
        <f>SUMIF(NF!$A:$A,$AC154,NF!$I:$I)</f>
        <v>0</v>
      </c>
      <c r="AE154" s="6"/>
      <c r="AF154" s="6">
        <v>5.12</v>
      </c>
      <c r="AG154" s="6"/>
      <c r="AH154" s="6"/>
      <c r="AI154" s="6"/>
      <c r="AJ154" s="6"/>
      <c r="AK154" s="6">
        <f>10-3.102</f>
        <v>6.8979999999999997</v>
      </c>
      <c r="AL154" s="7">
        <f t="shared" si="101"/>
        <v>12.018000000000001</v>
      </c>
      <c r="AM154" s="11">
        <f t="shared" si="79"/>
        <v>3.1020000000000003</v>
      </c>
      <c r="AN154" s="25"/>
      <c r="AO154" s="10" t="str">
        <f t="shared" si="47"/>
        <v>MarçoSEMANA 4Pescados - Lula Calamares</v>
      </c>
      <c r="AP154" s="7">
        <f>SUMIF(NF!$A:$A,$AO154,NF!$I:$I)</f>
        <v>10</v>
      </c>
      <c r="AQ154" s="6"/>
      <c r="AR154" s="6">
        <v>3.1019999999999999</v>
      </c>
      <c r="AS154" s="6"/>
      <c r="AT154" s="6"/>
      <c r="AU154" s="6"/>
      <c r="AV154" s="6">
        <f>10-4.344</f>
        <v>5.6559999999999997</v>
      </c>
      <c r="AW154" s="6"/>
      <c r="AX154" s="7">
        <f t="shared" si="102"/>
        <v>8.7579999999999991</v>
      </c>
      <c r="AY154" s="11">
        <f t="shared" si="80"/>
        <v>4.3440000000000012</v>
      </c>
      <c r="AZ154" s="25"/>
      <c r="BA154" s="10" t="str">
        <f t="shared" si="49"/>
        <v>MarçoSEMANA 5Pescados - Lula Calamares</v>
      </c>
      <c r="BB154" s="7">
        <f>SUMIF(NF!$A:$A,$BA154,NF!$I:$I)</f>
        <v>10</v>
      </c>
      <c r="BC154" s="6"/>
      <c r="BD154" s="6"/>
      <c r="BE154" s="6"/>
      <c r="BF154" s="6">
        <v>4.3440000000000003</v>
      </c>
      <c r="BG154" s="6"/>
      <c r="BH154" s="6">
        <v>10</v>
      </c>
      <c r="BI154" s="74"/>
      <c r="BJ154" s="74"/>
      <c r="BK154" s="7">
        <f t="shared" si="103"/>
        <v>14.344000000000001</v>
      </c>
      <c r="BL154" s="8">
        <f t="shared" si="81"/>
        <v>0</v>
      </c>
      <c r="BM154" s="51" t="str">
        <f>IFERROR(VLOOKUP(A154,NF!$M:$O,3,0),"")</f>
        <v>Carnes</v>
      </c>
      <c r="BN154" s="7">
        <f t="shared" si="82"/>
        <v>40</v>
      </c>
      <c r="BO154" s="8">
        <f t="array" ref="BO154">IFERROR(LARGE(IF(NF!$G$2:$G$3137='Mês atual'!A154,NF!$J$2:$J$3137),1),0)*BN154</f>
        <v>1116</v>
      </c>
      <c r="BP154" s="50"/>
      <c r="BR154" s="146">
        <f t="array" ref="BR154">IFERROR(LARGE(IF(NF!$G$2:$G$3137='Mês atual'!A154,NF!$J$2:$J$3137),1),0)</f>
        <v>27.9</v>
      </c>
      <c r="BS154" s="142" t="str">
        <f>VLOOKUP(A154,NF!M:O,3,0)</f>
        <v>Carnes</v>
      </c>
      <c r="BV154" s="74">
        <f t="shared" si="72"/>
        <v>0</v>
      </c>
      <c r="BW154" s="74">
        <f t="shared" si="73"/>
        <v>4.88</v>
      </c>
      <c r="BX154" s="74">
        <f t="shared" si="74"/>
        <v>12.018000000000001</v>
      </c>
      <c r="BY154" s="74">
        <f t="shared" si="75"/>
        <v>8.7579999999999991</v>
      </c>
      <c r="BZ154" s="74">
        <f t="shared" si="76"/>
        <v>14.344000000000001</v>
      </c>
    </row>
    <row r="155" spans="1:78" x14ac:dyDescent="0.2">
      <c r="A155" s="108" t="s">
        <v>622</v>
      </c>
      <c r="B155" s="12"/>
      <c r="C155" s="9">
        <v>0</v>
      </c>
      <c r="D155" s="25"/>
      <c r="E155" s="10" t="str">
        <f t="shared" si="41"/>
        <v>MarçoSEMANA 1Pescados - Lula Natubras M</v>
      </c>
      <c r="F155" s="7">
        <f>SUMIF(NF!$A:$A,$E155,NF!$I:$I)</f>
        <v>0</v>
      </c>
      <c r="G155" s="74"/>
      <c r="H155" s="74"/>
      <c r="I155" s="74"/>
      <c r="J155" s="6"/>
      <c r="K155" s="6"/>
      <c r="L155" s="6"/>
      <c r="M155" s="6"/>
      <c r="N155" s="7">
        <f t="shared" si="99"/>
        <v>0</v>
      </c>
      <c r="O155" s="11">
        <f t="shared" si="77"/>
        <v>0</v>
      </c>
      <c r="P155" s="25"/>
      <c r="Q155" s="10" t="str">
        <f t="shared" si="43"/>
        <v>MarçoSEMANA 2Pescados - Lula Natubras M</v>
      </c>
      <c r="R155" s="7">
        <f>SUMIF(NF!$A:$A,$Q155,NF!$I:$I)</f>
        <v>0</v>
      </c>
      <c r="S155" s="6"/>
      <c r="T155" s="6"/>
      <c r="U155" s="6"/>
      <c r="V155" s="6"/>
      <c r="W155" s="6"/>
      <c r="X155" s="6"/>
      <c r="Y155" s="6"/>
      <c r="Z155" s="7">
        <f t="shared" si="100"/>
        <v>0</v>
      </c>
      <c r="AA155" s="11">
        <f t="shared" si="78"/>
        <v>0</v>
      </c>
      <c r="AB155" s="25"/>
      <c r="AC155" s="10" t="str">
        <f t="shared" si="45"/>
        <v>MarçoSEMANA 3Pescados - Lula Natubras M</v>
      </c>
      <c r="AD155" s="7">
        <f>SUMIF(NF!$A:$A,$AC155,NF!$I:$I)</f>
        <v>0</v>
      </c>
      <c r="AE155" s="6"/>
      <c r="AF155" s="6"/>
      <c r="AG155" s="6"/>
      <c r="AH155" s="6"/>
      <c r="AI155" s="6"/>
      <c r="AJ155" s="6"/>
      <c r="AK155" s="6"/>
      <c r="AL155" s="7">
        <f t="shared" si="101"/>
        <v>0</v>
      </c>
      <c r="AM155" s="11">
        <f t="shared" si="79"/>
        <v>0</v>
      </c>
      <c r="AN155" s="25"/>
      <c r="AO155" s="10" t="str">
        <f t="shared" si="47"/>
        <v>MarçoSEMANA 4Pescados - Lula Natubras M</v>
      </c>
      <c r="AP155" s="7">
        <f>SUMIF(NF!$A:$A,$AO155,NF!$I:$I)</f>
        <v>0</v>
      </c>
      <c r="AQ155" s="6"/>
      <c r="AR155" s="6"/>
      <c r="AS155" s="6"/>
      <c r="AT155" s="6"/>
      <c r="AU155" s="6"/>
      <c r="AV155" s="6"/>
      <c r="AW155" s="6"/>
      <c r="AX155" s="7">
        <f t="shared" si="102"/>
        <v>0</v>
      </c>
      <c r="AY155" s="11">
        <f t="shared" si="80"/>
        <v>0</v>
      </c>
      <c r="AZ155" s="25"/>
      <c r="BA155" s="10" t="str">
        <f t="shared" si="49"/>
        <v>MarçoSEMANA 5Pescados - Lula Natubras M</v>
      </c>
      <c r="BB155" s="7">
        <f>SUMIF(NF!$A:$A,$BA155,NF!$I:$I)</f>
        <v>0</v>
      </c>
      <c r="BC155" s="6"/>
      <c r="BD155" s="6"/>
      <c r="BE155" s="6"/>
      <c r="BF155" s="6"/>
      <c r="BG155" s="6"/>
      <c r="BH155" s="6"/>
      <c r="BI155" s="74"/>
      <c r="BJ155" s="74"/>
      <c r="BK155" s="7">
        <f t="shared" si="103"/>
        <v>0</v>
      </c>
      <c r="BL155" s="8">
        <f t="shared" si="81"/>
        <v>0</v>
      </c>
      <c r="BM155" s="51" t="str">
        <f>IFERROR(VLOOKUP(A155,NF!$M:$O,3,0),"")</f>
        <v>Carnes</v>
      </c>
      <c r="BN155" s="7">
        <f t="shared" si="82"/>
        <v>0</v>
      </c>
      <c r="BO155" s="8">
        <f t="array" ref="BO155">IFERROR(LARGE(IF(NF!$G$2:$G$3137='Mês atual'!A155,NF!$J$2:$J$3137),1),0)*BN155</f>
        <v>0</v>
      </c>
      <c r="BP155" s="50"/>
      <c r="BR155" s="146">
        <f t="array" ref="BR155">IFERROR(LARGE(IF(NF!$G$2:$G$3137='Mês atual'!A155,NF!$J$2:$J$3137),1),0)</f>
        <v>0</v>
      </c>
      <c r="BS155" s="142" t="str">
        <f>VLOOKUP(A155,NF!M:O,3,0)</f>
        <v>Carnes</v>
      </c>
      <c r="BV155" s="74">
        <f t="shared" si="72"/>
        <v>0</v>
      </c>
      <c r="BW155" s="74">
        <f t="shared" si="73"/>
        <v>0</v>
      </c>
      <c r="BX155" s="74">
        <f t="shared" si="74"/>
        <v>0</v>
      </c>
      <c r="BY155" s="74">
        <f t="shared" si="75"/>
        <v>0</v>
      </c>
      <c r="BZ155" s="74">
        <f t="shared" si="76"/>
        <v>0</v>
      </c>
    </row>
    <row r="156" spans="1:78" x14ac:dyDescent="0.2">
      <c r="A156" s="108" t="s">
        <v>623</v>
      </c>
      <c r="B156" s="12"/>
      <c r="C156" s="9">
        <v>0</v>
      </c>
      <c r="D156" s="25"/>
      <c r="E156" s="10" t="str">
        <f t="shared" si="41"/>
        <v>MarçoSEMANA 1Pescados - Lula Natubras P</v>
      </c>
      <c r="F156" s="7">
        <f>SUMIF(NF!$A:$A,$E156,NF!$I:$I)</f>
        <v>0</v>
      </c>
      <c r="G156" s="74"/>
      <c r="H156" s="74"/>
      <c r="I156" s="74"/>
      <c r="J156" s="6"/>
      <c r="K156" s="6"/>
      <c r="L156" s="6"/>
      <c r="M156" s="6"/>
      <c r="N156" s="7">
        <f t="shared" si="99"/>
        <v>0</v>
      </c>
      <c r="O156" s="11">
        <f t="shared" si="77"/>
        <v>0</v>
      </c>
      <c r="P156" s="25"/>
      <c r="Q156" s="10" t="str">
        <f t="shared" si="43"/>
        <v>MarçoSEMANA 2Pescados - Lula Natubras P</v>
      </c>
      <c r="R156" s="7">
        <f>SUMIF(NF!$A:$A,$Q156,NF!$I:$I)</f>
        <v>0</v>
      </c>
      <c r="S156" s="6"/>
      <c r="T156" s="6"/>
      <c r="U156" s="6"/>
      <c r="V156" s="6"/>
      <c r="W156" s="6"/>
      <c r="X156" s="6"/>
      <c r="Y156" s="6"/>
      <c r="Z156" s="7">
        <f t="shared" si="100"/>
        <v>0</v>
      </c>
      <c r="AA156" s="11">
        <f t="shared" si="78"/>
        <v>0</v>
      </c>
      <c r="AB156" s="25"/>
      <c r="AC156" s="10" t="str">
        <f t="shared" si="45"/>
        <v>MarçoSEMANA 3Pescados - Lula Natubras P</v>
      </c>
      <c r="AD156" s="7">
        <f>SUMIF(NF!$A:$A,$AC156,NF!$I:$I)</f>
        <v>0</v>
      </c>
      <c r="AE156" s="6"/>
      <c r="AF156" s="6"/>
      <c r="AG156" s="6"/>
      <c r="AH156" s="6"/>
      <c r="AI156" s="6"/>
      <c r="AJ156" s="6"/>
      <c r="AK156" s="6"/>
      <c r="AL156" s="7">
        <f t="shared" si="101"/>
        <v>0</v>
      </c>
      <c r="AM156" s="11">
        <f t="shared" si="79"/>
        <v>0</v>
      </c>
      <c r="AN156" s="25"/>
      <c r="AO156" s="10" t="str">
        <f t="shared" si="47"/>
        <v>MarçoSEMANA 4Pescados - Lula Natubras P</v>
      </c>
      <c r="AP156" s="7">
        <f>SUMIF(NF!$A:$A,$AO156,NF!$I:$I)</f>
        <v>0</v>
      </c>
      <c r="AQ156" s="6"/>
      <c r="AR156" s="6"/>
      <c r="AS156" s="6"/>
      <c r="AT156" s="6"/>
      <c r="AU156" s="6"/>
      <c r="AV156" s="6"/>
      <c r="AW156" s="6"/>
      <c r="AX156" s="7">
        <f t="shared" si="102"/>
        <v>0</v>
      </c>
      <c r="AY156" s="11">
        <f t="shared" si="80"/>
        <v>0</v>
      </c>
      <c r="AZ156" s="25"/>
      <c r="BA156" s="10" t="str">
        <f t="shared" si="49"/>
        <v>MarçoSEMANA 5Pescados - Lula Natubras P</v>
      </c>
      <c r="BB156" s="7">
        <f>SUMIF(NF!$A:$A,$BA156,NF!$I:$I)</f>
        <v>0</v>
      </c>
      <c r="BC156" s="6"/>
      <c r="BD156" s="6"/>
      <c r="BE156" s="6"/>
      <c r="BF156" s="6"/>
      <c r="BG156" s="6"/>
      <c r="BH156" s="6"/>
      <c r="BI156" s="74"/>
      <c r="BJ156" s="74"/>
      <c r="BK156" s="7">
        <f t="shared" si="103"/>
        <v>0</v>
      </c>
      <c r="BL156" s="8">
        <f t="shared" si="81"/>
        <v>0</v>
      </c>
      <c r="BM156" s="51" t="str">
        <f>IFERROR(VLOOKUP(A156,NF!$M:$O,3,0),"")</f>
        <v>Carnes</v>
      </c>
      <c r="BN156" s="7">
        <f t="shared" si="82"/>
        <v>0</v>
      </c>
      <c r="BO156" s="8">
        <f t="array" ref="BO156">IFERROR(LARGE(IF(NF!$G$2:$G$3137='Mês atual'!A156,NF!$J$2:$J$3137),1),0)*BN156</f>
        <v>0</v>
      </c>
      <c r="BP156" s="50"/>
      <c r="BR156" s="146">
        <f t="array" ref="BR156">IFERROR(LARGE(IF(NF!$G$2:$G$3137='Mês atual'!A156,NF!$J$2:$J$3137),1),0)</f>
        <v>0</v>
      </c>
      <c r="BS156" s="142" t="str">
        <f>VLOOKUP(A156,NF!M:O,3,0)</f>
        <v>Carnes</v>
      </c>
      <c r="BV156" s="74">
        <f t="shared" si="72"/>
        <v>0</v>
      </c>
      <c r="BW156" s="74">
        <f t="shared" si="73"/>
        <v>0</v>
      </c>
      <c r="BX156" s="74">
        <f t="shared" si="74"/>
        <v>0</v>
      </c>
      <c r="BY156" s="74">
        <f t="shared" si="75"/>
        <v>0</v>
      </c>
      <c r="BZ156" s="74">
        <f t="shared" si="76"/>
        <v>0</v>
      </c>
    </row>
    <row r="157" spans="1:78" x14ac:dyDescent="0.2">
      <c r="A157" s="108" t="s">
        <v>624</v>
      </c>
      <c r="B157" s="12"/>
      <c r="C157" s="9">
        <v>0</v>
      </c>
      <c r="D157" s="25"/>
      <c r="E157" s="10" t="str">
        <f t="shared" si="41"/>
        <v>MarçoSEMANA 1Pescados - Marisco</v>
      </c>
      <c r="F157" s="7">
        <f>SUMIF(NF!$A:$A,$E157,NF!$I:$I)</f>
        <v>0</v>
      </c>
      <c r="G157" s="74"/>
      <c r="H157" s="74"/>
      <c r="I157" s="74"/>
      <c r="J157" s="6"/>
      <c r="K157" s="6"/>
      <c r="L157" s="6"/>
      <c r="M157" s="6"/>
      <c r="N157" s="7">
        <f t="shared" si="99"/>
        <v>0</v>
      </c>
      <c r="O157" s="11">
        <f t="shared" si="77"/>
        <v>0</v>
      </c>
      <c r="P157" s="25"/>
      <c r="Q157" s="10" t="str">
        <f t="shared" si="43"/>
        <v>MarçoSEMANA 2Pescados - Marisco</v>
      </c>
      <c r="R157" s="7">
        <f>SUMIF(NF!$A:$A,$Q157,NF!$I:$I)</f>
        <v>0</v>
      </c>
      <c r="S157" s="6"/>
      <c r="T157" s="6"/>
      <c r="U157" s="6"/>
      <c r="V157" s="6"/>
      <c r="W157" s="6"/>
      <c r="X157" s="6"/>
      <c r="Y157" s="6"/>
      <c r="Z157" s="7">
        <f t="shared" si="100"/>
        <v>0</v>
      </c>
      <c r="AA157" s="11">
        <f t="shared" si="78"/>
        <v>0</v>
      </c>
      <c r="AB157" s="25"/>
      <c r="AC157" s="10" t="str">
        <f t="shared" si="45"/>
        <v>MarçoSEMANA 3Pescados - Marisco</v>
      </c>
      <c r="AD157" s="7">
        <f>SUMIF(NF!$A:$A,$AC157,NF!$I:$I)</f>
        <v>0</v>
      </c>
      <c r="AE157" s="6"/>
      <c r="AF157" s="6"/>
      <c r="AG157" s="6"/>
      <c r="AH157" s="6"/>
      <c r="AI157" s="6"/>
      <c r="AJ157" s="6"/>
      <c r="AK157" s="6"/>
      <c r="AL157" s="7">
        <f t="shared" si="101"/>
        <v>0</v>
      </c>
      <c r="AM157" s="11">
        <f t="shared" si="79"/>
        <v>0</v>
      </c>
      <c r="AN157" s="25"/>
      <c r="AO157" s="10" t="str">
        <f t="shared" si="47"/>
        <v>MarçoSEMANA 4Pescados - Marisco</v>
      </c>
      <c r="AP157" s="7">
        <f>SUMIF(NF!$A:$A,$AO157,NF!$I:$I)</f>
        <v>4</v>
      </c>
      <c r="AQ157" s="6"/>
      <c r="AR157" s="6">
        <v>2</v>
      </c>
      <c r="AS157" s="6"/>
      <c r="AT157" s="6"/>
      <c r="AU157" s="6"/>
      <c r="AV157" s="6"/>
      <c r="AW157" s="6"/>
      <c r="AX157" s="7">
        <f t="shared" si="102"/>
        <v>2</v>
      </c>
      <c r="AY157" s="11">
        <f t="shared" si="80"/>
        <v>2</v>
      </c>
      <c r="AZ157" s="25"/>
      <c r="BA157" s="10" t="str">
        <f t="shared" si="49"/>
        <v>MarçoSEMANA 5Pescados - Marisco</v>
      </c>
      <c r="BB157" s="7">
        <f>SUMIF(NF!$A:$A,$BA157,NF!$I:$I)</f>
        <v>0</v>
      </c>
      <c r="BC157" s="6"/>
      <c r="BD157" s="6"/>
      <c r="BE157" s="6"/>
      <c r="BF157" s="6">
        <v>2</v>
      </c>
      <c r="BG157" s="6"/>
      <c r="BH157" s="6"/>
      <c r="BI157" s="74"/>
      <c r="BJ157" s="74"/>
      <c r="BK157" s="7">
        <f t="shared" si="103"/>
        <v>2</v>
      </c>
      <c r="BL157" s="8">
        <f t="shared" si="81"/>
        <v>0</v>
      </c>
      <c r="BM157" s="51" t="str">
        <f>IFERROR(VLOOKUP(A157,NF!$M:$O,3,0),"")</f>
        <v>Carnes</v>
      </c>
      <c r="BN157" s="7">
        <f t="shared" si="82"/>
        <v>4</v>
      </c>
      <c r="BO157" s="8">
        <f t="array" ref="BO157">IFERROR(LARGE(IF(NF!$G$2:$G$3137='Mês atual'!A157,NF!$J$2:$J$3137),1),0)*BN157</f>
        <v>91.6</v>
      </c>
      <c r="BP157" s="50"/>
      <c r="BR157" s="146">
        <f t="array" ref="BR157">IFERROR(LARGE(IF(NF!$G$2:$G$3137='Mês atual'!A157,NF!$J$2:$J$3137),1),0)</f>
        <v>22.9</v>
      </c>
      <c r="BS157" s="142" t="str">
        <f>VLOOKUP(A157,NF!M:O,3,0)</f>
        <v>Carnes</v>
      </c>
      <c r="BV157" s="74">
        <f t="shared" si="72"/>
        <v>0</v>
      </c>
      <c r="BW157" s="74">
        <f t="shared" si="73"/>
        <v>0</v>
      </c>
      <c r="BX157" s="74">
        <f t="shared" si="74"/>
        <v>0</v>
      </c>
      <c r="BY157" s="74">
        <f t="shared" si="75"/>
        <v>2</v>
      </c>
      <c r="BZ157" s="74">
        <f t="shared" si="76"/>
        <v>2</v>
      </c>
    </row>
    <row r="158" spans="1:78" x14ac:dyDescent="0.2">
      <c r="A158" s="108" t="s">
        <v>625</v>
      </c>
      <c r="B158" s="12"/>
      <c r="C158" s="9">
        <v>0</v>
      </c>
      <c r="D158" s="25"/>
      <c r="E158" s="10" t="str">
        <f t="shared" si="41"/>
        <v>MarçoSEMANA 1Pescados - Namorado</v>
      </c>
      <c r="F158" s="7">
        <f>SUMIF(NF!$A:$A,$E158,NF!$I:$I)</f>
        <v>0</v>
      </c>
      <c r="G158" s="74"/>
      <c r="H158" s="74"/>
      <c r="I158" s="74"/>
      <c r="J158" s="6"/>
      <c r="K158" s="6"/>
      <c r="L158" s="6"/>
      <c r="M158" s="6"/>
      <c r="N158" s="7">
        <f t="shared" si="99"/>
        <v>0</v>
      </c>
      <c r="O158" s="11">
        <f t="shared" si="77"/>
        <v>0</v>
      </c>
      <c r="P158" s="25"/>
      <c r="Q158" s="10" t="str">
        <f t="shared" si="43"/>
        <v>MarçoSEMANA 2Pescados - Namorado</v>
      </c>
      <c r="R158" s="7">
        <f>SUMIF(NF!$A:$A,$Q158,NF!$I:$I)</f>
        <v>0</v>
      </c>
      <c r="S158" s="6"/>
      <c r="T158" s="6"/>
      <c r="U158" s="6"/>
      <c r="V158" s="6"/>
      <c r="W158" s="6"/>
      <c r="X158" s="6"/>
      <c r="Y158" s="6"/>
      <c r="Z158" s="7">
        <f t="shared" si="100"/>
        <v>0</v>
      </c>
      <c r="AA158" s="11">
        <f t="shared" si="78"/>
        <v>0</v>
      </c>
      <c r="AB158" s="25"/>
      <c r="AC158" s="10" t="str">
        <f t="shared" si="45"/>
        <v>MarçoSEMANA 3Pescados - Namorado</v>
      </c>
      <c r="AD158" s="7">
        <f>SUMIF(NF!$A:$A,$AC158,NF!$I:$I)</f>
        <v>0</v>
      </c>
      <c r="AE158" s="6"/>
      <c r="AF158" s="6"/>
      <c r="AG158" s="6"/>
      <c r="AH158" s="6"/>
      <c r="AI158" s="6"/>
      <c r="AJ158" s="6"/>
      <c r="AK158" s="6"/>
      <c r="AL158" s="7">
        <f t="shared" si="101"/>
        <v>0</v>
      </c>
      <c r="AM158" s="11">
        <f t="shared" si="79"/>
        <v>0</v>
      </c>
      <c r="AN158" s="25"/>
      <c r="AO158" s="10" t="str">
        <f t="shared" si="47"/>
        <v>MarçoSEMANA 4Pescados - Namorado</v>
      </c>
      <c r="AP158" s="7">
        <f>SUMIF(NF!$A:$A,$AO158,NF!$I:$I)</f>
        <v>0</v>
      </c>
      <c r="AQ158" s="6"/>
      <c r="AR158" s="6"/>
      <c r="AS158" s="6"/>
      <c r="AT158" s="6"/>
      <c r="AU158" s="6"/>
      <c r="AV158" s="6"/>
      <c r="AW158" s="6"/>
      <c r="AX158" s="7">
        <f t="shared" si="102"/>
        <v>0</v>
      </c>
      <c r="AY158" s="11">
        <f t="shared" si="80"/>
        <v>0</v>
      </c>
      <c r="AZ158" s="25"/>
      <c r="BA158" s="10" t="str">
        <f t="shared" si="49"/>
        <v>MarçoSEMANA 5Pescados - Namorado</v>
      </c>
      <c r="BB158" s="7">
        <f>SUMIF(NF!$A:$A,$BA158,NF!$I:$I)</f>
        <v>0</v>
      </c>
      <c r="BC158" s="6"/>
      <c r="BD158" s="6"/>
      <c r="BE158" s="6"/>
      <c r="BF158" s="6"/>
      <c r="BG158" s="6"/>
      <c r="BH158" s="6"/>
      <c r="BI158" s="74"/>
      <c r="BJ158" s="74"/>
      <c r="BK158" s="7">
        <f t="shared" si="103"/>
        <v>0</v>
      </c>
      <c r="BL158" s="8">
        <f t="shared" si="81"/>
        <v>0</v>
      </c>
      <c r="BM158" s="51" t="str">
        <f>IFERROR(VLOOKUP(A158,NF!$M:$O,3,0),"")</f>
        <v>Carnes</v>
      </c>
      <c r="BN158" s="7">
        <f t="shared" si="82"/>
        <v>0</v>
      </c>
      <c r="BO158" s="8">
        <f t="array" ref="BO158">IFERROR(LARGE(IF(NF!$G$2:$G$3137='Mês atual'!A158,NF!$J$2:$J$3137),1),0)*BN158</f>
        <v>0</v>
      </c>
      <c r="BP158" s="50"/>
      <c r="BR158" s="146">
        <f t="array" ref="BR158">IFERROR(LARGE(IF(NF!$G$2:$G$3137='Mês atual'!A158,NF!$J$2:$J$3137),1),0)</f>
        <v>0</v>
      </c>
      <c r="BS158" s="142" t="str">
        <f>VLOOKUP(A158,NF!M:O,3,0)</f>
        <v>Carnes</v>
      </c>
      <c r="BV158" s="74">
        <f t="shared" si="72"/>
        <v>0</v>
      </c>
      <c r="BW158" s="74">
        <f t="shared" si="73"/>
        <v>0</v>
      </c>
      <c r="BX158" s="74">
        <f t="shared" si="74"/>
        <v>0</v>
      </c>
      <c r="BY158" s="74">
        <f t="shared" si="75"/>
        <v>0</v>
      </c>
      <c r="BZ158" s="74">
        <f t="shared" si="76"/>
        <v>0</v>
      </c>
    </row>
    <row r="159" spans="1:78" x14ac:dyDescent="0.2">
      <c r="A159" s="108" t="s">
        <v>627</v>
      </c>
      <c r="B159" s="12"/>
      <c r="C159" s="9">
        <v>0</v>
      </c>
      <c r="D159" s="25"/>
      <c r="E159" s="10" t="str">
        <f t="shared" si="41"/>
        <v>MarçoSEMANA 1Pescados - Olhete Fresco</v>
      </c>
      <c r="F159" s="7">
        <f>SUMIF(NF!$A:$A,$E159,NF!$I:$I)</f>
        <v>0</v>
      </c>
      <c r="G159" s="74"/>
      <c r="H159" s="74"/>
      <c r="I159" s="74"/>
      <c r="J159" s="6"/>
      <c r="K159" s="6"/>
      <c r="L159" s="6"/>
      <c r="M159" s="6"/>
      <c r="N159" s="7">
        <f>SUM(G159:M159)</f>
        <v>0</v>
      </c>
      <c r="O159" s="11">
        <f t="shared" si="77"/>
        <v>0</v>
      </c>
      <c r="P159" s="25"/>
      <c r="Q159" s="10" t="str">
        <f t="shared" si="43"/>
        <v>MarçoSEMANA 2Pescados - Olhete Fresco</v>
      </c>
      <c r="R159" s="7">
        <f>SUMIF(NF!$A:$A,$Q159,NF!$I:$I)</f>
        <v>0</v>
      </c>
      <c r="S159" s="6"/>
      <c r="T159" s="6"/>
      <c r="U159" s="6"/>
      <c r="V159" s="6"/>
      <c r="W159" s="6"/>
      <c r="X159" s="6"/>
      <c r="Y159" s="6"/>
      <c r="Z159" s="7">
        <f>SUM(S159:Y159)</f>
        <v>0</v>
      </c>
      <c r="AA159" s="11">
        <f t="shared" si="78"/>
        <v>0</v>
      </c>
      <c r="AB159" s="25"/>
      <c r="AC159" s="10" t="str">
        <f t="shared" si="45"/>
        <v>MarçoSEMANA 3Pescados - Olhete Fresco</v>
      </c>
      <c r="AD159" s="7">
        <f>SUMIF(NF!$A:$A,$AC159,NF!$I:$I)</f>
        <v>0</v>
      </c>
      <c r="AE159" s="6"/>
      <c r="AF159" s="6"/>
      <c r="AG159" s="6"/>
      <c r="AH159" s="6"/>
      <c r="AI159" s="6"/>
      <c r="AJ159" s="6"/>
      <c r="AK159" s="6"/>
      <c r="AL159" s="7">
        <f>SUM(AE159:AK159)</f>
        <v>0</v>
      </c>
      <c r="AM159" s="11">
        <f t="shared" si="79"/>
        <v>0</v>
      </c>
      <c r="AN159" s="25"/>
      <c r="AO159" s="10" t="str">
        <f t="shared" si="47"/>
        <v>MarçoSEMANA 4Pescados - Olhete Fresco</v>
      </c>
      <c r="AP159" s="7">
        <f>SUMIF(NF!$A:$A,$AO159,NF!$I:$I)</f>
        <v>0</v>
      </c>
      <c r="AQ159" s="6"/>
      <c r="AR159" s="6"/>
      <c r="AS159" s="6"/>
      <c r="AT159" s="6"/>
      <c r="AU159" s="6"/>
      <c r="AV159" s="6"/>
      <c r="AW159" s="6"/>
      <c r="AX159" s="7">
        <f>SUM(AQ159:AW159)</f>
        <v>0</v>
      </c>
      <c r="AY159" s="11">
        <f t="shared" si="80"/>
        <v>0</v>
      </c>
      <c r="AZ159" s="25"/>
      <c r="BA159" s="10" t="str">
        <f t="shared" si="49"/>
        <v>MarçoSEMANA 5Pescados - Olhete Fresco</v>
      </c>
      <c r="BB159" s="7">
        <f>SUMIF(NF!$A:$A,$BA159,NF!$I:$I)</f>
        <v>0</v>
      </c>
      <c r="BC159" s="6"/>
      <c r="BD159" s="6"/>
      <c r="BE159" s="6"/>
      <c r="BF159" s="6"/>
      <c r="BG159" s="6"/>
      <c r="BH159" s="6"/>
      <c r="BI159" s="74"/>
      <c r="BJ159" s="74"/>
      <c r="BK159" s="7">
        <f>SUM(BC159:BJ159)</f>
        <v>0</v>
      </c>
      <c r="BL159" s="8">
        <f t="shared" si="81"/>
        <v>0</v>
      </c>
      <c r="BM159" s="51" t="str">
        <f>IFERROR(VLOOKUP(A159,NF!$M:$O,3,0),"")</f>
        <v>Carnes</v>
      </c>
      <c r="BN159" s="7">
        <f t="shared" si="82"/>
        <v>0</v>
      </c>
      <c r="BO159" s="8">
        <f t="array" ref="BO159">IFERROR(LARGE(IF(NF!$G$2:$G$3137='Mês atual'!A159,NF!$J$2:$J$3137),1),0)*BN159</f>
        <v>0</v>
      </c>
      <c r="BP159" s="50"/>
      <c r="BR159" s="146">
        <f t="array" ref="BR159">IFERROR(LARGE(IF(NF!$G$2:$G$3137='Mês atual'!A159,NF!$J$2:$J$3137),1),0)</f>
        <v>0</v>
      </c>
      <c r="BS159" s="142" t="str">
        <f>VLOOKUP(A159,NF!M:O,3,0)</f>
        <v>Carnes</v>
      </c>
      <c r="BV159" s="74">
        <f t="shared" si="72"/>
        <v>0</v>
      </c>
      <c r="BW159" s="74">
        <f t="shared" si="73"/>
        <v>0</v>
      </c>
      <c r="BX159" s="74">
        <f t="shared" si="74"/>
        <v>0</v>
      </c>
      <c r="BY159" s="74">
        <f t="shared" si="75"/>
        <v>0</v>
      </c>
      <c r="BZ159" s="74">
        <f t="shared" si="76"/>
        <v>0</v>
      </c>
    </row>
    <row r="160" spans="1:78" x14ac:dyDescent="0.2">
      <c r="A160" s="108" t="s">
        <v>629</v>
      </c>
      <c r="B160" s="12"/>
      <c r="C160" s="9">
        <v>0</v>
      </c>
      <c r="D160" s="25"/>
      <c r="E160" s="10" t="str">
        <f t="shared" si="41"/>
        <v>MarçoSEMANA 1Pescados - Olho de Boi</v>
      </c>
      <c r="F160" s="7">
        <f>SUMIF(NF!$A:$A,$E160,NF!$I:$I)</f>
        <v>55.7</v>
      </c>
      <c r="G160" s="74"/>
      <c r="H160" s="74"/>
      <c r="I160" s="74"/>
      <c r="J160" s="6"/>
      <c r="K160" s="6"/>
      <c r="L160" s="6"/>
      <c r="M160" s="6"/>
      <c r="N160" s="7">
        <f>SUM(G160:M160)</f>
        <v>0</v>
      </c>
      <c r="O160" s="11">
        <f t="shared" si="77"/>
        <v>55.7</v>
      </c>
      <c r="P160" s="25"/>
      <c r="Q160" s="10" t="str">
        <f t="shared" si="43"/>
        <v>MarçoSEMANA 2Pescados - Olho de Boi</v>
      </c>
      <c r="R160" s="7">
        <f>SUMIF(NF!$A:$A,$Q160,NF!$I:$I)</f>
        <v>0</v>
      </c>
      <c r="S160" s="6">
        <f>55.7-5.9</f>
        <v>49.800000000000004</v>
      </c>
      <c r="T160" s="6"/>
      <c r="U160" s="6"/>
      <c r="V160" s="6"/>
      <c r="W160" s="6"/>
      <c r="X160" s="6">
        <v>5.9</v>
      </c>
      <c r="Y160" s="6"/>
      <c r="Z160" s="7">
        <f>SUM(S160:Y160)</f>
        <v>55.7</v>
      </c>
      <c r="AA160" s="11">
        <f t="shared" si="78"/>
        <v>0</v>
      </c>
      <c r="AB160" s="25"/>
      <c r="AC160" s="10" t="str">
        <f t="shared" si="45"/>
        <v>MarçoSEMANA 3Pescados - Olho de Boi</v>
      </c>
      <c r="AD160" s="7">
        <f>SUMIF(NF!$A:$A,$AC160,NF!$I:$I)</f>
        <v>0</v>
      </c>
      <c r="AE160" s="6"/>
      <c r="AF160" s="6"/>
      <c r="AG160" s="6"/>
      <c r="AH160" s="6"/>
      <c r="AI160" s="6"/>
      <c r="AJ160" s="6"/>
      <c r="AK160" s="6"/>
      <c r="AL160" s="7">
        <f>SUM(AE160:AK160)</f>
        <v>0</v>
      </c>
      <c r="AM160" s="11">
        <f t="shared" si="79"/>
        <v>0</v>
      </c>
      <c r="AN160" s="25"/>
      <c r="AO160" s="10" t="str">
        <f t="shared" si="47"/>
        <v>MarçoSEMANA 4Pescados - Olho de Boi</v>
      </c>
      <c r="AP160" s="7">
        <f>SUMIF(NF!$A:$A,$AO160,NF!$I:$I)</f>
        <v>0</v>
      </c>
      <c r="AQ160" s="6"/>
      <c r="AR160" s="6"/>
      <c r="AS160" s="6"/>
      <c r="AT160" s="6"/>
      <c r="AU160" s="6"/>
      <c r="AV160" s="6"/>
      <c r="AW160" s="6"/>
      <c r="AX160" s="7">
        <f>SUM(AQ160:AW160)</f>
        <v>0</v>
      </c>
      <c r="AY160" s="11">
        <f t="shared" si="80"/>
        <v>0</v>
      </c>
      <c r="AZ160" s="25"/>
      <c r="BA160" s="10" t="str">
        <f t="shared" si="49"/>
        <v>MarçoSEMANA 5Pescados - Olho de Boi</v>
      </c>
      <c r="BB160" s="7">
        <f>SUMIF(NF!$A:$A,$BA160,NF!$I:$I)</f>
        <v>0</v>
      </c>
      <c r="BC160" s="6"/>
      <c r="BD160" s="6"/>
      <c r="BE160" s="6"/>
      <c r="BF160" s="6"/>
      <c r="BG160" s="6"/>
      <c r="BH160" s="6"/>
      <c r="BI160" s="74"/>
      <c r="BJ160" s="74"/>
      <c r="BK160" s="7">
        <f>SUM(BC160:BJ160)</f>
        <v>0</v>
      </c>
      <c r="BL160" s="8">
        <f t="shared" si="81"/>
        <v>0</v>
      </c>
      <c r="BM160" s="51" t="str">
        <f>IFERROR(VLOOKUP(A160,NF!$M:$O,3,0),"")</f>
        <v>Carnes</v>
      </c>
      <c r="BN160" s="7">
        <f t="shared" si="82"/>
        <v>55.7</v>
      </c>
      <c r="BO160" s="8">
        <f t="array" ref="BO160">IFERROR(LARGE(IF(NF!$G$2:$G$3137='Mês atual'!A160,NF!$J$2:$J$3137),1),0)*BN160</f>
        <v>1002.6</v>
      </c>
      <c r="BP160" s="50"/>
      <c r="BR160" s="146">
        <f t="array" ref="BR160">IFERROR(LARGE(IF(NF!$G$2:$G$3137='Mês atual'!A160,NF!$J$2:$J$3137),1),0)</f>
        <v>18</v>
      </c>
      <c r="BS160" s="142" t="str">
        <f>VLOOKUP(A160,NF!M:O,3,0)</f>
        <v>Carnes</v>
      </c>
      <c r="BV160" s="74">
        <f t="shared" si="72"/>
        <v>0</v>
      </c>
      <c r="BW160" s="74">
        <f t="shared" si="73"/>
        <v>55.7</v>
      </c>
      <c r="BX160" s="74">
        <f t="shared" si="74"/>
        <v>0</v>
      </c>
      <c r="BY160" s="74">
        <f t="shared" si="75"/>
        <v>0</v>
      </c>
      <c r="BZ160" s="74">
        <f t="shared" si="76"/>
        <v>0</v>
      </c>
    </row>
    <row r="161" spans="1:78" x14ac:dyDescent="0.2">
      <c r="A161" s="108" t="s">
        <v>631</v>
      </c>
      <c r="B161" s="12"/>
      <c r="C161" s="9">
        <v>0</v>
      </c>
      <c r="D161" s="25"/>
      <c r="E161" s="10" t="str">
        <f t="shared" si="41"/>
        <v>MarçoSEMANA 1Pescados - Ostras Frescas</v>
      </c>
      <c r="F161" s="7">
        <f>SUMIF(NF!$A:$A,$E161,NF!$I:$I)</f>
        <v>0</v>
      </c>
      <c r="G161" s="74"/>
      <c r="H161" s="74"/>
      <c r="I161" s="74"/>
      <c r="J161" s="6"/>
      <c r="K161" s="6"/>
      <c r="L161" s="6"/>
      <c r="M161" s="6"/>
      <c r="N161" s="7">
        <f>SUM(G161:M161)</f>
        <v>0</v>
      </c>
      <c r="O161" s="11">
        <f t="shared" si="77"/>
        <v>0</v>
      </c>
      <c r="P161" s="25"/>
      <c r="Q161" s="10" t="str">
        <f t="shared" si="43"/>
        <v>MarçoSEMANA 2Pescados - Ostras Frescas</v>
      </c>
      <c r="R161" s="7">
        <f>SUMIF(NF!$A:$A,$Q161,NF!$I:$I)</f>
        <v>0</v>
      </c>
      <c r="S161" s="6"/>
      <c r="T161" s="6"/>
      <c r="U161" s="6"/>
      <c r="V161" s="6"/>
      <c r="W161" s="6"/>
      <c r="X161" s="6"/>
      <c r="Y161" s="6"/>
      <c r="Z161" s="7">
        <f>SUM(S161:Y161)</f>
        <v>0</v>
      </c>
      <c r="AA161" s="11">
        <f t="shared" si="78"/>
        <v>0</v>
      </c>
      <c r="AB161" s="25"/>
      <c r="AC161" s="10" t="str">
        <f t="shared" si="45"/>
        <v>MarçoSEMANA 3Pescados - Ostras Frescas</v>
      </c>
      <c r="AD161" s="7">
        <f>SUMIF(NF!$A:$A,$AC161,NF!$I:$I)</f>
        <v>0</v>
      </c>
      <c r="AE161" s="6"/>
      <c r="AF161" s="6"/>
      <c r="AG161" s="6"/>
      <c r="AH161" s="6"/>
      <c r="AI161" s="6"/>
      <c r="AJ161" s="6"/>
      <c r="AK161" s="6"/>
      <c r="AL161" s="7">
        <f>SUM(AE161:AK161)</f>
        <v>0</v>
      </c>
      <c r="AM161" s="11">
        <f t="shared" si="79"/>
        <v>0</v>
      </c>
      <c r="AN161" s="25"/>
      <c r="AO161" s="10" t="str">
        <f t="shared" si="47"/>
        <v>MarçoSEMANA 4Pescados - Ostras Frescas</v>
      </c>
      <c r="AP161" s="7">
        <f>SUMIF(NF!$A:$A,$AO161,NF!$I:$I)</f>
        <v>0</v>
      </c>
      <c r="AQ161" s="6"/>
      <c r="AR161" s="6"/>
      <c r="AS161" s="6"/>
      <c r="AT161" s="6"/>
      <c r="AU161" s="6"/>
      <c r="AV161" s="6"/>
      <c r="AW161" s="6"/>
      <c r="AX161" s="7">
        <f>SUM(AQ161:AW161)</f>
        <v>0</v>
      </c>
      <c r="AY161" s="11">
        <f t="shared" si="80"/>
        <v>0</v>
      </c>
      <c r="AZ161" s="25"/>
      <c r="BA161" s="10" t="str">
        <f t="shared" si="49"/>
        <v>MarçoSEMANA 5Pescados - Ostras Frescas</v>
      </c>
      <c r="BB161" s="7">
        <f>SUMIF(NF!$A:$A,$BA161,NF!$I:$I)</f>
        <v>0</v>
      </c>
      <c r="BC161" s="6"/>
      <c r="BD161" s="6"/>
      <c r="BE161" s="6"/>
      <c r="BF161" s="6"/>
      <c r="BG161" s="6"/>
      <c r="BH161" s="6"/>
      <c r="BI161" s="74"/>
      <c r="BJ161" s="74"/>
      <c r="BK161" s="7">
        <f>SUM(BC161:BJ161)</f>
        <v>0</v>
      </c>
      <c r="BL161" s="8">
        <f t="shared" si="81"/>
        <v>0</v>
      </c>
      <c r="BM161" s="51" t="str">
        <f>IFERROR(VLOOKUP(A161,NF!$M:$O,3,0),"")</f>
        <v>Carnes</v>
      </c>
      <c r="BN161" s="7">
        <f t="shared" si="82"/>
        <v>0</v>
      </c>
      <c r="BO161" s="8">
        <f t="array" ref="BO161">IFERROR(LARGE(IF(NF!$G$2:$G$3137='Mês atual'!A161,NF!$J$2:$J$3137),1),0)*BN161</f>
        <v>0</v>
      </c>
      <c r="BP161" s="50"/>
      <c r="BR161" s="146">
        <f t="array" ref="BR161">IFERROR(LARGE(IF(NF!$G$2:$G$3137='Mês atual'!A161,NF!$J$2:$J$3137),1),0)</f>
        <v>0</v>
      </c>
      <c r="BS161" s="142" t="str">
        <f>VLOOKUP(A161,NF!M:O,3,0)</f>
        <v>Carnes</v>
      </c>
      <c r="BV161" s="74">
        <f t="shared" si="72"/>
        <v>0</v>
      </c>
      <c r="BW161" s="74">
        <f t="shared" si="73"/>
        <v>0</v>
      </c>
      <c r="BX161" s="74">
        <f t="shared" si="74"/>
        <v>0</v>
      </c>
      <c r="BY161" s="74">
        <f t="shared" si="75"/>
        <v>0</v>
      </c>
      <c r="BZ161" s="74">
        <f t="shared" si="76"/>
        <v>0</v>
      </c>
    </row>
    <row r="162" spans="1:78" x14ac:dyDescent="0.2">
      <c r="A162" s="108" t="s">
        <v>633</v>
      </c>
      <c r="B162" s="12"/>
      <c r="C162" s="9">
        <v>0</v>
      </c>
      <c r="D162" s="25"/>
      <c r="E162" s="10" t="str">
        <f t="shared" si="41"/>
        <v>MarçoSEMANA 1Pescados - Pescada Amarela Fresca</v>
      </c>
      <c r="F162" s="7">
        <f>SUMIF(NF!$A:$A,$E162,NF!$I:$I)</f>
        <v>0</v>
      </c>
      <c r="G162" s="74"/>
      <c r="H162" s="74"/>
      <c r="I162" s="74"/>
      <c r="J162" s="6"/>
      <c r="K162" s="6"/>
      <c r="L162" s="6"/>
      <c r="M162" s="6"/>
      <c r="N162" s="7">
        <f>SUM(G162:M162)</f>
        <v>0</v>
      </c>
      <c r="O162" s="11">
        <f t="shared" si="77"/>
        <v>0</v>
      </c>
      <c r="P162" s="25"/>
      <c r="Q162" s="10" t="str">
        <f t="shared" si="43"/>
        <v>MarçoSEMANA 2Pescados - Pescada Amarela Fresca</v>
      </c>
      <c r="R162" s="7">
        <f>SUMIF(NF!$A:$A,$Q162,NF!$I:$I)</f>
        <v>0</v>
      </c>
      <c r="S162" s="6"/>
      <c r="T162" s="6"/>
      <c r="U162" s="6"/>
      <c r="V162" s="6"/>
      <c r="W162" s="6"/>
      <c r="X162" s="6"/>
      <c r="Y162" s="6"/>
      <c r="Z162" s="7">
        <f>SUM(S162:Y162)</f>
        <v>0</v>
      </c>
      <c r="AA162" s="11">
        <f t="shared" si="78"/>
        <v>0</v>
      </c>
      <c r="AB162" s="25"/>
      <c r="AC162" s="10" t="str">
        <f t="shared" si="45"/>
        <v>MarçoSEMANA 3Pescados - Pescada Amarela Fresca</v>
      </c>
      <c r="AD162" s="7">
        <f>SUMIF(NF!$A:$A,$AC162,NF!$I:$I)</f>
        <v>0</v>
      </c>
      <c r="AE162" s="6"/>
      <c r="AF162" s="6"/>
      <c r="AG162" s="6"/>
      <c r="AH162" s="6"/>
      <c r="AI162" s="6"/>
      <c r="AJ162" s="6"/>
      <c r="AK162" s="6"/>
      <c r="AL162" s="7">
        <f>SUM(AE162:AK162)</f>
        <v>0</v>
      </c>
      <c r="AM162" s="11">
        <f t="shared" si="79"/>
        <v>0</v>
      </c>
      <c r="AN162" s="25"/>
      <c r="AO162" s="10" t="str">
        <f t="shared" si="47"/>
        <v>MarçoSEMANA 4Pescados - Pescada Amarela Fresca</v>
      </c>
      <c r="AP162" s="7">
        <f>SUMIF(NF!$A:$A,$AO162,NF!$I:$I)</f>
        <v>0</v>
      </c>
      <c r="AQ162" s="6"/>
      <c r="AR162" s="6"/>
      <c r="AS162" s="6"/>
      <c r="AT162" s="6"/>
      <c r="AU162" s="6"/>
      <c r="AV162" s="6"/>
      <c r="AW162" s="6"/>
      <c r="AX162" s="7">
        <f>SUM(AQ162:AW162)</f>
        <v>0</v>
      </c>
      <c r="AY162" s="11">
        <f t="shared" si="80"/>
        <v>0</v>
      </c>
      <c r="AZ162" s="25"/>
      <c r="BA162" s="10" t="str">
        <f t="shared" si="49"/>
        <v>MarçoSEMANA 5Pescados - Pescada Amarela Fresca</v>
      </c>
      <c r="BB162" s="7">
        <f>SUMIF(NF!$A:$A,$BA162,NF!$I:$I)</f>
        <v>0</v>
      </c>
      <c r="BC162" s="6"/>
      <c r="BD162" s="6"/>
      <c r="BE162" s="6"/>
      <c r="BF162" s="6"/>
      <c r="BG162" s="6"/>
      <c r="BH162" s="6"/>
      <c r="BI162" s="74"/>
      <c r="BJ162" s="74"/>
      <c r="BK162" s="7">
        <f>SUM(BC162:BJ162)</f>
        <v>0</v>
      </c>
      <c r="BL162" s="8">
        <f t="shared" si="81"/>
        <v>0</v>
      </c>
      <c r="BM162" s="51" t="str">
        <f>IFERROR(VLOOKUP(A162,NF!$M:$O,3,0),"")</f>
        <v>Carnes</v>
      </c>
      <c r="BN162" s="7">
        <f t="shared" si="82"/>
        <v>0</v>
      </c>
      <c r="BO162" s="8">
        <f t="array" ref="BO162">IFERROR(LARGE(IF(NF!$G$2:$G$3137='Mês atual'!A162,NF!$J$2:$J$3137),1),0)*BN162</f>
        <v>0</v>
      </c>
      <c r="BP162" s="50"/>
      <c r="BR162" s="146">
        <f t="array" ref="BR162">IFERROR(LARGE(IF(NF!$G$2:$G$3137='Mês atual'!A162,NF!$J$2:$J$3137),1),0)</f>
        <v>0</v>
      </c>
      <c r="BS162" s="142" t="str">
        <f>VLOOKUP(A162,NF!M:O,3,0)</f>
        <v>Carnes</v>
      </c>
      <c r="BV162" s="74">
        <f t="shared" si="72"/>
        <v>0</v>
      </c>
      <c r="BW162" s="74">
        <f t="shared" si="73"/>
        <v>0</v>
      </c>
      <c r="BX162" s="74">
        <f t="shared" si="74"/>
        <v>0</v>
      </c>
      <c r="BY162" s="74">
        <f t="shared" si="75"/>
        <v>0</v>
      </c>
      <c r="BZ162" s="74">
        <f t="shared" si="76"/>
        <v>0</v>
      </c>
    </row>
    <row r="163" spans="1:78" x14ac:dyDescent="0.2">
      <c r="A163" s="108" t="s">
        <v>634</v>
      </c>
      <c r="B163" s="12"/>
      <c r="C163" s="9">
        <v>0</v>
      </c>
      <c r="D163" s="25"/>
      <c r="E163" s="10" t="str">
        <f t="shared" si="41"/>
        <v>MarçoSEMANA 1Pescados - Pintado Cong.</v>
      </c>
      <c r="F163" s="7">
        <f>SUMIF(NF!$A:$A,$E163,NF!$I:$I)</f>
        <v>0</v>
      </c>
      <c r="G163" s="74"/>
      <c r="H163" s="74"/>
      <c r="I163" s="74"/>
      <c r="J163" s="6"/>
      <c r="K163" s="6"/>
      <c r="L163" s="6"/>
      <c r="M163" s="6"/>
      <c r="N163" s="7">
        <f t="shared" ref="N163:N182" si="104">SUM(G163:M163)</f>
        <v>0</v>
      </c>
      <c r="O163" s="11">
        <f t="shared" si="77"/>
        <v>0</v>
      </c>
      <c r="P163" s="25"/>
      <c r="Q163" s="10" t="str">
        <f t="shared" si="43"/>
        <v>MarçoSEMANA 2Pescados - Pintado Cong.</v>
      </c>
      <c r="R163" s="7">
        <f>SUMIF(NF!$A:$A,$Q163,NF!$I:$I)</f>
        <v>0</v>
      </c>
      <c r="S163" s="6"/>
      <c r="T163" s="6"/>
      <c r="U163" s="6"/>
      <c r="V163" s="6"/>
      <c r="W163" s="6"/>
      <c r="X163" s="6"/>
      <c r="Y163" s="6"/>
      <c r="Z163" s="7">
        <f t="shared" ref="Z163:Z182" si="105">SUM(S163:Y163)</f>
        <v>0</v>
      </c>
      <c r="AA163" s="11">
        <f t="shared" si="78"/>
        <v>0</v>
      </c>
      <c r="AB163" s="25"/>
      <c r="AC163" s="10" t="str">
        <f t="shared" si="45"/>
        <v>MarçoSEMANA 3Pescados - Pintado Cong.</v>
      </c>
      <c r="AD163" s="7">
        <f>SUMIF(NF!$A:$A,$AC163,NF!$I:$I)</f>
        <v>0</v>
      </c>
      <c r="AE163" s="6"/>
      <c r="AF163" s="6"/>
      <c r="AG163" s="6"/>
      <c r="AH163" s="6"/>
      <c r="AI163" s="6"/>
      <c r="AJ163" s="6"/>
      <c r="AK163" s="6"/>
      <c r="AL163" s="7">
        <f t="shared" ref="AL163:AL182" si="106">SUM(AE163:AK163)</f>
        <v>0</v>
      </c>
      <c r="AM163" s="11">
        <f t="shared" si="79"/>
        <v>0</v>
      </c>
      <c r="AN163" s="25"/>
      <c r="AO163" s="10" t="str">
        <f t="shared" si="47"/>
        <v>MarçoSEMANA 4Pescados - Pintado Cong.</v>
      </c>
      <c r="AP163" s="7">
        <f>SUMIF(NF!$A:$A,$AO163,NF!$I:$I)</f>
        <v>0</v>
      </c>
      <c r="AQ163" s="6"/>
      <c r="AR163" s="6"/>
      <c r="AS163" s="6"/>
      <c r="AT163" s="6"/>
      <c r="AU163" s="6"/>
      <c r="AV163" s="6"/>
      <c r="AW163" s="6"/>
      <c r="AX163" s="7">
        <f t="shared" ref="AX163:AX182" si="107">SUM(AQ163:AW163)</f>
        <v>0</v>
      </c>
      <c r="AY163" s="11">
        <f t="shared" si="80"/>
        <v>0</v>
      </c>
      <c r="AZ163" s="25"/>
      <c r="BA163" s="10" t="str">
        <f t="shared" si="49"/>
        <v>MarçoSEMANA 5Pescados - Pintado Cong.</v>
      </c>
      <c r="BB163" s="7">
        <f>SUMIF(NF!$A:$A,$BA163,NF!$I:$I)</f>
        <v>0</v>
      </c>
      <c r="BC163" s="6"/>
      <c r="BD163" s="6"/>
      <c r="BE163" s="6"/>
      <c r="BF163" s="6"/>
      <c r="BG163" s="6"/>
      <c r="BH163" s="6"/>
      <c r="BI163" s="74"/>
      <c r="BJ163" s="74"/>
      <c r="BK163" s="7">
        <f t="shared" ref="BK163:BK182" si="108">SUM(BC163:BJ163)</f>
        <v>0</v>
      </c>
      <c r="BL163" s="8">
        <f t="shared" si="81"/>
        <v>0</v>
      </c>
      <c r="BM163" s="51" t="str">
        <f>IFERROR(VLOOKUP(A163,NF!$M:$O,3,0),"")</f>
        <v>Carnes</v>
      </c>
      <c r="BN163" s="7">
        <f t="shared" si="82"/>
        <v>0</v>
      </c>
      <c r="BO163" s="8">
        <f t="array" ref="BO163">IFERROR(LARGE(IF(NF!$G$2:$G$3137='Mês atual'!A163,NF!$J$2:$J$3137),1),0)*BN163</f>
        <v>0</v>
      </c>
      <c r="BP163" s="50"/>
      <c r="BR163" s="146">
        <f t="array" ref="BR163">IFERROR(LARGE(IF(NF!$G$2:$G$3137='Mês atual'!A163,NF!$J$2:$J$3137),1),0)</f>
        <v>0</v>
      </c>
      <c r="BS163" s="142" t="str">
        <f>VLOOKUP(A163,NF!M:O,3,0)</f>
        <v>Carnes</v>
      </c>
      <c r="BV163" s="74">
        <f t="shared" si="72"/>
        <v>0</v>
      </c>
      <c r="BW163" s="74">
        <f t="shared" si="73"/>
        <v>0</v>
      </c>
      <c r="BX163" s="74">
        <f t="shared" si="74"/>
        <v>0</v>
      </c>
      <c r="BY163" s="74">
        <f t="shared" si="75"/>
        <v>0</v>
      </c>
      <c r="BZ163" s="74">
        <f t="shared" si="76"/>
        <v>0</v>
      </c>
    </row>
    <row r="164" spans="1:78" x14ac:dyDescent="0.2">
      <c r="A164" s="108" t="s">
        <v>635</v>
      </c>
      <c r="B164" s="12"/>
      <c r="C164" s="9">
        <v>0</v>
      </c>
      <c r="D164" s="25"/>
      <c r="E164" s="10" t="str">
        <f t="shared" si="41"/>
        <v>MarçoSEMANA 1Pescados - Polvo Fresco G</v>
      </c>
      <c r="F164" s="7">
        <f>SUMIF(NF!$A:$A,$E164,NF!$I:$I)</f>
        <v>0</v>
      </c>
      <c r="G164" s="74"/>
      <c r="H164" s="74"/>
      <c r="I164" s="74"/>
      <c r="J164" s="6"/>
      <c r="K164" s="6"/>
      <c r="L164" s="6"/>
      <c r="M164" s="6"/>
      <c r="N164" s="7">
        <f t="shared" si="104"/>
        <v>0</v>
      </c>
      <c r="O164" s="11">
        <f t="shared" si="77"/>
        <v>0</v>
      </c>
      <c r="P164" s="25"/>
      <c r="Q164" s="10" t="str">
        <f t="shared" si="43"/>
        <v>MarçoSEMANA 2Pescados - Polvo Fresco G</v>
      </c>
      <c r="R164" s="7">
        <f>SUMIF(NF!$A:$A,$Q164,NF!$I:$I)</f>
        <v>0</v>
      </c>
      <c r="S164" s="6"/>
      <c r="T164" s="6"/>
      <c r="U164" s="6"/>
      <c r="V164" s="6"/>
      <c r="W164" s="6"/>
      <c r="X164" s="6"/>
      <c r="Y164" s="6"/>
      <c r="Z164" s="7">
        <f t="shared" si="105"/>
        <v>0</v>
      </c>
      <c r="AA164" s="11">
        <f t="shared" si="78"/>
        <v>0</v>
      </c>
      <c r="AB164" s="25"/>
      <c r="AC164" s="10" t="str">
        <f t="shared" si="45"/>
        <v>MarçoSEMANA 3Pescados - Polvo Fresco G</v>
      </c>
      <c r="AD164" s="7">
        <f>SUMIF(NF!$A:$A,$AC164,NF!$I:$I)</f>
        <v>0</v>
      </c>
      <c r="AE164" s="6"/>
      <c r="AF164" s="6"/>
      <c r="AG164" s="6"/>
      <c r="AH164" s="6"/>
      <c r="AI164" s="6"/>
      <c r="AJ164" s="6"/>
      <c r="AK164" s="6"/>
      <c r="AL164" s="7">
        <f t="shared" si="106"/>
        <v>0</v>
      </c>
      <c r="AM164" s="11">
        <f t="shared" si="79"/>
        <v>0</v>
      </c>
      <c r="AN164" s="25"/>
      <c r="AO164" s="10" t="str">
        <f t="shared" si="47"/>
        <v>MarçoSEMANA 4Pescados - Polvo Fresco G</v>
      </c>
      <c r="AP164" s="7">
        <f>SUMIF(NF!$A:$A,$AO164,NF!$I:$I)</f>
        <v>0</v>
      </c>
      <c r="AQ164" s="6"/>
      <c r="AR164" s="6"/>
      <c r="AS164" s="6"/>
      <c r="AT164" s="6"/>
      <c r="AU164" s="6"/>
      <c r="AV164" s="6"/>
      <c r="AW164" s="6"/>
      <c r="AX164" s="7">
        <f t="shared" si="107"/>
        <v>0</v>
      </c>
      <c r="AY164" s="11">
        <f t="shared" si="80"/>
        <v>0</v>
      </c>
      <c r="AZ164" s="25"/>
      <c r="BA164" s="10" t="str">
        <f t="shared" si="49"/>
        <v>MarçoSEMANA 5Pescados - Polvo Fresco G</v>
      </c>
      <c r="BB164" s="7">
        <f>SUMIF(NF!$A:$A,$BA164,NF!$I:$I)</f>
        <v>0</v>
      </c>
      <c r="BC164" s="6"/>
      <c r="BD164" s="6"/>
      <c r="BE164" s="6"/>
      <c r="BF164" s="6"/>
      <c r="BG164" s="6"/>
      <c r="BH164" s="6"/>
      <c r="BI164" s="74"/>
      <c r="BJ164" s="74"/>
      <c r="BK164" s="7">
        <f t="shared" si="108"/>
        <v>0</v>
      </c>
      <c r="BL164" s="8">
        <f t="shared" si="81"/>
        <v>0</v>
      </c>
      <c r="BM164" s="51" t="str">
        <f>IFERROR(VLOOKUP(A164,NF!$M:$O,3,0),"")</f>
        <v>Carnes</v>
      </c>
      <c r="BN164" s="7">
        <f t="shared" si="82"/>
        <v>0</v>
      </c>
      <c r="BO164" s="8">
        <f t="array" ref="BO164">IFERROR(LARGE(IF(NF!$G$2:$G$3137='Mês atual'!A164,NF!$J$2:$J$3137),1),0)*BN164</f>
        <v>0</v>
      </c>
      <c r="BP164" s="50"/>
      <c r="BR164" s="146">
        <f t="array" ref="BR164">IFERROR(LARGE(IF(NF!$G$2:$G$3137='Mês atual'!A164,NF!$J$2:$J$3137),1),0)</f>
        <v>0</v>
      </c>
      <c r="BS164" s="142" t="str">
        <f>VLOOKUP(A164,NF!M:O,3,0)</f>
        <v>Carnes</v>
      </c>
      <c r="BV164" s="74">
        <f t="shared" si="72"/>
        <v>0</v>
      </c>
      <c r="BW164" s="74">
        <f t="shared" si="73"/>
        <v>0</v>
      </c>
      <c r="BX164" s="74">
        <f t="shared" si="74"/>
        <v>0</v>
      </c>
      <c r="BY164" s="74">
        <f t="shared" si="75"/>
        <v>0</v>
      </c>
      <c r="BZ164" s="74">
        <f t="shared" si="76"/>
        <v>0</v>
      </c>
    </row>
    <row r="165" spans="1:78" x14ac:dyDescent="0.2">
      <c r="A165" s="108" t="s">
        <v>637</v>
      </c>
      <c r="B165" s="12"/>
      <c r="C165" s="9">
        <v>0</v>
      </c>
      <c r="D165" s="25"/>
      <c r="E165" s="10" t="str">
        <f t="shared" si="41"/>
        <v>MarçoSEMANA 1Pescados - Polvo Fresco M</v>
      </c>
      <c r="F165" s="7">
        <f>SUMIF(NF!$A:$A,$E165,NF!$I:$I)</f>
        <v>0</v>
      </c>
      <c r="G165" s="74"/>
      <c r="H165" s="74"/>
      <c r="I165" s="74"/>
      <c r="J165" s="6"/>
      <c r="K165" s="6"/>
      <c r="L165" s="6"/>
      <c r="M165" s="6"/>
      <c r="N165" s="7">
        <f t="shared" si="104"/>
        <v>0</v>
      </c>
      <c r="O165" s="11">
        <f t="shared" si="77"/>
        <v>0</v>
      </c>
      <c r="P165" s="25"/>
      <c r="Q165" s="10" t="str">
        <f t="shared" si="43"/>
        <v>MarçoSEMANA 2Pescados - Polvo Fresco M</v>
      </c>
      <c r="R165" s="7">
        <f>SUMIF(NF!$A:$A,$Q165,NF!$I:$I)</f>
        <v>0</v>
      </c>
      <c r="S165" s="6"/>
      <c r="T165" s="6"/>
      <c r="U165" s="6"/>
      <c r="V165" s="6"/>
      <c r="W165" s="6"/>
      <c r="X165" s="6"/>
      <c r="Y165" s="6"/>
      <c r="Z165" s="7">
        <f t="shared" si="105"/>
        <v>0</v>
      </c>
      <c r="AA165" s="11">
        <f t="shared" si="78"/>
        <v>0</v>
      </c>
      <c r="AB165" s="25"/>
      <c r="AC165" s="10" t="str">
        <f t="shared" si="45"/>
        <v>MarçoSEMANA 3Pescados - Polvo Fresco M</v>
      </c>
      <c r="AD165" s="7">
        <f>SUMIF(NF!$A:$A,$AC165,NF!$I:$I)</f>
        <v>0</v>
      </c>
      <c r="AE165" s="6"/>
      <c r="AF165" s="6"/>
      <c r="AG165" s="6"/>
      <c r="AH165" s="6"/>
      <c r="AI165" s="6"/>
      <c r="AJ165" s="6"/>
      <c r="AK165" s="6"/>
      <c r="AL165" s="7">
        <f t="shared" si="106"/>
        <v>0</v>
      </c>
      <c r="AM165" s="11">
        <f t="shared" si="79"/>
        <v>0</v>
      </c>
      <c r="AN165" s="25"/>
      <c r="AO165" s="10" t="str">
        <f t="shared" si="47"/>
        <v>MarçoSEMANA 4Pescados - Polvo Fresco M</v>
      </c>
      <c r="AP165" s="7">
        <f>SUMIF(NF!$A:$A,$AO165,NF!$I:$I)</f>
        <v>0</v>
      </c>
      <c r="AQ165" s="6"/>
      <c r="AR165" s="6"/>
      <c r="AS165" s="6"/>
      <c r="AT165" s="6"/>
      <c r="AU165" s="6"/>
      <c r="AV165" s="6"/>
      <c r="AW165" s="6"/>
      <c r="AX165" s="7">
        <f t="shared" si="107"/>
        <v>0</v>
      </c>
      <c r="AY165" s="11">
        <f t="shared" si="80"/>
        <v>0</v>
      </c>
      <c r="AZ165" s="25"/>
      <c r="BA165" s="10" t="str">
        <f t="shared" si="49"/>
        <v>MarçoSEMANA 5Pescados - Polvo Fresco M</v>
      </c>
      <c r="BB165" s="7">
        <f>SUMIF(NF!$A:$A,$BA165,NF!$I:$I)</f>
        <v>0</v>
      </c>
      <c r="BC165" s="6"/>
      <c r="BD165" s="6"/>
      <c r="BE165" s="6"/>
      <c r="BF165" s="6"/>
      <c r="BG165" s="6"/>
      <c r="BH165" s="6"/>
      <c r="BI165" s="74"/>
      <c r="BJ165" s="74"/>
      <c r="BK165" s="7">
        <f t="shared" si="108"/>
        <v>0</v>
      </c>
      <c r="BL165" s="8">
        <f t="shared" si="81"/>
        <v>0</v>
      </c>
      <c r="BM165" s="51" t="str">
        <f>IFERROR(VLOOKUP(A165,NF!$M:$O,3,0),"")</f>
        <v>Carnes</v>
      </c>
      <c r="BN165" s="7">
        <f t="shared" si="82"/>
        <v>0</v>
      </c>
      <c r="BO165" s="8">
        <f t="array" ref="BO165">IFERROR(LARGE(IF(NF!$G$2:$G$3137='Mês atual'!A165,NF!$J$2:$J$3137),1),0)*BN165</f>
        <v>0</v>
      </c>
      <c r="BP165" s="50"/>
      <c r="BR165" s="146">
        <f t="array" ref="BR165">IFERROR(LARGE(IF(NF!$G$2:$G$3137='Mês atual'!A165,NF!$J$2:$J$3137),1),0)</f>
        <v>0</v>
      </c>
      <c r="BS165" s="142" t="str">
        <f>VLOOKUP(A165,NF!M:O,3,0)</f>
        <v>Carnes</v>
      </c>
      <c r="BV165" s="74">
        <f t="shared" si="72"/>
        <v>0</v>
      </c>
      <c r="BW165" s="74">
        <f t="shared" si="73"/>
        <v>0</v>
      </c>
      <c r="BX165" s="74">
        <f t="shared" si="74"/>
        <v>0</v>
      </c>
      <c r="BY165" s="74">
        <f t="shared" si="75"/>
        <v>0</v>
      </c>
      <c r="BZ165" s="74">
        <f t="shared" si="76"/>
        <v>0</v>
      </c>
    </row>
    <row r="166" spans="1:78" x14ac:dyDescent="0.25">
      <c r="A166" s="108" t="s">
        <v>639</v>
      </c>
      <c r="B166" s="12"/>
      <c r="C166" s="9">
        <v>0</v>
      </c>
      <c r="D166" s="25"/>
      <c r="E166" s="10" t="str">
        <f t="shared" si="41"/>
        <v>MarçoSEMANA 1Pescados - Polvo Tentáculos Cong. G</v>
      </c>
      <c r="F166" s="7">
        <f>SUMIF(NF!$A:$A,$E166,NF!$I:$I)</f>
        <v>0</v>
      </c>
      <c r="G166" s="74"/>
      <c r="H166" s="74"/>
      <c r="I166" s="74"/>
      <c r="J166" s="6"/>
      <c r="K166" s="6"/>
      <c r="L166" s="6"/>
      <c r="M166" s="6"/>
      <c r="N166" s="7">
        <f t="shared" si="104"/>
        <v>0</v>
      </c>
      <c r="O166" s="11">
        <f t="shared" si="77"/>
        <v>0</v>
      </c>
      <c r="P166" s="25"/>
      <c r="Q166" s="10" t="str">
        <f t="shared" si="43"/>
        <v>MarçoSEMANA 2Pescados - Polvo Tentáculos Cong. G</v>
      </c>
      <c r="R166" s="7">
        <f>SUMIF(NF!$A:$A,$Q166,NF!$I:$I)</f>
        <v>0</v>
      </c>
      <c r="S166" s="6"/>
      <c r="T166" s="6"/>
      <c r="U166" s="6"/>
      <c r="V166" s="6"/>
      <c r="W166" s="6"/>
      <c r="X166" s="6"/>
      <c r="Y166" s="6"/>
      <c r="Z166" s="7">
        <f t="shared" si="105"/>
        <v>0</v>
      </c>
      <c r="AA166" s="11">
        <f t="shared" si="78"/>
        <v>0</v>
      </c>
      <c r="AB166" s="25"/>
      <c r="AC166" s="10" t="str">
        <f t="shared" si="45"/>
        <v>MarçoSEMANA 3Pescados - Polvo Tentáculos Cong. G</v>
      </c>
      <c r="AD166" s="7">
        <f>SUMIF(NF!$A:$A,$AC166,NF!$I:$I)</f>
        <v>0</v>
      </c>
      <c r="AE166" s="6"/>
      <c r="AF166" s="6"/>
      <c r="AG166" s="6"/>
      <c r="AH166" s="6"/>
      <c r="AI166" s="6"/>
      <c r="AJ166" s="6"/>
      <c r="AK166" s="6"/>
      <c r="AL166" s="7">
        <f t="shared" si="106"/>
        <v>0</v>
      </c>
      <c r="AM166" s="11">
        <f t="shared" si="79"/>
        <v>0</v>
      </c>
      <c r="AN166" s="25"/>
      <c r="AO166" s="10" t="str">
        <f t="shared" si="47"/>
        <v>MarçoSEMANA 4Pescados - Polvo Tentáculos Cong. G</v>
      </c>
      <c r="AP166" s="7">
        <f>SUMIF(NF!$A:$A,$AO166,NF!$I:$I)</f>
        <v>0</v>
      </c>
      <c r="AQ166" s="6"/>
      <c r="AR166" s="6"/>
      <c r="AS166" s="6"/>
      <c r="AT166" s="6"/>
      <c r="AU166" s="6"/>
      <c r="AV166" s="6"/>
      <c r="AW166" s="6"/>
      <c r="AX166" s="7">
        <f t="shared" si="107"/>
        <v>0</v>
      </c>
      <c r="AY166" s="11">
        <f t="shared" si="80"/>
        <v>0</v>
      </c>
      <c r="AZ166" s="25"/>
      <c r="BA166" s="10" t="str">
        <f t="shared" si="49"/>
        <v>MarçoSEMANA 5Pescados - Polvo Tentáculos Cong. G</v>
      </c>
      <c r="BB166" s="7">
        <f>SUMIF(NF!$A:$A,$BA166,NF!$I:$I)</f>
        <v>0</v>
      </c>
      <c r="BC166" s="6"/>
      <c r="BD166" s="6"/>
      <c r="BE166" s="6"/>
      <c r="BF166" s="6"/>
      <c r="BG166" s="6"/>
      <c r="BH166" s="6"/>
      <c r="BI166" s="74"/>
      <c r="BJ166" s="74"/>
      <c r="BK166" s="7">
        <f t="shared" si="108"/>
        <v>0</v>
      </c>
      <c r="BL166" s="8">
        <f t="shared" si="81"/>
        <v>0</v>
      </c>
      <c r="BM166" s="51" t="str">
        <f>IFERROR(VLOOKUP(A166,NF!$M:$O,3,0),"")</f>
        <v>Carnes</v>
      </c>
      <c r="BN166" s="7">
        <f t="shared" si="82"/>
        <v>0</v>
      </c>
      <c r="BO166" s="8">
        <f t="array" ref="BO166">IFERROR(LARGE(IF(NF!$G$2:$G$3137='Mês atual'!A166,NF!$J$2:$J$3137),1),0)*BN166</f>
        <v>0</v>
      </c>
      <c r="BP166" s="50"/>
      <c r="BR166" s="146">
        <f t="array" ref="BR166">IFERROR(LARGE(IF(NF!$G$2:$G$3137='Mês atual'!A166,NF!$J$2:$J$3137),1),0)</f>
        <v>0</v>
      </c>
      <c r="BS166" s="142" t="str">
        <f>VLOOKUP(A166,NF!M:O,3,0)</f>
        <v>Carnes</v>
      </c>
      <c r="BV166" s="74">
        <f t="shared" si="72"/>
        <v>0</v>
      </c>
      <c r="BW166" s="74">
        <f t="shared" si="73"/>
        <v>0</v>
      </c>
      <c r="BX166" s="74">
        <f t="shared" si="74"/>
        <v>0</v>
      </c>
      <c r="BY166" s="74">
        <f t="shared" si="75"/>
        <v>0</v>
      </c>
      <c r="BZ166" s="74">
        <f t="shared" si="76"/>
        <v>0</v>
      </c>
    </row>
    <row r="167" spans="1:78" x14ac:dyDescent="0.25">
      <c r="A167" s="108" t="s">
        <v>640</v>
      </c>
      <c r="B167" s="12"/>
      <c r="C167" s="9">
        <v>0</v>
      </c>
      <c r="D167" s="25"/>
      <c r="E167" s="10" t="str">
        <f t="shared" si="41"/>
        <v>MarçoSEMANA 1Pescados - Polvo Tentáculos Cong. GG</v>
      </c>
      <c r="F167" s="7">
        <f>SUMIF(NF!$A:$A,$E167,NF!$I:$I)</f>
        <v>0</v>
      </c>
      <c r="G167" s="74"/>
      <c r="H167" s="74"/>
      <c r="I167" s="74"/>
      <c r="J167" s="6"/>
      <c r="K167" s="6"/>
      <c r="L167" s="6"/>
      <c r="M167" s="6"/>
      <c r="N167" s="7">
        <f t="shared" si="104"/>
        <v>0</v>
      </c>
      <c r="O167" s="11">
        <f t="shared" si="77"/>
        <v>0</v>
      </c>
      <c r="P167" s="25"/>
      <c r="Q167" s="10" t="str">
        <f t="shared" si="43"/>
        <v>MarçoSEMANA 2Pescados - Polvo Tentáculos Cong. GG</v>
      </c>
      <c r="R167" s="7">
        <f>SUMIF(NF!$A:$A,$Q167,NF!$I:$I)</f>
        <v>0</v>
      </c>
      <c r="S167" s="6"/>
      <c r="T167" s="6"/>
      <c r="U167" s="6"/>
      <c r="V167" s="6"/>
      <c r="W167" s="6"/>
      <c r="X167" s="6"/>
      <c r="Y167" s="6"/>
      <c r="Z167" s="7">
        <f t="shared" si="105"/>
        <v>0</v>
      </c>
      <c r="AA167" s="11">
        <f t="shared" si="78"/>
        <v>0</v>
      </c>
      <c r="AB167" s="25"/>
      <c r="AC167" s="10" t="str">
        <f t="shared" si="45"/>
        <v>MarçoSEMANA 3Pescados - Polvo Tentáculos Cong. GG</v>
      </c>
      <c r="AD167" s="7">
        <f>SUMIF(NF!$A:$A,$AC167,NF!$I:$I)</f>
        <v>0</v>
      </c>
      <c r="AE167" s="6"/>
      <c r="AF167" s="6"/>
      <c r="AG167" s="6"/>
      <c r="AH167" s="6"/>
      <c r="AI167" s="6"/>
      <c r="AJ167" s="6"/>
      <c r="AK167" s="6"/>
      <c r="AL167" s="7">
        <f t="shared" si="106"/>
        <v>0</v>
      </c>
      <c r="AM167" s="11">
        <f t="shared" si="79"/>
        <v>0</v>
      </c>
      <c r="AN167" s="25"/>
      <c r="AO167" s="10" t="str">
        <f t="shared" si="47"/>
        <v>MarçoSEMANA 4Pescados - Polvo Tentáculos Cong. GG</v>
      </c>
      <c r="AP167" s="7">
        <f>SUMIF(NF!$A:$A,$AO167,NF!$I:$I)</f>
        <v>0</v>
      </c>
      <c r="AQ167" s="6"/>
      <c r="AR167" s="6"/>
      <c r="AS167" s="6"/>
      <c r="AT167" s="6"/>
      <c r="AU167" s="6"/>
      <c r="AV167" s="6"/>
      <c r="AW167" s="6"/>
      <c r="AX167" s="7">
        <f t="shared" si="107"/>
        <v>0</v>
      </c>
      <c r="AY167" s="11">
        <f t="shared" si="80"/>
        <v>0</v>
      </c>
      <c r="AZ167" s="25"/>
      <c r="BA167" s="10" t="str">
        <f t="shared" si="49"/>
        <v>MarçoSEMANA 5Pescados - Polvo Tentáculos Cong. GG</v>
      </c>
      <c r="BB167" s="7">
        <f>SUMIF(NF!$A:$A,$BA167,NF!$I:$I)</f>
        <v>0</v>
      </c>
      <c r="BC167" s="6"/>
      <c r="BD167" s="6"/>
      <c r="BE167" s="6"/>
      <c r="BF167" s="6"/>
      <c r="BG167" s="6"/>
      <c r="BH167" s="6"/>
      <c r="BI167" s="74"/>
      <c r="BJ167" s="74"/>
      <c r="BK167" s="7">
        <f t="shared" si="108"/>
        <v>0</v>
      </c>
      <c r="BL167" s="8">
        <f t="shared" si="81"/>
        <v>0</v>
      </c>
      <c r="BM167" s="51" t="str">
        <f>IFERROR(VLOOKUP(A167,NF!$M:$O,3,0),"")</f>
        <v>Carnes</v>
      </c>
      <c r="BN167" s="7">
        <f t="shared" si="82"/>
        <v>0</v>
      </c>
      <c r="BO167" s="8">
        <f t="array" ref="BO167">IFERROR(LARGE(IF(NF!$G$2:$G$3137='Mês atual'!A167,NF!$J$2:$J$3137),1),0)*BN167</f>
        <v>0</v>
      </c>
      <c r="BP167" s="50"/>
      <c r="BR167" s="146">
        <f t="array" ref="BR167">IFERROR(LARGE(IF(NF!$G$2:$G$3137='Mês atual'!A167,NF!$J$2:$J$3137),1),0)</f>
        <v>0</v>
      </c>
      <c r="BS167" s="142" t="str">
        <f>VLOOKUP(A167,NF!M:O,3,0)</f>
        <v>Carnes</v>
      </c>
      <c r="BV167" s="74">
        <f t="shared" si="72"/>
        <v>0</v>
      </c>
      <c r="BW167" s="74">
        <f t="shared" si="73"/>
        <v>0</v>
      </c>
      <c r="BX167" s="74">
        <f t="shared" si="74"/>
        <v>0</v>
      </c>
      <c r="BY167" s="74">
        <f t="shared" si="75"/>
        <v>0</v>
      </c>
      <c r="BZ167" s="74">
        <f t="shared" si="76"/>
        <v>0</v>
      </c>
    </row>
    <row r="168" spans="1:78" x14ac:dyDescent="0.25">
      <c r="A168" s="108" t="s">
        <v>641</v>
      </c>
      <c r="B168" s="12"/>
      <c r="C168" s="9">
        <v>0</v>
      </c>
      <c r="D168" s="25"/>
      <c r="E168" s="10" t="str">
        <f t="shared" si="41"/>
        <v>MarçoSEMANA 1Pescados - Polvo Tentáculos Cong. M</v>
      </c>
      <c r="F168" s="7">
        <f>SUMIF(NF!$A:$A,$E168,NF!$I:$I)</f>
        <v>0</v>
      </c>
      <c r="G168" s="74"/>
      <c r="H168" s="74"/>
      <c r="I168" s="74"/>
      <c r="J168" s="6"/>
      <c r="K168" s="6"/>
      <c r="L168" s="6"/>
      <c r="M168" s="6"/>
      <c r="N168" s="7">
        <f t="shared" si="104"/>
        <v>0</v>
      </c>
      <c r="O168" s="11">
        <f t="shared" si="77"/>
        <v>0</v>
      </c>
      <c r="P168" s="25"/>
      <c r="Q168" s="10" t="str">
        <f t="shared" si="43"/>
        <v>MarçoSEMANA 2Pescados - Polvo Tentáculos Cong. M</v>
      </c>
      <c r="R168" s="7">
        <f>SUMIF(NF!$A:$A,$Q168,NF!$I:$I)</f>
        <v>0</v>
      </c>
      <c r="S168" s="6"/>
      <c r="T168" s="6"/>
      <c r="U168" s="6"/>
      <c r="V168" s="6"/>
      <c r="W168" s="6"/>
      <c r="X168" s="6"/>
      <c r="Y168" s="6"/>
      <c r="Z168" s="7">
        <f t="shared" si="105"/>
        <v>0</v>
      </c>
      <c r="AA168" s="11">
        <f t="shared" si="78"/>
        <v>0</v>
      </c>
      <c r="AB168" s="25"/>
      <c r="AC168" s="10" t="str">
        <f t="shared" si="45"/>
        <v>MarçoSEMANA 3Pescados - Polvo Tentáculos Cong. M</v>
      </c>
      <c r="AD168" s="7">
        <f>SUMIF(NF!$A:$A,$AC168,NF!$I:$I)</f>
        <v>0</v>
      </c>
      <c r="AE168" s="6"/>
      <c r="AF168" s="6"/>
      <c r="AG168" s="6"/>
      <c r="AH168" s="6"/>
      <c r="AI168" s="6"/>
      <c r="AJ168" s="6"/>
      <c r="AK168" s="6"/>
      <c r="AL168" s="7">
        <f t="shared" si="106"/>
        <v>0</v>
      </c>
      <c r="AM168" s="11">
        <f t="shared" si="79"/>
        <v>0</v>
      </c>
      <c r="AN168" s="25"/>
      <c r="AO168" s="10" t="str">
        <f t="shared" si="47"/>
        <v>MarçoSEMANA 4Pescados - Polvo Tentáculos Cong. M</v>
      </c>
      <c r="AP168" s="7">
        <f>SUMIF(NF!$A:$A,$AO168,NF!$I:$I)</f>
        <v>10</v>
      </c>
      <c r="AQ168" s="6"/>
      <c r="AR168" s="6">
        <f>10-4.08</f>
        <v>5.92</v>
      </c>
      <c r="AS168" s="6"/>
      <c r="AT168" s="6"/>
      <c r="AU168" s="6"/>
      <c r="AV168" s="6"/>
      <c r="AW168" s="6"/>
      <c r="AX168" s="7">
        <f t="shared" si="107"/>
        <v>5.92</v>
      </c>
      <c r="AY168" s="11">
        <f t="shared" si="80"/>
        <v>4.08</v>
      </c>
      <c r="AZ168" s="25"/>
      <c r="BA168" s="10" t="str">
        <f t="shared" si="49"/>
        <v>MarçoSEMANA 5Pescados - Polvo Tentáculos Cong. M</v>
      </c>
      <c r="BB168" s="7">
        <f>SUMIF(NF!$A:$A,$BA168,NF!$I:$I)</f>
        <v>0</v>
      </c>
      <c r="BC168" s="6"/>
      <c r="BD168" s="6"/>
      <c r="BE168" s="6"/>
      <c r="BF168" s="6">
        <f>4.08-1.404</f>
        <v>2.6760000000000002</v>
      </c>
      <c r="BG168" s="6"/>
      <c r="BH168" s="6"/>
      <c r="BI168" s="74"/>
      <c r="BJ168" s="74"/>
      <c r="BK168" s="7">
        <f t="shared" si="108"/>
        <v>2.6760000000000002</v>
      </c>
      <c r="BL168" s="8">
        <f t="shared" si="81"/>
        <v>1.4039999999999999</v>
      </c>
      <c r="BM168" s="51" t="str">
        <f>IFERROR(VLOOKUP(A168,NF!$M:$O,3,0),"")</f>
        <v>Carnes</v>
      </c>
      <c r="BN168" s="7">
        <f t="shared" si="82"/>
        <v>8.5960000000000001</v>
      </c>
      <c r="BO168" s="8">
        <f t="array" ref="BO168">IFERROR(LARGE(IF(NF!$G$2:$G$3137='Mês atual'!A168,NF!$J$2:$J$3137),1),0)*BN168</f>
        <v>342.98039999999997</v>
      </c>
      <c r="BP168" s="50"/>
      <c r="BR168" s="146">
        <f t="array" ref="BR168">IFERROR(LARGE(IF(NF!$G$2:$G$3137='Mês atual'!A168,NF!$J$2:$J$3137),1),0)</f>
        <v>39.9</v>
      </c>
      <c r="BS168" s="142" t="str">
        <f>VLOOKUP(A168,NF!M:O,3,0)</f>
        <v>Carnes</v>
      </c>
      <c r="BV168" s="74">
        <f t="shared" si="72"/>
        <v>0</v>
      </c>
      <c r="BW168" s="74">
        <f t="shared" si="73"/>
        <v>0</v>
      </c>
      <c r="BX168" s="74">
        <f t="shared" si="74"/>
        <v>0</v>
      </c>
      <c r="BY168" s="74">
        <f t="shared" si="75"/>
        <v>5.92</v>
      </c>
      <c r="BZ168" s="74">
        <f t="shared" si="76"/>
        <v>2.6760000000000002</v>
      </c>
    </row>
    <row r="169" spans="1:78" x14ac:dyDescent="0.2">
      <c r="A169" s="108" t="s">
        <v>642</v>
      </c>
      <c r="B169" s="12"/>
      <c r="C169" s="9">
        <v>0</v>
      </c>
      <c r="D169" s="25"/>
      <c r="E169" s="10" t="str">
        <f t="shared" si="41"/>
        <v>MarçoSEMANA 1Pescados - Robalo Fresco</v>
      </c>
      <c r="F169" s="7">
        <f>SUMIF(NF!$A:$A,$E169,NF!$I:$I)</f>
        <v>0</v>
      </c>
      <c r="G169" s="74"/>
      <c r="H169" s="74"/>
      <c r="I169" s="74"/>
      <c r="J169" s="6"/>
      <c r="K169" s="6"/>
      <c r="L169" s="6"/>
      <c r="M169" s="6"/>
      <c r="N169" s="7">
        <f t="shared" si="104"/>
        <v>0</v>
      </c>
      <c r="O169" s="11">
        <f t="shared" si="77"/>
        <v>0</v>
      </c>
      <c r="P169" s="25"/>
      <c r="Q169" s="10" t="str">
        <f t="shared" si="43"/>
        <v>MarçoSEMANA 2Pescados - Robalo Fresco</v>
      </c>
      <c r="R169" s="7">
        <f>SUMIF(NF!$A:$A,$Q169,NF!$I:$I)</f>
        <v>0</v>
      </c>
      <c r="S169" s="6"/>
      <c r="T169" s="6"/>
      <c r="U169" s="6"/>
      <c r="V169" s="6"/>
      <c r="W169" s="6"/>
      <c r="X169" s="6"/>
      <c r="Y169" s="6"/>
      <c r="Z169" s="7">
        <f t="shared" si="105"/>
        <v>0</v>
      </c>
      <c r="AA169" s="11">
        <f t="shared" si="78"/>
        <v>0</v>
      </c>
      <c r="AB169" s="25"/>
      <c r="AC169" s="10" t="str">
        <f t="shared" si="45"/>
        <v>MarçoSEMANA 3Pescados - Robalo Fresco</v>
      </c>
      <c r="AD169" s="7">
        <f>SUMIF(NF!$A:$A,$AC169,NF!$I:$I)</f>
        <v>0</v>
      </c>
      <c r="AE169" s="6"/>
      <c r="AF169" s="6"/>
      <c r="AG169" s="6"/>
      <c r="AH169" s="6"/>
      <c r="AI169" s="6"/>
      <c r="AJ169" s="6"/>
      <c r="AK169" s="6"/>
      <c r="AL169" s="7">
        <f t="shared" si="106"/>
        <v>0</v>
      </c>
      <c r="AM169" s="11">
        <f t="shared" si="79"/>
        <v>0</v>
      </c>
      <c r="AN169" s="25"/>
      <c r="AO169" s="10" t="str">
        <f t="shared" si="47"/>
        <v>MarçoSEMANA 4Pescados - Robalo Fresco</v>
      </c>
      <c r="AP169" s="7">
        <f>SUMIF(NF!$A:$A,$AO169,NF!$I:$I)</f>
        <v>0</v>
      </c>
      <c r="AQ169" s="6"/>
      <c r="AR169" s="6"/>
      <c r="AS169" s="6"/>
      <c r="AT169" s="6"/>
      <c r="AU169" s="6"/>
      <c r="AV169" s="6"/>
      <c r="AW169" s="6"/>
      <c r="AX169" s="7">
        <f t="shared" si="107"/>
        <v>0</v>
      </c>
      <c r="AY169" s="11">
        <f t="shared" si="80"/>
        <v>0</v>
      </c>
      <c r="AZ169" s="25"/>
      <c r="BA169" s="10" t="str">
        <f t="shared" si="49"/>
        <v>MarçoSEMANA 5Pescados - Robalo Fresco</v>
      </c>
      <c r="BB169" s="7">
        <f>SUMIF(NF!$A:$A,$BA169,NF!$I:$I)</f>
        <v>0</v>
      </c>
      <c r="BC169" s="6"/>
      <c r="BD169" s="6"/>
      <c r="BE169" s="6"/>
      <c r="BF169" s="6"/>
      <c r="BG169" s="6"/>
      <c r="BH169" s="6"/>
      <c r="BI169" s="74"/>
      <c r="BJ169" s="74"/>
      <c r="BK169" s="7">
        <f t="shared" si="108"/>
        <v>0</v>
      </c>
      <c r="BL169" s="8">
        <f t="shared" si="81"/>
        <v>0</v>
      </c>
      <c r="BM169" s="51" t="str">
        <f>IFERROR(VLOOKUP(A169,NF!$M:$O,3,0),"")</f>
        <v>Carnes</v>
      </c>
      <c r="BN169" s="7">
        <f t="shared" si="82"/>
        <v>0</v>
      </c>
      <c r="BO169" s="8">
        <f t="array" ref="BO169">IFERROR(LARGE(IF(NF!$G$2:$G$3137='Mês atual'!A169,NF!$J$2:$J$3137),1),0)*BN169</f>
        <v>0</v>
      </c>
      <c r="BP169" s="50"/>
      <c r="BR169" s="146">
        <f t="array" ref="BR169">IFERROR(LARGE(IF(NF!$G$2:$G$3137='Mês atual'!A169,NF!$J$2:$J$3137),1),0)</f>
        <v>0</v>
      </c>
      <c r="BS169" s="142" t="str">
        <f>VLOOKUP(A169,NF!M:O,3,0)</f>
        <v>Carnes</v>
      </c>
      <c r="BV169" s="74">
        <f t="shared" si="72"/>
        <v>0</v>
      </c>
      <c r="BW169" s="74">
        <f t="shared" si="73"/>
        <v>0</v>
      </c>
      <c r="BX169" s="74">
        <f t="shared" si="74"/>
        <v>0</v>
      </c>
      <c r="BY169" s="74">
        <f t="shared" si="75"/>
        <v>0</v>
      </c>
      <c r="BZ169" s="74">
        <f t="shared" si="76"/>
        <v>0</v>
      </c>
    </row>
    <row r="170" spans="1:78" x14ac:dyDescent="0.25">
      <c r="A170" s="108" t="s">
        <v>643</v>
      </c>
      <c r="B170" s="12"/>
      <c r="C170" s="9">
        <v>14.34</v>
      </c>
      <c r="D170" s="25"/>
      <c r="E170" s="10" t="str">
        <f t="shared" si="41"/>
        <v>MarçoSEMANA 1Pescados - Salmão Inteiro</v>
      </c>
      <c r="F170" s="7">
        <f>SUMIF(NF!$A:$A,$E170,NF!$I:$I)</f>
        <v>0</v>
      </c>
      <c r="G170" s="74"/>
      <c r="H170" s="74"/>
      <c r="I170" s="74"/>
      <c r="J170" s="6"/>
      <c r="K170" s="6"/>
      <c r="L170" s="6"/>
      <c r="M170" s="6">
        <v>14.34</v>
      </c>
      <c r="N170" s="7">
        <f t="shared" si="104"/>
        <v>14.34</v>
      </c>
      <c r="O170" s="11">
        <f t="shared" si="77"/>
        <v>0</v>
      </c>
      <c r="P170" s="25"/>
      <c r="Q170" s="10" t="str">
        <f t="shared" si="43"/>
        <v>MarçoSEMANA 2Pescados - Salmão Inteiro</v>
      </c>
      <c r="R170" s="7">
        <f>SUMIF(NF!$A:$A,$Q170,NF!$I:$I)</f>
        <v>30.3</v>
      </c>
      <c r="S170" s="6"/>
      <c r="T170" s="6"/>
      <c r="U170" s="6"/>
      <c r="V170" s="6"/>
      <c r="W170" s="6">
        <v>30.3</v>
      </c>
      <c r="X170" s="6"/>
      <c r="Y170" s="6"/>
      <c r="Z170" s="7">
        <f t="shared" si="105"/>
        <v>30.3</v>
      </c>
      <c r="AA170" s="11">
        <f t="shared" si="78"/>
        <v>0</v>
      </c>
      <c r="AB170" s="25"/>
      <c r="AC170" s="10" t="str">
        <f t="shared" si="45"/>
        <v>MarçoSEMANA 3Pescados - Salmão Inteiro</v>
      </c>
      <c r="AD170" s="7">
        <f>SUMIF(NF!$A:$A,$AC170,NF!$I:$I)</f>
        <v>60.910000000000004</v>
      </c>
      <c r="AE170" s="6"/>
      <c r="AF170" s="6"/>
      <c r="AG170" s="6">
        <v>31.03</v>
      </c>
      <c r="AH170" s="6"/>
      <c r="AI170" s="6"/>
      <c r="AJ170" s="6"/>
      <c r="AK170" s="6">
        <v>29.88</v>
      </c>
      <c r="AL170" s="7">
        <f t="shared" si="106"/>
        <v>60.91</v>
      </c>
      <c r="AM170" s="11">
        <f t="shared" si="79"/>
        <v>0</v>
      </c>
      <c r="AN170" s="25"/>
      <c r="AO170" s="10" t="str">
        <f t="shared" si="47"/>
        <v>MarçoSEMANA 4Pescados - Salmão Inteiro</v>
      </c>
      <c r="AP170" s="7">
        <f>SUMIF(NF!$A:$A,$AO170,NF!$I:$I)</f>
        <v>62.07</v>
      </c>
      <c r="AQ170" s="6"/>
      <c r="AR170" s="6"/>
      <c r="AS170" s="6">
        <v>31.8</v>
      </c>
      <c r="AT170" s="6"/>
      <c r="AU170" s="6"/>
      <c r="AV170" s="6"/>
      <c r="AW170" s="6">
        <f>30.27-13.343</f>
        <v>16.927</v>
      </c>
      <c r="AX170" s="7">
        <f t="shared" si="107"/>
        <v>48.727000000000004</v>
      </c>
      <c r="AY170" s="11">
        <f t="shared" si="80"/>
        <v>13.342999999999996</v>
      </c>
      <c r="AZ170" s="25"/>
      <c r="BA170" s="10" t="str">
        <f t="shared" si="49"/>
        <v>MarçoSEMANA 5Pescados - Salmão Inteiro</v>
      </c>
      <c r="BB170" s="7">
        <f>SUMIF(NF!$A:$A,$BA170,NF!$I:$I)</f>
        <v>30.98</v>
      </c>
      <c r="BC170" s="6"/>
      <c r="BD170" s="6"/>
      <c r="BE170" s="6"/>
      <c r="BF170" s="6">
        <v>13.343</v>
      </c>
      <c r="BG170" s="6"/>
      <c r="BH170" s="6">
        <v>30.98</v>
      </c>
      <c r="BI170" s="74"/>
      <c r="BJ170" s="74"/>
      <c r="BK170" s="7">
        <f t="shared" si="108"/>
        <v>44.323</v>
      </c>
      <c r="BL170" s="8">
        <f t="shared" si="81"/>
        <v>0</v>
      </c>
      <c r="BM170" s="51" t="str">
        <f>IFERROR(VLOOKUP(A170,NF!$M:$O,3,0),"")</f>
        <v>Carnes</v>
      </c>
      <c r="BN170" s="7">
        <f t="shared" si="82"/>
        <v>198.6</v>
      </c>
      <c r="BO170" s="8">
        <f t="array" ref="BO170">IFERROR(LARGE(IF(NF!$G$2:$G$3137='Mês atual'!A170,NF!$J$2:$J$3137),1),0)*BN170</f>
        <v>5938.1399999999994</v>
      </c>
      <c r="BP170" s="50"/>
      <c r="BR170" s="146">
        <f t="array" ref="BR170">IFERROR(LARGE(IF(NF!$G$2:$G$3137='Mês atual'!A170,NF!$J$2:$J$3137),1),0)</f>
        <v>29.9</v>
      </c>
      <c r="BS170" s="142" t="str">
        <f>VLOOKUP(A170,NF!M:O,3,0)</f>
        <v>Carnes</v>
      </c>
      <c r="BV170" s="74">
        <f t="shared" si="72"/>
        <v>14.34</v>
      </c>
      <c r="BW170" s="74">
        <f t="shared" si="73"/>
        <v>30.3</v>
      </c>
      <c r="BX170" s="74">
        <f t="shared" si="74"/>
        <v>60.91</v>
      </c>
      <c r="BY170" s="74">
        <f t="shared" si="75"/>
        <v>48.727000000000004</v>
      </c>
      <c r="BZ170" s="74">
        <f t="shared" si="76"/>
        <v>44.323</v>
      </c>
    </row>
    <row r="171" spans="1:78" x14ac:dyDescent="0.2">
      <c r="A171" s="108" t="s">
        <v>645</v>
      </c>
      <c r="B171" s="12"/>
      <c r="C171" s="9">
        <v>0</v>
      </c>
      <c r="D171" s="25"/>
      <c r="E171" s="10" t="str">
        <f t="shared" si="41"/>
        <v>MarçoSEMANA 1Pescados - Sardinha Fresca</v>
      </c>
      <c r="F171" s="7">
        <f>SUMIF(NF!$A:$A,$E171,NF!$I:$I)</f>
        <v>0</v>
      </c>
      <c r="G171" s="74"/>
      <c r="H171" s="74"/>
      <c r="I171" s="74"/>
      <c r="J171" s="6"/>
      <c r="K171" s="6"/>
      <c r="L171" s="6"/>
      <c r="M171" s="6"/>
      <c r="N171" s="7">
        <f t="shared" si="104"/>
        <v>0</v>
      </c>
      <c r="O171" s="11">
        <f t="shared" si="77"/>
        <v>0</v>
      </c>
      <c r="P171" s="25"/>
      <c r="Q171" s="10" t="str">
        <f t="shared" si="43"/>
        <v>MarçoSEMANA 2Pescados - Sardinha Fresca</v>
      </c>
      <c r="R171" s="7">
        <f>SUMIF(NF!$A:$A,$Q171,NF!$I:$I)</f>
        <v>0</v>
      </c>
      <c r="S171" s="6"/>
      <c r="T171" s="6"/>
      <c r="U171" s="6"/>
      <c r="V171" s="6"/>
      <c r="W171" s="6"/>
      <c r="X171" s="6"/>
      <c r="Y171" s="6"/>
      <c r="Z171" s="7">
        <f t="shared" si="105"/>
        <v>0</v>
      </c>
      <c r="AA171" s="11">
        <f t="shared" si="78"/>
        <v>0</v>
      </c>
      <c r="AB171" s="25"/>
      <c r="AC171" s="10" t="str">
        <f t="shared" si="45"/>
        <v>MarçoSEMANA 3Pescados - Sardinha Fresca</v>
      </c>
      <c r="AD171" s="7">
        <f>SUMIF(NF!$A:$A,$AC171,NF!$I:$I)</f>
        <v>0</v>
      </c>
      <c r="AE171" s="6"/>
      <c r="AF171" s="6"/>
      <c r="AG171" s="6"/>
      <c r="AH171" s="6"/>
      <c r="AI171" s="6"/>
      <c r="AJ171" s="6"/>
      <c r="AK171" s="6"/>
      <c r="AL171" s="7">
        <f t="shared" si="106"/>
        <v>0</v>
      </c>
      <c r="AM171" s="11">
        <f t="shared" si="79"/>
        <v>0</v>
      </c>
      <c r="AN171" s="25"/>
      <c r="AO171" s="10" t="str">
        <f t="shared" si="47"/>
        <v>MarçoSEMANA 4Pescados - Sardinha Fresca</v>
      </c>
      <c r="AP171" s="7">
        <f>SUMIF(NF!$A:$A,$AO171,NF!$I:$I)</f>
        <v>0</v>
      </c>
      <c r="AQ171" s="6"/>
      <c r="AR171" s="6"/>
      <c r="AS171" s="6"/>
      <c r="AT171" s="6"/>
      <c r="AU171" s="6"/>
      <c r="AV171" s="6"/>
      <c r="AW171" s="6"/>
      <c r="AX171" s="7">
        <f t="shared" si="107"/>
        <v>0</v>
      </c>
      <c r="AY171" s="11">
        <f t="shared" si="80"/>
        <v>0</v>
      </c>
      <c r="AZ171" s="25"/>
      <c r="BA171" s="10" t="str">
        <f t="shared" si="49"/>
        <v>MarçoSEMANA 5Pescados - Sardinha Fresca</v>
      </c>
      <c r="BB171" s="7">
        <f>SUMIF(NF!$A:$A,$BA171,NF!$I:$I)</f>
        <v>0</v>
      </c>
      <c r="BC171" s="6"/>
      <c r="BD171" s="6"/>
      <c r="BE171" s="6"/>
      <c r="BF171" s="6"/>
      <c r="BG171" s="6"/>
      <c r="BH171" s="6"/>
      <c r="BI171" s="74"/>
      <c r="BJ171" s="74"/>
      <c r="BK171" s="7">
        <f t="shared" si="108"/>
        <v>0</v>
      </c>
      <c r="BL171" s="8">
        <f t="shared" si="81"/>
        <v>0</v>
      </c>
      <c r="BM171" s="51" t="str">
        <f>IFERROR(VLOOKUP(A171,NF!$M:$O,3,0),"")</f>
        <v>Carnes</v>
      </c>
      <c r="BN171" s="7">
        <f t="shared" si="82"/>
        <v>0</v>
      </c>
      <c r="BO171" s="8">
        <f t="array" ref="BO171">IFERROR(LARGE(IF(NF!$G$2:$G$3137='Mês atual'!A171,NF!$J$2:$J$3137),1),0)*BN171</f>
        <v>0</v>
      </c>
      <c r="BP171" s="50"/>
      <c r="BR171" s="146">
        <f t="array" ref="BR171">IFERROR(LARGE(IF(NF!$G$2:$G$3137='Mês atual'!A171,NF!$J$2:$J$3137),1),0)</f>
        <v>0</v>
      </c>
      <c r="BS171" s="142" t="str">
        <f>VLOOKUP(A171,NF!M:O,3,0)</f>
        <v>Carnes</v>
      </c>
      <c r="BV171" s="74">
        <f t="shared" si="72"/>
        <v>0</v>
      </c>
      <c r="BW171" s="74">
        <f t="shared" si="73"/>
        <v>0</v>
      </c>
      <c r="BX171" s="74">
        <f t="shared" si="74"/>
        <v>0</v>
      </c>
      <c r="BY171" s="74">
        <f t="shared" si="75"/>
        <v>0</v>
      </c>
      <c r="BZ171" s="74">
        <f t="shared" si="76"/>
        <v>0</v>
      </c>
    </row>
    <row r="172" spans="1:78" x14ac:dyDescent="0.2">
      <c r="A172" s="108" t="s">
        <v>647</v>
      </c>
      <c r="B172" s="12"/>
      <c r="C172" s="9">
        <v>0</v>
      </c>
      <c r="D172" s="25"/>
      <c r="E172" s="10" t="str">
        <f t="shared" si="41"/>
        <v>MarçoSEMANA 1Pescados - Tainha Fresca</v>
      </c>
      <c r="F172" s="7">
        <f>SUMIF(NF!$A:$A,$E172,NF!$I:$I)</f>
        <v>0</v>
      </c>
      <c r="G172" s="74"/>
      <c r="H172" s="74"/>
      <c r="I172" s="74"/>
      <c r="J172" s="6"/>
      <c r="K172" s="6"/>
      <c r="L172" s="6"/>
      <c r="M172" s="6"/>
      <c r="N172" s="7">
        <f t="shared" si="104"/>
        <v>0</v>
      </c>
      <c r="O172" s="11">
        <f t="shared" si="77"/>
        <v>0</v>
      </c>
      <c r="P172" s="25"/>
      <c r="Q172" s="10" t="str">
        <f t="shared" si="43"/>
        <v>MarçoSEMANA 2Pescados - Tainha Fresca</v>
      </c>
      <c r="R172" s="7">
        <f>SUMIF(NF!$A:$A,$Q172,NF!$I:$I)</f>
        <v>0</v>
      </c>
      <c r="S172" s="6"/>
      <c r="T172" s="6"/>
      <c r="U172" s="6"/>
      <c r="V172" s="6"/>
      <c r="W172" s="6"/>
      <c r="X172" s="6"/>
      <c r="Y172" s="6"/>
      <c r="Z172" s="7">
        <f t="shared" si="105"/>
        <v>0</v>
      </c>
      <c r="AA172" s="11">
        <f t="shared" si="78"/>
        <v>0</v>
      </c>
      <c r="AB172" s="25"/>
      <c r="AC172" s="10" t="str">
        <f t="shared" si="45"/>
        <v>MarçoSEMANA 3Pescados - Tainha Fresca</v>
      </c>
      <c r="AD172" s="7">
        <f>SUMIF(NF!$A:$A,$AC172,NF!$I:$I)</f>
        <v>0</v>
      </c>
      <c r="AE172" s="6"/>
      <c r="AF172" s="6"/>
      <c r="AG172" s="6"/>
      <c r="AH172" s="6"/>
      <c r="AI172" s="6"/>
      <c r="AJ172" s="6"/>
      <c r="AK172" s="6"/>
      <c r="AL172" s="7">
        <f t="shared" si="106"/>
        <v>0</v>
      </c>
      <c r="AM172" s="11">
        <f t="shared" si="79"/>
        <v>0</v>
      </c>
      <c r="AN172" s="25"/>
      <c r="AO172" s="10" t="str">
        <f t="shared" si="47"/>
        <v>MarçoSEMANA 4Pescados - Tainha Fresca</v>
      </c>
      <c r="AP172" s="7">
        <f>SUMIF(NF!$A:$A,$AO172,NF!$I:$I)</f>
        <v>0</v>
      </c>
      <c r="AQ172" s="6"/>
      <c r="AR172" s="6"/>
      <c r="AS172" s="6"/>
      <c r="AT172" s="6"/>
      <c r="AU172" s="6"/>
      <c r="AV172" s="6"/>
      <c r="AW172" s="6"/>
      <c r="AX172" s="7">
        <f t="shared" si="107"/>
        <v>0</v>
      </c>
      <c r="AY172" s="11">
        <f t="shared" si="80"/>
        <v>0</v>
      </c>
      <c r="AZ172" s="25"/>
      <c r="BA172" s="10" t="str">
        <f t="shared" si="49"/>
        <v>MarçoSEMANA 5Pescados - Tainha Fresca</v>
      </c>
      <c r="BB172" s="7">
        <f>SUMIF(NF!$A:$A,$BA172,NF!$I:$I)</f>
        <v>0</v>
      </c>
      <c r="BC172" s="6"/>
      <c r="BD172" s="6"/>
      <c r="BE172" s="6"/>
      <c r="BF172" s="6"/>
      <c r="BG172" s="6"/>
      <c r="BH172" s="6"/>
      <c r="BI172" s="74"/>
      <c r="BJ172" s="74"/>
      <c r="BK172" s="7">
        <f t="shared" si="108"/>
        <v>0</v>
      </c>
      <c r="BL172" s="8">
        <f t="shared" si="81"/>
        <v>0</v>
      </c>
      <c r="BM172" s="51" t="str">
        <f>IFERROR(VLOOKUP(A172,NF!$M:$O,3,0),"")</f>
        <v>Carnes</v>
      </c>
      <c r="BN172" s="7">
        <f t="shared" si="82"/>
        <v>0</v>
      </c>
      <c r="BO172" s="8">
        <f t="array" ref="BO172">IFERROR(LARGE(IF(NF!$G$2:$G$3137='Mês atual'!A172,NF!$J$2:$J$3137),1),0)*BN172</f>
        <v>0</v>
      </c>
      <c r="BP172" s="50"/>
      <c r="BR172" s="146">
        <f t="array" ref="BR172">IFERROR(LARGE(IF(NF!$G$2:$G$3137='Mês atual'!A172,NF!$J$2:$J$3137),1),0)</f>
        <v>0</v>
      </c>
      <c r="BS172" s="142" t="str">
        <f>VLOOKUP(A172,NF!M:O,3,0)</f>
        <v>Carnes</v>
      </c>
      <c r="BV172" s="74">
        <f t="shared" si="72"/>
        <v>0</v>
      </c>
      <c r="BW172" s="74">
        <f t="shared" si="73"/>
        <v>0</v>
      </c>
      <c r="BX172" s="74">
        <f t="shared" si="74"/>
        <v>0</v>
      </c>
      <c r="BY172" s="74">
        <f t="shared" si="75"/>
        <v>0</v>
      </c>
      <c r="BZ172" s="74">
        <f t="shared" si="76"/>
        <v>0</v>
      </c>
    </row>
    <row r="173" spans="1:78" x14ac:dyDescent="0.2">
      <c r="A173" s="108" t="s">
        <v>669</v>
      </c>
      <c r="B173" s="12"/>
      <c r="C173" s="9">
        <v>0</v>
      </c>
      <c r="D173" s="25"/>
      <c r="E173" s="10" t="str">
        <f t="shared" si="41"/>
        <v>MarçoSEMANA 1Presunto Cozido</v>
      </c>
      <c r="F173" s="7">
        <f>SUMIF(NF!$A:$A,$E173,NF!$I:$I)</f>
        <v>6.7</v>
      </c>
      <c r="G173" s="74"/>
      <c r="H173" s="74"/>
      <c r="I173" s="74"/>
      <c r="J173" s="6"/>
      <c r="K173" s="6"/>
      <c r="L173" s="6"/>
      <c r="M173" s="6">
        <v>3.395</v>
      </c>
      <c r="N173" s="7">
        <f t="shared" si="104"/>
        <v>3.395</v>
      </c>
      <c r="O173" s="11">
        <f t="shared" si="77"/>
        <v>3.3050000000000002</v>
      </c>
      <c r="P173" s="25"/>
      <c r="Q173" s="10" t="str">
        <f t="shared" si="43"/>
        <v>MarçoSEMANA 2Presunto Cozido</v>
      </c>
      <c r="R173" s="7">
        <f>SUMIF(NF!$A:$A,$Q173,NF!$I:$I)</f>
        <v>0</v>
      </c>
      <c r="S173" s="6"/>
      <c r="T173" s="6"/>
      <c r="U173" s="6"/>
      <c r="V173" s="6"/>
      <c r="W173" s="6"/>
      <c r="X173" s="6"/>
      <c r="Y173" s="6">
        <v>3.3050000000000002</v>
      </c>
      <c r="Z173" s="7">
        <f t="shared" si="105"/>
        <v>3.3050000000000002</v>
      </c>
      <c r="AA173" s="11">
        <f t="shared" si="78"/>
        <v>0</v>
      </c>
      <c r="AB173" s="25"/>
      <c r="AC173" s="10" t="str">
        <f t="shared" si="45"/>
        <v>MarçoSEMANA 3Presunto Cozido</v>
      </c>
      <c r="AD173" s="7">
        <f>SUMIF(NF!$A:$A,$AC173,NF!$I:$I)</f>
        <v>0</v>
      </c>
      <c r="AE173" s="6"/>
      <c r="AF173" s="6"/>
      <c r="AG173" s="6"/>
      <c r="AH173" s="6"/>
      <c r="AI173" s="6"/>
      <c r="AJ173" s="6"/>
      <c r="AK173" s="6"/>
      <c r="AL173" s="7">
        <f t="shared" si="106"/>
        <v>0</v>
      </c>
      <c r="AM173" s="11">
        <f t="shared" si="79"/>
        <v>0</v>
      </c>
      <c r="AN173" s="25"/>
      <c r="AO173" s="10" t="str">
        <f t="shared" si="47"/>
        <v>MarçoSEMANA 4Presunto Cozido</v>
      </c>
      <c r="AP173" s="7">
        <f>SUMIF(NF!$A:$A,$AO173,NF!$I:$I)</f>
        <v>6.9</v>
      </c>
      <c r="AQ173" s="6"/>
      <c r="AR173" s="6"/>
      <c r="AS173" s="6"/>
      <c r="AT173" s="6"/>
      <c r="AU173" s="6"/>
      <c r="AV173" s="6">
        <v>3.79</v>
      </c>
      <c r="AW173" s="6"/>
      <c r="AX173" s="7">
        <f t="shared" si="107"/>
        <v>3.79</v>
      </c>
      <c r="AY173" s="11">
        <f t="shared" si="80"/>
        <v>3.1100000000000003</v>
      </c>
      <c r="AZ173" s="25"/>
      <c r="BA173" s="10" t="str">
        <f t="shared" si="49"/>
        <v>MarçoSEMANA 5Presunto Cozido</v>
      </c>
      <c r="BB173" s="7">
        <f>SUMIF(NF!$A:$A,$BA173,NF!$I:$I)</f>
        <v>0</v>
      </c>
      <c r="BC173" s="6"/>
      <c r="BD173" s="6"/>
      <c r="BE173" s="6"/>
      <c r="BF173" s="6"/>
      <c r="BG173" s="6"/>
      <c r="BH173" s="6"/>
      <c r="BI173" s="74"/>
      <c r="BJ173" s="74"/>
      <c r="BK173" s="7">
        <f t="shared" si="108"/>
        <v>0</v>
      </c>
      <c r="BL173" s="8">
        <f t="shared" si="81"/>
        <v>3.1100000000000003</v>
      </c>
      <c r="BM173" s="51" t="str">
        <f>IFERROR(VLOOKUP(A173,NF!$M:$O,3,0),"")</f>
        <v>Carnes</v>
      </c>
      <c r="BN173" s="7">
        <f t="shared" si="82"/>
        <v>10.49</v>
      </c>
      <c r="BO173" s="8">
        <f t="array" ref="BO173">IFERROR(LARGE(IF(NF!$G$2:$G$3137='Mês atual'!A173,NF!$J$2:$J$3137),1),0)*BN173</f>
        <v>153.46713432835818</v>
      </c>
      <c r="BP173" s="50"/>
      <c r="BR173" s="146">
        <f t="array" ref="BR173">IFERROR(LARGE(IF(NF!$G$2:$G$3137='Mês atual'!A173,NF!$J$2:$J$3137),1),0)</f>
        <v>14.629850746268655</v>
      </c>
      <c r="BS173" s="142" t="str">
        <f>VLOOKUP(A173,NF!M:O,3,0)</f>
        <v>Carnes</v>
      </c>
      <c r="BV173" s="74">
        <f t="shared" si="72"/>
        <v>3.395</v>
      </c>
      <c r="BW173" s="74">
        <f t="shared" si="73"/>
        <v>3.3050000000000002</v>
      </c>
      <c r="BX173" s="74">
        <f t="shared" si="74"/>
        <v>0</v>
      </c>
      <c r="BY173" s="74">
        <f t="shared" si="75"/>
        <v>3.79</v>
      </c>
      <c r="BZ173" s="74">
        <f t="shared" si="76"/>
        <v>0</v>
      </c>
    </row>
    <row r="174" spans="1:78" x14ac:dyDescent="0.2">
      <c r="A174" s="108" t="s">
        <v>670</v>
      </c>
      <c r="B174" s="12"/>
      <c r="C174" s="9">
        <v>0</v>
      </c>
      <c r="D174" s="25"/>
      <c r="E174" s="10" t="str">
        <f t="shared" si="41"/>
        <v>MarçoSEMANA 1Presunto Parma</v>
      </c>
      <c r="F174" s="7">
        <f>SUMIF(NF!$A:$A,$E174,NF!$I:$I)</f>
        <v>0</v>
      </c>
      <c r="G174" s="74"/>
      <c r="H174" s="74"/>
      <c r="I174" s="74"/>
      <c r="J174" s="6"/>
      <c r="K174" s="6"/>
      <c r="L174" s="6"/>
      <c r="M174" s="6"/>
      <c r="N174" s="7">
        <f t="shared" si="104"/>
        <v>0</v>
      </c>
      <c r="O174" s="11">
        <f t="shared" si="77"/>
        <v>0</v>
      </c>
      <c r="P174" s="25"/>
      <c r="Q174" s="10" t="str">
        <f t="shared" si="43"/>
        <v>MarçoSEMANA 2Presunto Parma</v>
      </c>
      <c r="R174" s="7">
        <f>SUMIF(NF!$A:$A,$Q174,NF!$I:$I)</f>
        <v>0</v>
      </c>
      <c r="S174" s="6"/>
      <c r="T174" s="6"/>
      <c r="U174" s="6"/>
      <c r="V174" s="6"/>
      <c r="W174" s="6"/>
      <c r="X174" s="6"/>
      <c r="Y174" s="6"/>
      <c r="Z174" s="7">
        <f t="shared" si="105"/>
        <v>0</v>
      </c>
      <c r="AA174" s="11">
        <f t="shared" si="78"/>
        <v>0</v>
      </c>
      <c r="AB174" s="25"/>
      <c r="AC174" s="10" t="str">
        <f t="shared" si="45"/>
        <v>MarçoSEMANA 3Presunto Parma</v>
      </c>
      <c r="AD174" s="7">
        <f>SUMIF(NF!$A:$A,$AC174,NF!$I:$I)</f>
        <v>0</v>
      </c>
      <c r="AE174" s="6"/>
      <c r="AF174" s="6"/>
      <c r="AG174" s="6"/>
      <c r="AH174" s="6"/>
      <c r="AI174" s="6"/>
      <c r="AJ174" s="6"/>
      <c r="AK174" s="6"/>
      <c r="AL174" s="7">
        <f t="shared" si="106"/>
        <v>0</v>
      </c>
      <c r="AM174" s="11">
        <f t="shared" si="79"/>
        <v>0</v>
      </c>
      <c r="AN174" s="25"/>
      <c r="AO174" s="10" t="str">
        <f t="shared" si="47"/>
        <v>MarçoSEMANA 4Presunto Parma</v>
      </c>
      <c r="AP174" s="7">
        <f>SUMIF(NF!$A:$A,$AO174,NF!$I:$I)</f>
        <v>0</v>
      </c>
      <c r="AQ174" s="6"/>
      <c r="AR174" s="6"/>
      <c r="AS174" s="6"/>
      <c r="AT174" s="6"/>
      <c r="AU174" s="6"/>
      <c r="AV174" s="6"/>
      <c r="AW174" s="6"/>
      <c r="AX174" s="7">
        <f t="shared" si="107"/>
        <v>0</v>
      </c>
      <c r="AY174" s="11">
        <f t="shared" si="80"/>
        <v>0</v>
      </c>
      <c r="AZ174" s="25"/>
      <c r="BA174" s="10" t="str">
        <f t="shared" si="49"/>
        <v>MarçoSEMANA 5Presunto Parma</v>
      </c>
      <c r="BB174" s="7">
        <f>SUMIF(NF!$A:$A,$BA174,NF!$I:$I)</f>
        <v>0</v>
      </c>
      <c r="BC174" s="6"/>
      <c r="BD174" s="6"/>
      <c r="BE174" s="6"/>
      <c r="BF174" s="6"/>
      <c r="BG174" s="6"/>
      <c r="BH174" s="6"/>
      <c r="BI174" s="74"/>
      <c r="BJ174" s="74"/>
      <c r="BK174" s="7">
        <f t="shared" si="108"/>
        <v>0</v>
      </c>
      <c r="BL174" s="8">
        <f t="shared" si="81"/>
        <v>0</v>
      </c>
      <c r="BM174" s="51" t="str">
        <f>IFERROR(VLOOKUP(A174,NF!$M:$O,3,0),"")</f>
        <v>Carnes</v>
      </c>
      <c r="BN174" s="7">
        <f t="shared" si="82"/>
        <v>0</v>
      </c>
      <c r="BO174" s="8">
        <f t="array" ref="BO174">IFERROR(LARGE(IF(NF!$G$2:$G$3137='Mês atual'!A174,NF!$J$2:$J$3137),1),0)*BN174</f>
        <v>0</v>
      </c>
      <c r="BP174" s="50"/>
      <c r="BR174" s="146">
        <f t="array" ref="BR174">IFERROR(LARGE(IF(NF!$G$2:$G$3137='Mês atual'!A174,NF!$J$2:$J$3137),1),0)</f>
        <v>0</v>
      </c>
      <c r="BS174" s="142" t="str">
        <f>VLOOKUP(A174,NF!M:O,3,0)</f>
        <v>Carnes</v>
      </c>
      <c r="BV174" s="74">
        <f t="shared" si="72"/>
        <v>0</v>
      </c>
      <c r="BW174" s="74">
        <f t="shared" si="73"/>
        <v>0</v>
      </c>
      <c r="BX174" s="74">
        <f t="shared" si="74"/>
        <v>0</v>
      </c>
      <c r="BY174" s="74">
        <f t="shared" si="75"/>
        <v>0</v>
      </c>
      <c r="BZ174" s="74">
        <f t="shared" si="76"/>
        <v>0</v>
      </c>
    </row>
    <row r="175" spans="1:78" x14ac:dyDescent="0.25">
      <c r="A175" s="108" t="s">
        <v>754</v>
      </c>
      <c r="B175" s="12"/>
      <c r="C175" s="9">
        <v>11.98</v>
      </c>
      <c r="D175" s="25"/>
      <c r="E175" s="10" t="str">
        <f t="shared" si="41"/>
        <v>MarçoSEMANA 1Suíno - Bacon</v>
      </c>
      <c r="F175" s="7">
        <f>SUMIF(NF!$A:$A,$E175,NF!$I:$I)</f>
        <v>0</v>
      </c>
      <c r="G175" s="74"/>
      <c r="H175" s="74"/>
      <c r="I175" s="74"/>
      <c r="J175" s="6"/>
      <c r="K175" s="6"/>
      <c r="L175" s="6"/>
      <c r="M175" s="6"/>
      <c r="N175" s="7">
        <f t="shared" si="104"/>
        <v>0</v>
      </c>
      <c r="O175" s="11">
        <f t="shared" si="77"/>
        <v>11.98</v>
      </c>
      <c r="P175" s="25"/>
      <c r="Q175" s="10" t="str">
        <f t="shared" si="43"/>
        <v>MarçoSEMANA 2Suíno - Bacon</v>
      </c>
      <c r="R175" s="7">
        <f>SUMIF(NF!$A:$A,$Q175,NF!$I:$I)</f>
        <v>0</v>
      </c>
      <c r="S175" s="6"/>
      <c r="T175" s="6"/>
      <c r="U175" s="6">
        <f xml:space="preserve"> 3.364+1.274</f>
        <v>4.6379999999999999</v>
      </c>
      <c r="V175" s="6"/>
      <c r="W175" s="6"/>
      <c r="X175" s="6"/>
      <c r="Y175" s="6"/>
      <c r="Z175" s="7">
        <f t="shared" si="105"/>
        <v>4.6379999999999999</v>
      </c>
      <c r="AA175" s="11">
        <f t="shared" si="78"/>
        <v>7.3420000000000005</v>
      </c>
      <c r="AB175" s="25"/>
      <c r="AC175" s="10" t="str">
        <f t="shared" si="45"/>
        <v>MarçoSEMANA 3Suíno - Bacon</v>
      </c>
      <c r="AD175" s="7">
        <f>SUMIF(NF!$A:$A,$AC175,NF!$I:$I)</f>
        <v>11.2</v>
      </c>
      <c r="AE175" s="6"/>
      <c r="AF175" s="6"/>
      <c r="AG175" s="6">
        <f>4.72+1.274</f>
        <v>5.9939999999999998</v>
      </c>
      <c r="AH175" s="6"/>
      <c r="AI175" s="6"/>
      <c r="AJ175" s="6"/>
      <c r="AK175" s="6"/>
      <c r="AL175" s="7">
        <f t="shared" si="106"/>
        <v>5.9939999999999998</v>
      </c>
      <c r="AM175" s="11">
        <f t="shared" si="79"/>
        <v>12.548000000000002</v>
      </c>
      <c r="AN175" s="25"/>
      <c r="AO175" s="10" t="str">
        <f t="shared" si="47"/>
        <v>MarçoSEMANA 4Suíno - Bacon</v>
      </c>
      <c r="AP175" s="7">
        <f>SUMIF(NF!$A:$A,$AO175,NF!$I:$I)</f>
        <v>0</v>
      </c>
      <c r="AQ175" s="6"/>
      <c r="AR175" s="6">
        <f>5.98+1.274</f>
        <v>7.2540000000000004</v>
      </c>
      <c r="AS175" s="6"/>
      <c r="AT175" s="6"/>
      <c r="AU175" s="6"/>
      <c r="AV175" s="6"/>
      <c r="AW175" s="6"/>
      <c r="AX175" s="7">
        <f t="shared" si="107"/>
        <v>7.2540000000000004</v>
      </c>
      <c r="AY175" s="11">
        <f t="shared" si="80"/>
        <v>5.2940000000000014</v>
      </c>
      <c r="AZ175" s="25"/>
      <c r="BA175" s="10" t="str">
        <f t="shared" si="49"/>
        <v>MarçoSEMANA 5Suíno - Bacon</v>
      </c>
      <c r="BB175" s="7">
        <f>SUMIF(NF!$A:$A,$BA175,NF!$I:$I)</f>
        <v>0</v>
      </c>
      <c r="BC175" s="6"/>
      <c r="BD175" s="6"/>
      <c r="BE175" s="6"/>
      <c r="BF175" s="6"/>
      <c r="BG175" s="6"/>
      <c r="BH175" s="6"/>
      <c r="BI175" s="74"/>
      <c r="BJ175" s="74"/>
      <c r="BK175" s="7">
        <f t="shared" si="108"/>
        <v>0</v>
      </c>
      <c r="BL175" s="8">
        <f t="shared" si="81"/>
        <v>5.2940000000000014</v>
      </c>
      <c r="BM175" s="51" t="str">
        <f>IFERROR(VLOOKUP(A175,NF!$M:$O,3,0),"")</f>
        <v>Carnes</v>
      </c>
      <c r="BN175" s="7">
        <f t="shared" si="82"/>
        <v>17.885999999999999</v>
      </c>
      <c r="BO175" s="8">
        <f t="array" ref="BO175">IFERROR(LARGE(IF(NF!$G$2:$G$3137='Mês atual'!A175,NF!$J$2:$J$3137),1),0)*BN175</f>
        <v>278.48502000000002</v>
      </c>
      <c r="BP175" s="50"/>
      <c r="BR175" s="146">
        <f t="array" ref="BR175">IFERROR(LARGE(IF(NF!$G$2:$G$3137='Mês atual'!A175,NF!$J$2:$J$3137),1),0)</f>
        <v>15.57</v>
      </c>
      <c r="BS175" s="142" t="str">
        <f>VLOOKUP(A175,NF!M:O,3,0)</f>
        <v>Carnes</v>
      </c>
      <c r="BV175" s="74">
        <f t="shared" si="72"/>
        <v>0</v>
      </c>
      <c r="BW175" s="74">
        <f t="shared" si="73"/>
        <v>4.6379999999999999</v>
      </c>
      <c r="BX175" s="74">
        <f t="shared" si="74"/>
        <v>5.9939999999999998</v>
      </c>
      <c r="BY175" s="74">
        <f t="shared" si="75"/>
        <v>7.2540000000000004</v>
      </c>
      <c r="BZ175" s="74">
        <f t="shared" si="76"/>
        <v>0</v>
      </c>
    </row>
    <row r="176" spans="1:78" x14ac:dyDescent="0.25">
      <c r="A176" s="108" t="s">
        <v>755</v>
      </c>
      <c r="B176" s="12"/>
      <c r="C176" s="9">
        <v>0</v>
      </c>
      <c r="D176" s="25"/>
      <c r="E176" s="10" t="str">
        <f t="shared" si="41"/>
        <v>MarçoSEMANA 1Suíno - Bacon Fatiado</v>
      </c>
      <c r="F176" s="7">
        <f>SUMIF(NF!$A:$A,$E176,NF!$I:$I)</f>
        <v>0</v>
      </c>
      <c r="G176" s="74"/>
      <c r="H176" s="74"/>
      <c r="I176" s="74"/>
      <c r="J176" s="6"/>
      <c r="K176" s="6"/>
      <c r="L176" s="6"/>
      <c r="M176" s="6"/>
      <c r="N176" s="7">
        <f t="shared" si="104"/>
        <v>0</v>
      </c>
      <c r="O176" s="11">
        <f t="shared" si="77"/>
        <v>0</v>
      </c>
      <c r="P176" s="25"/>
      <c r="Q176" s="10" t="str">
        <f t="shared" si="43"/>
        <v>MarçoSEMANA 2Suíno - Bacon Fatiado</v>
      </c>
      <c r="R176" s="7">
        <f>SUMIF(NF!$A:$A,$Q176,NF!$I:$I)</f>
        <v>0</v>
      </c>
      <c r="S176" s="6"/>
      <c r="T176" s="6"/>
      <c r="U176" s="6"/>
      <c r="V176" s="6"/>
      <c r="W176" s="6"/>
      <c r="X176" s="6"/>
      <c r="Y176" s="6"/>
      <c r="Z176" s="7">
        <f t="shared" si="105"/>
        <v>0</v>
      </c>
      <c r="AA176" s="11">
        <f t="shared" si="78"/>
        <v>0</v>
      </c>
      <c r="AB176" s="25"/>
      <c r="AC176" s="10" t="str">
        <f t="shared" si="45"/>
        <v>MarçoSEMANA 3Suíno - Bacon Fatiado</v>
      </c>
      <c r="AD176" s="7">
        <f>SUMIF(NF!$A:$A,$AC176,NF!$I:$I)</f>
        <v>0</v>
      </c>
      <c r="AE176" s="6"/>
      <c r="AF176" s="6"/>
      <c r="AG176" s="6"/>
      <c r="AH176" s="6"/>
      <c r="AI176" s="6"/>
      <c r="AJ176" s="6"/>
      <c r="AK176" s="6"/>
      <c r="AL176" s="7">
        <f t="shared" si="106"/>
        <v>0</v>
      </c>
      <c r="AM176" s="11">
        <f t="shared" si="79"/>
        <v>0</v>
      </c>
      <c r="AN176" s="25"/>
      <c r="AO176" s="10" t="str">
        <f t="shared" si="47"/>
        <v>MarçoSEMANA 4Suíno - Bacon Fatiado</v>
      </c>
      <c r="AP176" s="7">
        <f>SUMIF(NF!$A:$A,$AO176,NF!$I:$I)</f>
        <v>0</v>
      </c>
      <c r="AQ176" s="6"/>
      <c r="AR176" s="6"/>
      <c r="AS176" s="6"/>
      <c r="AT176" s="6"/>
      <c r="AU176" s="6"/>
      <c r="AV176" s="6"/>
      <c r="AW176" s="6"/>
      <c r="AX176" s="7">
        <f t="shared" si="107"/>
        <v>0</v>
      </c>
      <c r="AY176" s="11">
        <f t="shared" si="80"/>
        <v>0</v>
      </c>
      <c r="AZ176" s="25"/>
      <c r="BA176" s="10" t="str">
        <f t="shared" si="49"/>
        <v>MarçoSEMANA 5Suíno - Bacon Fatiado</v>
      </c>
      <c r="BB176" s="7">
        <f>SUMIF(NF!$A:$A,$BA176,NF!$I:$I)</f>
        <v>0</v>
      </c>
      <c r="BC176" s="6"/>
      <c r="BD176" s="6"/>
      <c r="BE176" s="6"/>
      <c r="BF176" s="6"/>
      <c r="BG176" s="6"/>
      <c r="BH176" s="6"/>
      <c r="BI176" s="74"/>
      <c r="BJ176" s="74"/>
      <c r="BK176" s="7">
        <f t="shared" si="108"/>
        <v>0</v>
      </c>
      <c r="BL176" s="8">
        <f t="shared" si="81"/>
        <v>0</v>
      </c>
      <c r="BM176" s="51" t="str">
        <f>IFERROR(VLOOKUP(A176,NF!$M:$O,3,0),"")</f>
        <v>Carnes</v>
      </c>
      <c r="BN176" s="7">
        <f t="shared" si="82"/>
        <v>0</v>
      </c>
      <c r="BO176" s="8">
        <f t="array" ref="BO176">IFERROR(LARGE(IF(NF!$G$2:$G$3137='Mês atual'!A176,NF!$J$2:$J$3137),1),0)*BN176</f>
        <v>0</v>
      </c>
      <c r="BP176" s="50"/>
      <c r="BR176" s="146">
        <f t="array" ref="BR176">IFERROR(LARGE(IF(NF!$G$2:$G$3137='Mês atual'!A176,NF!$J$2:$J$3137),1),0)</f>
        <v>0</v>
      </c>
      <c r="BS176" s="142" t="str">
        <f>VLOOKUP(A176,NF!M:O,3,0)</f>
        <v>Carnes</v>
      </c>
      <c r="BV176" s="74">
        <f t="shared" si="72"/>
        <v>0</v>
      </c>
      <c r="BW176" s="74">
        <f t="shared" si="73"/>
        <v>0</v>
      </c>
      <c r="BX176" s="74">
        <f t="shared" si="74"/>
        <v>0</v>
      </c>
      <c r="BY176" s="74">
        <f t="shared" si="75"/>
        <v>0</v>
      </c>
      <c r="BZ176" s="74">
        <f t="shared" si="76"/>
        <v>0</v>
      </c>
    </row>
    <row r="177" spans="1:78" x14ac:dyDescent="0.25">
      <c r="A177" s="108" t="s">
        <v>756</v>
      </c>
      <c r="B177" s="12"/>
      <c r="C177" s="9">
        <v>16.440000000000001</v>
      </c>
      <c r="D177" s="25"/>
      <c r="E177" s="10" t="str">
        <f t="shared" si="41"/>
        <v>MarçoSEMANA 1Suíno - Barriga Suína</v>
      </c>
      <c r="F177" s="7">
        <f>SUMIF(NF!$A:$A,$E177,NF!$I:$I)</f>
        <v>0</v>
      </c>
      <c r="G177" s="74"/>
      <c r="H177" s="74"/>
      <c r="I177" s="74"/>
      <c r="J177" s="6"/>
      <c r="K177" s="6">
        <v>4.6680000000000001</v>
      </c>
      <c r="L177" s="6">
        <v>3.1120000000000001</v>
      </c>
      <c r="M177" s="6"/>
      <c r="N177" s="7">
        <f t="shared" si="104"/>
        <v>7.78</v>
      </c>
      <c r="O177" s="11">
        <f t="shared" si="77"/>
        <v>8.66</v>
      </c>
      <c r="P177" s="25"/>
      <c r="Q177" s="10" t="str">
        <f t="shared" si="43"/>
        <v>MarçoSEMANA 2Suíno - Barriga Suína</v>
      </c>
      <c r="R177" s="7">
        <f>SUMIF(NF!$A:$A,$Q177,NF!$I:$I)</f>
        <v>20</v>
      </c>
      <c r="S177" s="6"/>
      <c r="T177" s="6"/>
      <c r="U177" s="6"/>
      <c r="V177" s="6"/>
      <c r="W177" s="6">
        <v>4.7160000000000002</v>
      </c>
      <c r="X177" s="6">
        <v>3.1440000000000001</v>
      </c>
      <c r="Y177" s="6"/>
      <c r="Z177" s="7">
        <f t="shared" si="105"/>
        <v>7.86</v>
      </c>
      <c r="AA177" s="11">
        <f t="shared" si="78"/>
        <v>20.8</v>
      </c>
      <c r="AB177" s="25"/>
      <c r="AC177" s="10" t="str">
        <f t="shared" si="45"/>
        <v>MarçoSEMANA 3Suíno - Barriga Suína</v>
      </c>
      <c r="AD177" s="7">
        <f>SUMIF(NF!$A:$A,$AC177,NF!$I:$I)</f>
        <v>0</v>
      </c>
      <c r="AE177" s="6"/>
      <c r="AF177" s="6"/>
      <c r="AG177" s="6"/>
      <c r="AH177" s="6"/>
      <c r="AI177" s="6">
        <v>4.476</v>
      </c>
      <c r="AJ177" s="6">
        <v>2.984</v>
      </c>
      <c r="AK177" s="6"/>
      <c r="AL177" s="7">
        <f t="shared" si="106"/>
        <v>7.46</v>
      </c>
      <c r="AM177" s="11">
        <f t="shared" si="79"/>
        <v>13.34</v>
      </c>
      <c r="AN177" s="25"/>
      <c r="AO177" s="10" t="str">
        <f t="shared" si="47"/>
        <v>MarçoSEMANA 4Suíno - Barriga Suína</v>
      </c>
      <c r="AP177" s="7">
        <f>SUMIF(NF!$A:$A,$AO177,NF!$I:$I)</f>
        <v>0</v>
      </c>
      <c r="AQ177" s="6"/>
      <c r="AR177" s="6"/>
      <c r="AS177" s="6"/>
      <c r="AT177" s="6"/>
      <c r="AU177" s="6">
        <v>4.4640000000000004</v>
      </c>
      <c r="AV177" s="6">
        <v>2.976</v>
      </c>
      <c r="AW177" s="6"/>
      <c r="AX177" s="7">
        <f t="shared" si="107"/>
        <v>7.44</v>
      </c>
      <c r="AY177" s="11">
        <f t="shared" si="80"/>
        <v>5.8999999999999995</v>
      </c>
      <c r="AZ177" s="25"/>
      <c r="BA177" s="10" t="str">
        <f t="shared" si="49"/>
        <v>MarçoSEMANA 5Suíno - Barriga Suína</v>
      </c>
      <c r="BB177" s="7">
        <f>SUMIF(NF!$A:$A,$BA177,NF!$I:$I)</f>
        <v>20</v>
      </c>
      <c r="BC177" s="6"/>
      <c r="BD177" s="6"/>
      <c r="BE177" s="6"/>
      <c r="BF177" s="6"/>
      <c r="BG177" s="6"/>
      <c r="BH177" s="6">
        <v>3.28</v>
      </c>
      <c r="BI177" s="74"/>
      <c r="BJ177" s="74"/>
      <c r="BK177" s="7">
        <f t="shared" si="108"/>
        <v>3.28</v>
      </c>
      <c r="BL177" s="8">
        <f t="shared" si="81"/>
        <v>22.619999999999997</v>
      </c>
      <c r="BM177" s="51" t="str">
        <f>IFERROR(VLOOKUP(A177,NF!$M:$O,3,0),"")</f>
        <v>Carnes</v>
      </c>
      <c r="BN177" s="7">
        <f t="shared" si="82"/>
        <v>33.82</v>
      </c>
      <c r="BO177" s="8">
        <f t="array" ref="BO177">IFERROR(LARGE(IF(NF!$G$2:$G$3137='Mês atual'!A177,NF!$J$2:$J$3137),1),0)*BN177</f>
        <v>374.04919999999998</v>
      </c>
      <c r="BP177" s="50"/>
      <c r="BR177" s="146">
        <f t="array" ref="BR177">IFERROR(LARGE(IF(NF!$G$2:$G$3137='Mês atual'!A177,NF!$J$2:$J$3137),1),0)</f>
        <v>11.059999999999999</v>
      </c>
      <c r="BS177" s="142" t="str">
        <f>VLOOKUP(A177,NF!M:O,3,0)</f>
        <v>Carnes</v>
      </c>
      <c r="BV177" s="74">
        <f t="shared" si="72"/>
        <v>7.78</v>
      </c>
      <c r="BW177" s="74">
        <f t="shared" si="73"/>
        <v>7.86</v>
      </c>
      <c r="BX177" s="74">
        <f t="shared" si="74"/>
        <v>7.46</v>
      </c>
      <c r="BY177" s="74">
        <f t="shared" si="75"/>
        <v>7.44</v>
      </c>
      <c r="BZ177" s="74">
        <f t="shared" si="76"/>
        <v>3.28</v>
      </c>
    </row>
    <row r="178" spans="1:78" x14ac:dyDescent="0.25">
      <c r="A178" s="108" t="s">
        <v>757</v>
      </c>
      <c r="B178" s="12"/>
      <c r="C178" s="9">
        <v>3.6619999999999999</v>
      </c>
      <c r="D178" s="25"/>
      <c r="E178" s="10" t="str">
        <f t="shared" si="41"/>
        <v>MarçoSEMANA 1Suíno - Carre Defumado (Kassler)</v>
      </c>
      <c r="F178" s="7">
        <f>SUMIF(NF!$A:$A,$E178,NF!$I:$I)</f>
        <v>0</v>
      </c>
      <c r="G178" s="74"/>
      <c r="H178" s="74"/>
      <c r="I178" s="74"/>
      <c r="J178" s="6"/>
      <c r="K178" s="6"/>
      <c r="L178" s="6"/>
      <c r="M178" s="6"/>
      <c r="N178" s="7">
        <f t="shared" si="104"/>
        <v>0</v>
      </c>
      <c r="O178" s="11">
        <f t="shared" si="77"/>
        <v>3.6619999999999999</v>
      </c>
      <c r="P178" s="25"/>
      <c r="Q178" s="10" t="str">
        <f t="shared" si="43"/>
        <v>MarçoSEMANA 2Suíno - Carre Defumado (Kassler)</v>
      </c>
      <c r="R178" s="7">
        <f>SUMIF(NF!$A:$A,$Q178,NF!$I:$I)</f>
        <v>15.14</v>
      </c>
      <c r="S178" s="6"/>
      <c r="T178" s="6"/>
      <c r="U178" s="6"/>
      <c r="V178" s="6">
        <v>12.422000000000001</v>
      </c>
      <c r="W178" s="6"/>
      <c r="X178" s="6"/>
      <c r="Y178" s="6"/>
      <c r="Z178" s="7">
        <f t="shared" si="105"/>
        <v>12.422000000000001</v>
      </c>
      <c r="AA178" s="11">
        <f t="shared" si="78"/>
        <v>6.379999999999999</v>
      </c>
      <c r="AB178" s="25"/>
      <c r="AC178" s="10" t="str">
        <f t="shared" si="45"/>
        <v>MarçoSEMANA 3Suíno - Carre Defumado (Kassler)</v>
      </c>
      <c r="AD178" s="7">
        <f>SUMIF(NF!$A:$A,$AC178,NF!$I:$I)</f>
        <v>0</v>
      </c>
      <c r="AE178" s="6"/>
      <c r="AF178" s="6"/>
      <c r="AG178" s="6"/>
      <c r="AH178" s="6"/>
      <c r="AI178" s="6"/>
      <c r="AJ178" s="6"/>
      <c r="AK178" s="6"/>
      <c r="AL178" s="7">
        <f t="shared" si="106"/>
        <v>0</v>
      </c>
      <c r="AM178" s="11">
        <f t="shared" si="79"/>
        <v>6.379999999999999</v>
      </c>
      <c r="AN178" s="25"/>
      <c r="AO178" s="10" t="str">
        <f t="shared" si="47"/>
        <v>MarçoSEMANA 4Suíno - Carre Defumado (Kassler)</v>
      </c>
      <c r="AP178" s="7">
        <f>SUMIF(NF!$A:$A,$AO178,NF!$I:$I)</f>
        <v>0</v>
      </c>
      <c r="AQ178" s="6"/>
      <c r="AR178" s="6"/>
      <c r="AS178" s="6"/>
      <c r="AT178" s="6"/>
      <c r="AU178" s="6"/>
      <c r="AV178" s="6"/>
      <c r="AW178" s="6"/>
      <c r="AX178" s="7">
        <f t="shared" si="107"/>
        <v>0</v>
      </c>
      <c r="AY178" s="11">
        <f t="shared" si="80"/>
        <v>6.379999999999999</v>
      </c>
      <c r="AZ178" s="25"/>
      <c r="BA178" s="10" t="str">
        <f t="shared" si="49"/>
        <v>MarçoSEMANA 5Suíno - Carre Defumado (Kassler)</v>
      </c>
      <c r="BB178" s="7">
        <f>SUMIF(NF!$A:$A,$BA178,NF!$I:$I)</f>
        <v>0</v>
      </c>
      <c r="BC178" s="6"/>
      <c r="BD178" s="6"/>
      <c r="BE178" s="6"/>
      <c r="BF178" s="6"/>
      <c r="BG178" s="6">
        <v>6.38</v>
      </c>
      <c r="BH178" s="6"/>
      <c r="BI178" s="74"/>
      <c r="BJ178" s="74"/>
      <c r="BK178" s="7">
        <f t="shared" si="108"/>
        <v>6.38</v>
      </c>
      <c r="BL178" s="8">
        <f t="shared" si="81"/>
        <v>0</v>
      </c>
      <c r="BM178" s="51" t="str">
        <f>IFERROR(VLOOKUP(A178,NF!$M:$O,3,0),"")</f>
        <v>Carnes</v>
      </c>
      <c r="BN178" s="7">
        <f t="shared" si="82"/>
        <v>18.802</v>
      </c>
      <c r="BO178" s="8">
        <f t="array" ref="BO178">IFERROR(LARGE(IF(NF!$G$2:$G$3137='Mês atual'!A178,NF!$J$2:$J$3137),1),0)*BN178</f>
        <v>678.30015719947153</v>
      </c>
      <c r="BP178" s="50"/>
      <c r="BR178" s="146">
        <f t="array" ref="BR178">IFERROR(LARGE(IF(NF!$G$2:$G$3137='Mês atual'!A178,NF!$J$2:$J$3137),1),0)</f>
        <v>36.075957727873181</v>
      </c>
      <c r="BS178" s="142" t="str">
        <f>VLOOKUP(A178,NF!M:O,3,0)</f>
        <v>Carnes</v>
      </c>
      <c r="BV178" s="74">
        <f t="shared" si="72"/>
        <v>0</v>
      </c>
      <c r="BW178" s="74">
        <f t="shared" si="73"/>
        <v>12.422000000000001</v>
      </c>
      <c r="BX178" s="74">
        <f t="shared" si="74"/>
        <v>0</v>
      </c>
      <c r="BY178" s="74">
        <f t="shared" si="75"/>
        <v>0</v>
      </c>
      <c r="BZ178" s="74">
        <f t="shared" si="76"/>
        <v>6.38</v>
      </c>
    </row>
    <row r="179" spans="1:78" x14ac:dyDescent="0.2">
      <c r="A179" s="108" t="s">
        <v>1001</v>
      </c>
      <c r="B179" s="12"/>
      <c r="C179" s="9">
        <v>0</v>
      </c>
      <c r="D179" s="25"/>
      <c r="E179" s="10" t="str">
        <f t="shared" si="41"/>
        <v>MarçoSEMANA 1Suino - Copa Lombo</v>
      </c>
      <c r="F179" s="7">
        <f>SUMIF(NF!$A:$A,$E179,NF!$I:$I)</f>
        <v>0</v>
      </c>
      <c r="G179" s="74"/>
      <c r="H179" s="74"/>
      <c r="I179" s="74"/>
      <c r="J179" s="6"/>
      <c r="K179" s="6"/>
      <c r="L179" s="6"/>
      <c r="M179" s="6"/>
      <c r="N179" s="7">
        <f>SUM(G179:M179)</f>
        <v>0</v>
      </c>
      <c r="O179" s="11">
        <f>F179+C179-N179</f>
        <v>0</v>
      </c>
      <c r="P179" s="25"/>
      <c r="Q179" s="10" t="str">
        <f t="shared" si="43"/>
        <v>MarçoSEMANA 2Suino - Copa Lombo</v>
      </c>
      <c r="R179" s="7">
        <f>SUMIF(NF!$A:$A,$Q179,NF!$I:$I)</f>
        <v>0</v>
      </c>
      <c r="S179" s="6"/>
      <c r="T179" s="6"/>
      <c r="U179" s="6"/>
      <c r="V179" s="6"/>
      <c r="W179" s="6"/>
      <c r="X179" s="6"/>
      <c r="Y179" s="6"/>
      <c r="Z179" s="7">
        <f>SUM(S179:Y179)</f>
        <v>0</v>
      </c>
      <c r="AA179" s="11">
        <f>R179+O179-Z179</f>
        <v>0</v>
      </c>
      <c r="AB179" s="25"/>
      <c r="AC179" s="10" t="str">
        <f t="shared" si="45"/>
        <v>MarçoSEMANA 3Suino - Copa Lombo</v>
      </c>
      <c r="AD179" s="7">
        <f>SUMIF(NF!$A:$A,$AC179,NF!$I:$I)</f>
        <v>0</v>
      </c>
      <c r="AE179" s="6"/>
      <c r="AF179" s="6"/>
      <c r="AG179" s="6"/>
      <c r="AH179" s="6"/>
      <c r="AI179" s="6"/>
      <c r="AJ179" s="6"/>
      <c r="AK179" s="6"/>
      <c r="AL179" s="7">
        <f>SUM(AE179:AK179)</f>
        <v>0</v>
      </c>
      <c r="AM179" s="11">
        <f>AD179+AA179-AL179</f>
        <v>0</v>
      </c>
      <c r="AN179" s="25"/>
      <c r="AO179" s="10" t="str">
        <f t="shared" si="47"/>
        <v>MarçoSEMANA 4Suino - Copa Lombo</v>
      </c>
      <c r="AP179" s="7">
        <f>SUMIF(NF!$A:$A,$AO179,NF!$I:$I)</f>
        <v>0</v>
      </c>
      <c r="AQ179" s="6"/>
      <c r="AR179" s="6"/>
      <c r="AS179" s="6"/>
      <c r="AT179" s="6"/>
      <c r="AU179" s="6"/>
      <c r="AV179" s="6"/>
      <c r="AW179" s="6"/>
      <c r="AX179" s="7">
        <f>SUM(AQ179:AW179)</f>
        <v>0</v>
      </c>
      <c r="AY179" s="11">
        <f>AP179+AM179-AX179</f>
        <v>0</v>
      </c>
      <c r="AZ179" s="25"/>
      <c r="BA179" s="10" t="str">
        <f t="shared" si="49"/>
        <v>MarçoSEMANA 5Suino - Copa Lombo</v>
      </c>
      <c r="BB179" s="7">
        <f>SUMIF(NF!$A:$A,$BA179,NF!$I:$I)</f>
        <v>0</v>
      </c>
      <c r="BC179" s="6"/>
      <c r="BD179" s="6"/>
      <c r="BE179" s="6"/>
      <c r="BF179" s="6"/>
      <c r="BG179" s="6"/>
      <c r="BH179" s="6"/>
      <c r="BI179" s="74"/>
      <c r="BJ179" s="74"/>
      <c r="BK179" s="7">
        <f>SUM(BC179:BJ179)</f>
        <v>0</v>
      </c>
      <c r="BL179" s="8">
        <f>BB179+AY179-BK179</f>
        <v>0</v>
      </c>
      <c r="BM179" s="51" t="str">
        <f>IFERROR(VLOOKUP(A179,NF!$M:$O,3,0),"")</f>
        <v>Carnes</v>
      </c>
      <c r="BN179" s="7">
        <f>SUM(N179,Z179,AL179,AX179,BK179)</f>
        <v>0</v>
      </c>
      <c r="BO179" s="8">
        <f t="array" ref="BO179">IFERROR(LARGE(IF(NF!$G$2:$G$3137='Mês atual'!A179,NF!$J$2:$J$3137),1),0)*BN179</f>
        <v>0</v>
      </c>
      <c r="BP179" s="50"/>
      <c r="BR179" s="146">
        <f t="array" ref="BR179">IFERROR(LARGE(IF(NF!$G$2:$G$3137='Mês atual'!A179,NF!$J$2:$J$3137),1),0)</f>
        <v>0</v>
      </c>
      <c r="BS179" s="142" t="str">
        <f>VLOOKUP(A179,NF!M:O,3,0)</f>
        <v>Carnes</v>
      </c>
      <c r="BV179" s="74">
        <f t="shared" si="72"/>
        <v>0</v>
      </c>
      <c r="BW179" s="74">
        <f t="shared" si="73"/>
        <v>0</v>
      </c>
      <c r="BX179" s="74">
        <f t="shared" si="74"/>
        <v>0</v>
      </c>
      <c r="BY179" s="74">
        <f t="shared" si="75"/>
        <v>0</v>
      </c>
      <c r="BZ179" s="74">
        <f t="shared" si="76"/>
        <v>0</v>
      </c>
    </row>
    <row r="180" spans="1:78" x14ac:dyDescent="0.25">
      <c r="A180" s="108" t="s">
        <v>758</v>
      </c>
      <c r="B180" s="12"/>
      <c r="C180" s="9">
        <v>0</v>
      </c>
      <c r="D180" s="25"/>
      <c r="E180" s="10" t="str">
        <f t="shared" si="41"/>
        <v>MarçoSEMANA 1Suíno - Costelinha Fresca</v>
      </c>
      <c r="F180" s="7">
        <f>SUMIF(NF!$A:$A,$E180,NF!$I:$I)</f>
        <v>0</v>
      </c>
      <c r="G180" s="74"/>
      <c r="H180" s="74"/>
      <c r="I180" s="74"/>
      <c r="J180" s="6"/>
      <c r="K180" s="6"/>
      <c r="L180" s="6"/>
      <c r="M180" s="6"/>
      <c r="N180" s="7">
        <f t="shared" si="104"/>
        <v>0</v>
      </c>
      <c r="O180" s="11">
        <f t="shared" si="77"/>
        <v>0</v>
      </c>
      <c r="P180" s="25"/>
      <c r="Q180" s="10" t="str">
        <f t="shared" si="43"/>
        <v>MarçoSEMANA 2Suíno - Costelinha Fresca</v>
      </c>
      <c r="R180" s="7">
        <f>SUMIF(NF!$A:$A,$Q180,NF!$I:$I)</f>
        <v>0</v>
      </c>
      <c r="S180" s="6"/>
      <c r="T180" s="6"/>
      <c r="U180" s="6"/>
      <c r="V180" s="6"/>
      <c r="W180" s="6"/>
      <c r="X180" s="6"/>
      <c r="Y180" s="6"/>
      <c r="Z180" s="7">
        <f t="shared" si="105"/>
        <v>0</v>
      </c>
      <c r="AA180" s="11">
        <f t="shared" si="78"/>
        <v>0</v>
      </c>
      <c r="AB180" s="25"/>
      <c r="AC180" s="10" t="str">
        <f t="shared" si="45"/>
        <v>MarçoSEMANA 3Suíno - Costelinha Fresca</v>
      </c>
      <c r="AD180" s="7">
        <f>SUMIF(NF!$A:$A,$AC180,NF!$I:$I)</f>
        <v>20</v>
      </c>
      <c r="AE180" s="6"/>
      <c r="AF180" s="6"/>
      <c r="AG180" s="6"/>
      <c r="AH180" s="6"/>
      <c r="AI180" s="6"/>
      <c r="AJ180" s="6"/>
      <c r="AK180" s="6"/>
      <c r="AL180" s="7">
        <f t="shared" si="106"/>
        <v>0</v>
      </c>
      <c r="AM180" s="11">
        <f t="shared" si="79"/>
        <v>20</v>
      </c>
      <c r="AN180" s="25"/>
      <c r="AO180" s="10" t="str">
        <f t="shared" si="47"/>
        <v>MarçoSEMANA 4Suíno - Costelinha Fresca</v>
      </c>
      <c r="AP180" s="7">
        <f>SUMIF(NF!$A:$A,$AO180,NF!$I:$I)</f>
        <v>0</v>
      </c>
      <c r="AQ180" s="6">
        <v>20</v>
      </c>
      <c r="AR180" s="6"/>
      <c r="AS180" s="6"/>
      <c r="AT180" s="6"/>
      <c r="AU180" s="6"/>
      <c r="AV180" s="6"/>
      <c r="AW180" s="6"/>
      <c r="AX180" s="7">
        <f t="shared" si="107"/>
        <v>20</v>
      </c>
      <c r="AY180" s="11">
        <f t="shared" si="80"/>
        <v>0</v>
      </c>
      <c r="AZ180" s="25"/>
      <c r="BA180" s="10" t="str">
        <f t="shared" si="49"/>
        <v>MarçoSEMANA 5Suíno - Costelinha Fresca</v>
      </c>
      <c r="BB180" s="7">
        <f>SUMIF(NF!$A:$A,$BA180,NF!$I:$I)</f>
        <v>0</v>
      </c>
      <c r="BC180" s="6"/>
      <c r="BD180" s="6"/>
      <c r="BE180" s="6"/>
      <c r="BF180" s="6"/>
      <c r="BG180" s="6"/>
      <c r="BH180" s="6"/>
      <c r="BI180" s="74"/>
      <c r="BJ180" s="74"/>
      <c r="BK180" s="7">
        <f t="shared" si="108"/>
        <v>0</v>
      </c>
      <c r="BL180" s="8">
        <f t="shared" si="81"/>
        <v>0</v>
      </c>
      <c r="BM180" s="51" t="str">
        <f>IFERROR(VLOOKUP(A180,NF!$M:$O,3,0),"")</f>
        <v>Carnes</v>
      </c>
      <c r="BN180" s="7">
        <f t="shared" si="82"/>
        <v>20</v>
      </c>
      <c r="BO180" s="8">
        <f t="array" ref="BO180">IFERROR(LARGE(IF(NF!$G$2:$G$3137='Mês atual'!A180,NF!$J$2:$J$3137),1),0)*BN180</f>
        <v>299.60000000000002</v>
      </c>
      <c r="BP180" s="50"/>
      <c r="BR180" s="146">
        <f t="array" ref="BR180">IFERROR(LARGE(IF(NF!$G$2:$G$3137='Mês atual'!A180,NF!$J$2:$J$3137),1),0)</f>
        <v>14.98</v>
      </c>
      <c r="BS180" s="142" t="str">
        <f>VLOOKUP(A180,NF!M:O,3,0)</f>
        <v>Carnes</v>
      </c>
      <c r="BV180" s="74">
        <f t="shared" si="72"/>
        <v>0</v>
      </c>
      <c r="BW180" s="74">
        <f t="shared" si="73"/>
        <v>0</v>
      </c>
      <c r="BX180" s="74">
        <f t="shared" si="74"/>
        <v>0</v>
      </c>
      <c r="BY180" s="74">
        <f t="shared" si="75"/>
        <v>20</v>
      </c>
      <c r="BZ180" s="74">
        <f t="shared" si="76"/>
        <v>0</v>
      </c>
    </row>
    <row r="181" spans="1:78" x14ac:dyDescent="0.25">
      <c r="A181" s="108" t="s">
        <v>759</v>
      </c>
      <c r="B181" s="12"/>
      <c r="C181" s="9">
        <v>23.8</v>
      </c>
      <c r="D181" s="25"/>
      <c r="E181" s="10" t="str">
        <f t="shared" si="41"/>
        <v>MarçoSEMANA 1Suíno - Costelinha Salgada</v>
      </c>
      <c r="F181" s="7">
        <f>SUMIF(NF!$A:$A,$E181,NF!$I:$I)</f>
        <v>0</v>
      </c>
      <c r="G181" s="74"/>
      <c r="H181" s="74"/>
      <c r="I181" s="74"/>
      <c r="J181" s="6"/>
      <c r="K181" s="6">
        <f>2.64+0.437</f>
        <v>3.077</v>
      </c>
      <c r="L181" s="6">
        <f>1.76+0.437</f>
        <v>2.1970000000000001</v>
      </c>
      <c r="M181" s="6"/>
      <c r="N181" s="7">
        <f t="shared" si="104"/>
        <v>5.274</v>
      </c>
      <c r="O181" s="11">
        <f t="shared" si="77"/>
        <v>18.526</v>
      </c>
      <c r="P181" s="25"/>
      <c r="Q181" s="10" t="str">
        <f t="shared" si="43"/>
        <v>MarçoSEMANA 2Suíno - Costelinha Salgada</v>
      </c>
      <c r="R181" s="7">
        <f>SUMIF(NF!$A:$A,$Q181,NF!$I:$I)</f>
        <v>0</v>
      </c>
      <c r="S181" s="6"/>
      <c r="T181" s="6"/>
      <c r="U181" s="6"/>
      <c r="V181" s="6"/>
      <c r="W181" s="6">
        <f>5.088+0.437</f>
        <v>5.5250000000000004</v>
      </c>
      <c r="X181" s="6">
        <f>3.392+0.437</f>
        <v>3.8289999999999997</v>
      </c>
      <c r="Y181" s="6"/>
      <c r="Z181" s="7">
        <f t="shared" si="105"/>
        <v>9.3539999999999992</v>
      </c>
      <c r="AA181" s="11">
        <f t="shared" si="78"/>
        <v>9.1720000000000006</v>
      </c>
      <c r="AB181" s="25"/>
      <c r="AC181" s="10" t="str">
        <f t="shared" si="45"/>
        <v>MarçoSEMANA 3Suíno - Costelinha Salgada</v>
      </c>
      <c r="AD181" s="7">
        <f>SUMIF(NF!$A:$A,$AC181,NF!$I:$I)</f>
        <v>8.9</v>
      </c>
      <c r="AE181" s="6"/>
      <c r="AF181" s="6"/>
      <c r="AG181" s="6"/>
      <c r="AH181" s="6"/>
      <c r="AI181" s="6">
        <f>5.292+0.437</f>
        <v>5.7290000000000001</v>
      </c>
      <c r="AJ181" s="6">
        <f>3.528+0.437</f>
        <v>3.9649999999999999</v>
      </c>
      <c r="AK181" s="6"/>
      <c r="AL181" s="7">
        <f t="shared" si="106"/>
        <v>9.6939999999999991</v>
      </c>
      <c r="AM181" s="11">
        <f t="shared" si="79"/>
        <v>8.3780000000000037</v>
      </c>
      <c r="AN181" s="25"/>
      <c r="AO181" s="10" t="str">
        <f t="shared" si="47"/>
        <v>MarçoSEMANA 4Suíno - Costelinha Salgada</v>
      </c>
      <c r="AP181" s="7">
        <f>SUMIF(NF!$A:$A,$AO181,NF!$I:$I)</f>
        <v>12</v>
      </c>
      <c r="AQ181" s="6"/>
      <c r="AR181" s="6"/>
      <c r="AS181" s="6"/>
      <c r="AT181" s="6">
        <f>2.5+0.437</f>
        <v>2.9369999999999998</v>
      </c>
      <c r="AU181" s="6">
        <f>3.54+0.437</f>
        <v>3.9769999999999999</v>
      </c>
      <c r="AV181" s="6">
        <f>2.36+0.44</f>
        <v>2.8</v>
      </c>
      <c r="AW181" s="6"/>
      <c r="AX181" s="7">
        <f t="shared" si="107"/>
        <v>9.7139999999999986</v>
      </c>
      <c r="AY181" s="11">
        <f t="shared" si="80"/>
        <v>10.664000000000005</v>
      </c>
      <c r="AZ181" s="25"/>
      <c r="BA181" s="10" t="str">
        <f t="shared" si="49"/>
        <v>MarçoSEMANA 5Suíno - Costelinha Salgada</v>
      </c>
      <c r="BB181" s="7">
        <f>SUMIF(NF!$A:$A,$BA181,NF!$I:$I)</f>
        <v>0</v>
      </c>
      <c r="BC181" s="6"/>
      <c r="BD181" s="6"/>
      <c r="BE181" s="6"/>
      <c r="BF181" s="6"/>
      <c r="BG181" s="6"/>
      <c r="BH181" s="6"/>
      <c r="BI181" s="74"/>
      <c r="BJ181" s="74"/>
      <c r="BK181" s="7">
        <f t="shared" si="108"/>
        <v>0</v>
      </c>
      <c r="BL181" s="8">
        <f t="shared" si="81"/>
        <v>10.664000000000005</v>
      </c>
      <c r="BM181" s="51" t="str">
        <f>IFERROR(VLOOKUP(A181,NF!$M:$O,3,0),"")</f>
        <v>Carnes</v>
      </c>
      <c r="BN181" s="7">
        <f t="shared" si="82"/>
        <v>34.036000000000001</v>
      </c>
      <c r="BO181" s="8">
        <f t="array" ref="BO181">IFERROR(LARGE(IF(NF!$G$2:$G$3137='Mês atual'!A181,NF!$J$2:$J$3137),1),0)*BN181</f>
        <v>441.78728000000001</v>
      </c>
      <c r="BP181" s="50"/>
      <c r="BR181" s="146">
        <f t="array" ref="BR181">IFERROR(LARGE(IF(NF!$G$2:$G$3137='Mês atual'!A181,NF!$J$2:$J$3137),1),0)</f>
        <v>12.98</v>
      </c>
      <c r="BS181" s="142" t="str">
        <f>VLOOKUP(A181,NF!M:O,3,0)</f>
        <v>Carnes</v>
      </c>
      <c r="BV181" s="74">
        <f t="shared" si="72"/>
        <v>5.274</v>
      </c>
      <c r="BW181" s="74">
        <f t="shared" si="73"/>
        <v>9.3539999999999992</v>
      </c>
      <c r="BX181" s="74">
        <f t="shared" si="74"/>
        <v>9.6939999999999991</v>
      </c>
      <c r="BY181" s="74">
        <f t="shared" si="75"/>
        <v>9.7139999999999986</v>
      </c>
      <c r="BZ181" s="74">
        <f t="shared" si="76"/>
        <v>0</v>
      </c>
    </row>
    <row r="182" spans="1:78" x14ac:dyDescent="0.25">
      <c r="A182" s="108" t="s">
        <v>760</v>
      </c>
      <c r="B182" s="12"/>
      <c r="C182" s="9">
        <v>0</v>
      </c>
      <c r="D182" s="25"/>
      <c r="E182" s="10" t="str">
        <f t="shared" si="41"/>
        <v>MarçoSEMANA 1Suino - File Mignon c/Barriga (Medalhão)</v>
      </c>
      <c r="F182" s="7">
        <f>SUMIF(NF!$A:$A,$E182,NF!$I:$I)</f>
        <v>0</v>
      </c>
      <c r="G182" s="74"/>
      <c r="H182" s="74"/>
      <c r="I182" s="74"/>
      <c r="J182" s="6"/>
      <c r="K182" s="6"/>
      <c r="L182" s="6"/>
      <c r="M182" s="6"/>
      <c r="N182" s="7">
        <f t="shared" si="104"/>
        <v>0</v>
      </c>
      <c r="O182" s="11">
        <f t="shared" si="77"/>
        <v>0</v>
      </c>
      <c r="P182" s="25"/>
      <c r="Q182" s="10" t="str">
        <f t="shared" si="43"/>
        <v>MarçoSEMANA 2Suino - File Mignon c/Barriga (Medalhão)</v>
      </c>
      <c r="R182" s="7">
        <f>SUMIF(NF!$A:$A,$Q182,NF!$I:$I)</f>
        <v>0</v>
      </c>
      <c r="S182" s="6"/>
      <c r="T182" s="6"/>
      <c r="U182" s="6"/>
      <c r="V182" s="6"/>
      <c r="W182" s="6"/>
      <c r="X182" s="6"/>
      <c r="Y182" s="6"/>
      <c r="Z182" s="7">
        <f t="shared" si="105"/>
        <v>0</v>
      </c>
      <c r="AA182" s="11">
        <f t="shared" si="78"/>
        <v>0</v>
      </c>
      <c r="AB182" s="25"/>
      <c r="AC182" s="10" t="str">
        <f t="shared" si="45"/>
        <v>MarçoSEMANA 3Suino - File Mignon c/Barriga (Medalhão)</v>
      </c>
      <c r="AD182" s="7">
        <f>SUMIF(NF!$A:$A,$AC182,NF!$I:$I)</f>
        <v>0</v>
      </c>
      <c r="AE182" s="6"/>
      <c r="AF182" s="6"/>
      <c r="AG182" s="6"/>
      <c r="AH182" s="6"/>
      <c r="AI182" s="6"/>
      <c r="AJ182" s="6"/>
      <c r="AK182" s="6"/>
      <c r="AL182" s="7">
        <f t="shared" si="106"/>
        <v>0</v>
      </c>
      <c r="AM182" s="11">
        <f t="shared" si="79"/>
        <v>0</v>
      </c>
      <c r="AN182" s="25"/>
      <c r="AO182" s="10" t="str">
        <f t="shared" si="47"/>
        <v>MarçoSEMANA 4Suino - File Mignon c/Barriga (Medalhão)</v>
      </c>
      <c r="AP182" s="7">
        <f>SUMIF(NF!$A:$A,$AO182,NF!$I:$I)</f>
        <v>0</v>
      </c>
      <c r="AQ182" s="6"/>
      <c r="AR182" s="6"/>
      <c r="AS182" s="6"/>
      <c r="AT182" s="6"/>
      <c r="AU182" s="6"/>
      <c r="AV182" s="6"/>
      <c r="AW182" s="6"/>
      <c r="AX182" s="7">
        <f t="shared" si="107"/>
        <v>0</v>
      </c>
      <c r="AY182" s="11">
        <f t="shared" si="80"/>
        <v>0</v>
      </c>
      <c r="AZ182" s="25"/>
      <c r="BA182" s="10" t="str">
        <f t="shared" si="49"/>
        <v>MarçoSEMANA 5Suino - File Mignon c/Barriga (Medalhão)</v>
      </c>
      <c r="BB182" s="7">
        <f>SUMIF(NF!$A:$A,$BA182,NF!$I:$I)</f>
        <v>0</v>
      </c>
      <c r="BC182" s="6"/>
      <c r="BD182" s="6"/>
      <c r="BE182" s="6"/>
      <c r="BF182" s="6"/>
      <c r="BG182" s="6"/>
      <c r="BH182" s="6"/>
      <c r="BI182" s="74"/>
      <c r="BJ182" s="74"/>
      <c r="BK182" s="7">
        <f t="shared" si="108"/>
        <v>0</v>
      </c>
      <c r="BL182" s="8">
        <f t="shared" si="81"/>
        <v>0</v>
      </c>
      <c r="BM182" s="51" t="str">
        <f>IFERROR(VLOOKUP(A182,NF!$M:$O,3,0),"")</f>
        <v>Carnes</v>
      </c>
      <c r="BN182" s="7">
        <f t="shared" si="82"/>
        <v>0</v>
      </c>
      <c r="BO182" s="8">
        <f t="array" ref="BO182">IFERROR(LARGE(IF(NF!$G$2:$G$3137='Mês atual'!A182,NF!$J$2:$J$3137),1),0)*BN182</f>
        <v>0</v>
      </c>
      <c r="BP182" s="50"/>
      <c r="BR182" s="146">
        <f t="array" ref="BR182">IFERROR(LARGE(IF(NF!$G$2:$G$3137='Mês atual'!A182,NF!$J$2:$J$3137),1),0)</f>
        <v>0</v>
      </c>
      <c r="BS182" s="142" t="str">
        <f>VLOOKUP(A182,NF!M:O,3,0)</f>
        <v>Carnes</v>
      </c>
      <c r="BV182" s="74">
        <f t="shared" si="72"/>
        <v>0</v>
      </c>
      <c r="BW182" s="74">
        <f t="shared" si="73"/>
        <v>0</v>
      </c>
      <c r="BX182" s="74">
        <f t="shared" si="74"/>
        <v>0</v>
      </c>
      <c r="BY182" s="74">
        <f t="shared" si="75"/>
        <v>0</v>
      </c>
      <c r="BZ182" s="74">
        <f t="shared" si="76"/>
        <v>0</v>
      </c>
    </row>
    <row r="183" spans="1:78" x14ac:dyDescent="0.25">
      <c r="A183" s="108" t="s">
        <v>973</v>
      </c>
      <c r="B183" s="12"/>
      <c r="C183" s="9">
        <v>0</v>
      </c>
      <c r="D183" s="25"/>
      <c r="E183" s="10" t="str">
        <f t="shared" si="41"/>
        <v>MarçoSEMANA 1Suíno - Filezinho Suíno</v>
      </c>
      <c r="F183" s="7">
        <f>SUMIF(NF!$A:$A,$E183,NF!$I:$I)</f>
        <v>20</v>
      </c>
      <c r="G183" s="74"/>
      <c r="H183" s="74"/>
      <c r="I183" s="74"/>
      <c r="J183" s="6"/>
      <c r="K183" s="6"/>
      <c r="L183" s="6"/>
      <c r="M183" s="6">
        <v>7.94</v>
      </c>
      <c r="N183" s="7">
        <f>SUM(G183:M183)</f>
        <v>7.94</v>
      </c>
      <c r="O183" s="11">
        <f t="shared" si="77"/>
        <v>12.059999999999999</v>
      </c>
      <c r="P183" s="25"/>
      <c r="Q183" s="10" t="str">
        <f t="shared" si="43"/>
        <v>MarçoSEMANA 2Suíno - Filezinho Suíno</v>
      </c>
      <c r="R183" s="7">
        <f>SUMIF(NF!$A:$A,$Q183,NF!$I:$I)</f>
        <v>0</v>
      </c>
      <c r="S183" s="6"/>
      <c r="T183" s="6"/>
      <c r="U183" s="6"/>
      <c r="V183" s="6"/>
      <c r="W183" s="6"/>
      <c r="X183" s="6"/>
      <c r="Y183" s="6"/>
      <c r="Z183" s="7">
        <f>SUM(S183:Y183)</f>
        <v>0</v>
      </c>
      <c r="AA183" s="11">
        <f t="shared" si="78"/>
        <v>12.059999999999999</v>
      </c>
      <c r="AB183" s="25"/>
      <c r="AC183" s="10" t="str">
        <f t="shared" si="45"/>
        <v>MarçoSEMANA 3Suíno - Filezinho Suíno</v>
      </c>
      <c r="AD183" s="7">
        <f>SUMIF(NF!$A:$A,$AC183,NF!$I:$I)</f>
        <v>0</v>
      </c>
      <c r="AE183" s="6"/>
      <c r="AF183" s="6"/>
      <c r="AG183" s="6"/>
      <c r="AH183" s="6"/>
      <c r="AI183" s="6">
        <f>8.18-4</f>
        <v>4.18</v>
      </c>
      <c r="AJ183" s="6"/>
      <c r="AK183" s="6"/>
      <c r="AL183" s="7">
        <f>SUM(AE183:AK183)</f>
        <v>4.18</v>
      </c>
      <c r="AM183" s="11">
        <f t="shared" si="79"/>
        <v>7.879999999999999</v>
      </c>
      <c r="AN183" s="25"/>
      <c r="AO183" s="10" t="str">
        <f t="shared" si="47"/>
        <v>MarçoSEMANA 4Suíno - Filezinho Suíno</v>
      </c>
      <c r="AP183" s="7">
        <f>SUMIF(NF!$A:$A,$AO183,NF!$I:$I)</f>
        <v>0</v>
      </c>
      <c r="AQ183" s="6"/>
      <c r="AR183" s="6"/>
      <c r="AS183" s="6"/>
      <c r="AT183" s="6"/>
      <c r="AU183" s="6"/>
      <c r="AV183" s="6"/>
      <c r="AW183" s="6"/>
      <c r="AX183" s="7">
        <f>SUM(AQ183:AW183)</f>
        <v>0</v>
      </c>
      <c r="AY183" s="11">
        <f t="shared" si="80"/>
        <v>7.879999999999999</v>
      </c>
      <c r="AZ183" s="25"/>
      <c r="BA183" s="10" t="str">
        <f t="shared" si="49"/>
        <v>MarçoSEMANA 5Suíno - Filezinho Suíno</v>
      </c>
      <c r="BB183" s="7">
        <f>SUMIF(NF!$A:$A,$BA183,NF!$I:$I)</f>
        <v>0</v>
      </c>
      <c r="BC183" s="6">
        <v>7.88</v>
      </c>
      <c r="BD183" s="6"/>
      <c r="BE183" s="6"/>
      <c r="BF183" s="6"/>
      <c r="BG183" s="6"/>
      <c r="BH183" s="6"/>
      <c r="BI183" s="74"/>
      <c r="BJ183" s="74"/>
      <c r="BK183" s="7">
        <f>SUM(BC183:BJ183)</f>
        <v>7.88</v>
      </c>
      <c r="BL183" s="8">
        <f t="shared" si="81"/>
        <v>0</v>
      </c>
      <c r="BM183" s="51" t="str">
        <f>IFERROR(VLOOKUP(A183,NF!$M:$O,3,0),"")</f>
        <v>Carnes</v>
      </c>
      <c r="BN183" s="7">
        <f t="shared" si="82"/>
        <v>20</v>
      </c>
      <c r="BO183" s="8">
        <f t="array" ref="BO183">IFERROR(LARGE(IF(NF!$G$2:$G$3137='Mês atual'!A183,NF!$J$2:$J$3137),1),0)*BN183</f>
        <v>183</v>
      </c>
      <c r="BP183" s="50"/>
      <c r="BR183" s="146">
        <f t="array" ref="BR183">IFERROR(LARGE(IF(NF!$G$2:$G$3137='Mês atual'!A183,NF!$J$2:$J$3137),1),0)</f>
        <v>9.15</v>
      </c>
      <c r="BS183" s="142" t="str">
        <f>VLOOKUP(A183,NF!M:O,3,0)</f>
        <v>Carnes</v>
      </c>
      <c r="BV183" s="74">
        <f t="shared" si="72"/>
        <v>7.94</v>
      </c>
      <c r="BW183" s="74">
        <f t="shared" si="73"/>
        <v>0</v>
      </c>
      <c r="BX183" s="74">
        <f t="shared" si="74"/>
        <v>4.18</v>
      </c>
      <c r="BY183" s="74">
        <f t="shared" si="75"/>
        <v>0</v>
      </c>
      <c r="BZ183" s="74">
        <f t="shared" si="76"/>
        <v>7.88</v>
      </c>
    </row>
    <row r="184" spans="1:78" x14ac:dyDescent="0.25">
      <c r="A184" s="108" t="s">
        <v>761</v>
      </c>
      <c r="B184" s="12"/>
      <c r="C184" s="9">
        <v>0</v>
      </c>
      <c r="D184" s="25"/>
      <c r="E184" s="10" t="str">
        <f t="shared" si="41"/>
        <v>MarçoSEMANA 1Suíno - Linguiça Calabresa</v>
      </c>
      <c r="F184" s="7">
        <f>SUMIF(NF!$A:$A,$E184,NF!$I:$I)</f>
        <v>2.5</v>
      </c>
      <c r="G184" s="74"/>
      <c r="H184" s="74"/>
      <c r="I184" s="74"/>
      <c r="J184" s="6"/>
      <c r="K184" s="6"/>
      <c r="L184" s="6"/>
      <c r="M184" s="6"/>
      <c r="N184" s="7">
        <f t="shared" ref="N184:N198" si="109">SUM(G184:M184)</f>
        <v>0</v>
      </c>
      <c r="O184" s="11">
        <f t="shared" si="77"/>
        <v>2.5</v>
      </c>
      <c r="P184" s="25"/>
      <c r="Q184" s="10" t="str">
        <f t="shared" si="43"/>
        <v>MarçoSEMANA 2Suíno - Linguiça Calabresa</v>
      </c>
      <c r="R184" s="7">
        <f>SUMIF(NF!$A:$A,$Q184,NF!$I:$I)</f>
        <v>2.5</v>
      </c>
      <c r="S184" s="6"/>
      <c r="T184" s="6">
        <v>5</v>
      </c>
      <c r="U184" s="6"/>
      <c r="V184" s="6"/>
      <c r="W184" s="6"/>
      <c r="X184" s="6"/>
      <c r="Y184" s="6"/>
      <c r="Z184" s="7">
        <f t="shared" ref="Z184:Z198" si="110">SUM(S184:Y184)</f>
        <v>5</v>
      </c>
      <c r="AA184" s="11">
        <f t="shared" si="78"/>
        <v>0</v>
      </c>
      <c r="AB184" s="25"/>
      <c r="AC184" s="10" t="str">
        <f t="shared" si="45"/>
        <v>MarçoSEMANA 3Suíno - Linguiça Calabresa</v>
      </c>
      <c r="AD184" s="7">
        <f>SUMIF(NF!$A:$A,$AC184,NF!$I:$I)</f>
        <v>0</v>
      </c>
      <c r="AE184" s="6"/>
      <c r="AF184" s="6"/>
      <c r="AG184" s="6"/>
      <c r="AH184" s="6"/>
      <c r="AI184" s="6"/>
      <c r="AJ184" s="6"/>
      <c r="AK184" s="6"/>
      <c r="AL184" s="7">
        <f t="shared" ref="AL184:AL198" si="111">SUM(AE184:AK184)</f>
        <v>0</v>
      </c>
      <c r="AM184" s="11">
        <f t="shared" si="79"/>
        <v>0</v>
      </c>
      <c r="AN184" s="25"/>
      <c r="AO184" s="10" t="str">
        <f t="shared" si="47"/>
        <v>MarçoSEMANA 4Suíno - Linguiça Calabresa</v>
      </c>
      <c r="AP184" s="7">
        <f>SUMIF(NF!$A:$A,$AO184,NF!$I:$I)</f>
        <v>0</v>
      </c>
      <c r="AQ184" s="6"/>
      <c r="AR184" s="6"/>
      <c r="AS184" s="6"/>
      <c r="AT184" s="6"/>
      <c r="AU184" s="6"/>
      <c r="AV184" s="6"/>
      <c r="AW184" s="6"/>
      <c r="AX184" s="7">
        <f t="shared" ref="AX184:AX198" si="112">SUM(AQ184:AW184)</f>
        <v>0</v>
      </c>
      <c r="AY184" s="11">
        <f t="shared" si="80"/>
        <v>0</v>
      </c>
      <c r="AZ184" s="25"/>
      <c r="BA184" s="10" t="str">
        <f t="shared" si="49"/>
        <v>MarçoSEMANA 5Suíno - Linguiça Calabresa</v>
      </c>
      <c r="BB184" s="7">
        <f>SUMIF(NF!$A:$A,$BA184,NF!$I:$I)</f>
        <v>0</v>
      </c>
      <c r="BC184" s="6"/>
      <c r="BD184" s="6"/>
      <c r="BE184" s="6"/>
      <c r="BF184" s="6"/>
      <c r="BG184" s="6"/>
      <c r="BH184" s="6"/>
      <c r="BI184" s="74"/>
      <c r="BJ184" s="74"/>
      <c r="BK184" s="7">
        <f t="shared" ref="BK184:BK198" si="113">SUM(BC184:BJ184)</f>
        <v>0</v>
      </c>
      <c r="BL184" s="8">
        <f t="shared" si="81"/>
        <v>0</v>
      </c>
      <c r="BM184" s="51" t="str">
        <f>IFERROR(VLOOKUP(A184,NF!$M:$O,3,0),"")</f>
        <v>Carnes</v>
      </c>
      <c r="BN184" s="7">
        <f t="shared" si="82"/>
        <v>5</v>
      </c>
      <c r="BO184" s="8">
        <f t="array" ref="BO184">IFERROR(LARGE(IF(NF!$G$2:$G$3137='Mês atual'!A184,NF!$J$2:$J$3137),1),0)*BN184</f>
        <v>49.900000000000006</v>
      </c>
      <c r="BP184" s="50"/>
      <c r="BR184" s="146">
        <f t="array" ref="BR184">IFERROR(LARGE(IF(NF!$G$2:$G$3137='Mês atual'!A184,NF!$J$2:$J$3137),1),0)</f>
        <v>9.98</v>
      </c>
      <c r="BS184" s="142" t="str">
        <f>VLOOKUP(A184,NF!M:O,3,0)</f>
        <v>Carnes</v>
      </c>
      <c r="BV184" s="74">
        <f t="shared" si="72"/>
        <v>0</v>
      </c>
      <c r="BW184" s="74">
        <f t="shared" si="73"/>
        <v>5</v>
      </c>
      <c r="BX184" s="74">
        <f t="shared" si="74"/>
        <v>0</v>
      </c>
      <c r="BY184" s="74">
        <f t="shared" si="75"/>
        <v>0</v>
      </c>
      <c r="BZ184" s="74">
        <f t="shared" si="76"/>
        <v>0</v>
      </c>
    </row>
    <row r="185" spans="1:78" x14ac:dyDescent="0.25">
      <c r="A185" s="108" t="s">
        <v>762</v>
      </c>
      <c r="B185" s="12"/>
      <c r="C185" s="9">
        <v>20</v>
      </c>
      <c r="D185" s="25"/>
      <c r="E185" s="10" t="str">
        <f t="shared" si="41"/>
        <v>MarçoSEMANA 1Suíno - Linguiça de Pernil</v>
      </c>
      <c r="F185" s="7">
        <f>SUMIF(NF!$A:$A,$E185,NF!$I:$I)</f>
        <v>0</v>
      </c>
      <c r="G185" s="74"/>
      <c r="H185" s="74"/>
      <c r="I185" s="74"/>
      <c r="J185" s="6"/>
      <c r="K185" s="6">
        <v>3</v>
      </c>
      <c r="L185" s="6">
        <v>2</v>
      </c>
      <c r="M185" s="6"/>
      <c r="N185" s="7">
        <f t="shared" si="109"/>
        <v>5</v>
      </c>
      <c r="O185" s="11">
        <f t="shared" si="77"/>
        <v>15</v>
      </c>
      <c r="P185" s="25"/>
      <c r="Q185" s="10" t="str">
        <f t="shared" si="43"/>
        <v>MarçoSEMANA 2Suíno - Linguiça de Pernil</v>
      </c>
      <c r="R185" s="7">
        <f>SUMIF(NF!$A:$A,$Q185,NF!$I:$I)</f>
        <v>0</v>
      </c>
      <c r="S185" s="6"/>
      <c r="T185" s="6"/>
      <c r="U185" s="6"/>
      <c r="V185" s="6"/>
      <c r="W185" s="6">
        <v>3</v>
      </c>
      <c r="X185" s="6">
        <v>2</v>
      </c>
      <c r="Y185" s="6"/>
      <c r="Z185" s="7">
        <f t="shared" si="110"/>
        <v>5</v>
      </c>
      <c r="AA185" s="11">
        <f t="shared" si="78"/>
        <v>10</v>
      </c>
      <c r="AB185" s="25"/>
      <c r="AC185" s="10" t="str">
        <f t="shared" si="45"/>
        <v>MarçoSEMANA 3Suíno - Linguiça de Pernil</v>
      </c>
      <c r="AD185" s="7">
        <f>SUMIF(NF!$A:$A,$AC185,NF!$I:$I)</f>
        <v>0</v>
      </c>
      <c r="AE185" s="6"/>
      <c r="AF185" s="6"/>
      <c r="AG185" s="6"/>
      <c r="AH185" s="6"/>
      <c r="AI185" s="6">
        <v>3</v>
      </c>
      <c r="AJ185" s="6">
        <v>2</v>
      </c>
      <c r="AK185" s="6"/>
      <c r="AL185" s="7">
        <f t="shared" si="111"/>
        <v>5</v>
      </c>
      <c r="AM185" s="11">
        <f t="shared" si="79"/>
        <v>5</v>
      </c>
      <c r="AN185" s="25"/>
      <c r="AO185" s="10" t="str">
        <f t="shared" si="47"/>
        <v>MarçoSEMANA 4Suíno - Linguiça de Pernil</v>
      </c>
      <c r="AP185" s="7">
        <f>SUMIF(NF!$A:$A,$AO185,NF!$I:$I)</f>
        <v>5</v>
      </c>
      <c r="AQ185" s="6"/>
      <c r="AR185" s="6"/>
      <c r="AS185" s="6"/>
      <c r="AT185" s="6">
        <v>2</v>
      </c>
      <c r="AU185" s="6">
        <v>2.94</v>
      </c>
      <c r="AV185" s="6">
        <v>1.96</v>
      </c>
      <c r="AW185" s="6"/>
      <c r="AX185" s="7">
        <f t="shared" si="112"/>
        <v>6.8999999999999995</v>
      </c>
      <c r="AY185" s="11">
        <f t="shared" si="80"/>
        <v>3.1000000000000005</v>
      </c>
      <c r="AZ185" s="25"/>
      <c r="BA185" s="10" t="str">
        <f t="shared" si="49"/>
        <v>MarçoSEMANA 5Suíno - Linguiça de Pernil</v>
      </c>
      <c r="BB185" s="7">
        <f>SUMIF(NF!$A:$A,$BA185,NF!$I:$I)</f>
        <v>0</v>
      </c>
      <c r="BC185" s="6"/>
      <c r="BD185" s="6"/>
      <c r="BE185" s="6"/>
      <c r="BF185" s="6"/>
      <c r="BG185" s="6"/>
      <c r="BH185" s="6">
        <v>1.1000000000000001</v>
      </c>
      <c r="BI185" s="74"/>
      <c r="BJ185" s="74"/>
      <c r="BK185" s="7">
        <f t="shared" si="113"/>
        <v>1.1000000000000001</v>
      </c>
      <c r="BL185" s="8">
        <f t="shared" si="81"/>
        <v>2.0000000000000004</v>
      </c>
      <c r="BM185" s="51" t="str">
        <f>IFERROR(VLOOKUP(A185,NF!$M:$O,3,0),"")</f>
        <v>Carnes</v>
      </c>
      <c r="BN185" s="7">
        <f t="shared" si="82"/>
        <v>23</v>
      </c>
      <c r="BO185" s="8">
        <f t="array" ref="BO185">IFERROR(LARGE(IF(NF!$G$2:$G$3137='Mês atual'!A185,NF!$J$2:$J$3137),1),0)*BN185</f>
        <v>229.54000000000002</v>
      </c>
      <c r="BP185" s="50"/>
      <c r="BR185" s="146">
        <f t="array" ref="BR185">IFERROR(LARGE(IF(NF!$G$2:$G$3137='Mês atual'!A185,NF!$J$2:$J$3137),1),0)</f>
        <v>9.98</v>
      </c>
      <c r="BS185" s="142" t="str">
        <f>VLOOKUP(A185,NF!M:O,3,0)</f>
        <v>Carnes</v>
      </c>
      <c r="BV185" s="74">
        <f t="shared" si="72"/>
        <v>5</v>
      </c>
      <c r="BW185" s="74">
        <f t="shared" si="73"/>
        <v>5</v>
      </c>
      <c r="BX185" s="74">
        <f t="shared" si="74"/>
        <v>5</v>
      </c>
      <c r="BY185" s="74">
        <f t="shared" si="75"/>
        <v>6.8999999999999995</v>
      </c>
      <c r="BZ185" s="74">
        <f t="shared" si="76"/>
        <v>1.1000000000000001</v>
      </c>
    </row>
    <row r="186" spans="1:78" x14ac:dyDescent="0.25">
      <c r="A186" s="108" t="s">
        <v>763</v>
      </c>
      <c r="B186" s="12"/>
      <c r="C186" s="9">
        <v>2.5</v>
      </c>
      <c r="D186" s="25"/>
      <c r="E186" s="10" t="str">
        <f t="shared" si="41"/>
        <v>MarçoSEMANA 1Suíno - Linguiça Fina Defumada</v>
      </c>
      <c r="F186" s="7">
        <f>SUMIF(NF!$A:$A,$E186,NF!$I:$I)</f>
        <v>7.5</v>
      </c>
      <c r="G186" s="74"/>
      <c r="H186" s="74"/>
      <c r="I186" s="74"/>
      <c r="J186" s="6">
        <v>2.5</v>
      </c>
      <c r="K186" s="6">
        <f>5-1.5</f>
        <v>3.5</v>
      </c>
      <c r="L186" s="6"/>
      <c r="M186" s="6"/>
      <c r="N186" s="7">
        <f t="shared" si="109"/>
        <v>6</v>
      </c>
      <c r="O186" s="11">
        <f t="shared" si="77"/>
        <v>4</v>
      </c>
      <c r="P186" s="25"/>
      <c r="Q186" s="10" t="str">
        <f t="shared" si="43"/>
        <v>MarçoSEMANA 2Suíno - Linguiça Fina Defumada</v>
      </c>
      <c r="R186" s="7">
        <f>SUMIF(NF!$A:$A,$Q186,NF!$I:$I)</f>
        <v>0</v>
      </c>
      <c r="S186" s="6"/>
      <c r="T186" s="6"/>
      <c r="U186" s="6"/>
      <c r="V186" s="6">
        <v>1.5</v>
      </c>
      <c r="W186" s="6"/>
      <c r="X186" s="6"/>
      <c r="Y186" s="6"/>
      <c r="Z186" s="7">
        <f t="shared" si="110"/>
        <v>1.5</v>
      </c>
      <c r="AA186" s="11">
        <f t="shared" si="78"/>
        <v>2.5</v>
      </c>
      <c r="AB186" s="25"/>
      <c r="AC186" s="10" t="str">
        <f t="shared" si="45"/>
        <v>MarçoSEMANA 3Suíno - Linguiça Fina Defumada</v>
      </c>
      <c r="AD186" s="7">
        <f>SUMIF(NF!$A:$A,$AC186,NF!$I:$I)</f>
        <v>0</v>
      </c>
      <c r="AE186" s="6"/>
      <c r="AF186" s="6"/>
      <c r="AG186" s="6"/>
      <c r="AH186" s="6"/>
      <c r="AI186" s="6"/>
      <c r="AJ186" s="6"/>
      <c r="AK186" s="6"/>
      <c r="AL186" s="7">
        <f t="shared" si="111"/>
        <v>0</v>
      </c>
      <c r="AM186" s="11">
        <f t="shared" si="79"/>
        <v>2.5</v>
      </c>
      <c r="AN186" s="25"/>
      <c r="AO186" s="10" t="str">
        <f t="shared" si="47"/>
        <v>MarçoSEMANA 4Suíno - Linguiça Fina Defumada</v>
      </c>
      <c r="AP186" s="7">
        <f>SUMIF(NF!$A:$A,$AO186,NF!$I:$I)</f>
        <v>2.5</v>
      </c>
      <c r="AQ186" s="6"/>
      <c r="AR186" s="6"/>
      <c r="AS186" s="6"/>
      <c r="AT186" s="6"/>
      <c r="AU186" s="6"/>
      <c r="AV186" s="6">
        <v>2.5</v>
      </c>
      <c r="AW186" s="6"/>
      <c r="AX186" s="7">
        <f t="shared" si="112"/>
        <v>2.5</v>
      </c>
      <c r="AY186" s="11">
        <f t="shared" si="80"/>
        <v>2.5</v>
      </c>
      <c r="AZ186" s="25"/>
      <c r="BA186" s="10" t="str">
        <f t="shared" si="49"/>
        <v>MarçoSEMANA 5Suíno - Linguiça Fina Defumada</v>
      </c>
      <c r="BB186" s="7">
        <f>SUMIF(NF!$A:$A,$BA186,NF!$I:$I)</f>
        <v>0</v>
      </c>
      <c r="BC186" s="6"/>
      <c r="BD186" s="6"/>
      <c r="BE186" s="6"/>
      <c r="BF186" s="6"/>
      <c r="BG186" s="6"/>
      <c r="BH186" s="6"/>
      <c r="BI186" s="74"/>
      <c r="BJ186" s="74"/>
      <c r="BK186" s="7">
        <f t="shared" si="113"/>
        <v>0</v>
      </c>
      <c r="BL186" s="8">
        <f t="shared" si="81"/>
        <v>2.5</v>
      </c>
      <c r="BM186" s="51" t="str">
        <f>IFERROR(VLOOKUP(A186,NF!$M:$O,3,0),"")</f>
        <v>Carnes</v>
      </c>
      <c r="BN186" s="7">
        <f t="shared" si="82"/>
        <v>10</v>
      </c>
      <c r="BO186" s="8">
        <f t="array" ref="BO186">IFERROR(LARGE(IF(NF!$G$2:$G$3137='Mês atual'!A186,NF!$J$2:$J$3137),1),0)*BN186</f>
        <v>103</v>
      </c>
      <c r="BP186" s="50"/>
      <c r="BR186" s="146">
        <f t="array" ref="BR186">IFERROR(LARGE(IF(NF!$G$2:$G$3137='Mês atual'!A186,NF!$J$2:$J$3137),1),0)</f>
        <v>10.3</v>
      </c>
      <c r="BS186" s="142" t="str">
        <f>VLOOKUP(A186,NF!M:O,3,0)</f>
        <v>Carnes</v>
      </c>
      <c r="BV186" s="74">
        <f t="shared" si="72"/>
        <v>6</v>
      </c>
      <c r="BW186" s="74">
        <f t="shared" si="73"/>
        <v>1.5</v>
      </c>
      <c r="BX186" s="74">
        <f t="shared" si="74"/>
        <v>0</v>
      </c>
      <c r="BY186" s="74">
        <f t="shared" si="75"/>
        <v>2.5</v>
      </c>
      <c r="BZ186" s="74">
        <f t="shared" si="76"/>
        <v>0</v>
      </c>
    </row>
    <row r="187" spans="1:78" x14ac:dyDescent="0.25">
      <c r="A187" s="108" t="s">
        <v>764</v>
      </c>
      <c r="B187" s="12"/>
      <c r="C187" s="9">
        <v>0</v>
      </c>
      <c r="D187" s="25"/>
      <c r="E187" s="10" t="str">
        <f t="shared" si="41"/>
        <v>MarçoSEMANA 1Suíno - Linguiça Paio</v>
      </c>
      <c r="F187" s="7">
        <f>SUMIF(NF!$A:$A,$E187,NF!$I:$I)</f>
        <v>5</v>
      </c>
      <c r="G187" s="74"/>
      <c r="H187" s="74"/>
      <c r="I187" s="74"/>
      <c r="J187" s="6"/>
      <c r="K187" s="6">
        <v>3</v>
      </c>
      <c r="L187" s="6">
        <v>2</v>
      </c>
      <c r="M187" s="6"/>
      <c r="N187" s="7">
        <f t="shared" si="109"/>
        <v>5</v>
      </c>
      <c r="O187" s="11">
        <f t="shared" si="77"/>
        <v>0</v>
      </c>
      <c r="P187" s="25"/>
      <c r="Q187" s="10" t="str">
        <f t="shared" si="43"/>
        <v>MarçoSEMANA 2Suíno - Linguiça Paio</v>
      </c>
      <c r="R187" s="7">
        <f>SUMIF(NF!$A:$A,$Q187,NF!$I:$I)</f>
        <v>5</v>
      </c>
      <c r="S187" s="6"/>
      <c r="T187" s="6"/>
      <c r="U187" s="6"/>
      <c r="V187" s="6"/>
      <c r="W187" s="6">
        <v>1.5</v>
      </c>
      <c r="X187" s="6">
        <v>1</v>
      </c>
      <c r="Y187" s="6"/>
      <c r="Z187" s="7">
        <f t="shared" si="110"/>
        <v>2.5</v>
      </c>
      <c r="AA187" s="11">
        <f t="shared" si="78"/>
        <v>2.5</v>
      </c>
      <c r="AB187" s="25"/>
      <c r="AC187" s="10" t="str">
        <f t="shared" si="45"/>
        <v>MarçoSEMANA 3Suíno - Linguiça Paio</v>
      </c>
      <c r="AD187" s="7">
        <f>SUMIF(NF!$A:$A,$AC187,NF!$I:$I)</f>
        <v>2.5</v>
      </c>
      <c r="AE187" s="6"/>
      <c r="AF187" s="6"/>
      <c r="AG187" s="6"/>
      <c r="AH187" s="6"/>
      <c r="AI187" s="6">
        <v>3</v>
      </c>
      <c r="AJ187" s="6">
        <v>2</v>
      </c>
      <c r="AK187" s="6"/>
      <c r="AL187" s="7">
        <f t="shared" si="111"/>
        <v>5</v>
      </c>
      <c r="AM187" s="11">
        <f t="shared" si="79"/>
        <v>0</v>
      </c>
      <c r="AN187" s="25"/>
      <c r="AO187" s="10" t="str">
        <f t="shared" si="47"/>
        <v>MarçoSEMANA 4Suíno - Linguiça Paio</v>
      </c>
      <c r="AP187" s="7">
        <f>SUMIF(NF!$A:$A,$AO187,NF!$I:$I)</f>
        <v>10</v>
      </c>
      <c r="AQ187" s="6"/>
      <c r="AR187" s="6"/>
      <c r="AS187" s="6"/>
      <c r="AT187" s="6">
        <f>2+1</f>
        <v>3</v>
      </c>
      <c r="AU187" s="6">
        <f>1.8+0.5</f>
        <v>2.2999999999999998</v>
      </c>
      <c r="AV187" s="6">
        <f>1.2+0.5</f>
        <v>1.7</v>
      </c>
      <c r="AW187" s="6"/>
      <c r="AX187" s="7">
        <f t="shared" si="112"/>
        <v>7</v>
      </c>
      <c r="AY187" s="11">
        <f t="shared" si="80"/>
        <v>3</v>
      </c>
      <c r="AZ187" s="25"/>
      <c r="BA187" s="10" t="str">
        <f t="shared" si="49"/>
        <v>MarçoSEMANA 5Suíno - Linguiça Paio</v>
      </c>
      <c r="BB187" s="7">
        <f>SUMIF(NF!$A:$A,$BA187,NF!$I:$I)</f>
        <v>0</v>
      </c>
      <c r="BC187" s="6"/>
      <c r="BD187" s="6"/>
      <c r="BE187" s="6"/>
      <c r="BF187" s="6"/>
      <c r="BG187" s="6"/>
      <c r="BH187" s="6"/>
      <c r="BI187" s="74"/>
      <c r="BJ187" s="74"/>
      <c r="BK187" s="7">
        <f t="shared" si="113"/>
        <v>0</v>
      </c>
      <c r="BL187" s="8">
        <f t="shared" si="81"/>
        <v>3</v>
      </c>
      <c r="BM187" s="51" t="str">
        <f>IFERROR(VLOOKUP(A187,NF!$M:$O,3,0),"")</f>
        <v>Carnes</v>
      </c>
      <c r="BN187" s="7">
        <f t="shared" si="82"/>
        <v>19.5</v>
      </c>
      <c r="BO187" s="8">
        <f t="array" ref="BO187">IFERROR(LARGE(IF(NF!$G$2:$G$3137='Mês atual'!A187,NF!$J$2:$J$3137),1),0)*BN187</f>
        <v>369.56400000000002</v>
      </c>
      <c r="BP187" s="50"/>
      <c r="BR187" s="146">
        <f t="array" ref="BR187">IFERROR(LARGE(IF(NF!$G$2:$G$3137='Mês atual'!A187,NF!$J$2:$J$3137),1),0)</f>
        <v>18.952000000000002</v>
      </c>
      <c r="BS187" s="142" t="str">
        <f>VLOOKUP(A187,NF!M:O,3,0)</f>
        <v>Carnes</v>
      </c>
      <c r="BV187" s="74">
        <f t="shared" si="72"/>
        <v>5</v>
      </c>
      <c r="BW187" s="74">
        <f t="shared" si="73"/>
        <v>2.5</v>
      </c>
      <c r="BX187" s="74">
        <f t="shared" si="74"/>
        <v>5</v>
      </c>
      <c r="BY187" s="74">
        <f t="shared" si="75"/>
        <v>7</v>
      </c>
      <c r="BZ187" s="74">
        <f t="shared" si="76"/>
        <v>0</v>
      </c>
    </row>
    <row r="188" spans="1:78" x14ac:dyDescent="0.25">
      <c r="A188" s="108" t="s">
        <v>765</v>
      </c>
      <c r="B188" s="12"/>
      <c r="C188" s="9">
        <v>0</v>
      </c>
      <c r="D188" s="25"/>
      <c r="E188" s="10" t="str">
        <f t="shared" si="41"/>
        <v>MarçoSEMANA 1Suíno - Linguiça Toscana</v>
      </c>
      <c r="F188" s="7">
        <f>SUMIF(NF!$A:$A,$E188,NF!$I:$I)</f>
        <v>0</v>
      </c>
      <c r="G188" s="74"/>
      <c r="H188" s="74"/>
      <c r="I188" s="74"/>
      <c r="J188" s="6"/>
      <c r="K188" s="6"/>
      <c r="L188" s="6"/>
      <c r="M188" s="6"/>
      <c r="N188" s="7">
        <f t="shared" si="109"/>
        <v>0</v>
      </c>
      <c r="O188" s="11">
        <f t="shared" si="77"/>
        <v>0</v>
      </c>
      <c r="P188" s="25"/>
      <c r="Q188" s="10" t="str">
        <f t="shared" si="43"/>
        <v>MarçoSEMANA 2Suíno - Linguiça Toscana</v>
      </c>
      <c r="R188" s="7">
        <f>SUMIF(NF!$A:$A,$Q188,NF!$I:$I)</f>
        <v>0</v>
      </c>
      <c r="S188" s="6"/>
      <c r="T188" s="6"/>
      <c r="U188" s="6"/>
      <c r="V188" s="6"/>
      <c r="W188" s="6"/>
      <c r="X188" s="6"/>
      <c r="Y188" s="6"/>
      <c r="Z188" s="7">
        <f t="shared" si="110"/>
        <v>0</v>
      </c>
      <c r="AA188" s="11">
        <f t="shared" si="78"/>
        <v>0</v>
      </c>
      <c r="AB188" s="25"/>
      <c r="AC188" s="10" t="str">
        <f t="shared" si="45"/>
        <v>MarçoSEMANA 3Suíno - Linguiça Toscana</v>
      </c>
      <c r="AD188" s="7">
        <f>SUMIF(NF!$A:$A,$AC188,NF!$I:$I)</f>
        <v>0</v>
      </c>
      <c r="AE188" s="6"/>
      <c r="AF188" s="6"/>
      <c r="AG188" s="6"/>
      <c r="AH188" s="6"/>
      <c r="AI188" s="6"/>
      <c r="AJ188" s="6"/>
      <c r="AK188" s="6"/>
      <c r="AL188" s="7">
        <f t="shared" si="111"/>
        <v>0</v>
      </c>
      <c r="AM188" s="11">
        <f t="shared" si="79"/>
        <v>0</v>
      </c>
      <c r="AN188" s="25"/>
      <c r="AO188" s="10" t="str">
        <f t="shared" si="47"/>
        <v>MarçoSEMANA 4Suíno - Linguiça Toscana</v>
      </c>
      <c r="AP188" s="7">
        <f>SUMIF(NF!$A:$A,$AO188,NF!$I:$I)</f>
        <v>0</v>
      </c>
      <c r="AQ188" s="6"/>
      <c r="AR188" s="6"/>
      <c r="AS188" s="6"/>
      <c r="AT188" s="6"/>
      <c r="AU188" s="6"/>
      <c r="AV188" s="6"/>
      <c r="AW188" s="6"/>
      <c r="AX188" s="7">
        <f t="shared" si="112"/>
        <v>0</v>
      </c>
      <c r="AY188" s="11">
        <f t="shared" si="80"/>
        <v>0</v>
      </c>
      <c r="AZ188" s="25"/>
      <c r="BA188" s="10" t="str">
        <f t="shared" si="49"/>
        <v>MarçoSEMANA 5Suíno - Linguiça Toscana</v>
      </c>
      <c r="BB188" s="7">
        <f>SUMIF(NF!$A:$A,$BA188,NF!$I:$I)</f>
        <v>0</v>
      </c>
      <c r="BC188" s="6"/>
      <c r="BD188" s="6"/>
      <c r="BE188" s="6"/>
      <c r="BF188" s="6"/>
      <c r="BG188" s="6"/>
      <c r="BH188" s="6"/>
      <c r="BI188" s="74"/>
      <c r="BJ188" s="74"/>
      <c r="BK188" s="7">
        <f t="shared" si="113"/>
        <v>0</v>
      </c>
      <c r="BL188" s="8">
        <f t="shared" si="81"/>
        <v>0</v>
      </c>
      <c r="BM188" s="51" t="str">
        <f>IFERROR(VLOOKUP(A188,NF!$M:$O,3,0),"")</f>
        <v>Carnes</v>
      </c>
      <c r="BN188" s="7">
        <f t="shared" si="82"/>
        <v>0</v>
      </c>
      <c r="BO188" s="8">
        <f t="array" ref="BO188">IFERROR(LARGE(IF(NF!$G$2:$G$3137='Mês atual'!A188,NF!$J$2:$J$3137),1),0)*BN188</f>
        <v>0</v>
      </c>
      <c r="BP188" s="50"/>
      <c r="BR188" s="146">
        <f t="array" ref="BR188">IFERROR(LARGE(IF(NF!$G$2:$G$3137='Mês atual'!A188,NF!$J$2:$J$3137),1),0)</f>
        <v>0</v>
      </c>
      <c r="BS188" s="142" t="str">
        <f>VLOOKUP(A188,NF!M:O,3,0)</f>
        <v>Carnes</v>
      </c>
      <c r="BV188" s="74">
        <f t="shared" si="72"/>
        <v>0</v>
      </c>
      <c r="BW188" s="74">
        <f t="shared" si="73"/>
        <v>0</v>
      </c>
      <c r="BX188" s="74">
        <f t="shared" si="74"/>
        <v>0</v>
      </c>
      <c r="BY188" s="74">
        <f t="shared" si="75"/>
        <v>0</v>
      </c>
      <c r="BZ188" s="74">
        <f t="shared" si="76"/>
        <v>0</v>
      </c>
    </row>
    <row r="189" spans="1:78" x14ac:dyDescent="0.25">
      <c r="A189" s="108" t="s">
        <v>766</v>
      </c>
      <c r="B189" s="12"/>
      <c r="C189" s="9">
        <v>0</v>
      </c>
      <c r="D189" s="25"/>
      <c r="E189" s="10" t="str">
        <f t="shared" si="41"/>
        <v>MarçoSEMANA 1Suíno - Lombinho Fresco</v>
      </c>
      <c r="F189" s="7">
        <f>SUMIF(NF!$A:$A,$E189,NF!$I:$I)</f>
        <v>0</v>
      </c>
      <c r="G189" s="74"/>
      <c r="H189" s="74"/>
      <c r="I189" s="74"/>
      <c r="J189" s="6"/>
      <c r="K189" s="6"/>
      <c r="L189" s="6"/>
      <c r="M189" s="6"/>
      <c r="N189" s="7">
        <f t="shared" si="109"/>
        <v>0</v>
      </c>
      <c r="O189" s="11">
        <f t="shared" si="77"/>
        <v>0</v>
      </c>
      <c r="P189" s="25"/>
      <c r="Q189" s="10" t="str">
        <f t="shared" si="43"/>
        <v>MarçoSEMANA 2Suíno - Lombinho Fresco</v>
      </c>
      <c r="R189" s="7">
        <f>SUMIF(NF!$A:$A,$Q189,NF!$I:$I)</f>
        <v>0</v>
      </c>
      <c r="S189" s="6"/>
      <c r="T189" s="6"/>
      <c r="U189" s="6"/>
      <c r="V189" s="6"/>
      <c r="W189" s="6"/>
      <c r="X189" s="6"/>
      <c r="Y189" s="6"/>
      <c r="Z189" s="7">
        <f t="shared" si="110"/>
        <v>0</v>
      </c>
      <c r="AA189" s="11">
        <f t="shared" si="78"/>
        <v>0</v>
      </c>
      <c r="AB189" s="25"/>
      <c r="AC189" s="10" t="str">
        <f t="shared" si="45"/>
        <v>MarçoSEMANA 3Suíno - Lombinho Fresco</v>
      </c>
      <c r="AD189" s="7">
        <f>SUMIF(NF!$A:$A,$AC189,NF!$I:$I)</f>
        <v>0</v>
      </c>
      <c r="AE189" s="6"/>
      <c r="AF189" s="6"/>
      <c r="AG189" s="6"/>
      <c r="AH189" s="6"/>
      <c r="AI189" s="6"/>
      <c r="AJ189" s="6"/>
      <c r="AK189" s="6"/>
      <c r="AL189" s="7">
        <f t="shared" si="111"/>
        <v>0</v>
      </c>
      <c r="AM189" s="11">
        <f t="shared" si="79"/>
        <v>0</v>
      </c>
      <c r="AN189" s="25"/>
      <c r="AO189" s="10" t="str">
        <f t="shared" si="47"/>
        <v>MarçoSEMANA 4Suíno - Lombinho Fresco</v>
      </c>
      <c r="AP189" s="7">
        <f>SUMIF(NF!$A:$A,$AO189,NF!$I:$I)</f>
        <v>21.51</v>
      </c>
      <c r="AQ189" s="6"/>
      <c r="AR189" s="6"/>
      <c r="AS189" s="6"/>
      <c r="AT189" s="6"/>
      <c r="AU189" s="6"/>
      <c r="AV189" s="6"/>
      <c r="AW189" s="6">
        <f>7.4+1.51</f>
        <v>8.91</v>
      </c>
      <c r="AX189" s="7">
        <f t="shared" si="112"/>
        <v>8.91</v>
      </c>
      <c r="AY189" s="11">
        <f t="shared" si="80"/>
        <v>12.600000000000001</v>
      </c>
      <c r="AZ189" s="25"/>
      <c r="BA189" s="10" t="str">
        <f t="shared" si="49"/>
        <v>MarçoSEMANA 5Suíno - Lombinho Fresco</v>
      </c>
      <c r="BB189" s="7">
        <f>SUMIF(NF!$A:$A,$BA189,NF!$I:$I)</f>
        <v>0</v>
      </c>
      <c r="BC189" s="6"/>
      <c r="BD189" s="6"/>
      <c r="BE189" s="6">
        <v>12.6</v>
      </c>
      <c r="BF189" s="6"/>
      <c r="BG189" s="6"/>
      <c r="BH189" s="6"/>
      <c r="BI189" s="74"/>
      <c r="BJ189" s="74"/>
      <c r="BK189" s="7">
        <f t="shared" si="113"/>
        <v>12.6</v>
      </c>
      <c r="BL189" s="8">
        <f t="shared" si="81"/>
        <v>0</v>
      </c>
      <c r="BM189" s="51" t="str">
        <f>IFERROR(VLOOKUP(A189,NF!$M:$O,3,0),"")</f>
        <v>Carnes</v>
      </c>
      <c r="BN189" s="7">
        <f t="shared" si="82"/>
        <v>21.509999999999998</v>
      </c>
      <c r="BO189" s="8">
        <f t="array" ref="BO189">IFERROR(LARGE(IF(NF!$G$2:$G$3137='Mês atual'!A189,NF!$J$2:$J$3137),1),0)*BN189</f>
        <v>221.12279999999996</v>
      </c>
      <c r="BP189" s="50"/>
      <c r="BR189" s="146">
        <f t="array" ref="BR189">IFERROR(LARGE(IF(NF!$G$2:$G$3137='Mês atual'!A189,NF!$J$2:$J$3137),1),0)</f>
        <v>10.28</v>
      </c>
      <c r="BS189" s="142" t="str">
        <f>VLOOKUP(A189,NF!M:O,3,0)</f>
        <v>Carnes</v>
      </c>
      <c r="BV189" s="74">
        <f t="shared" si="72"/>
        <v>0</v>
      </c>
      <c r="BW189" s="74">
        <f t="shared" si="73"/>
        <v>0</v>
      </c>
      <c r="BX189" s="74">
        <f t="shared" si="74"/>
        <v>0</v>
      </c>
      <c r="BY189" s="74">
        <f t="shared" si="75"/>
        <v>8.91</v>
      </c>
      <c r="BZ189" s="74">
        <f t="shared" si="76"/>
        <v>12.6</v>
      </c>
    </row>
    <row r="190" spans="1:78" x14ac:dyDescent="0.25">
      <c r="A190" s="108" t="s">
        <v>767</v>
      </c>
      <c r="B190" s="12"/>
      <c r="C190" s="9">
        <v>21.14</v>
      </c>
      <c r="D190" s="25"/>
      <c r="E190" s="10" t="str">
        <f t="shared" si="41"/>
        <v>MarçoSEMANA 1Suíno - Lombo Salgado</v>
      </c>
      <c r="F190" s="7">
        <f>SUMIF(NF!$A:$A,$E190,NF!$I:$I)</f>
        <v>0</v>
      </c>
      <c r="G190" s="74"/>
      <c r="H190" s="74"/>
      <c r="I190" s="74"/>
      <c r="J190" s="6"/>
      <c r="K190" s="6">
        <v>7.2480000000000002</v>
      </c>
      <c r="L190" s="6">
        <v>4.8319999999999999</v>
      </c>
      <c r="M190" s="6"/>
      <c r="N190" s="7">
        <f t="shared" si="109"/>
        <v>12.08</v>
      </c>
      <c r="O190" s="11">
        <f t="shared" si="77"/>
        <v>9.06</v>
      </c>
      <c r="P190" s="25"/>
      <c r="Q190" s="10" t="str">
        <f t="shared" si="43"/>
        <v>MarçoSEMANA 2Suíno - Lombo Salgado</v>
      </c>
      <c r="R190" s="7">
        <f>SUMIF(NF!$A:$A,$Q190,NF!$I:$I)</f>
        <v>10</v>
      </c>
      <c r="S190" s="6"/>
      <c r="T190" s="6"/>
      <c r="U190" s="6"/>
      <c r="V190" s="6"/>
      <c r="W190" s="6">
        <v>5.58</v>
      </c>
      <c r="X190" s="6">
        <v>3.72</v>
      </c>
      <c r="Y190" s="6"/>
      <c r="Z190" s="7">
        <f t="shared" si="110"/>
        <v>9.3000000000000007</v>
      </c>
      <c r="AA190" s="11">
        <f t="shared" si="78"/>
        <v>9.7600000000000016</v>
      </c>
      <c r="AB190" s="25"/>
      <c r="AC190" s="10" t="str">
        <f t="shared" si="45"/>
        <v>MarçoSEMANA 3Suíno - Lombo Salgado</v>
      </c>
      <c r="AD190" s="7">
        <f>SUMIF(NF!$A:$A,$AC190,NF!$I:$I)</f>
        <v>10</v>
      </c>
      <c r="AE190" s="6"/>
      <c r="AF190" s="6"/>
      <c r="AG190" s="6"/>
      <c r="AH190" s="6"/>
      <c r="AI190" s="6">
        <f>4.26+1.152</f>
        <v>5.4119999999999999</v>
      </c>
      <c r="AJ190" s="6">
        <f>2.84+1.152</f>
        <v>3.992</v>
      </c>
      <c r="AK190" s="6"/>
      <c r="AL190" s="7">
        <f t="shared" si="111"/>
        <v>9.4039999999999999</v>
      </c>
      <c r="AM190" s="11">
        <f t="shared" si="79"/>
        <v>10.356000000000002</v>
      </c>
      <c r="AN190" s="25"/>
      <c r="AO190" s="10" t="str">
        <f t="shared" si="47"/>
        <v>MarçoSEMANA 4Suíno - Lombo Salgado</v>
      </c>
      <c r="AP190" s="7">
        <f>SUMIF(NF!$A:$A,$AO190,NF!$I:$I)</f>
        <v>9.1</v>
      </c>
      <c r="AQ190" s="6"/>
      <c r="AR190" s="6"/>
      <c r="AS190" s="6"/>
      <c r="AT190" s="6">
        <f>2.6+1.152</f>
        <v>3.7519999999999998</v>
      </c>
      <c r="AU190" s="6">
        <f>5.64+1.152</f>
        <v>6.7919999999999998</v>
      </c>
      <c r="AV190" s="6">
        <f>3.76+1.152</f>
        <v>4.9119999999999999</v>
      </c>
      <c r="AW190" s="6"/>
      <c r="AX190" s="7">
        <f t="shared" si="112"/>
        <v>15.456</v>
      </c>
      <c r="AY190" s="11">
        <f t="shared" si="80"/>
        <v>4.0000000000000036</v>
      </c>
      <c r="AZ190" s="25"/>
      <c r="BA190" s="10" t="str">
        <f t="shared" si="49"/>
        <v>MarçoSEMANA 5Suíno - Lombo Salgado</v>
      </c>
      <c r="BB190" s="7">
        <f>SUMIF(NF!$A:$A,$BA190,NF!$I:$I)</f>
        <v>0</v>
      </c>
      <c r="BC190" s="6"/>
      <c r="BD190" s="6"/>
      <c r="BE190" s="6"/>
      <c r="BF190" s="6"/>
      <c r="BG190" s="6"/>
      <c r="BH190" s="6">
        <v>4</v>
      </c>
      <c r="BI190" s="74"/>
      <c r="BJ190" s="74"/>
      <c r="BK190" s="7">
        <f t="shared" si="113"/>
        <v>4</v>
      </c>
      <c r="BL190" s="8">
        <f t="shared" si="81"/>
        <v>0</v>
      </c>
      <c r="BM190" s="51" t="str">
        <f>IFERROR(VLOOKUP(A190,NF!$M:$O,3,0),"")</f>
        <v>Carnes</v>
      </c>
      <c r="BN190" s="7">
        <f t="shared" si="82"/>
        <v>50.24</v>
      </c>
      <c r="BO190" s="8">
        <f t="array" ref="BO190">IFERROR(LARGE(IF(NF!$G$2:$G$3137='Mês atual'!A190,NF!$J$2:$J$3137),1),0)*BN190</f>
        <v>548.62080000000003</v>
      </c>
      <c r="BP190" s="50"/>
      <c r="BR190" s="146">
        <f t="array" ref="BR190">IFERROR(LARGE(IF(NF!$G$2:$G$3137='Mês atual'!A190,NF!$J$2:$J$3137),1),0)</f>
        <v>10.92</v>
      </c>
      <c r="BS190" s="142" t="str">
        <f>VLOOKUP(A190,NF!M:O,3,0)</f>
        <v>Carnes</v>
      </c>
      <c r="BV190" s="74">
        <f t="shared" si="72"/>
        <v>12.08</v>
      </c>
      <c r="BW190" s="74">
        <f t="shared" si="73"/>
        <v>9.3000000000000007</v>
      </c>
      <c r="BX190" s="74">
        <f t="shared" si="74"/>
        <v>9.4039999999999999</v>
      </c>
      <c r="BY190" s="74">
        <f t="shared" si="75"/>
        <v>15.456</v>
      </c>
      <c r="BZ190" s="74">
        <f t="shared" si="76"/>
        <v>4</v>
      </c>
    </row>
    <row r="191" spans="1:78" x14ac:dyDescent="0.25">
      <c r="A191" s="108" t="s">
        <v>768</v>
      </c>
      <c r="B191" s="12"/>
      <c r="C191" s="9">
        <v>20.92</v>
      </c>
      <c r="D191" s="25"/>
      <c r="E191" s="10" t="str">
        <f t="shared" si="41"/>
        <v>MarçoSEMANA 1Suíno - Pernil s/ Osso</v>
      </c>
      <c r="F191" s="7">
        <f>SUMIF(NF!$A:$A,$E191,NF!$I:$I)</f>
        <v>0</v>
      </c>
      <c r="G191" s="74"/>
      <c r="H191" s="74"/>
      <c r="I191" s="74"/>
      <c r="J191" s="6">
        <f>20.92-4.342</f>
        <v>16.578000000000003</v>
      </c>
      <c r="K191" s="6"/>
      <c r="L191" s="6"/>
      <c r="M191" s="6"/>
      <c r="N191" s="7">
        <f t="shared" si="109"/>
        <v>16.578000000000003</v>
      </c>
      <c r="O191" s="11">
        <f t="shared" si="77"/>
        <v>4.3419999999999987</v>
      </c>
      <c r="P191" s="25"/>
      <c r="Q191" s="10" t="str">
        <f t="shared" si="43"/>
        <v>MarçoSEMANA 2Suíno - Pernil s/ Osso</v>
      </c>
      <c r="R191" s="7">
        <f>SUMIF(NF!$A:$A,$Q191,NF!$I:$I)</f>
        <v>0</v>
      </c>
      <c r="S191" s="6"/>
      <c r="T191" s="6"/>
      <c r="U191" s="6"/>
      <c r="V191" s="6"/>
      <c r="W191" s="6"/>
      <c r="X191" s="6" t="s">
        <v>1157</v>
      </c>
      <c r="Y191" s="6"/>
      <c r="Z191" s="7">
        <f t="shared" si="110"/>
        <v>0</v>
      </c>
      <c r="AA191" s="11">
        <f t="shared" si="78"/>
        <v>4.3419999999999987</v>
      </c>
      <c r="AB191" s="25"/>
      <c r="AC191" s="10" t="str">
        <f t="shared" si="45"/>
        <v>MarçoSEMANA 3Suíno - Pernil s/ Osso</v>
      </c>
      <c r="AD191" s="7">
        <f>SUMIF(NF!$A:$A,$AC191,NF!$I:$I)</f>
        <v>0</v>
      </c>
      <c r="AE191" s="6"/>
      <c r="AF191" s="6"/>
      <c r="AG191" s="6"/>
      <c r="AH191" s="6"/>
      <c r="AI191" s="6"/>
      <c r="AJ191" s="6">
        <v>4.3419999999999996</v>
      </c>
      <c r="AK191" s="6"/>
      <c r="AL191" s="7">
        <f t="shared" si="111"/>
        <v>4.3419999999999996</v>
      </c>
      <c r="AM191" s="11">
        <f t="shared" si="79"/>
        <v>0</v>
      </c>
      <c r="AN191" s="25"/>
      <c r="AO191" s="10" t="str">
        <f t="shared" si="47"/>
        <v>MarçoSEMANA 4Suíno - Pernil s/ Osso</v>
      </c>
      <c r="AP191" s="7">
        <f>SUMIF(NF!$A:$A,$AO191,NF!$I:$I)</f>
        <v>0</v>
      </c>
      <c r="AQ191" s="6"/>
      <c r="AR191" s="6"/>
      <c r="AS191" s="6"/>
      <c r="AT191" s="6"/>
      <c r="AU191" s="6"/>
      <c r="AV191" s="6"/>
      <c r="AW191" s="6"/>
      <c r="AX191" s="7">
        <f t="shared" si="112"/>
        <v>0</v>
      </c>
      <c r="AY191" s="11">
        <f t="shared" si="80"/>
        <v>0</v>
      </c>
      <c r="AZ191" s="25"/>
      <c r="BA191" s="10" t="str">
        <f t="shared" si="49"/>
        <v>MarçoSEMANA 5Suíno - Pernil s/ Osso</v>
      </c>
      <c r="BB191" s="7">
        <f>SUMIF(NF!$A:$A,$BA191,NF!$I:$I)</f>
        <v>0</v>
      </c>
      <c r="BC191" s="6"/>
      <c r="BD191" s="6"/>
      <c r="BE191" s="6"/>
      <c r="BF191" s="6"/>
      <c r="BG191" s="6"/>
      <c r="BH191" s="6"/>
      <c r="BI191" s="74"/>
      <c r="BJ191" s="74"/>
      <c r="BK191" s="7">
        <f t="shared" si="113"/>
        <v>0</v>
      </c>
      <c r="BL191" s="8">
        <f t="shared" si="81"/>
        <v>0</v>
      </c>
      <c r="BM191" s="51" t="str">
        <f>IFERROR(VLOOKUP(A191,NF!$M:$O,3,0),"")</f>
        <v>Carnes</v>
      </c>
      <c r="BN191" s="7">
        <f t="shared" si="82"/>
        <v>20.92</v>
      </c>
      <c r="BO191" s="8">
        <f t="array" ref="BO191">IFERROR(LARGE(IF(NF!$G$2:$G$3137='Mês atual'!A191,NF!$J$2:$J$3137),1),0)*BN191</f>
        <v>0</v>
      </c>
      <c r="BP191" s="50"/>
      <c r="BR191" s="146">
        <f t="array" ref="BR191">IFERROR(LARGE(IF(NF!$G$2:$G$3137='Mês atual'!A191,NF!$J$2:$J$3137),1),0)</f>
        <v>0</v>
      </c>
      <c r="BS191" s="142" t="str">
        <f>VLOOKUP(A191,NF!M:O,3,0)</f>
        <v>Carnes</v>
      </c>
      <c r="BV191" s="74">
        <f t="shared" si="72"/>
        <v>16.578000000000003</v>
      </c>
      <c r="BW191" s="74">
        <f t="shared" si="73"/>
        <v>0</v>
      </c>
      <c r="BX191" s="74">
        <f t="shared" si="74"/>
        <v>4.3419999999999996</v>
      </c>
      <c r="BY191" s="74">
        <f t="shared" si="75"/>
        <v>0</v>
      </c>
      <c r="BZ191" s="74">
        <f t="shared" si="76"/>
        <v>0</v>
      </c>
    </row>
    <row r="192" spans="1:78" x14ac:dyDescent="0.25">
      <c r="A192" s="108" t="s">
        <v>769</v>
      </c>
      <c r="B192" s="12"/>
      <c r="C192" s="9">
        <v>0</v>
      </c>
      <c r="D192" s="25"/>
      <c r="E192" s="10" t="str">
        <f t="shared" si="41"/>
        <v>MarçoSEMANA 1Suíno - Picanha Suína</v>
      </c>
      <c r="F192" s="7">
        <f>SUMIF(NF!$A:$A,$E192,NF!$I:$I)</f>
        <v>0</v>
      </c>
      <c r="G192" s="74"/>
      <c r="H192" s="74"/>
      <c r="I192" s="74"/>
      <c r="J192" s="6"/>
      <c r="K192" s="6"/>
      <c r="L192" s="6"/>
      <c r="M192" s="6"/>
      <c r="N192" s="7">
        <f t="shared" si="109"/>
        <v>0</v>
      </c>
      <c r="O192" s="11">
        <f t="shared" si="77"/>
        <v>0</v>
      </c>
      <c r="P192" s="25"/>
      <c r="Q192" s="10" t="str">
        <f t="shared" si="43"/>
        <v>MarçoSEMANA 2Suíno - Picanha Suína</v>
      </c>
      <c r="R192" s="7">
        <f>SUMIF(NF!$A:$A,$Q192,NF!$I:$I)</f>
        <v>0</v>
      </c>
      <c r="S192" s="6"/>
      <c r="T192" s="6"/>
      <c r="U192" s="6"/>
      <c r="V192" s="6"/>
      <c r="W192" s="6"/>
      <c r="X192" s="6"/>
      <c r="Y192" s="6"/>
      <c r="Z192" s="7">
        <f t="shared" si="110"/>
        <v>0</v>
      </c>
      <c r="AA192" s="11">
        <f t="shared" si="78"/>
        <v>0</v>
      </c>
      <c r="AB192" s="25"/>
      <c r="AC192" s="10" t="str">
        <f t="shared" si="45"/>
        <v>MarçoSEMANA 3Suíno - Picanha Suína</v>
      </c>
      <c r="AD192" s="7">
        <f>SUMIF(NF!$A:$A,$AC192,NF!$I:$I)</f>
        <v>0</v>
      </c>
      <c r="AE192" s="6"/>
      <c r="AF192" s="6"/>
      <c r="AG192" s="6"/>
      <c r="AH192" s="6"/>
      <c r="AI192" s="6"/>
      <c r="AJ192" s="6"/>
      <c r="AK192" s="6"/>
      <c r="AL192" s="7">
        <f t="shared" si="111"/>
        <v>0</v>
      </c>
      <c r="AM192" s="11">
        <f t="shared" si="79"/>
        <v>0</v>
      </c>
      <c r="AN192" s="25"/>
      <c r="AO192" s="10" t="str">
        <f t="shared" si="47"/>
        <v>MarçoSEMANA 4Suíno - Picanha Suína</v>
      </c>
      <c r="AP192" s="7">
        <f>SUMIF(NF!$A:$A,$AO192,NF!$I:$I)</f>
        <v>0</v>
      </c>
      <c r="AQ192" s="6"/>
      <c r="AR192" s="6"/>
      <c r="AS192" s="6"/>
      <c r="AT192" s="6"/>
      <c r="AU192" s="6"/>
      <c r="AV192" s="6"/>
      <c r="AW192" s="6"/>
      <c r="AX192" s="7">
        <f t="shared" si="112"/>
        <v>0</v>
      </c>
      <c r="AY192" s="11">
        <f t="shared" si="80"/>
        <v>0</v>
      </c>
      <c r="AZ192" s="25"/>
      <c r="BA192" s="10" t="str">
        <f t="shared" si="49"/>
        <v>MarçoSEMANA 5Suíno - Picanha Suína</v>
      </c>
      <c r="BB192" s="7">
        <f>SUMIF(NF!$A:$A,$BA192,NF!$I:$I)</f>
        <v>0</v>
      </c>
      <c r="BC192" s="6"/>
      <c r="BD192" s="6"/>
      <c r="BE192" s="6"/>
      <c r="BF192" s="6"/>
      <c r="BG192" s="6"/>
      <c r="BH192" s="6"/>
      <c r="BI192" s="74"/>
      <c r="BJ192" s="74"/>
      <c r="BK192" s="7">
        <f t="shared" si="113"/>
        <v>0</v>
      </c>
      <c r="BL192" s="8">
        <f t="shared" si="81"/>
        <v>0</v>
      </c>
      <c r="BM192" s="51" t="str">
        <f>IFERROR(VLOOKUP(A192,NF!$M:$O,3,0),"")</f>
        <v>Carnes</v>
      </c>
      <c r="BN192" s="7">
        <f t="shared" si="82"/>
        <v>0</v>
      </c>
      <c r="BO192" s="8">
        <f t="array" ref="BO192">IFERROR(LARGE(IF(NF!$G$2:$G$3137='Mês atual'!A192,NF!$J$2:$J$3137),1),0)*BN192</f>
        <v>0</v>
      </c>
      <c r="BP192" s="50"/>
      <c r="BR192" s="146">
        <f t="array" ref="BR192">IFERROR(LARGE(IF(NF!$G$2:$G$3137='Mês atual'!A192,NF!$J$2:$J$3137),1),0)</f>
        <v>0</v>
      </c>
      <c r="BS192" s="142" t="str">
        <f>VLOOKUP(A192,NF!M:O,3,0)</f>
        <v>Carnes</v>
      </c>
      <c r="BV192" s="74">
        <f t="shared" si="72"/>
        <v>0</v>
      </c>
      <c r="BW192" s="74">
        <f t="shared" si="73"/>
        <v>0</v>
      </c>
      <c r="BX192" s="74">
        <f t="shared" si="74"/>
        <v>0</v>
      </c>
      <c r="BY192" s="74">
        <f t="shared" si="75"/>
        <v>0</v>
      </c>
      <c r="BZ192" s="74">
        <f t="shared" si="76"/>
        <v>0</v>
      </c>
    </row>
    <row r="193" spans="1:78" x14ac:dyDescent="0.25">
      <c r="A193" s="108" t="s">
        <v>770</v>
      </c>
      <c r="B193" s="12"/>
      <c r="C193" s="9">
        <v>1.8959999999999999</v>
      </c>
      <c r="D193" s="25"/>
      <c r="E193" s="10" t="str">
        <f t="shared" si="41"/>
        <v>MarçoSEMANA 1Suíno - Salsichão Branco com Ervas</v>
      </c>
      <c r="F193" s="7">
        <f>SUMIF(NF!$A:$A,$E193,NF!$I:$I)</f>
        <v>0</v>
      </c>
      <c r="G193" s="74"/>
      <c r="H193" s="74"/>
      <c r="I193" s="74"/>
      <c r="J193" s="6"/>
      <c r="K193" s="6"/>
      <c r="L193" s="6"/>
      <c r="M193" s="6"/>
      <c r="N193" s="7">
        <f t="shared" si="109"/>
        <v>0</v>
      </c>
      <c r="O193" s="11">
        <f t="shared" si="77"/>
        <v>1.8959999999999999</v>
      </c>
      <c r="P193" s="25"/>
      <c r="Q193" s="10" t="str">
        <f t="shared" si="43"/>
        <v>MarçoSEMANA 2Suíno - Salsichão Branco com Ervas</v>
      </c>
      <c r="R193" s="7">
        <f>SUMIF(NF!$A:$A,$Q193,NF!$I:$I)</f>
        <v>5.7</v>
      </c>
      <c r="S193" s="6"/>
      <c r="T193" s="6"/>
      <c r="U193" s="6"/>
      <c r="V193" s="6">
        <v>5.72</v>
      </c>
      <c r="W193" s="6"/>
      <c r="X193" s="6"/>
      <c r="Y193" s="6"/>
      <c r="Z193" s="7">
        <f t="shared" si="110"/>
        <v>5.72</v>
      </c>
      <c r="AA193" s="11">
        <f t="shared" si="78"/>
        <v>1.8760000000000003</v>
      </c>
      <c r="AB193" s="25"/>
      <c r="AC193" s="10" t="str">
        <f t="shared" si="45"/>
        <v>MarçoSEMANA 3Suíno - Salsichão Branco com Ervas</v>
      </c>
      <c r="AD193" s="7">
        <f>SUMIF(NF!$A:$A,$AC193,NF!$I:$I)</f>
        <v>0</v>
      </c>
      <c r="AE193" s="6"/>
      <c r="AF193" s="6"/>
      <c r="AG193" s="6"/>
      <c r="AH193" s="6"/>
      <c r="AI193" s="6"/>
      <c r="AJ193" s="6"/>
      <c r="AK193" s="6"/>
      <c r="AL193" s="7">
        <f t="shared" si="111"/>
        <v>0</v>
      </c>
      <c r="AM193" s="11">
        <f t="shared" si="79"/>
        <v>1.8760000000000003</v>
      </c>
      <c r="AN193" s="25"/>
      <c r="AO193" s="10" t="str">
        <f t="shared" si="47"/>
        <v>MarçoSEMANA 4Suíno - Salsichão Branco com Ervas</v>
      </c>
      <c r="AP193" s="7">
        <f>SUMIF(NF!$A:$A,$AO193,NF!$I:$I)</f>
        <v>0</v>
      </c>
      <c r="AQ193" s="6"/>
      <c r="AR193" s="6"/>
      <c r="AS193" s="6"/>
      <c r="AT193" s="6"/>
      <c r="AU193" s="6"/>
      <c r="AV193" s="6"/>
      <c r="AW193" s="6"/>
      <c r="AX193" s="7">
        <f t="shared" si="112"/>
        <v>0</v>
      </c>
      <c r="AY193" s="11">
        <f t="shared" si="80"/>
        <v>1.8760000000000003</v>
      </c>
      <c r="AZ193" s="25"/>
      <c r="BA193" s="10" t="str">
        <f t="shared" si="49"/>
        <v>MarçoSEMANA 5Suíno - Salsichão Branco com Ervas</v>
      </c>
      <c r="BB193" s="7">
        <f>SUMIF(NF!$A:$A,$BA193,NF!$I:$I)</f>
        <v>0</v>
      </c>
      <c r="BC193" s="6"/>
      <c r="BD193" s="6"/>
      <c r="BE193" s="6"/>
      <c r="BF193" s="6"/>
      <c r="BG193" s="6">
        <v>1.875</v>
      </c>
      <c r="BH193" s="6"/>
      <c r="BI193" s="74"/>
      <c r="BJ193" s="74"/>
      <c r="BK193" s="7">
        <f t="shared" si="113"/>
        <v>1.875</v>
      </c>
      <c r="BL193" s="8">
        <f t="shared" si="81"/>
        <v>1.000000000000334E-3</v>
      </c>
      <c r="BM193" s="51" t="str">
        <f>IFERROR(VLOOKUP(A193,NF!$M:$O,3,0),"")</f>
        <v>Carnes</v>
      </c>
      <c r="BN193" s="7">
        <f t="shared" si="82"/>
        <v>7.5949999999999998</v>
      </c>
      <c r="BO193" s="8">
        <f t="array" ref="BO193">IFERROR(LARGE(IF(NF!$G$2:$G$3137='Mês atual'!A193,NF!$J$2:$J$3137),1),0)*BN193</f>
        <v>240.76149999999998</v>
      </c>
      <c r="BP193" s="50"/>
      <c r="BR193" s="146">
        <f t="array" ref="BR193">IFERROR(LARGE(IF(NF!$G$2:$G$3137='Mês atual'!A193,NF!$J$2:$J$3137),1),0)</f>
        <v>31.7</v>
      </c>
      <c r="BS193" s="142" t="str">
        <f>VLOOKUP(A193,NF!M:O,3,0)</f>
        <v>Carnes</v>
      </c>
      <c r="BV193" s="74">
        <f t="shared" si="72"/>
        <v>0</v>
      </c>
      <c r="BW193" s="74">
        <f t="shared" si="73"/>
        <v>5.72</v>
      </c>
      <c r="BX193" s="74">
        <f t="shared" si="74"/>
        <v>0</v>
      </c>
      <c r="BY193" s="74">
        <f t="shared" si="75"/>
        <v>0</v>
      </c>
      <c r="BZ193" s="74">
        <f t="shared" si="76"/>
        <v>1.875</v>
      </c>
    </row>
    <row r="194" spans="1:78" x14ac:dyDescent="0.25">
      <c r="A194" s="108" t="s">
        <v>771</v>
      </c>
      <c r="B194" s="12"/>
      <c r="C194" s="9">
        <v>0</v>
      </c>
      <c r="D194" s="25"/>
      <c r="E194" s="10" t="str">
        <f t="shared" si="41"/>
        <v>MarçoSEMANA 1Suíno - Salsichão de Vitela</v>
      </c>
      <c r="F194" s="7">
        <f>SUMIF(NF!$A:$A,$E194,NF!$I:$I)</f>
        <v>0</v>
      </c>
      <c r="G194" s="74"/>
      <c r="H194" s="74"/>
      <c r="I194" s="74"/>
      <c r="J194" s="6"/>
      <c r="K194" s="6"/>
      <c r="L194" s="6"/>
      <c r="M194" s="6"/>
      <c r="N194" s="7">
        <f t="shared" si="109"/>
        <v>0</v>
      </c>
      <c r="O194" s="11">
        <f t="shared" si="77"/>
        <v>0</v>
      </c>
      <c r="P194" s="25"/>
      <c r="Q194" s="10" t="str">
        <f t="shared" si="43"/>
        <v>MarçoSEMANA 2Suíno - Salsichão de Vitela</v>
      </c>
      <c r="R194" s="7">
        <f>SUMIF(NF!$A:$A,$Q194,NF!$I:$I)</f>
        <v>0</v>
      </c>
      <c r="S194" s="6"/>
      <c r="T194" s="6"/>
      <c r="U194" s="6"/>
      <c r="V194" s="6"/>
      <c r="W194" s="6"/>
      <c r="X194" s="6"/>
      <c r="Y194" s="6"/>
      <c r="Z194" s="7">
        <f t="shared" si="110"/>
        <v>0</v>
      </c>
      <c r="AA194" s="11">
        <f t="shared" si="78"/>
        <v>0</v>
      </c>
      <c r="AB194" s="25"/>
      <c r="AC194" s="10" t="str">
        <f t="shared" si="45"/>
        <v>MarçoSEMANA 3Suíno - Salsichão de Vitela</v>
      </c>
      <c r="AD194" s="7">
        <f>SUMIF(NF!$A:$A,$AC194,NF!$I:$I)</f>
        <v>0</v>
      </c>
      <c r="AE194" s="6"/>
      <c r="AF194" s="6"/>
      <c r="AG194" s="6"/>
      <c r="AH194" s="6"/>
      <c r="AI194" s="6"/>
      <c r="AJ194" s="6"/>
      <c r="AK194" s="6"/>
      <c r="AL194" s="7">
        <f t="shared" si="111"/>
        <v>0</v>
      </c>
      <c r="AM194" s="11">
        <f t="shared" si="79"/>
        <v>0</v>
      </c>
      <c r="AN194" s="25"/>
      <c r="AO194" s="10" t="str">
        <f t="shared" si="47"/>
        <v>MarçoSEMANA 4Suíno - Salsichão de Vitela</v>
      </c>
      <c r="AP194" s="7">
        <f>SUMIF(NF!$A:$A,$AO194,NF!$I:$I)</f>
        <v>0</v>
      </c>
      <c r="AQ194" s="6"/>
      <c r="AR194" s="6"/>
      <c r="AS194" s="6"/>
      <c r="AT194" s="6"/>
      <c r="AU194" s="6"/>
      <c r="AV194" s="6"/>
      <c r="AW194" s="6"/>
      <c r="AX194" s="7">
        <f t="shared" si="112"/>
        <v>0</v>
      </c>
      <c r="AY194" s="11">
        <f t="shared" si="80"/>
        <v>0</v>
      </c>
      <c r="AZ194" s="25"/>
      <c r="BA194" s="10" t="str">
        <f t="shared" si="49"/>
        <v>MarçoSEMANA 5Suíno - Salsichão de Vitela</v>
      </c>
      <c r="BB194" s="7">
        <f>SUMIF(NF!$A:$A,$BA194,NF!$I:$I)</f>
        <v>0</v>
      </c>
      <c r="BC194" s="6"/>
      <c r="BD194" s="6"/>
      <c r="BE194" s="6"/>
      <c r="BF194" s="6"/>
      <c r="BG194" s="6"/>
      <c r="BH194" s="6"/>
      <c r="BI194" s="74"/>
      <c r="BJ194" s="74"/>
      <c r="BK194" s="7">
        <f t="shared" si="113"/>
        <v>0</v>
      </c>
      <c r="BL194" s="8">
        <f t="shared" si="81"/>
        <v>0</v>
      </c>
      <c r="BM194" s="51" t="str">
        <f>IFERROR(VLOOKUP(A194,NF!$M:$O,3,0),"")</f>
        <v>Carnes</v>
      </c>
      <c r="BN194" s="7">
        <f t="shared" si="82"/>
        <v>0</v>
      </c>
      <c r="BO194" s="8">
        <f t="array" ref="BO194">IFERROR(LARGE(IF(NF!$G$2:$G$3137='Mês atual'!A194,NF!$J$2:$J$3137),1),0)*BN194</f>
        <v>0</v>
      </c>
      <c r="BP194" s="50"/>
      <c r="BR194" s="146">
        <f t="array" ref="BR194">IFERROR(LARGE(IF(NF!$G$2:$G$3137='Mês atual'!A194,NF!$J$2:$J$3137),1),0)</f>
        <v>0</v>
      </c>
      <c r="BS194" s="142" t="str">
        <f>VLOOKUP(A194,NF!M:O,3,0)</f>
        <v>Carnes</v>
      </c>
      <c r="BV194" s="74">
        <f t="shared" si="72"/>
        <v>0</v>
      </c>
      <c r="BW194" s="74">
        <f t="shared" si="73"/>
        <v>0</v>
      </c>
      <c r="BX194" s="74">
        <f t="shared" si="74"/>
        <v>0</v>
      </c>
      <c r="BY194" s="74">
        <f t="shared" si="75"/>
        <v>0</v>
      </c>
      <c r="BZ194" s="74">
        <f t="shared" si="76"/>
        <v>0</v>
      </c>
    </row>
    <row r="195" spans="1:78" x14ac:dyDescent="0.25">
      <c r="A195" s="108" t="s">
        <v>772</v>
      </c>
      <c r="B195" s="12"/>
      <c r="C195" s="9">
        <v>1.028</v>
      </c>
      <c r="D195" s="25"/>
      <c r="E195" s="10" t="str">
        <f t="shared" si="41"/>
        <v>MarçoSEMANA 1Suíno - Salsichão Defumado c/ Ervas</v>
      </c>
      <c r="F195" s="7">
        <f>SUMIF(NF!$A:$A,$E195,NF!$I:$I)</f>
        <v>0</v>
      </c>
      <c r="G195" s="74"/>
      <c r="H195" s="74"/>
      <c r="I195" s="74"/>
      <c r="J195" s="6"/>
      <c r="K195" s="6"/>
      <c r="L195" s="6"/>
      <c r="M195" s="6"/>
      <c r="N195" s="7">
        <f t="shared" si="109"/>
        <v>0</v>
      </c>
      <c r="O195" s="11">
        <f t="shared" si="77"/>
        <v>1.028</v>
      </c>
      <c r="P195" s="25"/>
      <c r="Q195" s="10" t="str">
        <f t="shared" si="43"/>
        <v>MarçoSEMANA 2Suíno - Salsichão Defumado c/ Ervas</v>
      </c>
      <c r="R195" s="7">
        <f>SUMIF(NF!$A:$A,$Q195,NF!$I:$I)</f>
        <v>7.1</v>
      </c>
      <c r="S195" s="6"/>
      <c r="T195" s="6"/>
      <c r="U195" s="6"/>
      <c r="V195" s="6">
        <v>6.18</v>
      </c>
      <c r="W195" s="6"/>
      <c r="X195" s="6"/>
      <c r="Y195" s="6"/>
      <c r="Z195" s="7">
        <f t="shared" si="110"/>
        <v>6.18</v>
      </c>
      <c r="AA195" s="11">
        <f t="shared" si="78"/>
        <v>1.9480000000000004</v>
      </c>
      <c r="AB195" s="25"/>
      <c r="AC195" s="10" t="str">
        <f t="shared" si="45"/>
        <v>MarçoSEMANA 3Suíno - Salsichão Defumado c/ Ervas</v>
      </c>
      <c r="AD195" s="7">
        <f>SUMIF(NF!$A:$A,$AC195,NF!$I:$I)</f>
        <v>0</v>
      </c>
      <c r="AE195" s="6"/>
      <c r="AF195" s="6"/>
      <c r="AG195" s="6"/>
      <c r="AH195" s="6"/>
      <c r="AI195" s="6"/>
      <c r="AJ195" s="6"/>
      <c r="AK195" s="6"/>
      <c r="AL195" s="7">
        <f t="shared" si="111"/>
        <v>0</v>
      </c>
      <c r="AM195" s="11">
        <f t="shared" si="79"/>
        <v>1.9480000000000004</v>
      </c>
      <c r="AN195" s="25"/>
      <c r="AO195" s="10" t="str">
        <f t="shared" si="47"/>
        <v>MarçoSEMANA 4Suíno - Salsichão Defumado c/ Ervas</v>
      </c>
      <c r="AP195" s="7">
        <f>SUMIF(NF!$A:$A,$AO195,NF!$I:$I)</f>
        <v>0</v>
      </c>
      <c r="AQ195" s="6"/>
      <c r="AR195" s="6"/>
      <c r="AS195" s="6"/>
      <c r="AT195" s="6"/>
      <c r="AU195" s="6"/>
      <c r="AV195" s="6"/>
      <c r="AW195" s="6"/>
      <c r="AX195" s="7">
        <f t="shared" si="112"/>
        <v>0</v>
      </c>
      <c r="AY195" s="11">
        <f t="shared" si="80"/>
        <v>1.9480000000000004</v>
      </c>
      <c r="AZ195" s="25"/>
      <c r="BA195" s="10" t="str">
        <f t="shared" si="49"/>
        <v>MarçoSEMANA 5Suíno - Salsichão Defumado c/ Ervas</v>
      </c>
      <c r="BB195" s="7">
        <f>SUMIF(NF!$A:$A,$BA195,NF!$I:$I)</f>
        <v>0</v>
      </c>
      <c r="BC195" s="6"/>
      <c r="BD195" s="6"/>
      <c r="BE195" s="6"/>
      <c r="BF195" s="6"/>
      <c r="BG195" s="6">
        <v>1.9450000000000001</v>
      </c>
      <c r="BH195" s="6"/>
      <c r="BI195" s="74"/>
      <c r="BJ195" s="74"/>
      <c r="BK195" s="7">
        <f t="shared" si="113"/>
        <v>1.9450000000000001</v>
      </c>
      <c r="BL195" s="8">
        <f t="shared" si="81"/>
        <v>3.0000000000003357E-3</v>
      </c>
      <c r="BM195" s="51" t="str">
        <f>IFERROR(VLOOKUP(A195,NF!$M:$O,3,0),"")</f>
        <v>Carnes</v>
      </c>
      <c r="BN195" s="7">
        <f t="shared" si="82"/>
        <v>8.125</v>
      </c>
      <c r="BO195" s="8">
        <f t="array" ref="BO195">IFERROR(LARGE(IF(NF!$G$2:$G$3137='Mês atual'!A195,NF!$J$2:$J$3137),1),0)*BN195</f>
        <v>270.5625</v>
      </c>
      <c r="BP195" s="50"/>
      <c r="BR195" s="146">
        <f t="array" ref="BR195">IFERROR(LARGE(IF(NF!$G$2:$G$3137='Mês atual'!A195,NF!$J$2:$J$3137),1),0)</f>
        <v>33.299999999999997</v>
      </c>
      <c r="BS195" s="142" t="str">
        <f>VLOOKUP(A195,NF!M:O,3,0)</f>
        <v>Carnes</v>
      </c>
      <c r="BV195" s="74">
        <f t="shared" si="72"/>
        <v>0</v>
      </c>
      <c r="BW195" s="74">
        <f t="shared" si="73"/>
        <v>6.18</v>
      </c>
      <c r="BX195" s="74">
        <f t="shared" si="74"/>
        <v>0</v>
      </c>
      <c r="BY195" s="74">
        <f t="shared" si="75"/>
        <v>0</v>
      </c>
      <c r="BZ195" s="74">
        <f t="shared" si="76"/>
        <v>1.9450000000000001</v>
      </c>
    </row>
    <row r="196" spans="1:78" x14ac:dyDescent="0.25">
      <c r="A196" s="108" t="s">
        <v>773</v>
      </c>
      <c r="B196" s="12"/>
      <c r="C196" s="9">
        <v>0</v>
      </c>
      <c r="D196" s="25"/>
      <c r="E196" s="10" t="str">
        <f t="shared" si="41"/>
        <v>MarçoSEMANA 1Suíno - Salsichão Rica</v>
      </c>
      <c r="F196" s="7">
        <f>SUMIF(NF!$A:$A,$E196,NF!$I:$I)</f>
        <v>0</v>
      </c>
      <c r="G196" s="74"/>
      <c r="H196" s="74"/>
      <c r="I196" s="74"/>
      <c r="J196" s="6"/>
      <c r="K196" s="6"/>
      <c r="L196" s="6"/>
      <c r="M196" s="6"/>
      <c r="N196" s="7">
        <f t="shared" si="109"/>
        <v>0</v>
      </c>
      <c r="O196" s="11">
        <f t="shared" si="77"/>
        <v>0</v>
      </c>
      <c r="P196" s="25"/>
      <c r="Q196" s="10" t="str">
        <f t="shared" si="43"/>
        <v>MarçoSEMANA 2Suíno - Salsichão Rica</v>
      </c>
      <c r="R196" s="7">
        <f>SUMIF(NF!$A:$A,$Q196,NF!$I:$I)</f>
        <v>0</v>
      </c>
      <c r="S196" s="6"/>
      <c r="T196" s="6"/>
      <c r="U196" s="6"/>
      <c r="V196" s="6"/>
      <c r="W196" s="6"/>
      <c r="X196" s="6"/>
      <c r="Y196" s="6"/>
      <c r="Z196" s="7">
        <f t="shared" si="110"/>
        <v>0</v>
      </c>
      <c r="AA196" s="11">
        <f t="shared" si="78"/>
        <v>0</v>
      </c>
      <c r="AB196" s="25"/>
      <c r="AC196" s="10" t="str">
        <f t="shared" si="45"/>
        <v>MarçoSEMANA 3Suíno - Salsichão Rica</v>
      </c>
      <c r="AD196" s="7">
        <f>SUMIF(NF!$A:$A,$AC196,NF!$I:$I)</f>
        <v>0</v>
      </c>
      <c r="AE196" s="6"/>
      <c r="AF196" s="6"/>
      <c r="AG196" s="6"/>
      <c r="AH196" s="6"/>
      <c r="AI196" s="6"/>
      <c r="AJ196" s="6"/>
      <c r="AK196" s="6"/>
      <c r="AL196" s="7">
        <f t="shared" si="111"/>
        <v>0</v>
      </c>
      <c r="AM196" s="11">
        <f t="shared" si="79"/>
        <v>0</v>
      </c>
      <c r="AN196" s="25"/>
      <c r="AO196" s="10" t="str">
        <f t="shared" si="47"/>
        <v>MarçoSEMANA 4Suíno - Salsichão Rica</v>
      </c>
      <c r="AP196" s="7">
        <f>SUMIF(NF!$A:$A,$AO196,NF!$I:$I)</f>
        <v>0</v>
      </c>
      <c r="AQ196" s="6"/>
      <c r="AR196" s="6"/>
      <c r="AS196" s="6"/>
      <c r="AT196" s="6"/>
      <c r="AU196" s="6"/>
      <c r="AV196" s="6"/>
      <c r="AW196" s="6"/>
      <c r="AX196" s="7">
        <f t="shared" si="112"/>
        <v>0</v>
      </c>
      <c r="AY196" s="11">
        <f t="shared" si="80"/>
        <v>0</v>
      </c>
      <c r="AZ196" s="25"/>
      <c r="BA196" s="10" t="str">
        <f t="shared" si="49"/>
        <v>MarçoSEMANA 5Suíno - Salsichão Rica</v>
      </c>
      <c r="BB196" s="7">
        <f>SUMIF(NF!$A:$A,$BA196,NF!$I:$I)</f>
        <v>0</v>
      </c>
      <c r="BC196" s="6"/>
      <c r="BD196" s="6"/>
      <c r="BE196" s="6"/>
      <c r="BF196" s="6"/>
      <c r="BG196" s="6"/>
      <c r="BH196" s="6"/>
      <c r="BI196" s="74"/>
      <c r="BJ196" s="74"/>
      <c r="BK196" s="7">
        <f t="shared" si="113"/>
        <v>0</v>
      </c>
      <c r="BL196" s="8">
        <f t="shared" si="81"/>
        <v>0</v>
      </c>
      <c r="BM196" s="51" t="str">
        <f>IFERROR(VLOOKUP(A196,NF!$M:$O,3,0),"")</f>
        <v>Carnes</v>
      </c>
      <c r="BN196" s="7">
        <f t="shared" si="82"/>
        <v>0</v>
      </c>
      <c r="BO196" s="8">
        <f t="array" ref="BO196">IFERROR(LARGE(IF(NF!$G$2:$G$3137='Mês atual'!A196,NF!$J$2:$J$3137),1),0)*BN196</f>
        <v>0</v>
      </c>
      <c r="BP196" s="50"/>
      <c r="BR196" s="146">
        <f t="array" ref="BR196">IFERROR(LARGE(IF(NF!$G$2:$G$3137='Mês atual'!A196,NF!$J$2:$J$3137),1),0)</f>
        <v>0</v>
      </c>
      <c r="BS196" s="142" t="str">
        <f>VLOOKUP(A196,NF!M:O,3,0)</f>
        <v>Carnes</v>
      </c>
      <c r="BV196" s="74">
        <f t="shared" si="72"/>
        <v>0</v>
      </c>
      <c r="BW196" s="74">
        <f t="shared" si="73"/>
        <v>0</v>
      </c>
      <c r="BX196" s="74">
        <f t="shared" si="74"/>
        <v>0</v>
      </c>
      <c r="BY196" s="74">
        <f t="shared" si="75"/>
        <v>0</v>
      </c>
      <c r="BZ196" s="74">
        <f t="shared" si="76"/>
        <v>0</v>
      </c>
    </row>
    <row r="197" spans="1:78" x14ac:dyDescent="0.2">
      <c r="A197" s="108" t="s">
        <v>774</v>
      </c>
      <c r="B197" s="12"/>
      <c r="C197" s="9">
        <v>0</v>
      </c>
      <c r="D197" s="25"/>
      <c r="E197" s="10" t="str">
        <f t="shared" si="41"/>
        <v>MarçoSEMANA 1Suino - Tender Bolinha</v>
      </c>
      <c r="F197" s="7">
        <f>SUMIF(NF!$A:$A,$E197,NF!$I:$I)</f>
        <v>0</v>
      </c>
      <c r="G197" s="74"/>
      <c r="H197" s="74"/>
      <c r="I197" s="74"/>
      <c r="J197" s="6"/>
      <c r="K197" s="6"/>
      <c r="L197" s="6"/>
      <c r="M197" s="6"/>
      <c r="N197" s="7">
        <f t="shared" si="109"/>
        <v>0</v>
      </c>
      <c r="O197" s="11">
        <f t="shared" si="77"/>
        <v>0</v>
      </c>
      <c r="P197" s="25"/>
      <c r="Q197" s="10" t="str">
        <f t="shared" si="43"/>
        <v>MarçoSEMANA 2Suino - Tender Bolinha</v>
      </c>
      <c r="R197" s="7">
        <f>SUMIF(NF!$A:$A,$Q197,NF!$I:$I)</f>
        <v>0</v>
      </c>
      <c r="S197" s="6"/>
      <c r="T197" s="6"/>
      <c r="U197" s="6"/>
      <c r="V197" s="6"/>
      <c r="W197" s="6"/>
      <c r="X197" s="6"/>
      <c r="Y197" s="6"/>
      <c r="Z197" s="7">
        <f t="shared" si="110"/>
        <v>0</v>
      </c>
      <c r="AA197" s="11">
        <f t="shared" si="78"/>
        <v>0</v>
      </c>
      <c r="AB197" s="25"/>
      <c r="AC197" s="10" t="str">
        <f t="shared" si="45"/>
        <v>MarçoSEMANA 3Suino - Tender Bolinha</v>
      </c>
      <c r="AD197" s="7">
        <f>SUMIF(NF!$A:$A,$AC197,NF!$I:$I)</f>
        <v>0</v>
      </c>
      <c r="AE197" s="6"/>
      <c r="AF197" s="6"/>
      <c r="AG197" s="6"/>
      <c r="AH197" s="6"/>
      <c r="AI197" s="6"/>
      <c r="AJ197" s="6"/>
      <c r="AK197" s="6"/>
      <c r="AL197" s="7">
        <f t="shared" si="111"/>
        <v>0</v>
      </c>
      <c r="AM197" s="11">
        <f t="shared" si="79"/>
        <v>0</v>
      </c>
      <c r="AN197" s="25"/>
      <c r="AO197" s="10" t="str">
        <f t="shared" si="47"/>
        <v>MarçoSEMANA 4Suino - Tender Bolinha</v>
      </c>
      <c r="AP197" s="7">
        <f>SUMIF(NF!$A:$A,$AO197,NF!$I:$I)</f>
        <v>0</v>
      </c>
      <c r="AQ197" s="6"/>
      <c r="AR197" s="6"/>
      <c r="AS197" s="6"/>
      <c r="AT197" s="6"/>
      <c r="AU197" s="6"/>
      <c r="AV197" s="6"/>
      <c r="AW197" s="6"/>
      <c r="AX197" s="7">
        <f t="shared" si="112"/>
        <v>0</v>
      </c>
      <c r="AY197" s="11">
        <f t="shared" si="80"/>
        <v>0</v>
      </c>
      <c r="AZ197" s="25"/>
      <c r="BA197" s="10" t="str">
        <f t="shared" si="49"/>
        <v>MarçoSEMANA 5Suino - Tender Bolinha</v>
      </c>
      <c r="BB197" s="7">
        <f>SUMIF(NF!$A:$A,$BA197,NF!$I:$I)</f>
        <v>0</v>
      </c>
      <c r="BC197" s="6"/>
      <c r="BD197" s="6"/>
      <c r="BE197" s="6"/>
      <c r="BF197" s="6"/>
      <c r="BG197" s="6"/>
      <c r="BH197" s="6"/>
      <c r="BI197" s="74"/>
      <c r="BJ197" s="74"/>
      <c r="BK197" s="7">
        <f t="shared" si="113"/>
        <v>0</v>
      </c>
      <c r="BL197" s="8">
        <f t="shared" si="81"/>
        <v>0</v>
      </c>
      <c r="BM197" s="51" t="str">
        <f>IFERROR(VLOOKUP(A197,NF!$M:$O,3,0),"")</f>
        <v>Carnes</v>
      </c>
      <c r="BN197" s="7">
        <f t="shared" si="82"/>
        <v>0</v>
      </c>
      <c r="BO197" s="8">
        <f t="array" ref="BO197">IFERROR(LARGE(IF(NF!$G$2:$G$3137='Mês atual'!A197,NF!$J$2:$J$3137),1),0)*BN197</f>
        <v>0</v>
      </c>
      <c r="BP197" s="50"/>
      <c r="BR197" s="146">
        <f t="array" ref="BR197">IFERROR(LARGE(IF(NF!$G$2:$G$3137='Mês atual'!A197,NF!$J$2:$J$3137),1),0)</f>
        <v>0</v>
      </c>
      <c r="BS197" s="142" t="str">
        <f>VLOOKUP(A197,NF!M:O,3,0)</f>
        <v>Carnes</v>
      </c>
      <c r="BV197" s="74">
        <f t="shared" si="72"/>
        <v>0</v>
      </c>
      <c r="BW197" s="74">
        <f t="shared" si="73"/>
        <v>0</v>
      </c>
      <c r="BX197" s="74">
        <f t="shared" si="74"/>
        <v>0</v>
      </c>
      <c r="BY197" s="74">
        <f t="shared" si="75"/>
        <v>0</v>
      </c>
      <c r="BZ197" s="74">
        <f t="shared" si="76"/>
        <v>0</v>
      </c>
    </row>
    <row r="198" spans="1:78" ht="15.95" thickBot="1" x14ac:dyDescent="0.25">
      <c r="A198" s="108" t="s">
        <v>775</v>
      </c>
      <c r="B198" s="12"/>
      <c r="C198" s="9">
        <v>0</v>
      </c>
      <c r="D198" s="25"/>
      <c r="E198" s="10" t="str">
        <f t="shared" si="41"/>
        <v>MarçoSEMANA 1Suino - Toucinho</v>
      </c>
      <c r="F198" s="7">
        <f>SUMIF(NF!$A:$A,$E198,NF!$I:$I)</f>
        <v>0</v>
      </c>
      <c r="G198" s="74"/>
      <c r="H198" s="74"/>
      <c r="I198" s="74"/>
      <c r="J198" s="6"/>
      <c r="K198" s="6"/>
      <c r="L198" s="6"/>
      <c r="M198" s="6"/>
      <c r="N198" s="7">
        <f t="shared" si="109"/>
        <v>0</v>
      </c>
      <c r="O198" s="11">
        <f t="shared" si="77"/>
        <v>0</v>
      </c>
      <c r="P198" s="25"/>
      <c r="Q198" s="10" t="str">
        <f t="shared" si="43"/>
        <v>MarçoSEMANA 2Suino - Toucinho</v>
      </c>
      <c r="R198" s="7">
        <f>SUMIF(NF!$A:$A,$Q198,NF!$I:$I)</f>
        <v>0</v>
      </c>
      <c r="S198" s="6"/>
      <c r="T198" s="6"/>
      <c r="U198" s="6"/>
      <c r="V198" s="6"/>
      <c r="W198" s="6"/>
      <c r="X198" s="6"/>
      <c r="Y198" s="6"/>
      <c r="Z198" s="7">
        <f t="shared" si="110"/>
        <v>0</v>
      </c>
      <c r="AA198" s="11">
        <f t="shared" si="78"/>
        <v>0</v>
      </c>
      <c r="AB198" s="25"/>
      <c r="AC198" s="10" t="str">
        <f t="shared" si="45"/>
        <v>MarçoSEMANA 3Suino - Toucinho</v>
      </c>
      <c r="AD198" s="7">
        <f>SUMIF(NF!$A:$A,$AC198,NF!$I:$I)</f>
        <v>0</v>
      </c>
      <c r="AE198" s="6"/>
      <c r="AF198" s="6"/>
      <c r="AG198" s="6"/>
      <c r="AH198" s="6"/>
      <c r="AI198" s="6"/>
      <c r="AJ198" s="6"/>
      <c r="AK198" s="6"/>
      <c r="AL198" s="7">
        <f t="shared" si="111"/>
        <v>0</v>
      </c>
      <c r="AM198" s="11">
        <f t="shared" si="79"/>
        <v>0</v>
      </c>
      <c r="AN198" s="25"/>
      <c r="AO198" s="10" t="str">
        <f t="shared" si="47"/>
        <v>MarçoSEMANA 4Suino - Toucinho</v>
      </c>
      <c r="AP198" s="7">
        <f>SUMIF(NF!$A:$A,$AO198,NF!$I:$I)</f>
        <v>0</v>
      </c>
      <c r="AQ198" s="6"/>
      <c r="AR198" s="6"/>
      <c r="AS198" s="6"/>
      <c r="AT198" s="6"/>
      <c r="AU198" s="6"/>
      <c r="AV198" s="6"/>
      <c r="AW198" s="6"/>
      <c r="AX198" s="7">
        <f t="shared" si="112"/>
        <v>0</v>
      </c>
      <c r="AY198" s="11">
        <f t="shared" si="80"/>
        <v>0</v>
      </c>
      <c r="AZ198" s="25"/>
      <c r="BA198" s="10" t="str">
        <f t="shared" si="49"/>
        <v>MarçoSEMANA 5Suino - Toucinho</v>
      </c>
      <c r="BB198" s="7">
        <f>SUMIF(NF!$A:$A,$BA198,NF!$I:$I)</f>
        <v>0</v>
      </c>
      <c r="BC198" s="6"/>
      <c r="BD198" s="6"/>
      <c r="BE198" s="6"/>
      <c r="BF198" s="6"/>
      <c r="BG198" s="6"/>
      <c r="BH198" s="6"/>
      <c r="BI198" s="74"/>
      <c r="BJ198" s="74"/>
      <c r="BK198" s="7">
        <f t="shared" si="113"/>
        <v>0</v>
      </c>
      <c r="BL198" s="8">
        <f t="shared" si="81"/>
        <v>0</v>
      </c>
      <c r="BM198" s="51" t="str">
        <f>IFERROR(VLOOKUP(A198,NF!$M:$O,3,0),"")</f>
        <v>Carnes</v>
      </c>
      <c r="BN198" s="7">
        <f t="shared" si="82"/>
        <v>0</v>
      </c>
      <c r="BO198" s="8">
        <f t="array" ref="BO198">IFERROR(LARGE(IF(NF!$G$2:$G$3137='Mês atual'!A198,NF!$J$2:$J$3137),1),0)*BN198</f>
        <v>0</v>
      </c>
      <c r="BP198" s="50"/>
      <c r="BR198" s="146">
        <f t="array" ref="BR198">IFERROR(LARGE(IF(NF!$G$2:$G$3137='Mês atual'!A198,NF!$J$2:$J$3137),1),0)</f>
        <v>0</v>
      </c>
      <c r="BS198" s="142" t="str">
        <f>VLOOKUP(A198,NF!M:O,3,0)</f>
        <v>Carnes</v>
      </c>
      <c r="BV198" s="74">
        <f t="shared" si="72"/>
        <v>0</v>
      </c>
      <c r="BW198" s="74">
        <f t="shared" si="73"/>
        <v>0</v>
      </c>
      <c r="BX198" s="74">
        <f t="shared" si="74"/>
        <v>0</v>
      </c>
      <c r="BY198" s="74">
        <f t="shared" si="75"/>
        <v>0</v>
      </c>
      <c r="BZ198" s="74">
        <f t="shared" si="76"/>
        <v>0</v>
      </c>
    </row>
    <row r="199" spans="1:78" s="16" customFormat="1" ht="30" customHeight="1" thickBot="1" x14ac:dyDescent="0.3">
      <c r="A199" s="139" t="s">
        <v>919</v>
      </c>
      <c r="B199" s="130"/>
      <c r="C199" s="131"/>
      <c r="D199" s="132"/>
      <c r="E199" s="133"/>
      <c r="F199" s="134"/>
      <c r="G199" s="135"/>
      <c r="H199" s="135"/>
      <c r="I199" s="135"/>
      <c r="J199" s="133"/>
      <c r="K199" s="133"/>
      <c r="L199" s="133"/>
      <c r="M199" s="133"/>
      <c r="N199" s="134"/>
      <c r="O199" s="134"/>
      <c r="P199" s="132"/>
      <c r="Q199" s="133"/>
      <c r="R199" s="134"/>
      <c r="S199" s="133"/>
      <c r="T199" s="133"/>
      <c r="U199" s="133"/>
      <c r="V199" s="133"/>
      <c r="W199" s="133"/>
      <c r="X199" s="133"/>
      <c r="Y199" s="133"/>
      <c r="Z199" s="134"/>
      <c r="AA199" s="134"/>
      <c r="AB199" s="132"/>
      <c r="AC199" s="133"/>
      <c r="AD199" s="134"/>
      <c r="AE199" s="133"/>
      <c r="AF199" s="133"/>
      <c r="AG199" s="133"/>
      <c r="AH199" s="133"/>
      <c r="AI199" s="133"/>
      <c r="AJ199" s="133"/>
      <c r="AK199" s="133"/>
      <c r="AL199" s="134"/>
      <c r="AM199" s="134"/>
      <c r="AN199" s="132"/>
      <c r="AO199" s="133"/>
      <c r="AP199" s="134"/>
      <c r="AQ199" s="133"/>
      <c r="AR199" s="133"/>
      <c r="AS199" s="133"/>
      <c r="AT199" s="133"/>
      <c r="AU199" s="133"/>
      <c r="AV199" s="133"/>
      <c r="AW199" s="133"/>
      <c r="AX199" s="134"/>
      <c r="AY199" s="134"/>
      <c r="AZ199" s="132"/>
      <c r="BA199" s="133"/>
      <c r="BB199" s="134"/>
      <c r="BC199" s="133"/>
      <c r="BD199" s="133"/>
      <c r="BE199" s="133"/>
      <c r="BF199" s="133"/>
      <c r="BG199" s="133"/>
      <c r="BH199" s="133"/>
      <c r="BI199" s="135"/>
      <c r="BJ199" s="135"/>
      <c r="BK199" s="134"/>
      <c r="BL199" s="134"/>
      <c r="BM199" s="136"/>
      <c r="BN199" s="137"/>
      <c r="BO199" s="137"/>
      <c r="BP199" s="138"/>
      <c r="BQ199" s="144"/>
      <c r="BR199" s="144"/>
      <c r="BS199" s="144"/>
      <c r="BT199" s="145"/>
      <c r="BU199" s="145"/>
      <c r="BV199" s="154"/>
      <c r="BW199" s="154"/>
      <c r="BX199" s="154"/>
      <c r="BY199" s="154"/>
      <c r="BZ199" s="154"/>
    </row>
    <row r="200" spans="1:78" x14ac:dyDescent="0.2">
      <c r="A200" s="108" t="s">
        <v>165</v>
      </c>
      <c r="B200" s="12"/>
      <c r="C200" s="9">
        <v>150</v>
      </c>
      <c r="D200" s="25"/>
      <c r="E200" s="10" t="str">
        <f t="shared" ref="E200:E268" si="114">CONCATENATE($C$2,$F$1,$A200)</f>
        <v>MarçoSEMANA 1Bandeja 3 Div. Delivery Cx 150</v>
      </c>
      <c r="F200" s="7">
        <f>SUMIF(NF!$A:$A,$E200,NF!$I:$I)</f>
        <v>450</v>
      </c>
      <c r="G200" s="74"/>
      <c r="H200" s="74"/>
      <c r="I200" s="74"/>
      <c r="J200" s="6">
        <v>50</v>
      </c>
      <c r="K200" s="6"/>
      <c r="L200" s="6"/>
      <c r="M200" s="6"/>
      <c r="N200" s="7">
        <f t="shared" ref="N200:N233" si="115">SUM(G200:M200)</f>
        <v>50</v>
      </c>
      <c r="O200" s="11">
        <f t="shared" ref="O200:O268" si="116">F200+C200-N200</f>
        <v>550</v>
      </c>
      <c r="P200" s="25"/>
      <c r="Q200" s="10" t="str">
        <f t="shared" ref="Q200:Q268" si="117">CONCATENATE($C$2,$R$1,$A200)</f>
        <v>MarçoSEMANA 2Bandeja 3 Div. Delivery Cx 150</v>
      </c>
      <c r="R200" s="7">
        <f>SUMIF(NF!$A:$A,$Q200,NF!$I:$I)</f>
        <v>0</v>
      </c>
      <c r="S200" s="6">
        <v>50</v>
      </c>
      <c r="T200" s="6"/>
      <c r="U200" s="6"/>
      <c r="V200" s="6"/>
      <c r="W200" s="6">
        <v>50</v>
      </c>
      <c r="X200" s="6"/>
      <c r="Y200" s="6"/>
      <c r="Z200" s="7">
        <f t="shared" ref="Z200:Z231" si="118">SUM(S200:Y200)</f>
        <v>100</v>
      </c>
      <c r="AA200" s="11">
        <f t="shared" ref="AA200:AA268" si="119">R200+O200-Z200</f>
        <v>450</v>
      </c>
      <c r="AB200" s="25"/>
      <c r="AC200" s="10" t="str">
        <f t="shared" ref="AC200:AC268" si="120">CONCATENATE($C$2,$AD$1,$A200)</f>
        <v>MarçoSEMANA 3Bandeja 3 Div. Delivery Cx 150</v>
      </c>
      <c r="AD200" s="7">
        <f>SUMIF(NF!$A:$A,$AC200,NF!$I:$I)</f>
        <v>0</v>
      </c>
      <c r="AE200" s="6">
        <v>50</v>
      </c>
      <c r="AF200" s="6"/>
      <c r="AG200" s="6"/>
      <c r="AH200" s="6"/>
      <c r="AI200" s="6"/>
      <c r="AJ200" s="6">
        <v>50</v>
      </c>
      <c r="AK200" s="6"/>
      <c r="AL200" s="7">
        <f t="shared" ref="AL200:AL231" si="121">SUM(AE200:AK200)</f>
        <v>100</v>
      </c>
      <c r="AM200" s="11">
        <f t="shared" ref="AM200:AM268" si="122">AD200+AA200-AL200</f>
        <v>350</v>
      </c>
      <c r="AN200" s="25"/>
      <c r="AO200" s="10" t="str">
        <f t="shared" ref="AO200:AO268" si="123">CONCATENATE($C$2,$AP$1,$A200)</f>
        <v>MarçoSEMANA 4Bandeja 3 Div. Delivery Cx 150</v>
      </c>
      <c r="AP200" s="7">
        <f>SUMIF(NF!$A:$A,$AO200,NF!$I:$I)</f>
        <v>0</v>
      </c>
      <c r="AQ200" s="6"/>
      <c r="AR200" s="6"/>
      <c r="AS200" s="6"/>
      <c r="AT200" s="6">
        <v>50</v>
      </c>
      <c r="AU200" s="6"/>
      <c r="AV200" s="6"/>
      <c r="AW200" s="6"/>
      <c r="AX200" s="7">
        <f t="shared" ref="AX200:AX231" si="124">SUM(AQ200:AW200)</f>
        <v>50</v>
      </c>
      <c r="AY200" s="11">
        <f t="shared" ref="AY200:AY268" si="125">AP200+AM200-AX200</f>
        <v>300</v>
      </c>
      <c r="AZ200" s="25"/>
      <c r="BA200" s="10" t="str">
        <f t="shared" ref="BA200:BA268" si="126">CONCATENATE($C$2,$BB$1,$A200)</f>
        <v>MarçoSEMANA 5Bandeja 3 Div. Delivery Cx 150</v>
      </c>
      <c r="BB200" s="7">
        <f>SUMIF(NF!$A:$A,$BA200,NF!$I:$I)</f>
        <v>0</v>
      </c>
      <c r="BC200" s="6">
        <v>50</v>
      </c>
      <c r="BD200" s="6"/>
      <c r="BE200" s="6"/>
      <c r="BF200" s="6"/>
      <c r="BG200" s="6"/>
      <c r="BH200" s="6"/>
      <c r="BI200" s="74"/>
      <c r="BJ200" s="74"/>
      <c r="BK200" s="7">
        <f t="shared" ref="BK200:BK231" si="127">SUM(BC200:BJ200)</f>
        <v>50</v>
      </c>
      <c r="BL200" s="8">
        <f t="shared" ref="BL200:BL268" si="128">BB200+AY200-BK200</f>
        <v>250</v>
      </c>
      <c r="BM200" s="51" t="str">
        <f>IFERROR(VLOOKUP(A200,NF!$M:$O,3,0),"")</f>
        <v>Descartável</v>
      </c>
      <c r="BN200" s="7">
        <f t="shared" ref="BN200:BN268" si="129">SUM(N200,Z200,AL200,AX200,BK200)</f>
        <v>350</v>
      </c>
      <c r="BO200" s="8">
        <f t="array" ref="BO200">IFERROR(LARGE(IF(NF!$G$2:$G$3137='Mês atual'!A200,NF!$J$2:$J$3137),1),0)*BN200</f>
        <v>833.77777777777771</v>
      </c>
      <c r="BP200" s="50"/>
      <c r="BR200" s="146">
        <f t="array" ref="BR200">IFERROR(LARGE(IF(NF!$G$2:$G$3137='Mês atual'!A200,NF!$J$2:$J$3137),1),0)</f>
        <v>2.382222222222222</v>
      </c>
      <c r="BS200" s="142" t="str">
        <f>VLOOKUP(A200,NF!M:O,3,0)</f>
        <v>Descartável</v>
      </c>
      <c r="BV200" s="74">
        <f t="shared" si="72"/>
        <v>50</v>
      </c>
      <c r="BW200" s="74">
        <f t="shared" si="73"/>
        <v>100</v>
      </c>
      <c r="BX200" s="74">
        <f t="shared" si="74"/>
        <v>100</v>
      </c>
      <c r="BY200" s="74">
        <f t="shared" si="75"/>
        <v>50</v>
      </c>
      <c r="BZ200" s="74">
        <f t="shared" si="76"/>
        <v>50</v>
      </c>
    </row>
    <row r="201" spans="1:78" x14ac:dyDescent="0.25">
      <c r="A201" s="108" t="s">
        <v>166</v>
      </c>
      <c r="B201" s="12"/>
      <c r="C201" s="9">
        <v>200</v>
      </c>
      <c r="D201" s="25"/>
      <c r="E201" s="10" t="str">
        <f t="shared" si="114"/>
        <v>MarçoSEMANA 1Bandeja Alumínio 220 ml cx 200 (Bolo)</v>
      </c>
      <c r="F201" s="7">
        <f>SUMIF(NF!$A:$A,$E201,NF!$I:$I)</f>
        <v>0</v>
      </c>
      <c r="G201" s="74"/>
      <c r="H201" s="74"/>
      <c r="I201" s="74"/>
      <c r="J201" s="6"/>
      <c r="K201" s="6"/>
      <c r="L201" s="6"/>
      <c r="M201" s="6"/>
      <c r="N201" s="7">
        <f t="shared" si="115"/>
        <v>0</v>
      </c>
      <c r="O201" s="11">
        <f t="shared" si="116"/>
        <v>200</v>
      </c>
      <c r="P201" s="25"/>
      <c r="Q201" s="10" t="str">
        <f t="shared" si="117"/>
        <v>MarçoSEMANA 2Bandeja Alumínio 220 ml cx 200 (Bolo)</v>
      </c>
      <c r="R201" s="7">
        <f>SUMIF(NF!$A:$A,$Q201,NF!$I:$I)</f>
        <v>0</v>
      </c>
      <c r="S201" s="6"/>
      <c r="T201" s="6"/>
      <c r="U201" s="6"/>
      <c r="V201" s="6"/>
      <c r="W201" s="6"/>
      <c r="X201" s="6"/>
      <c r="Y201" s="6"/>
      <c r="Z201" s="7">
        <f t="shared" si="118"/>
        <v>0</v>
      </c>
      <c r="AA201" s="11">
        <f t="shared" si="119"/>
        <v>200</v>
      </c>
      <c r="AB201" s="25"/>
      <c r="AC201" s="10" t="str">
        <f t="shared" si="120"/>
        <v>MarçoSEMANA 3Bandeja Alumínio 220 ml cx 200 (Bolo)</v>
      </c>
      <c r="AD201" s="7">
        <f>SUMIF(NF!$A:$A,$AC201,NF!$I:$I)</f>
        <v>0</v>
      </c>
      <c r="AE201" s="6"/>
      <c r="AF201" s="6"/>
      <c r="AG201" s="6"/>
      <c r="AH201" s="6"/>
      <c r="AI201" s="6"/>
      <c r="AJ201" s="6"/>
      <c r="AK201" s="6"/>
      <c r="AL201" s="7">
        <f t="shared" si="121"/>
        <v>0</v>
      </c>
      <c r="AM201" s="11">
        <f t="shared" si="122"/>
        <v>200</v>
      </c>
      <c r="AN201" s="25"/>
      <c r="AO201" s="10" t="str">
        <f t="shared" si="123"/>
        <v>MarçoSEMANA 4Bandeja Alumínio 220 ml cx 200 (Bolo)</v>
      </c>
      <c r="AP201" s="7">
        <f>SUMIF(NF!$A:$A,$AO201,NF!$I:$I)</f>
        <v>0</v>
      </c>
      <c r="AQ201" s="6"/>
      <c r="AR201" s="6"/>
      <c r="AS201" s="6"/>
      <c r="AT201" s="6"/>
      <c r="AU201" s="6"/>
      <c r="AV201" s="6"/>
      <c r="AW201" s="6"/>
      <c r="AX201" s="7">
        <f t="shared" si="124"/>
        <v>0</v>
      </c>
      <c r="AY201" s="11">
        <f t="shared" si="125"/>
        <v>200</v>
      </c>
      <c r="AZ201" s="25"/>
      <c r="BA201" s="10" t="str">
        <f t="shared" si="126"/>
        <v>MarçoSEMANA 5Bandeja Alumínio 220 ml cx 200 (Bolo)</v>
      </c>
      <c r="BB201" s="7">
        <f>SUMIF(NF!$A:$A,$BA201,NF!$I:$I)</f>
        <v>0</v>
      </c>
      <c r="BC201" s="6"/>
      <c r="BD201" s="6"/>
      <c r="BE201" s="6"/>
      <c r="BF201" s="6"/>
      <c r="BG201" s="6"/>
      <c r="BH201" s="6"/>
      <c r="BI201" s="74"/>
      <c r="BJ201" s="74"/>
      <c r="BK201" s="7">
        <f t="shared" si="127"/>
        <v>0</v>
      </c>
      <c r="BL201" s="8">
        <f t="shared" si="128"/>
        <v>200</v>
      </c>
      <c r="BM201" s="51" t="str">
        <f>IFERROR(VLOOKUP(A201,NF!$M:$O,3,0),"")</f>
        <v>Descartável</v>
      </c>
      <c r="BN201" s="7">
        <f t="shared" si="129"/>
        <v>0</v>
      </c>
      <c r="BO201" s="8">
        <f t="array" ref="BO201">IFERROR(LARGE(IF(NF!$G$2:$G$3137='Mês atual'!A201,NF!$J$2:$J$3137),1),0)*BN201</f>
        <v>0</v>
      </c>
      <c r="BP201" s="50"/>
      <c r="BR201" s="146">
        <f t="array" ref="BR201">IFERROR(LARGE(IF(NF!$G$2:$G$3137='Mês atual'!A201,NF!$J$2:$J$3137),1),0)</f>
        <v>0</v>
      </c>
      <c r="BS201" s="142" t="str">
        <f>VLOOKUP(A201,NF!M:O,3,0)</f>
        <v>Descartável</v>
      </c>
      <c r="BV201" s="74">
        <f t="shared" ref="BV201:BV271" si="130">N201</f>
        <v>0</v>
      </c>
      <c r="BW201" s="74">
        <f t="shared" ref="BW201:BW271" si="131">Z201</f>
        <v>0</v>
      </c>
      <c r="BX201" s="74">
        <f t="shared" ref="BX201:BX271" si="132">AL201</f>
        <v>0</v>
      </c>
      <c r="BY201" s="74">
        <f t="shared" ref="BY201:BY271" si="133">AX201</f>
        <v>0</v>
      </c>
      <c r="BZ201" s="74">
        <f t="shared" ref="BZ201:BZ271" si="134">BK201</f>
        <v>0</v>
      </c>
    </row>
    <row r="202" spans="1:78" x14ac:dyDescent="0.25">
      <c r="A202" s="108" t="s">
        <v>167</v>
      </c>
      <c r="B202" s="12"/>
      <c r="C202" s="9">
        <v>100</v>
      </c>
      <c r="D202" s="25"/>
      <c r="E202" s="10" t="str">
        <f t="shared" si="114"/>
        <v>MarçoSEMANA 1Bandeja Alumínio 3 Div. Cx 100</v>
      </c>
      <c r="F202" s="7">
        <f>SUMIF(NF!$A:$A,$E202,NF!$I:$I)</f>
        <v>0</v>
      </c>
      <c r="G202" s="74"/>
      <c r="H202" s="74"/>
      <c r="I202" s="74"/>
      <c r="J202" s="6"/>
      <c r="K202" s="6"/>
      <c r="L202" s="6"/>
      <c r="M202" s="6"/>
      <c r="N202" s="7">
        <f t="shared" si="115"/>
        <v>0</v>
      </c>
      <c r="O202" s="11">
        <f t="shared" si="116"/>
        <v>100</v>
      </c>
      <c r="P202" s="25"/>
      <c r="Q202" s="10" t="str">
        <f t="shared" si="117"/>
        <v>MarçoSEMANA 2Bandeja Alumínio 3 Div. Cx 100</v>
      </c>
      <c r="R202" s="7">
        <f>SUMIF(NF!$A:$A,$Q202,NF!$I:$I)</f>
        <v>0</v>
      </c>
      <c r="S202" s="6"/>
      <c r="T202" s="6"/>
      <c r="U202" s="6"/>
      <c r="V202" s="6"/>
      <c r="W202" s="6"/>
      <c r="X202" s="6"/>
      <c r="Y202" s="6"/>
      <c r="Z202" s="7">
        <f t="shared" si="118"/>
        <v>0</v>
      </c>
      <c r="AA202" s="11">
        <f t="shared" si="119"/>
        <v>100</v>
      </c>
      <c r="AB202" s="25"/>
      <c r="AC202" s="10" t="str">
        <f t="shared" si="120"/>
        <v>MarçoSEMANA 3Bandeja Alumínio 3 Div. Cx 100</v>
      </c>
      <c r="AD202" s="7">
        <f>SUMIF(NF!$A:$A,$AC202,NF!$I:$I)</f>
        <v>0</v>
      </c>
      <c r="AE202" s="6"/>
      <c r="AF202" s="6"/>
      <c r="AG202" s="6"/>
      <c r="AH202" s="6"/>
      <c r="AI202" s="6"/>
      <c r="AJ202" s="6"/>
      <c r="AK202" s="6"/>
      <c r="AL202" s="7">
        <f t="shared" si="121"/>
        <v>0</v>
      </c>
      <c r="AM202" s="11">
        <f t="shared" si="122"/>
        <v>100</v>
      </c>
      <c r="AN202" s="25"/>
      <c r="AO202" s="10" t="str">
        <f t="shared" si="123"/>
        <v>MarçoSEMANA 4Bandeja Alumínio 3 Div. Cx 100</v>
      </c>
      <c r="AP202" s="7">
        <f>SUMIF(NF!$A:$A,$AO202,NF!$I:$I)</f>
        <v>0</v>
      </c>
      <c r="AQ202" s="6"/>
      <c r="AR202" s="6"/>
      <c r="AS202" s="6"/>
      <c r="AT202" s="6"/>
      <c r="AU202" s="6"/>
      <c r="AV202" s="6"/>
      <c r="AW202" s="6"/>
      <c r="AX202" s="7">
        <f t="shared" si="124"/>
        <v>0</v>
      </c>
      <c r="AY202" s="11">
        <f t="shared" si="125"/>
        <v>100</v>
      </c>
      <c r="AZ202" s="25"/>
      <c r="BA202" s="10" t="str">
        <f t="shared" si="126"/>
        <v>MarçoSEMANA 5Bandeja Alumínio 3 Div. Cx 100</v>
      </c>
      <c r="BB202" s="7">
        <f>SUMIF(NF!$A:$A,$BA202,NF!$I:$I)</f>
        <v>0</v>
      </c>
      <c r="BC202" s="6"/>
      <c r="BD202" s="6">
        <v>100</v>
      </c>
      <c r="BE202" s="6"/>
      <c r="BF202" s="6"/>
      <c r="BG202" s="6"/>
      <c r="BH202" s="6"/>
      <c r="BI202" s="74"/>
      <c r="BJ202" s="74"/>
      <c r="BK202" s="7">
        <f t="shared" si="127"/>
        <v>100</v>
      </c>
      <c r="BL202" s="8">
        <f t="shared" si="128"/>
        <v>0</v>
      </c>
      <c r="BM202" s="51" t="str">
        <f>IFERROR(VLOOKUP(A202,NF!$M:$O,3,0),"")</f>
        <v>Descartável</v>
      </c>
      <c r="BN202" s="7">
        <f t="shared" si="129"/>
        <v>100</v>
      </c>
      <c r="BO202" s="8">
        <f t="array" ref="BO202">IFERROR(LARGE(IF(NF!$G$2:$G$3137='Mês atual'!A202,NF!$J$2:$J$3137),1),0)*BN202</f>
        <v>19170</v>
      </c>
      <c r="BP202" s="50"/>
      <c r="BR202" s="146">
        <f t="array" ref="BR202">IFERROR(LARGE(IF(NF!$G$2:$G$3137='Mês atual'!A202,NF!$J$2:$J$3137),1),0)</f>
        <v>191.7</v>
      </c>
      <c r="BS202" s="142" t="str">
        <f>VLOOKUP(A202,NF!M:O,3,0)</f>
        <v>Descartável</v>
      </c>
      <c r="BV202" s="74">
        <f t="shared" si="130"/>
        <v>0</v>
      </c>
      <c r="BW202" s="74">
        <f t="shared" si="131"/>
        <v>0</v>
      </c>
      <c r="BX202" s="74">
        <f t="shared" si="132"/>
        <v>0</v>
      </c>
      <c r="BY202" s="74">
        <f t="shared" si="133"/>
        <v>0</v>
      </c>
      <c r="BZ202" s="74">
        <f t="shared" si="134"/>
        <v>100</v>
      </c>
    </row>
    <row r="203" spans="1:78" x14ac:dyDescent="0.2">
      <c r="A203" s="108" t="s">
        <v>1055</v>
      </c>
      <c r="B203" s="12"/>
      <c r="C203" s="9">
        <v>0</v>
      </c>
      <c r="D203" s="25"/>
      <c r="E203" s="10" t="str">
        <f t="shared" si="114"/>
        <v>MarçoSEMANA 1Bandeja Grande Prata cx 150 (Natal)</v>
      </c>
      <c r="F203" s="7">
        <f>SUMIF(NF!$A:$A,$E203,NF!$I:$I)</f>
        <v>0</v>
      </c>
      <c r="G203" s="74"/>
      <c r="H203" s="74"/>
      <c r="I203" s="74"/>
      <c r="J203" s="6"/>
      <c r="K203" s="6"/>
      <c r="L203" s="6"/>
      <c r="M203" s="6"/>
      <c r="N203" s="7">
        <f>SUM(G203:M203)</f>
        <v>0</v>
      </c>
      <c r="O203" s="11">
        <f>F203+C203-N203</f>
        <v>0</v>
      </c>
      <c r="P203" s="25"/>
      <c r="Q203" s="10" t="str">
        <f t="shared" si="117"/>
        <v>MarçoSEMANA 2Bandeja Grande Prata cx 150 (Natal)</v>
      </c>
      <c r="R203" s="7">
        <f>SUMIF(NF!$A:$A,$Q203,NF!$I:$I)</f>
        <v>0</v>
      </c>
      <c r="S203" s="6"/>
      <c r="T203" s="6"/>
      <c r="U203" s="6"/>
      <c r="V203" s="6"/>
      <c r="W203" s="6"/>
      <c r="X203" s="6"/>
      <c r="Y203" s="6"/>
      <c r="Z203" s="7">
        <f>SUM(S203:Y203)</f>
        <v>0</v>
      </c>
      <c r="AA203" s="11">
        <f>R203+O203-Z203</f>
        <v>0</v>
      </c>
      <c r="AB203" s="25"/>
      <c r="AC203" s="10" t="str">
        <f t="shared" si="120"/>
        <v>MarçoSEMANA 3Bandeja Grande Prata cx 150 (Natal)</v>
      </c>
      <c r="AD203" s="7">
        <f>SUMIF(NF!$A:$A,$AC203,NF!$I:$I)</f>
        <v>0</v>
      </c>
      <c r="AE203" s="6"/>
      <c r="AF203" s="6"/>
      <c r="AG203" s="6"/>
      <c r="AH203" s="6"/>
      <c r="AI203" s="6"/>
      <c r="AJ203" s="6"/>
      <c r="AK203" s="6"/>
      <c r="AL203" s="7">
        <f>SUM(AE203:AK203)</f>
        <v>0</v>
      </c>
      <c r="AM203" s="11">
        <f>AD203+AA203-AL203</f>
        <v>0</v>
      </c>
      <c r="AN203" s="25"/>
      <c r="AO203" s="10" t="str">
        <f t="shared" si="123"/>
        <v>MarçoSEMANA 4Bandeja Grande Prata cx 150 (Natal)</v>
      </c>
      <c r="AP203" s="7">
        <f>SUMIF(NF!$A:$A,$AO203,NF!$I:$I)</f>
        <v>0</v>
      </c>
      <c r="AQ203" s="6"/>
      <c r="AR203" s="6"/>
      <c r="AS203" s="6"/>
      <c r="AT203" s="6"/>
      <c r="AU203" s="6"/>
      <c r="AV203" s="6"/>
      <c r="AW203" s="6"/>
      <c r="AX203" s="7">
        <f>SUM(AQ203:AW203)</f>
        <v>0</v>
      </c>
      <c r="AY203" s="11">
        <f>AP203+AM203-AX203</f>
        <v>0</v>
      </c>
      <c r="AZ203" s="25"/>
      <c r="BA203" s="10" t="str">
        <f t="shared" si="126"/>
        <v>MarçoSEMANA 5Bandeja Grande Prata cx 150 (Natal)</v>
      </c>
      <c r="BB203" s="7">
        <f>SUMIF(NF!$A:$A,$BA203,NF!$I:$I)</f>
        <v>0</v>
      </c>
      <c r="BC203" s="6"/>
      <c r="BD203" s="6"/>
      <c r="BE203" s="6"/>
      <c r="BF203" s="6"/>
      <c r="BG203" s="6"/>
      <c r="BH203" s="6"/>
      <c r="BI203" s="74"/>
      <c r="BJ203" s="74"/>
      <c r="BK203" s="7">
        <f>SUM(BC203:BJ203)</f>
        <v>0</v>
      </c>
      <c r="BL203" s="8">
        <f>BB203+AY203-BK203</f>
        <v>0</v>
      </c>
      <c r="BM203" s="51" t="str">
        <f>IFERROR(VLOOKUP(A203,NF!$M:$O,3,0),"")</f>
        <v>Descartável</v>
      </c>
      <c r="BN203" s="7">
        <f>SUM(N203,Z203,AL203,AX203,BK203)</f>
        <v>0</v>
      </c>
      <c r="BO203" s="8">
        <f t="array" ref="BO203">IFERROR(LARGE(IF(NF!$G$2:$G$3137='Mês atual'!A203,NF!$J$2:$J$3137),1),0)*BN203</f>
        <v>0</v>
      </c>
      <c r="BP203" s="50"/>
      <c r="BR203" s="146">
        <f t="array" ref="BR203">IFERROR(LARGE(IF(NF!$G$2:$G$3137='Mês atual'!A203,NF!$J$2:$J$3137),1),0)</f>
        <v>0</v>
      </c>
      <c r="BS203" s="142" t="str">
        <f>VLOOKUP(A203,NF!M:O,3,0)</f>
        <v>Descartável</v>
      </c>
      <c r="BV203" s="74">
        <f>N203</f>
        <v>0</v>
      </c>
      <c r="BW203" s="74">
        <f>Z203</f>
        <v>0</v>
      </c>
      <c r="BX203" s="74">
        <f>AL203</f>
        <v>0</v>
      </c>
      <c r="BY203" s="74">
        <f>AX203</f>
        <v>0</v>
      </c>
      <c r="BZ203" s="74">
        <f>BK203</f>
        <v>0</v>
      </c>
    </row>
    <row r="204" spans="1:78" x14ac:dyDescent="0.2">
      <c r="A204" s="108" t="s">
        <v>187</v>
      </c>
      <c r="B204" s="12"/>
      <c r="C204" s="9">
        <v>2</v>
      </c>
      <c r="D204" s="25"/>
      <c r="E204" s="10" t="str">
        <f t="shared" si="114"/>
        <v>MarçoSEMANA 1Bobina Picotada 25X35</v>
      </c>
      <c r="F204" s="7">
        <f>SUMIF(NF!$A:$A,$E204,NF!$I:$I)</f>
        <v>0</v>
      </c>
      <c r="G204" s="74"/>
      <c r="H204" s="74"/>
      <c r="I204" s="74"/>
      <c r="J204" s="6"/>
      <c r="K204" s="6"/>
      <c r="L204" s="6"/>
      <c r="M204" s="6"/>
      <c r="N204" s="7">
        <f t="shared" si="115"/>
        <v>0</v>
      </c>
      <c r="O204" s="11">
        <f t="shared" si="116"/>
        <v>2</v>
      </c>
      <c r="P204" s="25"/>
      <c r="Q204" s="10" t="str">
        <f t="shared" si="117"/>
        <v>MarçoSEMANA 2Bobina Picotada 25X35</v>
      </c>
      <c r="R204" s="7">
        <f>SUMIF(NF!$A:$A,$Q204,NF!$I:$I)</f>
        <v>0</v>
      </c>
      <c r="S204" s="6"/>
      <c r="T204" s="6"/>
      <c r="U204" s="6"/>
      <c r="V204" s="6"/>
      <c r="W204" s="6"/>
      <c r="X204" s="6"/>
      <c r="Y204" s="6"/>
      <c r="Z204" s="7">
        <f t="shared" si="118"/>
        <v>0</v>
      </c>
      <c r="AA204" s="11">
        <f t="shared" si="119"/>
        <v>2</v>
      </c>
      <c r="AB204" s="25"/>
      <c r="AC204" s="10" t="str">
        <f t="shared" si="120"/>
        <v>MarçoSEMANA 3Bobina Picotada 25X35</v>
      </c>
      <c r="AD204" s="7">
        <f>SUMIF(NF!$A:$A,$AC204,NF!$I:$I)</f>
        <v>0</v>
      </c>
      <c r="AE204" s="6"/>
      <c r="AF204" s="6"/>
      <c r="AG204" s="6"/>
      <c r="AH204" s="6"/>
      <c r="AI204" s="6"/>
      <c r="AJ204" s="6">
        <v>1</v>
      </c>
      <c r="AK204" s="6"/>
      <c r="AL204" s="7">
        <f t="shared" si="121"/>
        <v>1</v>
      </c>
      <c r="AM204" s="11">
        <f t="shared" si="122"/>
        <v>1</v>
      </c>
      <c r="AN204" s="25"/>
      <c r="AO204" s="10" t="str">
        <f t="shared" si="123"/>
        <v>MarçoSEMANA 4Bobina Picotada 25X35</v>
      </c>
      <c r="AP204" s="7">
        <f>SUMIF(NF!$A:$A,$AO204,NF!$I:$I)</f>
        <v>0</v>
      </c>
      <c r="AQ204" s="6"/>
      <c r="AR204" s="6"/>
      <c r="AS204" s="6"/>
      <c r="AT204" s="6"/>
      <c r="AU204" s="6"/>
      <c r="AV204" s="6"/>
      <c r="AW204" s="6"/>
      <c r="AX204" s="7">
        <f t="shared" si="124"/>
        <v>0</v>
      </c>
      <c r="AY204" s="11">
        <f t="shared" si="125"/>
        <v>1</v>
      </c>
      <c r="AZ204" s="25"/>
      <c r="BA204" s="10" t="str">
        <f t="shared" si="126"/>
        <v>MarçoSEMANA 5Bobina Picotada 25X35</v>
      </c>
      <c r="BB204" s="7">
        <f>SUMIF(NF!$A:$A,$BA204,NF!$I:$I)</f>
        <v>0</v>
      </c>
      <c r="BC204" s="6"/>
      <c r="BD204" s="6"/>
      <c r="BE204" s="6"/>
      <c r="BF204" s="6"/>
      <c r="BG204" s="6"/>
      <c r="BH204" s="6"/>
      <c r="BI204" s="74"/>
      <c r="BJ204" s="74"/>
      <c r="BK204" s="7">
        <f t="shared" si="127"/>
        <v>0</v>
      </c>
      <c r="BL204" s="8">
        <f t="shared" si="128"/>
        <v>1</v>
      </c>
      <c r="BM204" s="51" t="str">
        <f>IFERROR(VLOOKUP(A204,NF!$M:$O,3,0),"")</f>
        <v>Descartável</v>
      </c>
      <c r="BN204" s="7">
        <f t="shared" si="129"/>
        <v>1</v>
      </c>
      <c r="BO204" s="8">
        <f t="array" ref="BO204">IFERROR(LARGE(IF(NF!$G$2:$G$3137='Mês atual'!A204,NF!$J$2:$J$3137),1),0)*BN204</f>
        <v>0</v>
      </c>
      <c r="BP204" s="50"/>
      <c r="BR204" s="146">
        <f t="array" ref="BR204">IFERROR(LARGE(IF(NF!$G$2:$G$3137='Mês atual'!A204,NF!$J$2:$J$3137),1),0)</f>
        <v>0</v>
      </c>
      <c r="BS204" s="142" t="str">
        <f>VLOOKUP(A204,NF!M:O,3,0)</f>
        <v>Descartável</v>
      </c>
      <c r="BV204" s="74">
        <f t="shared" si="130"/>
        <v>0</v>
      </c>
      <c r="BW204" s="74">
        <f t="shared" si="131"/>
        <v>0</v>
      </c>
      <c r="BX204" s="74">
        <f t="shared" si="132"/>
        <v>1</v>
      </c>
      <c r="BY204" s="74">
        <f t="shared" si="133"/>
        <v>0</v>
      </c>
      <c r="BZ204" s="74">
        <f t="shared" si="134"/>
        <v>0</v>
      </c>
    </row>
    <row r="205" spans="1:78" x14ac:dyDescent="0.2">
      <c r="A205" s="108" t="s">
        <v>188</v>
      </c>
      <c r="B205" s="12"/>
      <c r="C205" s="9">
        <v>2</v>
      </c>
      <c r="D205" s="25"/>
      <c r="E205" s="10" t="str">
        <f t="shared" si="114"/>
        <v>MarçoSEMANA 1Bobina Picotada 30X40</v>
      </c>
      <c r="F205" s="7">
        <f>SUMIF(NF!$A:$A,$E205,NF!$I:$I)</f>
        <v>0</v>
      </c>
      <c r="G205" s="74"/>
      <c r="H205" s="74"/>
      <c r="I205" s="74"/>
      <c r="J205" s="6"/>
      <c r="K205" s="6"/>
      <c r="L205" s="6"/>
      <c r="M205" s="6"/>
      <c r="N205" s="7">
        <f t="shared" si="115"/>
        <v>0</v>
      </c>
      <c r="O205" s="11">
        <f t="shared" si="116"/>
        <v>2</v>
      </c>
      <c r="P205" s="25"/>
      <c r="Q205" s="10" t="str">
        <f t="shared" si="117"/>
        <v>MarçoSEMANA 2Bobina Picotada 30X40</v>
      </c>
      <c r="R205" s="7">
        <f>SUMIF(NF!$A:$A,$Q205,NF!$I:$I)</f>
        <v>1</v>
      </c>
      <c r="S205" s="6"/>
      <c r="T205" s="6"/>
      <c r="U205" s="6"/>
      <c r="V205" s="6">
        <v>2</v>
      </c>
      <c r="W205" s="6"/>
      <c r="X205" s="6"/>
      <c r="Y205" s="6"/>
      <c r="Z205" s="7">
        <f t="shared" si="118"/>
        <v>2</v>
      </c>
      <c r="AA205" s="11">
        <f t="shared" si="119"/>
        <v>1</v>
      </c>
      <c r="AB205" s="25"/>
      <c r="AC205" s="10" t="str">
        <f t="shared" si="120"/>
        <v>MarçoSEMANA 3Bobina Picotada 30X40</v>
      </c>
      <c r="AD205" s="7">
        <f>SUMIF(NF!$A:$A,$AC205,NF!$I:$I)</f>
        <v>2</v>
      </c>
      <c r="AE205" s="6"/>
      <c r="AF205" s="6"/>
      <c r="AG205" s="6"/>
      <c r="AH205" s="6"/>
      <c r="AI205" s="6"/>
      <c r="AJ205" s="6"/>
      <c r="AK205" s="6"/>
      <c r="AL205" s="7">
        <f t="shared" si="121"/>
        <v>0</v>
      </c>
      <c r="AM205" s="11">
        <f t="shared" si="122"/>
        <v>3</v>
      </c>
      <c r="AN205" s="25"/>
      <c r="AO205" s="10" t="str">
        <f t="shared" si="123"/>
        <v>MarçoSEMANA 4Bobina Picotada 30X40</v>
      </c>
      <c r="AP205" s="7">
        <f>SUMIF(NF!$A:$A,$AO205,NF!$I:$I)</f>
        <v>0</v>
      </c>
      <c r="AQ205" s="6"/>
      <c r="AR205" s="6">
        <v>1</v>
      </c>
      <c r="AS205" s="6"/>
      <c r="AT205" s="6"/>
      <c r="AU205" s="6"/>
      <c r="AV205" s="6"/>
      <c r="AW205" s="6"/>
      <c r="AX205" s="7">
        <f t="shared" si="124"/>
        <v>1</v>
      </c>
      <c r="AY205" s="11">
        <f t="shared" si="125"/>
        <v>2</v>
      </c>
      <c r="AZ205" s="25"/>
      <c r="BA205" s="10" t="str">
        <f t="shared" si="126"/>
        <v>MarçoSEMANA 5Bobina Picotada 30X40</v>
      </c>
      <c r="BB205" s="7">
        <f>SUMIF(NF!$A:$A,$BA205,NF!$I:$I)</f>
        <v>0</v>
      </c>
      <c r="BC205" s="6"/>
      <c r="BD205" s="6"/>
      <c r="BE205" s="6">
        <v>1</v>
      </c>
      <c r="BF205" s="6"/>
      <c r="BG205" s="6"/>
      <c r="BH205" s="6"/>
      <c r="BI205" s="74"/>
      <c r="BJ205" s="74"/>
      <c r="BK205" s="7">
        <f t="shared" si="127"/>
        <v>1</v>
      </c>
      <c r="BL205" s="8">
        <f t="shared" si="128"/>
        <v>1</v>
      </c>
      <c r="BM205" s="51" t="str">
        <f>IFERROR(VLOOKUP(A205,NF!$M:$O,3,0),"")</f>
        <v>Descartável</v>
      </c>
      <c r="BN205" s="7">
        <f t="shared" si="129"/>
        <v>4</v>
      </c>
      <c r="BO205" s="8">
        <f t="array" ref="BO205">IFERROR(LARGE(IF(NF!$G$2:$G$3137='Mês atual'!A205,NF!$J$2:$J$3137),1),0)*BN205</f>
        <v>47.88</v>
      </c>
      <c r="BP205" s="50"/>
      <c r="BR205" s="146">
        <f t="array" ref="BR205">IFERROR(LARGE(IF(NF!$G$2:$G$3137='Mês atual'!A205,NF!$J$2:$J$3137),1),0)</f>
        <v>11.97</v>
      </c>
      <c r="BS205" s="142" t="str">
        <f>VLOOKUP(A205,NF!M:O,3,0)</f>
        <v>Descartável</v>
      </c>
      <c r="BV205" s="74">
        <f t="shared" si="130"/>
        <v>0</v>
      </c>
      <c r="BW205" s="74">
        <f t="shared" si="131"/>
        <v>2</v>
      </c>
      <c r="BX205" s="74">
        <f t="shared" si="132"/>
        <v>0</v>
      </c>
      <c r="BY205" s="74">
        <f t="shared" si="133"/>
        <v>1</v>
      </c>
      <c r="BZ205" s="74">
        <f t="shared" si="134"/>
        <v>1</v>
      </c>
    </row>
    <row r="206" spans="1:78" x14ac:dyDescent="0.2">
      <c r="A206" s="108" t="s">
        <v>189</v>
      </c>
      <c r="B206" s="12"/>
      <c r="C206" s="9">
        <v>3</v>
      </c>
      <c r="D206" s="25"/>
      <c r="E206" s="10" t="str">
        <f t="shared" si="114"/>
        <v>MarçoSEMANA 1Bobina Picotada 40X50</v>
      </c>
      <c r="F206" s="7">
        <f>SUMIF(NF!$A:$A,$E206,NF!$I:$I)</f>
        <v>0</v>
      </c>
      <c r="G206" s="74"/>
      <c r="H206" s="74"/>
      <c r="I206" s="74"/>
      <c r="J206" s="6"/>
      <c r="K206" s="6"/>
      <c r="L206" s="6"/>
      <c r="M206" s="6">
        <v>1</v>
      </c>
      <c r="N206" s="7">
        <f t="shared" si="115"/>
        <v>1</v>
      </c>
      <c r="O206" s="11">
        <f t="shared" si="116"/>
        <v>2</v>
      </c>
      <c r="P206" s="25"/>
      <c r="Q206" s="10" t="str">
        <f t="shared" si="117"/>
        <v>MarçoSEMANA 2Bobina Picotada 40X50</v>
      </c>
      <c r="R206" s="7">
        <f>SUMIF(NF!$A:$A,$Q206,NF!$I:$I)</f>
        <v>3</v>
      </c>
      <c r="S206" s="6"/>
      <c r="T206" s="6"/>
      <c r="U206" s="6"/>
      <c r="V206" s="6">
        <v>1</v>
      </c>
      <c r="W206" s="6"/>
      <c r="X206" s="6"/>
      <c r="Y206" s="6"/>
      <c r="Z206" s="7">
        <f t="shared" si="118"/>
        <v>1</v>
      </c>
      <c r="AA206" s="11">
        <f t="shared" si="119"/>
        <v>4</v>
      </c>
      <c r="AB206" s="25"/>
      <c r="AC206" s="10" t="str">
        <f t="shared" si="120"/>
        <v>MarçoSEMANA 3Bobina Picotada 40X50</v>
      </c>
      <c r="AD206" s="7">
        <f>SUMIF(NF!$A:$A,$AC206,NF!$I:$I)</f>
        <v>3</v>
      </c>
      <c r="AE206" s="6"/>
      <c r="AF206" s="6">
        <v>1</v>
      </c>
      <c r="AG206" s="6"/>
      <c r="AH206" s="6"/>
      <c r="AI206" s="6"/>
      <c r="AJ206" s="6">
        <v>1</v>
      </c>
      <c r="AK206" s="6"/>
      <c r="AL206" s="7">
        <f t="shared" si="121"/>
        <v>2</v>
      </c>
      <c r="AM206" s="11">
        <f t="shared" si="122"/>
        <v>5</v>
      </c>
      <c r="AN206" s="25"/>
      <c r="AO206" s="10" t="str">
        <f t="shared" si="123"/>
        <v>MarçoSEMANA 4Bobina Picotada 40X50</v>
      </c>
      <c r="AP206" s="7">
        <f>SUMIF(NF!$A:$A,$AO206,NF!$I:$I)</f>
        <v>0</v>
      </c>
      <c r="AQ206" s="6"/>
      <c r="AR206" s="6"/>
      <c r="AS206" s="6"/>
      <c r="AT206" s="6">
        <v>1</v>
      </c>
      <c r="AU206" s="6"/>
      <c r="AV206" s="6"/>
      <c r="AW206" s="6"/>
      <c r="AX206" s="7">
        <f t="shared" si="124"/>
        <v>1</v>
      </c>
      <c r="AY206" s="11">
        <f t="shared" si="125"/>
        <v>4</v>
      </c>
      <c r="AZ206" s="25"/>
      <c r="BA206" s="10" t="str">
        <f t="shared" si="126"/>
        <v>MarçoSEMANA 5Bobina Picotada 40X50</v>
      </c>
      <c r="BB206" s="7">
        <f>SUMIF(NF!$A:$A,$BA206,NF!$I:$I)</f>
        <v>0</v>
      </c>
      <c r="BC206" s="6"/>
      <c r="BD206" s="6">
        <v>1</v>
      </c>
      <c r="BE206" s="6"/>
      <c r="BF206" s="6"/>
      <c r="BG206" s="6"/>
      <c r="BH206" s="6"/>
      <c r="BI206" s="74"/>
      <c r="BJ206" s="74"/>
      <c r="BK206" s="7">
        <f t="shared" si="127"/>
        <v>1</v>
      </c>
      <c r="BL206" s="8">
        <f t="shared" si="128"/>
        <v>3</v>
      </c>
      <c r="BM206" s="51" t="str">
        <f>IFERROR(VLOOKUP(A206,NF!$M:$O,3,0),"")</f>
        <v>Descartável</v>
      </c>
      <c r="BN206" s="7">
        <f t="shared" si="129"/>
        <v>6</v>
      </c>
      <c r="BO206" s="8">
        <f t="array" ref="BO206">IFERROR(LARGE(IF(NF!$G$2:$G$3137='Mês atual'!A206,NF!$J$2:$J$3137),1),0)*BN206</f>
        <v>118.44</v>
      </c>
      <c r="BP206" s="50"/>
      <c r="BR206" s="146">
        <f t="array" ref="BR206">IFERROR(LARGE(IF(NF!$G$2:$G$3137='Mês atual'!A206,NF!$J$2:$J$3137),1),0)</f>
        <v>19.739999999999998</v>
      </c>
      <c r="BS206" s="142" t="str">
        <f>VLOOKUP(A206,NF!M:O,3,0)</f>
        <v>Descartável</v>
      </c>
      <c r="BV206" s="74">
        <f t="shared" si="130"/>
        <v>1</v>
      </c>
      <c r="BW206" s="74">
        <f t="shared" si="131"/>
        <v>1</v>
      </c>
      <c r="BX206" s="74">
        <f t="shared" si="132"/>
        <v>2</v>
      </c>
      <c r="BY206" s="74">
        <f t="shared" si="133"/>
        <v>1</v>
      </c>
      <c r="BZ206" s="74">
        <f t="shared" si="134"/>
        <v>1</v>
      </c>
    </row>
    <row r="207" spans="1:78" x14ac:dyDescent="0.2">
      <c r="A207" s="108" t="s">
        <v>190</v>
      </c>
      <c r="B207" s="12"/>
      <c r="C207" s="9">
        <v>0</v>
      </c>
      <c r="D207" s="25"/>
      <c r="E207" s="10" t="str">
        <f t="shared" si="114"/>
        <v>MarçoSEMANA 1Bobina Picotada 40X60</v>
      </c>
      <c r="F207" s="7">
        <f>SUMIF(NF!$A:$A,$E207,NF!$I:$I)</f>
        <v>0</v>
      </c>
      <c r="G207" s="74"/>
      <c r="H207" s="74"/>
      <c r="I207" s="74"/>
      <c r="J207" s="6"/>
      <c r="K207" s="6"/>
      <c r="L207" s="6"/>
      <c r="M207" s="6"/>
      <c r="N207" s="7">
        <f t="shared" si="115"/>
        <v>0</v>
      </c>
      <c r="O207" s="11">
        <f t="shared" si="116"/>
        <v>0</v>
      </c>
      <c r="P207" s="25"/>
      <c r="Q207" s="10" t="str">
        <f t="shared" si="117"/>
        <v>MarçoSEMANA 2Bobina Picotada 40X60</v>
      </c>
      <c r="R207" s="7">
        <f>SUMIF(NF!$A:$A,$Q207,NF!$I:$I)</f>
        <v>0</v>
      </c>
      <c r="S207" s="6"/>
      <c r="T207" s="6"/>
      <c r="U207" s="6"/>
      <c r="V207" s="6"/>
      <c r="W207" s="6"/>
      <c r="X207" s="6"/>
      <c r="Y207" s="6"/>
      <c r="Z207" s="7">
        <f t="shared" si="118"/>
        <v>0</v>
      </c>
      <c r="AA207" s="11">
        <f t="shared" si="119"/>
        <v>0</v>
      </c>
      <c r="AB207" s="25"/>
      <c r="AC207" s="10" t="str">
        <f t="shared" si="120"/>
        <v>MarçoSEMANA 3Bobina Picotada 40X60</v>
      </c>
      <c r="AD207" s="7">
        <f>SUMIF(NF!$A:$A,$AC207,NF!$I:$I)</f>
        <v>0</v>
      </c>
      <c r="AE207" s="6"/>
      <c r="AF207" s="6"/>
      <c r="AG207" s="6"/>
      <c r="AH207" s="6"/>
      <c r="AI207" s="6"/>
      <c r="AJ207" s="6"/>
      <c r="AK207" s="6"/>
      <c r="AL207" s="7">
        <f t="shared" si="121"/>
        <v>0</v>
      </c>
      <c r="AM207" s="11">
        <f t="shared" si="122"/>
        <v>0</v>
      </c>
      <c r="AN207" s="25"/>
      <c r="AO207" s="10" t="str">
        <f t="shared" si="123"/>
        <v>MarçoSEMANA 4Bobina Picotada 40X60</v>
      </c>
      <c r="AP207" s="7">
        <f>SUMIF(NF!$A:$A,$AO207,NF!$I:$I)</f>
        <v>0</v>
      </c>
      <c r="AQ207" s="6"/>
      <c r="AR207" s="6"/>
      <c r="AS207" s="6"/>
      <c r="AT207" s="6"/>
      <c r="AU207" s="6"/>
      <c r="AV207" s="6"/>
      <c r="AW207" s="6"/>
      <c r="AX207" s="7">
        <f t="shared" si="124"/>
        <v>0</v>
      </c>
      <c r="AY207" s="11">
        <f t="shared" si="125"/>
        <v>0</v>
      </c>
      <c r="AZ207" s="25"/>
      <c r="BA207" s="10" t="str">
        <f t="shared" si="126"/>
        <v>MarçoSEMANA 5Bobina Picotada 40X60</v>
      </c>
      <c r="BB207" s="7">
        <f>SUMIF(NF!$A:$A,$BA207,NF!$I:$I)</f>
        <v>0</v>
      </c>
      <c r="BC207" s="6"/>
      <c r="BD207" s="6"/>
      <c r="BE207" s="6"/>
      <c r="BF207" s="6"/>
      <c r="BG207" s="6"/>
      <c r="BH207" s="6"/>
      <c r="BI207" s="74"/>
      <c r="BJ207" s="74"/>
      <c r="BK207" s="7">
        <f t="shared" si="127"/>
        <v>0</v>
      </c>
      <c r="BL207" s="8">
        <f t="shared" si="128"/>
        <v>0</v>
      </c>
      <c r="BM207" s="51" t="str">
        <f>IFERROR(VLOOKUP(A207,NF!$M:$O,3,0),"")</f>
        <v>Descartável</v>
      </c>
      <c r="BN207" s="7">
        <f t="shared" si="129"/>
        <v>0</v>
      </c>
      <c r="BO207" s="8">
        <f t="array" ref="BO207">IFERROR(LARGE(IF(NF!$G$2:$G$3137='Mês atual'!A207,NF!$J$2:$J$3137),1),0)*BN207</f>
        <v>0</v>
      </c>
      <c r="BP207" s="50"/>
      <c r="BR207" s="146">
        <f t="array" ref="BR207">IFERROR(LARGE(IF(NF!$G$2:$G$3137='Mês atual'!A207,NF!$J$2:$J$3137),1),0)</f>
        <v>0</v>
      </c>
      <c r="BS207" s="142" t="str">
        <f>VLOOKUP(A207,NF!M:O,3,0)</f>
        <v>Descartável</v>
      </c>
      <c r="BV207" s="74">
        <f t="shared" si="130"/>
        <v>0</v>
      </c>
      <c r="BW207" s="74">
        <f t="shared" si="131"/>
        <v>0</v>
      </c>
      <c r="BX207" s="74">
        <f t="shared" si="132"/>
        <v>0</v>
      </c>
      <c r="BY207" s="74">
        <f t="shared" si="133"/>
        <v>0</v>
      </c>
      <c r="BZ207" s="74">
        <f t="shared" si="134"/>
        <v>0</v>
      </c>
    </row>
    <row r="208" spans="1:78" x14ac:dyDescent="0.2">
      <c r="A208" s="108" t="s">
        <v>1004</v>
      </c>
      <c r="B208" s="12"/>
      <c r="C208" s="9">
        <v>0</v>
      </c>
      <c r="D208" s="25"/>
      <c r="E208" s="10" t="str">
        <f t="shared" si="114"/>
        <v>MarçoSEMANA 1Caixa Parda p/ Quiche</v>
      </c>
      <c r="F208" s="7">
        <f>SUMIF(NF!$A:$A,$E208,NF!$I:$I)</f>
        <v>0</v>
      </c>
      <c r="G208" s="74"/>
      <c r="H208" s="74"/>
      <c r="I208" s="74"/>
      <c r="J208" s="6"/>
      <c r="K208" s="6"/>
      <c r="L208" s="6"/>
      <c r="M208" s="6"/>
      <c r="N208" s="7">
        <f>SUM(G208:M208)</f>
        <v>0</v>
      </c>
      <c r="O208" s="11">
        <f>F208+C208-N208</f>
        <v>0</v>
      </c>
      <c r="P208" s="25"/>
      <c r="Q208" s="10" t="str">
        <f t="shared" si="117"/>
        <v>MarçoSEMANA 2Caixa Parda p/ Quiche</v>
      </c>
      <c r="R208" s="7">
        <f>SUMIF(NF!$A:$A,$Q208,NF!$I:$I)</f>
        <v>0</v>
      </c>
      <c r="S208" s="6"/>
      <c r="T208" s="6"/>
      <c r="U208" s="6"/>
      <c r="V208" s="6"/>
      <c r="W208" s="6"/>
      <c r="X208" s="6"/>
      <c r="Y208" s="6"/>
      <c r="Z208" s="7">
        <f>SUM(S208:Y208)</f>
        <v>0</v>
      </c>
      <c r="AA208" s="11">
        <f>R208+O208-Z208</f>
        <v>0</v>
      </c>
      <c r="AB208" s="25"/>
      <c r="AC208" s="10" t="str">
        <f t="shared" si="120"/>
        <v>MarçoSEMANA 3Caixa Parda p/ Quiche</v>
      </c>
      <c r="AD208" s="7">
        <f>SUMIF(NF!$A:$A,$AC208,NF!$I:$I)</f>
        <v>0</v>
      </c>
      <c r="AE208" s="6"/>
      <c r="AF208" s="6"/>
      <c r="AG208" s="6"/>
      <c r="AH208" s="6"/>
      <c r="AI208" s="6"/>
      <c r="AJ208" s="6"/>
      <c r="AK208" s="6"/>
      <c r="AL208" s="7">
        <f>SUM(AE208:AK208)</f>
        <v>0</v>
      </c>
      <c r="AM208" s="11">
        <f>AD208+AA208-AL208</f>
        <v>0</v>
      </c>
      <c r="AN208" s="25"/>
      <c r="AO208" s="10" t="str">
        <f t="shared" si="123"/>
        <v>MarçoSEMANA 4Caixa Parda p/ Quiche</v>
      </c>
      <c r="AP208" s="7">
        <f>SUMIF(NF!$A:$A,$AO208,NF!$I:$I)</f>
        <v>0</v>
      </c>
      <c r="AQ208" s="6"/>
      <c r="AR208" s="6"/>
      <c r="AS208" s="6"/>
      <c r="AT208" s="6"/>
      <c r="AU208" s="6"/>
      <c r="AV208" s="6"/>
      <c r="AW208" s="6"/>
      <c r="AX208" s="7">
        <f>SUM(AQ208:AW208)</f>
        <v>0</v>
      </c>
      <c r="AY208" s="11">
        <f>AP208+AM208-AX208</f>
        <v>0</v>
      </c>
      <c r="AZ208" s="25"/>
      <c r="BA208" s="10" t="str">
        <f t="shared" si="126"/>
        <v>MarçoSEMANA 5Caixa Parda p/ Quiche</v>
      </c>
      <c r="BB208" s="7">
        <f>SUMIF(NF!$A:$A,$BA208,NF!$I:$I)</f>
        <v>0</v>
      </c>
      <c r="BC208" s="6"/>
      <c r="BD208" s="6"/>
      <c r="BE208" s="6"/>
      <c r="BF208" s="6"/>
      <c r="BG208" s="6"/>
      <c r="BH208" s="6"/>
      <c r="BI208" s="74"/>
      <c r="BJ208" s="74"/>
      <c r="BK208" s="7">
        <f>SUM(BC208:BJ208)</f>
        <v>0</v>
      </c>
      <c r="BL208" s="8">
        <f>BB208+AY208-BK208</f>
        <v>0</v>
      </c>
      <c r="BM208" s="51" t="str">
        <f>IFERROR(VLOOKUP(A208,NF!$M:$O,3,0),"")</f>
        <v>Descartável</v>
      </c>
      <c r="BN208" s="7">
        <f>SUM(N208,Z208,AL208,AX208,BK208)</f>
        <v>0</v>
      </c>
      <c r="BO208" s="8">
        <f t="array" ref="BO208">IFERROR(LARGE(IF(NF!$G$2:$G$3137='Mês atual'!A208,NF!$J$2:$J$3137),1),0)*BN208</f>
        <v>0</v>
      </c>
      <c r="BP208" s="50"/>
      <c r="BR208" s="146">
        <f t="array" ref="BR208">IFERROR(LARGE(IF(NF!$G$2:$G$3137='Mês atual'!A208,NF!$J$2:$J$3137),1),0)</f>
        <v>0</v>
      </c>
      <c r="BS208" s="142" t="str">
        <f>VLOOKUP(A208,NF!M:O,3,0)</f>
        <v>Descartável</v>
      </c>
      <c r="BV208" s="74">
        <f t="shared" si="130"/>
        <v>0</v>
      </c>
      <c r="BW208" s="74">
        <f t="shared" si="131"/>
        <v>0</v>
      </c>
      <c r="BX208" s="74">
        <f t="shared" si="132"/>
        <v>0</v>
      </c>
      <c r="BY208" s="74">
        <f t="shared" si="133"/>
        <v>0</v>
      </c>
      <c r="BZ208" s="74">
        <f t="shared" si="134"/>
        <v>0</v>
      </c>
    </row>
    <row r="209" spans="1:78" x14ac:dyDescent="0.2">
      <c r="A209" s="108" t="s">
        <v>209</v>
      </c>
      <c r="B209" s="12"/>
      <c r="C209" s="9">
        <f>5*500</f>
        <v>2500</v>
      </c>
      <c r="D209" s="25"/>
      <c r="E209" s="10" t="str">
        <f t="shared" si="114"/>
        <v>MarçoSEMANA 1Canudo Embalado</v>
      </c>
      <c r="F209" s="7">
        <f>SUMIF(NF!$A:$A,$E209,NF!$I:$I)</f>
        <v>0</v>
      </c>
      <c r="G209" s="74"/>
      <c r="H209" s="74"/>
      <c r="I209" s="74"/>
      <c r="J209" s="6"/>
      <c r="K209" s="6"/>
      <c r="L209" s="6">
        <v>500</v>
      </c>
      <c r="M209" s="6"/>
      <c r="N209" s="7">
        <f t="shared" si="115"/>
        <v>500</v>
      </c>
      <c r="O209" s="11">
        <f t="shared" si="116"/>
        <v>2000</v>
      </c>
      <c r="P209" s="25"/>
      <c r="Q209" s="10" t="str">
        <f t="shared" si="117"/>
        <v>MarçoSEMANA 2Canudo Embalado</v>
      </c>
      <c r="R209" s="7">
        <f>SUMIF(NF!$A:$A,$Q209,NF!$I:$I)</f>
        <v>0</v>
      </c>
      <c r="S209" s="6"/>
      <c r="T209" s="6"/>
      <c r="U209" s="6"/>
      <c r="V209" s="6"/>
      <c r="W209" s="6"/>
      <c r="X209" s="6"/>
      <c r="Y209" s="6"/>
      <c r="Z209" s="7">
        <f t="shared" si="118"/>
        <v>0</v>
      </c>
      <c r="AA209" s="11">
        <f t="shared" si="119"/>
        <v>2000</v>
      </c>
      <c r="AB209" s="25"/>
      <c r="AC209" s="10" t="str">
        <f t="shared" si="120"/>
        <v>MarçoSEMANA 3Canudo Embalado</v>
      </c>
      <c r="AD209" s="7">
        <f>SUMIF(NF!$A:$A,$AC209,NF!$I:$I)</f>
        <v>3000</v>
      </c>
      <c r="AE209" s="6">
        <v>500</v>
      </c>
      <c r="AF209" s="6"/>
      <c r="AG209" s="6"/>
      <c r="AH209" s="6"/>
      <c r="AI209" s="6"/>
      <c r="AJ209" s="6"/>
      <c r="AK209" s="6"/>
      <c r="AL209" s="7">
        <f t="shared" si="121"/>
        <v>500</v>
      </c>
      <c r="AM209" s="11">
        <f t="shared" si="122"/>
        <v>4500</v>
      </c>
      <c r="AN209" s="25"/>
      <c r="AO209" s="10" t="str">
        <f t="shared" si="123"/>
        <v>MarçoSEMANA 4Canudo Embalado</v>
      </c>
      <c r="AP209" s="7">
        <f>SUMIF(NF!$A:$A,$AO209,NF!$I:$I)</f>
        <v>0</v>
      </c>
      <c r="AQ209" s="6"/>
      <c r="AR209" s="6"/>
      <c r="AS209" s="6"/>
      <c r="AT209" s="6"/>
      <c r="AU209" s="6"/>
      <c r="AV209" s="6"/>
      <c r="AW209" s="6">
        <v>500</v>
      </c>
      <c r="AX209" s="7">
        <f t="shared" si="124"/>
        <v>500</v>
      </c>
      <c r="AY209" s="11">
        <f t="shared" si="125"/>
        <v>4000</v>
      </c>
      <c r="AZ209" s="25"/>
      <c r="BA209" s="10" t="str">
        <f t="shared" si="126"/>
        <v>MarçoSEMANA 5Canudo Embalado</v>
      </c>
      <c r="BB209" s="7">
        <f>SUMIF(NF!$A:$A,$BA209,NF!$I:$I)</f>
        <v>0</v>
      </c>
      <c r="BC209" s="6"/>
      <c r="BD209" s="6"/>
      <c r="BE209" s="6"/>
      <c r="BF209" s="6"/>
      <c r="BG209" s="6"/>
      <c r="BH209" s="6"/>
      <c r="BI209" s="74"/>
      <c r="BJ209" s="74"/>
      <c r="BK209" s="7">
        <f t="shared" si="127"/>
        <v>0</v>
      </c>
      <c r="BL209" s="8">
        <f t="shared" si="128"/>
        <v>4000</v>
      </c>
      <c r="BM209" s="51" t="str">
        <f>IFERROR(VLOOKUP(A209,NF!$M:$O,3,0),"")</f>
        <v>Descartável</v>
      </c>
      <c r="BN209" s="7">
        <f t="shared" si="129"/>
        <v>1500</v>
      </c>
      <c r="BO209" s="8">
        <f t="array" ref="BO209">IFERROR(LARGE(IF(NF!$G$2:$G$3137='Mês atual'!A209,NF!$J$2:$J$3137),1),0)*BN209</f>
        <v>14.55</v>
      </c>
      <c r="BP209" s="50"/>
      <c r="BR209" s="146">
        <f t="array" ref="BR209">IFERROR(LARGE(IF(NF!$G$2:$G$3137='Mês atual'!A209,NF!$J$2:$J$3137),1),0)</f>
        <v>9.7000000000000003E-3</v>
      </c>
      <c r="BS209" s="142" t="str">
        <f>VLOOKUP(A209,NF!M:O,3,0)</f>
        <v>Descartável</v>
      </c>
      <c r="BV209" s="74">
        <f t="shared" si="130"/>
        <v>500</v>
      </c>
      <c r="BW209" s="74">
        <f t="shared" si="131"/>
        <v>0</v>
      </c>
      <c r="BX209" s="74">
        <f t="shared" si="132"/>
        <v>500</v>
      </c>
      <c r="BY209" s="74">
        <f t="shared" si="133"/>
        <v>500</v>
      </c>
      <c r="BZ209" s="74">
        <f t="shared" si="134"/>
        <v>0</v>
      </c>
    </row>
    <row r="210" spans="1:78" x14ac:dyDescent="0.25">
      <c r="A210" s="108" t="s">
        <v>886</v>
      </c>
      <c r="B210" s="12"/>
      <c r="C210" s="9">
        <v>2</v>
      </c>
      <c r="D210" s="25"/>
      <c r="E210" s="10" t="str">
        <f t="shared" si="114"/>
        <v>MarçoSEMANA 1Coador Chá Verde</v>
      </c>
      <c r="F210" s="7">
        <f>SUMIF(NF!$A:$A,$E210,NF!$I:$I)</f>
        <v>0</v>
      </c>
      <c r="G210" s="74"/>
      <c r="H210" s="74"/>
      <c r="I210" s="74"/>
      <c r="J210" s="6"/>
      <c r="K210" s="6"/>
      <c r="L210" s="6"/>
      <c r="M210" s="6"/>
      <c r="N210" s="7">
        <f t="shared" si="115"/>
        <v>0</v>
      </c>
      <c r="O210" s="11">
        <f t="shared" si="116"/>
        <v>2</v>
      </c>
      <c r="P210" s="25"/>
      <c r="Q210" s="10" t="str">
        <f t="shared" si="117"/>
        <v>MarçoSEMANA 2Coador Chá Verde</v>
      </c>
      <c r="R210" s="7">
        <f>SUMIF(NF!$A:$A,$Q210,NF!$I:$I)</f>
        <v>0</v>
      </c>
      <c r="S210" s="6"/>
      <c r="T210" s="6"/>
      <c r="U210" s="6"/>
      <c r="V210" s="6"/>
      <c r="W210" s="6"/>
      <c r="X210" s="6"/>
      <c r="Y210" s="6"/>
      <c r="Z210" s="7">
        <f t="shared" si="118"/>
        <v>0</v>
      </c>
      <c r="AA210" s="11">
        <f t="shared" si="119"/>
        <v>2</v>
      </c>
      <c r="AB210" s="25"/>
      <c r="AC210" s="10" t="str">
        <f t="shared" si="120"/>
        <v>MarçoSEMANA 3Coador Chá Verde</v>
      </c>
      <c r="AD210" s="7">
        <f>SUMIF(NF!$A:$A,$AC210,NF!$I:$I)</f>
        <v>0</v>
      </c>
      <c r="AE210" s="6"/>
      <c r="AF210" s="6"/>
      <c r="AG210" s="6">
        <v>1</v>
      </c>
      <c r="AH210" s="6"/>
      <c r="AI210" s="6"/>
      <c r="AJ210" s="6"/>
      <c r="AK210" s="6"/>
      <c r="AL210" s="7">
        <f t="shared" si="121"/>
        <v>1</v>
      </c>
      <c r="AM210" s="11">
        <f t="shared" si="122"/>
        <v>1</v>
      </c>
      <c r="AN210" s="25"/>
      <c r="AO210" s="10" t="str">
        <f t="shared" si="123"/>
        <v>MarçoSEMANA 4Coador Chá Verde</v>
      </c>
      <c r="AP210" s="7">
        <f>SUMIF(NF!$A:$A,$AO210,NF!$I:$I)</f>
        <v>0</v>
      </c>
      <c r="AQ210" s="6"/>
      <c r="AR210" s="6"/>
      <c r="AS210" s="6"/>
      <c r="AT210" s="6"/>
      <c r="AU210" s="6"/>
      <c r="AV210" s="6"/>
      <c r="AW210" s="6"/>
      <c r="AX210" s="7">
        <f t="shared" si="124"/>
        <v>0</v>
      </c>
      <c r="AY210" s="11">
        <f t="shared" si="125"/>
        <v>1</v>
      </c>
      <c r="AZ210" s="25"/>
      <c r="BA210" s="10" t="str">
        <f t="shared" si="126"/>
        <v>MarçoSEMANA 5Coador Chá Verde</v>
      </c>
      <c r="BB210" s="7">
        <f>SUMIF(NF!$A:$A,$BA210,NF!$I:$I)</f>
        <v>0</v>
      </c>
      <c r="BC210" s="6"/>
      <c r="BD210" s="6"/>
      <c r="BE210" s="6"/>
      <c r="BF210" s="6"/>
      <c r="BG210" s="6"/>
      <c r="BH210" s="6"/>
      <c r="BI210" s="74"/>
      <c r="BJ210" s="74"/>
      <c r="BK210" s="7">
        <f t="shared" si="127"/>
        <v>0</v>
      </c>
      <c r="BL210" s="8">
        <f t="shared" si="128"/>
        <v>1</v>
      </c>
      <c r="BM210" s="51" t="str">
        <f>IFERROR(VLOOKUP(A210,NF!$M:$O,3,0),"")</f>
        <v>Descartável</v>
      </c>
      <c r="BN210" s="7">
        <f t="shared" si="129"/>
        <v>1</v>
      </c>
      <c r="BO210" s="8">
        <f t="array" ref="BO210">IFERROR(LARGE(IF(NF!$G$2:$G$3137='Mês atual'!A210,NF!$J$2:$J$3137),1),0)*BN210</f>
        <v>0</v>
      </c>
      <c r="BP210" s="50"/>
      <c r="BR210" s="146">
        <f t="array" ref="BR210">IFERROR(LARGE(IF(NF!$G$2:$G$3137='Mês atual'!A210,NF!$J$2:$J$3137),1),0)</f>
        <v>0</v>
      </c>
      <c r="BS210" s="142" t="str">
        <f>VLOOKUP(A210,NF!M:O,3,0)</f>
        <v>Descartável</v>
      </c>
      <c r="BV210" s="74">
        <f t="shared" si="130"/>
        <v>0</v>
      </c>
      <c r="BW210" s="74">
        <f t="shared" si="131"/>
        <v>0</v>
      </c>
      <c r="BX210" s="74">
        <f t="shared" si="132"/>
        <v>1</v>
      </c>
      <c r="BY210" s="74">
        <f t="shared" si="133"/>
        <v>0</v>
      </c>
      <c r="BZ210" s="74">
        <f t="shared" si="134"/>
        <v>0</v>
      </c>
    </row>
    <row r="211" spans="1:78" x14ac:dyDescent="0.25">
      <c r="A211" s="108" t="s">
        <v>294</v>
      </c>
      <c r="B211" s="12"/>
      <c r="C211" s="9">
        <v>680</v>
      </c>
      <c r="D211" s="25"/>
      <c r="E211" s="10" t="str">
        <f t="shared" si="114"/>
        <v>MarçoSEMANA 1Colher Descartável Nobre Cristal</v>
      </c>
      <c r="F211" s="7">
        <f>SUMIF(NF!$A:$A,$E211,NF!$I:$I)</f>
        <v>0</v>
      </c>
      <c r="G211" s="74"/>
      <c r="H211" s="74"/>
      <c r="I211" s="74"/>
      <c r="J211" s="6">
        <f>3*40</f>
        <v>120</v>
      </c>
      <c r="K211" s="6">
        <v>80</v>
      </c>
      <c r="L211" s="6"/>
      <c r="M211" s="6"/>
      <c r="N211" s="7">
        <f t="shared" si="115"/>
        <v>200</v>
      </c>
      <c r="O211" s="11">
        <f t="shared" si="116"/>
        <v>480</v>
      </c>
      <c r="P211" s="25"/>
      <c r="Q211" s="10" t="str">
        <f t="shared" si="117"/>
        <v>MarçoSEMANA 2Colher Descartável Nobre Cristal</v>
      </c>
      <c r="R211" s="7">
        <f>SUMIF(NF!$A:$A,$Q211,NF!$I:$I)</f>
        <v>2000</v>
      </c>
      <c r="S211" s="6">
        <v>80</v>
      </c>
      <c r="T211" s="6"/>
      <c r="U211" s="6">
        <v>40</v>
      </c>
      <c r="V211" s="6">
        <v>40</v>
      </c>
      <c r="W211" s="6">
        <v>40</v>
      </c>
      <c r="X211" s="6">
        <v>40</v>
      </c>
      <c r="Y211" s="6">
        <v>80</v>
      </c>
      <c r="Z211" s="7">
        <f t="shared" si="118"/>
        <v>320</v>
      </c>
      <c r="AA211" s="11">
        <f t="shared" si="119"/>
        <v>2160</v>
      </c>
      <c r="AB211" s="25"/>
      <c r="AC211" s="10" t="str">
        <f t="shared" si="120"/>
        <v>MarçoSEMANA 3Colher Descartável Nobre Cristal</v>
      </c>
      <c r="AD211" s="7">
        <f>SUMIF(NF!$A:$A,$AC211,NF!$I:$I)</f>
        <v>0</v>
      </c>
      <c r="AE211" s="6">
        <v>80</v>
      </c>
      <c r="AF211" s="6">
        <v>80</v>
      </c>
      <c r="AG211" s="6">
        <v>80</v>
      </c>
      <c r="AH211" s="6">
        <v>80</v>
      </c>
      <c r="AI211" s="6"/>
      <c r="AJ211" s="6">
        <v>40</v>
      </c>
      <c r="AK211" s="6"/>
      <c r="AL211" s="7">
        <f t="shared" si="121"/>
        <v>360</v>
      </c>
      <c r="AM211" s="11">
        <f t="shared" si="122"/>
        <v>1800</v>
      </c>
      <c r="AN211" s="25"/>
      <c r="AO211" s="10" t="str">
        <f t="shared" si="123"/>
        <v>MarçoSEMANA 4Colher Descartável Nobre Cristal</v>
      </c>
      <c r="AP211" s="7">
        <f>SUMIF(NF!$A:$A,$AO211,NF!$I:$I)</f>
        <v>0</v>
      </c>
      <c r="AQ211" s="6">
        <v>40</v>
      </c>
      <c r="AR211" s="6">
        <f>4*40</f>
        <v>160</v>
      </c>
      <c r="AS211" s="6"/>
      <c r="AT211" s="6"/>
      <c r="AU211" s="6"/>
      <c r="AV211" s="6"/>
      <c r="AW211" s="6">
        <f>3*40</f>
        <v>120</v>
      </c>
      <c r="AX211" s="7">
        <f t="shared" si="124"/>
        <v>320</v>
      </c>
      <c r="AY211" s="11">
        <f t="shared" si="125"/>
        <v>1480</v>
      </c>
      <c r="AZ211" s="25"/>
      <c r="BA211" s="10" t="str">
        <f t="shared" si="126"/>
        <v>MarçoSEMANA 5Colher Descartável Nobre Cristal</v>
      </c>
      <c r="BB211" s="7">
        <f>SUMIF(NF!$A:$A,$BA211,NF!$I:$I)</f>
        <v>0</v>
      </c>
      <c r="BC211" s="6">
        <f>4*40</f>
        <v>160</v>
      </c>
      <c r="BD211" s="6"/>
      <c r="BE211" s="6">
        <v>80</v>
      </c>
      <c r="BF211" s="6">
        <f>3*40</f>
        <v>120</v>
      </c>
      <c r="BG211" s="6"/>
      <c r="BH211" s="6"/>
      <c r="BI211" s="74"/>
      <c r="BJ211" s="74"/>
      <c r="BK211" s="7">
        <f t="shared" si="127"/>
        <v>360</v>
      </c>
      <c r="BL211" s="8">
        <f t="shared" si="128"/>
        <v>1120</v>
      </c>
      <c r="BM211" s="51" t="str">
        <f>IFERROR(VLOOKUP(A211,NF!$M:$O,3,0),"")</f>
        <v>Descartável</v>
      </c>
      <c r="BN211" s="7">
        <f t="shared" si="129"/>
        <v>1560</v>
      </c>
      <c r="BO211" s="8">
        <f t="array" ref="BO211">IFERROR(LARGE(IF(NF!$G$2:$G$3137='Mês atual'!A211,NF!$J$2:$J$3137),1),0)*BN211</f>
        <v>199.91400000000002</v>
      </c>
      <c r="BP211" s="50"/>
      <c r="BR211" s="146">
        <f t="array" ref="BR211">IFERROR(LARGE(IF(NF!$G$2:$G$3137='Mês atual'!A211,NF!$J$2:$J$3137),1),0)</f>
        <v>0.12815000000000001</v>
      </c>
      <c r="BS211" s="142" t="str">
        <f>VLOOKUP(A211,NF!M:O,3,0)</f>
        <v>Descartável</v>
      </c>
      <c r="BV211" s="74">
        <f t="shared" si="130"/>
        <v>200</v>
      </c>
      <c r="BW211" s="74">
        <f t="shared" si="131"/>
        <v>320</v>
      </c>
      <c r="BX211" s="74">
        <f t="shared" si="132"/>
        <v>360</v>
      </c>
      <c r="BY211" s="74">
        <f t="shared" si="133"/>
        <v>320</v>
      </c>
      <c r="BZ211" s="74">
        <f t="shared" si="134"/>
        <v>360</v>
      </c>
    </row>
    <row r="212" spans="1:78" x14ac:dyDescent="0.2">
      <c r="A212" s="108" t="s">
        <v>297</v>
      </c>
      <c r="B212" s="12"/>
      <c r="C212" s="9">
        <v>800</v>
      </c>
      <c r="D212" s="25"/>
      <c r="E212" s="10" t="str">
        <f t="shared" si="114"/>
        <v>MarçoSEMANA 1Copo de Sobremesa Cristal 180 ml</v>
      </c>
      <c r="F212" s="7">
        <f>SUMIF(NF!$A:$A,$E212,NF!$I:$I)</f>
        <v>0</v>
      </c>
      <c r="G212" s="74"/>
      <c r="H212" s="74"/>
      <c r="I212" s="74"/>
      <c r="J212" s="6">
        <v>50</v>
      </c>
      <c r="K212" s="6">
        <v>50</v>
      </c>
      <c r="L212" s="6"/>
      <c r="M212" s="6">
        <v>50</v>
      </c>
      <c r="N212" s="7">
        <f t="shared" si="115"/>
        <v>150</v>
      </c>
      <c r="O212" s="11">
        <f t="shared" si="116"/>
        <v>650</v>
      </c>
      <c r="P212" s="25"/>
      <c r="Q212" s="10" t="str">
        <f t="shared" si="117"/>
        <v>MarçoSEMANA 2Copo de Sobremesa Cristal 180 ml</v>
      </c>
      <c r="R212" s="7">
        <f>SUMIF(NF!$A:$A,$Q212,NF!$I:$I)</f>
        <v>0</v>
      </c>
      <c r="S212" s="6"/>
      <c r="T212" s="6"/>
      <c r="U212" s="6">
        <v>50</v>
      </c>
      <c r="V212" s="6"/>
      <c r="W212" s="6"/>
      <c r="X212" s="6">
        <v>50</v>
      </c>
      <c r="Y212" s="6">
        <v>50</v>
      </c>
      <c r="Z212" s="7">
        <f t="shared" si="118"/>
        <v>150</v>
      </c>
      <c r="AA212" s="11">
        <f t="shared" si="119"/>
        <v>500</v>
      </c>
      <c r="AB212" s="25"/>
      <c r="AC212" s="10" t="str">
        <f t="shared" si="120"/>
        <v>MarçoSEMANA 3Copo de Sobremesa Cristal 180 ml</v>
      </c>
      <c r="AD212" s="7">
        <f>SUMIF(NF!$A:$A,$AC212,NF!$I:$I)</f>
        <v>0</v>
      </c>
      <c r="AE212" s="6"/>
      <c r="AF212" s="6"/>
      <c r="AG212" s="6"/>
      <c r="AH212" s="6"/>
      <c r="AI212" s="6"/>
      <c r="AJ212" s="6">
        <v>50</v>
      </c>
      <c r="AK212" s="6"/>
      <c r="AL212" s="7">
        <f t="shared" si="121"/>
        <v>50</v>
      </c>
      <c r="AM212" s="11">
        <f t="shared" si="122"/>
        <v>450</v>
      </c>
      <c r="AN212" s="25"/>
      <c r="AO212" s="10" t="str">
        <f t="shared" si="123"/>
        <v>MarçoSEMANA 4Copo de Sobremesa Cristal 180 ml</v>
      </c>
      <c r="AP212" s="7">
        <f>SUMIF(NF!$A:$A,$AO212,NF!$I:$I)</f>
        <v>0</v>
      </c>
      <c r="AQ212" s="6">
        <v>50</v>
      </c>
      <c r="AR212" s="6"/>
      <c r="AS212" s="6"/>
      <c r="AT212" s="6">
        <v>50</v>
      </c>
      <c r="AU212" s="6"/>
      <c r="AV212" s="6"/>
      <c r="AW212" s="6"/>
      <c r="AX212" s="7">
        <f t="shared" si="124"/>
        <v>100</v>
      </c>
      <c r="AY212" s="11">
        <f t="shared" si="125"/>
        <v>350</v>
      </c>
      <c r="AZ212" s="25"/>
      <c r="BA212" s="10" t="str">
        <f t="shared" si="126"/>
        <v>MarçoSEMANA 5Copo de Sobremesa Cristal 180 ml</v>
      </c>
      <c r="BB212" s="7">
        <f>SUMIF(NF!$A:$A,$BA212,NF!$I:$I)</f>
        <v>0</v>
      </c>
      <c r="BC212" s="6">
        <v>50</v>
      </c>
      <c r="BD212" s="6"/>
      <c r="BE212" s="6"/>
      <c r="BF212" s="6"/>
      <c r="BG212" s="6">
        <v>50</v>
      </c>
      <c r="BH212" s="6"/>
      <c r="BI212" s="74"/>
      <c r="BJ212" s="74"/>
      <c r="BK212" s="7">
        <f t="shared" si="127"/>
        <v>100</v>
      </c>
      <c r="BL212" s="8">
        <f t="shared" si="128"/>
        <v>250</v>
      </c>
      <c r="BM212" s="51" t="str">
        <f>IFERROR(VLOOKUP(A212,NF!$M:$O,3,0),"")</f>
        <v>Descartável</v>
      </c>
      <c r="BN212" s="7">
        <f t="shared" si="129"/>
        <v>550</v>
      </c>
      <c r="BO212" s="8">
        <f t="array" ref="BO212">IFERROR(LARGE(IF(NF!$G$2:$G$3137='Mês atual'!A212,NF!$J$2:$J$3137),1),0)*BN212</f>
        <v>0</v>
      </c>
      <c r="BP212" s="50"/>
      <c r="BR212" s="146">
        <f t="array" ref="BR212">IFERROR(LARGE(IF(NF!$G$2:$G$3137='Mês atual'!A212,NF!$J$2:$J$3137),1),0)</f>
        <v>0</v>
      </c>
      <c r="BS212" s="142" t="str">
        <f>VLOOKUP(A212,NF!M:O,3,0)</f>
        <v>Descartável</v>
      </c>
      <c r="BV212" s="74">
        <f t="shared" si="130"/>
        <v>150</v>
      </c>
      <c r="BW212" s="74">
        <f t="shared" si="131"/>
        <v>150</v>
      </c>
      <c r="BX212" s="74">
        <f t="shared" si="132"/>
        <v>50</v>
      </c>
      <c r="BY212" s="74">
        <f t="shared" si="133"/>
        <v>100</v>
      </c>
      <c r="BZ212" s="74">
        <f t="shared" si="134"/>
        <v>100</v>
      </c>
    </row>
    <row r="213" spans="1:78" x14ac:dyDescent="0.25">
      <c r="A213" s="108" t="s">
        <v>298</v>
      </c>
      <c r="B213" s="12"/>
      <c r="C213" s="9">
        <f>6*100</f>
        <v>600</v>
      </c>
      <c r="D213" s="25"/>
      <c r="E213" s="10" t="str">
        <f t="shared" si="114"/>
        <v>MarçoSEMANA 1Copo Descartável 200 ml</v>
      </c>
      <c r="F213" s="7">
        <f>SUMIF(NF!$A:$A,$E213,NF!$I:$I)</f>
        <v>0</v>
      </c>
      <c r="G213" s="74"/>
      <c r="H213" s="74"/>
      <c r="I213" s="74"/>
      <c r="J213" s="6"/>
      <c r="K213" s="6"/>
      <c r="L213" s="6"/>
      <c r="M213" s="6"/>
      <c r="N213" s="7">
        <f t="shared" si="115"/>
        <v>0</v>
      </c>
      <c r="O213" s="11">
        <f t="shared" si="116"/>
        <v>600</v>
      </c>
      <c r="P213" s="25"/>
      <c r="Q213" s="10" t="str">
        <f t="shared" si="117"/>
        <v>MarçoSEMANA 2Copo Descartável 200 ml</v>
      </c>
      <c r="R213" s="7">
        <f>SUMIF(NF!$A:$A,$Q213,NF!$I:$I)</f>
        <v>0</v>
      </c>
      <c r="S213" s="6"/>
      <c r="T213" s="6"/>
      <c r="U213" s="6"/>
      <c r="V213" s="6"/>
      <c r="W213" s="6"/>
      <c r="X213" s="6"/>
      <c r="Y213" s="6"/>
      <c r="Z213" s="7">
        <f t="shared" si="118"/>
        <v>0</v>
      </c>
      <c r="AA213" s="11">
        <f t="shared" si="119"/>
        <v>600</v>
      </c>
      <c r="AB213" s="25"/>
      <c r="AC213" s="10" t="str">
        <f t="shared" si="120"/>
        <v>MarçoSEMANA 3Copo Descartável 200 ml</v>
      </c>
      <c r="AD213" s="7">
        <f>SUMIF(NF!$A:$A,$AC213,NF!$I:$I)</f>
        <v>0</v>
      </c>
      <c r="AE213" s="6"/>
      <c r="AF213" s="6"/>
      <c r="AG213" s="6"/>
      <c r="AH213" s="6"/>
      <c r="AI213" s="6"/>
      <c r="AJ213" s="6"/>
      <c r="AK213" s="6"/>
      <c r="AL213" s="7">
        <f t="shared" si="121"/>
        <v>0</v>
      </c>
      <c r="AM213" s="11">
        <f t="shared" si="122"/>
        <v>600</v>
      </c>
      <c r="AN213" s="25"/>
      <c r="AO213" s="10" t="str">
        <f t="shared" si="123"/>
        <v>MarçoSEMANA 4Copo Descartável 200 ml</v>
      </c>
      <c r="AP213" s="7">
        <f>SUMIF(NF!$A:$A,$AO213,NF!$I:$I)</f>
        <v>0</v>
      </c>
      <c r="AQ213" s="6">
        <v>100</v>
      </c>
      <c r="AR213" s="6"/>
      <c r="AS213" s="6"/>
      <c r="AT213" s="6"/>
      <c r="AU213" s="6"/>
      <c r="AV213" s="6"/>
      <c r="AW213" s="6"/>
      <c r="AX213" s="7">
        <f t="shared" si="124"/>
        <v>100</v>
      </c>
      <c r="AY213" s="11">
        <f t="shared" si="125"/>
        <v>500</v>
      </c>
      <c r="AZ213" s="25"/>
      <c r="BA213" s="10" t="str">
        <f t="shared" si="126"/>
        <v>MarçoSEMANA 5Copo Descartável 200 ml</v>
      </c>
      <c r="BB213" s="7">
        <f>SUMIF(NF!$A:$A,$BA213,NF!$I:$I)</f>
        <v>0</v>
      </c>
      <c r="BC213" s="6"/>
      <c r="BD213" s="6"/>
      <c r="BE213" s="6"/>
      <c r="BF213" s="6"/>
      <c r="BG213" s="6"/>
      <c r="BH213" s="6"/>
      <c r="BI213" s="74"/>
      <c r="BJ213" s="74"/>
      <c r="BK213" s="7">
        <f t="shared" si="127"/>
        <v>0</v>
      </c>
      <c r="BL213" s="8">
        <f t="shared" si="128"/>
        <v>500</v>
      </c>
      <c r="BM213" s="51" t="str">
        <f>IFERROR(VLOOKUP(A213,NF!$M:$O,3,0),"")</f>
        <v>Descartável</v>
      </c>
      <c r="BN213" s="7">
        <f t="shared" si="129"/>
        <v>100</v>
      </c>
      <c r="BO213" s="8">
        <f t="array" ref="BO213">IFERROR(LARGE(IF(NF!$G$2:$G$3137='Mês atual'!A213,NF!$J$2:$J$3137),1),0)*BN213</f>
        <v>0</v>
      </c>
      <c r="BP213" s="50"/>
      <c r="BR213" s="146">
        <f t="array" ref="BR213">IFERROR(LARGE(IF(NF!$G$2:$G$3137='Mês atual'!A213,NF!$J$2:$J$3137),1),0)</f>
        <v>0</v>
      </c>
      <c r="BS213" s="142" t="str">
        <f>VLOOKUP(A213,NF!M:O,3,0)</f>
        <v>Descartável</v>
      </c>
      <c r="BV213" s="74">
        <f t="shared" si="130"/>
        <v>0</v>
      </c>
      <c r="BW213" s="74">
        <f t="shared" si="131"/>
        <v>0</v>
      </c>
      <c r="BX213" s="74">
        <f t="shared" si="132"/>
        <v>0</v>
      </c>
      <c r="BY213" s="74">
        <f t="shared" si="133"/>
        <v>100</v>
      </c>
      <c r="BZ213" s="74">
        <f t="shared" si="134"/>
        <v>0</v>
      </c>
    </row>
    <row r="214" spans="1:78" x14ac:dyDescent="0.25">
      <c r="A214" s="108" t="s">
        <v>299</v>
      </c>
      <c r="B214" s="12"/>
      <c r="C214" s="9">
        <f>6*50</f>
        <v>300</v>
      </c>
      <c r="D214" s="25"/>
      <c r="E214" s="10" t="str">
        <f t="shared" si="114"/>
        <v>MarçoSEMANA 1Copo Descartável 400ml</v>
      </c>
      <c r="F214" s="7">
        <f>SUMIF(NF!$A:$A,$E214,NF!$I:$I)</f>
        <v>0</v>
      </c>
      <c r="G214" s="74"/>
      <c r="H214" s="74"/>
      <c r="I214" s="74"/>
      <c r="J214" s="6"/>
      <c r="K214" s="6"/>
      <c r="L214" s="6"/>
      <c r="M214" s="6"/>
      <c r="N214" s="7">
        <f t="shared" si="115"/>
        <v>0</v>
      </c>
      <c r="O214" s="11">
        <f t="shared" si="116"/>
        <v>300</v>
      </c>
      <c r="P214" s="25"/>
      <c r="Q214" s="10" t="str">
        <f t="shared" si="117"/>
        <v>MarçoSEMANA 2Copo Descartável 400ml</v>
      </c>
      <c r="R214" s="7">
        <f>SUMIF(NF!$A:$A,$Q214,NF!$I:$I)</f>
        <v>0</v>
      </c>
      <c r="S214" s="6"/>
      <c r="T214" s="6"/>
      <c r="U214" s="6"/>
      <c r="V214" s="6"/>
      <c r="W214" s="6"/>
      <c r="X214" s="6"/>
      <c r="Y214" s="6"/>
      <c r="Z214" s="7">
        <f t="shared" si="118"/>
        <v>0</v>
      </c>
      <c r="AA214" s="11">
        <f t="shared" si="119"/>
        <v>300</v>
      </c>
      <c r="AB214" s="25"/>
      <c r="AC214" s="10" t="str">
        <f t="shared" si="120"/>
        <v>MarçoSEMANA 3Copo Descartável 400ml</v>
      </c>
      <c r="AD214" s="7">
        <f>SUMIF(NF!$A:$A,$AC214,NF!$I:$I)</f>
        <v>0</v>
      </c>
      <c r="AE214" s="6"/>
      <c r="AF214" s="6"/>
      <c r="AG214" s="6"/>
      <c r="AH214" s="6"/>
      <c r="AI214" s="6">
        <v>50</v>
      </c>
      <c r="AJ214" s="6"/>
      <c r="AK214" s="6"/>
      <c r="AL214" s="7">
        <f t="shared" si="121"/>
        <v>50</v>
      </c>
      <c r="AM214" s="11">
        <f t="shared" si="122"/>
        <v>250</v>
      </c>
      <c r="AN214" s="25"/>
      <c r="AO214" s="10" t="str">
        <f t="shared" si="123"/>
        <v>MarçoSEMANA 4Copo Descartável 400ml</v>
      </c>
      <c r="AP214" s="7">
        <f>SUMIF(NF!$A:$A,$AO214,NF!$I:$I)</f>
        <v>0</v>
      </c>
      <c r="AQ214" s="6"/>
      <c r="AR214" s="6"/>
      <c r="AS214" s="6"/>
      <c r="AT214" s="6"/>
      <c r="AU214" s="6"/>
      <c r="AV214" s="6"/>
      <c r="AW214" s="6"/>
      <c r="AX214" s="7">
        <f t="shared" si="124"/>
        <v>0</v>
      </c>
      <c r="AY214" s="11">
        <f t="shared" si="125"/>
        <v>250</v>
      </c>
      <c r="AZ214" s="25"/>
      <c r="BA214" s="10" t="str">
        <f t="shared" si="126"/>
        <v>MarçoSEMANA 5Copo Descartável 400ml</v>
      </c>
      <c r="BB214" s="7">
        <f>SUMIF(NF!$A:$A,$BA214,NF!$I:$I)</f>
        <v>0</v>
      </c>
      <c r="BC214" s="6"/>
      <c r="BD214" s="6"/>
      <c r="BE214" s="6"/>
      <c r="BF214" s="6"/>
      <c r="BG214" s="6"/>
      <c r="BH214" s="6"/>
      <c r="BI214" s="74"/>
      <c r="BJ214" s="74"/>
      <c r="BK214" s="7">
        <f t="shared" si="127"/>
        <v>0</v>
      </c>
      <c r="BL214" s="8">
        <f t="shared" si="128"/>
        <v>250</v>
      </c>
      <c r="BM214" s="51" t="str">
        <f>IFERROR(VLOOKUP(A214,NF!$M:$O,3,0),"")</f>
        <v>Descartável</v>
      </c>
      <c r="BN214" s="7">
        <f t="shared" si="129"/>
        <v>50</v>
      </c>
      <c r="BO214" s="8">
        <f t="array" ref="BO214">IFERROR(LARGE(IF(NF!$G$2:$G$3137='Mês atual'!A214,NF!$J$2:$J$3137),1),0)*BN214</f>
        <v>0</v>
      </c>
      <c r="BP214" s="50"/>
      <c r="BR214" s="146">
        <f t="array" ref="BR214">IFERROR(LARGE(IF(NF!$G$2:$G$3137='Mês atual'!A214,NF!$J$2:$J$3137),1),0)</f>
        <v>0</v>
      </c>
      <c r="BS214" s="142" t="str">
        <f>VLOOKUP(A214,NF!M:O,3,0)</f>
        <v>Descartável</v>
      </c>
      <c r="BV214" s="74">
        <f t="shared" si="130"/>
        <v>0</v>
      </c>
      <c r="BW214" s="74">
        <f t="shared" si="131"/>
        <v>0</v>
      </c>
      <c r="BX214" s="74">
        <f t="shared" si="132"/>
        <v>50</v>
      </c>
      <c r="BY214" s="74">
        <f t="shared" si="133"/>
        <v>0</v>
      </c>
      <c r="BZ214" s="74">
        <f t="shared" si="134"/>
        <v>0</v>
      </c>
    </row>
    <row r="215" spans="1:78" x14ac:dyDescent="0.25">
      <c r="A215" s="108" t="s">
        <v>300</v>
      </c>
      <c r="B215" s="12"/>
      <c r="C215" s="9">
        <v>0</v>
      </c>
      <c r="D215" s="25"/>
      <c r="E215" s="10" t="str">
        <f t="shared" si="114"/>
        <v>MarçoSEMANA 1Copo Descartável Feijão</v>
      </c>
      <c r="F215" s="7">
        <f>SUMIF(NF!$A:$A,$E215,NF!$I:$I)</f>
        <v>0</v>
      </c>
      <c r="G215" s="74"/>
      <c r="H215" s="74"/>
      <c r="I215" s="74"/>
      <c r="J215" s="6"/>
      <c r="K215" s="6"/>
      <c r="L215" s="6"/>
      <c r="M215" s="6"/>
      <c r="N215" s="7">
        <f t="shared" si="115"/>
        <v>0</v>
      </c>
      <c r="O215" s="11">
        <f t="shared" si="116"/>
        <v>0</v>
      </c>
      <c r="P215" s="25"/>
      <c r="Q215" s="10" t="str">
        <f t="shared" si="117"/>
        <v>MarçoSEMANA 2Copo Descartável Feijão</v>
      </c>
      <c r="R215" s="7">
        <f>SUMIF(NF!$A:$A,$Q215,NF!$I:$I)</f>
        <v>100</v>
      </c>
      <c r="S215" s="6"/>
      <c r="T215" s="6"/>
      <c r="U215" s="6"/>
      <c r="V215" s="6"/>
      <c r="W215" s="6"/>
      <c r="X215" s="6"/>
      <c r="Y215" s="6"/>
      <c r="Z215" s="7">
        <f t="shared" si="118"/>
        <v>0</v>
      </c>
      <c r="AA215" s="11">
        <f t="shared" si="119"/>
        <v>100</v>
      </c>
      <c r="AB215" s="25"/>
      <c r="AC215" s="10" t="str">
        <f t="shared" si="120"/>
        <v>MarçoSEMANA 3Copo Descartável Feijão</v>
      </c>
      <c r="AD215" s="7">
        <f>SUMIF(NF!$A:$A,$AC215,NF!$I:$I)</f>
        <v>0</v>
      </c>
      <c r="AE215" s="6"/>
      <c r="AF215" s="6"/>
      <c r="AG215" s="6"/>
      <c r="AH215" s="6"/>
      <c r="AI215" s="6"/>
      <c r="AJ215" s="6"/>
      <c r="AK215" s="6"/>
      <c r="AL215" s="7">
        <f t="shared" si="121"/>
        <v>0</v>
      </c>
      <c r="AM215" s="11">
        <f t="shared" si="122"/>
        <v>100</v>
      </c>
      <c r="AN215" s="25"/>
      <c r="AO215" s="10" t="str">
        <f t="shared" si="123"/>
        <v>MarçoSEMANA 4Copo Descartável Feijão</v>
      </c>
      <c r="AP215" s="7">
        <f>SUMIF(NF!$A:$A,$AO215,NF!$I:$I)</f>
        <v>0</v>
      </c>
      <c r="AQ215" s="6"/>
      <c r="AR215" s="6"/>
      <c r="AS215" s="6"/>
      <c r="AT215" s="6"/>
      <c r="AU215" s="6"/>
      <c r="AV215" s="6"/>
      <c r="AW215" s="6"/>
      <c r="AX215" s="7">
        <f t="shared" si="124"/>
        <v>0</v>
      </c>
      <c r="AY215" s="11">
        <f t="shared" si="125"/>
        <v>100</v>
      </c>
      <c r="AZ215" s="25"/>
      <c r="BA215" s="10" t="str">
        <f t="shared" si="126"/>
        <v>MarçoSEMANA 5Copo Descartável Feijão</v>
      </c>
      <c r="BB215" s="7">
        <f>SUMIF(NF!$A:$A,$BA215,NF!$I:$I)</f>
        <v>0</v>
      </c>
      <c r="BC215" s="6"/>
      <c r="BD215" s="6"/>
      <c r="BE215" s="6"/>
      <c r="BF215" s="6"/>
      <c r="BG215" s="6"/>
      <c r="BH215" s="6"/>
      <c r="BI215" s="74"/>
      <c r="BJ215" s="74"/>
      <c r="BK215" s="7">
        <f t="shared" si="127"/>
        <v>0</v>
      </c>
      <c r="BL215" s="8">
        <f t="shared" si="128"/>
        <v>100</v>
      </c>
      <c r="BM215" s="51" t="str">
        <f>IFERROR(VLOOKUP(A215,NF!$M:$O,3,0),"")</f>
        <v>Descartável</v>
      </c>
      <c r="BN215" s="7">
        <f t="shared" si="129"/>
        <v>0</v>
      </c>
      <c r="BO215" s="8">
        <f t="array" ref="BO215">IFERROR(LARGE(IF(NF!$G$2:$G$3137='Mês atual'!A215,NF!$J$2:$J$3137),1),0)*BN215</f>
        <v>0</v>
      </c>
      <c r="BP215" s="50"/>
      <c r="BR215" s="146">
        <f t="array" ref="BR215">IFERROR(LARGE(IF(NF!$G$2:$G$3137='Mês atual'!A215,NF!$J$2:$J$3137),1),0)</f>
        <v>2.7799999999999998E-2</v>
      </c>
      <c r="BS215" s="142" t="str">
        <f>VLOOKUP(A215,NF!M:O,3,0)</f>
        <v>Descartável</v>
      </c>
      <c r="BV215" s="74">
        <f t="shared" si="130"/>
        <v>0</v>
      </c>
      <c r="BW215" s="74">
        <f t="shared" si="131"/>
        <v>0</v>
      </c>
      <c r="BX215" s="74">
        <f t="shared" si="132"/>
        <v>0</v>
      </c>
      <c r="BY215" s="74">
        <f t="shared" si="133"/>
        <v>0</v>
      </c>
      <c r="BZ215" s="74">
        <f t="shared" si="134"/>
        <v>0</v>
      </c>
    </row>
    <row r="216" spans="1:78" x14ac:dyDescent="0.25">
      <c r="A216" s="108" t="s">
        <v>301</v>
      </c>
      <c r="B216" s="12"/>
      <c r="C216" s="9">
        <f>31*100</f>
        <v>3100</v>
      </c>
      <c r="D216" s="25"/>
      <c r="E216" s="10" t="str">
        <f t="shared" si="114"/>
        <v>MarçoSEMANA 1Copo para Café 50 ml</v>
      </c>
      <c r="F216" s="7">
        <f>SUMIF(NF!$A:$A,$E216,NF!$I:$I)</f>
        <v>0</v>
      </c>
      <c r="G216" s="74"/>
      <c r="H216" s="74"/>
      <c r="I216" s="74"/>
      <c r="J216" s="6"/>
      <c r="K216" s="6"/>
      <c r="L216" s="6"/>
      <c r="M216" s="6"/>
      <c r="N216" s="7">
        <f t="shared" si="115"/>
        <v>0</v>
      </c>
      <c r="O216" s="11">
        <f t="shared" si="116"/>
        <v>3100</v>
      </c>
      <c r="P216" s="25"/>
      <c r="Q216" s="10" t="str">
        <f t="shared" si="117"/>
        <v>MarçoSEMANA 2Copo para Café 50 ml</v>
      </c>
      <c r="R216" s="7">
        <f>SUMIF(NF!$A:$A,$Q216,NF!$I:$I)</f>
        <v>0</v>
      </c>
      <c r="S216" s="6"/>
      <c r="T216" s="6"/>
      <c r="U216" s="6"/>
      <c r="V216" s="6"/>
      <c r="W216" s="6"/>
      <c r="X216" s="6"/>
      <c r="Y216" s="6"/>
      <c r="Z216" s="7">
        <f t="shared" si="118"/>
        <v>0</v>
      </c>
      <c r="AA216" s="11">
        <f t="shared" si="119"/>
        <v>3100</v>
      </c>
      <c r="AB216" s="25"/>
      <c r="AC216" s="10" t="str">
        <f t="shared" si="120"/>
        <v>MarçoSEMANA 3Copo para Café 50 ml</v>
      </c>
      <c r="AD216" s="7">
        <f>SUMIF(NF!$A:$A,$AC216,NF!$I:$I)</f>
        <v>0</v>
      </c>
      <c r="AE216" s="6"/>
      <c r="AF216" s="6"/>
      <c r="AG216" s="6"/>
      <c r="AH216" s="6"/>
      <c r="AI216" s="6"/>
      <c r="AJ216" s="6"/>
      <c r="AK216" s="6"/>
      <c r="AL216" s="7">
        <f t="shared" si="121"/>
        <v>0</v>
      </c>
      <c r="AM216" s="11">
        <f t="shared" si="122"/>
        <v>3100</v>
      </c>
      <c r="AN216" s="25"/>
      <c r="AO216" s="10" t="str">
        <f t="shared" si="123"/>
        <v>MarçoSEMANA 4Copo para Café 50 ml</v>
      </c>
      <c r="AP216" s="7">
        <f>SUMIF(NF!$A:$A,$AO216,NF!$I:$I)</f>
        <v>0</v>
      </c>
      <c r="AQ216" s="6"/>
      <c r="AR216" s="6"/>
      <c r="AS216" s="6"/>
      <c r="AT216" s="6"/>
      <c r="AU216" s="6"/>
      <c r="AV216" s="6"/>
      <c r="AW216" s="6"/>
      <c r="AX216" s="7">
        <f t="shared" si="124"/>
        <v>0</v>
      </c>
      <c r="AY216" s="11">
        <f t="shared" si="125"/>
        <v>3100</v>
      </c>
      <c r="AZ216" s="25"/>
      <c r="BA216" s="10" t="str">
        <f t="shared" si="126"/>
        <v>MarçoSEMANA 5Copo para Café 50 ml</v>
      </c>
      <c r="BB216" s="7">
        <f>SUMIF(NF!$A:$A,$BA216,NF!$I:$I)</f>
        <v>0</v>
      </c>
      <c r="BC216" s="6"/>
      <c r="BD216" s="6"/>
      <c r="BE216" s="6"/>
      <c r="BF216" s="6"/>
      <c r="BG216" s="6"/>
      <c r="BH216" s="6"/>
      <c r="BI216" s="74"/>
      <c r="BJ216" s="74"/>
      <c r="BK216" s="7">
        <f t="shared" si="127"/>
        <v>0</v>
      </c>
      <c r="BL216" s="8">
        <f t="shared" si="128"/>
        <v>3100</v>
      </c>
      <c r="BM216" s="51" t="str">
        <f>IFERROR(VLOOKUP(A216,NF!$M:$O,3,0),"")</f>
        <v>Descartável</v>
      </c>
      <c r="BN216" s="7">
        <f t="shared" si="129"/>
        <v>0</v>
      </c>
      <c r="BO216" s="8">
        <f t="array" ref="BO216">IFERROR(LARGE(IF(NF!$G$2:$G$3137='Mês atual'!A216,NF!$J$2:$J$3137),1),0)*BN216</f>
        <v>0</v>
      </c>
      <c r="BP216" s="50"/>
      <c r="BR216" s="146">
        <f t="array" ref="BR216">IFERROR(LARGE(IF(NF!$G$2:$G$3137='Mês atual'!A216,NF!$J$2:$J$3137),1),0)</f>
        <v>0</v>
      </c>
      <c r="BS216" s="142" t="str">
        <f>VLOOKUP(A216,NF!M:O,3,0)</f>
        <v>Descartável</v>
      </c>
      <c r="BV216" s="74">
        <f t="shared" si="130"/>
        <v>0</v>
      </c>
      <c r="BW216" s="74">
        <f t="shared" si="131"/>
        <v>0</v>
      </c>
      <c r="BX216" s="74">
        <f t="shared" si="132"/>
        <v>0</v>
      </c>
      <c r="BY216" s="74">
        <f t="shared" si="133"/>
        <v>0</v>
      </c>
      <c r="BZ216" s="74">
        <f t="shared" si="134"/>
        <v>0</v>
      </c>
    </row>
    <row r="217" spans="1:78" x14ac:dyDescent="0.2">
      <c r="A217" s="108" t="s">
        <v>1072</v>
      </c>
      <c r="B217" s="12"/>
      <c r="C217" s="9">
        <v>0</v>
      </c>
      <c r="D217" s="25"/>
      <c r="E217" s="10" t="str">
        <f t="shared" si="114"/>
        <v xml:space="preserve">MarçoSEMANA 1Copo Termico Isopor 120ml c/ 25 </v>
      </c>
      <c r="F217" s="7">
        <f>SUMIF(NF!$A:$A,$E217,NF!$I:$I)</f>
        <v>0</v>
      </c>
      <c r="G217" s="74"/>
      <c r="H217" s="74"/>
      <c r="I217" s="74"/>
      <c r="J217" s="6"/>
      <c r="K217" s="6"/>
      <c r="L217" s="6"/>
      <c r="M217" s="6"/>
      <c r="N217" s="7">
        <f t="shared" ref="N217" si="135">SUM(G217:M217)</f>
        <v>0</v>
      </c>
      <c r="O217" s="11">
        <f t="shared" ref="O217" si="136">F217+C217-N217</f>
        <v>0</v>
      </c>
      <c r="P217" s="25"/>
      <c r="Q217" s="10" t="str">
        <f t="shared" si="117"/>
        <v xml:space="preserve">MarçoSEMANA 2Copo Termico Isopor 120ml c/ 25 </v>
      </c>
      <c r="R217" s="7">
        <f>SUMIF(NF!$A:$A,$Q217,NF!$I:$I)</f>
        <v>0</v>
      </c>
      <c r="S217" s="6"/>
      <c r="T217" s="6"/>
      <c r="U217" s="6"/>
      <c r="V217" s="6"/>
      <c r="W217" s="6"/>
      <c r="X217" s="6"/>
      <c r="Y217" s="6"/>
      <c r="Z217" s="7">
        <f t="shared" ref="Z217" si="137">SUM(S217:Y217)</f>
        <v>0</v>
      </c>
      <c r="AA217" s="11">
        <f t="shared" ref="AA217" si="138">R217+O217-Z217</f>
        <v>0</v>
      </c>
      <c r="AB217" s="25"/>
      <c r="AC217" s="10" t="str">
        <f t="shared" si="120"/>
        <v xml:space="preserve">MarçoSEMANA 3Copo Termico Isopor 120ml c/ 25 </v>
      </c>
      <c r="AD217" s="7">
        <f>SUMIF(NF!$A:$A,$AC217,NF!$I:$I)</f>
        <v>0</v>
      </c>
      <c r="AE217" s="6"/>
      <c r="AF217" s="6"/>
      <c r="AG217" s="6"/>
      <c r="AH217" s="6"/>
      <c r="AI217" s="6"/>
      <c r="AJ217" s="6"/>
      <c r="AK217" s="6"/>
      <c r="AL217" s="7">
        <f t="shared" ref="AL217" si="139">SUM(AE217:AK217)</f>
        <v>0</v>
      </c>
      <c r="AM217" s="11">
        <f t="shared" ref="AM217" si="140">AD217+AA217-AL217</f>
        <v>0</v>
      </c>
      <c r="AN217" s="25"/>
      <c r="AO217" s="10" t="str">
        <f t="shared" si="123"/>
        <v xml:space="preserve">MarçoSEMANA 4Copo Termico Isopor 120ml c/ 25 </v>
      </c>
      <c r="AP217" s="7">
        <f>SUMIF(NF!$A:$A,$AO217,NF!$I:$I)</f>
        <v>0</v>
      </c>
      <c r="AQ217" s="6"/>
      <c r="AR217" s="6"/>
      <c r="AS217" s="6"/>
      <c r="AT217" s="6"/>
      <c r="AU217" s="6"/>
      <c r="AV217" s="6"/>
      <c r="AW217" s="6"/>
      <c r="AX217" s="7">
        <f t="shared" ref="AX217" si="141">SUM(AQ217:AW217)</f>
        <v>0</v>
      </c>
      <c r="AY217" s="11">
        <f t="shared" ref="AY217" si="142">AP217+AM217-AX217</f>
        <v>0</v>
      </c>
      <c r="AZ217" s="25"/>
      <c r="BA217" s="10" t="str">
        <f t="shared" si="126"/>
        <v xml:space="preserve">MarçoSEMANA 5Copo Termico Isopor 120ml c/ 25 </v>
      </c>
      <c r="BB217" s="7">
        <f>SUMIF(NF!$A:$A,$BA217,NF!$I:$I)</f>
        <v>0</v>
      </c>
      <c r="BC217" s="6"/>
      <c r="BD217" s="6"/>
      <c r="BE217" s="6"/>
      <c r="BF217" s="6"/>
      <c r="BG217" s="6"/>
      <c r="BH217" s="6"/>
      <c r="BI217" s="74"/>
      <c r="BJ217" s="74"/>
      <c r="BK217" s="7">
        <f t="shared" ref="BK217" si="143">SUM(BC217:BJ217)</f>
        <v>0</v>
      </c>
      <c r="BL217" s="8">
        <f t="shared" ref="BL217" si="144">BB217+AY217-BK217</f>
        <v>0</v>
      </c>
      <c r="BM217" s="51" t="str">
        <f>IFERROR(VLOOKUP(A217,NF!$M:$O,3,0),"")</f>
        <v>Descartavel</v>
      </c>
      <c r="BN217" s="7">
        <f t="shared" ref="BN217" si="145">SUM(N217,Z217,AL217,AX217,BK217)</f>
        <v>0</v>
      </c>
      <c r="BO217" s="8">
        <f t="array" ref="BO217">IFERROR(LARGE(IF(NF!$G$2:$G$3137='Mês atual'!A217,NF!$J$2:$J$3137),1),0)*BN217</f>
        <v>0</v>
      </c>
      <c r="BP217" s="50"/>
      <c r="BR217" s="146">
        <f t="array" ref="BR217">IFERROR(LARGE(IF(NF!$G$2:$G$3137='Mês atual'!A217,NF!$J$2:$J$3137),1),0)</f>
        <v>0</v>
      </c>
      <c r="BS217" s="142" t="str">
        <f>VLOOKUP(A217,NF!M:O,3,0)</f>
        <v>Descartavel</v>
      </c>
      <c r="BV217" s="74">
        <f t="shared" ref="BV217" si="146">N217</f>
        <v>0</v>
      </c>
      <c r="BW217" s="74">
        <f t="shared" ref="BW217" si="147">Z217</f>
        <v>0</v>
      </c>
      <c r="BX217" s="74">
        <f t="shared" ref="BX217" si="148">AL217</f>
        <v>0</v>
      </c>
      <c r="BY217" s="74">
        <f t="shared" ref="BY217" si="149">AX217</f>
        <v>0</v>
      </c>
      <c r="BZ217" s="74">
        <f t="shared" ref="BZ217" si="150">BK217</f>
        <v>0</v>
      </c>
    </row>
    <row r="218" spans="1:78" x14ac:dyDescent="0.2">
      <c r="A218" s="108" t="s">
        <v>321</v>
      </c>
      <c r="B218" s="12"/>
      <c r="C218" s="9">
        <v>0</v>
      </c>
      <c r="D218" s="25"/>
      <c r="E218" s="10" t="str">
        <f t="shared" si="114"/>
        <v>MarçoSEMANA 1Dosador Pump 30 MLBB 3 L</v>
      </c>
      <c r="F218" s="7">
        <f>SUMIF(NF!$A:$A,$E218,NF!$I:$I)</f>
        <v>0</v>
      </c>
      <c r="G218" s="74"/>
      <c r="H218" s="74"/>
      <c r="I218" s="74"/>
      <c r="J218" s="6"/>
      <c r="K218" s="6"/>
      <c r="L218" s="6"/>
      <c r="M218" s="6"/>
      <c r="N218" s="7">
        <f t="shared" si="115"/>
        <v>0</v>
      </c>
      <c r="O218" s="11">
        <f t="shared" si="116"/>
        <v>0</v>
      </c>
      <c r="P218" s="25"/>
      <c r="Q218" s="10" t="str">
        <f t="shared" si="117"/>
        <v>MarçoSEMANA 2Dosador Pump 30 MLBB 3 L</v>
      </c>
      <c r="R218" s="7">
        <f>SUMIF(NF!$A:$A,$Q218,NF!$I:$I)</f>
        <v>0</v>
      </c>
      <c r="S218" s="6"/>
      <c r="T218" s="6"/>
      <c r="U218" s="6"/>
      <c r="V218" s="6"/>
      <c r="W218" s="6"/>
      <c r="X218" s="6"/>
      <c r="Y218" s="6"/>
      <c r="Z218" s="7">
        <f t="shared" si="118"/>
        <v>0</v>
      </c>
      <c r="AA218" s="11">
        <f t="shared" si="119"/>
        <v>0</v>
      </c>
      <c r="AB218" s="25"/>
      <c r="AC218" s="10" t="str">
        <f t="shared" si="120"/>
        <v>MarçoSEMANA 3Dosador Pump 30 MLBB 3 L</v>
      </c>
      <c r="AD218" s="7">
        <f>SUMIF(NF!$A:$A,$AC218,NF!$I:$I)</f>
        <v>0</v>
      </c>
      <c r="AE218" s="6"/>
      <c r="AF218" s="6"/>
      <c r="AG218" s="6"/>
      <c r="AH218" s="6"/>
      <c r="AI218" s="6"/>
      <c r="AJ218" s="6"/>
      <c r="AK218" s="6"/>
      <c r="AL218" s="7">
        <f t="shared" si="121"/>
        <v>0</v>
      </c>
      <c r="AM218" s="11">
        <f t="shared" si="122"/>
        <v>0</v>
      </c>
      <c r="AN218" s="25"/>
      <c r="AO218" s="10" t="str">
        <f t="shared" si="123"/>
        <v>MarçoSEMANA 4Dosador Pump 30 MLBB 3 L</v>
      </c>
      <c r="AP218" s="7">
        <f>SUMIF(NF!$A:$A,$AO218,NF!$I:$I)</f>
        <v>0</v>
      </c>
      <c r="AQ218" s="6"/>
      <c r="AR218" s="6"/>
      <c r="AS218" s="6"/>
      <c r="AT218" s="6"/>
      <c r="AU218" s="6"/>
      <c r="AV218" s="6"/>
      <c r="AW218" s="6"/>
      <c r="AX218" s="7">
        <f t="shared" si="124"/>
        <v>0</v>
      </c>
      <c r="AY218" s="11">
        <f t="shared" si="125"/>
        <v>0</v>
      </c>
      <c r="AZ218" s="25"/>
      <c r="BA218" s="10" t="str">
        <f t="shared" si="126"/>
        <v>MarçoSEMANA 5Dosador Pump 30 MLBB 3 L</v>
      </c>
      <c r="BB218" s="7">
        <f>SUMIF(NF!$A:$A,$BA218,NF!$I:$I)</f>
        <v>0</v>
      </c>
      <c r="BC218" s="6"/>
      <c r="BD218" s="6"/>
      <c r="BE218" s="6"/>
      <c r="BF218" s="6"/>
      <c r="BG218" s="6"/>
      <c r="BH218" s="6"/>
      <c r="BI218" s="74"/>
      <c r="BJ218" s="74"/>
      <c r="BK218" s="7">
        <f t="shared" si="127"/>
        <v>0</v>
      </c>
      <c r="BL218" s="8">
        <f t="shared" si="128"/>
        <v>0</v>
      </c>
      <c r="BM218" s="51" t="str">
        <f>IFERROR(VLOOKUP(A218,NF!$M:$O,3,0),"")</f>
        <v>Descartável</v>
      </c>
      <c r="BN218" s="7">
        <f t="shared" si="129"/>
        <v>0</v>
      </c>
      <c r="BO218" s="8">
        <f t="array" ref="BO218">IFERROR(LARGE(IF(NF!$G$2:$G$3137='Mês atual'!A218,NF!$J$2:$J$3137),1),0)*BN218</f>
        <v>0</v>
      </c>
      <c r="BP218" s="50"/>
      <c r="BR218" s="146">
        <f t="array" ref="BR218">IFERROR(LARGE(IF(NF!$G$2:$G$3137='Mês atual'!A218,NF!$J$2:$J$3137),1),0)</f>
        <v>0</v>
      </c>
      <c r="BS218" s="142" t="str">
        <f>VLOOKUP(A218,NF!M:O,3,0)</f>
        <v>Descartável</v>
      </c>
      <c r="BV218" s="74">
        <f t="shared" si="130"/>
        <v>0</v>
      </c>
      <c r="BW218" s="74">
        <f t="shared" si="131"/>
        <v>0</v>
      </c>
      <c r="BX218" s="74">
        <f t="shared" si="132"/>
        <v>0</v>
      </c>
      <c r="BY218" s="74">
        <f t="shared" si="133"/>
        <v>0</v>
      </c>
      <c r="BZ218" s="74">
        <f t="shared" si="134"/>
        <v>0</v>
      </c>
    </row>
    <row r="219" spans="1:78" x14ac:dyDescent="0.2">
      <c r="A219" s="108" t="s">
        <v>1051</v>
      </c>
      <c r="B219" s="12"/>
      <c r="C219" s="9">
        <v>160</v>
      </c>
      <c r="D219" s="25"/>
      <c r="E219" s="10" t="str">
        <f t="shared" si="114"/>
        <v>MarçoSEMANA 1Embalagem Cristal Ret. 500ml CX 200</v>
      </c>
      <c r="F219" s="7">
        <f>SUMIF(NF!$A:$A,$E219,NF!$I:$I)</f>
        <v>0</v>
      </c>
      <c r="G219" s="74"/>
      <c r="H219" s="74"/>
      <c r="I219" s="74"/>
      <c r="J219" s="6"/>
      <c r="K219" s="6"/>
      <c r="L219" s="6"/>
      <c r="M219" s="6"/>
      <c r="N219" s="7">
        <f>SUM(G219:M219)</f>
        <v>0</v>
      </c>
      <c r="O219" s="11">
        <f>F219+C219-N219</f>
        <v>160</v>
      </c>
      <c r="P219" s="25"/>
      <c r="Q219" s="10" t="str">
        <f t="shared" si="117"/>
        <v>MarçoSEMANA 2Embalagem Cristal Ret. 500ml CX 200</v>
      </c>
      <c r="R219" s="7">
        <f>SUMIF(NF!$A:$A,$Q219,NF!$I:$I)</f>
        <v>0</v>
      </c>
      <c r="S219" s="6"/>
      <c r="T219" s="6"/>
      <c r="U219" s="6"/>
      <c r="V219" s="6"/>
      <c r="W219" s="6"/>
      <c r="X219" s="6"/>
      <c r="Y219" s="6"/>
      <c r="Z219" s="7">
        <f>SUM(S219:Y219)</f>
        <v>0</v>
      </c>
      <c r="AA219" s="11">
        <f>R219+O219-Z219</f>
        <v>160</v>
      </c>
      <c r="AB219" s="25"/>
      <c r="AC219" s="10" t="str">
        <f t="shared" si="120"/>
        <v>MarçoSEMANA 3Embalagem Cristal Ret. 500ml CX 200</v>
      </c>
      <c r="AD219" s="7">
        <f>SUMIF(NF!$A:$A,$AC219,NF!$I:$I)</f>
        <v>0</v>
      </c>
      <c r="AE219" s="6"/>
      <c r="AF219" s="6"/>
      <c r="AG219" s="6"/>
      <c r="AH219" s="6"/>
      <c r="AI219" s="6"/>
      <c r="AJ219" s="6"/>
      <c r="AK219" s="6"/>
      <c r="AL219" s="7">
        <f>SUM(AE219:AK219)</f>
        <v>0</v>
      </c>
      <c r="AM219" s="11">
        <f>AD219+AA219-AL219</f>
        <v>160</v>
      </c>
      <c r="AN219" s="25"/>
      <c r="AO219" s="10" t="str">
        <f t="shared" si="123"/>
        <v>MarçoSEMANA 4Embalagem Cristal Ret. 500ml CX 200</v>
      </c>
      <c r="AP219" s="7">
        <f>SUMIF(NF!$A:$A,$AO219,NF!$I:$I)</f>
        <v>0</v>
      </c>
      <c r="AQ219" s="6"/>
      <c r="AR219" s="6"/>
      <c r="AS219" s="6"/>
      <c r="AT219" s="6"/>
      <c r="AU219" s="6"/>
      <c r="AV219" s="6"/>
      <c r="AW219" s="6"/>
      <c r="AX219" s="7">
        <f>SUM(AQ219:AW219)</f>
        <v>0</v>
      </c>
      <c r="AY219" s="11">
        <f>AP219+AM219-AX219</f>
        <v>160</v>
      </c>
      <c r="AZ219" s="25"/>
      <c r="BA219" s="10" t="str">
        <f t="shared" si="126"/>
        <v>MarçoSEMANA 5Embalagem Cristal Ret. 500ml CX 200</v>
      </c>
      <c r="BB219" s="7">
        <f>SUMIF(NF!$A:$A,$BA219,NF!$I:$I)</f>
        <v>0</v>
      </c>
      <c r="BC219" s="6"/>
      <c r="BD219" s="6"/>
      <c r="BE219" s="6"/>
      <c r="BF219" s="6"/>
      <c r="BG219" s="6"/>
      <c r="BH219" s="6"/>
      <c r="BI219" s="74"/>
      <c r="BJ219" s="74"/>
      <c r="BK219" s="7">
        <f>SUM(BC219:BJ219)</f>
        <v>0</v>
      </c>
      <c r="BL219" s="8">
        <f>BB219+AY219-BK219</f>
        <v>160</v>
      </c>
      <c r="BM219" s="51" t="str">
        <f>IFERROR(VLOOKUP(A219,NF!$M:$O,3,0),"")</f>
        <v>Descartável</v>
      </c>
      <c r="BN219" s="7">
        <f>SUM(N219,Z219,AL219,AX219,BK219)</f>
        <v>0</v>
      </c>
      <c r="BO219" s="8">
        <f t="array" ref="BO219">IFERROR(LARGE(IF(NF!$G$2:$G$3137='Mês atual'!A219,NF!$J$2:$J$3137),1),0)*BN219</f>
        <v>0</v>
      </c>
      <c r="BP219" s="50"/>
      <c r="BR219" s="146">
        <f t="array" ref="BR219">IFERROR(LARGE(IF(NF!$G$2:$G$3137='Mês atual'!A219,NF!$J$2:$J$3137),1),0)</f>
        <v>0</v>
      </c>
      <c r="BS219" s="142" t="str">
        <f>VLOOKUP(A219,NF!M:O,3,0)</f>
        <v>Descartável</v>
      </c>
      <c r="BV219" s="74">
        <f>N219</f>
        <v>0</v>
      </c>
      <c r="BW219" s="74">
        <f>Z219</f>
        <v>0</v>
      </c>
      <c r="BX219" s="74">
        <f>AL219</f>
        <v>0</v>
      </c>
      <c r="BY219" s="74">
        <f>AX219</f>
        <v>0</v>
      </c>
      <c r="BZ219" s="74">
        <f>BK219</f>
        <v>0</v>
      </c>
    </row>
    <row r="220" spans="1:78" x14ac:dyDescent="0.2">
      <c r="A220" s="108" t="s">
        <v>323</v>
      </c>
      <c r="B220" s="12"/>
      <c r="C220" s="9">
        <f>9*25</f>
        <v>225</v>
      </c>
      <c r="D220" s="25"/>
      <c r="E220" s="10" t="str">
        <f t="shared" si="114"/>
        <v>MarçoSEMANA 1Embalagem Fatia de Torta Cx 200</v>
      </c>
      <c r="F220" s="7">
        <f>SUMIF(NF!$A:$A,$E220,NF!$I:$I)</f>
        <v>0</v>
      </c>
      <c r="G220" s="74"/>
      <c r="H220" s="74"/>
      <c r="I220" s="74"/>
      <c r="J220" s="6"/>
      <c r="K220" s="6"/>
      <c r="L220" s="6"/>
      <c r="M220" s="6">
        <v>25</v>
      </c>
      <c r="N220" s="7">
        <f t="shared" si="115"/>
        <v>25</v>
      </c>
      <c r="O220" s="11">
        <f t="shared" si="116"/>
        <v>200</v>
      </c>
      <c r="P220" s="25"/>
      <c r="Q220" s="10" t="str">
        <f t="shared" si="117"/>
        <v>MarçoSEMANA 2Embalagem Fatia de Torta Cx 200</v>
      </c>
      <c r="R220" s="7">
        <f>SUMIF(NF!$A:$A,$Q220,NF!$I:$I)</f>
        <v>0</v>
      </c>
      <c r="S220" s="6"/>
      <c r="T220" s="6"/>
      <c r="U220" s="6"/>
      <c r="V220" s="6"/>
      <c r="W220" s="6"/>
      <c r="X220" s="6"/>
      <c r="Y220" s="6">
        <v>25</v>
      </c>
      <c r="Z220" s="7">
        <f t="shared" si="118"/>
        <v>25</v>
      </c>
      <c r="AA220" s="11">
        <f t="shared" si="119"/>
        <v>175</v>
      </c>
      <c r="AB220" s="25"/>
      <c r="AC220" s="10" t="str">
        <f t="shared" si="120"/>
        <v>MarçoSEMANA 3Embalagem Fatia de Torta Cx 200</v>
      </c>
      <c r="AD220" s="7">
        <f>SUMIF(NF!$A:$A,$AC220,NF!$I:$I)</f>
        <v>0</v>
      </c>
      <c r="AE220" s="6"/>
      <c r="AF220" s="6"/>
      <c r="AG220" s="6"/>
      <c r="AH220" s="6"/>
      <c r="AI220" s="6"/>
      <c r="AJ220" s="6"/>
      <c r="AK220" s="6"/>
      <c r="AL220" s="7">
        <f t="shared" si="121"/>
        <v>0</v>
      </c>
      <c r="AM220" s="11">
        <f t="shared" si="122"/>
        <v>175</v>
      </c>
      <c r="AN220" s="25"/>
      <c r="AO220" s="10" t="str">
        <f t="shared" si="123"/>
        <v>MarçoSEMANA 4Embalagem Fatia de Torta Cx 200</v>
      </c>
      <c r="AP220" s="7">
        <f>SUMIF(NF!$A:$A,$AO220,NF!$I:$I)</f>
        <v>0</v>
      </c>
      <c r="AQ220" s="6"/>
      <c r="AR220" s="6"/>
      <c r="AS220" s="6"/>
      <c r="AT220" s="6"/>
      <c r="AU220" s="6"/>
      <c r="AV220" s="6"/>
      <c r="AW220" s="6"/>
      <c r="AX220" s="7">
        <f t="shared" si="124"/>
        <v>0</v>
      </c>
      <c r="AY220" s="11">
        <f t="shared" si="125"/>
        <v>175</v>
      </c>
      <c r="AZ220" s="25"/>
      <c r="BA220" s="10" t="str">
        <f t="shared" si="126"/>
        <v>MarçoSEMANA 5Embalagem Fatia de Torta Cx 200</v>
      </c>
      <c r="BB220" s="7">
        <f>SUMIF(NF!$A:$A,$BA220,NF!$I:$I)</f>
        <v>0</v>
      </c>
      <c r="BC220" s="6">
        <v>25</v>
      </c>
      <c r="BD220" s="6"/>
      <c r="BE220" s="6"/>
      <c r="BF220" s="6"/>
      <c r="BG220" s="6"/>
      <c r="BH220" s="6"/>
      <c r="BI220" s="74"/>
      <c r="BJ220" s="74"/>
      <c r="BK220" s="7">
        <f t="shared" si="127"/>
        <v>25</v>
      </c>
      <c r="BL220" s="8">
        <f t="shared" si="128"/>
        <v>150</v>
      </c>
      <c r="BM220" s="51" t="str">
        <f>IFERROR(VLOOKUP(A220,NF!$M:$O,3,0),"")</f>
        <v>Descartável</v>
      </c>
      <c r="BN220" s="7">
        <f t="shared" si="129"/>
        <v>75</v>
      </c>
      <c r="BO220" s="8">
        <f t="array" ref="BO220">IFERROR(LARGE(IF(NF!$G$2:$G$3137='Mês atual'!A220,NF!$J$2:$J$3137),1),0)*BN220</f>
        <v>0</v>
      </c>
      <c r="BP220" s="50"/>
      <c r="BR220" s="146">
        <f t="array" ref="BR220">IFERROR(LARGE(IF(NF!$G$2:$G$3137='Mês atual'!A220,NF!$J$2:$J$3137),1),0)</f>
        <v>0</v>
      </c>
      <c r="BS220" s="142" t="str">
        <f>VLOOKUP(A220,NF!M:O,3,0)</f>
        <v>Descartável</v>
      </c>
      <c r="BV220" s="74">
        <f t="shared" si="130"/>
        <v>25</v>
      </c>
      <c r="BW220" s="74">
        <f t="shared" si="131"/>
        <v>25</v>
      </c>
      <c r="BX220" s="74">
        <f t="shared" si="132"/>
        <v>0</v>
      </c>
      <c r="BY220" s="74">
        <f t="shared" si="133"/>
        <v>0</v>
      </c>
      <c r="BZ220" s="74">
        <f t="shared" si="134"/>
        <v>25</v>
      </c>
    </row>
    <row r="221" spans="1:78" x14ac:dyDescent="0.2">
      <c r="A221" s="108" t="s">
        <v>324</v>
      </c>
      <c r="B221" s="12"/>
      <c r="C221" s="9">
        <v>0</v>
      </c>
      <c r="D221" s="25"/>
      <c r="E221" s="10" t="str">
        <f t="shared" si="114"/>
        <v>MarçoSEMANA 1Embalagem Grande Segantini</v>
      </c>
      <c r="F221" s="7">
        <f>SUMIF(NF!$A:$A,$E221,NF!$I:$I)</f>
        <v>0</v>
      </c>
      <c r="G221" s="74"/>
      <c r="H221" s="74"/>
      <c r="I221" s="74"/>
      <c r="J221" s="6"/>
      <c r="K221" s="6"/>
      <c r="L221" s="6"/>
      <c r="M221" s="6"/>
      <c r="N221" s="7">
        <f t="shared" si="115"/>
        <v>0</v>
      </c>
      <c r="O221" s="11">
        <f t="shared" si="116"/>
        <v>0</v>
      </c>
      <c r="P221" s="25"/>
      <c r="Q221" s="10" t="str">
        <f t="shared" si="117"/>
        <v>MarçoSEMANA 2Embalagem Grande Segantini</v>
      </c>
      <c r="R221" s="7">
        <f>SUMIF(NF!$A:$A,$Q221,NF!$I:$I)</f>
        <v>0</v>
      </c>
      <c r="S221" s="6"/>
      <c r="T221" s="6"/>
      <c r="U221" s="6"/>
      <c r="V221" s="6"/>
      <c r="W221" s="6"/>
      <c r="X221" s="6"/>
      <c r="Y221" s="6"/>
      <c r="Z221" s="7">
        <f t="shared" si="118"/>
        <v>0</v>
      </c>
      <c r="AA221" s="11">
        <f t="shared" si="119"/>
        <v>0</v>
      </c>
      <c r="AB221" s="25"/>
      <c r="AC221" s="10" t="str">
        <f t="shared" si="120"/>
        <v>MarçoSEMANA 3Embalagem Grande Segantini</v>
      </c>
      <c r="AD221" s="7">
        <f>SUMIF(NF!$A:$A,$AC221,NF!$I:$I)</f>
        <v>0</v>
      </c>
      <c r="AE221" s="6"/>
      <c r="AF221" s="6"/>
      <c r="AG221" s="6"/>
      <c r="AH221" s="6"/>
      <c r="AI221" s="6"/>
      <c r="AJ221" s="6"/>
      <c r="AK221" s="6"/>
      <c r="AL221" s="7">
        <f t="shared" si="121"/>
        <v>0</v>
      </c>
      <c r="AM221" s="11">
        <f t="shared" si="122"/>
        <v>0</v>
      </c>
      <c r="AN221" s="25"/>
      <c r="AO221" s="10" t="str">
        <f t="shared" si="123"/>
        <v>MarçoSEMANA 4Embalagem Grande Segantini</v>
      </c>
      <c r="AP221" s="7">
        <f>SUMIF(NF!$A:$A,$AO221,NF!$I:$I)</f>
        <v>0</v>
      </c>
      <c r="AQ221" s="6"/>
      <c r="AR221" s="6"/>
      <c r="AS221" s="6"/>
      <c r="AT221" s="6"/>
      <c r="AU221" s="6"/>
      <c r="AV221" s="6"/>
      <c r="AW221" s="6"/>
      <c r="AX221" s="7">
        <f t="shared" si="124"/>
        <v>0</v>
      </c>
      <c r="AY221" s="11">
        <f t="shared" si="125"/>
        <v>0</v>
      </c>
      <c r="AZ221" s="25"/>
      <c r="BA221" s="10" t="str">
        <f t="shared" si="126"/>
        <v>MarçoSEMANA 5Embalagem Grande Segantini</v>
      </c>
      <c r="BB221" s="7">
        <f>SUMIF(NF!$A:$A,$BA221,NF!$I:$I)</f>
        <v>0</v>
      </c>
      <c r="BC221" s="6"/>
      <c r="BD221" s="6"/>
      <c r="BE221" s="6"/>
      <c r="BF221" s="6"/>
      <c r="BG221" s="6"/>
      <c r="BH221" s="6"/>
      <c r="BI221" s="74"/>
      <c r="BJ221" s="74"/>
      <c r="BK221" s="7">
        <f t="shared" si="127"/>
        <v>0</v>
      </c>
      <c r="BL221" s="8">
        <f t="shared" si="128"/>
        <v>0</v>
      </c>
      <c r="BM221" s="51" t="str">
        <f>IFERROR(VLOOKUP(A221,NF!$M:$O,3,0),"")</f>
        <v>Descartável</v>
      </c>
      <c r="BN221" s="7">
        <f t="shared" si="129"/>
        <v>0</v>
      </c>
      <c r="BO221" s="8">
        <f t="array" ref="BO221">IFERROR(LARGE(IF(NF!$G$2:$G$3137='Mês atual'!A221,NF!$J$2:$J$3137),1),0)*BN221</f>
        <v>0</v>
      </c>
      <c r="BP221" s="50"/>
      <c r="BR221" s="146">
        <f t="array" ref="BR221">IFERROR(LARGE(IF(NF!$G$2:$G$3137='Mês atual'!A221,NF!$J$2:$J$3137),1),0)</f>
        <v>0</v>
      </c>
      <c r="BS221" s="142" t="str">
        <f>VLOOKUP(A221,NF!M:O,3,0)</f>
        <v>Descartável</v>
      </c>
      <c r="BV221" s="74">
        <f t="shared" si="130"/>
        <v>0</v>
      </c>
      <c r="BW221" s="74">
        <f t="shared" si="131"/>
        <v>0</v>
      </c>
      <c r="BX221" s="74">
        <f t="shared" si="132"/>
        <v>0</v>
      </c>
      <c r="BY221" s="74">
        <f t="shared" si="133"/>
        <v>0</v>
      </c>
      <c r="BZ221" s="74">
        <f t="shared" si="134"/>
        <v>0</v>
      </c>
    </row>
    <row r="222" spans="1:78" x14ac:dyDescent="0.2">
      <c r="A222" s="108" t="s">
        <v>325</v>
      </c>
      <c r="B222" s="12"/>
      <c r="C222" s="9">
        <v>0</v>
      </c>
      <c r="D222" s="25"/>
      <c r="E222" s="10" t="str">
        <f t="shared" si="114"/>
        <v>MarçoSEMANA 1Embalagem p/ Sushi</v>
      </c>
      <c r="F222" s="7">
        <f>SUMIF(NF!$A:$A,$E222,NF!$I:$I)</f>
        <v>0</v>
      </c>
      <c r="G222" s="74"/>
      <c r="H222" s="74"/>
      <c r="I222" s="74"/>
      <c r="J222" s="6"/>
      <c r="K222" s="6"/>
      <c r="L222" s="6"/>
      <c r="M222" s="6"/>
      <c r="N222" s="7">
        <f t="shared" si="115"/>
        <v>0</v>
      </c>
      <c r="O222" s="11">
        <f t="shared" si="116"/>
        <v>0</v>
      </c>
      <c r="P222" s="25"/>
      <c r="Q222" s="10" t="str">
        <f t="shared" si="117"/>
        <v>MarçoSEMANA 2Embalagem p/ Sushi</v>
      </c>
      <c r="R222" s="7">
        <f>SUMIF(NF!$A:$A,$Q222,NF!$I:$I)</f>
        <v>0</v>
      </c>
      <c r="S222" s="6"/>
      <c r="T222" s="6"/>
      <c r="U222" s="6"/>
      <c r="V222" s="6"/>
      <c r="W222" s="6"/>
      <c r="X222" s="6"/>
      <c r="Y222" s="6"/>
      <c r="Z222" s="7">
        <f t="shared" si="118"/>
        <v>0</v>
      </c>
      <c r="AA222" s="11">
        <f t="shared" si="119"/>
        <v>0</v>
      </c>
      <c r="AB222" s="25"/>
      <c r="AC222" s="10" t="str">
        <f t="shared" si="120"/>
        <v>MarçoSEMANA 3Embalagem p/ Sushi</v>
      </c>
      <c r="AD222" s="7">
        <f>SUMIF(NF!$A:$A,$AC222,NF!$I:$I)</f>
        <v>0</v>
      </c>
      <c r="AE222" s="6"/>
      <c r="AF222" s="6"/>
      <c r="AG222" s="6"/>
      <c r="AH222" s="6"/>
      <c r="AI222" s="6"/>
      <c r="AJ222" s="6"/>
      <c r="AK222" s="6"/>
      <c r="AL222" s="7">
        <f t="shared" si="121"/>
        <v>0</v>
      </c>
      <c r="AM222" s="11">
        <f t="shared" si="122"/>
        <v>0</v>
      </c>
      <c r="AN222" s="25"/>
      <c r="AO222" s="10" t="str">
        <f t="shared" si="123"/>
        <v>MarçoSEMANA 4Embalagem p/ Sushi</v>
      </c>
      <c r="AP222" s="7">
        <f>SUMIF(NF!$A:$A,$AO222,NF!$I:$I)</f>
        <v>0</v>
      </c>
      <c r="AQ222" s="6"/>
      <c r="AR222" s="6"/>
      <c r="AS222" s="6"/>
      <c r="AT222" s="6"/>
      <c r="AU222" s="6"/>
      <c r="AV222" s="6"/>
      <c r="AW222" s="6"/>
      <c r="AX222" s="7">
        <f t="shared" si="124"/>
        <v>0</v>
      </c>
      <c r="AY222" s="11">
        <f t="shared" si="125"/>
        <v>0</v>
      </c>
      <c r="AZ222" s="25"/>
      <c r="BA222" s="10" t="str">
        <f t="shared" si="126"/>
        <v>MarçoSEMANA 5Embalagem p/ Sushi</v>
      </c>
      <c r="BB222" s="7">
        <f>SUMIF(NF!$A:$A,$BA222,NF!$I:$I)</f>
        <v>0</v>
      </c>
      <c r="BC222" s="6"/>
      <c r="BD222" s="6"/>
      <c r="BE222" s="6"/>
      <c r="BF222" s="6"/>
      <c r="BG222" s="6"/>
      <c r="BH222" s="6"/>
      <c r="BI222" s="74"/>
      <c r="BJ222" s="74"/>
      <c r="BK222" s="7">
        <f t="shared" si="127"/>
        <v>0</v>
      </c>
      <c r="BL222" s="8">
        <f t="shared" si="128"/>
        <v>0</v>
      </c>
      <c r="BM222" s="51" t="str">
        <f>IFERROR(VLOOKUP(A222,NF!$M:$O,3,0),"")</f>
        <v>Descartável</v>
      </c>
      <c r="BN222" s="7">
        <f t="shared" si="129"/>
        <v>0</v>
      </c>
      <c r="BO222" s="8">
        <f t="array" ref="BO222">IFERROR(LARGE(IF(NF!$G$2:$G$3137='Mês atual'!A222,NF!$J$2:$J$3137),1),0)*BN222</f>
        <v>0</v>
      </c>
      <c r="BP222" s="50"/>
      <c r="BR222" s="146">
        <f t="array" ref="BR222">IFERROR(LARGE(IF(NF!$G$2:$G$3137='Mês atual'!A222,NF!$J$2:$J$3137),1),0)</f>
        <v>0</v>
      </c>
      <c r="BS222" s="142" t="str">
        <f>VLOOKUP(A222,NF!M:O,3,0)</f>
        <v>Descartável</v>
      </c>
      <c r="BV222" s="74">
        <f t="shared" si="130"/>
        <v>0</v>
      </c>
      <c r="BW222" s="74">
        <f t="shared" si="131"/>
        <v>0</v>
      </c>
      <c r="BX222" s="74">
        <f t="shared" si="132"/>
        <v>0</v>
      </c>
      <c r="BY222" s="74">
        <f t="shared" si="133"/>
        <v>0</v>
      </c>
      <c r="BZ222" s="74">
        <f t="shared" si="134"/>
        <v>0</v>
      </c>
    </row>
    <row r="223" spans="1:78" x14ac:dyDescent="0.2">
      <c r="A223" s="108" t="s">
        <v>1027</v>
      </c>
      <c r="B223" s="12"/>
      <c r="C223" s="9">
        <f>5*50</f>
        <v>250</v>
      </c>
      <c r="D223" s="25"/>
      <c r="E223" s="10" t="str">
        <f t="shared" si="114"/>
        <v>MarçoSEMANA 1Embalagem Plastica (cuscus) cx 300</v>
      </c>
      <c r="F223" s="7">
        <f>SUMIF(NF!$A:$A,$E223,NF!$I:$I)</f>
        <v>0</v>
      </c>
      <c r="G223" s="74"/>
      <c r="H223" s="74"/>
      <c r="I223" s="74"/>
      <c r="J223" s="6"/>
      <c r="K223" s="6"/>
      <c r="L223" s="6"/>
      <c r="M223" s="6">
        <v>50</v>
      </c>
      <c r="N223" s="7">
        <f t="shared" si="115"/>
        <v>50</v>
      </c>
      <c r="O223" s="11">
        <f t="shared" si="116"/>
        <v>200</v>
      </c>
      <c r="P223" s="25"/>
      <c r="Q223" s="10" t="str">
        <f t="shared" si="117"/>
        <v>MarçoSEMANA 2Embalagem Plastica (cuscus) cx 300</v>
      </c>
      <c r="R223" s="7">
        <f>SUMIF(NF!$A:$A,$Q223,NF!$I:$I)</f>
        <v>0</v>
      </c>
      <c r="S223" s="6"/>
      <c r="T223" s="6"/>
      <c r="U223" s="6"/>
      <c r="V223" s="6"/>
      <c r="W223" s="6"/>
      <c r="X223" s="6"/>
      <c r="Y223" s="6"/>
      <c r="Z223" s="7">
        <f t="shared" si="118"/>
        <v>0</v>
      </c>
      <c r="AA223" s="11">
        <f t="shared" si="119"/>
        <v>200</v>
      </c>
      <c r="AB223" s="25"/>
      <c r="AC223" s="10" t="str">
        <f t="shared" si="120"/>
        <v>MarçoSEMANA 3Embalagem Plastica (cuscus) cx 300</v>
      </c>
      <c r="AD223" s="7">
        <f>SUMIF(NF!$A:$A,$AC223,NF!$I:$I)</f>
        <v>0</v>
      </c>
      <c r="AE223" s="6"/>
      <c r="AF223" s="6"/>
      <c r="AG223" s="6"/>
      <c r="AH223" s="6"/>
      <c r="AI223" s="6"/>
      <c r="AJ223" s="6"/>
      <c r="AK223" s="6"/>
      <c r="AL223" s="7">
        <f t="shared" si="121"/>
        <v>0</v>
      </c>
      <c r="AM223" s="11">
        <f t="shared" si="122"/>
        <v>200</v>
      </c>
      <c r="AN223" s="25"/>
      <c r="AO223" s="10" t="str">
        <f t="shared" si="123"/>
        <v>MarçoSEMANA 4Embalagem Plastica (cuscus) cx 300</v>
      </c>
      <c r="AP223" s="7">
        <f>SUMIF(NF!$A:$A,$AO223,NF!$I:$I)</f>
        <v>0</v>
      </c>
      <c r="AQ223" s="6"/>
      <c r="AR223" s="6"/>
      <c r="AS223" s="6"/>
      <c r="AT223" s="6"/>
      <c r="AU223" s="6"/>
      <c r="AV223" s="6"/>
      <c r="AW223" s="6"/>
      <c r="AX223" s="7">
        <f t="shared" si="124"/>
        <v>0</v>
      </c>
      <c r="AY223" s="11">
        <f t="shared" si="125"/>
        <v>200</v>
      </c>
      <c r="AZ223" s="25"/>
      <c r="BA223" s="10" t="str">
        <f t="shared" si="126"/>
        <v>MarçoSEMANA 5Embalagem Plastica (cuscus) cx 300</v>
      </c>
      <c r="BB223" s="7">
        <f>SUMIF(NF!$A:$A,$BA223,NF!$I:$I)</f>
        <v>0</v>
      </c>
      <c r="BC223" s="6"/>
      <c r="BD223" s="6"/>
      <c r="BE223" s="6"/>
      <c r="BF223" s="6"/>
      <c r="BG223" s="6"/>
      <c r="BH223" s="6"/>
      <c r="BI223" s="74"/>
      <c r="BJ223" s="74"/>
      <c r="BK223" s="7">
        <f t="shared" si="127"/>
        <v>0</v>
      </c>
      <c r="BL223" s="8">
        <f t="shared" si="128"/>
        <v>200</v>
      </c>
      <c r="BM223" s="51" t="str">
        <f>IFERROR(VLOOKUP(A223,NF!$M:$O,3,0),"")</f>
        <v>Descartável</v>
      </c>
      <c r="BN223" s="7">
        <f t="shared" si="129"/>
        <v>50</v>
      </c>
      <c r="BO223" s="8">
        <f t="array" ref="BO223">IFERROR(LARGE(IF(NF!$G$2:$G$3137='Mês atual'!A223,NF!$J$2:$J$3137),1),0)*BN223</f>
        <v>0</v>
      </c>
      <c r="BP223" s="50"/>
      <c r="BR223" s="146">
        <f t="array" ref="BR223">IFERROR(LARGE(IF(NF!$G$2:$G$3137='Mês atual'!A223,NF!$J$2:$J$3137),1),0)</f>
        <v>0</v>
      </c>
      <c r="BS223" s="142" t="str">
        <f>VLOOKUP(A223,NF!M:O,3,0)</f>
        <v>Descartável</v>
      </c>
      <c r="BV223" s="74">
        <f t="shared" si="130"/>
        <v>50</v>
      </c>
      <c r="BW223" s="74">
        <f t="shared" si="131"/>
        <v>0</v>
      </c>
      <c r="BX223" s="74">
        <f t="shared" si="132"/>
        <v>0</v>
      </c>
      <c r="BY223" s="74">
        <f t="shared" si="133"/>
        <v>0</v>
      </c>
      <c r="BZ223" s="74">
        <f t="shared" si="134"/>
        <v>0</v>
      </c>
    </row>
    <row r="224" spans="1:78" x14ac:dyDescent="0.2">
      <c r="A224" s="108" t="s">
        <v>331</v>
      </c>
      <c r="B224" s="12"/>
      <c r="C224" s="9">
        <v>2</v>
      </c>
      <c r="D224" s="25"/>
      <c r="E224" s="10" t="str">
        <f t="shared" si="114"/>
        <v>MarçoSEMANA 1Espetinho 15 cm c/ 100</v>
      </c>
      <c r="F224" s="7">
        <f>SUMIF(NF!$A:$A,$E224,NF!$I:$I)</f>
        <v>0</v>
      </c>
      <c r="G224" s="74"/>
      <c r="H224" s="74"/>
      <c r="I224" s="74"/>
      <c r="J224" s="6"/>
      <c r="K224" s="6"/>
      <c r="L224" s="6"/>
      <c r="M224" s="6"/>
      <c r="N224" s="7">
        <f t="shared" si="115"/>
        <v>0</v>
      </c>
      <c r="O224" s="11">
        <f t="shared" si="116"/>
        <v>2</v>
      </c>
      <c r="P224" s="25"/>
      <c r="Q224" s="10" t="str">
        <f t="shared" si="117"/>
        <v>MarçoSEMANA 2Espetinho 15 cm c/ 100</v>
      </c>
      <c r="R224" s="7">
        <f>SUMIF(NF!$A:$A,$Q224,NF!$I:$I)</f>
        <v>0</v>
      </c>
      <c r="S224" s="6"/>
      <c r="T224" s="6"/>
      <c r="U224" s="6"/>
      <c r="V224" s="6"/>
      <c r="W224" s="6"/>
      <c r="X224" s="6"/>
      <c r="Y224" s="6"/>
      <c r="Z224" s="7">
        <f t="shared" si="118"/>
        <v>0</v>
      </c>
      <c r="AA224" s="11">
        <f t="shared" si="119"/>
        <v>2</v>
      </c>
      <c r="AB224" s="25"/>
      <c r="AC224" s="10" t="str">
        <f t="shared" si="120"/>
        <v>MarçoSEMANA 3Espetinho 15 cm c/ 100</v>
      </c>
      <c r="AD224" s="7">
        <f>SUMIF(NF!$A:$A,$AC224,NF!$I:$I)</f>
        <v>0</v>
      </c>
      <c r="AE224" s="6"/>
      <c r="AF224" s="6"/>
      <c r="AG224" s="6">
        <v>2</v>
      </c>
      <c r="AH224" s="6"/>
      <c r="AI224" s="6"/>
      <c r="AJ224" s="6"/>
      <c r="AK224" s="6"/>
      <c r="AL224" s="7">
        <f t="shared" si="121"/>
        <v>2</v>
      </c>
      <c r="AM224" s="11">
        <f t="shared" si="122"/>
        <v>0</v>
      </c>
      <c r="AN224" s="25"/>
      <c r="AO224" s="10" t="str">
        <f t="shared" si="123"/>
        <v>MarçoSEMANA 4Espetinho 15 cm c/ 100</v>
      </c>
      <c r="AP224" s="7">
        <f>SUMIF(NF!$A:$A,$AO224,NF!$I:$I)</f>
        <v>0</v>
      </c>
      <c r="AQ224" s="6"/>
      <c r="AR224" s="6"/>
      <c r="AS224" s="6"/>
      <c r="AT224" s="6"/>
      <c r="AU224" s="6"/>
      <c r="AV224" s="6"/>
      <c r="AW224" s="6"/>
      <c r="AX224" s="7">
        <f t="shared" si="124"/>
        <v>0</v>
      </c>
      <c r="AY224" s="11">
        <f t="shared" si="125"/>
        <v>0</v>
      </c>
      <c r="AZ224" s="25"/>
      <c r="BA224" s="10" t="str">
        <f t="shared" si="126"/>
        <v>MarçoSEMANA 5Espetinho 15 cm c/ 100</v>
      </c>
      <c r="BB224" s="7">
        <f>SUMIF(NF!$A:$A,$BA224,NF!$I:$I)</f>
        <v>16</v>
      </c>
      <c r="BC224" s="6"/>
      <c r="BD224" s="6"/>
      <c r="BE224" s="6"/>
      <c r="BF224" s="6">
        <v>3</v>
      </c>
      <c r="BG224" s="6"/>
      <c r="BH224" s="6"/>
      <c r="BI224" s="74"/>
      <c r="BJ224" s="74"/>
      <c r="BK224" s="7">
        <f t="shared" si="127"/>
        <v>3</v>
      </c>
      <c r="BL224" s="8">
        <f t="shared" si="128"/>
        <v>13</v>
      </c>
      <c r="BM224" s="51" t="str">
        <f>IFERROR(VLOOKUP(A224,NF!$M:$O,3,0),"")</f>
        <v>Descartável</v>
      </c>
      <c r="BN224" s="7">
        <f t="shared" si="129"/>
        <v>5</v>
      </c>
      <c r="BO224" s="8">
        <f t="array" ref="BO224">IFERROR(LARGE(IF(NF!$G$2:$G$3137='Mês atual'!A224,NF!$J$2:$J$3137),1),0)*BN224</f>
        <v>27.5</v>
      </c>
      <c r="BP224" s="50"/>
      <c r="BR224" s="146">
        <f t="array" ref="BR224">IFERROR(LARGE(IF(NF!$G$2:$G$3137='Mês atual'!A224,NF!$J$2:$J$3137),1),0)</f>
        <v>5.5</v>
      </c>
      <c r="BS224" s="142" t="str">
        <f>VLOOKUP(A224,NF!M:O,3,0)</f>
        <v>Descartável</v>
      </c>
      <c r="BV224" s="74">
        <f t="shared" si="130"/>
        <v>0</v>
      </c>
      <c r="BW224" s="74">
        <f t="shared" si="131"/>
        <v>0</v>
      </c>
      <c r="BX224" s="74">
        <f t="shared" si="132"/>
        <v>2</v>
      </c>
      <c r="BY224" s="74">
        <f t="shared" si="133"/>
        <v>0</v>
      </c>
      <c r="BZ224" s="74">
        <f t="shared" si="134"/>
        <v>3</v>
      </c>
    </row>
    <row r="225" spans="1:78" x14ac:dyDescent="0.2">
      <c r="A225" s="108" t="s">
        <v>337</v>
      </c>
      <c r="B225" s="12"/>
      <c r="C225" s="9">
        <v>9</v>
      </c>
      <c r="D225" s="25"/>
      <c r="E225" s="10" t="str">
        <f t="shared" si="114"/>
        <v>MarçoSEMANA 1Etiqueta de Validade 40X60</v>
      </c>
      <c r="F225" s="7">
        <f>SUMIF(NF!$A:$A,$E225,NF!$I:$I)</f>
        <v>0</v>
      </c>
      <c r="G225" s="74"/>
      <c r="H225" s="74"/>
      <c r="I225" s="74"/>
      <c r="J225" s="6"/>
      <c r="K225" s="6">
        <v>1</v>
      </c>
      <c r="L225" s="6"/>
      <c r="M225" s="6"/>
      <c r="N225" s="7">
        <f t="shared" si="115"/>
        <v>1</v>
      </c>
      <c r="O225" s="11">
        <f t="shared" si="116"/>
        <v>8</v>
      </c>
      <c r="P225" s="25"/>
      <c r="Q225" s="10" t="str">
        <f t="shared" si="117"/>
        <v>MarçoSEMANA 2Etiqueta de Validade 40X60</v>
      </c>
      <c r="R225" s="7">
        <f>SUMIF(NF!$A:$A,$Q225,NF!$I:$I)</f>
        <v>0</v>
      </c>
      <c r="S225" s="6"/>
      <c r="T225" s="6"/>
      <c r="U225" s="6"/>
      <c r="V225" s="6"/>
      <c r="W225" s="6"/>
      <c r="X225" s="6"/>
      <c r="Y225" s="6"/>
      <c r="Z225" s="7">
        <f t="shared" si="118"/>
        <v>0</v>
      </c>
      <c r="AA225" s="11">
        <f t="shared" si="119"/>
        <v>8</v>
      </c>
      <c r="AB225" s="25"/>
      <c r="AC225" s="10" t="str">
        <f t="shared" si="120"/>
        <v>MarçoSEMANA 3Etiqueta de Validade 40X60</v>
      </c>
      <c r="AD225" s="7">
        <f>SUMIF(NF!$A:$A,$AC225,NF!$I:$I)</f>
        <v>0</v>
      </c>
      <c r="AE225" s="6"/>
      <c r="AF225" s="6"/>
      <c r="AG225" s="6">
        <v>1</v>
      </c>
      <c r="AH225" s="6"/>
      <c r="AI225" s="6"/>
      <c r="AJ225" s="6"/>
      <c r="AK225" s="6"/>
      <c r="AL225" s="7">
        <f t="shared" si="121"/>
        <v>1</v>
      </c>
      <c r="AM225" s="11">
        <f t="shared" si="122"/>
        <v>7</v>
      </c>
      <c r="AN225" s="25"/>
      <c r="AO225" s="10" t="str">
        <f t="shared" si="123"/>
        <v>MarçoSEMANA 4Etiqueta de Validade 40X60</v>
      </c>
      <c r="AP225" s="7">
        <f>SUMIF(NF!$A:$A,$AO225,NF!$I:$I)</f>
        <v>0</v>
      </c>
      <c r="AQ225" s="6"/>
      <c r="AR225" s="6"/>
      <c r="AS225" s="6">
        <v>1</v>
      </c>
      <c r="AT225" s="6"/>
      <c r="AU225" s="6">
        <v>1</v>
      </c>
      <c r="AV225" s="6"/>
      <c r="AW225" s="6"/>
      <c r="AX225" s="7">
        <f t="shared" si="124"/>
        <v>2</v>
      </c>
      <c r="AY225" s="11">
        <f t="shared" si="125"/>
        <v>5</v>
      </c>
      <c r="AZ225" s="25"/>
      <c r="BA225" s="10" t="str">
        <f t="shared" si="126"/>
        <v>MarçoSEMANA 5Etiqueta de Validade 40X60</v>
      </c>
      <c r="BB225" s="7">
        <f>SUMIF(NF!$A:$A,$BA225,NF!$I:$I)</f>
        <v>0</v>
      </c>
      <c r="BC225" s="6"/>
      <c r="BD225" s="6"/>
      <c r="BE225" s="6"/>
      <c r="BF225" s="6"/>
      <c r="BG225" s="6"/>
      <c r="BH225" s="6"/>
      <c r="BI225" s="74"/>
      <c r="BJ225" s="74"/>
      <c r="BK225" s="7">
        <f t="shared" si="127"/>
        <v>0</v>
      </c>
      <c r="BL225" s="8">
        <f t="shared" si="128"/>
        <v>5</v>
      </c>
      <c r="BM225" s="51" t="str">
        <f>IFERROR(VLOOKUP(A225,NF!$M:$O,3,0),"")</f>
        <v>Descartável</v>
      </c>
      <c r="BN225" s="7">
        <f t="shared" si="129"/>
        <v>4</v>
      </c>
      <c r="BO225" s="8">
        <f t="array" ref="BO225">IFERROR(LARGE(IF(NF!$G$2:$G$3137='Mês atual'!A225,NF!$J$2:$J$3137),1),0)*BN225</f>
        <v>0</v>
      </c>
      <c r="BP225" s="50"/>
      <c r="BR225" s="146">
        <f t="array" ref="BR225">IFERROR(LARGE(IF(NF!$G$2:$G$3137='Mês atual'!A225,NF!$J$2:$J$3137),1),0)</f>
        <v>0</v>
      </c>
      <c r="BS225" s="142" t="str">
        <f>VLOOKUP(A225,NF!M:O,3,0)</f>
        <v>Descartável</v>
      </c>
      <c r="BV225" s="74">
        <f t="shared" si="130"/>
        <v>1</v>
      </c>
      <c r="BW225" s="74">
        <f t="shared" si="131"/>
        <v>0</v>
      </c>
      <c r="BX225" s="74">
        <f t="shared" si="132"/>
        <v>1</v>
      </c>
      <c r="BY225" s="74">
        <f t="shared" si="133"/>
        <v>2</v>
      </c>
      <c r="BZ225" s="74">
        <f t="shared" si="134"/>
        <v>0</v>
      </c>
    </row>
    <row r="226" spans="1:78" x14ac:dyDescent="0.2">
      <c r="A226" s="108" t="s">
        <v>339</v>
      </c>
      <c r="B226" s="12"/>
      <c r="C226" s="9">
        <v>70</v>
      </c>
      <c r="D226" s="25"/>
      <c r="E226" s="10" t="str">
        <f t="shared" si="114"/>
        <v>MarçoSEMANA 1Etiqueta Toledo 40 X 40</v>
      </c>
      <c r="F226" s="7">
        <f>SUMIF(NF!$A:$A,$E226,NF!$I:$I)</f>
        <v>0</v>
      </c>
      <c r="G226" s="74"/>
      <c r="H226" s="74"/>
      <c r="I226" s="74"/>
      <c r="J226" s="6">
        <v>5</v>
      </c>
      <c r="K226" s="6"/>
      <c r="L226" s="6"/>
      <c r="M226" s="6"/>
      <c r="N226" s="7">
        <f t="shared" si="115"/>
        <v>5</v>
      </c>
      <c r="O226" s="11">
        <f t="shared" si="116"/>
        <v>65</v>
      </c>
      <c r="P226" s="25"/>
      <c r="Q226" s="10" t="str">
        <f t="shared" si="117"/>
        <v>MarçoSEMANA 2Etiqueta Toledo 40 X 40</v>
      </c>
      <c r="R226" s="7">
        <f>SUMIF(NF!$A:$A,$Q226,NF!$I:$I)</f>
        <v>0</v>
      </c>
      <c r="S226" s="6"/>
      <c r="T226" s="6"/>
      <c r="U226" s="6"/>
      <c r="V226" s="6"/>
      <c r="W226" s="6"/>
      <c r="X226" s="6">
        <v>5</v>
      </c>
      <c r="Y226" s="6"/>
      <c r="Z226" s="7">
        <f t="shared" si="118"/>
        <v>5</v>
      </c>
      <c r="AA226" s="11">
        <f t="shared" si="119"/>
        <v>60</v>
      </c>
      <c r="AB226" s="25"/>
      <c r="AC226" s="10" t="str">
        <f t="shared" si="120"/>
        <v>MarçoSEMANA 3Etiqueta Toledo 40 X 40</v>
      </c>
      <c r="AD226" s="7">
        <f>SUMIF(NF!$A:$A,$AC226,NF!$I:$I)</f>
        <v>0</v>
      </c>
      <c r="AE226" s="6"/>
      <c r="AF226" s="6"/>
      <c r="AG226" s="6"/>
      <c r="AH226" s="6"/>
      <c r="AI226" s="6">
        <v>5</v>
      </c>
      <c r="AJ226" s="6"/>
      <c r="AK226" s="6"/>
      <c r="AL226" s="7">
        <f t="shared" si="121"/>
        <v>5</v>
      </c>
      <c r="AM226" s="11">
        <f t="shared" si="122"/>
        <v>55</v>
      </c>
      <c r="AN226" s="25"/>
      <c r="AO226" s="10" t="str">
        <f t="shared" si="123"/>
        <v>MarçoSEMANA 4Etiqueta Toledo 40 X 40</v>
      </c>
      <c r="AP226" s="7">
        <f>SUMIF(NF!$A:$A,$AO226,NF!$I:$I)</f>
        <v>0</v>
      </c>
      <c r="AQ226" s="6"/>
      <c r="AR226" s="6"/>
      <c r="AS226" s="6"/>
      <c r="AT226" s="6"/>
      <c r="AU226" s="6">
        <v>5</v>
      </c>
      <c r="AV226" s="6"/>
      <c r="AW226" s="6"/>
      <c r="AX226" s="7">
        <f t="shared" si="124"/>
        <v>5</v>
      </c>
      <c r="AY226" s="11">
        <f t="shared" si="125"/>
        <v>50</v>
      </c>
      <c r="AZ226" s="25"/>
      <c r="BA226" s="10" t="str">
        <f t="shared" si="126"/>
        <v>MarçoSEMANA 5Etiqueta Toledo 40 X 40</v>
      </c>
      <c r="BB226" s="7">
        <f>SUMIF(NF!$A:$A,$BA226,NF!$I:$I)</f>
        <v>0</v>
      </c>
      <c r="BC226" s="6"/>
      <c r="BD226" s="6"/>
      <c r="BE226" s="6"/>
      <c r="BF226" s="6">
        <v>5</v>
      </c>
      <c r="BG226" s="6"/>
      <c r="BH226" s="6"/>
      <c r="BI226" s="74"/>
      <c r="BJ226" s="74"/>
      <c r="BK226" s="7">
        <f t="shared" si="127"/>
        <v>5</v>
      </c>
      <c r="BL226" s="8">
        <f t="shared" si="128"/>
        <v>45</v>
      </c>
      <c r="BM226" s="51" t="str">
        <f>IFERROR(VLOOKUP(A226,NF!$M:$O,3,0),"")</f>
        <v>Descartável</v>
      </c>
      <c r="BN226" s="7">
        <f t="shared" si="129"/>
        <v>25</v>
      </c>
      <c r="BO226" s="8">
        <f t="array" ref="BO226">IFERROR(LARGE(IF(NF!$G$2:$G$3137='Mês atual'!A226,NF!$J$2:$J$3137),1),0)*BN226</f>
        <v>0</v>
      </c>
      <c r="BP226" s="50"/>
      <c r="BR226" s="146">
        <f t="array" ref="BR226">IFERROR(LARGE(IF(NF!$G$2:$G$3137='Mês atual'!A226,NF!$J$2:$J$3137),1),0)</f>
        <v>0</v>
      </c>
      <c r="BS226" s="142" t="str">
        <f>VLOOKUP(A226,NF!M:O,3,0)</f>
        <v>Descartável</v>
      </c>
      <c r="BV226" s="74">
        <f t="shared" si="130"/>
        <v>5</v>
      </c>
      <c r="BW226" s="74">
        <f t="shared" si="131"/>
        <v>5</v>
      </c>
      <c r="BX226" s="74">
        <f t="shared" si="132"/>
        <v>5</v>
      </c>
      <c r="BY226" s="74">
        <f t="shared" si="133"/>
        <v>5</v>
      </c>
      <c r="BZ226" s="74">
        <f t="shared" si="134"/>
        <v>5</v>
      </c>
    </row>
    <row r="227" spans="1:78" x14ac:dyDescent="0.25">
      <c r="A227" s="108" t="s">
        <v>340</v>
      </c>
      <c r="B227" s="12"/>
      <c r="C227" s="9">
        <v>640</v>
      </c>
      <c r="D227" s="25"/>
      <c r="E227" s="10" t="str">
        <f t="shared" si="114"/>
        <v>MarçoSEMANA 1Faca Descartável Cristal</v>
      </c>
      <c r="F227" s="7">
        <f>SUMIF(NF!$A:$A,$E227,NF!$I:$I)</f>
        <v>0</v>
      </c>
      <c r="G227" s="74"/>
      <c r="H227" s="74"/>
      <c r="I227" s="74"/>
      <c r="J227" s="6"/>
      <c r="K227" s="6"/>
      <c r="L227" s="6"/>
      <c r="M227" s="6"/>
      <c r="N227" s="7">
        <f t="shared" si="115"/>
        <v>0</v>
      </c>
      <c r="O227" s="11">
        <f t="shared" si="116"/>
        <v>640</v>
      </c>
      <c r="P227" s="25"/>
      <c r="Q227" s="10" t="str">
        <f t="shared" si="117"/>
        <v>MarçoSEMANA 2Faca Descartável Cristal</v>
      </c>
      <c r="R227" s="7">
        <f>SUMIF(NF!$A:$A,$Q227,NF!$I:$I)</f>
        <v>0</v>
      </c>
      <c r="S227" s="6"/>
      <c r="T227" s="6"/>
      <c r="U227" s="6"/>
      <c r="V227" s="6"/>
      <c r="W227" s="6"/>
      <c r="X227" s="6"/>
      <c r="Y227" s="6"/>
      <c r="Z227" s="7">
        <f t="shared" si="118"/>
        <v>0</v>
      </c>
      <c r="AA227" s="11">
        <f t="shared" si="119"/>
        <v>640</v>
      </c>
      <c r="AB227" s="25"/>
      <c r="AC227" s="10" t="str">
        <f t="shared" si="120"/>
        <v>MarçoSEMANA 3Faca Descartável Cristal</v>
      </c>
      <c r="AD227" s="7">
        <f>SUMIF(NF!$A:$A,$AC227,NF!$I:$I)</f>
        <v>0</v>
      </c>
      <c r="AE227" s="6"/>
      <c r="AF227" s="6"/>
      <c r="AG227" s="6"/>
      <c r="AH227" s="6"/>
      <c r="AI227" s="6"/>
      <c r="AJ227" s="6"/>
      <c r="AK227" s="6"/>
      <c r="AL227" s="7">
        <f t="shared" si="121"/>
        <v>0</v>
      </c>
      <c r="AM227" s="11">
        <f t="shared" si="122"/>
        <v>640</v>
      </c>
      <c r="AN227" s="25"/>
      <c r="AO227" s="10" t="str">
        <f t="shared" si="123"/>
        <v>MarçoSEMANA 4Faca Descartável Cristal</v>
      </c>
      <c r="AP227" s="7">
        <f>SUMIF(NF!$A:$A,$AO227,NF!$I:$I)</f>
        <v>0</v>
      </c>
      <c r="AQ227" s="6"/>
      <c r="AR227" s="6"/>
      <c r="AS227" s="6"/>
      <c r="AT227" s="6"/>
      <c r="AU227" s="6"/>
      <c r="AV227" s="6"/>
      <c r="AW227" s="6"/>
      <c r="AX227" s="7">
        <f t="shared" si="124"/>
        <v>0</v>
      </c>
      <c r="AY227" s="11">
        <f t="shared" si="125"/>
        <v>640</v>
      </c>
      <c r="AZ227" s="25"/>
      <c r="BA227" s="10" t="str">
        <f t="shared" si="126"/>
        <v>MarçoSEMANA 5Faca Descartável Cristal</v>
      </c>
      <c r="BB227" s="7">
        <f>SUMIF(NF!$A:$A,$BA227,NF!$I:$I)</f>
        <v>0</v>
      </c>
      <c r="BC227" s="6"/>
      <c r="BD227" s="6"/>
      <c r="BE227" s="6"/>
      <c r="BF227" s="6"/>
      <c r="BG227" s="6"/>
      <c r="BH227" s="6"/>
      <c r="BI227" s="74"/>
      <c r="BJ227" s="74"/>
      <c r="BK227" s="7">
        <f t="shared" si="127"/>
        <v>0</v>
      </c>
      <c r="BL227" s="8">
        <f t="shared" si="128"/>
        <v>640</v>
      </c>
      <c r="BM227" s="51" t="str">
        <f>IFERROR(VLOOKUP(A227,NF!$M:$O,3,0),"")</f>
        <v>Descartável</v>
      </c>
      <c r="BN227" s="7">
        <f t="shared" si="129"/>
        <v>0</v>
      </c>
      <c r="BO227" s="8">
        <f t="array" ref="BO227">IFERROR(LARGE(IF(NF!$G$2:$G$3137='Mês atual'!A227,NF!$J$2:$J$3137),1),0)*BN227</f>
        <v>0</v>
      </c>
      <c r="BP227" s="50"/>
      <c r="BR227" s="146">
        <f t="array" ref="BR227">IFERROR(LARGE(IF(NF!$G$2:$G$3137='Mês atual'!A227,NF!$J$2:$J$3137),1),0)</f>
        <v>0</v>
      </c>
      <c r="BS227" s="142" t="str">
        <f>VLOOKUP(A227,NF!M:O,3,0)</f>
        <v>Descartável</v>
      </c>
      <c r="BV227" s="74">
        <f t="shared" si="130"/>
        <v>0</v>
      </c>
      <c r="BW227" s="74">
        <f t="shared" si="131"/>
        <v>0</v>
      </c>
      <c r="BX227" s="74">
        <f t="shared" si="132"/>
        <v>0</v>
      </c>
      <c r="BY227" s="74">
        <f t="shared" si="133"/>
        <v>0</v>
      </c>
      <c r="BZ227" s="74">
        <f t="shared" si="134"/>
        <v>0</v>
      </c>
    </row>
    <row r="228" spans="1:78" x14ac:dyDescent="0.2">
      <c r="A228" s="108" t="s">
        <v>359</v>
      </c>
      <c r="B228" s="12"/>
      <c r="C228" s="9">
        <v>3</v>
      </c>
      <c r="D228" s="25"/>
      <c r="E228" s="10" t="str">
        <f t="shared" si="114"/>
        <v>MarçoSEMANA 1Filme PVC 28X300</v>
      </c>
      <c r="F228" s="7">
        <f>SUMIF(NF!$A:$A,$E228,NF!$I:$I)</f>
        <v>0</v>
      </c>
      <c r="G228" s="74"/>
      <c r="H228" s="74"/>
      <c r="I228" s="74"/>
      <c r="J228" s="6"/>
      <c r="K228" s="6"/>
      <c r="L228" s="6"/>
      <c r="M228" s="6"/>
      <c r="N228" s="7">
        <f t="shared" si="115"/>
        <v>0</v>
      </c>
      <c r="O228" s="11">
        <f t="shared" si="116"/>
        <v>3</v>
      </c>
      <c r="P228" s="25"/>
      <c r="Q228" s="10" t="str">
        <f t="shared" si="117"/>
        <v>MarçoSEMANA 2Filme PVC 28X300</v>
      </c>
      <c r="R228" s="7">
        <f>SUMIF(NF!$A:$A,$Q228,NF!$I:$I)</f>
        <v>0</v>
      </c>
      <c r="S228" s="6"/>
      <c r="T228" s="6"/>
      <c r="U228" s="6"/>
      <c r="V228" s="6"/>
      <c r="W228" s="6"/>
      <c r="X228" s="6"/>
      <c r="Y228" s="6"/>
      <c r="Z228" s="7">
        <f t="shared" si="118"/>
        <v>0</v>
      </c>
      <c r="AA228" s="11">
        <f t="shared" si="119"/>
        <v>3</v>
      </c>
      <c r="AB228" s="25"/>
      <c r="AC228" s="10" t="str">
        <f t="shared" si="120"/>
        <v>MarçoSEMANA 3Filme PVC 28X300</v>
      </c>
      <c r="AD228" s="7">
        <f>SUMIF(NF!$A:$A,$AC228,NF!$I:$I)</f>
        <v>0</v>
      </c>
      <c r="AE228" s="6"/>
      <c r="AF228" s="6"/>
      <c r="AG228" s="6"/>
      <c r="AH228" s="6"/>
      <c r="AI228" s="6"/>
      <c r="AJ228" s="6"/>
      <c r="AK228" s="6"/>
      <c r="AL228" s="7">
        <f t="shared" si="121"/>
        <v>0</v>
      </c>
      <c r="AM228" s="11">
        <f t="shared" si="122"/>
        <v>3</v>
      </c>
      <c r="AN228" s="25"/>
      <c r="AO228" s="10" t="str">
        <f t="shared" si="123"/>
        <v>MarçoSEMANA 4Filme PVC 28X300</v>
      </c>
      <c r="AP228" s="7">
        <f>SUMIF(NF!$A:$A,$AO228,NF!$I:$I)</f>
        <v>0</v>
      </c>
      <c r="AQ228" s="6"/>
      <c r="AR228" s="6"/>
      <c r="AS228" s="6"/>
      <c r="AT228" s="6"/>
      <c r="AU228" s="6"/>
      <c r="AV228" s="6"/>
      <c r="AW228" s="6"/>
      <c r="AX228" s="7">
        <f t="shared" si="124"/>
        <v>0</v>
      </c>
      <c r="AY228" s="11">
        <f t="shared" si="125"/>
        <v>3</v>
      </c>
      <c r="AZ228" s="25"/>
      <c r="BA228" s="10" t="str">
        <f t="shared" si="126"/>
        <v>MarçoSEMANA 5Filme PVC 28X300</v>
      </c>
      <c r="BB228" s="7">
        <f>SUMIF(NF!$A:$A,$BA228,NF!$I:$I)</f>
        <v>0</v>
      </c>
      <c r="BC228" s="6"/>
      <c r="BD228" s="6"/>
      <c r="BE228" s="6"/>
      <c r="BF228" s="6"/>
      <c r="BG228" s="6"/>
      <c r="BH228" s="6"/>
      <c r="BI228" s="74"/>
      <c r="BJ228" s="74"/>
      <c r="BK228" s="7">
        <f t="shared" si="127"/>
        <v>0</v>
      </c>
      <c r="BL228" s="8">
        <f t="shared" si="128"/>
        <v>3</v>
      </c>
      <c r="BM228" s="51" t="str">
        <f>IFERROR(VLOOKUP(A228,NF!$M:$O,3,0),"")</f>
        <v>Descartável</v>
      </c>
      <c r="BN228" s="7">
        <f t="shared" si="129"/>
        <v>0</v>
      </c>
      <c r="BO228" s="8">
        <f t="array" ref="BO228">IFERROR(LARGE(IF(NF!$G$2:$G$3137='Mês atual'!A228,NF!$J$2:$J$3137),1),0)*BN228</f>
        <v>0</v>
      </c>
      <c r="BP228" s="50"/>
      <c r="BR228" s="146">
        <f t="array" ref="BR228">IFERROR(LARGE(IF(NF!$G$2:$G$3137='Mês atual'!A228,NF!$J$2:$J$3137),1),0)</f>
        <v>0</v>
      </c>
      <c r="BS228" s="142" t="str">
        <f>VLOOKUP(A228,NF!M:O,3,0)</f>
        <v>Descartável</v>
      </c>
      <c r="BV228" s="74">
        <f t="shared" si="130"/>
        <v>0</v>
      </c>
      <c r="BW228" s="74">
        <f t="shared" si="131"/>
        <v>0</v>
      </c>
      <c r="BX228" s="74">
        <f t="shared" si="132"/>
        <v>0</v>
      </c>
      <c r="BY228" s="74">
        <f t="shared" si="133"/>
        <v>0</v>
      </c>
      <c r="BZ228" s="74">
        <f t="shared" si="134"/>
        <v>0</v>
      </c>
    </row>
    <row r="229" spans="1:78" x14ac:dyDescent="0.2">
      <c r="A229" s="108" t="s">
        <v>914</v>
      </c>
      <c r="B229" s="12"/>
      <c r="C229" s="9">
        <v>0</v>
      </c>
      <c r="D229" s="25"/>
      <c r="E229" s="10" t="str">
        <f t="shared" si="114"/>
        <v>MarçoSEMANA 1Filme PVC 38 X 100 M</v>
      </c>
      <c r="F229" s="7">
        <f>SUMIF(NF!$A:$A,$E229,NF!$I:$I)</f>
        <v>0</v>
      </c>
      <c r="G229" s="74"/>
      <c r="H229" s="74"/>
      <c r="I229" s="74"/>
      <c r="J229" s="6"/>
      <c r="K229" s="6"/>
      <c r="L229" s="6"/>
      <c r="M229" s="6"/>
      <c r="N229" s="7">
        <f t="shared" si="115"/>
        <v>0</v>
      </c>
      <c r="O229" s="11">
        <f t="shared" si="116"/>
        <v>0</v>
      </c>
      <c r="P229" s="25"/>
      <c r="Q229" s="10" t="str">
        <f t="shared" si="117"/>
        <v>MarçoSEMANA 2Filme PVC 38 X 100 M</v>
      </c>
      <c r="R229" s="7">
        <f>SUMIF(NF!$A:$A,$Q229,NF!$I:$I)</f>
        <v>0</v>
      </c>
      <c r="S229" s="6"/>
      <c r="T229" s="6"/>
      <c r="U229" s="6"/>
      <c r="V229" s="6"/>
      <c r="W229" s="6"/>
      <c r="X229" s="6"/>
      <c r="Y229" s="6"/>
      <c r="Z229" s="7">
        <f t="shared" si="118"/>
        <v>0</v>
      </c>
      <c r="AA229" s="11">
        <f t="shared" si="119"/>
        <v>0</v>
      </c>
      <c r="AB229" s="25"/>
      <c r="AC229" s="10" t="str">
        <f t="shared" si="120"/>
        <v>MarçoSEMANA 3Filme PVC 38 X 100 M</v>
      </c>
      <c r="AD229" s="7">
        <f>SUMIF(NF!$A:$A,$AC229,NF!$I:$I)</f>
        <v>0</v>
      </c>
      <c r="AE229" s="6"/>
      <c r="AF229" s="6"/>
      <c r="AG229" s="6"/>
      <c r="AH229" s="6"/>
      <c r="AI229" s="6"/>
      <c r="AJ229" s="6"/>
      <c r="AK229" s="6"/>
      <c r="AL229" s="7">
        <f t="shared" si="121"/>
        <v>0</v>
      </c>
      <c r="AM229" s="11">
        <f t="shared" si="122"/>
        <v>0</v>
      </c>
      <c r="AN229" s="25"/>
      <c r="AO229" s="10" t="str">
        <f t="shared" si="123"/>
        <v>MarçoSEMANA 4Filme PVC 38 X 100 M</v>
      </c>
      <c r="AP229" s="7">
        <f>SUMIF(NF!$A:$A,$AO229,NF!$I:$I)</f>
        <v>0</v>
      </c>
      <c r="AQ229" s="6"/>
      <c r="AR229" s="6"/>
      <c r="AS229" s="6"/>
      <c r="AT229" s="6"/>
      <c r="AU229" s="6"/>
      <c r="AV229" s="6"/>
      <c r="AW229" s="6"/>
      <c r="AX229" s="7">
        <f t="shared" si="124"/>
        <v>0</v>
      </c>
      <c r="AY229" s="11">
        <f t="shared" si="125"/>
        <v>0</v>
      </c>
      <c r="AZ229" s="25"/>
      <c r="BA229" s="10" t="str">
        <f t="shared" si="126"/>
        <v>MarçoSEMANA 5Filme PVC 38 X 100 M</v>
      </c>
      <c r="BB229" s="7">
        <f>SUMIF(NF!$A:$A,$BA229,NF!$I:$I)</f>
        <v>0</v>
      </c>
      <c r="BC229" s="6"/>
      <c r="BD229" s="6"/>
      <c r="BE229" s="6"/>
      <c r="BF229" s="6"/>
      <c r="BG229" s="6"/>
      <c r="BH229" s="6"/>
      <c r="BI229" s="74"/>
      <c r="BJ229" s="74"/>
      <c r="BK229" s="7">
        <f t="shared" si="127"/>
        <v>0</v>
      </c>
      <c r="BL229" s="8">
        <f t="shared" si="128"/>
        <v>0</v>
      </c>
      <c r="BM229" s="51" t="str">
        <f>IFERROR(VLOOKUP(A229,NF!$M:$O,3,0),"")</f>
        <v>Descartável</v>
      </c>
      <c r="BN229" s="7">
        <f t="shared" si="129"/>
        <v>0</v>
      </c>
      <c r="BO229" s="8">
        <f t="array" ref="BO229">IFERROR(LARGE(IF(NF!$G$2:$G$3137='Mês atual'!A229,NF!$J$2:$J$3137),1),0)*BN229</f>
        <v>0</v>
      </c>
      <c r="BP229" s="50"/>
      <c r="BR229" s="146">
        <f t="array" ref="BR229">IFERROR(LARGE(IF(NF!$G$2:$G$3137='Mês atual'!A229,NF!$J$2:$J$3137),1),0)</f>
        <v>0</v>
      </c>
      <c r="BS229" s="142" t="str">
        <f>VLOOKUP(A229,NF!M:O,3,0)</f>
        <v>Descartável</v>
      </c>
      <c r="BV229" s="74">
        <f t="shared" si="130"/>
        <v>0</v>
      </c>
      <c r="BW229" s="74">
        <f t="shared" si="131"/>
        <v>0</v>
      </c>
      <c r="BX229" s="74">
        <f t="shared" si="132"/>
        <v>0</v>
      </c>
      <c r="BY229" s="74">
        <f t="shared" si="133"/>
        <v>0</v>
      </c>
      <c r="BZ229" s="74">
        <f t="shared" si="134"/>
        <v>0</v>
      </c>
    </row>
    <row r="230" spans="1:78" x14ac:dyDescent="0.2">
      <c r="A230" s="108" t="s">
        <v>360</v>
      </c>
      <c r="B230" s="12"/>
      <c r="C230" s="9">
        <v>0</v>
      </c>
      <c r="D230" s="25"/>
      <c r="E230" s="10" t="str">
        <f t="shared" si="114"/>
        <v>MarçoSEMANA 1Filme PVC 380 X 1000 M</v>
      </c>
      <c r="F230" s="7">
        <f>SUMIF(NF!$A:$A,$E230,NF!$I:$I)</f>
        <v>0</v>
      </c>
      <c r="G230" s="74"/>
      <c r="H230" s="74"/>
      <c r="I230" s="74"/>
      <c r="J230" s="6"/>
      <c r="K230" s="6"/>
      <c r="L230" s="6"/>
      <c r="M230" s="6"/>
      <c r="N230" s="7">
        <f t="shared" si="115"/>
        <v>0</v>
      </c>
      <c r="O230" s="11">
        <f t="shared" si="116"/>
        <v>0</v>
      </c>
      <c r="P230" s="25"/>
      <c r="Q230" s="10" t="str">
        <f t="shared" si="117"/>
        <v>MarçoSEMANA 2Filme PVC 380 X 1000 M</v>
      </c>
      <c r="R230" s="7">
        <f>SUMIF(NF!$A:$A,$Q230,NF!$I:$I)</f>
        <v>0</v>
      </c>
      <c r="S230" s="6"/>
      <c r="T230" s="6"/>
      <c r="U230" s="6"/>
      <c r="V230" s="6"/>
      <c r="W230" s="6"/>
      <c r="X230" s="6"/>
      <c r="Y230" s="6"/>
      <c r="Z230" s="7">
        <f t="shared" si="118"/>
        <v>0</v>
      </c>
      <c r="AA230" s="11">
        <f t="shared" si="119"/>
        <v>0</v>
      </c>
      <c r="AB230" s="25"/>
      <c r="AC230" s="10" t="str">
        <f t="shared" si="120"/>
        <v>MarçoSEMANA 3Filme PVC 380 X 1000 M</v>
      </c>
      <c r="AD230" s="7">
        <f>SUMIF(NF!$A:$A,$AC230,NF!$I:$I)</f>
        <v>0</v>
      </c>
      <c r="AE230" s="6"/>
      <c r="AF230" s="6"/>
      <c r="AG230" s="6"/>
      <c r="AH230" s="6"/>
      <c r="AI230" s="6"/>
      <c r="AJ230" s="6"/>
      <c r="AK230" s="6"/>
      <c r="AL230" s="7">
        <f t="shared" si="121"/>
        <v>0</v>
      </c>
      <c r="AM230" s="11">
        <f t="shared" si="122"/>
        <v>0</v>
      </c>
      <c r="AN230" s="25"/>
      <c r="AO230" s="10" t="str">
        <f t="shared" si="123"/>
        <v>MarçoSEMANA 4Filme PVC 380 X 1000 M</v>
      </c>
      <c r="AP230" s="7">
        <f>SUMIF(NF!$A:$A,$AO230,NF!$I:$I)</f>
        <v>0</v>
      </c>
      <c r="AQ230" s="6"/>
      <c r="AR230" s="6"/>
      <c r="AS230" s="6"/>
      <c r="AT230" s="6"/>
      <c r="AU230" s="6"/>
      <c r="AV230" s="6"/>
      <c r="AW230" s="6"/>
      <c r="AX230" s="7">
        <f t="shared" si="124"/>
        <v>0</v>
      </c>
      <c r="AY230" s="11">
        <f t="shared" si="125"/>
        <v>0</v>
      </c>
      <c r="AZ230" s="25"/>
      <c r="BA230" s="10" t="str">
        <f t="shared" si="126"/>
        <v>MarçoSEMANA 5Filme PVC 380 X 1000 M</v>
      </c>
      <c r="BB230" s="7">
        <f>SUMIF(NF!$A:$A,$BA230,NF!$I:$I)</f>
        <v>0</v>
      </c>
      <c r="BC230" s="6"/>
      <c r="BD230" s="6"/>
      <c r="BE230" s="6"/>
      <c r="BF230" s="6"/>
      <c r="BG230" s="6"/>
      <c r="BH230" s="6"/>
      <c r="BI230" s="74"/>
      <c r="BJ230" s="74"/>
      <c r="BK230" s="7">
        <f t="shared" si="127"/>
        <v>0</v>
      </c>
      <c r="BL230" s="8">
        <f t="shared" si="128"/>
        <v>0</v>
      </c>
      <c r="BM230" s="51" t="str">
        <f>IFERROR(VLOOKUP(A230,NF!$M:$O,3,0),"")</f>
        <v>Descartável</v>
      </c>
      <c r="BN230" s="7">
        <f t="shared" si="129"/>
        <v>0</v>
      </c>
      <c r="BO230" s="8">
        <f t="array" ref="BO230">IFERROR(LARGE(IF(NF!$G$2:$G$3137='Mês atual'!A230,NF!$J$2:$J$3137),1),0)*BN230</f>
        <v>0</v>
      </c>
      <c r="BP230" s="50"/>
      <c r="BR230" s="146">
        <f t="array" ref="BR230">IFERROR(LARGE(IF(NF!$G$2:$G$3137='Mês atual'!A230,NF!$J$2:$J$3137),1),0)</f>
        <v>0</v>
      </c>
      <c r="BS230" s="142" t="str">
        <f>VLOOKUP(A230,NF!M:O,3,0)</f>
        <v>Descartável</v>
      </c>
      <c r="BV230" s="74">
        <f t="shared" si="130"/>
        <v>0</v>
      </c>
      <c r="BW230" s="74">
        <f t="shared" si="131"/>
        <v>0</v>
      </c>
      <c r="BX230" s="74">
        <f t="shared" si="132"/>
        <v>0</v>
      </c>
      <c r="BY230" s="74">
        <f t="shared" si="133"/>
        <v>0</v>
      </c>
      <c r="BZ230" s="74">
        <f t="shared" si="134"/>
        <v>0</v>
      </c>
    </row>
    <row r="231" spans="1:78" x14ac:dyDescent="0.2">
      <c r="A231" s="108" t="s">
        <v>1003</v>
      </c>
      <c r="B231" s="12"/>
      <c r="C231" s="9">
        <v>3</v>
      </c>
      <c r="D231" s="25"/>
      <c r="E231" s="10" t="str">
        <f t="shared" si="114"/>
        <v>MarçoSEMANA 1Filme PVC 380 x 300m</v>
      </c>
      <c r="F231" s="7">
        <f>SUMIF(NF!$A:$A,$E231,NF!$I:$I)</f>
        <v>0</v>
      </c>
      <c r="G231" s="74"/>
      <c r="H231" s="74"/>
      <c r="I231" s="74"/>
      <c r="J231" s="6"/>
      <c r="K231" s="6">
        <v>1</v>
      </c>
      <c r="L231" s="6"/>
      <c r="M231" s="6"/>
      <c r="N231" s="7">
        <f t="shared" si="115"/>
        <v>1</v>
      </c>
      <c r="O231" s="11">
        <f t="shared" si="116"/>
        <v>2</v>
      </c>
      <c r="P231" s="25"/>
      <c r="Q231" s="10" t="str">
        <f t="shared" si="117"/>
        <v>MarçoSEMANA 2Filme PVC 380 x 300m</v>
      </c>
      <c r="R231" s="7">
        <f>SUMIF(NF!$A:$A,$Q231,NF!$I:$I)</f>
        <v>0</v>
      </c>
      <c r="S231" s="6">
        <v>1</v>
      </c>
      <c r="T231" s="6"/>
      <c r="U231" s="6"/>
      <c r="V231" s="6"/>
      <c r="W231" s="6"/>
      <c r="X231" s="6"/>
      <c r="Y231" s="6"/>
      <c r="Z231" s="7">
        <f t="shared" si="118"/>
        <v>1</v>
      </c>
      <c r="AA231" s="11">
        <f t="shared" si="119"/>
        <v>1</v>
      </c>
      <c r="AB231" s="25"/>
      <c r="AC231" s="10" t="str">
        <f t="shared" si="120"/>
        <v>MarçoSEMANA 3Filme PVC 380 x 300m</v>
      </c>
      <c r="AD231" s="7">
        <f>SUMIF(NF!$A:$A,$AC231,NF!$I:$I)</f>
        <v>1</v>
      </c>
      <c r="AE231" s="6"/>
      <c r="AF231" s="6"/>
      <c r="AG231" s="6"/>
      <c r="AH231" s="6"/>
      <c r="AI231" s="6"/>
      <c r="AJ231" s="6"/>
      <c r="AK231" s="6"/>
      <c r="AL231" s="7">
        <f t="shared" si="121"/>
        <v>0</v>
      </c>
      <c r="AM231" s="11">
        <f t="shared" si="122"/>
        <v>2</v>
      </c>
      <c r="AN231" s="25"/>
      <c r="AO231" s="10" t="str">
        <f t="shared" si="123"/>
        <v>MarçoSEMANA 4Filme PVC 380 x 300m</v>
      </c>
      <c r="AP231" s="7">
        <f>SUMIF(NF!$A:$A,$AO231,NF!$I:$I)</f>
        <v>0</v>
      </c>
      <c r="AQ231" s="6"/>
      <c r="AR231" s="6"/>
      <c r="AS231" s="6"/>
      <c r="AT231" s="6"/>
      <c r="AU231" s="6"/>
      <c r="AV231" s="6"/>
      <c r="AW231" s="6"/>
      <c r="AX231" s="7">
        <f t="shared" si="124"/>
        <v>0</v>
      </c>
      <c r="AY231" s="11">
        <f t="shared" si="125"/>
        <v>2</v>
      </c>
      <c r="AZ231" s="25"/>
      <c r="BA231" s="10" t="str">
        <f t="shared" si="126"/>
        <v>MarçoSEMANA 5Filme PVC 380 x 300m</v>
      </c>
      <c r="BB231" s="7">
        <f>SUMIF(NF!$A:$A,$BA231,NF!$I:$I)</f>
        <v>0</v>
      </c>
      <c r="BC231" s="6"/>
      <c r="BD231" s="6"/>
      <c r="BE231" s="6">
        <v>1</v>
      </c>
      <c r="BF231" s="6"/>
      <c r="BG231" s="6"/>
      <c r="BH231" s="6"/>
      <c r="BI231" s="74"/>
      <c r="BJ231" s="74"/>
      <c r="BK231" s="7">
        <f t="shared" si="127"/>
        <v>1</v>
      </c>
      <c r="BL231" s="8">
        <f t="shared" si="128"/>
        <v>1</v>
      </c>
      <c r="BM231" s="51" t="str">
        <f>IFERROR(VLOOKUP(A231,NF!$M:$O,3,0),"")</f>
        <v>Descartável</v>
      </c>
      <c r="BN231" s="7">
        <f t="shared" si="129"/>
        <v>3</v>
      </c>
      <c r="BO231" s="8">
        <f t="array" ref="BO231">IFERROR(LARGE(IF(NF!$G$2:$G$3137='Mês atual'!A231,NF!$J$2:$J$3137),1),0)*BN231</f>
        <v>69.33</v>
      </c>
      <c r="BP231" s="50"/>
      <c r="BR231" s="146">
        <f t="array" ref="BR231">IFERROR(LARGE(IF(NF!$G$2:$G$3137='Mês atual'!A231,NF!$J$2:$J$3137),1),0)</f>
        <v>23.11</v>
      </c>
      <c r="BS231" s="142" t="str">
        <f>VLOOKUP(A231,NF!M:O,3,0)</f>
        <v>Descartável</v>
      </c>
      <c r="BV231" s="74">
        <f t="shared" si="130"/>
        <v>1</v>
      </c>
      <c r="BW231" s="74">
        <f t="shared" si="131"/>
        <v>1</v>
      </c>
      <c r="BX231" s="74">
        <f t="shared" si="132"/>
        <v>0</v>
      </c>
      <c r="BY231" s="74">
        <f t="shared" si="133"/>
        <v>0</v>
      </c>
      <c r="BZ231" s="74">
        <f t="shared" si="134"/>
        <v>1</v>
      </c>
    </row>
    <row r="232" spans="1:78" x14ac:dyDescent="0.25">
      <c r="A232" s="108" t="s">
        <v>368</v>
      </c>
      <c r="B232" s="12"/>
      <c r="C232" s="9">
        <v>0</v>
      </c>
      <c r="D232" s="25"/>
      <c r="E232" s="10" t="str">
        <f t="shared" si="114"/>
        <v>MarçoSEMANA 1Fósforo pacte c/ 10</v>
      </c>
      <c r="F232" s="7">
        <f>SUMIF(NF!$A:$A,$E232,NF!$I:$I)</f>
        <v>0</v>
      </c>
      <c r="G232" s="74"/>
      <c r="H232" s="74"/>
      <c r="I232" s="74"/>
      <c r="J232" s="6"/>
      <c r="K232" s="6"/>
      <c r="L232" s="6"/>
      <c r="M232" s="6"/>
      <c r="N232" s="7">
        <f t="shared" si="115"/>
        <v>0</v>
      </c>
      <c r="O232" s="11">
        <f t="shared" si="116"/>
        <v>0</v>
      </c>
      <c r="P232" s="25"/>
      <c r="Q232" s="10" t="str">
        <f t="shared" si="117"/>
        <v>MarçoSEMANA 2Fósforo pacte c/ 10</v>
      </c>
      <c r="R232" s="7">
        <f>SUMIF(NF!$A:$A,$Q232,NF!$I:$I)</f>
        <v>1</v>
      </c>
      <c r="S232" s="6"/>
      <c r="T232" s="6"/>
      <c r="U232" s="6"/>
      <c r="V232" s="6"/>
      <c r="W232" s="6"/>
      <c r="X232" s="6">
        <v>1</v>
      </c>
      <c r="Y232" s="6"/>
      <c r="Z232" s="7">
        <f>SUM(S232:Y232)</f>
        <v>1</v>
      </c>
      <c r="AA232" s="11">
        <f t="shared" si="119"/>
        <v>0</v>
      </c>
      <c r="AB232" s="25"/>
      <c r="AC232" s="10" t="str">
        <f t="shared" si="120"/>
        <v>MarçoSEMANA 3Fósforo pacte c/ 10</v>
      </c>
      <c r="AD232" s="7">
        <f>SUMIF(NF!$A:$A,$AC232,NF!$I:$I)</f>
        <v>0</v>
      </c>
      <c r="AE232" s="6"/>
      <c r="AF232" s="6"/>
      <c r="AG232" s="6"/>
      <c r="AH232" s="6"/>
      <c r="AI232" s="6"/>
      <c r="AJ232" s="6"/>
      <c r="AK232" s="6"/>
      <c r="AL232" s="7">
        <f>SUM(AE232:AK232)</f>
        <v>0</v>
      </c>
      <c r="AM232" s="11">
        <f t="shared" si="122"/>
        <v>0</v>
      </c>
      <c r="AN232" s="25"/>
      <c r="AO232" s="10" t="str">
        <f t="shared" si="123"/>
        <v>MarçoSEMANA 4Fósforo pacte c/ 10</v>
      </c>
      <c r="AP232" s="7">
        <f>SUMIF(NF!$A:$A,$AO232,NF!$I:$I)</f>
        <v>0</v>
      </c>
      <c r="AQ232" s="6"/>
      <c r="AR232" s="6"/>
      <c r="AS232" s="6"/>
      <c r="AT232" s="6"/>
      <c r="AU232" s="6"/>
      <c r="AV232" s="6"/>
      <c r="AW232" s="6"/>
      <c r="AX232" s="7">
        <f>SUM(AQ232:AW232)</f>
        <v>0</v>
      </c>
      <c r="AY232" s="11">
        <f t="shared" si="125"/>
        <v>0</v>
      </c>
      <c r="AZ232" s="25"/>
      <c r="BA232" s="10" t="str">
        <f t="shared" si="126"/>
        <v>MarçoSEMANA 5Fósforo pacte c/ 10</v>
      </c>
      <c r="BB232" s="7">
        <f>SUMIF(NF!$A:$A,$BA232,NF!$I:$I)</f>
        <v>0</v>
      </c>
      <c r="BC232" s="6"/>
      <c r="BD232" s="6"/>
      <c r="BE232" s="6"/>
      <c r="BF232" s="6"/>
      <c r="BG232" s="6"/>
      <c r="BH232" s="6"/>
      <c r="BI232" s="74"/>
      <c r="BJ232" s="74"/>
      <c r="BK232" s="7">
        <f>SUM(BC232:BJ232)</f>
        <v>0</v>
      </c>
      <c r="BL232" s="8">
        <f t="shared" si="128"/>
        <v>0</v>
      </c>
      <c r="BM232" s="51" t="str">
        <f>IFERROR(VLOOKUP(A232,NF!$M:$O,3,0),"")</f>
        <v>Descartável</v>
      </c>
      <c r="BN232" s="7">
        <f t="shared" si="129"/>
        <v>1</v>
      </c>
      <c r="BO232" s="8">
        <f t="array" ref="BO232">IFERROR(LARGE(IF(NF!$G$2:$G$3137='Mês atual'!A232,NF!$J$2:$J$3137),1),0)*BN232</f>
        <v>3.5</v>
      </c>
      <c r="BP232" s="50"/>
      <c r="BR232" s="146">
        <f t="array" ref="BR232">IFERROR(LARGE(IF(NF!$G$2:$G$3137='Mês atual'!A232,NF!$J$2:$J$3137),1),0)</f>
        <v>3.5</v>
      </c>
      <c r="BS232" s="142" t="str">
        <f>VLOOKUP(A232,NF!M:O,3,0)</f>
        <v>Descartável</v>
      </c>
      <c r="BV232" s="74">
        <f t="shared" si="130"/>
        <v>0</v>
      </c>
      <c r="BW232" s="74">
        <f t="shared" si="131"/>
        <v>1</v>
      </c>
      <c r="BX232" s="74">
        <f t="shared" si="132"/>
        <v>0</v>
      </c>
      <c r="BY232" s="74">
        <f t="shared" si="133"/>
        <v>0</v>
      </c>
      <c r="BZ232" s="74">
        <f t="shared" si="134"/>
        <v>0</v>
      </c>
    </row>
    <row r="233" spans="1:78" x14ac:dyDescent="0.25">
      <c r="A233" s="108" t="s">
        <v>369</v>
      </c>
      <c r="B233" s="12"/>
      <c r="C233" s="9">
        <v>0</v>
      </c>
      <c r="D233" s="25"/>
      <c r="E233" s="10" t="str">
        <f t="shared" si="114"/>
        <v>MarçoSEMANA 1Frasco 3L P/ Diluição</v>
      </c>
      <c r="F233" s="7">
        <f>SUMIF(NF!$A:$A,$E233,NF!$I:$I)</f>
        <v>0</v>
      </c>
      <c r="G233" s="74"/>
      <c r="H233" s="74"/>
      <c r="I233" s="74"/>
      <c r="J233" s="6"/>
      <c r="K233" s="6"/>
      <c r="L233" s="6"/>
      <c r="M233" s="6"/>
      <c r="N233" s="7">
        <f t="shared" si="115"/>
        <v>0</v>
      </c>
      <c r="O233" s="11">
        <f t="shared" si="116"/>
        <v>0</v>
      </c>
      <c r="P233" s="25"/>
      <c r="Q233" s="10" t="str">
        <f t="shared" si="117"/>
        <v>MarçoSEMANA 2Frasco 3L P/ Diluição</v>
      </c>
      <c r="R233" s="7">
        <f>SUMIF(NF!$A:$A,$Q233,NF!$I:$I)</f>
        <v>0</v>
      </c>
      <c r="S233" s="6"/>
      <c r="T233" s="6"/>
      <c r="U233" s="6"/>
      <c r="V233" s="6"/>
      <c r="W233" s="6"/>
      <c r="X233" s="6"/>
      <c r="Y233" s="6"/>
      <c r="Z233" s="7">
        <f>SUM(S233:Y233)</f>
        <v>0</v>
      </c>
      <c r="AA233" s="11">
        <f t="shared" si="119"/>
        <v>0</v>
      </c>
      <c r="AB233" s="25"/>
      <c r="AC233" s="10" t="str">
        <f t="shared" si="120"/>
        <v>MarçoSEMANA 3Frasco 3L P/ Diluição</v>
      </c>
      <c r="AD233" s="7">
        <f>SUMIF(NF!$A:$A,$AC233,NF!$I:$I)</f>
        <v>0</v>
      </c>
      <c r="AE233" s="6"/>
      <c r="AF233" s="6"/>
      <c r="AG233" s="6"/>
      <c r="AH233" s="6"/>
      <c r="AI233" s="6"/>
      <c r="AJ233" s="6"/>
      <c r="AK233" s="6"/>
      <c r="AL233" s="7">
        <f>SUM(AE233:AK233)</f>
        <v>0</v>
      </c>
      <c r="AM233" s="11">
        <f t="shared" si="122"/>
        <v>0</v>
      </c>
      <c r="AN233" s="25"/>
      <c r="AO233" s="10" t="str">
        <f t="shared" si="123"/>
        <v>MarçoSEMANA 4Frasco 3L P/ Diluição</v>
      </c>
      <c r="AP233" s="7">
        <f>SUMIF(NF!$A:$A,$AO233,NF!$I:$I)</f>
        <v>0</v>
      </c>
      <c r="AQ233" s="6"/>
      <c r="AR233" s="6"/>
      <c r="AS233" s="6"/>
      <c r="AT233" s="6"/>
      <c r="AU233" s="6"/>
      <c r="AV233" s="6"/>
      <c r="AW233" s="6"/>
      <c r="AX233" s="7">
        <f>SUM(AQ233:AW233)</f>
        <v>0</v>
      </c>
      <c r="AY233" s="11">
        <f t="shared" si="125"/>
        <v>0</v>
      </c>
      <c r="AZ233" s="25"/>
      <c r="BA233" s="10" t="str">
        <f t="shared" si="126"/>
        <v>MarçoSEMANA 5Frasco 3L P/ Diluição</v>
      </c>
      <c r="BB233" s="7">
        <f>SUMIF(NF!$A:$A,$BA233,NF!$I:$I)</f>
        <v>0</v>
      </c>
      <c r="BC233" s="6"/>
      <c r="BD233" s="6"/>
      <c r="BE233" s="6"/>
      <c r="BF233" s="6"/>
      <c r="BG233" s="6"/>
      <c r="BH233" s="6"/>
      <c r="BI233" s="74"/>
      <c r="BJ233" s="74"/>
      <c r="BK233" s="7">
        <f>SUM(BC233:BJ233)</f>
        <v>0</v>
      </c>
      <c r="BL233" s="8">
        <f t="shared" si="128"/>
        <v>0</v>
      </c>
      <c r="BM233" s="51" t="str">
        <f>IFERROR(VLOOKUP(A233,NF!$M:$O,3,0),"")</f>
        <v>Descartável</v>
      </c>
      <c r="BN233" s="7">
        <f t="shared" si="129"/>
        <v>0</v>
      </c>
      <c r="BO233" s="8">
        <f t="array" ref="BO233">IFERROR(LARGE(IF(NF!$G$2:$G$3137='Mês atual'!A233,NF!$J$2:$J$3137),1),0)*BN233</f>
        <v>0</v>
      </c>
      <c r="BP233" s="50"/>
      <c r="BR233" s="146">
        <f t="array" ref="BR233">IFERROR(LARGE(IF(NF!$G$2:$G$3137='Mês atual'!A233,NF!$J$2:$J$3137),1),0)</f>
        <v>0</v>
      </c>
      <c r="BS233" s="142" t="str">
        <f>VLOOKUP(A233,NF!M:O,3,0)</f>
        <v>Descartável</v>
      </c>
      <c r="BV233" s="74">
        <f t="shared" si="130"/>
        <v>0</v>
      </c>
      <c r="BW233" s="74">
        <f t="shared" si="131"/>
        <v>0</v>
      </c>
      <c r="BX233" s="74">
        <f t="shared" si="132"/>
        <v>0</v>
      </c>
      <c r="BY233" s="74">
        <f t="shared" si="133"/>
        <v>0</v>
      </c>
      <c r="BZ233" s="74">
        <f t="shared" si="134"/>
        <v>0</v>
      </c>
    </row>
    <row r="234" spans="1:78" x14ac:dyDescent="0.2">
      <c r="A234" s="108" t="s">
        <v>370</v>
      </c>
      <c r="B234" s="12"/>
      <c r="C234" s="9">
        <v>0</v>
      </c>
      <c r="D234" s="25"/>
      <c r="E234" s="10" t="str">
        <f t="shared" si="114"/>
        <v>MarçoSEMANA 1Frasco Redondo 32 OZ</v>
      </c>
      <c r="F234" s="7">
        <f>SUMIF(NF!$A:$A,$E234,NF!$I:$I)</f>
        <v>0</v>
      </c>
      <c r="G234" s="74"/>
      <c r="H234" s="74"/>
      <c r="I234" s="74"/>
      <c r="J234" s="6"/>
      <c r="K234" s="6"/>
      <c r="L234" s="6"/>
      <c r="M234" s="6"/>
      <c r="N234" s="7">
        <f t="shared" ref="N234:N239" si="151">SUM(G234:M234)</f>
        <v>0</v>
      </c>
      <c r="O234" s="11">
        <f t="shared" si="116"/>
        <v>0</v>
      </c>
      <c r="P234" s="25"/>
      <c r="Q234" s="10" t="str">
        <f t="shared" si="117"/>
        <v>MarçoSEMANA 2Frasco Redondo 32 OZ</v>
      </c>
      <c r="R234" s="7">
        <f>SUMIF(NF!$A:$A,$Q234,NF!$I:$I)</f>
        <v>0</v>
      </c>
      <c r="S234" s="6"/>
      <c r="T234" s="6"/>
      <c r="U234" s="6"/>
      <c r="V234" s="6"/>
      <c r="W234" s="6"/>
      <c r="X234" s="6"/>
      <c r="Y234" s="6"/>
      <c r="Z234" s="7">
        <f t="shared" ref="Z234:Z239" si="152">SUM(S234:Y234)</f>
        <v>0</v>
      </c>
      <c r="AA234" s="11">
        <f t="shared" si="119"/>
        <v>0</v>
      </c>
      <c r="AB234" s="25"/>
      <c r="AC234" s="10" t="str">
        <f t="shared" si="120"/>
        <v>MarçoSEMANA 3Frasco Redondo 32 OZ</v>
      </c>
      <c r="AD234" s="7">
        <f>SUMIF(NF!$A:$A,$AC234,NF!$I:$I)</f>
        <v>0</v>
      </c>
      <c r="AE234" s="6"/>
      <c r="AF234" s="6"/>
      <c r="AG234" s="6"/>
      <c r="AH234" s="6"/>
      <c r="AI234" s="6"/>
      <c r="AJ234" s="6"/>
      <c r="AK234" s="6"/>
      <c r="AL234" s="7">
        <f t="shared" ref="AL234:AL239" si="153">SUM(AE234:AK234)</f>
        <v>0</v>
      </c>
      <c r="AM234" s="11">
        <f t="shared" si="122"/>
        <v>0</v>
      </c>
      <c r="AN234" s="25"/>
      <c r="AO234" s="10" t="str">
        <f t="shared" si="123"/>
        <v>MarçoSEMANA 4Frasco Redondo 32 OZ</v>
      </c>
      <c r="AP234" s="7">
        <f>SUMIF(NF!$A:$A,$AO234,NF!$I:$I)</f>
        <v>0</v>
      </c>
      <c r="AQ234" s="6"/>
      <c r="AR234" s="6"/>
      <c r="AS234" s="6"/>
      <c r="AT234" s="6"/>
      <c r="AU234" s="6"/>
      <c r="AV234" s="6"/>
      <c r="AW234" s="6"/>
      <c r="AX234" s="7">
        <f t="shared" ref="AX234:AX239" si="154">SUM(AQ234:AW234)</f>
        <v>0</v>
      </c>
      <c r="AY234" s="11">
        <f t="shared" si="125"/>
        <v>0</v>
      </c>
      <c r="AZ234" s="25"/>
      <c r="BA234" s="10" t="str">
        <f t="shared" si="126"/>
        <v>MarçoSEMANA 5Frasco Redondo 32 OZ</v>
      </c>
      <c r="BB234" s="7">
        <f>SUMIF(NF!$A:$A,$BA234,NF!$I:$I)</f>
        <v>0</v>
      </c>
      <c r="BC234" s="6"/>
      <c r="BD234" s="6"/>
      <c r="BE234" s="6"/>
      <c r="BF234" s="6"/>
      <c r="BG234" s="6"/>
      <c r="BH234" s="6"/>
      <c r="BI234" s="74"/>
      <c r="BJ234" s="74"/>
      <c r="BK234" s="7">
        <f t="shared" ref="BK234:BK239" si="155">SUM(BC234:BJ234)</f>
        <v>0</v>
      </c>
      <c r="BL234" s="8">
        <f t="shared" si="128"/>
        <v>0</v>
      </c>
      <c r="BM234" s="51" t="str">
        <f>IFERROR(VLOOKUP(A234,NF!$M:$O,3,0),"")</f>
        <v>Descartável</v>
      </c>
      <c r="BN234" s="7">
        <f t="shared" si="129"/>
        <v>0</v>
      </c>
      <c r="BO234" s="8">
        <f t="array" ref="BO234">IFERROR(LARGE(IF(NF!$G$2:$G$3137='Mês atual'!A234,NF!$J$2:$J$3137),1),0)*BN234</f>
        <v>0</v>
      </c>
      <c r="BP234" s="50"/>
      <c r="BR234" s="146">
        <f t="array" ref="BR234">IFERROR(LARGE(IF(NF!$G$2:$G$3137='Mês atual'!A234,NF!$J$2:$J$3137),1),0)</f>
        <v>0</v>
      </c>
      <c r="BS234" s="142" t="str">
        <f>VLOOKUP(A234,NF!M:O,3,0)</f>
        <v>Descartável</v>
      </c>
      <c r="BV234" s="74">
        <f t="shared" si="130"/>
        <v>0</v>
      </c>
      <c r="BW234" s="74">
        <f t="shared" si="131"/>
        <v>0</v>
      </c>
      <c r="BX234" s="74">
        <f t="shared" si="132"/>
        <v>0</v>
      </c>
      <c r="BY234" s="74">
        <f t="shared" si="133"/>
        <v>0</v>
      </c>
      <c r="BZ234" s="74">
        <f t="shared" si="134"/>
        <v>0</v>
      </c>
    </row>
    <row r="235" spans="1:78" x14ac:dyDescent="0.25">
      <c r="A235" s="108" t="s">
        <v>377</v>
      </c>
      <c r="B235" s="12"/>
      <c r="C235" s="9">
        <v>2040</v>
      </c>
      <c r="D235" s="25"/>
      <c r="E235" s="10" t="str">
        <f t="shared" si="114"/>
        <v>MarçoSEMANA 1Garfo Descartável</v>
      </c>
      <c r="F235" s="7">
        <f>SUMIF(NF!$A:$A,$E235,NF!$I:$I)</f>
        <v>0</v>
      </c>
      <c r="G235" s="74"/>
      <c r="H235" s="74"/>
      <c r="I235" s="74"/>
      <c r="J235" s="6"/>
      <c r="K235" s="6"/>
      <c r="L235" s="6"/>
      <c r="M235" s="6"/>
      <c r="N235" s="7">
        <f t="shared" si="151"/>
        <v>0</v>
      </c>
      <c r="O235" s="11">
        <f t="shared" si="116"/>
        <v>2040</v>
      </c>
      <c r="P235" s="25"/>
      <c r="Q235" s="10" t="str">
        <f t="shared" si="117"/>
        <v>MarçoSEMANA 2Garfo Descartável</v>
      </c>
      <c r="R235" s="7">
        <f>SUMIF(NF!$A:$A,$Q235,NF!$I:$I)</f>
        <v>0</v>
      </c>
      <c r="S235" s="6"/>
      <c r="T235" s="6"/>
      <c r="U235" s="6"/>
      <c r="V235" s="6"/>
      <c r="W235" s="6"/>
      <c r="X235" s="6"/>
      <c r="Y235" s="6"/>
      <c r="Z235" s="7">
        <f t="shared" si="152"/>
        <v>0</v>
      </c>
      <c r="AA235" s="11">
        <f t="shared" si="119"/>
        <v>2040</v>
      </c>
      <c r="AB235" s="25"/>
      <c r="AC235" s="10" t="str">
        <f t="shared" si="120"/>
        <v>MarçoSEMANA 3Garfo Descartável</v>
      </c>
      <c r="AD235" s="7">
        <f>SUMIF(NF!$A:$A,$AC235,NF!$I:$I)</f>
        <v>0</v>
      </c>
      <c r="AE235" s="6"/>
      <c r="AF235" s="6"/>
      <c r="AG235" s="6"/>
      <c r="AH235" s="6"/>
      <c r="AI235" s="6"/>
      <c r="AJ235" s="6"/>
      <c r="AK235" s="6"/>
      <c r="AL235" s="7">
        <f t="shared" si="153"/>
        <v>0</v>
      </c>
      <c r="AM235" s="11">
        <f t="shared" si="122"/>
        <v>2040</v>
      </c>
      <c r="AN235" s="25"/>
      <c r="AO235" s="10" t="str">
        <f t="shared" si="123"/>
        <v>MarçoSEMANA 4Garfo Descartável</v>
      </c>
      <c r="AP235" s="7">
        <f>SUMIF(NF!$A:$A,$AO235,NF!$I:$I)</f>
        <v>300</v>
      </c>
      <c r="AQ235" s="6">
        <v>300</v>
      </c>
      <c r="AR235" s="6"/>
      <c r="AS235" s="6"/>
      <c r="AT235" s="6"/>
      <c r="AU235" s="6"/>
      <c r="AV235" s="6"/>
      <c r="AW235" s="6"/>
      <c r="AX235" s="7">
        <f t="shared" si="154"/>
        <v>300</v>
      </c>
      <c r="AY235" s="11">
        <f t="shared" si="125"/>
        <v>2040</v>
      </c>
      <c r="AZ235" s="25"/>
      <c r="BA235" s="10" t="str">
        <f t="shared" si="126"/>
        <v>MarçoSEMANA 5Garfo Descartável</v>
      </c>
      <c r="BB235" s="7">
        <f>SUMIF(NF!$A:$A,$BA235,NF!$I:$I)</f>
        <v>0</v>
      </c>
      <c r="BC235" s="6"/>
      <c r="BD235" s="6"/>
      <c r="BE235" s="6"/>
      <c r="BF235" s="6"/>
      <c r="BG235" s="6"/>
      <c r="BH235" s="6"/>
      <c r="BI235" s="74"/>
      <c r="BJ235" s="74"/>
      <c r="BK235" s="7">
        <f t="shared" si="155"/>
        <v>0</v>
      </c>
      <c r="BL235" s="8">
        <f t="shared" si="128"/>
        <v>2040</v>
      </c>
      <c r="BM235" s="51" t="str">
        <f>IFERROR(VLOOKUP(A235,NF!$M:$O,3,0),"")</f>
        <v>Descartável</v>
      </c>
      <c r="BN235" s="7">
        <f t="shared" si="129"/>
        <v>300</v>
      </c>
      <c r="BO235" s="8">
        <f t="array" ref="BO235">IFERROR(LARGE(IF(NF!$G$2:$G$3137='Mês atual'!A235,NF!$J$2:$J$3137),1),0)*BN235</f>
        <v>27</v>
      </c>
      <c r="BP235" s="50"/>
      <c r="BR235" s="146">
        <f t="array" ref="BR235">IFERROR(LARGE(IF(NF!$G$2:$G$3137='Mês atual'!A235,NF!$J$2:$J$3137),1),0)</f>
        <v>0.09</v>
      </c>
      <c r="BS235" s="142" t="str">
        <f>VLOOKUP(A235,NF!M:O,3,0)</f>
        <v>Descartável</v>
      </c>
      <c r="BV235" s="74">
        <f t="shared" si="130"/>
        <v>0</v>
      </c>
      <c r="BW235" s="74">
        <f t="shared" si="131"/>
        <v>0</v>
      </c>
      <c r="BX235" s="74">
        <f t="shared" si="132"/>
        <v>0</v>
      </c>
      <c r="BY235" s="74">
        <f t="shared" si="133"/>
        <v>300</v>
      </c>
      <c r="BZ235" s="74">
        <f t="shared" si="134"/>
        <v>0</v>
      </c>
    </row>
    <row r="236" spans="1:78" x14ac:dyDescent="0.2">
      <c r="A236" s="108" t="s">
        <v>875</v>
      </c>
      <c r="B236" s="12"/>
      <c r="C236" s="9">
        <v>0</v>
      </c>
      <c r="D236" s="25"/>
      <c r="E236" s="10" t="str">
        <f t="shared" si="114"/>
        <v>MarçoSEMANA 1Guardanapo Comum</v>
      </c>
      <c r="F236" s="7">
        <f>SUMIF(NF!$A:$A,$E236,NF!$I:$I)</f>
        <v>0</v>
      </c>
      <c r="G236" s="74"/>
      <c r="H236" s="74"/>
      <c r="I236" s="74"/>
      <c r="J236" s="6"/>
      <c r="K236" s="6"/>
      <c r="L236" s="6"/>
      <c r="M236" s="6"/>
      <c r="N236" s="7">
        <f t="shared" si="151"/>
        <v>0</v>
      </c>
      <c r="O236" s="11">
        <f t="shared" si="116"/>
        <v>0</v>
      </c>
      <c r="P236" s="25"/>
      <c r="Q236" s="10" t="str">
        <f t="shared" si="117"/>
        <v>MarçoSEMANA 2Guardanapo Comum</v>
      </c>
      <c r="R236" s="7">
        <f>SUMIF(NF!$A:$A,$Q236,NF!$I:$I)</f>
        <v>0</v>
      </c>
      <c r="S236" s="6"/>
      <c r="T236" s="6"/>
      <c r="U236" s="6"/>
      <c r="V236" s="6"/>
      <c r="W236" s="6"/>
      <c r="X236" s="6"/>
      <c r="Y236" s="6"/>
      <c r="Z236" s="7">
        <f t="shared" si="152"/>
        <v>0</v>
      </c>
      <c r="AA236" s="11">
        <f t="shared" si="119"/>
        <v>0</v>
      </c>
      <c r="AB236" s="25"/>
      <c r="AC236" s="10" t="str">
        <f t="shared" si="120"/>
        <v>MarçoSEMANA 3Guardanapo Comum</v>
      </c>
      <c r="AD236" s="7">
        <f>SUMIF(NF!$A:$A,$AC236,NF!$I:$I)</f>
        <v>0</v>
      </c>
      <c r="AE236" s="6"/>
      <c r="AF236" s="6"/>
      <c r="AG236" s="6"/>
      <c r="AH236" s="6"/>
      <c r="AI236" s="6"/>
      <c r="AJ236" s="6"/>
      <c r="AK236" s="6"/>
      <c r="AL236" s="7">
        <f t="shared" si="153"/>
        <v>0</v>
      </c>
      <c r="AM236" s="11">
        <f t="shared" si="122"/>
        <v>0</v>
      </c>
      <c r="AN236" s="25"/>
      <c r="AO236" s="10" t="str">
        <f t="shared" si="123"/>
        <v>MarçoSEMANA 4Guardanapo Comum</v>
      </c>
      <c r="AP236" s="7">
        <f>SUMIF(NF!$A:$A,$AO236,NF!$I:$I)</f>
        <v>0</v>
      </c>
      <c r="AQ236" s="6"/>
      <c r="AR236" s="6"/>
      <c r="AS236" s="6"/>
      <c r="AT236" s="6"/>
      <c r="AU236" s="6"/>
      <c r="AV236" s="6"/>
      <c r="AW236" s="6"/>
      <c r="AX236" s="7">
        <f t="shared" si="154"/>
        <v>0</v>
      </c>
      <c r="AY236" s="11">
        <f t="shared" si="125"/>
        <v>0</v>
      </c>
      <c r="AZ236" s="25"/>
      <c r="BA236" s="10" t="str">
        <f t="shared" si="126"/>
        <v>MarçoSEMANA 5Guardanapo Comum</v>
      </c>
      <c r="BB236" s="7">
        <f>SUMIF(NF!$A:$A,$BA236,NF!$I:$I)</f>
        <v>0</v>
      </c>
      <c r="BC236" s="6"/>
      <c r="BD236" s="6"/>
      <c r="BE236" s="6"/>
      <c r="BF236" s="6"/>
      <c r="BG236" s="6"/>
      <c r="BH236" s="6"/>
      <c r="BI236" s="74"/>
      <c r="BJ236" s="74"/>
      <c r="BK236" s="7">
        <f t="shared" si="155"/>
        <v>0</v>
      </c>
      <c r="BL236" s="8">
        <f t="shared" si="128"/>
        <v>0</v>
      </c>
      <c r="BM236" s="51" t="str">
        <f>IFERROR(VLOOKUP(A236,NF!$M:$O,3,0),"")</f>
        <v>Descartável</v>
      </c>
      <c r="BN236" s="7">
        <f t="shared" si="129"/>
        <v>0</v>
      </c>
      <c r="BO236" s="8">
        <f t="array" ref="BO236">IFERROR(LARGE(IF(NF!$G$2:$G$3137='Mês atual'!A236,NF!$J$2:$J$3137),1),0)*BN236</f>
        <v>0</v>
      </c>
      <c r="BP236" s="50"/>
      <c r="BR236" s="146">
        <f t="array" ref="BR236">IFERROR(LARGE(IF(NF!$G$2:$G$3137='Mês atual'!A236,NF!$J$2:$J$3137),1),0)</f>
        <v>0</v>
      </c>
      <c r="BS236" s="142" t="str">
        <f>VLOOKUP(A236,NF!M:O,3,0)</f>
        <v>Descartável</v>
      </c>
      <c r="BV236" s="74">
        <f t="shared" si="130"/>
        <v>0</v>
      </c>
      <c r="BW236" s="74">
        <f t="shared" si="131"/>
        <v>0</v>
      </c>
      <c r="BX236" s="74">
        <f t="shared" si="132"/>
        <v>0</v>
      </c>
      <c r="BY236" s="74">
        <f t="shared" si="133"/>
        <v>0</v>
      </c>
      <c r="BZ236" s="74">
        <f t="shared" si="134"/>
        <v>0</v>
      </c>
    </row>
    <row r="237" spans="1:78" x14ac:dyDescent="0.2">
      <c r="A237" s="108" t="s">
        <v>399</v>
      </c>
      <c r="B237" s="12"/>
      <c r="C237" s="9">
        <v>118</v>
      </c>
      <c r="D237" s="25"/>
      <c r="E237" s="10" t="str">
        <f t="shared" si="114"/>
        <v>MarçoSEMANA 1Guardanapo Pequeno</v>
      </c>
      <c r="F237" s="7">
        <f>SUMIF(NF!$A:$A,$E237,NF!$I:$I)</f>
        <v>0</v>
      </c>
      <c r="G237" s="74"/>
      <c r="H237" s="74"/>
      <c r="I237" s="74"/>
      <c r="J237" s="6"/>
      <c r="K237" s="6">
        <v>46</v>
      </c>
      <c r="L237" s="6"/>
      <c r="M237" s="6"/>
      <c r="N237" s="7">
        <f t="shared" si="151"/>
        <v>46</v>
      </c>
      <c r="O237" s="11">
        <f t="shared" si="116"/>
        <v>72</v>
      </c>
      <c r="P237" s="25"/>
      <c r="Q237" s="10" t="str">
        <f t="shared" si="117"/>
        <v>MarçoSEMANA 2Guardanapo Pequeno</v>
      </c>
      <c r="R237" s="7">
        <f>SUMIF(NF!$A:$A,$Q237,NF!$I:$I)</f>
        <v>192</v>
      </c>
      <c r="S237" s="6"/>
      <c r="T237" s="6">
        <v>50</v>
      </c>
      <c r="U237" s="6"/>
      <c r="V237" s="6"/>
      <c r="W237" s="6"/>
      <c r="X237" s="6">
        <v>23</v>
      </c>
      <c r="Y237" s="6">
        <v>27</v>
      </c>
      <c r="Z237" s="7">
        <f t="shared" si="152"/>
        <v>100</v>
      </c>
      <c r="AA237" s="11">
        <f t="shared" si="119"/>
        <v>164</v>
      </c>
      <c r="AB237" s="25"/>
      <c r="AC237" s="10" t="str">
        <f t="shared" si="120"/>
        <v>MarçoSEMANA 3Guardanapo Pequeno</v>
      </c>
      <c r="AD237" s="7">
        <f>SUMIF(NF!$A:$A,$AC237,NF!$I:$I)</f>
        <v>288</v>
      </c>
      <c r="AE237" s="6">
        <v>39</v>
      </c>
      <c r="AF237" s="6">
        <v>31</v>
      </c>
      <c r="AG237" s="6">
        <v>1</v>
      </c>
      <c r="AH237" s="6"/>
      <c r="AI237" s="6"/>
      <c r="AJ237" s="6"/>
      <c r="AK237" s="6">
        <v>27</v>
      </c>
      <c r="AL237" s="7">
        <f t="shared" si="153"/>
        <v>98</v>
      </c>
      <c r="AM237" s="11">
        <f t="shared" si="122"/>
        <v>354</v>
      </c>
      <c r="AN237" s="25"/>
      <c r="AO237" s="10" t="str">
        <f t="shared" si="123"/>
        <v>MarçoSEMANA 4Guardanapo Pequeno</v>
      </c>
      <c r="AP237" s="7">
        <f>SUMIF(NF!$A:$A,$AO237,NF!$I:$I)</f>
        <v>0</v>
      </c>
      <c r="AQ237" s="6"/>
      <c r="AR237" s="6">
        <v>48</v>
      </c>
      <c r="AS237" s="6">
        <v>14</v>
      </c>
      <c r="AT237" s="6"/>
      <c r="AU237" s="6"/>
      <c r="AV237" s="6">
        <v>38</v>
      </c>
      <c r="AW237" s="6"/>
      <c r="AX237" s="7">
        <f t="shared" si="154"/>
        <v>100</v>
      </c>
      <c r="AY237" s="11">
        <f t="shared" si="125"/>
        <v>254</v>
      </c>
      <c r="AZ237" s="25"/>
      <c r="BA237" s="10" t="str">
        <f t="shared" si="126"/>
        <v>MarçoSEMANA 5Guardanapo Pequeno</v>
      </c>
      <c r="BB237" s="7">
        <f>SUMIF(NF!$A:$A,$BA237,NF!$I:$I)</f>
        <v>0</v>
      </c>
      <c r="BC237" s="6"/>
      <c r="BD237" s="6">
        <v>14</v>
      </c>
      <c r="BE237" s="6"/>
      <c r="BF237" s="6">
        <v>34</v>
      </c>
      <c r="BG237" s="6"/>
      <c r="BH237" s="6">
        <v>14</v>
      </c>
      <c r="BI237" s="74"/>
      <c r="BJ237" s="74"/>
      <c r="BK237" s="7">
        <f t="shared" si="155"/>
        <v>62</v>
      </c>
      <c r="BL237" s="8">
        <f t="shared" si="128"/>
        <v>192</v>
      </c>
      <c r="BM237" s="51" t="str">
        <f>IFERROR(VLOOKUP(A237,NF!$M:$O,3,0),"")</f>
        <v>Descartável</v>
      </c>
      <c r="BN237" s="7">
        <f t="shared" si="129"/>
        <v>406</v>
      </c>
      <c r="BO237" s="8">
        <f t="array" ref="BO237">IFERROR(LARGE(IF(NF!$G$2:$G$3137='Mês atual'!A237,NF!$J$2:$J$3137),1),0)*BN237</f>
        <v>721.28437500000007</v>
      </c>
      <c r="BP237" s="50"/>
      <c r="BR237" s="146">
        <f t="array" ref="BR237">IFERROR(LARGE(IF(NF!$G$2:$G$3137='Mês atual'!A237,NF!$J$2:$J$3137),1),0)</f>
        <v>1.7765625</v>
      </c>
      <c r="BS237" s="142" t="str">
        <f>VLOOKUP(A237,NF!M:O,3,0)</f>
        <v>Descartável</v>
      </c>
      <c r="BV237" s="74">
        <f t="shared" si="130"/>
        <v>46</v>
      </c>
      <c r="BW237" s="74">
        <f t="shared" si="131"/>
        <v>100</v>
      </c>
      <c r="BX237" s="74">
        <f t="shared" si="132"/>
        <v>98</v>
      </c>
      <c r="BY237" s="74">
        <f t="shared" si="133"/>
        <v>100</v>
      </c>
      <c r="BZ237" s="74">
        <f t="shared" si="134"/>
        <v>62</v>
      </c>
    </row>
    <row r="238" spans="1:78" x14ac:dyDescent="0.2">
      <c r="A238" s="108" t="s">
        <v>470</v>
      </c>
      <c r="B238" s="12"/>
      <c r="C238" s="9">
        <v>1</v>
      </c>
      <c r="D238" s="25"/>
      <c r="E238" s="10" t="str">
        <f t="shared" si="114"/>
        <v>MarçoSEMANA 1Luva Cano Longo</v>
      </c>
      <c r="F238" s="7">
        <f>SUMIF(NF!$A:$A,$E238,NF!$I:$I)</f>
        <v>0</v>
      </c>
      <c r="G238" s="74"/>
      <c r="H238" s="74"/>
      <c r="I238" s="74"/>
      <c r="J238" s="6"/>
      <c r="K238" s="6"/>
      <c r="L238" s="6"/>
      <c r="M238" s="6"/>
      <c r="N238" s="7">
        <f t="shared" si="151"/>
        <v>0</v>
      </c>
      <c r="O238" s="11">
        <f t="shared" si="116"/>
        <v>1</v>
      </c>
      <c r="P238" s="25"/>
      <c r="Q238" s="10" t="str">
        <f t="shared" si="117"/>
        <v>MarçoSEMANA 2Luva Cano Longo</v>
      </c>
      <c r="R238" s="7">
        <f>SUMIF(NF!$A:$A,$Q238,NF!$I:$I)</f>
        <v>1</v>
      </c>
      <c r="S238" s="6"/>
      <c r="T238" s="6"/>
      <c r="U238" s="6"/>
      <c r="V238" s="6"/>
      <c r="W238" s="6"/>
      <c r="X238" s="6"/>
      <c r="Y238" s="6"/>
      <c r="Z238" s="7">
        <f t="shared" si="152"/>
        <v>0</v>
      </c>
      <c r="AA238" s="11">
        <f t="shared" si="119"/>
        <v>2</v>
      </c>
      <c r="AB238" s="25"/>
      <c r="AC238" s="10" t="str">
        <f t="shared" si="120"/>
        <v>MarçoSEMANA 3Luva Cano Longo</v>
      </c>
      <c r="AD238" s="7">
        <f>SUMIF(NF!$A:$A,$AC238,NF!$I:$I)</f>
        <v>0</v>
      </c>
      <c r="AE238" s="6"/>
      <c r="AF238" s="6"/>
      <c r="AG238" s="6"/>
      <c r="AH238" s="6"/>
      <c r="AI238" s="6"/>
      <c r="AJ238" s="6"/>
      <c r="AK238" s="6"/>
      <c r="AL238" s="7">
        <f t="shared" si="153"/>
        <v>0</v>
      </c>
      <c r="AM238" s="11">
        <f t="shared" si="122"/>
        <v>2</v>
      </c>
      <c r="AN238" s="25"/>
      <c r="AO238" s="10" t="str">
        <f t="shared" si="123"/>
        <v>MarçoSEMANA 4Luva Cano Longo</v>
      </c>
      <c r="AP238" s="7">
        <f>SUMIF(NF!$A:$A,$AO238,NF!$I:$I)</f>
        <v>0</v>
      </c>
      <c r="AQ238" s="6"/>
      <c r="AR238" s="6"/>
      <c r="AS238" s="6"/>
      <c r="AT238" s="6"/>
      <c r="AU238" s="6"/>
      <c r="AV238" s="6"/>
      <c r="AW238" s="6"/>
      <c r="AX238" s="7">
        <f t="shared" si="154"/>
        <v>0</v>
      </c>
      <c r="AY238" s="11">
        <f t="shared" si="125"/>
        <v>2</v>
      </c>
      <c r="AZ238" s="25"/>
      <c r="BA238" s="10" t="str">
        <f t="shared" si="126"/>
        <v>MarçoSEMANA 5Luva Cano Longo</v>
      </c>
      <c r="BB238" s="7">
        <f>SUMIF(NF!$A:$A,$BA238,NF!$I:$I)</f>
        <v>0</v>
      </c>
      <c r="BC238" s="6"/>
      <c r="BD238" s="6"/>
      <c r="BE238" s="6"/>
      <c r="BF238" s="6"/>
      <c r="BG238" s="6"/>
      <c r="BH238" s="6"/>
      <c r="BI238" s="74"/>
      <c r="BJ238" s="74"/>
      <c r="BK238" s="7">
        <f t="shared" si="155"/>
        <v>0</v>
      </c>
      <c r="BL238" s="8">
        <f t="shared" si="128"/>
        <v>2</v>
      </c>
      <c r="BM238" s="51" t="str">
        <f>IFERROR(VLOOKUP(A238,NF!$M:$O,3,0),"")</f>
        <v>Descartável</v>
      </c>
      <c r="BN238" s="7">
        <f t="shared" si="129"/>
        <v>0</v>
      </c>
      <c r="BO238" s="8">
        <f t="array" ref="BO238">IFERROR(LARGE(IF(NF!$G$2:$G$3137='Mês atual'!A238,NF!$J$2:$J$3137),1),0)*BN238</f>
        <v>0</v>
      </c>
      <c r="BP238" s="50"/>
      <c r="BR238" s="146">
        <f t="array" ref="BR238">IFERROR(LARGE(IF(NF!$G$2:$G$3137='Mês atual'!A238,NF!$J$2:$J$3137),1),0)</f>
        <v>17.05</v>
      </c>
      <c r="BS238" s="142" t="str">
        <f>VLOOKUP(A238,NF!M:O,3,0)</f>
        <v>Descartável</v>
      </c>
      <c r="BV238" s="74">
        <f t="shared" si="130"/>
        <v>0</v>
      </c>
      <c r="BW238" s="74">
        <f t="shared" si="131"/>
        <v>0</v>
      </c>
      <c r="BX238" s="74">
        <f t="shared" si="132"/>
        <v>0</v>
      </c>
      <c r="BY238" s="74">
        <f t="shared" si="133"/>
        <v>0</v>
      </c>
      <c r="BZ238" s="74">
        <f t="shared" si="134"/>
        <v>0</v>
      </c>
    </row>
    <row r="239" spans="1:78" x14ac:dyDescent="0.2">
      <c r="A239" s="108" t="s">
        <v>471</v>
      </c>
      <c r="B239" s="12"/>
      <c r="C239" s="9">
        <v>5</v>
      </c>
      <c r="D239" s="25"/>
      <c r="E239" s="10" t="str">
        <f t="shared" si="114"/>
        <v>MarçoSEMANA 1Luva de Borraca Forrada</v>
      </c>
      <c r="F239" s="7">
        <f>SUMIF(NF!$A:$A,$E239,NF!$I:$I)</f>
        <v>0</v>
      </c>
      <c r="G239" s="74"/>
      <c r="H239" s="74"/>
      <c r="I239" s="74"/>
      <c r="J239" s="6">
        <f>1+(1)</f>
        <v>2</v>
      </c>
      <c r="K239" s="6"/>
      <c r="L239" s="6"/>
      <c r="M239" s="6">
        <v>1</v>
      </c>
      <c r="N239" s="7">
        <f t="shared" si="151"/>
        <v>3</v>
      </c>
      <c r="O239" s="11">
        <f t="shared" si="116"/>
        <v>2</v>
      </c>
      <c r="P239" s="25"/>
      <c r="Q239" s="10" t="str">
        <f t="shared" si="117"/>
        <v>MarçoSEMANA 2Luva de Borraca Forrada</v>
      </c>
      <c r="R239" s="7">
        <f>SUMIF(NF!$A:$A,$Q239,NF!$I:$I)</f>
        <v>3</v>
      </c>
      <c r="S239" s="6">
        <v>1</v>
      </c>
      <c r="T239" s="6"/>
      <c r="U239" s="6"/>
      <c r="V239" s="6"/>
      <c r="W239" s="6"/>
      <c r="X239" s="6">
        <v>1</v>
      </c>
      <c r="Y239" s="6"/>
      <c r="Z239" s="7">
        <f t="shared" si="152"/>
        <v>2</v>
      </c>
      <c r="AA239" s="11">
        <f t="shared" si="119"/>
        <v>3</v>
      </c>
      <c r="AB239" s="25"/>
      <c r="AC239" s="10" t="str">
        <f t="shared" si="120"/>
        <v>MarçoSEMANA 3Luva de Borraca Forrada</v>
      </c>
      <c r="AD239" s="7">
        <f>SUMIF(NF!$A:$A,$AC239,NF!$I:$I)</f>
        <v>8</v>
      </c>
      <c r="AE239" s="6">
        <v>1</v>
      </c>
      <c r="AF239" s="6"/>
      <c r="AG239" s="6">
        <v>1</v>
      </c>
      <c r="AH239" s="6"/>
      <c r="AI239" s="6">
        <v>1</v>
      </c>
      <c r="AJ239" s="6"/>
      <c r="AK239" s="6"/>
      <c r="AL239" s="7">
        <f t="shared" si="153"/>
        <v>3</v>
      </c>
      <c r="AM239" s="11">
        <f t="shared" si="122"/>
        <v>8</v>
      </c>
      <c r="AN239" s="25"/>
      <c r="AO239" s="10" t="str">
        <f t="shared" si="123"/>
        <v>MarçoSEMANA 4Luva de Borraca Forrada</v>
      </c>
      <c r="AP239" s="7">
        <f>SUMIF(NF!$A:$A,$AO239,NF!$I:$I)</f>
        <v>0</v>
      </c>
      <c r="AQ239" s="6"/>
      <c r="AR239" s="6"/>
      <c r="AS239" s="6"/>
      <c r="AT239" s="6"/>
      <c r="AU239" s="6"/>
      <c r="AV239" s="6"/>
      <c r="AW239" s="6">
        <v>1</v>
      </c>
      <c r="AX239" s="7">
        <f t="shared" si="154"/>
        <v>1</v>
      </c>
      <c r="AY239" s="11">
        <f t="shared" si="125"/>
        <v>7</v>
      </c>
      <c r="AZ239" s="25"/>
      <c r="BA239" s="10" t="str">
        <f t="shared" si="126"/>
        <v>MarçoSEMANA 5Luva de Borraca Forrada</v>
      </c>
      <c r="BB239" s="7">
        <f>SUMIF(NF!$A:$A,$BA239,NF!$I:$I)</f>
        <v>0</v>
      </c>
      <c r="BC239" s="6">
        <v>1</v>
      </c>
      <c r="BD239" s="6">
        <v>1</v>
      </c>
      <c r="BE239" s="6"/>
      <c r="BF239" s="6"/>
      <c r="BG239" s="6">
        <v>1</v>
      </c>
      <c r="BH239" s="6"/>
      <c r="BI239" s="74"/>
      <c r="BJ239" s="74"/>
      <c r="BK239" s="7">
        <f t="shared" si="155"/>
        <v>3</v>
      </c>
      <c r="BL239" s="8">
        <f t="shared" si="128"/>
        <v>4</v>
      </c>
      <c r="BM239" s="51" t="str">
        <f>IFERROR(VLOOKUP(A239,NF!$M:$O,3,0),"")</f>
        <v>Descartável</v>
      </c>
      <c r="BN239" s="7">
        <f t="shared" si="129"/>
        <v>12</v>
      </c>
      <c r="BO239" s="8">
        <f t="array" ref="BO239">IFERROR(LARGE(IF(NF!$G$2:$G$3137='Mês atual'!A239,NF!$J$2:$J$3137),1),0)*BN239</f>
        <v>56.28</v>
      </c>
      <c r="BP239" s="50"/>
      <c r="BR239" s="146">
        <f t="array" ref="BR239">IFERROR(LARGE(IF(NF!$G$2:$G$3137='Mês atual'!A239,NF!$J$2:$J$3137),1),0)</f>
        <v>4.6900000000000004</v>
      </c>
      <c r="BS239" s="142" t="str">
        <f>VLOOKUP(A239,NF!M:O,3,0)</f>
        <v>Descartável</v>
      </c>
      <c r="BV239" s="74">
        <f t="shared" si="130"/>
        <v>3</v>
      </c>
      <c r="BW239" s="74">
        <f t="shared" si="131"/>
        <v>2</v>
      </c>
      <c r="BX239" s="74">
        <f t="shared" si="132"/>
        <v>3</v>
      </c>
      <c r="BY239" s="74">
        <f t="shared" si="133"/>
        <v>1</v>
      </c>
      <c r="BZ239" s="74">
        <f t="shared" si="134"/>
        <v>3</v>
      </c>
    </row>
    <row r="240" spans="1:78" x14ac:dyDescent="0.25">
      <c r="A240" s="108" t="s">
        <v>472</v>
      </c>
      <c r="B240" s="12"/>
      <c r="C240" s="9">
        <v>4</v>
      </c>
      <c r="D240" s="25"/>
      <c r="E240" s="10" t="str">
        <f t="shared" si="114"/>
        <v>MarçoSEMANA 1Luva Descartável c/ 100</v>
      </c>
      <c r="F240" s="7">
        <f>SUMIF(NF!$A:$A,$E240,NF!$I:$I)</f>
        <v>0</v>
      </c>
      <c r="G240" s="74"/>
      <c r="H240" s="74"/>
      <c r="I240" s="74"/>
      <c r="J240" s="6"/>
      <c r="K240" s="6"/>
      <c r="L240" s="6"/>
      <c r="M240" s="6"/>
      <c r="N240" s="7">
        <f>SUM(G240:M240)</f>
        <v>0</v>
      </c>
      <c r="O240" s="11">
        <f t="shared" si="116"/>
        <v>4</v>
      </c>
      <c r="P240" s="25"/>
      <c r="Q240" s="10" t="str">
        <f t="shared" si="117"/>
        <v>MarçoSEMANA 2Luva Descartável c/ 100</v>
      </c>
      <c r="R240" s="7">
        <f>SUMIF(NF!$A:$A,$Q240,NF!$I:$I)</f>
        <v>2</v>
      </c>
      <c r="S240" s="6"/>
      <c r="T240" s="6">
        <v>1</v>
      </c>
      <c r="U240" s="6"/>
      <c r="V240" s="6"/>
      <c r="W240" s="6"/>
      <c r="X240" s="6"/>
      <c r="Y240" s="6"/>
      <c r="Z240" s="7">
        <f>SUM(S240:Y240)</f>
        <v>1</v>
      </c>
      <c r="AA240" s="11">
        <f t="shared" si="119"/>
        <v>5</v>
      </c>
      <c r="AB240" s="25"/>
      <c r="AC240" s="10" t="str">
        <f t="shared" si="120"/>
        <v>MarçoSEMANA 3Luva Descartável c/ 100</v>
      </c>
      <c r="AD240" s="7">
        <f>SUMIF(NF!$A:$A,$AC240,NF!$I:$I)</f>
        <v>3</v>
      </c>
      <c r="AE240" s="6">
        <v>1</v>
      </c>
      <c r="AF240" s="6"/>
      <c r="AG240" s="6"/>
      <c r="AH240" s="6"/>
      <c r="AI240" s="6"/>
      <c r="AJ240" s="6"/>
      <c r="AK240" s="6"/>
      <c r="AL240" s="7">
        <f>SUM(AE240:AK240)</f>
        <v>1</v>
      </c>
      <c r="AM240" s="11">
        <f t="shared" si="122"/>
        <v>7</v>
      </c>
      <c r="AN240" s="25"/>
      <c r="AO240" s="10" t="str">
        <f t="shared" si="123"/>
        <v>MarçoSEMANA 4Luva Descartável c/ 100</v>
      </c>
      <c r="AP240" s="7">
        <f>SUMIF(NF!$A:$A,$AO240,NF!$I:$I)</f>
        <v>0</v>
      </c>
      <c r="AQ240" s="6">
        <v>1</v>
      </c>
      <c r="AR240" s="6"/>
      <c r="AS240" s="6"/>
      <c r="AT240" s="6"/>
      <c r="AU240" s="6"/>
      <c r="AV240" s="6"/>
      <c r="AW240" s="6"/>
      <c r="AX240" s="7">
        <f>SUM(AQ240:AW240)</f>
        <v>1</v>
      </c>
      <c r="AY240" s="11">
        <f t="shared" si="125"/>
        <v>6</v>
      </c>
      <c r="AZ240" s="25"/>
      <c r="BA240" s="10" t="str">
        <f t="shared" si="126"/>
        <v>MarçoSEMANA 5Luva Descartável c/ 100</v>
      </c>
      <c r="BB240" s="7">
        <f>SUMIF(NF!$A:$A,$BA240,NF!$I:$I)</f>
        <v>0</v>
      </c>
      <c r="BC240" s="6">
        <v>2</v>
      </c>
      <c r="BD240" s="6"/>
      <c r="BE240" s="6"/>
      <c r="BF240" s="6"/>
      <c r="BG240" s="6"/>
      <c r="BH240" s="6"/>
      <c r="BI240" s="74"/>
      <c r="BJ240" s="74"/>
      <c r="BK240" s="7">
        <f>SUM(BC240:BJ240)</f>
        <v>2</v>
      </c>
      <c r="BL240" s="8">
        <f t="shared" si="128"/>
        <v>4</v>
      </c>
      <c r="BM240" s="51" t="str">
        <f>IFERROR(VLOOKUP(A240,NF!$M:$O,3,0),"")</f>
        <v>Descartável</v>
      </c>
      <c r="BN240" s="7">
        <f t="shared" si="129"/>
        <v>5</v>
      </c>
      <c r="BO240" s="8">
        <f t="array" ref="BO240">IFERROR(LARGE(IF(NF!$G$2:$G$3137='Mês atual'!A240,NF!$J$2:$J$3137),1),0)*BN240</f>
        <v>9.4499999999999993</v>
      </c>
      <c r="BP240" s="50"/>
      <c r="BR240" s="146">
        <f t="array" ref="BR240">IFERROR(LARGE(IF(NF!$G$2:$G$3137='Mês atual'!A240,NF!$J$2:$J$3137),1),0)</f>
        <v>1.89</v>
      </c>
      <c r="BS240" s="142" t="str">
        <f>VLOOKUP(A240,NF!M:O,3,0)</f>
        <v>Descartável</v>
      </c>
      <c r="BV240" s="74">
        <f t="shared" si="130"/>
        <v>0</v>
      </c>
      <c r="BW240" s="74">
        <f t="shared" si="131"/>
        <v>1</v>
      </c>
      <c r="BX240" s="74">
        <f t="shared" si="132"/>
        <v>1</v>
      </c>
      <c r="BY240" s="74">
        <f t="shared" si="133"/>
        <v>1</v>
      </c>
      <c r="BZ240" s="74">
        <f t="shared" si="134"/>
        <v>2</v>
      </c>
    </row>
    <row r="241" spans="1:78" x14ac:dyDescent="0.25">
      <c r="A241" s="108" t="s">
        <v>473</v>
      </c>
      <c r="B241" s="12"/>
      <c r="C241" s="9">
        <v>0</v>
      </c>
      <c r="D241" s="25"/>
      <c r="E241" s="10" t="str">
        <f t="shared" si="114"/>
        <v>MarçoSEMANA 1Luva Látex para Procedimento</v>
      </c>
      <c r="F241" s="7">
        <f>SUMIF(NF!$A:$A,$E241,NF!$I:$I)</f>
        <v>0</v>
      </c>
      <c r="G241" s="74"/>
      <c r="H241" s="74"/>
      <c r="I241" s="74"/>
      <c r="J241" s="6"/>
      <c r="K241" s="6"/>
      <c r="L241" s="6"/>
      <c r="M241" s="6"/>
      <c r="N241" s="7">
        <f t="shared" ref="N241:N268" si="156">SUM(G241:M241)</f>
        <v>0</v>
      </c>
      <c r="O241" s="11">
        <f t="shared" si="116"/>
        <v>0</v>
      </c>
      <c r="P241" s="25"/>
      <c r="Q241" s="10" t="str">
        <f t="shared" si="117"/>
        <v>MarçoSEMANA 2Luva Látex para Procedimento</v>
      </c>
      <c r="R241" s="7">
        <f>SUMIF(NF!$A:$A,$Q241,NF!$I:$I)</f>
        <v>0</v>
      </c>
      <c r="S241" s="6"/>
      <c r="T241" s="6"/>
      <c r="U241" s="6"/>
      <c r="V241" s="6"/>
      <c r="W241" s="6"/>
      <c r="X241" s="6"/>
      <c r="Y241" s="6"/>
      <c r="Z241" s="7">
        <f t="shared" ref="Z241:Z268" si="157">SUM(S241:Y241)</f>
        <v>0</v>
      </c>
      <c r="AA241" s="11">
        <f t="shared" si="119"/>
        <v>0</v>
      </c>
      <c r="AB241" s="25"/>
      <c r="AC241" s="10" t="str">
        <f t="shared" si="120"/>
        <v>MarçoSEMANA 3Luva Látex para Procedimento</v>
      </c>
      <c r="AD241" s="7">
        <f>SUMIF(NF!$A:$A,$AC241,NF!$I:$I)</f>
        <v>0</v>
      </c>
      <c r="AE241" s="6"/>
      <c r="AF241" s="6"/>
      <c r="AG241" s="6"/>
      <c r="AH241" s="6"/>
      <c r="AI241" s="6"/>
      <c r="AJ241" s="6"/>
      <c r="AK241" s="6"/>
      <c r="AL241" s="7">
        <f t="shared" ref="AL241:AL268" si="158">SUM(AE241:AK241)</f>
        <v>0</v>
      </c>
      <c r="AM241" s="11">
        <f t="shared" si="122"/>
        <v>0</v>
      </c>
      <c r="AN241" s="25"/>
      <c r="AO241" s="10" t="str">
        <f t="shared" si="123"/>
        <v>MarçoSEMANA 4Luva Látex para Procedimento</v>
      </c>
      <c r="AP241" s="7">
        <f>SUMIF(NF!$A:$A,$AO241,NF!$I:$I)</f>
        <v>0</v>
      </c>
      <c r="AQ241" s="6"/>
      <c r="AR241" s="6"/>
      <c r="AS241" s="6"/>
      <c r="AT241" s="6"/>
      <c r="AU241" s="6"/>
      <c r="AV241" s="6"/>
      <c r="AW241" s="6"/>
      <c r="AX241" s="7">
        <f t="shared" ref="AX241:AX268" si="159">SUM(AQ241:AW241)</f>
        <v>0</v>
      </c>
      <c r="AY241" s="11">
        <f t="shared" si="125"/>
        <v>0</v>
      </c>
      <c r="AZ241" s="25"/>
      <c r="BA241" s="10" t="str">
        <f t="shared" si="126"/>
        <v>MarçoSEMANA 5Luva Látex para Procedimento</v>
      </c>
      <c r="BB241" s="7">
        <f>SUMIF(NF!$A:$A,$BA241,NF!$I:$I)</f>
        <v>0</v>
      </c>
      <c r="BC241" s="6"/>
      <c r="BD241" s="6"/>
      <c r="BE241" s="6"/>
      <c r="BF241" s="6"/>
      <c r="BG241" s="6"/>
      <c r="BH241" s="6"/>
      <c r="BI241" s="74"/>
      <c r="BJ241" s="74"/>
      <c r="BK241" s="7">
        <f t="shared" ref="BK241:BK268" si="160">SUM(BC241:BJ241)</f>
        <v>0</v>
      </c>
      <c r="BL241" s="8">
        <f t="shared" si="128"/>
        <v>0</v>
      </c>
      <c r="BM241" s="51" t="str">
        <f>IFERROR(VLOOKUP(A241,NF!$M:$O,3,0),"")</f>
        <v>Descartável</v>
      </c>
      <c r="BN241" s="7">
        <f t="shared" si="129"/>
        <v>0</v>
      </c>
      <c r="BO241" s="8">
        <f t="array" ref="BO241">IFERROR(LARGE(IF(NF!$G$2:$G$3137='Mês atual'!A241,NF!$J$2:$J$3137),1),0)*BN241</f>
        <v>0</v>
      </c>
      <c r="BP241" s="50"/>
      <c r="BR241" s="146">
        <f t="array" ref="BR241">IFERROR(LARGE(IF(NF!$G$2:$G$3137='Mês atual'!A241,NF!$J$2:$J$3137),1),0)</f>
        <v>0</v>
      </c>
      <c r="BS241" s="142" t="str">
        <f>VLOOKUP(A241,NF!M:O,3,0)</f>
        <v>Descartável</v>
      </c>
      <c r="BV241" s="74">
        <f t="shared" si="130"/>
        <v>0</v>
      </c>
      <c r="BW241" s="74">
        <f t="shared" si="131"/>
        <v>0</v>
      </c>
      <c r="BX241" s="74">
        <f t="shared" si="132"/>
        <v>0</v>
      </c>
      <c r="BY241" s="74">
        <f t="shared" si="133"/>
        <v>0</v>
      </c>
      <c r="BZ241" s="74">
        <f t="shared" si="134"/>
        <v>0</v>
      </c>
    </row>
    <row r="242" spans="1:78" x14ac:dyDescent="0.2">
      <c r="A242" s="108" t="s">
        <v>553</v>
      </c>
      <c r="B242" s="12"/>
      <c r="C242" s="9">
        <v>6</v>
      </c>
      <c r="D242" s="25"/>
      <c r="E242" s="10" t="str">
        <f t="shared" si="114"/>
        <v>MarçoSEMANA 1Palito Sache Cx 2000</v>
      </c>
      <c r="F242" s="7">
        <f>SUMIF(NF!$A:$A,$E242,NF!$I:$I)</f>
        <v>0</v>
      </c>
      <c r="G242" s="74"/>
      <c r="H242" s="74"/>
      <c r="I242" s="74"/>
      <c r="J242" s="6"/>
      <c r="K242" s="6"/>
      <c r="L242" s="6">
        <v>1</v>
      </c>
      <c r="M242" s="6"/>
      <c r="N242" s="7">
        <f t="shared" si="156"/>
        <v>1</v>
      </c>
      <c r="O242" s="11">
        <f t="shared" si="116"/>
        <v>5</v>
      </c>
      <c r="P242" s="25"/>
      <c r="Q242" s="10" t="str">
        <f t="shared" si="117"/>
        <v>MarçoSEMANA 2Palito Sache Cx 2000</v>
      </c>
      <c r="R242" s="7">
        <f>SUMIF(NF!$A:$A,$Q242,NF!$I:$I)</f>
        <v>0</v>
      </c>
      <c r="S242" s="6"/>
      <c r="T242" s="6"/>
      <c r="U242" s="6"/>
      <c r="V242" s="6"/>
      <c r="W242" s="6"/>
      <c r="X242" s="6"/>
      <c r="Y242" s="6"/>
      <c r="Z242" s="7">
        <f t="shared" si="157"/>
        <v>0</v>
      </c>
      <c r="AA242" s="11">
        <f t="shared" si="119"/>
        <v>5</v>
      </c>
      <c r="AB242" s="25"/>
      <c r="AC242" s="10" t="str">
        <f t="shared" si="120"/>
        <v>MarçoSEMANA 3Palito Sache Cx 2000</v>
      </c>
      <c r="AD242" s="7">
        <f>SUMIF(NF!$A:$A,$AC242,NF!$I:$I)</f>
        <v>0</v>
      </c>
      <c r="AE242" s="6"/>
      <c r="AF242" s="6"/>
      <c r="AG242" s="6"/>
      <c r="AH242" s="6"/>
      <c r="AI242" s="6"/>
      <c r="AJ242" s="6"/>
      <c r="AK242" s="6"/>
      <c r="AL242" s="7">
        <f t="shared" si="158"/>
        <v>0</v>
      </c>
      <c r="AM242" s="11">
        <f t="shared" si="122"/>
        <v>5</v>
      </c>
      <c r="AN242" s="25"/>
      <c r="AO242" s="10" t="str">
        <f t="shared" si="123"/>
        <v>MarçoSEMANA 4Palito Sache Cx 2000</v>
      </c>
      <c r="AP242" s="7">
        <f>SUMIF(NF!$A:$A,$AO242,NF!$I:$I)</f>
        <v>0</v>
      </c>
      <c r="AQ242" s="6"/>
      <c r="AR242" s="6"/>
      <c r="AS242" s="6"/>
      <c r="AT242" s="6"/>
      <c r="AU242" s="6"/>
      <c r="AV242" s="6"/>
      <c r="AW242" s="6"/>
      <c r="AX242" s="7">
        <f t="shared" si="159"/>
        <v>0</v>
      </c>
      <c r="AY242" s="11">
        <f t="shared" si="125"/>
        <v>5</v>
      </c>
      <c r="AZ242" s="25"/>
      <c r="BA242" s="10" t="str">
        <f t="shared" si="126"/>
        <v>MarçoSEMANA 5Palito Sache Cx 2000</v>
      </c>
      <c r="BB242" s="7">
        <f>SUMIF(NF!$A:$A,$BA242,NF!$I:$I)</f>
        <v>0</v>
      </c>
      <c r="BC242" s="6"/>
      <c r="BD242" s="6"/>
      <c r="BE242" s="6"/>
      <c r="BF242" s="6"/>
      <c r="BG242" s="6"/>
      <c r="BH242" s="6"/>
      <c r="BI242" s="74"/>
      <c r="BJ242" s="74"/>
      <c r="BK242" s="7">
        <f t="shared" si="160"/>
        <v>0</v>
      </c>
      <c r="BL242" s="8">
        <f t="shared" si="128"/>
        <v>5</v>
      </c>
      <c r="BM242" s="51" t="str">
        <f>IFERROR(VLOOKUP(A242,NF!$M:$O,3,0),"")</f>
        <v>Descartável</v>
      </c>
      <c r="BN242" s="7">
        <f t="shared" si="129"/>
        <v>1</v>
      </c>
      <c r="BO242" s="8">
        <f t="array" ref="BO242">IFERROR(LARGE(IF(NF!$G$2:$G$3137='Mês atual'!A242,NF!$J$2:$J$3137),1),0)*BN242</f>
        <v>0</v>
      </c>
      <c r="BP242" s="50"/>
      <c r="BR242" s="146">
        <f t="array" ref="BR242">IFERROR(LARGE(IF(NF!$G$2:$G$3137='Mês atual'!A242,NF!$J$2:$J$3137),1),0)</f>
        <v>0</v>
      </c>
      <c r="BS242" s="142" t="str">
        <f>VLOOKUP(A242,NF!M:O,3,0)</f>
        <v>Descartável</v>
      </c>
      <c r="BV242" s="74">
        <f t="shared" si="130"/>
        <v>1</v>
      </c>
      <c r="BW242" s="74">
        <f t="shared" si="131"/>
        <v>0</v>
      </c>
      <c r="BX242" s="74">
        <f t="shared" si="132"/>
        <v>0</v>
      </c>
      <c r="BY242" s="74">
        <f t="shared" si="133"/>
        <v>0</v>
      </c>
      <c r="BZ242" s="74">
        <f t="shared" si="134"/>
        <v>0</v>
      </c>
    </row>
    <row r="243" spans="1:78" x14ac:dyDescent="0.2">
      <c r="A243" s="108" t="s">
        <v>554</v>
      </c>
      <c r="B243" s="12"/>
      <c r="C243" s="9">
        <v>30</v>
      </c>
      <c r="D243" s="25"/>
      <c r="E243" s="10" t="str">
        <f t="shared" si="114"/>
        <v>MarçoSEMANA 1Palito Waribashi</v>
      </c>
      <c r="F243" s="7">
        <f>SUMIF(NF!$A:$A,$E243,NF!$I:$I)</f>
        <v>0</v>
      </c>
      <c r="G243" s="74"/>
      <c r="H243" s="74"/>
      <c r="I243" s="74"/>
      <c r="J243" s="6"/>
      <c r="K243" s="6"/>
      <c r="L243" s="6"/>
      <c r="M243" s="6"/>
      <c r="N243" s="7">
        <f t="shared" si="156"/>
        <v>0</v>
      </c>
      <c r="O243" s="11">
        <f t="shared" si="116"/>
        <v>30</v>
      </c>
      <c r="P243" s="25"/>
      <c r="Q243" s="10" t="str">
        <f t="shared" si="117"/>
        <v>MarçoSEMANA 2Palito Waribashi</v>
      </c>
      <c r="R243" s="7">
        <f>SUMIF(NF!$A:$A,$Q243,NF!$I:$I)</f>
        <v>0</v>
      </c>
      <c r="S243" s="6"/>
      <c r="T243" s="6"/>
      <c r="U243" s="6"/>
      <c r="V243" s="6"/>
      <c r="W243" s="6"/>
      <c r="X243" s="6">
        <v>1</v>
      </c>
      <c r="Y243" s="6"/>
      <c r="Z243" s="7">
        <f t="shared" si="157"/>
        <v>1</v>
      </c>
      <c r="AA243" s="11">
        <f t="shared" si="119"/>
        <v>29</v>
      </c>
      <c r="AB243" s="25"/>
      <c r="AC243" s="10" t="str">
        <f t="shared" si="120"/>
        <v>MarçoSEMANA 3Palito Waribashi</v>
      </c>
      <c r="AD243" s="7">
        <f>SUMIF(NF!$A:$A,$AC243,NF!$I:$I)</f>
        <v>0</v>
      </c>
      <c r="AE243" s="6"/>
      <c r="AF243" s="6"/>
      <c r="AG243" s="6"/>
      <c r="AH243" s="6"/>
      <c r="AI243" s="6">
        <v>1</v>
      </c>
      <c r="AJ243" s="6"/>
      <c r="AK243" s="6"/>
      <c r="AL243" s="7">
        <f t="shared" si="158"/>
        <v>1</v>
      </c>
      <c r="AM243" s="11">
        <f t="shared" si="122"/>
        <v>28</v>
      </c>
      <c r="AN243" s="25"/>
      <c r="AO243" s="10" t="str">
        <f t="shared" si="123"/>
        <v>MarçoSEMANA 4Palito Waribashi</v>
      </c>
      <c r="AP243" s="7">
        <f>SUMIF(NF!$A:$A,$AO243,NF!$I:$I)</f>
        <v>0</v>
      </c>
      <c r="AQ243" s="6">
        <v>1</v>
      </c>
      <c r="AR243" s="6"/>
      <c r="AS243" s="6"/>
      <c r="AT243" s="6"/>
      <c r="AU243" s="6"/>
      <c r="AV243" s="6"/>
      <c r="AW243" s="6"/>
      <c r="AX243" s="7">
        <f t="shared" si="159"/>
        <v>1</v>
      </c>
      <c r="AY243" s="11">
        <f t="shared" si="125"/>
        <v>27</v>
      </c>
      <c r="AZ243" s="25"/>
      <c r="BA243" s="10" t="str">
        <f t="shared" si="126"/>
        <v>MarçoSEMANA 5Palito Waribashi</v>
      </c>
      <c r="BB243" s="7">
        <f>SUMIF(NF!$A:$A,$BA243,NF!$I:$I)</f>
        <v>0</v>
      </c>
      <c r="BC243" s="6"/>
      <c r="BD243" s="6"/>
      <c r="BE243" s="6"/>
      <c r="BF243" s="6"/>
      <c r="BG243" s="6"/>
      <c r="BH243" s="6"/>
      <c r="BI243" s="74"/>
      <c r="BJ243" s="74"/>
      <c r="BK243" s="7">
        <f t="shared" si="160"/>
        <v>0</v>
      </c>
      <c r="BL243" s="8">
        <f t="shared" si="128"/>
        <v>27</v>
      </c>
      <c r="BM243" s="51" t="str">
        <f>IFERROR(VLOOKUP(A243,NF!$M:$O,3,0),"")</f>
        <v>Descartável</v>
      </c>
      <c r="BN243" s="7">
        <f t="shared" si="129"/>
        <v>3</v>
      </c>
      <c r="BO243" s="8">
        <f t="array" ref="BO243">IFERROR(LARGE(IF(NF!$G$2:$G$3137='Mês atual'!A243,NF!$J$2:$J$3137),1),0)*BN243</f>
        <v>0</v>
      </c>
      <c r="BP243" s="50"/>
      <c r="BR243" s="146">
        <f t="array" ref="BR243">IFERROR(LARGE(IF(NF!$G$2:$G$3137='Mês atual'!A243,NF!$J$2:$J$3137),1),0)</f>
        <v>0</v>
      </c>
      <c r="BS243" s="142" t="str">
        <f>VLOOKUP(A243,NF!M:O,3,0)</f>
        <v>Descartável</v>
      </c>
      <c r="BV243" s="74">
        <f t="shared" si="130"/>
        <v>0</v>
      </c>
      <c r="BW243" s="74">
        <f t="shared" si="131"/>
        <v>1</v>
      </c>
      <c r="BX243" s="74">
        <f t="shared" si="132"/>
        <v>1</v>
      </c>
      <c r="BY243" s="74">
        <f t="shared" si="133"/>
        <v>1</v>
      </c>
      <c r="BZ243" s="74">
        <f t="shared" si="134"/>
        <v>0</v>
      </c>
    </row>
    <row r="244" spans="1:78" x14ac:dyDescent="0.2">
      <c r="A244" s="108" t="s">
        <v>1005</v>
      </c>
      <c r="B244" s="12"/>
      <c r="C244" s="9">
        <v>0</v>
      </c>
      <c r="D244" s="25"/>
      <c r="E244" s="10" t="str">
        <f t="shared" si="114"/>
        <v>MarçoSEMANA 1Palitos de Dente (cx 500)</v>
      </c>
      <c r="F244" s="7">
        <f>SUMIF(NF!$A:$A,$E244,NF!$I:$I)</f>
        <v>0</v>
      </c>
      <c r="G244" s="74"/>
      <c r="H244" s="74"/>
      <c r="I244" s="74"/>
      <c r="J244" s="6"/>
      <c r="K244" s="6"/>
      <c r="L244" s="6"/>
      <c r="M244" s="6"/>
      <c r="N244" s="7">
        <f>SUM(G244:M244)</f>
        <v>0</v>
      </c>
      <c r="O244" s="11">
        <f>F244+C244-N244</f>
        <v>0</v>
      </c>
      <c r="P244" s="25"/>
      <c r="Q244" s="10" t="str">
        <f t="shared" si="117"/>
        <v>MarçoSEMANA 2Palitos de Dente (cx 500)</v>
      </c>
      <c r="R244" s="7">
        <f>SUMIF(NF!$A:$A,$Q244,NF!$I:$I)</f>
        <v>0</v>
      </c>
      <c r="S244" s="6"/>
      <c r="T244" s="6"/>
      <c r="U244" s="6"/>
      <c r="V244" s="6"/>
      <c r="W244" s="6"/>
      <c r="X244" s="6"/>
      <c r="Y244" s="6"/>
      <c r="Z244" s="7">
        <f>SUM(S244:Y244)</f>
        <v>0</v>
      </c>
      <c r="AA244" s="11">
        <f>R244+O244-Z244</f>
        <v>0</v>
      </c>
      <c r="AB244" s="25"/>
      <c r="AC244" s="10" t="str">
        <f t="shared" si="120"/>
        <v>MarçoSEMANA 3Palitos de Dente (cx 500)</v>
      </c>
      <c r="AD244" s="7">
        <f>SUMIF(NF!$A:$A,$AC244,NF!$I:$I)</f>
        <v>0</v>
      </c>
      <c r="AE244" s="6"/>
      <c r="AF244" s="6"/>
      <c r="AG244" s="6"/>
      <c r="AH244" s="6"/>
      <c r="AI244" s="6"/>
      <c r="AJ244" s="6"/>
      <c r="AK244" s="6"/>
      <c r="AL244" s="7">
        <f>SUM(AE244:AK244)</f>
        <v>0</v>
      </c>
      <c r="AM244" s="11">
        <f>AD244+AA244-AL244</f>
        <v>0</v>
      </c>
      <c r="AN244" s="25"/>
      <c r="AO244" s="10" t="str">
        <f t="shared" si="123"/>
        <v>MarçoSEMANA 4Palitos de Dente (cx 500)</v>
      </c>
      <c r="AP244" s="7">
        <f>SUMIF(NF!$A:$A,$AO244,NF!$I:$I)</f>
        <v>0</v>
      </c>
      <c r="AQ244" s="6"/>
      <c r="AR244" s="6"/>
      <c r="AS244" s="6"/>
      <c r="AT244" s="6"/>
      <c r="AU244" s="6"/>
      <c r="AV244" s="6"/>
      <c r="AW244" s="6"/>
      <c r="AX244" s="7">
        <f>SUM(AQ244:AW244)</f>
        <v>0</v>
      </c>
      <c r="AY244" s="11">
        <f>AP244+AM244-AX244</f>
        <v>0</v>
      </c>
      <c r="AZ244" s="25"/>
      <c r="BA244" s="10" t="str">
        <f t="shared" si="126"/>
        <v>MarçoSEMANA 5Palitos de Dente (cx 500)</v>
      </c>
      <c r="BB244" s="7">
        <f>SUMIF(NF!$A:$A,$BA244,NF!$I:$I)</f>
        <v>0</v>
      </c>
      <c r="BC244" s="6"/>
      <c r="BD244" s="6"/>
      <c r="BE244" s="6"/>
      <c r="BF244" s="6"/>
      <c r="BG244" s="6"/>
      <c r="BH244" s="6"/>
      <c r="BI244" s="74"/>
      <c r="BJ244" s="74"/>
      <c r="BK244" s="7">
        <f>SUM(BC244:BJ244)</f>
        <v>0</v>
      </c>
      <c r="BL244" s="8">
        <f>BB244+AY244-BK244</f>
        <v>0</v>
      </c>
      <c r="BM244" s="51" t="str">
        <f>IFERROR(VLOOKUP(A244,NF!$M:$O,3,0),"")</f>
        <v>Descartável</v>
      </c>
      <c r="BN244" s="7">
        <f>SUM(N244,Z244,AL244,AX244,BK244)</f>
        <v>0</v>
      </c>
      <c r="BO244" s="8">
        <f t="array" ref="BO244">IFERROR(LARGE(IF(NF!$G$2:$G$3137='Mês atual'!A244,NF!$J$2:$J$3137),1),0)*BN244</f>
        <v>0</v>
      </c>
      <c r="BP244" s="50"/>
      <c r="BR244" s="146">
        <f t="array" ref="BR244">IFERROR(LARGE(IF(NF!$G$2:$G$3137='Mês atual'!A244,NF!$J$2:$J$3137),1),0)</f>
        <v>0</v>
      </c>
      <c r="BS244" s="142" t="str">
        <f>VLOOKUP(A244,NF!M:O,3,0)</f>
        <v>Descartável</v>
      </c>
      <c r="BV244" s="74">
        <f t="shared" si="130"/>
        <v>0</v>
      </c>
      <c r="BW244" s="74">
        <f t="shared" si="131"/>
        <v>0</v>
      </c>
      <c r="BX244" s="74">
        <f t="shared" si="132"/>
        <v>0</v>
      </c>
      <c r="BY244" s="74">
        <f t="shared" si="133"/>
        <v>0</v>
      </c>
      <c r="BZ244" s="74">
        <f t="shared" si="134"/>
        <v>0</v>
      </c>
    </row>
    <row r="245" spans="1:78" x14ac:dyDescent="0.2">
      <c r="A245" s="108" t="s">
        <v>558</v>
      </c>
      <c r="B245" s="12"/>
      <c r="C245" s="9">
        <v>1</v>
      </c>
      <c r="D245" s="25"/>
      <c r="E245" s="10" t="str">
        <f t="shared" si="114"/>
        <v>MarçoSEMANA 1Pano Multiuso Cross Hatch Azul 300 M</v>
      </c>
      <c r="F245" s="7">
        <f>SUMIF(NF!$A:$A,$E245,NF!$I:$I)</f>
        <v>0</v>
      </c>
      <c r="G245" s="74"/>
      <c r="H245" s="74"/>
      <c r="I245" s="74"/>
      <c r="J245" s="6"/>
      <c r="K245" s="6"/>
      <c r="L245" s="6"/>
      <c r="M245" s="6"/>
      <c r="N245" s="7">
        <f t="shared" si="156"/>
        <v>0</v>
      </c>
      <c r="O245" s="11">
        <f t="shared" si="116"/>
        <v>1</v>
      </c>
      <c r="P245" s="25"/>
      <c r="Q245" s="10" t="str">
        <f t="shared" si="117"/>
        <v>MarçoSEMANA 2Pano Multiuso Cross Hatch Azul 300 M</v>
      </c>
      <c r="R245" s="7">
        <f>SUMIF(NF!$A:$A,$Q245,NF!$I:$I)</f>
        <v>0</v>
      </c>
      <c r="S245" s="6">
        <v>1</v>
      </c>
      <c r="T245" s="6"/>
      <c r="U245" s="6"/>
      <c r="V245" s="6"/>
      <c r="W245" s="6"/>
      <c r="X245" s="6"/>
      <c r="Y245" s="6"/>
      <c r="Z245" s="7">
        <f t="shared" si="157"/>
        <v>1</v>
      </c>
      <c r="AA245" s="11">
        <f t="shared" si="119"/>
        <v>0</v>
      </c>
      <c r="AB245" s="25"/>
      <c r="AC245" s="10" t="str">
        <f t="shared" si="120"/>
        <v>MarçoSEMANA 3Pano Multiuso Cross Hatch Azul 300 M</v>
      </c>
      <c r="AD245" s="7">
        <f>SUMIF(NF!$A:$A,$AC245,NF!$I:$I)</f>
        <v>1</v>
      </c>
      <c r="AE245" s="6"/>
      <c r="AF245" s="6"/>
      <c r="AG245" s="6"/>
      <c r="AH245" s="6"/>
      <c r="AI245" s="6"/>
      <c r="AJ245" s="6"/>
      <c r="AK245" s="6"/>
      <c r="AL245" s="7">
        <f t="shared" si="158"/>
        <v>0</v>
      </c>
      <c r="AM245" s="11">
        <f t="shared" si="122"/>
        <v>1</v>
      </c>
      <c r="AN245" s="25"/>
      <c r="AO245" s="10" t="str">
        <f t="shared" si="123"/>
        <v>MarçoSEMANA 4Pano Multiuso Cross Hatch Azul 300 M</v>
      </c>
      <c r="AP245" s="7">
        <f>SUMIF(NF!$A:$A,$AO245,NF!$I:$I)</f>
        <v>0</v>
      </c>
      <c r="AQ245" s="6"/>
      <c r="AR245" s="6"/>
      <c r="AS245" s="6"/>
      <c r="AT245" s="6"/>
      <c r="AU245" s="6">
        <v>1</v>
      </c>
      <c r="AV245" s="6"/>
      <c r="AW245" s="6"/>
      <c r="AX245" s="7">
        <f t="shared" si="159"/>
        <v>1</v>
      </c>
      <c r="AY245" s="11">
        <f t="shared" si="125"/>
        <v>0</v>
      </c>
      <c r="AZ245" s="25"/>
      <c r="BA245" s="10" t="str">
        <f t="shared" si="126"/>
        <v>MarçoSEMANA 5Pano Multiuso Cross Hatch Azul 300 M</v>
      </c>
      <c r="BB245" s="7">
        <f>SUMIF(NF!$A:$A,$BA245,NF!$I:$I)</f>
        <v>0</v>
      </c>
      <c r="BC245" s="6"/>
      <c r="BD245" s="6"/>
      <c r="BE245" s="6"/>
      <c r="BF245" s="6"/>
      <c r="BG245" s="6"/>
      <c r="BH245" s="6"/>
      <c r="BI245" s="74"/>
      <c r="BJ245" s="74"/>
      <c r="BK245" s="7">
        <f t="shared" si="160"/>
        <v>0</v>
      </c>
      <c r="BL245" s="8">
        <f t="shared" si="128"/>
        <v>0</v>
      </c>
      <c r="BM245" s="51" t="str">
        <f>IFERROR(VLOOKUP(A245,NF!$M:$O,3,0),"")</f>
        <v>Descartável</v>
      </c>
      <c r="BN245" s="7">
        <f t="shared" si="129"/>
        <v>2</v>
      </c>
      <c r="BO245" s="8">
        <f t="array" ref="BO245">IFERROR(LARGE(IF(NF!$G$2:$G$3137='Mês atual'!A245,NF!$J$2:$J$3137),1),0)*BN245</f>
        <v>424.8</v>
      </c>
      <c r="BP245" s="50"/>
      <c r="BR245" s="146">
        <f t="array" ref="BR245">IFERROR(LARGE(IF(NF!$G$2:$G$3137='Mês atual'!A245,NF!$J$2:$J$3137),1),0)</f>
        <v>212.4</v>
      </c>
      <c r="BS245" s="142" t="str">
        <f>VLOOKUP(A245,NF!M:O,3,0)</f>
        <v>Descartável</v>
      </c>
      <c r="BV245" s="74">
        <f t="shared" si="130"/>
        <v>0</v>
      </c>
      <c r="BW245" s="74">
        <f t="shared" si="131"/>
        <v>1</v>
      </c>
      <c r="BX245" s="74">
        <f t="shared" si="132"/>
        <v>0</v>
      </c>
      <c r="BY245" s="74">
        <f t="shared" si="133"/>
        <v>1</v>
      </c>
      <c r="BZ245" s="74">
        <f t="shared" si="134"/>
        <v>0</v>
      </c>
    </row>
    <row r="246" spans="1:78" x14ac:dyDescent="0.2">
      <c r="A246" s="108" t="s">
        <v>559</v>
      </c>
      <c r="B246" s="12"/>
      <c r="C246" s="9">
        <v>0</v>
      </c>
      <c r="D246" s="25"/>
      <c r="E246" s="10" t="str">
        <f t="shared" si="114"/>
        <v>MarçoSEMANA 1Pano Multiuso Cross Hatch Laranja 300 M</v>
      </c>
      <c r="F246" s="7">
        <f>SUMIF(NF!$A:$A,$E246,NF!$I:$I)</f>
        <v>0</v>
      </c>
      <c r="G246" s="74"/>
      <c r="H246" s="74"/>
      <c r="I246" s="74"/>
      <c r="J246" s="6"/>
      <c r="K246" s="6"/>
      <c r="L246" s="6"/>
      <c r="M246" s="6"/>
      <c r="N246" s="7">
        <f t="shared" si="156"/>
        <v>0</v>
      </c>
      <c r="O246" s="11">
        <f t="shared" si="116"/>
        <v>0</v>
      </c>
      <c r="P246" s="25"/>
      <c r="Q246" s="10" t="str">
        <f t="shared" si="117"/>
        <v>MarçoSEMANA 2Pano Multiuso Cross Hatch Laranja 300 M</v>
      </c>
      <c r="R246" s="7">
        <f>SUMIF(NF!$A:$A,$Q246,NF!$I:$I)</f>
        <v>0</v>
      </c>
      <c r="S246" s="6"/>
      <c r="T246" s="6"/>
      <c r="U246" s="6"/>
      <c r="V246" s="6"/>
      <c r="W246" s="6"/>
      <c r="X246" s="6"/>
      <c r="Y246" s="6"/>
      <c r="Z246" s="7">
        <f t="shared" si="157"/>
        <v>0</v>
      </c>
      <c r="AA246" s="11">
        <f t="shared" si="119"/>
        <v>0</v>
      </c>
      <c r="AB246" s="25"/>
      <c r="AC246" s="10" t="str">
        <f t="shared" si="120"/>
        <v>MarçoSEMANA 3Pano Multiuso Cross Hatch Laranja 300 M</v>
      </c>
      <c r="AD246" s="7">
        <f>SUMIF(NF!$A:$A,$AC246,NF!$I:$I)</f>
        <v>1</v>
      </c>
      <c r="AE246" s="6"/>
      <c r="AF246" s="6"/>
      <c r="AG246" s="6"/>
      <c r="AH246" s="6"/>
      <c r="AI246" s="6"/>
      <c r="AJ246" s="6"/>
      <c r="AK246" s="6"/>
      <c r="AL246" s="7">
        <f t="shared" si="158"/>
        <v>0</v>
      </c>
      <c r="AM246" s="11">
        <f t="shared" si="122"/>
        <v>1</v>
      </c>
      <c r="AN246" s="25"/>
      <c r="AO246" s="10" t="str">
        <f t="shared" si="123"/>
        <v>MarçoSEMANA 4Pano Multiuso Cross Hatch Laranja 300 M</v>
      </c>
      <c r="AP246" s="7">
        <f>SUMIF(NF!$A:$A,$AO246,NF!$I:$I)</f>
        <v>0</v>
      </c>
      <c r="AQ246" s="6"/>
      <c r="AR246" s="6"/>
      <c r="AS246" s="6"/>
      <c r="AT246" s="6"/>
      <c r="AU246" s="6"/>
      <c r="AV246" s="6"/>
      <c r="AW246" s="6"/>
      <c r="AX246" s="7">
        <f t="shared" si="159"/>
        <v>0</v>
      </c>
      <c r="AY246" s="11">
        <f t="shared" si="125"/>
        <v>1</v>
      </c>
      <c r="AZ246" s="25"/>
      <c r="BA246" s="10" t="str">
        <f t="shared" si="126"/>
        <v>MarçoSEMANA 5Pano Multiuso Cross Hatch Laranja 300 M</v>
      </c>
      <c r="BB246" s="7">
        <f>SUMIF(NF!$A:$A,$BA246,NF!$I:$I)</f>
        <v>0</v>
      </c>
      <c r="BC246" s="6"/>
      <c r="BD246" s="6"/>
      <c r="BE246" s="6"/>
      <c r="BF246" s="6"/>
      <c r="BG246" s="6"/>
      <c r="BH246" s="6"/>
      <c r="BI246" s="74"/>
      <c r="BJ246" s="74"/>
      <c r="BK246" s="7">
        <f t="shared" si="160"/>
        <v>0</v>
      </c>
      <c r="BL246" s="8">
        <f t="shared" si="128"/>
        <v>1</v>
      </c>
      <c r="BM246" s="51" t="str">
        <f>IFERROR(VLOOKUP(A246,NF!$M:$O,3,0),"")</f>
        <v>Descartável</v>
      </c>
      <c r="BN246" s="7">
        <f t="shared" si="129"/>
        <v>0</v>
      </c>
      <c r="BO246" s="8">
        <f t="array" ref="BO246">IFERROR(LARGE(IF(NF!$G$2:$G$3137='Mês atual'!A246,NF!$J$2:$J$3137),1),0)*BN246</f>
        <v>0</v>
      </c>
      <c r="BP246" s="50"/>
      <c r="BR246" s="146">
        <f t="array" ref="BR246">IFERROR(LARGE(IF(NF!$G$2:$G$3137='Mês atual'!A246,NF!$J$2:$J$3137),1),0)</f>
        <v>212.4</v>
      </c>
      <c r="BS246" s="142" t="str">
        <f>VLOOKUP(A246,NF!M:O,3,0)</f>
        <v>Descartável</v>
      </c>
      <c r="BV246" s="74">
        <f t="shared" si="130"/>
        <v>0</v>
      </c>
      <c r="BW246" s="74">
        <f t="shared" si="131"/>
        <v>0</v>
      </c>
      <c r="BX246" s="74">
        <f t="shared" si="132"/>
        <v>0</v>
      </c>
      <c r="BY246" s="74">
        <f t="shared" si="133"/>
        <v>0</v>
      </c>
      <c r="BZ246" s="74">
        <f t="shared" si="134"/>
        <v>0</v>
      </c>
    </row>
    <row r="247" spans="1:78" x14ac:dyDescent="0.25">
      <c r="A247" s="108" t="s">
        <v>566</v>
      </c>
      <c r="B247" s="12"/>
      <c r="C247" s="9">
        <v>0</v>
      </c>
      <c r="D247" s="25"/>
      <c r="E247" s="10" t="str">
        <f t="shared" si="114"/>
        <v>MarçoSEMANA 1Papel Alumínio Rolo 30x100</v>
      </c>
      <c r="F247" s="7">
        <f>SUMIF(NF!$A:$A,$E247,NF!$I:$I)</f>
        <v>0</v>
      </c>
      <c r="G247" s="74"/>
      <c r="H247" s="74"/>
      <c r="I247" s="74"/>
      <c r="J247" s="6"/>
      <c r="K247" s="6"/>
      <c r="L247" s="6"/>
      <c r="M247" s="6"/>
      <c r="N247" s="7">
        <f t="shared" si="156"/>
        <v>0</v>
      </c>
      <c r="O247" s="11">
        <f t="shared" si="116"/>
        <v>0</v>
      </c>
      <c r="P247" s="25"/>
      <c r="Q247" s="10" t="str">
        <f t="shared" si="117"/>
        <v>MarçoSEMANA 2Papel Alumínio Rolo 30x100</v>
      </c>
      <c r="R247" s="7">
        <f>SUMIF(NF!$A:$A,$Q247,NF!$I:$I)</f>
        <v>0</v>
      </c>
      <c r="S247" s="6"/>
      <c r="T247" s="6"/>
      <c r="U247" s="6"/>
      <c r="V247" s="6"/>
      <c r="W247" s="6"/>
      <c r="X247" s="6"/>
      <c r="Y247" s="6"/>
      <c r="Z247" s="7">
        <f t="shared" si="157"/>
        <v>0</v>
      </c>
      <c r="AA247" s="11">
        <f t="shared" si="119"/>
        <v>0</v>
      </c>
      <c r="AB247" s="25"/>
      <c r="AC247" s="10" t="str">
        <f t="shared" si="120"/>
        <v>MarçoSEMANA 3Papel Alumínio Rolo 30x100</v>
      </c>
      <c r="AD247" s="7">
        <f>SUMIF(NF!$A:$A,$AC247,NF!$I:$I)</f>
        <v>0</v>
      </c>
      <c r="AE247" s="6"/>
      <c r="AF247" s="6"/>
      <c r="AG247" s="6"/>
      <c r="AH247" s="6"/>
      <c r="AI247" s="6"/>
      <c r="AJ247" s="6"/>
      <c r="AK247" s="6"/>
      <c r="AL247" s="7">
        <f t="shared" si="158"/>
        <v>0</v>
      </c>
      <c r="AM247" s="11">
        <f t="shared" si="122"/>
        <v>0</v>
      </c>
      <c r="AN247" s="25"/>
      <c r="AO247" s="10" t="str">
        <f t="shared" si="123"/>
        <v>MarçoSEMANA 4Papel Alumínio Rolo 30x100</v>
      </c>
      <c r="AP247" s="7">
        <f>SUMIF(NF!$A:$A,$AO247,NF!$I:$I)</f>
        <v>0</v>
      </c>
      <c r="AQ247" s="6"/>
      <c r="AR247" s="6"/>
      <c r="AS247" s="6"/>
      <c r="AT247" s="6"/>
      <c r="AU247" s="6"/>
      <c r="AV247" s="6"/>
      <c r="AW247" s="6"/>
      <c r="AX247" s="7">
        <f t="shared" si="159"/>
        <v>0</v>
      </c>
      <c r="AY247" s="11">
        <f t="shared" si="125"/>
        <v>0</v>
      </c>
      <c r="AZ247" s="25"/>
      <c r="BA247" s="10" t="str">
        <f t="shared" si="126"/>
        <v>MarçoSEMANA 5Papel Alumínio Rolo 30x100</v>
      </c>
      <c r="BB247" s="7">
        <f>SUMIF(NF!$A:$A,$BA247,NF!$I:$I)</f>
        <v>0</v>
      </c>
      <c r="BC247" s="6"/>
      <c r="BD247" s="6"/>
      <c r="BE247" s="6"/>
      <c r="BF247" s="6"/>
      <c r="BG247" s="6"/>
      <c r="BH247" s="6"/>
      <c r="BI247" s="74"/>
      <c r="BJ247" s="74"/>
      <c r="BK247" s="7">
        <f t="shared" si="160"/>
        <v>0</v>
      </c>
      <c r="BL247" s="8">
        <f t="shared" si="128"/>
        <v>0</v>
      </c>
      <c r="BM247" s="51" t="str">
        <f>IFERROR(VLOOKUP(A247,NF!$M:$O,3,0),"")</f>
        <v>Descartável</v>
      </c>
      <c r="BN247" s="7">
        <f t="shared" si="129"/>
        <v>0</v>
      </c>
      <c r="BO247" s="8">
        <f t="array" ref="BO247">IFERROR(LARGE(IF(NF!$G$2:$G$3137='Mês atual'!A247,NF!$J$2:$J$3137),1),0)*BN247</f>
        <v>0</v>
      </c>
      <c r="BP247" s="50"/>
      <c r="BR247" s="146">
        <f t="array" ref="BR247">IFERROR(LARGE(IF(NF!$G$2:$G$3137='Mês atual'!A247,NF!$J$2:$J$3137),1),0)</f>
        <v>0</v>
      </c>
      <c r="BS247" s="142" t="str">
        <f>VLOOKUP(A247,NF!M:O,3,0)</f>
        <v>Descartável</v>
      </c>
      <c r="BV247" s="74">
        <f t="shared" si="130"/>
        <v>0</v>
      </c>
      <c r="BW247" s="74">
        <f t="shared" si="131"/>
        <v>0</v>
      </c>
      <c r="BX247" s="74">
        <f t="shared" si="132"/>
        <v>0</v>
      </c>
      <c r="BY247" s="74">
        <f t="shared" si="133"/>
        <v>0</v>
      </c>
      <c r="BZ247" s="74">
        <f t="shared" si="134"/>
        <v>0</v>
      </c>
    </row>
    <row r="248" spans="1:78" x14ac:dyDescent="0.25">
      <c r="A248" s="108" t="s">
        <v>569</v>
      </c>
      <c r="B248" s="12"/>
      <c r="C248" s="9">
        <v>19</v>
      </c>
      <c r="D248" s="25"/>
      <c r="E248" s="10" t="str">
        <f t="shared" si="114"/>
        <v>MarçoSEMANA 1Papel Higiênico (P.H. Interf.) Cx 60</v>
      </c>
      <c r="F248" s="7">
        <f>SUMIF(NF!$A:$A,$E248,NF!$I:$I)</f>
        <v>0</v>
      </c>
      <c r="G248" s="74"/>
      <c r="H248" s="74"/>
      <c r="I248" s="74"/>
      <c r="J248" s="6"/>
      <c r="K248" s="6">
        <v>3</v>
      </c>
      <c r="L248" s="6">
        <v>1</v>
      </c>
      <c r="M248" s="6">
        <v>3</v>
      </c>
      <c r="N248" s="7">
        <f t="shared" si="156"/>
        <v>7</v>
      </c>
      <c r="O248" s="11">
        <f t="shared" si="116"/>
        <v>12</v>
      </c>
      <c r="P248" s="25"/>
      <c r="Q248" s="10" t="str">
        <f t="shared" si="117"/>
        <v>MarçoSEMANA 2Papel Higiênico (P.H. Interf.) Cx 60</v>
      </c>
      <c r="R248" s="7">
        <f>SUMIF(NF!$A:$A,$Q248,NF!$I:$I)</f>
        <v>60</v>
      </c>
      <c r="S248" s="6">
        <v>2</v>
      </c>
      <c r="T248" s="6">
        <v>2</v>
      </c>
      <c r="U248" s="6"/>
      <c r="V248" s="6">
        <v>3</v>
      </c>
      <c r="W248" s="6">
        <v>1</v>
      </c>
      <c r="X248" s="6">
        <v>2</v>
      </c>
      <c r="Y248" s="6">
        <v>2</v>
      </c>
      <c r="Z248" s="7">
        <f t="shared" si="157"/>
        <v>12</v>
      </c>
      <c r="AA248" s="11">
        <f t="shared" si="119"/>
        <v>60</v>
      </c>
      <c r="AB248" s="25"/>
      <c r="AC248" s="10" t="str">
        <f t="shared" si="120"/>
        <v>MarçoSEMANA 3Papel Higiênico (P.H. Interf.) Cx 60</v>
      </c>
      <c r="AD248" s="7">
        <f>SUMIF(NF!$A:$A,$AC248,NF!$I:$I)</f>
        <v>0</v>
      </c>
      <c r="AE248" s="6">
        <v>3</v>
      </c>
      <c r="AF248" s="6">
        <v>1</v>
      </c>
      <c r="AG248" s="6">
        <v>1</v>
      </c>
      <c r="AH248" s="6">
        <v>4</v>
      </c>
      <c r="AI248" s="6">
        <v>1</v>
      </c>
      <c r="AJ248" s="6"/>
      <c r="AK248" s="6">
        <v>2</v>
      </c>
      <c r="AL248" s="7">
        <f t="shared" si="158"/>
        <v>12</v>
      </c>
      <c r="AM248" s="11">
        <f t="shared" si="122"/>
        <v>48</v>
      </c>
      <c r="AN248" s="25"/>
      <c r="AO248" s="10" t="str">
        <f t="shared" si="123"/>
        <v>MarçoSEMANA 4Papel Higiênico (P.H. Interf.) Cx 60</v>
      </c>
      <c r="AP248" s="7">
        <f>SUMIF(NF!$A:$A,$AO248,NF!$I:$I)</f>
        <v>0</v>
      </c>
      <c r="AQ248" s="6">
        <v>1</v>
      </c>
      <c r="AR248" s="6"/>
      <c r="AS248" s="6">
        <v>1</v>
      </c>
      <c r="AT248" s="6">
        <v>2</v>
      </c>
      <c r="AU248" s="6"/>
      <c r="AV248" s="6">
        <v>2</v>
      </c>
      <c r="AW248" s="6">
        <v>1</v>
      </c>
      <c r="AX248" s="7">
        <f t="shared" si="159"/>
        <v>7</v>
      </c>
      <c r="AY248" s="11">
        <f t="shared" si="125"/>
        <v>41</v>
      </c>
      <c r="AZ248" s="25"/>
      <c r="BA248" s="10" t="str">
        <f t="shared" si="126"/>
        <v>MarçoSEMANA 5Papel Higiênico (P.H. Interf.) Cx 60</v>
      </c>
      <c r="BB248" s="7">
        <f>SUMIF(NF!$A:$A,$BA248,NF!$I:$I)</f>
        <v>0</v>
      </c>
      <c r="BC248" s="6">
        <v>1</v>
      </c>
      <c r="BD248" s="6"/>
      <c r="BE248" s="6">
        <v>2</v>
      </c>
      <c r="BF248" s="6">
        <v>2</v>
      </c>
      <c r="BG248" s="6">
        <v>1</v>
      </c>
      <c r="BH248" s="6">
        <v>2</v>
      </c>
      <c r="BI248" s="74"/>
      <c r="BJ248" s="74"/>
      <c r="BK248" s="7">
        <f t="shared" si="160"/>
        <v>8</v>
      </c>
      <c r="BL248" s="8">
        <f t="shared" si="128"/>
        <v>33</v>
      </c>
      <c r="BM248" s="51" t="str">
        <f>IFERROR(VLOOKUP(A248,NF!$M:$O,3,0),"")</f>
        <v>Descartável</v>
      </c>
      <c r="BN248" s="7">
        <f t="shared" si="129"/>
        <v>46</v>
      </c>
      <c r="BO248" s="8">
        <f t="array" ref="BO248">IFERROR(LARGE(IF(NF!$G$2:$G$3137='Mês atual'!A248,NF!$J$2:$J$3137),1),0)*BN248</f>
        <v>102.87133333333334</v>
      </c>
      <c r="BP248" s="50"/>
      <c r="BR248" s="146">
        <f t="array" ref="BR248">IFERROR(LARGE(IF(NF!$G$2:$G$3137='Mês atual'!A248,NF!$J$2:$J$3137),1),0)</f>
        <v>2.2363333333333335</v>
      </c>
      <c r="BS248" s="142" t="str">
        <f>VLOOKUP(A248,NF!M:O,3,0)</f>
        <v>Descartável</v>
      </c>
      <c r="BV248" s="74">
        <f t="shared" si="130"/>
        <v>7</v>
      </c>
      <c r="BW248" s="74">
        <f t="shared" si="131"/>
        <v>12</v>
      </c>
      <c r="BX248" s="74">
        <f t="shared" si="132"/>
        <v>12</v>
      </c>
      <c r="BY248" s="74">
        <f t="shared" si="133"/>
        <v>7</v>
      </c>
      <c r="BZ248" s="74">
        <f t="shared" si="134"/>
        <v>8</v>
      </c>
    </row>
    <row r="249" spans="1:78" x14ac:dyDescent="0.25">
      <c r="A249" s="108" t="s">
        <v>570</v>
      </c>
      <c r="B249" s="12"/>
      <c r="C249" s="9">
        <v>24</v>
      </c>
      <c r="D249" s="25"/>
      <c r="E249" s="10" t="str">
        <f t="shared" si="114"/>
        <v>MarçoSEMANA 1Papel Higiênico Rolo</v>
      </c>
      <c r="F249" s="7">
        <f>SUMIF(NF!$A:$A,$E249,NF!$I:$I)</f>
        <v>0</v>
      </c>
      <c r="G249" s="74"/>
      <c r="H249" s="74"/>
      <c r="I249" s="74"/>
      <c r="J249" s="6">
        <v>4</v>
      </c>
      <c r="K249" s="6">
        <v>4</v>
      </c>
      <c r="L249" s="6">
        <v>4</v>
      </c>
      <c r="M249" s="6">
        <v>8</v>
      </c>
      <c r="N249" s="7">
        <f t="shared" si="156"/>
        <v>20</v>
      </c>
      <c r="O249" s="11">
        <f t="shared" si="116"/>
        <v>4</v>
      </c>
      <c r="P249" s="25"/>
      <c r="Q249" s="10" t="str">
        <f t="shared" si="117"/>
        <v>MarçoSEMANA 2Papel Higiênico Rolo</v>
      </c>
      <c r="R249" s="7">
        <f>SUMIF(NF!$A:$A,$Q249,NF!$I:$I)</f>
        <v>64</v>
      </c>
      <c r="S249" s="6">
        <v>4</v>
      </c>
      <c r="T249" s="6">
        <v>4</v>
      </c>
      <c r="U249" s="6">
        <v>4</v>
      </c>
      <c r="V249" s="6">
        <v>4</v>
      </c>
      <c r="W249" s="6">
        <v>8</v>
      </c>
      <c r="X249" s="6">
        <v>4</v>
      </c>
      <c r="Y249" s="6">
        <v>4</v>
      </c>
      <c r="Z249" s="7">
        <f t="shared" si="157"/>
        <v>32</v>
      </c>
      <c r="AA249" s="11">
        <f t="shared" si="119"/>
        <v>36</v>
      </c>
      <c r="AB249" s="25"/>
      <c r="AC249" s="10" t="str">
        <f t="shared" si="120"/>
        <v>MarçoSEMANA 3Papel Higiênico Rolo</v>
      </c>
      <c r="AD249" s="7">
        <f>SUMIF(NF!$A:$A,$AC249,NF!$I:$I)</f>
        <v>128</v>
      </c>
      <c r="AE249" s="6">
        <v>4</v>
      </c>
      <c r="AF249" s="6">
        <v>8</v>
      </c>
      <c r="AG249" s="6">
        <v>4</v>
      </c>
      <c r="AH249" s="6">
        <v>4</v>
      </c>
      <c r="AI249" s="6">
        <v>4</v>
      </c>
      <c r="AJ249" s="6">
        <v>4</v>
      </c>
      <c r="AK249" s="6">
        <v>4</v>
      </c>
      <c r="AL249" s="7">
        <f t="shared" si="158"/>
        <v>32</v>
      </c>
      <c r="AM249" s="11">
        <f t="shared" si="122"/>
        <v>132</v>
      </c>
      <c r="AN249" s="25"/>
      <c r="AO249" s="10" t="str">
        <f t="shared" si="123"/>
        <v>MarçoSEMANA 4Papel Higiênico Rolo</v>
      </c>
      <c r="AP249" s="7">
        <f>SUMIF(NF!$A:$A,$AO249,NF!$I:$I)</f>
        <v>0</v>
      </c>
      <c r="AQ249" s="6">
        <v>4</v>
      </c>
      <c r="AR249" s="6">
        <v>4</v>
      </c>
      <c r="AS249" s="6">
        <v>4</v>
      </c>
      <c r="AT249" s="6">
        <v>8</v>
      </c>
      <c r="AU249" s="6">
        <v>4</v>
      </c>
      <c r="AV249" s="6">
        <v>4</v>
      </c>
      <c r="AW249" s="6">
        <v>4</v>
      </c>
      <c r="AX249" s="7">
        <f t="shared" si="159"/>
        <v>32</v>
      </c>
      <c r="AY249" s="11">
        <f t="shared" si="125"/>
        <v>100</v>
      </c>
      <c r="AZ249" s="25"/>
      <c r="BA249" s="10" t="str">
        <f t="shared" si="126"/>
        <v>MarçoSEMANA 5Papel Higiênico Rolo</v>
      </c>
      <c r="BB249" s="7">
        <f>SUMIF(NF!$A:$A,$BA249,NF!$I:$I)</f>
        <v>0</v>
      </c>
      <c r="BC249" s="6">
        <v>8</v>
      </c>
      <c r="BD249" s="6"/>
      <c r="BE249" s="6">
        <v>4</v>
      </c>
      <c r="BF249" s="6">
        <v>4</v>
      </c>
      <c r="BG249" s="6">
        <v>4</v>
      </c>
      <c r="BH249" s="6">
        <v>4</v>
      </c>
      <c r="BI249" s="74"/>
      <c r="BJ249" s="74"/>
      <c r="BK249" s="7">
        <f t="shared" si="160"/>
        <v>24</v>
      </c>
      <c r="BL249" s="8">
        <f t="shared" si="128"/>
        <v>76</v>
      </c>
      <c r="BM249" s="51" t="str">
        <f>IFERROR(VLOOKUP(A249,NF!$M:$O,3,0),"")</f>
        <v>Descartável</v>
      </c>
      <c r="BN249" s="7">
        <f t="shared" si="129"/>
        <v>140</v>
      </c>
      <c r="BO249" s="8">
        <f t="array" ref="BO249">IFERROR(LARGE(IF(NF!$G$2:$G$3137='Mês atual'!A249,NF!$J$2:$J$3137),1),0)*BN249</f>
        <v>138.95000000000002</v>
      </c>
      <c r="BP249" s="50"/>
      <c r="BR249" s="146">
        <f t="array" ref="BR249">IFERROR(LARGE(IF(NF!$G$2:$G$3137='Mês atual'!A249,NF!$J$2:$J$3137),1),0)</f>
        <v>0.99250000000000005</v>
      </c>
      <c r="BS249" s="142" t="str">
        <f>VLOOKUP(A249,NF!M:O,3,0)</f>
        <v>Descartável</v>
      </c>
      <c r="BV249" s="74">
        <f t="shared" si="130"/>
        <v>20</v>
      </c>
      <c r="BW249" s="74">
        <f t="shared" si="131"/>
        <v>32</v>
      </c>
      <c r="BX249" s="74">
        <f t="shared" si="132"/>
        <v>32</v>
      </c>
      <c r="BY249" s="74">
        <f t="shared" si="133"/>
        <v>32</v>
      </c>
      <c r="BZ249" s="74">
        <f t="shared" si="134"/>
        <v>24</v>
      </c>
    </row>
    <row r="250" spans="1:78" x14ac:dyDescent="0.2">
      <c r="A250" s="108" t="s">
        <v>571</v>
      </c>
      <c r="B250" s="12"/>
      <c r="C250" s="9">
        <v>0</v>
      </c>
      <c r="D250" s="25"/>
      <c r="E250" s="10" t="str">
        <f t="shared" si="114"/>
        <v>MarçoSEMANA 1Papel Manteiga Resma c/ 400</v>
      </c>
      <c r="F250" s="7">
        <f>SUMIF(NF!$A:$A,$E250,NF!$I:$I)</f>
        <v>0</v>
      </c>
      <c r="G250" s="74"/>
      <c r="H250" s="74"/>
      <c r="I250" s="74"/>
      <c r="J250" s="6"/>
      <c r="K250" s="6"/>
      <c r="L250" s="6"/>
      <c r="M250" s="6"/>
      <c r="N250" s="7">
        <f t="shared" si="156"/>
        <v>0</v>
      </c>
      <c r="O250" s="11">
        <f t="shared" si="116"/>
        <v>0</v>
      </c>
      <c r="P250" s="25"/>
      <c r="Q250" s="10" t="str">
        <f t="shared" si="117"/>
        <v>MarçoSEMANA 2Papel Manteiga Resma c/ 400</v>
      </c>
      <c r="R250" s="7">
        <f>SUMIF(NF!$A:$A,$Q250,NF!$I:$I)</f>
        <v>1</v>
      </c>
      <c r="S250" s="6"/>
      <c r="T250" s="6"/>
      <c r="U250" s="6"/>
      <c r="V250" s="6"/>
      <c r="W250" s="6"/>
      <c r="X250" s="6"/>
      <c r="Y250" s="6"/>
      <c r="Z250" s="7">
        <f t="shared" si="157"/>
        <v>0</v>
      </c>
      <c r="AA250" s="11">
        <f t="shared" si="119"/>
        <v>1</v>
      </c>
      <c r="AB250" s="25"/>
      <c r="AC250" s="10" t="str">
        <f t="shared" si="120"/>
        <v>MarçoSEMANA 3Papel Manteiga Resma c/ 400</v>
      </c>
      <c r="AD250" s="7">
        <f>SUMIF(NF!$A:$A,$AC250,NF!$I:$I)</f>
        <v>0</v>
      </c>
      <c r="AE250" s="6"/>
      <c r="AF250" s="6"/>
      <c r="AG250" s="6"/>
      <c r="AH250" s="6"/>
      <c r="AI250" s="6"/>
      <c r="AJ250" s="6"/>
      <c r="AK250" s="6"/>
      <c r="AL250" s="7">
        <f t="shared" si="158"/>
        <v>0</v>
      </c>
      <c r="AM250" s="11">
        <f t="shared" si="122"/>
        <v>1</v>
      </c>
      <c r="AN250" s="25"/>
      <c r="AO250" s="10" t="str">
        <f t="shared" si="123"/>
        <v>MarçoSEMANA 4Papel Manteiga Resma c/ 400</v>
      </c>
      <c r="AP250" s="7">
        <f>SUMIF(NF!$A:$A,$AO250,NF!$I:$I)</f>
        <v>0</v>
      </c>
      <c r="AQ250" s="6"/>
      <c r="AR250" s="6"/>
      <c r="AS250" s="6"/>
      <c r="AT250" s="6"/>
      <c r="AU250" s="6"/>
      <c r="AV250" s="6"/>
      <c r="AW250" s="6"/>
      <c r="AX250" s="7">
        <f t="shared" si="159"/>
        <v>0</v>
      </c>
      <c r="AY250" s="11">
        <f t="shared" si="125"/>
        <v>1</v>
      </c>
      <c r="AZ250" s="25"/>
      <c r="BA250" s="10" t="str">
        <f t="shared" si="126"/>
        <v>MarçoSEMANA 5Papel Manteiga Resma c/ 400</v>
      </c>
      <c r="BB250" s="7">
        <f>SUMIF(NF!$A:$A,$BA250,NF!$I:$I)</f>
        <v>0</v>
      </c>
      <c r="BC250" s="6"/>
      <c r="BD250" s="6"/>
      <c r="BE250" s="6"/>
      <c r="BF250" s="6"/>
      <c r="BG250" s="6"/>
      <c r="BH250" s="6"/>
      <c r="BI250" s="74"/>
      <c r="BJ250" s="74"/>
      <c r="BK250" s="7">
        <f t="shared" si="160"/>
        <v>0</v>
      </c>
      <c r="BL250" s="8">
        <f t="shared" si="128"/>
        <v>1</v>
      </c>
      <c r="BM250" s="51" t="str">
        <f>IFERROR(VLOOKUP(A250,NF!$M:$O,3,0),"")</f>
        <v>Descartável</v>
      </c>
      <c r="BN250" s="7">
        <f t="shared" si="129"/>
        <v>0</v>
      </c>
      <c r="BO250" s="8">
        <f t="array" ref="BO250">IFERROR(LARGE(IF(NF!$G$2:$G$3137='Mês atual'!A250,NF!$J$2:$J$3137),1),0)*BN250</f>
        <v>0</v>
      </c>
      <c r="BP250" s="50"/>
      <c r="BR250" s="146">
        <f t="array" ref="BR250">IFERROR(LARGE(IF(NF!$G$2:$G$3137='Mês atual'!A250,NF!$J$2:$J$3137),1),0)</f>
        <v>45.48</v>
      </c>
      <c r="BS250" s="142" t="str">
        <f>VLOOKUP(A250,NF!M:O,3,0)</f>
        <v>Descartável</v>
      </c>
      <c r="BV250" s="74">
        <f t="shared" si="130"/>
        <v>0</v>
      </c>
      <c r="BW250" s="74">
        <f t="shared" si="131"/>
        <v>0</v>
      </c>
      <c r="BX250" s="74">
        <f t="shared" si="132"/>
        <v>0</v>
      </c>
      <c r="BY250" s="74">
        <f t="shared" si="133"/>
        <v>0</v>
      </c>
      <c r="BZ250" s="74">
        <f t="shared" si="134"/>
        <v>0</v>
      </c>
    </row>
    <row r="251" spans="1:78" x14ac:dyDescent="0.25">
      <c r="A251" s="108" t="s">
        <v>1057</v>
      </c>
      <c r="B251" s="12"/>
      <c r="C251" s="9">
        <v>0</v>
      </c>
      <c r="D251" s="25"/>
      <c r="E251" s="10" t="str">
        <f t="shared" si="114"/>
        <v>MarçoSEMANA 1Prato Papelão N9</v>
      </c>
      <c r="F251" s="7">
        <f>SUMIF(NF!$A:$A,$E251,NF!$I:$I)</f>
        <v>0</v>
      </c>
      <c r="G251" s="74"/>
      <c r="H251" s="74"/>
      <c r="I251" s="74"/>
      <c r="J251" s="6"/>
      <c r="K251" s="6"/>
      <c r="L251" s="6"/>
      <c r="M251" s="6"/>
      <c r="N251" s="7">
        <f>SUM(G251:M251)</f>
        <v>0</v>
      </c>
      <c r="O251" s="11">
        <f>F251+C251-N251</f>
        <v>0</v>
      </c>
      <c r="P251" s="25"/>
      <c r="Q251" s="10" t="str">
        <f t="shared" si="117"/>
        <v>MarçoSEMANA 2Prato Papelão N9</v>
      </c>
      <c r="R251" s="7">
        <f>SUMIF(NF!$A:$A,$Q251,NF!$I:$I)</f>
        <v>0</v>
      </c>
      <c r="S251" s="6"/>
      <c r="T251" s="6"/>
      <c r="U251" s="6"/>
      <c r="V251" s="6"/>
      <c r="W251" s="6"/>
      <c r="X251" s="6"/>
      <c r="Y251" s="6"/>
      <c r="Z251" s="7">
        <f>SUM(S251:Y251)</f>
        <v>0</v>
      </c>
      <c r="AA251" s="11">
        <f>R251+O251-Z251</f>
        <v>0</v>
      </c>
      <c r="AB251" s="25"/>
      <c r="AC251" s="10" t="str">
        <f t="shared" si="120"/>
        <v>MarçoSEMANA 3Prato Papelão N9</v>
      </c>
      <c r="AD251" s="7">
        <f>SUMIF(NF!$A:$A,$AC251,NF!$I:$I)</f>
        <v>0</v>
      </c>
      <c r="AE251" s="6"/>
      <c r="AF251" s="6"/>
      <c r="AG251" s="6"/>
      <c r="AH251" s="6"/>
      <c r="AI251" s="6"/>
      <c r="AJ251" s="6"/>
      <c r="AK251" s="6"/>
      <c r="AL251" s="7">
        <f>SUM(AE251:AK251)</f>
        <v>0</v>
      </c>
      <c r="AM251" s="11">
        <f>AD251+AA251-AL251</f>
        <v>0</v>
      </c>
      <c r="AN251" s="25"/>
      <c r="AO251" s="10" t="str">
        <f t="shared" si="123"/>
        <v>MarçoSEMANA 4Prato Papelão N9</v>
      </c>
      <c r="AP251" s="7">
        <f>SUMIF(NF!$A:$A,$AO251,NF!$I:$I)</f>
        <v>0</v>
      </c>
      <c r="AQ251" s="6"/>
      <c r="AR251" s="6"/>
      <c r="AS251" s="6"/>
      <c r="AT251" s="6"/>
      <c r="AU251" s="6"/>
      <c r="AV251" s="6"/>
      <c r="AW251" s="6"/>
      <c r="AX251" s="7">
        <f>SUM(AQ251:AW251)</f>
        <v>0</v>
      </c>
      <c r="AY251" s="11">
        <f>AP251+AM251-AX251</f>
        <v>0</v>
      </c>
      <c r="AZ251" s="25"/>
      <c r="BA251" s="10" t="str">
        <f t="shared" si="126"/>
        <v>MarçoSEMANA 5Prato Papelão N9</v>
      </c>
      <c r="BB251" s="7">
        <f>SUMIF(NF!$A:$A,$BA251,NF!$I:$I)</f>
        <v>0</v>
      </c>
      <c r="BC251" s="6"/>
      <c r="BD251" s="6"/>
      <c r="BE251" s="6"/>
      <c r="BF251" s="6"/>
      <c r="BG251" s="6"/>
      <c r="BH251" s="6"/>
      <c r="BI251" s="74"/>
      <c r="BJ251" s="74"/>
      <c r="BK251" s="7">
        <f>SUM(BC251:BJ251)</f>
        <v>0</v>
      </c>
      <c r="BL251" s="8">
        <f>BB251+AY251-BK251</f>
        <v>0</v>
      </c>
      <c r="BM251" s="51" t="str">
        <f>IFERROR(VLOOKUP(A251,NF!$M:$O,3,0),"")</f>
        <v>Descartável</v>
      </c>
      <c r="BN251" s="7">
        <f>SUM(N251,Z251,AL251,AX251,BK251)</f>
        <v>0</v>
      </c>
      <c r="BO251" s="8">
        <f t="array" ref="BO251">IFERROR(LARGE(IF(NF!$G$2:$G$3137='Mês atual'!A251,NF!$J$2:$J$3137),1),0)*BN251</f>
        <v>0</v>
      </c>
      <c r="BP251" s="50"/>
      <c r="BR251" s="146">
        <f t="array" ref="BR251">IFERROR(LARGE(IF(NF!$G$2:$G$3137='Mês atual'!A251,NF!$J$2:$J$3137),1),0)</f>
        <v>0</v>
      </c>
      <c r="BS251" s="142" t="str">
        <f>VLOOKUP(A251,NF!M:O,3,0)</f>
        <v>Descartável</v>
      </c>
      <c r="BV251" s="74">
        <f>N251</f>
        <v>0</v>
      </c>
      <c r="BW251" s="74">
        <f>Z251</f>
        <v>0</v>
      </c>
      <c r="BX251" s="74">
        <f>AL251</f>
        <v>0</v>
      </c>
      <c r="BY251" s="74">
        <f>AX251</f>
        <v>0</v>
      </c>
      <c r="BZ251" s="74">
        <f>BK251</f>
        <v>0</v>
      </c>
    </row>
    <row r="252" spans="1:78" x14ac:dyDescent="0.2">
      <c r="A252" s="108" t="s">
        <v>1073</v>
      </c>
      <c r="B252" s="12"/>
      <c r="C252" s="9">
        <v>1</v>
      </c>
      <c r="D252" s="25"/>
      <c r="E252" s="10" t="str">
        <f t="shared" si="114"/>
        <v>MarçoSEMANA 1Refil Embalador Guarda-chuvas cx 1000</v>
      </c>
      <c r="F252" s="7">
        <f>SUMIF(NF!$A:$A,$E252,NF!$I:$I)</f>
        <v>0</v>
      </c>
      <c r="G252" s="74"/>
      <c r="H252" s="74"/>
      <c r="I252" s="74"/>
      <c r="J252" s="6"/>
      <c r="K252" s="6"/>
      <c r="L252" s="6"/>
      <c r="M252" s="6"/>
      <c r="N252" s="7">
        <f>SUM(G252:M252)</f>
        <v>0</v>
      </c>
      <c r="O252" s="11">
        <f>F252+C252-N252</f>
        <v>1</v>
      </c>
      <c r="P252" s="25"/>
      <c r="Q252" s="10" t="str">
        <f t="shared" si="117"/>
        <v>MarçoSEMANA 2Refil Embalador Guarda-chuvas cx 1000</v>
      </c>
      <c r="R252" s="7">
        <f>SUMIF(NF!$A:$A,$Q252,NF!$I:$I)</f>
        <v>0</v>
      </c>
      <c r="S252" s="6"/>
      <c r="T252" s="6"/>
      <c r="U252" s="6"/>
      <c r="V252" s="6"/>
      <c r="W252" s="6"/>
      <c r="X252" s="6"/>
      <c r="Y252" s="6"/>
      <c r="Z252" s="7">
        <f>SUM(S252:Y252)</f>
        <v>0</v>
      </c>
      <c r="AA252" s="11">
        <f>R252+O252-Z252</f>
        <v>1</v>
      </c>
      <c r="AB252" s="25"/>
      <c r="AC252" s="10" t="str">
        <f t="shared" si="120"/>
        <v>MarçoSEMANA 3Refil Embalador Guarda-chuvas cx 1000</v>
      </c>
      <c r="AD252" s="7">
        <f>SUMIF(NF!$A:$A,$AC252,NF!$I:$I)</f>
        <v>0</v>
      </c>
      <c r="AE252" s="6"/>
      <c r="AF252" s="6"/>
      <c r="AG252" s="6"/>
      <c r="AH252" s="6"/>
      <c r="AI252" s="6"/>
      <c r="AJ252" s="6"/>
      <c r="AK252" s="6"/>
      <c r="AL252" s="7">
        <f>SUM(AE252:AK252)</f>
        <v>0</v>
      </c>
      <c r="AM252" s="11">
        <f>AD252+AA252-AL252</f>
        <v>1</v>
      </c>
      <c r="AN252" s="25"/>
      <c r="AO252" s="10" t="str">
        <f t="shared" si="123"/>
        <v>MarçoSEMANA 4Refil Embalador Guarda-chuvas cx 1000</v>
      </c>
      <c r="AP252" s="7">
        <f>SUMIF(NF!$A:$A,$AO252,NF!$I:$I)</f>
        <v>0</v>
      </c>
      <c r="AQ252" s="6"/>
      <c r="AR252" s="6"/>
      <c r="AS252" s="6"/>
      <c r="AT252" s="6"/>
      <c r="AU252" s="6"/>
      <c r="AV252" s="6"/>
      <c r="AW252" s="6"/>
      <c r="AX252" s="7">
        <f>SUM(AQ252:AW252)</f>
        <v>0</v>
      </c>
      <c r="AY252" s="11">
        <f>AP252+AM252-AX252</f>
        <v>1</v>
      </c>
      <c r="AZ252" s="25"/>
      <c r="BA252" s="10" t="str">
        <f t="shared" si="126"/>
        <v>MarçoSEMANA 5Refil Embalador Guarda-chuvas cx 1000</v>
      </c>
      <c r="BB252" s="7">
        <f>SUMIF(NF!$A:$A,$BA252,NF!$I:$I)</f>
        <v>0</v>
      </c>
      <c r="BC252" s="6"/>
      <c r="BD252" s="6"/>
      <c r="BE252" s="6"/>
      <c r="BF252" s="6"/>
      <c r="BG252" s="6"/>
      <c r="BH252" s="6"/>
      <c r="BI252" s="74"/>
      <c r="BJ252" s="74"/>
      <c r="BK252" s="7">
        <f>SUM(BC252:BJ252)</f>
        <v>0</v>
      </c>
      <c r="BL252" s="8">
        <f>BB252+AY252-BK252</f>
        <v>1</v>
      </c>
      <c r="BM252" s="51" t="str">
        <f>IFERROR(VLOOKUP(A252,NF!$M:$O,3,0),"")</f>
        <v>Descartavel</v>
      </c>
      <c r="BN252" s="7">
        <f>SUM(N252,Z252,AL252,AX252,BK252)</f>
        <v>0</v>
      </c>
      <c r="BO252" s="8">
        <f t="array" ref="BO252">IFERROR(LARGE(IF(NF!$G$2:$G$3137='Mês atual'!A252,NF!$J$2:$J$3137),1),0)*BN252</f>
        <v>0</v>
      </c>
      <c r="BP252" s="50"/>
      <c r="BR252" s="146">
        <f t="array" ref="BR252">IFERROR(LARGE(IF(NF!$G$2:$G$3137='Mês atual'!A252,NF!$J$2:$J$3137),1),0)</f>
        <v>0</v>
      </c>
      <c r="BS252" s="142" t="str">
        <f>VLOOKUP(A252,NF!M:O,3,0)</f>
        <v>Descartavel</v>
      </c>
      <c r="BV252" s="74">
        <f>N252</f>
        <v>0</v>
      </c>
      <c r="BW252" s="74">
        <f>Z252</f>
        <v>0</v>
      </c>
      <c r="BX252" s="74">
        <f>AL252</f>
        <v>0</v>
      </c>
      <c r="BY252" s="74">
        <f>AX252</f>
        <v>0</v>
      </c>
      <c r="BZ252" s="74">
        <f>BK252</f>
        <v>0</v>
      </c>
    </row>
    <row r="253" spans="1:78" x14ac:dyDescent="0.2">
      <c r="A253" s="108" t="s">
        <v>1058</v>
      </c>
      <c r="B253" s="12"/>
      <c r="C253" s="9">
        <v>0</v>
      </c>
      <c r="D253" s="25"/>
      <c r="E253" s="10" t="str">
        <f t="shared" si="114"/>
        <v>MarçoSEMANA 1Saco 10x25 c/100</v>
      </c>
      <c r="F253" s="7">
        <f>SUMIF(NF!$A:$A,$E253,NF!$I:$I)</f>
        <v>0</v>
      </c>
      <c r="G253" s="74"/>
      <c r="H253" s="74"/>
      <c r="I253" s="74"/>
      <c r="J253" s="6"/>
      <c r="K253" s="6"/>
      <c r="L253" s="6"/>
      <c r="M253" s="6"/>
      <c r="N253" s="7">
        <f>SUM(G253:M253)</f>
        <v>0</v>
      </c>
      <c r="O253" s="11">
        <f>F253+C253-N253</f>
        <v>0</v>
      </c>
      <c r="P253" s="25"/>
      <c r="Q253" s="10" t="str">
        <f t="shared" si="117"/>
        <v>MarçoSEMANA 2Saco 10x25 c/100</v>
      </c>
      <c r="R253" s="7">
        <f>SUMIF(NF!$A:$A,$Q253,NF!$I:$I)</f>
        <v>0</v>
      </c>
      <c r="S253" s="6"/>
      <c r="T253" s="6"/>
      <c r="U253" s="6"/>
      <c r="V253" s="6"/>
      <c r="W253" s="6"/>
      <c r="X253" s="6"/>
      <c r="Y253" s="6"/>
      <c r="Z253" s="7">
        <f>SUM(S253:Y253)</f>
        <v>0</v>
      </c>
      <c r="AA253" s="11">
        <f>R253+O253-Z253</f>
        <v>0</v>
      </c>
      <c r="AB253" s="25"/>
      <c r="AC253" s="10" t="str">
        <f t="shared" si="120"/>
        <v>MarçoSEMANA 3Saco 10x25 c/100</v>
      </c>
      <c r="AD253" s="7">
        <f>SUMIF(NF!$A:$A,$AC253,NF!$I:$I)</f>
        <v>0</v>
      </c>
      <c r="AE253" s="6"/>
      <c r="AF253" s="6"/>
      <c r="AG253" s="6"/>
      <c r="AH253" s="6"/>
      <c r="AI253" s="6"/>
      <c r="AJ253" s="6"/>
      <c r="AK253" s="6"/>
      <c r="AL253" s="7">
        <f>SUM(AE253:AK253)</f>
        <v>0</v>
      </c>
      <c r="AM253" s="11">
        <f>AD253+AA253-AL253</f>
        <v>0</v>
      </c>
      <c r="AN253" s="25"/>
      <c r="AO253" s="10" t="str">
        <f t="shared" si="123"/>
        <v>MarçoSEMANA 4Saco 10x25 c/100</v>
      </c>
      <c r="AP253" s="7">
        <f>SUMIF(NF!$A:$A,$AO253,NF!$I:$I)</f>
        <v>0</v>
      </c>
      <c r="AQ253" s="6"/>
      <c r="AR253" s="6"/>
      <c r="AS253" s="6"/>
      <c r="AT253" s="6"/>
      <c r="AU253" s="6"/>
      <c r="AV253" s="6"/>
      <c r="AW253" s="6"/>
      <c r="AX253" s="7">
        <f>SUM(AQ253:AW253)</f>
        <v>0</v>
      </c>
      <c r="AY253" s="11">
        <f>AP253+AM253-AX253</f>
        <v>0</v>
      </c>
      <c r="AZ253" s="25"/>
      <c r="BA253" s="10" t="str">
        <f t="shared" si="126"/>
        <v>MarçoSEMANA 5Saco 10x25 c/100</v>
      </c>
      <c r="BB253" s="7">
        <f>SUMIF(NF!$A:$A,$BA253,NF!$I:$I)</f>
        <v>0</v>
      </c>
      <c r="BC253" s="6"/>
      <c r="BD253" s="6"/>
      <c r="BE253" s="6"/>
      <c r="BF253" s="6"/>
      <c r="BG253" s="6"/>
      <c r="BH253" s="6"/>
      <c r="BI253" s="74"/>
      <c r="BJ253" s="74"/>
      <c r="BK253" s="7">
        <f>SUM(BC253:BJ253)</f>
        <v>0</v>
      </c>
      <c r="BL253" s="8">
        <f>BB253+AY253-BK253</f>
        <v>0</v>
      </c>
      <c r="BM253" s="51" t="str">
        <f>IFERROR(VLOOKUP(A253,NF!$M:$O,3,0),"")</f>
        <v>Descartável</v>
      </c>
      <c r="BN253" s="7">
        <f>SUM(N253,Z253,AL253,AX253,BK253)</f>
        <v>0</v>
      </c>
      <c r="BO253" s="8">
        <f t="array" ref="BO253">IFERROR(LARGE(IF(NF!$G$2:$G$3137='Mês atual'!A253,NF!$J$2:$J$3137),1),0)*BN253</f>
        <v>0</v>
      </c>
      <c r="BP253" s="50"/>
      <c r="BR253" s="146">
        <f t="array" ref="BR253">IFERROR(LARGE(IF(NF!$G$2:$G$3137='Mês atual'!A253,NF!$J$2:$J$3137),1),0)</f>
        <v>0</v>
      </c>
      <c r="BS253" s="142" t="str">
        <f>VLOOKUP(A253,NF!M:O,3,0)</f>
        <v>Descartável</v>
      </c>
      <c r="BV253" s="74">
        <f>N253</f>
        <v>0</v>
      </c>
      <c r="BW253" s="74">
        <f>Z253</f>
        <v>0</v>
      </c>
      <c r="BX253" s="74">
        <f>AL253</f>
        <v>0</v>
      </c>
      <c r="BY253" s="74">
        <f>AX253</f>
        <v>0</v>
      </c>
      <c r="BZ253" s="74">
        <f>BK253</f>
        <v>0</v>
      </c>
    </row>
    <row r="254" spans="1:78" x14ac:dyDescent="0.2">
      <c r="A254" s="108" t="s">
        <v>716</v>
      </c>
      <c r="B254" s="12"/>
      <c r="C254" s="9">
        <f>4*100</f>
        <v>400</v>
      </c>
      <c r="D254" s="25"/>
      <c r="E254" s="10" t="str">
        <f t="shared" si="114"/>
        <v>MarçoSEMANA 1Saco p/ Biscoito 10x15 pacte 1000</v>
      </c>
      <c r="F254" s="7">
        <f>SUMIF(NF!$A:$A,$E254,NF!$I:$I)</f>
        <v>0</v>
      </c>
      <c r="G254" s="74"/>
      <c r="H254" s="74"/>
      <c r="I254" s="74"/>
      <c r="J254" s="6"/>
      <c r="K254" s="6"/>
      <c r="L254" s="6"/>
      <c r="M254" s="6"/>
      <c r="N254" s="7">
        <f t="shared" si="156"/>
        <v>0</v>
      </c>
      <c r="O254" s="11">
        <f t="shared" si="116"/>
        <v>400</v>
      </c>
      <c r="P254" s="25"/>
      <c r="Q254" s="10" t="str">
        <f t="shared" si="117"/>
        <v>MarçoSEMANA 2Saco p/ Biscoito 10x15 pacte 1000</v>
      </c>
      <c r="R254" s="7">
        <f>SUMIF(NF!$A:$A,$Q254,NF!$I:$I)</f>
        <v>0</v>
      </c>
      <c r="S254" s="6">
        <v>100</v>
      </c>
      <c r="T254" s="6"/>
      <c r="U254" s="6"/>
      <c r="V254" s="6"/>
      <c r="W254" s="6"/>
      <c r="X254" s="6"/>
      <c r="Y254" s="6"/>
      <c r="Z254" s="7">
        <f t="shared" si="157"/>
        <v>100</v>
      </c>
      <c r="AA254" s="11">
        <f t="shared" si="119"/>
        <v>300</v>
      </c>
      <c r="AB254" s="25"/>
      <c r="AC254" s="10" t="str">
        <f t="shared" si="120"/>
        <v>MarçoSEMANA 3Saco p/ Biscoito 10x15 pacte 1000</v>
      </c>
      <c r="AD254" s="7">
        <f>SUMIF(NF!$A:$A,$AC254,NF!$I:$I)</f>
        <v>0</v>
      </c>
      <c r="AE254" s="6"/>
      <c r="AF254" s="6"/>
      <c r="AG254" s="6">
        <v>100</v>
      </c>
      <c r="AH254" s="6"/>
      <c r="AI254" s="6"/>
      <c r="AJ254" s="6"/>
      <c r="AK254" s="6"/>
      <c r="AL254" s="7">
        <f t="shared" si="158"/>
        <v>100</v>
      </c>
      <c r="AM254" s="11">
        <f t="shared" si="122"/>
        <v>200</v>
      </c>
      <c r="AN254" s="25"/>
      <c r="AO254" s="10" t="str">
        <f t="shared" si="123"/>
        <v>MarçoSEMANA 4Saco p/ Biscoito 10x15 pacte 1000</v>
      </c>
      <c r="AP254" s="7">
        <f>SUMIF(NF!$A:$A,$AO254,NF!$I:$I)</f>
        <v>0</v>
      </c>
      <c r="AQ254" s="6"/>
      <c r="AR254" s="6"/>
      <c r="AS254" s="6"/>
      <c r="AT254" s="6"/>
      <c r="AU254" s="6"/>
      <c r="AV254" s="6"/>
      <c r="AW254" s="6"/>
      <c r="AX254" s="7">
        <f t="shared" si="159"/>
        <v>0</v>
      </c>
      <c r="AY254" s="11">
        <f t="shared" si="125"/>
        <v>200</v>
      </c>
      <c r="AZ254" s="25"/>
      <c r="BA254" s="10" t="str">
        <f t="shared" si="126"/>
        <v>MarçoSEMANA 5Saco p/ Biscoito 10x15 pacte 1000</v>
      </c>
      <c r="BB254" s="7">
        <f>SUMIF(NF!$A:$A,$BA254,NF!$I:$I)</f>
        <v>1000</v>
      </c>
      <c r="BC254" s="6"/>
      <c r="BD254" s="6"/>
      <c r="BE254" s="6">
        <v>100</v>
      </c>
      <c r="BF254" s="6"/>
      <c r="BG254" s="6"/>
      <c r="BH254" s="6"/>
      <c r="BI254" s="74"/>
      <c r="BJ254" s="74"/>
      <c r="BK254" s="7">
        <f t="shared" si="160"/>
        <v>100</v>
      </c>
      <c r="BL254" s="8">
        <f t="shared" si="128"/>
        <v>1100</v>
      </c>
      <c r="BM254" s="51" t="str">
        <f>IFERROR(VLOOKUP(A254,NF!$M:$O,3,0),"")</f>
        <v>Descartável</v>
      </c>
      <c r="BN254" s="7">
        <f t="shared" si="129"/>
        <v>300</v>
      </c>
      <c r="BO254" s="8">
        <f t="array" ref="BO254">IFERROR(LARGE(IF(NF!$G$2:$G$3137='Mês atual'!A254,NF!$J$2:$J$3137),1),0)*BN254</f>
        <v>3.9</v>
      </c>
      <c r="BP254" s="50"/>
      <c r="BR254" s="146">
        <f t="array" ref="BR254">IFERROR(LARGE(IF(NF!$G$2:$G$3137='Mês atual'!A254,NF!$J$2:$J$3137),1),0)</f>
        <v>1.2999999999999999E-2</v>
      </c>
      <c r="BS254" s="142" t="str">
        <f>VLOOKUP(A254,NF!M:O,3,0)</f>
        <v>Descartável</v>
      </c>
      <c r="BV254" s="74">
        <f t="shared" si="130"/>
        <v>0</v>
      </c>
      <c r="BW254" s="74">
        <f t="shared" si="131"/>
        <v>100</v>
      </c>
      <c r="BX254" s="74">
        <f t="shared" si="132"/>
        <v>100</v>
      </c>
      <c r="BY254" s="74">
        <f t="shared" si="133"/>
        <v>0</v>
      </c>
      <c r="BZ254" s="74">
        <f t="shared" si="134"/>
        <v>100</v>
      </c>
    </row>
    <row r="255" spans="1:78" x14ac:dyDescent="0.2">
      <c r="A255" s="108" t="s">
        <v>717</v>
      </c>
      <c r="B255" s="12"/>
      <c r="C255" s="9">
        <v>55500</v>
      </c>
      <c r="D255" s="25"/>
      <c r="E255" s="10" t="str">
        <f t="shared" si="114"/>
        <v>MarçoSEMANA 1Saco para Talher</v>
      </c>
      <c r="F255" s="7">
        <f>SUMIF(NF!$A:$A,$E255,NF!$I:$I)</f>
        <v>0</v>
      </c>
      <c r="G255" s="74"/>
      <c r="H255" s="74"/>
      <c r="I255" s="74"/>
      <c r="J255" s="6">
        <v>500</v>
      </c>
      <c r="K255" s="6">
        <v>500</v>
      </c>
      <c r="L255" s="6"/>
      <c r="M255" s="6">
        <v>500</v>
      </c>
      <c r="N255" s="7">
        <f t="shared" si="156"/>
        <v>1500</v>
      </c>
      <c r="O255" s="11">
        <f t="shared" si="116"/>
        <v>54000</v>
      </c>
      <c r="P255" s="25"/>
      <c r="Q255" s="10" t="str">
        <f t="shared" si="117"/>
        <v>MarçoSEMANA 2Saco para Talher</v>
      </c>
      <c r="R255" s="7">
        <f>SUMIF(NF!$A:$A,$Q255,NF!$I:$I)</f>
        <v>0</v>
      </c>
      <c r="S255" s="6">
        <v>500</v>
      </c>
      <c r="T255" s="6">
        <v>500</v>
      </c>
      <c r="U255" s="6">
        <v>500</v>
      </c>
      <c r="V255" s="6"/>
      <c r="W255" s="6"/>
      <c r="X255" s="6">
        <v>500</v>
      </c>
      <c r="Y255" s="6">
        <v>500</v>
      </c>
      <c r="Z255" s="7">
        <f t="shared" si="157"/>
        <v>2500</v>
      </c>
      <c r="AA255" s="11">
        <f t="shared" si="119"/>
        <v>51500</v>
      </c>
      <c r="AB255" s="25"/>
      <c r="AC255" s="10" t="str">
        <f t="shared" si="120"/>
        <v>MarçoSEMANA 3Saco para Talher</v>
      </c>
      <c r="AD255" s="7">
        <f>SUMIF(NF!$A:$A,$AC255,NF!$I:$I)</f>
        <v>0</v>
      </c>
      <c r="AE255" s="6">
        <v>500</v>
      </c>
      <c r="AF255" s="6">
        <v>500</v>
      </c>
      <c r="AG255" s="6"/>
      <c r="AH255" s="6">
        <v>500</v>
      </c>
      <c r="AI255" s="6"/>
      <c r="AJ255" s="6">
        <v>500</v>
      </c>
      <c r="AK255" s="6">
        <v>500</v>
      </c>
      <c r="AL255" s="7">
        <f t="shared" si="158"/>
        <v>2500</v>
      </c>
      <c r="AM255" s="11">
        <f t="shared" si="122"/>
        <v>49000</v>
      </c>
      <c r="AN255" s="25"/>
      <c r="AO255" s="10" t="str">
        <f t="shared" si="123"/>
        <v>MarçoSEMANA 4Saco para Talher</v>
      </c>
      <c r="AP255" s="7">
        <f>SUMIF(NF!$A:$A,$AO255,NF!$I:$I)</f>
        <v>0</v>
      </c>
      <c r="AQ255" s="6">
        <v>5000</v>
      </c>
      <c r="AR255" s="6"/>
      <c r="AS255" s="6">
        <v>500</v>
      </c>
      <c r="AT255" s="6">
        <v>500</v>
      </c>
      <c r="AU255" s="6">
        <v>500</v>
      </c>
      <c r="AV255" s="6">
        <v>500</v>
      </c>
      <c r="AW255" s="6">
        <v>500</v>
      </c>
      <c r="AX255" s="7">
        <f t="shared" si="159"/>
        <v>7500</v>
      </c>
      <c r="AY255" s="11">
        <f t="shared" si="125"/>
        <v>41500</v>
      </c>
      <c r="AZ255" s="25"/>
      <c r="BA255" s="10" t="str">
        <f t="shared" si="126"/>
        <v>MarçoSEMANA 5Saco para Talher</v>
      </c>
      <c r="BB255" s="7">
        <f>SUMIF(NF!$A:$A,$BA255,NF!$I:$I)</f>
        <v>0</v>
      </c>
      <c r="BC255" s="6">
        <v>500</v>
      </c>
      <c r="BD255" s="6"/>
      <c r="BE255" s="6">
        <v>500</v>
      </c>
      <c r="BF255" s="6"/>
      <c r="BG255" s="6">
        <v>500</v>
      </c>
      <c r="BH255" s="6">
        <v>500</v>
      </c>
      <c r="BI255" s="74"/>
      <c r="BJ255" s="74"/>
      <c r="BK255" s="7">
        <f t="shared" si="160"/>
        <v>2000</v>
      </c>
      <c r="BL255" s="8">
        <f t="shared" si="128"/>
        <v>39500</v>
      </c>
      <c r="BM255" s="51" t="str">
        <f>IFERROR(VLOOKUP(A255,NF!$M:$O,3,0),"")</f>
        <v>Descartável</v>
      </c>
      <c r="BN255" s="7">
        <f t="shared" si="129"/>
        <v>16000</v>
      </c>
      <c r="BO255" s="8">
        <f t="array" ref="BO255">IFERROR(LARGE(IF(NF!$G$2:$G$3137='Mês atual'!A255,NF!$J$2:$J$3137),1),0)*BN255</f>
        <v>0</v>
      </c>
      <c r="BP255" s="50"/>
      <c r="BR255" s="146">
        <f t="array" ref="BR255">IFERROR(LARGE(IF(NF!$G$2:$G$3137='Mês atual'!A255,NF!$J$2:$J$3137),1),0)</f>
        <v>0</v>
      </c>
      <c r="BS255" s="142" t="str">
        <f>VLOOKUP(A255,NF!M:O,3,0)</f>
        <v>Descartável</v>
      </c>
      <c r="BV255" s="74">
        <f t="shared" si="130"/>
        <v>1500</v>
      </c>
      <c r="BW255" s="74">
        <f t="shared" si="131"/>
        <v>2500</v>
      </c>
      <c r="BX255" s="74">
        <f t="shared" si="132"/>
        <v>2500</v>
      </c>
      <c r="BY255" s="74">
        <f t="shared" si="133"/>
        <v>7500</v>
      </c>
      <c r="BZ255" s="74">
        <f t="shared" si="134"/>
        <v>2000</v>
      </c>
    </row>
    <row r="256" spans="1:78" x14ac:dyDescent="0.25">
      <c r="A256" s="108" t="s">
        <v>718</v>
      </c>
      <c r="B256" s="12"/>
      <c r="C256" s="9">
        <v>3</v>
      </c>
      <c r="D256" s="25"/>
      <c r="E256" s="10" t="str">
        <f t="shared" si="114"/>
        <v>MarçoSEMANA 1Saco Plástico 50x70</v>
      </c>
      <c r="F256" s="7">
        <f>SUMIF(NF!$A:$A,$E256,NF!$I:$I)</f>
        <v>0</v>
      </c>
      <c r="G256" s="74"/>
      <c r="H256" s="74"/>
      <c r="I256" s="74"/>
      <c r="J256" s="6"/>
      <c r="K256" s="6"/>
      <c r="L256" s="6"/>
      <c r="M256" s="6"/>
      <c r="N256" s="7">
        <f t="shared" si="156"/>
        <v>0</v>
      </c>
      <c r="O256" s="11">
        <f t="shared" si="116"/>
        <v>3</v>
      </c>
      <c r="P256" s="25"/>
      <c r="Q256" s="10" t="str">
        <f t="shared" si="117"/>
        <v>MarçoSEMANA 2Saco Plástico 50x70</v>
      </c>
      <c r="R256" s="7">
        <f>SUMIF(NF!$A:$A,$Q256,NF!$I:$I)</f>
        <v>1</v>
      </c>
      <c r="S256" s="6">
        <v>1</v>
      </c>
      <c r="T256" s="6"/>
      <c r="U256" s="6"/>
      <c r="V256" s="6"/>
      <c r="W256" s="6"/>
      <c r="X256" s="6"/>
      <c r="Y256" s="6"/>
      <c r="Z256" s="7">
        <f t="shared" si="157"/>
        <v>1</v>
      </c>
      <c r="AA256" s="11">
        <f t="shared" si="119"/>
        <v>3</v>
      </c>
      <c r="AB256" s="25"/>
      <c r="AC256" s="10" t="str">
        <f t="shared" si="120"/>
        <v>MarçoSEMANA 3Saco Plástico 50x70</v>
      </c>
      <c r="AD256" s="7">
        <f>SUMIF(NF!$A:$A,$AC256,NF!$I:$I)</f>
        <v>0</v>
      </c>
      <c r="AE256" s="6"/>
      <c r="AF256" s="6"/>
      <c r="AG256" s="6">
        <v>1</v>
      </c>
      <c r="AH256" s="6"/>
      <c r="AI256" s="6"/>
      <c r="AJ256" s="6"/>
      <c r="AK256" s="6"/>
      <c r="AL256" s="7">
        <f t="shared" si="158"/>
        <v>1</v>
      </c>
      <c r="AM256" s="11">
        <f t="shared" si="122"/>
        <v>2</v>
      </c>
      <c r="AN256" s="25"/>
      <c r="AO256" s="10" t="str">
        <f t="shared" si="123"/>
        <v>MarçoSEMANA 4Saco Plástico 50x70</v>
      </c>
      <c r="AP256" s="7">
        <f>SUMIF(NF!$A:$A,$AO256,NF!$I:$I)</f>
        <v>0</v>
      </c>
      <c r="AQ256" s="6"/>
      <c r="AR256" s="6"/>
      <c r="AS256" s="6"/>
      <c r="AT256" s="6">
        <v>1</v>
      </c>
      <c r="AU256" s="6"/>
      <c r="AV256" s="6"/>
      <c r="AW256" s="6"/>
      <c r="AX256" s="7">
        <f t="shared" si="159"/>
        <v>1</v>
      </c>
      <c r="AY256" s="11">
        <f t="shared" si="125"/>
        <v>1</v>
      </c>
      <c r="AZ256" s="25"/>
      <c r="BA256" s="10" t="str">
        <f t="shared" si="126"/>
        <v>MarçoSEMANA 5Saco Plástico 50x70</v>
      </c>
      <c r="BB256" s="7">
        <f>SUMIF(NF!$A:$A,$BA256,NF!$I:$I)</f>
        <v>2</v>
      </c>
      <c r="BC256" s="6"/>
      <c r="BD256" s="6"/>
      <c r="BE256" s="6"/>
      <c r="BF256" s="6"/>
      <c r="BG256" s="6"/>
      <c r="BH256" s="6">
        <v>1</v>
      </c>
      <c r="BI256" s="74"/>
      <c r="BJ256" s="74"/>
      <c r="BK256" s="7">
        <f t="shared" si="160"/>
        <v>1</v>
      </c>
      <c r="BL256" s="8">
        <f t="shared" si="128"/>
        <v>2</v>
      </c>
      <c r="BM256" s="51" t="str">
        <f>IFERROR(VLOOKUP(A256,NF!$M:$O,3,0),"")</f>
        <v>Descartável</v>
      </c>
      <c r="BN256" s="7">
        <f t="shared" si="129"/>
        <v>4</v>
      </c>
      <c r="BO256" s="8">
        <f t="array" ref="BO256">IFERROR(LARGE(IF(NF!$G$2:$G$3137='Mês atual'!A256,NF!$J$2:$J$3137),1),0)*BN256</f>
        <v>197.44</v>
      </c>
      <c r="BP256" s="50"/>
      <c r="BR256" s="146">
        <f t="array" ref="BR256">IFERROR(LARGE(IF(NF!$G$2:$G$3137='Mês atual'!A256,NF!$J$2:$J$3137),1),0)</f>
        <v>49.36</v>
      </c>
      <c r="BS256" s="142" t="str">
        <f>VLOOKUP(A256,NF!M:O,3,0)</f>
        <v>Descartável</v>
      </c>
      <c r="BV256" s="74">
        <f t="shared" si="130"/>
        <v>0</v>
      </c>
      <c r="BW256" s="74">
        <f t="shared" si="131"/>
        <v>1</v>
      </c>
      <c r="BX256" s="74">
        <f t="shared" si="132"/>
        <v>1</v>
      </c>
      <c r="BY256" s="74">
        <f t="shared" si="133"/>
        <v>1</v>
      </c>
      <c r="BZ256" s="74">
        <f t="shared" si="134"/>
        <v>1</v>
      </c>
    </row>
    <row r="257" spans="1:78" x14ac:dyDescent="0.2">
      <c r="A257" s="108" t="s">
        <v>719</v>
      </c>
      <c r="B257" s="12"/>
      <c r="C257" s="9">
        <f>2*100</f>
        <v>200</v>
      </c>
      <c r="D257" s="25"/>
      <c r="E257" s="10" t="str">
        <f t="shared" si="114"/>
        <v>MarçoSEMANA 1Sacola Camiseta Branca Doce</v>
      </c>
      <c r="F257" s="7">
        <f>SUMIF(NF!$A:$A,$E257,NF!$I:$I)</f>
        <v>0</v>
      </c>
      <c r="G257" s="74"/>
      <c r="H257" s="74"/>
      <c r="I257" s="74"/>
      <c r="J257" s="6"/>
      <c r="K257" s="6"/>
      <c r="L257" s="6"/>
      <c r="M257" s="6"/>
      <c r="N257" s="7">
        <f t="shared" si="156"/>
        <v>0</v>
      </c>
      <c r="O257" s="11">
        <f t="shared" si="116"/>
        <v>200</v>
      </c>
      <c r="P257" s="25"/>
      <c r="Q257" s="10" t="str">
        <f t="shared" si="117"/>
        <v>MarçoSEMANA 2Sacola Camiseta Branca Doce</v>
      </c>
      <c r="R257" s="7">
        <f>SUMIF(NF!$A:$A,$Q257,NF!$I:$I)</f>
        <v>0</v>
      </c>
      <c r="S257" s="6"/>
      <c r="T257" s="6"/>
      <c r="U257" s="6"/>
      <c r="V257" s="6"/>
      <c r="W257" s="6"/>
      <c r="X257" s="6"/>
      <c r="Y257" s="6">
        <v>100</v>
      </c>
      <c r="Z257" s="7">
        <f t="shared" si="157"/>
        <v>100</v>
      </c>
      <c r="AA257" s="11">
        <f t="shared" si="119"/>
        <v>100</v>
      </c>
      <c r="AB257" s="25"/>
      <c r="AC257" s="10" t="str">
        <f t="shared" si="120"/>
        <v>MarçoSEMANA 3Sacola Camiseta Branca Doce</v>
      </c>
      <c r="AD257" s="7">
        <f>SUMIF(NF!$A:$A,$AC257,NF!$I:$I)</f>
        <v>1000</v>
      </c>
      <c r="AE257" s="6"/>
      <c r="AF257" s="6"/>
      <c r="AG257" s="6"/>
      <c r="AH257" s="6"/>
      <c r="AI257" s="6"/>
      <c r="AJ257" s="6"/>
      <c r="AK257" s="6"/>
      <c r="AL257" s="7">
        <f t="shared" si="158"/>
        <v>0</v>
      </c>
      <c r="AM257" s="11">
        <f t="shared" si="122"/>
        <v>1100</v>
      </c>
      <c r="AN257" s="25"/>
      <c r="AO257" s="10" t="str">
        <f t="shared" si="123"/>
        <v>MarçoSEMANA 4Sacola Camiseta Branca Doce</v>
      </c>
      <c r="AP257" s="7">
        <f>SUMIF(NF!$A:$A,$AO257,NF!$I:$I)</f>
        <v>0</v>
      </c>
      <c r="AQ257" s="6"/>
      <c r="AR257" s="6"/>
      <c r="AS257" s="6"/>
      <c r="AT257" s="6"/>
      <c r="AU257" s="6"/>
      <c r="AV257" s="6"/>
      <c r="AW257" s="6"/>
      <c r="AX257" s="7">
        <f t="shared" si="159"/>
        <v>0</v>
      </c>
      <c r="AY257" s="11">
        <f t="shared" si="125"/>
        <v>1100</v>
      </c>
      <c r="AZ257" s="25"/>
      <c r="BA257" s="10" t="str">
        <f t="shared" si="126"/>
        <v>MarçoSEMANA 5Sacola Camiseta Branca Doce</v>
      </c>
      <c r="BB257" s="7">
        <f>SUMIF(NF!$A:$A,$BA257,NF!$I:$I)</f>
        <v>0</v>
      </c>
      <c r="BC257" s="6"/>
      <c r="BD257" s="6"/>
      <c r="BE257" s="6"/>
      <c r="BF257" s="6"/>
      <c r="BG257" s="6"/>
      <c r="BH257" s="6"/>
      <c r="BI257" s="74"/>
      <c r="BJ257" s="74"/>
      <c r="BK257" s="7">
        <f t="shared" si="160"/>
        <v>0</v>
      </c>
      <c r="BL257" s="8">
        <f t="shared" si="128"/>
        <v>1100</v>
      </c>
      <c r="BM257" s="51" t="str">
        <f>IFERROR(VLOOKUP(A257,NF!$M:$O,3,0),"")</f>
        <v>Descartável</v>
      </c>
      <c r="BN257" s="7">
        <f t="shared" si="129"/>
        <v>100</v>
      </c>
      <c r="BO257" s="8">
        <f t="array" ref="BO257">IFERROR(LARGE(IF(NF!$G$2:$G$3137='Mês atual'!A257,NF!$J$2:$J$3137),1),0)*BN257</f>
        <v>1.9649999999999996</v>
      </c>
      <c r="BP257" s="50"/>
      <c r="BR257" s="146">
        <f t="array" ref="BR257">IFERROR(LARGE(IF(NF!$G$2:$G$3137='Mês atual'!A257,NF!$J$2:$J$3137),1),0)</f>
        <v>1.9649999999999997E-2</v>
      </c>
      <c r="BS257" s="142" t="str">
        <f>VLOOKUP(A257,NF!M:O,3,0)</f>
        <v>Descartável</v>
      </c>
      <c r="BV257" s="74">
        <f t="shared" si="130"/>
        <v>0</v>
      </c>
      <c r="BW257" s="74">
        <f t="shared" si="131"/>
        <v>100</v>
      </c>
      <c r="BX257" s="74">
        <f t="shared" si="132"/>
        <v>0</v>
      </c>
      <c r="BY257" s="74">
        <f t="shared" si="133"/>
        <v>0</v>
      </c>
      <c r="BZ257" s="74">
        <f t="shared" si="134"/>
        <v>0</v>
      </c>
    </row>
    <row r="258" spans="1:78" x14ac:dyDescent="0.2">
      <c r="A258" s="108" t="s">
        <v>720</v>
      </c>
      <c r="B258" s="12"/>
      <c r="C258" s="9">
        <f>1*100</f>
        <v>100</v>
      </c>
      <c r="D258" s="25"/>
      <c r="E258" s="10" t="str">
        <f t="shared" si="114"/>
        <v>MarçoSEMANA 1Sacola Camiseta Branca Sobremesa</v>
      </c>
      <c r="F258" s="7">
        <f>SUMIF(NF!$A:$A,$E258,NF!$I:$I)</f>
        <v>0</v>
      </c>
      <c r="G258" s="74"/>
      <c r="H258" s="74"/>
      <c r="I258" s="74"/>
      <c r="J258" s="6"/>
      <c r="K258" s="6"/>
      <c r="L258" s="6"/>
      <c r="M258" s="6"/>
      <c r="N258" s="7">
        <f t="shared" si="156"/>
        <v>0</v>
      </c>
      <c r="O258" s="11">
        <f t="shared" si="116"/>
        <v>100</v>
      </c>
      <c r="P258" s="25"/>
      <c r="Q258" s="10" t="str">
        <f t="shared" si="117"/>
        <v>MarçoSEMANA 2Sacola Camiseta Branca Sobremesa</v>
      </c>
      <c r="R258" s="7">
        <f>SUMIF(NF!$A:$A,$Q258,NF!$I:$I)</f>
        <v>0</v>
      </c>
      <c r="S258" s="6"/>
      <c r="T258" s="6">
        <v>100</v>
      </c>
      <c r="U258" s="6"/>
      <c r="V258" s="6"/>
      <c r="W258" s="6"/>
      <c r="X258" s="6"/>
      <c r="Y258" s="6"/>
      <c r="Z258" s="7">
        <f t="shared" si="157"/>
        <v>100</v>
      </c>
      <c r="AA258" s="11">
        <f t="shared" si="119"/>
        <v>0</v>
      </c>
      <c r="AB258" s="25"/>
      <c r="AC258" s="10" t="str">
        <f t="shared" si="120"/>
        <v>MarçoSEMANA 3Sacola Camiseta Branca Sobremesa</v>
      </c>
      <c r="AD258" s="7">
        <f>SUMIF(NF!$A:$A,$AC258,NF!$I:$I)</f>
        <v>359</v>
      </c>
      <c r="AE258" s="6"/>
      <c r="AF258" s="6"/>
      <c r="AG258" s="6"/>
      <c r="AH258" s="6"/>
      <c r="AI258" s="6">
        <v>59</v>
      </c>
      <c r="AJ258" s="6"/>
      <c r="AK258" s="6"/>
      <c r="AL258" s="7">
        <f t="shared" si="158"/>
        <v>59</v>
      </c>
      <c r="AM258" s="11">
        <f t="shared" si="122"/>
        <v>300</v>
      </c>
      <c r="AN258" s="25"/>
      <c r="AO258" s="10" t="str">
        <f t="shared" si="123"/>
        <v>MarçoSEMANA 4Sacola Camiseta Branca Sobremesa</v>
      </c>
      <c r="AP258" s="7">
        <f>SUMIF(NF!$A:$A,$AO258,NF!$I:$I)</f>
        <v>0</v>
      </c>
      <c r="AQ258" s="6"/>
      <c r="AR258" s="6"/>
      <c r="AS258" s="6"/>
      <c r="AT258" s="6"/>
      <c r="AU258" s="6"/>
      <c r="AV258" s="6"/>
      <c r="AW258" s="6"/>
      <c r="AX258" s="7">
        <f t="shared" si="159"/>
        <v>0</v>
      </c>
      <c r="AY258" s="11">
        <f t="shared" si="125"/>
        <v>300</v>
      </c>
      <c r="AZ258" s="25"/>
      <c r="BA258" s="10" t="str">
        <f t="shared" si="126"/>
        <v>MarçoSEMANA 5Sacola Camiseta Branca Sobremesa</v>
      </c>
      <c r="BB258" s="7">
        <f>SUMIF(NF!$A:$A,$BA258,NF!$I:$I)</f>
        <v>0</v>
      </c>
      <c r="BC258" s="6"/>
      <c r="BD258" s="6"/>
      <c r="BE258" s="6"/>
      <c r="BF258" s="6">
        <v>50</v>
      </c>
      <c r="BG258" s="6"/>
      <c r="BH258" s="6"/>
      <c r="BI258" s="74"/>
      <c r="BJ258" s="74"/>
      <c r="BK258" s="7">
        <f t="shared" si="160"/>
        <v>50</v>
      </c>
      <c r="BL258" s="8">
        <f t="shared" si="128"/>
        <v>250</v>
      </c>
      <c r="BM258" s="51" t="str">
        <f>IFERROR(VLOOKUP(A258,NF!$M:$O,3,0),"")</f>
        <v>Descartável</v>
      </c>
      <c r="BN258" s="7">
        <f t="shared" si="129"/>
        <v>209</v>
      </c>
      <c r="BO258" s="8">
        <f t="array" ref="BO258">IFERROR(LARGE(IF(NF!$G$2:$G$3137='Mês atual'!A258,NF!$J$2:$J$3137),1),0)*BN258</f>
        <v>15.602228412256268</v>
      </c>
      <c r="BP258" s="50"/>
      <c r="BR258" s="146">
        <f t="array" ref="BR258">IFERROR(LARGE(IF(NF!$G$2:$G$3137='Mês atual'!A258,NF!$J$2:$J$3137),1),0)</f>
        <v>7.465181058495822E-2</v>
      </c>
      <c r="BS258" s="142" t="str">
        <f>VLOOKUP(A258,NF!M:O,3,0)</f>
        <v>Descartável</v>
      </c>
      <c r="BV258" s="74">
        <f t="shared" si="130"/>
        <v>0</v>
      </c>
      <c r="BW258" s="74">
        <f t="shared" si="131"/>
        <v>100</v>
      </c>
      <c r="BX258" s="74">
        <f t="shared" si="132"/>
        <v>59</v>
      </c>
      <c r="BY258" s="74">
        <f t="shared" si="133"/>
        <v>0</v>
      </c>
      <c r="BZ258" s="74">
        <f t="shared" si="134"/>
        <v>50</v>
      </c>
    </row>
    <row r="259" spans="1:78" x14ac:dyDescent="0.2">
      <c r="A259" s="108" t="s">
        <v>721</v>
      </c>
      <c r="B259" s="12"/>
      <c r="C259" s="9">
        <v>3200</v>
      </c>
      <c r="D259" s="25"/>
      <c r="E259" s="10" t="str">
        <f t="shared" si="114"/>
        <v>MarçoSEMANA 1Sacola Delivery</v>
      </c>
      <c r="F259" s="7">
        <f>SUMIF(NF!$A:$A,$E259,NF!$I:$I)</f>
        <v>0</v>
      </c>
      <c r="G259" s="74"/>
      <c r="H259" s="74"/>
      <c r="I259" s="74"/>
      <c r="J259" s="6"/>
      <c r="K259" s="6"/>
      <c r="L259" s="6">
        <v>100</v>
      </c>
      <c r="M259" s="6"/>
      <c r="N259" s="7">
        <f t="shared" si="156"/>
        <v>100</v>
      </c>
      <c r="O259" s="11">
        <f t="shared" si="116"/>
        <v>3100</v>
      </c>
      <c r="P259" s="25"/>
      <c r="Q259" s="10" t="str">
        <f t="shared" si="117"/>
        <v>MarçoSEMANA 2Sacola Delivery</v>
      </c>
      <c r="R259" s="7">
        <f>SUMIF(NF!$A:$A,$Q259,NF!$I:$I)</f>
        <v>0</v>
      </c>
      <c r="S259" s="6"/>
      <c r="T259" s="6"/>
      <c r="U259" s="6">
        <v>100</v>
      </c>
      <c r="V259" s="6"/>
      <c r="W259" s="6"/>
      <c r="X259" s="6"/>
      <c r="Y259" s="6"/>
      <c r="Z259" s="7">
        <f t="shared" si="157"/>
        <v>100</v>
      </c>
      <c r="AA259" s="11">
        <f t="shared" si="119"/>
        <v>3000</v>
      </c>
      <c r="AB259" s="25"/>
      <c r="AC259" s="10" t="str">
        <f t="shared" si="120"/>
        <v>MarçoSEMANA 3Sacola Delivery</v>
      </c>
      <c r="AD259" s="7">
        <f>SUMIF(NF!$A:$A,$AC259,NF!$I:$I)</f>
        <v>0</v>
      </c>
      <c r="AE259" s="6"/>
      <c r="AF259" s="6"/>
      <c r="AG259" s="6"/>
      <c r="AH259" s="6">
        <v>100</v>
      </c>
      <c r="AI259" s="6"/>
      <c r="AJ259" s="6"/>
      <c r="AK259" s="6"/>
      <c r="AL259" s="7">
        <f t="shared" si="158"/>
        <v>100</v>
      </c>
      <c r="AM259" s="11">
        <f t="shared" si="122"/>
        <v>2900</v>
      </c>
      <c r="AN259" s="25"/>
      <c r="AO259" s="10" t="str">
        <f t="shared" si="123"/>
        <v>MarçoSEMANA 4Sacola Delivery</v>
      </c>
      <c r="AP259" s="7">
        <f>SUMIF(NF!$A:$A,$AO259,NF!$I:$I)</f>
        <v>0</v>
      </c>
      <c r="AQ259" s="6"/>
      <c r="AR259" s="6"/>
      <c r="AS259" s="6"/>
      <c r="AT259" s="6"/>
      <c r="AU259" s="6"/>
      <c r="AV259" s="6">
        <v>100</v>
      </c>
      <c r="AW259" s="6"/>
      <c r="AX259" s="7">
        <f t="shared" si="159"/>
        <v>100</v>
      </c>
      <c r="AY259" s="11">
        <f t="shared" si="125"/>
        <v>2800</v>
      </c>
      <c r="AZ259" s="25"/>
      <c r="BA259" s="10" t="str">
        <f t="shared" si="126"/>
        <v>MarçoSEMANA 5Sacola Delivery</v>
      </c>
      <c r="BB259" s="7">
        <f>SUMIF(NF!$A:$A,$BA259,NF!$I:$I)</f>
        <v>0</v>
      </c>
      <c r="BC259" s="6"/>
      <c r="BD259" s="6">
        <v>100</v>
      </c>
      <c r="BE259" s="6"/>
      <c r="BF259" s="6"/>
      <c r="BG259" s="6"/>
      <c r="BH259" s="6"/>
      <c r="BI259" s="74"/>
      <c r="BJ259" s="74"/>
      <c r="BK259" s="7">
        <f t="shared" si="160"/>
        <v>100</v>
      </c>
      <c r="BL259" s="8">
        <f t="shared" si="128"/>
        <v>2700</v>
      </c>
      <c r="BM259" s="51" t="str">
        <f>IFERROR(VLOOKUP(A259,NF!$M:$O,3,0),"")</f>
        <v>Descartável</v>
      </c>
      <c r="BN259" s="7">
        <f t="shared" si="129"/>
        <v>500</v>
      </c>
      <c r="BO259" s="8">
        <f t="array" ref="BO259">IFERROR(LARGE(IF(NF!$G$2:$G$3137='Mês atual'!A259,NF!$J$2:$J$3137),1),0)*BN259</f>
        <v>0</v>
      </c>
      <c r="BP259" s="50"/>
      <c r="BR259" s="146">
        <f t="array" ref="BR259">IFERROR(LARGE(IF(NF!$G$2:$G$3137='Mês atual'!A259,NF!$J$2:$J$3137),1),0)</f>
        <v>0</v>
      </c>
      <c r="BS259" s="142" t="str">
        <f>VLOOKUP(A259,NF!M:O,3,0)</f>
        <v>Descartável</v>
      </c>
      <c r="BV259" s="74">
        <f t="shared" si="130"/>
        <v>100</v>
      </c>
      <c r="BW259" s="74">
        <f t="shared" si="131"/>
        <v>100</v>
      </c>
      <c r="BX259" s="74">
        <f t="shared" si="132"/>
        <v>100</v>
      </c>
      <c r="BY259" s="74">
        <f t="shared" si="133"/>
        <v>100</v>
      </c>
      <c r="BZ259" s="74">
        <f t="shared" si="134"/>
        <v>100</v>
      </c>
    </row>
    <row r="260" spans="1:78" x14ac:dyDescent="0.2">
      <c r="A260" s="108" t="s">
        <v>749</v>
      </c>
      <c r="B260" s="12"/>
      <c r="C260" s="9">
        <v>0</v>
      </c>
      <c r="D260" s="25"/>
      <c r="E260" s="10" t="str">
        <f t="shared" si="114"/>
        <v>MarçoSEMANA 1Spray Y/Pulveriz 32 OZ</v>
      </c>
      <c r="F260" s="7">
        <f>SUMIF(NF!$A:$A,$E260,NF!$I:$I)</f>
        <v>0</v>
      </c>
      <c r="G260" s="74"/>
      <c r="H260" s="74"/>
      <c r="I260" s="74"/>
      <c r="J260" s="6"/>
      <c r="K260" s="6"/>
      <c r="L260" s="6"/>
      <c r="M260" s="6"/>
      <c r="N260" s="7">
        <f t="shared" si="156"/>
        <v>0</v>
      </c>
      <c r="O260" s="11">
        <f t="shared" si="116"/>
        <v>0</v>
      </c>
      <c r="P260" s="25"/>
      <c r="Q260" s="10" t="str">
        <f t="shared" si="117"/>
        <v>MarçoSEMANA 2Spray Y/Pulveriz 32 OZ</v>
      </c>
      <c r="R260" s="7">
        <f>SUMIF(NF!$A:$A,$Q260,NF!$I:$I)</f>
        <v>0</v>
      </c>
      <c r="S260" s="6"/>
      <c r="T260" s="6"/>
      <c r="U260" s="6"/>
      <c r="V260" s="6"/>
      <c r="W260" s="6"/>
      <c r="X260" s="6"/>
      <c r="Y260" s="6"/>
      <c r="Z260" s="7">
        <f t="shared" si="157"/>
        <v>0</v>
      </c>
      <c r="AA260" s="11">
        <f t="shared" si="119"/>
        <v>0</v>
      </c>
      <c r="AB260" s="25"/>
      <c r="AC260" s="10" t="str">
        <f t="shared" si="120"/>
        <v>MarçoSEMANA 3Spray Y/Pulveriz 32 OZ</v>
      </c>
      <c r="AD260" s="7">
        <f>SUMIF(NF!$A:$A,$AC260,NF!$I:$I)</f>
        <v>0</v>
      </c>
      <c r="AE260" s="6"/>
      <c r="AF260" s="6"/>
      <c r="AG260" s="6"/>
      <c r="AH260" s="6"/>
      <c r="AI260" s="6"/>
      <c r="AJ260" s="6"/>
      <c r="AK260" s="6"/>
      <c r="AL260" s="7">
        <f t="shared" si="158"/>
        <v>0</v>
      </c>
      <c r="AM260" s="11">
        <f t="shared" si="122"/>
        <v>0</v>
      </c>
      <c r="AN260" s="25"/>
      <c r="AO260" s="10" t="str">
        <f t="shared" si="123"/>
        <v>MarçoSEMANA 4Spray Y/Pulveriz 32 OZ</v>
      </c>
      <c r="AP260" s="7">
        <f>SUMIF(NF!$A:$A,$AO260,NF!$I:$I)</f>
        <v>0</v>
      </c>
      <c r="AQ260" s="6"/>
      <c r="AR260" s="6"/>
      <c r="AS260" s="6"/>
      <c r="AT260" s="6"/>
      <c r="AU260" s="6"/>
      <c r="AV260" s="6"/>
      <c r="AW260" s="6"/>
      <c r="AX260" s="7">
        <f t="shared" si="159"/>
        <v>0</v>
      </c>
      <c r="AY260" s="11">
        <f t="shared" si="125"/>
        <v>0</v>
      </c>
      <c r="AZ260" s="25"/>
      <c r="BA260" s="10" t="str">
        <f t="shared" si="126"/>
        <v>MarçoSEMANA 5Spray Y/Pulveriz 32 OZ</v>
      </c>
      <c r="BB260" s="7">
        <f>SUMIF(NF!$A:$A,$BA260,NF!$I:$I)</f>
        <v>0</v>
      </c>
      <c r="BC260" s="6"/>
      <c r="BD260" s="6"/>
      <c r="BE260" s="6"/>
      <c r="BF260" s="6"/>
      <c r="BG260" s="6"/>
      <c r="BH260" s="6"/>
      <c r="BI260" s="74"/>
      <c r="BJ260" s="74"/>
      <c r="BK260" s="7">
        <f t="shared" si="160"/>
        <v>0</v>
      </c>
      <c r="BL260" s="8">
        <f t="shared" si="128"/>
        <v>0</v>
      </c>
      <c r="BM260" s="51" t="str">
        <f>IFERROR(VLOOKUP(A260,NF!$M:$O,3,0),"")</f>
        <v>Descartável</v>
      </c>
      <c r="BN260" s="7">
        <f t="shared" si="129"/>
        <v>0</v>
      </c>
      <c r="BO260" s="8">
        <f t="array" ref="BO260">IFERROR(LARGE(IF(NF!$G$2:$G$3137='Mês atual'!A260,NF!$J$2:$J$3137),1),0)*BN260</f>
        <v>0</v>
      </c>
      <c r="BP260" s="50"/>
      <c r="BR260" s="146">
        <f t="array" ref="BR260">IFERROR(LARGE(IF(NF!$G$2:$G$3137='Mês atual'!A260,NF!$J$2:$J$3137),1),0)</f>
        <v>0</v>
      </c>
      <c r="BS260" s="142" t="str">
        <f>VLOOKUP(A260,NF!M:O,3,0)</f>
        <v>Descartável</v>
      </c>
      <c r="BV260" s="74">
        <f t="shared" si="130"/>
        <v>0</v>
      </c>
      <c r="BW260" s="74">
        <f t="shared" si="131"/>
        <v>0</v>
      </c>
      <c r="BX260" s="74">
        <f t="shared" si="132"/>
        <v>0</v>
      </c>
      <c r="BY260" s="74">
        <f t="shared" si="133"/>
        <v>0</v>
      </c>
      <c r="BZ260" s="74">
        <f t="shared" si="134"/>
        <v>0</v>
      </c>
    </row>
    <row r="261" spans="1:78" x14ac:dyDescent="0.2">
      <c r="A261" s="108" t="s">
        <v>776</v>
      </c>
      <c r="B261" s="12"/>
      <c r="C261" s="9">
        <v>23</v>
      </c>
      <c r="D261" s="25"/>
      <c r="E261" s="10" t="str">
        <f t="shared" si="114"/>
        <v>MarçoSEMANA 1T.P. Interfolhado Melpaper</v>
      </c>
      <c r="F261" s="7">
        <f>SUMIF(NF!$A:$A,$E261,NF!$I:$I)</f>
        <v>0</v>
      </c>
      <c r="G261" s="74"/>
      <c r="H261" s="74"/>
      <c r="I261" s="74"/>
      <c r="J261" s="6"/>
      <c r="K261" s="6">
        <v>1</v>
      </c>
      <c r="L261" s="6">
        <v>1</v>
      </c>
      <c r="M261" s="6">
        <v>2</v>
      </c>
      <c r="N261" s="7">
        <f t="shared" si="156"/>
        <v>4</v>
      </c>
      <c r="O261" s="11">
        <f t="shared" si="116"/>
        <v>19</v>
      </c>
      <c r="P261" s="25"/>
      <c r="Q261" s="10" t="str">
        <f t="shared" si="117"/>
        <v>MarçoSEMANA 2T.P. Interfolhado Melpaper</v>
      </c>
      <c r="R261" s="7">
        <f>SUMIF(NF!$A:$A,$Q261,NF!$I:$I)</f>
        <v>45</v>
      </c>
      <c r="S261" s="6">
        <v>1</v>
      </c>
      <c r="T261" s="6">
        <v>1</v>
      </c>
      <c r="U261" s="6">
        <v>1</v>
      </c>
      <c r="V261" s="6">
        <v>2</v>
      </c>
      <c r="W261" s="6">
        <v>1</v>
      </c>
      <c r="X261" s="6">
        <v>1</v>
      </c>
      <c r="Y261" s="6"/>
      <c r="Z261" s="7">
        <f t="shared" si="157"/>
        <v>7</v>
      </c>
      <c r="AA261" s="11">
        <f t="shared" si="119"/>
        <v>57</v>
      </c>
      <c r="AB261" s="25"/>
      <c r="AC261" s="10" t="str">
        <f t="shared" si="120"/>
        <v>MarçoSEMANA 3T.P. Interfolhado Melpaper</v>
      </c>
      <c r="AD261" s="7">
        <f>SUMIF(NF!$A:$A,$AC261,NF!$I:$I)</f>
        <v>0</v>
      </c>
      <c r="AE261" s="6">
        <v>2</v>
      </c>
      <c r="AF261" s="6">
        <v>1</v>
      </c>
      <c r="AG261" s="6">
        <v>1</v>
      </c>
      <c r="AH261" s="6">
        <v>1</v>
      </c>
      <c r="AI261" s="6">
        <v>1</v>
      </c>
      <c r="AJ261" s="6"/>
      <c r="AK261" s="6">
        <v>2</v>
      </c>
      <c r="AL261" s="7">
        <f t="shared" si="158"/>
        <v>8</v>
      </c>
      <c r="AM261" s="11">
        <f t="shared" si="122"/>
        <v>49</v>
      </c>
      <c r="AN261" s="25"/>
      <c r="AO261" s="10" t="str">
        <f t="shared" si="123"/>
        <v>MarçoSEMANA 4T.P. Interfolhado Melpaper</v>
      </c>
      <c r="AP261" s="7">
        <f>SUMIF(NF!$A:$A,$AO261,NF!$I:$I)</f>
        <v>0</v>
      </c>
      <c r="AQ261" s="6">
        <v>1</v>
      </c>
      <c r="AR261" s="6"/>
      <c r="AS261" s="6">
        <v>1</v>
      </c>
      <c r="AT261" s="6">
        <v>3</v>
      </c>
      <c r="AU261" s="6"/>
      <c r="AV261" s="6">
        <v>1</v>
      </c>
      <c r="AW261" s="6">
        <v>2</v>
      </c>
      <c r="AX261" s="7">
        <f t="shared" si="159"/>
        <v>8</v>
      </c>
      <c r="AY261" s="11">
        <f t="shared" si="125"/>
        <v>41</v>
      </c>
      <c r="AZ261" s="25"/>
      <c r="BA261" s="10" t="str">
        <f t="shared" si="126"/>
        <v>MarçoSEMANA 5T.P. Interfolhado Melpaper</v>
      </c>
      <c r="BB261" s="7">
        <f>SUMIF(NF!$A:$A,$BA261,NF!$I:$I)</f>
        <v>0</v>
      </c>
      <c r="BC261" s="6">
        <v>1</v>
      </c>
      <c r="BD261" s="6">
        <v>1</v>
      </c>
      <c r="BE261" s="6">
        <v>2</v>
      </c>
      <c r="BF261" s="6">
        <v>1</v>
      </c>
      <c r="BG261" s="6">
        <v>2</v>
      </c>
      <c r="BH261" s="6">
        <v>1</v>
      </c>
      <c r="BI261" s="74"/>
      <c r="BJ261" s="74"/>
      <c r="BK261" s="7">
        <f t="shared" si="160"/>
        <v>8</v>
      </c>
      <c r="BL261" s="8">
        <f t="shared" si="128"/>
        <v>33</v>
      </c>
      <c r="BM261" s="51" t="str">
        <f>IFERROR(VLOOKUP(A261,NF!$M:$O,3,0),"")</f>
        <v>Descartável</v>
      </c>
      <c r="BN261" s="7">
        <f t="shared" si="129"/>
        <v>35</v>
      </c>
      <c r="BO261" s="8">
        <f t="array" ref="BO261">IFERROR(LARGE(IF(NF!$G$2:$G$3137='Mês atual'!A261,NF!$J$2:$J$3137),1),0)*BN261</f>
        <v>392.17111111111114</v>
      </c>
      <c r="BP261" s="50"/>
      <c r="BR261" s="146">
        <f t="array" ref="BR261">IFERROR(LARGE(IF(NF!$G$2:$G$3137='Mês atual'!A261,NF!$J$2:$J$3137),1),0)</f>
        <v>11.20488888888889</v>
      </c>
      <c r="BS261" s="142" t="str">
        <f>VLOOKUP(A261,NF!M:O,3,0)</f>
        <v>Descartável</v>
      </c>
      <c r="BV261" s="74">
        <f t="shared" si="130"/>
        <v>4</v>
      </c>
      <c r="BW261" s="74">
        <f t="shared" si="131"/>
        <v>7</v>
      </c>
      <c r="BX261" s="74">
        <f t="shared" si="132"/>
        <v>8</v>
      </c>
      <c r="BY261" s="74">
        <f t="shared" si="133"/>
        <v>8</v>
      </c>
      <c r="BZ261" s="74">
        <f t="shared" si="134"/>
        <v>8</v>
      </c>
    </row>
    <row r="262" spans="1:78" x14ac:dyDescent="0.2">
      <c r="A262" s="108" t="s">
        <v>1071</v>
      </c>
      <c r="B262" s="12"/>
      <c r="C262" s="9">
        <v>0</v>
      </c>
      <c r="D262" s="25"/>
      <c r="E262" s="10" t="str">
        <f t="shared" si="114"/>
        <v>MarçoSEMANA 1Tampa Isopor Opaca c/ 100</v>
      </c>
      <c r="F262" s="7">
        <f>SUMIF(NF!$A:$A,$E262,NF!$I:$I)</f>
        <v>0</v>
      </c>
      <c r="G262" s="74"/>
      <c r="H262" s="74"/>
      <c r="I262" s="74"/>
      <c r="J262" s="6"/>
      <c r="K262" s="6"/>
      <c r="L262" s="6"/>
      <c r="M262" s="6"/>
      <c r="N262" s="7">
        <f t="shared" ref="N262" si="161">SUM(G262:M262)</f>
        <v>0</v>
      </c>
      <c r="O262" s="11">
        <f t="shared" ref="O262" si="162">F262+C262-N262</f>
        <v>0</v>
      </c>
      <c r="P262" s="25"/>
      <c r="Q262" s="10" t="str">
        <f t="shared" si="117"/>
        <v>MarçoSEMANA 2Tampa Isopor Opaca c/ 100</v>
      </c>
      <c r="R262" s="7">
        <f>SUMIF(NF!$A:$A,$Q262,NF!$I:$I)</f>
        <v>0</v>
      </c>
      <c r="S262" s="6"/>
      <c r="T262" s="6"/>
      <c r="U262" s="6"/>
      <c r="V262" s="6"/>
      <c r="W262" s="6"/>
      <c r="X262" s="6"/>
      <c r="Y262" s="6"/>
      <c r="Z262" s="7">
        <f t="shared" ref="Z262" si="163">SUM(S262:Y262)</f>
        <v>0</v>
      </c>
      <c r="AA262" s="11">
        <f t="shared" ref="AA262" si="164">R262+O262-Z262</f>
        <v>0</v>
      </c>
      <c r="AB262" s="25"/>
      <c r="AC262" s="10" t="str">
        <f t="shared" si="120"/>
        <v>MarçoSEMANA 3Tampa Isopor Opaca c/ 100</v>
      </c>
      <c r="AD262" s="7">
        <f>SUMIF(NF!$A:$A,$AC262,NF!$I:$I)</f>
        <v>0</v>
      </c>
      <c r="AE262" s="6"/>
      <c r="AF262" s="6"/>
      <c r="AG262" s="6"/>
      <c r="AH262" s="6"/>
      <c r="AI262" s="6"/>
      <c r="AJ262" s="6"/>
      <c r="AK262" s="6"/>
      <c r="AL262" s="7">
        <f t="shared" ref="AL262" si="165">SUM(AE262:AK262)</f>
        <v>0</v>
      </c>
      <c r="AM262" s="11">
        <f t="shared" ref="AM262" si="166">AD262+AA262-AL262</f>
        <v>0</v>
      </c>
      <c r="AN262" s="25"/>
      <c r="AO262" s="10" t="str">
        <f t="shared" si="123"/>
        <v>MarçoSEMANA 4Tampa Isopor Opaca c/ 100</v>
      </c>
      <c r="AP262" s="7">
        <f>SUMIF(NF!$A:$A,$AO262,NF!$I:$I)</f>
        <v>0</v>
      </c>
      <c r="AQ262" s="6"/>
      <c r="AR262" s="6"/>
      <c r="AS262" s="6"/>
      <c r="AT262" s="6"/>
      <c r="AU262" s="6"/>
      <c r="AV262" s="6"/>
      <c r="AW262" s="6"/>
      <c r="AX262" s="7">
        <f t="shared" ref="AX262" si="167">SUM(AQ262:AW262)</f>
        <v>0</v>
      </c>
      <c r="AY262" s="11">
        <f t="shared" ref="AY262" si="168">AP262+AM262-AX262</f>
        <v>0</v>
      </c>
      <c r="AZ262" s="25"/>
      <c r="BA262" s="10" t="str">
        <f t="shared" si="126"/>
        <v>MarçoSEMANA 5Tampa Isopor Opaca c/ 100</v>
      </c>
      <c r="BB262" s="7">
        <f>SUMIF(NF!$A:$A,$BA262,NF!$I:$I)</f>
        <v>0</v>
      </c>
      <c r="BC262" s="6"/>
      <c r="BD262" s="6"/>
      <c r="BE262" s="6"/>
      <c r="BF262" s="6"/>
      <c r="BG262" s="6"/>
      <c r="BH262" s="6"/>
      <c r="BI262" s="74"/>
      <c r="BJ262" s="74"/>
      <c r="BK262" s="7">
        <f t="shared" ref="BK262" si="169">SUM(BC262:BJ262)</f>
        <v>0</v>
      </c>
      <c r="BL262" s="8">
        <f t="shared" ref="BL262" si="170">BB262+AY262-BK262</f>
        <v>0</v>
      </c>
      <c r="BM262" s="51" t="str">
        <f>IFERROR(VLOOKUP(A262,NF!$M:$O,3,0),"")</f>
        <v>Descartavel</v>
      </c>
      <c r="BN262" s="7">
        <f t="shared" ref="BN262" si="171">SUM(N262,Z262,AL262,AX262,BK262)</f>
        <v>0</v>
      </c>
      <c r="BO262" s="8">
        <f t="array" ref="BO262">IFERROR(LARGE(IF(NF!$G$2:$G$3137='Mês atual'!A262,NF!$J$2:$J$3137),1),0)*BN262</f>
        <v>0</v>
      </c>
      <c r="BP262" s="50"/>
      <c r="BR262" s="146">
        <f t="array" ref="BR262">IFERROR(LARGE(IF(NF!$G$2:$G$3137='Mês atual'!A262,NF!$J$2:$J$3137),1),0)</f>
        <v>0</v>
      </c>
      <c r="BS262" s="142" t="str">
        <f>VLOOKUP(A262,NF!M:O,3,0)</f>
        <v>Descartavel</v>
      </c>
      <c r="BV262" s="74">
        <f t="shared" ref="BV262" si="172">N262</f>
        <v>0</v>
      </c>
      <c r="BW262" s="74">
        <f t="shared" ref="BW262" si="173">Z262</f>
        <v>0</v>
      </c>
      <c r="BX262" s="74">
        <f t="shared" ref="BX262" si="174">AL262</f>
        <v>0</v>
      </c>
      <c r="BY262" s="74">
        <f t="shared" ref="BY262" si="175">AX262</f>
        <v>0</v>
      </c>
      <c r="BZ262" s="74">
        <f t="shared" ref="BZ262" si="176">BK262</f>
        <v>0</v>
      </c>
    </row>
    <row r="263" spans="1:78" x14ac:dyDescent="0.2">
      <c r="A263" s="108" t="s">
        <v>780</v>
      </c>
      <c r="B263" s="12"/>
      <c r="C263" s="9">
        <f>9*50</f>
        <v>450</v>
      </c>
      <c r="D263" s="25"/>
      <c r="E263" s="10" t="str">
        <f t="shared" si="114"/>
        <v>MarçoSEMANA 1Tampa para Copo 400 ml</v>
      </c>
      <c r="F263" s="7">
        <f>SUMIF(NF!$A:$A,$E263,NF!$I:$I)</f>
        <v>0</v>
      </c>
      <c r="G263" s="74"/>
      <c r="H263" s="74"/>
      <c r="I263" s="74"/>
      <c r="J263" s="6"/>
      <c r="K263" s="6"/>
      <c r="L263" s="6"/>
      <c r="M263" s="6"/>
      <c r="N263" s="7">
        <f t="shared" si="156"/>
        <v>0</v>
      </c>
      <c r="O263" s="11">
        <f t="shared" si="116"/>
        <v>450</v>
      </c>
      <c r="P263" s="25"/>
      <c r="Q263" s="10" t="str">
        <f t="shared" si="117"/>
        <v>MarçoSEMANA 2Tampa para Copo 400 ml</v>
      </c>
      <c r="R263" s="7">
        <f>SUMIF(NF!$A:$A,$Q263,NF!$I:$I)</f>
        <v>0</v>
      </c>
      <c r="S263" s="6"/>
      <c r="T263" s="6"/>
      <c r="U263" s="6"/>
      <c r="V263" s="6"/>
      <c r="W263" s="6"/>
      <c r="X263" s="6"/>
      <c r="Y263" s="6"/>
      <c r="Z263" s="7">
        <f t="shared" si="157"/>
        <v>0</v>
      </c>
      <c r="AA263" s="11">
        <f t="shared" si="119"/>
        <v>450</v>
      </c>
      <c r="AB263" s="25"/>
      <c r="AC263" s="10" t="str">
        <f t="shared" si="120"/>
        <v>MarçoSEMANA 3Tampa para Copo 400 ml</v>
      </c>
      <c r="AD263" s="7">
        <f>SUMIF(NF!$A:$A,$AC263,NF!$I:$I)</f>
        <v>0</v>
      </c>
      <c r="AE263" s="6"/>
      <c r="AF263" s="6"/>
      <c r="AG263" s="6"/>
      <c r="AH263" s="6"/>
      <c r="AI263" s="6"/>
      <c r="AJ263" s="6"/>
      <c r="AK263" s="6"/>
      <c r="AL263" s="7">
        <f t="shared" si="158"/>
        <v>0</v>
      </c>
      <c r="AM263" s="11">
        <f t="shared" si="122"/>
        <v>450</v>
      </c>
      <c r="AN263" s="25"/>
      <c r="AO263" s="10" t="str">
        <f t="shared" si="123"/>
        <v>MarçoSEMANA 4Tampa para Copo 400 ml</v>
      </c>
      <c r="AP263" s="7">
        <f>SUMIF(NF!$A:$A,$AO263,NF!$I:$I)</f>
        <v>0</v>
      </c>
      <c r="AQ263" s="6"/>
      <c r="AR263" s="6"/>
      <c r="AS263" s="6"/>
      <c r="AT263" s="6"/>
      <c r="AU263" s="6"/>
      <c r="AV263" s="6"/>
      <c r="AW263" s="6"/>
      <c r="AX263" s="7">
        <f t="shared" si="159"/>
        <v>0</v>
      </c>
      <c r="AY263" s="11">
        <f t="shared" si="125"/>
        <v>450</v>
      </c>
      <c r="AZ263" s="25"/>
      <c r="BA263" s="10" t="str">
        <f t="shared" si="126"/>
        <v>MarçoSEMANA 5Tampa para Copo 400 ml</v>
      </c>
      <c r="BB263" s="7">
        <f>SUMIF(NF!$A:$A,$BA263,NF!$I:$I)</f>
        <v>0</v>
      </c>
      <c r="BC263" s="6">
        <v>50</v>
      </c>
      <c r="BD263" s="6"/>
      <c r="BE263" s="6"/>
      <c r="BF263" s="6"/>
      <c r="BG263" s="6"/>
      <c r="BH263" s="6"/>
      <c r="BI263" s="74"/>
      <c r="BJ263" s="74"/>
      <c r="BK263" s="7">
        <f t="shared" si="160"/>
        <v>50</v>
      </c>
      <c r="BL263" s="8">
        <f t="shared" si="128"/>
        <v>400</v>
      </c>
      <c r="BM263" s="51" t="str">
        <f>IFERROR(VLOOKUP(A263,NF!$M:$O,3,0),"")</f>
        <v>Descartável</v>
      </c>
      <c r="BN263" s="7">
        <f t="shared" si="129"/>
        <v>50</v>
      </c>
      <c r="BO263" s="8">
        <f t="array" ref="BO263">IFERROR(LARGE(IF(NF!$G$2:$G$3137='Mês atual'!A263,NF!$J$2:$J$3137),1),0)*BN263</f>
        <v>0</v>
      </c>
      <c r="BP263" s="50"/>
      <c r="BR263" s="146">
        <f t="array" ref="BR263">IFERROR(LARGE(IF(NF!$G$2:$G$3137='Mês atual'!A263,NF!$J$2:$J$3137),1),0)</f>
        <v>0</v>
      </c>
      <c r="BS263" s="142" t="str">
        <f>VLOOKUP(A263,NF!M:O,3,0)</f>
        <v>Descartável</v>
      </c>
      <c r="BV263" s="74">
        <f t="shared" si="130"/>
        <v>0</v>
      </c>
      <c r="BW263" s="74">
        <f t="shared" si="131"/>
        <v>0</v>
      </c>
      <c r="BX263" s="74">
        <f t="shared" si="132"/>
        <v>0</v>
      </c>
      <c r="BY263" s="74">
        <f t="shared" si="133"/>
        <v>0</v>
      </c>
      <c r="BZ263" s="74">
        <f t="shared" si="134"/>
        <v>50</v>
      </c>
    </row>
    <row r="264" spans="1:78" x14ac:dyDescent="0.25">
      <c r="A264" s="108" t="s">
        <v>781</v>
      </c>
      <c r="B264" s="12"/>
      <c r="C264" s="9">
        <v>50</v>
      </c>
      <c r="D264" s="25"/>
      <c r="E264" s="10" t="str">
        <f t="shared" si="114"/>
        <v>MarçoSEMANA 1Tampa para Copo Feijão</v>
      </c>
      <c r="F264" s="7">
        <f>SUMIF(NF!$A:$A,$E264,NF!$I:$I)</f>
        <v>0</v>
      </c>
      <c r="G264" s="74"/>
      <c r="H264" s="74"/>
      <c r="I264" s="74"/>
      <c r="J264" s="6"/>
      <c r="K264" s="6"/>
      <c r="L264" s="6"/>
      <c r="M264" s="6"/>
      <c r="N264" s="7">
        <f t="shared" si="156"/>
        <v>0</v>
      </c>
      <c r="O264" s="11">
        <f t="shared" si="116"/>
        <v>50</v>
      </c>
      <c r="P264" s="25"/>
      <c r="Q264" s="10" t="str">
        <f t="shared" si="117"/>
        <v>MarçoSEMANA 2Tampa para Copo Feijão</v>
      </c>
      <c r="R264" s="7">
        <f>SUMIF(NF!$A:$A,$Q264,NF!$I:$I)</f>
        <v>0</v>
      </c>
      <c r="S264" s="6"/>
      <c r="T264" s="6"/>
      <c r="U264" s="6"/>
      <c r="V264" s="6"/>
      <c r="W264" s="6"/>
      <c r="X264" s="6"/>
      <c r="Y264" s="6"/>
      <c r="Z264" s="7">
        <f t="shared" si="157"/>
        <v>0</v>
      </c>
      <c r="AA264" s="11">
        <f t="shared" si="119"/>
        <v>50</v>
      </c>
      <c r="AB264" s="25"/>
      <c r="AC264" s="10" t="str">
        <f t="shared" si="120"/>
        <v>MarçoSEMANA 3Tampa para Copo Feijão</v>
      </c>
      <c r="AD264" s="7">
        <f>SUMIF(NF!$A:$A,$AC264,NF!$I:$I)</f>
        <v>0</v>
      </c>
      <c r="AE264" s="6"/>
      <c r="AF264" s="6"/>
      <c r="AG264" s="6"/>
      <c r="AH264" s="6"/>
      <c r="AI264" s="6"/>
      <c r="AJ264" s="6"/>
      <c r="AK264" s="6"/>
      <c r="AL264" s="7">
        <f t="shared" si="158"/>
        <v>0</v>
      </c>
      <c r="AM264" s="11">
        <f t="shared" si="122"/>
        <v>50</v>
      </c>
      <c r="AN264" s="25"/>
      <c r="AO264" s="10" t="str">
        <f t="shared" si="123"/>
        <v>MarçoSEMANA 4Tampa para Copo Feijão</v>
      </c>
      <c r="AP264" s="7">
        <f>SUMIF(NF!$A:$A,$AO264,NF!$I:$I)</f>
        <v>0</v>
      </c>
      <c r="AQ264" s="6"/>
      <c r="AR264" s="6"/>
      <c r="AS264" s="6"/>
      <c r="AT264" s="6"/>
      <c r="AU264" s="6"/>
      <c r="AV264" s="6"/>
      <c r="AW264" s="6"/>
      <c r="AX264" s="7">
        <f t="shared" si="159"/>
        <v>0</v>
      </c>
      <c r="AY264" s="11">
        <f t="shared" si="125"/>
        <v>50</v>
      </c>
      <c r="AZ264" s="25"/>
      <c r="BA264" s="10" t="str">
        <f t="shared" si="126"/>
        <v>MarçoSEMANA 5Tampa para Copo Feijão</v>
      </c>
      <c r="BB264" s="7">
        <f>SUMIF(NF!$A:$A,$BA264,NF!$I:$I)</f>
        <v>0</v>
      </c>
      <c r="BC264" s="6"/>
      <c r="BD264" s="6"/>
      <c r="BE264" s="6"/>
      <c r="BF264" s="6"/>
      <c r="BG264" s="6"/>
      <c r="BH264" s="6"/>
      <c r="BI264" s="74"/>
      <c r="BJ264" s="74"/>
      <c r="BK264" s="7">
        <f t="shared" si="160"/>
        <v>0</v>
      </c>
      <c r="BL264" s="8">
        <f t="shared" si="128"/>
        <v>50</v>
      </c>
      <c r="BM264" s="51" t="str">
        <f>IFERROR(VLOOKUP(A264,NF!$M:$O,3,0),"")</f>
        <v>Descartável</v>
      </c>
      <c r="BN264" s="7">
        <f t="shared" si="129"/>
        <v>0</v>
      </c>
      <c r="BO264" s="8">
        <f t="array" ref="BO264">IFERROR(LARGE(IF(NF!$G$2:$G$3137='Mês atual'!A264,NF!$J$2:$J$3137),1),0)*BN264</f>
        <v>0</v>
      </c>
      <c r="BP264" s="50"/>
      <c r="BR264" s="146">
        <f t="array" ref="BR264">IFERROR(LARGE(IF(NF!$G$2:$G$3137='Mês atual'!A264,NF!$J$2:$J$3137),1),0)</f>
        <v>0</v>
      </c>
      <c r="BS264" s="142" t="str">
        <f>VLOOKUP(A264,NF!M:O,3,0)</f>
        <v>Descartável</v>
      </c>
      <c r="BV264" s="74">
        <f t="shared" si="130"/>
        <v>0</v>
      </c>
      <c r="BW264" s="74">
        <f t="shared" si="131"/>
        <v>0</v>
      </c>
      <c r="BX264" s="74">
        <f t="shared" si="132"/>
        <v>0</v>
      </c>
      <c r="BY264" s="74">
        <f t="shared" si="133"/>
        <v>0</v>
      </c>
      <c r="BZ264" s="74">
        <f t="shared" si="134"/>
        <v>0</v>
      </c>
    </row>
    <row r="265" spans="1:78" x14ac:dyDescent="0.25">
      <c r="A265" s="108" t="s">
        <v>1056</v>
      </c>
      <c r="B265" s="12"/>
      <c r="C265" s="9">
        <v>0</v>
      </c>
      <c r="D265" s="25"/>
      <c r="E265" s="10" t="str">
        <f t="shared" si="114"/>
        <v>MarçoSEMANA 1Tampa Grande Plástica Alta cx 150 (Natal)</v>
      </c>
      <c r="F265" s="7">
        <f>SUMIF(NF!$A:$A,$E265,NF!$I:$I)</f>
        <v>0</v>
      </c>
      <c r="G265" s="74"/>
      <c r="H265" s="74"/>
      <c r="I265" s="74"/>
      <c r="J265" s="6"/>
      <c r="K265" s="6"/>
      <c r="L265" s="6"/>
      <c r="M265" s="6"/>
      <c r="N265" s="7">
        <f>SUM(G265:M265)</f>
        <v>0</v>
      </c>
      <c r="O265" s="11">
        <f>F265+C265-N265</f>
        <v>0</v>
      </c>
      <c r="P265" s="25"/>
      <c r="Q265" s="10" t="str">
        <f t="shared" si="117"/>
        <v>MarçoSEMANA 2Tampa Grande Plástica Alta cx 150 (Natal)</v>
      </c>
      <c r="R265" s="7">
        <f>SUMIF(NF!$A:$A,$Q265,NF!$I:$I)</f>
        <v>0</v>
      </c>
      <c r="S265" s="6"/>
      <c r="T265" s="6"/>
      <c r="U265" s="6"/>
      <c r="V265" s="6"/>
      <c r="W265" s="6"/>
      <c r="X265" s="6"/>
      <c r="Y265" s="6"/>
      <c r="Z265" s="7">
        <f>SUM(S265:Y265)</f>
        <v>0</v>
      </c>
      <c r="AA265" s="11">
        <f>R265+O265-Z265</f>
        <v>0</v>
      </c>
      <c r="AB265" s="25"/>
      <c r="AC265" s="10" t="str">
        <f t="shared" si="120"/>
        <v>MarçoSEMANA 3Tampa Grande Plástica Alta cx 150 (Natal)</v>
      </c>
      <c r="AD265" s="7">
        <f>SUMIF(NF!$A:$A,$AC265,NF!$I:$I)</f>
        <v>0</v>
      </c>
      <c r="AE265" s="6"/>
      <c r="AF265" s="6"/>
      <c r="AG265" s="6"/>
      <c r="AH265" s="6"/>
      <c r="AI265" s="6"/>
      <c r="AJ265" s="6"/>
      <c r="AK265" s="6"/>
      <c r="AL265" s="7">
        <f>SUM(AE265:AK265)</f>
        <v>0</v>
      </c>
      <c r="AM265" s="11">
        <f>AD265+AA265-AL265</f>
        <v>0</v>
      </c>
      <c r="AN265" s="25"/>
      <c r="AO265" s="10" t="str">
        <f t="shared" si="123"/>
        <v>MarçoSEMANA 4Tampa Grande Plástica Alta cx 150 (Natal)</v>
      </c>
      <c r="AP265" s="7">
        <f>SUMIF(NF!$A:$A,$AO265,NF!$I:$I)</f>
        <v>0</v>
      </c>
      <c r="AQ265" s="6"/>
      <c r="AR265" s="6"/>
      <c r="AS265" s="6"/>
      <c r="AT265" s="6"/>
      <c r="AU265" s="6"/>
      <c r="AV265" s="6"/>
      <c r="AW265" s="6"/>
      <c r="AX265" s="7">
        <f>SUM(AQ265:AW265)</f>
        <v>0</v>
      </c>
      <c r="AY265" s="11">
        <f>AP265+AM265-AX265</f>
        <v>0</v>
      </c>
      <c r="AZ265" s="25"/>
      <c r="BA265" s="10" t="str">
        <f t="shared" si="126"/>
        <v>MarçoSEMANA 5Tampa Grande Plástica Alta cx 150 (Natal)</v>
      </c>
      <c r="BB265" s="7">
        <f>SUMIF(NF!$A:$A,$BA265,NF!$I:$I)</f>
        <v>0</v>
      </c>
      <c r="BC265" s="6"/>
      <c r="BD265" s="6"/>
      <c r="BE265" s="6"/>
      <c r="BF265" s="6"/>
      <c r="BG265" s="6"/>
      <c r="BH265" s="6"/>
      <c r="BI265" s="74"/>
      <c r="BJ265" s="74"/>
      <c r="BK265" s="7">
        <f>SUM(BC265:BJ265)</f>
        <v>0</v>
      </c>
      <c r="BL265" s="8">
        <f>BB265+AY265-BK265</f>
        <v>0</v>
      </c>
      <c r="BM265" s="51" t="str">
        <f>IFERROR(VLOOKUP(A265,NF!$M:$O,3,0),"")</f>
        <v>Descartável</v>
      </c>
      <c r="BN265" s="7">
        <f>SUM(N265,Z265,AL265,AX265,BK265)</f>
        <v>0</v>
      </c>
      <c r="BO265" s="8">
        <f t="array" ref="BO265">IFERROR(LARGE(IF(NF!$G$2:$G$3137='Mês atual'!A265,NF!$J$2:$J$3137),1),0)*BN265</f>
        <v>0</v>
      </c>
      <c r="BP265" s="50"/>
      <c r="BR265" s="146">
        <f t="array" ref="BR265">IFERROR(LARGE(IF(NF!$G$2:$G$3137='Mês atual'!A265,NF!$J$2:$J$3137),1),0)</f>
        <v>0</v>
      </c>
      <c r="BS265" s="142" t="str">
        <f>VLOOKUP(A265,NF!M:O,3,0)</f>
        <v>Descartável</v>
      </c>
      <c r="BV265" s="74">
        <f>N265</f>
        <v>0</v>
      </c>
      <c r="BW265" s="74">
        <f>Z265</f>
        <v>0</v>
      </c>
      <c r="BX265" s="74">
        <f>AL265</f>
        <v>0</v>
      </c>
      <c r="BY265" s="74">
        <f>AX265</f>
        <v>0</v>
      </c>
      <c r="BZ265" s="74">
        <f>BK265</f>
        <v>0</v>
      </c>
    </row>
    <row r="266" spans="1:78" x14ac:dyDescent="0.2">
      <c r="A266" s="108" t="s">
        <v>782</v>
      </c>
      <c r="B266" s="12"/>
      <c r="C266" s="9">
        <v>500</v>
      </c>
      <c r="D266" s="25"/>
      <c r="E266" s="10" t="str">
        <f t="shared" si="114"/>
        <v>MarçoSEMANA 1Tampa Sobremesa Cristal 180 ml</v>
      </c>
      <c r="F266" s="7">
        <f>SUMIF(NF!$A:$A,$E266,NF!$I:$I)</f>
        <v>0</v>
      </c>
      <c r="G266" s="74"/>
      <c r="H266" s="74"/>
      <c r="I266" s="74"/>
      <c r="J266" s="6">
        <v>50</v>
      </c>
      <c r="K266" s="6">
        <v>50</v>
      </c>
      <c r="L266" s="6"/>
      <c r="M266" s="6">
        <v>50</v>
      </c>
      <c r="N266" s="7">
        <f t="shared" si="156"/>
        <v>150</v>
      </c>
      <c r="O266" s="11">
        <f t="shared" si="116"/>
        <v>350</v>
      </c>
      <c r="P266" s="25"/>
      <c r="Q266" s="10" t="str">
        <f t="shared" si="117"/>
        <v>MarçoSEMANA 2Tampa Sobremesa Cristal 180 ml</v>
      </c>
      <c r="R266" s="7">
        <f>SUMIF(NF!$A:$A,$Q266,NF!$I:$I)</f>
        <v>1000</v>
      </c>
      <c r="S266" s="6"/>
      <c r="T266" s="6"/>
      <c r="U266" s="6"/>
      <c r="V266" s="6"/>
      <c r="W266" s="6"/>
      <c r="X266" s="6">
        <v>50</v>
      </c>
      <c r="Y266" s="6">
        <v>50</v>
      </c>
      <c r="Z266" s="7">
        <f t="shared" si="157"/>
        <v>100</v>
      </c>
      <c r="AA266" s="11">
        <f t="shared" si="119"/>
        <v>1250</v>
      </c>
      <c r="AB266" s="25"/>
      <c r="AC266" s="10" t="str">
        <f t="shared" si="120"/>
        <v>MarçoSEMANA 3Tampa Sobremesa Cristal 180 ml</v>
      </c>
      <c r="AD266" s="7">
        <f>SUMIF(NF!$A:$A,$AC266,NF!$I:$I)</f>
        <v>0</v>
      </c>
      <c r="AE266" s="6"/>
      <c r="AF266" s="6"/>
      <c r="AG266" s="6"/>
      <c r="AH266" s="6">
        <v>50</v>
      </c>
      <c r="AI266" s="6"/>
      <c r="AJ266" s="6"/>
      <c r="AK266" s="6"/>
      <c r="AL266" s="7">
        <f t="shared" si="158"/>
        <v>50</v>
      </c>
      <c r="AM266" s="11">
        <f t="shared" si="122"/>
        <v>1200</v>
      </c>
      <c r="AN266" s="25"/>
      <c r="AO266" s="10" t="str">
        <f t="shared" si="123"/>
        <v>MarçoSEMANA 4Tampa Sobremesa Cristal 180 ml</v>
      </c>
      <c r="AP266" s="7">
        <f>SUMIF(NF!$A:$A,$AO266,NF!$I:$I)</f>
        <v>0</v>
      </c>
      <c r="AQ266" s="6">
        <v>50</v>
      </c>
      <c r="AR266" s="6"/>
      <c r="AS266" s="6"/>
      <c r="AT266" s="6">
        <v>50</v>
      </c>
      <c r="AU266" s="6"/>
      <c r="AV266" s="6"/>
      <c r="AW266" s="6">
        <v>50</v>
      </c>
      <c r="AX266" s="7">
        <f t="shared" si="159"/>
        <v>150</v>
      </c>
      <c r="AY266" s="11">
        <f t="shared" si="125"/>
        <v>1050</v>
      </c>
      <c r="AZ266" s="25"/>
      <c r="BA266" s="10" t="str">
        <f t="shared" si="126"/>
        <v>MarçoSEMANA 5Tampa Sobremesa Cristal 180 ml</v>
      </c>
      <c r="BB266" s="7">
        <f>SUMIF(NF!$A:$A,$BA266,NF!$I:$I)</f>
        <v>0</v>
      </c>
      <c r="BC266" s="6"/>
      <c r="BD266" s="6"/>
      <c r="BE266" s="6"/>
      <c r="BF266" s="6"/>
      <c r="BG266" s="6">
        <v>50</v>
      </c>
      <c r="BH266" s="6">
        <v>50</v>
      </c>
      <c r="BI266" s="74"/>
      <c r="BJ266" s="74"/>
      <c r="BK266" s="7">
        <f t="shared" si="160"/>
        <v>100</v>
      </c>
      <c r="BL266" s="8">
        <f t="shared" si="128"/>
        <v>950</v>
      </c>
      <c r="BM266" s="51" t="str">
        <f>IFERROR(VLOOKUP(A266,NF!$M:$O,3,0),"")</f>
        <v>Descartável</v>
      </c>
      <c r="BN266" s="7">
        <f t="shared" si="129"/>
        <v>550</v>
      </c>
      <c r="BO266" s="8">
        <f t="array" ref="BO266">IFERROR(LARGE(IF(NF!$G$2:$G$3137='Mês atual'!A266,NF!$J$2:$J$3137),1),0)*BN266</f>
        <v>119.48200000000001</v>
      </c>
      <c r="BP266" s="50"/>
      <c r="BR266" s="146">
        <f t="array" ref="BR266">IFERROR(LARGE(IF(NF!$G$2:$G$3137='Mês atual'!A266,NF!$J$2:$J$3137),1),0)</f>
        <v>0.21724000000000002</v>
      </c>
      <c r="BS266" s="142" t="str">
        <f>VLOOKUP(A266,NF!M:O,3,0)</f>
        <v>Descartável</v>
      </c>
      <c r="BV266" s="74">
        <f t="shared" si="130"/>
        <v>150</v>
      </c>
      <c r="BW266" s="74">
        <f t="shared" si="131"/>
        <v>100</v>
      </c>
      <c r="BX266" s="74">
        <f t="shared" si="132"/>
        <v>50</v>
      </c>
      <c r="BY266" s="74">
        <f t="shared" si="133"/>
        <v>150</v>
      </c>
      <c r="BZ266" s="74">
        <f t="shared" si="134"/>
        <v>100</v>
      </c>
    </row>
    <row r="267" spans="1:78" x14ac:dyDescent="0.2">
      <c r="A267" s="108" t="s">
        <v>786</v>
      </c>
      <c r="B267" s="12"/>
      <c r="C267" s="9">
        <v>25</v>
      </c>
      <c r="D267" s="25"/>
      <c r="E267" s="10" t="str">
        <f t="shared" si="114"/>
        <v>MarçoSEMANA 1Toalha Bobina</v>
      </c>
      <c r="F267" s="7">
        <f>SUMIF(NF!$A:$A,$E267,NF!$I:$I)</f>
        <v>42</v>
      </c>
      <c r="G267" s="74"/>
      <c r="H267" s="74"/>
      <c r="I267" s="74"/>
      <c r="J267" s="6">
        <v>5</v>
      </c>
      <c r="K267" s="6">
        <v>1</v>
      </c>
      <c r="L267" s="6">
        <v>5</v>
      </c>
      <c r="M267" s="6">
        <v>1</v>
      </c>
      <c r="N267" s="7">
        <f t="shared" si="156"/>
        <v>12</v>
      </c>
      <c r="O267" s="11">
        <f t="shared" si="116"/>
        <v>55</v>
      </c>
      <c r="P267" s="25"/>
      <c r="Q267" s="10" t="str">
        <f t="shared" si="117"/>
        <v>MarçoSEMANA 2Toalha Bobina</v>
      </c>
      <c r="R267" s="7">
        <f>SUMIF(NF!$A:$A,$Q267,NF!$I:$I)</f>
        <v>0</v>
      </c>
      <c r="S267" s="6">
        <v>2</v>
      </c>
      <c r="T267" s="6">
        <v>5</v>
      </c>
      <c r="U267" s="6">
        <v>3</v>
      </c>
      <c r="V267" s="6">
        <v>1</v>
      </c>
      <c r="W267" s="6">
        <v>5</v>
      </c>
      <c r="X267" s="6">
        <v>3</v>
      </c>
      <c r="Y267" s="6">
        <v>3</v>
      </c>
      <c r="Z267" s="7">
        <f t="shared" si="157"/>
        <v>22</v>
      </c>
      <c r="AA267" s="11">
        <f t="shared" si="119"/>
        <v>33</v>
      </c>
      <c r="AB267" s="25"/>
      <c r="AC267" s="10" t="str">
        <f t="shared" si="120"/>
        <v>MarçoSEMANA 3Toalha Bobina</v>
      </c>
      <c r="AD267" s="7">
        <f>SUMIF(NF!$A:$A,$AC267,NF!$I:$I)</f>
        <v>48</v>
      </c>
      <c r="AE267" s="6">
        <v>2</v>
      </c>
      <c r="AF267" s="6">
        <v>3</v>
      </c>
      <c r="AG267" s="6">
        <v>3</v>
      </c>
      <c r="AH267" s="6">
        <v>2</v>
      </c>
      <c r="AI267" s="6">
        <v>2</v>
      </c>
      <c r="AJ267" s="6">
        <v>2</v>
      </c>
      <c r="AK267" s="6">
        <v>3</v>
      </c>
      <c r="AL267" s="7">
        <f t="shared" si="158"/>
        <v>17</v>
      </c>
      <c r="AM267" s="11">
        <f t="shared" si="122"/>
        <v>64</v>
      </c>
      <c r="AN267" s="25"/>
      <c r="AO267" s="10" t="str">
        <f t="shared" si="123"/>
        <v>MarçoSEMANA 4Toalha Bobina</v>
      </c>
      <c r="AP267" s="7">
        <f>SUMIF(NF!$A:$A,$AO267,NF!$I:$I)</f>
        <v>0</v>
      </c>
      <c r="AQ267" s="6">
        <v>4</v>
      </c>
      <c r="AR267" s="6">
        <v>3</v>
      </c>
      <c r="AS267" s="6">
        <v>1</v>
      </c>
      <c r="AT267" s="6">
        <v>4</v>
      </c>
      <c r="AU267" s="6">
        <v>2</v>
      </c>
      <c r="AV267" s="6">
        <v>1</v>
      </c>
      <c r="AW267" s="6">
        <v>3</v>
      </c>
      <c r="AX267" s="7">
        <f t="shared" si="159"/>
        <v>18</v>
      </c>
      <c r="AY267" s="11">
        <f t="shared" si="125"/>
        <v>46</v>
      </c>
      <c r="AZ267" s="25"/>
      <c r="BA267" s="10" t="str">
        <f t="shared" si="126"/>
        <v>MarçoSEMANA 5Toalha Bobina</v>
      </c>
      <c r="BB267" s="7">
        <f>SUMIF(NF!$A:$A,$BA267,NF!$I:$I)</f>
        <v>0</v>
      </c>
      <c r="BC267" s="6">
        <v>2</v>
      </c>
      <c r="BD267" s="6">
        <v>4</v>
      </c>
      <c r="BE267" s="6">
        <v>3</v>
      </c>
      <c r="BF267" s="6">
        <v>3</v>
      </c>
      <c r="BG267" s="6">
        <v>3</v>
      </c>
      <c r="BH267" s="6">
        <v>3</v>
      </c>
      <c r="BI267" s="74"/>
      <c r="BJ267" s="74"/>
      <c r="BK267" s="7">
        <f t="shared" si="160"/>
        <v>18</v>
      </c>
      <c r="BL267" s="8">
        <f t="shared" si="128"/>
        <v>28</v>
      </c>
      <c r="BM267" s="51" t="str">
        <f>IFERROR(VLOOKUP(A267,NF!$M:$O,3,0),"")</f>
        <v>Descartável</v>
      </c>
      <c r="BN267" s="7">
        <f t="shared" si="129"/>
        <v>87</v>
      </c>
      <c r="BO267" s="8">
        <f t="array" ref="BO267">IFERROR(LARGE(IF(NF!$G$2:$G$3137='Mês atual'!A267,NF!$J$2:$J$3137),1),0)*BN267</f>
        <v>1093.3000000000002</v>
      </c>
      <c r="BP267" s="50"/>
      <c r="BR267" s="146">
        <f t="array" ref="BR267">IFERROR(LARGE(IF(NF!$G$2:$G$3137='Mês atual'!A267,NF!$J$2:$J$3137),1),0)</f>
        <v>12.566666666666668</v>
      </c>
      <c r="BS267" s="142" t="str">
        <f>VLOOKUP(A267,NF!M:O,3,0)</f>
        <v>Descartável</v>
      </c>
      <c r="BV267" s="74">
        <f t="shared" si="130"/>
        <v>12</v>
      </c>
      <c r="BW267" s="74">
        <f t="shared" si="131"/>
        <v>22</v>
      </c>
      <c r="BX267" s="74">
        <f t="shared" si="132"/>
        <v>17</v>
      </c>
      <c r="BY267" s="74">
        <f t="shared" si="133"/>
        <v>18</v>
      </c>
      <c r="BZ267" s="74">
        <f t="shared" si="134"/>
        <v>18</v>
      </c>
    </row>
    <row r="268" spans="1:78" ht="15.95" thickBot="1" x14ac:dyDescent="0.25">
      <c r="A268" s="108" t="s">
        <v>822</v>
      </c>
      <c r="B268" s="12"/>
      <c r="C268" s="9">
        <v>1</v>
      </c>
      <c r="D268" s="25"/>
      <c r="E268" s="10" t="str">
        <f t="shared" si="114"/>
        <v>MarçoSEMANA 1Touca Branca</v>
      </c>
      <c r="F268" s="7">
        <f>SUMIF(NF!$A:$A,$E268,NF!$I:$I)</f>
        <v>0</v>
      </c>
      <c r="G268" s="74"/>
      <c r="H268" s="74"/>
      <c r="I268" s="74"/>
      <c r="J268" s="6"/>
      <c r="K268" s="6"/>
      <c r="L268" s="6" t="s">
        <v>1157</v>
      </c>
      <c r="M268" s="6"/>
      <c r="N268" s="7">
        <f t="shared" si="156"/>
        <v>0</v>
      </c>
      <c r="O268" s="11">
        <f t="shared" si="116"/>
        <v>1</v>
      </c>
      <c r="P268" s="25"/>
      <c r="Q268" s="10" t="str">
        <f t="shared" si="117"/>
        <v>MarçoSEMANA 2Touca Branca</v>
      </c>
      <c r="R268" s="7">
        <f>SUMIF(NF!$A:$A,$Q268,NF!$I:$I)</f>
        <v>0</v>
      </c>
      <c r="S268" s="6"/>
      <c r="T268" s="6"/>
      <c r="U268" s="6"/>
      <c r="V268" s="6"/>
      <c r="W268" s="6"/>
      <c r="X268" s="6"/>
      <c r="Y268" s="6"/>
      <c r="Z268" s="7">
        <f t="shared" si="157"/>
        <v>0</v>
      </c>
      <c r="AA268" s="11">
        <f t="shared" si="119"/>
        <v>1</v>
      </c>
      <c r="AB268" s="25"/>
      <c r="AC268" s="10" t="str">
        <f t="shared" si="120"/>
        <v>MarçoSEMANA 3Touca Branca</v>
      </c>
      <c r="AD268" s="7">
        <f>SUMIF(NF!$A:$A,$AC268,NF!$I:$I)</f>
        <v>0</v>
      </c>
      <c r="AE268" s="6"/>
      <c r="AF268" s="6"/>
      <c r="AG268" s="6"/>
      <c r="AH268" s="6"/>
      <c r="AI268" s="6"/>
      <c r="AJ268" s="6"/>
      <c r="AK268" s="6"/>
      <c r="AL268" s="7">
        <f t="shared" si="158"/>
        <v>0</v>
      </c>
      <c r="AM268" s="11">
        <f t="shared" si="122"/>
        <v>1</v>
      </c>
      <c r="AN268" s="25"/>
      <c r="AO268" s="10" t="str">
        <f t="shared" si="123"/>
        <v>MarçoSEMANA 4Touca Branca</v>
      </c>
      <c r="AP268" s="7">
        <f>SUMIF(NF!$A:$A,$AO268,NF!$I:$I)</f>
        <v>0</v>
      </c>
      <c r="AQ268" s="6"/>
      <c r="AR268" s="6"/>
      <c r="AS268" s="6"/>
      <c r="AT268" s="6">
        <v>1</v>
      </c>
      <c r="AU268" s="6"/>
      <c r="AV268" s="6"/>
      <c r="AW268" s="6"/>
      <c r="AX268" s="7">
        <f t="shared" si="159"/>
        <v>1</v>
      </c>
      <c r="AY268" s="11">
        <f t="shared" si="125"/>
        <v>0</v>
      </c>
      <c r="AZ268" s="25"/>
      <c r="BA268" s="10" t="str">
        <f t="shared" si="126"/>
        <v>MarçoSEMANA 5Touca Branca</v>
      </c>
      <c r="BB268" s="7">
        <f>SUMIF(NF!$A:$A,$BA268,NF!$I:$I)</f>
        <v>0</v>
      </c>
      <c r="BC268" s="6"/>
      <c r="BD268" s="6"/>
      <c r="BE268" s="6"/>
      <c r="BF268" s="6"/>
      <c r="BG268" s="6"/>
      <c r="BH268" s="6"/>
      <c r="BI268" s="74"/>
      <c r="BJ268" s="74"/>
      <c r="BK268" s="7">
        <f t="shared" si="160"/>
        <v>0</v>
      </c>
      <c r="BL268" s="8">
        <f t="shared" si="128"/>
        <v>0</v>
      </c>
      <c r="BM268" s="51" t="str">
        <f>IFERROR(VLOOKUP(A268,NF!$M:$O,3,0),"")</f>
        <v>Descartável</v>
      </c>
      <c r="BN268" s="7">
        <f t="shared" si="129"/>
        <v>1</v>
      </c>
      <c r="BO268" s="8">
        <f t="array" ref="BO268">IFERROR(LARGE(IF(NF!$G$2:$G$3137='Mês atual'!A268,NF!$J$2:$J$3137),1),0)*BN268</f>
        <v>0</v>
      </c>
      <c r="BP268" s="50"/>
      <c r="BR268" s="146">
        <f t="array" ref="BR268">IFERROR(LARGE(IF(NF!$G$2:$G$3137='Mês atual'!A268,NF!$J$2:$J$3137),1),0)</f>
        <v>0</v>
      </c>
      <c r="BS268" s="142" t="str">
        <f>VLOOKUP(A268,NF!M:O,3,0)</f>
        <v>Descartável</v>
      </c>
      <c r="BV268" s="74">
        <f t="shared" si="130"/>
        <v>0</v>
      </c>
      <c r="BW268" s="74">
        <f t="shared" si="131"/>
        <v>0</v>
      </c>
      <c r="BX268" s="74">
        <f t="shared" si="132"/>
        <v>0</v>
      </c>
      <c r="BY268" s="74">
        <f t="shared" si="133"/>
        <v>1</v>
      </c>
      <c r="BZ268" s="74">
        <f t="shared" si="134"/>
        <v>0</v>
      </c>
    </row>
    <row r="269" spans="1:78" s="16" customFormat="1" ht="30" customHeight="1" thickBot="1" x14ac:dyDescent="0.3">
      <c r="A269" s="139" t="s">
        <v>920</v>
      </c>
      <c r="B269" s="130"/>
      <c r="C269" s="131"/>
      <c r="D269" s="132"/>
      <c r="E269" s="133"/>
      <c r="F269" s="134"/>
      <c r="G269" s="135"/>
      <c r="H269" s="135"/>
      <c r="I269" s="135"/>
      <c r="J269" s="133"/>
      <c r="K269" s="133"/>
      <c r="L269" s="133"/>
      <c r="M269" s="133"/>
      <c r="N269" s="134"/>
      <c r="O269" s="134"/>
      <c r="P269" s="132"/>
      <c r="Q269" s="133"/>
      <c r="R269" s="134"/>
      <c r="S269" s="133"/>
      <c r="T269" s="133"/>
      <c r="U269" s="133"/>
      <c r="V269" s="133"/>
      <c r="W269" s="133"/>
      <c r="X269" s="133"/>
      <c r="Y269" s="133"/>
      <c r="Z269" s="134"/>
      <c r="AA269" s="134"/>
      <c r="AB269" s="132"/>
      <c r="AC269" s="133"/>
      <c r="AD269" s="134"/>
      <c r="AE269" s="133"/>
      <c r="AF269" s="133"/>
      <c r="AG269" s="133"/>
      <c r="AH269" s="133"/>
      <c r="AI269" s="133"/>
      <c r="AJ269" s="133"/>
      <c r="AK269" s="133"/>
      <c r="AL269" s="134"/>
      <c r="AM269" s="134"/>
      <c r="AN269" s="132"/>
      <c r="AO269" s="133"/>
      <c r="AP269" s="134"/>
      <c r="AQ269" s="133"/>
      <c r="AR269" s="133"/>
      <c r="AS269" s="133"/>
      <c r="AT269" s="133"/>
      <c r="AU269" s="133"/>
      <c r="AV269" s="133"/>
      <c r="AW269" s="133"/>
      <c r="AX269" s="134"/>
      <c r="AY269" s="134"/>
      <c r="AZ269" s="132"/>
      <c r="BA269" s="133"/>
      <c r="BB269" s="134"/>
      <c r="BC269" s="133"/>
      <c r="BD269" s="133"/>
      <c r="BE269" s="133"/>
      <c r="BF269" s="133"/>
      <c r="BG269" s="133"/>
      <c r="BH269" s="133"/>
      <c r="BI269" s="135"/>
      <c r="BJ269" s="135"/>
      <c r="BK269" s="134"/>
      <c r="BL269" s="134"/>
      <c r="BM269" s="136"/>
      <c r="BN269" s="137"/>
      <c r="BO269" s="137"/>
      <c r="BP269" s="138"/>
      <c r="BQ269" s="144"/>
      <c r="BR269" s="144"/>
      <c r="BS269" s="144"/>
      <c r="BT269" s="145"/>
      <c r="BU269" s="145"/>
      <c r="BV269" s="154"/>
      <c r="BW269" s="154"/>
      <c r="BX269" s="154"/>
      <c r="BY269" s="154"/>
      <c r="BZ269" s="154"/>
    </row>
    <row r="270" spans="1:78" x14ac:dyDescent="0.2">
      <c r="A270" s="108" t="s">
        <v>974</v>
      </c>
      <c r="B270" s="12"/>
      <c r="C270" s="9">
        <v>0</v>
      </c>
      <c r="D270" s="25"/>
      <c r="E270" s="10" t="str">
        <f t="shared" ref="E270:E307" si="177">CONCATENATE($C$2,$F$1,$A270)</f>
        <v>MarçoSEMANA 1Agenda</v>
      </c>
      <c r="F270" s="7">
        <f>SUMIF(NF!$A:$A,$E270,NF!$I:$I)</f>
        <v>0</v>
      </c>
      <c r="G270" s="74"/>
      <c r="H270" s="74"/>
      <c r="I270" s="74"/>
      <c r="J270" s="6"/>
      <c r="K270" s="6"/>
      <c r="L270" s="6"/>
      <c r="M270" s="6"/>
      <c r="N270" s="7">
        <f t="shared" ref="N270:N276" si="178">SUM(G270:M270)</f>
        <v>0</v>
      </c>
      <c r="O270" s="11">
        <f t="shared" ref="O270:O307" si="179">F270+C270-N270</f>
        <v>0</v>
      </c>
      <c r="P270" s="25"/>
      <c r="Q270" s="10" t="str">
        <f t="shared" ref="Q270:Q307" si="180">CONCATENATE($C$2,$R$1,$A270)</f>
        <v>MarçoSEMANA 2Agenda</v>
      </c>
      <c r="R270" s="7">
        <f>SUMIF(NF!$A:$A,$Q270,NF!$I:$I)</f>
        <v>0</v>
      </c>
      <c r="S270" s="6"/>
      <c r="T270" s="6"/>
      <c r="U270" s="6"/>
      <c r="V270" s="6"/>
      <c r="W270" s="6"/>
      <c r="X270" s="6"/>
      <c r="Y270" s="6"/>
      <c r="Z270" s="7">
        <f t="shared" ref="Z270:Z276" si="181">SUM(S270:Y270)</f>
        <v>0</v>
      </c>
      <c r="AA270" s="11">
        <f t="shared" ref="AA270:AA307" si="182">R270+O270-Z270</f>
        <v>0</v>
      </c>
      <c r="AB270" s="25"/>
      <c r="AC270" s="10" t="str">
        <f t="shared" ref="AC270:AC307" si="183">CONCATENATE($C$2,$AD$1,$A270)</f>
        <v>MarçoSEMANA 3Agenda</v>
      </c>
      <c r="AD270" s="7">
        <f>SUMIF(NF!$A:$A,$AC270,NF!$I:$I)</f>
        <v>0</v>
      </c>
      <c r="AE270" s="6"/>
      <c r="AF270" s="6"/>
      <c r="AG270" s="6"/>
      <c r="AH270" s="6"/>
      <c r="AI270" s="6"/>
      <c r="AJ270" s="6"/>
      <c r="AK270" s="6"/>
      <c r="AL270" s="7">
        <f t="shared" ref="AL270:AL276" si="184">SUM(AE270:AK270)</f>
        <v>0</v>
      </c>
      <c r="AM270" s="11">
        <f t="shared" ref="AM270:AM307" si="185">AD270+AA270-AL270</f>
        <v>0</v>
      </c>
      <c r="AN270" s="25"/>
      <c r="AO270" s="10" t="str">
        <f t="shared" ref="AO270:AO307" si="186">CONCATENATE($C$2,$AP$1,$A270)</f>
        <v>MarçoSEMANA 4Agenda</v>
      </c>
      <c r="AP270" s="7">
        <f>SUMIF(NF!$A:$A,$AO270,NF!$I:$I)</f>
        <v>0</v>
      </c>
      <c r="AQ270" s="6"/>
      <c r="AR270" s="6"/>
      <c r="AS270" s="6"/>
      <c r="AT270" s="6"/>
      <c r="AU270" s="6"/>
      <c r="AV270" s="6"/>
      <c r="AW270" s="6"/>
      <c r="AX270" s="7">
        <f t="shared" ref="AX270:AX276" si="187">SUM(AQ270:AW270)</f>
        <v>0</v>
      </c>
      <c r="AY270" s="11">
        <f t="shared" ref="AY270:AY307" si="188">AP270+AM270-AX270</f>
        <v>0</v>
      </c>
      <c r="AZ270" s="25"/>
      <c r="BA270" s="10" t="str">
        <f t="shared" ref="BA270:BA307" si="189">CONCATENATE($C$2,$BB$1,$A270)</f>
        <v>MarçoSEMANA 5Agenda</v>
      </c>
      <c r="BB270" s="7">
        <f>SUMIF(NF!$A:$A,$BA270,NF!$I:$I)</f>
        <v>0</v>
      </c>
      <c r="BC270" s="6"/>
      <c r="BD270" s="6"/>
      <c r="BE270" s="6"/>
      <c r="BF270" s="6"/>
      <c r="BG270" s="6"/>
      <c r="BH270" s="6"/>
      <c r="BI270" s="74"/>
      <c r="BJ270" s="74"/>
      <c r="BK270" s="7">
        <f t="shared" ref="BK270:BK276" si="190">SUM(BC270:BJ270)</f>
        <v>0</v>
      </c>
      <c r="BL270" s="8">
        <f t="shared" ref="BL270:BL307" si="191">BB270+AY270-BK270</f>
        <v>0</v>
      </c>
      <c r="BM270" s="51" t="str">
        <f>IFERROR(VLOOKUP(A270,NF!$M:$O,3,0),"")</f>
        <v>Escritório</v>
      </c>
      <c r="BN270" s="7">
        <f t="shared" ref="BN270:BN307" si="192">SUM(N270,Z270,AL270,AX270,BK270)</f>
        <v>0</v>
      </c>
      <c r="BO270" s="8">
        <f t="array" ref="BO270">IFERROR(LARGE(IF(NF!$G$2:$G$3137='Mês atual'!A270,NF!$J$2:$J$3137),1),0)*BN270</f>
        <v>0</v>
      </c>
      <c r="BP270" s="50"/>
      <c r="BR270" s="146">
        <f t="array" ref="BR270">IFERROR(LARGE(IF(NF!$G$2:$G$3137='Mês atual'!A270,NF!$J$2:$J$3137),1),0)</f>
        <v>0</v>
      </c>
      <c r="BS270" s="142" t="str">
        <f>VLOOKUP(A270,NF!M:O,3,0)</f>
        <v>Escritório</v>
      </c>
      <c r="BV270" s="74">
        <f t="shared" si="130"/>
        <v>0</v>
      </c>
      <c r="BW270" s="74">
        <f t="shared" si="131"/>
        <v>0</v>
      </c>
      <c r="BX270" s="74">
        <f t="shared" si="132"/>
        <v>0</v>
      </c>
      <c r="BY270" s="74">
        <f t="shared" si="133"/>
        <v>0</v>
      </c>
      <c r="BZ270" s="74">
        <f t="shared" si="134"/>
        <v>0</v>
      </c>
    </row>
    <row r="271" spans="1:78" x14ac:dyDescent="0.25">
      <c r="A271" s="108" t="s">
        <v>185</v>
      </c>
      <c r="B271" s="12"/>
      <c r="C271" s="9">
        <v>0</v>
      </c>
      <c r="D271" s="25"/>
      <c r="E271" s="10" t="str">
        <f t="shared" si="177"/>
        <v>MarçoSEMANA 1Bloco Mov. Caixa Saída/ Entrada</v>
      </c>
      <c r="F271" s="7">
        <f>SUMIF(NF!$A:$A,$E271,NF!$I:$I)</f>
        <v>0</v>
      </c>
      <c r="G271" s="74"/>
      <c r="H271" s="74"/>
      <c r="I271" s="74"/>
      <c r="J271" s="6"/>
      <c r="K271" s="6"/>
      <c r="L271" s="6"/>
      <c r="M271" s="6"/>
      <c r="N271" s="7">
        <f t="shared" si="178"/>
        <v>0</v>
      </c>
      <c r="O271" s="11">
        <f t="shared" si="179"/>
        <v>0</v>
      </c>
      <c r="P271" s="25"/>
      <c r="Q271" s="10" t="str">
        <f t="shared" si="180"/>
        <v>MarçoSEMANA 2Bloco Mov. Caixa Saída/ Entrada</v>
      </c>
      <c r="R271" s="7">
        <f>SUMIF(NF!$A:$A,$Q271,NF!$I:$I)</f>
        <v>0</v>
      </c>
      <c r="S271" s="6"/>
      <c r="T271" s="6"/>
      <c r="U271" s="6"/>
      <c r="V271" s="6"/>
      <c r="W271" s="6"/>
      <c r="X271" s="6"/>
      <c r="Y271" s="6"/>
      <c r="Z271" s="7">
        <f t="shared" si="181"/>
        <v>0</v>
      </c>
      <c r="AA271" s="11">
        <f t="shared" si="182"/>
        <v>0</v>
      </c>
      <c r="AB271" s="25"/>
      <c r="AC271" s="10" t="str">
        <f t="shared" si="183"/>
        <v>MarçoSEMANA 3Bloco Mov. Caixa Saída/ Entrada</v>
      </c>
      <c r="AD271" s="7">
        <f>SUMIF(NF!$A:$A,$AC271,NF!$I:$I)</f>
        <v>0</v>
      </c>
      <c r="AE271" s="6"/>
      <c r="AF271" s="6"/>
      <c r="AG271" s="6"/>
      <c r="AH271" s="6"/>
      <c r="AI271" s="6"/>
      <c r="AJ271" s="6"/>
      <c r="AK271" s="6"/>
      <c r="AL271" s="7">
        <f t="shared" si="184"/>
        <v>0</v>
      </c>
      <c r="AM271" s="11">
        <f t="shared" si="185"/>
        <v>0</v>
      </c>
      <c r="AN271" s="25"/>
      <c r="AO271" s="10" t="str">
        <f t="shared" si="186"/>
        <v>MarçoSEMANA 4Bloco Mov. Caixa Saída/ Entrada</v>
      </c>
      <c r="AP271" s="7">
        <f>SUMIF(NF!$A:$A,$AO271,NF!$I:$I)</f>
        <v>0</v>
      </c>
      <c r="AQ271" s="6"/>
      <c r="AR271" s="6"/>
      <c r="AS271" s="6"/>
      <c r="AT271" s="6"/>
      <c r="AU271" s="6"/>
      <c r="AV271" s="6"/>
      <c r="AW271" s="6"/>
      <c r="AX271" s="7">
        <f t="shared" si="187"/>
        <v>0</v>
      </c>
      <c r="AY271" s="11">
        <f t="shared" si="188"/>
        <v>0</v>
      </c>
      <c r="AZ271" s="25"/>
      <c r="BA271" s="10" t="str">
        <f t="shared" si="189"/>
        <v>MarçoSEMANA 5Bloco Mov. Caixa Saída/ Entrada</v>
      </c>
      <c r="BB271" s="7">
        <f>SUMIF(NF!$A:$A,$BA271,NF!$I:$I)</f>
        <v>0</v>
      </c>
      <c r="BC271" s="6"/>
      <c r="BD271" s="6"/>
      <c r="BE271" s="6"/>
      <c r="BF271" s="6"/>
      <c r="BG271" s="6"/>
      <c r="BH271" s="6"/>
      <c r="BI271" s="74"/>
      <c r="BJ271" s="74"/>
      <c r="BK271" s="7">
        <f t="shared" si="190"/>
        <v>0</v>
      </c>
      <c r="BL271" s="8">
        <f t="shared" si="191"/>
        <v>0</v>
      </c>
      <c r="BM271" s="51" t="str">
        <f>IFERROR(VLOOKUP(A271,NF!$M:$O,3,0),"")</f>
        <v>Escritório</v>
      </c>
      <c r="BN271" s="7">
        <f t="shared" si="192"/>
        <v>0</v>
      </c>
      <c r="BO271" s="8">
        <f t="array" ref="BO271">IFERROR(LARGE(IF(NF!$G$2:$G$3137='Mês atual'!A271,NF!$J$2:$J$3137),1),0)*BN271</f>
        <v>0</v>
      </c>
      <c r="BP271" s="50"/>
      <c r="BR271" s="146">
        <f t="array" ref="BR271">IFERROR(LARGE(IF(NF!$G$2:$G$3137='Mês atual'!A271,NF!$J$2:$J$3137),1),0)</f>
        <v>0</v>
      </c>
      <c r="BS271" s="142" t="str">
        <f>VLOOKUP(A271,NF!M:O,3,0)</f>
        <v>Escritório</v>
      </c>
      <c r="BV271" s="74">
        <f t="shared" si="130"/>
        <v>0</v>
      </c>
      <c r="BW271" s="74">
        <f t="shared" si="131"/>
        <v>0</v>
      </c>
      <c r="BX271" s="74">
        <f t="shared" si="132"/>
        <v>0</v>
      </c>
      <c r="BY271" s="74">
        <f t="shared" si="133"/>
        <v>0</v>
      </c>
      <c r="BZ271" s="74">
        <f t="shared" si="134"/>
        <v>0</v>
      </c>
    </row>
    <row r="272" spans="1:78" x14ac:dyDescent="0.2">
      <c r="A272" s="108" t="s">
        <v>975</v>
      </c>
      <c r="B272" s="12"/>
      <c r="C272" s="9">
        <v>0</v>
      </c>
      <c r="D272" s="25"/>
      <c r="E272" s="10" t="str">
        <f t="shared" si="177"/>
        <v>MarçoSEMANA 1Bobina Offset 1 Via</v>
      </c>
      <c r="F272" s="7">
        <f>SUMIF(NF!$A:$A,$E272,NF!$I:$I)</f>
        <v>0</v>
      </c>
      <c r="G272" s="74"/>
      <c r="H272" s="74"/>
      <c r="I272" s="74"/>
      <c r="J272" s="6"/>
      <c r="K272" s="6"/>
      <c r="L272" s="6"/>
      <c r="M272" s="6"/>
      <c r="N272" s="7">
        <f t="shared" si="178"/>
        <v>0</v>
      </c>
      <c r="O272" s="11">
        <f t="shared" si="179"/>
        <v>0</v>
      </c>
      <c r="P272" s="25"/>
      <c r="Q272" s="10" t="str">
        <f t="shared" si="180"/>
        <v>MarçoSEMANA 2Bobina Offset 1 Via</v>
      </c>
      <c r="R272" s="7">
        <f>SUMIF(NF!$A:$A,$Q272,NF!$I:$I)</f>
        <v>0</v>
      </c>
      <c r="S272" s="6"/>
      <c r="T272" s="6"/>
      <c r="U272" s="6"/>
      <c r="V272" s="6"/>
      <c r="W272" s="6"/>
      <c r="X272" s="6"/>
      <c r="Y272" s="6"/>
      <c r="Z272" s="7">
        <f t="shared" si="181"/>
        <v>0</v>
      </c>
      <c r="AA272" s="11">
        <f t="shared" si="182"/>
        <v>0</v>
      </c>
      <c r="AB272" s="25"/>
      <c r="AC272" s="10" t="str">
        <f t="shared" si="183"/>
        <v>MarçoSEMANA 3Bobina Offset 1 Via</v>
      </c>
      <c r="AD272" s="7">
        <f>SUMIF(NF!$A:$A,$AC272,NF!$I:$I)</f>
        <v>0</v>
      </c>
      <c r="AE272" s="6"/>
      <c r="AF272" s="6"/>
      <c r="AG272" s="6"/>
      <c r="AH272" s="6"/>
      <c r="AI272" s="6"/>
      <c r="AJ272" s="6"/>
      <c r="AK272" s="6"/>
      <c r="AL272" s="7">
        <f t="shared" si="184"/>
        <v>0</v>
      </c>
      <c r="AM272" s="11">
        <f t="shared" si="185"/>
        <v>0</v>
      </c>
      <c r="AN272" s="25"/>
      <c r="AO272" s="10" t="str">
        <f t="shared" si="186"/>
        <v>MarçoSEMANA 4Bobina Offset 1 Via</v>
      </c>
      <c r="AP272" s="7">
        <f>SUMIF(NF!$A:$A,$AO272,NF!$I:$I)</f>
        <v>0</v>
      </c>
      <c r="AQ272" s="6"/>
      <c r="AR272" s="6"/>
      <c r="AS272" s="6"/>
      <c r="AT272" s="6"/>
      <c r="AU272" s="6"/>
      <c r="AV272" s="6"/>
      <c r="AW272" s="6"/>
      <c r="AX272" s="7">
        <f t="shared" si="187"/>
        <v>0</v>
      </c>
      <c r="AY272" s="11">
        <f t="shared" si="188"/>
        <v>0</v>
      </c>
      <c r="AZ272" s="25"/>
      <c r="BA272" s="10" t="str">
        <f t="shared" si="189"/>
        <v>MarçoSEMANA 5Bobina Offset 1 Via</v>
      </c>
      <c r="BB272" s="7">
        <f>SUMIF(NF!$A:$A,$BA272,NF!$I:$I)</f>
        <v>0</v>
      </c>
      <c r="BC272" s="6"/>
      <c r="BD272" s="6"/>
      <c r="BE272" s="6"/>
      <c r="BF272" s="6"/>
      <c r="BG272" s="6"/>
      <c r="BH272" s="6"/>
      <c r="BI272" s="74"/>
      <c r="BJ272" s="74"/>
      <c r="BK272" s="7">
        <f t="shared" si="190"/>
        <v>0</v>
      </c>
      <c r="BL272" s="8">
        <f t="shared" si="191"/>
        <v>0</v>
      </c>
      <c r="BM272" s="51" t="str">
        <f>IFERROR(VLOOKUP(A272,NF!$M:$O,3,0),"")</f>
        <v>Escritório</v>
      </c>
      <c r="BN272" s="7">
        <f t="shared" si="192"/>
        <v>0</v>
      </c>
      <c r="BO272" s="8">
        <f t="array" ref="BO272">IFERROR(LARGE(IF(NF!$G$2:$G$3137='Mês atual'!A272,NF!$J$2:$J$3137),1),0)*BN272</f>
        <v>0</v>
      </c>
      <c r="BP272" s="50"/>
      <c r="BR272" s="146">
        <f t="array" ref="BR272">IFERROR(LARGE(IF(NF!$G$2:$G$3137='Mês atual'!A272,NF!$J$2:$J$3137),1),0)</f>
        <v>0</v>
      </c>
      <c r="BS272" s="142" t="str">
        <f>VLOOKUP(A272,NF!M:O,3,0)</f>
        <v>Escritório</v>
      </c>
      <c r="BV272" s="74">
        <f t="shared" ref="BV272:BV338" si="193">N272</f>
        <v>0</v>
      </c>
      <c r="BW272" s="74">
        <f t="shared" ref="BW272:BW338" si="194">Z272</f>
        <v>0</v>
      </c>
      <c r="BX272" s="74">
        <f t="shared" ref="BX272:BX338" si="195">AL272</f>
        <v>0</v>
      </c>
      <c r="BY272" s="74">
        <f t="shared" ref="BY272:BY338" si="196">AX272</f>
        <v>0</v>
      </c>
      <c r="BZ272" s="74">
        <f t="shared" ref="BZ272:BZ338" si="197">BK272</f>
        <v>0</v>
      </c>
    </row>
    <row r="273" spans="1:78" x14ac:dyDescent="0.2">
      <c r="A273" s="108" t="s">
        <v>186</v>
      </c>
      <c r="B273" s="12"/>
      <c r="C273" s="9">
        <v>0</v>
      </c>
      <c r="D273" s="25"/>
      <c r="E273" s="10" t="str">
        <f t="shared" si="177"/>
        <v>MarçoSEMANA 1Bobina para calculadora</v>
      </c>
      <c r="F273" s="7">
        <f>SUMIF(NF!$A:$A,$E273,NF!$I:$I)</f>
        <v>0</v>
      </c>
      <c r="G273" s="74"/>
      <c r="H273" s="74"/>
      <c r="I273" s="74"/>
      <c r="J273" s="6"/>
      <c r="K273" s="6"/>
      <c r="L273" s="6"/>
      <c r="M273" s="6"/>
      <c r="N273" s="7">
        <f t="shared" si="178"/>
        <v>0</v>
      </c>
      <c r="O273" s="11">
        <f t="shared" si="179"/>
        <v>0</v>
      </c>
      <c r="P273" s="25"/>
      <c r="Q273" s="10" t="str">
        <f t="shared" si="180"/>
        <v>MarçoSEMANA 2Bobina para calculadora</v>
      </c>
      <c r="R273" s="7">
        <f>SUMIF(NF!$A:$A,$Q273,NF!$I:$I)</f>
        <v>0</v>
      </c>
      <c r="S273" s="6"/>
      <c r="T273" s="6"/>
      <c r="U273" s="6"/>
      <c r="V273" s="6"/>
      <c r="W273" s="6"/>
      <c r="X273" s="6"/>
      <c r="Y273" s="6"/>
      <c r="Z273" s="7">
        <f t="shared" si="181"/>
        <v>0</v>
      </c>
      <c r="AA273" s="11">
        <f t="shared" si="182"/>
        <v>0</v>
      </c>
      <c r="AB273" s="25"/>
      <c r="AC273" s="10" t="str">
        <f t="shared" si="183"/>
        <v>MarçoSEMANA 3Bobina para calculadora</v>
      </c>
      <c r="AD273" s="7">
        <f>SUMIF(NF!$A:$A,$AC273,NF!$I:$I)</f>
        <v>0</v>
      </c>
      <c r="AE273" s="6"/>
      <c r="AF273" s="6"/>
      <c r="AG273" s="6"/>
      <c r="AH273" s="6"/>
      <c r="AI273" s="6"/>
      <c r="AJ273" s="6"/>
      <c r="AK273" s="6"/>
      <c r="AL273" s="7">
        <f t="shared" si="184"/>
        <v>0</v>
      </c>
      <c r="AM273" s="11">
        <f t="shared" si="185"/>
        <v>0</v>
      </c>
      <c r="AN273" s="25"/>
      <c r="AO273" s="10" t="str">
        <f t="shared" si="186"/>
        <v>MarçoSEMANA 4Bobina para calculadora</v>
      </c>
      <c r="AP273" s="7">
        <f>SUMIF(NF!$A:$A,$AO273,NF!$I:$I)</f>
        <v>0</v>
      </c>
      <c r="AQ273" s="6"/>
      <c r="AR273" s="6"/>
      <c r="AS273" s="6"/>
      <c r="AT273" s="6"/>
      <c r="AU273" s="6"/>
      <c r="AV273" s="6"/>
      <c r="AW273" s="6"/>
      <c r="AX273" s="7">
        <f t="shared" si="187"/>
        <v>0</v>
      </c>
      <c r="AY273" s="11">
        <f t="shared" si="188"/>
        <v>0</v>
      </c>
      <c r="AZ273" s="25"/>
      <c r="BA273" s="10" t="str">
        <f t="shared" si="189"/>
        <v>MarçoSEMANA 5Bobina para calculadora</v>
      </c>
      <c r="BB273" s="7">
        <f>SUMIF(NF!$A:$A,$BA273,NF!$I:$I)</f>
        <v>0</v>
      </c>
      <c r="BC273" s="6"/>
      <c r="BD273" s="6"/>
      <c r="BE273" s="6"/>
      <c r="BF273" s="6"/>
      <c r="BG273" s="6"/>
      <c r="BH273" s="6"/>
      <c r="BI273" s="74"/>
      <c r="BJ273" s="74"/>
      <c r="BK273" s="7">
        <f t="shared" si="190"/>
        <v>0</v>
      </c>
      <c r="BL273" s="8">
        <f t="shared" si="191"/>
        <v>0</v>
      </c>
      <c r="BM273" s="51" t="str">
        <f>IFERROR(VLOOKUP(A273,NF!$M:$O,3,0),"")</f>
        <v>Escritório</v>
      </c>
      <c r="BN273" s="7">
        <f t="shared" si="192"/>
        <v>0</v>
      </c>
      <c r="BO273" s="8">
        <f t="array" ref="BO273">IFERROR(LARGE(IF(NF!$G$2:$G$3137='Mês atual'!A273,NF!$J$2:$J$3137),1),0)*BN273</f>
        <v>0</v>
      </c>
      <c r="BP273" s="50"/>
      <c r="BR273" s="146">
        <f t="array" ref="BR273">IFERROR(LARGE(IF(NF!$G$2:$G$3137='Mês atual'!A273,NF!$J$2:$J$3137),1),0)</f>
        <v>0</v>
      </c>
      <c r="BS273" s="142" t="str">
        <f>VLOOKUP(A273,NF!M:O,3,0)</f>
        <v>Escritório</v>
      </c>
      <c r="BV273" s="74">
        <f t="shared" si="193"/>
        <v>0</v>
      </c>
      <c r="BW273" s="74">
        <f t="shared" si="194"/>
        <v>0</v>
      </c>
      <c r="BX273" s="74">
        <f t="shared" si="195"/>
        <v>0</v>
      </c>
      <c r="BY273" s="74">
        <f t="shared" si="196"/>
        <v>0</v>
      </c>
      <c r="BZ273" s="74">
        <f t="shared" si="197"/>
        <v>0</v>
      </c>
    </row>
    <row r="274" spans="1:78" x14ac:dyDescent="0.25">
      <c r="A274" s="108" t="s">
        <v>976</v>
      </c>
      <c r="B274" s="12"/>
      <c r="C274" s="9">
        <v>0</v>
      </c>
      <c r="D274" s="25"/>
      <c r="E274" s="10" t="str">
        <f t="shared" si="177"/>
        <v>MarçoSEMANA 1Bobina Térmica Amarela</v>
      </c>
      <c r="F274" s="7">
        <f>SUMIF(NF!$A:$A,$E274,NF!$I:$I)</f>
        <v>0</v>
      </c>
      <c r="G274" s="74"/>
      <c r="H274" s="74"/>
      <c r="I274" s="74"/>
      <c r="J274" s="6"/>
      <c r="K274" s="6"/>
      <c r="L274" s="6"/>
      <c r="M274" s="6"/>
      <c r="N274" s="7">
        <f t="shared" si="178"/>
        <v>0</v>
      </c>
      <c r="O274" s="11">
        <f t="shared" si="179"/>
        <v>0</v>
      </c>
      <c r="P274" s="25"/>
      <c r="Q274" s="10" t="str">
        <f t="shared" si="180"/>
        <v>MarçoSEMANA 2Bobina Térmica Amarela</v>
      </c>
      <c r="R274" s="7">
        <f>SUMIF(NF!$A:$A,$Q274,NF!$I:$I)</f>
        <v>0</v>
      </c>
      <c r="S274" s="6"/>
      <c r="T274" s="6"/>
      <c r="U274" s="6"/>
      <c r="V274" s="6"/>
      <c r="W274" s="6"/>
      <c r="X274" s="6"/>
      <c r="Y274" s="6"/>
      <c r="Z274" s="7">
        <f t="shared" si="181"/>
        <v>0</v>
      </c>
      <c r="AA274" s="11">
        <f t="shared" si="182"/>
        <v>0</v>
      </c>
      <c r="AB274" s="25"/>
      <c r="AC274" s="10" t="str">
        <f t="shared" si="183"/>
        <v>MarçoSEMANA 3Bobina Térmica Amarela</v>
      </c>
      <c r="AD274" s="7">
        <f>SUMIF(NF!$A:$A,$AC274,NF!$I:$I)</f>
        <v>0</v>
      </c>
      <c r="AE274" s="6"/>
      <c r="AF274" s="6"/>
      <c r="AG274" s="6"/>
      <c r="AH274" s="6"/>
      <c r="AI274" s="6"/>
      <c r="AJ274" s="6"/>
      <c r="AK274" s="6"/>
      <c r="AL274" s="7">
        <f t="shared" si="184"/>
        <v>0</v>
      </c>
      <c r="AM274" s="11">
        <f t="shared" si="185"/>
        <v>0</v>
      </c>
      <c r="AN274" s="25"/>
      <c r="AO274" s="10" t="str">
        <f t="shared" si="186"/>
        <v>MarçoSEMANA 4Bobina Térmica Amarela</v>
      </c>
      <c r="AP274" s="7">
        <f>SUMIF(NF!$A:$A,$AO274,NF!$I:$I)</f>
        <v>0</v>
      </c>
      <c r="AQ274" s="6"/>
      <c r="AR274" s="6"/>
      <c r="AS274" s="6"/>
      <c r="AT274" s="6"/>
      <c r="AU274" s="6"/>
      <c r="AV274" s="6"/>
      <c r="AW274" s="6"/>
      <c r="AX274" s="7">
        <f t="shared" si="187"/>
        <v>0</v>
      </c>
      <c r="AY274" s="11">
        <f t="shared" si="188"/>
        <v>0</v>
      </c>
      <c r="AZ274" s="25"/>
      <c r="BA274" s="10" t="str">
        <f t="shared" si="189"/>
        <v>MarçoSEMANA 5Bobina Térmica Amarela</v>
      </c>
      <c r="BB274" s="7">
        <f>SUMIF(NF!$A:$A,$BA274,NF!$I:$I)</f>
        <v>0</v>
      </c>
      <c r="BC274" s="6"/>
      <c r="BD274" s="6"/>
      <c r="BE274" s="6"/>
      <c r="BF274" s="6"/>
      <c r="BG274" s="6"/>
      <c r="BH274" s="6"/>
      <c r="BI274" s="74"/>
      <c r="BJ274" s="74"/>
      <c r="BK274" s="7">
        <f t="shared" si="190"/>
        <v>0</v>
      </c>
      <c r="BL274" s="8">
        <f t="shared" si="191"/>
        <v>0</v>
      </c>
      <c r="BM274" s="51" t="str">
        <f>IFERROR(VLOOKUP(A274,NF!$M:$O,3,0),"")</f>
        <v>Escritório</v>
      </c>
      <c r="BN274" s="7">
        <f t="shared" si="192"/>
        <v>0</v>
      </c>
      <c r="BO274" s="8">
        <f t="array" ref="BO274">IFERROR(LARGE(IF(NF!$G$2:$G$3137='Mês atual'!A274,NF!$J$2:$J$3137),1),0)*BN274</f>
        <v>0</v>
      </c>
      <c r="BP274" s="50"/>
      <c r="BR274" s="146">
        <f t="array" ref="BR274">IFERROR(LARGE(IF(NF!$G$2:$G$3137='Mês atual'!A274,NF!$J$2:$J$3137),1),0)</f>
        <v>0</v>
      </c>
      <c r="BS274" s="142" t="str">
        <f>VLOOKUP(A274,NF!M:O,3,0)</f>
        <v>Escritório</v>
      </c>
      <c r="BV274" s="74">
        <f t="shared" si="193"/>
        <v>0</v>
      </c>
      <c r="BW274" s="74">
        <f t="shared" si="194"/>
        <v>0</v>
      </c>
      <c r="BX274" s="74">
        <f t="shared" si="195"/>
        <v>0</v>
      </c>
      <c r="BY274" s="74">
        <f t="shared" si="196"/>
        <v>0</v>
      </c>
      <c r="BZ274" s="74">
        <f t="shared" si="197"/>
        <v>0</v>
      </c>
    </row>
    <row r="275" spans="1:78" x14ac:dyDescent="0.2">
      <c r="A275" s="108" t="s">
        <v>193</v>
      </c>
      <c r="B275" s="12"/>
      <c r="C275" s="9">
        <v>0</v>
      </c>
      <c r="D275" s="25"/>
      <c r="E275" s="10" t="str">
        <f t="shared" si="177"/>
        <v>MarçoSEMANA 1Borracha</v>
      </c>
      <c r="F275" s="7">
        <f>SUMIF(NF!$A:$A,$E275,NF!$I:$I)</f>
        <v>0</v>
      </c>
      <c r="G275" s="74"/>
      <c r="H275" s="74"/>
      <c r="I275" s="74"/>
      <c r="J275" s="6"/>
      <c r="K275" s="6"/>
      <c r="L275" s="6"/>
      <c r="M275" s="6"/>
      <c r="N275" s="7">
        <f t="shared" si="178"/>
        <v>0</v>
      </c>
      <c r="O275" s="11">
        <f t="shared" si="179"/>
        <v>0</v>
      </c>
      <c r="P275" s="25"/>
      <c r="Q275" s="10" t="str">
        <f t="shared" si="180"/>
        <v>MarçoSEMANA 2Borracha</v>
      </c>
      <c r="R275" s="7">
        <f>SUMIF(NF!$A:$A,$Q275,NF!$I:$I)</f>
        <v>0</v>
      </c>
      <c r="S275" s="6"/>
      <c r="T275" s="6"/>
      <c r="U275" s="6"/>
      <c r="V275" s="6"/>
      <c r="W275" s="6"/>
      <c r="X275" s="6"/>
      <c r="Y275" s="6"/>
      <c r="Z275" s="7">
        <f t="shared" si="181"/>
        <v>0</v>
      </c>
      <c r="AA275" s="11">
        <f t="shared" si="182"/>
        <v>0</v>
      </c>
      <c r="AB275" s="25"/>
      <c r="AC275" s="10" t="str">
        <f t="shared" si="183"/>
        <v>MarçoSEMANA 3Borracha</v>
      </c>
      <c r="AD275" s="7">
        <f>SUMIF(NF!$A:$A,$AC275,NF!$I:$I)</f>
        <v>0</v>
      </c>
      <c r="AE275" s="6"/>
      <c r="AF275" s="6"/>
      <c r="AG275" s="6"/>
      <c r="AH275" s="6"/>
      <c r="AI275" s="6"/>
      <c r="AJ275" s="6"/>
      <c r="AK275" s="6"/>
      <c r="AL275" s="7">
        <f t="shared" si="184"/>
        <v>0</v>
      </c>
      <c r="AM275" s="11">
        <f t="shared" si="185"/>
        <v>0</v>
      </c>
      <c r="AN275" s="25"/>
      <c r="AO275" s="10" t="str">
        <f t="shared" si="186"/>
        <v>MarçoSEMANA 4Borracha</v>
      </c>
      <c r="AP275" s="7">
        <f>SUMIF(NF!$A:$A,$AO275,NF!$I:$I)</f>
        <v>0</v>
      </c>
      <c r="AQ275" s="6"/>
      <c r="AR275" s="6"/>
      <c r="AS275" s="6"/>
      <c r="AT275" s="6"/>
      <c r="AU275" s="6"/>
      <c r="AV275" s="6"/>
      <c r="AW275" s="6"/>
      <c r="AX275" s="7">
        <f t="shared" si="187"/>
        <v>0</v>
      </c>
      <c r="AY275" s="11">
        <f t="shared" si="188"/>
        <v>0</v>
      </c>
      <c r="AZ275" s="25"/>
      <c r="BA275" s="10" t="str">
        <f t="shared" si="189"/>
        <v>MarçoSEMANA 5Borracha</v>
      </c>
      <c r="BB275" s="7">
        <f>SUMIF(NF!$A:$A,$BA275,NF!$I:$I)</f>
        <v>0</v>
      </c>
      <c r="BC275" s="6"/>
      <c r="BD275" s="6"/>
      <c r="BE275" s="6"/>
      <c r="BF275" s="6"/>
      <c r="BG275" s="6"/>
      <c r="BH275" s="6"/>
      <c r="BI275" s="74"/>
      <c r="BJ275" s="74"/>
      <c r="BK275" s="7">
        <f t="shared" si="190"/>
        <v>0</v>
      </c>
      <c r="BL275" s="8">
        <f t="shared" si="191"/>
        <v>0</v>
      </c>
      <c r="BM275" s="51" t="str">
        <f>IFERROR(VLOOKUP(A275,NF!$M:$O,3,0),"")</f>
        <v>Escritório</v>
      </c>
      <c r="BN275" s="7">
        <f t="shared" si="192"/>
        <v>0</v>
      </c>
      <c r="BO275" s="8">
        <f t="array" ref="BO275">IFERROR(LARGE(IF(NF!$G$2:$G$3137='Mês atual'!A275,NF!$J$2:$J$3137),1),0)*BN275</f>
        <v>0</v>
      </c>
      <c r="BP275" s="50"/>
      <c r="BR275" s="146">
        <f t="array" ref="BR275">IFERROR(LARGE(IF(NF!$G$2:$G$3137='Mês atual'!A275,NF!$J$2:$J$3137),1),0)</f>
        <v>0</v>
      </c>
      <c r="BS275" s="142" t="str">
        <f>VLOOKUP(A275,NF!M:O,3,0)</f>
        <v>Escritório</v>
      </c>
      <c r="BV275" s="74">
        <f t="shared" si="193"/>
        <v>0</v>
      </c>
      <c r="BW275" s="74">
        <f t="shared" si="194"/>
        <v>0</v>
      </c>
      <c r="BX275" s="74">
        <f t="shared" si="195"/>
        <v>0</v>
      </c>
      <c r="BY275" s="74">
        <f t="shared" si="196"/>
        <v>0</v>
      </c>
      <c r="BZ275" s="74">
        <f t="shared" si="197"/>
        <v>0</v>
      </c>
    </row>
    <row r="276" spans="1:78" x14ac:dyDescent="0.25">
      <c r="A276" s="108" t="s">
        <v>977</v>
      </c>
      <c r="B276" s="12"/>
      <c r="C276" s="9">
        <v>0</v>
      </c>
      <c r="D276" s="25"/>
      <c r="E276" s="10" t="str">
        <f t="shared" si="177"/>
        <v>MarçoSEMANA 1Caderno Universitário 96F</v>
      </c>
      <c r="F276" s="7">
        <f>SUMIF(NF!$A:$A,$E276,NF!$I:$I)</f>
        <v>0</v>
      </c>
      <c r="G276" s="74"/>
      <c r="H276" s="74"/>
      <c r="I276" s="74"/>
      <c r="J276" s="6"/>
      <c r="K276" s="6"/>
      <c r="L276" s="6"/>
      <c r="M276" s="6"/>
      <c r="N276" s="7">
        <f t="shared" si="178"/>
        <v>0</v>
      </c>
      <c r="O276" s="11">
        <f t="shared" si="179"/>
        <v>0</v>
      </c>
      <c r="P276" s="25"/>
      <c r="Q276" s="10" t="str">
        <f t="shared" si="180"/>
        <v>MarçoSEMANA 2Caderno Universitário 96F</v>
      </c>
      <c r="R276" s="7">
        <f>SUMIF(NF!$A:$A,$Q276,NF!$I:$I)</f>
        <v>1</v>
      </c>
      <c r="S276" s="6"/>
      <c r="T276" s="6"/>
      <c r="U276" s="6"/>
      <c r="V276" s="6"/>
      <c r="W276" s="6"/>
      <c r="X276" s="6"/>
      <c r="Y276" s="6"/>
      <c r="Z276" s="7">
        <f t="shared" si="181"/>
        <v>0</v>
      </c>
      <c r="AA276" s="11">
        <f t="shared" si="182"/>
        <v>1</v>
      </c>
      <c r="AB276" s="25"/>
      <c r="AC276" s="10" t="str">
        <f t="shared" si="183"/>
        <v>MarçoSEMANA 3Caderno Universitário 96F</v>
      </c>
      <c r="AD276" s="7">
        <f>SUMIF(NF!$A:$A,$AC276,NF!$I:$I)</f>
        <v>0</v>
      </c>
      <c r="AE276" s="6"/>
      <c r="AF276" s="6"/>
      <c r="AG276" s="6"/>
      <c r="AH276" s="6"/>
      <c r="AI276" s="6"/>
      <c r="AJ276" s="6"/>
      <c r="AK276" s="6"/>
      <c r="AL276" s="7">
        <f t="shared" si="184"/>
        <v>0</v>
      </c>
      <c r="AM276" s="11">
        <f t="shared" si="185"/>
        <v>1</v>
      </c>
      <c r="AN276" s="25"/>
      <c r="AO276" s="10" t="str">
        <f t="shared" si="186"/>
        <v>MarçoSEMANA 4Caderno Universitário 96F</v>
      </c>
      <c r="AP276" s="7">
        <f>SUMIF(NF!$A:$A,$AO276,NF!$I:$I)</f>
        <v>0</v>
      </c>
      <c r="AQ276" s="6"/>
      <c r="AR276" s="6"/>
      <c r="AS276" s="6"/>
      <c r="AT276" s="6"/>
      <c r="AU276" s="6"/>
      <c r="AV276" s="6"/>
      <c r="AW276" s="6"/>
      <c r="AX276" s="7">
        <f t="shared" si="187"/>
        <v>0</v>
      </c>
      <c r="AY276" s="11">
        <f t="shared" si="188"/>
        <v>1</v>
      </c>
      <c r="AZ276" s="25"/>
      <c r="BA276" s="10" t="str">
        <f t="shared" si="189"/>
        <v>MarçoSEMANA 5Caderno Universitário 96F</v>
      </c>
      <c r="BB276" s="7">
        <f>SUMIF(NF!$A:$A,$BA276,NF!$I:$I)</f>
        <v>0</v>
      </c>
      <c r="BC276" s="6"/>
      <c r="BD276" s="6"/>
      <c r="BE276" s="6"/>
      <c r="BF276" s="6"/>
      <c r="BG276" s="6"/>
      <c r="BH276" s="6"/>
      <c r="BI276" s="74"/>
      <c r="BJ276" s="74"/>
      <c r="BK276" s="7">
        <f t="shared" si="190"/>
        <v>0</v>
      </c>
      <c r="BL276" s="8">
        <f t="shared" si="191"/>
        <v>1</v>
      </c>
      <c r="BM276" s="51" t="str">
        <f>IFERROR(VLOOKUP(A276,NF!$M:$O,3,0),"")</f>
        <v>Escritório</v>
      </c>
      <c r="BN276" s="7">
        <f t="shared" si="192"/>
        <v>0</v>
      </c>
      <c r="BO276" s="8">
        <f t="array" ref="BO276">IFERROR(LARGE(IF(NF!$G$2:$G$3137='Mês atual'!A276,NF!$J$2:$J$3137),1),0)*BN276</f>
        <v>0</v>
      </c>
      <c r="BP276" s="50"/>
      <c r="BR276" s="146">
        <f t="array" ref="BR276">IFERROR(LARGE(IF(NF!$G$2:$G$3137='Mês atual'!A276,NF!$J$2:$J$3137),1),0)</f>
        <v>8.4700000000000006</v>
      </c>
      <c r="BS276" s="142" t="str">
        <f>VLOOKUP(A276,NF!M:O,3,0)</f>
        <v>Escritório</v>
      </c>
      <c r="BV276" s="74">
        <f t="shared" si="193"/>
        <v>0</v>
      </c>
      <c r="BW276" s="74">
        <f t="shared" si="194"/>
        <v>0</v>
      </c>
      <c r="BX276" s="74">
        <f t="shared" si="195"/>
        <v>0</v>
      </c>
      <c r="BY276" s="74">
        <f t="shared" si="196"/>
        <v>0</v>
      </c>
      <c r="BZ276" s="74">
        <f t="shared" si="197"/>
        <v>0</v>
      </c>
    </row>
    <row r="277" spans="1:78" x14ac:dyDescent="0.2">
      <c r="A277" s="108" t="s">
        <v>205</v>
      </c>
      <c r="B277" s="12"/>
      <c r="C277" s="9">
        <v>0</v>
      </c>
      <c r="D277" s="25"/>
      <c r="E277" s="10" t="str">
        <f t="shared" si="177"/>
        <v>MarçoSEMANA 1Caneta Azul</v>
      </c>
      <c r="F277" s="7">
        <f>SUMIF(NF!$A:$A,$E277,NF!$I:$I)</f>
        <v>0</v>
      </c>
      <c r="G277" s="74"/>
      <c r="H277" s="74"/>
      <c r="I277" s="74"/>
      <c r="J277" s="6"/>
      <c r="K277" s="6"/>
      <c r="L277" s="6"/>
      <c r="M277" s="6"/>
      <c r="N277" s="7">
        <f t="shared" ref="N277:N288" si="198">SUM(G277:M277)</f>
        <v>0</v>
      </c>
      <c r="O277" s="11">
        <f t="shared" si="179"/>
        <v>0</v>
      </c>
      <c r="P277" s="25"/>
      <c r="Q277" s="10" t="str">
        <f t="shared" si="180"/>
        <v>MarçoSEMANA 2Caneta Azul</v>
      </c>
      <c r="R277" s="7">
        <f>SUMIF(NF!$A:$A,$Q277,NF!$I:$I)</f>
        <v>12</v>
      </c>
      <c r="S277" s="6"/>
      <c r="T277" s="6"/>
      <c r="U277" s="6"/>
      <c r="V277" s="6"/>
      <c r="W277" s="6"/>
      <c r="X277" s="6"/>
      <c r="Y277" s="6"/>
      <c r="Z277" s="7">
        <f t="shared" ref="Z277:Z288" si="199">SUM(S277:Y277)</f>
        <v>0</v>
      </c>
      <c r="AA277" s="11">
        <f t="shared" si="182"/>
        <v>12</v>
      </c>
      <c r="AB277" s="25"/>
      <c r="AC277" s="10" t="str">
        <f t="shared" si="183"/>
        <v>MarçoSEMANA 3Caneta Azul</v>
      </c>
      <c r="AD277" s="7">
        <f>SUMIF(NF!$A:$A,$AC277,NF!$I:$I)</f>
        <v>0</v>
      </c>
      <c r="AE277" s="6"/>
      <c r="AF277" s="6"/>
      <c r="AG277" s="6"/>
      <c r="AH277" s="6"/>
      <c r="AI277" s="6"/>
      <c r="AJ277" s="6"/>
      <c r="AK277" s="6"/>
      <c r="AL277" s="7">
        <f t="shared" ref="AL277:AL288" si="200">SUM(AE277:AK277)</f>
        <v>0</v>
      </c>
      <c r="AM277" s="11">
        <f t="shared" si="185"/>
        <v>12</v>
      </c>
      <c r="AN277" s="25"/>
      <c r="AO277" s="10" t="str">
        <f t="shared" si="186"/>
        <v>MarçoSEMANA 4Caneta Azul</v>
      </c>
      <c r="AP277" s="7">
        <f>SUMIF(NF!$A:$A,$AO277,NF!$I:$I)</f>
        <v>0</v>
      </c>
      <c r="AQ277" s="6"/>
      <c r="AR277" s="6"/>
      <c r="AS277" s="6"/>
      <c r="AT277" s="6"/>
      <c r="AU277" s="6"/>
      <c r="AV277" s="6"/>
      <c r="AW277" s="6"/>
      <c r="AX277" s="7">
        <f t="shared" ref="AX277:AX288" si="201">SUM(AQ277:AW277)</f>
        <v>0</v>
      </c>
      <c r="AY277" s="11">
        <f t="shared" si="188"/>
        <v>12</v>
      </c>
      <c r="AZ277" s="25"/>
      <c r="BA277" s="10" t="str">
        <f t="shared" si="189"/>
        <v>MarçoSEMANA 5Caneta Azul</v>
      </c>
      <c r="BB277" s="7">
        <f>SUMIF(NF!$A:$A,$BA277,NF!$I:$I)</f>
        <v>0</v>
      </c>
      <c r="BC277" s="6"/>
      <c r="BD277" s="6"/>
      <c r="BE277" s="6"/>
      <c r="BF277" s="6"/>
      <c r="BG277" s="6"/>
      <c r="BH277" s="6"/>
      <c r="BI277" s="74"/>
      <c r="BJ277" s="74"/>
      <c r="BK277" s="7">
        <f t="shared" ref="BK277:BK288" si="202">SUM(BC277:BJ277)</f>
        <v>0</v>
      </c>
      <c r="BL277" s="8">
        <f t="shared" si="191"/>
        <v>12</v>
      </c>
      <c r="BM277" s="51" t="str">
        <f>IFERROR(VLOOKUP(A277,NF!$M:$O,3,0),"")</f>
        <v>Escritório</v>
      </c>
      <c r="BN277" s="7">
        <f t="shared" si="192"/>
        <v>0</v>
      </c>
      <c r="BO277" s="8">
        <f t="array" ref="BO277">IFERROR(LARGE(IF(NF!$G$2:$G$3137='Mês atual'!A277,NF!$J$2:$J$3137),1),0)*BN277</f>
        <v>0</v>
      </c>
      <c r="BP277" s="50"/>
      <c r="BR277" s="146">
        <f t="array" ref="BR277">IFERROR(LARGE(IF(NF!$G$2:$G$3137='Mês atual'!A277,NF!$J$2:$J$3137),1),0)</f>
        <v>39.380000000000003</v>
      </c>
      <c r="BS277" s="142" t="str">
        <f>VLOOKUP(A277,NF!M:O,3,0)</f>
        <v>Escritório</v>
      </c>
      <c r="BV277" s="74">
        <f t="shared" si="193"/>
        <v>0</v>
      </c>
      <c r="BW277" s="74">
        <f t="shared" si="194"/>
        <v>0</v>
      </c>
      <c r="BX277" s="74">
        <f t="shared" si="195"/>
        <v>0</v>
      </c>
      <c r="BY277" s="74">
        <f t="shared" si="196"/>
        <v>0</v>
      </c>
      <c r="BZ277" s="74">
        <f t="shared" si="197"/>
        <v>0</v>
      </c>
    </row>
    <row r="278" spans="1:78" x14ac:dyDescent="0.2">
      <c r="A278" s="108" t="s">
        <v>206</v>
      </c>
      <c r="B278" s="12"/>
      <c r="C278" s="9">
        <v>0</v>
      </c>
      <c r="D278" s="25"/>
      <c r="E278" s="10" t="str">
        <f t="shared" si="177"/>
        <v>MarçoSEMANA 1Caneta Pilot</v>
      </c>
      <c r="F278" s="7">
        <f>SUMIF(NF!$A:$A,$E278,NF!$I:$I)</f>
        <v>0</v>
      </c>
      <c r="G278" s="74"/>
      <c r="H278" s="74"/>
      <c r="I278" s="74"/>
      <c r="J278" s="6"/>
      <c r="K278" s="6"/>
      <c r="L278" s="6"/>
      <c r="M278" s="6"/>
      <c r="N278" s="7">
        <f t="shared" si="198"/>
        <v>0</v>
      </c>
      <c r="O278" s="11">
        <f t="shared" si="179"/>
        <v>0</v>
      </c>
      <c r="P278" s="25"/>
      <c r="Q278" s="10" t="str">
        <f t="shared" si="180"/>
        <v>MarçoSEMANA 2Caneta Pilot</v>
      </c>
      <c r="R278" s="7">
        <f>SUMIF(NF!$A:$A,$Q278,NF!$I:$I)</f>
        <v>0</v>
      </c>
      <c r="S278" s="6"/>
      <c r="T278" s="6"/>
      <c r="U278" s="6"/>
      <c r="V278" s="6"/>
      <c r="W278" s="6"/>
      <c r="X278" s="6"/>
      <c r="Y278" s="6"/>
      <c r="Z278" s="7">
        <f t="shared" si="199"/>
        <v>0</v>
      </c>
      <c r="AA278" s="11">
        <f t="shared" si="182"/>
        <v>0</v>
      </c>
      <c r="AB278" s="25"/>
      <c r="AC278" s="10" t="str">
        <f t="shared" si="183"/>
        <v>MarçoSEMANA 3Caneta Pilot</v>
      </c>
      <c r="AD278" s="7">
        <f>SUMIF(NF!$A:$A,$AC278,NF!$I:$I)</f>
        <v>0</v>
      </c>
      <c r="AE278" s="6"/>
      <c r="AF278" s="6"/>
      <c r="AG278" s="6"/>
      <c r="AH278" s="6"/>
      <c r="AI278" s="6"/>
      <c r="AJ278" s="6"/>
      <c r="AK278" s="6"/>
      <c r="AL278" s="7">
        <f t="shared" si="200"/>
        <v>0</v>
      </c>
      <c r="AM278" s="11">
        <f t="shared" si="185"/>
        <v>0</v>
      </c>
      <c r="AN278" s="25"/>
      <c r="AO278" s="10" t="str">
        <f t="shared" si="186"/>
        <v>MarçoSEMANA 4Caneta Pilot</v>
      </c>
      <c r="AP278" s="7">
        <f>SUMIF(NF!$A:$A,$AO278,NF!$I:$I)</f>
        <v>0</v>
      </c>
      <c r="AQ278" s="6"/>
      <c r="AR278" s="6"/>
      <c r="AS278" s="6"/>
      <c r="AT278" s="6"/>
      <c r="AU278" s="6"/>
      <c r="AV278" s="6"/>
      <c r="AW278" s="6"/>
      <c r="AX278" s="7">
        <f t="shared" si="201"/>
        <v>0</v>
      </c>
      <c r="AY278" s="11">
        <f t="shared" si="188"/>
        <v>0</v>
      </c>
      <c r="AZ278" s="25"/>
      <c r="BA278" s="10" t="str">
        <f t="shared" si="189"/>
        <v>MarçoSEMANA 5Caneta Pilot</v>
      </c>
      <c r="BB278" s="7">
        <f>SUMIF(NF!$A:$A,$BA278,NF!$I:$I)</f>
        <v>0</v>
      </c>
      <c r="BC278" s="6"/>
      <c r="BD278" s="6"/>
      <c r="BE278" s="6"/>
      <c r="BF278" s="6"/>
      <c r="BG278" s="6"/>
      <c r="BH278" s="6"/>
      <c r="BI278" s="74"/>
      <c r="BJ278" s="74"/>
      <c r="BK278" s="7">
        <f t="shared" si="202"/>
        <v>0</v>
      </c>
      <c r="BL278" s="8">
        <f t="shared" si="191"/>
        <v>0</v>
      </c>
      <c r="BM278" s="51" t="str">
        <f>IFERROR(VLOOKUP(A278,NF!$M:$O,3,0),"")</f>
        <v>Escritório</v>
      </c>
      <c r="BN278" s="7">
        <f t="shared" si="192"/>
        <v>0</v>
      </c>
      <c r="BO278" s="8">
        <f t="array" ref="BO278">IFERROR(LARGE(IF(NF!$G$2:$G$3137='Mês atual'!A278,NF!$J$2:$J$3137),1),0)*BN278</f>
        <v>0</v>
      </c>
      <c r="BP278" s="50"/>
      <c r="BR278" s="146">
        <f t="array" ref="BR278">IFERROR(LARGE(IF(NF!$G$2:$G$3137='Mês atual'!A278,NF!$J$2:$J$3137),1),0)</f>
        <v>0</v>
      </c>
      <c r="BS278" s="142" t="str">
        <f>VLOOKUP(A278,NF!M:O,3,0)</f>
        <v>Escritório</v>
      </c>
      <c r="BV278" s="74">
        <f t="shared" si="193"/>
        <v>0</v>
      </c>
      <c r="BW278" s="74">
        <f t="shared" si="194"/>
        <v>0</v>
      </c>
      <c r="BX278" s="74">
        <f t="shared" si="195"/>
        <v>0</v>
      </c>
      <c r="BY278" s="74">
        <f t="shared" si="196"/>
        <v>0</v>
      </c>
      <c r="BZ278" s="74">
        <f t="shared" si="197"/>
        <v>0</v>
      </c>
    </row>
    <row r="279" spans="1:78" x14ac:dyDescent="0.2">
      <c r="A279" s="108" t="s">
        <v>207</v>
      </c>
      <c r="B279" s="12"/>
      <c r="C279" s="9">
        <v>0</v>
      </c>
      <c r="D279" s="25"/>
      <c r="E279" s="10" t="str">
        <f t="shared" si="177"/>
        <v>MarçoSEMANA 1Caneta Vermelha</v>
      </c>
      <c r="F279" s="7">
        <f>SUMIF(NF!$A:$A,$E279,NF!$I:$I)</f>
        <v>0</v>
      </c>
      <c r="G279" s="74"/>
      <c r="H279" s="74"/>
      <c r="I279" s="74"/>
      <c r="J279" s="6"/>
      <c r="K279" s="6"/>
      <c r="L279" s="6"/>
      <c r="M279" s="6"/>
      <c r="N279" s="7">
        <f t="shared" si="198"/>
        <v>0</v>
      </c>
      <c r="O279" s="11">
        <f t="shared" si="179"/>
        <v>0</v>
      </c>
      <c r="P279" s="25"/>
      <c r="Q279" s="10" t="str">
        <f t="shared" si="180"/>
        <v>MarçoSEMANA 2Caneta Vermelha</v>
      </c>
      <c r="R279" s="7">
        <f>SUMIF(NF!$A:$A,$Q279,NF!$I:$I)</f>
        <v>0</v>
      </c>
      <c r="S279" s="6"/>
      <c r="T279" s="6"/>
      <c r="U279" s="6"/>
      <c r="V279" s="6"/>
      <c r="W279" s="6"/>
      <c r="X279" s="6"/>
      <c r="Y279" s="6"/>
      <c r="Z279" s="7">
        <f t="shared" si="199"/>
        <v>0</v>
      </c>
      <c r="AA279" s="11">
        <f t="shared" si="182"/>
        <v>0</v>
      </c>
      <c r="AB279" s="25"/>
      <c r="AC279" s="10" t="str">
        <f t="shared" si="183"/>
        <v>MarçoSEMANA 3Caneta Vermelha</v>
      </c>
      <c r="AD279" s="7">
        <f>SUMIF(NF!$A:$A,$AC279,NF!$I:$I)</f>
        <v>0</v>
      </c>
      <c r="AE279" s="6"/>
      <c r="AF279" s="6"/>
      <c r="AG279" s="6"/>
      <c r="AH279" s="6"/>
      <c r="AI279" s="6"/>
      <c r="AJ279" s="6"/>
      <c r="AK279" s="6"/>
      <c r="AL279" s="7">
        <f t="shared" si="200"/>
        <v>0</v>
      </c>
      <c r="AM279" s="11">
        <f t="shared" si="185"/>
        <v>0</v>
      </c>
      <c r="AN279" s="25"/>
      <c r="AO279" s="10" t="str">
        <f t="shared" si="186"/>
        <v>MarçoSEMANA 4Caneta Vermelha</v>
      </c>
      <c r="AP279" s="7">
        <f>SUMIF(NF!$A:$A,$AO279,NF!$I:$I)</f>
        <v>0</v>
      </c>
      <c r="AQ279" s="6"/>
      <c r="AR279" s="6"/>
      <c r="AS279" s="6"/>
      <c r="AT279" s="6"/>
      <c r="AU279" s="6"/>
      <c r="AV279" s="6"/>
      <c r="AW279" s="6"/>
      <c r="AX279" s="7">
        <f t="shared" si="201"/>
        <v>0</v>
      </c>
      <c r="AY279" s="11">
        <f t="shared" si="188"/>
        <v>0</v>
      </c>
      <c r="AZ279" s="25"/>
      <c r="BA279" s="10" t="str">
        <f t="shared" si="189"/>
        <v>MarçoSEMANA 5Caneta Vermelha</v>
      </c>
      <c r="BB279" s="7">
        <f>SUMIF(NF!$A:$A,$BA279,NF!$I:$I)</f>
        <v>0</v>
      </c>
      <c r="BC279" s="6"/>
      <c r="BD279" s="6"/>
      <c r="BE279" s="6"/>
      <c r="BF279" s="6"/>
      <c r="BG279" s="6"/>
      <c r="BH279" s="6"/>
      <c r="BI279" s="74"/>
      <c r="BJ279" s="74"/>
      <c r="BK279" s="7">
        <f t="shared" si="202"/>
        <v>0</v>
      </c>
      <c r="BL279" s="8">
        <f t="shared" si="191"/>
        <v>0</v>
      </c>
      <c r="BM279" s="51" t="str">
        <f>IFERROR(VLOOKUP(A279,NF!$M:$O,3,0),"")</f>
        <v>Escritório</v>
      </c>
      <c r="BN279" s="7">
        <f t="shared" si="192"/>
        <v>0</v>
      </c>
      <c r="BO279" s="8">
        <f t="array" ref="BO279">IFERROR(LARGE(IF(NF!$G$2:$G$3137='Mês atual'!A279,NF!$J$2:$J$3137),1),0)*BN279</f>
        <v>0</v>
      </c>
      <c r="BP279" s="50"/>
      <c r="BR279" s="146">
        <f t="array" ref="BR279">IFERROR(LARGE(IF(NF!$G$2:$G$3137='Mês atual'!A279,NF!$J$2:$J$3137),1),0)</f>
        <v>0</v>
      </c>
      <c r="BS279" s="142" t="str">
        <f>VLOOKUP(A279,NF!M:O,3,0)</f>
        <v>Escritório</v>
      </c>
      <c r="BV279" s="74">
        <f t="shared" si="193"/>
        <v>0</v>
      </c>
      <c r="BW279" s="74">
        <f t="shared" si="194"/>
        <v>0</v>
      </c>
      <c r="BX279" s="74">
        <f t="shared" si="195"/>
        <v>0</v>
      </c>
      <c r="BY279" s="74">
        <f t="shared" si="196"/>
        <v>0</v>
      </c>
      <c r="BZ279" s="74">
        <f t="shared" si="197"/>
        <v>0</v>
      </c>
    </row>
    <row r="280" spans="1:78" x14ac:dyDescent="0.25">
      <c r="A280" s="108" t="s">
        <v>235</v>
      </c>
      <c r="B280" s="12"/>
      <c r="C280" s="9">
        <v>0</v>
      </c>
      <c r="D280" s="25"/>
      <c r="E280" s="10" t="str">
        <f t="shared" si="177"/>
        <v>MarçoSEMANA 1Cartão Ponto Mensal</v>
      </c>
      <c r="F280" s="7">
        <f>SUMIF(NF!$A:$A,$E280,NF!$I:$I)</f>
        <v>0</v>
      </c>
      <c r="G280" s="74"/>
      <c r="H280" s="74"/>
      <c r="I280" s="74"/>
      <c r="J280" s="6"/>
      <c r="K280" s="6"/>
      <c r="L280" s="6"/>
      <c r="M280" s="6"/>
      <c r="N280" s="7">
        <f t="shared" si="198"/>
        <v>0</v>
      </c>
      <c r="O280" s="11">
        <f t="shared" si="179"/>
        <v>0</v>
      </c>
      <c r="P280" s="25"/>
      <c r="Q280" s="10" t="str">
        <f t="shared" si="180"/>
        <v>MarçoSEMANA 2Cartão Ponto Mensal</v>
      </c>
      <c r="R280" s="7">
        <f>SUMIF(NF!$A:$A,$Q280,NF!$I:$I)</f>
        <v>1</v>
      </c>
      <c r="S280" s="6"/>
      <c r="T280" s="6"/>
      <c r="U280" s="6"/>
      <c r="V280" s="6"/>
      <c r="W280" s="6">
        <v>1</v>
      </c>
      <c r="X280" s="6"/>
      <c r="Y280" s="6"/>
      <c r="Z280" s="7">
        <f t="shared" si="199"/>
        <v>1</v>
      </c>
      <c r="AA280" s="11">
        <f t="shared" si="182"/>
        <v>0</v>
      </c>
      <c r="AB280" s="25"/>
      <c r="AC280" s="10" t="str">
        <f t="shared" si="183"/>
        <v>MarçoSEMANA 3Cartão Ponto Mensal</v>
      </c>
      <c r="AD280" s="7">
        <f>SUMIF(NF!$A:$A,$AC280,NF!$I:$I)</f>
        <v>0</v>
      </c>
      <c r="AE280" s="6"/>
      <c r="AF280" s="6"/>
      <c r="AG280" s="6"/>
      <c r="AH280" s="6"/>
      <c r="AI280" s="6"/>
      <c r="AJ280" s="6"/>
      <c r="AK280" s="6"/>
      <c r="AL280" s="7">
        <f t="shared" si="200"/>
        <v>0</v>
      </c>
      <c r="AM280" s="11">
        <f t="shared" si="185"/>
        <v>0</v>
      </c>
      <c r="AN280" s="25"/>
      <c r="AO280" s="10" t="str">
        <f t="shared" si="186"/>
        <v>MarçoSEMANA 4Cartão Ponto Mensal</v>
      </c>
      <c r="AP280" s="7">
        <f>SUMIF(NF!$A:$A,$AO280,NF!$I:$I)</f>
        <v>0</v>
      </c>
      <c r="AQ280" s="6"/>
      <c r="AR280" s="6"/>
      <c r="AS280" s="6"/>
      <c r="AT280" s="6"/>
      <c r="AU280" s="6"/>
      <c r="AV280" s="6"/>
      <c r="AW280" s="6"/>
      <c r="AX280" s="7">
        <f t="shared" si="201"/>
        <v>0</v>
      </c>
      <c r="AY280" s="11">
        <f t="shared" si="188"/>
        <v>0</v>
      </c>
      <c r="AZ280" s="25"/>
      <c r="BA280" s="10" t="str">
        <f t="shared" si="189"/>
        <v>MarçoSEMANA 5Cartão Ponto Mensal</v>
      </c>
      <c r="BB280" s="7">
        <f>SUMIF(NF!$A:$A,$BA280,NF!$I:$I)</f>
        <v>0</v>
      </c>
      <c r="BC280" s="6"/>
      <c r="BD280" s="6"/>
      <c r="BE280" s="6"/>
      <c r="BF280" s="6"/>
      <c r="BG280" s="6"/>
      <c r="BH280" s="6"/>
      <c r="BI280" s="74"/>
      <c r="BJ280" s="74"/>
      <c r="BK280" s="7">
        <f t="shared" si="202"/>
        <v>0</v>
      </c>
      <c r="BL280" s="8">
        <f t="shared" si="191"/>
        <v>0</v>
      </c>
      <c r="BM280" s="51" t="str">
        <f>IFERROR(VLOOKUP(A280,NF!$M:$O,3,0),"")</f>
        <v>Escritório</v>
      </c>
      <c r="BN280" s="7">
        <f t="shared" si="192"/>
        <v>1</v>
      </c>
      <c r="BO280" s="8">
        <f t="array" ref="BO280">IFERROR(LARGE(IF(NF!$G$2:$G$3137='Mês atual'!A280,NF!$J$2:$J$3137),1),0)*BN280</f>
        <v>16</v>
      </c>
      <c r="BP280" s="50"/>
      <c r="BR280" s="146">
        <f t="array" ref="BR280">IFERROR(LARGE(IF(NF!$G$2:$G$3137='Mês atual'!A280,NF!$J$2:$J$3137),1),0)</f>
        <v>16</v>
      </c>
      <c r="BS280" s="142" t="str">
        <f>VLOOKUP(A280,NF!M:O,3,0)</f>
        <v>Escritório</v>
      </c>
      <c r="BV280" s="74">
        <f t="shared" si="193"/>
        <v>0</v>
      </c>
      <c r="BW280" s="74">
        <f t="shared" si="194"/>
        <v>1</v>
      </c>
      <c r="BX280" s="74">
        <f t="shared" si="195"/>
        <v>0</v>
      </c>
      <c r="BY280" s="74">
        <f t="shared" si="196"/>
        <v>0</v>
      </c>
      <c r="BZ280" s="74">
        <f t="shared" si="197"/>
        <v>0</v>
      </c>
    </row>
    <row r="281" spans="1:78" x14ac:dyDescent="0.2">
      <c r="A281" s="108" t="s">
        <v>236</v>
      </c>
      <c r="B281" s="12"/>
      <c r="C281" s="9">
        <v>0</v>
      </c>
      <c r="D281" s="25"/>
      <c r="E281" s="10" t="str">
        <f t="shared" si="177"/>
        <v xml:space="preserve">MarçoSEMANA 1Cartucho Impressora HP </v>
      </c>
      <c r="F281" s="7">
        <f>SUMIF(NF!$A:$A,$E281,NF!$I:$I)</f>
        <v>0</v>
      </c>
      <c r="G281" s="74"/>
      <c r="H281" s="74"/>
      <c r="I281" s="74"/>
      <c r="J281" s="6"/>
      <c r="K281" s="6"/>
      <c r="L281" s="6"/>
      <c r="M281" s="6"/>
      <c r="N281" s="7">
        <f t="shared" si="198"/>
        <v>0</v>
      </c>
      <c r="O281" s="11">
        <f t="shared" si="179"/>
        <v>0</v>
      </c>
      <c r="P281" s="25"/>
      <c r="Q281" s="10" t="str">
        <f t="shared" si="180"/>
        <v xml:space="preserve">MarçoSEMANA 2Cartucho Impressora HP </v>
      </c>
      <c r="R281" s="7">
        <f>SUMIF(NF!$A:$A,$Q281,NF!$I:$I)</f>
        <v>0</v>
      </c>
      <c r="S281" s="6"/>
      <c r="T281" s="6"/>
      <c r="U281" s="6"/>
      <c r="V281" s="6"/>
      <c r="W281" s="6"/>
      <c r="X281" s="6"/>
      <c r="Y281" s="6"/>
      <c r="Z281" s="7">
        <f t="shared" si="199"/>
        <v>0</v>
      </c>
      <c r="AA281" s="11">
        <f t="shared" si="182"/>
        <v>0</v>
      </c>
      <c r="AB281" s="25"/>
      <c r="AC281" s="10" t="str">
        <f t="shared" si="183"/>
        <v xml:space="preserve">MarçoSEMANA 3Cartucho Impressora HP </v>
      </c>
      <c r="AD281" s="7">
        <f>SUMIF(NF!$A:$A,$AC281,NF!$I:$I)</f>
        <v>0</v>
      </c>
      <c r="AE281" s="6"/>
      <c r="AF281" s="6"/>
      <c r="AG281" s="6"/>
      <c r="AH281" s="6"/>
      <c r="AI281" s="6"/>
      <c r="AJ281" s="6"/>
      <c r="AK281" s="6"/>
      <c r="AL281" s="7">
        <f t="shared" si="200"/>
        <v>0</v>
      </c>
      <c r="AM281" s="11">
        <f t="shared" si="185"/>
        <v>0</v>
      </c>
      <c r="AN281" s="25"/>
      <c r="AO281" s="10" t="str">
        <f t="shared" si="186"/>
        <v xml:space="preserve">MarçoSEMANA 4Cartucho Impressora HP </v>
      </c>
      <c r="AP281" s="7">
        <f>SUMIF(NF!$A:$A,$AO281,NF!$I:$I)</f>
        <v>0</v>
      </c>
      <c r="AQ281" s="6"/>
      <c r="AR281" s="6"/>
      <c r="AS281" s="6"/>
      <c r="AT281" s="6"/>
      <c r="AU281" s="6"/>
      <c r="AV281" s="6"/>
      <c r="AW281" s="6"/>
      <c r="AX281" s="7">
        <f t="shared" si="201"/>
        <v>0</v>
      </c>
      <c r="AY281" s="11">
        <f t="shared" si="188"/>
        <v>0</v>
      </c>
      <c r="AZ281" s="25"/>
      <c r="BA281" s="10" t="str">
        <f t="shared" si="189"/>
        <v xml:space="preserve">MarçoSEMANA 5Cartucho Impressora HP </v>
      </c>
      <c r="BB281" s="7">
        <f>SUMIF(NF!$A:$A,$BA281,NF!$I:$I)</f>
        <v>0</v>
      </c>
      <c r="BC281" s="6"/>
      <c r="BD281" s="6"/>
      <c r="BE281" s="6"/>
      <c r="BF281" s="6"/>
      <c r="BG281" s="6"/>
      <c r="BH281" s="6"/>
      <c r="BI281" s="74"/>
      <c r="BJ281" s="74"/>
      <c r="BK281" s="7">
        <f t="shared" si="202"/>
        <v>0</v>
      </c>
      <c r="BL281" s="8">
        <f t="shared" si="191"/>
        <v>0</v>
      </c>
      <c r="BM281" s="51" t="str">
        <f>IFERROR(VLOOKUP(A281,NF!$M:$O,3,0),"")</f>
        <v>Escritório</v>
      </c>
      <c r="BN281" s="7">
        <f t="shared" si="192"/>
        <v>0</v>
      </c>
      <c r="BO281" s="8">
        <f t="array" ref="BO281">IFERROR(LARGE(IF(NF!$G$2:$G$3137='Mês atual'!A281,NF!$J$2:$J$3137),1),0)*BN281</f>
        <v>0</v>
      </c>
      <c r="BP281" s="50"/>
      <c r="BR281" s="146">
        <f t="array" ref="BR281">IFERROR(LARGE(IF(NF!$G$2:$G$3137='Mês atual'!A281,NF!$J$2:$J$3137),1),0)</f>
        <v>0</v>
      </c>
      <c r="BS281" s="142" t="str">
        <f>VLOOKUP(A281,NF!M:O,3,0)</f>
        <v>Escritório</v>
      </c>
      <c r="BV281" s="74">
        <f t="shared" si="193"/>
        <v>0</v>
      </c>
      <c r="BW281" s="74">
        <f t="shared" si="194"/>
        <v>0</v>
      </c>
      <c r="BX281" s="74">
        <f t="shared" si="195"/>
        <v>0</v>
      </c>
      <c r="BY281" s="74">
        <f t="shared" si="196"/>
        <v>0</v>
      </c>
      <c r="BZ281" s="74">
        <f t="shared" si="197"/>
        <v>0</v>
      </c>
    </row>
    <row r="282" spans="1:78" x14ac:dyDescent="0.2">
      <c r="A282" s="108" t="s">
        <v>283</v>
      </c>
      <c r="B282" s="12"/>
      <c r="C282" s="9">
        <v>0</v>
      </c>
      <c r="D282" s="25"/>
      <c r="E282" s="10" t="str">
        <f t="shared" si="177"/>
        <v>MarçoSEMANA 1Clips Bacchi 2/0</v>
      </c>
      <c r="F282" s="7">
        <f>SUMIF(NF!$A:$A,$E282,NF!$I:$I)</f>
        <v>0</v>
      </c>
      <c r="G282" s="74"/>
      <c r="H282" s="74"/>
      <c r="I282" s="74"/>
      <c r="J282" s="6"/>
      <c r="K282" s="6"/>
      <c r="L282" s="6"/>
      <c r="M282" s="6"/>
      <c r="N282" s="7">
        <f t="shared" si="198"/>
        <v>0</v>
      </c>
      <c r="O282" s="11">
        <f t="shared" si="179"/>
        <v>0</v>
      </c>
      <c r="P282" s="25"/>
      <c r="Q282" s="10" t="str">
        <f t="shared" si="180"/>
        <v>MarçoSEMANA 2Clips Bacchi 2/0</v>
      </c>
      <c r="R282" s="7">
        <f>SUMIF(NF!$A:$A,$Q282,NF!$I:$I)</f>
        <v>0</v>
      </c>
      <c r="S282" s="6"/>
      <c r="T282" s="6"/>
      <c r="U282" s="6"/>
      <c r="V282" s="6"/>
      <c r="W282" s="6"/>
      <c r="X282" s="6"/>
      <c r="Y282" s="6"/>
      <c r="Z282" s="7">
        <f t="shared" si="199"/>
        <v>0</v>
      </c>
      <c r="AA282" s="11">
        <f t="shared" si="182"/>
        <v>0</v>
      </c>
      <c r="AB282" s="25"/>
      <c r="AC282" s="10" t="str">
        <f t="shared" si="183"/>
        <v>MarçoSEMANA 3Clips Bacchi 2/0</v>
      </c>
      <c r="AD282" s="7">
        <f>SUMIF(NF!$A:$A,$AC282,NF!$I:$I)</f>
        <v>0</v>
      </c>
      <c r="AE282" s="6"/>
      <c r="AF282" s="6"/>
      <c r="AG282" s="6"/>
      <c r="AH282" s="6"/>
      <c r="AI282" s="6"/>
      <c r="AJ282" s="6"/>
      <c r="AK282" s="6"/>
      <c r="AL282" s="7">
        <f t="shared" si="200"/>
        <v>0</v>
      </c>
      <c r="AM282" s="11">
        <f t="shared" si="185"/>
        <v>0</v>
      </c>
      <c r="AN282" s="25"/>
      <c r="AO282" s="10" t="str">
        <f t="shared" si="186"/>
        <v>MarçoSEMANA 4Clips Bacchi 2/0</v>
      </c>
      <c r="AP282" s="7">
        <f>SUMIF(NF!$A:$A,$AO282,NF!$I:$I)</f>
        <v>0</v>
      </c>
      <c r="AQ282" s="6"/>
      <c r="AR282" s="6"/>
      <c r="AS282" s="6"/>
      <c r="AT282" s="6"/>
      <c r="AU282" s="6"/>
      <c r="AV282" s="6"/>
      <c r="AW282" s="6"/>
      <c r="AX282" s="7">
        <f t="shared" si="201"/>
        <v>0</v>
      </c>
      <c r="AY282" s="11">
        <f t="shared" si="188"/>
        <v>0</v>
      </c>
      <c r="AZ282" s="25"/>
      <c r="BA282" s="10" t="str">
        <f t="shared" si="189"/>
        <v>MarçoSEMANA 5Clips Bacchi 2/0</v>
      </c>
      <c r="BB282" s="7">
        <f>SUMIF(NF!$A:$A,$BA282,NF!$I:$I)</f>
        <v>0</v>
      </c>
      <c r="BC282" s="6"/>
      <c r="BD282" s="6"/>
      <c r="BE282" s="6"/>
      <c r="BF282" s="6"/>
      <c r="BG282" s="6"/>
      <c r="BH282" s="6"/>
      <c r="BI282" s="74"/>
      <c r="BJ282" s="74"/>
      <c r="BK282" s="7">
        <f t="shared" si="202"/>
        <v>0</v>
      </c>
      <c r="BL282" s="8">
        <f t="shared" si="191"/>
        <v>0</v>
      </c>
      <c r="BM282" s="51" t="str">
        <f>IFERROR(VLOOKUP(A282,NF!$M:$O,3,0),"")</f>
        <v>Escritório</v>
      </c>
      <c r="BN282" s="7">
        <f t="shared" si="192"/>
        <v>0</v>
      </c>
      <c r="BO282" s="8">
        <f t="array" ref="BO282">IFERROR(LARGE(IF(NF!$G$2:$G$3137='Mês atual'!A282,NF!$J$2:$J$3137),1),0)*BN282</f>
        <v>0</v>
      </c>
      <c r="BP282" s="50"/>
      <c r="BR282" s="146">
        <f t="array" ref="BR282">IFERROR(LARGE(IF(NF!$G$2:$G$3137='Mês atual'!A282,NF!$J$2:$J$3137),1),0)</f>
        <v>0</v>
      </c>
      <c r="BS282" s="142" t="str">
        <f>VLOOKUP(A282,NF!M:O,3,0)</f>
        <v>Escritório</v>
      </c>
      <c r="BV282" s="74">
        <f t="shared" si="193"/>
        <v>0</v>
      </c>
      <c r="BW282" s="74">
        <f t="shared" si="194"/>
        <v>0</v>
      </c>
      <c r="BX282" s="74">
        <f t="shared" si="195"/>
        <v>0</v>
      </c>
      <c r="BY282" s="74">
        <f t="shared" si="196"/>
        <v>0</v>
      </c>
      <c r="BZ282" s="74">
        <f t="shared" si="197"/>
        <v>0</v>
      </c>
    </row>
    <row r="283" spans="1:78" x14ac:dyDescent="0.25">
      <c r="A283" s="108" t="s">
        <v>304</v>
      </c>
      <c r="B283" s="12"/>
      <c r="C283" s="9">
        <v>0</v>
      </c>
      <c r="D283" s="25"/>
      <c r="E283" s="10" t="str">
        <f t="shared" si="177"/>
        <v>MarçoSEMANA 1Corretor Líquido</v>
      </c>
      <c r="F283" s="7">
        <f>SUMIF(NF!$A:$A,$E283,NF!$I:$I)</f>
        <v>0</v>
      </c>
      <c r="G283" s="74"/>
      <c r="H283" s="74"/>
      <c r="I283" s="74"/>
      <c r="J283" s="6"/>
      <c r="K283" s="6"/>
      <c r="L283" s="6"/>
      <c r="M283" s="6"/>
      <c r="N283" s="7">
        <f t="shared" si="198"/>
        <v>0</v>
      </c>
      <c r="O283" s="11">
        <f t="shared" si="179"/>
        <v>0</v>
      </c>
      <c r="P283" s="25"/>
      <c r="Q283" s="10" t="str">
        <f t="shared" si="180"/>
        <v>MarçoSEMANA 2Corretor Líquido</v>
      </c>
      <c r="R283" s="7">
        <f>SUMIF(NF!$A:$A,$Q283,NF!$I:$I)</f>
        <v>0</v>
      </c>
      <c r="S283" s="6"/>
      <c r="T283" s="6"/>
      <c r="U283" s="6"/>
      <c r="V283" s="6"/>
      <c r="W283" s="6"/>
      <c r="X283" s="6"/>
      <c r="Y283" s="6"/>
      <c r="Z283" s="7">
        <f t="shared" si="199"/>
        <v>0</v>
      </c>
      <c r="AA283" s="11">
        <f t="shared" si="182"/>
        <v>0</v>
      </c>
      <c r="AB283" s="25"/>
      <c r="AC283" s="10" t="str">
        <f t="shared" si="183"/>
        <v>MarçoSEMANA 3Corretor Líquido</v>
      </c>
      <c r="AD283" s="7">
        <f>SUMIF(NF!$A:$A,$AC283,NF!$I:$I)</f>
        <v>0</v>
      </c>
      <c r="AE283" s="6"/>
      <c r="AF283" s="6"/>
      <c r="AG283" s="6"/>
      <c r="AH283" s="6"/>
      <c r="AI283" s="6"/>
      <c r="AJ283" s="6"/>
      <c r="AK283" s="6"/>
      <c r="AL283" s="7">
        <f t="shared" si="200"/>
        <v>0</v>
      </c>
      <c r="AM283" s="11">
        <f t="shared" si="185"/>
        <v>0</v>
      </c>
      <c r="AN283" s="25"/>
      <c r="AO283" s="10" t="str">
        <f t="shared" si="186"/>
        <v>MarçoSEMANA 4Corretor Líquido</v>
      </c>
      <c r="AP283" s="7">
        <f>SUMIF(NF!$A:$A,$AO283,NF!$I:$I)</f>
        <v>0</v>
      </c>
      <c r="AQ283" s="6"/>
      <c r="AR283" s="6"/>
      <c r="AS283" s="6"/>
      <c r="AT283" s="6"/>
      <c r="AU283" s="6"/>
      <c r="AV283" s="6"/>
      <c r="AW283" s="6"/>
      <c r="AX283" s="7">
        <f t="shared" si="201"/>
        <v>0</v>
      </c>
      <c r="AY283" s="11">
        <f t="shared" si="188"/>
        <v>0</v>
      </c>
      <c r="AZ283" s="25"/>
      <c r="BA283" s="10" t="str">
        <f t="shared" si="189"/>
        <v>MarçoSEMANA 5Corretor Líquido</v>
      </c>
      <c r="BB283" s="7">
        <f>SUMIF(NF!$A:$A,$BA283,NF!$I:$I)</f>
        <v>0</v>
      </c>
      <c r="BC283" s="6"/>
      <c r="BD283" s="6"/>
      <c r="BE283" s="6"/>
      <c r="BF283" s="6"/>
      <c r="BG283" s="6"/>
      <c r="BH283" s="6"/>
      <c r="BI283" s="74"/>
      <c r="BJ283" s="74"/>
      <c r="BK283" s="7">
        <f t="shared" si="202"/>
        <v>0</v>
      </c>
      <c r="BL283" s="8">
        <f t="shared" si="191"/>
        <v>0</v>
      </c>
      <c r="BM283" s="51" t="str">
        <f>IFERROR(VLOOKUP(A283,NF!$M:$O,3,0),"")</f>
        <v>Escritório</v>
      </c>
      <c r="BN283" s="7">
        <f t="shared" si="192"/>
        <v>0</v>
      </c>
      <c r="BO283" s="8">
        <f t="array" ref="BO283">IFERROR(LARGE(IF(NF!$G$2:$G$3137='Mês atual'!A283,NF!$J$2:$J$3137),1),0)*BN283</f>
        <v>0</v>
      </c>
      <c r="BP283" s="50"/>
      <c r="BR283" s="146">
        <f t="array" ref="BR283">IFERROR(LARGE(IF(NF!$G$2:$G$3137='Mês atual'!A283,NF!$J$2:$J$3137),1),0)</f>
        <v>0</v>
      </c>
      <c r="BS283" s="142" t="str">
        <f>VLOOKUP(A283,NF!M:O,3,0)</f>
        <v>Escritório</v>
      </c>
      <c r="BV283" s="74">
        <f t="shared" si="193"/>
        <v>0</v>
      </c>
      <c r="BW283" s="74">
        <f t="shared" si="194"/>
        <v>0</v>
      </c>
      <c r="BX283" s="74">
        <f t="shared" si="195"/>
        <v>0</v>
      </c>
      <c r="BY283" s="74">
        <f t="shared" si="196"/>
        <v>0</v>
      </c>
      <c r="BZ283" s="74">
        <f t="shared" si="197"/>
        <v>0</v>
      </c>
    </row>
    <row r="284" spans="1:78" x14ac:dyDescent="0.25">
      <c r="A284" s="108" t="s">
        <v>322</v>
      </c>
      <c r="B284" s="12"/>
      <c r="C284" s="9">
        <v>0</v>
      </c>
      <c r="D284" s="25"/>
      <c r="E284" s="10" t="str">
        <f t="shared" si="177"/>
        <v>MarçoSEMANA 1Elástico 1 Kg</v>
      </c>
      <c r="F284" s="7">
        <f>SUMIF(NF!$A:$A,$E284,NF!$I:$I)</f>
        <v>0</v>
      </c>
      <c r="G284" s="74"/>
      <c r="H284" s="74"/>
      <c r="I284" s="74"/>
      <c r="J284" s="6"/>
      <c r="K284" s="6"/>
      <c r="L284" s="6"/>
      <c r="M284" s="6"/>
      <c r="N284" s="7">
        <f t="shared" si="198"/>
        <v>0</v>
      </c>
      <c r="O284" s="11">
        <f t="shared" si="179"/>
        <v>0</v>
      </c>
      <c r="P284" s="25"/>
      <c r="Q284" s="10" t="str">
        <f t="shared" si="180"/>
        <v>MarçoSEMANA 2Elástico 1 Kg</v>
      </c>
      <c r="R284" s="7">
        <f>SUMIF(NF!$A:$A,$Q284,NF!$I:$I)</f>
        <v>1</v>
      </c>
      <c r="S284" s="6"/>
      <c r="T284" s="6"/>
      <c r="U284" s="6"/>
      <c r="V284" s="6"/>
      <c r="W284" s="6">
        <v>1</v>
      </c>
      <c r="X284" s="6"/>
      <c r="Y284" s="6"/>
      <c r="Z284" s="7">
        <f t="shared" si="199"/>
        <v>1</v>
      </c>
      <c r="AA284" s="11">
        <f t="shared" si="182"/>
        <v>0</v>
      </c>
      <c r="AB284" s="25"/>
      <c r="AC284" s="10" t="str">
        <f t="shared" si="183"/>
        <v>MarçoSEMANA 3Elástico 1 Kg</v>
      </c>
      <c r="AD284" s="7">
        <f>SUMIF(NF!$A:$A,$AC284,NF!$I:$I)</f>
        <v>0</v>
      </c>
      <c r="AE284" s="6"/>
      <c r="AF284" s="6"/>
      <c r="AG284" s="6"/>
      <c r="AH284" s="6"/>
      <c r="AI284" s="6"/>
      <c r="AJ284" s="6"/>
      <c r="AK284" s="6"/>
      <c r="AL284" s="7">
        <f t="shared" si="200"/>
        <v>0</v>
      </c>
      <c r="AM284" s="11">
        <f t="shared" si="185"/>
        <v>0</v>
      </c>
      <c r="AN284" s="25"/>
      <c r="AO284" s="10" t="str">
        <f t="shared" si="186"/>
        <v>MarçoSEMANA 4Elástico 1 Kg</v>
      </c>
      <c r="AP284" s="7">
        <f>SUMIF(NF!$A:$A,$AO284,NF!$I:$I)</f>
        <v>0</v>
      </c>
      <c r="AQ284" s="6"/>
      <c r="AR284" s="6"/>
      <c r="AS284" s="6"/>
      <c r="AT284" s="6"/>
      <c r="AU284" s="6"/>
      <c r="AV284" s="6"/>
      <c r="AW284" s="6"/>
      <c r="AX284" s="7">
        <f t="shared" si="201"/>
        <v>0</v>
      </c>
      <c r="AY284" s="11">
        <f t="shared" si="188"/>
        <v>0</v>
      </c>
      <c r="AZ284" s="25"/>
      <c r="BA284" s="10" t="str">
        <f t="shared" si="189"/>
        <v>MarçoSEMANA 5Elástico 1 Kg</v>
      </c>
      <c r="BB284" s="7">
        <f>SUMIF(NF!$A:$A,$BA284,NF!$I:$I)</f>
        <v>0</v>
      </c>
      <c r="BC284" s="6"/>
      <c r="BD284" s="6"/>
      <c r="BE284" s="6"/>
      <c r="BF284" s="6"/>
      <c r="BG284" s="6"/>
      <c r="BH284" s="6"/>
      <c r="BI284" s="74"/>
      <c r="BJ284" s="74"/>
      <c r="BK284" s="7">
        <f t="shared" si="202"/>
        <v>0</v>
      </c>
      <c r="BL284" s="8">
        <f t="shared" si="191"/>
        <v>0</v>
      </c>
      <c r="BM284" s="51" t="str">
        <f>IFERROR(VLOOKUP(A284,NF!$M:$O,3,0),"")</f>
        <v>Escritório</v>
      </c>
      <c r="BN284" s="7">
        <f t="shared" si="192"/>
        <v>1</v>
      </c>
      <c r="BO284" s="8">
        <f t="array" ref="BO284">IFERROR(LARGE(IF(NF!$G$2:$G$3137='Mês atual'!A284,NF!$J$2:$J$3137),1),0)*BN284</f>
        <v>16.440000000000001</v>
      </c>
      <c r="BP284" s="50"/>
      <c r="BR284" s="146">
        <f t="array" ref="BR284">IFERROR(LARGE(IF(NF!$G$2:$G$3137='Mês atual'!A284,NF!$J$2:$J$3137),1),0)</f>
        <v>16.440000000000001</v>
      </c>
      <c r="BS284" s="142" t="str">
        <f>VLOOKUP(A284,NF!M:O,3,0)</f>
        <v>Escritório</v>
      </c>
      <c r="BV284" s="74">
        <f t="shared" si="193"/>
        <v>0</v>
      </c>
      <c r="BW284" s="74">
        <f t="shared" si="194"/>
        <v>1</v>
      </c>
      <c r="BX284" s="74">
        <f t="shared" si="195"/>
        <v>0</v>
      </c>
      <c r="BY284" s="74">
        <f t="shared" si="196"/>
        <v>0</v>
      </c>
      <c r="BZ284" s="74">
        <f t="shared" si="197"/>
        <v>0</v>
      </c>
    </row>
    <row r="285" spans="1:78" x14ac:dyDescent="0.2">
      <c r="A285" s="108" t="s">
        <v>327</v>
      </c>
      <c r="B285" s="12"/>
      <c r="C285" s="9">
        <v>0</v>
      </c>
      <c r="D285" s="25"/>
      <c r="E285" s="10" t="str">
        <f t="shared" si="177"/>
        <v>MarçoSEMANA 1Envelope 24x34 c/ 50 um</v>
      </c>
      <c r="F285" s="7">
        <f>SUMIF(NF!$A:$A,$E285,NF!$I:$I)</f>
        <v>0</v>
      </c>
      <c r="G285" s="74"/>
      <c r="H285" s="74"/>
      <c r="I285" s="74"/>
      <c r="J285" s="6"/>
      <c r="K285" s="6"/>
      <c r="L285" s="6"/>
      <c r="M285" s="6"/>
      <c r="N285" s="7">
        <f t="shared" si="198"/>
        <v>0</v>
      </c>
      <c r="O285" s="11">
        <f t="shared" si="179"/>
        <v>0</v>
      </c>
      <c r="P285" s="25"/>
      <c r="Q285" s="10" t="str">
        <f t="shared" si="180"/>
        <v>MarçoSEMANA 2Envelope 24x34 c/ 50 um</v>
      </c>
      <c r="R285" s="7">
        <f>SUMIF(NF!$A:$A,$Q285,NF!$I:$I)</f>
        <v>0</v>
      </c>
      <c r="S285" s="6"/>
      <c r="T285" s="6"/>
      <c r="U285" s="6"/>
      <c r="V285" s="6"/>
      <c r="W285" s="6"/>
      <c r="X285" s="6"/>
      <c r="Y285" s="6"/>
      <c r="Z285" s="7">
        <f t="shared" si="199"/>
        <v>0</v>
      </c>
      <c r="AA285" s="11">
        <f t="shared" si="182"/>
        <v>0</v>
      </c>
      <c r="AB285" s="25"/>
      <c r="AC285" s="10" t="str">
        <f t="shared" si="183"/>
        <v>MarçoSEMANA 3Envelope 24x34 c/ 50 um</v>
      </c>
      <c r="AD285" s="7">
        <f>SUMIF(NF!$A:$A,$AC285,NF!$I:$I)</f>
        <v>0</v>
      </c>
      <c r="AE285" s="6"/>
      <c r="AF285" s="6"/>
      <c r="AG285" s="6"/>
      <c r="AH285" s="6"/>
      <c r="AI285" s="6"/>
      <c r="AJ285" s="6"/>
      <c r="AK285" s="6"/>
      <c r="AL285" s="7">
        <f t="shared" si="200"/>
        <v>0</v>
      </c>
      <c r="AM285" s="11">
        <f t="shared" si="185"/>
        <v>0</v>
      </c>
      <c r="AN285" s="25"/>
      <c r="AO285" s="10" t="str">
        <f t="shared" si="186"/>
        <v>MarçoSEMANA 4Envelope 24x34 c/ 50 um</v>
      </c>
      <c r="AP285" s="7">
        <f>SUMIF(NF!$A:$A,$AO285,NF!$I:$I)</f>
        <v>0</v>
      </c>
      <c r="AQ285" s="6"/>
      <c r="AR285" s="6"/>
      <c r="AS285" s="6"/>
      <c r="AT285" s="6"/>
      <c r="AU285" s="6"/>
      <c r="AV285" s="6"/>
      <c r="AW285" s="6"/>
      <c r="AX285" s="7">
        <f t="shared" si="201"/>
        <v>0</v>
      </c>
      <c r="AY285" s="11">
        <f t="shared" si="188"/>
        <v>0</v>
      </c>
      <c r="AZ285" s="25"/>
      <c r="BA285" s="10" t="str">
        <f t="shared" si="189"/>
        <v>MarçoSEMANA 5Envelope 24x34 c/ 50 um</v>
      </c>
      <c r="BB285" s="7">
        <f>SUMIF(NF!$A:$A,$BA285,NF!$I:$I)</f>
        <v>0</v>
      </c>
      <c r="BC285" s="6"/>
      <c r="BD285" s="6"/>
      <c r="BE285" s="6"/>
      <c r="BF285" s="6"/>
      <c r="BG285" s="6"/>
      <c r="BH285" s="6"/>
      <c r="BI285" s="74"/>
      <c r="BJ285" s="74"/>
      <c r="BK285" s="7">
        <f t="shared" si="202"/>
        <v>0</v>
      </c>
      <c r="BL285" s="8">
        <f t="shared" si="191"/>
        <v>0</v>
      </c>
      <c r="BM285" s="51" t="str">
        <f>IFERROR(VLOOKUP(A285,NF!$M:$O,3,0),"")</f>
        <v>Escritório</v>
      </c>
      <c r="BN285" s="7">
        <f t="shared" si="192"/>
        <v>0</v>
      </c>
      <c r="BO285" s="8">
        <f t="array" ref="BO285">IFERROR(LARGE(IF(NF!$G$2:$G$3137='Mês atual'!A285,NF!$J$2:$J$3137),1),0)*BN285</f>
        <v>0</v>
      </c>
      <c r="BP285" s="50"/>
      <c r="BR285" s="146">
        <f t="array" ref="BR285">IFERROR(LARGE(IF(NF!$G$2:$G$3137='Mês atual'!A285,NF!$J$2:$J$3137),1),0)</f>
        <v>0</v>
      </c>
      <c r="BS285" s="142" t="str">
        <f>VLOOKUP(A285,NF!M:O,3,0)</f>
        <v>Escritório</v>
      </c>
      <c r="BV285" s="74">
        <f t="shared" si="193"/>
        <v>0</v>
      </c>
      <c r="BW285" s="74">
        <f t="shared" si="194"/>
        <v>0</v>
      </c>
      <c r="BX285" s="74">
        <f t="shared" si="195"/>
        <v>0</v>
      </c>
      <c r="BY285" s="74">
        <f t="shared" si="196"/>
        <v>0</v>
      </c>
      <c r="BZ285" s="74">
        <f t="shared" si="197"/>
        <v>0</v>
      </c>
    </row>
    <row r="286" spans="1:78" x14ac:dyDescent="0.2">
      <c r="A286" s="108" t="s">
        <v>995</v>
      </c>
      <c r="B286" s="12"/>
      <c r="C286" s="9">
        <v>0</v>
      </c>
      <c r="D286" s="25"/>
      <c r="E286" s="10" t="str">
        <f t="shared" si="177"/>
        <v>MarçoSEMANA 1Etiqueta p/ Etiquetadora</v>
      </c>
      <c r="F286" s="7">
        <f>SUMIF(NF!$A:$A,$E286,NF!$I:$I)</f>
        <v>0</v>
      </c>
      <c r="G286" s="74"/>
      <c r="H286" s="74"/>
      <c r="I286" s="74"/>
      <c r="J286" s="6"/>
      <c r="K286" s="6"/>
      <c r="L286" s="6"/>
      <c r="M286" s="6"/>
      <c r="N286" s="7">
        <f>SUM(G286:M286)</f>
        <v>0</v>
      </c>
      <c r="O286" s="11">
        <f>F286+C286-N286</f>
        <v>0</v>
      </c>
      <c r="P286" s="25"/>
      <c r="Q286" s="10" t="str">
        <f t="shared" si="180"/>
        <v>MarçoSEMANA 2Etiqueta p/ Etiquetadora</v>
      </c>
      <c r="R286" s="7">
        <f>SUMIF(NF!$A:$A,$Q286,NF!$I:$I)</f>
        <v>0</v>
      </c>
      <c r="S286" s="6"/>
      <c r="T286" s="6"/>
      <c r="U286" s="6"/>
      <c r="V286" s="6"/>
      <c r="W286" s="6"/>
      <c r="X286" s="6"/>
      <c r="Y286" s="6"/>
      <c r="Z286" s="7">
        <f>SUM(S286:Y286)</f>
        <v>0</v>
      </c>
      <c r="AA286" s="11">
        <f>R286+O286-Z286</f>
        <v>0</v>
      </c>
      <c r="AB286" s="25"/>
      <c r="AC286" s="10" t="str">
        <f t="shared" si="183"/>
        <v>MarçoSEMANA 3Etiqueta p/ Etiquetadora</v>
      </c>
      <c r="AD286" s="7">
        <f>SUMIF(NF!$A:$A,$AC286,NF!$I:$I)</f>
        <v>0</v>
      </c>
      <c r="AE286" s="6"/>
      <c r="AF286" s="6"/>
      <c r="AG286" s="6"/>
      <c r="AH286" s="6"/>
      <c r="AI286" s="6"/>
      <c r="AJ286" s="6"/>
      <c r="AK286" s="6"/>
      <c r="AL286" s="7">
        <f>SUM(AE286:AK286)</f>
        <v>0</v>
      </c>
      <c r="AM286" s="11">
        <f>AD286+AA286-AL286</f>
        <v>0</v>
      </c>
      <c r="AN286" s="25"/>
      <c r="AO286" s="10" t="str">
        <f t="shared" si="186"/>
        <v>MarçoSEMANA 4Etiqueta p/ Etiquetadora</v>
      </c>
      <c r="AP286" s="7">
        <f>SUMIF(NF!$A:$A,$AO286,NF!$I:$I)</f>
        <v>0</v>
      </c>
      <c r="AQ286" s="6"/>
      <c r="AR286" s="6"/>
      <c r="AS286" s="6"/>
      <c r="AT286" s="6"/>
      <c r="AU286" s="6"/>
      <c r="AV286" s="6"/>
      <c r="AW286" s="6"/>
      <c r="AX286" s="7">
        <f>SUM(AQ286:AW286)</f>
        <v>0</v>
      </c>
      <c r="AY286" s="11">
        <f>AP286+AM286-AX286</f>
        <v>0</v>
      </c>
      <c r="AZ286" s="25"/>
      <c r="BA286" s="10" t="str">
        <f t="shared" si="189"/>
        <v>MarçoSEMANA 5Etiqueta p/ Etiquetadora</v>
      </c>
      <c r="BB286" s="7">
        <f>SUMIF(NF!$A:$A,$BA286,NF!$I:$I)</f>
        <v>0</v>
      </c>
      <c r="BC286" s="6"/>
      <c r="BD286" s="6"/>
      <c r="BE286" s="6"/>
      <c r="BF286" s="6"/>
      <c r="BG286" s="6"/>
      <c r="BH286" s="6"/>
      <c r="BI286" s="74"/>
      <c r="BJ286" s="74"/>
      <c r="BK286" s="7">
        <f>SUM(BC286:BJ286)</f>
        <v>0</v>
      </c>
      <c r="BL286" s="8">
        <f>BB286+AY286-BK286</f>
        <v>0</v>
      </c>
      <c r="BM286" s="51" t="str">
        <f>IFERROR(VLOOKUP(A286,NF!$M:$O,3,0),"")</f>
        <v>Escritório</v>
      </c>
      <c r="BN286" s="7">
        <f>SUM(N286,Z286,AL286,AX286,BK286)</f>
        <v>0</v>
      </c>
      <c r="BO286" s="8">
        <f t="array" ref="BO286">IFERROR(LARGE(IF(NF!$G$2:$G$3137='Mês atual'!A286,NF!$J$2:$J$3137),1),0)*BN286</f>
        <v>0</v>
      </c>
      <c r="BP286" s="50"/>
      <c r="BR286" s="146">
        <f t="array" ref="BR286">IFERROR(LARGE(IF(NF!$G$2:$G$3137='Mês atual'!A286,NF!$J$2:$J$3137),1),0)</f>
        <v>0</v>
      </c>
      <c r="BS286" s="142" t="str">
        <f>VLOOKUP(A286,NF!M:O,3,0)</f>
        <v>Escritório</v>
      </c>
      <c r="BV286" s="74">
        <f t="shared" si="193"/>
        <v>0</v>
      </c>
      <c r="BW286" s="74">
        <f t="shared" si="194"/>
        <v>0</v>
      </c>
      <c r="BX286" s="74">
        <f t="shared" si="195"/>
        <v>0</v>
      </c>
      <c r="BY286" s="74">
        <f t="shared" si="196"/>
        <v>0</v>
      </c>
      <c r="BZ286" s="74">
        <f t="shared" si="197"/>
        <v>0</v>
      </c>
    </row>
    <row r="287" spans="1:78" x14ac:dyDescent="0.2">
      <c r="A287" s="108" t="s">
        <v>338</v>
      </c>
      <c r="B287" s="12"/>
      <c r="C287" s="9">
        <v>0</v>
      </c>
      <c r="D287" s="25"/>
      <c r="E287" s="10" t="str">
        <f t="shared" si="177"/>
        <v>MarçoSEMANA 1Etiqueta Pimaco</v>
      </c>
      <c r="F287" s="7">
        <f>SUMIF(NF!$A:$A,$E287,NF!$I:$I)</f>
        <v>0</v>
      </c>
      <c r="G287" s="74"/>
      <c r="H287" s="74"/>
      <c r="I287" s="74"/>
      <c r="J287" s="6"/>
      <c r="K287" s="6"/>
      <c r="L287" s="6"/>
      <c r="M287" s="6"/>
      <c r="N287" s="7">
        <f t="shared" si="198"/>
        <v>0</v>
      </c>
      <c r="O287" s="11">
        <f t="shared" si="179"/>
        <v>0</v>
      </c>
      <c r="P287" s="25"/>
      <c r="Q287" s="10" t="str">
        <f t="shared" si="180"/>
        <v>MarçoSEMANA 2Etiqueta Pimaco</v>
      </c>
      <c r="R287" s="7">
        <f>SUMIF(NF!$A:$A,$Q287,NF!$I:$I)</f>
        <v>0</v>
      </c>
      <c r="S287" s="6"/>
      <c r="T287" s="6"/>
      <c r="U287" s="6"/>
      <c r="V287" s="6"/>
      <c r="W287" s="6"/>
      <c r="X287" s="6"/>
      <c r="Y287" s="6"/>
      <c r="Z287" s="7">
        <f t="shared" si="199"/>
        <v>0</v>
      </c>
      <c r="AA287" s="11">
        <f t="shared" si="182"/>
        <v>0</v>
      </c>
      <c r="AB287" s="25"/>
      <c r="AC287" s="10" t="str">
        <f t="shared" si="183"/>
        <v>MarçoSEMANA 3Etiqueta Pimaco</v>
      </c>
      <c r="AD287" s="7">
        <f>SUMIF(NF!$A:$A,$AC287,NF!$I:$I)</f>
        <v>0</v>
      </c>
      <c r="AE287" s="6"/>
      <c r="AF287" s="6"/>
      <c r="AG287" s="6"/>
      <c r="AH287" s="6"/>
      <c r="AI287" s="6"/>
      <c r="AJ287" s="6"/>
      <c r="AK287" s="6"/>
      <c r="AL287" s="7">
        <f t="shared" si="200"/>
        <v>0</v>
      </c>
      <c r="AM287" s="11">
        <f t="shared" si="185"/>
        <v>0</v>
      </c>
      <c r="AN287" s="25"/>
      <c r="AO287" s="10" t="str">
        <f t="shared" si="186"/>
        <v>MarçoSEMANA 4Etiqueta Pimaco</v>
      </c>
      <c r="AP287" s="7">
        <f>SUMIF(NF!$A:$A,$AO287,NF!$I:$I)</f>
        <v>0</v>
      </c>
      <c r="AQ287" s="6"/>
      <c r="AR287" s="6"/>
      <c r="AS287" s="6"/>
      <c r="AT287" s="6"/>
      <c r="AU287" s="6"/>
      <c r="AV287" s="6"/>
      <c r="AW287" s="6"/>
      <c r="AX287" s="7">
        <f t="shared" si="201"/>
        <v>0</v>
      </c>
      <c r="AY287" s="11">
        <f t="shared" si="188"/>
        <v>0</v>
      </c>
      <c r="AZ287" s="25"/>
      <c r="BA287" s="10" t="str">
        <f t="shared" si="189"/>
        <v>MarçoSEMANA 5Etiqueta Pimaco</v>
      </c>
      <c r="BB287" s="7">
        <f>SUMIF(NF!$A:$A,$BA287,NF!$I:$I)</f>
        <v>0</v>
      </c>
      <c r="BC287" s="6"/>
      <c r="BD287" s="6"/>
      <c r="BE287" s="6"/>
      <c r="BF287" s="6"/>
      <c r="BG287" s="6"/>
      <c r="BH287" s="6"/>
      <c r="BI287" s="74"/>
      <c r="BJ287" s="74"/>
      <c r="BK287" s="7">
        <f t="shared" si="202"/>
        <v>0</v>
      </c>
      <c r="BL287" s="8">
        <f t="shared" si="191"/>
        <v>0</v>
      </c>
      <c r="BM287" s="51" t="str">
        <f>IFERROR(VLOOKUP(A287,NF!$M:$O,3,0),"")</f>
        <v>Escritório</v>
      </c>
      <c r="BN287" s="7">
        <f t="shared" si="192"/>
        <v>0</v>
      </c>
      <c r="BO287" s="8">
        <f t="array" ref="BO287">IFERROR(LARGE(IF(NF!$G$2:$G$3137='Mês atual'!A287,NF!$J$2:$J$3137),1),0)*BN287</f>
        <v>0</v>
      </c>
      <c r="BP287" s="50"/>
      <c r="BR287" s="146">
        <f t="array" ref="BR287">IFERROR(LARGE(IF(NF!$G$2:$G$3137='Mês atual'!A287,NF!$J$2:$J$3137),1),0)</f>
        <v>0</v>
      </c>
      <c r="BS287" s="142" t="str">
        <f>VLOOKUP(A287,NF!M:O,3,0)</f>
        <v>Escritório</v>
      </c>
      <c r="BV287" s="74">
        <f t="shared" si="193"/>
        <v>0</v>
      </c>
      <c r="BW287" s="74">
        <f t="shared" si="194"/>
        <v>0</v>
      </c>
      <c r="BX287" s="74">
        <f t="shared" si="195"/>
        <v>0</v>
      </c>
      <c r="BY287" s="74">
        <f t="shared" si="196"/>
        <v>0</v>
      </c>
      <c r="BZ287" s="74">
        <f t="shared" si="197"/>
        <v>0</v>
      </c>
    </row>
    <row r="288" spans="1:78" x14ac:dyDescent="0.2">
      <c r="A288" s="108" t="s">
        <v>362</v>
      </c>
      <c r="B288" s="12"/>
      <c r="C288" s="9">
        <v>0</v>
      </c>
      <c r="D288" s="25"/>
      <c r="E288" s="10" t="str">
        <f t="shared" si="177"/>
        <v>MarçoSEMANA 1Fita Durex 12x30</v>
      </c>
      <c r="F288" s="7">
        <f>SUMIF(NF!$A:$A,$E288,NF!$I:$I)</f>
        <v>0</v>
      </c>
      <c r="G288" s="74"/>
      <c r="H288" s="74"/>
      <c r="I288" s="74"/>
      <c r="J288" s="6"/>
      <c r="K288" s="6"/>
      <c r="L288" s="6"/>
      <c r="M288" s="6"/>
      <c r="N288" s="7">
        <f t="shared" si="198"/>
        <v>0</v>
      </c>
      <c r="O288" s="11">
        <f t="shared" si="179"/>
        <v>0</v>
      </c>
      <c r="P288" s="25"/>
      <c r="Q288" s="10" t="str">
        <f t="shared" si="180"/>
        <v>MarçoSEMANA 2Fita Durex 12x30</v>
      </c>
      <c r="R288" s="7">
        <f>SUMIF(NF!$A:$A,$Q288,NF!$I:$I)</f>
        <v>0</v>
      </c>
      <c r="S288" s="6"/>
      <c r="T288" s="6"/>
      <c r="U288" s="6"/>
      <c r="V288" s="6"/>
      <c r="W288" s="6"/>
      <c r="X288" s="6"/>
      <c r="Y288" s="6"/>
      <c r="Z288" s="7">
        <f t="shared" si="199"/>
        <v>0</v>
      </c>
      <c r="AA288" s="11">
        <f t="shared" si="182"/>
        <v>0</v>
      </c>
      <c r="AB288" s="25"/>
      <c r="AC288" s="10" t="str">
        <f t="shared" si="183"/>
        <v>MarçoSEMANA 3Fita Durex 12x30</v>
      </c>
      <c r="AD288" s="7">
        <f>SUMIF(NF!$A:$A,$AC288,NF!$I:$I)</f>
        <v>0</v>
      </c>
      <c r="AE288" s="6"/>
      <c r="AF288" s="6"/>
      <c r="AG288" s="6"/>
      <c r="AH288" s="6"/>
      <c r="AI288" s="6"/>
      <c r="AJ288" s="6"/>
      <c r="AK288" s="6"/>
      <c r="AL288" s="7">
        <f t="shared" si="200"/>
        <v>0</v>
      </c>
      <c r="AM288" s="11">
        <f t="shared" si="185"/>
        <v>0</v>
      </c>
      <c r="AN288" s="25"/>
      <c r="AO288" s="10" t="str">
        <f t="shared" si="186"/>
        <v>MarçoSEMANA 4Fita Durex 12x30</v>
      </c>
      <c r="AP288" s="7">
        <f>SUMIF(NF!$A:$A,$AO288,NF!$I:$I)</f>
        <v>0</v>
      </c>
      <c r="AQ288" s="6"/>
      <c r="AR288" s="6"/>
      <c r="AS288" s="6"/>
      <c r="AT288" s="6"/>
      <c r="AU288" s="6"/>
      <c r="AV288" s="6"/>
      <c r="AW288" s="6"/>
      <c r="AX288" s="7">
        <f t="shared" si="201"/>
        <v>0</v>
      </c>
      <c r="AY288" s="11">
        <f t="shared" si="188"/>
        <v>0</v>
      </c>
      <c r="AZ288" s="25"/>
      <c r="BA288" s="10" t="str">
        <f t="shared" si="189"/>
        <v>MarçoSEMANA 5Fita Durex 12x30</v>
      </c>
      <c r="BB288" s="7">
        <f>SUMIF(NF!$A:$A,$BA288,NF!$I:$I)</f>
        <v>0</v>
      </c>
      <c r="BC288" s="6"/>
      <c r="BD288" s="6"/>
      <c r="BE288" s="6"/>
      <c r="BF288" s="6"/>
      <c r="BG288" s="6"/>
      <c r="BH288" s="6"/>
      <c r="BI288" s="74"/>
      <c r="BJ288" s="74"/>
      <c r="BK288" s="7">
        <f t="shared" si="202"/>
        <v>0</v>
      </c>
      <c r="BL288" s="8">
        <f t="shared" si="191"/>
        <v>0</v>
      </c>
      <c r="BM288" s="51" t="str">
        <f>IFERROR(VLOOKUP(A288,NF!$M:$O,3,0),"")</f>
        <v>Escritório</v>
      </c>
      <c r="BN288" s="7">
        <f t="shared" si="192"/>
        <v>0</v>
      </c>
      <c r="BO288" s="8">
        <f t="array" ref="BO288">IFERROR(LARGE(IF(NF!$G$2:$G$3137='Mês atual'!A288,NF!$J$2:$J$3137),1),0)*BN288</f>
        <v>0</v>
      </c>
      <c r="BP288" s="50"/>
      <c r="BR288" s="146">
        <f t="array" ref="BR288">IFERROR(LARGE(IF(NF!$G$2:$G$3137='Mês atual'!A288,NF!$J$2:$J$3137),1),0)</f>
        <v>0</v>
      </c>
      <c r="BS288" s="142" t="str">
        <f>VLOOKUP(A288,NF!M:O,3,0)</f>
        <v>Escritório</v>
      </c>
      <c r="BV288" s="74">
        <f t="shared" si="193"/>
        <v>0</v>
      </c>
      <c r="BW288" s="74">
        <f t="shared" si="194"/>
        <v>0</v>
      </c>
      <c r="BX288" s="74">
        <f t="shared" si="195"/>
        <v>0</v>
      </c>
      <c r="BY288" s="74">
        <f t="shared" si="196"/>
        <v>0</v>
      </c>
      <c r="BZ288" s="74">
        <f t="shared" si="197"/>
        <v>0</v>
      </c>
    </row>
    <row r="289" spans="1:78" x14ac:dyDescent="0.2">
      <c r="A289" s="108" t="s">
        <v>978</v>
      </c>
      <c r="B289" s="12"/>
      <c r="C289" s="9">
        <v>0</v>
      </c>
      <c r="D289" s="25"/>
      <c r="E289" s="10" t="str">
        <f t="shared" si="177"/>
        <v>MarçoSEMANA 1Fita Empacotamento 45x10</v>
      </c>
      <c r="F289" s="7">
        <f>SUMIF(NF!$A:$A,$E289,NF!$I:$I)</f>
        <v>0</v>
      </c>
      <c r="G289" s="74"/>
      <c r="H289" s="74"/>
      <c r="I289" s="74"/>
      <c r="J289" s="6"/>
      <c r="K289" s="6"/>
      <c r="L289" s="6"/>
      <c r="M289" s="6"/>
      <c r="N289" s="7">
        <f>SUM(G289:M289)</f>
        <v>0</v>
      </c>
      <c r="O289" s="11">
        <f t="shared" si="179"/>
        <v>0</v>
      </c>
      <c r="P289" s="25"/>
      <c r="Q289" s="10" t="str">
        <f t="shared" si="180"/>
        <v>MarçoSEMANA 2Fita Empacotamento 45x10</v>
      </c>
      <c r="R289" s="7">
        <f>SUMIF(NF!$A:$A,$Q289,NF!$I:$I)</f>
        <v>0</v>
      </c>
      <c r="S289" s="6"/>
      <c r="T289" s="6"/>
      <c r="U289" s="6"/>
      <c r="V289" s="6"/>
      <c r="W289" s="6"/>
      <c r="X289" s="6"/>
      <c r="Y289" s="6"/>
      <c r="Z289" s="7">
        <f>SUM(S289:Y289)</f>
        <v>0</v>
      </c>
      <c r="AA289" s="11">
        <f t="shared" si="182"/>
        <v>0</v>
      </c>
      <c r="AB289" s="25"/>
      <c r="AC289" s="10" t="str">
        <f t="shared" si="183"/>
        <v>MarçoSEMANA 3Fita Empacotamento 45x10</v>
      </c>
      <c r="AD289" s="7">
        <f>SUMIF(NF!$A:$A,$AC289,NF!$I:$I)</f>
        <v>0</v>
      </c>
      <c r="AE289" s="6"/>
      <c r="AF289" s="6"/>
      <c r="AG289" s="6"/>
      <c r="AH289" s="6"/>
      <c r="AI289" s="6"/>
      <c r="AJ289" s="6"/>
      <c r="AK289" s="6"/>
      <c r="AL289" s="7">
        <f>SUM(AE289:AK289)</f>
        <v>0</v>
      </c>
      <c r="AM289" s="11">
        <f t="shared" si="185"/>
        <v>0</v>
      </c>
      <c r="AN289" s="25"/>
      <c r="AO289" s="10" t="str">
        <f t="shared" si="186"/>
        <v>MarçoSEMANA 4Fita Empacotamento 45x10</v>
      </c>
      <c r="AP289" s="7">
        <f>SUMIF(NF!$A:$A,$AO289,NF!$I:$I)</f>
        <v>0</v>
      </c>
      <c r="AQ289" s="6"/>
      <c r="AR289" s="6"/>
      <c r="AS289" s="6"/>
      <c r="AT289" s="6"/>
      <c r="AU289" s="6"/>
      <c r="AV289" s="6"/>
      <c r="AW289" s="6"/>
      <c r="AX289" s="7">
        <f>SUM(AQ289:AW289)</f>
        <v>0</v>
      </c>
      <c r="AY289" s="11">
        <f t="shared" si="188"/>
        <v>0</v>
      </c>
      <c r="AZ289" s="25"/>
      <c r="BA289" s="10" t="str">
        <f t="shared" si="189"/>
        <v>MarçoSEMANA 5Fita Empacotamento 45x10</v>
      </c>
      <c r="BB289" s="7">
        <f>SUMIF(NF!$A:$A,$BA289,NF!$I:$I)</f>
        <v>0</v>
      </c>
      <c r="BC289" s="6"/>
      <c r="BD289" s="6"/>
      <c r="BE289" s="6"/>
      <c r="BF289" s="6"/>
      <c r="BG289" s="6"/>
      <c r="BH289" s="6"/>
      <c r="BI289" s="74"/>
      <c r="BJ289" s="74"/>
      <c r="BK289" s="7">
        <f>SUM(BC289:BJ289)</f>
        <v>0</v>
      </c>
      <c r="BL289" s="8">
        <f t="shared" si="191"/>
        <v>0</v>
      </c>
      <c r="BM289" s="51" t="str">
        <f>IFERROR(VLOOKUP(A289,NF!$M:$O,3,0),"")</f>
        <v>Escritório</v>
      </c>
      <c r="BN289" s="7">
        <f t="shared" si="192"/>
        <v>0</v>
      </c>
      <c r="BO289" s="8">
        <f t="array" ref="BO289">IFERROR(LARGE(IF(NF!$G$2:$G$3137='Mês atual'!A289,NF!$J$2:$J$3137),1),0)*BN289</f>
        <v>0</v>
      </c>
      <c r="BP289" s="50"/>
      <c r="BR289" s="146">
        <f t="array" ref="BR289">IFERROR(LARGE(IF(NF!$G$2:$G$3137='Mês atual'!A289,NF!$J$2:$J$3137),1),0)</f>
        <v>0</v>
      </c>
      <c r="BS289" s="142" t="str">
        <f>VLOOKUP(A289,NF!M:O,3,0)</f>
        <v>Escritório</v>
      </c>
      <c r="BV289" s="74">
        <f t="shared" si="193"/>
        <v>0</v>
      </c>
      <c r="BW289" s="74">
        <f t="shared" si="194"/>
        <v>0</v>
      </c>
      <c r="BX289" s="74">
        <f t="shared" si="195"/>
        <v>0</v>
      </c>
      <c r="BY289" s="74">
        <f t="shared" si="196"/>
        <v>0</v>
      </c>
      <c r="BZ289" s="74">
        <f t="shared" si="197"/>
        <v>0</v>
      </c>
    </row>
    <row r="290" spans="1:78" x14ac:dyDescent="0.25">
      <c r="A290" s="108" t="s">
        <v>367</v>
      </c>
      <c r="B290" s="12"/>
      <c r="C290" s="9">
        <v>0</v>
      </c>
      <c r="D290" s="25"/>
      <c r="E290" s="10" t="str">
        <f t="shared" si="177"/>
        <v>MarçoSEMANA 1Folha Ofício</v>
      </c>
      <c r="F290" s="7">
        <f>SUMIF(NF!$A:$A,$E290,NF!$I:$I)</f>
        <v>0</v>
      </c>
      <c r="G290" s="74"/>
      <c r="H290" s="74"/>
      <c r="I290" s="74"/>
      <c r="J290" s="6"/>
      <c r="K290" s="6"/>
      <c r="L290" s="6"/>
      <c r="M290" s="6"/>
      <c r="N290" s="7">
        <f t="shared" ref="N290:N297" si="203">SUM(G290:M290)</f>
        <v>0</v>
      </c>
      <c r="O290" s="11">
        <f t="shared" si="179"/>
        <v>0</v>
      </c>
      <c r="P290" s="25"/>
      <c r="Q290" s="10" t="str">
        <f t="shared" si="180"/>
        <v>MarçoSEMANA 2Folha Ofício</v>
      </c>
      <c r="R290" s="7">
        <f>SUMIF(NF!$A:$A,$Q290,NF!$I:$I)</f>
        <v>0</v>
      </c>
      <c r="S290" s="6"/>
      <c r="T290" s="6"/>
      <c r="U290" s="6"/>
      <c r="V290" s="6"/>
      <c r="W290" s="6"/>
      <c r="X290" s="6"/>
      <c r="Y290" s="6"/>
      <c r="Z290" s="7">
        <f t="shared" ref="Z290:Z297" si="204">SUM(S290:Y290)</f>
        <v>0</v>
      </c>
      <c r="AA290" s="11">
        <f t="shared" si="182"/>
        <v>0</v>
      </c>
      <c r="AB290" s="25"/>
      <c r="AC290" s="10" t="str">
        <f t="shared" si="183"/>
        <v>MarçoSEMANA 3Folha Ofício</v>
      </c>
      <c r="AD290" s="7">
        <f>SUMIF(NF!$A:$A,$AC290,NF!$I:$I)</f>
        <v>0</v>
      </c>
      <c r="AE290" s="6"/>
      <c r="AF290" s="6"/>
      <c r="AG290" s="6"/>
      <c r="AH290" s="6"/>
      <c r="AI290" s="6"/>
      <c r="AJ290" s="6"/>
      <c r="AK290" s="6"/>
      <c r="AL290" s="7">
        <f t="shared" ref="AL290:AL297" si="205">SUM(AE290:AK290)</f>
        <v>0</v>
      </c>
      <c r="AM290" s="11">
        <f t="shared" si="185"/>
        <v>0</v>
      </c>
      <c r="AN290" s="25"/>
      <c r="AO290" s="10" t="str">
        <f t="shared" si="186"/>
        <v>MarçoSEMANA 4Folha Ofício</v>
      </c>
      <c r="AP290" s="7">
        <f>SUMIF(NF!$A:$A,$AO290,NF!$I:$I)</f>
        <v>0</v>
      </c>
      <c r="AQ290" s="6"/>
      <c r="AR290" s="6"/>
      <c r="AS290" s="6"/>
      <c r="AT290" s="6"/>
      <c r="AU290" s="6"/>
      <c r="AV290" s="6"/>
      <c r="AW290" s="6"/>
      <c r="AX290" s="7">
        <f t="shared" ref="AX290:AX297" si="206">SUM(AQ290:AW290)</f>
        <v>0</v>
      </c>
      <c r="AY290" s="11">
        <f t="shared" si="188"/>
        <v>0</v>
      </c>
      <c r="AZ290" s="25"/>
      <c r="BA290" s="10" t="str">
        <f t="shared" si="189"/>
        <v>MarçoSEMANA 5Folha Ofício</v>
      </c>
      <c r="BB290" s="7">
        <f>SUMIF(NF!$A:$A,$BA290,NF!$I:$I)</f>
        <v>0</v>
      </c>
      <c r="BC290" s="6"/>
      <c r="BD290" s="6"/>
      <c r="BE290" s="6"/>
      <c r="BF290" s="6"/>
      <c r="BG290" s="6"/>
      <c r="BH290" s="6"/>
      <c r="BI290" s="74"/>
      <c r="BJ290" s="74"/>
      <c r="BK290" s="7">
        <f t="shared" ref="BK290:BK297" si="207">SUM(BC290:BJ290)</f>
        <v>0</v>
      </c>
      <c r="BL290" s="8">
        <f t="shared" si="191"/>
        <v>0</v>
      </c>
      <c r="BM290" s="51" t="str">
        <f>IFERROR(VLOOKUP(A290,NF!$M:$O,3,0),"")</f>
        <v>Escritório</v>
      </c>
      <c r="BN290" s="7">
        <f t="shared" si="192"/>
        <v>0</v>
      </c>
      <c r="BO290" s="8">
        <f t="array" ref="BO290">IFERROR(LARGE(IF(NF!$G$2:$G$3137='Mês atual'!A290,NF!$J$2:$J$3137),1),0)*BN290</f>
        <v>0</v>
      </c>
      <c r="BP290" s="50"/>
      <c r="BR290" s="146">
        <f t="array" ref="BR290">IFERROR(LARGE(IF(NF!$G$2:$G$3137='Mês atual'!A290,NF!$J$2:$J$3137),1),0)</f>
        <v>0</v>
      </c>
      <c r="BS290" s="142" t="str">
        <f>VLOOKUP(A290,NF!M:O,3,0)</f>
        <v>Escritório</v>
      </c>
      <c r="BV290" s="74">
        <f t="shared" si="193"/>
        <v>0</v>
      </c>
      <c r="BW290" s="74">
        <f t="shared" si="194"/>
        <v>0</v>
      </c>
      <c r="BX290" s="74">
        <f t="shared" si="195"/>
        <v>0</v>
      </c>
      <c r="BY290" s="74">
        <f t="shared" si="196"/>
        <v>0</v>
      </c>
      <c r="BZ290" s="74">
        <f t="shared" si="197"/>
        <v>0</v>
      </c>
    </row>
    <row r="291" spans="1:78" x14ac:dyDescent="0.25">
      <c r="A291" s="108" t="s">
        <v>1054</v>
      </c>
      <c r="B291" s="12"/>
      <c r="C291" s="9">
        <v>0</v>
      </c>
      <c r="D291" s="25"/>
      <c r="E291" s="10" t="str">
        <f t="shared" si="177"/>
        <v>MarçoSEMANA 1Giz Líquido</v>
      </c>
      <c r="F291" s="7">
        <f>SUMIF(NF!$A:$A,$E291,NF!$I:$I)</f>
        <v>0</v>
      </c>
      <c r="G291" s="74"/>
      <c r="H291" s="74"/>
      <c r="I291" s="74"/>
      <c r="J291" s="6"/>
      <c r="K291" s="6"/>
      <c r="L291" s="6"/>
      <c r="M291" s="6"/>
      <c r="N291" s="7">
        <f>SUM(G291:M291)</f>
        <v>0</v>
      </c>
      <c r="O291" s="11">
        <f>F291+C291-N291</f>
        <v>0</v>
      </c>
      <c r="P291" s="25"/>
      <c r="Q291" s="10" t="str">
        <f t="shared" si="180"/>
        <v>MarçoSEMANA 2Giz Líquido</v>
      </c>
      <c r="R291" s="7">
        <f>SUMIF(NF!$A:$A,$Q291,NF!$I:$I)</f>
        <v>0</v>
      </c>
      <c r="S291" s="6"/>
      <c r="T291" s="6"/>
      <c r="U291" s="6"/>
      <c r="V291" s="6"/>
      <c r="W291" s="6"/>
      <c r="X291" s="6"/>
      <c r="Y291" s="6"/>
      <c r="Z291" s="7">
        <f>SUM(S291:Y291)</f>
        <v>0</v>
      </c>
      <c r="AA291" s="11">
        <f>R291+O291-Z291</f>
        <v>0</v>
      </c>
      <c r="AB291" s="25"/>
      <c r="AC291" s="10" t="str">
        <f t="shared" si="183"/>
        <v>MarçoSEMANA 3Giz Líquido</v>
      </c>
      <c r="AD291" s="7">
        <f>SUMIF(NF!$A:$A,$AC291,NF!$I:$I)</f>
        <v>0</v>
      </c>
      <c r="AE291" s="6"/>
      <c r="AF291" s="6"/>
      <c r="AG291" s="6"/>
      <c r="AH291" s="6"/>
      <c r="AI291" s="6"/>
      <c r="AJ291" s="6"/>
      <c r="AK291" s="6"/>
      <c r="AL291" s="7">
        <f>SUM(AE291:AK291)</f>
        <v>0</v>
      </c>
      <c r="AM291" s="11">
        <f>AD291+AA291-AL291</f>
        <v>0</v>
      </c>
      <c r="AN291" s="25"/>
      <c r="AO291" s="10" t="str">
        <f t="shared" si="186"/>
        <v>MarçoSEMANA 4Giz Líquido</v>
      </c>
      <c r="AP291" s="7">
        <f>SUMIF(NF!$A:$A,$AO291,NF!$I:$I)</f>
        <v>0</v>
      </c>
      <c r="AQ291" s="6"/>
      <c r="AR291" s="6"/>
      <c r="AS291" s="6"/>
      <c r="AT291" s="6"/>
      <c r="AU291" s="6"/>
      <c r="AV291" s="6"/>
      <c r="AW291" s="6"/>
      <c r="AX291" s="7">
        <f>SUM(AQ291:AW291)</f>
        <v>0</v>
      </c>
      <c r="AY291" s="11">
        <f>AP291+AM291-AX291</f>
        <v>0</v>
      </c>
      <c r="AZ291" s="25"/>
      <c r="BA291" s="10" t="str">
        <f t="shared" si="189"/>
        <v>MarçoSEMANA 5Giz Líquido</v>
      </c>
      <c r="BB291" s="7">
        <f>SUMIF(NF!$A:$A,$BA291,NF!$I:$I)</f>
        <v>0</v>
      </c>
      <c r="BC291" s="6"/>
      <c r="BD291" s="6"/>
      <c r="BE291" s="6"/>
      <c r="BF291" s="6"/>
      <c r="BG291" s="6"/>
      <c r="BH291" s="6"/>
      <c r="BI291" s="74"/>
      <c r="BJ291" s="74"/>
      <c r="BK291" s="7">
        <f>SUM(BC291:BJ291)</f>
        <v>0</v>
      </c>
      <c r="BL291" s="8">
        <f>BB291+AY291-BK291</f>
        <v>0</v>
      </c>
      <c r="BM291" s="51" t="str">
        <f>IFERROR(VLOOKUP(A291,NF!$M:$O,3,0),"")</f>
        <v>Escritório</v>
      </c>
      <c r="BN291" s="7">
        <f>SUM(N291,Z291,AL291,AX291,BK291)</f>
        <v>0</v>
      </c>
      <c r="BO291" s="8">
        <f t="array" ref="BO291">IFERROR(LARGE(IF(NF!$G$2:$G$3137='Mês atual'!A291,NF!$J$2:$J$3137),1),0)*BN291</f>
        <v>0</v>
      </c>
      <c r="BP291" s="50"/>
      <c r="BR291" s="146">
        <f t="array" ref="BR291">IFERROR(LARGE(IF(NF!$G$2:$G$3137='Mês atual'!A291,NF!$J$2:$J$3137),1),0)</f>
        <v>0</v>
      </c>
      <c r="BS291" s="142" t="str">
        <f>VLOOKUP(A291,NF!M:O,3,0)</f>
        <v>Escritório</v>
      </c>
      <c r="BV291" s="74">
        <f>N291</f>
        <v>0</v>
      </c>
      <c r="BW291" s="74">
        <f>Z291</f>
        <v>0</v>
      </c>
      <c r="BX291" s="74">
        <f>AL291</f>
        <v>0</v>
      </c>
      <c r="BY291" s="74">
        <f>AX291</f>
        <v>0</v>
      </c>
      <c r="BZ291" s="74">
        <f>BK291</f>
        <v>0</v>
      </c>
    </row>
    <row r="292" spans="1:78" x14ac:dyDescent="0.2">
      <c r="A292" s="108" t="s">
        <v>394</v>
      </c>
      <c r="B292" s="12"/>
      <c r="C292" s="9">
        <v>0</v>
      </c>
      <c r="D292" s="25"/>
      <c r="E292" s="10" t="str">
        <f t="shared" si="177"/>
        <v>MarçoSEMANA 1Grafite</v>
      </c>
      <c r="F292" s="7">
        <f>SUMIF(NF!$A:$A,$E292,NF!$I:$I)</f>
        <v>0</v>
      </c>
      <c r="G292" s="74"/>
      <c r="H292" s="74"/>
      <c r="I292" s="74"/>
      <c r="J292" s="6"/>
      <c r="K292" s="6"/>
      <c r="L292" s="6"/>
      <c r="M292" s="6"/>
      <c r="N292" s="7">
        <f t="shared" si="203"/>
        <v>0</v>
      </c>
      <c r="O292" s="11">
        <f t="shared" si="179"/>
        <v>0</v>
      </c>
      <c r="P292" s="25"/>
      <c r="Q292" s="10" t="str">
        <f t="shared" si="180"/>
        <v>MarçoSEMANA 2Grafite</v>
      </c>
      <c r="R292" s="7">
        <f>SUMIF(NF!$A:$A,$Q292,NF!$I:$I)</f>
        <v>0</v>
      </c>
      <c r="S292" s="6"/>
      <c r="T292" s="6"/>
      <c r="U292" s="6"/>
      <c r="V292" s="6"/>
      <c r="W292" s="6"/>
      <c r="X292" s="6"/>
      <c r="Y292" s="6"/>
      <c r="Z292" s="7">
        <f t="shared" si="204"/>
        <v>0</v>
      </c>
      <c r="AA292" s="11">
        <f t="shared" si="182"/>
        <v>0</v>
      </c>
      <c r="AB292" s="25"/>
      <c r="AC292" s="10" t="str">
        <f t="shared" si="183"/>
        <v>MarçoSEMANA 3Grafite</v>
      </c>
      <c r="AD292" s="7">
        <f>SUMIF(NF!$A:$A,$AC292,NF!$I:$I)</f>
        <v>0</v>
      </c>
      <c r="AE292" s="6"/>
      <c r="AF292" s="6"/>
      <c r="AG292" s="6"/>
      <c r="AH292" s="6"/>
      <c r="AI292" s="6"/>
      <c r="AJ292" s="6"/>
      <c r="AK292" s="6"/>
      <c r="AL292" s="7">
        <f t="shared" si="205"/>
        <v>0</v>
      </c>
      <c r="AM292" s="11">
        <f t="shared" si="185"/>
        <v>0</v>
      </c>
      <c r="AN292" s="25"/>
      <c r="AO292" s="10" t="str">
        <f t="shared" si="186"/>
        <v>MarçoSEMANA 4Grafite</v>
      </c>
      <c r="AP292" s="7">
        <f>SUMIF(NF!$A:$A,$AO292,NF!$I:$I)</f>
        <v>0</v>
      </c>
      <c r="AQ292" s="6"/>
      <c r="AR292" s="6"/>
      <c r="AS292" s="6"/>
      <c r="AT292" s="6"/>
      <c r="AU292" s="6"/>
      <c r="AV292" s="6"/>
      <c r="AW292" s="6"/>
      <c r="AX292" s="7">
        <f t="shared" si="206"/>
        <v>0</v>
      </c>
      <c r="AY292" s="11">
        <f t="shared" si="188"/>
        <v>0</v>
      </c>
      <c r="AZ292" s="25"/>
      <c r="BA292" s="10" t="str">
        <f t="shared" si="189"/>
        <v>MarçoSEMANA 5Grafite</v>
      </c>
      <c r="BB292" s="7">
        <f>SUMIF(NF!$A:$A,$BA292,NF!$I:$I)</f>
        <v>0</v>
      </c>
      <c r="BC292" s="6"/>
      <c r="BD292" s="6"/>
      <c r="BE292" s="6"/>
      <c r="BF292" s="6"/>
      <c r="BG292" s="6"/>
      <c r="BH292" s="6"/>
      <c r="BI292" s="74"/>
      <c r="BJ292" s="74"/>
      <c r="BK292" s="7">
        <f t="shared" si="207"/>
        <v>0</v>
      </c>
      <c r="BL292" s="8">
        <f t="shared" si="191"/>
        <v>0</v>
      </c>
      <c r="BM292" s="51" t="str">
        <f>IFERROR(VLOOKUP(A292,NF!$M:$O,3,0),"")</f>
        <v>Escritório</v>
      </c>
      <c r="BN292" s="7">
        <f t="shared" si="192"/>
        <v>0</v>
      </c>
      <c r="BO292" s="8">
        <f t="array" ref="BO292">IFERROR(LARGE(IF(NF!$G$2:$G$3137='Mês atual'!A292,NF!$J$2:$J$3137),1),0)*BN292</f>
        <v>0</v>
      </c>
      <c r="BP292" s="50"/>
      <c r="BR292" s="146">
        <f t="array" ref="BR292">IFERROR(LARGE(IF(NF!$G$2:$G$3137='Mês atual'!A292,NF!$J$2:$J$3137),1),0)</f>
        <v>0</v>
      </c>
      <c r="BS292" s="142" t="str">
        <f>VLOOKUP(A292,NF!M:O,3,0)</f>
        <v>Escritório</v>
      </c>
      <c r="BV292" s="74">
        <f t="shared" si="193"/>
        <v>0</v>
      </c>
      <c r="BW292" s="74">
        <f t="shared" si="194"/>
        <v>0</v>
      </c>
      <c r="BX292" s="74">
        <f t="shared" si="195"/>
        <v>0</v>
      </c>
      <c r="BY292" s="74">
        <f t="shared" si="196"/>
        <v>0</v>
      </c>
      <c r="BZ292" s="74">
        <f t="shared" si="197"/>
        <v>0</v>
      </c>
    </row>
    <row r="293" spans="1:78" x14ac:dyDescent="0.2">
      <c r="A293" s="108" t="s">
        <v>395</v>
      </c>
      <c r="B293" s="12"/>
      <c r="C293" s="9">
        <v>0</v>
      </c>
      <c r="D293" s="25"/>
      <c r="E293" s="10" t="str">
        <f t="shared" si="177"/>
        <v>MarçoSEMANA 1Grampo 26/6</v>
      </c>
      <c r="F293" s="7">
        <f>SUMIF(NF!$A:$A,$E293,NF!$I:$I)</f>
        <v>0</v>
      </c>
      <c r="G293" s="74"/>
      <c r="H293" s="74"/>
      <c r="I293" s="74"/>
      <c r="J293" s="6"/>
      <c r="K293" s="6"/>
      <c r="L293" s="6"/>
      <c r="M293" s="6"/>
      <c r="N293" s="7">
        <f t="shared" si="203"/>
        <v>0</v>
      </c>
      <c r="O293" s="11">
        <f t="shared" si="179"/>
        <v>0</v>
      </c>
      <c r="P293" s="25"/>
      <c r="Q293" s="10" t="str">
        <f t="shared" si="180"/>
        <v>MarçoSEMANA 2Grampo 26/6</v>
      </c>
      <c r="R293" s="7">
        <f>SUMIF(NF!$A:$A,$Q293,NF!$I:$I)</f>
        <v>1</v>
      </c>
      <c r="S293" s="6"/>
      <c r="T293" s="6"/>
      <c r="U293" s="6"/>
      <c r="V293" s="6"/>
      <c r="W293" s="6">
        <v>1</v>
      </c>
      <c r="X293" s="6"/>
      <c r="Y293" s="6"/>
      <c r="Z293" s="7">
        <f t="shared" si="204"/>
        <v>1</v>
      </c>
      <c r="AA293" s="11">
        <f t="shared" si="182"/>
        <v>0</v>
      </c>
      <c r="AB293" s="25"/>
      <c r="AC293" s="10" t="str">
        <f t="shared" si="183"/>
        <v>MarçoSEMANA 3Grampo 26/6</v>
      </c>
      <c r="AD293" s="7">
        <f>SUMIF(NF!$A:$A,$AC293,NF!$I:$I)</f>
        <v>0</v>
      </c>
      <c r="AE293" s="6"/>
      <c r="AF293" s="6"/>
      <c r="AG293" s="6"/>
      <c r="AH293" s="6"/>
      <c r="AI293" s="6"/>
      <c r="AJ293" s="6"/>
      <c r="AK293" s="6"/>
      <c r="AL293" s="7">
        <f t="shared" si="205"/>
        <v>0</v>
      </c>
      <c r="AM293" s="11">
        <f t="shared" si="185"/>
        <v>0</v>
      </c>
      <c r="AN293" s="25"/>
      <c r="AO293" s="10" t="str">
        <f t="shared" si="186"/>
        <v>MarçoSEMANA 4Grampo 26/6</v>
      </c>
      <c r="AP293" s="7">
        <f>SUMIF(NF!$A:$A,$AO293,NF!$I:$I)</f>
        <v>0</v>
      </c>
      <c r="AQ293" s="6"/>
      <c r="AR293" s="6"/>
      <c r="AS293" s="6"/>
      <c r="AT293" s="6"/>
      <c r="AU293" s="6"/>
      <c r="AV293" s="6"/>
      <c r="AW293" s="6"/>
      <c r="AX293" s="7">
        <f t="shared" si="206"/>
        <v>0</v>
      </c>
      <c r="AY293" s="11">
        <f t="shared" si="188"/>
        <v>0</v>
      </c>
      <c r="AZ293" s="25"/>
      <c r="BA293" s="10" t="str">
        <f t="shared" si="189"/>
        <v>MarçoSEMANA 5Grampo 26/6</v>
      </c>
      <c r="BB293" s="7">
        <f>SUMIF(NF!$A:$A,$BA293,NF!$I:$I)</f>
        <v>0</v>
      </c>
      <c r="BC293" s="6"/>
      <c r="BD293" s="6"/>
      <c r="BE293" s="6"/>
      <c r="BF293" s="6"/>
      <c r="BG293" s="6"/>
      <c r="BH293" s="6"/>
      <c r="BI293" s="74"/>
      <c r="BJ293" s="74"/>
      <c r="BK293" s="7">
        <f t="shared" si="207"/>
        <v>0</v>
      </c>
      <c r="BL293" s="8">
        <f t="shared" si="191"/>
        <v>0</v>
      </c>
      <c r="BM293" s="51" t="str">
        <f>IFERROR(VLOOKUP(A293,NF!$M:$O,3,0),"")</f>
        <v>Escritório</v>
      </c>
      <c r="BN293" s="7">
        <f t="shared" si="192"/>
        <v>1</v>
      </c>
      <c r="BO293" s="8">
        <f t="array" ref="BO293">IFERROR(LARGE(IF(NF!$G$2:$G$3137='Mês atual'!A293,NF!$J$2:$J$3137),1),0)*BN293</f>
        <v>4.58</v>
      </c>
      <c r="BP293" s="50"/>
      <c r="BR293" s="146">
        <f t="array" ref="BR293">IFERROR(LARGE(IF(NF!$G$2:$G$3137='Mês atual'!A293,NF!$J$2:$J$3137),1),0)</f>
        <v>4.58</v>
      </c>
      <c r="BS293" s="142" t="str">
        <f>VLOOKUP(A293,NF!M:O,3,0)</f>
        <v>Escritório</v>
      </c>
      <c r="BV293" s="74">
        <f t="shared" si="193"/>
        <v>0</v>
      </c>
      <c r="BW293" s="74">
        <f t="shared" si="194"/>
        <v>1</v>
      </c>
      <c r="BX293" s="74">
        <f t="shared" si="195"/>
        <v>0</v>
      </c>
      <c r="BY293" s="74">
        <f t="shared" si="196"/>
        <v>0</v>
      </c>
      <c r="BZ293" s="74">
        <f t="shared" si="197"/>
        <v>0</v>
      </c>
    </row>
    <row r="294" spans="1:78" x14ac:dyDescent="0.25">
      <c r="A294" s="108" t="s">
        <v>455</v>
      </c>
      <c r="B294" s="12"/>
      <c r="C294" s="9">
        <v>0</v>
      </c>
      <c r="D294" s="25"/>
      <c r="E294" s="10" t="str">
        <f t="shared" si="177"/>
        <v>MarçoSEMANA 1Lápis</v>
      </c>
      <c r="F294" s="7">
        <f>SUMIF(NF!$A:$A,$E294,NF!$I:$I)</f>
        <v>0</v>
      </c>
      <c r="G294" s="74"/>
      <c r="H294" s="74"/>
      <c r="I294" s="74"/>
      <c r="J294" s="6"/>
      <c r="K294" s="6"/>
      <c r="L294" s="6"/>
      <c r="M294" s="6"/>
      <c r="N294" s="7">
        <f t="shared" si="203"/>
        <v>0</v>
      </c>
      <c r="O294" s="11">
        <f t="shared" si="179"/>
        <v>0</v>
      </c>
      <c r="P294" s="25"/>
      <c r="Q294" s="10" t="str">
        <f t="shared" si="180"/>
        <v>MarçoSEMANA 2Lápis</v>
      </c>
      <c r="R294" s="7">
        <f>SUMIF(NF!$A:$A,$Q294,NF!$I:$I)</f>
        <v>0</v>
      </c>
      <c r="S294" s="6"/>
      <c r="T294" s="6"/>
      <c r="U294" s="6"/>
      <c r="V294" s="6"/>
      <c r="W294" s="6"/>
      <c r="X294" s="6"/>
      <c r="Y294" s="6"/>
      <c r="Z294" s="7">
        <f t="shared" si="204"/>
        <v>0</v>
      </c>
      <c r="AA294" s="11">
        <f t="shared" si="182"/>
        <v>0</v>
      </c>
      <c r="AB294" s="25"/>
      <c r="AC294" s="10" t="str">
        <f t="shared" si="183"/>
        <v>MarçoSEMANA 3Lápis</v>
      </c>
      <c r="AD294" s="7">
        <f>SUMIF(NF!$A:$A,$AC294,NF!$I:$I)</f>
        <v>0</v>
      </c>
      <c r="AE294" s="6"/>
      <c r="AF294" s="6"/>
      <c r="AG294" s="6"/>
      <c r="AH294" s="6"/>
      <c r="AI294" s="6"/>
      <c r="AJ294" s="6"/>
      <c r="AK294" s="6"/>
      <c r="AL294" s="7">
        <f t="shared" si="205"/>
        <v>0</v>
      </c>
      <c r="AM294" s="11">
        <f t="shared" si="185"/>
        <v>0</v>
      </c>
      <c r="AN294" s="25"/>
      <c r="AO294" s="10" t="str">
        <f t="shared" si="186"/>
        <v>MarçoSEMANA 4Lápis</v>
      </c>
      <c r="AP294" s="7">
        <f>SUMIF(NF!$A:$A,$AO294,NF!$I:$I)</f>
        <v>0</v>
      </c>
      <c r="AQ294" s="6"/>
      <c r="AR294" s="6"/>
      <c r="AS294" s="6"/>
      <c r="AT294" s="6"/>
      <c r="AU294" s="6"/>
      <c r="AV294" s="6"/>
      <c r="AW294" s="6"/>
      <c r="AX294" s="7">
        <f t="shared" si="206"/>
        <v>0</v>
      </c>
      <c r="AY294" s="11">
        <f t="shared" si="188"/>
        <v>0</v>
      </c>
      <c r="AZ294" s="25"/>
      <c r="BA294" s="10" t="str">
        <f t="shared" si="189"/>
        <v>MarçoSEMANA 5Lápis</v>
      </c>
      <c r="BB294" s="7">
        <f>SUMIF(NF!$A:$A,$BA294,NF!$I:$I)</f>
        <v>0</v>
      </c>
      <c r="BC294" s="6"/>
      <c r="BD294" s="6"/>
      <c r="BE294" s="6"/>
      <c r="BF294" s="6"/>
      <c r="BG294" s="6"/>
      <c r="BH294" s="6"/>
      <c r="BI294" s="74"/>
      <c r="BJ294" s="74"/>
      <c r="BK294" s="7">
        <f t="shared" si="207"/>
        <v>0</v>
      </c>
      <c r="BL294" s="8">
        <f t="shared" si="191"/>
        <v>0</v>
      </c>
      <c r="BM294" s="51" t="str">
        <f>IFERROR(VLOOKUP(A294,NF!$M:$O,3,0),"")</f>
        <v>Escritório</v>
      </c>
      <c r="BN294" s="7">
        <f t="shared" si="192"/>
        <v>0</v>
      </c>
      <c r="BO294" s="8">
        <f t="array" ref="BO294">IFERROR(LARGE(IF(NF!$G$2:$G$3137='Mês atual'!A294,NF!$J$2:$J$3137),1),0)*BN294</f>
        <v>0</v>
      </c>
      <c r="BP294" s="50"/>
      <c r="BR294" s="146">
        <f t="array" ref="BR294">IFERROR(LARGE(IF(NF!$G$2:$G$3137='Mês atual'!A294,NF!$J$2:$J$3137),1),0)</f>
        <v>0</v>
      </c>
      <c r="BS294" s="142" t="str">
        <f>VLOOKUP(A294,NF!M:O,3,0)</f>
        <v>Escritório</v>
      </c>
      <c r="BV294" s="74">
        <f t="shared" si="193"/>
        <v>0</v>
      </c>
      <c r="BW294" s="74">
        <f t="shared" si="194"/>
        <v>0</v>
      </c>
      <c r="BX294" s="74">
        <f t="shared" si="195"/>
        <v>0</v>
      </c>
      <c r="BY294" s="74">
        <f t="shared" si="196"/>
        <v>0</v>
      </c>
      <c r="BZ294" s="74">
        <f t="shared" si="197"/>
        <v>0</v>
      </c>
    </row>
    <row r="295" spans="1:78" x14ac:dyDescent="0.2">
      <c r="A295" s="108" t="s">
        <v>1036</v>
      </c>
      <c r="B295" s="12"/>
      <c r="C295" s="9">
        <v>0</v>
      </c>
      <c r="D295" s="25"/>
      <c r="E295" s="10" t="str">
        <f t="shared" si="177"/>
        <v>MarçoSEMANA 1Marca Texto Pilot</v>
      </c>
      <c r="F295" s="7">
        <f>SUMIF(NF!$A:$A,$E295,NF!$I:$I)</f>
        <v>0</v>
      </c>
      <c r="G295" s="74"/>
      <c r="H295" s="74"/>
      <c r="I295" s="74"/>
      <c r="J295" s="6"/>
      <c r="K295" s="6"/>
      <c r="L295" s="6"/>
      <c r="M295" s="6"/>
      <c r="N295" s="7">
        <f>SUM(G295:M295)</f>
        <v>0</v>
      </c>
      <c r="O295" s="11">
        <f t="shared" si="179"/>
        <v>0</v>
      </c>
      <c r="P295" s="25"/>
      <c r="Q295" s="10" t="str">
        <f t="shared" si="180"/>
        <v>MarçoSEMANA 2Marca Texto Pilot</v>
      </c>
      <c r="R295" s="7">
        <f>SUMIF(NF!$A:$A,$Q295,NF!$I:$I)</f>
        <v>0</v>
      </c>
      <c r="S295" s="6"/>
      <c r="T295" s="6"/>
      <c r="U295" s="6"/>
      <c r="V295" s="6"/>
      <c r="W295" s="6"/>
      <c r="X295" s="6"/>
      <c r="Y295" s="6"/>
      <c r="Z295" s="7">
        <f>SUM(S295:Y295)</f>
        <v>0</v>
      </c>
      <c r="AA295" s="11">
        <f t="shared" si="182"/>
        <v>0</v>
      </c>
      <c r="AB295" s="25"/>
      <c r="AC295" s="10" t="str">
        <f t="shared" si="183"/>
        <v>MarçoSEMANA 3Marca Texto Pilot</v>
      </c>
      <c r="AD295" s="7">
        <f>SUMIF(NF!$A:$A,$AC295,NF!$I:$I)</f>
        <v>0</v>
      </c>
      <c r="AE295" s="6"/>
      <c r="AF295" s="6"/>
      <c r="AG295" s="6"/>
      <c r="AH295" s="6"/>
      <c r="AI295" s="6"/>
      <c r="AJ295" s="6"/>
      <c r="AK295" s="6"/>
      <c r="AL295" s="7">
        <f>SUM(AE295:AK295)</f>
        <v>0</v>
      </c>
      <c r="AM295" s="11">
        <f t="shared" si="185"/>
        <v>0</v>
      </c>
      <c r="AN295" s="25"/>
      <c r="AO295" s="10" t="str">
        <f t="shared" si="186"/>
        <v>MarçoSEMANA 4Marca Texto Pilot</v>
      </c>
      <c r="AP295" s="7">
        <f>SUMIF(NF!$A:$A,$AO295,NF!$I:$I)</f>
        <v>0</v>
      </c>
      <c r="AQ295" s="6"/>
      <c r="AR295" s="6"/>
      <c r="AS295" s="6"/>
      <c r="AT295" s="6"/>
      <c r="AU295" s="6"/>
      <c r="AV295" s="6"/>
      <c r="AW295" s="6"/>
      <c r="AX295" s="7">
        <f>SUM(AQ295:AW295)</f>
        <v>0</v>
      </c>
      <c r="AY295" s="11">
        <f t="shared" si="188"/>
        <v>0</v>
      </c>
      <c r="AZ295" s="25"/>
      <c r="BA295" s="10" t="str">
        <f t="shared" si="189"/>
        <v>MarçoSEMANA 5Marca Texto Pilot</v>
      </c>
      <c r="BB295" s="7">
        <f>SUMIF(NF!$A:$A,$BA295,NF!$I:$I)</f>
        <v>0</v>
      </c>
      <c r="BC295" s="6"/>
      <c r="BD295" s="6"/>
      <c r="BE295" s="6"/>
      <c r="BF295" s="6"/>
      <c r="BG295" s="6"/>
      <c r="BH295" s="6"/>
      <c r="BI295" s="74"/>
      <c r="BJ295" s="74"/>
      <c r="BK295" s="7">
        <f>SUM(BC295:BJ295)</f>
        <v>0</v>
      </c>
      <c r="BL295" s="8">
        <f t="shared" si="191"/>
        <v>0</v>
      </c>
      <c r="BM295" s="51" t="str">
        <f>IFERROR(VLOOKUP(A295,NF!$M:$O,3,0),"")</f>
        <v>Escritório</v>
      </c>
      <c r="BN295" s="7">
        <f t="shared" si="192"/>
        <v>0</v>
      </c>
      <c r="BO295" s="8">
        <f t="array" ref="BO295">IFERROR(LARGE(IF(NF!$G$2:$G$3137='Mês atual'!A295,NF!$J$2:$J$3137),1),0)*BN295</f>
        <v>0</v>
      </c>
      <c r="BP295" s="50"/>
      <c r="BR295" s="146">
        <f t="array" ref="BR295">IFERROR(LARGE(IF(NF!$G$2:$G$3137='Mês atual'!A295,NF!$J$2:$J$3137),1),0)</f>
        <v>0</v>
      </c>
      <c r="BS295" s="142" t="str">
        <f>VLOOKUP(A295,NF!M:O,3,0)</f>
        <v>Escritório</v>
      </c>
      <c r="BV295" s="74">
        <f t="shared" si="193"/>
        <v>0</v>
      </c>
      <c r="BW295" s="74">
        <f t="shared" si="194"/>
        <v>0</v>
      </c>
      <c r="BX295" s="74">
        <f t="shared" si="195"/>
        <v>0</v>
      </c>
      <c r="BY295" s="74">
        <f t="shared" si="196"/>
        <v>0</v>
      </c>
      <c r="BZ295" s="74">
        <f t="shared" si="197"/>
        <v>0</v>
      </c>
    </row>
    <row r="296" spans="1:78" x14ac:dyDescent="0.2">
      <c r="A296" s="108" t="s">
        <v>997</v>
      </c>
      <c r="B296" s="12"/>
      <c r="C296" s="9">
        <v>0</v>
      </c>
      <c r="D296" s="25"/>
      <c r="E296" s="10" t="str">
        <f t="shared" si="177"/>
        <v>MarçoSEMANA 1Marcador para Retro Projetor</v>
      </c>
      <c r="F296" s="7">
        <f>SUMIF(NF!$A:$A,$E296,NF!$I:$I)</f>
        <v>0</v>
      </c>
      <c r="G296" s="74"/>
      <c r="H296" s="74"/>
      <c r="I296" s="74"/>
      <c r="J296" s="6"/>
      <c r="K296" s="6"/>
      <c r="L296" s="6"/>
      <c r="M296" s="6"/>
      <c r="N296" s="7">
        <f>SUM(G296:M296)</f>
        <v>0</v>
      </c>
      <c r="O296" s="11">
        <f>F296+C296-N296</f>
        <v>0</v>
      </c>
      <c r="P296" s="25"/>
      <c r="Q296" s="10" t="str">
        <f t="shared" si="180"/>
        <v>MarçoSEMANA 2Marcador para Retro Projetor</v>
      </c>
      <c r="R296" s="7">
        <f>SUMIF(NF!$A:$A,$Q296,NF!$I:$I)</f>
        <v>6</v>
      </c>
      <c r="S296" s="6"/>
      <c r="T296" s="6"/>
      <c r="U296" s="6"/>
      <c r="V296" s="6"/>
      <c r="W296" s="6">
        <v>6</v>
      </c>
      <c r="X296" s="6"/>
      <c r="Y296" s="6"/>
      <c r="Z296" s="7">
        <f>SUM(S296:Y296)</f>
        <v>6</v>
      </c>
      <c r="AA296" s="11">
        <f>R296+O296-Z296</f>
        <v>0</v>
      </c>
      <c r="AB296" s="25"/>
      <c r="AC296" s="10" t="str">
        <f t="shared" si="183"/>
        <v>MarçoSEMANA 3Marcador para Retro Projetor</v>
      </c>
      <c r="AD296" s="7">
        <f>SUMIF(NF!$A:$A,$AC296,NF!$I:$I)</f>
        <v>0</v>
      </c>
      <c r="AE296" s="6"/>
      <c r="AF296" s="6"/>
      <c r="AG296" s="6"/>
      <c r="AH296" s="6"/>
      <c r="AI296" s="6"/>
      <c r="AJ296" s="6"/>
      <c r="AK296" s="6"/>
      <c r="AL296" s="7">
        <f>SUM(AE296:AK296)</f>
        <v>0</v>
      </c>
      <c r="AM296" s="11">
        <f>AD296+AA296-AL296</f>
        <v>0</v>
      </c>
      <c r="AN296" s="25"/>
      <c r="AO296" s="10" t="str">
        <f t="shared" si="186"/>
        <v>MarçoSEMANA 4Marcador para Retro Projetor</v>
      </c>
      <c r="AP296" s="7">
        <f>SUMIF(NF!$A:$A,$AO296,NF!$I:$I)</f>
        <v>0</v>
      </c>
      <c r="AQ296" s="6"/>
      <c r="AR296" s="6"/>
      <c r="AS296" s="6"/>
      <c r="AT296" s="6"/>
      <c r="AU296" s="6"/>
      <c r="AV296" s="6"/>
      <c r="AW296" s="6"/>
      <c r="AX296" s="7">
        <f>SUM(AQ296:AW296)</f>
        <v>0</v>
      </c>
      <c r="AY296" s="11">
        <f>AP296+AM296-AX296</f>
        <v>0</v>
      </c>
      <c r="AZ296" s="25"/>
      <c r="BA296" s="10" t="str">
        <f t="shared" si="189"/>
        <v>MarçoSEMANA 5Marcador para Retro Projetor</v>
      </c>
      <c r="BB296" s="7">
        <f>SUMIF(NF!$A:$A,$BA296,NF!$I:$I)</f>
        <v>0</v>
      </c>
      <c r="BC296" s="6"/>
      <c r="BD296" s="6"/>
      <c r="BE296" s="6"/>
      <c r="BF296" s="6"/>
      <c r="BG296" s="6"/>
      <c r="BH296" s="6"/>
      <c r="BI296" s="74"/>
      <c r="BJ296" s="74"/>
      <c r="BK296" s="7">
        <f>SUM(BC296:BJ296)</f>
        <v>0</v>
      </c>
      <c r="BL296" s="8">
        <f>BB296+AY296-BK296</f>
        <v>0</v>
      </c>
      <c r="BM296" s="51" t="str">
        <f>IFERROR(VLOOKUP(A296,NF!$M:$O,3,0),"")</f>
        <v>Escritório</v>
      </c>
      <c r="BN296" s="7">
        <f>SUM(N296,Z296,AL296,AX296,BK296)</f>
        <v>6</v>
      </c>
      <c r="BO296" s="8">
        <f t="array" ref="BO296">IFERROR(LARGE(IF(NF!$G$2:$G$3137='Mês atual'!A296,NF!$J$2:$J$3137),1),0)*BN296</f>
        <v>21</v>
      </c>
      <c r="BP296" s="50"/>
      <c r="BR296" s="146">
        <f t="array" ref="BR296">IFERROR(LARGE(IF(NF!$G$2:$G$3137='Mês atual'!A296,NF!$J$2:$J$3137),1),0)</f>
        <v>3.5</v>
      </c>
      <c r="BS296" s="142" t="str">
        <f>VLOOKUP(A296,NF!M:O,3,0)</f>
        <v>Escritório</v>
      </c>
      <c r="BV296" s="74">
        <f t="shared" si="193"/>
        <v>0</v>
      </c>
      <c r="BW296" s="74">
        <f t="shared" si="194"/>
        <v>6</v>
      </c>
      <c r="BX296" s="74">
        <f t="shared" si="195"/>
        <v>0</v>
      </c>
      <c r="BY296" s="74">
        <f t="shared" si="196"/>
        <v>0</v>
      </c>
      <c r="BZ296" s="74">
        <f t="shared" si="197"/>
        <v>0</v>
      </c>
    </row>
    <row r="297" spans="1:78" x14ac:dyDescent="0.2">
      <c r="A297" s="108" t="s">
        <v>524</v>
      </c>
      <c r="B297" s="12"/>
      <c r="C297" s="9">
        <v>0</v>
      </c>
      <c r="D297" s="25"/>
      <c r="E297" s="10" t="str">
        <f t="shared" si="177"/>
        <v>MarçoSEMANA 1Molha Dedo Creme Umedecedor</v>
      </c>
      <c r="F297" s="7">
        <f>SUMIF(NF!$A:$A,$E297,NF!$I:$I)</f>
        <v>0</v>
      </c>
      <c r="G297" s="74"/>
      <c r="H297" s="74"/>
      <c r="I297" s="74"/>
      <c r="J297" s="6"/>
      <c r="K297" s="6"/>
      <c r="L297" s="6"/>
      <c r="M297" s="6"/>
      <c r="N297" s="7">
        <f t="shared" si="203"/>
        <v>0</v>
      </c>
      <c r="O297" s="11">
        <f t="shared" si="179"/>
        <v>0</v>
      </c>
      <c r="P297" s="25"/>
      <c r="Q297" s="10" t="str">
        <f t="shared" si="180"/>
        <v>MarçoSEMANA 2Molha Dedo Creme Umedecedor</v>
      </c>
      <c r="R297" s="7">
        <f>SUMIF(NF!$A:$A,$Q297,NF!$I:$I)</f>
        <v>0</v>
      </c>
      <c r="S297" s="6"/>
      <c r="T297" s="6"/>
      <c r="U297" s="6"/>
      <c r="V297" s="6"/>
      <c r="W297" s="6"/>
      <c r="X297" s="6"/>
      <c r="Y297" s="6"/>
      <c r="Z297" s="7">
        <f t="shared" si="204"/>
        <v>0</v>
      </c>
      <c r="AA297" s="11">
        <f t="shared" si="182"/>
        <v>0</v>
      </c>
      <c r="AB297" s="25"/>
      <c r="AC297" s="10" t="str">
        <f t="shared" si="183"/>
        <v>MarçoSEMANA 3Molha Dedo Creme Umedecedor</v>
      </c>
      <c r="AD297" s="7">
        <f>SUMIF(NF!$A:$A,$AC297,NF!$I:$I)</f>
        <v>0</v>
      </c>
      <c r="AE297" s="6"/>
      <c r="AF297" s="6"/>
      <c r="AG297" s="6"/>
      <c r="AH297" s="6"/>
      <c r="AI297" s="6"/>
      <c r="AJ297" s="6"/>
      <c r="AK297" s="6"/>
      <c r="AL297" s="7">
        <f t="shared" si="205"/>
        <v>0</v>
      </c>
      <c r="AM297" s="11">
        <f t="shared" si="185"/>
        <v>0</v>
      </c>
      <c r="AN297" s="25"/>
      <c r="AO297" s="10" t="str">
        <f t="shared" si="186"/>
        <v>MarçoSEMANA 4Molha Dedo Creme Umedecedor</v>
      </c>
      <c r="AP297" s="7">
        <f>SUMIF(NF!$A:$A,$AO297,NF!$I:$I)</f>
        <v>0</v>
      </c>
      <c r="AQ297" s="6"/>
      <c r="AR297" s="6"/>
      <c r="AS297" s="6"/>
      <c r="AT297" s="6"/>
      <c r="AU297" s="6"/>
      <c r="AV297" s="6"/>
      <c r="AW297" s="6"/>
      <c r="AX297" s="7">
        <f t="shared" si="206"/>
        <v>0</v>
      </c>
      <c r="AY297" s="11">
        <f t="shared" si="188"/>
        <v>0</v>
      </c>
      <c r="AZ297" s="25"/>
      <c r="BA297" s="10" t="str">
        <f t="shared" si="189"/>
        <v>MarçoSEMANA 5Molha Dedo Creme Umedecedor</v>
      </c>
      <c r="BB297" s="7">
        <f>SUMIF(NF!$A:$A,$BA297,NF!$I:$I)</f>
        <v>0</v>
      </c>
      <c r="BC297" s="6"/>
      <c r="BD297" s="6"/>
      <c r="BE297" s="6"/>
      <c r="BF297" s="6"/>
      <c r="BG297" s="6"/>
      <c r="BH297" s="6"/>
      <c r="BI297" s="74"/>
      <c r="BJ297" s="74"/>
      <c r="BK297" s="7">
        <f t="shared" si="207"/>
        <v>0</v>
      </c>
      <c r="BL297" s="8">
        <f t="shared" si="191"/>
        <v>0</v>
      </c>
      <c r="BM297" s="51" t="str">
        <f>IFERROR(VLOOKUP(A297,NF!$M:$O,3,0),"")</f>
        <v>Escritório</v>
      </c>
      <c r="BN297" s="7">
        <f t="shared" si="192"/>
        <v>0</v>
      </c>
      <c r="BO297" s="8">
        <f t="array" ref="BO297">IFERROR(LARGE(IF(NF!$G$2:$G$3137='Mês atual'!A297,NF!$J$2:$J$3137),1),0)*BN297</f>
        <v>0</v>
      </c>
      <c r="BP297" s="50"/>
      <c r="BR297" s="146">
        <f t="array" ref="BR297">IFERROR(LARGE(IF(NF!$G$2:$G$3137='Mês atual'!A297,NF!$J$2:$J$3137),1),0)</f>
        <v>0</v>
      </c>
      <c r="BS297" s="142" t="str">
        <f>VLOOKUP(A297,NF!M:O,3,0)</f>
        <v>Escritório</v>
      </c>
      <c r="BV297" s="74">
        <f t="shared" si="193"/>
        <v>0</v>
      </c>
      <c r="BW297" s="74">
        <f t="shared" si="194"/>
        <v>0</v>
      </c>
      <c r="BX297" s="74">
        <f t="shared" si="195"/>
        <v>0</v>
      </c>
      <c r="BY297" s="74">
        <f t="shared" si="196"/>
        <v>0</v>
      </c>
      <c r="BZ297" s="74">
        <f t="shared" si="197"/>
        <v>0</v>
      </c>
    </row>
    <row r="298" spans="1:78" x14ac:dyDescent="0.2">
      <c r="A298" s="108" t="s">
        <v>979</v>
      </c>
      <c r="B298" s="12"/>
      <c r="C298" s="9">
        <v>0</v>
      </c>
      <c r="D298" s="25"/>
      <c r="E298" s="10" t="str">
        <f t="shared" si="177"/>
        <v>MarçoSEMANA 1Papel Adesivo 45/10</v>
      </c>
      <c r="F298" s="7">
        <f>SUMIF(NF!$A:$A,$E298,NF!$I:$I)</f>
        <v>0</v>
      </c>
      <c r="G298" s="74"/>
      <c r="H298" s="74"/>
      <c r="I298" s="74"/>
      <c r="J298" s="6"/>
      <c r="K298" s="6"/>
      <c r="L298" s="6"/>
      <c r="M298" s="6"/>
      <c r="N298" s="7">
        <f>SUM(G298:M298)</f>
        <v>0</v>
      </c>
      <c r="O298" s="11">
        <f t="shared" si="179"/>
        <v>0</v>
      </c>
      <c r="P298" s="25"/>
      <c r="Q298" s="10" t="str">
        <f t="shared" si="180"/>
        <v>MarçoSEMANA 2Papel Adesivo 45/10</v>
      </c>
      <c r="R298" s="7">
        <f>SUMIF(NF!$A:$A,$Q298,NF!$I:$I)</f>
        <v>0</v>
      </c>
      <c r="S298" s="6"/>
      <c r="T298" s="6"/>
      <c r="U298" s="6"/>
      <c r="V298" s="6"/>
      <c r="W298" s="6"/>
      <c r="X298" s="6"/>
      <c r="Y298" s="6"/>
      <c r="Z298" s="7">
        <f>SUM(S298:Y298)</f>
        <v>0</v>
      </c>
      <c r="AA298" s="11">
        <f t="shared" si="182"/>
        <v>0</v>
      </c>
      <c r="AB298" s="25"/>
      <c r="AC298" s="10" t="str">
        <f t="shared" si="183"/>
        <v>MarçoSEMANA 3Papel Adesivo 45/10</v>
      </c>
      <c r="AD298" s="7">
        <f>SUMIF(NF!$A:$A,$AC298,NF!$I:$I)</f>
        <v>0</v>
      </c>
      <c r="AE298" s="6"/>
      <c r="AF298" s="6"/>
      <c r="AG298" s="6"/>
      <c r="AH298" s="6"/>
      <c r="AI298" s="6"/>
      <c r="AJ298" s="6"/>
      <c r="AK298" s="6"/>
      <c r="AL298" s="7">
        <f>SUM(AE298:AK298)</f>
        <v>0</v>
      </c>
      <c r="AM298" s="11">
        <f t="shared" si="185"/>
        <v>0</v>
      </c>
      <c r="AN298" s="25"/>
      <c r="AO298" s="10" t="str">
        <f t="shared" si="186"/>
        <v>MarçoSEMANA 4Papel Adesivo 45/10</v>
      </c>
      <c r="AP298" s="7">
        <f>SUMIF(NF!$A:$A,$AO298,NF!$I:$I)</f>
        <v>0</v>
      </c>
      <c r="AQ298" s="6"/>
      <c r="AR298" s="6"/>
      <c r="AS298" s="6"/>
      <c r="AT298" s="6"/>
      <c r="AU298" s="6"/>
      <c r="AV298" s="6"/>
      <c r="AW298" s="6"/>
      <c r="AX298" s="7">
        <f>SUM(AQ298:AW298)</f>
        <v>0</v>
      </c>
      <c r="AY298" s="11">
        <f t="shared" si="188"/>
        <v>0</v>
      </c>
      <c r="AZ298" s="25"/>
      <c r="BA298" s="10" t="str">
        <f t="shared" si="189"/>
        <v>MarçoSEMANA 5Papel Adesivo 45/10</v>
      </c>
      <c r="BB298" s="7">
        <f>SUMIF(NF!$A:$A,$BA298,NF!$I:$I)</f>
        <v>0</v>
      </c>
      <c r="BC298" s="6"/>
      <c r="BD298" s="6"/>
      <c r="BE298" s="6"/>
      <c r="BF298" s="6"/>
      <c r="BG298" s="6"/>
      <c r="BH298" s="6"/>
      <c r="BI298" s="74"/>
      <c r="BJ298" s="74"/>
      <c r="BK298" s="7">
        <f>SUM(BC298:BJ298)</f>
        <v>0</v>
      </c>
      <c r="BL298" s="8">
        <f t="shared" si="191"/>
        <v>0</v>
      </c>
      <c r="BM298" s="51" t="str">
        <f>IFERROR(VLOOKUP(A298,NF!$M:$O,3,0),"")</f>
        <v>Escritório</v>
      </c>
      <c r="BN298" s="7">
        <f t="shared" si="192"/>
        <v>0</v>
      </c>
      <c r="BO298" s="8">
        <f t="array" ref="BO298">IFERROR(LARGE(IF(NF!$G$2:$G$3137='Mês atual'!A298,NF!$J$2:$J$3137),1),0)*BN298</f>
        <v>0</v>
      </c>
      <c r="BP298" s="50"/>
      <c r="BR298" s="146">
        <f t="array" ref="BR298">IFERROR(LARGE(IF(NF!$G$2:$G$3137='Mês atual'!A298,NF!$J$2:$J$3137),1),0)</f>
        <v>0</v>
      </c>
      <c r="BS298" s="142" t="str">
        <f>VLOOKUP(A298,NF!M:O,3,0)</f>
        <v>Escritório</v>
      </c>
      <c r="BV298" s="74">
        <f t="shared" si="193"/>
        <v>0</v>
      </c>
      <c r="BW298" s="74">
        <f t="shared" si="194"/>
        <v>0</v>
      </c>
      <c r="BX298" s="74">
        <f t="shared" si="195"/>
        <v>0</v>
      </c>
      <c r="BY298" s="74">
        <f t="shared" si="196"/>
        <v>0</v>
      </c>
      <c r="BZ298" s="74">
        <f t="shared" si="197"/>
        <v>0</v>
      </c>
    </row>
    <row r="299" spans="1:78" x14ac:dyDescent="0.2">
      <c r="A299" s="108" t="s">
        <v>567</v>
      </c>
      <c r="B299" s="12"/>
      <c r="C299" s="9">
        <v>0</v>
      </c>
      <c r="D299" s="25"/>
      <c r="E299" s="10" t="str">
        <f t="shared" si="177"/>
        <v>MarçoSEMANA 1Papel Chamex A4 Office</v>
      </c>
      <c r="F299" s="7">
        <f>SUMIF(NF!$A:$A,$E299,NF!$I:$I)</f>
        <v>0</v>
      </c>
      <c r="G299" s="74"/>
      <c r="H299" s="74"/>
      <c r="I299" s="74"/>
      <c r="J299" s="6"/>
      <c r="K299" s="6"/>
      <c r="L299" s="6"/>
      <c r="M299" s="6"/>
      <c r="N299" s="7">
        <f t="shared" ref="N299:N307" si="208">SUM(G299:M299)</f>
        <v>0</v>
      </c>
      <c r="O299" s="11">
        <f t="shared" si="179"/>
        <v>0</v>
      </c>
      <c r="P299" s="25"/>
      <c r="Q299" s="10" t="str">
        <f t="shared" si="180"/>
        <v>MarçoSEMANA 2Papel Chamex A4 Office</v>
      </c>
      <c r="R299" s="7">
        <f>SUMIF(NF!$A:$A,$Q299,NF!$I:$I)</f>
        <v>10</v>
      </c>
      <c r="S299" s="6"/>
      <c r="T299" s="6"/>
      <c r="U299" s="6"/>
      <c r="V299" s="6"/>
      <c r="W299" s="6">
        <v>10</v>
      </c>
      <c r="X299" s="6"/>
      <c r="Y299" s="6"/>
      <c r="Z299" s="7">
        <f t="shared" ref="Z299:Z307" si="209">SUM(S299:Y299)</f>
        <v>10</v>
      </c>
      <c r="AA299" s="11">
        <f t="shared" si="182"/>
        <v>0</v>
      </c>
      <c r="AB299" s="25"/>
      <c r="AC299" s="10" t="str">
        <f t="shared" si="183"/>
        <v>MarçoSEMANA 3Papel Chamex A4 Office</v>
      </c>
      <c r="AD299" s="7">
        <f>SUMIF(NF!$A:$A,$AC299,NF!$I:$I)</f>
        <v>0</v>
      </c>
      <c r="AE299" s="6"/>
      <c r="AF299" s="6"/>
      <c r="AG299" s="6"/>
      <c r="AH299" s="6"/>
      <c r="AI299" s="6"/>
      <c r="AJ299" s="6"/>
      <c r="AK299" s="6"/>
      <c r="AL299" s="7">
        <f t="shared" ref="AL299:AL307" si="210">SUM(AE299:AK299)</f>
        <v>0</v>
      </c>
      <c r="AM299" s="11">
        <f t="shared" si="185"/>
        <v>0</v>
      </c>
      <c r="AN299" s="25"/>
      <c r="AO299" s="10" t="str">
        <f t="shared" si="186"/>
        <v>MarçoSEMANA 4Papel Chamex A4 Office</v>
      </c>
      <c r="AP299" s="7">
        <f>SUMIF(NF!$A:$A,$AO299,NF!$I:$I)</f>
        <v>0</v>
      </c>
      <c r="AQ299" s="6"/>
      <c r="AR299" s="6"/>
      <c r="AS299" s="6"/>
      <c r="AT299" s="6"/>
      <c r="AU299" s="6"/>
      <c r="AV299" s="6"/>
      <c r="AW299" s="6"/>
      <c r="AX299" s="7">
        <f t="shared" ref="AX299:AX307" si="211">SUM(AQ299:AW299)</f>
        <v>0</v>
      </c>
      <c r="AY299" s="11">
        <f t="shared" si="188"/>
        <v>0</v>
      </c>
      <c r="AZ299" s="25"/>
      <c r="BA299" s="10" t="str">
        <f t="shared" si="189"/>
        <v>MarçoSEMANA 5Papel Chamex A4 Office</v>
      </c>
      <c r="BB299" s="7">
        <f>SUMIF(NF!$A:$A,$BA299,NF!$I:$I)</f>
        <v>0</v>
      </c>
      <c r="BC299" s="6"/>
      <c r="BD299" s="6"/>
      <c r="BE299" s="6"/>
      <c r="BF299" s="6"/>
      <c r="BG299" s="6"/>
      <c r="BH299" s="6"/>
      <c r="BI299" s="74"/>
      <c r="BJ299" s="74"/>
      <c r="BK299" s="7">
        <f t="shared" ref="BK299:BK307" si="212">SUM(BC299:BJ299)</f>
        <v>0</v>
      </c>
      <c r="BL299" s="8">
        <f t="shared" si="191"/>
        <v>0</v>
      </c>
      <c r="BM299" s="51" t="str">
        <f>IFERROR(VLOOKUP(A299,NF!$M:$O,3,0),"")</f>
        <v>Escritório</v>
      </c>
      <c r="BN299" s="7">
        <f t="shared" si="192"/>
        <v>10</v>
      </c>
      <c r="BO299" s="8">
        <f t="array" ref="BO299">IFERROR(LARGE(IF(NF!$G$2:$G$3137='Mês atual'!A299,NF!$J$2:$J$3137),1),0)*BN299</f>
        <v>175</v>
      </c>
      <c r="BP299" s="50"/>
      <c r="BR299" s="146">
        <f t="array" ref="BR299">IFERROR(LARGE(IF(NF!$G$2:$G$3137='Mês atual'!A299,NF!$J$2:$J$3137),1),0)</f>
        <v>17.5</v>
      </c>
      <c r="BS299" s="142" t="str">
        <f>VLOOKUP(A299,NF!M:O,3,0)</f>
        <v>Escritório</v>
      </c>
      <c r="BV299" s="74">
        <f t="shared" si="193"/>
        <v>0</v>
      </c>
      <c r="BW299" s="74">
        <f t="shared" si="194"/>
        <v>10</v>
      </c>
      <c r="BX299" s="74">
        <f t="shared" si="195"/>
        <v>0</v>
      </c>
      <c r="BY299" s="74">
        <f t="shared" si="196"/>
        <v>0</v>
      </c>
      <c r="BZ299" s="74">
        <f t="shared" si="197"/>
        <v>0</v>
      </c>
    </row>
    <row r="300" spans="1:78" x14ac:dyDescent="0.2">
      <c r="A300" s="108" t="s">
        <v>1037</v>
      </c>
      <c r="B300" s="12"/>
      <c r="C300" s="9">
        <v>0</v>
      </c>
      <c r="D300" s="25"/>
      <c r="E300" s="10" t="str">
        <f t="shared" si="177"/>
        <v>MarçoSEMANA 1Pasta L</v>
      </c>
      <c r="F300" s="7">
        <f>SUMIF(NF!$A:$A,$E300,NF!$I:$I)</f>
        <v>0</v>
      </c>
      <c r="G300" s="74"/>
      <c r="H300" s="74"/>
      <c r="I300" s="74"/>
      <c r="J300" s="6"/>
      <c r="K300" s="6"/>
      <c r="L300" s="6"/>
      <c r="M300" s="6"/>
      <c r="N300" s="7">
        <f>SUM(G300:M300)</f>
        <v>0</v>
      </c>
      <c r="O300" s="11">
        <f>F300+C300-N300</f>
        <v>0</v>
      </c>
      <c r="P300" s="25"/>
      <c r="Q300" s="10" t="str">
        <f t="shared" si="180"/>
        <v>MarçoSEMANA 2Pasta L</v>
      </c>
      <c r="R300" s="7">
        <f>SUMIF(NF!$A:$A,$Q300,NF!$I:$I)</f>
        <v>1</v>
      </c>
      <c r="S300" s="6"/>
      <c r="T300" s="6"/>
      <c r="U300" s="6"/>
      <c r="V300" s="6"/>
      <c r="W300" s="6">
        <v>1</v>
      </c>
      <c r="X300" s="6"/>
      <c r="Y300" s="6"/>
      <c r="Z300" s="7">
        <f>SUM(S300:Y300)</f>
        <v>1</v>
      </c>
      <c r="AA300" s="11">
        <f>R300+O300-Z300</f>
        <v>0</v>
      </c>
      <c r="AB300" s="25"/>
      <c r="AC300" s="10" t="str">
        <f t="shared" si="183"/>
        <v>MarçoSEMANA 3Pasta L</v>
      </c>
      <c r="AD300" s="7">
        <f>SUMIF(NF!$A:$A,$AC300,NF!$I:$I)</f>
        <v>0</v>
      </c>
      <c r="AE300" s="6"/>
      <c r="AF300" s="6"/>
      <c r="AG300" s="6"/>
      <c r="AH300" s="6"/>
      <c r="AI300" s="6"/>
      <c r="AJ300" s="6"/>
      <c r="AK300" s="6"/>
      <c r="AL300" s="7">
        <f>SUM(AE300:AK300)</f>
        <v>0</v>
      </c>
      <c r="AM300" s="11">
        <f>AD300+AA300-AL300</f>
        <v>0</v>
      </c>
      <c r="AN300" s="25"/>
      <c r="AO300" s="10" t="str">
        <f t="shared" si="186"/>
        <v>MarçoSEMANA 4Pasta L</v>
      </c>
      <c r="AP300" s="7">
        <f>SUMIF(NF!$A:$A,$AO300,NF!$I:$I)</f>
        <v>0</v>
      </c>
      <c r="AQ300" s="6"/>
      <c r="AR300" s="6"/>
      <c r="AS300" s="6"/>
      <c r="AT300" s="6"/>
      <c r="AU300" s="6"/>
      <c r="AV300" s="6"/>
      <c r="AW300" s="6"/>
      <c r="AX300" s="7">
        <f>SUM(AQ300:AW300)</f>
        <v>0</v>
      </c>
      <c r="AY300" s="11">
        <f>AP300+AM300-AX300</f>
        <v>0</v>
      </c>
      <c r="AZ300" s="25"/>
      <c r="BA300" s="10" t="str">
        <f t="shared" si="189"/>
        <v>MarçoSEMANA 5Pasta L</v>
      </c>
      <c r="BB300" s="7">
        <f>SUMIF(NF!$A:$A,$BA300,NF!$I:$I)</f>
        <v>0</v>
      </c>
      <c r="BC300" s="6"/>
      <c r="BD300" s="6"/>
      <c r="BE300" s="6"/>
      <c r="BF300" s="6"/>
      <c r="BG300" s="6"/>
      <c r="BH300" s="6"/>
      <c r="BI300" s="74"/>
      <c r="BJ300" s="74"/>
      <c r="BK300" s="7">
        <f>SUM(BC300:BJ300)</f>
        <v>0</v>
      </c>
      <c r="BL300" s="8">
        <f>BB300+AY300-BK300</f>
        <v>0</v>
      </c>
      <c r="BM300" s="51" t="str">
        <f>IFERROR(VLOOKUP(A300,NF!$M:$O,3,0),"")</f>
        <v>Escritório</v>
      </c>
      <c r="BN300" s="7">
        <f>SUM(N300,Z300,AL300,AX300,BK300)</f>
        <v>1</v>
      </c>
      <c r="BO300" s="8">
        <f t="array" ref="BO300">IFERROR(LARGE(IF(NF!$G$2:$G$3137='Mês atual'!A300,NF!$J$2:$J$3137),1),0)*BN300</f>
        <v>7</v>
      </c>
      <c r="BP300" s="50"/>
      <c r="BR300" s="146">
        <f t="array" ref="BR300">IFERROR(LARGE(IF(NF!$G$2:$G$3137='Mês atual'!A300,NF!$J$2:$J$3137),1),0)</f>
        <v>7</v>
      </c>
      <c r="BS300" s="142" t="str">
        <f>VLOOKUP(A300,NF!M:O,3,0)</f>
        <v>Escritório</v>
      </c>
      <c r="BV300" s="74">
        <f t="shared" si="193"/>
        <v>0</v>
      </c>
      <c r="BW300" s="74">
        <f t="shared" si="194"/>
        <v>1</v>
      </c>
      <c r="BX300" s="74">
        <f t="shared" si="195"/>
        <v>0</v>
      </c>
      <c r="BY300" s="74">
        <f t="shared" si="196"/>
        <v>0</v>
      </c>
      <c r="BZ300" s="74">
        <f t="shared" si="197"/>
        <v>0</v>
      </c>
    </row>
    <row r="301" spans="1:78" x14ac:dyDescent="0.2">
      <c r="A301" s="108" t="s">
        <v>1065</v>
      </c>
      <c r="B301" s="12"/>
      <c r="C301" s="9">
        <v>0</v>
      </c>
      <c r="D301" s="25"/>
      <c r="E301" s="10" t="str">
        <f t="shared" si="177"/>
        <v>MarçoSEMANA 1Pilha Alcalina Palito c/ 8</v>
      </c>
      <c r="F301" s="7">
        <f>SUMIF(NF!$A:$A,$E301,NF!$I:$I)</f>
        <v>0</v>
      </c>
      <c r="G301" s="74"/>
      <c r="H301" s="74"/>
      <c r="I301" s="74"/>
      <c r="J301" s="6"/>
      <c r="K301" s="6"/>
      <c r="L301" s="6"/>
      <c r="M301" s="6"/>
      <c r="N301" s="7">
        <f>SUM(G301:M301)</f>
        <v>0</v>
      </c>
      <c r="O301" s="11">
        <f>F301+C301-N301</f>
        <v>0</v>
      </c>
      <c r="P301" s="25"/>
      <c r="Q301" s="10" t="str">
        <f t="shared" si="180"/>
        <v>MarçoSEMANA 2Pilha Alcalina Palito c/ 8</v>
      </c>
      <c r="R301" s="7">
        <f>SUMIF(NF!$A:$A,$Q301,NF!$I:$I)</f>
        <v>0</v>
      </c>
      <c r="S301" s="6"/>
      <c r="T301" s="6"/>
      <c r="U301" s="6"/>
      <c r="V301" s="6"/>
      <c r="W301" s="6"/>
      <c r="X301" s="6"/>
      <c r="Y301" s="6"/>
      <c r="Z301" s="7">
        <f>SUM(S301:Y301)</f>
        <v>0</v>
      </c>
      <c r="AA301" s="11">
        <f>R301+O301-Z301</f>
        <v>0</v>
      </c>
      <c r="AB301" s="25"/>
      <c r="AC301" s="10" t="str">
        <f t="shared" si="183"/>
        <v>MarçoSEMANA 3Pilha Alcalina Palito c/ 8</v>
      </c>
      <c r="AD301" s="7">
        <f>SUMIF(NF!$A:$A,$AC301,NF!$I:$I)</f>
        <v>0</v>
      </c>
      <c r="AE301" s="6"/>
      <c r="AF301" s="6"/>
      <c r="AG301" s="6"/>
      <c r="AH301" s="6"/>
      <c r="AI301" s="6"/>
      <c r="AJ301" s="6"/>
      <c r="AK301" s="6"/>
      <c r="AL301" s="7">
        <f>SUM(AE301:AK301)</f>
        <v>0</v>
      </c>
      <c r="AM301" s="11">
        <f>AD301+AA301-AL301</f>
        <v>0</v>
      </c>
      <c r="AN301" s="25"/>
      <c r="AO301" s="10" t="str">
        <f t="shared" si="186"/>
        <v>MarçoSEMANA 4Pilha Alcalina Palito c/ 8</v>
      </c>
      <c r="AP301" s="7">
        <f>SUMIF(NF!$A:$A,$AO301,NF!$I:$I)</f>
        <v>0</v>
      </c>
      <c r="AQ301" s="6"/>
      <c r="AR301" s="6"/>
      <c r="AS301" s="6"/>
      <c r="AT301" s="6"/>
      <c r="AU301" s="6"/>
      <c r="AV301" s="6"/>
      <c r="AW301" s="6"/>
      <c r="AX301" s="7">
        <f>SUM(AQ301:AW301)</f>
        <v>0</v>
      </c>
      <c r="AY301" s="11">
        <f>AP301+AM301-AX301</f>
        <v>0</v>
      </c>
      <c r="AZ301" s="25"/>
      <c r="BA301" s="10" t="str">
        <f t="shared" si="189"/>
        <v>MarçoSEMANA 5Pilha Alcalina Palito c/ 8</v>
      </c>
      <c r="BB301" s="7">
        <f>SUMIF(NF!$A:$A,$BA301,NF!$I:$I)</f>
        <v>0</v>
      </c>
      <c r="BC301" s="6"/>
      <c r="BD301" s="6"/>
      <c r="BE301" s="6"/>
      <c r="BF301" s="6"/>
      <c r="BG301" s="6"/>
      <c r="BH301" s="6"/>
      <c r="BI301" s="74"/>
      <c r="BJ301" s="74"/>
      <c r="BK301" s="7">
        <f>SUM(BC301:BJ301)</f>
        <v>0</v>
      </c>
      <c r="BL301" s="8">
        <f>BB301+AY301-BK301</f>
        <v>0</v>
      </c>
      <c r="BM301" s="51" t="str">
        <f>IFERROR(VLOOKUP(A301,NF!$M:$O,3,0),"")</f>
        <v>Escritório</v>
      </c>
      <c r="BN301" s="7">
        <f>SUM(N301,Z301,AL301,AX301,BK301)</f>
        <v>0</v>
      </c>
      <c r="BO301" s="8">
        <f t="array" ref="BO301">IFERROR(LARGE(IF(NF!$G$2:$G$3137='Mês atual'!A301,NF!$J$2:$J$3137),1),0)*BN301</f>
        <v>0</v>
      </c>
      <c r="BP301" s="50"/>
      <c r="BR301" s="146">
        <f t="array" ref="BR301">IFERROR(LARGE(IF(NF!$G$2:$G$3137='Mês atual'!A301,NF!$J$2:$J$3137),1),0)</f>
        <v>0</v>
      </c>
      <c r="BS301" s="142" t="str">
        <f>VLOOKUP(A301,NF!M:O,3,0)</f>
        <v>Escritório</v>
      </c>
      <c r="BV301" s="74">
        <f>N301</f>
        <v>0</v>
      </c>
      <c r="BW301" s="74">
        <f>Z301</f>
        <v>0</v>
      </c>
      <c r="BX301" s="74">
        <f>AL301</f>
        <v>0</v>
      </c>
      <c r="BY301" s="74">
        <f>AX301</f>
        <v>0</v>
      </c>
      <c r="BZ301" s="74">
        <f>BK301</f>
        <v>0</v>
      </c>
    </row>
    <row r="302" spans="1:78" x14ac:dyDescent="0.2">
      <c r="A302" s="108" t="s">
        <v>668</v>
      </c>
      <c r="B302" s="12"/>
      <c r="C302" s="9">
        <v>0</v>
      </c>
      <c r="D302" s="25"/>
      <c r="E302" s="10" t="str">
        <f t="shared" si="177"/>
        <v>MarçoSEMANA 1Polaseal Plastific c/ 100</v>
      </c>
      <c r="F302" s="7">
        <f>SUMIF(NF!$A:$A,$E302,NF!$I:$I)</f>
        <v>0</v>
      </c>
      <c r="G302" s="74"/>
      <c r="H302" s="74"/>
      <c r="I302" s="74"/>
      <c r="J302" s="6"/>
      <c r="K302" s="6"/>
      <c r="L302" s="6"/>
      <c r="M302" s="6"/>
      <c r="N302" s="7">
        <f t="shared" si="208"/>
        <v>0</v>
      </c>
      <c r="O302" s="11">
        <f t="shared" si="179"/>
        <v>0</v>
      </c>
      <c r="P302" s="25"/>
      <c r="Q302" s="10" t="str">
        <f t="shared" si="180"/>
        <v>MarçoSEMANA 2Polaseal Plastific c/ 100</v>
      </c>
      <c r="R302" s="7">
        <f>SUMIF(NF!$A:$A,$Q302,NF!$I:$I)</f>
        <v>0</v>
      </c>
      <c r="S302" s="6"/>
      <c r="T302" s="6"/>
      <c r="U302" s="6"/>
      <c r="V302" s="6"/>
      <c r="W302" s="6"/>
      <c r="X302" s="6"/>
      <c r="Y302" s="6"/>
      <c r="Z302" s="7">
        <f t="shared" si="209"/>
        <v>0</v>
      </c>
      <c r="AA302" s="11">
        <f t="shared" si="182"/>
        <v>0</v>
      </c>
      <c r="AB302" s="25"/>
      <c r="AC302" s="10" t="str">
        <f t="shared" si="183"/>
        <v>MarçoSEMANA 3Polaseal Plastific c/ 100</v>
      </c>
      <c r="AD302" s="7">
        <f>SUMIF(NF!$A:$A,$AC302,NF!$I:$I)</f>
        <v>0</v>
      </c>
      <c r="AE302" s="6"/>
      <c r="AF302" s="6"/>
      <c r="AG302" s="6"/>
      <c r="AH302" s="6"/>
      <c r="AI302" s="6"/>
      <c r="AJ302" s="6"/>
      <c r="AK302" s="6"/>
      <c r="AL302" s="7">
        <f t="shared" si="210"/>
        <v>0</v>
      </c>
      <c r="AM302" s="11">
        <f t="shared" si="185"/>
        <v>0</v>
      </c>
      <c r="AN302" s="25"/>
      <c r="AO302" s="10" t="str">
        <f t="shared" si="186"/>
        <v>MarçoSEMANA 4Polaseal Plastific c/ 100</v>
      </c>
      <c r="AP302" s="7">
        <f>SUMIF(NF!$A:$A,$AO302,NF!$I:$I)</f>
        <v>0</v>
      </c>
      <c r="AQ302" s="6"/>
      <c r="AR302" s="6"/>
      <c r="AS302" s="6"/>
      <c r="AT302" s="6"/>
      <c r="AU302" s="6"/>
      <c r="AV302" s="6"/>
      <c r="AW302" s="6"/>
      <c r="AX302" s="7">
        <f t="shared" si="211"/>
        <v>0</v>
      </c>
      <c r="AY302" s="11">
        <f t="shared" si="188"/>
        <v>0</v>
      </c>
      <c r="AZ302" s="25"/>
      <c r="BA302" s="10" t="str">
        <f t="shared" si="189"/>
        <v>MarçoSEMANA 5Polaseal Plastific c/ 100</v>
      </c>
      <c r="BB302" s="7">
        <f>SUMIF(NF!$A:$A,$BA302,NF!$I:$I)</f>
        <v>0</v>
      </c>
      <c r="BC302" s="6"/>
      <c r="BD302" s="6"/>
      <c r="BE302" s="6"/>
      <c r="BF302" s="6"/>
      <c r="BG302" s="6"/>
      <c r="BH302" s="6"/>
      <c r="BI302" s="74"/>
      <c r="BJ302" s="74"/>
      <c r="BK302" s="7">
        <f t="shared" si="212"/>
        <v>0</v>
      </c>
      <c r="BL302" s="8">
        <f t="shared" si="191"/>
        <v>0</v>
      </c>
      <c r="BM302" s="51" t="str">
        <f>IFERROR(VLOOKUP(A302,NF!$M:$O,3,0),"")</f>
        <v>Escritório</v>
      </c>
      <c r="BN302" s="7">
        <f t="shared" si="192"/>
        <v>0</v>
      </c>
      <c r="BO302" s="8">
        <f t="array" ref="BO302">IFERROR(LARGE(IF(NF!$G$2:$G$3137='Mês atual'!A302,NF!$J$2:$J$3137),1),0)*BN302</f>
        <v>0</v>
      </c>
      <c r="BP302" s="50"/>
      <c r="BR302" s="146">
        <f t="array" ref="BR302">IFERROR(LARGE(IF(NF!$G$2:$G$3137='Mês atual'!A302,NF!$J$2:$J$3137),1),0)</f>
        <v>0</v>
      </c>
      <c r="BS302" s="142" t="str">
        <f>VLOOKUP(A302,NF!M:O,3,0)</f>
        <v>Escritório</v>
      </c>
      <c r="BV302" s="74">
        <f t="shared" si="193"/>
        <v>0</v>
      </c>
      <c r="BW302" s="74">
        <f t="shared" si="194"/>
        <v>0</v>
      </c>
      <c r="BX302" s="74">
        <f t="shared" si="195"/>
        <v>0</v>
      </c>
      <c r="BY302" s="74">
        <f t="shared" si="196"/>
        <v>0</v>
      </c>
      <c r="BZ302" s="74">
        <f t="shared" si="197"/>
        <v>0</v>
      </c>
    </row>
    <row r="303" spans="1:78" x14ac:dyDescent="0.2">
      <c r="A303" s="108" t="s">
        <v>1064</v>
      </c>
      <c r="B303" s="12"/>
      <c r="C303" s="9">
        <v>0</v>
      </c>
      <c r="D303" s="25"/>
      <c r="E303" s="10" t="str">
        <f t="shared" si="177"/>
        <v>MarçoSEMANA 1Tinta p/ Carimbo 40ml</v>
      </c>
      <c r="F303" s="7">
        <f>SUMIF(NF!$A:$A,$E303,NF!$I:$I)</f>
        <v>0</v>
      </c>
      <c r="G303" s="74"/>
      <c r="H303" s="74"/>
      <c r="I303" s="74"/>
      <c r="J303" s="6"/>
      <c r="K303" s="6"/>
      <c r="L303" s="6"/>
      <c r="M303" s="6"/>
      <c r="N303" s="7">
        <f>SUM(G303:M303)</f>
        <v>0</v>
      </c>
      <c r="O303" s="11">
        <f>F303+C303-N303</f>
        <v>0</v>
      </c>
      <c r="P303" s="25"/>
      <c r="Q303" s="10" t="str">
        <f t="shared" si="180"/>
        <v>MarçoSEMANA 2Tinta p/ Carimbo 40ml</v>
      </c>
      <c r="R303" s="7">
        <f>SUMIF(NF!$A:$A,$Q303,NF!$I:$I)</f>
        <v>0</v>
      </c>
      <c r="S303" s="6"/>
      <c r="T303" s="6"/>
      <c r="U303" s="6"/>
      <c r="V303" s="6"/>
      <c r="W303" s="6"/>
      <c r="X303" s="6"/>
      <c r="Y303" s="6"/>
      <c r="Z303" s="7">
        <f>SUM(S303:Y303)</f>
        <v>0</v>
      </c>
      <c r="AA303" s="11">
        <f>R303+O303-Z303</f>
        <v>0</v>
      </c>
      <c r="AB303" s="25"/>
      <c r="AC303" s="10" t="str">
        <f t="shared" si="183"/>
        <v>MarçoSEMANA 3Tinta p/ Carimbo 40ml</v>
      </c>
      <c r="AD303" s="7">
        <f>SUMIF(NF!$A:$A,$AC303,NF!$I:$I)</f>
        <v>0</v>
      </c>
      <c r="AE303" s="6"/>
      <c r="AF303" s="6"/>
      <c r="AG303" s="6"/>
      <c r="AH303" s="6"/>
      <c r="AI303" s="6"/>
      <c r="AJ303" s="6"/>
      <c r="AK303" s="6"/>
      <c r="AL303" s="7">
        <f>SUM(AE303:AK303)</f>
        <v>0</v>
      </c>
      <c r="AM303" s="11">
        <f>AD303+AA303-AL303</f>
        <v>0</v>
      </c>
      <c r="AN303" s="25"/>
      <c r="AO303" s="10" t="str">
        <f t="shared" si="186"/>
        <v>MarçoSEMANA 4Tinta p/ Carimbo 40ml</v>
      </c>
      <c r="AP303" s="7">
        <f>SUMIF(NF!$A:$A,$AO303,NF!$I:$I)</f>
        <v>0</v>
      </c>
      <c r="AQ303" s="6"/>
      <c r="AR303" s="6"/>
      <c r="AS303" s="6"/>
      <c r="AT303" s="6"/>
      <c r="AU303" s="6"/>
      <c r="AV303" s="6"/>
      <c r="AW303" s="6"/>
      <c r="AX303" s="7">
        <f>SUM(AQ303:AW303)</f>
        <v>0</v>
      </c>
      <c r="AY303" s="11">
        <f>AP303+AM303-AX303</f>
        <v>0</v>
      </c>
      <c r="AZ303" s="25"/>
      <c r="BA303" s="10" t="str">
        <f t="shared" si="189"/>
        <v>MarçoSEMANA 5Tinta p/ Carimbo 40ml</v>
      </c>
      <c r="BB303" s="7">
        <f>SUMIF(NF!$A:$A,$BA303,NF!$I:$I)</f>
        <v>0</v>
      </c>
      <c r="BC303" s="6"/>
      <c r="BD303" s="6"/>
      <c r="BE303" s="6"/>
      <c r="BF303" s="6"/>
      <c r="BG303" s="6"/>
      <c r="BH303" s="6"/>
      <c r="BI303" s="74"/>
      <c r="BJ303" s="74"/>
      <c r="BK303" s="7">
        <f>SUM(BC303:BJ303)</f>
        <v>0</v>
      </c>
      <c r="BL303" s="8">
        <f>BB303+AY303-BK303</f>
        <v>0</v>
      </c>
      <c r="BM303" s="51" t="str">
        <f>IFERROR(VLOOKUP(A303,NF!$M:$O,3,0),"")</f>
        <v>Escritório</v>
      </c>
      <c r="BN303" s="7">
        <f>SUM(N303,Z303,AL303,AX303,BK303)</f>
        <v>0</v>
      </c>
      <c r="BO303" s="8">
        <f t="array" ref="BO303">IFERROR(LARGE(IF(NF!$G$2:$G$3137='Mês atual'!A303,NF!$J$2:$J$3137),1),0)*BN303</f>
        <v>0</v>
      </c>
      <c r="BP303" s="50"/>
      <c r="BR303" s="146">
        <f t="array" ref="BR303">IFERROR(LARGE(IF(NF!$G$2:$G$3137='Mês atual'!A303,NF!$J$2:$J$3137),1),0)</f>
        <v>0</v>
      </c>
      <c r="BS303" s="142" t="str">
        <f>VLOOKUP(A303,NF!M:O,3,0)</f>
        <v>Escritório</v>
      </c>
      <c r="BV303" s="74">
        <f>N303</f>
        <v>0</v>
      </c>
      <c r="BW303" s="74">
        <f>Z303</f>
        <v>0</v>
      </c>
      <c r="BX303" s="74">
        <f>AL303</f>
        <v>0</v>
      </c>
      <c r="BY303" s="74">
        <f>AX303</f>
        <v>0</v>
      </c>
      <c r="BZ303" s="74">
        <f>BK303</f>
        <v>0</v>
      </c>
    </row>
    <row r="304" spans="1:78" x14ac:dyDescent="0.2">
      <c r="A304" s="108" t="s">
        <v>798</v>
      </c>
      <c r="B304" s="12"/>
      <c r="C304" s="9">
        <v>0</v>
      </c>
      <c r="D304" s="25"/>
      <c r="E304" s="10" t="str">
        <f t="shared" si="177"/>
        <v>MarçoSEMANA 1Toner HP Amarelo</v>
      </c>
      <c r="F304" s="7">
        <f>SUMIF(NF!$A:$A,$E304,NF!$I:$I)</f>
        <v>0</v>
      </c>
      <c r="G304" s="74"/>
      <c r="H304" s="74"/>
      <c r="I304" s="74"/>
      <c r="J304" s="6"/>
      <c r="K304" s="6"/>
      <c r="L304" s="6"/>
      <c r="M304" s="6"/>
      <c r="N304" s="7">
        <f t="shared" si="208"/>
        <v>0</v>
      </c>
      <c r="O304" s="11">
        <f t="shared" si="179"/>
        <v>0</v>
      </c>
      <c r="P304" s="25"/>
      <c r="Q304" s="10" t="str">
        <f t="shared" si="180"/>
        <v>MarçoSEMANA 2Toner HP Amarelo</v>
      </c>
      <c r="R304" s="7">
        <f>SUMIF(NF!$A:$A,$Q304,NF!$I:$I)</f>
        <v>1</v>
      </c>
      <c r="S304" s="6"/>
      <c r="T304" s="6"/>
      <c r="U304" s="6"/>
      <c r="V304" s="6"/>
      <c r="W304" s="6">
        <v>1</v>
      </c>
      <c r="X304" s="6"/>
      <c r="Y304" s="6"/>
      <c r="Z304" s="7">
        <f t="shared" si="209"/>
        <v>1</v>
      </c>
      <c r="AA304" s="11">
        <f t="shared" si="182"/>
        <v>0</v>
      </c>
      <c r="AB304" s="25"/>
      <c r="AC304" s="10" t="str">
        <f t="shared" si="183"/>
        <v>MarçoSEMANA 3Toner HP Amarelo</v>
      </c>
      <c r="AD304" s="7">
        <f>SUMIF(NF!$A:$A,$AC304,NF!$I:$I)</f>
        <v>0</v>
      </c>
      <c r="AE304" s="6"/>
      <c r="AF304" s="6"/>
      <c r="AG304" s="6"/>
      <c r="AH304" s="6"/>
      <c r="AI304" s="6"/>
      <c r="AJ304" s="6"/>
      <c r="AK304" s="6"/>
      <c r="AL304" s="7">
        <f t="shared" si="210"/>
        <v>0</v>
      </c>
      <c r="AM304" s="11">
        <f t="shared" si="185"/>
        <v>0</v>
      </c>
      <c r="AN304" s="25"/>
      <c r="AO304" s="10" t="str">
        <f t="shared" si="186"/>
        <v>MarçoSEMANA 4Toner HP Amarelo</v>
      </c>
      <c r="AP304" s="7">
        <f>SUMIF(NF!$A:$A,$AO304,NF!$I:$I)</f>
        <v>0</v>
      </c>
      <c r="AQ304" s="6"/>
      <c r="AR304" s="6"/>
      <c r="AS304" s="6"/>
      <c r="AT304" s="6"/>
      <c r="AU304" s="6"/>
      <c r="AV304" s="6"/>
      <c r="AW304" s="6"/>
      <c r="AX304" s="7">
        <f t="shared" si="211"/>
        <v>0</v>
      </c>
      <c r="AY304" s="11">
        <f t="shared" si="188"/>
        <v>0</v>
      </c>
      <c r="AZ304" s="25"/>
      <c r="BA304" s="10" t="str">
        <f t="shared" si="189"/>
        <v>MarçoSEMANA 5Toner HP Amarelo</v>
      </c>
      <c r="BB304" s="7">
        <f>SUMIF(NF!$A:$A,$BA304,NF!$I:$I)</f>
        <v>0</v>
      </c>
      <c r="BC304" s="6"/>
      <c r="BD304" s="6"/>
      <c r="BE304" s="6"/>
      <c r="BF304" s="6"/>
      <c r="BG304" s="6"/>
      <c r="BH304" s="6"/>
      <c r="BI304" s="74"/>
      <c r="BJ304" s="74"/>
      <c r="BK304" s="7">
        <f t="shared" si="212"/>
        <v>0</v>
      </c>
      <c r="BL304" s="8">
        <f t="shared" si="191"/>
        <v>0</v>
      </c>
      <c r="BM304" s="51" t="str">
        <f>IFERROR(VLOOKUP(A304,NF!$M:$O,3,0),"")</f>
        <v>Escritório</v>
      </c>
      <c r="BN304" s="7">
        <f t="shared" si="192"/>
        <v>1</v>
      </c>
      <c r="BO304" s="8">
        <f t="array" ref="BO304">IFERROR(LARGE(IF(NF!$G$2:$G$3137='Mês atual'!A304,NF!$J$2:$J$3137),1),0)*BN304</f>
        <v>389.91</v>
      </c>
      <c r="BP304" s="50"/>
      <c r="BR304" s="146">
        <f t="array" ref="BR304">IFERROR(LARGE(IF(NF!$G$2:$G$3137='Mês atual'!A304,NF!$J$2:$J$3137),1),0)</f>
        <v>389.91</v>
      </c>
      <c r="BS304" s="142" t="str">
        <f>VLOOKUP(A304,NF!M:O,3,0)</f>
        <v>Escritório</v>
      </c>
      <c r="BV304" s="74">
        <f t="shared" si="193"/>
        <v>0</v>
      </c>
      <c r="BW304" s="74">
        <f t="shared" si="194"/>
        <v>1</v>
      </c>
      <c r="BX304" s="74">
        <f t="shared" si="195"/>
        <v>0</v>
      </c>
      <c r="BY304" s="74">
        <f t="shared" si="196"/>
        <v>0</v>
      </c>
      <c r="BZ304" s="74">
        <f t="shared" si="197"/>
        <v>0</v>
      </c>
    </row>
    <row r="305" spans="1:78" x14ac:dyDescent="0.2">
      <c r="A305" s="108" t="s">
        <v>799</v>
      </c>
      <c r="B305" s="12"/>
      <c r="C305" s="9">
        <v>0</v>
      </c>
      <c r="D305" s="25"/>
      <c r="E305" s="10" t="str">
        <f t="shared" si="177"/>
        <v>MarçoSEMANA 1Toner HP Ciano</v>
      </c>
      <c r="F305" s="7">
        <f>SUMIF(NF!$A:$A,$E305,NF!$I:$I)</f>
        <v>0</v>
      </c>
      <c r="G305" s="74"/>
      <c r="H305" s="74"/>
      <c r="I305" s="74"/>
      <c r="J305" s="6"/>
      <c r="K305" s="6"/>
      <c r="L305" s="6"/>
      <c r="M305" s="6"/>
      <c r="N305" s="7">
        <f t="shared" si="208"/>
        <v>0</v>
      </c>
      <c r="O305" s="11">
        <f t="shared" si="179"/>
        <v>0</v>
      </c>
      <c r="P305" s="25"/>
      <c r="Q305" s="10" t="str">
        <f t="shared" si="180"/>
        <v>MarçoSEMANA 2Toner HP Ciano</v>
      </c>
      <c r="R305" s="7">
        <f>SUMIF(NF!$A:$A,$Q305,NF!$I:$I)</f>
        <v>2</v>
      </c>
      <c r="S305" s="6"/>
      <c r="T305" s="6"/>
      <c r="U305" s="6"/>
      <c r="V305" s="6"/>
      <c r="W305" s="6">
        <v>2</v>
      </c>
      <c r="X305" s="6"/>
      <c r="Y305" s="6"/>
      <c r="Z305" s="7">
        <f t="shared" si="209"/>
        <v>2</v>
      </c>
      <c r="AA305" s="11">
        <f t="shared" si="182"/>
        <v>0</v>
      </c>
      <c r="AB305" s="25"/>
      <c r="AC305" s="10" t="str">
        <f t="shared" si="183"/>
        <v>MarçoSEMANA 3Toner HP Ciano</v>
      </c>
      <c r="AD305" s="7">
        <f>SUMIF(NF!$A:$A,$AC305,NF!$I:$I)</f>
        <v>0</v>
      </c>
      <c r="AE305" s="6"/>
      <c r="AF305" s="6"/>
      <c r="AG305" s="6"/>
      <c r="AH305" s="6"/>
      <c r="AI305" s="6"/>
      <c r="AJ305" s="6"/>
      <c r="AK305" s="6"/>
      <c r="AL305" s="7">
        <f t="shared" si="210"/>
        <v>0</v>
      </c>
      <c r="AM305" s="11">
        <f t="shared" si="185"/>
        <v>0</v>
      </c>
      <c r="AN305" s="25"/>
      <c r="AO305" s="10" t="str">
        <f t="shared" si="186"/>
        <v>MarçoSEMANA 4Toner HP Ciano</v>
      </c>
      <c r="AP305" s="7">
        <f>SUMIF(NF!$A:$A,$AO305,NF!$I:$I)</f>
        <v>0</v>
      </c>
      <c r="AQ305" s="6"/>
      <c r="AR305" s="6"/>
      <c r="AS305" s="6"/>
      <c r="AT305" s="6"/>
      <c r="AU305" s="6"/>
      <c r="AV305" s="6"/>
      <c r="AW305" s="6"/>
      <c r="AX305" s="7">
        <f t="shared" si="211"/>
        <v>0</v>
      </c>
      <c r="AY305" s="11">
        <f t="shared" si="188"/>
        <v>0</v>
      </c>
      <c r="AZ305" s="25"/>
      <c r="BA305" s="10" t="str">
        <f t="shared" si="189"/>
        <v>MarçoSEMANA 5Toner HP Ciano</v>
      </c>
      <c r="BB305" s="7">
        <f>SUMIF(NF!$A:$A,$BA305,NF!$I:$I)</f>
        <v>0</v>
      </c>
      <c r="BC305" s="6"/>
      <c r="BD305" s="6"/>
      <c r="BE305" s="6"/>
      <c r="BF305" s="6"/>
      <c r="BG305" s="6"/>
      <c r="BH305" s="6"/>
      <c r="BI305" s="74"/>
      <c r="BJ305" s="74"/>
      <c r="BK305" s="7">
        <f t="shared" si="212"/>
        <v>0</v>
      </c>
      <c r="BL305" s="8">
        <f t="shared" si="191"/>
        <v>0</v>
      </c>
      <c r="BM305" s="51" t="str">
        <f>IFERROR(VLOOKUP(A305,NF!$M:$O,3,0),"")</f>
        <v>Escritório</v>
      </c>
      <c r="BN305" s="7">
        <f t="shared" si="192"/>
        <v>2</v>
      </c>
      <c r="BO305" s="8">
        <f t="array" ref="BO305">IFERROR(LARGE(IF(NF!$G$2:$G$3137='Mês atual'!A305,NF!$J$2:$J$3137),1),0)*BN305</f>
        <v>772.36</v>
      </c>
      <c r="BP305" s="50"/>
      <c r="BR305" s="146">
        <f t="array" ref="BR305">IFERROR(LARGE(IF(NF!$G$2:$G$3137='Mês atual'!A305,NF!$J$2:$J$3137),1),0)</f>
        <v>386.18</v>
      </c>
      <c r="BS305" s="142" t="str">
        <f>VLOOKUP(A305,NF!M:O,3,0)</f>
        <v>Escritório</v>
      </c>
      <c r="BV305" s="74">
        <f t="shared" si="193"/>
        <v>0</v>
      </c>
      <c r="BW305" s="74">
        <f t="shared" si="194"/>
        <v>2</v>
      </c>
      <c r="BX305" s="74">
        <f t="shared" si="195"/>
        <v>0</v>
      </c>
      <c r="BY305" s="74">
        <f t="shared" si="196"/>
        <v>0</v>
      </c>
      <c r="BZ305" s="74">
        <f t="shared" si="197"/>
        <v>0</v>
      </c>
    </row>
    <row r="306" spans="1:78" x14ac:dyDescent="0.2">
      <c r="A306" s="108" t="s">
        <v>800</v>
      </c>
      <c r="B306" s="12"/>
      <c r="C306" s="9">
        <v>0</v>
      </c>
      <c r="D306" s="25"/>
      <c r="E306" s="10" t="str">
        <f t="shared" si="177"/>
        <v>MarçoSEMANA 1Toner HP Magenta</v>
      </c>
      <c r="F306" s="7">
        <f>SUMIF(NF!$A:$A,$E306,NF!$I:$I)</f>
        <v>0</v>
      </c>
      <c r="G306" s="74"/>
      <c r="H306" s="74"/>
      <c r="I306" s="74"/>
      <c r="J306" s="6"/>
      <c r="K306" s="6"/>
      <c r="L306" s="6"/>
      <c r="M306" s="6"/>
      <c r="N306" s="7">
        <f t="shared" si="208"/>
        <v>0</v>
      </c>
      <c r="O306" s="11">
        <f t="shared" si="179"/>
        <v>0</v>
      </c>
      <c r="P306" s="25"/>
      <c r="Q306" s="10" t="str">
        <f t="shared" si="180"/>
        <v>MarçoSEMANA 2Toner HP Magenta</v>
      </c>
      <c r="R306" s="7">
        <f>SUMIF(NF!$A:$A,$Q306,NF!$I:$I)</f>
        <v>1</v>
      </c>
      <c r="S306" s="6"/>
      <c r="T306" s="6"/>
      <c r="U306" s="6"/>
      <c r="V306" s="6"/>
      <c r="W306" s="6">
        <v>1</v>
      </c>
      <c r="X306" s="6"/>
      <c r="Y306" s="6"/>
      <c r="Z306" s="7">
        <f t="shared" si="209"/>
        <v>1</v>
      </c>
      <c r="AA306" s="11">
        <f t="shared" si="182"/>
        <v>0</v>
      </c>
      <c r="AB306" s="25"/>
      <c r="AC306" s="10" t="str">
        <f t="shared" si="183"/>
        <v>MarçoSEMANA 3Toner HP Magenta</v>
      </c>
      <c r="AD306" s="7">
        <f>SUMIF(NF!$A:$A,$AC306,NF!$I:$I)</f>
        <v>0</v>
      </c>
      <c r="AE306" s="6"/>
      <c r="AF306" s="6"/>
      <c r="AG306" s="6"/>
      <c r="AH306" s="6"/>
      <c r="AI306" s="6"/>
      <c r="AJ306" s="6"/>
      <c r="AK306" s="6"/>
      <c r="AL306" s="7">
        <f t="shared" si="210"/>
        <v>0</v>
      </c>
      <c r="AM306" s="11">
        <f t="shared" si="185"/>
        <v>0</v>
      </c>
      <c r="AN306" s="25"/>
      <c r="AO306" s="10" t="str">
        <f t="shared" si="186"/>
        <v>MarçoSEMANA 4Toner HP Magenta</v>
      </c>
      <c r="AP306" s="7">
        <f>SUMIF(NF!$A:$A,$AO306,NF!$I:$I)</f>
        <v>0</v>
      </c>
      <c r="AQ306" s="6"/>
      <c r="AR306" s="6"/>
      <c r="AS306" s="6"/>
      <c r="AT306" s="6"/>
      <c r="AU306" s="6"/>
      <c r="AV306" s="6"/>
      <c r="AW306" s="6"/>
      <c r="AX306" s="7">
        <f t="shared" si="211"/>
        <v>0</v>
      </c>
      <c r="AY306" s="11">
        <f t="shared" si="188"/>
        <v>0</v>
      </c>
      <c r="AZ306" s="25"/>
      <c r="BA306" s="10" t="str">
        <f t="shared" si="189"/>
        <v>MarçoSEMANA 5Toner HP Magenta</v>
      </c>
      <c r="BB306" s="7">
        <f>SUMIF(NF!$A:$A,$BA306,NF!$I:$I)</f>
        <v>0</v>
      </c>
      <c r="BC306" s="6"/>
      <c r="BD306" s="6"/>
      <c r="BE306" s="6"/>
      <c r="BF306" s="6"/>
      <c r="BG306" s="6"/>
      <c r="BH306" s="6"/>
      <c r="BI306" s="74"/>
      <c r="BJ306" s="74"/>
      <c r="BK306" s="7">
        <f t="shared" si="212"/>
        <v>0</v>
      </c>
      <c r="BL306" s="8">
        <f t="shared" si="191"/>
        <v>0</v>
      </c>
      <c r="BM306" s="51" t="str">
        <f>IFERROR(VLOOKUP(A306,NF!$M:$O,3,0),"")</f>
        <v>Escritório</v>
      </c>
      <c r="BN306" s="7">
        <f t="shared" si="192"/>
        <v>1</v>
      </c>
      <c r="BO306" s="8">
        <f t="array" ref="BO306">IFERROR(LARGE(IF(NF!$G$2:$G$3137='Mês atual'!A306,NF!$J$2:$J$3137),1),0)*BN306</f>
        <v>386.18</v>
      </c>
      <c r="BP306" s="50"/>
      <c r="BR306" s="146">
        <f t="array" ref="BR306">IFERROR(LARGE(IF(NF!$G$2:$G$3137='Mês atual'!A306,NF!$J$2:$J$3137),1),0)</f>
        <v>386.18</v>
      </c>
      <c r="BS306" s="142" t="str">
        <f>VLOOKUP(A306,NF!M:O,3,0)</f>
        <v>Escritório</v>
      </c>
      <c r="BV306" s="74">
        <f t="shared" si="193"/>
        <v>0</v>
      </c>
      <c r="BW306" s="74">
        <f t="shared" si="194"/>
        <v>1</v>
      </c>
      <c r="BX306" s="74">
        <f t="shared" si="195"/>
        <v>0</v>
      </c>
      <c r="BY306" s="74">
        <f t="shared" si="196"/>
        <v>0</v>
      </c>
      <c r="BZ306" s="74">
        <f t="shared" si="197"/>
        <v>0</v>
      </c>
    </row>
    <row r="307" spans="1:78" ht="15.95" thickBot="1" x14ac:dyDescent="0.25">
      <c r="A307" s="108" t="s">
        <v>801</v>
      </c>
      <c r="B307" s="12"/>
      <c r="C307" s="9">
        <v>0</v>
      </c>
      <c r="D307" s="25"/>
      <c r="E307" s="10" t="str">
        <f t="shared" si="177"/>
        <v>MarçoSEMANA 1Toner HP Preto</v>
      </c>
      <c r="F307" s="7">
        <f>SUMIF(NF!$A:$A,$E307,NF!$I:$I)</f>
        <v>0</v>
      </c>
      <c r="G307" s="74"/>
      <c r="H307" s="74"/>
      <c r="I307" s="74"/>
      <c r="J307" s="6"/>
      <c r="K307" s="6"/>
      <c r="L307" s="6"/>
      <c r="M307" s="6"/>
      <c r="N307" s="7">
        <f t="shared" si="208"/>
        <v>0</v>
      </c>
      <c r="O307" s="11">
        <f t="shared" si="179"/>
        <v>0</v>
      </c>
      <c r="P307" s="25"/>
      <c r="Q307" s="10" t="str">
        <f t="shared" si="180"/>
        <v>MarçoSEMANA 2Toner HP Preto</v>
      </c>
      <c r="R307" s="7">
        <f>SUMIF(NF!$A:$A,$Q307,NF!$I:$I)</f>
        <v>0</v>
      </c>
      <c r="S307" s="6"/>
      <c r="T307" s="6"/>
      <c r="U307" s="6"/>
      <c r="V307" s="6"/>
      <c r="W307" s="6"/>
      <c r="X307" s="6"/>
      <c r="Y307" s="6"/>
      <c r="Z307" s="7">
        <f t="shared" si="209"/>
        <v>0</v>
      </c>
      <c r="AA307" s="11">
        <f t="shared" si="182"/>
        <v>0</v>
      </c>
      <c r="AB307" s="25"/>
      <c r="AC307" s="10" t="str">
        <f t="shared" si="183"/>
        <v>MarçoSEMANA 3Toner HP Preto</v>
      </c>
      <c r="AD307" s="7">
        <f>SUMIF(NF!$A:$A,$AC307,NF!$I:$I)</f>
        <v>0</v>
      </c>
      <c r="AE307" s="6"/>
      <c r="AF307" s="6"/>
      <c r="AG307" s="6"/>
      <c r="AH307" s="6"/>
      <c r="AI307" s="6"/>
      <c r="AJ307" s="6"/>
      <c r="AK307" s="6"/>
      <c r="AL307" s="7">
        <f t="shared" si="210"/>
        <v>0</v>
      </c>
      <c r="AM307" s="11">
        <f t="shared" si="185"/>
        <v>0</v>
      </c>
      <c r="AN307" s="25"/>
      <c r="AO307" s="10" t="str">
        <f t="shared" si="186"/>
        <v>MarçoSEMANA 4Toner HP Preto</v>
      </c>
      <c r="AP307" s="7">
        <f>SUMIF(NF!$A:$A,$AO307,NF!$I:$I)</f>
        <v>2</v>
      </c>
      <c r="AQ307" s="6"/>
      <c r="AR307" s="6"/>
      <c r="AS307" s="6"/>
      <c r="AT307" s="6"/>
      <c r="AU307" s="6">
        <v>2</v>
      </c>
      <c r="AV307" s="6"/>
      <c r="AW307" s="6"/>
      <c r="AX307" s="7">
        <f t="shared" si="211"/>
        <v>2</v>
      </c>
      <c r="AY307" s="11">
        <f t="shared" si="188"/>
        <v>0</v>
      </c>
      <c r="AZ307" s="25"/>
      <c r="BA307" s="10" t="str">
        <f t="shared" si="189"/>
        <v>MarçoSEMANA 5Toner HP Preto</v>
      </c>
      <c r="BB307" s="7">
        <f>SUMIF(NF!$A:$A,$BA307,NF!$I:$I)</f>
        <v>0</v>
      </c>
      <c r="BC307" s="6"/>
      <c r="BD307" s="6"/>
      <c r="BE307" s="6"/>
      <c r="BF307" s="6"/>
      <c r="BG307" s="6"/>
      <c r="BH307" s="6"/>
      <c r="BI307" s="74"/>
      <c r="BJ307" s="74"/>
      <c r="BK307" s="7">
        <f t="shared" si="212"/>
        <v>0</v>
      </c>
      <c r="BL307" s="8">
        <f t="shared" si="191"/>
        <v>0</v>
      </c>
      <c r="BM307" s="51" t="str">
        <f>IFERROR(VLOOKUP(A307,NF!$M:$O,3,0),"")</f>
        <v>Escritório</v>
      </c>
      <c r="BN307" s="7">
        <f t="shared" si="192"/>
        <v>2</v>
      </c>
      <c r="BO307" s="8">
        <f t="array" ref="BO307">IFERROR(LARGE(IF(NF!$G$2:$G$3137='Mês atual'!A307,NF!$J$2:$J$3137),1),0)*BN307</f>
        <v>829.8</v>
      </c>
      <c r="BP307" s="50"/>
      <c r="BR307" s="146">
        <f t="array" ref="BR307">IFERROR(LARGE(IF(NF!$G$2:$G$3137='Mês atual'!A307,NF!$J$2:$J$3137),1),0)</f>
        <v>414.9</v>
      </c>
      <c r="BS307" s="142" t="str">
        <f>VLOOKUP(A307,NF!M:O,3,0)</f>
        <v>Escritório</v>
      </c>
      <c r="BV307" s="74">
        <f t="shared" si="193"/>
        <v>0</v>
      </c>
      <c r="BW307" s="74">
        <f t="shared" si="194"/>
        <v>0</v>
      </c>
      <c r="BX307" s="74">
        <f t="shared" si="195"/>
        <v>0</v>
      </c>
      <c r="BY307" s="74">
        <f t="shared" si="196"/>
        <v>2</v>
      </c>
      <c r="BZ307" s="74">
        <f t="shared" si="197"/>
        <v>0</v>
      </c>
    </row>
    <row r="308" spans="1:78" s="16" customFormat="1" ht="30" customHeight="1" thickBot="1" x14ac:dyDescent="0.25">
      <c r="A308" s="139" t="s">
        <v>921</v>
      </c>
      <c r="B308" s="130"/>
      <c r="C308" s="131"/>
      <c r="D308" s="132"/>
      <c r="E308" s="133"/>
      <c r="F308" s="134"/>
      <c r="G308" s="135"/>
      <c r="H308" s="135"/>
      <c r="I308" s="135"/>
      <c r="J308" s="133"/>
      <c r="K308" s="133"/>
      <c r="L308" s="133"/>
      <c r="M308" s="133"/>
      <c r="N308" s="134"/>
      <c r="O308" s="134"/>
      <c r="P308" s="132"/>
      <c r="Q308" s="133"/>
      <c r="R308" s="134"/>
      <c r="S308" s="133"/>
      <c r="T308" s="133"/>
      <c r="U308" s="133"/>
      <c r="V308" s="133"/>
      <c r="W308" s="133"/>
      <c r="X308" s="133"/>
      <c r="Y308" s="133"/>
      <c r="Z308" s="134"/>
      <c r="AA308" s="134"/>
      <c r="AB308" s="132"/>
      <c r="AC308" s="133"/>
      <c r="AD308" s="134"/>
      <c r="AE308" s="133"/>
      <c r="AF308" s="133"/>
      <c r="AG308" s="133"/>
      <c r="AH308" s="133"/>
      <c r="AI308" s="133"/>
      <c r="AJ308" s="133"/>
      <c r="AK308" s="133"/>
      <c r="AL308" s="134"/>
      <c r="AM308" s="134"/>
      <c r="AN308" s="132"/>
      <c r="AO308" s="133"/>
      <c r="AP308" s="134"/>
      <c r="AQ308" s="133"/>
      <c r="AR308" s="133"/>
      <c r="AS308" s="133"/>
      <c r="AT308" s="133"/>
      <c r="AU308" s="133"/>
      <c r="AV308" s="133"/>
      <c r="AW308" s="133"/>
      <c r="AX308" s="134"/>
      <c r="AY308" s="134"/>
      <c r="AZ308" s="132"/>
      <c r="BA308" s="133"/>
      <c r="BB308" s="134"/>
      <c r="BC308" s="133"/>
      <c r="BD308" s="133"/>
      <c r="BE308" s="133"/>
      <c r="BF308" s="133"/>
      <c r="BG308" s="133"/>
      <c r="BH308" s="133"/>
      <c r="BI308" s="135"/>
      <c r="BJ308" s="135"/>
      <c r="BK308" s="134"/>
      <c r="BL308" s="134"/>
      <c r="BM308" s="136"/>
      <c r="BN308" s="137"/>
      <c r="BO308" s="137"/>
      <c r="BP308" s="138"/>
      <c r="BQ308" s="144"/>
      <c r="BR308" s="144"/>
      <c r="BS308" s="144"/>
      <c r="BT308" s="145"/>
      <c r="BU308" s="145"/>
      <c r="BV308" s="154"/>
      <c r="BW308" s="154"/>
      <c r="BX308" s="154"/>
      <c r="BY308" s="154"/>
      <c r="BZ308" s="154"/>
    </row>
    <row r="309" spans="1:78" x14ac:dyDescent="0.2">
      <c r="A309" s="108" t="s">
        <v>1007</v>
      </c>
      <c r="B309" s="12"/>
      <c r="C309" s="9">
        <v>0</v>
      </c>
      <c r="D309" s="25"/>
      <c r="E309" s="10" t="str">
        <f t="shared" ref="E309:E401" si="213">CONCATENATE($C$2,$F$1,$A309)</f>
        <v>MarçoSEMANA 1Abacate Org. Feirinha</v>
      </c>
      <c r="F309" s="7">
        <f>SUMIF(NF!$A:$A,$E309,NF!$I:$I)</f>
        <v>0</v>
      </c>
      <c r="G309" s="74"/>
      <c r="H309" s="74"/>
      <c r="I309" s="74"/>
      <c r="J309" s="6"/>
      <c r="K309" s="6"/>
      <c r="L309" s="6"/>
      <c r="M309" s="6"/>
      <c r="N309" s="7">
        <f>SUM(G309:M309)</f>
        <v>0</v>
      </c>
      <c r="O309" s="11">
        <f>F309+C309-N309</f>
        <v>0</v>
      </c>
      <c r="P309" s="25"/>
      <c r="Q309" s="10" t="str">
        <f t="shared" ref="Q309:Q401" si="214">CONCATENATE($C$2,$R$1,$A309)</f>
        <v>MarçoSEMANA 2Abacate Org. Feirinha</v>
      </c>
      <c r="R309" s="7">
        <f>SUMIF(NF!$A:$A,$Q309,NF!$I:$I)</f>
        <v>0</v>
      </c>
      <c r="S309" s="6"/>
      <c r="T309" s="6"/>
      <c r="U309" s="6"/>
      <c r="V309" s="6"/>
      <c r="W309" s="6"/>
      <c r="X309" s="6"/>
      <c r="Y309" s="6"/>
      <c r="Z309" s="7">
        <f>SUM(S309:Y309)</f>
        <v>0</v>
      </c>
      <c r="AA309" s="11">
        <f>R309+O309-Z309</f>
        <v>0</v>
      </c>
      <c r="AB309" s="25"/>
      <c r="AC309" s="10" t="str">
        <f t="shared" ref="AC309:AC401" si="215">CONCATENATE($C$2,$AD$1,$A309)</f>
        <v>MarçoSEMANA 3Abacate Org. Feirinha</v>
      </c>
      <c r="AD309" s="7">
        <f>SUMIF(NF!$A:$A,$AC309,NF!$I:$I)</f>
        <v>0</v>
      </c>
      <c r="AE309" s="6"/>
      <c r="AF309" s="6"/>
      <c r="AG309" s="6"/>
      <c r="AH309" s="6"/>
      <c r="AI309" s="6"/>
      <c r="AJ309" s="6"/>
      <c r="AK309" s="6"/>
      <c r="AL309" s="7">
        <f>SUM(AE309:AK309)</f>
        <v>0</v>
      </c>
      <c r="AM309" s="11">
        <f>AD309+AA309-AL309</f>
        <v>0</v>
      </c>
      <c r="AN309" s="25"/>
      <c r="AO309" s="10" t="str">
        <f t="shared" ref="AO309:AO401" si="216">CONCATENATE($C$2,$AP$1,$A309)</f>
        <v>MarçoSEMANA 4Abacate Org. Feirinha</v>
      </c>
      <c r="AP309" s="7">
        <f>SUMIF(NF!$A:$A,$AO309,NF!$I:$I)</f>
        <v>0</v>
      </c>
      <c r="AQ309" s="6"/>
      <c r="AR309" s="6"/>
      <c r="AS309" s="6"/>
      <c r="AT309" s="6"/>
      <c r="AU309" s="6"/>
      <c r="AV309" s="6"/>
      <c r="AW309" s="6"/>
      <c r="AX309" s="7">
        <f>SUM(AQ309:AW309)</f>
        <v>0</v>
      </c>
      <c r="AY309" s="11">
        <f>AP309+AM309-AX309</f>
        <v>0</v>
      </c>
      <c r="AZ309" s="25"/>
      <c r="BA309" s="10" t="str">
        <f t="shared" ref="BA309:BA401" si="217">CONCATENATE($C$2,$BB$1,$A309)</f>
        <v>MarçoSEMANA 5Abacate Org. Feirinha</v>
      </c>
      <c r="BB309" s="7">
        <f>SUMIF(NF!$A:$A,$BA309,NF!$I:$I)</f>
        <v>0</v>
      </c>
      <c r="BC309" s="6"/>
      <c r="BD309" s="6"/>
      <c r="BE309" s="6"/>
      <c r="BF309" s="6"/>
      <c r="BG309" s="6"/>
      <c r="BH309" s="6"/>
      <c r="BI309" s="74"/>
      <c r="BJ309" s="74"/>
      <c r="BK309" s="7">
        <f>SUM(BC309:BJ309)</f>
        <v>0</v>
      </c>
      <c r="BL309" s="8">
        <f>BB309+AY309-BK309</f>
        <v>0</v>
      </c>
      <c r="BM309" s="51" t="str">
        <f>IFERROR(VLOOKUP(A309,NF!$M:$O,3,0),"")</f>
        <v>Feirinha</v>
      </c>
      <c r="BN309" s="7">
        <f>SUM(N309,Z309,AL309,AX309,BK309)</f>
        <v>0</v>
      </c>
      <c r="BO309" s="8">
        <f t="array" ref="BO309">IFERROR(LARGE(IF(NF!$G$2:$G$3137='Mês atual'!A309,NF!$J$2:$J$3137),1),0)*BN309</f>
        <v>0</v>
      </c>
      <c r="BP309" s="50"/>
      <c r="BR309" s="146">
        <f t="array" ref="BR309">IFERROR(LARGE(IF(NF!$G$2:$G$3137='Mês atual'!A309,NF!$J$2:$J$3137),1),0)</f>
        <v>0</v>
      </c>
      <c r="BS309" s="142" t="str">
        <f>VLOOKUP(A309,NF!M:O,3,0)</f>
        <v>Feirinha</v>
      </c>
      <c r="BV309" s="74">
        <f t="shared" si="193"/>
        <v>0</v>
      </c>
      <c r="BW309" s="74">
        <f t="shared" si="194"/>
        <v>0</v>
      </c>
      <c r="BX309" s="74">
        <f t="shared" si="195"/>
        <v>0</v>
      </c>
      <c r="BY309" s="74">
        <f t="shared" si="196"/>
        <v>0</v>
      </c>
      <c r="BZ309" s="74">
        <f t="shared" si="197"/>
        <v>0</v>
      </c>
    </row>
    <row r="310" spans="1:78" x14ac:dyDescent="0.2">
      <c r="A310" s="108" t="s">
        <v>980</v>
      </c>
      <c r="B310" s="12"/>
      <c r="C310" s="9">
        <v>0</v>
      </c>
      <c r="D310" s="25"/>
      <c r="E310" s="10" t="str">
        <f t="shared" si="213"/>
        <v>MarçoSEMANA 1Abobrinha Org. Feirinha</v>
      </c>
      <c r="F310" s="7">
        <f>SUMIF(NF!$A:$A,$E310,NF!$I:$I)</f>
        <v>0</v>
      </c>
      <c r="G310" s="74"/>
      <c r="H310" s="74"/>
      <c r="I310" s="74"/>
      <c r="J310" s="6"/>
      <c r="K310" s="6"/>
      <c r="L310" s="6"/>
      <c r="M310" s="6"/>
      <c r="N310" s="7">
        <f>SUM(G310:M310)</f>
        <v>0</v>
      </c>
      <c r="O310" s="11">
        <f t="shared" ref="O310:O384" si="218">F310+C310-N310</f>
        <v>0</v>
      </c>
      <c r="P310" s="25"/>
      <c r="Q310" s="10" t="str">
        <f t="shared" si="214"/>
        <v>MarçoSEMANA 2Abobrinha Org. Feirinha</v>
      </c>
      <c r="R310" s="7">
        <f>SUMIF(NF!$A:$A,$Q310,NF!$I:$I)</f>
        <v>0</v>
      </c>
      <c r="S310" s="6"/>
      <c r="T310" s="6"/>
      <c r="U310" s="6"/>
      <c r="V310" s="6"/>
      <c r="W310" s="6"/>
      <c r="X310" s="6"/>
      <c r="Y310" s="6"/>
      <c r="Z310" s="7">
        <f>SUM(S310:Y310)</f>
        <v>0</v>
      </c>
      <c r="AA310" s="11">
        <f t="shared" ref="AA310:AA384" si="219">R310+O310-Z310</f>
        <v>0</v>
      </c>
      <c r="AB310" s="25"/>
      <c r="AC310" s="10" t="str">
        <f t="shared" si="215"/>
        <v>MarçoSEMANA 3Abobrinha Org. Feirinha</v>
      </c>
      <c r="AD310" s="7">
        <f>SUMIF(NF!$A:$A,$AC310,NF!$I:$I)</f>
        <v>0</v>
      </c>
      <c r="AE310" s="6"/>
      <c r="AF310" s="6"/>
      <c r="AG310" s="6"/>
      <c r="AH310" s="6"/>
      <c r="AI310" s="6"/>
      <c r="AJ310" s="6"/>
      <c r="AK310" s="6"/>
      <c r="AL310" s="7">
        <f>SUM(AE310:AK310)</f>
        <v>0</v>
      </c>
      <c r="AM310" s="11">
        <f t="shared" ref="AM310:AM384" si="220">AD310+AA310-AL310</f>
        <v>0</v>
      </c>
      <c r="AN310" s="25"/>
      <c r="AO310" s="10" t="str">
        <f t="shared" si="216"/>
        <v>MarçoSEMANA 4Abobrinha Org. Feirinha</v>
      </c>
      <c r="AP310" s="7">
        <f>SUMIF(NF!$A:$A,$AO310,NF!$I:$I)</f>
        <v>0</v>
      </c>
      <c r="AQ310" s="6"/>
      <c r="AR310" s="6"/>
      <c r="AS310" s="6"/>
      <c r="AT310" s="6"/>
      <c r="AU310" s="6"/>
      <c r="AV310" s="6"/>
      <c r="AW310" s="6"/>
      <c r="AX310" s="7">
        <f>SUM(AQ310:AW310)</f>
        <v>0</v>
      </c>
      <c r="AY310" s="11">
        <f t="shared" ref="AY310:AY384" si="221">AP310+AM310-AX310</f>
        <v>0</v>
      </c>
      <c r="AZ310" s="25"/>
      <c r="BA310" s="10" t="str">
        <f t="shared" si="217"/>
        <v>MarçoSEMANA 5Abobrinha Org. Feirinha</v>
      </c>
      <c r="BB310" s="7">
        <f>SUMIF(NF!$A:$A,$BA310,NF!$I:$I)</f>
        <v>0</v>
      </c>
      <c r="BC310" s="6"/>
      <c r="BD310" s="6"/>
      <c r="BE310" s="6"/>
      <c r="BF310" s="6"/>
      <c r="BG310" s="6"/>
      <c r="BH310" s="6"/>
      <c r="BI310" s="74"/>
      <c r="BJ310" s="74"/>
      <c r="BK310" s="7">
        <f>SUM(BC310:BJ310)</f>
        <v>0</v>
      </c>
      <c r="BL310" s="8">
        <f t="shared" ref="BL310:BL384" si="222">BB310+AY310-BK310</f>
        <v>0</v>
      </c>
      <c r="BM310" s="51" t="str">
        <f>IFERROR(VLOOKUP(A310,NF!$M:$O,3,0),"")</f>
        <v>Feirinha</v>
      </c>
      <c r="BN310" s="7">
        <f t="shared" ref="BN310:BN384" si="223">SUM(N310,Z310,AL310,AX310,BK310)</f>
        <v>0</v>
      </c>
      <c r="BO310" s="8">
        <f t="array" ref="BO310">IFERROR(LARGE(IF(NF!$G$2:$G$3137='Mês atual'!A310,NF!$J$2:$J$3137),1),0)*BN310</f>
        <v>0</v>
      </c>
      <c r="BP310" s="50"/>
      <c r="BR310" s="146">
        <f t="array" ref="BR310">IFERROR(LARGE(IF(NF!$G$2:$G$3137='Mês atual'!A310,NF!$J$2:$J$3137),1),0)</f>
        <v>0</v>
      </c>
      <c r="BS310" s="142" t="str">
        <f>VLOOKUP(A310,NF!M:O,3,0)</f>
        <v>Feirinha</v>
      </c>
      <c r="BV310" s="74">
        <f t="shared" si="193"/>
        <v>0</v>
      </c>
      <c r="BW310" s="74">
        <f t="shared" si="194"/>
        <v>0</v>
      </c>
      <c r="BX310" s="74">
        <f t="shared" si="195"/>
        <v>0</v>
      </c>
      <c r="BY310" s="74">
        <f t="shared" si="196"/>
        <v>0</v>
      </c>
      <c r="BZ310" s="74">
        <f t="shared" si="197"/>
        <v>0</v>
      </c>
    </row>
    <row r="311" spans="1:78" x14ac:dyDescent="0.2">
      <c r="A311" s="108" t="s">
        <v>877</v>
      </c>
      <c r="B311" s="12"/>
      <c r="C311" s="9">
        <v>0</v>
      </c>
      <c r="D311" s="25"/>
      <c r="E311" s="10" t="str">
        <f t="shared" si="213"/>
        <v>MarçoSEMANA 1Alface Americana Org. Feirinha</v>
      </c>
      <c r="F311" s="7">
        <f>SUMIF(NF!$A:$A,$E311,NF!$I:$I)</f>
        <v>0</v>
      </c>
      <c r="G311" s="74"/>
      <c r="H311" s="74"/>
      <c r="I311" s="74"/>
      <c r="J311" s="6"/>
      <c r="K311" s="6"/>
      <c r="L311" s="6"/>
      <c r="M311" s="6"/>
      <c r="N311" s="7">
        <f t="shared" ref="N311:N317" si="224">SUM(G311:M311)</f>
        <v>0</v>
      </c>
      <c r="O311" s="11">
        <f t="shared" si="218"/>
        <v>0</v>
      </c>
      <c r="P311" s="25"/>
      <c r="Q311" s="10" t="str">
        <f t="shared" si="214"/>
        <v>MarçoSEMANA 2Alface Americana Org. Feirinha</v>
      </c>
      <c r="R311" s="7">
        <f>SUMIF(NF!$A:$A,$Q311,NF!$I:$I)</f>
        <v>0</v>
      </c>
      <c r="S311" s="6"/>
      <c r="T311" s="6"/>
      <c r="U311" s="6"/>
      <c r="V311" s="6"/>
      <c r="W311" s="6"/>
      <c r="X311" s="6"/>
      <c r="Y311" s="6"/>
      <c r="Z311" s="7">
        <f t="shared" ref="Z311:Z317" si="225">SUM(S311:Y311)</f>
        <v>0</v>
      </c>
      <c r="AA311" s="11">
        <f t="shared" si="219"/>
        <v>0</v>
      </c>
      <c r="AB311" s="25"/>
      <c r="AC311" s="10" t="str">
        <f t="shared" si="215"/>
        <v>MarçoSEMANA 3Alface Americana Org. Feirinha</v>
      </c>
      <c r="AD311" s="7">
        <f>SUMIF(NF!$A:$A,$AC311,NF!$I:$I)</f>
        <v>0</v>
      </c>
      <c r="AE311" s="6"/>
      <c r="AF311" s="6"/>
      <c r="AG311" s="6"/>
      <c r="AH311" s="6"/>
      <c r="AI311" s="6"/>
      <c r="AJ311" s="6"/>
      <c r="AK311" s="6"/>
      <c r="AL311" s="7">
        <f t="shared" ref="AL311:AL317" si="226">SUM(AE311:AK311)</f>
        <v>0</v>
      </c>
      <c r="AM311" s="11">
        <f t="shared" si="220"/>
        <v>0</v>
      </c>
      <c r="AN311" s="25"/>
      <c r="AO311" s="10" t="str">
        <f t="shared" si="216"/>
        <v>MarçoSEMANA 4Alface Americana Org. Feirinha</v>
      </c>
      <c r="AP311" s="7">
        <f>SUMIF(NF!$A:$A,$AO311,NF!$I:$I)</f>
        <v>0</v>
      </c>
      <c r="AQ311" s="6"/>
      <c r="AR311" s="6"/>
      <c r="AS311" s="6"/>
      <c r="AT311" s="6"/>
      <c r="AU311" s="6"/>
      <c r="AV311" s="6"/>
      <c r="AW311" s="6"/>
      <c r="AX311" s="7">
        <f t="shared" ref="AX311:AX317" si="227">SUM(AQ311:AW311)</f>
        <v>0</v>
      </c>
      <c r="AY311" s="11">
        <f t="shared" si="221"/>
        <v>0</v>
      </c>
      <c r="AZ311" s="25"/>
      <c r="BA311" s="10" t="str">
        <f t="shared" si="217"/>
        <v>MarçoSEMANA 5Alface Americana Org. Feirinha</v>
      </c>
      <c r="BB311" s="7">
        <f>SUMIF(NF!$A:$A,$BA311,NF!$I:$I)</f>
        <v>0</v>
      </c>
      <c r="BC311" s="6"/>
      <c r="BD311" s="6"/>
      <c r="BE311" s="6"/>
      <c r="BF311" s="6"/>
      <c r="BG311" s="6"/>
      <c r="BH311" s="6"/>
      <c r="BI311" s="74"/>
      <c r="BJ311" s="74"/>
      <c r="BK311" s="7">
        <f t="shared" ref="BK311:BK317" si="228">SUM(BC311:BJ311)</f>
        <v>0</v>
      </c>
      <c r="BL311" s="8">
        <f t="shared" si="222"/>
        <v>0</v>
      </c>
      <c r="BM311" s="51" t="str">
        <f>IFERROR(VLOOKUP(A311,NF!$M:$O,3,0),"")</f>
        <v>Feirinha</v>
      </c>
      <c r="BN311" s="7">
        <f t="shared" si="223"/>
        <v>0</v>
      </c>
      <c r="BO311" s="8">
        <f t="array" ref="BO311">IFERROR(LARGE(IF(NF!$G$2:$G$3137='Mês atual'!A311,NF!$J$2:$J$3137),1),0)*BN311</f>
        <v>0</v>
      </c>
      <c r="BP311" s="50"/>
      <c r="BR311" s="146">
        <f t="array" ref="BR311">IFERROR(LARGE(IF(NF!$G$2:$G$3137='Mês atual'!A311,NF!$J$2:$J$3137),1),0)</f>
        <v>0</v>
      </c>
      <c r="BS311" s="142" t="str">
        <f>VLOOKUP(A311,NF!M:O,3,0)</f>
        <v>Feirinha</v>
      </c>
      <c r="BV311" s="74">
        <f t="shared" si="193"/>
        <v>0</v>
      </c>
      <c r="BW311" s="74">
        <f t="shared" si="194"/>
        <v>0</v>
      </c>
      <c r="BX311" s="74">
        <f t="shared" si="195"/>
        <v>0</v>
      </c>
      <c r="BY311" s="74">
        <f t="shared" si="196"/>
        <v>0</v>
      </c>
      <c r="BZ311" s="74">
        <f t="shared" si="197"/>
        <v>0</v>
      </c>
    </row>
    <row r="312" spans="1:78" x14ac:dyDescent="0.2">
      <c r="A312" s="108" t="s">
        <v>878</v>
      </c>
      <c r="B312" s="12"/>
      <c r="C312" s="9">
        <v>0</v>
      </c>
      <c r="D312" s="25"/>
      <c r="E312" s="10" t="str">
        <f t="shared" si="213"/>
        <v>MarçoSEMANA 1Alface Crespa Org. Feirinha</v>
      </c>
      <c r="F312" s="7">
        <f>SUMIF(NF!$A:$A,$E312,NF!$I:$I)</f>
        <v>0</v>
      </c>
      <c r="G312" s="74"/>
      <c r="H312" s="74"/>
      <c r="I312" s="74"/>
      <c r="J312" s="6"/>
      <c r="K312" s="6"/>
      <c r="L312" s="6"/>
      <c r="M312" s="6"/>
      <c r="N312" s="7">
        <f t="shared" si="224"/>
        <v>0</v>
      </c>
      <c r="O312" s="11">
        <f t="shared" si="218"/>
        <v>0</v>
      </c>
      <c r="P312" s="25"/>
      <c r="Q312" s="10" t="str">
        <f t="shared" si="214"/>
        <v>MarçoSEMANA 2Alface Crespa Org. Feirinha</v>
      </c>
      <c r="R312" s="7">
        <f>SUMIF(NF!$A:$A,$Q312,NF!$I:$I)</f>
        <v>0</v>
      </c>
      <c r="S312" s="6"/>
      <c r="T312" s="6"/>
      <c r="U312" s="6"/>
      <c r="V312" s="6"/>
      <c r="W312" s="6"/>
      <c r="X312" s="6"/>
      <c r="Y312" s="6"/>
      <c r="Z312" s="7">
        <f t="shared" si="225"/>
        <v>0</v>
      </c>
      <c r="AA312" s="11">
        <f t="shared" si="219"/>
        <v>0</v>
      </c>
      <c r="AB312" s="25"/>
      <c r="AC312" s="10" t="str">
        <f t="shared" si="215"/>
        <v>MarçoSEMANA 3Alface Crespa Org. Feirinha</v>
      </c>
      <c r="AD312" s="7">
        <f>SUMIF(NF!$A:$A,$AC312,NF!$I:$I)</f>
        <v>0</v>
      </c>
      <c r="AE312" s="6"/>
      <c r="AF312" s="6"/>
      <c r="AG312" s="6"/>
      <c r="AH312" s="6"/>
      <c r="AI312" s="6"/>
      <c r="AJ312" s="6"/>
      <c r="AK312" s="6"/>
      <c r="AL312" s="7">
        <f t="shared" si="226"/>
        <v>0</v>
      </c>
      <c r="AM312" s="11">
        <f t="shared" si="220"/>
        <v>0</v>
      </c>
      <c r="AN312" s="25"/>
      <c r="AO312" s="10" t="str">
        <f t="shared" si="216"/>
        <v>MarçoSEMANA 4Alface Crespa Org. Feirinha</v>
      </c>
      <c r="AP312" s="7">
        <f>SUMIF(NF!$A:$A,$AO312,NF!$I:$I)</f>
        <v>0</v>
      </c>
      <c r="AQ312" s="6"/>
      <c r="AR312" s="6"/>
      <c r="AS312" s="6"/>
      <c r="AT312" s="6"/>
      <c r="AU312" s="6"/>
      <c r="AV312" s="6"/>
      <c r="AW312" s="6"/>
      <c r="AX312" s="7">
        <f t="shared" si="227"/>
        <v>0</v>
      </c>
      <c r="AY312" s="11">
        <f t="shared" si="221"/>
        <v>0</v>
      </c>
      <c r="AZ312" s="25"/>
      <c r="BA312" s="10" t="str">
        <f t="shared" si="217"/>
        <v>MarçoSEMANA 5Alface Crespa Org. Feirinha</v>
      </c>
      <c r="BB312" s="7">
        <f>SUMIF(NF!$A:$A,$BA312,NF!$I:$I)</f>
        <v>0</v>
      </c>
      <c r="BC312" s="6"/>
      <c r="BD312" s="6"/>
      <c r="BE312" s="6"/>
      <c r="BF312" s="6"/>
      <c r="BG312" s="6"/>
      <c r="BH312" s="6"/>
      <c r="BI312" s="74"/>
      <c r="BJ312" s="74"/>
      <c r="BK312" s="7">
        <f t="shared" si="228"/>
        <v>0</v>
      </c>
      <c r="BL312" s="8">
        <f t="shared" si="222"/>
        <v>0</v>
      </c>
      <c r="BM312" s="51" t="str">
        <f>IFERROR(VLOOKUP(A312,NF!$M:$O,3,0),"")</f>
        <v>Feirinha</v>
      </c>
      <c r="BN312" s="7">
        <f t="shared" si="223"/>
        <v>0</v>
      </c>
      <c r="BO312" s="8">
        <f t="array" ref="BO312">IFERROR(LARGE(IF(NF!$G$2:$G$3137='Mês atual'!A312,NF!$J$2:$J$3137),1),0)*BN312</f>
        <v>0</v>
      </c>
      <c r="BP312" s="50"/>
      <c r="BR312" s="146">
        <f t="array" ref="BR312">IFERROR(LARGE(IF(NF!$G$2:$G$3137='Mês atual'!A312,NF!$J$2:$J$3137),1),0)</f>
        <v>0</v>
      </c>
      <c r="BS312" s="142" t="str">
        <f>VLOOKUP(A312,NF!M:O,3,0)</f>
        <v>Feirinha</v>
      </c>
      <c r="BV312" s="74">
        <f t="shared" si="193"/>
        <v>0</v>
      </c>
      <c r="BW312" s="74">
        <f t="shared" si="194"/>
        <v>0</v>
      </c>
      <c r="BX312" s="74">
        <f t="shared" si="195"/>
        <v>0</v>
      </c>
      <c r="BY312" s="74">
        <f t="shared" si="196"/>
        <v>0</v>
      </c>
      <c r="BZ312" s="74">
        <f t="shared" si="197"/>
        <v>0</v>
      </c>
    </row>
    <row r="313" spans="1:78" x14ac:dyDescent="0.2">
      <c r="A313" s="108" t="s">
        <v>879</v>
      </c>
      <c r="B313" s="12"/>
      <c r="C313" s="9">
        <v>0</v>
      </c>
      <c r="D313" s="25"/>
      <c r="E313" s="10" t="str">
        <f t="shared" si="213"/>
        <v>MarçoSEMANA 1Alface Roxa Org. Feirinha</v>
      </c>
      <c r="F313" s="7">
        <f>SUMIF(NF!$A:$A,$E313,NF!$I:$I)</f>
        <v>0</v>
      </c>
      <c r="G313" s="74"/>
      <c r="H313" s="74"/>
      <c r="I313" s="74"/>
      <c r="J313" s="6"/>
      <c r="K313" s="6"/>
      <c r="L313" s="6"/>
      <c r="M313" s="6"/>
      <c r="N313" s="7">
        <f t="shared" si="224"/>
        <v>0</v>
      </c>
      <c r="O313" s="11">
        <f t="shared" si="218"/>
        <v>0</v>
      </c>
      <c r="P313" s="25"/>
      <c r="Q313" s="10" t="str">
        <f t="shared" si="214"/>
        <v>MarçoSEMANA 2Alface Roxa Org. Feirinha</v>
      </c>
      <c r="R313" s="7">
        <f>SUMIF(NF!$A:$A,$Q313,NF!$I:$I)</f>
        <v>0</v>
      </c>
      <c r="S313" s="6"/>
      <c r="T313" s="6"/>
      <c r="U313" s="6"/>
      <c r="V313" s="6"/>
      <c r="W313" s="6"/>
      <c r="X313" s="6"/>
      <c r="Y313" s="6"/>
      <c r="Z313" s="7">
        <f t="shared" si="225"/>
        <v>0</v>
      </c>
      <c r="AA313" s="11">
        <f t="shared" si="219"/>
        <v>0</v>
      </c>
      <c r="AB313" s="25"/>
      <c r="AC313" s="10" t="str">
        <f t="shared" si="215"/>
        <v>MarçoSEMANA 3Alface Roxa Org. Feirinha</v>
      </c>
      <c r="AD313" s="7">
        <f>SUMIF(NF!$A:$A,$AC313,NF!$I:$I)</f>
        <v>0</v>
      </c>
      <c r="AE313" s="6"/>
      <c r="AF313" s="6"/>
      <c r="AG313" s="6"/>
      <c r="AH313" s="6"/>
      <c r="AI313" s="6"/>
      <c r="AJ313" s="6"/>
      <c r="AK313" s="6"/>
      <c r="AL313" s="7">
        <f t="shared" si="226"/>
        <v>0</v>
      </c>
      <c r="AM313" s="11">
        <f t="shared" si="220"/>
        <v>0</v>
      </c>
      <c r="AN313" s="25"/>
      <c r="AO313" s="10" t="str">
        <f t="shared" si="216"/>
        <v>MarçoSEMANA 4Alface Roxa Org. Feirinha</v>
      </c>
      <c r="AP313" s="7">
        <f>SUMIF(NF!$A:$A,$AO313,NF!$I:$I)</f>
        <v>0</v>
      </c>
      <c r="AQ313" s="6"/>
      <c r="AR313" s="6"/>
      <c r="AS313" s="6"/>
      <c r="AT313" s="6"/>
      <c r="AU313" s="6"/>
      <c r="AV313" s="6"/>
      <c r="AW313" s="6"/>
      <c r="AX313" s="7">
        <f t="shared" si="227"/>
        <v>0</v>
      </c>
      <c r="AY313" s="11">
        <f t="shared" si="221"/>
        <v>0</v>
      </c>
      <c r="AZ313" s="25"/>
      <c r="BA313" s="10" t="str">
        <f t="shared" si="217"/>
        <v>MarçoSEMANA 5Alface Roxa Org. Feirinha</v>
      </c>
      <c r="BB313" s="7">
        <f>SUMIF(NF!$A:$A,$BA313,NF!$I:$I)</f>
        <v>0</v>
      </c>
      <c r="BC313" s="6"/>
      <c r="BD313" s="6"/>
      <c r="BE313" s="6"/>
      <c r="BF313" s="6"/>
      <c r="BG313" s="6"/>
      <c r="BH313" s="6"/>
      <c r="BI313" s="74"/>
      <c r="BJ313" s="74"/>
      <c r="BK313" s="7">
        <f t="shared" si="228"/>
        <v>0</v>
      </c>
      <c r="BL313" s="8">
        <f t="shared" si="222"/>
        <v>0</v>
      </c>
      <c r="BM313" s="51" t="str">
        <f>IFERROR(VLOOKUP(A313,NF!$M:$O,3,0),"")</f>
        <v>Feirinha</v>
      </c>
      <c r="BN313" s="7">
        <f t="shared" si="223"/>
        <v>0</v>
      </c>
      <c r="BO313" s="8">
        <f t="array" ref="BO313">IFERROR(LARGE(IF(NF!$G$2:$G$3137='Mês atual'!A313,NF!$J$2:$J$3137),1),0)*BN313</f>
        <v>0</v>
      </c>
      <c r="BP313" s="50"/>
      <c r="BR313" s="146">
        <f t="array" ref="BR313">IFERROR(LARGE(IF(NF!$G$2:$G$3137='Mês atual'!A313,NF!$J$2:$J$3137),1),0)</f>
        <v>0</v>
      </c>
      <c r="BS313" s="142" t="str">
        <f>VLOOKUP(A313,NF!M:O,3,0)</f>
        <v>Feirinha</v>
      </c>
      <c r="BV313" s="74">
        <f t="shared" si="193"/>
        <v>0</v>
      </c>
      <c r="BW313" s="74">
        <f t="shared" si="194"/>
        <v>0</v>
      </c>
      <c r="BX313" s="74">
        <f t="shared" si="195"/>
        <v>0</v>
      </c>
      <c r="BY313" s="74">
        <f t="shared" si="196"/>
        <v>0</v>
      </c>
      <c r="BZ313" s="74">
        <f t="shared" si="197"/>
        <v>0</v>
      </c>
    </row>
    <row r="314" spans="1:78" x14ac:dyDescent="0.2">
      <c r="A314" s="108" t="s">
        <v>1008</v>
      </c>
      <c r="B314" s="12"/>
      <c r="C314" s="9">
        <v>0</v>
      </c>
      <c r="D314" s="25"/>
      <c r="E314" s="10" t="str">
        <f t="shared" si="213"/>
        <v>MarçoSEMANA 1Batata Doce Org. Feirinha</v>
      </c>
      <c r="F314" s="7">
        <f>SUMIF(NF!$A:$A,$E314,NF!$I:$I)</f>
        <v>0</v>
      </c>
      <c r="G314" s="74"/>
      <c r="H314" s="74"/>
      <c r="I314" s="74"/>
      <c r="J314" s="6"/>
      <c r="K314" s="6"/>
      <c r="L314" s="6"/>
      <c r="M314" s="6"/>
      <c r="N314" s="7">
        <f>SUM(G314:M314)</f>
        <v>0</v>
      </c>
      <c r="O314" s="11">
        <f>F314+C314-N314</f>
        <v>0</v>
      </c>
      <c r="P314" s="25"/>
      <c r="Q314" s="10" t="str">
        <f t="shared" si="214"/>
        <v>MarçoSEMANA 2Batata Doce Org. Feirinha</v>
      </c>
      <c r="R314" s="7">
        <f>SUMIF(NF!$A:$A,$Q314,NF!$I:$I)</f>
        <v>0</v>
      </c>
      <c r="S314" s="6"/>
      <c r="T314" s="6"/>
      <c r="U314" s="6"/>
      <c r="V314" s="6"/>
      <c r="W314" s="6"/>
      <c r="X314" s="6"/>
      <c r="Y314" s="6"/>
      <c r="Z314" s="7">
        <f>SUM(S314:Y314)</f>
        <v>0</v>
      </c>
      <c r="AA314" s="11">
        <f>R314+O314-Z314</f>
        <v>0</v>
      </c>
      <c r="AB314" s="25"/>
      <c r="AC314" s="10" t="str">
        <f t="shared" si="215"/>
        <v>MarçoSEMANA 3Batata Doce Org. Feirinha</v>
      </c>
      <c r="AD314" s="7">
        <f>SUMIF(NF!$A:$A,$AC314,NF!$I:$I)</f>
        <v>0</v>
      </c>
      <c r="AE314" s="6"/>
      <c r="AF314" s="6"/>
      <c r="AG314" s="6"/>
      <c r="AH314" s="6"/>
      <c r="AI314" s="6"/>
      <c r="AJ314" s="6"/>
      <c r="AK314" s="6"/>
      <c r="AL314" s="7">
        <f>SUM(AE314:AK314)</f>
        <v>0</v>
      </c>
      <c r="AM314" s="11">
        <f>AD314+AA314-AL314</f>
        <v>0</v>
      </c>
      <c r="AN314" s="25"/>
      <c r="AO314" s="10" t="str">
        <f t="shared" si="216"/>
        <v>MarçoSEMANA 4Batata Doce Org. Feirinha</v>
      </c>
      <c r="AP314" s="7">
        <f>SUMIF(NF!$A:$A,$AO314,NF!$I:$I)</f>
        <v>0</v>
      </c>
      <c r="AQ314" s="6"/>
      <c r="AR314" s="6"/>
      <c r="AS314" s="6"/>
      <c r="AT314" s="6"/>
      <c r="AU314" s="6"/>
      <c r="AV314" s="6"/>
      <c r="AW314" s="6"/>
      <c r="AX314" s="7">
        <f>SUM(AQ314:AW314)</f>
        <v>0</v>
      </c>
      <c r="AY314" s="11">
        <f>AP314+AM314-AX314</f>
        <v>0</v>
      </c>
      <c r="AZ314" s="25"/>
      <c r="BA314" s="10" t="str">
        <f t="shared" si="217"/>
        <v>MarçoSEMANA 5Batata Doce Org. Feirinha</v>
      </c>
      <c r="BB314" s="7">
        <f>SUMIF(NF!$A:$A,$BA314,NF!$I:$I)</f>
        <v>0</v>
      </c>
      <c r="BC314" s="6"/>
      <c r="BD314" s="6"/>
      <c r="BE314" s="6"/>
      <c r="BF314" s="6"/>
      <c r="BG314" s="6"/>
      <c r="BH314" s="6"/>
      <c r="BI314" s="74"/>
      <c r="BJ314" s="74"/>
      <c r="BK314" s="7">
        <f>SUM(BC314:BJ314)</f>
        <v>0</v>
      </c>
      <c r="BL314" s="8">
        <f>BB314+AY314-BK314</f>
        <v>0</v>
      </c>
      <c r="BM314" s="51" t="str">
        <f>IFERROR(VLOOKUP(A314,NF!$M:$O,3,0),"")</f>
        <v>Feirinha</v>
      </c>
      <c r="BN314" s="7">
        <f>SUM(N314,Z314,AL314,AX314,BK314)</f>
        <v>0</v>
      </c>
      <c r="BO314" s="8">
        <f t="array" ref="BO314">IFERROR(LARGE(IF(NF!$G$2:$G$3137='Mês atual'!A314,NF!$J$2:$J$3137),1),0)*BN314</f>
        <v>0</v>
      </c>
      <c r="BP314" s="50"/>
      <c r="BR314" s="146">
        <f t="array" ref="BR314">IFERROR(LARGE(IF(NF!$G$2:$G$3137='Mês atual'!A314,NF!$J$2:$J$3137),1),0)</f>
        <v>0</v>
      </c>
      <c r="BS314" s="142" t="str">
        <f>VLOOKUP(A314,NF!M:O,3,0)</f>
        <v>Feirinha</v>
      </c>
      <c r="BV314" s="74">
        <f t="shared" si="193"/>
        <v>0</v>
      </c>
      <c r="BW314" s="74">
        <f t="shared" si="194"/>
        <v>0</v>
      </c>
      <c r="BX314" s="74">
        <f t="shared" si="195"/>
        <v>0</v>
      </c>
      <c r="BY314" s="74">
        <f t="shared" si="196"/>
        <v>0</v>
      </c>
      <c r="BZ314" s="74">
        <f t="shared" si="197"/>
        <v>0</v>
      </c>
    </row>
    <row r="315" spans="1:78" x14ac:dyDescent="0.2">
      <c r="A315" s="108" t="s">
        <v>895</v>
      </c>
      <c r="B315" s="12"/>
      <c r="C315" s="9">
        <v>0</v>
      </c>
      <c r="D315" s="25"/>
      <c r="E315" s="10" t="str">
        <f t="shared" si="213"/>
        <v>MarçoSEMANA 1Banana Prata Org. Feirinha</v>
      </c>
      <c r="F315" s="7">
        <f>SUMIF(NF!$A:$A,$E315,NF!$I:$I)</f>
        <v>0</v>
      </c>
      <c r="G315" s="74"/>
      <c r="H315" s="74"/>
      <c r="I315" s="74"/>
      <c r="J315" s="6"/>
      <c r="K315" s="6"/>
      <c r="L315" s="6"/>
      <c r="M315" s="6"/>
      <c r="N315" s="7">
        <f t="shared" si="224"/>
        <v>0</v>
      </c>
      <c r="O315" s="11">
        <f t="shared" si="218"/>
        <v>0</v>
      </c>
      <c r="P315" s="25"/>
      <c r="Q315" s="10" t="str">
        <f t="shared" si="214"/>
        <v>MarçoSEMANA 2Banana Prata Org. Feirinha</v>
      </c>
      <c r="R315" s="7">
        <f>SUMIF(NF!$A:$A,$Q315,NF!$I:$I)</f>
        <v>0</v>
      </c>
      <c r="S315" s="6"/>
      <c r="T315" s="6"/>
      <c r="U315" s="6"/>
      <c r="V315" s="6"/>
      <c r="W315" s="6"/>
      <c r="X315" s="6"/>
      <c r="Y315" s="6"/>
      <c r="Z315" s="7">
        <f t="shared" si="225"/>
        <v>0</v>
      </c>
      <c r="AA315" s="11">
        <f t="shared" si="219"/>
        <v>0</v>
      </c>
      <c r="AB315" s="25"/>
      <c r="AC315" s="10" t="str">
        <f t="shared" si="215"/>
        <v>MarçoSEMANA 3Banana Prata Org. Feirinha</v>
      </c>
      <c r="AD315" s="7">
        <f>SUMIF(NF!$A:$A,$AC315,NF!$I:$I)</f>
        <v>0</v>
      </c>
      <c r="AE315" s="6"/>
      <c r="AF315" s="6"/>
      <c r="AG315" s="6"/>
      <c r="AH315" s="6"/>
      <c r="AI315" s="6"/>
      <c r="AJ315" s="6"/>
      <c r="AK315" s="6"/>
      <c r="AL315" s="7">
        <f t="shared" si="226"/>
        <v>0</v>
      </c>
      <c r="AM315" s="11">
        <f t="shared" si="220"/>
        <v>0</v>
      </c>
      <c r="AN315" s="25"/>
      <c r="AO315" s="10" t="str">
        <f t="shared" si="216"/>
        <v>MarçoSEMANA 4Banana Prata Org. Feirinha</v>
      </c>
      <c r="AP315" s="7">
        <f>SUMIF(NF!$A:$A,$AO315,NF!$I:$I)</f>
        <v>0</v>
      </c>
      <c r="AQ315" s="6"/>
      <c r="AR315" s="6"/>
      <c r="AS315" s="6"/>
      <c r="AT315" s="6"/>
      <c r="AU315" s="6"/>
      <c r="AV315" s="6"/>
      <c r="AW315" s="6"/>
      <c r="AX315" s="7">
        <f t="shared" si="227"/>
        <v>0</v>
      </c>
      <c r="AY315" s="11">
        <f t="shared" si="221"/>
        <v>0</v>
      </c>
      <c r="AZ315" s="25"/>
      <c r="BA315" s="10" t="str">
        <f t="shared" si="217"/>
        <v>MarçoSEMANA 5Banana Prata Org. Feirinha</v>
      </c>
      <c r="BB315" s="7">
        <f>SUMIF(NF!$A:$A,$BA315,NF!$I:$I)</f>
        <v>0</v>
      </c>
      <c r="BC315" s="6"/>
      <c r="BD315" s="6"/>
      <c r="BE315" s="6"/>
      <c r="BF315" s="6"/>
      <c r="BG315" s="6"/>
      <c r="BH315" s="6"/>
      <c r="BI315" s="74"/>
      <c r="BJ315" s="74"/>
      <c r="BK315" s="7">
        <f t="shared" si="228"/>
        <v>0</v>
      </c>
      <c r="BL315" s="8">
        <f t="shared" si="222"/>
        <v>0</v>
      </c>
      <c r="BM315" s="51" t="str">
        <f>IFERROR(VLOOKUP(A315,NF!$M:$O,3,0),"")</f>
        <v>Feirinha</v>
      </c>
      <c r="BN315" s="7">
        <f t="shared" si="223"/>
        <v>0</v>
      </c>
      <c r="BO315" s="8">
        <f t="array" ref="BO315">IFERROR(LARGE(IF(NF!$G$2:$G$3137='Mês atual'!A315,NF!$J$2:$J$3137),1),0)*BN315</f>
        <v>0</v>
      </c>
      <c r="BP315" s="50"/>
      <c r="BR315" s="146">
        <f t="array" ref="BR315">IFERROR(LARGE(IF(NF!$G$2:$G$3137='Mês atual'!A315,NF!$J$2:$J$3137),1),0)</f>
        <v>0</v>
      </c>
      <c r="BS315" s="142" t="str">
        <f>VLOOKUP(A315,NF!M:O,3,0)</f>
        <v>Feirinha</v>
      </c>
      <c r="BV315" s="74">
        <f t="shared" si="193"/>
        <v>0</v>
      </c>
      <c r="BW315" s="74">
        <f t="shared" si="194"/>
        <v>0</v>
      </c>
      <c r="BX315" s="74">
        <f t="shared" si="195"/>
        <v>0</v>
      </c>
      <c r="BY315" s="74">
        <f t="shared" si="196"/>
        <v>0</v>
      </c>
      <c r="BZ315" s="74">
        <f t="shared" si="197"/>
        <v>0</v>
      </c>
    </row>
    <row r="316" spans="1:78" x14ac:dyDescent="0.2">
      <c r="A316" s="108" t="s">
        <v>880</v>
      </c>
      <c r="B316" s="12"/>
      <c r="C316" s="9">
        <v>0</v>
      </c>
      <c r="D316" s="25"/>
      <c r="E316" s="10" t="str">
        <f t="shared" si="213"/>
        <v>MarçoSEMANA 1Berinjela Org. Feirinha</v>
      </c>
      <c r="F316" s="7">
        <f>SUMIF(NF!$A:$A,$E316,NF!$I:$I)</f>
        <v>0</v>
      </c>
      <c r="G316" s="74"/>
      <c r="H316" s="74"/>
      <c r="I316" s="74"/>
      <c r="J316" s="6"/>
      <c r="K316" s="6"/>
      <c r="L316" s="6"/>
      <c r="M316" s="6"/>
      <c r="N316" s="7">
        <f t="shared" si="224"/>
        <v>0</v>
      </c>
      <c r="O316" s="11">
        <f t="shared" si="218"/>
        <v>0</v>
      </c>
      <c r="P316" s="25"/>
      <c r="Q316" s="10" t="str">
        <f t="shared" si="214"/>
        <v>MarçoSEMANA 2Berinjela Org. Feirinha</v>
      </c>
      <c r="R316" s="7">
        <f>SUMIF(NF!$A:$A,$Q316,NF!$I:$I)</f>
        <v>0</v>
      </c>
      <c r="S316" s="6"/>
      <c r="T316" s="6"/>
      <c r="U316" s="6"/>
      <c r="V316" s="6"/>
      <c r="W316" s="6"/>
      <c r="X316" s="6"/>
      <c r="Y316" s="6"/>
      <c r="Z316" s="7">
        <f t="shared" si="225"/>
        <v>0</v>
      </c>
      <c r="AA316" s="11">
        <f t="shared" si="219"/>
        <v>0</v>
      </c>
      <c r="AB316" s="25"/>
      <c r="AC316" s="10" t="str">
        <f t="shared" si="215"/>
        <v>MarçoSEMANA 3Berinjela Org. Feirinha</v>
      </c>
      <c r="AD316" s="7">
        <f>SUMIF(NF!$A:$A,$AC316,NF!$I:$I)</f>
        <v>0</v>
      </c>
      <c r="AE316" s="6"/>
      <c r="AF316" s="6"/>
      <c r="AG316" s="6"/>
      <c r="AH316" s="6"/>
      <c r="AI316" s="6"/>
      <c r="AJ316" s="6"/>
      <c r="AK316" s="6"/>
      <c r="AL316" s="7">
        <f t="shared" si="226"/>
        <v>0</v>
      </c>
      <c r="AM316" s="11">
        <f t="shared" si="220"/>
        <v>0</v>
      </c>
      <c r="AN316" s="25"/>
      <c r="AO316" s="10" t="str">
        <f t="shared" si="216"/>
        <v>MarçoSEMANA 4Berinjela Org. Feirinha</v>
      </c>
      <c r="AP316" s="7">
        <f>SUMIF(NF!$A:$A,$AO316,NF!$I:$I)</f>
        <v>0</v>
      </c>
      <c r="AQ316" s="6"/>
      <c r="AR316" s="6"/>
      <c r="AS316" s="6"/>
      <c r="AT316" s="6"/>
      <c r="AU316" s="6"/>
      <c r="AV316" s="6"/>
      <c r="AW316" s="6"/>
      <c r="AX316" s="7">
        <f t="shared" si="227"/>
        <v>0</v>
      </c>
      <c r="AY316" s="11">
        <f t="shared" si="221"/>
        <v>0</v>
      </c>
      <c r="AZ316" s="25"/>
      <c r="BA316" s="10" t="str">
        <f t="shared" si="217"/>
        <v>MarçoSEMANA 5Berinjela Org. Feirinha</v>
      </c>
      <c r="BB316" s="7">
        <f>SUMIF(NF!$A:$A,$BA316,NF!$I:$I)</f>
        <v>0</v>
      </c>
      <c r="BC316" s="6"/>
      <c r="BD316" s="6"/>
      <c r="BE316" s="6"/>
      <c r="BF316" s="6"/>
      <c r="BG316" s="6"/>
      <c r="BH316" s="6"/>
      <c r="BI316" s="74"/>
      <c r="BJ316" s="74"/>
      <c r="BK316" s="7">
        <f t="shared" si="228"/>
        <v>0</v>
      </c>
      <c r="BL316" s="8">
        <f t="shared" si="222"/>
        <v>0</v>
      </c>
      <c r="BM316" s="51" t="str">
        <f>IFERROR(VLOOKUP(A316,NF!$M:$O,3,0),"")</f>
        <v>Feirinha</v>
      </c>
      <c r="BN316" s="7">
        <f t="shared" si="223"/>
        <v>0</v>
      </c>
      <c r="BO316" s="8">
        <f t="array" ref="BO316">IFERROR(LARGE(IF(NF!$G$2:$G$3137='Mês atual'!A316,NF!$J$2:$J$3137),1),0)*BN316</f>
        <v>0</v>
      </c>
      <c r="BP316" s="50"/>
      <c r="BR316" s="146">
        <f t="array" ref="BR316">IFERROR(LARGE(IF(NF!$G$2:$G$3137='Mês atual'!A316,NF!$J$2:$J$3137),1),0)</f>
        <v>0</v>
      </c>
      <c r="BS316" s="142" t="str">
        <f>VLOOKUP(A316,NF!M:O,3,0)</f>
        <v>Feirinha</v>
      </c>
      <c r="BV316" s="74">
        <f t="shared" si="193"/>
        <v>0</v>
      </c>
      <c r="BW316" s="74">
        <f t="shared" si="194"/>
        <v>0</v>
      </c>
      <c r="BX316" s="74">
        <f t="shared" si="195"/>
        <v>0</v>
      </c>
      <c r="BY316" s="74">
        <f t="shared" si="196"/>
        <v>0</v>
      </c>
      <c r="BZ316" s="74">
        <f t="shared" si="197"/>
        <v>0</v>
      </c>
    </row>
    <row r="317" spans="1:78" x14ac:dyDescent="0.25">
      <c r="A317" s="108" t="s">
        <v>891</v>
      </c>
      <c r="B317" s="12"/>
      <c r="C317" s="9">
        <v>0</v>
      </c>
      <c r="D317" s="25"/>
      <c r="E317" s="10" t="str">
        <f t="shared" si="213"/>
        <v>MarçoSEMANA 1Beterraba Orgânica Feirinha</v>
      </c>
      <c r="F317" s="7">
        <f>SUMIF(NF!$A:$A,$E317,NF!$I:$I)</f>
        <v>0</v>
      </c>
      <c r="G317" s="74"/>
      <c r="H317" s="74"/>
      <c r="I317" s="74"/>
      <c r="J317" s="6"/>
      <c r="K317" s="6"/>
      <c r="L317" s="6"/>
      <c r="M317" s="6"/>
      <c r="N317" s="7">
        <f t="shared" si="224"/>
        <v>0</v>
      </c>
      <c r="O317" s="11">
        <f t="shared" si="218"/>
        <v>0</v>
      </c>
      <c r="P317" s="25"/>
      <c r="Q317" s="10" t="str">
        <f t="shared" si="214"/>
        <v>MarçoSEMANA 2Beterraba Orgânica Feirinha</v>
      </c>
      <c r="R317" s="7">
        <f>SUMIF(NF!$A:$A,$Q317,NF!$I:$I)</f>
        <v>0</v>
      </c>
      <c r="S317" s="6"/>
      <c r="T317" s="6"/>
      <c r="U317" s="6"/>
      <c r="V317" s="6"/>
      <c r="W317" s="6"/>
      <c r="X317" s="6"/>
      <c r="Y317" s="6"/>
      <c r="Z317" s="7">
        <f t="shared" si="225"/>
        <v>0</v>
      </c>
      <c r="AA317" s="11">
        <f t="shared" si="219"/>
        <v>0</v>
      </c>
      <c r="AB317" s="25"/>
      <c r="AC317" s="10" t="str">
        <f t="shared" si="215"/>
        <v>MarçoSEMANA 3Beterraba Orgânica Feirinha</v>
      </c>
      <c r="AD317" s="7">
        <f>SUMIF(NF!$A:$A,$AC317,NF!$I:$I)</f>
        <v>0</v>
      </c>
      <c r="AE317" s="6"/>
      <c r="AF317" s="6"/>
      <c r="AG317" s="6"/>
      <c r="AH317" s="6"/>
      <c r="AI317" s="6"/>
      <c r="AJ317" s="6"/>
      <c r="AK317" s="6"/>
      <c r="AL317" s="7">
        <f t="shared" si="226"/>
        <v>0</v>
      </c>
      <c r="AM317" s="11">
        <f t="shared" si="220"/>
        <v>0</v>
      </c>
      <c r="AN317" s="25"/>
      <c r="AO317" s="10" t="str">
        <f t="shared" si="216"/>
        <v>MarçoSEMANA 4Beterraba Orgânica Feirinha</v>
      </c>
      <c r="AP317" s="7">
        <f>SUMIF(NF!$A:$A,$AO317,NF!$I:$I)</f>
        <v>0</v>
      </c>
      <c r="AQ317" s="6"/>
      <c r="AR317" s="6"/>
      <c r="AS317" s="6"/>
      <c r="AT317" s="6"/>
      <c r="AU317" s="6"/>
      <c r="AV317" s="6"/>
      <c r="AW317" s="6"/>
      <c r="AX317" s="7">
        <f t="shared" si="227"/>
        <v>0</v>
      </c>
      <c r="AY317" s="11">
        <f t="shared" si="221"/>
        <v>0</v>
      </c>
      <c r="AZ317" s="25"/>
      <c r="BA317" s="10" t="str">
        <f t="shared" si="217"/>
        <v>MarçoSEMANA 5Beterraba Orgânica Feirinha</v>
      </c>
      <c r="BB317" s="7">
        <f>SUMIF(NF!$A:$A,$BA317,NF!$I:$I)</f>
        <v>0</v>
      </c>
      <c r="BC317" s="6"/>
      <c r="BD317" s="6"/>
      <c r="BE317" s="6"/>
      <c r="BF317" s="6"/>
      <c r="BG317" s="6"/>
      <c r="BH317" s="6"/>
      <c r="BI317" s="74"/>
      <c r="BJ317" s="74"/>
      <c r="BK317" s="7">
        <f t="shared" si="228"/>
        <v>0</v>
      </c>
      <c r="BL317" s="8">
        <f t="shared" si="222"/>
        <v>0</v>
      </c>
      <c r="BM317" s="51" t="str">
        <f>IFERROR(VLOOKUP(A317,NF!$M:$O,3,0),"")</f>
        <v>Feirinha</v>
      </c>
      <c r="BN317" s="7">
        <f t="shared" si="223"/>
        <v>0</v>
      </c>
      <c r="BO317" s="8">
        <f t="array" ref="BO317">IFERROR(LARGE(IF(NF!$G$2:$G$3137='Mês atual'!A317,NF!$J$2:$J$3137),1),0)*BN317</f>
        <v>0</v>
      </c>
      <c r="BP317" s="50"/>
      <c r="BR317" s="146">
        <f t="array" ref="BR317">IFERROR(LARGE(IF(NF!$G$2:$G$3137='Mês atual'!A317,NF!$J$2:$J$3137),1),0)</f>
        <v>0</v>
      </c>
      <c r="BS317" s="142" t="str">
        <f>VLOOKUP(A317,NF!M:O,3,0)</f>
        <v>Feirinha</v>
      </c>
      <c r="BV317" s="74">
        <f t="shared" si="193"/>
        <v>0</v>
      </c>
      <c r="BW317" s="74">
        <f t="shared" si="194"/>
        <v>0</v>
      </c>
      <c r="BX317" s="74">
        <f t="shared" si="195"/>
        <v>0</v>
      </c>
      <c r="BY317" s="74">
        <f t="shared" si="196"/>
        <v>0</v>
      </c>
      <c r="BZ317" s="74">
        <f t="shared" si="197"/>
        <v>0</v>
      </c>
    </row>
    <row r="318" spans="1:78" x14ac:dyDescent="0.2">
      <c r="A318" s="108" t="s">
        <v>940</v>
      </c>
      <c r="B318" s="12"/>
      <c r="C318" s="9">
        <v>0</v>
      </c>
      <c r="D318" s="25"/>
      <c r="E318" s="10" t="str">
        <f t="shared" si="213"/>
        <v>MarçoSEMANA 1Bolo de Banana (com Amendoas)</v>
      </c>
      <c r="F318" s="7">
        <f>SUMIF(NF!$A:$A,$E318,NF!$I:$I)</f>
        <v>0</v>
      </c>
      <c r="G318" s="74"/>
      <c r="H318" s="74"/>
      <c r="I318" s="74"/>
      <c r="J318" s="6"/>
      <c r="K318" s="6"/>
      <c r="L318" s="6"/>
      <c r="M318" s="6"/>
      <c r="N318" s="7">
        <f t="shared" ref="N318:N330" si="229">SUM(G318:M318)</f>
        <v>0</v>
      </c>
      <c r="O318" s="11">
        <f t="shared" si="218"/>
        <v>0</v>
      </c>
      <c r="P318" s="25"/>
      <c r="Q318" s="10" t="str">
        <f t="shared" si="214"/>
        <v>MarçoSEMANA 2Bolo de Banana (com Amendoas)</v>
      </c>
      <c r="R318" s="7">
        <f>SUMIF(NF!$A:$A,$Q318,NF!$I:$I)</f>
        <v>0</v>
      </c>
      <c r="S318" s="6"/>
      <c r="T318" s="6"/>
      <c r="U318" s="6"/>
      <c r="V318" s="6"/>
      <c r="W318" s="6"/>
      <c r="X318" s="6"/>
      <c r="Y318" s="6"/>
      <c r="Z318" s="7">
        <f t="shared" ref="Z318:Z330" si="230">SUM(S318:Y318)</f>
        <v>0</v>
      </c>
      <c r="AA318" s="11">
        <f t="shared" si="219"/>
        <v>0</v>
      </c>
      <c r="AB318" s="25"/>
      <c r="AC318" s="10" t="str">
        <f t="shared" si="215"/>
        <v>MarçoSEMANA 3Bolo de Banana (com Amendoas)</v>
      </c>
      <c r="AD318" s="7">
        <f>SUMIF(NF!$A:$A,$AC318,NF!$I:$I)</f>
        <v>0</v>
      </c>
      <c r="AE318" s="6"/>
      <c r="AF318" s="6"/>
      <c r="AG318" s="6"/>
      <c r="AH318" s="6"/>
      <c r="AI318" s="6"/>
      <c r="AJ318" s="6"/>
      <c r="AK318" s="6"/>
      <c r="AL318" s="7">
        <f t="shared" ref="AL318:AL330" si="231">SUM(AE318:AK318)</f>
        <v>0</v>
      </c>
      <c r="AM318" s="11">
        <f t="shared" si="220"/>
        <v>0</v>
      </c>
      <c r="AN318" s="25"/>
      <c r="AO318" s="10" t="str">
        <f t="shared" si="216"/>
        <v>MarçoSEMANA 4Bolo de Banana (com Amendoas)</v>
      </c>
      <c r="AP318" s="7">
        <f>SUMIF(NF!$A:$A,$AO318,NF!$I:$I)</f>
        <v>0</v>
      </c>
      <c r="AQ318" s="6"/>
      <c r="AR318" s="6"/>
      <c r="AS318" s="6"/>
      <c r="AT318" s="6"/>
      <c r="AU318" s="6"/>
      <c r="AV318" s="6"/>
      <c r="AW318" s="6"/>
      <c r="AX318" s="7">
        <f t="shared" ref="AX318:AX330" si="232">SUM(AQ318:AW318)</f>
        <v>0</v>
      </c>
      <c r="AY318" s="11">
        <f t="shared" si="221"/>
        <v>0</v>
      </c>
      <c r="AZ318" s="25"/>
      <c r="BA318" s="10" t="str">
        <f t="shared" si="217"/>
        <v>MarçoSEMANA 5Bolo de Banana (com Amendoas)</v>
      </c>
      <c r="BB318" s="7">
        <f>SUMIF(NF!$A:$A,$BA318,NF!$I:$I)</f>
        <v>0</v>
      </c>
      <c r="BC318" s="6"/>
      <c r="BD318" s="6"/>
      <c r="BE318" s="6"/>
      <c r="BF318" s="6"/>
      <c r="BG318" s="6"/>
      <c r="BH318" s="6"/>
      <c r="BI318" s="74"/>
      <c r="BJ318" s="74"/>
      <c r="BK318" s="7">
        <f t="shared" ref="BK318:BK330" si="233">SUM(BC318:BJ318)</f>
        <v>0</v>
      </c>
      <c r="BL318" s="8">
        <f t="shared" si="222"/>
        <v>0</v>
      </c>
      <c r="BM318" s="51" t="str">
        <f>IFERROR(VLOOKUP(A318,NF!$M:$O,3,0),"")</f>
        <v>Feirinha</v>
      </c>
      <c r="BN318" s="7">
        <f t="shared" si="223"/>
        <v>0</v>
      </c>
      <c r="BO318" s="8">
        <f t="array" ref="BO318">IFERROR(LARGE(IF(NF!$G$2:$G$3137='Mês atual'!A318,NF!$J$2:$J$3137),1),0)*BN318</f>
        <v>0</v>
      </c>
      <c r="BP318" s="50"/>
      <c r="BR318" s="146">
        <f t="array" ref="BR318">IFERROR(LARGE(IF(NF!$G$2:$G$3137='Mês atual'!A318,NF!$J$2:$J$3137),1),0)</f>
        <v>0</v>
      </c>
      <c r="BS318" s="142" t="str">
        <f>VLOOKUP(A318,NF!M:O,3,0)</f>
        <v>Feirinha</v>
      </c>
      <c r="BV318" s="74">
        <f t="shared" si="193"/>
        <v>0</v>
      </c>
      <c r="BW318" s="74">
        <f t="shared" si="194"/>
        <v>0</v>
      </c>
      <c r="BX318" s="74">
        <f t="shared" si="195"/>
        <v>0</v>
      </c>
      <c r="BY318" s="74">
        <f t="shared" si="196"/>
        <v>0</v>
      </c>
      <c r="BZ318" s="74">
        <f t="shared" si="197"/>
        <v>0</v>
      </c>
    </row>
    <row r="319" spans="1:78" x14ac:dyDescent="0.2">
      <c r="A319" s="108" t="s">
        <v>992</v>
      </c>
      <c r="B319" s="12"/>
      <c r="C319" s="9">
        <v>0</v>
      </c>
      <c r="D319" s="25"/>
      <c r="E319" s="10" t="str">
        <f t="shared" si="213"/>
        <v>MarçoSEMANA 1Bolo de Banana (c/ Castanhas)</v>
      </c>
      <c r="F319" s="7">
        <f>SUMIF(NF!$A:$A,$E319,NF!$I:$I)</f>
        <v>0</v>
      </c>
      <c r="G319" s="74"/>
      <c r="H319" s="74"/>
      <c r="I319" s="74"/>
      <c r="J319" s="6"/>
      <c r="K319" s="6"/>
      <c r="L319" s="6"/>
      <c r="M319" s="6"/>
      <c r="N319" s="7">
        <f t="shared" si="229"/>
        <v>0</v>
      </c>
      <c r="O319" s="11">
        <f>F319+C319-N319</f>
        <v>0</v>
      </c>
      <c r="P319" s="25"/>
      <c r="Q319" s="10" t="str">
        <f t="shared" si="214"/>
        <v>MarçoSEMANA 2Bolo de Banana (c/ Castanhas)</v>
      </c>
      <c r="R319" s="7">
        <f>SUMIF(NF!$A:$A,$Q319,NF!$I:$I)</f>
        <v>0</v>
      </c>
      <c r="S319" s="6"/>
      <c r="T319" s="6"/>
      <c r="U319" s="6"/>
      <c r="V319" s="6"/>
      <c r="W319" s="6"/>
      <c r="X319" s="6"/>
      <c r="Y319" s="6"/>
      <c r="Z319" s="7">
        <f t="shared" si="230"/>
        <v>0</v>
      </c>
      <c r="AA319" s="11">
        <f>R319+O319-Z319</f>
        <v>0</v>
      </c>
      <c r="AB319" s="25"/>
      <c r="AC319" s="10" t="str">
        <f t="shared" si="215"/>
        <v>MarçoSEMANA 3Bolo de Banana (c/ Castanhas)</v>
      </c>
      <c r="AD319" s="7">
        <f>SUMIF(NF!$A:$A,$AC319,NF!$I:$I)</f>
        <v>0</v>
      </c>
      <c r="AE319" s="6"/>
      <c r="AF319" s="6"/>
      <c r="AG319" s="6"/>
      <c r="AH319" s="6"/>
      <c r="AI319" s="6"/>
      <c r="AJ319" s="6"/>
      <c r="AK319" s="6"/>
      <c r="AL319" s="7">
        <f t="shared" si="231"/>
        <v>0</v>
      </c>
      <c r="AM319" s="11">
        <f>AD319+AA319-AL319</f>
        <v>0</v>
      </c>
      <c r="AN319" s="25"/>
      <c r="AO319" s="10" t="str">
        <f t="shared" si="216"/>
        <v>MarçoSEMANA 4Bolo de Banana (c/ Castanhas)</v>
      </c>
      <c r="AP319" s="7">
        <f>SUMIF(NF!$A:$A,$AO319,NF!$I:$I)</f>
        <v>0</v>
      </c>
      <c r="AQ319" s="6"/>
      <c r="AR319" s="6"/>
      <c r="AS319" s="6"/>
      <c r="AT319" s="6"/>
      <c r="AU319" s="6"/>
      <c r="AV319" s="6"/>
      <c r="AW319" s="6"/>
      <c r="AX319" s="7">
        <f t="shared" si="232"/>
        <v>0</v>
      </c>
      <c r="AY319" s="11">
        <f>AP319+AM319-AX319</f>
        <v>0</v>
      </c>
      <c r="AZ319" s="25"/>
      <c r="BA319" s="10" t="str">
        <f t="shared" si="217"/>
        <v>MarçoSEMANA 5Bolo de Banana (c/ Castanhas)</v>
      </c>
      <c r="BB319" s="7">
        <f>SUMIF(NF!$A:$A,$BA319,NF!$I:$I)</f>
        <v>0</v>
      </c>
      <c r="BC319" s="6"/>
      <c r="BD319" s="6"/>
      <c r="BE319" s="6"/>
      <c r="BF319" s="6"/>
      <c r="BG319" s="6"/>
      <c r="BH319" s="6"/>
      <c r="BI319" s="74"/>
      <c r="BJ319" s="74"/>
      <c r="BK319" s="7">
        <f t="shared" si="233"/>
        <v>0</v>
      </c>
      <c r="BL319" s="8">
        <f>BB319+AY319-BK319</f>
        <v>0</v>
      </c>
      <c r="BM319" s="51" t="str">
        <f>IFERROR(VLOOKUP(A319,NF!$M:$O,3,0),"")</f>
        <v>Feirinha</v>
      </c>
      <c r="BN319" s="7">
        <f>SUM(N319,Z319,AL319,AX319,BK319)</f>
        <v>0</v>
      </c>
      <c r="BO319" s="8">
        <f t="array" ref="BO319">IFERROR(LARGE(IF(NF!$G$2:$G$3137='Mês atual'!A319,NF!$J$2:$J$3137),1),0)*BN319</f>
        <v>0</v>
      </c>
      <c r="BP319" s="50"/>
      <c r="BR319" s="146">
        <f t="array" ref="BR319">IFERROR(LARGE(IF(NF!$G$2:$G$3137='Mês atual'!A319,NF!$J$2:$J$3137),1),0)</f>
        <v>0</v>
      </c>
      <c r="BS319" s="142" t="str">
        <f>VLOOKUP(A319,NF!M:O,3,0)</f>
        <v>Feirinha</v>
      </c>
      <c r="BV319" s="74">
        <f t="shared" si="193"/>
        <v>0</v>
      </c>
      <c r="BW319" s="74">
        <f t="shared" si="194"/>
        <v>0</v>
      </c>
      <c r="BX319" s="74">
        <f t="shared" si="195"/>
        <v>0</v>
      </c>
      <c r="BY319" s="74">
        <f t="shared" si="196"/>
        <v>0</v>
      </c>
      <c r="BZ319" s="74">
        <f t="shared" si="197"/>
        <v>0</v>
      </c>
    </row>
    <row r="320" spans="1:78" x14ac:dyDescent="0.2">
      <c r="A320" s="108" t="s">
        <v>941</v>
      </c>
      <c r="B320" s="12"/>
      <c r="C320" s="9">
        <v>0</v>
      </c>
      <c r="D320" s="25"/>
      <c r="E320" s="10" t="str">
        <f t="shared" si="213"/>
        <v>MarçoSEMANA 1Bolo de Cacau Belga</v>
      </c>
      <c r="F320" s="7">
        <f>SUMIF(NF!$A:$A,$E320,NF!$I:$I)</f>
        <v>0</v>
      </c>
      <c r="G320" s="74"/>
      <c r="H320" s="74"/>
      <c r="I320" s="74"/>
      <c r="J320" s="6"/>
      <c r="K320" s="6"/>
      <c r="L320" s="6"/>
      <c r="M320" s="6"/>
      <c r="N320" s="7">
        <f t="shared" si="229"/>
        <v>0</v>
      </c>
      <c r="O320" s="11">
        <f t="shared" si="218"/>
        <v>0</v>
      </c>
      <c r="P320" s="25"/>
      <c r="Q320" s="10" t="str">
        <f t="shared" si="214"/>
        <v>MarçoSEMANA 2Bolo de Cacau Belga</v>
      </c>
      <c r="R320" s="7">
        <f>SUMIF(NF!$A:$A,$Q320,NF!$I:$I)</f>
        <v>0</v>
      </c>
      <c r="S320" s="6"/>
      <c r="T320" s="6"/>
      <c r="U320" s="6"/>
      <c r="V320" s="6"/>
      <c r="W320" s="6"/>
      <c r="X320" s="6"/>
      <c r="Y320" s="6"/>
      <c r="Z320" s="7">
        <f t="shared" si="230"/>
        <v>0</v>
      </c>
      <c r="AA320" s="11">
        <f t="shared" si="219"/>
        <v>0</v>
      </c>
      <c r="AB320" s="25"/>
      <c r="AC320" s="10" t="str">
        <f t="shared" si="215"/>
        <v>MarçoSEMANA 3Bolo de Cacau Belga</v>
      </c>
      <c r="AD320" s="7">
        <f>SUMIF(NF!$A:$A,$AC320,NF!$I:$I)</f>
        <v>0</v>
      </c>
      <c r="AE320" s="6"/>
      <c r="AF320" s="6"/>
      <c r="AG320" s="6"/>
      <c r="AH320" s="6"/>
      <c r="AI320" s="6"/>
      <c r="AJ320" s="6"/>
      <c r="AK320" s="6"/>
      <c r="AL320" s="7">
        <f t="shared" si="231"/>
        <v>0</v>
      </c>
      <c r="AM320" s="11">
        <f t="shared" si="220"/>
        <v>0</v>
      </c>
      <c r="AN320" s="25"/>
      <c r="AO320" s="10" t="str">
        <f t="shared" si="216"/>
        <v>MarçoSEMANA 4Bolo de Cacau Belga</v>
      </c>
      <c r="AP320" s="7">
        <f>SUMIF(NF!$A:$A,$AO320,NF!$I:$I)</f>
        <v>0</v>
      </c>
      <c r="AQ320" s="6"/>
      <c r="AR320" s="6"/>
      <c r="AS320" s="6"/>
      <c r="AT320" s="6"/>
      <c r="AU320" s="6"/>
      <c r="AV320" s="6"/>
      <c r="AW320" s="6"/>
      <c r="AX320" s="7">
        <f t="shared" si="232"/>
        <v>0</v>
      </c>
      <c r="AY320" s="11">
        <f t="shared" si="221"/>
        <v>0</v>
      </c>
      <c r="AZ320" s="25"/>
      <c r="BA320" s="10" t="str">
        <f t="shared" si="217"/>
        <v>MarçoSEMANA 5Bolo de Cacau Belga</v>
      </c>
      <c r="BB320" s="7">
        <f>SUMIF(NF!$A:$A,$BA320,NF!$I:$I)</f>
        <v>0</v>
      </c>
      <c r="BC320" s="6"/>
      <c r="BD320" s="6"/>
      <c r="BE320" s="6"/>
      <c r="BF320" s="6"/>
      <c r="BG320" s="6"/>
      <c r="BH320" s="6"/>
      <c r="BI320" s="74"/>
      <c r="BJ320" s="74"/>
      <c r="BK320" s="7">
        <f t="shared" si="233"/>
        <v>0</v>
      </c>
      <c r="BL320" s="8">
        <f t="shared" si="222"/>
        <v>0</v>
      </c>
      <c r="BM320" s="51" t="str">
        <f>IFERROR(VLOOKUP(A320,NF!$M:$O,3,0),"")</f>
        <v>Feirinha</v>
      </c>
      <c r="BN320" s="7">
        <f t="shared" si="223"/>
        <v>0</v>
      </c>
      <c r="BO320" s="8">
        <f t="array" ref="BO320">IFERROR(LARGE(IF(NF!$G$2:$G$3137='Mês atual'!A320,NF!$J$2:$J$3137),1),0)*BN320</f>
        <v>0</v>
      </c>
      <c r="BP320" s="50"/>
      <c r="BR320" s="146">
        <f t="array" ref="BR320">IFERROR(LARGE(IF(NF!$G$2:$G$3137='Mês atual'!A320,NF!$J$2:$J$3137),1),0)</f>
        <v>0</v>
      </c>
      <c r="BS320" s="142" t="str">
        <f>VLOOKUP(A320,NF!M:O,3,0)</f>
        <v>Feirinha</v>
      </c>
      <c r="BV320" s="74">
        <f t="shared" si="193"/>
        <v>0</v>
      </c>
      <c r="BW320" s="74">
        <f t="shared" si="194"/>
        <v>0</v>
      </c>
      <c r="BX320" s="74">
        <f t="shared" si="195"/>
        <v>0</v>
      </c>
      <c r="BY320" s="74">
        <f t="shared" si="196"/>
        <v>0</v>
      </c>
      <c r="BZ320" s="74">
        <f t="shared" si="197"/>
        <v>0</v>
      </c>
    </row>
    <row r="321" spans="1:78" x14ac:dyDescent="0.2">
      <c r="A321" s="108" t="s">
        <v>942</v>
      </c>
      <c r="B321" s="12"/>
      <c r="C321" s="9">
        <v>0</v>
      </c>
      <c r="D321" s="25"/>
      <c r="E321" s="10" t="str">
        <f t="shared" si="213"/>
        <v>MarçoSEMANA 1Bolo de Cenoura (com cobertura de chocolate)</v>
      </c>
      <c r="F321" s="7">
        <f>SUMIF(NF!$A:$A,$E321,NF!$I:$I)</f>
        <v>0</v>
      </c>
      <c r="G321" s="74"/>
      <c r="H321" s="74"/>
      <c r="I321" s="74"/>
      <c r="J321" s="6"/>
      <c r="K321" s="6"/>
      <c r="L321" s="6"/>
      <c r="M321" s="6"/>
      <c r="N321" s="7">
        <f t="shared" si="229"/>
        <v>0</v>
      </c>
      <c r="O321" s="11">
        <f t="shared" si="218"/>
        <v>0</v>
      </c>
      <c r="P321" s="25"/>
      <c r="Q321" s="10" t="str">
        <f t="shared" si="214"/>
        <v>MarçoSEMANA 2Bolo de Cenoura (com cobertura de chocolate)</v>
      </c>
      <c r="R321" s="7">
        <f>SUMIF(NF!$A:$A,$Q321,NF!$I:$I)</f>
        <v>0</v>
      </c>
      <c r="S321" s="6"/>
      <c r="T321" s="6"/>
      <c r="U321" s="6"/>
      <c r="V321" s="6"/>
      <c r="W321" s="6"/>
      <c r="X321" s="6"/>
      <c r="Y321" s="6"/>
      <c r="Z321" s="7">
        <f t="shared" si="230"/>
        <v>0</v>
      </c>
      <c r="AA321" s="11">
        <f t="shared" si="219"/>
        <v>0</v>
      </c>
      <c r="AB321" s="25"/>
      <c r="AC321" s="10" t="str">
        <f t="shared" si="215"/>
        <v>MarçoSEMANA 3Bolo de Cenoura (com cobertura de chocolate)</v>
      </c>
      <c r="AD321" s="7">
        <f>SUMIF(NF!$A:$A,$AC321,NF!$I:$I)</f>
        <v>0</v>
      </c>
      <c r="AE321" s="6"/>
      <c r="AF321" s="6"/>
      <c r="AG321" s="6"/>
      <c r="AH321" s="6"/>
      <c r="AI321" s="6"/>
      <c r="AJ321" s="6"/>
      <c r="AK321" s="6"/>
      <c r="AL321" s="7">
        <f t="shared" si="231"/>
        <v>0</v>
      </c>
      <c r="AM321" s="11">
        <f t="shared" si="220"/>
        <v>0</v>
      </c>
      <c r="AN321" s="25"/>
      <c r="AO321" s="10" t="str">
        <f t="shared" si="216"/>
        <v>MarçoSEMANA 4Bolo de Cenoura (com cobertura de chocolate)</v>
      </c>
      <c r="AP321" s="7">
        <f>SUMIF(NF!$A:$A,$AO321,NF!$I:$I)</f>
        <v>0</v>
      </c>
      <c r="AQ321" s="6"/>
      <c r="AR321" s="6"/>
      <c r="AS321" s="6"/>
      <c r="AT321" s="6"/>
      <c r="AU321" s="6"/>
      <c r="AV321" s="6"/>
      <c r="AW321" s="6"/>
      <c r="AX321" s="7">
        <f t="shared" si="232"/>
        <v>0</v>
      </c>
      <c r="AY321" s="11">
        <f t="shared" si="221"/>
        <v>0</v>
      </c>
      <c r="AZ321" s="25"/>
      <c r="BA321" s="10" t="str">
        <f t="shared" si="217"/>
        <v>MarçoSEMANA 5Bolo de Cenoura (com cobertura de chocolate)</v>
      </c>
      <c r="BB321" s="7">
        <f>SUMIF(NF!$A:$A,$BA321,NF!$I:$I)</f>
        <v>0</v>
      </c>
      <c r="BC321" s="6"/>
      <c r="BD321" s="6"/>
      <c r="BE321" s="6"/>
      <c r="BF321" s="6"/>
      <c r="BG321" s="6"/>
      <c r="BH321" s="6"/>
      <c r="BI321" s="74"/>
      <c r="BJ321" s="74"/>
      <c r="BK321" s="7">
        <f t="shared" si="233"/>
        <v>0</v>
      </c>
      <c r="BL321" s="8">
        <f t="shared" si="222"/>
        <v>0</v>
      </c>
      <c r="BM321" s="51" t="str">
        <f>IFERROR(VLOOKUP(A321,NF!$M:$O,3,0),"")</f>
        <v>Feirinha</v>
      </c>
      <c r="BN321" s="7">
        <f t="shared" si="223"/>
        <v>0</v>
      </c>
      <c r="BO321" s="8">
        <f t="array" ref="BO321">IFERROR(LARGE(IF(NF!$G$2:$G$3137='Mês atual'!A321,NF!$J$2:$J$3137),1),0)*BN321</f>
        <v>0</v>
      </c>
      <c r="BP321" s="50"/>
      <c r="BR321" s="146">
        <f t="array" ref="BR321">IFERROR(LARGE(IF(NF!$G$2:$G$3137='Mês atual'!A321,NF!$J$2:$J$3137),1),0)</f>
        <v>0</v>
      </c>
      <c r="BS321" s="142" t="str">
        <f>VLOOKUP(A321,NF!M:O,3,0)</f>
        <v>Feirinha</v>
      </c>
      <c r="BV321" s="74">
        <f t="shared" si="193"/>
        <v>0</v>
      </c>
      <c r="BW321" s="74">
        <f t="shared" si="194"/>
        <v>0</v>
      </c>
      <c r="BX321" s="74">
        <f t="shared" si="195"/>
        <v>0</v>
      </c>
      <c r="BY321" s="74">
        <f t="shared" si="196"/>
        <v>0</v>
      </c>
      <c r="BZ321" s="74">
        <f t="shared" si="197"/>
        <v>0</v>
      </c>
    </row>
    <row r="322" spans="1:78" x14ac:dyDescent="0.2">
      <c r="A322" s="108" t="s">
        <v>943</v>
      </c>
      <c r="B322" s="12"/>
      <c r="C322" s="9">
        <v>0</v>
      </c>
      <c r="D322" s="25"/>
      <c r="E322" s="10" t="str">
        <f t="shared" si="213"/>
        <v>MarçoSEMANA 1Bolo de Fuba (com cobertura de goiaba)</v>
      </c>
      <c r="F322" s="7">
        <f>SUMIF(NF!$A:$A,$E322,NF!$I:$I)</f>
        <v>0</v>
      </c>
      <c r="G322" s="74"/>
      <c r="H322" s="74"/>
      <c r="I322" s="74"/>
      <c r="J322" s="6"/>
      <c r="K322" s="6"/>
      <c r="L322" s="6"/>
      <c r="M322" s="6"/>
      <c r="N322" s="7">
        <f t="shared" si="229"/>
        <v>0</v>
      </c>
      <c r="O322" s="11">
        <f t="shared" si="218"/>
        <v>0</v>
      </c>
      <c r="P322" s="25"/>
      <c r="Q322" s="10" t="str">
        <f t="shared" si="214"/>
        <v>MarçoSEMANA 2Bolo de Fuba (com cobertura de goiaba)</v>
      </c>
      <c r="R322" s="7">
        <f>SUMIF(NF!$A:$A,$Q322,NF!$I:$I)</f>
        <v>0</v>
      </c>
      <c r="S322" s="6"/>
      <c r="T322" s="6"/>
      <c r="U322" s="6"/>
      <c r="V322" s="6"/>
      <c r="W322" s="6"/>
      <c r="X322" s="6"/>
      <c r="Y322" s="6"/>
      <c r="Z322" s="7">
        <f t="shared" si="230"/>
        <v>0</v>
      </c>
      <c r="AA322" s="11">
        <f t="shared" si="219"/>
        <v>0</v>
      </c>
      <c r="AB322" s="25"/>
      <c r="AC322" s="10" t="str">
        <f t="shared" si="215"/>
        <v>MarçoSEMANA 3Bolo de Fuba (com cobertura de goiaba)</v>
      </c>
      <c r="AD322" s="7">
        <f>SUMIF(NF!$A:$A,$AC322,NF!$I:$I)</f>
        <v>0</v>
      </c>
      <c r="AE322" s="6"/>
      <c r="AF322" s="6"/>
      <c r="AG322" s="6"/>
      <c r="AH322" s="6"/>
      <c r="AI322" s="6"/>
      <c r="AJ322" s="6"/>
      <c r="AK322" s="6"/>
      <c r="AL322" s="7">
        <f t="shared" si="231"/>
        <v>0</v>
      </c>
      <c r="AM322" s="11">
        <f t="shared" si="220"/>
        <v>0</v>
      </c>
      <c r="AN322" s="25"/>
      <c r="AO322" s="10" t="str">
        <f t="shared" si="216"/>
        <v>MarçoSEMANA 4Bolo de Fuba (com cobertura de goiaba)</v>
      </c>
      <c r="AP322" s="7">
        <f>SUMIF(NF!$A:$A,$AO322,NF!$I:$I)</f>
        <v>0</v>
      </c>
      <c r="AQ322" s="6"/>
      <c r="AR322" s="6"/>
      <c r="AS322" s="6"/>
      <c r="AT322" s="6"/>
      <c r="AU322" s="6"/>
      <c r="AV322" s="6"/>
      <c r="AW322" s="6"/>
      <c r="AX322" s="7">
        <f t="shared" si="232"/>
        <v>0</v>
      </c>
      <c r="AY322" s="11">
        <f t="shared" si="221"/>
        <v>0</v>
      </c>
      <c r="AZ322" s="25"/>
      <c r="BA322" s="10" t="str">
        <f t="shared" si="217"/>
        <v>MarçoSEMANA 5Bolo de Fuba (com cobertura de goiaba)</v>
      </c>
      <c r="BB322" s="7">
        <f>SUMIF(NF!$A:$A,$BA322,NF!$I:$I)</f>
        <v>0</v>
      </c>
      <c r="BC322" s="6"/>
      <c r="BD322" s="6"/>
      <c r="BE322" s="6"/>
      <c r="BF322" s="6"/>
      <c r="BG322" s="6"/>
      <c r="BH322" s="6"/>
      <c r="BI322" s="74"/>
      <c r="BJ322" s="74"/>
      <c r="BK322" s="7">
        <f t="shared" si="233"/>
        <v>0</v>
      </c>
      <c r="BL322" s="8">
        <f t="shared" si="222"/>
        <v>0</v>
      </c>
      <c r="BM322" s="51" t="str">
        <f>IFERROR(VLOOKUP(A322,NF!$M:$O,3,0),"")</f>
        <v>Feirinha</v>
      </c>
      <c r="BN322" s="7">
        <f t="shared" si="223"/>
        <v>0</v>
      </c>
      <c r="BO322" s="8">
        <f t="array" ref="BO322">IFERROR(LARGE(IF(NF!$G$2:$G$3137='Mês atual'!A322,NF!$J$2:$J$3137),1),0)*BN322</f>
        <v>0</v>
      </c>
      <c r="BP322" s="50"/>
      <c r="BR322" s="146">
        <f t="array" ref="BR322">IFERROR(LARGE(IF(NF!$G$2:$G$3137='Mês atual'!A322,NF!$J$2:$J$3137),1),0)</f>
        <v>0</v>
      </c>
      <c r="BS322" s="142" t="str">
        <f>VLOOKUP(A322,NF!M:O,3,0)</f>
        <v>Feirinha</v>
      </c>
      <c r="BV322" s="74">
        <f t="shared" si="193"/>
        <v>0</v>
      </c>
      <c r="BW322" s="74">
        <f t="shared" si="194"/>
        <v>0</v>
      </c>
      <c r="BX322" s="74">
        <f t="shared" si="195"/>
        <v>0</v>
      </c>
      <c r="BY322" s="74">
        <f t="shared" si="196"/>
        <v>0</v>
      </c>
      <c r="BZ322" s="74">
        <f t="shared" si="197"/>
        <v>0</v>
      </c>
    </row>
    <row r="323" spans="1:78" x14ac:dyDescent="0.2">
      <c r="A323" s="108" t="s">
        <v>881</v>
      </c>
      <c r="B323" s="12"/>
      <c r="C323" s="9">
        <v>0</v>
      </c>
      <c r="D323" s="25"/>
      <c r="E323" s="10" t="str">
        <f t="shared" si="213"/>
        <v>MarçoSEMANA 1Cenoura Org. Feirinha</v>
      </c>
      <c r="F323" s="7">
        <f>SUMIF(NF!$A:$A,$E323,NF!$I:$I)</f>
        <v>0</v>
      </c>
      <c r="G323" s="74"/>
      <c r="H323" s="74"/>
      <c r="I323" s="74"/>
      <c r="J323" s="6"/>
      <c r="K323" s="6"/>
      <c r="L323" s="6"/>
      <c r="M323" s="6"/>
      <c r="N323" s="7">
        <f t="shared" si="229"/>
        <v>0</v>
      </c>
      <c r="O323" s="11">
        <f t="shared" si="218"/>
        <v>0</v>
      </c>
      <c r="P323" s="25"/>
      <c r="Q323" s="10" t="str">
        <f t="shared" si="214"/>
        <v>MarçoSEMANA 2Cenoura Org. Feirinha</v>
      </c>
      <c r="R323" s="7">
        <f>SUMIF(NF!$A:$A,$Q323,NF!$I:$I)</f>
        <v>0</v>
      </c>
      <c r="S323" s="6"/>
      <c r="T323" s="6"/>
      <c r="U323" s="6"/>
      <c r="V323" s="6"/>
      <c r="W323" s="6"/>
      <c r="X323" s="6"/>
      <c r="Y323" s="6"/>
      <c r="Z323" s="7">
        <f t="shared" si="230"/>
        <v>0</v>
      </c>
      <c r="AA323" s="11">
        <f t="shared" si="219"/>
        <v>0</v>
      </c>
      <c r="AB323" s="25"/>
      <c r="AC323" s="10" t="str">
        <f t="shared" si="215"/>
        <v>MarçoSEMANA 3Cenoura Org. Feirinha</v>
      </c>
      <c r="AD323" s="7">
        <f>SUMIF(NF!$A:$A,$AC323,NF!$I:$I)</f>
        <v>0</v>
      </c>
      <c r="AE323" s="6"/>
      <c r="AF323" s="6"/>
      <c r="AG323" s="6"/>
      <c r="AH323" s="6"/>
      <c r="AI323" s="6"/>
      <c r="AJ323" s="6"/>
      <c r="AK323" s="6"/>
      <c r="AL323" s="7">
        <f t="shared" si="231"/>
        <v>0</v>
      </c>
      <c r="AM323" s="11">
        <f t="shared" si="220"/>
        <v>0</v>
      </c>
      <c r="AN323" s="25"/>
      <c r="AO323" s="10" t="str">
        <f t="shared" si="216"/>
        <v>MarçoSEMANA 4Cenoura Org. Feirinha</v>
      </c>
      <c r="AP323" s="7">
        <f>SUMIF(NF!$A:$A,$AO323,NF!$I:$I)</f>
        <v>0</v>
      </c>
      <c r="AQ323" s="6"/>
      <c r="AR323" s="6"/>
      <c r="AS323" s="6"/>
      <c r="AT323" s="6"/>
      <c r="AU323" s="6"/>
      <c r="AV323" s="6"/>
      <c r="AW323" s="6"/>
      <c r="AX323" s="7">
        <f t="shared" si="232"/>
        <v>0</v>
      </c>
      <c r="AY323" s="11">
        <f t="shared" si="221"/>
        <v>0</v>
      </c>
      <c r="AZ323" s="25"/>
      <c r="BA323" s="10" t="str">
        <f t="shared" si="217"/>
        <v>MarçoSEMANA 5Cenoura Org. Feirinha</v>
      </c>
      <c r="BB323" s="7">
        <f>SUMIF(NF!$A:$A,$BA323,NF!$I:$I)</f>
        <v>0</v>
      </c>
      <c r="BC323" s="6"/>
      <c r="BD323" s="6"/>
      <c r="BE323" s="6"/>
      <c r="BF323" s="6"/>
      <c r="BG323" s="6"/>
      <c r="BH323" s="6"/>
      <c r="BI323" s="74"/>
      <c r="BJ323" s="74"/>
      <c r="BK323" s="7">
        <f t="shared" si="233"/>
        <v>0</v>
      </c>
      <c r="BL323" s="8">
        <f t="shared" si="222"/>
        <v>0</v>
      </c>
      <c r="BM323" s="51" t="str">
        <f>IFERROR(VLOOKUP(A323,NF!$M:$O,3,0),"")</f>
        <v>Feirinha</v>
      </c>
      <c r="BN323" s="7">
        <f t="shared" si="223"/>
        <v>0</v>
      </c>
      <c r="BO323" s="8">
        <f t="array" ref="BO323">IFERROR(LARGE(IF(NF!$G$2:$G$3137='Mês atual'!A323,NF!$J$2:$J$3137),1),0)*BN323</f>
        <v>0</v>
      </c>
      <c r="BP323" s="50"/>
      <c r="BR323" s="146">
        <f t="array" ref="BR323">IFERROR(LARGE(IF(NF!$G$2:$G$3137='Mês atual'!A323,NF!$J$2:$J$3137),1),0)</f>
        <v>0</v>
      </c>
      <c r="BS323" s="142" t="str">
        <f>VLOOKUP(A323,NF!M:O,3,0)</f>
        <v>Feirinha</v>
      </c>
      <c r="BV323" s="74">
        <f t="shared" si="193"/>
        <v>0</v>
      </c>
      <c r="BW323" s="74">
        <f t="shared" si="194"/>
        <v>0</v>
      </c>
      <c r="BX323" s="74">
        <f t="shared" si="195"/>
        <v>0</v>
      </c>
      <c r="BY323" s="74">
        <f t="shared" si="196"/>
        <v>0</v>
      </c>
      <c r="BZ323" s="74">
        <f t="shared" si="197"/>
        <v>0</v>
      </c>
    </row>
    <row r="324" spans="1:78" x14ac:dyDescent="0.25">
      <c r="A324" s="108" t="s">
        <v>1009</v>
      </c>
      <c r="B324" s="12"/>
      <c r="C324" s="9">
        <v>0</v>
      </c>
      <c r="D324" s="25"/>
      <c r="E324" s="10" t="str">
        <f t="shared" si="213"/>
        <v>MarçoSEMANA 1Chicória Lisa Org. Feirinha</v>
      </c>
      <c r="F324" s="7">
        <f>SUMIF(NF!$A:$A,$E324,NF!$I:$I)</f>
        <v>0</v>
      </c>
      <c r="G324" s="74"/>
      <c r="H324" s="74"/>
      <c r="I324" s="74"/>
      <c r="J324" s="6"/>
      <c r="K324" s="6"/>
      <c r="L324" s="6"/>
      <c r="M324" s="6"/>
      <c r="N324" s="7">
        <f t="shared" si="229"/>
        <v>0</v>
      </c>
      <c r="O324" s="11">
        <f>F324+C324-N324</f>
        <v>0</v>
      </c>
      <c r="P324" s="25"/>
      <c r="Q324" s="10" t="str">
        <f t="shared" si="214"/>
        <v>MarçoSEMANA 2Chicória Lisa Org. Feirinha</v>
      </c>
      <c r="R324" s="7">
        <f>SUMIF(NF!$A:$A,$Q324,NF!$I:$I)</f>
        <v>0</v>
      </c>
      <c r="S324" s="6"/>
      <c r="T324" s="6"/>
      <c r="U324" s="6"/>
      <c r="V324" s="6"/>
      <c r="W324" s="6"/>
      <c r="X324" s="6"/>
      <c r="Y324" s="6"/>
      <c r="Z324" s="7">
        <f t="shared" si="230"/>
        <v>0</v>
      </c>
      <c r="AA324" s="11">
        <f>R324+O324-Z324</f>
        <v>0</v>
      </c>
      <c r="AB324" s="25"/>
      <c r="AC324" s="10" t="str">
        <f t="shared" si="215"/>
        <v>MarçoSEMANA 3Chicória Lisa Org. Feirinha</v>
      </c>
      <c r="AD324" s="7">
        <f>SUMIF(NF!$A:$A,$AC324,NF!$I:$I)</f>
        <v>0</v>
      </c>
      <c r="AE324" s="6"/>
      <c r="AF324" s="6"/>
      <c r="AG324" s="6"/>
      <c r="AH324" s="6"/>
      <c r="AI324" s="6"/>
      <c r="AJ324" s="6"/>
      <c r="AK324" s="6"/>
      <c r="AL324" s="7">
        <f t="shared" si="231"/>
        <v>0</v>
      </c>
      <c r="AM324" s="11">
        <f>AD324+AA324-AL324</f>
        <v>0</v>
      </c>
      <c r="AN324" s="25"/>
      <c r="AO324" s="10" t="str">
        <f t="shared" si="216"/>
        <v>MarçoSEMANA 4Chicória Lisa Org. Feirinha</v>
      </c>
      <c r="AP324" s="7">
        <f>SUMIF(NF!$A:$A,$AO324,NF!$I:$I)</f>
        <v>0</v>
      </c>
      <c r="AQ324" s="6"/>
      <c r="AR324" s="6"/>
      <c r="AS324" s="6"/>
      <c r="AT324" s="6"/>
      <c r="AU324" s="6"/>
      <c r="AV324" s="6"/>
      <c r="AW324" s="6"/>
      <c r="AX324" s="7">
        <f t="shared" si="232"/>
        <v>0</v>
      </c>
      <c r="AY324" s="11">
        <f>AP324+AM324-AX324</f>
        <v>0</v>
      </c>
      <c r="AZ324" s="25"/>
      <c r="BA324" s="10" t="str">
        <f t="shared" si="217"/>
        <v>MarçoSEMANA 5Chicória Lisa Org. Feirinha</v>
      </c>
      <c r="BB324" s="7">
        <f>SUMIF(NF!$A:$A,$BA324,NF!$I:$I)</f>
        <v>0</v>
      </c>
      <c r="BC324" s="6"/>
      <c r="BD324" s="6"/>
      <c r="BE324" s="6"/>
      <c r="BF324" s="6"/>
      <c r="BG324" s="6"/>
      <c r="BH324" s="6"/>
      <c r="BI324" s="74"/>
      <c r="BJ324" s="74"/>
      <c r="BK324" s="7">
        <f t="shared" si="233"/>
        <v>0</v>
      </c>
      <c r="BL324" s="8">
        <f>BB324+AY324-BK324</f>
        <v>0</v>
      </c>
      <c r="BM324" s="51" t="str">
        <f>IFERROR(VLOOKUP(A324,NF!$M:$O,3,0),"")</f>
        <v>Feirinha</v>
      </c>
      <c r="BN324" s="7">
        <f>SUM(N324,Z324,AL324,AX324,BK324)</f>
        <v>0</v>
      </c>
      <c r="BO324" s="8">
        <f t="array" ref="BO324">IFERROR(LARGE(IF(NF!$G$2:$G$3137='Mês atual'!A324,NF!$J$2:$J$3137),1),0)*BN324</f>
        <v>0</v>
      </c>
      <c r="BP324" s="50"/>
      <c r="BR324" s="146">
        <f t="array" ref="BR324">IFERROR(LARGE(IF(NF!$G$2:$G$3137='Mês atual'!A324,NF!$J$2:$J$3137),1),0)</f>
        <v>0</v>
      </c>
      <c r="BS324" s="142" t="str">
        <f>VLOOKUP(A324,NF!M:O,3,0)</f>
        <v>Feirinha</v>
      </c>
      <c r="BV324" s="74">
        <f t="shared" si="193"/>
        <v>0</v>
      </c>
      <c r="BW324" s="74">
        <f t="shared" si="194"/>
        <v>0</v>
      </c>
      <c r="BX324" s="74">
        <f t="shared" si="195"/>
        <v>0</v>
      </c>
      <c r="BY324" s="74">
        <f t="shared" si="196"/>
        <v>0</v>
      </c>
      <c r="BZ324" s="74">
        <f t="shared" si="197"/>
        <v>0</v>
      </c>
    </row>
    <row r="325" spans="1:78" x14ac:dyDescent="0.2">
      <c r="A325" s="108" t="s">
        <v>944</v>
      </c>
      <c r="B325" s="12"/>
      <c r="C325" s="9">
        <v>0</v>
      </c>
      <c r="D325" s="25"/>
      <c r="E325" s="10" t="str">
        <f t="shared" si="213"/>
        <v>MarçoSEMANA 1Chuchu Org. Feirinha</v>
      </c>
      <c r="F325" s="7">
        <f>SUMIF(NF!$A:$A,$E325,NF!$I:$I)</f>
        <v>0</v>
      </c>
      <c r="G325" s="74"/>
      <c r="H325" s="74"/>
      <c r="I325" s="74"/>
      <c r="J325" s="6"/>
      <c r="K325" s="6"/>
      <c r="L325" s="6"/>
      <c r="M325" s="6"/>
      <c r="N325" s="7">
        <f t="shared" si="229"/>
        <v>0</v>
      </c>
      <c r="O325" s="11">
        <f t="shared" si="218"/>
        <v>0</v>
      </c>
      <c r="P325" s="25"/>
      <c r="Q325" s="10" t="str">
        <f t="shared" si="214"/>
        <v>MarçoSEMANA 2Chuchu Org. Feirinha</v>
      </c>
      <c r="R325" s="7">
        <f>SUMIF(NF!$A:$A,$Q325,NF!$I:$I)</f>
        <v>0</v>
      </c>
      <c r="S325" s="6"/>
      <c r="T325" s="6"/>
      <c r="U325" s="6"/>
      <c r="V325" s="6"/>
      <c r="W325" s="6"/>
      <c r="X325" s="6"/>
      <c r="Y325" s="6"/>
      <c r="Z325" s="7">
        <f t="shared" si="230"/>
        <v>0</v>
      </c>
      <c r="AA325" s="11">
        <f t="shared" si="219"/>
        <v>0</v>
      </c>
      <c r="AB325" s="25"/>
      <c r="AC325" s="10" t="str">
        <f t="shared" si="215"/>
        <v>MarçoSEMANA 3Chuchu Org. Feirinha</v>
      </c>
      <c r="AD325" s="7">
        <f>SUMIF(NF!$A:$A,$AC325,NF!$I:$I)</f>
        <v>0</v>
      </c>
      <c r="AE325" s="6"/>
      <c r="AF325" s="6"/>
      <c r="AG325" s="6"/>
      <c r="AH325" s="6"/>
      <c r="AI325" s="6"/>
      <c r="AJ325" s="6"/>
      <c r="AK325" s="6"/>
      <c r="AL325" s="7">
        <f t="shared" si="231"/>
        <v>0</v>
      </c>
      <c r="AM325" s="11">
        <f t="shared" si="220"/>
        <v>0</v>
      </c>
      <c r="AN325" s="25"/>
      <c r="AO325" s="10" t="str">
        <f t="shared" si="216"/>
        <v>MarçoSEMANA 4Chuchu Org. Feirinha</v>
      </c>
      <c r="AP325" s="7">
        <f>SUMIF(NF!$A:$A,$AO325,NF!$I:$I)</f>
        <v>0</v>
      </c>
      <c r="AQ325" s="6"/>
      <c r="AR325" s="6"/>
      <c r="AS325" s="6"/>
      <c r="AT325" s="6"/>
      <c r="AU325" s="6"/>
      <c r="AV325" s="6"/>
      <c r="AW325" s="6"/>
      <c r="AX325" s="7">
        <f t="shared" si="232"/>
        <v>0</v>
      </c>
      <c r="AY325" s="11">
        <f t="shared" si="221"/>
        <v>0</v>
      </c>
      <c r="AZ325" s="25"/>
      <c r="BA325" s="10" t="str">
        <f t="shared" si="217"/>
        <v>MarçoSEMANA 5Chuchu Org. Feirinha</v>
      </c>
      <c r="BB325" s="7">
        <f>SUMIF(NF!$A:$A,$BA325,NF!$I:$I)</f>
        <v>0</v>
      </c>
      <c r="BC325" s="6"/>
      <c r="BD325" s="6"/>
      <c r="BE325" s="6"/>
      <c r="BF325" s="6"/>
      <c r="BG325" s="6"/>
      <c r="BH325" s="6"/>
      <c r="BI325" s="74"/>
      <c r="BJ325" s="74"/>
      <c r="BK325" s="7">
        <f t="shared" si="233"/>
        <v>0</v>
      </c>
      <c r="BL325" s="8">
        <f t="shared" si="222"/>
        <v>0</v>
      </c>
      <c r="BM325" s="51" t="str">
        <f>IFERROR(VLOOKUP(A325,NF!$M:$O,3,0),"")</f>
        <v>Feirinha</v>
      </c>
      <c r="BN325" s="7">
        <f t="shared" si="223"/>
        <v>0</v>
      </c>
      <c r="BO325" s="8">
        <f t="array" ref="BO325">IFERROR(LARGE(IF(NF!$G$2:$G$3137='Mês atual'!A325,NF!$J$2:$J$3137),1),0)*BN325</f>
        <v>0</v>
      </c>
      <c r="BP325" s="50"/>
      <c r="BR325" s="146">
        <f t="array" ref="BR325">IFERROR(LARGE(IF(NF!$G$2:$G$3137='Mês atual'!A325,NF!$J$2:$J$3137),1),0)</f>
        <v>0</v>
      </c>
      <c r="BS325" s="142" t="str">
        <f>VLOOKUP(A325,NF!M:O,3,0)</f>
        <v>Feirinha</v>
      </c>
      <c r="BV325" s="74">
        <f t="shared" si="193"/>
        <v>0</v>
      </c>
      <c r="BW325" s="74">
        <f t="shared" si="194"/>
        <v>0</v>
      </c>
      <c r="BX325" s="74">
        <f t="shared" si="195"/>
        <v>0</v>
      </c>
      <c r="BY325" s="74">
        <f t="shared" si="196"/>
        <v>0</v>
      </c>
      <c r="BZ325" s="74">
        <f t="shared" si="197"/>
        <v>0</v>
      </c>
    </row>
    <row r="326" spans="1:78" x14ac:dyDescent="0.2">
      <c r="A326" s="108" t="s">
        <v>994</v>
      </c>
      <c r="B326" s="12"/>
      <c r="C326" s="9">
        <v>0</v>
      </c>
      <c r="D326" s="25"/>
      <c r="E326" s="10" t="str">
        <f t="shared" si="213"/>
        <v>MarçoSEMANA 1Cookie c/ Flocos de Arroz, Amendoas e Castanhas</v>
      </c>
      <c r="F326" s="7">
        <f>SUMIF(NF!$A:$A,$E326,NF!$I:$I)</f>
        <v>0</v>
      </c>
      <c r="G326" s="74"/>
      <c r="H326" s="74"/>
      <c r="I326" s="74"/>
      <c r="J326" s="6"/>
      <c r="K326" s="6"/>
      <c r="L326" s="6"/>
      <c r="M326" s="6"/>
      <c r="N326" s="7">
        <f t="shared" si="229"/>
        <v>0</v>
      </c>
      <c r="O326" s="11">
        <f>F326+C326-N326</f>
        <v>0</v>
      </c>
      <c r="P326" s="25"/>
      <c r="Q326" s="10" t="str">
        <f t="shared" si="214"/>
        <v>MarçoSEMANA 2Cookie c/ Flocos de Arroz, Amendoas e Castanhas</v>
      </c>
      <c r="R326" s="7">
        <f>SUMIF(NF!$A:$A,$Q326,NF!$I:$I)</f>
        <v>0</v>
      </c>
      <c r="S326" s="6"/>
      <c r="T326" s="6"/>
      <c r="U326" s="6"/>
      <c r="V326" s="6"/>
      <c r="W326" s="6"/>
      <c r="X326" s="6"/>
      <c r="Y326" s="6"/>
      <c r="Z326" s="7">
        <f t="shared" si="230"/>
        <v>0</v>
      </c>
      <c r="AA326" s="11">
        <f>R326+O326-Z326</f>
        <v>0</v>
      </c>
      <c r="AB326" s="25"/>
      <c r="AC326" s="10" t="str">
        <f t="shared" si="215"/>
        <v>MarçoSEMANA 3Cookie c/ Flocos de Arroz, Amendoas e Castanhas</v>
      </c>
      <c r="AD326" s="7">
        <f>SUMIF(NF!$A:$A,$AC326,NF!$I:$I)</f>
        <v>0</v>
      </c>
      <c r="AE326" s="6"/>
      <c r="AF326" s="6"/>
      <c r="AG326" s="6"/>
      <c r="AH326" s="6"/>
      <c r="AI326" s="6"/>
      <c r="AJ326" s="6"/>
      <c r="AK326" s="6"/>
      <c r="AL326" s="7">
        <f t="shared" si="231"/>
        <v>0</v>
      </c>
      <c r="AM326" s="11">
        <f>AD326+AA326-AL326</f>
        <v>0</v>
      </c>
      <c r="AN326" s="25"/>
      <c r="AO326" s="10" t="str">
        <f t="shared" si="216"/>
        <v>MarçoSEMANA 4Cookie c/ Flocos de Arroz, Amendoas e Castanhas</v>
      </c>
      <c r="AP326" s="7">
        <f>SUMIF(NF!$A:$A,$AO326,NF!$I:$I)</f>
        <v>0</v>
      </c>
      <c r="AQ326" s="6"/>
      <c r="AR326" s="6"/>
      <c r="AS326" s="6"/>
      <c r="AT326" s="6"/>
      <c r="AU326" s="6"/>
      <c r="AV326" s="6"/>
      <c r="AW326" s="6"/>
      <c r="AX326" s="7">
        <f t="shared" si="232"/>
        <v>0</v>
      </c>
      <c r="AY326" s="11">
        <f>AP326+AM326-AX326</f>
        <v>0</v>
      </c>
      <c r="AZ326" s="25"/>
      <c r="BA326" s="10" t="str">
        <f t="shared" si="217"/>
        <v>MarçoSEMANA 5Cookie c/ Flocos de Arroz, Amendoas e Castanhas</v>
      </c>
      <c r="BB326" s="7">
        <f>SUMIF(NF!$A:$A,$BA326,NF!$I:$I)</f>
        <v>0</v>
      </c>
      <c r="BC326" s="6"/>
      <c r="BD326" s="6"/>
      <c r="BE326" s="6"/>
      <c r="BF326" s="6"/>
      <c r="BG326" s="6"/>
      <c r="BH326" s="6"/>
      <c r="BI326" s="74"/>
      <c r="BJ326" s="74"/>
      <c r="BK326" s="7">
        <f t="shared" si="233"/>
        <v>0</v>
      </c>
      <c r="BL326" s="8">
        <f>BB326+AY326-BK326</f>
        <v>0</v>
      </c>
      <c r="BM326" s="51" t="str">
        <f>IFERROR(VLOOKUP(A326,NF!$M:$O,3,0),"")</f>
        <v>Feirinha</v>
      </c>
      <c r="BN326" s="7">
        <f>SUM(N326,Z326,AL326,AX326,BK326)</f>
        <v>0</v>
      </c>
      <c r="BO326" s="8">
        <f t="array" ref="BO326">IFERROR(LARGE(IF(NF!$G$2:$G$3137='Mês atual'!A326,NF!$J$2:$J$3137),1),0)*BN326</f>
        <v>0</v>
      </c>
      <c r="BP326" s="50"/>
      <c r="BR326" s="146">
        <f t="array" ref="BR326">IFERROR(LARGE(IF(NF!$G$2:$G$3137='Mês atual'!A326,NF!$J$2:$J$3137),1),0)</f>
        <v>0</v>
      </c>
      <c r="BS326" s="142" t="str">
        <f>VLOOKUP(A326,NF!M:O,3,0)</f>
        <v>Feirinha</v>
      </c>
      <c r="BV326" s="74">
        <f t="shared" si="193"/>
        <v>0</v>
      </c>
      <c r="BW326" s="74">
        <f t="shared" si="194"/>
        <v>0</v>
      </c>
      <c r="BX326" s="74">
        <f t="shared" si="195"/>
        <v>0</v>
      </c>
      <c r="BY326" s="74">
        <f t="shared" si="196"/>
        <v>0</v>
      </c>
      <c r="BZ326" s="74">
        <f t="shared" si="197"/>
        <v>0</v>
      </c>
    </row>
    <row r="327" spans="1:78" x14ac:dyDescent="0.25">
      <c r="A327" s="108" t="s">
        <v>890</v>
      </c>
      <c r="B327" s="12"/>
      <c r="C327" s="9">
        <v>0</v>
      </c>
      <c r="D327" s="25"/>
      <c r="E327" s="10" t="str">
        <f t="shared" si="213"/>
        <v>MarçoSEMANA 1Couve Orgânica Feirinha</v>
      </c>
      <c r="F327" s="7">
        <f>SUMIF(NF!$A:$A,$E327,NF!$I:$I)</f>
        <v>0</v>
      </c>
      <c r="G327" s="74"/>
      <c r="H327" s="74"/>
      <c r="I327" s="74"/>
      <c r="J327" s="6"/>
      <c r="K327" s="6"/>
      <c r="L327" s="6"/>
      <c r="M327" s="6"/>
      <c r="N327" s="7">
        <f t="shared" si="229"/>
        <v>0</v>
      </c>
      <c r="O327" s="11">
        <f t="shared" si="218"/>
        <v>0</v>
      </c>
      <c r="P327" s="25"/>
      <c r="Q327" s="10" t="str">
        <f t="shared" si="214"/>
        <v>MarçoSEMANA 2Couve Orgânica Feirinha</v>
      </c>
      <c r="R327" s="7">
        <f>SUMIF(NF!$A:$A,$Q327,NF!$I:$I)</f>
        <v>0</v>
      </c>
      <c r="S327" s="6"/>
      <c r="T327" s="6"/>
      <c r="U327" s="6"/>
      <c r="V327" s="6"/>
      <c r="W327" s="6"/>
      <c r="X327" s="6"/>
      <c r="Y327" s="6"/>
      <c r="Z327" s="7">
        <f t="shared" si="230"/>
        <v>0</v>
      </c>
      <c r="AA327" s="11">
        <f t="shared" si="219"/>
        <v>0</v>
      </c>
      <c r="AB327" s="25"/>
      <c r="AC327" s="10" t="str">
        <f t="shared" si="215"/>
        <v>MarçoSEMANA 3Couve Orgânica Feirinha</v>
      </c>
      <c r="AD327" s="7">
        <f>SUMIF(NF!$A:$A,$AC327,NF!$I:$I)</f>
        <v>0</v>
      </c>
      <c r="AE327" s="6"/>
      <c r="AF327" s="6"/>
      <c r="AG327" s="6"/>
      <c r="AH327" s="6"/>
      <c r="AI327" s="6"/>
      <c r="AJ327" s="6"/>
      <c r="AK327" s="6"/>
      <c r="AL327" s="7">
        <f t="shared" si="231"/>
        <v>0</v>
      </c>
      <c r="AM327" s="11">
        <f t="shared" si="220"/>
        <v>0</v>
      </c>
      <c r="AN327" s="25"/>
      <c r="AO327" s="10" t="str">
        <f t="shared" si="216"/>
        <v>MarçoSEMANA 4Couve Orgânica Feirinha</v>
      </c>
      <c r="AP327" s="7">
        <f>SUMIF(NF!$A:$A,$AO327,NF!$I:$I)</f>
        <v>0</v>
      </c>
      <c r="AQ327" s="6"/>
      <c r="AR327" s="6"/>
      <c r="AS327" s="6"/>
      <c r="AT327" s="6"/>
      <c r="AU327" s="6"/>
      <c r="AV327" s="6"/>
      <c r="AW327" s="6"/>
      <c r="AX327" s="7">
        <f t="shared" si="232"/>
        <v>0</v>
      </c>
      <c r="AY327" s="11">
        <f t="shared" si="221"/>
        <v>0</v>
      </c>
      <c r="AZ327" s="25"/>
      <c r="BA327" s="10" t="str">
        <f t="shared" si="217"/>
        <v>MarçoSEMANA 5Couve Orgânica Feirinha</v>
      </c>
      <c r="BB327" s="7">
        <f>SUMIF(NF!$A:$A,$BA327,NF!$I:$I)</f>
        <v>0</v>
      </c>
      <c r="BC327" s="6"/>
      <c r="BD327" s="6"/>
      <c r="BE327" s="6"/>
      <c r="BF327" s="6"/>
      <c r="BG327" s="6"/>
      <c r="BH327" s="6"/>
      <c r="BI327" s="74"/>
      <c r="BJ327" s="74"/>
      <c r="BK327" s="7">
        <f t="shared" si="233"/>
        <v>0</v>
      </c>
      <c r="BL327" s="8">
        <f t="shared" si="222"/>
        <v>0</v>
      </c>
      <c r="BM327" s="51" t="str">
        <f>IFERROR(VLOOKUP(A327,NF!$M:$O,3,0),"")</f>
        <v>Feirinha</v>
      </c>
      <c r="BN327" s="7">
        <f t="shared" si="223"/>
        <v>0</v>
      </c>
      <c r="BO327" s="8">
        <f t="array" ref="BO327">IFERROR(LARGE(IF(NF!$G$2:$G$3137='Mês atual'!A327,NF!$J$2:$J$3137),1),0)*BN327</f>
        <v>0</v>
      </c>
      <c r="BP327" s="50"/>
      <c r="BR327" s="146">
        <f t="array" ref="BR327">IFERROR(LARGE(IF(NF!$G$2:$G$3137='Mês atual'!A327,NF!$J$2:$J$3137),1),0)</f>
        <v>0</v>
      </c>
      <c r="BS327" s="142" t="str">
        <f>VLOOKUP(A327,NF!M:O,3,0)</f>
        <v>Feirinha</v>
      </c>
      <c r="BV327" s="74">
        <f t="shared" si="193"/>
        <v>0</v>
      </c>
      <c r="BW327" s="74">
        <f t="shared" si="194"/>
        <v>0</v>
      </c>
      <c r="BX327" s="74">
        <f t="shared" si="195"/>
        <v>0</v>
      </c>
      <c r="BY327" s="74">
        <f t="shared" si="196"/>
        <v>0</v>
      </c>
      <c r="BZ327" s="74">
        <f t="shared" si="197"/>
        <v>0</v>
      </c>
    </row>
    <row r="328" spans="1:78" x14ac:dyDescent="0.2">
      <c r="A328" s="108" t="s">
        <v>1010</v>
      </c>
      <c r="B328" s="12"/>
      <c r="C328" s="9">
        <v>0</v>
      </c>
      <c r="D328" s="25"/>
      <c r="E328" s="10" t="str">
        <f t="shared" si="213"/>
        <v>MarçoSEMANA 1Ervilha Torta Org. Feirinha</v>
      </c>
      <c r="F328" s="7">
        <f>SUMIF(NF!$A:$A,$E328,NF!$I:$I)</f>
        <v>0</v>
      </c>
      <c r="G328" s="74"/>
      <c r="H328" s="74"/>
      <c r="I328" s="74"/>
      <c r="J328" s="6"/>
      <c r="K328" s="6"/>
      <c r="L328" s="6"/>
      <c r="M328" s="6"/>
      <c r="N328" s="7">
        <f t="shared" si="229"/>
        <v>0</v>
      </c>
      <c r="O328" s="11">
        <f>F328+C328-N328</f>
        <v>0</v>
      </c>
      <c r="P328" s="25"/>
      <c r="Q328" s="10" t="str">
        <f t="shared" si="214"/>
        <v>MarçoSEMANA 2Ervilha Torta Org. Feirinha</v>
      </c>
      <c r="R328" s="7">
        <f>SUMIF(NF!$A:$A,$Q328,NF!$I:$I)</f>
        <v>0</v>
      </c>
      <c r="S328" s="6"/>
      <c r="T328" s="6"/>
      <c r="U328" s="6"/>
      <c r="V328" s="6"/>
      <c r="W328" s="6"/>
      <c r="X328" s="6"/>
      <c r="Y328" s="6"/>
      <c r="Z328" s="7">
        <f t="shared" si="230"/>
        <v>0</v>
      </c>
      <c r="AA328" s="11">
        <f>R328+O328-Z328</f>
        <v>0</v>
      </c>
      <c r="AB328" s="25"/>
      <c r="AC328" s="10" t="str">
        <f t="shared" si="215"/>
        <v>MarçoSEMANA 3Ervilha Torta Org. Feirinha</v>
      </c>
      <c r="AD328" s="7">
        <f>SUMIF(NF!$A:$A,$AC328,NF!$I:$I)</f>
        <v>0</v>
      </c>
      <c r="AE328" s="6"/>
      <c r="AF328" s="6"/>
      <c r="AG328" s="6"/>
      <c r="AH328" s="6"/>
      <c r="AI328" s="6"/>
      <c r="AJ328" s="6"/>
      <c r="AK328" s="6"/>
      <c r="AL328" s="7">
        <f t="shared" si="231"/>
        <v>0</v>
      </c>
      <c r="AM328" s="11">
        <f>AD328+AA328-AL328</f>
        <v>0</v>
      </c>
      <c r="AN328" s="25"/>
      <c r="AO328" s="10" t="str">
        <f t="shared" si="216"/>
        <v>MarçoSEMANA 4Ervilha Torta Org. Feirinha</v>
      </c>
      <c r="AP328" s="7">
        <f>SUMIF(NF!$A:$A,$AO328,NF!$I:$I)</f>
        <v>0</v>
      </c>
      <c r="AQ328" s="6"/>
      <c r="AR328" s="6"/>
      <c r="AS328" s="6"/>
      <c r="AT328" s="6"/>
      <c r="AU328" s="6"/>
      <c r="AV328" s="6"/>
      <c r="AW328" s="6"/>
      <c r="AX328" s="7">
        <f t="shared" si="232"/>
        <v>0</v>
      </c>
      <c r="AY328" s="11">
        <f>AP328+AM328-AX328</f>
        <v>0</v>
      </c>
      <c r="AZ328" s="25"/>
      <c r="BA328" s="10" t="str">
        <f t="shared" si="217"/>
        <v>MarçoSEMANA 5Ervilha Torta Org. Feirinha</v>
      </c>
      <c r="BB328" s="7">
        <f>SUMIF(NF!$A:$A,$BA328,NF!$I:$I)</f>
        <v>0</v>
      </c>
      <c r="BC328" s="6"/>
      <c r="BD328" s="6"/>
      <c r="BE328" s="6"/>
      <c r="BF328" s="6"/>
      <c r="BG328" s="6"/>
      <c r="BH328" s="6"/>
      <c r="BI328" s="74"/>
      <c r="BJ328" s="74"/>
      <c r="BK328" s="7">
        <f t="shared" si="233"/>
        <v>0</v>
      </c>
      <c r="BL328" s="8">
        <f>BB328+AY328-BK328</f>
        <v>0</v>
      </c>
      <c r="BM328" s="51" t="str">
        <f>IFERROR(VLOOKUP(A328,NF!$M:$O,3,0),"")</f>
        <v>Feirinha</v>
      </c>
      <c r="BN328" s="7">
        <f>SUM(N328,Z328,AL328,AX328,BK328)</f>
        <v>0</v>
      </c>
      <c r="BO328" s="8">
        <f t="array" ref="BO328">IFERROR(LARGE(IF(NF!$G$2:$G$3137='Mês atual'!A328,NF!$J$2:$J$3137),1),0)*BN328</f>
        <v>0</v>
      </c>
      <c r="BP328" s="50"/>
      <c r="BR328" s="146">
        <f t="array" ref="BR328">IFERROR(LARGE(IF(NF!$G$2:$G$3137='Mês atual'!A328,NF!$J$2:$J$3137),1),0)</f>
        <v>0</v>
      </c>
      <c r="BS328" s="142" t="str">
        <f>VLOOKUP(A328,NF!M:O,3,0)</f>
        <v>Feirinha</v>
      </c>
      <c r="BV328" s="74">
        <f t="shared" si="193"/>
        <v>0</v>
      </c>
      <c r="BW328" s="74">
        <f t="shared" si="194"/>
        <v>0</v>
      </c>
      <c r="BX328" s="74">
        <f t="shared" si="195"/>
        <v>0</v>
      </c>
      <c r="BY328" s="74">
        <f t="shared" si="196"/>
        <v>0</v>
      </c>
      <c r="BZ328" s="74">
        <f t="shared" si="197"/>
        <v>0</v>
      </c>
    </row>
    <row r="329" spans="1:78" x14ac:dyDescent="0.2">
      <c r="A329" s="108" t="s">
        <v>945</v>
      </c>
      <c r="B329" s="12"/>
      <c r="C329" s="9">
        <v>0</v>
      </c>
      <c r="D329" s="25"/>
      <c r="E329" s="10" t="str">
        <f t="shared" si="213"/>
        <v>MarçoSEMANA 1Espinafre Org. Feirinha</v>
      </c>
      <c r="F329" s="7">
        <f>SUMIF(NF!$A:$A,$E329,NF!$I:$I)</f>
        <v>0</v>
      </c>
      <c r="G329" s="74"/>
      <c r="H329" s="74"/>
      <c r="I329" s="74"/>
      <c r="J329" s="6"/>
      <c r="K329" s="6"/>
      <c r="L329" s="6"/>
      <c r="M329" s="6"/>
      <c r="N329" s="7">
        <f t="shared" si="229"/>
        <v>0</v>
      </c>
      <c r="O329" s="11">
        <f t="shared" si="218"/>
        <v>0</v>
      </c>
      <c r="P329" s="25"/>
      <c r="Q329" s="10" t="str">
        <f t="shared" si="214"/>
        <v>MarçoSEMANA 2Espinafre Org. Feirinha</v>
      </c>
      <c r="R329" s="7">
        <f>SUMIF(NF!$A:$A,$Q329,NF!$I:$I)</f>
        <v>0</v>
      </c>
      <c r="S329" s="6"/>
      <c r="T329" s="6"/>
      <c r="U329" s="6"/>
      <c r="V329" s="6"/>
      <c r="W329" s="6"/>
      <c r="X329" s="6"/>
      <c r="Y329" s="6"/>
      <c r="Z329" s="7">
        <f t="shared" si="230"/>
        <v>0</v>
      </c>
      <c r="AA329" s="11">
        <f t="shared" si="219"/>
        <v>0</v>
      </c>
      <c r="AB329" s="25"/>
      <c r="AC329" s="10" t="str">
        <f t="shared" si="215"/>
        <v>MarçoSEMANA 3Espinafre Org. Feirinha</v>
      </c>
      <c r="AD329" s="7">
        <f>SUMIF(NF!$A:$A,$AC329,NF!$I:$I)</f>
        <v>0</v>
      </c>
      <c r="AE329" s="6"/>
      <c r="AF329" s="6"/>
      <c r="AG329" s="6"/>
      <c r="AH329" s="6"/>
      <c r="AI329" s="6"/>
      <c r="AJ329" s="6"/>
      <c r="AK329" s="6"/>
      <c r="AL329" s="7">
        <f t="shared" si="231"/>
        <v>0</v>
      </c>
      <c r="AM329" s="11">
        <f t="shared" si="220"/>
        <v>0</v>
      </c>
      <c r="AN329" s="25"/>
      <c r="AO329" s="10" t="str">
        <f t="shared" si="216"/>
        <v>MarçoSEMANA 4Espinafre Org. Feirinha</v>
      </c>
      <c r="AP329" s="7">
        <f>SUMIF(NF!$A:$A,$AO329,NF!$I:$I)</f>
        <v>0</v>
      </c>
      <c r="AQ329" s="6"/>
      <c r="AR329" s="6"/>
      <c r="AS329" s="6"/>
      <c r="AT329" s="6"/>
      <c r="AU329" s="6"/>
      <c r="AV329" s="6"/>
      <c r="AW329" s="6"/>
      <c r="AX329" s="7">
        <f t="shared" si="232"/>
        <v>0</v>
      </c>
      <c r="AY329" s="11">
        <f t="shared" si="221"/>
        <v>0</v>
      </c>
      <c r="AZ329" s="25"/>
      <c r="BA329" s="10" t="str">
        <f t="shared" si="217"/>
        <v>MarçoSEMANA 5Espinafre Org. Feirinha</v>
      </c>
      <c r="BB329" s="7">
        <f>SUMIF(NF!$A:$A,$BA329,NF!$I:$I)</f>
        <v>0</v>
      </c>
      <c r="BC329" s="6"/>
      <c r="BD329" s="6"/>
      <c r="BE329" s="6"/>
      <c r="BF329" s="6"/>
      <c r="BG329" s="6"/>
      <c r="BH329" s="6"/>
      <c r="BI329" s="74"/>
      <c r="BJ329" s="74"/>
      <c r="BK329" s="7">
        <f t="shared" si="233"/>
        <v>0</v>
      </c>
      <c r="BL329" s="8">
        <f t="shared" si="222"/>
        <v>0</v>
      </c>
      <c r="BM329" s="51" t="str">
        <f>IFERROR(VLOOKUP(A329,NF!$M:$O,3,0),"")</f>
        <v>Feirinha</v>
      </c>
      <c r="BN329" s="7">
        <f t="shared" si="223"/>
        <v>0</v>
      </c>
      <c r="BO329" s="8">
        <f t="array" ref="BO329">IFERROR(LARGE(IF(NF!$G$2:$G$3137='Mês atual'!A329,NF!$J$2:$J$3137),1),0)*BN329</f>
        <v>0</v>
      </c>
      <c r="BP329" s="50"/>
      <c r="BR329" s="146">
        <f t="array" ref="BR329">IFERROR(LARGE(IF(NF!$G$2:$G$3137='Mês atual'!A329,NF!$J$2:$J$3137),1),0)</f>
        <v>0</v>
      </c>
      <c r="BS329" s="142" t="str">
        <f>VLOOKUP(A329,NF!M:O,3,0)</f>
        <v>Feirinha</v>
      </c>
      <c r="BV329" s="74">
        <f t="shared" si="193"/>
        <v>0</v>
      </c>
      <c r="BW329" s="74">
        <f t="shared" si="194"/>
        <v>0</v>
      </c>
      <c r="BX329" s="74">
        <f t="shared" si="195"/>
        <v>0</v>
      </c>
      <c r="BY329" s="74">
        <f t="shared" si="196"/>
        <v>0</v>
      </c>
      <c r="BZ329" s="74">
        <f t="shared" si="197"/>
        <v>0</v>
      </c>
    </row>
    <row r="330" spans="1:78" x14ac:dyDescent="0.25">
      <c r="A330" s="108" t="s">
        <v>407</v>
      </c>
      <c r="B330" s="12"/>
      <c r="C330" s="9">
        <v>0</v>
      </c>
      <c r="D330" s="25"/>
      <c r="E330" s="10" t="str">
        <f t="shared" si="213"/>
        <v>MarçoSEMANA 1Humaytá - Ambrosia</v>
      </c>
      <c r="F330" s="7">
        <f>SUMIF(NF!$A:$A,$E330,NF!$I:$I)</f>
        <v>0</v>
      </c>
      <c r="G330" s="74"/>
      <c r="H330" s="74"/>
      <c r="I330" s="74"/>
      <c r="J330" s="6"/>
      <c r="K330" s="6"/>
      <c r="L330" s="6"/>
      <c r="M330" s="6"/>
      <c r="N330" s="7">
        <f t="shared" si="229"/>
        <v>0</v>
      </c>
      <c r="O330" s="11">
        <f t="shared" si="218"/>
        <v>0</v>
      </c>
      <c r="P330" s="25"/>
      <c r="Q330" s="10" t="str">
        <f t="shared" si="214"/>
        <v>MarçoSEMANA 2Humaytá - Ambrosia</v>
      </c>
      <c r="R330" s="7">
        <f>SUMIF(NF!$A:$A,$Q330,NF!$I:$I)</f>
        <v>0</v>
      </c>
      <c r="S330" s="6"/>
      <c r="T330" s="6"/>
      <c r="U330" s="6"/>
      <c r="V330" s="6"/>
      <c r="W330" s="6"/>
      <c r="X330" s="6"/>
      <c r="Y330" s="6"/>
      <c r="Z330" s="7">
        <f t="shared" si="230"/>
        <v>0</v>
      </c>
      <c r="AA330" s="11">
        <f t="shared" si="219"/>
        <v>0</v>
      </c>
      <c r="AB330" s="25"/>
      <c r="AC330" s="10" t="str">
        <f t="shared" si="215"/>
        <v>MarçoSEMANA 3Humaytá - Ambrosia</v>
      </c>
      <c r="AD330" s="7">
        <f>SUMIF(NF!$A:$A,$AC330,NF!$I:$I)</f>
        <v>0</v>
      </c>
      <c r="AE330" s="6"/>
      <c r="AF330" s="6"/>
      <c r="AG330" s="6"/>
      <c r="AH330" s="6"/>
      <c r="AI330" s="6"/>
      <c r="AJ330" s="6"/>
      <c r="AK330" s="6"/>
      <c r="AL330" s="7">
        <f t="shared" si="231"/>
        <v>0</v>
      </c>
      <c r="AM330" s="11">
        <f t="shared" si="220"/>
        <v>0</v>
      </c>
      <c r="AN330" s="25"/>
      <c r="AO330" s="10" t="str">
        <f t="shared" si="216"/>
        <v>MarçoSEMANA 4Humaytá - Ambrosia</v>
      </c>
      <c r="AP330" s="7">
        <f>SUMIF(NF!$A:$A,$AO330,NF!$I:$I)</f>
        <v>0</v>
      </c>
      <c r="AQ330" s="6"/>
      <c r="AR330" s="6"/>
      <c r="AS330" s="6"/>
      <c r="AT330" s="6"/>
      <c r="AU330" s="6"/>
      <c r="AV330" s="6"/>
      <c r="AW330" s="6"/>
      <c r="AX330" s="7">
        <f t="shared" si="232"/>
        <v>0</v>
      </c>
      <c r="AY330" s="11">
        <f t="shared" si="221"/>
        <v>0</v>
      </c>
      <c r="AZ330" s="25"/>
      <c r="BA330" s="10" t="str">
        <f t="shared" si="217"/>
        <v>MarçoSEMANA 5Humaytá - Ambrosia</v>
      </c>
      <c r="BB330" s="7">
        <f>SUMIF(NF!$A:$A,$BA330,NF!$I:$I)</f>
        <v>0</v>
      </c>
      <c r="BC330" s="6"/>
      <c r="BD330" s="6"/>
      <c r="BE330" s="6"/>
      <c r="BF330" s="6"/>
      <c r="BG330" s="6"/>
      <c r="BH330" s="6"/>
      <c r="BI330" s="74"/>
      <c r="BJ330" s="74"/>
      <c r="BK330" s="7">
        <f t="shared" si="233"/>
        <v>0</v>
      </c>
      <c r="BL330" s="8">
        <f t="shared" si="222"/>
        <v>0</v>
      </c>
      <c r="BM330" s="51" t="str">
        <f>IFERROR(VLOOKUP(A330,NF!$M:$O,3,0),"")</f>
        <v>Feirinha</v>
      </c>
      <c r="BN330" s="7">
        <f t="shared" si="223"/>
        <v>0</v>
      </c>
      <c r="BO330" s="8">
        <f t="array" ref="BO330">IFERROR(LARGE(IF(NF!$G$2:$G$3137='Mês atual'!A330,NF!$J$2:$J$3137),1),0)*BN330</f>
        <v>0</v>
      </c>
      <c r="BP330" s="50"/>
      <c r="BR330" s="146">
        <f t="array" ref="BR330">IFERROR(LARGE(IF(NF!$G$2:$G$3137='Mês atual'!A330,NF!$J$2:$J$3137),1),0)</f>
        <v>0</v>
      </c>
      <c r="BS330" s="142" t="str">
        <f>VLOOKUP(A330,NF!M:O,3,0)</f>
        <v>Feirinha</v>
      </c>
      <c r="BV330" s="74">
        <f t="shared" si="193"/>
        <v>0</v>
      </c>
      <c r="BW330" s="74">
        <f t="shared" si="194"/>
        <v>0</v>
      </c>
      <c r="BX330" s="74">
        <f t="shared" si="195"/>
        <v>0</v>
      </c>
      <c r="BY330" s="74">
        <f t="shared" si="196"/>
        <v>0</v>
      </c>
      <c r="BZ330" s="74">
        <f t="shared" si="197"/>
        <v>0</v>
      </c>
    </row>
    <row r="331" spans="1:78" x14ac:dyDescent="0.25">
      <c r="A331" s="108" t="s">
        <v>408</v>
      </c>
      <c r="B331" s="12"/>
      <c r="C331" s="9">
        <v>0</v>
      </c>
      <c r="D331" s="25"/>
      <c r="E331" s="10" t="str">
        <f t="shared" si="213"/>
        <v xml:space="preserve">MarçoSEMANA 1Humaytá - Berinjela Antepasto </v>
      </c>
      <c r="F331" s="7">
        <f>SUMIF(NF!$A:$A,$E331,NF!$I:$I)</f>
        <v>0</v>
      </c>
      <c r="G331" s="74"/>
      <c r="H331" s="74"/>
      <c r="I331" s="74"/>
      <c r="J331" s="6"/>
      <c r="K331" s="6"/>
      <c r="L331" s="6"/>
      <c r="M331" s="6"/>
      <c r="N331" s="7">
        <f t="shared" ref="N331:N343" si="234">SUM(G331:M331)</f>
        <v>0</v>
      </c>
      <c r="O331" s="11">
        <f t="shared" si="218"/>
        <v>0</v>
      </c>
      <c r="P331" s="25"/>
      <c r="Q331" s="10" t="str">
        <f t="shared" si="214"/>
        <v xml:space="preserve">MarçoSEMANA 2Humaytá - Berinjela Antepasto </v>
      </c>
      <c r="R331" s="7">
        <f>SUMIF(NF!$A:$A,$Q331,NF!$I:$I)</f>
        <v>0</v>
      </c>
      <c r="S331" s="6"/>
      <c r="T331" s="6"/>
      <c r="U331" s="6"/>
      <c r="V331" s="6"/>
      <c r="W331" s="6"/>
      <c r="X331" s="6"/>
      <c r="Y331" s="6"/>
      <c r="Z331" s="7">
        <f t="shared" ref="Z331:Z343" si="235">SUM(S331:Y331)</f>
        <v>0</v>
      </c>
      <c r="AA331" s="11">
        <f t="shared" si="219"/>
        <v>0</v>
      </c>
      <c r="AB331" s="25"/>
      <c r="AC331" s="10" t="str">
        <f t="shared" si="215"/>
        <v xml:space="preserve">MarçoSEMANA 3Humaytá - Berinjela Antepasto </v>
      </c>
      <c r="AD331" s="7">
        <f>SUMIF(NF!$A:$A,$AC331,NF!$I:$I)</f>
        <v>0</v>
      </c>
      <c r="AE331" s="6"/>
      <c r="AF331" s="6"/>
      <c r="AG331" s="6"/>
      <c r="AH331" s="6"/>
      <c r="AI331" s="6"/>
      <c r="AJ331" s="6"/>
      <c r="AK331" s="6"/>
      <c r="AL331" s="7">
        <f t="shared" ref="AL331:AL343" si="236">SUM(AE331:AK331)</f>
        <v>0</v>
      </c>
      <c r="AM331" s="11">
        <f t="shared" si="220"/>
        <v>0</v>
      </c>
      <c r="AN331" s="25"/>
      <c r="AO331" s="10" t="str">
        <f t="shared" si="216"/>
        <v xml:space="preserve">MarçoSEMANA 4Humaytá - Berinjela Antepasto </v>
      </c>
      <c r="AP331" s="7">
        <f>SUMIF(NF!$A:$A,$AO331,NF!$I:$I)</f>
        <v>0</v>
      </c>
      <c r="AQ331" s="6"/>
      <c r="AR331" s="6"/>
      <c r="AS331" s="6"/>
      <c r="AT331" s="6"/>
      <c r="AU331" s="6"/>
      <c r="AV331" s="6"/>
      <c r="AW331" s="6"/>
      <c r="AX331" s="7">
        <f t="shared" ref="AX331:AX343" si="237">SUM(AQ331:AW331)</f>
        <v>0</v>
      </c>
      <c r="AY331" s="11">
        <f t="shared" si="221"/>
        <v>0</v>
      </c>
      <c r="AZ331" s="25"/>
      <c r="BA331" s="10" t="str">
        <f t="shared" si="217"/>
        <v xml:space="preserve">MarçoSEMANA 5Humaytá - Berinjela Antepasto </v>
      </c>
      <c r="BB331" s="7">
        <f>SUMIF(NF!$A:$A,$BA331,NF!$I:$I)</f>
        <v>0</v>
      </c>
      <c r="BC331" s="6"/>
      <c r="BD331" s="6"/>
      <c r="BE331" s="6"/>
      <c r="BF331" s="6"/>
      <c r="BG331" s="6"/>
      <c r="BH331" s="6"/>
      <c r="BI331" s="74"/>
      <c r="BJ331" s="74"/>
      <c r="BK331" s="7">
        <f t="shared" ref="BK331:BK343" si="238">SUM(BC331:BJ331)</f>
        <v>0</v>
      </c>
      <c r="BL331" s="8">
        <f t="shared" si="222"/>
        <v>0</v>
      </c>
      <c r="BM331" s="51" t="str">
        <f>IFERROR(VLOOKUP(A331,NF!$M:$O,3,0),"")</f>
        <v>Feirinha</v>
      </c>
      <c r="BN331" s="7">
        <f t="shared" si="223"/>
        <v>0</v>
      </c>
      <c r="BO331" s="8">
        <f t="array" ref="BO331">IFERROR(LARGE(IF(NF!$G$2:$G$3137='Mês atual'!A331,NF!$J$2:$J$3137),1),0)*BN331</f>
        <v>0</v>
      </c>
      <c r="BP331" s="50"/>
      <c r="BR331" s="146">
        <f t="array" ref="BR331">IFERROR(LARGE(IF(NF!$G$2:$G$3137='Mês atual'!A331,NF!$J$2:$J$3137),1),0)</f>
        <v>0</v>
      </c>
      <c r="BS331" s="142" t="str">
        <f>VLOOKUP(A331,NF!M:O,3,0)</f>
        <v>Feirinha</v>
      </c>
      <c r="BV331" s="74">
        <f t="shared" si="193"/>
        <v>0</v>
      </c>
      <c r="BW331" s="74">
        <f t="shared" si="194"/>
        <v>0</v>
      </c>
      <c r="BX331" s="74">
        <f t="shared" si="195"/>
        <v>0</v>
      </c>
      <c r="BY331" s="74">
        <f t="shared" si="196"/>
        <v>0</v>
      </c>
      <c r="BZ331" s="74">
        <f t="shared" si="197"/>
        <v>0</v>
      </c>
    </row>
    <row r="332" spans="1:78" x14ac:dyDescent="0.25">
      <c r="A332" s="108" t="s">
        <v>409</v>
      </c>
      <c r="B332" s="12"/>
      <c r="C332" s="9">
        <v>0</v>
      </c>
      <c r="D332" s="25"/>
      <c r="E332" s="10" t="str">
        <f t="shared" si="213"/>
        <v xml:space="preserve">MarçoSEMANA 1Humaytá - Berinjela com Tomate seco </v>
      </c>
      <c r="F332" s="7">
        <f>SUMIF(NF!$A:$A,$E332,NF!$I:$I)</f>
        <v>0</v>
      </c>
      <c r="G332" s="74"/>
      <c r="H332" s="74"/>
      <c r="I332" s="74"/>
      <c r="J332" s="6"/>
      <c r="K332" s="6"/>
      <c r="L332" s="6"/>
      <c r="M332" s="6"/>
      <c r="N332" s="7">
        <f t="shared" si="234"/>
        <v>0</v>
      </c>
      <c r="O332" s="11">
        <f t="shared" si="218"/>
        <v>0</v>
      </c>
      <c r="P332" s="25"/>
      <c r="Q332" s="10" t="str">
        <f t="shared" si="214"/>
        <v xml:space="preserve">MarçoSEMANA 2Humaytá - Berinjela com Tomate seco </v>
      </c>
      <c r="R332" s="7">
        <f>SUMIF(NF!$A:$A,$Q332,NF!$I:$I)</f>
        <v>0</v>
      </c>
      <c r="S332" s="6"/>
      <c r="T332" s="6"/>
      <c r="U332" s="6"/>
      <c r="V332" s="6"/>
      <c r="W332" s="6"/>
      <c r="X332" s="6"/>
      <c r="Y332" s="6"/>
      <c r="Z332" s="7">
        <f t="shared" si="235"/>
        <v>0</v>
      </c>
      <c r="AA332" s="11">
        <f t="shared" si="219"/>
        <v>0</v>
      </c>
      <c r="AB332" s="25"/>
      <c r="AC332" s="10" t="str">
        <f t="shared" si="215"/>
        <v xml:space="preserve">MarçoSEMANA 3Humaytá - Berinjela com Tomate seco </v>
      </c>
      <c r="AD332" s="7">
        <f>SUMIF(NF!$A:$A,$AC332,NF!$I:$I)</f>
        <v>0</v>
      </c>
      <c r="AE332" s="6"/>
      <c r="AF332" s="6"/>
      <c r="AG332" s="6"/>
      <c r="AH332" s="6"/>
      <c r="AI332" s="6"/>
      <c r="AJ332" s="6"/>
      <c r="AK332" s="6"/>
      <c r="AL332" s="7">
        <f t="shared" si="236"/>
        <v>0</v>
      </c>
      <c r="AM332" s="11">
        <f t="shared" si="220"/>
        <v>0</v>
      </c>
      <c r="AN332" s="25"/>
      <c r="AO332" s="10" t="str">
        <f t="shared" si="216"/>
        <v xml:space="preserve">MarçoSEMANA 4Humaytá - Berinjela com Tomate seco </v>
      </c>
      <c r="AP332" s="7">
        <f>SUMIF(NF!$A:$A,$AO332,NF!$I:$I)</f>
        <v>0</v>
      </c>
      <c r="AQ332" s="6"/>
      <c r="AR332" s="6"/>
      <c r="AS332" s="6"/>
      <c r="AT332" s="6"/>
      <c r="AU332" s="6"/>
      <c r="AV332" s="6"/>
      <c r="AW332" s="6"/>
      <c r="AX332" s="7">
        <f t="shared" si="237"/>
        <v>0</v>
      </c>
      <c r="AY332" s="11">
        <f t="shared" si="221"/>
        <v>0</v>
      </c>
      <c r="AZ332" s="25"/>
      <c r="BA332" s="10" t="str">
        <f t="shared" si="217"/>
        <v xml:space="preserve">MarçoSEMANA 5Humaytá - Berinjela com Tomate seco </v>
      </c>
      <c r="BB332" s="7">
        <f>SUMIF(NF!$A:$A,$BA332,NF!$I:$I)</f>
        <v>0</v>
      </c>
      <c r="BC332" s="6"/>
      <c r="BD332" s="6"/>
      <c r="BE332" s="6"/>
      <c r="BF332" s="6"/>
      <c r="BG332" s="6"/>
      <c r="BH332" s="6"/>
      <c r="BI332" s="74"/>
      <c r="BJ332" s="74"/>
      <c r="BK332" s="7">
        <f t="shared" si="238"/>
        <v>0</v>
      </c>
      <c r="BL332" s="8">
        <f t="shared" si="222"/>
        <v>0</v>
      </c>
      <c r="BM332" s="51" t="str">
        <f>IFERROR(VLOOKUP(A332,NF!$M:$O,3,0),"")</f>
        <v>Feirinha</v>
      </c>
      <c r="BN332" s="7">
        <f t="shared" si="223"/>
        <v>0</v>
      </c>
      <c r="BO332" s="8">
        <f t="array" ref="BO332">IFERROR(LARGE(IF(NF!$G$2:$G$3137='Mês atual'!A332,NF!$J$2:$J$3137),1),0)*BN332</f>
        <v>0</v>
      </c>
      <c r="BP332" s="50"/>
      <c r="BR332" s="146">
        <f t="array" ref="BR332">IFERROR(LARGE(IF(NF!$G$2:$G$3137='Mês atual'!A332,NF!$J$2:$J$3137),1),0)</f>
        <v>0</v>
      </c>
      <c r="BS332" s="142" t="str">
        <f>VLOOKUP(A332,NF!M:O,3,0)</f>
        <v>Feirinha</v>
      </c>
      <c r="BV332" s="74">
        <f t="shared" si="193"/>
        <v>0</v>
      </c>
      <c r="BW332" s="74">
        <f t="shared" si="194"/>
        <v>0</v>
      </c>
      <c r="BX332" s="74">
        <f t="shared" si="195"/>
        <v>0</v>
      </c>
      <c r="BY332" s="74">
        <f t="shared" si="196"/>
        <v>0</v>
      </c>
      <c r="BZ332" s="74">
        <f t="shared" si="197"/>
        <v>0</v>
      </c>
    </row>
    <row r="333" spans="1:78" x14ac:dyDescent="0.25">
      <c r="A333" s="108" t="s">
        <v>410</v>
      </c>
      <c r="B333" s="12"/>
      <c r="C333" s="9">
        <v>0</v>
      </c>
      <c r="D333" s="25"/>
      <c r="E333" s="10" t="str">
        <f t="shared" si="213"/>
        <v xml:space="preserve">MarçoSEMANA 1Humaytá - Chutney Damasco c/ Tâmaras </v>
      </c>
      <c r="F333" s="7">
        <f>SUMIF(NF!$A:$A,$E333,NF!$I:$I)</f>
        <v>0</v>
      </c>
      <c r="G333" s="74"/>
      <c r="H333" s="74"/>
      <c r="I333" s="74"/>
      <c r="J333" s="6"/>
      <c r="K333" s="6"/>
      <c r="L333" s="6"/>
      <c r="M333" s="6"/>
      <c r="N333" s="7">
        <f t="shared" si="234"/>
        <v>0</v>
      </c>
      <c r="O333" s="11">
        <f t="shared" si="218"/>
        <v>0</v>
      </c>
      <c r="P333" s="25"/>
      <c r="Q333" s="10" t="str">
        <f t="shared" si="214"/>
        <v xml:space="preserve">MarçoSEMANA 2Humaytá - Chutney Damasco c/ Tâmaras </v>
      </c>
      <c r="R333" s="7">
        <f>SUMIF(NF!$A:$A,$Q333,NF!$I:$I)</f>
        <v>0</v>
      </c>
      <c r="S333" s="6"/>
      <c r="T333" s="6"/>
      <c r="U333" s="6"/>
      <c r="V333" s="6"/>
      <c r="W333" s="6"/>
      <c r="X333" s="6"/>
      <c r="Y333" s="6"/>
      <c r="Z333" s="7">
        <f t="shared" si="235"/>
        <v>0</v>
      </c>
      <c r="AA333" s="11">
        <f t="shared" si="219"/>
        <v>0</v>
      </c>
      <c r="AB333" s="25"/>
      <c r="AC333" s="10" t="str">
        <f t="shared" si="215"/>
        <v xml:space="preserve">MarçoSEMANA 3Humaytá - Chutney Damasco c/ Tâmaras </v>
      </c>
      <c r="AD333" s="7">
        <f>SUMIF(NF!$A:$A,$AC333,NF!$I:$I)</f>
        <v>0</v>
      </c>
      <c r="AE333" s="6"/>
      <c r="AF333" s="6"/>
      <c r="AG333" s="6"/>
      <c r="AH333" s="6"/>
      <c r="AI333" s="6"/>
      <c r="AJ333" s="6"/>
      <c r="AK333" s="6"/>
      <c r="AL333" s="7">
        <f t="shared" si="236"/>
        <v>0</v>
      </c>
      <c r="AM333" s="11">
        <f t="shared" si="220"/>
        <v>0</v>
      </c>
      <c r="AN333" s="25"/>
      <c r="AO333" s="10" t="str">
        <f t="shared" si="216"/>
        <v xml:space="preserve">MarçoSEMANA 4Humaytá - Chutney Damasco c/ Tâmaras </v>
      </c>
      <c r="AP333" s="7">
        <f>SUMIF(NF!$A:$A,$AO333,NF!$I:$I)</f>
        <v>0</v>
      </c>
      <c r="AQ333" s="6"/>
      <c r="AR333" s="6"/>
      <c r="AS333" s="6"/>
      <c r="AT333" s="6"/>
      <c r="AU333" s="6"/>
      <c r="AV333" s="6"/>
      <c r="AW333" s="6"/>
      <c r="AX333" s="7">
        <f t="shared" si="237"/>
        <v>0</v>
      </c>
      <c r="AY333" s="11">
        <f t="shared" si="221"/>
        <v>0</v>
      </c>
      <c r="AZ333" s="25"/>
      <c r="BA333" s="10" t="str">
        <f t="shared" si="217"/>
        <v xml:space="preserve">MarçoSEMANA 5Humaytá - Chutney Damasco c/ Tâmaras </v>
      </c>
      <c r="BB333" s="7">
        <f>SUMIF(NF!$A:$A,$BA333,NF!$I:$I)</f>
        <v>0</v>
      </c>
      <c r="BC333" s="6"/>
      <c r="BD333" s="6"/>
      <c r="BE333" s="6"/>
      <c r="BF333" s="6"/>
      <c r="BG333" s="6"/>
      <c r="BH333" s="6"/>
      <c r="BI333" s="74"/>
      <c r="BJ333" s="74"/>
      <c r="BK333" s="7">
        <f t="shared" si="238"/>
        <v>0</v>
      </c>
      <c r="BL333" s="8">
        <f t="shared" si="222"/>
        <v>0</v>
      </c>
      <c r="BM333" s="51" t="str">
        <f>IFERROR(VLOOKUP(A333,NF!$M:$O,3,0),"")</f>
        <v>Feirinha</v>
      </c>
      <c r="BN333" s="7">
        <f t="shared" si="223"/>
        <v>0</v>
      </c>
      <c r="BO333" s="8">
        <f t="array" ref="BO333">IFERROR(LARGE(IF(NF!$G$2:$G$3137='Mês atual'!A333,NF!$J$2:$J$3137),1),0)*BN333</f>
        <v>0</v>
      </c>
      <c r="BP333" s="50"/>
      <c r="BR333" s="146">
        <f t="array" ref="BR333">IFERROR(LARGE(IF(NF!$G$2:$G$3137='Mês atual'!A333,NF!$J$2:$J$3137),1),0)</f>
        <v>0</v>
      </c>
      <c r="BS333" s="142" t="str">
        <f>VLOOKUP(A333,NF!M:O,3,0)</f>
        <v>Feirinha</v>
      </c>
      <c r="BV333" s="74">
        <f t="shared" si="193"/>
        <v>0</v>
      </c>
      <c r="BW333" s="74">
        <f t="shared" si="194"/>
        <v>0</v>
      </c>
      <c r="BX333" s="74">
        <f t="shared" si="195"/>
        <v>0</v>
      </c>
      <c r="BY333" s="74">
        <f t="shared" si="196"/>
        <v>0</v>
      </c>
      <c r="BZ333" s="74">
        <f t="shared" si="197"/>
        <v>0</v>
      </c>
    </row>
    <row r="334" spans="1:78" x14ac:dyDescent="0.25">
      <c r="A334" s="108" t="s">
        <v>411</v>
      </c>
      <c r="B334" s="12"/>
      <c r="C334" s="9">
        <v>1</v>
      </c>
      <c r="D334" s="25"/>
      <c r="E334" s="10" t="str">
        <f t="shared" si="213"/>
        <v xml:space="preserve">MarçoSEMANA 1Humaytá - Chutney de Manga </v>
      </c>
      <c r="F334" s="7">
        <f>SUMIF(NF!$A:$A,$E334,NF!$I:$I)</f>
        <v>0</v>
      </c>
      <c r="G334" s="74"/>
      <c r="H334" s="74"/>
      <c r="I334" s="74"/>
      <c r="J334" s="6"/>
      <c r="K334" s="6"/>
      <c r="L334" s="6"/>
      <c r="M334" s="6"/>
      <c r="N334" s="7">
        <f t="shared" si="234"/>
        <v>0</v>
      </c>
      <c r="O334" s="11">
        <f t="shared" si="218"/>
        <v>1</v>
      </c>
      <c r="P334" s="25"/>
      <c r="Q334" s="10" t="str">
        <f t="shared" si="214"/>
        <v xml:space="preserve">MarçoSEMANA 2Humaytá - Chutney de Manga </v>
      </c>
      <c r="R334" s="7">
        <f>SUMIF(NF!$A:$A,$Q334,NF!$I:$I)</f>
        <v>0</v>
      </c>
      <c r="S334" s="6"/>
      <c r="T334" s="6"/>
      <c r="U334" s="6"/>
      <c r="V334" s="6"/>
      <c r="W334" s="6"/>
      <c r="X334" s="6"/>
      <c r="Y334" s="6"/>
      <c r="Z334" s="7">
        <f t="shared" si="235"/>
        <v>0</v>
      </c>
      <c r="AA334" s="11">
        <f t="shared" si="219"/>
        <v>1</v>
      </c>
      <c r="AB334" s="25"/>
      <c r="AC334" s="10" t="str">
        <f t="shared" si="215"/>
        <v xml:space="preserve">MarçoSEMANA 3Humaytá - Chutney de Manga </v>
      </c>
      <c r="AD334" s="7">
        <f>SUMIF(NF!$A:$A,$AC334,NF!$I:$I)</f>
        <v>0</v>
      </c>
      <c r="AE334" s="6"/>
      <c r="AF334" s="6"/>
      <c r="AG334" s="6"/>
      <c r="AH334" s="6"/>
      <c r="AI334" s="6"/>
      <c r="AJ334" s="6"/>
      <c r="AK334" s="6"/>
      <c r="AL334" s="7">
        <f t="shared" si="236"/>
        <v>0</v>
      </c>
      <c r="AM334" s="11">
        <f t="shared" si="220"/>
        <v>1</v>
      </c>
      <c r="AN334" s="25"/>
      <c r="AO334" s="10" t="str">
        <f t="shared" si="216"/>
        <v xml:space="preserve">MarçoSEMANA 4Humaytá - Chutney de Manga </v>
      </c>
      <c r="AP334" s="7">
        <f>SUMIF(NF!$A:$A,$AO334,NF!$I:$I)</f>
        <v>0</v>
      </c>
      <c r="AQ334" s="6"/>
      <c r="AR334" s="6"/>
      <c r="AS334" s="6"/>
      <c r="AT334" s="6"/>
      <c r="AU334" s="6"/>
      <c r="AV334" s="6"/>
      <c r="AW334" s="6"/>
      <c r="AX334" s="7">
        <f t="shared" si="237"/>
        <v>0</v>
      </c>
      <c r="AY334" s="11">
        <f t="shared" si="221"/>
        <v>1</v>
      </c>
      <c r="AZ334" s="25"/>
      <c r="BA334" s="10" t="str">
        <f t="shared" si="217"/>
        <v xml:space="preserve">MarçoSEMANA 5Humaytá - Chutney de Manga </v>
      </c>
      <c r="BB334" s="7">
        <f>SUMIF(NF!$A:$A,$BA334,NF!$I:$I)</f>
        <v>0</v>
      </c>
      <c r="BC334" s="6"/>
      <c r="BD334" s="6"/>
      <c r="BE334" s="6"/>
      <c r="BF334" s="6"/>
      <c r="BG334" s="6"/>
      <c r="BH334" s="6"/>
      <c r="BI334" s="74"/>
      <c r="BJ334" s="74"/>
      <c r="BK334" s="7">
        <f t="shared" si="238"/>
        <v>0</v>
      </c>
      <c r="BL334" s="8">
        <f t="shared" si="222"/>
        <v>1</v>
      </c>
      <c r="BM334" s="51" t="str">
        <f>IFERROR(VLOOKUP(A334,NF!$M:$O,3,0),"")</f>
        <v>Feirinha</v>
      </c>
      <c r="BN334" s="7">
        <f t="shared" si="223"/>
        <v>0</v>
      </c>
      <c r="BO334" s="8">
        <f t="array" ref="BO334">IFERROR(LARGE(IF(NF!$G$2:$G$3137='Mês atual'!A334,NF!$J$2:$J$3137),1),0)*BN334</f>
        <v>0</v>
      </c>
      <c r="BP334" s="50"/>
      <c r="BR334" s="146">
        <f t="array" ref="BR334">IFERROR(LARGE(IF(NF!$G$2:$G$3137='Mês atual'!A334,NF!$J$2:$J$3137),1),0)</f>
        <v>0</v>
      </c>
      <c r="BS334" s="142" t="str">
        <f>VLOOKUP(A334,NF!M:O,3,0)</f>
        <v>Feirinha</v>
      </c>
      <c r="BV334" s="74">
        <f t="shared" si="193"/>
        <v>0</v>
      </c>
      <c r="BW334" s="74">
        <f t="shared" si="194"/>
        <v>0</v>
      </c>
      <c r="BX334" s="74">
        <f t="shared" si="195"/>
        <v>0</v>
      </c>
      <c r="BY334" s="74">
        <f t="shared" si="196"/>
        <v>0</v>
      </c>
      <c r="BZ334" s="74">
        <f t="shared" si="197"/>
        <v>0</v>
      </c>
    </row>
    <row r="335" spans="1:78" x14ac:dyDescent="0.25">
      <c r="A335" s="108" t="s">
        <v>412</v>
      </c>
      <c r="B335" s="12"/>
      <c r="C335" s="9">
        <v>0</v>
      </c>
      <c r="D335" s="25"/>
      <c r="E335" s="10" t="str">
        <f t="shared" si="213"/>
        <v>MarçoSEMANA 1Humaytá - Chuvisco</v>
      </c>
      <c r="F335" s="7">
        <f>SUMIF(NF!$A:$A,$E335,NF!$I:$I)</f>
        <v>0</v>
      </c>
      <c r="G335" s="74"/>
      <c r="H335" s="74"/>
      <c r="I335" s="74"/>
      <c r="J335" s="6"/>
      <c r="K335" s="6"/>
      <c r="L335" s="6"/>
      <c r="M335" s="6"/>
      <c r="N335" s="7">
        <f t="shared" si="234"/>
        <v>0</v>
      </c>
      <c r="O335" s="11">
        <f t="shared" si="218"/>
        <v>0</v>
      </c>
      <c r="P335" s="25"/>
      <c r="Q335" s="10" t="str">
        <f t="shared" si="214"/>
        <v>MarçoSEMANA 2Humaytá - Chuvisco</v>
      </c>
      <c r="R335" s="7">
        <f>SUMIF(NF!$A:$A,$Q335,NF!$I:$I)</f>
        <v>0</v>
      </c>
      <c r="S335" s="6"/>
      <c r="T335" s="6"/>
      <c r="U335" s="6"/>
      <c r="V335" s="6"/>
      <c r="W335" s="6"/>
      <c r="X335" s="6"/>
      <c r="Y335" s="6"/>
      <c r="Z335" s="7">
        <f t="shared" si="235"/>
        <v>0</v>
      </c>
      <c r="AA335" s="11">
        <f t="shared" si="219"/>
        <v>0</v>
      </c>
      <c r="AB335" s="25"/>
      <c r="AC335" s="10" t="str">
        <f t="shared" si="215"/>
        <v>MarçoSEMANA 3Humaytá - Chuvisco</v>
      </c>
      <c r="AD335" s="7">
        <f>SUMIF(NF!$A:$A,$AC335,NF!$I:$I)</f>
        <v>0</v>
      </c>
      <c r="AE335" s="6"/>
      <c r="AF335" s="6"/>
      <c r="AG335" s="6"/>
      <c r="AH335" s="6"/>
      <c r="AI335" s="6"/>
      <c r="AJ335" s="6"/>
      <c r="AK335" s="6"/>
      <c r="AL335" s="7">
        <f t="shared" si="236"/>
        <v>0</v>
      </c>
      <c r="AM335" s="11">
        <f t="shared" si="220"/>
        <v>0</v>
      </c>
      <c r="AN335" s="25"/>
      <c r="AO335" s="10" t="str">
        <f t="shared" si="216"/>
        <v>MarçoSEMANA 4Humaytá - Chuvisco</v>
      </c>
      <c r="AP335" s="7">
        <f>SUMIF(NF!$A:$A,$AO335,NF!$I:$I)</f>
        <v>0</v>
      </c>
      <c r="AQ335" s="6"/>
      <c r="AR335" s="6"/>
      <c r="AS335" s="6"/>
      <c r="AT335" s="6"/>
      <c r="AU335" s="6"/>
      <c r="AV335" s="6"/>
      <c r="AW335" s="6"/>
      <c r="AX335" s="7">
        <f t="shared" si="237"/>
        <v>0</v>
      </c>
      <c r="AY335" s="11">
        <f t="shared" si="221"/>
        <v>0</v>
      </c>
      <c r="AZ335" s="25"/>
      <c r="BA335" s="10" t="str">
        <f t="shared" si="217"/>
        <v>MarçoSEMANA 5Humaytá - Chuvisco</v>
      </c>
      <c r="BB335" s="7">
        <f>SUMIF(NF!$A:$A,$BA335,NF!$I:$I)</f>
        <v>0</v>
      </c>
      <c r="BC335" s="6"/>
      <c r="BD335" s="6"/>
      <c r="BE335" s="6"/>
      <c r="BF335" s="6"/>
      <c r="BG335" s="6"/>
      <c r="BH335" s="6"/>
      <c r="BI335" s="74"/>
      <c r="BJ335" s="74"/>
      <c r="BK335" s="7">
        <f t="shared" si="238"/>
        <v>0</v>
      </c>
      <c r="BL335" s="8">
        <f t="shared" si="222"/>
        <v>0</v>
      </c>
      <c r="BM335" s="51" t="str">
        <f>IFERROR(VLOOKUP(A335,NF!$M:$O,3,0),"")</f>
        <v>Feirinha</v>
      </c>
      <c r="BN335" s="7">
        <f t="shared" si="223"/>
        <v>0</v>
      </c>
      <c r="BO335" s="8">
        <f t="array" ref="BO335">IFERROR(LARGE(IF(NF!$G$2:$G$3137='Mês atual'!A335,NF!$J$2:$J$3137),1),0)*BN335</f>
        <v>0</v>
      </c>
      <c r="BP335" s="50"/>
      <c r="BR335" s="146">
        <f t="array" ref="BR335">IFERROR(LARGE(IF(NF!$G$2:$G$3137='Mês atual'!A335,NF!$J$2:$J$3137),1),0)</f>
        <v>0</v>
      </c>
      <c r="BS335" s="142" t="str">
        <f>VLOOKUP(A335,NF!M:O,3,0)</f>
        <v>Feirinha</v>
      </c>
      <c r="BV335" s="74">
        <f t="shared" si="193"/>
        <v>0</v>
      </c>
      <c r="BW335" s="74">
        <f t="shared" si="194"/>
        <v>0</v>
      </c>
      <c r="BX335" s="74">
        <f t="shared" si="195"/>
        <v>0</v>
      </c>
      <c r="BY335" s="74">
        <f t="shared" si="196"/>
        <v>0</v>
      </c>
      <c r="BZ335" s="74">
        <f t="shared" si="197"/>
        <v>0</v>
      </c>
    </row>
    <row r="336" spans="1:78" x14ac:dyDescent="0.25">
      <c r="A336" s="108" t="s">
        <v>413</v>
      </c>
      <c r="B336" s="12"/>
      <c r="C336" s="9">
        <v>1</v>
      </c>
      <c r="D336" s="25"/>
      <c r="E336" s="10" t="str">
        <f t="shared" si="213"/>
        <v>MarçoSEMANA 1Humaytá - Compota de Abóbora</v>
      </c>
      <c r="F336" s="7">
        <f>SUMIF(NF!$A:$A,$E336,NF!$I:$I)</f>
        <v>0</v>
      </c>
      <c r="G336" s="74"/>
      <c r="H336" s="74"/>
      <c r="I336" s="74"/>
      <c r="J336" s="6"/>
      <c r="K336" s="6"/>
      <c r="L336" s="6"/>
      <c r="M336" s="6"/>
      <c r="N336" s="7">
        <f t="shared" si="234"/>
        <v>0</v>
      </c>
      <c r="O336" s="11">
        <f t="shared" si="218"/>
        <v>1</v>
      </c>
      <c r="P336" s="25"/>
      <c r="Q336" s="10" t="str">
        <f t="shared" si="214"/>
        <v>MarçoSEMANA 2Humaytá - Compota de Abóbora</v>
      </c>
      <c r="R336" s="7">
        <f>SUMIF(NF!$A:$A,$Q336,NF!$I:$I)</f>
        <v>0</v>
      </c>
      <c r="S336" s="6"/>
      <c r="T336" s="6"/>
      <c r="U336" s="6"/>
      <c r="V336" s="6"/>
      <c r="W336" s="6"/>
      <c r="X336" s="6"/>
      <c r="Y336" s="6"/>
      <c r="Z336" s="7">
        <f t="shared" si="235"/>
        <v>0</v>
      </c>
      <c r="AA336" s="11">
        <f t="shared" si="219"/>
        <v>1</v>
      </c>
      <c r="AB336" s="25"/>
      <c r="AC336" s="10" t="str">
        <f t="shared" si="215"/>
        <v>MarçoSEMANA 3Humaytá - Compota de Abóbora</v>
      </c>
      <c r="AD336" s="7">
        <f>SUMIF(NF!$A:$A,$AC336,NF!$I:$I)</f>
        <v>0</v>
      </c>
      <c r="AE336" s="6"/>
      <c r="AF336" s="6"/>
      <c r="AG336" s="6"/>
      <c r="AH336" s="6"/>
      <c r="AI336" s="6"/>
      <c r="AJ336" s="6"/>
      <c r="AK336" s="6"/>
      <c r="AL336" s="7">
        <f t="shared" si="236"/>
        <v>0</v>
      </c>
      <c r="AM336" s="11">
        <f t="shared" si="220"/>
        <v>1</v>
      </c>
      <c r="AN336" s="25"/>
      <c r="AO336" s="10" t="str">
        <f t="shared" si="216"/>
        <v>MarçoSEMANA 4Humaytá - Compota de Abóbora</v>
      </c>
      <c r="AP336" s="7">
        <f>SUMIF(NF!$A:$A,$AO336,NF!$I:$I)</f>
        <v>0</v>
      </c>
      <c r="AQ336" s="6"/>
      <c r="AR336" s="6"/>
      <c r="AS336" s="6"/>
      <c r="AT336" s="6"/>
      <c r="AU336" s="6"/>
      <c r="AV336" s="6"/>
      <c r="AW336" s="6"/>
      <c r="AX336" s="7">
        <f t="shared" si="237"/>
        <v>0</v>
      </c>
      <c r="AY336" s="11">
        <f t="shared" si="221"/>
        <v>1</v>
      </c>
      <c r="AZ336" s="25"/>
      <c r="BA336" s="10" t="str">
        <f t="shared" si="217"/>
        <v>MarçoSEMANA 5Humaytá - Compota de Abóbora</v>
      </c>
      <c r="BB336" s="7">
        <f>SUMIF(NF!$A:$A,$BA336,NF!$I:$I)</f>
        <v>0</v>
      </c>
      <c r="BC336" s="6"/>
      <c r="BD336" s="6"/>
      <c r="BE336" s="6"/>
      <c r="BF336" s="6"/>
      <c r="BG336" s="6"/>
      <c r="BH336" s="6"/>
      <c r="BI336" s="74"/>
      <c r="BJ336" s="74"/>
      <c r="BK336" s="7">
        <f t="shared" si="238"/>
        <v>0</v>
      </c>
      <c r="BL336" s="8">
        <f t="shared" si="222"/>
        <v>1</v>
      </c>
      <c r="BM336" s="51" t="str">
        <f>IFERROR(VLOOKUP(A336,NF!$M:$O,3,0),"")</f>
        <v>Feirinha</v>
      </c>
      <c r="BN336" s="7">
        <f t="shared" si="223"/>
        <v>0</v>
      </c>
      <c r="BO336" s="8">
        <f t="array" ref="BO336">IFERROR(LARGE(IF(NF!$G$2:$G$3137='Mês atual'!A336,NF!$J$2:$J$3137),1),0)*BN336</f>
        <v>0</v>
      </c>
      <c r="BP336" s="50"/>
      <c r="BR336" s="146">
        <f t="array" ref="BR336">IFERROR(LARGE(IF(NF!$G$2:$G$3137='Mês atual'!A336,NF!$J$2:$J$3137),1),0)</f>
        <v>0</v>
      </c>
      <c r="BS336" s="142" t="str">
        <f>VLOOKUP(A336,NF!M:O,3,0)</f>
        <v>Feirinha</v>
      </c>
      <c r="BV336" s="74">
        <f t="shared" si="193"/>
        <v>0</v>
      </c>
      <c r="BW336" s="74">
        <f t="shared" si="194"/>
        <v>0</v>
      </c>
      <c r="BX336" s="74">
        <f t="shared" si="195"/>
        <v>0</v>
      </c>
      <c r="BY336" s="74">
        <f t="shared" si="196"/>
        <v>0</v>
      </c>
      <c r="BZ336" s="74">
        <f t="shared" si="197"/>
        <v>0</v>
      </c>
    </row>
    <row r="337" spans="1:78" x14ac:dyDescent="0.25">
      <c r="A337" s="108" t="s">
        <v>414</v>
      </c>
      <c r="B337" s="12"/>
      <c r="C337" s="9">
        <v>0</v>
      </c>
      <c r="D337" s="25"/>
      <c r="E337" s="10" t="str">
        <f t="shared" si="213"/>
        <v>MarçoSEMANA 1Humaytá - Compota de Figo</v>
      </c>
      <c r="F337" s="7">
        <f>SUMIF(NF!$A:$A,$E337,NF!$I:$I)</f>
        <v>0</v>
      </c>
      <c r="G337" s="74"/>
      <c r="H337" s="74"/>
      <c r="I337" s="74"/>
      <c r="J337" s="6"/>
      <c r="K337" s="6"/>
      <c r="L337" s="6"/>
      <c r="M337" s="6"/>
      <c r="N337" s="7">
        <f t="shared" si="234"/>
        <v>0</v>
      </c>
      <c r="O337" s="11">
        <f t="shared" si="218"/>
        <v>0</v>
      </c>
      <c r="P337" s="25"/>
      <c r="Q337" s="10" t="str">
        <f t="shared" si="214"/>
        <v>MarçoSEMANA 2Humaytá - Compota de Figo</v>
      </c>
      <c r="R337" s="7">
        <f>SUMIF(NF!$A:$A,$Q337,NF!$I:$I)</f>
        <v>0</v>
      </c>
      <c r="S337" s="6"/>
      <c r="T337" s="6"/>
      <c r="U337" s="6"/>
      <c r="V337" s="6"/>
      <c r="W337" s="6"/>
      <c r="X337" s="6"/>
      <c r="Y337" s="6"/>
      <c r="Z337" s="7">
        <f t="shared" si="235"/>
        <v>0</v>
      </c>
      <c r="AA337" s="11">
        <f t="shared" si="219"/>
        <v>0</v>
      </c>
      <c r="AB337" s="25"/>
      <c r="AC337" s="10" t="str">
        <f t="shared" si="215"/>
        <v>MarçoSEMANA 3Humaytá - Compota de Figo</v>
      </c>
      <c r="AD337" s="7">
        <f>SUMIF(NF!$A:$A,$AC337,NF!$I:$I)</f>
        <v>0</v>
      </c>
      <c r="AE337" s="6"/>
      <c r="AF337" s="6"/>
      <c r="AG337" s="6"/>
      <c r="AH337" s="6"/>
      <c r="AI337" s="6"/>
      <c r="AJ337" s="6"/>
      <c r="AK337" s="6"/>
      <c r="AL337" s="7">
        <f t="shared" si="236"/>
        <v>0</v>
      </c>
      <c r="AM337" s="11">
        <f t="shared" si="220"/>
        <v>0</v>
      </c>
      <c r="AN337" s="25"/>
      <c r="AO337" s="10" t="str">
        <f t="shared" si="216"/>
        <v>MarçoSEMANA 4Humaytá - Compota de Figo</v>
      </c>
      <c r="AP337" s="7">
        <f>SUMIF(NF!$A:$A,$AO337,NF!$I:$I)</f>
        <v>0</v>
      </c>
      <c r="AQ337" s="6"/>
      <c r="AR337" s="6"/>
      <c r="AS337" s="6"/>
      <c r="AT337" s="6"/>
      <c r="AU337" s="6"/>
      <c r="AV337" s="6"/>
      <c r="AW337" s="6"/>
      <c r="AX337" s="7">
        <f t="shared" si="237"/>
        <v>0</v>
      </c>
      <c r="AY337" s="11">
        <f t="shared" si="221"/>
        <v>0</v>
      </c>
      <c r="AZ337" s="25"/>
      <c r="BA337" s="10" t="str">
        <f t="shared" si="217"/>
        <v>MarçoSEMANA 5Humaytá - Compota de Figo</v>
      </c>
      <c r="BB337" s="7">
        <f>SUMIF(NF!$A:$A,$BA337,NF!$I:$I)</f>
        <v>0</v>
      </c>
      <c r="BC337" s="6"/>
      <c r="BD337" s="6"/>
      <c r="BE337" s="6"/>
      <c r="BF337" s="6"/>
      <c r="BG337" s="6"/>
      <c r="BH337" s="6"/>
      <c r="BI337" s="74"/>
      <c r="BJ337" s="74"/>
      <c r="BK337" s="7">
        <f t="shared" si="238"/>
        <v>0</v>
      </c>
      <c r="BL337" s="8">
        <f t="shared" si="222"/>
        <v>0</v>
      </c>
      <c r="BM337" s="51" t="str">
        <f>IFERROR(VLOOKUP(A337,NF!$M:$O,3,0),"")</f>
        <v>Feirinha</v>
      </c>
      <c r="BN337" s="7">
        <f t="shared" si="223"/>
        <v>0</v>
      </c>
      <c r="BO337" s="8">
        <f t="array" ref="BO337">IFERROR(LARGE(IF(NF!$G$2:$G$3137='Mês atual'!A337,NF!$J$2:$J$3137),1),0)*BN337</f>
        <v>0</v>
      </c>
      <c r="BP337" s="50"/>
      <c r="BR337" s="146">
        <f t="array" ref="BR337">IFERROR(LARGE(IF(NF!$G$2:$G$3137='Mês atual'!A337,NF!$J$2:$J$3137),1),0)</f>
        <v>0</v>
      </c>
      <c r="BS337" s="142" t="str">
        <f>VLOOKUP(A337,NF!M:O,3,0)</f>
        <v>Feirinha</v>
      </c>
      <c r="BV337" s="74">
        <f t="shared" si="193"/>
        <v>0</v>
      </c>
      <c r="BW337" s="74">
        <f t="shared" si="194"/>
        <v>0</v>
      </c>
      <c r="BX337" s="74">
        <f t="shared" si="195"/>
        <v>0</v>
      </c>
      <c r="BY337" s="74">
        <f t="shared" si="196"/>
        <v>0</v>
      </c>
      <c r="BZ337" s="74">
        <f t="shared" si="197"/>
        <v>0</v>
      </c>
    </row>
    <row r="338" spans="1:78" x14ac:dyDescent="0.25">
      <c r="A338" s="108" t="s">
        <v>415</v>
      </c>
      <c r="B338" s="12"/>
      <c r="C338" s="9">
        <v>0</v>
      </c>
      <c r="D338" s="25"/>
      <c r="E338" s="10" t="str">
        <f t="shared" si="213"/>
        <v>MarçoSEMANA 1Humaytá - Compota de Goiaba ao Creme</v>
      </c>
      <c r="F338" s="7">
        <f>SUMIF(NF!$A:$A,$E338,NF!$I:$I)</f>
        <v>0</v>
      </c>
      <c r="G338" s="74"/>
      <c r="H338" s="74"/>
      <c r="I338" s="74"/>
      <c r="J338" s="6"/>
      <c r="K338" s="6"/>
      <c r="L338" s="6"/>
      <c r="M338" s="6"/>
      <c r="N338" s="7">
        <f t="shared" si="234"/>
        <v>0</v>
      </c>
      <c r="O338" s="11">
        <f t="shared" si="218"/>
        <v>0</v>
      </c>
      <c r="P338" s="25"/>
      <c r="Q338" s="10" t="str">
        <f t="shared" si="214"/>
        <v>MarçoSEMANA 2Humaytá - Compota de Goiaba ao Creme</v>
      </c>
      <c r="R338" s="7">
        <f>SUMIF(NF!$A:$A,$Q338,NF!$I:$I)</f>
        <v>0</v>
      </c>
      <c r="S338" s="6"/>
      <c r="T338" s="6"/>
      <c r="U338" s="6"/>
      <c r="V338" s="6"/>
      <c r="W338" s="6"/>
      <c r="X338" s="6"/>
      <c r="Y338" s="6"/>
      <c r="Z338" s="7">
        <f t="shared" si="235"/>
        <v>0</v>
      </c>
      <c r="AA338" s="11">
        <f t="shared" si="219"/>
        <v>0</v>
      </c>
      <c r="AB338" s="25"/>
      <c r="AC338" s="10" t="str">
        <f t="shared" si="215"/>
        <v>MarçoSEMANA 3Humaytá - Compota de Goiaba ao Creme</v>
      </c>
      <c r="AD338" s="7">
        <f>SUMIF(NF!$A:$A,$AC338,NF!$I:$I)</f>
        <v>0</v>
      </c>
      <c r="AE338" s="6"/>
      <c r="AF338" s="6"/>
      <c r="AG338" s="6"/>
      <c r="AH338" s="6"/>
      <c r="AI338" s="6"/>
      <c r="AJ338" s="6"/>
      <c r="AK338" s="6"/>
      <c r="AL338" s="7">
        <f t="shared" si="236"/>
        <v>0</v>
      </c>
      <c r="AM338" s="11">
        <f t="shared" si="220"/>
        <v>0</v>
      </c>
      <c r="AN338" s="25"/>
      <c r="AO338" s="10" t="str">
        <f t="shared" si="216"/>
        <v>MarçoSEMANA 4Humaytá - Compota de Goiaba ao Creme</v>
      </c>
      <c r="AP338" s="7">
        <f>SUMIF(NF!$A:$A,$AO338,NF!$I:$I)</f>
        <v>0</v>
      </c>
      <c r="AQ338" s="6"/>
      <c r="AR338" s="6"/>
      <c r="AS338" s="6"/>
      <c r="AT338" s="6"/>
      <c r="AU338" s="6"/>
      <c r="AV338" s="6"/>
      <c r="AW338" s="6"/>
      <c r="AX338" s="7">
        <f t="shared" si="237"/>
        <v>0</v>
      </c>
      <c r="AY338" s="11">
        <f t="shared" si="221"/>
        <v>0</v>
      </c>
      <c r="AZ338" s="25"/>
      <c r="BA338" s="10" t="str">
        <f t="shared" si="217"/>
        <v>MarçoSEMANA 5Humaytá - Compota de Goiaba ao Creme</v>
      </c>
      <c r="BB338" s="7">
        <f>SUMIF(NF!$A:$A,$BA338,NF!$I:$I)</f>
        <v>0</v>
      </c>
      <c r="BC338" s="6"/>
      <c r="BD338" s="6"/>
      <c r="BE338" s="6"/>
      <c r="BF338" s="6"/>
      <c r="BG338" s="6"/>
      <c r="BH338" s="6"/>
      <c r="BI338" s="74"/>
      <c r="BJ338" s="74"/>
      <c r="BK338" s="7">
        <f t="shared" si="238"/>
        <v>0</v>
      </c>
      <c r="BL338" s="8">
        <f t="shared" si="222"/>
        <v>0</v>
      </c>
      <c r="BM338" s="51" t="str">
        <f>IFERROR(VLOOKUP(A338,NF!$M:$O,3,0),"")</f>
        <v>Feirinha</v>
      </c>
      <c r="BN338" s="7">
        <f t="shared" si="223"/>
        <v>0</v>
      </c>
      <c r="BO338" s="8">
        <f t="array" ref="BO338">IFERROR(LARGE(IF(NF!$G$2:$G$3137='Mês atual'!A338,NF!$J$2:$J$3137),1),0)*BN338</f>
        <v>0</v>
      </c>
      <c r="BP338" s="50"/>
      <c r="BR338" s="146">
        <f t="array" ref="BR338">IFERROR(LARGE(IF(NF!$G$2:$G$3137='Mês atual'!A338,NF!$J$2:$J$3137),1),0)</f>
        <v>0</v>
      </c>
      <c r="BS338" s="142" t="str">
        <f>VLOOKUP(A338,NF!M:O,3,0)</f>
        <v>Feirinha</v>
      </c>
      <c r="BV338" s="74">
        <f t="shared" si="193"/>
        <v>0</v>
      </c>
      <c r="BW338" s="74">
        <f t="shared" si="194"/>
        <v>0</v>
      </c>
      <c r="BX338" s="74">
        <f t="shared" si="195"/>
        <v>0</v>
      </c>
      <c r="BY338" s="74">
        <f t="shared" si="196"/>
        <v>0</v>
      </c>
      <c r="BZ338" s="74">
        <f t="shared" si="197"/>
        <v>0</v>
      </c>
    </row>
    <row r="339" spans="1:78" x14ac:dyDescent="0.25">
      <c r="A339" s="108" t="s">
        <v>416</v>
      </c>
      <c r="B339" s="12"/>
      <c r="C339" s="9">
        <v>0</v>
      </c>
      <c r="D339" s="25"/>
      <c r="E339" s="10" t="str">
        <f t="shared" si="213"/>
        <v xml:space="preserve">MarçoSEMANA 1Humaytá - Compota de Laranja </v>
      </c>
      <c r="F339" s="7">
        <f>SUMIF(NF!$A:$A,$E339,NF!$I:$I)</f>
        <v>0</v>
      </c>
      <c r="G339" s="74"/>
      <c r="H339" s="74"/>
      <c r="I339" s="74"/>
      <c r="J339" s="6"/>
      <c r="K339" s="6"/>
      <c r="L339" s="6"/>
      <c r="M339" s="6"/>
      <c r="N339" s="7">
        <f t="shared" si="234"/>
        <v>0</v>
      </c>
      <c r="O339" s="11">
        <f t="shared" si="218"/>
        <v>0</v>
      </c>
      <c r="P339" s="25"/>
      <c r="Q339" s="10" t="str">
        <f t="shared" si="214"/>
        <v xml:space="preserve">MarçoSEMANA 2Humaytá - Compota de Laranja </v>
      </c>
      <c r="R339" s="7">
        <f>SUMIF(NF!$A:$A,$Q339,NF!$I:$I)</f>
        <v>0</v>
      </c>
      <c r="S339" s="6"/>
      <c r="T339" s="6"/>
      <c r="U339" s="6"/>
      <c r="V339" s="6"/>
      <c r="W339" s="6"/>
      <c r="X339" s="6"/>
      <c r="Y339" s="6"/>
      <c r="Z339" s="7">
        <f t="shared" si="235"/>
        <v>0</v>
      </c>
      <c r="AA339" s="11">
        <f t="shared" si="219"/>
        <v>0</v>
      </c>
      <c r="AB339" s="25"/>
      <c r="AC339" s="10" t="str">
        <f t="shared" si="215"/>
        <v xml:space="preserve">MarçoSEMANA 3Humaytá - Compota de Laranja </v>
      </c>
      <c r="AD339" s="7">
        <f>SUMIF(NF!$A:$A,$AC339,NF!$I:$I)</f>
        <v>0</v>
      </c>
      <c r="AE339" s="6"/>
      <c r="AF339" s="6"/>
      <c r="AG339" s="6"/>
      <c r="AH339" s="6"/>
      <c r="AI339" s="6"/>
      <c r="AJ339" s="6"/>
      <c r="AK339" s="6"/>
      <c r="AL339" s="7">
        <f t="shared" si="236"/>
        <v>0</v>
      </c>
      <c r="AM339" s="11">
        <f t="shared" si="220"/>
        <v>0</v>
      </c>
      <c r="AN339" s="25"/>
      <c r="AO339" s="10" t="str">
        <f t="shared" si="216"/>
        <v xml:space="preserve">MarçoSEMANA 4Humaytá - Compota de Laranja </v>
      </c>
      <c r="AP339" s="7">
        <f>SUMIF(NF!$A:$A,$AO339,NF!$I:$I)</f>
        <v>0</v>
      </c>
      <c r="AQ339" s="6"/>
      <c r="AR339" s="6"/>
      <c r="AS339" s="6"/>
      <c r="AT339" s="6"/>
      <c r="AU339" s="6"/>
      <c r="AV339" s="6"/>
      <c r="AW339" s="6"/>
      <c r="AX339" s="7">
        <f t="shared" si="237"/>
        <v>0</v>
      </c>
      <c r="AY339" s="11">
        <f t="shared" si="221"/>
        <v>0</v>
      </c>
      <c r="AZ339" s="25"/>
      <c r="BA339" s="10" t="str">
        <f t="shared" si="217"/>
        <v xml:space="preserve">MarçoSEMANA 5Humaytá - Compota de Laranja </v>
      </c>
      <c r="BB339" s="7">
        <f>SUMIF(NF!$A:$A,$BA339,NF!$I:$I)</f>
        <v>0</v>
      </c>
      <c r="BC339" s="6"/>
      <c r="BD339" s="6"/>
      <c r="BE339" s="6"/>
      <c r="BF339" s="6"/>
      <c r="BG339" s="6"/>
      <c r="BH339" s="6"/>
      <c r="BI339" s="74"/>
      <c r="BJ339" s="74"/>
      <c r="BK339" s="7">
        <f t="shared" si="238"/>
        <v>0</v>
      </c>
      <c r="BL339" s="8">
        <f t="shared" si="222"/>
        <v>0</v>
      </c>
      <c r="BM339" s="51" t="str">
        <f>IFERROR(VLOOKUP(A339,NF!$M:$O,3,0),"")</f>
        <v>Feirinha</v>
      </c>
      <c r="BN339" s="7">
        <f t="shared" si="223"/>
        <v>0</v>
      </c>
      <c r="BO339" s="8">
        <f t="array" ref="BO339">IFERROR(LARGE(IF(NF!$G$2:$G$3137='Mês atual'!A339,NF!$J$2:$J$3137),1),0)*BN339</f>
        <v>0</v>
      </c>
      <c r="BP339" s="50"/>
      <c r="BR339" s="146">
        <f t="array" ref="BR339">IFERROR(LARGE(IF(NF!$G$2:$G$3137='Mês atual'!A339,NF!$J$2:$J$3137),1),0)</f>
        <v>0</v>
      </c>
      <c r="BS339" s="142" t="str">
        <f>VLOOKUP(A339,NF!M:O,3,0)</f>
        <v>Feirinha</v>
      </c>
      <c r="BV339" s="74">
        <f t="shared" ref="BV339:BV401" si="239">N339</f>
        <v>0</v>
      </c>
      <c r="BW339" s="74">
        <f t="shared" ref="BW339:BW401" si="240">Z339</f>
        <v>0</v>
      </c>
      <c r="BX339" s="74">
        <f t="shared" ref="BX339:BX401" si="241">AL339</f>
        <v>0</v>
      </c>
      <c r="BY339" s="74">
        <f t="shared" ref="BY339:BY401" si="242">AX339</f>
        <v>0</v>
      </c>
      <c r="BZ339" s="74">
        <f t="shared" ref="BZ339:BZ401" si="243">BK339</f>
        <v>0</v>
      </c>
    </row>
    <row r="340" spans="1:78" x14ac:dyDescent="0.25">
      <c r="A340" s="108" t="s">
        <v>417</v>
      </c>
      <c r="B340" s="12"/>
      <c r="C340" s="9">
        <v>0</v>
      </c>
      <c r="D340" s="25"/>
      <c r="E340" s="10" t="str">
        <f t="shared" si="213"/>
        <v>MarçoSEMANA 1Humaytá - Compota de Laranja da Terra</v>
      </c>
      <c r="F340" s="7">
        <f>SUMIF(NF!$A:$A,$E340,NF!$I:$I)</f>
        <v>0</v>
      </c>
      <c r="G340" s="74"/>
      <c r="H340" s="74"/>
      <c r="I340" s="74"/>
      <c r="J340" s="6"/>
      <c r="K340" s="6"/>
      <c r="L340" s="6"/>
      <c r="M340" s="6"/>
      <c r="N340" s="7">
        <f t="shared" si="234"/>
        <v>0</v>
      </c>
      <c r="O340" s="11">
        <f t="shared" si="218"/>
        <v>0</v>
      </c>
      <c r="P340" s="25"/>
      <c r="Q340" s="10" t="str">
        <f t="shared" si="214"/>
        <v>MarçoSEMANA 2Humaytá - Compota de Laranja da Terra</v>
      </c>
      <c r="R340" s="7">
        <f>SUMIF(NF!$A:$A,$Q340,NF!$I:$I)</f>
        <v>0</v>
      </c>
      <c r="S340" s="6"/>
      <c r="T340" s="6"/>
      <c r="U340" s="6"/>
      <c r="V340" s="6"/>
      <c r="W340" s="6"/>
      <c r="X340" s="6"/>
      <c r="Y340" s="6"/>
      <c r="Z340" s="7">
        <f t="shared" si="235"/>
        <v>0</v>
      </c>
      <c r="AA340" s="11">
        <f t="shared" si="219"/>
        <v>0</v>
      </c>
      <c r="AB340" s="25"/>
      <c r="AC340" s="10" t="str">
        <f t="shared" si="215"/>
        <v>MarçoSEMANA 3Humaytá - Compota de Laranja da Terra</v>
      </c>
      <c r="AD340" s="7">
        <f>SUMIF(NF!$A:$A,$AC340,NF!$I:$I)</f>
        <v>0</v>
      </c>
      <c r="AE340" s="6"/>
      <c r="AF340" s="6"/>
      <c r="AG340" s="6"/>
      <c r="AH340" s="6"/>
      <c r="AI340" s="6"/>
      <c r="AJ340" s="6"/>
      <c r="AK340" s="6"/>
      <c r="AL340" s="7">
        <f t="shared" si="236"/>
        <v>0</v>
      </c>
      <c r="AM340" s="11">
        <f t="shared" si="220"/>
        <v>0</v>
      </c>
      <c r="AN340" s="25"/>
      <c r="AO340" s="10" t="str">
        <f t="shared" si="216"/>
        <v>MarçoSEMANA 4Humaytá - Compota de Laranja da Terra</v>
      </c>
      <c r="AP340" s="7">
        <f>SUMIF(NF!$A:$A,$AO340,NF!$I:$I)</f>
        <v>0</v>
      </c>
      <c r="AQ340" s="6"/>
      <c r="AR340" s="6"/>
      <c r="AS340" s="6"/>
      <c r="AT340" s="6"/>
      <c r="AU340" s="6"/>
      <c r="AV340" s="6"/>
      <c r="AW340" s="6"/>
      <c r="AX340" s="7">
        <f t="shared" si="237"/>
        <v>0</v>
      </c>
      <c r="AY340" s="11">
        <f t="shared" si="221"/>
        <v>0</v>
      </c>
      <c r="AZ340" s="25"/>
      <c r="BA340" s="10" t="str">
        <f t="shared" si="217"/>
        <v>MarçoSEMANA 5Humaytá - Compota de Laranja da Terra</v>
      </c>
      <c r="BB340" s="7">
        <f>SUMIF(NF!$A:$A,$BA340,NF!$I:$I)</f>
        <v>0</v>
      </c>
      <c r="BC340" s="6"/>
      <c r="BD340" s="6"/>
      <c r="BE340" s="6"/>
      <c r="BF340" s="6"/>
      <c r="BG340" s="6"/>
      <c r="BH340" s="6"/>
      <c r="BI340" s="74"/>
      <c r="BJ340" s="74"/>
      <c r="BK340" s="7">
        <f t="shared" si="238"/>
        <v>0</v>
      </c>
      <c r="BL340" s="8">
        <f t="shared" si="222"/>
        <v>0</v>
      </c>
      <c r="BM340" s="51" t="str">
        <f>IFERROR(VLOOKUP(A340,NF!$M:$O,3,0),"")</f>
        <v>Feirinha</v>
      </c>
      <c r="BN340" s="7">
        <f t="shared" si="223"/>
        <v>0</v>
      </c>
      <c r="BO340" s="8">
        <f t="array" ref="BO340">IFERROR(LARGE(IF(NF!$G$2:$G$3137='Mês atual'!A340,NF!$J$2:$J$3137),1),0)*BN340</f>
        <v>0</v>
      </c>
      <c r="BP340" s="50"/>
      <c r="BR340" s="146">
        <f t="array" ref="BR340">IFERROR(LARGE(IF(NF!$G$2:$G$3137='Mês atual'!A340,NF!$J$2:$J$3137),1),0)</f>
        <v>0</v>
      </c>
      <c r="BS340" s="142" t="str">
        <f>VLOOKUP(A340,NF!M:O,3,0)</f>
        <v>Feirinha</v>
      </c>
      <c r="BV340" s="74">
        <f t="shared" si="239"/>
        <v>0</v>
      </c>
      <c r="BW340" s="74">
        <f t="shared" si="240"/>
        <v>0</v>
      </c>
      <c r="BX340" s="74">
        <f t="shared" si="241"/>
        <v>0</v>
      </c>
      <c r="BY340" s="74">
        <f t="shared" si="242"/>
        <v>0</v>
      </c>
      <c r="BZ340" s="74">
        <f t="shared" si="243"/>
        <v>0</v>
      </c>
    </row>
    <row r="341" spans="1:78" x14ac:dyDescent="0.25">
      <c r="A341" s="108" t="s">
        <v>1018</v>
      </c>
      <c r="B341" s="12"/>
      <c r="C341" s="9">
        <v>1</v>
      </c>
      <c r="D341" s="25"/>
      <c r="E341" s="10" t="str">
        <f t="shared" si="213"/>
        <v>MarçoSEMANA 1Humaytá - Compota de Laranja Kinkan</v>
      </c>
      <c r="F341" s="7">
        <f>SUMIF(NF!$A:$A,$E341,NF!$I:$I)</f>
        <v>0</v>
      </c>
      <c r="G341" s="74"/>
      <c r="H341" s="74"/>
      <c r="I341" s="74"/>
      <c r="J341" s="6"/>
      <c r="K341" s="6"/>
      <c r="L341" s="6"/>
      <c r="M341" s="6"/>
      <c r="N341" s="7">
        <f>SUM(G341:M341)</f>
        <v>0</v>
      </c>
      <c r="O341" s="11">
        <f>F341+C341-N341</f>
        <v>1</v>
      </c>
      <c r="P341" s="25"/>
      <c r="Q341" s="10" t="str">
        <f t="shared" si="214"/>
        <v>MarçoSEMANA 2Humaytá - Compota de Laranja Kinkan</v>
      </c>
      <c r="R341" s="7">
        <f>SUMIF(NF!$A:$A,$Q341,NF!$I:$I)</f>
        <v>0</v>
      </c>
      <c r="S341" s="6"/>
      <c r="T341" s="6"/>
      <c r="U341" s="6"/>
      <c r="V341" s="6"/>
      <c r="W341" s="6"/>
      <c r="X341" s="6"/>
      <c r="Y341" s="6"/>
      <c r="Z341" s="7">
        <f>SUM(S341:Y341)</f>
        <v>0</v>
      </c>
      <c r="AA341" s="11">
        <f>R341+O341-Z341</f>
        <v>1</v>
      </c>
      <c r="AB341" s="25"/>
      <c r="AC341" s="10" t="str">
        <f t="shared" si="215"/>
        <v>MarçoSEMANA 3Humaytá - Compota de Laranja Kinkan</v>
      </c>
      <c r="AD341" s="7">
        <f>SUMIF(NF!$A:$A,$AC341,NF!$I:$I)</f>
        <v>0</v>
      </c>
      <c r="AE341" s="6"/>
      <c r="AF341" s="6"/>
      <c r="AG341" s="6"/>
      <c r="AH341" s="6"/>
      <c r="AI341" s="6"/>
      <c r="AJ341" s="6"/>
      <c r="AK341" s="6"/>
      <c r="AL341" s="7">
        <f>SUM(AE341:AK341)</f>
        <v>0</v>
      </c>
      <c r="AM341" s="11">
        <f>AD341+AA341-AL341</f>
        <v>1</v>
      </c>
      <c r="AN341" s="25"/>
      <c r="AO341" s="10" t="str">
        <f t="shared" si="216"/>
        <v>MarçoSEMANA 4Humaytá - Compota de Laranja Kinkan</v>
      </c>
      <c r="AP341" s="7">
        <f>SUMIF(NF!$A:$A,$AO341,NF!$I:$I)</f>
        <v>0</v>
      </c>
      <c r="AQ341" s="6"/>
      <c r="AR341" s="6"/>
      <c r="AS341" s="6"/>
      <c r="AT341" s="6"/>
      <c r="AU341" s="6"/>
      <c r="AV341" s="6"/>
      <c r="AW341" s="6"/>
      <c r="AX341" s="7">
        <f>SUM(AQ341:AW341)</f>
        <v>0</v>
      </c>
      <c r="AY341" s="11">
        <f>AP341+AM341-AX341</f>
        <v>1</v>
      </c>
      <c r="AZ341" s="25"/>
      <c r="BA341" s="10" t="str">
        <f t="shared" si="217"/>
        <v>MarçoSEMANA 5Humaytá - Compota de Laranja Kinkan</v>
      </c>
      <c r="BB341" s="7">
        <f>SUMIF(NF!$A:$A,$BA341,NF!$I:$I)</f>
        <v>0</v>
      </c>
      <c r="BC341" s="6"/>
      <c r="BD341" s="6"/>
      <c r="BE341" s="6"/>
      <c r="BF341" s="6"/>
      <c r="BG341" s="6"/>
      <c r="BH341" s="6"/>
      <c r="BI341" s="74"/>
      <c r="BJ341" s="74"/>
      <c r="BK341" s="7">
        <f>SUM(BC341:BJ341)</f>
        <v>0</v>
      </c>
      <c r="BL341" s="8">
        <f>BB341+AY341-BK341</f>
        <v>1</v>
      </c>
      <c r="BM341" s="51" t="str">
        <f>IFERROR(VLOOKUP(A341,NF!$M:$O,3,0),"")</f>
        <v>Feirinha</v>
      </c>
      <c r="BN341" s="7">
        <f>SUM(N341,Z341,AL341,AX341,BK341)</f>
        <v>0</v>
      </c>
      <c r="BO341" s="8">
        <f t="array" ref="BO341">IFERROR(LARGE(IF(NF!$G$2:$G$3137='Mês atual'!A341,NF!$J$2:$J$3137),1),0)*BN341</f>
        <v>0</v>
      </c>
      <c r="BP341" s="50"/>
      <c r="BR341" s="146">
        <f t="array" ref="BR341">IFERROR(LARGE(IF(NF!$G$2:$G$3137='Mês atual'!A341,NF!$J$2:$J$3137),1),0)</f>
        <v>0</v>
      </c>
      <c r="BS341" s="142" t="str">
        <f>VLOOKUP(A341,NF!M:O,3,0)</f>
        <v>Feirinha</v>
      </c>
      <c r="BV341" s="74">
        <f t="shared" si="239"/>
        <v>0</v>
      </c>
      <c r="BW341" s="74">
        <f t="shared" si="240"/>
        <v>0</v>
      </c>
      <c r="BX341" s="74">
        <f t="shared" si="241"/>
        <v>0</v>
      </c>
      <c r="BY341" s="74">
        <f t="shared" si="242"/>
        <v>0</v>
      </c>
      <c r="BZ341" s="74">
        <f t="shared" si="243"/>
        <v>0</v>
      </c>
    </row>
    <row r="342" spans="1:78" x14ac:dyDescent="0.25">
      <c r="A342" s="108" t="s">
        <v>418</v>
      </c>
      <c r="B342" s="12"/>
      <c r="C342" s="9">
        <v>0</v>
      </c>
      <c r="D342" s="25"/>
      <c r="E342" s="10" t="str">
        <f t="shared" si="213"/>
        <v>MarçoSEMANA 1Humaytá - Doce de Abóbora com Côco</v>
      </c>
      <c r="F342" s="7">
        <f>SUMIF(NF!$A:$A,$E342,NF!$I:$I)</f>
        <v>0</v>
      </c>
      <c r="G342" s="74"/>
      <c r="H342" s="74"/>
      <c r="I342" s="74"/>
      <c r="J342" s="6"/>
      <c r="K342" s="6"/>
      <c r="L342" s="6"/>
      <c r="M342" s="6"/>
      <c r="N342" s="7">
        <f t="shared" si="234"/>
        <v>0</v>
      </c>
      <c r="O342" s="11">
        <f t="shared" si="218"/>
        <v>0</v>
      </c>
      <c r="P342" s="25"/>
      <c r="Q342" s="10" t="str">
        <f t="shared" si="214"/>
        <v>MarçoSEMANA 2Humaytá - Doce de Abóbora com Côco</v>
      </c>
      <c r="R342" s="7">
        <f>SUMIF(NF!$A:$A,$Q342,NF!$I:$I)</f>
        <v>0</v>
      </c>
      <c r="S342" s="6"/>
      <c r="T342" s="6"/>
      <c r="U342" s="6"/>
      <c r="V342" s="6"/>
      <c r="W342" s="6"/>
      <c r="X342" s="6"/>
      <c r="Y342" s="6"/>
      <c r="Z342" s="7">
        <f t="shared" si="235"/>
        <v>0</v>
      </c>
      <c r="AA342" s="11">
        <f t="shared" si="219"/>
        <v>0</v>
      </c>
      <c r="AB342" s="25"/>
      <c r="AC342" s="10" t="str">
        <f t="shared" si="215"/>
        <v>MarçoSEMANA 3Humaytá - Doce de Abóbora com Côco</v>
      </c>
      <c r="AD342" s="7">
        <f>SUMIF(NF!$A:$A,$AC342,NF!$I:$I)</f>
        <v>0</v>
      </c>
      <c r="AE342" s="6"/>
      <c r="AF342" s="6"/>
      <c r="AG342" s="6"/>
      <c r="AH342" s="6"/>
      <c r="AI342" s="6"/>
      <c r="AJ342" s="6"/>
      <c r="AK342" s="6"/>
      <c r="AL342" s="7">
        <f t="shared" si="236"/>
        <v>0</v>
      </c>
      <c r="AM342" s="11">
        <f t="shared" si="220"/>
        <v>0</v>
      </c>
      <c r="AN342" s="25"/>
      <c r="AO342" s="10" t="str">
        <f t="shared" si="216"/>
        <v>MarçoSEMANA 4Humaytá - Doce de Abóbora com Côco</v>
      </c>
      <c r="AP342" s="7">
        <f>SUMIF(NF!$A:$A,$AO342,NF!$I:$I)</f>
        <v>0</v>
      </c>
      <c r="AQ342" s="6"/>
      <c r="AR342" s="6"/>
      <c r="AS342" s="6"/>
      <c r="AT342" s="6"/>
      <c r="AU342" s="6"/>
      <c r="AV342" s="6"/>
      <c r="AW342" s="6"/>
      <c r="AX342" s="7">
        <f t="shared" si="237"/>
        <v>0</v>
      </c>
      <c r="AY342" s="11">
        <f t="shared" si="221"/>
        <v>0</v>
      </c>
      <c r="AZ342" s="25"/>
      <c r="BA342" s="10" t="str">
        <f t="shared" si="217"/>
        <v>MarçoSEMANA 5Humaytá - Doce de Abóbora com Côco</v>
      </c>
      <c r="BB342" s="7">
        <f>SUMIF(NF!$A:$A,$BA342,NF!$I:$I)</f>
        <v>0</v>
      </c>
      <c r="BC342" s="6"/>
      <c r="BD342" s="6"/>
      <c r="BE342" s="6"/>
      <c r="BF342" s="6"/>
      <c r="BG342" s="6"/>
      <c r="BH342" s="6"/>
      <c r="BI342" s="74"/>
      <c r="BJ342" s="74"/>
      <c r="BK342" s="7">
        <f t="shared" si="238"/>
        <v>0</v>
      </c>
      <c r="BL342" s="8">
        <f t="shared" si="222"/>
        <v>0</v>
      </c>
      <c r="BM342" s="51" t="str">
        <f>IFERROR(VLOOKUP(A342,NF!$M:$O,3,0),"")</f>
        <v>Feirinha</v>
      </c>
      <c r="BN342" s="7">
        <f t="shared" si="223"/>
        <v>0</v>
      </c>
      <c r="BO342" s="8">
        <f t="array" ref="BO342">IFERROR(LARGE(IF(NF!$G$2:$G$3137='Mês atual'!A342,NF!$J$2:$J$3137),1),0)*BN342</f>
        <v>0</v>
      </c>
      <c r="BP342" s="50"/>
      <c r="BR342" s="146">
        <f t="array" ref="BR342">IFERROR(LARGE(IF(NF!$G$2:$G$3137='Mês atual'!A342,NF!$J$2:$J$3137),1),0)</f>
        <v>0</v>
      </c>
      <c r="BS342" s="142" t="str">
        <f>VLOOKUP(A342,NF!M:O,3,0)</f>
        <v>Feirinha</v>
      </c>
      <c r="BV342" s="74">
        <f t="shared" si="239"/>
        <v>0</v>
      </c>
      <c r="BW342" s="74">
        <f t="shared" si="240"/>
        <v>0</v>
      </c>
      <c r="BX342" s="74">
        <f t="shared" si="241"/>
        <v>0</v>
      </c>
      <c r="BY342" s="74">
        <f t="shared" si="242"/>
        <v>0</v>
      </c>
      <c r="BZ342" s="74">
        <f t="shared" si="243"/>
        <v>0</v>
      </c>
    </row>
    <row r="343" spans="1:78" x14ac:dyDescent="0.25">
      <c r="A343" s="108" t="s">
        <v>419</v>
      </c>
      <c r="B343" s="12"/>
      <c r="C343" s="9">
        <v>1</v>
      </c>
      <c r="D343" s="25"/>
      <c r="E343" s="10" t="str">
        <f t="shared" si="213"/>
        <v>MarçoSEMANA 1Humaytá - Doce de Banana em Calda</v>
      </c>
      <c r="F343" s="7">
        <f>SUMIF(NF!$A:$A,$E343,NF!$I:$I)</f>
        <v>0</v>
      </c>
      <c r="G343" s="74"/>
      <c r="H343" s="74"/>
      <c r="I343" s="74"/>
      <c r="J343" s="6"/>
      <c r="K343" s="6"/>
      <c r="L343" s="6"/>
      <c r="M343" s="6"/>
      <c r="N343" s="7">
        <f t="shared" si="234"/>
        <v>0</v>
      </c>
      <c r="O343" s="11">
        <f t="shared" si="218"/>
        <v>1</v>
      </c>
      <c r="P343" s="25"/>
      <c r="Q343" s="10" t="str">
        <f t="shared" si="214"/>
        <v>MarçoSEMANA 2Humaytá - Doce de Banana em Calda</v>
      </c>
      <c r="R343" s="7">
        <f>SUMIF(NF!$A:$A,$Q343,NF!$I:$I)</f>
        <v>0</v>
      </c>
      <c r="S343" s="6"/>
      <c r="T343" s="6"/>
      <c r="U343" s="6"/>
      <c r="V343" s="6"/>
      <c r="W343" s="6"/>
      <c r="X343" s="6"/>
      <c r="Y343" s="6"/>
      <c r="Z343" s="7">
        <f t="shared" si="235"/>
        <v>0</v>
      </c>
      <c r="AA343" s="11">
        <f t="shared" si="219"/>
        <v>1</v>
      </c>
      <c r="AB343" s="25"/>
      <c r="AC343" s="10" t="str">
        <f t="shared" si="215"/>
        <v>MarçoSEMANA 3Humaytá - Doce de Banana em Calda</v>
      </c>
      <c r="AD343" s="7">
        <f>SUMIF(NF!$A:$A,$AC343,NF!$I:$I)</f>
        <v>0</v>
      </c>
      <c r="AE343" s="6"/>
      <c r="AF343" s="6"/>
      <c r="AG343" s="6"/>
      <c r="AH343" s="6"/>
      <c r="AI343" s="6"/>
      <c r="AJ343" s="6"/>
      <c r="AK343" s="6"/>
      <c r="AL343" s="7">
        <f t="shared" si="236"/>
        <v>0</v>
      </c>
      <c r="AM343" s="11">
        <f t="shared" si="220"/>
        <v>1</v>
      </c>
      <c r="AN343" s="25"/>
      <c r="AO343" s="10" t="str">
        <f t="shared" si="216"/>
        <v>MarçoSEMANA 4Humaytá - Doce de Banana em Calda</v>
      </c>
      <c r="AP343" s="7">
        <f>SUMIF(NF!$A:$A,$AO343,NF!$I:$I)</f>
        <v>0</v>
      </c>
      <c r="AQ343" s="6"/>
      <c r="AR343" s="6"/>
      <c r="AS343" s="6"/>
      <c r="AT343" s="6"/>
      <c r="AU343" s="6"/>
      <c r="AV343" s="6"/>
      <c r="AW343" s="6"/>
      <c r="AX343" s="7">
        <f t="shared" si="237"/>
        <v>0</v>
      </c>
      <c r="AY343" s="11">
        <f t="shared" si="221"/>
        <v>1</v>
      </c>
      <c r="AZ343" s="25"/>
      <c r="BA343" s="10" t="str">
        <f t="shared" si="217"/>
        <v>MarçoSEMANA 5Humaytá - Doce de Banana em Calda</v>
      </c>
      <c r="BB343" s="7">
        <f>SUMIF(NF!$A:$A,$BA343,NF!$I:$I)</f>
        <v>0</v>
      </c>
      <c r="BC343" s="6"/>
      <c r="BD343" s="6"/>
      <c r="BE343" s="6"/>
      <c r="BF343" s="6"/>
      <c r="BG343" s="6"/>
      <c r="BH343" s="6"/>
      <c r="BI343" s="74"/>
      <c r="BJ343" s="74"/>
      <c r="BK343" s="7">
        <f t="shared" si="238"/>
        <v>0</v>
      </c>
      <c r="BL343" s="8">
        <f t="shared" si="222"/>
        <v>1</v>
      </c>
      <c r="BM343" s="51" t="str">
        <f>IFERROR(VLOOKUP(A343,NF!$M:$O,3,0),"")</f>
        <v>Feirinha</v>
      </c>
      <c r="BN343" s="7">
        <f t="shared" si="223"/>
        <v>0</v>
      </c>
      <c r="BO343" s="8">
        <f t="array" ref="BO343">IFERROR(LARGE(IF(NF!$G$2:$G$3137='Mês atual'!A343,NF!$J$2:$J$3137),1),0)*BN343</f>
        <v>0</v>
      </c>
      <c r="BP343" s="50"/>
      <c r="BR343" s="146">
        <f t="array" ref="BR343">IFERROR(LARGE(IF(NF!$G$2:$G$3137='Mês atual'!A343,NF!$J$2:$J$3137),1),0)</f>
        <v>0</v>
      </c>
      <c r="BS343" s="142" t="str">
        <f>VLOOKUP(A343,NF!M:O,3,0)</f>
        <v>Feirinha</v>
      </c>
      <c r="BV343" s="74">
        <f t="shared" si="239"/>
        <v>0</v>
      </c>
      <c r="BW343" s="74">
        <f t="shared" si="240"/>
        <v>0</v>
      </c>
      <c r="BX343" s="74">
        <f t="shared" si="241"/>
        <v>0</v>
      </c>
      <c r="BY343" s="74">
        <f t="shared" si="242"/>
        <v>0</v>
      </c>
      <c r="BZ343" s="74">
        <f t="shared" si="243"/>
        <v>0</v>
      </c>
    </row>
    <row r="344" spans="1:78" x14ac:dyDescent="0.25">
      <c r="A344" s="108" t="s">
        <v>420</v>
      </c>
      <c r="B344" s="12"/>
      <c r="C344" s="9">
        <v>4</v>
      </c>
      <c r="D344" s="25"/>
      <c r="E344" s="10" t="str">
        <f t="shared" si="213"/>
        <v>MarçoSEMANA 1Humaytá - Doce de Côco</v>
      </c>
      <c r="F344" s="7">
        <f>SUMIF(NF!$A:$A,$E344,NF!$I:$I)</f>
        <v>0</v>
      </c>
      <c r="G344" s="74"/>
      <c r="H344" s="74"/>
      <c r="I344" s="74"/>
      <c r="J344" s="6"/>
      <c r="K344" s="6"/>
      <c r="L344" s="6"/>
      <c r="M344" s="6"/>
      <c r="N344" s="7">
        <f t="shared" ref="N344:N351" si="244">SUM(G344:M344)</f>
        <v>0</v>
      </c>
      <c r="O344" s="11">
        <f t="shared" si="218"/>
        <v>4</v>
      </c>
      <c r="P344" s="25"/>
      <c r="Q344" s="10" t="str">
        <f t="shared" si="214"/>
        <v>MarçoSEMANA 2Humaytá - Doce de Côco</v>
      </c>
      <c r="R344" s="7">
        <f>SUMIF(NF!$A:$A,$Q344,NF!$I:$I)</f>
        <v>0</v>
      </c>
      <c r="S344" s="6"/>
      <c r="T344" s="6"/>
      <c r="U344" s="6"/>
      <c r="V344" s="6"/>
      <c r="W344" s="6"/>
      <c r="X344" s="6"/>
      <c r="Y344" s="6"/>
      <c r="Z344" s="7">
        <f t="shared" ref="Z344:Z351" si="245">SUM(S344:Y344)</f>
        <v>0</v>
      </c>
      <c r="AA344" s="11">
        <f t="shared" si="219"/>
        <v>4</v>
      </c>
      <c r="AB344" s="25"/>
      <c r="AC344" s="10" t="str">
        <f t="shared" si="215"/>
        <v>MarçoSEMANA 3Humaytá - Doce de Côco</v>
      </c>
      <c r="AD344" s="7">
        <f>SUMIF(NF!$A:$A,$AC344,NF!$I:$I)</f>
        <v>0</v>
      </c>
      <c r="AE344" s="6"/>
      <c r="AF344" s="6"/>
      <c r="AG344" s="6"/>
      <c r="AH344" s="6"/>
      <c r="AI344" s="6"/>
      <c r="AJ344" s="6"/>
      <c r="AK344" s="6"/>
      <c r="AL344" s="7">
        <f t="shared" ref="AL344:AL351" si="246">SUM(AE344:AK344)</f>
        <v>0</v>
      </c>
      <c r="AM344" s="11">
        <f t="shared" si="220"/>
        <v>4</v>
      </c>
      <c r="AN344" s="25"/>
      <c r="AO344" s="10" t="str">
        <f t="shared" si="216"/>
        <v>MarçoSEMANA 4Humaytá - Doce de Côco</v>
      </c>
      <c r="AP344" s="7">
        <f>SUMIF(NF!$A:$A,$AO344,NF!$I:$I)</f>
        <v>0</v>
      </c>
      <c r="AQ344" s="6"/>
      <c r="AR344" s="6"/>
      <c r="AS344" s="6"/>
      <c r="AT344" s="6"/>
      <c r="AU344" s="6"/>
      <c r="AV344" s="6"/>
      <c r="AW344" s="6"/>
      <c r="AX344" s="7">
        <f t="shared" ref="AX344:AX351" si="247">SUM(AQ344:AW344)</f>
        <v>0</v>
      </c>
      <c r="AY344" s="11">
        <f t="shared" si="221"/>
        <v>4</v>
      </c>
      <c r="AZ344" s="25"/>
      <c r="BA344" s="10" t="str">
        <f t="shared" si="217"/>
        <v>MarçoSEMANA 5Humaytá - Doce de Côco</v>
      </c>
      <c r="BB344" s="7">
        <f>SUMIF(NF!$A:$A,$BA344,NF!$I:$I)</f>
        <v>0</v>
      </c>
      <c r="BC344" s="6"/>
      <c r="BD344" s="6"/>
      <c r="BE344" s="6"/>
      <c r="BF344" s="6"/>
      <c r="BG344" s="6"/>
      <c r="BH344" s="6"/>
      <c r="BI344" s="74"/>
      <c r="BJ344" s="74"/>
      <c r="BK344" s="7">
        <f t="shared" ref="BK344:BK351" si="248">SUM(BC344:BJ344)</f>
        <v>0</v>
      </c>
      <c r="BL344" s="8">
        <f t="shared" si="222"/>
        <v>4</v>
      </c>
      <c r="BM344" s="51" t="str">
        <f>IFERROR(VLOOKUP(A344,NF!$M:$O,3,0),"")</f>
        <v>Feirinha</v>
      </c>
      <c r="BN344" s="7">
        <f t="shared" si="223"/>
        <v>0</v>
      </c>
      <c r="BO344" s="8">
        <f t="array" ref="BO344">IFERROR(LARGE(IF(NF!$G$2:$G$3137='Mês atual'!A344,NF!$J$2:$J$3137),1),0)*BN344</f>
        <v>0</v>
      </c>
      <c r="BP344" s="50"/>
      <c r="BR344" s="146">
        <f t="array" ref="BR344">IFERROR(LARGE(IF(NF!$G$2:$G$3137='Mês atual'!A344,NF!$J$2:$J$3137),1),0)</f>
        <v>0</v>
      </c>
      <c r="BS344" s="142" t="str">
        <f>VLOOKUP(A344,NF!M:O,3,0)</f>
        <v>Feirinha</v>
      </c>
      <c r="BV344" s="74">
        <f t="shared" si="239"/>
        <v>0</v>
      </c>
      <c r="BW344" s="74">
        <f t="shared" si="240"/>
        <v>0</v>
      </c>
      <c r="BX344" s="74">
        <f t="shared" si="241"/>
        <v>0</v>
      </c>
      <c r="BY344" s="74">
        <f t="shared" si="242"/>
        <v>0</v>
      </c>
      <c r="BZ344" s="74">
        <f t="shared" si="243"/>
        <v>0</v>
      </c>
    </row>
    <row r="345" spans="1:78" x14ac:dyDescent="0.25">
      <c r="A345" s="108" t="s">
        <v>421</v>
      </c>
      <c r="B345" s="12"/>
      <c r="C345" s="9">
        <v>0</v>
      </c>
      <c r="D345" s="25"/>
      <c r="E345" s="10" t="str">
        <f t="shared" si="213"/>
        <v>MarçoSEMANA 1Humaytá - Doce de Leite Puro</v>
      </c>
      <c r="F345" s="7">
        <f>SUMIF(NF!$A:$A,$E345,NF!$I:$I)</f>
        <v>0</v>
      </c>
      <c r="G345" s="74"/>
      <c r="H345" s="74"/>
      <c r="I345" s="74"/>
      <c r="J345" s="6"/>
      <c r="K345" s="6"/>
      <c r="L345" s="6"/>
      <c r="M345" s="6"/>
      <c r="N345" s="7">
        <f t="shared" si="244"/>
        <v>0</v>
      </c>
      <c r="O345" s="11">
        <f t="shared" si="218"/>
        <v>0</v>
      </c>
      <c r="P345" s="25"/>
      <c r="Q345" s="10" t="str">
        <f t="shared" si="214"/>
        <v>MarçoSEMANA 2Humaytá - Doce de Leite Puro</v>
      </c>
      <c r="R345" s="7">
        <f>SUMIF(NF!$A:$A,$Q345,NF!$I:$I)</f>
        <v>0</v>
      </c>
      <c r="S345" s="6"/>
      <c r="T345" s="6"/>
      <c r="U345" s="6"/>
      <c r="V345" s="6"/>
      <c r="W345" s="6"/>
      <c r="X345" s="6"/>
      <c r="Y345" s="6"/>
      <c r="Z345" s="7">
        <f t="shared" si="245"/>
        <v>0</v>
      </c>
      <c r="AA345" s="11">
        <f t="shared" si="219"/>
        <v>0</v>
      </c>
      <c r="AB345" s="25"/>
      <c r="AC345" s="10" t="str">
        <f t="shared" si="215"/>
        <v>MarçoSEMANA 3Humaytá - Doce de Leite Puro</v>
      </c>
      <c r="AD345" s="7">
        <f>SUMIF(NF!$A:$A,$AC345,NF!$I:$I)</f>
        <v>0</v>
      </c>
      <c r="AE345" s="6"/>
      <c r="AF345" s="6"/>
      <c r="AG345" s="6"/>
      <c r="AH345" s="6"/>
      <c r="AI345" s="6"/>
      <c r="AJ345" s="6"/>
      <c r="AK345" s="6"/>
      <c r="AL345" s="7">
        <f t="shared" si="246"/>
        <v>0</v>
      </c>
      <c r="AM345" s="11">
        <f t="shared" si="220"/>
        <v>0</v>
      </c>
      <c r="AN345" s="25"/>
      <c r="AO345" s="10" t="str">
        <f t="shared" si="216"/>
        <v>MarçoSEMANA 4Humaytá - Doce de Leite Puro</v>
      </c>
      <c r="AP345" s="7">
        <f>SUMIF(NF!$A:$A,$AO345,NF!$I:$I)</f>
        <v>0</v>
      </c>
      <c r="AQ345" s="6"/>
      <c r="AR345" s="6"/>
      <c r="AS345" s="6"/>
      <c r="AT345" s="6"/>
      <c r="AU345" s="6"/>
      <c r="AV345" s="6"/>
      <c r="AW345" s="6"/>
      <c r="AX345" s="7">
        <f t="shared" si="247"/>
        <v>0</v>
      </c>
      <c r="AY345" s="11">
        <f t="shared" si="221"/>
        <v>0</v>
      </c>
      <c r="AZ345" s="25"/>
      <c r="BA345" s="10" t="str">
        <f t="shared" si="217"/>
        <v>MarçoSEMANA 5Humaytá - Doce de Leite Puro</v>
      </c>
      <c r="BB345" s="7">
        <f>SUMIF(NF!$A:$A,$BA345,NF!$I:$I)</f>
        <v>0</v>
      </c>
      <c r="BC345" s="6"/>
      <c r="BD345" s="6"/>
      <c r="BE345" s="6"/>
      <c r="BF345" s="6"/>
      <c r="BG345" s="6"/>
      <c r="BH345" s="6"/>
      <c r="BI345" s="74"/>
      <c r="BJ345" s="74"/>
      <c r="BK345" s="7">
        <f t="shared" si="248"/>
        <v>0</v>
      </c>
      <c r="BL345" s="8">
        <f t="shared" si="222"/>
        <v>0</v>
      </c>
      <c r="BM345" s="51" t="str">
        <f>IFERROR(VLOOKUP(A345,NF!$M:$O,3,0),"")</f>
        <v>Feirinha</v>
      </c>
      <c r="BN345" s="7">
        <f t="shared" si="223"/>
        <v>0</v>
      </c>
      <c r="BO345" s="8">
        <f t="array" ref="BO345">IFERROR(LARGE(IF(NF!$G$2:$G$3137='Mês atual'!A345,NF!$J$2:$J$3137),1),0)*BN345</f>
        <v>0</v>
      </c>
      <c r="BP345" s="50"/>
      <c r="BR345" s="146">
        <f t="array" ref="BR345">IFERROR(LARGE(IF(NF!$G$2:$G$3137='Mês atual'!A345,NF!$J$2:$J$3137),1),0)</f>
        <v>0</v>
      </c>
      <c r="BS345" s="142" t="str">
        <f>VLOOKUP(A345,NF!M:O,3,0)</f>
        <v>Feirinha</v>
      </c>
      <c r="BV345" s="74">
        <f t="shared" si="239"/>
        <v>0</v>
      </c>
      <c r="BW345" s="74">
        <f t="shared" si="240"/>
        <v>0</v>
      </c>
      <c r="BX345" s="74">
        <f t="shared" si="241"/>
        <v>0</v>
      </c>
      <c r="BY345" s="74">
        <f t="shared" si="242"/>
        <v>0</v>
      </c>
      <c r="BZ345" s="74">
        <f t="shared" si="243"/>
        <v>0</v>
      </c>
    </row>
    <row r="346" spans="1:78" x14ac:dyDescent="0.25">
      <c r="A346" s="108" t="s">
        <v>422</v>
      </c>
      <c r="B346" s="12"/>
      <c r="C346" s="9">
        <v>3</v>
      </c>
      <c r="D346" s="25"/>
      <c r="E346" s="10" t="str">
        <f t="shared" si="213"/>
        <v>MarçoSEMANA 1Humaytá - Doce de Mamão Verde</v>
      </c>
      <c r="F346" s="7">
        <f>SUMIF(NF!$A:$A,$E346,NF!$I:$I)</f>
        <v>0</v>
      </c>
      <c r="G346" s="74"/>
      <c r="H346" s="74"/>
      <c r="I346" s="74"/>
      <c r="J346" s="6"/>
      <c r="K346" s="6"/>
      <c r="L346" s="6"/>
      <c r="M346" s="6"/>
      <c r="N346" s="7">
        <f t="shared" si="244"/>
        <v>0</v>
      </c>
      <c r="O346" s="11">
        <f t="shared" si="218"/>
        <v>3</v>
      </c>
      <c r="P346" s="25"/>
      <c r="Q346" s="10" t="str">
        <f t="shared" si="214"/>
        <v>MarçoSEMANA 2Humaytá - Doce de Mamão Verde</v>
      </c>
      <c r="R346" s="7">
        <f>SUMIF(NF!$A:$A,$Q346,NF!$I:$I)</f>
        <v>0</v>
      </c>
      <c r="S346" s="6">
        <v>1</v>
      </c>
      <c r="T346" s="6"/>
      <c r="U346" s="6"/>
      <c r="V346" s="6"/>
      <c r="W346" s="6"/>
      <c r="X346" s="6"/>
      <c r="Y346" s="6"/>
      <c r="Z346" s="7">
        <f t="shared" si="245"/>
        <v>1</v>
      </c>
      <c r="AA346" s="11">
        <f t="shared" si="219"/>
        <v>2</v>
      </c>
      <c r="AB346" s="25"/>
      <c r="AC346" s="10" t="str">
        <f t="shared" si="215"/>
        <v>MarçoSEMANA 3Humaytá - Doce de Mamão Verde</v>
      </c>
      <c r="AD346" s="7">
        <f>SUMIF(NF!$A:$A,$AC346,NF!$I:$I)</f>
        <v>0</v>
      </c>
      <c r="AE346" s="6"/>
      <c r="AF346" s="6"/>
      <c r="AG346" s="6"/>
      <c r="AH346" s="6"/>
      <c r="AI346" s="6"/>
      <c r="AJ346" s="6"/>
      <c r="AK346" s="6"/>
      <c r="AL346" s="7">
        <f t="shared" si="246"/>
        <v>0</v>
      </c>
      <c r="AM346" s="11">
        <f t="shared" si="220"/>
        <v>2</v>
      </c>
      <c r="AN346" s="25"/>
      <c r="AO346" s="10" t="str">
        <f t="shared" si="216"/>
        <v>MarçoSEMANA 4Humaytá - Doce de Mamão Verde</v>
      </c>
      <c r="AP346" s="7">
        <f>SUMIF(NF!$A:$A,$AO346,NF!$I:$I)</f>
        <v>0</v>
      </c>
      <c r="AQ346" s="6"/>
      <c r="AR346" s="6"/>
      <c r="AS346" s="6"/>
      <c r="AT346" s="6"/>
      <c r="AU346" s="6"/>
      <c r="AV346" s="6"/>
      <c r="AW346" s="6"/>
      <c r="AX346" s="7">
        <f t="shared" si="247"/>
        <v>0</v>
      </c>
      <c r="AY346" s="11">
        <f t="shared" si="221"/>
        <v>2</v>
      </c>
      <c r="AZ346" s="25"/>
      <c r="BA346" s="10" t="str">
        <f t="shared" si="217"/>
        <v>MarçoSEMANA 5Humaytá - Doce de Mamão Verde</v>
      </c>
      <c r="BB346" s="7">
        <f>SUMIF(NF!$A:$A,$BA346,NF!$I:$I)</f>
        <v>0</v>
      </c>
      <c r="BC346" s="6"/>
      <c r="BD346" s="6"/>
      <c r="BE346" s="6"/>
      <c r="BF346" s="6"/>
      <c r="BG346" s="6"/>
      <c r="BH346" s="6"/>
      <c r="BI346" s="74"/>
      <c r="BJ346" s="74"/>
      <c r="BK346" s="7">
        <f t="shared" si="248"/>
        <v>0</v>
      </c>
      <c r="BL346" s="8">
        <f t="shared" si="222"/>
        <v>2</v>
      </c>
      <c r="BM346" s="51" t="str">
        <f>IFERROR(VLOOKUP(A346,NF!$M:$O,3,0),"")</f>
        <v>Feirinha</v>
      </c>
      <c r="BN346" s="7">
        <f t="shared" si="223"/>
        <v>1</v>
      </c>
      <c r="BO346" s="8">
        <f t="array" ref="BO346">IFERROR(LARGE(IF(NF!$G$2:$G$3137='Mês atual'!A346,NF!$J$2:$J$3137),1),0)*BN346</f>
        <v>0</v>
      </c>
      <c r="BP346" s="50"/>
      <c r="BR346" s="146">
        <f t="array" ref="BR346">IFERROR(LARGE(IF(NF!$G$2:$G$3137='Mês atual'!A346,NF!$J$2:$J$3137),1),0)</f>
        <v>0</v>
      </c>
      <c r="BS346" s="142" t="str">
        <f>VLOOKUP(A346,NF!M:O,3,0)</f>
        <v>Feirinha</v>
      </c>
      <c r="BV346" s="74">
        <f t="shared" si="239"/>
        <v>0</v>
      </c>
      <c r="BW346" s="74">
        <f t="shared" si="240"/>
        <v>1</v>
      </c>
      <c r="BX346" s="74">
        <f t="shared" si="241"/>
        <v>0</v>
      </c>
      <c r="BY346" s="74">
        <f t="shared" si="242"/>
        <v>0</v>
      </c>
      <c r="BZ346" s="74">
        <f t="shared" si="243"/>
        <v>0</v>
      </c>
    </row>
    <row r="347" spans="1:78" x14ac:dyDescent="0.25">
      <c r="A347" s="108" t="s">
        <v>423</v>
      </c>
      <c r="B347" s="12"/>
      <c r="C347" s="9">
        <v>0</v>
      </c>
      <c r="D347" s="25"/>
      <c r="E347" s="10" t="str">
        <f t="shared" si="213"/>
        <v>MarçoSEMANA 1Humaytá - Geléia de Alecrim</v>
      </c>
      <c r="F347" s="7">
        <f>SUMIF(NF!$A:$A,$E347,NF!$I:$I)</f>
        <v>0</v>
      </c>
      <c r="G347" s="74"/>
      <c r="H347" s="74"/>
      <c r="I347" s="74"/>
      <c r="J347" s="6"/>
      <c r="K347" s="6"/>
      <c r="L347" s="6"/>
      <c r="M347" s="6"/>
      <c r="N347" s="7">
        <f t="shared" si="244"/>
        <v>0</v>
      </c>
      <c r="O347" s="11">
        <f t="shared" si="218"/>
        <v>0</v>
      </c>
      <c r="P347" s="25"/>
      <c r="Q347" s="10" t="str">
        <f t="shared" si="214"/>
        <v>MarçoSEMANA 2Humaytá - Geléia de Alecrim</v>
      </c>
      <c r="R347" s="7">
        <f>SUMIF(NF!$A:$A,$Q347,NF!$I:$I)</f>
        <v>0</v>
      </c>
      <c r="S347" s="6"/>
      <c r="T347" s="6"/>
      <c r="U347" s="6"/>
      <c r="V347" s="6"/>
      <c r="W347" s="6"/>
      <c r="X347" s="6"/>
      <c r="Y347" s="6"/>
      <c r="Z347" s="7">
        <f t="shared" si="245"/>
        <v>0</v>
      </c>
      <c r="AA347" s="11">
        <f t="shared" si="219"/>
        <v>0</v>
      </c>
      <c r="AB347" s="25"/>
      <c r="AC347" s="10" t="str">
        <f t="shared" si="215"/>
        <v>MarçoSEMANA 3Humaytá - Geléia de Alecrim</v>
      </c>
      <c r="AD347" s="7">
        <f>SUMIF(NF!$A:$A,$AC347,NF!$I:$I)</f>
        <v>0</v>
      </c>
      <c r="AE347" s="6"/>
      <c r="AF347" s="6"/>
      <c r="AG347" s="6"/>
      <c r="AH347" s="6"/>
      <c r="AI347" s="6"/>
      <c r="AJ347" s="6"/>
      <c r="AK347" s="6"/>
      <c r="AL347" s="7">
        <f t="shared" si="246"/>
        <v>0</v>
      </c>
      <c r="AM347" s="11">
        <f t="shared" si="220"/>
        <v>0</v>
      </c>
      <c r="AN347" s="25"/>
      <c r="AO347" s="10" t="str">
        <f t="shared" si="216"/>
        <v>MarçoSEMANA 4Humaytá - Geléia de Alecrim</v>
      </c>
      <c r="AP347" s="7">
        <f>SUMIF(NF!$A:$A,$AO347,NF!$I:$I)</f>
        <v>0</v>
      </c>
      <c r="AQ347" s="6"/>
      <c r="AR347" s="6"/>
      <c r="AS347" s="6"/>
      <c r="AT347" s="6"/>
      <c r="AU347" s="6"/>
      <c r="AV347" s="6"/>
      <c r="AW347" s="6"/>
      <c r="AX347" s="7">
        <f t="shared" si="247"/>
        <v>0</v>
      </c>
      <c r="AY347" s="11">
        <f t="shared" si="221"/>
        <v>0</v>
      </c>
      <c r="AZ347" s="25"/>
      <c r="BA347" s="10" t="str">
        <f t="shared" si="217"/>
        <v>MarçoSEMANA 5Humaytá - Geléia de Alecrim</v>
      </c>
      <c r="BB347" s="7">
        <f>SUMIF(NF!$A:$A,$BA347,NF!$I:$I)</f>
        <v>0</v>
      </c>
      <c r="BC347" s="6"/>
      <c r="BD347" s="6"/>
      <c r="BE347" s="6"/>
      <c r="BF347" s="6"/>
      <c r="BG347" s="6"/>
      <c r="BH347" s="6"/>
      <c r="BI347" s="74"/>
      <c r="BJ347" s="74"/>
      <c r="BK347" s="7">
        <f t="shared" si="248"/>
        <v>0</v>
      </c>
      <c r="BL347" s="8">
        <f t="shared" si="222"/>
        <v>0</v>
      </c>
      <c r="BM347" s="51" t="str">
        <f>IFERROR(VLOOKUP(A347,NF!$M:$O,3,0),"")</f>
        <v>Feirinha</v>
      </c>
      <c r="BN347" s="7">
        <f t="shared" si="223"/>
        <v>0</v>
      </c>
      <c r="BO347" s="8">
        <f t="array" ref="BO347">IFERROR(LARGE(IF(NF!$G$2:$G$3137='Mês atual'!A347,NF!$J$2:$J$3137),1),0)*BN347</f>
        <v>0</v>
      </c>
      <c r="BP347" s="50"/>
      <c r="BR347" s="146">
        <f t="array" ref="BR347">IFERROR(LARGE(IF(NF!$G$2:$G$3137='Mês atual'!A347,NF!$J$2:$J$3137),1),0)</f>
        <v>0</v>
      </c>
      <c r="BS347" s="142" t="str">
        <f>VLOOKUP(A347,NF!M:O,3,0)</f>
        <v>Feirinha</v>
      </c>
      <c r="BV347" s="74">
        <f t="shared" si="239"/>
        <v>0</v>
      </c>
      <c r="BW347" s="74">
        <f t="shared" si="240"/>
        <v>0</v>
      </c>
      <c r="BX347" s="74">
        <f t="shared" si="241"/>
        <v>0</v>
      </c>
      <c r="BY347" s="74">
        <f t="shared" si="242"/>
        <v>0</v>
      </c>
      <c r="BZ347" s="74">
        <f t="shared" si="243"/>
        <v>0</v>
      </c>
    </row>
    <row r="348" spans="1:78" x14ac:dyDescent="0.25">
      <c r="A348" s="108" t="s">
        <v>946</v>
      </c>
      <c r="B348" s="12"/>
      <c r="C348" s="9">
        <v>0</v>
      </c>
      <c r="D348" s="25"/>
      <c r="E348" s="10" t="str">
        <f t="shared" si="213"/>
        <v>MarçoSEMANA 1Humayta - Geléia de Ameixa c/ Nozes</v>
      </c>
      <c r="F348" s="7">
        <f>SUMIF(NF!$A:$A,$E348,NF!$I:$I)</f>
        <v>0</v>
      </c>
      <c r="G348" s="74"/>
      <c r="H348" s="74"/>
      <c r="I348" s="74"/>
      <c r="J348" s="6"/>
      <c r="K348" s="6"/>
      <c r="L348" s="6"/>
      <c r="M348" s="6"/>
      <c r="N348" s="7">
        <f t="shared" si="244"/>
        <v>0</v>
      </c>
      <c r="O348" s="11">
        <f t="shared" si="218"/>
        <v>0</v>
      </c>
      <c r="P348" s="25"/>
      <c r="Q348" s="10" t="str">
        <f t="shared" si="214"/>
        <v>MarçoSEMANA 2Humayta - Geléia de Ameixa c/ Nozes</v>
      </c>
      <c r="R348" s="7">
        <f>SUMIF(NF!$A:$A,$Q348,NF!$I:$I)</f>
        <v>0</v>
      </c>
      <c r="S348" s="6"/>
      <c r="T348" s="6"/>
      <c r="U348" s="6"/>
      <c r="V348" s="6"/>
      <c r="W348" s="6"/>
      <c r="X348" s="6"/>
      <c r="Y348" s="6"/>
      <c r="Z348" s="7">
        <f t="shared" si="245"/>
        <v>0</v>
      </c>
      <c r="AA348" s="11">
        <f t="shared" si="219"/>
        <v>0</v>
      </c>
      <c r="AB348" s="25"/>
      <c r="AC348" s="10" t="str">
        <f t="shared" si="215"/>
        <v>MarçoSEMANA 3Humayta - Geléia de Ameixa c/ Nozes</v>
      </c>
      <c r="AD348" s="7">
        <f>SUMIF(NF!$A:$A,$AC348,NF!$I:$I)</f>
        <v>0</v>
      </c>
      <c r="AE348" s="6"/>
      <c r="AF348" s="6"/>
      <c r="AG348" s="6"/>
      <c r="AH348" s="6"/>
      <c r="AI348" s="6"/>
      <c r="AJ348" s="6"/>
      <c r="AK348" s="6"/>
      <c r="AL348" s="7">
        <f t="shared" si="246"/>
        <v>0</v>
      </c>
      <c r="AM348" s="11">
        <f t="shared" si="220"/>
        <v>0</v>
      </c>
      <c r="AN348" s="25"/>
      <c r="AO348" s="10" t="str">
        <f t="shared" si="216"/>
        <v>MarçoSEMANA 4Humayta - Geléia de Ameixa c/ Nozes</v>
      </c>
      <c r="AP348" s="7">
        <f>SUMIF(NF!$A:$A,$AO348,NF!$I:$I)</f>
        <v>0</v>
      </c>
      <c r="AQ348" s="6"/>
      <c r="AR348" s="6"/>
      <c r="AS348" s="6"/>
      <c r="AT348" s="6"/>
      <c r="AU348" s="6"/>
      <c r="AV348" s="6"/>
      <c r="AW348" s="6"/>
      <c r="AX348" s="7">
        <f t="shared" si="247"/>
        <v>0</v>
      </c>
      <c r="AY348" s="11">
        <f t="shared" si="221"/>
        <v>0</v>
      </c>
      <c r="AZ348" s="25"/>
      <c r="BA348" s="10" t="str">
        <f t="shared" si="217"/>
        <v>MarçoSEMANA 5Humayta - Geléia de Ameixa c/ Nozes</v>
      </c>
      <c r="BB348" s="7">
        <f>SUMIF(NF!$A:$A,$BA348,NF!$I:$I)</f>
        <v>0</v>
      </c>
      <c r="BC348" s="6"/>
      <c r="BD348" s="6"/>
      <c r="BE348" s="6"/>
      <c r="BF348" s="6"/>
      <c r="BG348" s="6"/>
      <c r="BH348" s="6"/>
      <c r="BI348" s="74"/>
      <c r="BJ348" s="74"/>
      <c r="BK348" s="7">
        <f t="shared" si="248"/>
        <v>0</v>
      </c>
      <c r="BL348" s="8">
        <f t="shared" si="222"/>
        <v>0</v>
      </c>
      <c r="BM348" s="51" t="str">
        <f>IFERROR(VLOOKUP(A348,NF!$M:$O,3,0),"")</f>
        <v>Feirinha</v>
      </c>
      <c r="BN348" s="7">
        <f t="shared" si="223"/>
        <v>0</v>
      </c>
      <c r="BO348" s="8">
        <f t="array" ref="BO348">IFERROR(LARGE(IF(NF!$G$2:$G$3137='Mês atual'!A348,NF!$J$2:$J$3137),1),0)*BN348</f>
        <v>0</v>
      </c>
      <c r="BP348" s="50"/>
      <c r="BR348" s="146">
        <f t="array" ref="BR348">IFERROR(LARGE(IF(NF!$G$2:$G$3137='Mês atual'!A348,NF!$J$2:$J$3137),1),0)</f>
        <v>0</v>
      </c>
      <c r="BS348" s="142" t="str">
        <f>VLOOKUP(A348,NF!M:O,3,0)</f>
        <v>Feirinha</v>
      </c>
      <c r="BV348" s="74">
        <f t="shared" si="239"/>
        <v>0</v>
      </c>
      <c r="BW348" s="74">
        <f t="shared" si="240"/>
        <v>0</v>
      </c>
      <c r="BX348" s="74">
        <f t="shared" si="241"/>
        <v>0</v>
      </c>
      <c r="BY348" s="74">
        <f t="shared" si="242"/>
        <v>0</v>
      </c>
      <c r="BZ348" s="74">
        <f t="shared" si="243"/>
        <v>0</v>
      </c>
    </row>
    <row r="349" spans="1:78" x14ac:dyDescent="0.25">
      <c r="A349" s="108" t="s">
        <v>424</v>
      </c>
      <c r="B349" s="12"/>
      <c r="C349" s="9">
        <v>0</v>
      </c>
      <c r="D349" s="25"/>
      <c r="E349" s="10" t="str">
        <f t="shared" si="213"/>
        <v>MarçoSEMANA 1Humaytá - Geléia de Amora</v>
      </c>
      <c r="F349" s="7">
        <f>SUMIF(NF!$A:$A,$E349,NF!$I:$I)</f>
        <v>0</v>
      </c>
      <c r="G349" s="74"/>
      <c r="H349" s="74"/>
      <c r="I349" s="74"/>
      <c r="J349" s="6"/>
      <c r="K349" s="6"/>
      <c r="L349" s="6"/>
      <c r="M349" s="6"/>
      <c r="N349" s="7">
        <f t="shared" si="244"/>
        <v>0</v>
      </c>
      <c r="O349" s="11">
        <f t="shared" si="218"/>
        <v>0</v>
      </c>
      <c r="P349" s="25"/>
      <c r="Q349" s="10" t="str">
        <f t="shared" si="214"/>
        <v>MarçoSEMANA 2Humaytá - Geléia de Amora</v>
      </c>
      <c r="R349" s="7">
        <f>SUMIF(NF!$A:$A,$Q349,NF!$I:$I)</f>
        <v>0</v>
      </c>
      <c r="S349" s="6"/>
      <c r="T349" s="6"/>
      <c r="U349" s="6"/>
      <c r="V349" s="6"/>
      <c r="W349" s="6"/>
      <c r="X349" s="6"/>
      <c r="Y349" s="6"/>
      <c r="Z349" s="7">
        <f t="shared" si="245"/>
        <v>0</v>
      </c>
      <c r="AA349" s="11">
        <f t="shared" si="219"/>
        <v>0</v>
      </c>
      <c r="AB349" s="25"/>
      <c r="AC349" s="10" t="str">
        <f t="shared" si="215"/>
        <v>MarçoSEMANA 3Humaytá - Geléia de Amora</v>
      </c>
      <c r="AD349" s="7">
        <f>SUMIF(NF!$A:$A,$AC349,NF!$I:$I)</f>
        <v>0</v>
      </c>
      <c r="AE349" s="6"/>
      <c r="AF349" s="6"/>
      <c r="AG349" s="6"/>
      <c r="AH349" s="6"/>
      <c r="AI349" s="6"/>
      <c r="AJ349" s="6"/>
      <c r="AK349" s="6"/>
      <c r="AL349" s="7">
        <f t="shared" si="246"/>
        <v>0</v>
      </c>
      <c r="AM349" s="11">
        <f t="shared" si="220"/>
        <v>0</v>
      </c>
      <c r="AN349" s="25"/>
      <c r="AO349" s="10" t="str">
        <f t="shared" si="216"/>
        <v>MarçoSEMANA 4Humaytá - Geléia de Amora</v>
      </c>
      <c r="AP349" s="7">
        <f>SUMIF(NF!$A:$A,$AO349,NF!$I:$I)</f>
        <v>0</v>
      </c>
      <c r="AQ349" s="6"/>
      <c r="AR349" s="6"/>
      <c r="AS349" s="6"/>
      <c r="AT349" s="6"/>
      <c r="AU349" s="6"/>
      <c r="AV349" s="6"/>
      <c r="AW349" s="6"/>
      <c r="AX349" s="7">
        <f t="shared" si="247"/>
        <v>0</v>
      </c>
      <c r="AY349" s="11">
        <f t="shared" si="221"/>
        <v>0</v>
      </c>
      <c r="AZ349" s="25"/>
      <c r="BA349" s="10" t="str">
        <f t="shared" si="217"/>
        <v>MarçoSEMANA 5Humaytá - Geléia de Amora</v>
      </c>
      <c r="BB349" s="7">
        <f>SUMIF(NF!$A:$A,$BA349,NF!$I:$I)</f>
        <v>0</v>
      </c>
      <c r="BC349" s="6"/>
      <c r="BD349" s="6"/>
      <c r="BE349" s="6"/>
      <c r="BF349" s="6"/>
      <c r="BG349" s="6"/>
      <c r="BH349" s="6"/>
      <c r="BI349" s="74"/>
      <c r="BJ349" s="74"/>
      <c r="BK349" s="7">
        <f t="shared" si="248"/>
        <v>0</v>
      </c>
      <c r="BL349" s="8">
        <f t="shared" si="222"/>
        <v>0</v>
      </c>
      <c r="BM349" s="51" t="str">
        <f>IFERROR(VLOOKUP(A349,NF!$M:$O,3,0),"")</f>
        <v>Feirinha</v>
      </c>
      <c r="BN349" s="7">
        <f t="shared" si="223"/>
        <v>0</v>
      </c>
      <c r="BO349" s="8">
        <f t="array" ref="BO349">IFERROR(LARGE(IF(NF!$G$2:$G$3137='Mês atual'!A349,NF!$J$2:$J$3137),1),0)*BN349</f>
        <v>0</v>
      </c>
      <c r="BP349" s="50"/>
      <c r="BR349" s="146">
        <f t="array" ref="BR349">IFERROR(LARGE(IF(NF!$G$2:$G$3137='Mês atual'!A349,NF!$J$2:$J$3137),1),0)</f>
        <v>0</v>
      </c>
      <c r="BS349" s="142" t="str">
        <f>VLOOKUP(A349,NF!M:O,3,0)</f>
        <v>Feirinha</v>
      </c>
      <c r="BV349" s="74">
        <f t="shared" si="239"/>
        <v>0</v>
      </c>
      <c r="BW349" s="74">
        <f t="shared" si="240"/>
        <v>0</v>
      </c>
      <c r="BX349" s="74">
        <f t="shared" si="241"/>
        <v>0</v>
      </c>
      <c r="BY349" s="74">
        <f t="shared" si="242"/>
        <v>0</v>
      </c>
      <c r="BZ349" s="74">
        <f t="shared" si="243"/>
        <v>0</v>
      </c>
    </row>
    <row r="350" spans="1:78" x14ac:dyDescent="0.25">
      <c r="A350" s="108" t="s">
        <v>425</v>
      </c>
      <c r="B350" s="12"/>
      <c r="C350" s="9">
        <v>0</v>
      </c>
      <c r="D350" s="25"/>
      <c r="E350" s="10" t="str">
        <f t="shared" si="213"/>
        <v>MarçoSEMANA 1Humaytá - Geléia de Damasco</v>
      </c>
      <c r="F350" s="7">
        <f>SUMIF(NF!$A:$A,$E350,NF!$I:$I)</f>
        <v>0</v>
      </c>
      <c r="G350" s="74"/>
      <c r="H350" s="74"/>
      <c r="I350" s="74"/>
      <c r="J350" s="6"/>
      <c r="K350" s="6"/>
      <c r="L350" s="6"/>
      <c r="M350" s="6"/>
      <c r="N350" s="7">
        <f t="shared" si="244"/>
        <v>0</v>
      </c>
      <c r="O350" s="11">
        <f t="shared" si="218"/>
        <v>0</v>
      </c>
      <c r="P350" s="25"/>
      <c r="Q350" s="10" t="str">
        <f t="shared" si="214"/>
        <v>MarçoSEMANA 2Humaytá - Geléia de Damasco</v>
      </c>
      <c r="R350" s="7">
        <f>SUMIF(NF!$A:$A,$Q350,NF!$I:$I)</f>
        <v>0</v>
      </c>
      <c r="S350" s="6"/>
      <c r="T350" s="6"/>
      <c r="U350" s="6"/>
      <c r="V350" s="6"/>
      <c r="W350" s="6"/>
      <c r="X350" s="6"/>
      <c r="Y350" s="6"/>
      <c r="Z350" s="7">
        <f t="shared" si="245"/>
        <v>0</v>
      </c>
      <c r="AA350" s="11">
        <f t="shared" si="219"/>
        <v>0</v>
      </c>
      <c r="AB350" s="25"/>
      <c r="AC350" s="10" t="str">
        <f t="shared" si="215"/>
        <v>MarçoSEMANA 3Humaytá - Geléia de Damasco</v>
      </c>
      <c r="AD350" s="7">
        <f>SUMIF(NF!$A:$A,$AC350,NF!$I:$I)</f>
        <v>0</v>
      </c>
      <c r="AE350" s="6"/>
      <c r="AF350" s="6"/>
      <c r="AG350" s="6"/>
      <c r="AH350" s="6"/>
      <c r="AI350" s="6"/>
      <c r="AJ350" s="6"/>
      <c r="AK350" s="6"/>
      <c r="AL350" s="7">
        <f t="shared" si="246"/>
        <v>0</v>
      </c>
      <c r="AM350" s="11">
        <f t="shared" si="220"/>
        <v>0</v>
      </c>
      <c r="AN350" s="25"/>
      <c r="AO350" s="10" t="str">
        <f t="shared" si="216"/>
        <v>MarçoSEMANA 4Humaytá - Geléia de Damasco</v>
      </c>
      <c r="AP350" s="7">
        <f>SUMIF(NF!$A:$A,$AO350,NF!$I:$I)</f>
        <v>0</v>
      </c>
      <c r="AQ350" s="6"/>
      <c r="AR350" s="6"/>
      <c r="AS350" s="6"/>
      <c r="AT350" s="6"/>
      <c r="AU350" s="6"/>
      <c r="AV350" s="6"/>
      <c r="AW350" s="6"/>
      <c r="AX350" s="7">
        <f t="shared" si="247"/>
        <v>0</v>
      </c>
      <c r="AY350" s="11">
        <f t="shared" si="221"/>
        <v>0</v>
      </c>
      <c r="AZ350" s="25"/>
      <c r="BA350" s="10" t="str">
        <f t="shared" si="217"/>
        <v>MarçoSEMANA 5Humaytá - Geléia de Damasco</v>
      </c>
      <c r="BB350" s="7">
        <f>SUMIF(NF!$A:$A,$BA350,NF!$I:$I)</f>
        <v>0</v>
      </c>
      <c r="BC350" s="6"/>
      <c r="BD350" s="6"/>
      <c r="BE350" s="6"/>
      <c r="BF350" s="6"/>
      <c r="BG350" s="6"/>
      <c r="BH350" s="6"/>
      <c r="BI350" s="74"/>
      <c r="BJ350" s="74"/>
      <c r="BK350" s="7">
        <f t="shared" si="248"/>
        <v>0</v>
      </c>
      <c r="BL350" s="8">
        <f t="shared" si="222"/>
        <v>0</v>
      </c>
      <c r="BM350" s="51" t="str">
        <f>IFERROR(VLOOKUP(A350,NF!$M:$O,3,0),"")</f>
        <v>Feirinha</v>
      </c>
      <c r="BN350" s="7">
        <f t="shared" si="223"/>
        <v>0</v>
      </c>
      <c r="BO350" s="8">
        <f t="array" ref="BO350">IFERROR(LARGE(IF(NF!$G$2:$G$3137='Mês atual'!A350,NF!$J$2:$J$3137),1),0)*BN350</f>
        <v>0</v>
      </c>
      <c r="BP350" s="50"/>
      <c r="BR350" s="146">
        <f t="array" ref="BR350">IFERROR(LARGE(IF(NF!$G$2:$G$3137='Mês atual'!A350,NF!$J$2:$J$3137),1),0)</f>
        <v>0</v>
      </c>
      <c r="BS350" s="142" t="str">
        <f>VLOOKUP(A350,NF!M:O,3,0)</f>
        <v>Feirinha</v>
      </c>
      <c r="BV350" s="74">
        <f t="shared" si="239"/>
        <v>0</v>
      </c>
      <c r="BW350" s="74">
        <f t="shared" si="240"/>
        <v>0</v>
      </c>
      <c r="BX350" s="74">
        <f t="shared" si="241"/>
        <v>0</v>
      </c>
      <c r="BY350" s="74">
        <f t="shared" si="242"/>
        <v>0</v>
      </c>
      <c r="BZ350" s="74">
        <f t="shared" si="243"/>
        <v>0</v>
      </c>
    </row>
    <row r="351" spans="1:78" x14ac:dyDescent="0.25">
      <c r="A351" s="108" t="s">
        <v>947</v>
      </c>
      <c r="B351" s="12"/>
      <c r="C351" s="9">
        <v>0</v>
      </c>
      <c r="D351" s="25"/>
      <c r="E351" s="10" t="str">
        <f t="shared" si="213"/>
        <v>MarçoSEMANA 1Humayta - Geléia de Damasco c/ Amendoas</v>
      </c>
      <c r="F351" s="7">
        <f>SUMIF(NF!$A:$A,$E351,NF!$I:$I)</f>
        <v>0</v>
      </c>
      <c r="G351" s="74"/>
      <c r="H351" s="74"/>
      <c r="I351" s="74"/>
      <c r="J351" s="6"/>
      <c r="K351" s="6"/>
      <c r="L351" s="6"/>
      <c r="M351" s="6"/>
      <c r="N351" s="7">
        <f t="shared" si="244"/>
        <v>0</v>
      </c>
      <c r="O351" s="11">
        <f t="shared" si="218"/>
        <v>0</v>
      </c>
      <c r="P351" s="25"/>
      <c r="Q351" s="10" t="str">
        <f t="shared" si="214"/>
        <v>MarçoSEMANA 2Humayta - Geléia de Damasco c/ Amendoas</v>
      </c>
      <c r="R351" s="7">
        <f>SUMIF(NF!$A:$A,$Q351,NF!$I:$I)</f>
        <v>0</v>
      </c>
      <c r="S351" s="6"/>
      <c r="T351" s="6"/>
      <c r="U351" s="6"/>
      <c r="V351" s="6"/>
      <c r="W351" s="6"/>
      <c r="X351" s="6"/>
      <c r="Y351" s="6"/>
      <c r="Z351" s="7">
        <f t="shared" si="245"/>
        <v>0</v>
      </c>
      <c r="AA351" s="11">
        <f t="shared" si="219"/>
        <v>0</v>
      </c>
      <c r="AB351" s="25"/>
      <c r="AC351" s="10" t="str">
        <f t="shared" si="215"/>
        <v>MarçoSEMANA 3Humayta - Geléia de Damasco c/ Amendoas</v>
      </c>
      <c r="AD351" s="7">
        <f>SUMIF(NF!$A:$A,$AC351,NF!$I:$I)</f>
        <v>0</v>
      </c>
      <c r="AE351" s="6"/>
      <c r="AF351" s="6"/>
      <c r="AG351" s="6"/>
      <c r="AH351" s="6"/>
      <c r="AI351" s="6"/>
      <c r="AJ351" s="6"/>
      <c r="AK351" s="6"/>
      <c r="AL351" s="7">
        <f t="shared" si="246"/>
        <v>0</v>
      </c>
      <c r="AM351" s="11">
        <f t="shared" si="220"/>
        <v>0</v>
      </c>
      <c r="AN351" s="25"/>
      <c r="AO351" s="10" t="str">
        <f t="shared" si="216"/>
        <v>MarçoSEMANA 4Humayta - Geléia de Damasco c/ Amendoas</v>
      </c>
      <c r="AP351" s="7">
        <f>SUMIF(NF!$A:$A,$AO351,NF!$I:$I)</f>
        <v>0</v>
      </c>
      <c r="AQ351" s="6"/>
      <c r="AR351" s="6"/>
      <c r="AS351" s="6"/>
      <c r="AT351" s="6"/>
      <c r="AU351" s="6"/>
      <c r="AV351" s="6"/>
      <c r="AW351" s="6"/>
      <c r="AX351" s="7">
        <f t="shared" si="247"/>
        <v>0</v>
      </c>
      <c r="AY351" s="11">
        <f t="shared" si="221"/>
        <v>0</v>
      </c>
      <c r="AZ351" s="25"/>
      <c r="BA351" s="10" t="str">
        <f t="shared" si="217"/>
        <v>MarçoSEMANA 5Humayta - Geléia de Damasco c/ Amendoas</v>
      </c>
      <c r="BB351" s="7">
        <f>SUMIF(NF!$A:$A,$BA351,NF!$I:$I)</f>
        <v>0</v>
      </c>
      <c r="BC351" s="6"/>
      <c r="BD351" s="6"/>
      <c r="BE351" s="6"/>
      <c r="BF351" s="6"/>
      <c r="BG351" s="6"/>
      <c r="BH351" s="6"/>
      <c r="BI351" s="74"/>
      <c r="BJ351" s="74"/>
      <c r="BK351" s="7">
        <f t="shared" si="248"/>
        <v>0</v>
      </c>
      <c r="BL351" s="8">
        <f t="shared" si="222"/>
        <v>0</v>
      </c>
      <c r="BM351" s="51" t="str">
        <f>IFERROR(VLOOKUP(A351,NF!$M:$O,3,0),"")</f>
        <v>Feirinha</v>
      </c>
      <c r="BN351" s="7">
        <f t="shared" si="223"/>
        <v>0</v>
      </c>
      <c r="BO351" s="8">
        <f t="array" ref="BO351">IFERROR(LARGE(IF(NF!$G$2:$G$3137='Mês atual'!A351,NF!$J$2:$J$3137),1),0)*BN351</f>
        <v>0</v>
      </c>
      <c r="BP351" s="50"/>
      <c r="BR351" s="146">
        <f t="array" ref="BR351">IFERROR(LARGE(IF(NF!$G$2:$G$3137='Mês atual'!A351,NF!$J$2:$J$3137),1),0)</f>
        <v>0</v>
      </c>
      <c r="BS351" s="142" t="str">
        <f>VLOOKUP(A351,NF!M:O,3,0)</f>
        <v>Feirinha</v>
      </c>
      <c r="BV351" s="74">
        <f t="shared" si="239"/>
        <v>0</v>
      </c>
      <c r="BW351" s="74">
        <f t="shared" si="240"/>
        <v>0</v>
      </c>
      <c r="BX351" s="74">
        <f t="shared" si="241"/>
        <v>0</v>
      </c>
      <c r="BY351" s="74">
        <f t="shared" si="242"/>
        <v>0</v>
      </c>
      <c r="BZ351" s="74">
        <f t="shared" si="243"/>
        <v>0</v>
      </c>
    </row>
    <row r="352" spans="1:78" x14ac:dyDescent="0.25">
      <c r="A352" s="108" t="s">
        <v>426</v>
      </c>
      <c r="B352" s="12"/>
      <c r="C352" s="9">
        <v>0</v>
      </c>
      <c r="D352" s="25"/>
      <c r="E352" s="10" t="str">
        <f t="shared" si="213"/>
        <v>MarçoSEMANA 1Humaytá - Geléia de Figo</v>
      </c>
      <c r="F352" s="7">
        <f>SUMIF(NF!$A:$A,$E352,NF!$I:$I)</f>
        <v>0</v>
      </c>
      <c r="G352" s="74"/>
      <c r="H352" s="74"/>
      <c r="I352" s="74"/>
      <c r="J352" s="6"/>
      <c r="K352" s="6"/>
      <c r="L352" s="6"/>
      <c r="M352" s="6"/>
      <c r="N352" s="7">
        <f t="shared" ref="N352:N376" si="249">SUM(G352:M352)</f>
        <v>0</v>
      </c>
      <c r="O352" s="11">
        <f t="shared" si="218"/>
        <v>0</v>
      </c>
      <c r="P352" s="25"/>
      <c r="Q352" s="10" t="str">
        <f t="shared" si="214"/>
        <v>MarçoSEMANA 2Humaytá - Geléia de Figo</v>
      </c>
      <c r="R352" s="7">
        <f>SUMIF(NF!$A:$A,$Q352,NF!$I:$I)</f>
        <v>0</v>
      </c>
      <c r="S352" s="6"/>
      <c r="T352" s="6"/>
      <c r="U352" s="6"/>
      <c r="V352" s="6"/>
      <c r="W352" s="6"/>
      <c r="X352" s="6"/>
      <c r="Y352" s="6"/>
      <c r="Z352" s="7">
        <f t="shared" ref="Z352:Z376" si="250">SUM(S352:Y352)</f>
        <v>0</v>
      </c>
      <c r="AA352" s="11">
        <f t="shared" si="219"/>
        <v>0</v>
      </c>
      <c r="AB352" s="25"/>
      <c r="AC352" s="10" t="str">
        <f t="shared" si="215"/>
        <v>MarçoSEMANA 3Humaytá - Geléia de Figo</v>
      </c>
      <c r="AD352" s="7">
        <f>SUMIF(NF!$A:$A,$AC352,NF!$I:$I)</f>
        <v>0</v>
      </c>
      <c r="AE352" s="6"/>
      <c r="AF352" s="6"/>
      <c r="AG352" s="6"/>
      <c r="AH352" s="6"/>
      <c r="AI352" s="6"/>
      <c r="AJ352" s="6"/>
      <c r="AK352" s="6"/>
      <c r="AL352" s="7">
        <f t="shared" ref="AL352:AL376" si="251">SUM(AE352:AK352)</f>
        <v>0</v>
      </c>
      <c r="AM352" s="11">
        <f t="shared" si="220"/>
        <v>0</v>
      </c>
      <c r="AN352" s="25"/>
      <c r="AO352" s="10" t="str">
        <f t="shared" si="216"/>
        <v>MarçoSEMANA 4Humaytá - Geléia de Figo</v>
      </c>
      <c r="AP352" s="7">
        <f>SUMIF(NF!$A:$A,$AO352,NF!$I:$I)</f>
        <v>0</v>
      </c>
      <c r="AQ352" s="6"/>
      <c r="AR352" s="6"/>
      <c r="AS352" s="6"/>
      <c r="AT352" s="6"/>
      <c r="AU352" s="6"/>
      <c r="AV352" s="6"/>
      <c r="AW352" s="6"/>
      <c r="AX352" s="7">
        <f t="shared" ref="AX352:AX376" si="252">SUM(AQ352:AW352)</f>
        <v>0</v>
      </c>
      <c r="AY352" s="11">
        <f t="shared" si="221"/>
        <v>0</v>
      </c>
      <c r="AZ352" s="25"/>
      <c r="BA352" s="10" t="str">
        <f t="shared" si="217"/>
        <v>MarçoSEMANA 5Humaytá - Geléia de Figo</v>
      </c>
      <c r="BB352" s="7">
        <f>SUMIF(NF!$A:$A,$BA352,NF!$I:$I)</f>
        <v>0</v>
      </c>
      <c r="BC352" s="6"/>
      <c r="BD352" s="6"/>
      <c r="BE352" s="6"/>
      <c r="BF352" s="6"/>
      <c r="BG352" s="6"/>
      <c r="BH352" s="6"/>
      <c r="BI352" s="74"/>
      <c r="BJ352" s="74"/>
      <c r="BK352" s="7">
        <f t="shared" ref="BK352:BK376" si="253">SUM(BC352:BJ352)</f>
        <v>0</v>
      </c>
      <c r="BL352" s="8">
        <f t="shared" si="222"/>
        <v>0</v>
      </c>
      <c r="BM352" s="51" t="str">
        <f>IFERROR(VLOOKUP(A352,NF!$M:$O,3,0),"")</f>
        <v>Feirinha</v>
      </c>
      <c r="BN352" s="7">
        <f t="shared" si="223"/>
        <v>0</v>
      </c>
      <c r="BO352" s="8">
        <f t="array" ref="BO352">IFERROR(LARGE(IF(NF!$G$2:$G$3137='Mês atual'!A352,NF!$J$2:$J$3137),1),0)*BN352</f>
        <v>0</v>
      </c>
      <c r="BP352" s="50"/>
      <c r="BR352" s="146">
        <f t="array" ref="BR352">IFERROR(LARGE(IF(NF!$G$2:$G$3137='Mês atual'!A352,NF!$J$2:$J$3137),1),0)</f>
        <v>0</v>
      </c>
      <c r="BS352" s="142" t="str">
        <f>VLOOKUP(A352,NF!M:O,3,0)</f>
        <v>Feirinha</v>
      </c>
      <c r="BV352" s="74">
        <f t="shared" si="239"/>
        <v>0</v>
      </c>
      <c r="BW352" s="74">
        <f t="shared" si="240"/>
        <v>0</v>
      </c>
      <c r="BX352" s="74">
        <f t="shared" si="241"/>
        <v>0</v>
      </c>
      <c r="BY352" s="74">
        <f t="shared" si="242"/>
        <v>0</v>
      </c>
      <c r="BZ352" s="74">
        <f t="shared" si="243"/>
        <v>0</v>
      </c>
    </row>
    <row r="353" spans="1:78" x14ac:dyDescent="0.25">
      <c r="A353" s="108" t="s">
        <v>427</v>
      </c>
      <c r="B353" s="12"/>
      <c r="C353" s="9">
        <v>0</v>
      </c>
      <c r="D353" s="25"/>
      <c r="E353" s="10" t="str">
        <f t="shared" si="213"/>
        <v xml:space="preserve">MarçoSEMANA 1Humaytá - Geléia de Pimenta </v>
      </c>
      <c r="F353" s="7">
        <f>SUMIF(NF!$A:$A,$E353,NF!$I:$I)</f>
        <v>0</v>
      </c>
      <c r="G353" s="74"/>
      <c r="H353" s="74"/>
      <c r="I353" s="74"/>
      <c r="J353" s="6"/>
      <c r="K353" s="6"/>
      <c r="L353" s="6"/>
      <c r="M353" s="6"/>
      <c r="N353" s="7">
        <f t="shared" si="249"/>
        <v>0</v>
      </c>
      <c r="O353" s="11">
        <f t="shared" si="218"/>
        <v>0</v>
      </c>
      <c r="P353" s="25"/>
      <c r="Q353" s="10" t="str">
        <f t="shared" si="214"/>
        <v xml:space="preserve">MarçoSEMANA 2Humaytá - Geléia de Pimenta </v>
      </c>
      <c r="R353" s="7">
        <f>SUMIF(NF!$A:$A,$Q353,NF!$I:$I)</f>
        <v>0</v>
      </c>
      <c r="S353" s="6"/>
      <c r="T353" s="6"/>
      <c r="U353" s="6"/>
      <c r="V353" s="6"/>
      <c r="W353" s="6"/>
      <c r="X353" s="6"/>
      <c r="Y353" s="6"/>
      <c r="Z353" s="7">
        <f t="shared" si="250"/>
        <v>0</v>
      </c>
      <c r="AA353" s="11">
        <f t="shared" si="219"/>
        <v>0</v>
      </c>
      <c r="AB353" s="25"/>
      <c r="AC353" s="10" t="str">
        <f t="shared" si="215"/>
        <v xml:space="preserve">MarçoSEMANA 3Humaytá - Geléia de Pimenta </v>
      </c>
      <c r="AD353" s="7">
        <f>SUMIF(NF!$A:$A,$AC353,NF!$I:$I)</f>
        <v>0</v>
      </c>
      <c r="AE353" s="6"/>
      <c r="AF353" s="6"/>
      <c r="AG353" s="6"/>
      <c r="AH353" s="6"/>
      <c r="AI353" s="6"/>
      <c r="AJ353" s="6"/>
      <c r="AK353" s="6"/>
      <c r="AL353" s="7">
        <f t="shared" si="251"/>
        <v>0</v>
      </c>
      <c r="AM353" s="11">
        <f t="shared" si="220"/>
        <v>0</v>
      </c>
      <c r="AN353" s="25"/>
      <c r="AO353" s="10" t="str">
        <f t="shared" si="216"/>
        <v xml:space="preserve">MarçoSEMANA 4Humaytá - Geléia de Pimenta </v>
      </c>
      <c r="AP353" s="7">
        <f>SUMIF(NF!$A:$A,$AO353,NF!$I:$I)</f>
        <v>0</v>
      </c>
      <c r="AQ353" s="6"/>
      <c r="AR353" s="6"/>
      <c r="AS353" s="6"/>
      <c r="AT353" s="6"/>
      <c r="AU353" s="6"/>
      <c r="AV353" s="6"/>
      <c r="AW353" s="6"/>
      <c r="AX353" s="7">
        <f t="shared" si="252"/>
        <v>0</v>
      </c>
      <c r="AY353" s="11">
        <f t="shared" si="221"/>
        <v>0</v>
      </c>
      <c r="AZ353" s="25"/>
      <c r="BA353" s="10" t="str">
        <f t="shared" si="217"/>
        <v xml:space="preserve">MarçoSEMANA 5Humaytá - Geléia de Pimenta </v>
      </c>
      <c r="BB353" s="7">
        <f>SUMIF(NF!$A:$A,$BA353,NF!$I:$I)</f>
        <v>0</v>
      </c>
      <c r="BC353" s="6"/>
      <c r="BD353" s="6"/>
      <c r="BE353" s="6"/>
      <c r="BF353" s="6"/>
      <c r="BG353" s="6"/>
      <c r="BH353" s="6"/>
      <c r="BI353" s="74"/>
      <c r="BJ353" s="74"/>
      <c r="BK353" s="7">
        <f t="shared" si="253"/>
        <v>0</v>
      </c>
      <c r="BL353" s="8">
        <f t="shared" si="222"/>
        <v>0</v>
      </c>
      <c r="BM353" s="51" t="str">
        <f>IFERROR(VLOOKUP(A353,NF!$M:$O,3,0),"")</f>
        <v>Feirinha</v>
      </c>
      <c r="BN353" s="7">
        <f t="shared" si="223"/>
        <v>0</v>
      </c>
      <c r="BO353" s="8">
        <f t="array" ref="BO353">IFERROR(LARGE(IF(NF!$G$2:$G$3137='Mês atual'!A353,NF!$J$2:$J$3137),1),0)*BN353</f>
        <v>0</v>
      </c>
      <c r="BP353" s="50"/>
      <c r="BR353" s="146">
        <f t="array" ref="BR353">IFERROR(LARGE(IF(NF!$G$2:$G$3137='Mês atual'!A353,NF!$J$2:$J$3137),1),0)</f>
        <v>0</v>
      </c>
      <c r="BS353" s="142" t="str">
        <f>VLOOKUP(A353,NF!M:O,3,0)</f>
        <v>Feirinha</v>
      </c>
      <c r="BV353" s="74">
        <f t="shared" si="239"/>
        <v>0</v>
      </c>
      <c r="BW353" s="74">
        <f t="shared" si="240"/>
        <v>0</v>
      </c>
      <c r="BX353" s="74">
        <f t="shared" si="241"/>
        <v>0</v>
      </c>
      <c r="BY353" s="74">
        <f t="shared" si="242"/>
        <v>0</v>
      </c>
      <c r="BZ353" s="74">
        <f t="shared" si="243"/>
        <v>0</v>
      </c>
    </row>
    <row r="354" spans="1:78" x14ac:dyDescent="0.25">
      <c r="A354" s="108" t="s">
        <v>428</v>
      </c>
      <c r="B354" s="12"/>
      <c r="C354" s="9">
        <v>1</v>
      </c>
      <c r="D354" s="25"/>
      <c r="E354" s="10" t="str">
        <f t="shared" si="213"/>
        <v>MarçoSEMANA 1Humaytá - Geléia de Tangerina</v>
      </c>
      <c r="F354" s="7">
        <f>SUMIF(NF!$A:$A,$E354,NF!$I:$I)</f>
        <v>0</v>
      </c>
      <c r="G354" s="74"/>
      <c r="H354" s="74"/>
      <c r="I354" s="74"/>
      <c r="J354" s="6"/>
      <c r="K354" s="6"/>
      <c r="L354" s="6"/>
      <c r="M354" s="6"/>
      <c r="N354" s="7">
        <f t="shared" si="249"/>
        <v>0</v>
      </c>
      <c r="O354" s="11">
        <f t="shared" si="218"/>
        <v>1</v>
      </c>
      <c r="P354" s="25"/>
      <c r="Q354" s="10" t="str">
        <f t="shared" si="214"/>
        <v>MarçoSEMANA 2Humaytá - Geléia de Tangerina</v>
      </c>
      <c r="R354" s="7">
        <f>SUMIF(NF!$A:$A,$Q354,NF!$I:$I)</f>
        <v>0</v>
      </c>
      <c r="S354" s="6"/>
      <c r="T354" s="6"/>
      <c r="U354" s="6"/>
      <c r="V354" s="6"/>
      <c r="W354" s="6"/>
      <c r="X354" s="6"/>
      <c r="Y354" s="6"/>
      <c r="Z354" s="7">
        <f t="shared" si="250"/>
        <v>0</v>
      </c>
      <c r="AA354" s="11">
        <f t="shared" si="219"/>
        <v>1</v>
      </c>
      <c r="AB354" s="25"/>
      <c r="AC354" s="10" t="str">
        <f t="shared" si="215"/>
        <v>MarçoSEMANA 3Humaytá - Geléia de Tangerina</v>
      </c>
      <c r="AD354" s="7">
        <f>SUMIF(NF!$A:$A,$AC354,NF!$I:$I)</f>
        <v>0</v>
      </c>
      <c r="AE354" s="6"/>
      <c r="AF354" s="6"/>
      <c r="AG354" s="6"/>
      <c r="AH354" s="6"/>
      <c r="AI354" s="6"/>
      <c r="AJ354" s="6"/>
      <c r="AK354" s="6"/>
      <c r="AL354" s="7">
        <f t="shared" si="251"/>
        <v>0</v>
      </c>
      <c r="AM354" s="11">
        <f t="shared" si="220"/>
        <v>1</v>
      </c>
      <c r="AN354" s="25"/>
      <c r="AO354" s="10" t="str">
        <f t="shared" si="216"/>
        <v>MarçoSEMANA 4Humaytá - Geléia de Tangerina</v>
      </c>
      <c r="AP354" s="7">
        <f>SUMIF(NF!$A:$A,$AO354,NF!$I:$I)</f>
        <v>0</v>
      </c>
      <c r="AQ354" s="6"/>
      <c r="AR354" s="6"/>
      <c r="AS354" s="6"/>
      <c r="AT354" s="6"/>
      <c r="AU354" s="6"/>
      <c r="AV354" s="6"/>
      <c r="AW354" s="6"/>
      <c r="AX354" s="7">
        <f t="shared" si="252"/>
        <v>0</v>
      </c>
      <c r="AY354" s="11">
        <f t="shared" si="221"/>
        <v>1</v>
      </c>
      <c r="AZ354" s="25"/>
      <c r="BA354" s="10" t="str">
        <f t="shared" si="217"/>
        <v>MarçoSEMANA 5Humaytá - Geléia de Tangerina</v>
      </c>
      <c r="BB354" s="7">
        <f>SUMIF(NF!$A:$A,$BA354,NF!$I:$I)</f>
        <v>0</v>
      </c>
      <c r="BC354" s="6"/>
      <c r="BD354" s="6"/>
      <c r="BE354" s="6"/>
      <c r="BF354" s="6"/>
      <c r="BG354" s="6"/>
      <c r="BH354" s="6"/>
      <c r="BI354" s="74"/>
      <c r="BJ354" s="74"/>
      <c r="BK354" s="7">
        <f t="shared" si="253"/>
        <v>0</v>
      </c>
      <c r="BL354" s="8">
        <f t="shared" si="222"/>
        <v>1</v>
      </c>
      <c r="BM354" s="51" t="str">
        <f>IFERROR(VLOOKUP(A354,NF!$M:$O,3,0),"")</f>
        <v>Feirinha</v>
      </c>
      <c r="BN354" s="7">
        <f t="shared" si="223"/>
        <v>0</v>
      </c>
      <c r="BO354" s="8">
        <f t="array" ref="BO354">IFERROR(LARGE(IF(NF!$G$2:$G$3137='Mês atual'!A354,NF!$J$2:$J$3137),1),0)*BN354</f>
        <v>0</v>
      </c>
      <c r="BP354" s="50"/>
      <c r="BR354" s="146">
        <f t="array" ref="BR354">IFERROR(LARGE(IF(NF!$G$2:$G$3137='Mês atual'!A354,NF!$J$2:$J$3137),1),0)</f>
        <v>0</v>
      </c>
      <c r="BS354" s="142" t="str">
        <f>VLOOKUP(A354,NF!M:O,3,0)</f>
        <v>Feirinha</v>
      </c>
      <c r="BV354" s="74">
        <f t="shared" si="239"/>
        <v>0</v>
      </c>
      <c r="BW354" s="74">
        <f t="shared" si="240"/>
        <v>0</v>
      </c>
      <c r="BX354" s="74">
        <f t="shared" si="241"/>
        <v>0</v>
      </c>
      <c r="BY354" s="74">
        <f t="shared" si="242"/>
        <v>0</v>
      </c>
      <c r="BZ354" s="74">
        <f t="shared" si="243"/>
        <v>0</v>
      </c>
    </row>
    <row r="355" spans="1:78" x14ac:dyDescent="0.25">
      <c r="A355" s="108" t="s">
        <v>1015</v>
      </c>
      <c r="B355" s="12"/>
      <c r="C355" s="9">
        <v>2</v>
      </c>
      <c r="D355" s="25"/>
      <c r="E355" s="10" t="str">
        <f t="shared" si="213"/>
        <v>MarçoSEMANA 1Humaytá - Geléia de Framboesa</v>
      </c>
      <c r="F355" s="7">
        <f>SUMIF(NF!$A:$A,$E355,NF!$I:$I)</f>
        <v>0</v>
      </c>
      <c r="G355" s="74"/>
      <c r="H355" s="74"/>
      <c r="I355" s="74"/>
      <c r="J355" s="6"/>
      <c r="K355" s="6"/>
      <c r="L355" s="6"/>
      <c r="M355" s="6"/>
      <c r="N355" s="7">
        <f>SUM(G355:M355)</f>
        <v>0</v>
      </c>
      <c r="O355" s="11">
        <f>F355+C355-N355</f>
        <v>2</v>
      </c>
      <c r="P355" s="25"/>
      <c r="Q355" s="10" t="str">
        <f t="shared" si="214"/>
        <v>MarçoSEMANA 2Humaytá - Geléia de Framboesa</v>
      </c>
      <c r="R355" s="7">
        <f>SUMIF(NF!$A:$A,$Q355,NF!$I:$I)</f>
        <v>0</v>
      </c>
      <c r="S355" s="6"/>
      <c r="T355" s="6"/>
      <c r="U355" s="6"/>
      <c r="V355" s="6"/>
      <c r="W355" s="6"/>
      <c r="X355" s="6"/>
      <c r="Y355" s="6"/>
      <c r="Z355" s="7">
        <f>SUM(S355:Y355)</f>
        <v>0</v>
      </c>
      <c r="AA355" s="11">
        <f>R355+O355-Z355</f>
        <v>2</v>
      </c>
      <c r="AB355" s="25"/>
      <c r="AC355" s="10" t="str">
        <f t="shared" si="215"/>
        <v>MarçoSEMANA 3Humaytá - Geléia de Framboesa</v>
      </c>
      <c r="AD355" s="7">
        <f>SUMIF(NF!$A:$A,$AC355,NF!$I:$I)</f>
        <v>0</v>
      </c>
      <c r="AE355" s="6"/>
      <c r="AF355" s="6"/>
      <c r="AG355" s="6"/>
      <c r="AH355" s="6"/>
      <c r="AI355" s="6"/>
      <c r="AJ355" s="6"/>
      <c r="AK355" s="6"/>
      <c r="AL355" s="7">
        <f>SUM(AE355:AK355)</f>
        <v>0</v>
      </c>
      <c r="AM355" s="11">
        <f>AD355+AA355-AL355</f>
        <v>2</v>
      </c>
      <c r="AN355" s="25"/>
      <c r="AO355" s="10" t="str">
        <f t="shared" si="216"/>
        <v>MarçoSEMANA 4Humaytá - Geléia de Framboesa</v>
      </c>
      <c r="AP355" s="7">
        <f>SUMIF(NF!$A:$A,$AO355,NF!$I:$I)</f>
        <v>0</v>
      </c>
      <c r="AQ355" s="6"/>
      <c r="AR355" s="6"/>
      <c r="AS355" s="6"/>
      <c r="AT355" s="6"/>
      <c r="AU355" s="6"/>
      <c r="AV355" s="6"/>
      <c r="AW355" s="6"/>
      <c r="AX355" s="7">
        <f>SUM(AQ355:AW355)</f>
        <v>0</v>
      </c>
      <c r="AY355" s="11">
        <f>AP355+AM355-AX355</f>
        <v>2</v>
      </c>
      <c r="AZ355" s="25"/>
      <c r="BA355" s="10" t="str">
        <f t="shared" si="217"/>
        <v>MarçoSEMANA 5Humaytá - Geléia de Framboesa</v>
      </c>
      <c r="BB355" s="7">
        <f>SUMIF(NF!$A:$A,$BA355,NF!$I:$I)</f>
        <v>0</v>
      </c>
      <c r="BC355" s="6"/>
      <c r="BD355" s="6"/>
      <c r="BE355" s="6"/>
      <c r="BF355" s="6"/>
      <c r="BG355" s="6"/>
      <c r="BH355" s="6"/>
      <c r="BI355" s="74"/>
      <c r="BJ355" s="74"/>
      <c r="BK355" s="7">
        <f>SUM(BC355:BJ355)</f>
        <v>0</v>
      </c>
      <c r="BL355" s="8">
        <f>BB355+AY355-BK355</f>
        <v>2</v>
      </c>
      <c r="BM355" s="51" t="str">
        <f>IFERROR(VLOOKUP(A355,NF!$M:$O,3,0),"")</f>
        <v>Feirinha</v>
      </c>
      <c r="BN355" s="7">
        <f>SUM(N355,Z355,AL355,AX355,BK355)</f>
        <v>0</v>
      </c>
      <c r="BO355" s="8">
        <f t="array" ref="BO355">IFERROR(LARGE(IF(NF!$G$2:$G$3137='Mês atual'!A355,NF!$J$2:$J$3137),1),0)*BN355</f>
        <v>0</v>
      </c>
      <c r="BP355" s="50"/>
      <c r="BR355" s="146">
        <f t="array" ref="BR355">IFERROR(LARGE(IF(NF!$G$2:$G$3137='Mês atual'!A355,NF!$J$2:$J$3137),1),0)</f>
        <v>0</v>
      </c>
      <c r="BS355" s="142" t="str">
        <f>VLOOKUP(A355,NF!M:O,3,0)</f>
        <v>Feirinha</v>
      </c>
      <c r="BV355" s="74">
        <f t="shared" si="239"/>
        <v>0</v>
      </c>
      <c r="BW355" s="74">
        <f t="shared" si="240"/>
        <v>0</v>
      </c>
      <c r="BX355" s="74">
        <f t="shared" si="241"/>
        <v>0</v>
      </c>
      <c r="BY355" s="74">
        <f t="shared" si="242"/>
        <v>0</v>
      </c>
      <c r="BZ355" s="74">
        <f t="shared" si="243"/>
        <v>0</v>
      </c>
    </row>
    <row r="356" spans="1:78" x14ac:dyDescent="0.25">
      <c r="A356" s="108" t="s">
        <v>904</v>
      </c>
      <c r="B356" s="12"/>
      <c r="C356" s="9">
        <v>0</v>
      </c>
      <c r="D356" s="25"/>
      <c r="E356" s="10" t="str">
        <f t="shared" si="213"/>
        <v>MarçoSEMANA 1Humaytá - Geléia de Frutas Vermelhas</v>
      </c>
      <c r="F356" s="7">
        <f>SUMIF(NF!$A:$A,$E356,NF!$I:$I)</f>
        <v>0</v>
      </c>
      <c r="G356" s="74"/>
      <c r="H356" s="74"/>
      <c r="I356" s="74"/>
      <c r="J356" s="6"/>
      <c r="K356" s="6"/>
      <c r="L356" s="6"/>
      <c r="M356" s="6"/>
      <c r="N356" s="7">
        <f t="shared" si="249"/>
        <v>0</v>
      </c>
      <c r="O356" s="11">
        <f t="shared" si="218"/>
        <v>0</v>
      </c>
      <c r="P356" s="25"/>
      <c r="Q356" s="10" t="str">
        <f t="shared" si="214"/>
        <v>MarçoSEMANA 2Humaytá - Geléia de Frutas Vermelhas</v>
      </c>
      <c r="R356" s="7">
        <f>SUMIF(NF!$A:$A,$Q356,NF!$I:$I)</f>
        <v>0</v>
      </c>
      <c r="S356" s="6"/>
      <c r="T356" s="6"/>
      <c r="U356" s="6"/>
      <c r="V356" s="6"/>
      <c r="W356" s="6"/>
      <c r="X356" s="6"/>
      <c r="Y356" s="6"/>
      <c r="Z356" s="7">
        <f t="shared" si="250"/>
        <v>0</v>
      </c>
      <c r="AA356" s="11">
        <f t="shared" si="219"/>
        <v>0</v>
      </c>
      <c r="AB356" s="25"/>
      <c r="AC356" s="10" t="str">
        <f t="shared" si="215"/>
        <v>MarçoSEMANA 3Humaytá - Geléia de Frutas Vermelhas</v>
      </c>
      <c r="AD356" s="7">
        <f>SUMIF(NF!$A:$A,$AC356,NF!$I:$I)</f>
        <v>0</v>
      </c>
      <c r="AE356" s="6"/>
      <c r="AF356" s="6"/>
      <c r="AG356" s="6"/>
      <c r="AH356" s="6"/>
      <c r="AI356" s="6"/>
      <c r="AJ356" s="6"/>
      <c r="AK356" s="6"/>
      <c r="AL356" s="7">
        <f t="shared" si="251"/>
        <v>0</v>
      </c>
      <c r="AM356" s="11">
        <f t="shared" si="220"/>
        <v>0</v>
      </c>
      <c r="AN356" s="25"/>
      <c r="AO356" s="10" t="str">
        <f t="shared" si="216"/>
        <v>MarçoSEMANA 4Humaytá - Geléia de Frutas Vermelhas</v>
      </c>
      <c r="AP356" s="7">
        <f>SUMIF(NF!$A:$A,$AO356,NF!$I:$I)</f>
        <v>0</v>
      </c>
      <c r="AQ356" s="6"/>
      <c r="AR356" s="6"/>
      <c r="AS356" s="6"/>
      <c r="AT356" s="6"/>
      <c r="AU356" s="6"/>
      <c r="AV356" s="6"/>
      <c r="AW356" s="6"/>
      <c r="AX356" s="7">
        <f t="shared" si="252"/>
        <v>0</v>
      </c>
      <c r="AY356" s="11">
        <f t="shared" si="221"/>
        <v>0</v>
      </c>
      <c r="AZ356" s="25"/>
      <c r="BA356" s="10" t="str">
        <f t="shared" si="217"/>
        <v>MarçoSEMANA 5Humaytá - Geléia de Frutas Vermelhas</v>
      </c>
      <c r="BB356" s="7">
        <f>SUMIF(NF!$A:$A,$BA356,NF!$I:$I)</f>
        <v>0</v>
      </c>
      <c r="BC356" s="6"/>
      <c r="BD356" s="6"/>
      <c r="BE356" s="6"/>
      <c r="BF356" s="6"/>
      <c r="BG356" s="6"/>
      <c r="BH356" s="6"/>
      <c r="BI356" s="74"/>
      <c r="BJ356" s="74"/>
      <c r="BK356" s="7">
        <f t="shared" si="253"/>
        <v>0</v>
      </c>
      <c r="BL356" s="8">
        <f t="shared" si="222"/>
        <v>0</v>
      </c>
      <c r="BM356" s="51" t="str">
        <f>IFERROR(VLOOKUP(A356,NF!$M:$O,3,0),"")</f>
        <v>Feirinha</v>
      </c>
      <c r="BN356" s="7">
        <f t="shared" si="223"/>
        <v>0</v>
      </c>
      <c r="BO356" s="8">
        <f t="array" ref="BO356">IFERROR(LARGE(IF(NF!$G$2:$G$3137='Mês atual'!A356,NF!$J$2:$J$3137),1),0)*BN356</f>
        <v>0</v>
      </c>
      <c r="BP356" s="50"/>
      <c r="BR356" s="146">
        <f t="array" ref="BR356">IFERROR(LARGE(IF(NF!$G$2:$G$3137='Mês atual'!A356,NF!$J$2:$J$3137),1),0)</f>
        <v>0</v>
      </c>
      <c r="BS356" s="142" t="str">
        <f>VLOOKUP(A356,NF!M:O,3,0)</f>
        <v>Feirinha</v>
      </c>
      <c r="BV356" s="74">
        <f t="shared" si="239"/>
        <v>0</v>
      </c>
      <c r="BW356" s="74">
        <f t="shared" si="240"/>
        <v>0</v>
      </c>
      <c r="BX356" s="74">
        <f t="shared" si="241"/>
        <v>0</v>
      </c>
      <c r="BY356" s="74">
        <f t="shared" si="242"/>
        <v>0</v>
      </c>
      <c r="BZ356" s="74">
        <f t="shared" si="243"/>
        <v>0</v>
      </c>
    </row>
    <row r="357" spans="1:78" x14ac:dyDescent="0.25">
      <c r="A357" s="108" t="s">
        <v>905</v>
      </c>
      <c r="B357" s="12"/>
      <c r="C357" s="9">
        <v>1</v>
      </c>
      <c r="D357" s="25"/>
      <c r="E357" s="10" t="str">
        <f t="shared" si="213"/>
        <v>MarçoSEMANA 1Humaytá - Geléia de Gengibre</v>
      </c>
      <c r="F357" s="7">
        <f>SUMIF(NF!$A:$A,$E357,NF!$I:$I)</f>
        <v>0</v>
      </c>
      <c r="G357" s="74"/>
      <c r="H357" s="74"/>
      <c r="I357" s="74"/>
      <c r="J357" s="6"/>
      <c r="K357" s="6"/>
      <c r="L357" s="6"/>
      <c r="M357" s="6"/>
      <c r="N357" s="7">
        <f t="shared" si="249"/>
        <v>0</v>
      </c>
      <c r="O357" s="11">
        <f t="shared" si="218"/>
        <v>1</v>
      </c>
      <c r="P357" s="25"/>
      <c r="Q357" s="10" t="str">
        <f t="shared" si="214"/>
        <v>MarçoSEMANA 2Humaytá - Geléia de Gengibre</v>
      </c>
      <c r="R357" s="7">
        <f>SUMIF(NF!$A:$A,$Q357,NF!$I:$I)</f>
        <v>0</v>
      </c>
      <c r="S357" s="6"/>
      <c r="T357" s="6"/>
      <c r="U357" s="6"/>
      <c r="V357" s="6"/>
      <c r="W357" s="6"/>
      <c r="X357" s="6"/>
      <c r="Y357" s="6"/>
      <c r="Z357" s="7">
        <f t="shared" si="250"/>
        <v>0</v>
      </c>
      <c r="AA357" s="11">
        <f t="shared" si="219"/>
        <v>1</v>
      </c>
      <c r="AB357" s="25"/>
      <c r="AC357" s="10" t="str">
        <f t="shared" si="215"/>
        <v>MarçoSEMANA 3Humaytá - Geléia de Gengibre</v>
      </c>
      <c r="AD357" s="7">
        <f>SUMIF(NF!$A:$A,$AC357,NF!$I:$I)</f>
        <v>0</v>
      </c>
      <c r="AE357" s="6"/>
      <c r="AF357" s="6"/>
      <c r="AG357" s="6"/>
      <c r="AH357" s="6"/>
      <c r="AI357" s="6"/>
      <c r="AJ357" s="6"/>
      <c r="AK357" s="6"/>
      <c r="AL357" s="7">
        <f t="shared" si="251"/>
        <v>0</v>
      </c>
      <c r="AM357" s="11">
        <f t="shared" si="220"/>
        <v>1</v>
      </c>
      <c r="AN357" s="25"/>
      <c r="AO357" s="10" t="str">
        <f t="shared" si="216"/>
        <v>MarçoSEMANA 4Humaytá - Geléia de Gengibre</v>
      </c>
      <c r="AP357" s="7">
        <f>SUMIF(NF!$A:$A,$AO357,NF!$I:$I)</f>
        <v>0</v>
      </c>
      <c r="AQ357" s="6"/>
      <c r="AR357" s="6"/>
      <c r="AS357" s="6"/>
      <c r="AT357" s="6"/>
      <c r="AU357" s="6"/>
      <c r="AV357" s="6"/>
      <c r="AW357" s="6"/>
      <c r="AX357" s="7">
        <f t="shared" si="252"/>
        <v>0</v>
      </c>
      <c r="AY357" s="11">
        <f t="shared" si="221"/>
        <v>1</v>
      </c>
      <c r="AZ357" s="25"/>
      <c r="BA357" s="10" t="str">
        <f t="shared" si="217"/>
        <v>MarçoSEMANA 5Humaytá - Geléia de Gengibre</v>
      </c>
      <c r="BB357" s="7">
        <f>SUMIF(NF!$A:$A,$BA357,NF!$I:$I)</f>
        <v>0</v>
      </c>
      <c r="BC357" s="6"/>
      <c r="BD357" s="6"/>
      <c r="BE357" s="6"/>
      <c r="BF357" s="6"/>
      <c r="BG357" s="6"/>
      <c r="BH357" s="6"/>
      <c r="BI357" s="74"/>
      <c r="BJ357" s="74"/>
      <c r="BK357" s="7">
        <f t="shared" si="253"/>
        <v>0</v>
      </c>
      <c r="BL357" s="8">
        <f t="shared" si="222"/>
        <v>1</v>
      </c>
      <c r="BM357" s="51" t="str">
        <f>IFERROR(VLOOKUP(A357,NF!$M:$O,3,0),"")</f>
        <v>Feirinha</v>
      </c>
      <c r="BN357" s="7">
        <f t="shared" si="223"/>
        <v>0</v>
      </c>
      <c r="BO357" s="8">
        <f t="array" ref="BO357">IFERROR(LARGE(IF(NF!$G$2:$G$3137='Mês atual'!A357,NF!$J$2:$J$3137),1),0)*BN357</f>
        <v>0</v>
      </c>
      <c r="BP357" s="50"/>
      <c r="BR357" s="146">
        <f t="array" ref="BR357">IFERROR(LARGE(IF(NF!$G$2:$G$3137='Mês atual'!A357,NF!$J$2:$J$3137),1),0)</f>
        <v>0</v>
      </c>
      <c r="BS357" s="142" t="str">
        <f>VLOOKUP(A357,NF!M:O,3,0)</f>
        <v>Feirinha</v>
      </c>
      <c r="BV357" s="74">
        <f t="shared" si="239"/>
        <v>0</v>
      </c>
      <c r="BW357" s="74">
        <f t="shared" si="240"/>
        <v>0</v>
      </c>
      <c r="BX357" s="74">
        <f t="shared" si="241"/>
        <v>0</v>
      </c>
      <c r="BY357" s="74">
        <f t="shared" si="242"/>
        <v>0</v>
      </c>
      <c r="BZ357" s="74">
        <f t="shared" si="243"/>
        <v>0</v>
      </c>
    </row>
    <row r="358" spans="1:78" x14ac:dyDescent="0.25">
      <c r="A358" s="108" t="s">
        <v>906</v>
      </c>
      <c r="B358" s="12"/>
      <c r="C358" s="9">
        <v>2</v>
      </c>
      <c r="D358" s="25"/>
      <c r="E358" s="10" t="str">
        <f t="shared" si="213"/>
        <v>MarçoSEMANA 1Humaytá - Geléia de Goiaba</v>
      </c>
      <c r="F358" s="7">
        <f>SUMIF(NF!$A:$A,$E358,NF!$I:$I)</f>
        <v>0</v>
      </c>
      <c r="G358" s="74"/>
      <c r="H358" s="74"/>
      <c r="I358" s="74"/>
      <c r="J358" s="6"/>
      <c r="K358" s="6"/>
      <c r="L358" s="6"/>
      <c r="M358" s="6"/>
      <c r="N358" s="7">
        <f t="shared" si="249"/>
        <v>0</v>
      </c>
      <c r="O358" s="11">
        <f t="shared" si="218"/>
        <v>2</v>
      </c>
      <c r="P358" s="25"/>
      <c r="Q358" s="10" t="str">
        <f t="shared" si="214"/>
        <v>MarçoSEMANA 2Humaytá - Geléia de Goiaba</v>
      </c>
      <c r="R358" s="7">
        <f>SUMIF(NF!$A:$A,$Q358,NF!$I:$I)</f>
        <v>0</v>
      </c>
      <c r="S358" s="6"/>
      <c r="T358" s="6"/>
      <c r="U358" s="6"/>
      <c r="V358" s="6"/>
      <c r="W358" s="6"/>
      <c r="X358" s="6"/>
      <c r="Y358" s="6"/>
      <c r="Z358" s="7">
        <f t="shared" si="250"/>
        <v>0</v>
      </c>
      <c r="AA358" s="11">
        <f t="shared" si="219"/>
        <v>2</v>
      </c>
      <c r="AB358" s="25"/>
      <c r="AC358" s="10" t="str">
        <f t="shared" si="215"/>
        <v>MarçoSEMANA 3Humaytá - Geléia de Goiaba</v>
      </c>
      <c r="AD358" s="7">
        <f>SUMIF(NF!$A:$A,$AC358,NF!$I:$I)</f>
        <v>0</v>
      </c>
      <c r="AE358" s="6"/>
      <c r="AF358" s="6"/>
      <c r="AG358" s="6"/>
      <c r="AH358" s="6"/>
      <c r="AI358" s="6"/>
      <c r="AJ358" s="6"/>
      <c r="AK358" s="6"/>
      <c r="AL358" s="7">
        <f t="shared" si="251"/>
        <v>0</v>
      </c>
      <c r="AM358" s="11">
        <f t="shared" si="220"/>
        <v>2</v>
      </c>
      <c r="AN358" s="25"/>
      <c r="AO358" s="10" t="str">
        <f t="shared" si="216"/>
        <v>MarçoSEMANA 4Humaytá - Geléia de Goiaba</v>
      </c>
      <c r="AP358" s="7">
        <f>SUMIF(NF!$A:$A,$AO358,NF!$I:$I)</f>
        <v>0</v>
      </c>
      <c r="AQ358" s="6"/>
      <c r="AR358" s="6"/>
      <c r="AS358" s="6"/>
      <c r="AT358" s="6"/>
      <c r="AU358" s="6"/>
      <c r="AV358" s="6"/>
      <c r="AW358" s="6"/>
      <c r="AX358" s="7">
        <f t="shared" si="252"/>
        <v>0</v>
      </c>
      <c r="AY358" s="11">
        <f t="shared" si="221"/>
        <v>2</v>
      </c>
      <c r="AZ358" s="25"/>
      <c r="BA358" s="10" t="str">
        <f t="shared" si="217"/>
        <v>MarçoSEMANA 5Humaytá - Geléia de Goiaba</v>
      </c>
      <c r="BB358" s="7">
        <f>SUMIF(NF!$A:$A,$BA358,NF!$I:$I)</f>
        <v>0</v>
      </c>
      <c r="BC358" s="6"/>
      <c r="BD358" s="6"/>
      <c r="BE358" s="6"/>
      <c r="BF358" s="6"/>
      <c r="BG358" s="6"/>
      <c r="BH358" s="6"/>
      <c r="BI358" s="74"/>
      <c r="BJ358" s="74"/>
      <c r="BK358" s="7">
        <f t="shared" si="253"/>
        <v>0</v>
      </c>
      <c r="BL358" s="8">
        <f t="shared" si="222"/>
        <v>2</v>
      </c>
      <c r="BM358" s="51" t="str">
        <f>IFERROR(VLOOKUP(A358,NF!$M:$O,3,0),"")</f>
        <v>Feirinha</v>
      </c>
      <c r="BN358" s="7">
        <f t="shared" si="223"/>
        <v>0</v>
      </c>
      <c r="BO358" s="8">
        <f t="array" ref="BO358">IFERROR(LARGE(IF(NF!$G$2:$G$3137='Mês atual'!A358,NF!$J$2:$J$3137),1),0)*BN358</f>
        <v>0</v>
      </c>
      <c r="BP358" s="50"/>
      <c r="BR358" s="146">
        <f t="array" ref="BR358">IFERROR(LARGE(IF(NF!$G$2:$G$3137='Mês atual'!A358,NF!$J$2:$J$3137),1),0)</f>
        <v>0</v>
      </c>
      <c r="BS358" s="142" t="str">
        <f>VLOOKUP(A358,NF!M:O,3,0)</f>
        <v>Feirinha</v>
      </c>
      <c r="BV358" s="74">
        <f t="shared" si="239"/>
        <v>0</v>
      </c>
      <c r="BW358" s="74">
        <f t="shared" si="240"/>
        <v>0</v>
      </c>
      <c r="BX358" s="74">
        <f t="shared" si="241"/>
        <v>0</v>
      </c>
      <c r="BY358" s="74">
        <f t="shared" si="242"/>
        <v>0</v>
      </c>
      <c r="BZ358" s="74">
        <f t="shared" si="243"/>
        <v>0</v>
      </c>
    </row>
    <row r="359" spans="1:78" x14ac:dyDescent="0.25">
      <c r="A359" s="108" t="s">
        <v>907</v>
      </c>
      <c r="B359" s="12"/>
      <c r="C359" s="9">
        <v>0</v>
      </c>
      <c r="D359" s="25"/>
      <c r="E359" s="10" t="str">
        <f t="shared" si="213"/>
        <v>MarçoSEMANA 1Humaytá - Geléia de Hortelã</v>
      </c>
      <c r="F359" s="7">
        <f>SUMIF(NF!$A:$A,$E359,NF!$I:$I)</f>
        <v>0</v>
      </c>
      <c r="G359" s="74"/>
      <c r="H359" s="74"/>
      <c r="I359" s="74"/>
      <c r="J359" s="6"/>
      <c r="K359" s="6"/>
      <c r="L359" s="6"/>
      <c r="M359" s="6"/>
      <c r="N359" s="7">
        <f t="shared" si="249"/>
        <v>0</v>
      </c>
      <c r="O359" s="11">
        <f t="shared" si="218"/>
        <v>0</v>
      </c>
      <c r="P359" s="25"/>
      <c r="Q359" s="10" t="str">
        <f t="shared" si="214"/>
        <v>MarçoSEMANA 2Humaytá - Geléia de Hortelã</v>
      </c>
      <c r="R359" s="7">
        <f>SUMIF(NF!$A:$A,$Q359,NF!$I:$I)</f>
        <v>0</v>
      </c>
      <c r="S359" s="6"/>
      <c r="T359" s="6"/>
      <c r="U359" s="6"/>
      <c r="V359" s="6"/>
      <c r="W359" s="6"/>
      <c r="X359" s="6"/>
      <c r="Y359" s="6"/>
      <c r="Z359" s="7">
        <f t="shared" si="250"/>
        <v>0</v>
      </c>
      <c r="AA359" s="11">
        <f t="shared" si="219"/>
        <v>0</v>
      </c>
      <c r="AB359" s="25"/>
      <c r="AC359" s="10" t="str">
        <f t="shared" si="215"/>
        <v>MarçoSEMANA 3Humaytá - Geléia de Hortelã</v>
      </c>
      <c r="AD359" s="7">
        <f>SUMIF(NF!$A:$A,$AC359,NF!$I:$I)</f>
        <v>0</v>
      </c>
      <c r="AE359" s="6"/>
      <c r="AF359" s="6"/>
      <c r="AG359" s="6"/>
      <c r="AH359" s="6"/>
      <c r="AI359" s="6"/>
      <c r="AJ359" s="6"/>
      <c r="AK359" s="6"/>
      <c r="AL359" s="7">
        <f t="shared" si="251"/>
        <v>0</v>
      </c>
      <c r="AM359" s="11">
        <f t="shared" si="220"/>
        <v>0</v>
      </c>
      <c r="AN359" s="25"/>
      <c r="AO359" s="10" t="str">
        <f t="shared" si="216"/>
        <v>MarçoSEMANA 4Humaytá - Geléia de Hortelã</v>
      </c>
      <c r="AP359" s="7">
        <f>SUMIF(NF!$A:$A,$AO359,NF!$I:$I)</f>
        <v>0</v>
      </c>
      <c r="AQ359" s="6"/>
      <c r="AR359" s="6"/>
      <c r="AS359" s="6"/>
      <c r="AT359" s="6"/>
      <c r="AU359" s="6"/>
      <c r="AV359" s="6"/>
      <c r="AW359" s="6"/>
      <c r="AX359" s="7">
        <f t="shared" si="252"/>
        <v>0</v>
      </c>
      <c r="AY359" s="11">
        <f t="shared" si="221"/>
        <v>0</v>
      </c>
      <c r="AZ359" s="25"/>
      <c r="BA359" s="10" t="str">
        <f t="shared" si="217"/>
        <v>MarçoSEMANA 5Humaytá - Geléia de Hortelã</v>
      </c>
      <c r="BB359" s="7">
        <f>SUMIF(NF!$A:$A,$BA359,NF!$I:$I)</f>
        <v>0</v>
      </c>
      <c r="BC359" s="6"/>
      <c r="BD359" s="6"/>
      <c r="BE359" s="6"/>
      <c r="BF359" s="6"/>
      <c r="BG359" s="6"/>
      <c r="BH359" s="6"/>
      <c r="BI359" s="74"/>
      <c r="BJ359" s="74"/>
      <c r="BK359" s="7">
        <f t="shared" si="253"/>
        <v>0</v>
      </c>
      <c r="BL359" s="8">
        <f t="shared" si="222"/>
        <v>0</v>
      </c>
      <c r="BM359" s="51" t="str">
        <f>IFERROR(VLOOKUP(A359,NF!$M:$O,3,0),"")</f>
        <v>Feirinha</v>
      </c>
      <c r="BN359" s="7">
        <f t="shared" si="223"/>
        <v>0</v>
      </c>
      <c r="BO359" s="8">
        <f t="array" ref="BO359">IFERROR(LARGE(IF(NF!$G$2:$G$3137='Mês atual'!A359,NF!$J$2:$J$3137),1),0)*BN359</f>
        <v>0</v>
      </c>
      <c r="BP359" s="50"/>
      <c r="BR359" s="146">
        <f t="array" ref="BR359">IFERROR(LARGE(IF(NF!$G$2:$G$3137='Mês atual'!A359,NF!$J$2:$J$3137),1),0)</f>
        <v>0</v>
      </c>
      <c r="BS359" s="142" t="str">
        <f>VLOOKUP(A359,NF!M:O,3,0)</f>
        <v>Feirinha</v>
      </c>
      <c r="BV359" s="74">
        <f t="shared" si="239"/>
        <v>0</v>
      </c>
      <c r="BW359" s="74">
        <f t="shared" si="240"/>
        <v>0</v>
      </c>
      <c r="BX359" s="74">
        <f t="shared" si="241"/>
        <v>0</v>
      </c>
      <c r="BY359" s="74">
        <f t="shared" si="242"/>
        <v>0</v>
      </c>
      <c r="BZ359" s="74">
        <f t="shared" si="243"/>
        <v>0</v>
      </c>
    </row>
    <row r="360" spans="1:78" x14ac:dyDescent="0.25">
      <c r="A360" s="108" t="s">
        <v>908</v>
      </c>
      <c r="B360" s="12"/>
      <c r="C360" s="9">
        <v>0</v>
      </c>
      <c r="D360" s="25"/>
      <c r="E360" s="10" t="str">
        <f t="shared" si="213"/>
        <v>MarçoSEMANA 1Humaytá - Geléia de Jabuticaba</v>
      </c>
      <c r="F360" s="7">
        <f>SUMIF(NF!$A:$A,$E360,NF!$I:$I)</f>
        <v>0</v>
      </c>
      <c r="G360" s="74"/>
      <c r="H360" s="74"/>
      <c r="I360" s="74"/>
      <c r="J360" s="6"/>
      <c r="K360" s="6"/>
      <c r="L360" s="6"/>
      <c r="M360" s="6"/>
      <c r="N360" s="7">
        <f t="shared" si="249"/>
        <v>0</v>
      </c>
      <c r="O360" s="11">
        <f t="shared" si="218"/>
        <v>0</v>
      </c>
      <c r="P360" s="25"/>
      <c r="Q360" s="10" t="str">
        <f t="shared" si="214"/>
        <v>MarçoSEMANA 2Humaytá - Geléia de Jabuticaba</v>
      </c>
      <c r="R360" s="7">
        <f>SUMIF(NF!$A:$A,$Q360,NF!$I:$I)</f>
        <v>0</v>
      </c>
      <c r="S360" s="6"/>
      <c r="T360" s="6"/>
      <c r="U360" s="6"/>
      <c r="V360" s="6"/>
      <c r="W360" s="6"/>
      <c r="X360" s="6"/>
      <c r="Y360" s="6"/>
      <c r="Z360" s="7">
        <f t="shared" si="250"/>
        <v>0</v>
      </c>
      <c r="AA360" s="11">
        <f t="shared" si="219"/>
        <v>0</v>
      </c>
      <c r="AB360" s="25"/>
      <c r="AC360" s="10" t="str">
        <f t="shared" si="215"/>
        <v>MarçoSEMANA 3Humaytá - Geléia de Jabuticaba</v>
      </c>
      <c r="AD360" s="7">
        <f>SUMIF(NF!$A:$A,$AC360,NF!$I:$I)</f>
        <v>0</v>
      </c>
      <c r="AE360" s="6"/>
      <c r="AF360" s="6"/>
      <c r="AG360" s="6"/>
      <c r="AH360" s="6"/>
      <c r="AI360" s="6"/>
      <c r="AJ360" s="6"/>
      <c r="AK360" s="6"/>
      <c r="AL360" s="7">
        <f t="shared" si="251"/>
        <v>0</v>
      </c>
      <c r="AM360" s="11">
        <f t="shared" si="220"/>
        <v>0</v>
      </c>
      <c r="AN360" s="25"/>
      <c r="AO360" s="10" t="str">
        <f t="shared" si="216"/>
        <v>MarçoSEMANA 4Humaytá - Geléia de Jabuticaba</v>
      </c>
      <c r="AP360" s="7">
        <f>SUMIF(NF!$A:$A,$AO360,NF!$I:$I)</f>
        <v>0</v>
      </c>
      <c r="AQ360" s="6"/>
      <c r="AR360" s="6"/>
      <c r="AS360" s="6"/>
      <c r="AT360" s="6"/>
      <c r="AU360" s="6"/>
      <c r="AV360" s="6"/>
      <c r="AW360" s="6"/>
      <c r="AX360" s="7">
        <f t="shared" si="252"/>
        <v>0</v>
      </c>
      <c r="AY360" s="11">
        <f t="shared" si="221"/>
        <v>0</v>
      </c>
      <c r="AZ360" s="25"/>
      <c r="BA360" s="10" t="str">
        <f t="shared" si="217"/>
        <v>MarçoSEMANA 5Humaytá - Geléia de Jabuticaba</v>
      </c>
      <c r="BB360" s="7">
        <f>SUMIF(NF!$A:$A,$BA360,NF!$I:$I)</f>
        <v>0</v>
      </c>
      <c r="BC360" s="6"/>
      <c r="BD360" s="6"/>
      <c r="BE360" s="6"/>
      <c r="BF360" s="6"/>
      <c r="BG360" s="6"/>
      <c r="BH360" s="6"/>
      <c r="BI360" s="74"/>
      <c r="BJ360" s="74"/>
      <c r="BK360" s="7">
        <f t="shared" si="253"/>
        <v>0</v>
      </c>
      <c r="BL360" s="8">
        <f t="shared" si="222"/>
        <v>0</v>
      </c>
      <c r="BM360" s="51" t="str">
        <f>IFERROR(VLOOKUP(A360,NF!$M:$O,3,0),"")</f>
        <v>Feirinha</v>
      </c>
      <c r="BN360" s="7">
        <f t="shared" si="223"/>
        <v>0</v>
      </c>
      <c r="BO360" s="8">
        <f t="array" ref="BO360">IFERROR(LARGE(IF(NF!$G$2:$G$3137='Mês atual'!A360,NF!$J$2:$J$3137),1),0)*BN360</f>
        <v>0</v>
      </c>
      <c r="BP360" s="50"/>
      <c r="BR360" s="146">
        <f t="array" ref="BR360">IFERROR(LARGE(IF(NF!$G$2:$G$3137='Mês atual'!A360,NF!$J$2:$J$3137),1),0)</f>
        <v>0</v>
      </c>
      <c r="BS360" s="142" t="str">
        <f>VLOOKUP(A360,NF!M:O,3,0)</f>
        <v>Feirinha</v>
      </c>
      <c r="BV360" s="74">
        <f t="shared" si="239"/>
        <v>0</v>
      </c>
      <c r="BW360" s="74">
        <f t="shared" si="240"/>
        <v>0</v>
      </c>
      <c r="BX360" s="74">
        <f t="shared" si="241"/>
        <v>0</v>
      </c>
      <c r="BY360" s="74">
        <f t="shared" si="242"/>
        <v>0</v>
      </c>
      <c r="BZ360" s="74">
        <f t="shared" si="243"/>
        <v>0</v>
      </c>
    </row>
    <row r="361" spans="1:78" x14ac:dyDescent="0.25">
      <c r="A361" s="108" t="s">
        <v>909</v>
      </c>
      <c r="B361" s="12"/>
      <c r="C361" s="9">
        <v>0</v>
      </c>
      <c r="D361" s="25"/>
      <c r="E361" s="10" t="str">
        <f t="shared" si="213"/>
        <v>MarçoSEMANA 1Humaytá - Geléia de Laranja</v>
      </c>
      <c r="F361" s="7">
        <f>SUMIF(NF!$A:$A,$E361,NF!$I:$I)</f>
        <v>0</v>
      </c>
      <c r="G361" s="74"/>
      <c r="H361" s="74"/>
      <c r="I361" s="74"/>
      <c r="J361" s="6"/>
      <c r="K361" s="6"/>
      <c r="L361" s="6"/>
      <c r="M361" s="6"/>
      <c r="N361" s="7">
        <f t="shared" si="249"/>
        <v>0</v>
      </c>
      <c r="O361" s="11">
        <f t="shared" si="218"/>
        <v>0</v>
      </c>
      <c r="P361" s="25"/>
      <c r="Q361" s="10" t="str">
        <f t="shared" si="214"/>
        <v>MarçoSEMANA 2Humaytá - Geléia de Laranja</v>
      </c>
      <c r="R361" s="7">
        <f>SUMIF(NF!$A:$A,$Q361,NF!$I:$I)</f>
        <v>0</v>
      </c>
      <c r="S361" s="6"/>
      <c r="T361" s="6"/>
      <c r="U361" s="6"/>
      <c r="V361" s="6"/>
      <c r="W361" s="6"/>
      <c r="X361" s="6"/>
      <c r="Y361" s="6"/>
      <c r="Z361" s="7">
        <f t="shared" si="250"/>
        <v>0</v>
      </c>
      <c r="AA361" s="11">
        <f t="shared" si="219"/>
        <v>0</v>
      </c>
      <c r="AB361" s="25"/>
      <c r="AC361" s="10" t="str">
        <f t="shared" si="215"/>
        <v>MarçoSEMANA 3Humaytá - Geléia de Laranja</v>
      </c>
      <c r="AD361" s="7">
        <f>SUMIF(NF!$A:$A,$AC361,NF!$I:$I)</f>
        <v>0</v>
      </c>
      <c r="AE361" s="6"/>
      <c r="AF361" s="6"/>
      <c r="AG361" s="6"/>
      <c r="AH361" s="6"/>
      <c r="AI361" s="6"/>
      <c r="AJ361" s="6"/>
      <c r="AK361" s="6"/>
      <c r="AL361" s="7">
        <f t="shared" si="251"/>
        <v>0</v>
      </c>
      <c r="AM361" s="11">
        <f t="shared" si="220"/>
        <v>0</v>
      </c>
      <c r="AN361" s="25"/>
      <c r="AO361" s="10" t="str">
        <f t="shared" si="216"/>
        <v>MarçoSEMANA 4Humaytá - Geléia de Laranja</v>
      </c>
      <c r="AP361" s="7">
        <f>SUMIF(NF!$A:$A,$AO361,NF!$I:$I)</f>
        <v>0</v>
      </c>
      <c r="AQ361" s="6"/>
      <c r="AR361" s="6"/>
      <c r="AS361" s="6"/>
      <c r="AT361" s="6"/>
      <c r="AU361" s="6"/>
      <c r="AV361" s="6"/>
      <c r="AW361" s="6"/>
      <c r="AX361" s="7">
        <f t="shared" si="252"/>
        <v>0</v>
      </c>
      <c r="AY361" s="11">
        <f t="shared" si="221"/>
        <v>0</v>
      </c>
      <c r="AZ361" s="25"/>
      <c r="BA361" s="10" t="str">
        <f t="shared" si="217"/>
        <v>MarçoSEMANA 5Humaytá - Geléia de Laranja</v>
      </c>
      <c r="BB361" s="7">
        <f>SUMIF(NF!$A:$A,$BA361,NF!$I:$I)</f>
        <v>0</v>
      </c>
      <c r="BC361" s="6"/>
      <c r="BD361" s="6"/>
      <c r="BE361" s="6"/>
      <c r="BF361" s="6"/>
      <c r="BG361" s="6"/>
      <c r="BH361" s="6"/>
      <c r="BI361" s="74"/>
      <c r="BJ361" s="74"/>
      <c r="BK361" s="7">
        <f t="shared" si="253"/>
        <v>0</v>
      </c>
      <c r="BL361" s="8">
        <f t="shared" si="222"/>
        <v>0</v>
      </c>
      <c r="BM361" s="51" t="str">
        <f>IFERROR(VLOOKUP(A361,NF!$M:$O,3,0),"")</f>
        <v>Feirinha</v>
      </c>
      <c r="BN361" s="7">
        <f t="shared" si="223"/>
        <v>0</v>
      </c>
      <c r="BO361" s="8">
        <f t="array" ref="BO361">IFERROR(LARGE(IF(NF!$G$2:$G$3137='Mês atual'!A361,NF!$J$2:$J$3137),1),0)*BN361</f>
        <v>0</v>
      </c>
      <c r="BP361" s="50"/>
      <c r="BR361" s="146">
        <f t="array" ref="BR361">IFERROR(LARGE(IF(NF!$G$2:$G$3137='Mês atual'!A361,NF!$J$2:$J$3137),1),0)</f>
        <v>0</v>
      </c>
      <c r="BS361" s="142" t="str">
        <f>VLOOKUP(A361,NF!M:O,3,0)</f>
        <v>Feirinha</v>
      </c>
      <c r="BV361" s="74">
        <f t="shared" si="239"/>
        <v>0</v>
      </c>
      <c r="BW361" s="74">
        <f t="shared" si="240"/>
        <v>0</v>
      </c>
      <c r="BX361" s="74">
        <f t="shared" si="241"/>
        <v>0</v>
      </c>
      <c r="BY361" s="74">
        <f t="shared" si="242"/>
        <v>0</v>
      </c>
      <c r="BZ361" s="74">
        <f t="shared" si="243"/>
        <v>0</v>
      </c>
    </row>
    <row r="362" spans="1:78" x14ac:dyDescent="0.25">
      <c r="A362" s="108" t="s">
        <v>910</v>
      </c>
      <c r="B362" s="12"/>
      <c r="C362" s="9">
        <v>2</v>
      </c>
      <c r="D362" s="25"/>
      <c r="E362" s="10" t="str">
        <f t="shared" si="213"/>
        <v>MarçoSEMANA 1Humaytá - Geléia de Maracujá</v>
      </c>
      <c r="F362" s="7">
        <f>SUMIF(NF!$A:$A,$E362,NF!$I:$I)</f>
        <v>0</v>
      </c>
      <c r="G362" s="74"/>
      <c r="H362" s="74"/>
      <c r="I362" s="74"/>
      <c r="J362" s="6"/>
      <c r="K362" s="6"/>
      <c r="L362" s="6"/>
      <c r="M362" s="6"/>
      <c r="N362" s="7">
        <f t="shared" si="249"/>
        <v>0</v>
      </c>
      <c r="O362" s="11">
        <f t="shared" si="218"/>
        <v>2</v>
      </c>
      <c r="P362" s="25"/>
      <c r="Q362" s="10" t="str">
        <f t="shared" si="214"/>
        <v>MarçoSEMANA 2Humaytá - Geléia de Maracujá</v>
      </c>
      <c r="R362" s="7">
        <f>SUMIF(NF!$A:$A,$Q362,NF!$I:$I)</f>
        <v>0</v>
      </c>
      <c r="S362" s="6"/>
      <c r="T362" s="6"/>
      <c r="U362" s="6"/>
      <c r="V362" s="6"/>
      <c r="W362" s="6"/>
      <c r="X362" s="6"/>
      <c r="Y362" s="6"/>
      <c r="Z362" s="7">
        <f t="shared" si="250"/>
        <v>0</v>
      </c>
      <c r="AA362" s="11">
        <f t="shared" si="219"/>
        <v>2</v>
      </c>
      <c r="AB362" s="25"/>
      <c r="AC362" s="10" t="str">
        <f t="shared" si="215"/>
        <v>MarçoSEMANA 3Humaytá - Geléia de Maracujá</v>
      </c>
      <c r="AD362" s="7">
        <f>SUMIF(NF!$A:$A,$AC362,NF!$I:$I)</f>
        <v>0</v>
      </c>
      <c r="AE362" s="6"/>
      <c r="AF362" s="6"/>
      <c r="AG362" s="6"/>
      <c r="AH362" s="6"/>
      <c r="AI362" s="6"/>
      <c r="AJ362" s="6"/>
      <c r="AK362" s="6"/>
      <c r="AL362" s="7">
        <f t="shared" si="251"/>
        <v>0</v>
      </c>
      <c r="AM362" s="11">
        <f t="shared" si="220"/>
        <v>2</v>
      </c>
      <c r="AN362" s="25"/>
      <c r="AO362" s="10" t="str">
        <f t="shared" si="216"/>
        <v>MarçoSEMANA 4Humaytá - Geléia de Maracujá</v>
      </c>
      <c r="AP362" s="7">
        <f>SUMIF(NF!$A:$A,$AO362,NF!$I:$I)</f>
        <v>0</v>
      </c>
      <c r="AQ362" s="6"/>
      <c r="AR362" s="6"/>
      <c r="AS362" s="6"/>
      <c r="AT362" s="6"/>
      <c r="AU362" s="6"/>
      <c r="AV362" s="6"/>
      <c r="AW362" s="6"/>
      <c r="AX362" s="7">
        <f t="shared" si="252"/>
        <v>0</v>
      </c>
      <c r="AY362" s="11">
        <f t="shared" si="221"/>
        <v>2</v>
      </c>
      <c r="AZ362" s="25"/>
      <c r="BA362" s="10" t="str">
        <f t="shared" si="217"/>
        <v>MarçoSEMANA 5Humaytá - Geléia de Maracujá</v>
      </c>
      <c r="BB362" s="7">
        <f>SUMIF(NF!$A:$A,$BA362,NF!$I:$I)</f>
        <v>0</v>
      </c>
      <c r="BC362" s="6"/>
      <c r="BD362" s="6"/>
      <c r="BE362" s="6"/>
      <c r="BF362" s="6"/>
      <c r="BG362" s="6"/>
      <c r="BH362" s="6"/>
      <c r="BI362" s="74"/>
      <c r="BJ362" s="74"/>
      <c r="BK362" s="7">
        <f t="shared" si="253"/>
        <v>0</v>
      </c>
      <c r="BL362" s="8">
        <f t="shared" si="222"/>
        <v>2</v>
      </c>
      <c r="BM362" s="51" t="str">
        <f>IFERROR(VLOOKUP(A362,NF!$M:$O,3,0),"")</f>
        <v>Feirinha</v>
      </c>
      <c r="BN362" s="7">
        <f t="shared" si="223"/>
        <v>0</v>
      </c>
      <c r="BO362" s="8">
        <f t="array" ref="BO362">IFERROR(LARGE(IF(NF!$G$2:$G$3137='Mês atual'!A362,NF!$J$2:$J$3137),1),0)*BN362</f>
        <v>0</v>
      </c>
      <c r="BP362" s="50"/>
      <c r="BR362" s="146">
        <f t="array" ref="BR362">IFERROR(LARGE(IF(NF!$G$2:$G$3137='Mês atual'!A362,NF!$J$2:$J$3137),1),0)</f>
        <v>0</v>
      </c>
      <c r="BS362" s="142" t="str">
        <f>VLOOKUP(A362,NF!M:O,3,0)</f>
        <v>Feirinha</v>
      </c>
      <c r="BV362" s="74">
        <f t="shared" si="239"/>
        <v>0</v>
      </c>
      <c r="BW362" s="74">
        <f t="shared" si="240"/>
        <v>0</v>
      </c>
      <c r="BX362" s="74">
        <f t="shared" si="241"/>
        <v>0</v>
      </c>
      <c r="BY362" s="74">
        <f t="shared" si="242"/>
        <v>0</v>
      </c>
      <c r="BZ362" s="74">
        <f t="shared" si="243"/>
        <v>0</v>
      </c>
    </row>
    <row r="363" spans="1:78" x14ac:dyDescent="0.25">
      <c r="A363" s="108" t="s">
        <v>911</v>
      </c>
      <c r="B363" s="12"/>
      <c r="C363" s="9">
        <v>3</v>
      </c>
      <c r="D363" s="25"/>
      <c r="E363" s="10" t="str">
        <f t="shared" si="213"/>
        <v>MarçoSEMANA 1Humaytá - Geléia de Morango</v>
      </c>
      <c r="F363" s="7">
        <f>SUMIF(NF!$A:$A,$E363,NF!$I:$I)</f>
        <v>0</v>
      </c>
      <c r="G363" s="74"/>
      <c r="H363" s="74"/>
      <c r="I363" s="74"/>
      <c r="J363" s="6"/>
      <c r="K363" s="6"/>
      <c r="L363" s="6"/>
      <c r="M363" s="6"/>
      <c r="N363" s="7">
        <f t="shared" si="249"/>
        <v>0</v>
      </c>
      <c r="O363" s="11">
        <f t="shared" si="218"/>
        <v>3</v>
      </c>
      <c r="P363" s="25"/>
      <c r="Q363" s="10" t="str">
        <f t="shared" si="214"/>
        <v>MarçoSEMANA 2Humaytá - Geléia de Morango</v>
      </c>
      <c r="R363" s="7">
        <f>SUMIF(NF!$A:$A,$Q363,NF!$I:$I)</f>
        <v>0</v>
      </c>
      <c r="S363" s="6"/>
      <c r="T363" s="6"/>
      <c r="U363" s="6"/>
      <c r="V363" s="6"/>
      <c r="W363" s="6"/>
      <c r="X363" s="6"/>
      <c r="Y363" s="6"/>
      <c r="Z363" s="7">
        <f t="shared" si="250"/>
        <v>0</v>
      </c>
      <c r="AA363" s="11">
        <f t="shared" si="219"/>
        <v>3</v>
      </c>
      <c r="AB363" s="25"/>
      <c r="AC363" s="10" t="str">
        <f t="shared" si="215"/>
        <v>MarçoSEMANA 3Humaytá - Geléia de Morango</v>
      </c>
      <c r="AD363" s="7">
        <f>SUMIF(NF!$A:$A,$AC363,NF!$I:$I)</f>
        <v>0</v>
      </c>
      <c r="AE363" s="6"/>
      <c r="AF363" s="6"/>
      <c r="AG363" s="6"/>
      <c r="AH363" s="6"/>
      <c r="AI363" s="6"/>
      <c r="AJ363" s="6"/>
      <c r="AK363" s="6"/>
      <c r="AL363" s="7">
        <f t="shared" si="251"/>
        <v>0</v>
      </c>
      <c r="AM363" s="11">
        <f t="shared" si="220"/>
        <v>3</v>
      </c>
      <c r="AN363" s="25"/>
      <c r="AO363" s="10" t="str">
        <f t="shared" si="216"/>
        <v>MarçoSEMANA 4Humaytá - Geléia de Morango</v>
      </c>
      <c r="AP363" s="7">
        <f>SUMIF(NF!$A:$A,$AO363,NF!$I:$I)</f>
        <v>0</v>
      </c>
      <c r="AQ363" s="6"/>
      <c r="AR363" s="6"/>
      <c r="AS363" s="6"/>
      <c r="AT363" s="6"/>
      <c r="AU363" s="6"/>
      <c r="AV363" s="6"/>
      <c r="AW363" s="6"/>
      <c r="AX363" s="7">
        <f t="shared" si="252"/>
        <v>0</v>
      </c>
      <c r="AY363" s="11">
        <f t="shared" si="221"/>
        <v>3</v>
      </c>
      <c r="AZ363" s="25"/>
      <c r="BA363" s="10" t="str">
        <f t="shared" si="217"/>
        <v>MarçoSEMANA 5Humaytá - Geléia de Morango</v>
      </c>
      <c r="BB363" s="7">
        <f>SUMIF(NF!$A:$A,$BA363,NF!$I:$I)</f>
        <v>0</v>
      </c>
      <c r="BC363" s="6"/>
      <c r="BD363" s="6"/>
      <c r="BE363" s="6"/>
      <c r="BF363" s="6"/>
      <c r="BG363" s="6"/>
      <c r="BH363" s="6"/>
      <c r="BI363" s="74"/>
      <c r="BJ363" s="74"/>
      <c r="BK363" s="7">
        <f t="shared" si="253"/>
        <v>0</v>
      </c>
      <c r="BL363" s="8">
        <f t="shared" si="222"/>
        <v>3</v>
      </c>
      <c r="BM363" s="51" t="str">
        <f>IFERROR(VLOOKUP(A363,NF!$M:$O,3,0),"")</f>
        <v>Feirinha</v>
      </c>
      <c r="BN363" s="7">
        <f t="shared" si="223"/>
        <v>0</v>
      </c>
      <c r="BO363" s="8">
        <f t="array" ref="BO363">IFERROR(LARGE(IF(NF!$G$2:$G$3137='Mês atual'!A363,NF!$J$2:$J$3137),1),0)*BN363</f>
        <v>0</v>
      </c>
      <c r="BP363" s="50"/>
      <c r="BR363" s="146">
        <f t="array" ref="BR363">IFERROR(LARGE(IF(NF!$G$2:$G$3137='Mês atual'!A363,NF!$J$2:$J$3137),1),0)</f>
        <v>0</v>
      </c>
      <c r="BS363" s="142" t="str">
        <f>VLOOKUP(A363,NF!M:O,3,0)</f>
        <v>Feirinha</v>
      </c>
      <c r="BV363" s="74">
        <f t="shared" si="239"/>
        <v>0</v>
      </c>
      <c r="BW363" s="74">
        <f t="shared" si="240"/>
        <v>0</v>
      </c>
      <c r="BX363" s="74">
        <f t="shared" si="241"/>
        <v>0</v>
      </c>
      <c r="BY363" s="74">
        <f t="shared" si="242"/>
        <v>0</v>
      </c>
      <c r="BZ363" s="74">
        <f t="shared" si="243"/>
        <v>0</v>
      </c>
    </row>
    <row r="364" spans="1:78" x14ac:dyDescent="0.25">
      <c r="A364" s="108" t="s">
        <v>429</v>
      </c>
      <c r="B364" s="12"/>
      <c r="C364" s="9">
        <v>0</v>
      </c>
      <c r="D364" s="25"/>
      <c r="E364" s="10" t="str">
        <f t="shared" si="213"/>
        <v>MarçoSEMANA 1Humaytá - Mini Geléia de Amora</v>
      </c>
      <c r="F364" s="7">
        <f>SUMIF(NF!$A:$A,$E364,NF!$I:$I)</f>
        <v>0</v>
      </c>
      <c r="G364" s="74"/>
      <c r="H364" s="74"/>
      <c r="I364" s="74"/>
      <c r="J364" s="6"/>
      <c r="K364" s="6"/>
      <c r="L364" s="6"/>
      <c r="M364" s="6"/>
      <c r="N364" s="7">
        <f t="shared" si="249"/>
        <v>0</v>
      </c>
      <c r="O364" s="11">
        <f t="shared" si="218"/>
        <v>0</v>
      </c>
      <c r="P364" s="25"/>
      <c r="Q364" s="10" t="str">
        <f t="shared" si="214"/>
        <v>MarçoSEMANA 2Humaytá - Mini Geléia de Amora</v>
      </c>
      <c r="R364" s="7">
        <f>SUMIF(NF!$A:$A,$Q364,NF!$I:$I)</f>
        <v>0</v>
      </c>
      <c r="S364" s="6"/>
      <c r="T364" s="6"/>
      <c r="U364" s="6"/>
      <c r="V364" s="6"/>
      <c r="W364" s="6"/>
      <c r="X364" s="6"/>
      <c r="Y364" s="6"/>
      <c r="Z364" s="7">
        <f t="shared" si="250"/>
        <v>0</v>
      </c>
      <c r="AA364" s="11">
        <f t="shared" si="219"/>
        <v>0</v>
      </c>
      <c r="AB364" s="25"/>
      <c r="AC364" s="10" t="str">
        <f t="shared" si="215"/>
        <v>MarçoSEMANA 3Humaytá - Mini Geléia de Amora</v>
      </c>
      <c r="AD364" s="7">
        <f>SUMIF(NF!$A:$A,$AC364,NF!$I:$I)</f>
        <v>0</v>
      </c>
      <c r="AE364" s="6"/>
      <c r="AF364" s="6"/>
      <c r="AG364" s="6"/>
      <c r="AH364" s="6"/>
      <c r="AI364" s="6"/>
      <c r="AJ364" s="6"/>
      <c r="AK364" s="6"/>
      <c r="AL364" s="7">
        <f t="shared" si="251"/>
        <v>0</v>
      </c>
      <c r="AM364" s="11">
        <f t="shared" si="220"/>
        <v>0</v>
      </c>
      <c r="AN364" s="25"/>
      <c r="AO364" s="10" t="str">
        <f t="shared" si="216"/>
        <v>MarçoSEMANA 4Humaytá - Mini Geléia de Amora</v>
      </c>
      <c r="AP364" s="7">
        <f>SUMIF(NF!$A:$A,$AO364,NF!$I:$I)</f>
        <v>0</v>
      </c>
      <c r="AQ364" s="6"/>
      <c r="AR364" s="6"/>
      <c r="AS364" s="6"/>
      <c r="AT364" s="6"/>
      <c r="AU364" s="6"/>
      <c r="AV364" s="6"/>
      <c r="AW364" s="6"/>
      <c r="AX364" s="7">
        <f t="shared" si="252"/>
        <v>0</v>
      </c>
      <c r="AY364" s="11">
        <f t="shared" si="221"/>
        <v>0</v>
      </c>
      <c r="AZ364" s="25"/>
      <c r="BA364" s="10" t="str">
        <f t="shared" si="217"/>
        <v>MarçoSEMANA 5Humaytá - Mini Geléia de Amora</v>
      </c>
      <c r="BB364" s="7">
        <f>SUMIF(NF!$A:$A,$BA364,NF!$I:$I)</f>
        <v>0</v>
      </c>
      <c r="BC364" s="6"/>
      <c r="BD364" s="6"/>
      <c r="BE364" s="6"/>
      <c r="BF364" s="6"/>
      <c r="BG364" s="6"/>
      <c r="BH364" s="6"/>
      <c r="BI364" s="74"/>
      <c r="BJ364" s="74"/>
      <c r="BK364" s="7">
        <f t="shared" si="253"/>
        <v>0</v>
      </c>
      <c r="BL364" s="8">
        <f t="shared" si="222"/>
        <v>0</v>
      </c>
      <c r="BM364" s="51" t="str">
        <f>IFERROR(VLOOKUP(A364,NF!$M:$O,3,0),"")</f>
        <v>Feirinha</v>
      </c>
      <c r="BN364" s="7">
        <f t="shared" si="223"/>
        <v>0</v>
      </c>
      <c r="BO364" s="8">
        <f t="array" ref="BO364">IFERROR(LARGE(IF(NF!$G$2:$G$3137='Mês atual'!A364,NF!$J$2:$J$3137),1),0)*BN364</f>
        <v>0</v>
      </c>
      <c r="BP364" s="50"/>
      <c r="BR364" s="146">
        <f t="array" ref="BR364">IFERROR(LARGE(IF(NF!$G$2:$G$3137='Mês atual'!A364,NF!$J$2:$J$3137),1),0)</f>
        <v>0</v>
      </c>
      <c r="BS364" s="142" t="str">
        <f>VLOOKUP(A364,NF!M:O,3,0)</f>
        <v>Feirinha</v>
      </c>
      <c r="BV364" s="74">
        <f t="shared" si="239"/>
        <v>0</v>
      </c>
      <c r="BW364" s="74">
        <f t="shared" si="240"/>
        <v>0</v>
      </c>
      <c r="BX364" s="74">
        <f t="shared" si="241"/>
        <v>0</v>
      </c>
      <c r="BY364" s="74">
        <f t="shared" si="242"/>
        <v>0</v>
      </c>
      <c r="BZ364" s="74">
        <f t="shared" si="243"/>
        <v>0</v>
      </c>
    </row>
    <row r="365" spans="1:78" x14ac:dyDescent="0.25">
      <c r="A365" s="108" t="s">
        <v>430</v>
      </c>
      <c r="B365" s="12"/>
      <c r="C365" s="9">
        <v>0</v>
      </c>
      <c r="D365" s="25"/>
      <c r="E365" s="10" t="str">
        <f t="shared" si="213"/>
        <v>MarçoSEMANA 1Humaytá - Mini Geléia de Damasco</v>
      </c>
      <c r="F365" s="7">
        <f>SUMIF(NF!$A:$A,$E365,NF!$I:$I)</f>
        <v>0</v>
      </c>
      <c r="G365" s="74"/>
      <c r="H365" s="74"/>
      <c r="I365" s="74"/>
      <c r="J365" s="6"/>
      <c r="K365" s="6"/>
      <c r="L365" s="6"/>
      <c r="M365" s="6"/>
      <c r="N365" s="7">
        <f t="shared" si="249"/>
        <v>0</v>
      </c>
      <c r="O365" s="11">
        <f t="shared" si="218"/>
        <v>0</v>
      </c>
      <c r="P365" s="25"/>
      <c r="Q365" s="10" t="str">
        <f t="shared" si="214"/>
        <v>MarçoSEMANA 2Humaytá - Mini Geléia de Damasco</v>
      </c>
      <c r="R365" s="7">
        <f>SUMIF(NF!$A:$A,$Q365,NF!$I:$I)</f>
        <v>0</v>
      </c>
      <c r="S365" s="6"/>
      <c r="T365" s="6"/>
      <c r="U365" s="6"/>
      <c r="V365" s="6"/>
      <c r="W365" s="6"/>
      <c r="X365" s="6"/>
      <c r="Y365" s="6"/>
      <c r="Z365" s="7">
        <f t="shared" si="250"/>
        <v>0</v>
      </c>
      <c r="AA365" s="11">
        <f t="shared" si="219"/>
        <v>0</v>
      </c>
      <c r="AB365" s="25"/>
      <c r="AC365" s="10" t="str">
        <f t="shared" si="215"/>
        <v>MarçoSEMANA 3Humaytá - Mini Geléia de Damasco</v>
      </c>
      <c r="AD365" s="7">
        <f>SUMIF(NF!$A:$A,$AC365,NF!$I:$I)</f>
        <v>0</v>
      </c>
      <c r="AE365" s="6"/>
      <c r="AF365" s="6"/>
      <c r="AG365" s="6"/>
      <c r="AH365" s="6"/>
      <c r="AI365" s="6"/>
      <c r="AJ365" s="6"/>
      <c r="AK365" s="6"/>
      <c r="AL365" s="7">
        <f t="shared" si="251"/>
        <v>0</v>
      </c>
      <c r="AM365" s="11">
        <f t="shared" si="220"/>
        <v>0</v>
      </c>
      <c r="AN365" s="25"/>
      <c r="AO365" s="10" t="str">
        <f t="shared" si="216"/>
        <v>MarçoSEMANA 4Humaytá - Mini Geléia de Damasco</v>
      </c>
      <c r="AP365" s="7">
        <f>SUMIF(NF!$A:$A,$AO365,NF!$I:$I)</f>
        <v>0</v>
      </c>
      <c r="AQ365" s="6"/>
      <c r="AR365" s="6"/>
      <c r="AS365" s="6"/>
      <c r="AT365" s="6"/>
      <c r="AU365" s="6"/>
      <c r="AV365" s="6"/>
      <c r="AW365" s="6"/>
      <c r="AX365" s="7">
        <f t="shared" si="252"/>
        <v>0</v>
      </c>
      <c r="AY365" s="11">
        <f t="shared" si="221"/>
        <v>0</v>
      </c>
      <c r="AZ365" s="25"/>
      <c r="BA365" s="10" t="str">
        <f t="shared" si="217"/>
        <v>MarçoSEMANA 5Humaytá - Mini Geléia de Damasco</v>
      </c>
      <c r="BB365" s="7">
        <f>SUMIF(NF!$A:$A,$BA365,NF!$I:$I)</f>
        <v>0</v>
      </c>
      <c r="BC365" s="6"/>
      <c r="BD365" s="6"/>
      <c r="BE365" s="6"/>
      <c r="BF365" s="6"/>
      <c r="BG365" s="6"/>
      <c r="BH365" s="6"/>
      <c r="BI365" s="74"/>
      <c r="BJ365" s="74"/>
      <c r="BK365" s="7">
        <f t="shared" si="253"/>
        <v>0</v>
      </c>
      <c r="BL365" s="8">
        <f t="shared" si="222"/>
        <v>0</v>
      </c>
      <c r="BM365" s="51" t="str">
        <f>IFERROR(VLOOKUP(A365,NF!$M:$O,3,0),"")</f>
        <v>Feirinha</v>
      </c>
      <c r="BN365" s="7">
        <f t="shared" si="223"/>
        <v>0</v>
      </c>
      <c r="BO365" s="8">
        <f t="array" ref="BO365">IFERROR(LARGE(IF(NF!$G$2:$G$3137='Mês atual'!A365,NF!$J$2:$J$3137),1),0)*BN365</f>
        <v>0</v>
      </c>
      <c r="BP365" s="50"/>
      <c r="BR365" s="146">
        <f t="array" ref="BR365">IFERROR(LARGE(IF(NF!$G$2:$G$3137='Mês atual'!A365,NF!$J$2:$J$3137),1),0)</f>
        <v>0</v>
      </c>
      <c r="BS365" s="142" t="str">
        <f>VLOOKUP(A365,NF!M:O,3,0)</f>
        <v>Feirinha</v>
      </c>
      <c r="BV365" s="74">
        <f t="shared" si="239"/>
        <v>0</v>
      </c>
      <c r="BW365" s="74">
        <f t="shared" si="240"/>
        <v>0</v>
      </c>
      <c r="BX365" s="74">
        <f t="shared" si="241"/>
        <v>0</v>
      </c>
      <c r="BY365" s="74">
        <f t="shared" si="242"/>
        <v>0</v>
      </c>
      <c r="BZ365" s="74">
        <f t="shared" si="243"/>
        <v>0</v>
      </c>
    </row>
    <row r="366" spans="1:78" x14ac:dyDescent="0.25">
      <c r="A366" s="108" t="s">
        <v>431</v>
      </c>
      <c r="B366" s="12"/>
      <c r="C366" s="9">
        <v>1</v>
      </c>
      <c r="D366" s="25"/>
      <c r="E366" s="10" t="str">
        <f t="shared" si="213"/>
        <v>MarçoSEMANA 1Humaytá - Mini Geléia de Figo</v>
      </c>
      <c r="F366" s="7">
        <f>SUMIF(NF!$A:$A,$E366,NF!$I:$I)</f>
        <v>0</v>
      </c>
      <c r="G366" s="74"/>
      <c r="H366" s="74"/>
      <c r="I366" s="74"/>
      <c r="J366" s="6"/>
      <c r="K366" s="6"/>
      <c r="L366" s="6"/>
      <c r="M366" s="6"/>
      <c r="N366" s="7">
        <f t="shared" si="249"/>
        <v>0</v>
      </c>
      <c r="O366" s="11">
        <f t="shared" si="218"/>
        <v>1</v>
      </c>
      <c r="P366" s="25"/>
      <c r="Q366" s="10" t="str">
        <f t="shared" si="214"/>
        <v>MarçoSEMANA 2Humaytá - Mini Geléia de Figo</v>
      </c>
      <c r="R366" s="7">
        <f>SUMIF(NF!$A:$A,$Q366,NF!$I:$I)</f>
        <v>0</v>
      </c>
      <c r="S366" s="6"/>
      <c r="T366" s="6"/>
      <c r="U366" s="6"/>
      <c r="V366" s="6"/>
      <c r="W366" s="6"/>
      <c r="X366" s="6"/>
      <c r="Y366" s="6"/>
      <c r="Z366" s="7">
        <f t="shared" si="250"/>
        <v>0</v>
      </c>
      <c r="AA366" s="11">
        <f t="shared" si="219"/>
        <v>1</v>
      </c>
      <c r="AB366" s="25"/>
      <c r="AC366" s="10" t="str">
        <f t="shared" si="215"/>
        <v>MarçoSEMANA 3Humaytá - Mini Geléia de Figo</v>
      </c>
      <c r="AD366" s="7">
        <f>SUMIF(NF!$A:$A,$AC366,NF!$I:$I)</f>
        <v>0</v>
      </c>
      <c r="AE366" s="6"/>
      <c r="AF366" s="6"/>
      <c r="AG366" s="6"/>
      <c r="AH366" s="6"/>
      <c r="AI366" s="6"/>
      <c r="AJ366" s="6"/>
      <c r="AK366" s="6"/>
      <c r="AL366" s="7">
        <f t="shared" si="251"/>
        <v>0</v>
      </c>
      <c r="AM366" s="11">
        <f t="shared" si="220"/>
        <v>1</v>
      </c>
      <c r="AN366" s="25"/>
      <c r="AO366" s="10" t="str">
        <f t="shared" si="216"/>
        <v>MarçoSEMANA 4Humaytá - Mini Geléia de Figo</v>
      </c>
      <c r="AP366" s="7">
        <f>SUMIF(NF!$A:$A,$AO366,NF!$I:$I)</f>
        <v>0</v>
      </c>
      <c r="AQ366" s="6"/>
      <c r="AR366" s="6"/>
      <c r="AS366" s="6"/>
      <c r="AT366" s="6"/>
      <c r="AU366" s="6"/>
      <c r="AV366" s="6"/>
      <c r="AW366" s="6"/>
      <c r="AX366" s="7">
        <f t="shared" si="252"/>
        <v>0</v>
      </c>
      <c r="AY366" s="11">
        <f t="shared" si="221"/>
        <v>1</v>
      </c>
      <c r="AZ366" s="25"/>
      <c r="BA366" s="10" t="str">
        <f t="shared" si="217"/>
        <v>MarçoSEMANA 5Humaytá - Mini Geléia de Figo</v>
      </c>
      <c r="BB366" s="7">
        <f>SUMIF(NF!$A:$A,$BA366,NF!$I:$I)</f>
        <v>0</v>
      </c>
      <c r="BC366" s="6"/>
      <c r="BD366" s="6"/>
      <c r="BE366" s="6"/>
      <c r="BF366" s="6"/>
      <c r="BG366" s="6"/>
      <c r="BH366" s="6"/>
      <c r="BI366" s="74"/>
      <c r="BJ366" s="74"/>
      <c r="BK366" s="7">
        <f t="shared" si="253"/>
        <v>0</v>
      </c>
      <c r="BL366" s="8">
        <f t="shared" si="222"/>
        <v>1</v>
      </c>
      <c r="BM366" s="51" t="str">
        <f>IFERROR(VLOOKUP(A366,NF!$M:$O,3,0),"")</f>
        <v>Feirinha</v>
      </c>
      <c r="BN366" s="7">
        <f t="shared" si="223"/>
        <v>0</v>
      </c>
      <c r="BO366" s="8">
        <f t="array" ref="BO366">IFERROR(LARGE(IF(NF!$G$2:$G$3137='Mês atual'!A366,NF!$J$2:$J$3137),1),0)*BN366</f>
        <v>0</v>
      </c>
      <c r="BP366" s="50"/>
      <c r="BR366" s="146">
        <f t="array" ref="BR366">IFERROR(LARGE(IF(NF!$G$2:$G$3137='Mês atual'!A366,NF!$J$2:$J$3137),1),0)</f>
        <v>0</v>
      </c>
      <c r="BS366" s="142" t="str">
        <f>VLOOKUP(A366,NF!M:O,3,0)</f>
        <v>Feirinha</v>
      </c>
      <c r="BV366" s="74">
        <f t="shared" si="239"/>
        <v>0</v>
      </c>
      <c r="BW366" s="74">
        <f t="shared" si="240"/>
        <v>0</v>
      </c>
      <c r="BX366" s="74">
        <f t="shared" si="241"/>
        <v>0</v>
      </c>
      <c r="BY366" s="74">
        <f t="shared" si="242"/>
        <v>0</v>
      </c>
      <c r="BZ366" s="74">
        <f t="shared" si="243"/>
        <v>0</v>
      </c>
    </row>
    <row r="367" spans="1:78" x14ac:dyDescent="0.25">
      <c r="A367" s="108" t="s">
        <v>432</v>
      </c>
      <c r="B367" s="12"/>
      <c r="C367" s="9">
        <v>0</v>
      </c>
      <c r="D367" s="25"/>
      <c r="E367" s="10" t="str">
        <f t="shared" si="213"/>
        <v>MarçoSEMANA 1Humaytá - Mini Geléia de Framboesa</v>
      </c>
      <c r="F367" s="7">
        <f>SUMIF(NF!$A:$A,$E367,NF!$I:$I)</f>
        <v>0</v>
      </c>
      <c r="G367" s="74"/>
      <c r="H367" s="74"/>
      <c r="I367" s="74"/>
      <c r="J367" s="6"/>
      <c r="K367" s="6"/>
      <c r="L367" s="6"/>
      <c r="M367" s="6"/>
      <c r="N367" s="7">
        <f t="shared" si="249"/>
        <v>0</v>
      </c>
      <c r="O367" s="11">
        <f t="shared" si="218"/>
        <v>0</v>
      </c>
      <c r="P367" s="25"/>
      <c r="Q367" s="10" t="str">
        <f t="shared" si="214"/>
        <v>MarçoSEMANA 2Humaytá - Mini Geléia de Framboesa</v>
      </c>
      <c r="R367" s="7">
        <f>SUMIF(NF!$A:$A,$Q367,NF!$I:$I)</f>
        <v>0</v>
      </c>
      <c r="S367" s="6"/>
      <c r="T367" s="6"/>
      <c r="U367" s="6"/>
      <c r="V367" s="6"/>
      <c r="W367" s="6"/>
      <c r="X367" s="6"/>
      <c r="Y367" s="6"/>
      <c r="Z367" s="7">
        <f t="shared" si="250"/>
        <v>0</v>
      </c>
      <c r="AA367" s="11">
        <f t="shared" si="219"/>
        <v>0</v>
      </c>
      <c r="AB367" s="25"/>
      <c r="AC367" s="10" t="str">
        <f t="shared" si="215"/>
        <v>MarçoSEMANA 3Humaytá - Mini Geléia de Framboesa</v>
      </c>
      <c r="AD367" s="7">
        <f>SUMIF(NF!$A:$A,$AC367,NF!$I:$I)</f>
        <v>0</v>
      </c>
      <c r="AE367" s="6"/>
      <c r="AF367" s="6"/>
      <c r="AG367" s="6"/>
      <c r="AH367" s="6"/>
      <c r="AI367" s="6"/>
      <c r="AJ367" s="6"/>
      <c r="AK367" s="6"/>
      <c r="AL367" s="7">
        <f t="shared" si="251"/>
        <v>0</v>
      </c>
      <c r="AM367" s="11">
        <f t="shared" si="220"/>
        <v>0</v>
      </c>
      <c r="AN367" s="25"/>
      <c r="AO367" s="10" t="str">
        <f t="shared" si="216"/>
        <v>MarçoSEMANA 4Humaytá - Mini Geléia de Framboesa</v>
      </c>
      <c r="AP367" s="7">
        <f>SUMIF(NF!$A:$A,$AO367,NF!$I:$I)</f>
        <v>0</v>
      </c>
      <c r="AQ367" s="6"/>
      <c r="AR367" s="6"/>
      <c r="AS367" s="6"/>
      <c r="AT367" s="6"/>
      <c r="AU367" s="6"/>
      <c r="AV367" s="6"/>
      <c r="AW367" s="6"/>
      <c r="AX367" s="7">
        <f t="shared" si="252"/>
        <v>0</v>
      </c>
      <c r="AY367" s="11">
        <f t="shared" si="221"/>
        <v>0</v>
      </c>
      <c r="AZ367" s="25"/>
      <c r="BA367" s="10" t="str">
        <f t="shared" si="217"/>
        <v>MarçoSEMANA 5Humaytá - Mini Geléia de Framboesa</v>
      </c>
      <c r="BB367" s="7">
        <f>SUMIF(NF!$A:$A,$BA367,NF!$I:$I)</f>
        <v>0</v>
      </c>
      <c r="BC367" s="6"/>
      <c r="BD367" s="6"/>
      <c r="BE367" s="6"/>
      <c r="BF367" s="6"/>
      <c r="BG367" s="6"/>
      <c r="BH367" s="6"/>
      <c r="BI367" s="74"/>
      <c r="BJ367" s="74"/>
      <c r="BK367" s="7">
        <f t="shared" si="253"/>
        <v>0</v>
      </c>
      <c r="BL367" s="8">
        <f t="shared" si="222"/>
        <v>0</v>
      </c>
      <c r="BM367" s="51" t="str">
        <f>IFERROR(VLOOKUP(A367,NF!$M:$O,3,0),"")</f>
        <v>Feirinha</v>
      </c>
      <c r="BN367" s="7">
        <f t="shared" si="223"/>
        <v>0</v>
      </c>
      <c r="BO367" s="8">
        <f t="array" ref="BO367">IFERROR(LARGE(IF(NF!$G$2:$G$3137='Mês atual'!A367,NF!$J$2:$J$3137),1),0)*BN367</f>
        <v>0</v>
      </c>
      <c r="BP367" s="50"/>
      <c r="BR367" s="146">
        <f t="array" ref="BR367">IFERROR(LARGE(IF(NF!$G$2:$G$3137='Mês atual'!A367,NF!$J$2:$J$3137),1),0)</f>
        <v>0</v>
      </c>
      <c r="BS367" s="142" t="str">
        <f>VLOOKUP(A367,NF!M:O,3,0)</f>
        <v>Feirinha</v>
      </c>
      <c r="BV367" s="74">
        <f t="shared" si="239"/>
        <v>0</v>
      </c>
      <c r="BW367" s="74">
        <f t="shared" si="240"/>
        <v>0</v>
      </c>
      <c r="BX367" s="74">
        <f t="shared" si="241"/>
        <v>0</v>
      </c>
      <c r="BY367" s="74">
        <f t="shared" si="242"/>
        <v>0</v>
      </c>
      <c r="BZ367" s="74">
        <f t="shared" si="243"/>
        <v>0</v>
      </c>
    </row>
    <row r="368" spans="1:78" x14ac:dyDescent="0.25">
      <c r="A368" s="108" t="s">
        <v>433</v>
      </c>
      <c r="B368" s="12"/>
      <c r="C368" s="9">
        <v>1</v>
      </c>
      <c r="D368" s="25"/>
      <c r="E368" s="10" t="str">
        <f t="shared" si="213"/>
        <v>MarçoSEMANA 1Humaytá - Mini Geléia de Frutas Vermelhas</v>
      </c>
      <c r="F368" s="7">
        <f>SUMIF(NF!$A:$A,$E368,NF!$I:$I)</f>
        <v>0</v>
      </c>
      <c r="G368" s="74"/>
      <c r="H368" s="74"/>
      <c r="I368" s="74"/>
      <c r="J368" s="6"/>
      <c r="K368" s="6"/>
      <c r="L368" s="6"/>
      <c r="M368" s="6"/>
      <c r="N368" s="7">
        <f t="shared" si="249"/>
        <v>0</v>
      </c>
      <c r="O368" s="11">
        <f t="shared" si="218"/>
        <v>1</v>
      </c>
      <c r="P368" s="25"/>
      <c r="Q368" s="10" t="str">
        <f t="shared" si="214"/>
        <v>MarçoSEMANA 2Humaytá - Mini Geléia de Frutas Vermelhas</v>
      </c>
      <c r="R368" s="7">
        <f>SUMIF(NF!$A:$A,$Q368,NF!$I:$I)</f>
        <v>0</v>
      </c>
      <c r="S368" s="6"/>
      <c r="T368" s="6"/>
      <c r="U368" s="6"/>
      <c r="V368" s="6"/>
      <c r="W368" s="6"/>
      <c r="X368" s="6"/>
      <c r="Y368" s="6"/>
      <c r="Z368" s="7">
        <f t="shared" si="250"/>
        <v>0</v>
      </c>
      <c r="AA368" s="11">
        <f t="shared" si="219"/>
        <v>1</v>
      </c>
      <c r="AB368" s="25"/>
      <c r="AC368" s="10" t="str">
        <f t="shared" si="215"/>
        <v>MarçoSEMANA 3Humaytá - Mini Geléia de Frutas Vermelhas</v>
      </c>
      <c r="AD368" s="7">
        <f>SUMIF(NF!$A:$A,$AC368,NF!$I:$I)</f>
        <v>0</v>
      </c>
      <c r="AE368" s="6"/>
      <c r="AF368" s="6"/>
      <c r="AG368" s="6"/>
      <c r="AH368" s="6"/>
      <c r="AI368" s="6"/>
      <c r="AJ368" s="6"/>
      <c r="AK368" s="6"/>
      <c r="AL368" s="7">
        <f t="shared" si="251"/>
        <v>0</v>
      </c>
      <c r="AM368" s="11">
        <f t="shared" si="220"/>
        <v>1</v>
      </c>
      <c r="AN368" s="25"/>
      <c r="AO368" s="10" t="str">
        <f t="shared" si="216"/>
        <v>MarçoSEMANA 4Humaytá - Mini Geléia de Frutas Vermelhas</v>
      </c>
      <c r="AP368" s="7">
        <f>SUMIF(NF!$A:$A,$AO368,NF!$I:$I)</f>
        <v>0</v>
      </c>
      <c r="AQ368" s="6"/>
      <c r="AR368" s="6"/>
      <c r="AS368" s="6"/>
      <c r="AT368" s="6"/>
      <c r="AU368" s="6"/>
      <c r="AV368" s="6"/>
      <c r="AW368" s="6"/>
      <c r="AX368" s="7">
        <f t="shared" si="252"/>
        <v>0</v>
      </c>
      <c r="AY368" s="11">
        <f t="shared" si="221"/>
        <v>1</v>
      </c>
      <c r="AZ368" s="25"/>
      <c r="BA368" s="10" t="str">
        <f t="shared" si="217"/>
        <v>MarçoSEMANA 5Humaytá - Mini Geléia de Frutas Vermelhas</v>
      </c>
      <c r="BB368" s="7">
        <f>SUMIF(NF!$A:$A,$BA368,NF!$I:$I)</f>
        <v>0</v>
      </c>
      <c r="BC368" s="6"/>
      <c r="BD368" s="6"/>
      <c r="BE368" s="6"/>
      <c r="BF368" s="6"/>
      <c r="BG368" s="6"/>
      <c r="BH368" s="6"/>
      <c r="BI368" s="74"/>
      <c r="BJ368" s="74"/>
      <c r="BK368" s="7">
        <f t="shared" si="253"/>
        <v>0</v>
      </c>
      <c r="BL368" s="8">
        <f t="shared" si="222"/>
        <v>1</v>
      </c>
      <c r="BM368" s="51" t="str">
        <f>IFERROR(VLOOKUP(A368,NF!$M:$O,3,0),"")</f>
        <v>Feirinha</v>
      </c>
      <c r="BN368" s="7">
        <f t="shared" si="223"/>
        <v>0</v>
      </c>
      <c r="BO368" s="8">
        <f t="array" ref="BO368">IFERROR(LARGE(IF(NF!$G$2:$G$3137='Mês atual'!A368,NF!$J$2:$J$3137),1),0)*BN368</f>
        <v>0</v>
      </c>
      <c r="BP368" s="50"/>
      <c r="BR368" s="146">
        <f t="array" ref="BR368">IFERROR(LARGE(IF(NF!$G$2:$G$3137='Mês atual'!A368,NF!$J$2:$J$3137),1),0)</f>
        <v>0</v>
      </c>
      <c r="BS368" s="142" t="str">
        <f>VLOOKUP(A368,NF!M:O,3,0)</f>
        <v>Feirinha</v>
      </c>
      <c r="BV368" s="74">
        <f t="shared" si="239"/>
        <v>0</v>
      </c>
      <c r="BW368" s="74">
        <f t="shared" si="240"/>
        <v>0</v>
      </c>
      <c r="BX368" s="74">
        <f t="shared" si="241"/>
        <v>0</v>
      </c>
      <c r="BY368" s="74">
        <f t="shared" si="242"/>
        <v>0</v>
      </c>
      <c r="BZ368" s="74">
        <f t="shared" si="243"/>
        <v>0</v>
      </c>
    </row>
    <row r="369" spans="1:78" x14ac:dyDescent="0.25">
      <c r="A369" s="108" t="s">
        <v>434</v>
      </c>
      <c r="B369" s="12"/>
      <c r="C369" s="9">
        <v>3</v>
      </c>
      <c r="D369" s="25"/>
      <c r="E369" s="10" t="str">
        <f t="shared" si="213"/>
        <v>MarçoSEMANA 1Humaytá - Mini Geléia de Goiaba</v>
      </c>
      <c r="F369" s="7">
        <f>SUMIF(NF!$A:$A,$E369,NF!$I:$I)</f>
        <v>0</v>
      </c>
      <c r="G369" s="74"/>
      <c r="H369" s="74"/>
      <c r="I369" s="74"/>
      <c r="J369" s="6"/>
      <c r="K369" s="6"/>
      <c r="L369" s="6"/>
      <c r="M369" s="6"/>
      <c r="N369" s="7">
        <f t="shared" si="249"/>
        <v>0</v>
      </c>
      <c r="O369" s="11">
        <f t="shared" si="218"/>
        <v>3</v>
      </c>
      <c r="P369" s="25"/>
      <c r="Q369" s="10" t="str">
        <f t="shared" si="214"/>
        <v>MarçoSEMANA 2Humaytá - Mini Geléia de Goiaba</v>
      </c>
      <c r="R369" s="7">
        <f>SUMIF(NF!$A:$A,$Q369,NF!$I:$I)</f>
        <v>0</v>
      </c>
      <c r="S369" s="6"/>
      <c r="T369" s="6"/>
      <c r="U369" s="6"/>
      <c r="V369" s="6"/>
      <c r="W369" s="6"/>
      <c r="X369" s="6"/>
      <c r="Y369" s="6"/>
      <c r="Z369" s="7">
        <f t="shared" si="250"/>
        <v>0</v>
      </c>
      <c r="AA369" s="11">
        <f t="shared" si="219"/>
        <v>3</v>
      </c>
      <c r="AB369" s="25"/>
      <c r="AC369" s="10" t="str">
        <f t="shared" si="215"/>
        <v>MarçoSEMANA 3Humaytá - Mini Geléia de Goiaba</v>
      </c>
      <c r="AD369" s="7">
        <f>SUMIF(NF!$A:$A,$AC369,NF!$I:$I)</f>
        <v>0</v>
      </c>
      <c r="AE369" s="6"/>
      <c r="AF369" s="6"/>
      <c r="AG369" s="6"/>
      <c r="AH369" s="6"/>
      <c r="AI369" s="6"/>
      <c r="AJ369" s="6"/>
      <c r="AK369" s="6"/>
      <c r="AL369" s="7">
        <f t="shared" si="251"/>
        <v>0</v>
      </c>
      <c r="AM369" s="11">
        <f t="shared" si="220"/>
        <v>3</v>
      </c>
      <c r="AN369" s="25"/>
      <c r="AO369" s="10" t="str">
        <f t="shared" si="216"/>
        <v>MarçoSEMANA 4Humaytá - Mini Geléia de Goiaba</v>
      </c>
      <c r="AP369" s="7">
        <f>SUMIF(NF!$A:$A,$AO369,NF!$I:$I)</f>
        <v>0</v>
      </c>
      <c r="AQ369" s="6"/>
      <c r="AR369" s="6"/>
      <c r="AS369" s="6"/>
      <c r="AT369" s="6"/>
      <c r="AU369" s="6"/>
      <c r="AV369" s="6"/>
      <c r="AW369" s="6"/>
      <c r="AX369" s="7">
        <f t="shared" si="252"/>
        <v>0</v>
      </c>
      <c r="AY369" s="11">
        <f t="shared" si="221"/>
        <v>3</v>
      </c>
      <c r="AZ369" s="25"/>
      <c r="BA369" s="10" t="str">
        <f t="shared" si="217"/>
        <v>MarçoSEMANA 5Humaytá - Mini Geléia de Goiaba</v>
      </c>
      <c r="BB369" s="7">
        <f>SUMIF(NF!$A:$A,$BA369,NF!$I:$I)</f>
        <v>0</v>
      </c>
      <c r="BC369" s="6"/>
      <c r="BD369" s="6"/>
      <c r="BE369" s="6"/>
      <c r="BF369" s="6"/>
      <c r="BG369" s="6"/>
      <c r="BH369" s="6"/>
      <c r="BI369" s="74"/>
      <c r="BJ369" s="74"/>
      <c r="BK369" s="7">
        <f t="shared" si="253"/>
        <v>0</v>
      </c>
      <c r="BL369" s="8">
        <f t="shared" si="222"/>
        <v>3</v>
      </c>
      <c r="BM369" s="51" t="str">
        <f>IFERROR(VLOOKUP(A369,NF!$M:$O,3,0),"")</f>
        <v>Feirinha</v>
      </c>
      <c r="BN369" s="7">
        <f t="shared" si="223"/>
        <v>0</v>
      </c>
      <c r="BO369" s="8">
        <f t="array" ref="BO369">IFERROR(LARGE(IF(NF!$G$2:$G$3137='Mês atual'!A369,NF!$J$2:$J$3137),1),0)*BN369</f>
        <v>0</v>
      </c>
      <c r="BP369" s="50"/>
      <c r="BR369" s="146">
        <f t="array" ref="BR369">IFERROR(LARGE(IF(NF!$G$2:$G$3137='Mês atual'!A369,NF!$J$2:$J$3137),1),0)</f>
        <v>0</v>
      </c>
      <c r="BS369" s="142" t="str">
        <f>VLOOKUP(A369,NF!M:O,3,0)</f>
        <v>Feirinha</v>
      </c>
      <c r="BV369" s="74">
        <f t="shared" si="239"/>
        <v>0</v>
      </c>
      <c r="BW369" s="74">
        <f t="shared" si="240"/>
        <v>0</v>
      </c>
      <c r="BX369" s="74">
        <f t="shared" si="241"/>
        <v>0</v>
      </c>
      <c r="BY369" s="74">
        <f t="shared" si="242"/>
        <v>0</v>
      </c>
      <c r="BZ369" s="74">
        <f t="shared" si="243"/>
        <v>0</v>
      </c>
    </row>
    <row r="370" spans="1:78" x14ac:dyDescent="0.25">
      <c r="A370" s="108" t="s">
        <v>435</v>
      </c>
      <c r="B370" s="12"/>
      <c r="C370" s="9">
        <v>2</v>
      </c>
      <c r="D370" s="25"/>
      <c r="E370" s="10" t="str">
        <f t="shared" si="213"/>
        <v>MarçoSEMANA 1Humaytá - Mini Geléia de Jabuticaba</v>
      </c>
      <c r="F370" s="7">
        <f>SUMIF(NF!$A:$A,$E370,NF!$I:$I)</f>
        <v>0</v>
      </c>
      <c r="G370" s="74"/>
      <c r="H370" s="74"/>
      <c r="I370" s="74"/>
      <c r="J370" s="6"/>
      <c r="K370" s="6"/>
      <c r="L370" s="6"/>
      <c r="M370" s="6"/>
      <c r="N370" s="7">
        <f t="shared" si="249"/>
        <v>0</v>
      </c>
      <c r="O370" s="11">
        <f t="shared" si="218"/>
        <v>2</v>
      </c>
      <c r="P370" s="25"/>
      <c r="Q370" s="10" t="str">
        <f t="shared" si="214"/>
        <v>MarçoSEMANA 2Humaytá - Mini Geléia de Jabuticaba</v>
      </c>
      <c r="R370" s="7">
        <f>SUMIF(NF!$A:$A,$Q370,NF!$I:$I)</f>
        <v>0</v>
      </c>
      <c r="S370" s="6"/>
      <c r="T370" s="6"/>
      <c r="U370" s="6"/>
      <c r="V370" s="6"/>
      <c r="W370" s="6"/>
      <c r="X370" s="6"/>
      <c r="Y370" s="6"/>
      <c r="Z370" s="7">
        <f t="shared" si="250"/>
        <v>0</v>
      </c>
      <c r="AA370" s="11">
        <f t="shared" si="219"/>
        <v>2</v>
      </c>
      <c r="AB370" s="25"/>
      <c r="AC370" s="10" t="str">
        <f t="shared" si="215"/>
        <v>MarçoSEMANA 3Humaytá - Mini Geléia de Jabuticaba</v>
      </c>
      <c r="AD370" s="7">
        <f>SUMIF(NF!$A:$A,$AC370,NF!$I:$I)</f>
        <v>0</v>
      </c>
      <c r="AE370" s="6"/>
      <c r="AF370" s="6"/>
      <c r="AG370" s="6"/>
      <c r="AH370" s="6"/>
      <c r="AI370" s="6"/>
      <c r="AJ370" s="6"/>
      <c r="AK370" s="6"/>
      <c r="AL370" s="7">
        <f t="shared" si="251"/>
        <v>0</v>
      </c>
      <c r="AM370" s="11">
        <f t="shared" si="220"/>
        <v>2</v>
      </c>
      <c r="AN370" s="25"/>
      <c r="AO370" s="10" t="str">
        <f t="shared" si="216"/>
        <v>MarçoSEMANA 4Humaytá - Mini Geléia de Jabuticaba</v>
      </c>
      <c r="AP370" s="7">
        <f>SUMIF(NF!$A:$A,$AO370,NF!$I:$I)</f>
        <v>0</v>
      </c>
      <c r="AQ370" s="6"/>
      <c r="AR370" s="6"/>
      <c r="AS370" s="6"/>
      <c r="AT370" s="6"/>
      <c r="AU370" s="6"/>
      <c r="AV370" s="6"/>
      <c r="AW370" s="6"/>
      <c r="AX370" s="7">
        <f t="shared" si="252"/>
        <v>0</v>
      </c>
      <c r="AY370" s="11">
        <f t="shared" si="221"/>
        <v>2</v>
      </c>
      <c r="AZ370" s="25"/>
      <c r="BA370" s="10" t="str">
        <f t="shared" si="217"/>
        <v>MarçoSEMANA 5Humaytá - Mini Geléia de Jabuticaba</v>
      </c>
      <c r="BB370" s="7">
        <f>SUMIF(NF!$A:$A,$BA370,NF!$I:$I)</f>
        <v>0</v>
      </c>
      <c r="BC370" s="6"/>
      <c r="BD370" s="6"/>
      <c r="BE370" s="6"/>
      <c r="BF370" s="6"/>
      <c r="BG370" s="6"/>
      <c r="BH370" s="6"/>
      <c r="BI370" s="74"/>
      <c r="BJ370" s="74"/>
      <c r="BK370" s="7">
        <f t="shared" si="253"/>
        <v>0</v>
      </c>
      <c r="BL370" s="8">
        <f t="shared" si="222"/>
        <v>2</v>
      </c>
      <c r="BM370" s="51" t="str">
        <f>IFERROR(VLOOKUP(A370,NF!$M:$O,3,0),"")</f>
        <v>Feirinha</v>
      </c>
      <c r="BN370" s="7">
        <f t="shared" si="223"/>
        <v>0</v>
      </c>
      <c r="BO370" s="8">
        <f t="array" ref="BO370">IFERROR(LARGE(IF(NF!$G$2:$G$3137='Mês atual'!A370,NF!$J$2:$J$3137),1),0)*BN370</f>
        <v>0</v>
      </c>
      <c r="BP370" s="50"/>
      <c r="BR370" s="146">
        <f t="array" ref="BR370">IFERROR(LARGE(IF(NF!$G$2:$G$3137='Mês atual'!A370,NF!$J$2:$J$3137),1),0)</f>
        <v>0</v>
      </c>
      <c r="BS370" s="142" t="str">
        <f>VLOOKUP(A370,NF!M:O,3,0)</f>
        <v>Feirinha</v>
      </c>
      <c r="BV370" s="74">
        <f t="shared" si="239"/>
        <v>0</v>
      </c>
      <c r="BW370" s="74">
        <f t="shared" si="240"/>
        <v>0</v>
      </c>
      <c r="BX370" s="74">
        <f t="shared" si="241"/>
        <v>0</v>
      </c>
      <c r="BY370" s="74">
        <f t="shared" si="242"/>
        <v>0</v>
      </c>
      <c r="BZ370" s="74">
        <f t="shared" si="243"/>
        <v>0</v>
      </c>
    </row>
    <row r="371" spans="1:78" x14ac:dyDescent="0.25">
      <c r="A371" s="108" t="s">
        <v>436</v>
      </c>
      <c r="B371" s="12"/>
      <c r="C371" s="9">
        <v>3</v>
      </c>
      <c r="D371" s="25"/>
      <c r="E371" s="10" t="str">
        <f t="shared" si="213"/>
        <v>MarçoSEMANA 1Humaytá - Mini Geléia de Laranja</v>
      </c>
      <c r="F371" s="7">
        <f>SUMIF(NF!$A:$A,$E371,NF!$I:$I)</f>
        <v>0</v>
      </c>
      <c r="G371" s="74"/>
      <c r="H371" s="74"/>
      <c r="I371" s="74"/>
      <c r="J371" s="6"/>
      <c r="K371" s="6"/>
      <c r="L371" s="6"/>
      <c r="M371" s="6"/>
      <c r="N371" s="7">
        <f t="shared" si="249"/>
        <v>0</v>
      </c>
      <c r="O371" s="11">
        <f t="shared" si="218"/>
        <v>3</v>
      </c>
      <c r="P371" s="25"/>
      <c r="Q371" s="10" t="str">
        <f t="shared" si="214"/>
        <v>MarçoSEMANA 2Humaytá - Mini Geléia de Laranja</v>
      </c>
      <c r="R371" s="7">
        <f>SUMIF(NF!$A:$A,$Q371,NF!$I:$I)</f>
        <v>0</v>
      </c>
      <c r="S371" s="6">
        <v>1</v>
      </c>
      <c r="T371" s="6"/>
      <c r="U371" s="6"/>
      <c r="V371" s="6"/>
      <c r="W371" s="6"/>
      <c r="X371" s="6"/>
      <c r="Y371" s="6"/>
      <c r="Z371" s="7">
        <f t="shared" si="250"/>
        <v>1</v>
      </c>
      <c r="AA371" s="11">
        <f t="shared" si="219"/>
        <v>2</v>
      </c>
      <c r="AB371" s="25"/>
      <c r="AC371" s="10" t="str">
        <f t="shared" si="215"/>
        <v>MarçoSEMANA 3Humaytá - Mini Geléia de Laranja</v>
      </c>
      <c r="AD371" s="7">
        <f>SUMIF(NF!$A:$A,$AC371,NF!$I:$I)</f>
        <v>0</v>
      </c>
      <c r="AE371" s="6"/>
      <c r="AF371" s="6"/>
      <c r="AG371" s="6"/>
      <c r="AH371" s="6"/>
      <c r="AI371" s="6"/>
      <c r="AJ371" s="6"/>
      <c r="AK371" s="6"/>
      <c r="AL371" s="7">
        <f t="shared" si="251"/>
        <v>0</v>
      </c>
      <c r="AM371" s="11">
        <f t="shared" si="220"/>
        <v>2</v>
      </c>
      <c r="AN371" s="25"/>
      <c r="AO371" s="10" t="str">
        <f t="shared" si="216"/>
        <v>MarçoSEMANA 4Humaytá - Mini Geléia de Laranja</v>
      </c>
      <c r="AP371" s="7">
        <f>SUMIF(NF!$A:$A,$AO371,NF!$I:$I)</f>
        <v>0</v>
      </c>
      <c r="AQ371" s="6"/>
      <c r="AR371" s="6"/>
      <c r="AS371" s="6"/>
      <c r="AT371" s="6"/>
      <c r="AU371" s="6"/>
      <c r="AV371" s="6"/>
      <c r="AW371" s="6"/>
      <c r="AX371" s="7">
        <f t="shared" si="252"/>
        <v>0</v>
      </c>
      <c r="AY371" s="11">
        <f t="shared" si="221"/>
        <v>2</v>
      </c>
      <c r="AZ371" s="25"/>
      <c r="BA371" s="10" t="str">
        <f t="shared" si="217"/>
        <v>MarçoSEMANA 5Humaytá - Mini Geléia de Laranja</v>
      </c>
      <c r="BB371" s="7">
        <f>SUMIF(NF!$A:$A,$BA371,NF!$I:$I)</f>
        <v>0</v>
      </c>
      <c r="BC371" s="6"/>
      <c r="BD371" s="6"/>
      <c r="BE371" s="6"/>
      <c r="BF371" s="6"/>
      <c r="BG371" s="6"/>
      <c r="BH371" s="6"/>
      <c r="BI371" s="74"/>
      <c r="BJ371" s="74"/>
      <c r="BK371" s="7">
        <f t="shared" si="253"/>
        <v>0</v>
      </c>
      <c r="BL371" s="8">
        <f t="shared" si="222"/>
        <v>2</v>
      </c>
      <c r="BM371" s="51" t="str">
        <f>IFERROR(VLOOKUP(A371,NF!$M:$O,3,0),"")</f>
        <v>Feirinha</v>
      </c>
      <c r="BN371" s="7">
        <f t="shared" si="223"/>
        <v>1</v>
      </c>
      <c r="BO371" s="8">
        <f t="array" ref="BO371">IFERROR(LARGE(IF(NF!$G$2:$G$3137='Mês atual'!A371,NF!$J$2:$J$3137),1),0)*BN371</f>
        <v>0</v>
      </c>
      <c r="BP371" s="50"/>
      <c r="BR371" s="146">
        <f t="array" ref="BR371">IFERROR(LARGE(IF(NF!$G$2:$G$3137='Mês atual'!A371,NF!$J$2:$J$3137),1),0)</f>
        <v>0</v>
      </c>
      <c r="BS371" s="142" t="str">
        <f>VLOOKUP(A371,NF!M:O,3,0)</f>
        <v>Feirinha</v>
      </c>
      <c r="BV371" s="74">
        <f t="shared" si="239"/>
        <v>0</v>
      </c>
      <c r="BW371" s="74">
        <f t="shared" si="240"/>
        <v>1</v>
      </c>
      <c r="BX371" s="74">
        <f t="shared" si="241"/>
        <v>0</v>
      </c>
      <c r="BY371" s="74">
        <f t="shared" si="242"/>
        <v>0</v>
      </c>
      <c r="BZ371" s="74">
        <f t="shared" si="243"/>
        <v>0</v>
      </c>
    </row>
    <row r="372" spans="1:78" x14ac:dyDescent="0.25">
      <c r="A372" s="108" t="s">
        <v>437</v>
      </c>
      <c r="B372" s="12"/>
      <c r="C372" s="9">
        <v>3</v>
      </c>
      <c r="D372" s="25"/>
      <c r="E372" s="10" t="str">
        <f t="shared" si="213"/>
        <v>MarçoSEMANA 1Humaytá - Mini Geléia de Maracujá</v>
      </c>
      <c r="F372" s="7">
        <f>SUMIF(NF!$A:$A,$E372,NF!$I:$I)</f>
        <v>0</v>
      </c>
      <c r="G372" s="74"/>
      <c r="H372" s="74"/>
      <c r="I372" s="74"/>
      <c r="J372" s="6"/>
      <c r="K372" s="6"/>
      <c r="L372" s="6"/>
      <c r="M372" s="6"/>
      <c r="N372" s="7">
        <f t="shared" si="249"/>
        <v>0</v>
      </c>
      <c r="O372" s="11">
        <f t="shared" si="218"/>
        <v>3</v>
      </c>
      <c r="P372" s="25"/>
      <c r="Q372" s="10" t="str">
        <f t="shared" si="214"/>
        <v>MarçoSEMANA 2Humaytá - Mini Geléia de Maracujá</v>
      </c>
      <c r="R372" s="7">
        <f>SUMIF(NF!$A:$A,$Q372,NF!$I:$I)</f>
        <v>0</v>
      </c>
      <c r="S372" s="6"/>
      <c r="T372" s="6"/>
      <c r="U372" s="6"/>
      <c r="V372" s="6"/>
      <c r="W372" s="6"/>
      <c r="X372" s="6"/>
      <c r="Y372" s="6"/>
      <c r="Z372" s="7">
        <f t="shared" si="250"/>
        <v>0</v>
      </c>
      <c r="AA372" s="11">
        <f t="shared" si="219"/>
        <v>3</v>
      </c>
      <c r="AB372" s="25"/>
      <c r="AC372" s="10" t="str">
        <f t="shared" si="215"/>
        <v>MarçoSEMANA 3Humaytá - Mini Geléia de Maracujá</v>
      </c>
      <c r="AD372" s="7">
        <f>SUMIF(NF!$A:$A,$AC372,NF!$I:$I)</f>
        <v>0</v>
      </c>
      <c r="AE372" s="6"/>
      <c r="AF372" s="6"/>
      <c r="AG372" s="6"/>
      <c r="AH372" s="6"/>
      <c r="AI372" s="6"/>
      <c r="AJ372" s="6"/>
      <c r="AK372" s="6"/>
      <c r="AL372" s="7">
        <f t="shared" si="251"/>
        <v>0</v>
      </c>
      <c r="AM372" s="11">
        <f t="shared" si="220"/>
        <v>3</v>
      </c>
      <c r="AN372" s="25"/>
      <c r="AO372" s="10" t="str">
        <f t="shared" si="216"/>
        <v>MarçoSEMANA 4Humaytá - Mini Geléia de Maracujá</v>
      </c>
      <c r="AP372" s="7">
        <f>SUMIF(NF!$A:$A,$AO372,NF!$I:$I)</f>
        <v>0</v>
      </c>
      <c r="AQ372" s="6"/>
      <c r="AR372" s="6"/>
      <c r="AS372" s="6"/>
      <c r="AT372" s="6"/>
      <c r="AU372" s="6"/>
      <c r="AV372" s="6"/>
      <c r="AW372" s="6"/>
      <c r="AX372" s="7">
        <f t="shared" si="252"/>
        <v>0</v>
      </c>
      <c r="AY372" s="11">
        <f t="shared" si="221"/>
        <v>3</v>
      </c>
      <c r="AZ372" s="25"/>
      <c r="BA372" s="10" t="str">
        <f t="shared" si="217"/>
        <v>MarçoSEMANA 5Humaytá - Mini Geléia de Maracujá</v>
      </c>
      <c r="BB372" s="7">
        <f>SUMIF(NF!$A:$A,$BA372,NF!$I:$I)</f>
        <v>0</v>
      </c>
      <c r="BC372" s="6"/>
      <c r="BD372" s="6"/>
      <c r="BE372" s="6"/>
      <c r="BF372" s="6"/>
      <c r="BG372" s="6"/>
      <c r="BH372" s="6"/>
      <c r="BI372" s="74"/>
      <c r="BJ372" s="74"/>
      <c r="BK372" s="7">
        <f t="shared" si="253"/>
        <v>0</v>
      </c>
      <c r="BL372" s="8">
        <f t="shared" si="222"/>
        <v>3</v>
      </c>
      <c r="BM372" s="51" t="str">
        <f>IFERROR(VLOOKUP(A372,NF!$M:$O,3,0),"")</f>
        <v>Feirinha</v>
      </c>
      <c r="BN372" s="7">
        <f t="shared" si="223"/>
        <v>0</v>
      </c>
      <c r="BO372" s="8">
        <f t="array" ref="BO372">IFERROR(LARGE(IF(NF!$G$2:$G$3137='Mês atual'!A372,NF!$J$2:$J$3137),1),0)*BN372</f>
        <v>0</v>
      </c>
      <c r="BP372" s="50"/>
      <c r="BR372" s="146">
        <f t="array" ref="BR372">IFERROR(LARGE(IF(NF!$G$2:$G$3137='Mês atual'!A372,NF!$J$2:$J$3137),1),0)</f>
        <v>0</v>
      </c>
      <c r="BS372" s="142" t="str">
        <f>VLOOKUP(A372,NF!M:O,3,0)</f>
        <v>Feirinha</v>
      </c>
      <c r="BV372" s="74">
        <f t="shared" si="239"/>
        <v>0</v>
      </c>
      <c r="BW372" s="74">
        <f t="shared" si="240"/>
        <v>0</v>
      </c>
      <c r="BX372" s="74">
        <f t="shared" si="241"/>
        <v>0</v>
      </c>
      <c r="BY372" s="74">
        <f t="shared" si="242"/>
        <v>0</v>
      </c>
      <c r="BZ372" s="74">
        <f t="shared" si="243"/>
        <v>0</v>
      </c>
    </row>
    <row r="373" spans="1:78" x14ac:dyDescent="0.25">
      <c r="A373" s="108" t="s">
        <v>438</v>
      </c>
      <c r="B373" s="12"/>
      <c r="C373" s="9">
        <v>2</v>
      </c>
      <c r="D373" s="25"/>
      <c r="E373" s="10" t="str">
        <f t="shared" si="213"/>
        <v>MarçoSEMANA 1Humaytá - Mini Geléia de Morango</v>
      </c>
      <c r="F373" s="7">
        <f>SUMIF(NF!$A:$A,$E373,NF!$I:$I)</f>
        <v>0</v>
      </c>
      <c r="G373" s="74"/>
      <c r="H373" s="74"/>
      <c r="I373" s="74"/>
      <c r="J373" s="6"/>
      <c r="K373" s="6"/>
      <c r="L373" s="6"/>
      <c r="M373" s="6"/>
      <c r="N373" s="7">
        <f t="shared" si="249"/>
        <v>0</v>
      </c>
      <c r="O373" s="11">
        <f t="shared" si="218"/>
        <v>2</v>
      </c>
      <c r="P373" s="25"/>
      <c r="Q373" s="10" t="str">
        <f t="shared" si="214"/>
        <v>MarçoSEMANA 2Humaytá - Mini Geléia de Morango</v>
      </c>
      <c r="R373" s="7">
        <f>SUMIF(NF!$A:$A,$Q373,NF!$I:$I)</f>
        <v>0</v>
      </c>
      <c r="S373" s="6"/>
      <c r="T373" s="6"/>
      <c r="U373" s="6"/>
      <c r="V373" s="6"/>
      <c r="W373" s="6"/>
      <c r="X373" s="6"/>
      <c r="Y373" s="6"/>
      <c r="Z373" s="7">
        <f t="shared" si="250"/>
        <v>0</v>
      </c>
      <c r="AA373" s="11">
        <f t="shared" si="219"/>
        <v>2</v>
      </c>
      <c r="AB373" s="25"/>
      <c r="AC373" s="10" t="str">
        <f t="shared" si="215"/>
        <v>MarçoSEMANA 3Humaytá - Mini Geléia de Morango</v>
      </c>
      <c r="AD373" s="7">
        <f>SUMIF(NF!$A:$A,$AC373,NF!$I:$I)</f>
        <v>0</v>
      </c>
      <c r="AE373" s="6"/>
      <c r="AF373" s="6"/>
      <c r="AG373" s="6"/>
      <c r="AH373" s="6"/>
      <c r="AI373" s="6"/>
      <c r="AJ373" s="6"/>
      <c r="AK373" s="6"/>
      <c r="AL373" s="7">
        <f t="shared" si="251"/>
        <v>0</v>
      </c>
      <c r="AM373" s="11">
        <f t="shared" si="220"/>
        <v>2</v>
      </c>
      <c r="AN373" s="25"/>
      <c r="AO373" s="10" t="str">
        <f t="shared" si="216"/>
        <v>MarçoSEMANA 4Humaytá - Mini Geléia de Morango</v>
      </c>
      <c r="AP373" s="7">
        <f>SUMIF(NF!$A:$A,$AO373,NF!$I:$I)</f>
        <v>0</v>
      </c>
      <c r="AQ373" s="6"/>
      <c r="AR373" s="6"/>
      <c r="AS373" s="6"/>
      <c r="AT373" s="6"/>
      <c r="AU373" s="6"/>
      <c r="AV373" s="6"/>
      <c r="AW373" s="6"/>
      <c r="AX373" s="7">
        <f t="shared" si="252"/>
        <v>0</v>
      </c>
      <c r="AY373" s="11">
        <f t="shared" si="221"/>
        <v>2</v>
      </c>
      <c r="AZ373" s="25"/>
      <c r="BA373" s="10" t="str">
        <f t="shared" si="217"/>
        <v>MarçoSEMANA 5Humaytá - Mini Geléia de Morango</v>
      </c>
      <c r="BB373" s="7">
        <f>SUMIF(NF!$A:$A,$BA373,NF!$I:$I)</f>
        <v>0</v>
      </c>
      <c r="BC373" s="6"/>
      <c r="BD373" s="6"/>
      <c r="BE373" s="6"/>
      <c r="BF373" s="6"/>
      <c r="BG373" s="6"/>
      <c r="BH373" s="6"/>
      <c r="BI373" s="74"/>
      <c r="BJ373" s="74"/>
      <c r="BK373" s="7">
        <f t="shared" si="253"/>
        <v>0</v>
      </c>
      <c r="BL373" s="8">
        <f t="shared" si="222"/>
        <v>2</v>
      </c>
      <c r="BM373" s="51" t="str">
        <f>IFERROR(VLOOKUP(A373,NF!$M:$O,3,0),"")</f>
        <v>Feirinha</v>
      </c>
      <c r="BN373" s="7">
        <f t="shared" si="223"/>
        <v>0</v>
      </c>
      <c r="BO373" s="8">
        <f t="array" ref="BO373">IFERROR(LARGE(IF(NF!$G$2:$G$3137='Mês atual'!A373,NF!$J$2:$J$3137),1),0)*BN373</f>
        <v>0</v>
      </c>
      <c r="BP373" s="50"/>
      <c r="BR373" s="146">
        <f t="array" ref="BR373">IFERROR(LARGE(IF(NF!$G$2:$G$3137='Mês atual'!A373,NF!$J$2:$J$3137),1),0)</f>
        <v>0</v>
      </c>
      <c r="BS373" s="142" t="str">
        <f>VLOOKUP(A373,NF!M:O,3,0)</f>
        <v>Feirinha</v>
      </c>
      <c r="BV373" s="74">
        <f t="shared" si="239"/>
        <v>0</v>
      </c>
      <c r="BW373" s="74">
        <f t="shared" si="240"/>
        <v>0</v>
      </c>
      <c r="BX373" s="74">
        <f t="shared" si="241"/>
        <v>0</v>
      </c>
      <c r="BY373" s="74">
        <f t="shared" si="242"/>
        <v>0</v>
      </c>
      <c r="BZ373" s="74">
        <f t="shared" si="243"/>
        <v>0</v>
      </c>
    </row>
    <row r="374" spans="1:78" x14ac:dyDescent="0.25">
      <c r="A374" s="108" t="s">
        <v>439</v>
      </c>
      <c r="B374" s="12"/>
      <c r="C374" s="9">
        <v>1</v>
      </c>
      <c r="D374" s="25"/>
      <c r="E374" s="10" t="str">
        <f t="shared" si="213"/>
        <v>MarçoSEMANA 1Humaytá - Mini Geléia de Tangerina</v>
      </c>
      <c r="F374" s="7">
        <f>SUMIF(NF!$A:$A,$E374,NF!$I:$I)</f>
        <v>0</v>
      </c>
      <c r="G374" s="74"/>
      <c r="H374" s="74"/>
      <c r="I374" s="74"/>
      <c r="J374" s="6"/>
      <c r="K374" s="6"/>
      <c r="L374" s="6"/>
      <c r="M374" s="6"/>
      <c r="N374" s="7">
        <f t="shared" si="249"/>
        <v>0</v>
      </c>
      <c r="O374" s="11">
        <f t="shared" si="218"/>
        <v>1</v>
      </c>
      <c r="P374" s="25"/>
      <c r="Q374" s="10" t="str">
        <f t="shared" si="214"/>
        <v>MarçoSEMANA 2Humaytá - Mini Geléia de Tangerina</v>
      </c>
      <c r="R374" s="7">
        <f>SUMIF(NF!$A:$A,$Q374,NF!$I:$I)</f>
        <v>0</v>
      </c>
      <c r="S374" s="6"/>
      <c r="T374" s="6"/>
      <c r="U374" s="6"/>
      <c r="V374" s="6"/>
      <c r="W374" s="6"/>
      <c r="X374" s="6"/>
      <c r="Y374" s="6"/>
      <c r="Z374" s="7">
        <f t="shared" si="250"/>
        <v>0</v>
      </c>
      <c r="AA374" s="11">
        <f t="shared" si="219"/>
        <v>1</v>
      </c>
      <c r="AB374" s="25"/>
      <c r="AC374" s="10" t="str">
        <f t="shared" si="215"/>
        <v>MarçoSEMANA 3Humaytá - Mini Geléia de Tangerina</v>
      </c>
      <c r="AD374" s="7">
        <f>SUMIF(NF!$A:$A,$AC374,NF!$I:$I)</f>
        <v>0</v>
      </c>
      <c r="AE374" s="6"/>
      <c r="AF374" s="6"/>
      <c r="AG374" s="6"/>
      <c r="AH374" s="6"/>
      <c r="AI374" s="6"/>
      <c r="AJ374" s="6"/>
      <c r="AK374" s="6"/>
      <c r="AL374" s="7">
        <f t="shared" si="251"/>
        <v>0</v>
      </c>
      <c r="AM374" s="11">
        <f t="shared" si="220"/>
        <v>1</v>
      </c>
      <c r="AN374" s="25"/>
      <c r="AO374" s="10" t="str">
        <f t="shared" si="216"/>
        <v>MarçoSEMANA 4Humaytá - Mini Geléia de Tangerina</v>
      </c>
      <c r="AP374" s="7">
        <f>SUMIF(NF!$A:$A,$AO374,NF!$I:$I)</f>
        <v>0</v>
      </c>
      <c r="AQ374" s="6"/>
      <c r="AR374" s="6"/>
      <c r="AS374" s="6"/>
      <c r="AT374" s="6"/>
      <c r="AU374" s="6"/>
      <c r="AV374" s="6"/>
      <c r="AW374" s="6"/>
      <c r="AX374" s="7">
        <f t="shared" si="252"/>
        <v>0</v>
      </c>
      <c r="AY374" s="11">
        <f t="shared" si="221"/>
        <v>1</v>
      </c>
      <c r="AZ374" s="25"/>
      <c r="BA374" s="10" t="str">
        <f t="shared" si="217"/>
        <v>MarçoSEMANA 5Humaytá - Mini Geléia de Tangerina</v>
      </c>
      <c r="BB374" s="7">
        <f>SUMIF(NF!$A:$A,$BA374,NF!$I:$I)</f>
        <v>0</v>
      </c>
      <c r="BC374" s="6"/>
      <c r="BD374" s="6"/>
      <c r="BE374" s="6"/>
      <c r="BF374" s="6"/>
      <c r="BG374" s="6"/>
      <c r="BH374" s="6"/>
      <c r="BI374" s="74"/>
      <c r="BJ374" s="74"/>
      <c r="BK374" s="7">
        <f t="shared" si="253"/>
        <v>0</v>
      </c>
      <c r="BL374" s="8">
        <f t="shared" si="222"/>
        <v>1</v>
      </c>
      <c r="BM374" s="51" t="str">
        <f>IFERROR(VLOOKUP(A374,NF!$M:$O,3,0),"")</f>
        <v>Feirinha</v>
      </c>
      <c r="BN374" s="7">
        <f t="shared" si="223"/>
        <v>0</v>
      </c>
      <c r="BO374" s="8">
        <f t="array" ref="BO374">IFERROR(LARGE(IF(NF!$G$2:$G$3137='Mês atual'!A374,NF!$J$2:$J$3137),1),0)*BN374</f>
        <v>0</v>
      </c>
      <c r="BP374" s="50"/>
      <c r="BR374" s="146">
        <f t="array" ref="BR374">IFERROR(LARGE(IF(NF!$G$2:$G$3137='Mês atual'!A374,NF!$J$2:$J$3137),1),0)</f>
        <v>0</v>
      </c>
      <c r="BS374" s="142" t="str">
        <f>VLOOKUP(A374,NF!M:O,3,0)</f>
        <v>Feirinha</v>
      </c>
      <c r="BV374" s="74">
        <f t="shared" si="239"/>
        <v>0</v>
      </c>
      <c r="BW374" s="74">
        <f t="shared" si="240"/>
        <v>0</v>
      </c>
      <c r="BX374" s="74">
        <f t="shared" si="241"/>
        <v>0</v>
      </c>
      <c r="BY374" s="74">
        <f t="shared" si="242"/>
        <v>0</v>
      </c>
      <c r="BZ374" s="74">
        <f t="shared" si="243"/>
        <v>0</v>
      </c>
    </row>
    <row r="375" spans="1:78" x14ac:dyDescent="0.25">
      <c r="A375" s="108" t="s">
        <v>440</v>
      </c>
      <c r="B375" s="12"/>
      <c r="C375" s="9">
        <v>0</v>
      </c>
      <c r="D375" s="25"/>
      <c r="E375" s="10" t="str">
        <f t="shared" si="213"/>
        <v>MarçoSEMANA 1Humaytá - Molho de Tomate</v>
      </c>
      <c r="F375" s="7">
        <f>SUMIF(NF!$A:$A,$E375,NF!$I:$I)</f>
        <v>0</v>
      </c>
      <c r="G375" s="74"/>
      <c r="H375" s="74"/>
      <c r="I375" s="74"/>
      <c r="J375" s="6"/>
      <c r="K375" s="6"/>
      <c r="L375" s="6"/>
      <c r="M375" s="6"/>
      <c r="N375" s="7">
        <f t="shared" si="249"/>
        <v>0</v>
      </c>
      <c r="O375" s="11">
        <f t="shared" si="218"/>
        <v>0</v>
      </c>
      <c r="P375" s="25"/>
      <c r="Q375" s="10" t="str">
        <f t="shared" si="214"/>
        <v>MarçoSEMANA 2Humaytá - Molho de Tomate</v>
      </c>
      <c r="R375" s="7">
        <f>SUMIF(NF!$A:$A,$Q375,NF!$I:$I)</f>
        <v>0</v>
      </c>
      <c r="S375" s="6"/>
      <c r="T375" s="6"/>
      <c r="U375" s="6"/>
      <c r="V375" s="6"/>
      <c r="W375" s="6"/>
      <c r="X375" s="6"/>
      <c r="Y375" s="6"/>
      <c r="Z375" s="7">
        <f t="shared" si="250"/>
        <v>0</v>
      </c>
      <c r="AA375" s="11">
        <f t="shared" si="219"/>
        <v>0</v>
      </c>
      <c r="AB375" s="25"/>
      <c r="AC375" s="10" t="str">
        <f t="shared" si="215"/>
        <v>MarçoSEMANA 3Humaytá - Molho de Tomate</v>
      </c>
      <c r="AD375" s="7">
        <f>SUMIF(NF!$A:$A,$AC375,NF!$I:$I)</f>
        <v>0</v>
      </c>
      <c r="AE375" s="6"/>
      <c r="AF375" s="6"/>
      <c r="AG375" s="6"/>
      <c r="AH375" s="6"/>
      <c r="AI375" s="6"/>
      <c r="AJ375" s="6"/>
      <c r="AK375" s="6"/>
      <c r="AL375" s="7">
        <f t="shared" si="251"/>
        <v>0</v>
      </c>
      <c r="AM375" s="11">
        <f t="shared" si="220"/>
        <v>0</v>
      </c>
      <c r="AN375" s="25"/>
      <c r="AO375" s="10" t="str">
        <f t="shared" si="216"/>
        <v>MarçoSEMANA 4Humaytá - Molho de Tomate</v>
      </c>
      <c r="AP375" s="7">
        <f>SUMIF(NF!$A:$A,$AO375,NF!$I:$I)</f>
        <v>0</v>
      </c>
      <c r="AQ375" s="6"/>
      <c r="AR375" s="6"/>
      <c r="AS375" s="6"/>
      <c r="AT375" s="6"/>
      <c r="AU375" s="6"/>
      <c r="AV375" s="6"/>
      <c r="AW375" s="6"/>
      <c r="AX375" s="7">
        <f t="shared" si="252"/>
        <v>0</v>
      </c>
      <c r="AY375" s="11">
        <f t="shared" si="221"/>
        <v>0</v>
      </c>
      <c r="AZ375" s="25"/>
      <c r="BA375" s="10" t="str">
        <f t="shared" si="217"/>
        <v>MarçoSEMANA 5Humaytá - Molho de Tomate</v>
      </c>
      <c r="BB375" s="7">
        <f>SUMIF(NF!$A:$A,$BA375,NF!$I:$I)</f>
        <v>0</v>
      </c>
      <c r="BC375" s="6"/>
      <c r="BD375" s="6"/>
      <c r="BE375" s="6"/>
      <c r="BF375" s="6"/>
      <c r="BG375" s="6"/>
      <c r="BH375" s="6"/>
      <c r="BI375" s="74"/>
      <c r="BJ375" s="74"/>
      <c r="BK375" s="7">
        <f t="shared" si="253"/>
        <v>0</v>
      </c>
      <c r="BL375" s="8">
        <f t="shared" si="222"/>
        <v>0</v>
      </c>
      <c r="BM375" s="51" t="str">
        <f>IFERROR(VLOOKUP(A375,NF!$M:$O,3,0),"")</f>
        <v>Feirinha</v>
      </c>
      <c r="BN375" s="7">
        <f t="shared" si="223"/>
        <v>0</v>
      </c>
      <c r="BO375" s="8">
        <f t="array" ref="BO375">IFERROR(LARGE(IF(NF!$G$2:$G$3137='Mês atual'!A375,NF!$J$2:$J$3137),1),0)*BN375</f>
        <v>0</v>
      </c>
      <c r="BP375" s="50"/>
      <c r="BR375" s="146">
        <f t="array" ref="BR375">IFERROR(LARGE(IF(NF!$G$2:$G$3137='Mês atual'!A375,NF!$J$2:$J$3137),1),0)</f>
        <v>0</v>
      </c>
      <c r="BS375" s="142" t="str">
        <f>VLOOKUP(A375,NF!M:O,3,0)</f>
        <v>Feirinha</v>
      </c>
      <c r="BV375" s="74">
        <f t="shared" si="239"/>
        <v>0</v>
      </c>
      <c r="BW375" s="74">
        <f t="shared" si="240"/>
        <v>0</v>
      </c>
      <c r="BX375" s="74">
        <f t="shared" si="241"/>
        <v>0</v>
      </c>
      <c r="BY375" s="74">
        <f t="shared" si="242"/>
        <v>0</v>
      </c>
      <c r="BZ375" s="74">
        <f t="shared" si="243"/>
        <v>0</v>
      </c>
    </row>
    <row r="376" spans="1:78" x14ac:dyDescent="0.25">
      <c r="A376" s="108" t="s">
        <v>441</v>
      </c>
      <c r="B376" s="12"/>
      <c r="C376" s="9">
        <v>0</v>
      </c>
      <c r="D376" s="25"/>
      <c r="E376" s="10" t="str">
        <f t="shared" si="213"/>
        <v>MarçoSEMANA 1Humaytá - Molho de Tomate com Manjericão</v>
      </c>
      <c r="F376" s="7">
        <f>SUMIF(NF!$A:$A,$E376,NF!$I:$I)</f>
        <v>0</v>
      </c>
      <c r="G376" s="74"/>
      <c r="H376" s="74"/>
      <c r="I376" s="74"/>
      <c r="J376" s="6"/>
      <c r="K376" s="6"/>
      <c r="L376" s="6"/>
      <c r="M376" s="6"/>
      <c r="N376" s="7">
        <f t="shared" si="249"/>
        <v>0</v>
      </c>
      <c r="O376" s="11">
        <f t="shared" si="218"/>
        <v>0</v>
      </c>
      <c r="P376" s="25"/>
      <c r="Q376" s="10" t="str">
        <f t="shared" si="214"/>
        <v>MarçoSEMANA 2Humaytá - Molho de Tomate com Manjericão</v>
      </c>
      <c r="R376" s="7">
        <f>SUMIF(NF!$A:$A,$Q376,NF!$I:$I)</f>
        <v>0</v>
      </c>
      <c r="S376" s="6"/>
      <c r="T376" s="6"/>
      <c r="U376" s="6"/>
      <c r="V376" s="6"/>
      <c r="W376" s="6"/>
      <c r="X376" s="6"/>
      <c r="Y376" s="6"/>
      <c r="Z376" s="7">
        <f t="shared" si="250"/>
        <v>0</v>
      </c>
      <c r="AA376" s="11">
        <f t="shared" si="219"/>
        <v>0</v>
      </c>
      <c r="AB376" s="25"/>
      <c r="AC376" s="10" t="str">
        <f t="shared" si="215"/>
        <v>MarçoSEMANA 3Humaytá - Molho de Tomate com Manjericão</v>
      </c>
      <c r="AD376" s="7">
        <f>SUMIF(NF!$A:$A,$AC376,NF!$I:$I)</f>
        <v>0</v>
      </c>
      <c r="AE376" s="6"/>
      <c r="AF376" s="6"/>
      <c r="AG376" s="6"/>
      <c r="AH376" s="6"/>
      <c r="AI376" s="6"/>
      <c r="AJ376" s="6"/>
      <c r="AK376" s="6"/>
      <c r="AL376" s="7">
        <f t="shared" si="251"/>
        <v>0</v>
      </c>
      <c r="AM376" s="11">
        <f t="shared" si="220"/>
        <v>0</v>
      </c>
      <c r="AN376" s="25"/>
      <c r="AO376" s="10" t="str">
        <f t="shared" si="216"/>
        <v>MarçoSEMANA 4Humaytá - Molho de Tomate com Manjericão</v>
      </c>
      <c r="AP376" s="7">
        <f>SUMIF(NF!$A:$A,$AO376,NF!$I:$I)</f>
        <v>0</v>
      </c>
      <c r="AQ376" s="6"/>
      <c r="AR376" s="6"/>
      <c r="AS376" s="6"/>
      <c r="AT376" s="6"/>
      <c r="AU376" s="6"/>
      <c r="AV376" s="6"/>
      <c r="AW376" s="6"/>
      <c r="AX376" s="7">
        <f t="shared" si="252"/>
        <v>0</v>
      </c>
      <c r="AY376" s="11">
        <f t="shared" si="221"/>
        <v>0</v>
      </c>
      <c r="AZ376" s="25"/>
      <c r="BA376" s="10" t="str">
        <f t="shared" si="217"/>
        <v>MarçoSEMANA 5Humaytá - Molho de Tomate com Manjericão</v>
      </c>
      <c r="BB376" s="7">
        <f>SUMIF(NF!$A:$A,$BA376,NF!$I:$I)</f>
        <v>0</v>
      </c>
      <c r="BC376" s="6"/>
      <c r="BD376" s="6"/>
      <c r="BE376" s="6"/>
      <c r="BF376" s="6"/>
      <c r="BG376" s="6"/>
      <c r="BH376" s="6"/>
      <c r="BI376" s="74"/>
      <c r="BJ376" s="74"/>
      <c r="BK376" s="7">
        <f t="shared" si="253"/>
        <v>0</v>
      </c>
      <c r="BL376" s="8">
        <f t="shared" si="222"/>
        <v>0</v>
      </c>
      <c r="BM376" s="51" t="str">
        <f>IFERROR(VLOOKUP(A376,NF!$M:$O,3,0),"")</f>
        <v>Feirinha</v>
      </c>
      <c r="BN376" s="7">
        <f t="shared" si="223"/>
        <v>0</v>
      </c>
      <c r="BO376" s="8">
        <f t="array" ref="BO376">IFERROR(LARGE(IF(NF!$G$2:$G$3137='Mês atual'!A376,NF!$J$2:$J$3137),1),0)*BN376</f>
        <v>0</v>
      </c>
      <c r="BP376" s="50"/>
      <c r="BR376" s="146">
        <f t="array" ref="BR376">IFERROR(LARGE(IF(NF!$G$2:$G$3137='Mês atual'!A376,NF!$J$2:$J$3137),1),0)</f>
        <v>0</v>
      </c>
      <c r="BS376" s="142" t="str">
        <f>VLOOKUP(A376,NF!M:O,3,0)</f>
        <v>Feirinha</v>
      </c>
      <c r="BV376" s="74">
        <f t="shared" si="239"/>
        <v>0</v>
      </c>
      <c r="BW376" s="74">
        <f t="shared" si="240"/>
        <v>0</v>
      </c>
      <c r="BX376" s="74">
        <f t="shared" si="241"/>
        <v>0</v>
      </c>
      <c r="BY376" s="74">
        <f t="shared" si="242"/>
        <v>0</v>
      </c>
      <c r="BZ376" s="74">
        <f t="shared" si="243"/>
        <v>0</v>
      </c>
    </row>
    <row r="377" spans="1:78" x14ac:dyDescent="0.25">
      <c r="A377" s="108" t="s">
        <v>1016</v>
      </c>
      <c r="B377" s="12"/>
      <c r="C377" s="9">
        <v>0</v>
      </c>
      <c r="D377" s="25"/>
      <c r="E377" s="10" t="str">
        <f t="shared" si="213"/>
        <v>MarçoSEMANA 1Humaytá - Molho de Tomate Picante</v>
      </c>
      <c r="F377" s="7">
        <f>SUMIF(NF!$A:$A,$E377,NF!$I:$I)</f>
        <v>0</v>
      </c>
      <c r="G377" s="74"/>
      <c r="H377" s="74"/>
      <c r="I377" s="74"/>
      <c r="J377" s="6"/>
      <c r="K377" s="6"/>
      <c r="L377" s="6"/>
      <c r="M377" s="6"/>
      <c r="N377" s="7">
        <f t="shared" ref="N377:N401" si="254">SUM(G377:M377)</f>
        <v>0</v>
      </c>
      <c r="O377" s="11">
        <f>F377+C377-N377</f>
        <v>0</v>
      </c>
      <c r="P377" s="25"/>
      <c r="Q377" s="10" t="str">
        <f t="shared" si="214"/>
        <v>MarçoSEMANA 2Humaytá - Molho de Tomate Picante</v>
      </c>
      <c r="R377" s="7">
        <f>SUMIF(NF!$A:$A,$Q377,NF!$I:$I)</f>
        <v>0</v>
      </c>
      <c r="S377" s="6"/>
      <c r="T377" s="6"/>
      <c r="U377" s="6"/>
      <c r="V377" s="6"/>
      <c r="W377" s="6"/>
      <c r="X377" s="6"/>
      <c r="Y377" s="6"/>
      <c r="Z377" s="7">
        <f t="shared" ref="Z377:Z401" si="255">SUM(S377:Y377)</f>
        <v>0</v>
      </c>
      <c r="AA377" s="11">
        <f>R377+O377-Z377</f>
        <v>0</v>
      </c>
      <c r="AB377" s="25"/>
      <c r="AC377" s="10" t="str">
        <f t="shared" si="215"/>
        <v>MarçoSEMANA 3Humaytá - Molho de Tomate Picante</v>
      </c>
      <c r="AD377" s="7">
        <f>SUMIF(NF!$A:$A,$AC377,NF!$I:$I)</f>
        <v>0</v>
      </c>
      <c r="AE377" s="6"/>
      <c r="AF377" s="6"/>
      <c r="AG377" s="6"/>
      <c r="AH377" s="6"/>
      <c r="AI377" s="6"/>
      <c r="AJ377" s="6"/>
      <c r="AK377" s="6"/>
      <c r="AL377" s="7">
        <f t="shared" ref="AL377:AL401" si="256">SUM(AE377:AK377)</f>
        <v>0</v>
      </c>
      <c r="AM377" s="11">
        <f>AD377+AA377-AL377</f>
        <v>0</v>
      </c>
      <c r="AN377" s="25"/>
      <c r="AO377" s="10" t="str">
        <f t="shared" si="216"/>
        <v>MarçoSEMANA 4Humaytá - Molho de Tomate Picante</v>
      </c>
      <c r="AP377" s="7">
        <f>SUMIF(NF!$A:$A,$AO377,NF!$I:$I)</f>
        <v>0</v>
      </c>
      <c r="AQ377" s="6"/>
      <c r="AR377" s="6"/>
      <c r="AS377" s="6"/>
      <c r="AT377" s="6"/>
      <c r="AU377" s="6"/>
      <c r="AV377" s="6"/>
      <c r="AW377" s="6"/>
      <c r="AX377" s="7">
        <f t="shared" ref="AX377:AX401" si="257">SUM(AQ377:AW377)</f>
        <v>0</v>
      </c>
      <c r="AY377" s="11">
        <f>AP377+AM377-AX377</f>
        <v>0</v>
      </c>
      <c r="AZ377" s="25"/>
      <c r="BA377" s="10" t="str">
        <f t="shared" si="217"/>
        <v>MarçoSEMANA 5Humaytá - Molho de Tomate Picante</v>
      </c>
      <c r="BB377" s="7">
        <f>SUMIF(NF!$A:$A,$BA377,NF!$I:$I)</f>
        <v>0</v>
      </c>
      <c r="BC377" s="6"/>
      <c r="BD377" s="6"/>
      <c r="BE377" s="6"/>
      <c r="BF377" s="6"/>
      <c r="BG377" s="6"/>
      <c r="BH377" s="6"/>
      <c r="BI377" s="74"/>
      <c r="BJ377" s="74"/>
      <c r="BK377" s="7">
        <f t="shared" ref="BK377:BK401" si="258">SUM(BC377:BJ377)</f>
        <v>0</v>
      </c>
      <c r="BL377" s="8">
        <f>BB377+AY377-BK377</f>
        <v>0</v>
      </c>
      <c r="BM377" s="51" t="str">
        <f>IFERROR(VLOOKUP(A377,NF!$M:$O,3,0),"")</f>
        <v>Feirinha</v>
      </c>
      <c r="BN377" s="7">
        <f>SUM(N377,Z377,AL377,AX377,BK377)</f>
        <v>0</v>
      </c>
      <c r="BO377" s="8">
        <f t="array" ref="BO377">IFERROR(LARGE(IF(NF!$G$2:$G$3137='Mês atual'!A377,NF!$J$2:$J$3137),1),0)*BN377</f>
        <v>0</v>
      </c>
      <c r="BP377" s="50"/>
      <c r="BR377" s="146">
        <f t="array" ref="BR377">IFERROR(LARGE(IF(NF!$G$2:$G$3137='Mês atual'!A377,NF!$J$2:$J$3137),1),0)</f>
        <v>0</v>
      </c>
      <c r="BS377" s="142" t="str">
        <f>VLOOKUP(A377,NF!M:O,3,0)</f>
        <v>Feirinha</v>
      </c>
      <c r="BV377" s="74">
        <f t="shared" si="239"/>
        <v>0</v>
      </c>
      <c r="BW377" s="74">
        <f t="shared" si="240"/>
        <v>0</v>
      </c>
      <c r="BX377" s="74">
        <f t="shared" si="241"/>
        <v>0</v>
      </c>
      <c r="BY377" s="74">
        <f t="shared" si="242"/>
        <v>0</v>
      </c>
      <c r="BZ377" s="74">
        <f t="shared" si="243"/>
        <v>0</v>
      </c>
    </row>
    <row r="378" spans="1:78" x14ac:dyDescent="0.2">
      <c r="A378" s="108" t="s">
        <v>948</v>
      </c>
      <c r="B378" s="12"/>
      <c r="C378" s="9">
        <v>0</v>
      </c>
      <c r="D378" s="25"/>
      <c r="E378" s="10" t="str">
        <f t="shared" si="213"/>
        <v>MarçoSEMANA 1Humayta - Mostarda de Frutas</v>
      </c>
      <c r="F378" s="7">
        <f>SUMIF(NF!$A:$A,$E378,NF!$I:$I)</f>
        <v>0</v>
      </c>
      <c r="G378" s="74"/>
      <c r="H378" s="74"/>
      <c r="I378" s="74"/>
      <c r="J378" s="6"/>
      <c r="K378" s="6"/>
      <c r="L378" s="6"/>
      <c r="M378" s="6"/>
      <c r="N378" s="7">
        <f t="shared" si="254"/>
        <v>0</v>
      </c>
      <c r="O378" s="11">
        <f t="shared" si="218"/>
        <v>0</v>
      </c>
      <c r="P378" s="25"/>
      <c r="Q378" s="10" t="str">
        <f t="shared" si="214"/>
        <v>MarçoSEMANA 2Humayta - Mostarda de Frutas</v>
      </c>
      <c r="R378" s="7">
        <f>SUMIF(NF!$A:$A,$Q378,NF!$I:$I)</f>
        <v>0</v>
      </c>
      <c r="S378" s="6"/>
      <c r="T378" s="6"/>
      <c r="U378" s="6"/>
      <c r="V378" s="6"/>
      <c r="W378" s="6"/>
      <c r="X378" s="6"/>
      <c r="Y378" s="6"/>
      <c r="Z378" s="7">
        <f t="shared" si="255"/>
        <v>0</v>
      </c>
      <c r="AA378" s="11">
        <f t="shared" si="219"/>
        <v>0</v>
      </c>
      <c r="AB378" s="25"/>
      <c r="AC378" s="10" t="str">
        <f t="shared" si="215"/>
        <v>MarçoSEMANA 3Humayta - Mostarda de Frutas</v>
      </c>
      <c r="AD378" s="7">
        <f>SUMIF(NF!$A:$A,$AC378,NF!$I:$I)</f>
        <v>0</v>
      </c>
      <c r="AE378" s="6"/>
      <c r="AF378" s="6"/>
      <c r="AG378" s="6"/>
      <c r="AH378" s="6"/>
      <c r="AI378" s="6"/>
      <c r="AJ378" s="6"/>
      <c r="AK378" s="6"/>
      <c r="AL378" s="7">
        <f t="shared" si="256"/>
        <v>0</v>
      </c>
      <c r="AM378" s="11">
        <f t="shared" si="220"/>
        <v>0</v>
      </c>
      <c r="AN378" s="25"/>
      <c r="AO378" s="10" t="str">
        <f t="shared" si="216"/>
        <v>MarçoSEMANA 4Humayta - Mostarda de Frutas</v>
      </c>
      <c r="AP378" s="7">
        <f>SUMIF(NF!$A:$A,$AO378,NF!$I:$I)</f>
        <v>0</v>
      </c>
      <c r="AQ378" s="6"/>
      <c r="AR378" s="6"/>
      <c r="AS378" s="6"/>
      <c r="AT378" s="6"/>
      <c r="AU378" s="6"/>
      <c r="AV378" s="6"/>
      <c r="AW378" s="6"/>
      <c r="AX378" s="7">
        <f t="shared" si="257"/>
        <v>0</v>
      </c>
      <c r="AY378" s="11">
        <f t="shared" si="221"/>
        <v>0</v>
      </c>
      <c r="AZ378" s="25"/>
      <c r="BA378" s="10" t="str">
        <f t="shared" si="217"/>
        <v>MarçoSEMANA 5Humayta - Mostarda de Frutas</v>
      </c>
      <c r="BB378" s="7">
        <f>SUMIF(NF!$A:$A,$BA378,NF!$I:$I)</f>
        <v>0</v>
      </c>
      <c r="BC378" s="6"/>
      <c r="BD378" s="6"/>
      <c r="BE378" s="6"/>
      <c r="BF378" s="6"/>
      <c r="BG378" s="6"/>
      <c r="BH378" s="6"/>
      <c r="BI378" s="74"/>
      <c r="BJ378" s="74"/>
      <c r="BK378" s="7">
        <f t="shared" si="258"/>
        <v>0</v>
      </c>
      <c r="BL378" s="8">
        <f t="shared" si="222"/>
        <v>0</v>
      </c>
      <c r="BM378" s="51" t="str">
        <f>IFERROR(VLOOKUP(A378,NF!$M:$O,3,0),"")</f>
        <v>Feirinha</v>
      </c>
      <c r="BN378" s="7">
        <f t="shared" si="223"/>
        <v>0</v>
      </c>
      <c r="BO378" s="8">
        <f t="array" ref="BO378">IFERROR(LARGE(IF(NF!$G$2:$G$3137='Mês atual'!A378,NF!$J$2:$J$3137),1),0)*BN378</f>
        <v>0</v>
      </c>
      <c r="BP378" s="50"/>
      <c r="BR378" s="146">
        <f t="array" ref="BR378">IFERROR(LARGE(IF(NF!$G$2:$G$3137='Mês atual'!A378,NF!$J$2:$J$3137),1),0)</f>
        <v>0</v>
      </c>
      <c r="BS378" s="142" t="str">
        <f>VLOOKUP(A378,NF!M:O,3,0)</f>
        <v>Feirinha</v>
      </c>
      <c r="BV378" s="74">
        <f t="shared" si="239"/>
        <v>0</v>
      </c>
      <c r="BW378" s="74">
        <f t="shared" si="240"/>
        <v>0</v>
      </c>
      <c r="BX378" s="74">
        <f t="shared" si="241"/>
        <v>0</v>
      </c>
      <c r="BY378" s="74">
        <f t="shared" si="242"/>
        <v>0</v>
      </c>
      <c r="BZ378" s="74">
        <f t="shared" si="243"/>
        <v>0</v>
      </c>
    </row>
    <row r="379" spans="1:78" x14ac:dyDescent="0.25">
      <c r="A379" s="108" t="s">
        <v>442</v>
      </c>
      <c r="B379" s="12"/>
      <c r="C379" s="9">
        <v>0</v>
      </c>
      <c r="D379" s="25"/>
      <c r="E379" s="10" t="str">
        <f t="shared" si="213"/>
        <v>MarçoSEMANA 1Humaytá - Papos de Anjo</v>
      </c>
      <c r="F379" s="7">
        <f>SUMIF(NF!$A:$A,$E379,NF!$I:$I)</f>
        <v>0</v>
      </c>
      <c r="G379" s="74"/>
      <c r="H379" s="74"/>
      <c r="I379" s="74"/>
      <c r="J379" s="6"/>
      <c r="K379" s="6"/>
      <c r="L379" s="6"/>
      <c r="M379" s="6"/>
      <c r="N379" s="7">
        <f t="shared" si="254"/>
        <v>0</v>
      </c>
      <c r="O379" s="11">
        <f t="shared" si="218"/>
        <v>0</v>
      </c>
      <c r="P379" s="25"/>
      <c r="Q379" s="10" t="str">
        <f t="shared" si="214"/>
        <v>MarçoSEMANA 2Humaytá - Papos de Anjo</v>
      </c>
      <c r="R379" s="7">
        <f>SUMIF(NF!$A:$A,$Q379,NF!$I:$I)</f>
        <v>0</v>
      </c>
      <c r="S379" s="6"/>
      <c r="T379" s="6"/>
      <c r="U379" s="6"/>
      <c r="V379" s="6"/>
      <c r="W379" s="6"/>
      <c r="X379" s="6"/>
      <c r="Y379" s="6"/>
      <c r="Z379" s="7">
        <f t="shared" si="255"/>
        <v>0</v>
      </c>
      <c r="AA379" s="11">
        <f t="shared" si="219"/>
        <v>0</v>
      </c>
      <c r="AB379" s="25"/>
      <c r="AC379" s="10" t="str">
        <f t="shared" si="215"/>
        <v>MarçoSEMANA 3Humaytá - Papos de Anjo</v>
      </c>
      <c r="AD379" s="7">
        <f>SUMIF(NF!$A:$A,$AC379,NF!$I:$I)</f>
        <v>0</v>
      </c>
      <c r="AE379" s="6"/>
      <c r="AF379" s="6"/>
      <c r="AG379" s="6"/>
      <c r="AH379" s="6"/>
      <c r="AI379" s="6"/>
      <c r="AJ379" s="6"/>
      <c r="AK379" s="6"/>
      <c r="AL379" s="7">
        <f t="shared" si="256"/>
        <v>0</v>
      </c>
      <c r="AM379" s="11">
        <f t="shared" si="220"/>
        <v>0</v>
      </c>
      <c r="AN379" s="25"/>
      <c r="AO379" s="10" t="str">
        <f t="shared" si="216"/>
        <v>MarçoSEMANA 4Humaytá - Papos de Anjo</v>
      </c>
      <c r="AP379" s="7">
        <f>SUMIF(NF!$A:$A,$AO379,NF!$I:$I)</f>
        <v>0</v>
      </c>
      <c r="AQ379" s="6"/>
      <c r="AR379" s="6"/>
      <c r="AS379" s="6"/>
      <c r="AT379" s="6"/>
      <c r="AU379" s="6"/>
      <c r="AV379" s="6"/>
      <c r="AW379" s="6"/>
      <c r="AX379" s="7">
        <f t="shared" si="257"/>
        <v>0</v>
      </c>
      <c r="AY379" s="11">
        <f t="shared" si="221"/>
        <v>0</v>
      </c>
      <c r="AZ379" s="25"/>
      <c r="BA379" s="10" t="str">
        <f t="shared" si="217"/>
        <v>MarçoSEMANA 5Humaytá - Papos de Anjo</v>
      </c>
      <c r="BB379" s="7">
        <f>SUMIF(NF!$A:$A,$BA379,NF!$I:$I)</f>
        <v>0</v>
      </c>
      <c r="BC379" s="6"/>
      <c r="BD379" s="6"/>
      <c r="BE379" s="6"/>
      <c r="BF379" s="6"/>
      <c r="BG379" s="6"/>
      <c r="BH379" s="6"/>
      <c r="BI379" s="74"/>
      <c r="BJ379" s="74"/>
      <c r="BK379" s="7">
        <f t="shared" si="258"/>
        <v>0</v>
      </c>
      <c r="BL379" s="8">
        <f t="shared" si="222"/>
        <v>0</v>
      </c>
      <c r="BM379" s="51" t="str">
        <f>IFERROR(VLOOKUP(A379,NF!$M:$O,3,0),"")</f>
        <v>Feirinha</v>
      </c>
      <c r="BN379" s="7">
        <f t="shared" si="223"/>
        <v>0</v>
      </c>
      <c r="BO379" s="8">
        <f t="array" ref="BO379">IFERROR(LARGE(IF(NF!$G$2:$G$3137='Mês atual'!A379,NF!$J$2:$J$3137),1),0)*BN379</f>
        <v>0</v>
      </c>
      <c r="BP379" s="50"/>
      <c r="BR379" s="146">
        <f t="array" ref="BR379">IFERROR(LARGE(IF(NF!$G$2:$G$3137='Mês atual'!A379,NF!$J$2:$J$3137),1),0)</f>
        <v>0</v>
      </c>
      <c r="BS379" s="142" t="str">
        <f>VLOOKUP(A379,NF!M:O,3,0)</f>
        <v>Feirinha</v>
      </c>
      <c r="BV379" s="74">
        <f t="shared" si="239"/>
        <v>0</v>
      </c>
      <c r="BW379" s="74">
        <f t="shared" si="240"/>
        <v>0</v>
      </c>
      <c r="BX379" s="74">
        <f t="shared" si="241"/>
        <v>0</v>
      </c>
      <c r="BY379" s="74">
        <f t="shared" si="242"/>
        <v>0</v>
      </c>
      <c r="BZ379" s="74">
        <f t="shared" si="243"/>
        <v>0</v>
      </c>
    </row>
    <row r="380" spans="1:78" x14ac:dyDescent="0.25">
      <c r="A380" s="108" t="s">
        <v>1017</v>
      </c>
      <c r="B380" s="12"/>
      <c r="C380" s="9">
        <v>0</v>
      </c>
      <c r="D380" s="25"/>
      <c r="E380" s="10" t="str">
        <f t="shared" si="213"/>
        <v>MarçoSEMANA 1Humaytá - Pepino Agridoce</v>
      </c>
      <c r="F380" s="7">
        <f>SUMIF(NF!$A:$A,$E380,NF!$I:$I)</f>
        <v>0</v>
      </c>
      <c r="G380" s="74"/>
      <c r="H380" s="74"/>
      <c r="I380" s="74"/>
      <c r="J380" s="6"/>
      <c r="K380" s="6"/>
      <c r="L380" s="6"/>
      <c r="M380" s="6"/>
      <c r="N380" s="7">
        <f t="shared" si="254"/>
        <v>0</v>
      </c>
      <c r="O380" s="11">
        <f t="shared" si="218"/>
        <v>0</v>
      </c>
      <c r="P380" s="25"/>
      <c r="Q380" s="10" t="str">
        <f t="shared" si="214"/>
        <v>MarçoSEMANA 2Humaytá - Pepino Agridoce</v>
      </c>
      <c r="R380" s="7">
        <f>SUMIF(NF!$A:$A,$Q380,NF!$I:$I)</f>
        <v>0</v>
      </c>
      <c r="S380" s="6"/>
      <c r="T380" s="6"/>
      <c r="U380" s="6"/>
      <c r="V380" s="6"/>
      <c r="W380" s="6"/>
      <c r="X380" s="6"/>
      <c r="Y380" s="6"/>
      <c r="Z380" s="7">
        <f t="shared" si="255"/>
        <v>0</v>
      </c>
      <c r="AA380" s="11">
        <f t="shared" si="219"/>
        <v>0</v>
      </c>
      <c r="AB380" s="25"/>
      <c r="AC380" s="10" t="str">
        <f t="shared" si="215"/>
        <v>MarçoSEMANA 3Humaytá - Pepino Agridoce</v>
      </c>
      <c r="AD380" s="7">
        <f>SUMIF(NF!$A:$A,$AC380,NF!$I:$I)</f>
        <v>0</v>
      </c>
      <c r="AE380" s="6"/>
      <c r="AF380" s="6"/>
      <c r="AG380" s="6"/>
      <c r="AH380" s="6"/>
      <c r="AI380" s="6"/>
      <c r="AJ380" s="6"/>
      <c r="AK380" s="6"/>
      <c r="AL380" s="7">
        <f t="shared" si="256"/>
        <v>0</v>
      </c>
      <c r="AM380" s="11">
        <f t="shared" si="220"/>
        <v>0</v>
      </c>
      <c r="AN380" s="25"/>
      <c r="AO380" s="10" t="str">
        <f t="shared" si="216"/>
        <v>MarçoSEMANA 4Humaytá - Pepino Agridoce</v>
      </c>
      <c r="AP380" s="7">
        <f>SUMIF(NF!$A:$A,$AO380,NF!$I:$I)</f>
        <v>0</v>
      </c>
      <c r="AQ380" s="6"/>
      <c r="AR380" s="6"/>
      <c r="AS380" s="6"/>
      <c r="AT380" s="6"/>
      <c r="AU380" s="6"/>
      <c r="AV380" s="6"/>
      <c r="AW380" s="6"/>
      <c r="AX380" s="7">
        <f t="shared" si="257"/>
        <v>0</v>
      </c>
      <c r="AY380" s="11">
        <f t="shared" si="221"/>
        <v>0</v>
      </c>
      <c r="AZ380" s="25"/>
      <c r="BA380" s="10" t="str">
        <f t="shared" si="217"/>
        <v>MarçoSEMANA 5Humaytá - Pepino Agridoce</v>
      </c>
      <c r="BB380" s="7">
        <f>SUMIF(NF!$A:$A,$BA380,NF!$I:$I)</f>
        <v>0</v>
      </c>
      <c r="BC380" s="6"/>
      <c r="BD380" s="6"/>
      <c r="BE380" s="6"/>
      <c r="BF380" s="6"/>
      <c r="BG380" s="6"/>
      <c r="BH380" s="6"/>
      <c r="BI380" s="74"/>
      <c r="BJ380" s="74"/>
      <c r="BK380" s="7">
        <f t="shared" si="258"/>
        <v>0</v>
      </c>
      <c r="BL380" s="8">
        <f t="shared" si="222"/>
        <v>0</v>
      </c>
      <c r="BM380" s="51" t="str">
        <f>IFERROR(VLOOKUP(A380,NF!$M:$O,3,0),"")</f>
        <v>Feirinha</v>
      </c>
      <c r="BN380" s="7">
        <f t="shared" si="223"/>
        <v>0</v>
      </c>
      <c r="BO380" s="8">
        <f t="array" ref="BO380">IFERROR(LARGE(IF(NF!$G$2:$G$3137='Mês atual'!A380,NF!$J$2:$J$3137),1),0)*BN380</f>
        <v>0</v>
      </c>
      <c r="BP380" s="50"/>
      <c r="BR380" s="146">
        <f t="array" ref="BR380">IFERROR(LARGE(IF(NF!$G$2:$G$3137='Mês atual'!A380,NF!$J$2:$J$3137),1),0)</f>
        <v>0</v>
      </c>
      <c r="BS380" s="142" t="str">
        <f>VLOOKUP(A380,NF!M:O,3,0)</f>
        <v>Feirinha</v>
      </c>
      <c r="BV380" s="74">
        <f t="shared" si="239"/>
        <v>0</v>
      </c>
      <c r="BW380" s="74">
        <f t="shared" si="240"/>
        <v>0</v>
      </c>
      <c r="BX380" s="74">
        <f t="shared" si="241"/>
        <v>0</v>
      </c>
      <c r="BY380" s="74">
        <f t="shared" si="242"/>
        <v>0</v>
      </c>
      <c r="BZ380" s="74">
        <f t="shared" si="243"/>
        <v>0</v>
      </c>
    </row>
    <row r="381" spans="1:78" x14ac:dyDescent="0.2">
      <c r="A381" s="108" t="s">
        <v>1011</v>
      </c>
      <c r="B381" s="12"/>
      <c r="C381" s="9">
        <v>0</v>
      </c>
      <c r="D381" s="25"/>
      <c r="E381" s="10" t="str">
        <f t="shared" si="213"/>
        <v>MarçoSEMANA 1Laranja Lima Org. Feirinha</v>
      </c>
      <c r="F381" s="7">
        <f>SUMIF(NF!$A:$A,$E381,NF!$I:$I)</f>
        <v>0</v>
      </c>
      <c r="G381" s="74"/>
      <c r="H381" s="74"/>
      <c r="I381" s="74"/>
      <c r="J381" s="6"/>
      <c r="K381" s="6"/>
      <c r="L381" s="6"/>
      <c r="M381" s="6"/>
      <c r="N381" s="7">
        <f t="shared" si="254"/>
        <v>0</v>
      </c>
      <c r="O381" s="11">
        <f>F381+C381-N381</f>
        <v>0</v>
      </c>
      <c r="P381" s="25"/>
      <c r="Q381" s="10" t="str">
        <f t="shared" si="214"/>
        <v>MarçoSEMANA 2Laranja Lima Org. Feirinha</v>
      </c>
      <c r="R381" s="7">
        <f>SUMIF(NF!$A:$A,$Q381,NF!$I:$I)</f>
        <v>0</v>
      </c>
      <c r="S381" s="6"/>
      <c r="T381" s="6"/>
      <c r="U381" s="6"/>
      <c r="V381" s="6"/>
      <c r="W381" s="6"/>
      <c r="X381" s="6"/>
      <c r="Y381" s="6"/>
      <c r="Z381" s="7">
        <f t="shared" si="255"/>
        <v>0</v>
      </c>
      <c r="AA381" s="11">
        <f>R381+O381-Z381</f>
        <v>0</v>
      </c>
      <c r="AB381" s="25"/>
      <c r="AC381" s="10" t="str">
        <f t="shared" si="215"/>
        <v>MarçoSEMANA 3Laranja Lima Org. Feirinha</v>
      </c>
      <c r="AD381" s="7">
        <f>SUMIF(NF!$A:$A,$AC381,NF!$I:$I)</f>
        <v>0</v>
      </c>
      <c r="AE381" s="6"/>
      <c r="AF381" s="6"/>
      <c r="AG381" s="6"/>
      <c r="AH381" s="6"/>
      <c r="AI381" s="6"/>
      <c r="AJ381" s="6"/>
      <c r="AK381" s="6"/>
      <c r="AL381" s="7">
        <f t="shared" si="256"/>
        <v>0</v>
      </c>
      <c r="AM381" s="11">
        <f>AD381+AA381-AL381</f>
        <v>0</v>
      </c>
      <c r="AN381" s="25"/>
      <c r="AO381" s="10" t="str">
        <f t="shared" si="216"/>
        <v>MarçoSEMANA 4Laranja Lima Org. Feirinha</v>
      </c>
      <c r="AP381" s="7">
        <f>SUMIF(NF!$A:$A,$AO381,NF!$I:$I)</f>
        <v>0</v>
      </c>
      <c r="AQ381" s="6"/>
      <c r="AR381" s="6"/>
      <c r="AS381" s="6"/>
      <c r="AT381" s="6"/>
      <c r="AU381" s="6"/>
      <c r="AV381" s="6"/>
      <c r="AW381" s="6"/>
      <c r="AX381" s="7">
        <f t="shared" si="257"/>
        <v>0</v>
      </c>
      <c r="AY381" s="11">
        <f>AP381+AM381-AX381</f>
        <v>0</v>
      </c>
      <c r="AZ381" s="25"/>
      <c r="BA381" s="10" t="str">
        <f t="shared" si="217"/>
        <v>MarçoSEMANA 5Laranja Lima Org. Feirinha</v>
      </c>
      <c r="BB381" s="7">
        <f>SUMIF(NF!$A:$A,$BA381,NF!$I:$I)</f>
        <v>0</v>
      </c>
      <c r="BC381" s="6"/>
      <c r="BD381" s="6"/>
      <c r="BE381" s="6"/>
      <c r="BF381" s="6"/>
      <c r="BG381" s="6"/>
      <c r="BH381" s="6"/>
      <c r="BI381" s="74"/>
      <c r="BJ381" s="74"/>
      <c r="BK381" s="7">
        <f t="shared" si="258"/>
        <v>0</v>
      </c>
      <c r="BL381" s="8">
        <f>BB381+AY381-BK381</f>
        <v>0</v>
      </c>
      <c r="BM381" s="51" t="str">
        <f>IFERROR(VLOOKUP(A381,NF!$M:$O,3,0),"")</f>
        <v>Feirinha</v>
      </c>
      <c r="BN381" s="7">
        <f>SUM(N381,Z381,AL381,AX381,BK381)</f>
        <v>0</v>
      </c>
      <c r="BO381" s="8">
        <f t="array" ref="BO381">IFERROR(LARGE(IF(NF!$G$2:$G$3137='Mês atual'!A381,NF!$J$2:$J$3137),1),0)*BN381</f>
        <v>0</v>
      </c>
      <c r="BP381" s="50"/>
      <c r="BR381" s="146">
        <f t="array" ref="BR381">IFERROR(LARGE(IF(NF!$G$2:$G$3137='Mês atual'!A381,NF!$J$2:$J$3137),1),0)</f>
        <v>0</v>
      </c>
      <c r="BS381" s="142" t="str">
        <f>VLOOKUP(A381,NF!M:O,3,0)</f>
        <v>Feirinha</v>
      </c>
      <c r="BV381" s="74">
        <f t="shared" si="239"/>
        <v>0</v>
      </c>
      <c r="BW381" s="74">
        <f t="shared" si="240"/>
        <v>0</v>
      </c>
      <c r="BX381" s="74">
        <f t="shared" si="241"/>
        <v>0</v>
      </c>
      <c r="BY381" s="74">
        <f t="shared" si="242"/>
        <v>0</v>
      </c>
      <c r="BZ381" s="74">
        <f t="shared" si="243"/>
        <v>0</v>
      </c>
    </row>
    <row r="382" spans="1:78" x14ac:dyDescent="0.2">
      <c r="A382" s="108" t="s">
        <v>1012</v>
      </c>
      <c r="B382" s="12"/>
      <c r="C382" s="9">
        <v>0</v>
      </c>
      <c r="D382" s="25"/>
      <c r="E382" s="10" t="str">
        <f t="shared" si="213"/>
        <v>MarçoSEMANA 1Laranja Pera Org. Feirinha</v>
      </c>
      <c r="F382" s="7">
        <f>SUMIF(NF!$A:$A,$E382,NF!$I:$I)</f>
        <v>0</v>
      </c>
      <c r="G382" s="74"/>
      <c r="H382" s="74"/>
      <c r="I382" s="74"/>
      <c r="J382" s="6"/>
      <c r="K382" s="6"/>
      <c r="L382" s="6"/>
      <c r="M382" s="6"/>
      <c r="N382" s="7">
        <f t="shared" si="254"/>
        <v>0</v>
      </c>
      <c r="O382" s="11">
        <f>F382+C382-N382</f>
        <v>0</v>
      </c>
      <c r="P382" s="25"/>
      <c r="Q382" s="10" t="str">
        <f t="shared" si="214"/>
        <v>MarçoSEMANA 2Laranja Pera Org. Feirinha</v>
      </c>
      <c r="R382" s="7">
        <f>SUMIF(NF!$A:$A,$Q382,NF!$I:$I)</f>
        <v>0</v>
      </c>
      <c r="S382" s="6"/>
      <c r="T382" s="6"/>
      <c r="U382" s="6"/>
      <c r="V382" s="6"/>
      <c r="W382" s="6"/>
      <c r="X382" s="6"/>
      <c r="Y382" s="6"/>
      <c r="Z382" s="7">
        <f t="shared" si="255"/>
        <v>0</v>
      </c>
      <c r="AA382" s="11">
        <f>R382+O382-Z382</f>
        <v>0</v>
      </c>
      <c r="AB382" s="25"/>
      <c r="AC382" s="10" t="str">
        <f t="shared" si="215"/>
        <v>MarçoSEMANA 3Laranja Pera Org. Feirinha</v>
      </c>
      <c r="AD382" s="7">
        <f>SUMIF(NF!$A:$A,$AC382,NF!$I:$I)</f>
        <v>0</v>
      </c>
      <c r="AE382" s="6"/>
      <c r="AF382" s="6"/>
      <c r="AG382" s="6"/>
      <c r="AH382" s="6"/>
      <c r="AI382" s="6"/>
      <c r="AJ382" s="6"/>
      <c r="AK382" s="6"/>
      <c r="AL382" s="7">
        <f t="shared" si="256"/>
        <v>0</v>
      </c>
      <c r="AM382" s="11">
        <f>AD382+AA382-AL382</f>
        <v>0</v>
      </c>
      <c r="AN382" s="25"/>
      <c r="AO382" s="10" t="str">
        <f t="shared" si="216"/>
        <v>MarçoSEMANA 4Laranja Pera Org. Feirinha</v>
      </c>
      <c r="AP382" s="7">
        <f>SUMIF(NF!$A:$A,$AO382,NF!$I:$I)</f>
        <v>0</v>
      </c>
      <c r="AQ382" s="6"/>
      <c r="AR382" s="6"/>
      <c r="AS382" s="6"/>
      <c r="AT382" s="6"/>
      <c r="AU382" s="6"/>
      <c r="AV382" s="6"/>
      <c r="AW382" s="6"/>
      <c r="AX382" s="7">
        <f t="shared" si="257"/>
        <v>0</v>
      </c>
      <c r="AY382" s="11">
        <f>AP382+AM382-AX382</f>
        <v>0</v>
      </c>
      <c r="AZ382" s="25"/>
      <c r="BA382" s="10" t="str">
        <f t="shared" si="217"/>
        <v>MarçoSEMANA 5Laranja Pera Org. Feirinha</v>
      </c>
      <c r="BB382" s="7">
        <f>SUMIF(NF!$A:$A,$BA382,NF!$I:$I)</f>
        <v>0</v>
      </c>
      <c r="BC382" s="6"/>
      <c r="BD382" s="6"/>
      <c r="BE382" s="6"/>
      <c r="BF382" s="6"/>
      <c r="BG382" s="6"/>
      <c r="BH382" s="6"/>
      <c r="BI382" s="74"/>
      <c r="BJ382" s="74"/>
      <c r="BK382" s="7">
        <f t="shared" si="258"/>
        <v>0</v>
      </c>
      <c r="BL382" s="8">
        <f>BB382+AY382-BK382</f>
        <v>0</v>
      </c>
      <c r="BM382" s="51" t="str">
        <f>IFERROR(VLOOKUP(A382,NF!$M:$O,3,0),"")</f>
        <v>Feirinha</v>
      </c>
      <c r="BN382" s="7">
        <f>SUM(N382,Z382,AL382,AX382,BK382)</f>
        <v>0</v>
      </c>
      <c r="BO382" s="8">
        <f t="array" ref="BO382">IFERROR(LARGE(IF(NF!$G$2:$G$3137='Mês atual'!A382,NF!$J$2:$J$3137),1),0)*BN382</f>
        <v>0</v>
      </c>
      <c r="BP382" s="50"/>
      <c r="BR382" s="146">
        <f t="array" ref="BR382">IFERROR(LARGE(IF(NF!$G$2:$G$3137='Mês atual'!A382,NF!$J$2:$J$3137),1),0)</f>
        <v>0</v>
      </c>
      <c r="BS382" s="142" t="str">
        <f>VLOOKUP(A382,NF!M:O,3,0)</f>
        <v>Feirinha</v>
      </c>
      <c r="BV382" s="74">
        <f t="shared" si="239"/>
        <v>0</v>
      </c>
      <c r="BW382" s="74">
        <f t="shared" si="240"/>
        <v>0</v>
      </c>
      <c r="BX382" s="74">
        <f t="shared" si="241"/>
        <v>0</v>
      </c>
      <c r="BY382" s="74">
        <f t="shared" si="242"/>
        <v>0</v>
      </c>
      <c r="BZ382" s="74">
        <f t="shared" si="243"/>
        <v>0</v>
      </c>
    </row>
    <row r="383" spans="1:78" x14ac:dyDescent="0.2">
      <c r="A383" s="108" t="s">
        <v>949</v>
      </c>
      <c r="B383" s="12"/>
      <c r="C383" s="9">
        <v>0</v>
      </c>
      <c r="D383" s="25"/>
      <c r="E383" s="10" t="str">
        <f t="shared" si="213"/>
        <v>MarçoSEMANA 1Mini Bolo de Banana (com amendoas)</v>
      </c>
      <c r="F383" s="7">
        <f>SUMIF(NF!$A:$A,$E383,NF!$I:$I)</f>
        <v>0</v>
      </c>
      <c r="G383" s="74"/>
      <c r="H383" s="74"/>
      <c r="I383" s="74"/>
      <c r="J383" s="6"/>
      <c r="K383" s="6"/>
      <c r="L383" s="6"/>
      <c r="M383" s="6"/>
      <c r="N383" s="7">
        <f t="shared" si="254"/>
        <v>0</v>
      </c>
      <c r="O383" s="11">
        <f t="shared" si="218"/>
        <v>0</v>
      </c>
      <c r="P383" s="25"/>
      <c r="Q383" s="10" t="str">
        <f t="shared" si="214"/>
        <v>MarçoSEMANA 2Mini Bolo de Banana (com amendoas)</v>
      </c>
      <c r="R383" s="7">
        <f>SUMIF(NF!$A:$A,$Q383,NF!$I:$I)</f>
        <v>0</v>
      </c>
      <c r="S383" s="6"/>
      <c r="T383" s="6"/>
      <c r="U383" s="6"/>
      <c r="V383" s="6"/>
      <c r="W383" s="6"/>
      <c r="X383" s="6"/>
      <c r="Y383" s="6"/>
      <c r="Z383" s="7">
        <f t="shared" si="255"/>
        <v>0</v>
      </c>
      <c r="AA383" s="11">
        <f t="shared" si="219"/>
        <v>0</v>
      </c>
      <c r="AB383" s="25"/>
      <c r="AC383" s="10" t="str">
        <f t="shared" si="215"/>
        <v>MarçoSEMANA 3Mini Bolo de Banana (com amendoas)</v>
      </c>
      <c r="AD383" s="7">
        <f>SUMIF(NF!$A:$A,$AC383,NF!$I:$I)</f>
        <v>0</v>
      </c>
      <c r="AE383" s="6"/>
      <c r="AF383" s="6"/>
      <c r="AG383" s="6"/>
      <c r="AH383" s="6"/>
      <c r="AI383" s="6"/>
      <c r="AJ383" s="6"/>
      <c r="AK383" s="6"/>
      <c r="AL383" s="7">
        <f t="shared" si="256"/>
        <v>0</v>
      </c>
      <c r="AM383" s="11">
        <f t="shared" si="220"/>
        <v>0</v>
      </c>
      <c r="AN383" s="25"/>
      <c r="AO383" s="10" t="str">
        <f t="shared" si="216"/>
        <v>MarçoSEMANA 4Mini Bolo de Banana (com amendoas)</v>
      </c>
      <c r="AP383" s="7">
        <f>SUMIF(NF!$A:$A,$AO383,NF!$I:$I)</f>
        <v>0</v>
      </c>
      <c r="AQ383" s="6"/>
      <c r="AR383" s="6"/>
      <c r="AS383" s="6"/>
      <c r="AT383" s="6"/>
      <c r="AU383" s="6"/>
      <c r="AV383" s="6"/>
      <c r="AW383" s="6"/>
      <c r="AX383" s="7">
        <f t="shared" si="257"/>
        <v>0</v>
      </c>
      <c r="AY383" s="11">
        <f t="shared" si="221"/>
        <v>0</v>
      </c>
      <c r="AZ383" s="25"/>
      <c r="BA383" s="10" t="str">
        <f t="shared" si="217"/>
        <v>MarçoSEMANA 5Mini Bolo de Banana (com amendoas)</v>
      </c>
      <c r="BB383" s="7">
        <f>SUMIF(NF!$A:$A,$BA383,NF!$I:$I)</f>
        <v>0</v>
      </c>
      <c r="BC383" s="6"/>
      <c r="BD383" s="6"/>
      <c r="BE383" s="6"/>
      <c r="BF383" s="6"/>
      <c r="BG383" s="6"/>
      <c r="BH383" s="6"/>
      <c r="BI383" s="74"/>
      <c r="BJ383" s="74"/>
      <c r="BK383" s="7">
        <f t="shared" si="258"/>
        <v>0</v>
      </c>
      <c r="BL383" s="8">
        <f t="shared" si="222"/>
        <v>0</v>
      </c>
      <c r="BM383" s="51" t="str">
        <f>IFERROR(VLOOKUP(A383,NF!$M:$O,3,0),"")</f>
        <v>Feirinha</v>
      </c>
      <c r="BN383" s="7">
        <f t="shared" si="223"/>
        <v>0</v>
      </c>
      <c r="BO383" s="8">
        <f t="array" ref="BO383">IFERROR(LARGE(IF(NF!$G$2:$G$3137='Mês atual'!A383,NF!$J$2:$J$3137),1),0)*BN383</f>
        <v>0</v>
      </c>
      <c r="BP383" s="50"/>
      <c r="BR383" s="146">
        <f t="array" ref="BR383">IFERROR(LARGE(IF(NF!$G$2:$G$3137='Mês atual'!A383,NF!$J$2:$J$3137),1),0)</f>
        <v>0</v>
      </c>
      <c r="BS383" s="142" t="str">
        <f>VLOOKUP(A383,NF!M:O,3,0)</f>
        <v>Feirinha</v>
      </c>
      <c r="BV383" s="74">
        <f t="shared" si="239"/>
        <v>0</v>
      </c>
      <c r="BW383" s="74">
        <f t="shared" si="240"/>
        <v>0</v>
      </c>
      <c r="BX383" s="74">
        <f t="shared" si="241"/>
        <v>0</v>
      </c>
      <c r="BY383" s="74">
        <f t="shared" si="242"/>
        <v>0</v>
      </c>
      <c r="BZ383" s="74">
        <f t="shared" si="243"/>
        <v>0</v>
      </c>
    </row>
    <row r="384" spans="1:78" x14ac:dyDescent="0.2">
      <c r="A384" s="108" t="s">
        <v>950</v>
      </c>
      <c r="B384" s="12"/>
      <c r="C384" s="9">
        <v>0</v>
      </c>
      <c r="D384" s="25"/>
      <c r="E384" s="10" t="str">
        <f t="shared" si="213"/>
        <v>MarçoSEMANA 1Mini Bolo de Cacau Belga</v>
      </c>
      <c r="F384" s="7">
        <f>SUMIF(NF!$A:$A,$E384,NF!$I:$I)</f>
        <v>0</v>
      </c>
      <c r="G384" s="74"/>
      <c r="H384" s="74"/>
      <c r="I384" s="74"/>
      <c r="J384" s="6"/>
      <c r="K384" s="6"/>
      <c r="L384" s="6"/>
      <c r="M384" s="6"/>
      <c r="N384" s="7">
        <f t="shared" si="254"/>
        <v>0</v>
      </c>
      <c r="O384" s="11">
        <f t="shared" si="218"/>
        <v>0</v>
      </c>
      <c r="P384" s="25"/>
      <c r="Q384" s="10" t="str">
        <f t="shared" si="214"/>
        <v>MarçoSEMANA 2Mini Bolo de Cacau Belga</v>
      </c>
      <c r="R384" s="7">
        <f>SUMIF(NF!$A:$A,$Q384,NF!$I:$I)</f>
        <v>0</v>
      </c>
      <c r="S384" s="6"/>
      <c r="T384" s="6"/>
      <c r="U384" s="6"/>
      <c r="V384" s="6"/>
      <c r="W384" s="6"/>
      <c r="X384" s="6"/>
      <c r="Y384" s="6"/>
      <c r="Z384" s="7">
        <f t="shared" si="255"/>
        <v>0</v>
      </c>
      <c r="AA384" s="11">
        <f t="shared" si="219"/>
        <v>0</v>
      </c>
      <c r="AB384" s="25"/>
      <c r="AC384" s="10" t="str">
        <f t="shared" si="215"/>
        <v>MarçoSEMANA 3Mini Bolo de Cacau Belga</v>
      </c>
      <c r="AD384" s="7">
        <f>SUMIF(NF!$A:$A,$AC384,NF!$I:$I)</f>
        <v>0</v>
      </c>
      <c r="AE384" s="6"/>
      <c r="AF384" s="6"/>
      <c r="AG384" s="6"/>
      <c r="AH384" s="6"/>
      <c r="AI384" s="6"/>
      <c r="AJ384" s="6"/>
      <c r="AK384" s="6"/>
      <c r="AL384" s="7">
        <f t="shared" si="256"/>
        <v>0</v>
      </c>
      <c r="AM384" s="11">
        <f t="shared" si="220"/>
        <v>0</v>
      </c>
      <c r="AN384" s="25"/>
      <c r="AO384" s="10" t="str">
        <f t="shared" si="216"/>
        <v>MarçoSEMANA 4Mini Bolo de Cacau Belga</v>
      </c>
      <c r="AP384" s="7">
        <f>SUMIF(NF!$A:$A,$AO384,NF!$I:$I)</f>
        <v>0</v>
      </c>
      <c r="AQ384" s="6"/>
      <c r="AR384" s="6"/>
      <c r="AS384" s="6"/>
      <c r="AT384" s="6"/>
      <c r="AU384" s="6"/>
      <c r="AV384" s="6"/>
      <c r="AW384" s="6"/>
      <c r="AX384" s="7">
        <f t="shared" si="257"/>
        <v>0</v>
      </c>
      <c r="AY384" s="11">
        <f t="shared" si="221"/>
        <v>0</v>
      </c>
      <c r="AZ384" s="25"/>
      <c r="BA384" s="10" t="str">
        <f t="shared" si="217"/>
        <v>MarçoSEMANA 5Mini Bolo de Cacau Belga</v>
      </c>
      <c r="BB384" s="7">
        <f>SUMIF(NF!$A:$A,$BA384,NF!$I:$I)</f>
        <v>0</v>
      </c>
      <c r="BC384" s="6"/>
      <c r="BD384" s="6"/>
      <c r="BE384" s="6"/>
      <c r="BF384" s="6"/>
      <c r="BG384" s="6"/>
      <c r="BH384" s="6"/>
      <c r="BI384" s="74"/>
      <c r="BJ384" s="74"/>
      <c r="BK384" s="7">
        <f t="shared" si="258"/>
        <v>0</v>
      </c>
      <c r="BL384" s="8">
        <f t="shared" si="222"/>
        <v>0</v>
      </c>
      <c r="BM384" s="51" t="str">
        <f>IFERROR(VLOOKUP(A384,NF!$M:$O,3,0),"")</f>
        <v>Feirinha</v>
      </c>
      <c r="BN384" s="7">
        <f t="shared" si="223"/>
        <v>0</v>
      </c>
      <c r="BO384" s="8">
        <f t="array" ref="BO384">IFERROR(LARGE(IF(NF!$G$2:$G$3137='Mês atual'!A384,NF!$J$2:$J$3137),1),0)*BN384</f>
        <v>0</v>
      </c>
      <c r="BP384" s="50"/>
      <c r="BR384" s="146">
        <f t="array" ref="BR384">IFERROR(LARGE(IF(NF!$G$2:$G$3137='Mês atual'!A384,NF!$J$2:$J$3137),1),0)</f>
        <v>0</v>
      </c>
      <c r="BS384" s="142" t="str">
        <f>VLOOKUP(A384,NF!M:O,3,0)</f>
        <v>Feirinha</v>
      </c>
      <c r="BV384" s="74">
        <f t="shared" si="239"/>
        <v>0</v>
      </c>
      <c r="BW384" s="74">
        <f t="shared" si="240"/>
        <v>0</v>
      </c>
      <c r="BX384" s="74">
        <f t="shared" si="241"/>
        <v>0</v>
      </c>
      <c r="BY384" s="74">
        <f t="shared" si="242"/>
        <v>0</v>
      </c>
      <c r="BZ384" s="74">
        <f t="shared" si="243"/>
        <v>0</v>
      </c>
    </row>
    <row r="385" spans="1:78" x14ac:dyDescent="0.2">
      <c r="A385" s="108" t="s">
        <v>951</v>
      </c>
      <c r="B385" s="12"/>
      <c r="C385" s="9">
        <v>0</v>
      </c>
      <c r="D385" s="25"/>
      <c r="E385" s="10" t="str">
        <f t="shared" si="213"/>
        <v>MarçoSEMANA 1Mini Bolo de Cenoura (com cobertura de chocolate)</v>
      </c>
      <c r="F385" s="7">
        <f>SUMIF(NF!$A:$A,$E385,NF!$I:$I)</f>
        <v>0</v>
      </c>
      <c r="G385" s="74"/>
      <c r="H385" s="74"/>
      <c r="I385" s="74"/>
      <c r="J385" s="6"/>
      <c r="K385" s="6"/>
      <c r="L385" s="6"/>
      <c r="M385" s="6"/>
      <c r="N385" s="7">
        <f t="shared" si="254"/>
        <v>0</v>
      </c>
      <c r="O385" s="11">
        <f t="shared" ref="O385:O401" si="259">F385+C385-N385</f>
        <v>0</v>
      </c>
      <c r="P385" s="25"/>
      <c r="Q385" s="10" t="str">
        <f t="shared" si="214"/>
        <v>MarçoSEMANA 2Mini Bolo de Cenoura (com cobertura de chocolate)</v>
      </c>
      <c r="R385" s="7">
        <f>SUMIF(NF!$A:$A,$Q385,NF!$I:$I)</f>
        <v>0</v>
      </c>
      <c r="S385" s="6"/>
      <c r="T385" s="6"/>
      <c r="U385" s="6"/>
      <c r="V385" s="6"/>
      <c r="W385" s="6"/>
      <c r="X385" s="6"/>
      <c r="Y385" s="6"/>
      <c r="Z385" s="7">
        <f t="shared" si="255"/>
        <v>0</v>
      </c>
      <c r="AA385" s="11">
        <f t="shared" ref="AA385:AA401" si="260">R385+O385-Z385</f>
        <v>0</v>
      </c>
      <c r="AB385" s="25"/>
      <c r="AC385" s="10" t="str">
        <f t="shared" si="215"/>
        <v>MarçoSEMANA 3Mini Bolo de Cenoura (com cobertura de chocolate)</v>
      </c>
      <c r="AD385" s="7">
        <f>SUMIF(NF!$A:$A,$AC385,NF!$I:$I)</f>
        <v>0</v>
      </c>
      <c r="AE385" s="6"/>
      <c r="AF385" s="6"/>
      <c r="AG385" s="6"/>
      <c r="AH385" s="6"/>
      <c r="AI385" s="6"/>
      <c r="AJ385" s="6"/>
      <c r="AK385" s="6"/>
      <c r="AL385" s="7">
        <f t="shared" si="256"/>
        <v>0</v>
      </c>
      <c r="AM385" s="11">
        <f t="shared" ref="AM385:AM401" si="261">AD385+AA385-AL385</f>
        <v>0</v>
      </c>
      <c r="AN385" s="25"/>
      <c r="AO385" s="10" t="str">
        <f t="shared" si="216"/>
        <v>MarçoSEMANA 4Mini Bolo de Cenoura (com cobertura de chocolate)</v>
      </c>
      <c r="AP385" s="7">
        <f>SUMIF(NF!$A:$A,$AO385,NF!$I:$I)</f>
        <v>0</v>
      </c>
      <c r="AQ385" s="6"/>
      <c r="AR385" s="6"/>
      <c r="AS385" s="6"/>
      <c r="AT385" s="6"/>
      <c r="AU385" s="6"/>
      <c r="AV385" s="6"/>
      <c r="AW385" s="6"/>
      <c r="AX385" s="7">
        <f t="shared" si="257"/>
        <v>0</v>
      </c>
      <c r="AY385" s="11">
        <f t="shared" ref="AY385:AY401" si="262">AP385+AM385-AX385</f>
        <v>0</v>
      </c>
      <c r="AZ385" s="25"/>
      <c r="BA385" s="10" t="str">
        <f t="shared" si="217"/>
        <v>MarçoSEMANA 5Mini Bolo de Cenoura (com cobertura de chocolate)</v>
      </c>
      <c r="BB385" s="7">
        <f>SUMIF(NF!$A:$A,$BA385,NF!$I:$I)</f>
        <v>0</v>
      </c>
      <c r="BC385" s="6"/>
      <c r="BD385" s="6"/>
      <c r="BE385" s="6"/>
      <c r="BF385" s="6"/>
      <c r="BG385" s="6"/>
      <c r="BH385" s="6"/>
      <c r="BI385" s="74"/>
      <c r="BJ385" s="74"/>
      <c r="BK385" s="7">
        <f t="shared" si="258"/>
        <v>0</v>
      </c>
      <c r="BL385" s="8">
        <f t="shared" ref="BL385:BL401" si="263">BB385+AY385-BK385</f>
        <v>0</v>
      </c>
      <c r="BM385" s="51" t="str">
        <f>IFERROR(VLOOKUP(A385,NF!$M:$O,3,0),"")</f>
        <v>Feirinha</v>
      </c>
      <c r="BN385" s="7">
        <f t="shared" ref="BN385:BN401" si="264">SUM(N385,Z385,AL385,AX385,BK385)</f>
        <v>0</v>
      </c>
      <c r="BO385" s="8">
        <f t="array" ref="BO385">IFERROR(LARGE(IF(NF!$G$2:$G$3137='Mês atual'!A385,NF!$J$2:$J$3137),1),0)*BN385</f>
        <v>0</v>
      </c>
      <c r="BP385" s="50"/>
      <c r="BR385" s="146">
        <f t="array" ref="BR385">IFERROR(LARGE(IF(NF!$G$2:$G$3137='Mês atual'!A385,NF!$J$2:$J$3137),1),0)</f>
        <v>0</v>
      </c>
      <c r="BS385" s="142" t="str">
        <f>VLOOKUP(A385,NF!M:O,3,0)</f>
        <v>Feirinha</v>
      </c>
      <c r="BV385" s="74">
        <f t="shared" si="239"/>
        <v>0</v>
      </c>
      <c r="BW385" s="74">
        <f t="shared" si="240"/>
        <v>0</v>
      </c>
      <c r="BX385" s="74">
        <f t="shared" si="241"/>
        <v>0</v>
      </c>
      <c r="BY385" s="74">
        <f t="shared" si="242"/>
        <v>0</v>
      </c>
      <c r="BZ385" s="74">
        <f t="shared" si="243"/>
        <v>0</v>
      </c>
    </row>
    <row r="386" spans="1:78" x14ac:dyDescent="0.2">
      <c r="A386" s="108" t="s">
        <v>952</v>
      </c>
      <c r="B386" s="12"/>
      <c r="C386" s="9">
        <v>0</v>
      </c>
      <c r="D386" s="25"/>
      <c r="E386" s="10" t="str">
        <f t="shared" si="213"/>
        <v>MarçoSEMANA 1Mini Bolo de Fuba (com cobertura goiaba)</v>
      </c>
      <c r="F386" s="7">
        <f>SUMIF(NF!$A:$A,$E386,NF!$I:$I)</f>
        <v>0</v>
      </c>
      <c r="G386" s="74"/>
      <c r="H386" s="74"/>
      <c r="I386" s="74"/>
      <c r="J386" s="6"/>
      <c r="K386" s="6"/>
      <c r="L386" s="6"/>
      <c r="M386" s="6"/>
      <c r="N386" s="7">
        <f t="shared" si="254"/>
        <v>0</v>
      </c>
      <c r="O386" s="11">
        <f t="shared" si="259"/>
        <v>0</v>
      </c>
      <c r="P386" s="25"/>
      <c r="Q386" s="10" t="str">
        <f t="shared" si="214"/>
        <v>MarçoSEMANA 2Mini Bolo de Fuba (com cobertura goiaba)</v>
      </c>
      <c r="R386" s="7">
        <f>SUMIF(NF!$A:$A,$Q386,NF!$I:$I)</f>
        <v>0</v>
      </c>
      <c r="S386" s="6"/>
      <c r="T386" s="6"/>
      <c r="U386" s="6"/>
      <c r="V386" s="6"/>
      <c r="W386" s="6"/>
      <c r="X386" s="6"/>
      <c r="Y386" s="6"/>
      <c r="Z386" s="7">
        <f t="shared" si="255"/>
        <v>0</v>
      </c>
      <c r="AA386" s="11">
        <f t="shared" si="260"/>
        <v>0</v>
      </c>
      <c r="AB386" s="25"/>
      <c r="AC386" s="10" t="str">
        <f t="shared" si="215"/>
        <v>MarçoSEMANA 3Mini Bolo de Fuba (com cobertura goiaba)</v>
      </c>
      <c r="AD386" s="7">
        <f>SUMIF(NF!$A:$A,$AC386,NF!$I:$I)</f>
        <v>0</v>
      </c>
      <c r="AE386" s="6"/>
      <c r="AF386" s="6"/>
      <c r="AG386" s="6"/>
      <c r="AH386" s="6"/>
      <c r="AI386" s="6"/>
      <c r="AJ386" s="6"/>
      <c r="AK386" s="6"/>
      <c r="AL386" s="7">
        <f t="shared" si="256"/>
        <v>0</v>
      </c>
      <c r="AM386" s="11">
        <f t="shared" si="261"/>
        <v>0</v>
      </c>
      <c r="AN386" s="25"/>
      <c r="AO386" s="10" t="str">
        <f t="shared" si="216"/>
        <v>MarçoSEMANA 4Mini Bolo de Fuba (com cobertura goiaba)</v>
      </c>
      <c r="AP386" s="7">
        <f>SUMIF(NF!$A:$A,$AO386,NF!$I:$I)</f>
        <v>0</v>
      </c>
      <c r="AQ386" s="6"/>
      <c r="AR386" s="6"/>
      <c r="AS386" s="6"/>
      <c r="AT386" s="6"/>
      <c r="AU386" s="6"/>
      <c r="AV386" s="6"/>
      <c r="AW386" s="6"/>
      <c r="AX386" s="7">
        <f t="shared" si="257"/>
        <v>0</v>
      </c>
      <c r="AY386" s="11">
        <f t="shared" si="262"/>
        <v>0</v>
      </c>
      <c r="AZ386" s="25"/>
      <c r="BA386" s="10" t="str">
        <f t="shared" si="217"/>
        <v>MarçoSEMANA 5Mini Bolo de Fuba (com cobertura goiaba)</v>
      </c>
      <c r="BB386" s="7">
        <f>SUMIF(NF!$A:$A,$BA386,NF!$I:$I)</f>
        <v>0</v>
      </c>
      <c r="BC386" s="6"/>
      <c r="BD386" s="6"/>
      <c r="BE386" s="6"/>
      <c r="BF386" s="6"/>
      <c r="BG386" s="6"/>
      <c r="BH386" s="6"/>
      <c r="BI386" s="74"/>
      <c r="BJ386" s="74"/>
      <c r="BK386" s="7">
        <f t="shared" si="258"/>
        <v>0</v>
      </c>
      <c r="BL386" s="8">
        <f t="shared" si="263"/>
        <v>0</v>
      </c>
      <c r="BM386" s="51" t="str">
        <f>IFERROR(VLOOKUP(A386,NF!$M:$O,3,0),"")</f>
        <v>Feirinha</v>
      </c>
      <c r="BN386" s="7">
        <f t="shared" si="264"/>
        <v>0</v>
      </c>
      <c r="BO386" s="8">
        <f t="array" ref="BO386">IFERROR(LARGE(IF(NF!$G$2:$G$3137='Mês atual'!A386,NF!$J$2:$J$3137),1),0)*BN386</f>
        <v>0</v>
      </c>
      <c r="BP386" s="50"/>
      <c r="BR386" s="146">
        <f t="array" ref="BR386">IFERROR(LARGE(IF(NF!$G$2:$G$3137='Mês atual'!A386,NF!$J$2:$J$3137),1),0)</f>
        <v>0</v>
      </c>
      <c r="BS386" s="142" t="str">
        <f>VLOOKUP(A386,NF!M:O,3,0)</f>
        <v>Feirinha</v>
      </c>
      <c r="BV386" s="74">
        <f t="shared" si="239"/>
        <v>0</v>
      </c>
      <c r="BW386" s="74">
        <f t="shared" si="240"/>
        <v>0</v>
      </c>
      <c r="BX386" s="74">
        <f t="shared" si="241"/>
        <v>0</v>
      </c>
      <c r="BY386" s="74">
        <f t="shared" si="242"/>
        <v>0</v>
      </c>
      <c r="BZ386" s="74">
        <f t="shared" si="243"/>
        <v>0</v>
      </c>
    </row>
    <row r="387" spans="1:78" x14ac:dyDescent="0.2">
      <c r="A387" s="108" t="s">
        <v>1006</v>
      </c>
      <c r="B387" s="12"/>
      <c r="C387" s="9">
        <v>0</v>
      </c>
      <c r="D387" s="25"/>
      <c r="E387" s="10" t="str">
        <f t="shared" si="213"/>
        <v>MarçoSEMANA 1Morango Org. Feirinha</v>
      </c>
      <c r="F387" s="7">
        <f>SUMIF(NF!$A:$A,$E387,NF!$I:$I)</f>
        <v>0</v>
      </c>
      <c r="G387" s="74"/>
      <c r="H387" s="74"/>
      <c r="I387" s="74"/>
      <c r="J387" s="6"/>
      <c r="K387" s="6"/>
      <c r="L387" s="6"/>
      <c r="M387" s="6"/>
      <c r="N387" s="7">
        <f t="shared" si="254"/>
        <v>0</v>
      </c>
      <c r="O387" s="11">
        <f t="shared" si="259"/>
        <v>0</v>
      </c>
      <c r="P387" s="25"/>
      <c r="Q387" s="10" t="str">
        <f t="shared" si="214"/>
        <v>MarçoSEMANA 2Morango Org. Feirinha</v>
      </c>
      <c r="R387" s="7">
        <f>SUMIF(NF!$A:$A,$Q387,NF!$I:$I)</f>
        <v>0</v>
      </c>
      <c r="S387" s="6"/>
      <c r="T387" s="6"/>
      <c r="U387" s="6"/>
      <c r="V387" s="6"/>
      <c r="W387" s="6"/>
      <c r="X387" s="6"/>
      <c r="Y387" s="6"/>
      <c r="Z387" s="7">
        <f t="shared" si="255"/>
        <v>0</v>
      </c>
      <c r="AA387" s="11">
        <f t="shared" si="260"/>
        <v>0</v>
      </c>
      <c r="AB387" s="25"/>
      <c r="AC387" s="10" t="str">
        <f t="shared" si="215"/>
        <v>MarçoSEMANA 3Morango Org. Feirinha</v>
      </c>
      <c r="AD387" s="7">
        <f>SUMIF(NF!$A:$A,$AC387,NF!$I:$I)</f>
        <v>0</v>
      </c>
      <c r="AE387" s="6"/>
      <c r="AF387" s="6"/>
      <c r="AG387" s="6"/>
      <c r="AH387" s="6"/>
      <c r="AI387" s="6"/>
      <c r="AJ387" s="6"/>
      <c r="AK387" s="6"/>
      <c r="AL387" s="7">
        <f t="shared" si="256"/>
        <v>0</v>
      </c>
      <c r="AM387" s="11">
        <f t="shared" si="261"/>
        <v>0</v>
      </c>
      <c r="AN387" s="25"/>
      <c r="AO387" s="10" t="str">
        <f t="shared" si="216"/>
        <v>MarçoSEMANA 4Morango Org. Feirinha</v>
      </c>
      <c r="AP387" s="7">
        <f>SUMIF(NF!$A:$A,$AO387,NF!$I:$I)</f>
        <v>0</v>
      </c>
      <c r="AQ387" s="6"/>
      <c r="AR387" s="6"/>
      <c r="AS387" s="6"/>
      <c r="AT387" s="6"/>
      <c r="AU387" s="6"/>
      <c r="AV387" s="6"/>
      <c r="AW387" s="6"/>
      <c r="AX387" s="7">
        <f t="shared" si="257"/>
        <v>0</v>
      </c>
      <c r="AY387" s="11">
        <f t="shared" si="262"/>
        <v>0</v>
      </c>
      <c r="AZ387" s="25"/>
      <c r="BA387" s="10" t="str">
        <f t="shared" si="217"/>
        <v>MarçoSEMANA 5Morango Org. Feirinha</v>
      </c>
      <c r="BB387" s="7">
        <f>SUMIF(NF!$A:$A,$BA387,NF!$I:$I)</f>
        <v>0</v>
      </c>
      <c r="BC387" s="6"/>
      <c r="BD387" s="6"/>
      <c r="BE387" s="6"/>
      <c r="BF387" s="6"/>
      <c r="BG387" s="6"/>
      <c r="BH387" s="6"/>
      <c r="BI387" s="74"/>
      <c r="BJ387" s="74"/>
      <c r="BK387" s="7">
        <f t="shared" si="258"/>
        <v>0</v>
      </c>
      <c r="BL387" s="8">
        <f t="shared" si="263"/>
        <v>0</v>
      </c>
      <c r="BM387" s="51" t="str">
        <f>IFERROR(VLOOKUP(A387,NF!$M:$O,3,0),"")</f>
        <v>Feirinha</v>
      </c>
      <c r="BN387" s="7">
        <f t="shared" si="264"/>
        <v>0</v>
      </c>
      <c r="BO387" s="8">
        <f t="array" ref="BO387">IFERROR(LARGE(IF(NF!$G$2:$G$3137='Mês atual'!A387,NF!$J$2:$J$3137),1),0)*BN387</f>
        <v>0</v>
      </c>
      <c r="BP387" s="50"/>
      <c r="BR387" s="146">
        <f t="array" ref="BR387">IFERROR(LARGE(IF(NF!$G$2:$G$3137='Mês atual'!A387,NF!$J$2:$J$3137),1),0)</f>
        <v>0</v>
      </c>
      <c r="BS387" s="142" t="str">
        <f>VLOOKUP(A387,NF!M:O,3,0)</f>
        <v>Feirinha</v>
      </c>
      <c r="BV387" s="74">
        <f t="shared" si="239"/>
        <v>0</v>
      </c>
      <c r="BW387" s="74">
        <f t="shared" si="240"/>
        <v>0</v>
      </c>
      <c r="BX387" s="74">
        <f t="shared" si="241"/>
        <v>0</v>
      </c>
      <c r="BY387" s="74">
        <f t="shared" si="242"/>
        <v>0</v>
      </c>
      <c r="BZ387" s="74">
        <f t="shared" si="243"/>
        <v>0</v>
      </c>
    </row>
    <row r="388" spans="1:78" x14ac:dyDescent="0.25">
      <c r="A388" s="108" t="s">
        <v>998</v>
      </c>
      <c r="B388" s="12"/>
      <c r="C388" s="9">
        <v>0</v>
      </c>
      <c r="D388" s="25"/>
      <c r="E388" s="10" t="str">
        <f t="shared" si="213"/>
        <v>MarçoSEMANA 1Pão de Psylium c/ Batata Baroa e Castanha</v>
      </c>
      <c r="F388" s="7">
        <f>SUMIF(NF!$A:$A,$E388,NF!$I:$I)</f>
        <v>0</v>
      </c>
      <c r="G388" s="74"/>
      <c r="H388" s="74"/>
      <c r="I388" s="74"/>
      <c r="J388" s="6"/>
      <c r="K388" s="6"/>
      <c r="L388" s="6"/>
      <c r="M388" s="6"/>
      <c r="N388" s="7">
        <f t="shared" si="254"/>
        <v>0</v>
      </c>
      <c r="O388" s="11">
        <f>F388+C388-N388</f>
        <v>0</v>
      </c>
      <c r="P388" s="25"/>
      <c r="Q388" s="10" t="str">
        <f t="shared" si="214"/>
        <v>MarçoSEMANA 2Pão de Psylium c/ Batata Baroa e Castanha</v>
      </c>
      <c r="R388" s="7">
        <f>SUMIF(NF!$A:$A,$Q388,NF!$I:$I)</f>
        <v>0</v>
      </c>
      <c r="S388" s="6"/>
      <c r="T388" s="6"/>
      <c r="U388" s="6"/>
      <c r="V388" s="6"/>
      <c r="W388" s="6"/>
      <c r="X388" s="6"/>
      <c r="Y388" s="6"/>
      <c r="Z388" s="7">
        <f t="shared" si="255"/>
        <v>0</v>
      </c>
      <c r="AA388" s="11">
        <f>R388+O388-Z388</f>
        <v>0</v>
      </c>
      <c r="AB388" s="25"/>
      <c r="AC388" s="10" t="str">
        <f t="shared" si="215"/>
        <v>MarçoSEMANA 3Pão de Psylium c/ Batata Baroa e Castanha</v>
      </c>
      <c r="AD388" s="7">
        <f>SUMIF(NF!$A:$A,$AC388,NF!$I:$I)</f>
        <v>0</v>
      </c>
      <c r="AE388" s="6"/>
      <c r="AF388" s="6"/>
      <c r="AG388" s="6"/>
      <c r="AH388" s="6"/>
      <c r="AI388" s="6"/>
      <c r="AJ388" s="6"/>
      <c r="AK388" s="6"/>
      <c r="AL388" s="7">
        <f t="shared" si="256"/>
        <v>0</v>
      </c>
      <c r="AM388" s="11">
        <f>AD388+AA388-AL388</f>
        <v>0</v>
      </c>
      <c r="AN388" s="25"/>
      <c r="AO388" s="10" t="str">
        <f t="shared" si="216"/>
        <v>MarçoSEMANA 4Pão de Psylium c/ Batata Baroa e Castanha</v>
      </c>
      <c r="AP388" s="7">
        <f>SUMIF(NF!$A:$A,$AO388,NF!$I:$I)</f>
        <v>0</v>
      </c>
      <c r="AQ388" s="6"/>
      <c r="AR388" s="6"/>
      <c r="AS388" s="6"/>
      <c r="AT388" s="6"/>
      <c r="AU388" s="6"/>
      <c r="AV388" s="6"/>
      <c r="AW388" s="6"/>
      <c r="AX388" s="7">
        <f t="shared" si="257"/>
        <v>0</v>
      </c>
      <c r="AY388" s="11">
        <f>AP388+AM388-AX388</f>
        <v>0</v>
      </c>
      <c r="AZ388" s="25"/>
      <c r="BA388" s="10" t="str">
        <f t="shared" si="217"/>
        <v>MarçoSEMANA 5Pão de Psylium c/ Batata Baroa e Castanha</v>
      </c>
      <c r="BB388" s="7">
        <f>SUMIF(NF!$A:$A,$BA388,NF!$I:$I)</f>
        <v>0</v>
      </c>
      <c r="BC388" s="6"/>
      <c r="BD388" s="6"/>
      <c r="BE388" s="6"/>
      <c r="BF388" s="6"/>
      <c r="BG388" s="6"/>
      <c r="BH388" s="6"/>
      <c r="BI388" s="74"/>
      <c r="BJ388" s="74"/>
      <c r="BK388" s="7">
        <f t="shared" si="258"/>
        <v>0</v>
      </c>
      <c r="BL388" s="8">
        <f>BB388+AY388-BK388</f>
        <v>0</v>
      </c>
      <c r="BM388" s="51" t="str">
        <f>IFERROR(VLOOKUP(A388,NF!$M:$O,3,0),"")</f>
        <v>Feirinha</v>
      </c>
      <c r="BN388" s="7">
        <f>SUM(N388,Z388,AL388,AX388,BK388)</f>
        <v>0</v>
      </c>
      <c r="BO388" s="8">
        <f t="array" ref="BO388">IFERROR(LARGE(IF(NF!$G$2:$G$3137='Mês atual'!A388,NF!$J$2:$J$3137),1),0)*BN388</f>
        <v>0</v>
      </c>
      <c r="BP388" s="50"/>
      <c r="BR388" s="146">
        <f t="array" ref="BR388">IFERROR(LARGE(IF(NF!$G$2:$G$3137='Mês atual'!A388,NF!$J$2:$J$3137),1),0)</f>
        <v>0</v>
      </c>
      <c r="BS388" s="142" t="str">
        <f>VLOOKUP(A388,NF!M:O,3,0)</f>
        <v>Feirinha</v>
      </c>
      <c r="BV388" s="74">
        <f t="shared" si="239"/>
        <v>0</v>
      </c>
      <c r="BW388" s="74">
        <f t="shared" si="240"/>
        <v>0</v>
      </c>
      <c r="BX388" s="74">
        <f t="shared" si="241"/>
        <v>0</v>
      </c>
      <c r="BY388" s="74">
        <f t="shared" si="242"/>
        <v>0</v>
      </c>
      <c r="BZ388" s="74">
        <f t="shared" si="243"/>
        <v>0</v>
      </c>
    </row>
    <row r="389" spans="1:78" x14ac:dyDescent="0.25">
      <c r="A389" s="108" t="s">
        <v>999</v>
      </c>
      <c r="B389" s="12"/>
      <c r="C389" s="9">
        <v>0</v>
      </c>
      <c r="D389" s="25"/>
      <c r="E389" s="10" t="str">
        <f t="shared" si="213"/>
        <v>MarçoSEMANA 1Pão de Psylium c/Quinoa</v>
      </c>
      <c r="F389" s="7">
        <f>SUMIF(NF!$A:$A,$E389,NF!$I:$I)</f>
        <v>0</v>
      </c>
      <c r="G389" s="74"/>
      <c r="H389" s="74"/>
      <c r="I389" s="74"/>
      <c r="J389" s="6"/>
      <c r="K389" s="6"/>
      <c r="L389" s="6"/>
      <c r="M389" s="6"/>
      <c r="N389" s="7">
        <f t="shared" si="254"/>
        <v>0</v>
      </c>
      <c r="O389" s="11">
        <f>F389+C389-N389</f>
        <v>0</v>
      </c>
      <c r="P389" s="25"/>
      <c r="Q389" s="10" t="str">
        <f t="shared" si="214"/>
        <v>MarçoSEMANA 2Pão de Psylium c/Quinoa</v>
      </c>
      <c r="R389" s="7">
        <f>SUMIF(NF!$A:$A,$Q389,NF!$I:$I)</f>
        <v>0</v>
      </c>
      <c r="S389" s="6"/>
      <c r="T389" s="6"/>
      <c r="U389" s="6"/>
      <c r="V389" s="6"/>
      <c r="W389" s="6"/>
      <c r="X389" s="6"/>
      <c r="Y389" s="6"/>
      <c r="Z389" s="7">
        <f t="shared" si="255"/>
        <v>0</v>
      </c>
      <c r="AA389" s="11">
        <f>R389+O389-Z389</f>
        <v>0</v>
      </c>
      <c r="AB389" s="25"/>
      <c r="AC389" s="10" t="str">
        <f t="shared" si="215"/>
        <v>MarçoSEMANA 3Pão de Psylium c/Quinoa</v>
      </c>
      <c r="AD389" s="7">
        <f>SUMIF(NF!$A:$A,$AC389,NF!$I:$I)</f>
        <v>0</v>
      </c>
      <c r="AE389" s="6"/>
      <c r="AF389" s="6"/>
      <c r="AG389" s="6"/>
      <c r="AH389" s="6"/>
      <c r="AI389" s="6"/>
      <c r="AJ389" s="6"/>
      <c r="AK389" s="6"/>
      <c r="AL389" s="7">
        <f t="shared" si="256"/>
        <v>0</v>
      </c>
      <c r="AM389" s="11">
        <f>AD389+AA389-AL389</f>
        <v>0</v>
      </c>
      <c r="AN389" s="25"/>
      <c r="AO389" s="10" t="str">
        <f t="shared" si="216"/>
        <v>MarçoSEMANA 4Pão de Psylium c/Quinoa</v>
      </c>
      <c r="AP389" s="7">
        <f>SUMIF(NF!$A:$A,$AO389,NF!$I:$I)</f>
        <v>0</v>
      </c>
      <c r="AQ389" s="6"/>
      <c r="AR389" s="6"/>
      <c r="AS389" s="6"/>
      <c r="AT389" s="6"/>
      <c r="AU389" s="6"/>
      <c r="AV389" s="6"/>
      <c r="AW389" s="6"/>
      <c r="AX389" s="7">
        <f t="shared" si="257"/>
        <v>0</v>
      </c>
      <c r="AY389" s="11">
        <f>AP389+AM389-AX389</f>
        <v>0</v>
      </c>
      <c r="AZ389" s="25"/>
      <c r="BA389" s="10" t="str">
        <f t="shared" si="217"/>
        <v>MarçoSEMANA 5Pão de Psylium c/Quinoa</v>
      </c>
      <c r="BB389" s="7">
        <f>SUMIF(NF!$A:$A,$BA389,NF!$I:$I)</f>
        <v>0</v>
      </c>
      <c r="BC389" s="6"/>
      <c r="BD389" s="6"/>
      <c r="BE389" s="6"/>
      <c r="BF389" s="6"/>
      <c r="BG389" s="6"/>
      <c r="BH389" s="6"/>
      <c r="BI389" s="74"/>
      <c r="BJ389" s="74"/>
      <c r="BK389" s="7">
        <f t="shared" si="258"/>
        <v>0</v>
      </c>
      <c r="BL389" s="8">
        <f>BB389+AY389-BK389</f>
        <v>0</v>
      </c>
      <c r="BM389" s="51" t="str">
        <f>IFERROR(VLOOKUP(A389,NF!$M:$O,3,0),"")</f>
        <v>Feirinha</v>
      </c>
      <c r="BN389" s="7">
        <f>SUM(N389,Z389,AL389,AX389,BK389)</f>
        <v>0</v>
      </c>
      <c r="BO389" s="8">
        <f t="array" ref="BO389">IFERROR(LARGE(IF(NF!$G$2:$G$3137='Mês atual'!A389,NF!$J$2:$J$3137),1),0)*BN389</f>
        <v>0</v>
      </c>
      <c r="BP389" s="50"/>
      <c r="BR389" s="146">
        <f t="array" ref="BR389">IFERROR(LARGE(IF(NF!$G$2:$G$3137='Mês atual'!A389,NF!$J$2:$J$3137),1),0)</f>
        <v>0</v>
      </c>
      <c r="BS389" s="142" t="str">
        <f>VLOOKUP(A389,NF!M:O,3,0)</f>
        <v>Feirinha</v>
      </c>
      <c r="BV389" s="74">
        <f t="shared" si="239"/>
        <v>0</v>
      </c>
      <c r="BW389" s="74">
        <f t="shared" si="240"/>
        <v>0</v>
      </c>
      <c r="BX389" s="74">
        <f t="shared" si="241"/>
        <v>0</v>
      </c>
      <c r="BY389" s="74">
        <f t="shared" si="242"/>
        <v>0</v>
      </c>
      <c r="BZ389" s="74">
        <f t="shared" si="243"/>
        <v>0</v>
      </c>
    </row>
    <row r="390" spans="1:78" x14ac:dyDescent="0.25">
      <c r="A390" s="108" t="s">
        <v>885</v>
      </c>
      <c r="B390" s="12"/>
      <c r="C390" s="9">
        <v>0</v>
      </c>
      <c r="D390" s="25"/>
      <c r="E390" s="10" t="str">
        <f t="shared" si="213"/>
        <v>MarçoSEMANA 1Pepino Japonês Org. Feirinha</v>
      </c>
      <c r="F390" s="7">
        <f>SUMIF(NF!$A:$A,$E390,NF!$I:$I)</f>
        <v>0</v>
      </c>
      <c r="G390" s="74"/>
      <c r="H390" s="74"/>
      <c r="I390" s="74"/>
      <c r="J390" s="6"/>
      <c r="K390" s="6"/>
      <c r="L390" s="6"/>
      <c r="M390" s="6"/>
      <c r="N390" s="7">
        <f t="shared" si="254"/>
        <v>0</v>
      </c>
      <c r="O390" s="11">
        <f t="shared" si="259"/>
        <v>0</v>
      </c>
      <c r="P390" s="25"/>
      <c r="Q390" s="10" t="str">
        <f t="shared" si="214"/>
        <v>MarçoSEMANA 2Pepino Japonês Org. Feirinha</v>
      </c>
      <c r="R390" s="7">
        <f>SUMIF(NF!$A:$A,$Q390,NF!$I:$I)</f>
        <v>0</v>
      </c>
      <c r="S390" s="6"/>
      <c r="T390" s="6"/>
      <c r="U390" s="6"/>
      <c r="V390" s="6"/>
      <c r="W390" s="6"/>
      <c r="X390" s="6"/>
      <c r="Y390" s="6"/>
      <c r="Z390" s="7">
        <f t="shared" si="255"/>
        <v>0</v>
      </c>
      <c r="AA390" s="11">
        <f t="shared" si="260"/>
        <v>0</v>
      </c>
      <c r="AB390" s="25"/>
      <c r="AC390" s="10" t="str">
        <f t="shared" si="215"/>
        <v>MarçoSEMANA 3Pepino Japonês Org. Feirinha</v>
      </c>
      <c r="AD390" s="7">
        <f>SUMIF(NF!$A:$A,$AC390,NF!$I:$I)</f>
        <v>0</v>
      </c>
      <c r="AE390" s="6"/>
      <c r="AF390" s="6"/>
      <c r="AG390" s="6"/>
      <c r="AH390" s="6"/>
      <c r="AI390" s="6"/>
      <c r="AJ390" s="6"/>
      <c r="AK390" s="6"/>
      <c r="AL390" s="7">
        <f t="shared" si="256"/>
        <v>0</v>
      </c>
      <c r="AM390" s="11">
        <f t="shared" si="261"/>
        <v>0</v>
      </c>
      <c r="AN390" s="25"/>
      <c r="AO390" s="10" t="str">
        <f t="shared" si="216"/>
        <v>MarçoSEMANA 4Pepino Japonês Org. Feirinha</v>
      </c>
      <c r="AP390" s="7">
        <f>SUMIF(NF!$A:$A,$AO390,NF!$I:$I)</f>
        <v>0</v>
      </c>
      <c r="AQ390" s="6"/>
      <c r="AR390" s="6"/>
      <c r="AS390" s="6"/>
      <c r="AT390" s="6"/>
      <c r="AU390" s="6"/>
      <c r="AV390" s="6"/>
      <c r="AW390" s="6"/>
      <c r="AX390" s="7">
        <f t="shared" si="257"/>
        <v>0</v>
      </c>
      <c r="AY390" s="11">
        <f t="shared" si="262"/>
        <v>0</v>
      </c>
      <c r="AZ390" s="25"/>
      <c r="BA390" s="10" t="str">
        <f t="shared" si="217"/>
        <v>MarçoSEMANA 5Pepino Japonês Org. Feirinha</v>
      </c>
      <c r="BB390" s="7">
        <f>SUMIF(NF!$A:$A,$BA390,NF!$I:$I)</f>
        <v>0</v>
      </c>
      <c r="BC390" s="6"/>
      <c r="BD390" s="6"/>
      <c r="BE390" s="6"/>
      <c r="BF390" s="6"/>
      <c r="BG390" s="6"/>
      <c r="BH390" s="6"/>
      <c r="BI390" s="74"/>
      <c r="BJ390" s="74"/>
      <c r="BK390" s="7">
        <f t="shared" si="258"/>
        <v>0</v>
      </c>
      <c r="BL390" s="8">
        <f t="shared" si="263"/>
        <v>0</v>
      </c>
      <c r="BM390" s="51" t="str">
        <f>IFERROR(VLOOKUP(A390,NF!$M:$O,3,0),"")</f>
        <v>Feirinha</v>
      </c>
      <c r="BN390" s="7">
        <f t="shared" si="264"/>
        <v>0</v>
      </c>
      <c r="BO390" s="8">
        <f t="array" ref="BO390">IFERROR(LARGE(IF(NF!$G$2:$G$3137='Mês atual'!A390,NF!$J$2:$J$3137),1),0)*BN390</f>
        <v>0</v>
      </c>
      <c r="BP390" s="50"/>
      <c r="BR390" s="146">
        <f t="array" ref="BR390">IFERROR(LARGE(IF(NF!$G$2:$G$3137='Mês atual'!A390,NF!$J$2:$J$3137),1),0)</f>
        <v>0</v>
      </c>
      <c r="BS390" s="142" t="str">
        <f>VLOOKUP(A390,NF!M:O,3,0)</f>
        <v>Feirinha</v>
      </c>
      <c r="BV390" s="74">
        <f t="shared" si="239"/>
        <v>0</v>
      </c>
      <c r="BW390" s="74">
        <f t="shared" si="240"/>
        <v>0</v>
      </c>
      <c r="BX390" s="74">
        <f t="shared" si="241"/>
        <v>0</v>
      </c>
      <c r="BY390" s="74">
        <f t="shared" si="242"/>
        <v>0</v>
      </c>
      <c r="BZ390" s="74">
        <f t="shared" si="243"/>
        <v>0</v>
      </c>
    </row>
    <row r="391" spans="1:78" x14ac:dyDescent="0.2">
      <c r="A391" s="108" t="s">
        <v>953</v>
      </c>
      <c r="B391" s="12"/>
      <c r="C391" s="9">
        <v>0</v>
      </c>
      <c r="D391" s="25"/>
      <c r="E391" s="10" t="str">
        <f t="shared" si="213"/>
        <v>MarçoSEMANA 1Petit Four de Amendoas</v>
      </c>
      <c r="F391" s="7">
        <f>SUMIF(NF!$A:$A,$E391,NF!$I:$I)</f>
        <v>0</v>
      </c>
      <c r="G391" s="74"/>
      <c r="H391" s="74"/>
      <c r="I391" s="74"/>
      <c r="J391" s="6"/>
      <c r="K391" s="6"/>
      <c r="L391" s="6"/>
      <c r="M391" s="6"/>
      <c r="N391" s="7">
        <f t="shared" si="254"/>
        <v>0</v>
      </c>
      <c r="O391" s="11">
        <f t="shared" si="259"/>
        <v>0</v>
      </c>
      <c r="P391" s="25"/>
      <c r="Q391" s="10" t="str">
        <f t="shared" si="214"/>
        <v>MarçoSEMANA 2Petit Four de Amendoas</v>
      </c>
      <c r="R391" s="7">
        <f>SUMIF(NF!$A:$A,$Q391,NF!$I:$I)</f>
        <v>0</v>
      </c>
      <c r="S391" s="6"/>
      <c r="T391" s="6"/>
      <c r="U391" s="6"/>
      <c r="V391" s="6"/>
      <c r="W391" s="6"/>
      <c r="X391" s="6"/>
      <c r="Y391" s="6"/>
      <c r="Z391" s="7">
        <f t="shared" si="255"/>
        <v>0</v>
      </c>
      <c r="AA391" s="11">
        <f t="shared" si="260"/>
        <v>0</v>
      </c>
      <c r="AB391" s="25"/>
      <c r="AC391" s="10" t="str">
        <f t="shared" si="215"/>
        <v>MarçoSEMANA 3Petit Four de Amendoas</v>
      </c>
      <c r="AD391" s="7">
        <f>SUMIF(NF!$A:$A,$AC391,NF!$I:$I)</f>
        <v>0</v>
      </c>
      <c r="AE391" s="6"/>
      <c r="AF391" s="6"/>
      <c r="AG391" s="6"/>
      <c r="AH391" s="6"/>
      <c r="AI391" s="6"/>
      <c r="AJ391" s="6"/>
      <c r="AK391" s="6"/>
      <c r="AL391" s="7">
        <f t="shared" si="256"/>
        <v>0</v>
      </c>
      <c r="AM391" s="11">
        <f t="shared" si="261"/>
        <v>0</v>
      </c>
      <c r="AN391" s="25"/>
      <c r="AO391" s="10" t="str">
        <f t="shared" si="216"/>
        <v>MarçoSEMANA 4Petit Four de Amendoas</v>
      </c>
      <c r="AP391" s="7">
        <f>SUMIF(NF!$A:$A,$AO391,NF!$I:$I)</f>
        <v>0</v>
      </c>
      <c r="AQ391" s="6"/>
      <c r="AR391" s="6"/>
      <c r="AS391" s="6"/>
      <c r="AT391" s="6"/>
      <c r="AU391" s="6"/>
      <c r="AV391" s="6"/>
      <c r="AW391" s="6"/>
      <c r="AX391" s="7">
        <f t="shared" si="257"/>
        <v>0</v>
      </c>
      <c r="AY391" s="11">
        <f t="shared" si="262"/>
        <v>0</v>
      </c>
      <c r="AZ391" s="25"/>
      <c r="BA391" s="10" t="str">
        <f t="shared" si="217"/>
        <v>MarçoSEMANA 5Petit Four de Amendoas</v>
      </c>
      <c r="BB391" s="7">
        <f>SUMIF(NF!$A:$A,$BA391,NF!$I:$I)</f>
        <v>0</v>
      </c>
      <c r="BC391" s="6"/>
      <c r="BD391" s="6"/>
      <c r="BE391" s="6"/>
      <c r="BF391" s="6"/>
      <c r="BG391" s="6"/>
      <c r="BH391" s="6"/>
      <c r="BI391" s="74"/>
      <c r="BJ391" s="74"/>
      <c r="BK391" s="7">
        <f t="shared" si="258"/>
        <v>0</v>
      </c>
      <c r="BL391" s="8">
        <f t="shared" si="263"/>
        <v>0</v>
      </c>
      <c r="BM391" s="51" t="str">
        <f>IFERROR(VLOOKUP(A391,NF!$M:$O,3,0),"")</f>
        <v>Feirinha</v>
      </c>
      <c r="BN391" s="7">
        <f t="shared" si="264"/>
        <v>0</v>
      </c>
      <c r="BO391" s="8">
        <f t="array" ref="BO391">IFERROR(LARGE(IF(NF!$G$2:$G$3137='Mês atual'!A391,NF!$J$2:$J$3137),1),0)*BN391</f>
        <v>0</v>
      </c>
      <c r="BP391" s="50"/>
      <c r="BR391" s="146">
        <f t="array" ref="BR391">IFERROR(LARGE(IF(NF!$G$2:$G$3137='Mês atual'!A391,NF!$J$2:$J$3137),1),0)</f>
        <v>0</v>
      </c>
      <c r="BS391" s="142" t="str">
        <f>VLOOKUP(A391,NF!M:O,3,0)</f>
        <v>Feirinha</v>
      </c>
      <c r="BV391" s="74">
        <f t="shared" si="239"/>
        <v>0</v>
      </c>
      <c r="BW391" s="74">
        <f t="shared" si="240"/>
        <v>0</v>
      </c>
      <c r="BX391" s="74">
        <f t="shared" si="241"/>
        <v>0</v>
      </c>
      <c r="BY391" s="74">
        <f t="shared" si="242"/>
        <v>0</v>
      </c>
      <c r="BZ391" s="74">
        <f t="shared" si="243"/>
        <v>0</v>
      </c>
    </row>
    <row r="392" spans="1:78" x14ac:dyDescent="0.2">
      <c r="A392" s="108" t="s">
        <v>954</v>
      </c>
      <c r="B392" s="12"/>
      <c r="C392" s="9">
        <v>0</v>
      </c>
      <c r="D392" s="25"/>
      <c r="E392" s="10" t="str">
        <f t="shared" si="213"/>
        <v>MarçoSEMANA 1Petit Four de Cacau Belga</v>
      </c>
      <c r="F392" s="7">
        <f>SUMIF(NF!$A:$A,$E392,NF!$I:$I)</f>
        <v>0</v>
      </c>
      <c r="G392" s="74"/>
      <c r="H392" s="74"/>
      <c r="I392" s="74"/>
      <c r="J392" s="6"/>
      <c r="K392" s="6"/>
      <c r="L392" s="6"/>
      <c r="M392" s="6"/>
      <c r="N392" s="7">
        <f t="shared" si="254"/>
        <v>0</v>
      </c>
      <c r="O392" s="11">
        <f t="shared" si="259"/>
        <v>0</v>
      </c>
      <c r="P392" s="25"/>
      <c r="Q392" s="10" t="str">
        <f t="shared" si="214"/>
        <v>MarçoSEMANA 2Petit Four de Cacau Belga</v>
      </c>
      <c r="R392" s="7">
        <f>SUMIF(NF!$A:$A,$Q392,NF!$I:$I)</f>
        <v>0</v>
      </c>
      <c r="S392" s="6"/>
      <c r="T392" s="6"/>
      <c r="U392" s="6"/>
      <c r="V392" s="6"/>
      <c r="W392" s="6"/>
      <c r="X392" s="6"/>
      <c r="Y392" s="6"/>
      <c r="Z392" s="7">
        <f t="shared" si="255"/>
        <v>0</v>
      </c>
      <c r="AA392" s="11">
        <f t="shared" si="260"/>
        <v>0</v>
      </c>
      <c r="AB392" s="25"/>
      <c r="AC392" s="10" t="str">
        <f t="shared" si="215"/>
        <v>MarçoSEMANA 3Petit Four de Cacau Belga</v>
      </c>
      <c r="AD392" s="7">
        <f>SUMIF(NF!$A:$A,$AC392,NF!$I:$I)</f>
        <v>0</v>
      </c>
      <c r="AE392" s="6"/>
      <c r="AF392" s="6"/>
      <c r="AG392" s="6"/>
      <c r="AH392" s="6"/>
      <c r="AI392" s="6"/>
      <c r="AJ392" s="6"/>
      <c r="AK392" s="6"/>
      <c r="AL392" s="7">
        <f t="shared" si="256"/>
        <v>0</v>
      </c>
      <c r="AM392" s="11">
        <f t="shared" si="261"/>
        <v>0</v>
      </c>
      <c r="AN392" s="25"/>
      <c r="AO392" s="10" t="str">
        <f t="shared" si="216"/>
        <v>MarçoSEMANA 4Petit Four de Cacau Belga</v>
      </c>
      <c r="AP392" s="7">
        <f>SUMIF(NF!$A:$A,$AO392,NF!$I:$I)</f>
        <v>0</v>
      </c>
      <c r="AQ392" s="6"/>
      <c r="AR392" s="6"/>
      <c r="AS392" s="6"/>
      <c r="AT392" s="6"/>
      <c r="AU392" s="6"/>
      <c r="AV392" s="6"/>
      <c r="AW392" s="6"/>
      <c r="AX392" s="7">
        <f t="shared" si="257"/>
        <v>0</v>
      </c>
      <c r="AY392" s="11">
        <f t="shared" si="262"/>
        <v>0</v>
      </c>
      <c r="AZ392" s="25"/>
      <c r="BA392" s="10" t="str">
        <f t="shared" si="217"/>
        <v>MarçoSEMANA 5Petit Four de Cacau Belga</v>
      </c>
      <c r="BB392" s="7">
        <f>SUMIF(NF!$A:$A,$BA392,NF!$I:$I)</f>
        <v>0</v>
      </c>
      <c r="BC392" s="6"/>
      <c r="BD392" s="6"/>
      <c r="BE392" s="6"/>
      <c r="BF392" s="6"/>
      <c r="BG392" s="6"/>
      <c r="BH392" s="6"/>
      <c r="BI392" s="74"/>
      <c r="BJ392" s="74"/>
      <c r="BK392" s="7">
        <f t="shared" si="258"/>
        <v>0</v>
      </c>
      <c r="BL392" s="8">
        <f t="shared" si="263"/>
        <v>0</v>
      </c>
      <c r="BM392" s="51" t="str">
        <f>IFERROR(VLOOKUP(A392,NF!$M:$O,3,0),"")</f>
        <v>Feirinha</v>
      </c>
      <c r="BN392" s="7">
        <f t="shared" si="264"/>
        <v>0</v>
      </c>
      <c r="BO392" s="8">
        <f t="array" ref="BO392">IFERROR(LARGE(IF(NF!$G$2:$G$3137='Mês atual'!A392,NF!$J$2:$J$3137),1),0)*BN392</f>
        <v>0</v>
      </c>
      <c r="BP392" s="50"/>
      <c r="BR392" s="146">
        <f t="array" ref="BR392">IFERROR(LARGE(IF(NF!$G$2:$G$3137='Mês atual'!A392,NF!$J$2:$J$3137),1),0)</f>
        <v>0</v>
      </c>
      <c r="BS392" s="142" t="str">
        <f>VLOOKUP(A392,NF!M:O,3,0)</f>
        <v>Feirinha</v>
      </c>
      <c r="BV392" s="74">
        <f t="shared" si="239"/>
        <v>0</v>
      </c>
      <c r="BW392" s="74">
        <f t="shared" si="240"/>
        <v>0</v>
      </c>
      <c r="BX392" s="74">
        <f t="shared" si="241"/>
        <v>0</v>
      </c>
      <c r="BY392" s="74">
        <f t="shared" si="242"/>
        <v>0</v>
      </c>
      <c r="BZ392" s="74">
        <f t="shared" si="243"/>
        <v>0</v>
      </c>
    </row>
    <row r="393" spans="1:78" x14ac:dyDescent="0.2">
      <c r="A393" s="108" t="s">
        <v>955</v>
      </c>
      <c r="B393" s="12"/>
      <c r="C393" s="9">
        <v>0</v>
      </c>
      <c r="D393" s="25"/>
      <c r="E393" s="10" t="str">
        <f t="shared" si="213"/>
        <v>MarçoSEMANA 1Petit Four de Queijo</v>
      </c>
      <c r="F393" s="7">
        <f>SUMIF(NF!$A:$A,$E393,NF!$I:$I)</f>
        <v>0</v>
      </c>
      <c r="G393" s="74"/>
      <c r="H393" s="74"/>
      <c r="I393" s="74"/>
      <c r="J393" s="6"/>
      <c r="K393" s="6"/>
      <c r="L393" s="6"/>
      <c r="M393" s="6"/>
      <c r="N393" s="7">
        <f t="shared" si="254"/>
        <v>0</v>
      </c>
      <c r="O393" s="11">
        <f t="shared" si="259"/>
        <v>0</v>
      </c>
      <c r="P393" s="25"/>
      <c r="Q393" s="10" t="str">
        <f t="shared" si="214"/>
        <v>MarçoSEMANA 2Petit Four de Queijo</v>
      </c>
      <c r="R393" s="7">
        <f>SUMIF(NF!$A:$A,$Q393,NF!$I:$I)</f>
        <v>0</v>
      </c>
      <c r="S393" s="6"/>
      <c r="T393" s="6"/>
      <c r="U393" s="6"/>
      <c r="V393" s="6"/>
      <c r="W393" s="6"/>
      <c r="X393" s="6"/>
      <c r="Y393" s="6"/>
      <c r="Z393" s="7">
        <f t="shared" si="255"/>
        <v>0</v>
      </c>
      <c r="AA393" s="11">
        <f t="shared" si="260"/>
        <v>0</v>
      </c>
      <c r="AB393" s="25"/>
      <c r="AC393" s="10" t="str">
        <f t="shared" si="215"/>
        <v>MarçoSEMANA 3Petit Four de Queijo</v>
      </c>
      <c r="AD393" s="7">
        <f>SUMIF(NF!$A:$A,$AC393,NF!$I:$I)</f>
        <v>0</v>
      </c>
      <c r="AE393" s="6"/>
      <c r="AF393" s="6"/>
      <c r="AG393" s="6"/>
      <c r="AH393" s="6"/>
      <c r="AI393" s="6"/>
      <c r="AJ393" s="6"/>
      <c r="AK393" s="6"/>
      <c r="AL393" s="7">
        <f t="shared" si="256"/>
        <v>0</v>
      </c>
      <c r="AM393" s="11">
        <f t="shared" si="261"/>
        <v>0</v>
      </c>
      <c r="AN393" s="25"/>
      <c r="AO393" s="10" t="str">
        <f t="shared" si="216"/>
        <v>MarçoSEMANA 4Petit Four de Queijo</v>
      </c>
      <c r="AP393" s="7">
        <f>SUMIF(NF!$A:$A,$AO393,NF!$I:$I)</f>
        <v>0</v>
      </c>
      <c r="AQ393" s="6"/>
      <c r="AR393" s="6"/>
      <c r="AS393" s="6"/>
      <c r="AT393" s="6"/>
      <c r="AU393" s="6"/>
      <c r="AV393" s="6"/>
      <c r="AW393" s="6"/>
      <c r="AX393" s="7">
        <f t="shared" si="257"/>
        <v>0</v>
      </c>
      <c r="AY393" s="11">
        <f t="shared" si="262"/>
        <v>0</v>
      </c>
      <c r="AZ393" s="25"/>
      <c r="BA393" s="10" t="str">
        <f t="shared" si="217"/>
        <v>MarçoSEMANA 5Petit Four de Queijo</v>
      </c>
      <c r="BB393" s="7">
        <f>SUMIF(NF!$A:$A,$BA393,NF!$I:$I)</f>
        <v>0</v>
      </c>
      <c r="BC393" s="6"/>
      <c r="BD393" s="6"/>
      <c r="BE393" s="6"/>
      <c r="BF393" s="6"/>
      <c r="BG393" s="6"/>
      <c r="BH393" s="6"/>
      <c r="BI393" s="74"/>
      <c r="BJ393" s="74"/>
      <c r="BK393" s="7">
        <f t="shared" si="258"/>
        <v>0</v>
      </c>
      <c r="BL393" s="8">
        <f t="shared" si="263"/>
        <v>0</v>
      </c>
      <c r="BM393" s="51" t="str">
        <f>IFERROR(VLOOKUP(A393,NF!$M:$O,3,0),"")</f>
        <v>Feirinha</v>
      </c>
      <c r="BN393" s="7">
        <f t="shared" si="264"/>
        <v>0</v>
      </c>
      <c r="BO393" s="8">
        <f t="array" ref="BO393">IFERROR(LARGE(IF(NF!$G$2:$G$3137='Mês atual'!A393,NF!$J$2:$J$3137),1),0)*BN393</f>
        <v>0</v>
      </c>
      <c r="BP393" s="50"/>
      <c r="BR393" s="146">
        <f t="array" ref="BR393">IFERROR(LARGE(IF(NF!$G$2:$G$3137='Mês atual'!A393,NF!$J$2:$J$3137),1),0)</f>
        <v>0</v>
      </c>
      <c r="BS393" s="142" t="str">
        <f>VLOOKUP(A393,NF!M:O,3,0)</f>
        <v>Feirinha</v>
      </c>
      <c r="BV393" s="74">
        <f t="shared" si="239"/>
        <v>0</v>
      </c>
      <c r="BW393" s="74">
        <f t="shared" si="240"/>
        <v>0</v>
      </c>
      <c r="BX393" s="74">
        <f t="shared" si="241"/>
        <v>0</v>
      </c>
      <c r="BY393" s="74">
        <f t="shared" si="242"/>
        <v>0</v>
      </c>
      <c r="BZ393" s="74">
        <f t="shared" si="243"/>
        <v>0</v>
      </c>
    </row>
    <row r="394" spans="1:78" x14ac:dyDescent="0.2">
      <c r="A394" s="108" t="s">
        <v>1013</v>
      </c>
      <c r="B394" s="12"/>
      <c r="C394" s="9">
        <v>0</v>
      </c>
      <c r="D394" s="25"/>
      <c r="E394" s="10" t="str">
        <f t="shared" si="213"/>
        <v>MarçoSEMANA 1Repolho Roxo Org. Feirinha</v>
      </c>
      <c r="F394" s="7">
        <f>SUMIF(NF!$A:$A,$E394,NF!$I:$I)</f>
        <v>0</v>
      </c>
      <c r="G394" s="74"/>
      <c r="H394" s="74"/>
      <c r="I394" s="74"/>
      <c r="J394" s="6"/>
      <c r="K394" s="6"/>
      <c r="L394" s="6"/>
      <c r="M394" s="6"/>
      <c r="N394" s="7">
        <f t="shared" si="254"/>
        <v>0</v>
      </c>
      <c r="O394" s="11">
        <f>F394+C394-N394</f>
        <v>0</v>
      </c>
      <c r="P394" s="25"/>
      <c r="Q394" s="10" t="str">
        <f t="shared" si="214"/>
        <v>MarçoSEMANA 2Repolho Roxo Org. Feirinha</v>
      </c>
      <c r="R394" s="7">
        <f>SUMIF(NF!$A:$A,$Q394,NF!$I:$I)</f>
        <v>0</v>
      </c>
      <c r="S394" s="6"/>
      <c r="T394" s="6"/>
      <c r="U394" s="6"/>
      <c r="V394" s="6"/>
      <c r="W394" s="6"/>
      <c r="X394" s="6"/>
      <c r="Y394" s="6"/>
      <c r="Z394" s="7">
        <f t="shared" si="255"/>
        <v>0</v>
      </c>
      <c r="AA394" s="11">
        <f>R394+O394-Z394</f>
        <v>0</v>
      </c>
      <c r="AB394" s="25"/>
      <c r="AC394" s="10" t="str">
        <f t="shared" si="215"/>
        <v>MarçoSEMANA 3Repolho Roxo Org. Feirinha</v>
      </c>
      <c r="AD394" s="7">
        <f>SUMIF(NF!$A:$A,$AC394,NF!$I:$I)</f>
        <v>0</v>
      </c>
      <c r="AE394" s="6"/>
      <c r="AF394" s="6"/>
      <c r="AG394" s="6"/>
      <c r="AH394" s="6"/>
      <c r="AI394" s="6"/>
      <c r="AJ394" s="6"/>
      <c r="AK394" s="6"/>
      <c r="AL394" s="7">
        <f t="shared" si="256"/>
        <v>0</v>
      </c>
      <c r="AM394" s="11">
        <f>AD394+AA394-AL394</f>
        <v>0</v>
      </c>
      <c r="AN394" s="25"/>
      <c r="AO394" s="10" t="str">
        <f t="shared" si="216"/>
        <v>MarçoSEMANA 4Repolho Roxo Org. Feirinha</v>
      </c>
      <c r="AP394" s="7">
        <f>SUMIF(NF!$A:$A,$AO394,NF!$I:$I)</f>
        <v>0</v>
      </c>
      <c r="AQ394" s="6"/>
      <c r="AR394" s="6"/>
      <c r="AS394" s="6"/>
      <c r="AT394" s="6"/>
      <c r="AU394" s="6"/>
      <c r="AV394" s="6"/>
      <c r="AW394" s="6"/>
      <c r="AX394" s="7">
        <f t="shared" si="257"/>
        <v>0</v>
      </c>
      <c r="AY394" s="11">
        <f>AP394+AM394-AX394</f>
        <v>0</v>
      </c>
      <c r="AZ394" s="25"/>
      <c r="BA394" s="10" t="str">
        <f t="shared" si="217"/>
        <v>MarçoSEMANA 5Repolho Roxo Org. Feirinha</v>
      </c>
      <c r="BB394" s="7">
        <f>SUMIF(NF!$A:$A,$BA394,NF!$I:$I)</f>
        <v>0</v>
      </c>
      <c r="BC394" s="6"/>
      <c r="BD394" s="6"/>
      <c r="BE394" s="6"/>
      <c r="BF394" s="6"/>
      <c r="BG394" s="6"/>
      <c r="BH394" s="6"/>
      <c r="BI394" s="74"/>
      <c r="BJ394" s="74"/>
      <c r="BK394" s="7">
        <f t="shared" si="258"/>
        <v>0</v>
      </c>
      <c r="BL394" s="8">
        <f>BB394+AY394-BK394</f>
        <v>0</v>
      </c>
      <c r="BM394" s="51" t="str">
        <f>IFERROR(VLOOKUP(A394,NF!$M:$O,3,0),"")</f>
        <v>Feirinha</v>
      </c>
      <c r="BN394" s="7">
        <f>SUM(N394,Z394,AL394,AX394,BK394)</f>
        <v>0</v>
      </c>
      <c r="BO394" s="8">
        <f t="array" ref="BO394">IFERROR(LARGE(IF(NF!$G$2:$G$3137='Mês atual'!A394,NF!$J$2:$J$3137),1),0)*BN394</f>
        <v>0</v>
      </c>
      <c r="BP394" s="50"/>
      <c r="BR394" s="146">
        <f t="array" ref="BR394">IFERROR(LARGE(IF(NF!$G$2:$G$3137='Mês atual'!A394,NF!$J$2:$J$3137),1),0)</f>
        <v>0</v>
      </c>
      <c r="BS394" s="142" t="str">
        <f>VLOOKUP(A394,NF!M:O,3,0)</f>
        <v>Feirinha</v>
      </c>
      <c r="BV394" s="74">
        <f t="shared" si="239"/>
        <v>0</v>
      </c>
      <c r="BW394" s="74">
        <f t="shared" si="240"/>
        <v>0</v>
      </c>
      <c r="BX394" s="74">
        <f t="shared" si="241"/>
        <v>0</v>
      </c>
      <c r="BY394" s="74">
        <f t="shared" si="242"/>
        <v>0</v>
      </c>
      <c r="BZ394" s="74">
        <f t="shared" si="243"/>
        <v>0</v>
      </c>
    </row>
    <row r="395" spans="1:78" x14ac:dyDescent="0.2">
      <c r="A395" s="108" t="s">
        <v>1014</v>
      </c>
      <c r="B395" s="12"/>
      <c r="C395" s="9">
        <v>0</v>
      </c>
      <c r="D395" s="25"/>
      <c r="E395" s="10" t="str">
        <f t="shared" si="213"/>
        <v>MarçoSEMANA 1Repolho Verde Org. Feirinha</v>
      </c>
      <c r="F395" s="7">
        <f>SUMIF(NF!$A:$A,$E395,NF!$I:$I)</f>
        <v>0</v>
      </c>
      <c r="G395" s="74"/>
      <c r="H395" s="74"/>
      <c r="I395" s="74"/>
      <c r="J395" s="6"/>
      <c r="K395" s="6"/>
      <c r="L395" s="6"/>
      <c r="M395" s="6"/>
      <c r="N395" s="7">
        <f t="shared" si="254"/>
        <v>0</v>
      </c>
      <c r="O395" s="11">
        <f>F395+C395-N395</f>
        <v>0</v>
      </c>
      <c r="P395" s="25"/>
      <c r="Q395" s="10" t="str">
        <f t="shared" si="214"/>
        <v>MarçoSEMANA 2Repolho Verde Org. Feirinha</v>
      </c>
      <c r="R395" s="7">
        <f>SUMIF(NF!$A:$A,$Q395,NF!$I:$I)</f>
        <v>0</v>
      </c>
      <c r="S395" s="6"/>
      <c r="T395" s="6"/>
      <c r="U395" s="6"/>
      <c r="V395" s="6"/>
      <c r="W395" s="6"/>
      <c r="X395" s="6"/>
      <c r="Y395" s="6"/>
      <c r="Z395" s="7">
        <f t="shared" si="255"/>
        <v>0</v>
      </c>
      <c r="AA395" s="11">
        <f>R395+O395-Z395</f>
        <v>0</v>
      </c>
      <c r="AB395" s="25"/>
      <c r="AC395" s="10" t="str">
        <f t="shared" si="215"/>
        <v>MarçoSEMANA 3Repolho Verde Org. Feirinha</v>
      </c>
      <c r="AD395" s="7">
        <f>SUMIF(NF!$A:$A,$AC395,NF!$I:$I)</f>
        <v>0</v>
      </c>
      <c r="AE395" s="6"/>
      <c r="AF395" s="6"/>
      <c r="AG395" s="6"/>
      <c r="AH395" s="6"/>
      <c r="AI395" s="6"/>
      <c r="AJ395" s="6"/>
      <c r="AK395" s="6"/>
      <c r="AL395" s="7">
        <f t="shared" si="256"/>
        <v>0</v>
      </c>
      <c r="AM395" s="11">
        <f>AD395+AA395-AL395</f>
        <v>0</v>
      </c>
      <c r="AN395" s="25"/>
      <c r="AO395" s="10" t="str">
        <f t="shared" si="216"/>
        <v>MarçoSEMANA 4Repolho Verde Org. Feirinha</v>
      </c>
      <c r="AP395" s="7">
        <f>SUMIF(NF!$A:$A,$AO395,NF!$I:$I)</f>
        <v>0</v>
      </c>
      <c r="AQ395" s="6"/>
      <c r="AR395" s="6"/>
      <c r="AS395" s="6"/>
      <c r="AT395" s="6"/>
      <c r="AU395" s="6"/>
      <c r="AV395" s="6"/>
      <c r="AW395" s="6"/>
      <c r="AX395" s="7">
        <f t="shared" si="257"/>
        <v>0</v>
      </c>
      <c r="AY395" s="11">
        <f>AP395+AM395-AX395</f>
        <v>0</v>
      </c>
      <c r="AZ395" s="25"/>
      <c r="BA395" s="10" t="str">
        <f t="shared" si="217"/>
        <v>MarçoSEMANA 5Repolho Verde Org. Feirinha</v>
      </c>
      <c r="BB395" s="7">
        <f>SUMIF(NF!$A:$A,$BA395,NF!$I:$I)</f>
        <v>0</v>
      </c>
      <c r="BC395" s="6"/>
      <c r="BD395" s="6"/>
      <c r="BE395" s="6"/>
      <c r="BF395" s="6"/>
      <c r="BG395" s="6"/>
      <c r="BH395" s="6"/>
      <c r="BI395" s="74"/>
      <c r="BJ395" s="74"/>
      <c r="BK395" s="7">
        <f t="shared" si="258"/>
        <v>0</v>
      </c>
      <c r="BL395" s="8">
        <f>BB395+AY395-BK395</f>
        <v>0</v>
      </c>
      <c r="BM395" s="51" t="str">
        <f>IFERROR(VLOOKUP(A395,NF!$M:$O,3,0),"")</f>
        <v>Feirinha</v>
      </c>
      <c r="BN395" s="7">
        <f>SUM(N395,Z395,AL395,AX395,BK395)</f>
        <v>0</v>
      </c>
      <c r="BO395" s="8">
        <f t="array" ref="BO395">IFERROR(LARGE(IF(NF!$G$2:$G$3137='Mês atual'!A395,NF!$J$2:$J$3137),1),0)*BN395</f>
        <v>0</v>
      </c>
      <c r="BP395" s="50"/>
      <c r="BR395" s="146">
        <f t="array" ref="BR395">IFERROR(LARGE(IF(NF!$G$2:$G$3137='Mês atual'!A395,NF!$J$2:$J$3137),1),0)</f>
        <v>0</v>
      </c>
      <c r="BS395" s="142" t="str">
        <f>VLOOKUP(A395,NF!M:O,3,0)</f>
        <v>Feirinha</v>
      </c>
      <c r="BV395" s="74">
        <f t="shared" si="239"/>
        <v>0</v>
      </c>
      <c r="BW395" s="74">
        <f t="shared" si="240"/>
        <v>0</v>
      </c>
      <c r="BX395" s="74">
        <f t="shared" si="241"/>
        <v>0</v>
      </c>
      <c r="BY395" s="74">
        <f t="shared" si="242"/>
        <v>0</v>
      </c>
      <c r="BZ395" s="74">
        <f t="shared" si="243"/>
        <v>0</v>
      </c>
    </row>
    <row r="396" spans="1:78" x14ac:dyDescent="0.2">
      <c r="A396" s="108" t="s">
        <v>882</v>
      </c>
      <c r="B396" s="12"/>
      <c r="C396" s="9">
        <v>0</v>
      </c>
      <c r="D396" s="25"/>
      <c r="E396" s="10" t="str">
        <f t="shared" si="213"/>
        <v>MarçoSEMANA 1Rucula Org. Feirinha</v>
      </c>
      <c r="F396" s="7">
        <f>SUMIF(NF!$A:$A,$E396,NF!$I:$I)</f>
        <v>0</v>
      </c>
      <c r="G396" s="74"/>
      <c r="H396" s="74"/>
      <c r="I396" s="74"/>
      <c r="J396" s="6"/>
      <c r="K396" s="6"/>
      <c r="L396" s="6"/>
      <c r="M396" s="6"/>
      <c r="N396" s="7">
        <f t="shared" si="254"/>
        <v>0</v>
      </c>
      <c r="O396" s="11">
        <f t="shared" si="259"/>
        <v>0</v>
      </c>
      <c r="P396" s="25"/>
      <c r="Q396" s="10" t="str">
        <f t="shared" si="214"/>
        <v>MarçoSEMANA 2Rucula Org. Feirinha</v>
      </c>
      <c r="R396" s="7">
        <f>SUMIF(NF!$A:$A,$Q396,NF!$I:$I)</f>
        <v>0</v>
      </c>
      <c r="S396" s="6"/>
      <c r="T396" s="6"/>
      <c r="U396" s="6"/>
      <c r="V396" s="6"/>
      <c r="W396" s="6"/>
      <c r="X396" s="6"/>
      <c r="Y396" s="6"/>
      <c r="Z396" s="7">
        <f t="shared" si="255"/>
        <v>0</v>
      </c>
      <c r="AA396" s="11">
        <f t="shared" si="260"/>
        <v>0</v>
      </c>
      <c r="AB396" s="25"/>
      <c r="AC396" s="10" t="str">
        <f t="shared" si="215"/>
        <v>MarçoSEMANA 3Rucula Org. Feirinha</v>
      </c>
      <c r="AD396" s="7">
        <f>SUMIF(NF!$A:$A,$AC396,NF!$I:$I)</f>
        <v>0</v>
      </c>
      <c r="AE396" s="6"/>
      <c r="AF396" s="6"/>
      <c r="AG396" s="6"/>
      <c r="AH396" s="6"/>
      <c r="AI396" s="6"/>
      <c r="AJ396" s="6"/>
      <c r="AK396" s="6"/>
      <c r="AL396" s="7">
        <f t="shared" si="256"/>
        <v>0</v>
      </c>
      <c r="AM396" s="11">
        <f t="shared" si="261"/>
        <v>0</v>
      </c>
      <c r="AN396" s="25"/>
      <c r="AO396" s="10" t="str">
        <f t="shared" si="216"/>
        <v>MarçoSEMANA 4Rucula Org. Feirinha</v>
      </c>
      <c r="AP396" s="7">
        <f>SUMIF(NF!$A:$A,$AO396,NF!$I:$I)</f>
        <v>0</v>
      </c>
      <c r="AQ396" s="6"/>
      <c r="AR396" s="6"/>
      <c r="AS396" s="6"/>
      <c r="AT396" s="6"/>
      <c r="AU396" s="6"/>
      <c r="AV396" s="6"/>
      <c r="AW396" s="6"/>
      <c r="AX396" s="7">
        <f t="shared" si="257"/>
        <v>0</v>
      </c>
      <c r="AY396" s="11">
        <f t="shared" si="262"/>
        <v>0</v>
      </c>
      <c r="AZ396" s="25"/>
      <c r="BA396" s="10" t="str">
        <f t="shared" si="217"/>
        <v>MarçoSEMANA 5Rucula Org. Feirinha</v>
      </c>
      <c r="BB396" s="7">
        <f>SUMIF(NF!$A:$A,$BA396,NF!$I:$I)</f>
        <v>0</v>
      </c>
      <c r="BC396" s="6"/>
      <c r="BD396" s="6"/>
      <c r="BE396" s="6"/>
      <c r="BF396" s="6"/>
      <c r="BG396" s="6"/>
      <c r="BH396" s="6"/>
      <c r="BI396" s="74"/>
      <c r="BJ396" s="74"/>
      <c r="BK396" s="7">
        <f t="shared" si="258"/>
        <v>0</v>
      </c>
      <c r="BL396" s="8">
        <f t="shared" si="263"/>
        <v>0</v>
      </c>
      <c r="BM396" s="51" t="str">
        <f>IFERROR(VLOOKUP(A396,NF!$M:$O,3,0),"")</f>
        <v>Feirinha</v>
      </c>
      <c r="BN396" s="7">
        <f t="shared" si="264"/>
        <v>0</v>
      </c>
      <c r="BO396" s="8">
        <f t="array" ref="BO396">IFERROR(LARGE(IF(NF!$G$2:$G$3137='Mês atual'!A396,NF!$J$2:$J$3137),1),0)*BN396</f>
        <v>0</v>
      </c>
      <c r="BP396" s="50"/>
      <c r="BR396" s="146">
        <f t="array" ref="BR396">IFERROR(LARGE(IF(NF!$G$2:$G$3137='Mês atual'!A396,NF!$J$2:$J$3137),1),0)</f>
        <v>0</v>
      </c>
      <c r="BS396" s="142" t="str">
        <f>VLOOKUP(A396,NF!M:O,3,0)</f>
        <v>Feirinha</v>
      </c>
      <c r="BV396" s="74">
        <f t="shared" si="239"/>
        <v>0</v>
      </c>
      <c r="BW396" s="74">
        <f t="shared" si="240"/>
        <v>0</v>
      </c>
      <c r="BX396" s="74">
        <f t="shared" si="241"/>
        <v>0</v>
      </c>
      <c r="BY396" s="74">
        <f t="shared" si="242"/>
        <v>0</v>
      </c>
      <c r="BZ396" s="74">
        <f t="shared" si="243"/>
        <v>0</v>
      </c>
    </row>
    <row r="397" spans="1:78" x14ac:dyDescent="0.2">
      <c r="A397" s="108" t="s">
        <v>714</v>
      </c>
      <c r="B397" s="12"/>
      <c r="C397" s="9">
        <v>1</v>
      </c>
      <c r="D397" s="25"/>
      <c r="E397" s="10" t="str">
        <f t="shared" si="213"/>
        <v>MarçoSEMANA 1Saco Microperfurado 25x35 pacte 200</v>
      </c>
      <c r="F397" s="7">
        <f>SUMIF(NF!$A:$A,$E397,NF!$I:$I)</f>
        <v>0</v>
      </c>
      <c r="G397" s="74"/>
      <c r="H397" s="74"/>
      <c r="I397" s="74"/>
      <c r="J397" s="6"/>
      <c r="K397" s="6"/>
      <c r="L397" s="6"/>
      <c r="M397" s="6"/>
      <c r="N397" s="7">
        <f t="shared" si="254"/>
        <v>0</v>
      </c>
      <c r="O397" s="11">
        <f t="shared" si="259"/>
        <v>1</v>
      </c>
      <c r="P397" s="25"/>
      <c r="Q397" s="10" t="str">
        <f t="shared" si="214"/>
        <v>MarçoSEMANA 2Saco Microperfurado 25x35 pacte 200</v>
      </c>
      <c r="R397" s="7">
        <f>SUMIF(NF!$A:$A,$Q397,NF!$I:$I)</f>
        <v>0</v>
      </c>
      <c r="S397" s="6"/>
      <c r="T397" s="6"/>
      <c r="U397" s="6"/>
      <c r="V397" s="6"/>
      <c r="W397" s="6"/>
      <c r="X397" s="6"/>
      <c r="Y397" s="6"/>
      <c r="Z397" s="7">
        <f t="shared" si="255"/>
        <v>0</v>
      </c>
      <c r="AA397" s="11">
        <f t="shared" si="260"/>
        <v>1</v>
      </c>
      <c r="AB397" s="25"/>
      <c r="AC397" s="10" t="str">
        <f t="shared" si="215"/>
        <v>MarçoSEMANA 3Saco Microperfurado 25x35 pacte 200</v>
      </c>
      <c r="AD397" s="7">
        <f>SUMIF(NF!$A:$A,$AC397,NF!$I:$I)</f>
        <v>0</v>
      </c>
      <c r="AE397" s="6"/>
      <c r="AF397" s="6"/>
      <c r="AG397" s="6"/>
      <c r="AH397" s="6"/>
      <c r="AI397" s="6"/>
      <c r="AJ397" s="6"/>
      <c r="AK397" s="6"/>
      <c r="AL397" s="7">
        <f t="shared" si="256"/>
        <v>0</v>
      </c>
      <c r="AM397" s="11">
        <f t="shared" si="261"/>
        <v>1</v>
      </c>
      <c r="AN397" s="25"/>
      <c r="AO397" s="10" t="str">
        <f t="shared" si="216"/>
        <v>MarçoSEMANA 4Saco Microperfurado 25x35 pacte 200</v>
      </c>
      <c r="AP397" s="7">
        <f>SUMIF(NF!$A:$A,$AO397,NF!$I:$I)</f>
        <v>0</v>
      </c>
      <c r="AQ397" s="6"/>
      <c r="AR397" s="6"/>
      <c r="AS397" s="6"/>
      <c r="AT397" s="6"/>
      <c r="AU397" s="6"/>
      <c r="AV397" s="6"/>
      <c r="AW397" s="6"/>
      <c r="AX397" s="7">
        <f t="shared" si="257"/>
        <v>0</v>
      </c>
      <c r="AY397" s="11">
        <f t="shared" si="262"/>
        <v>1</v>
      </c>
      <c r="AZ397" s="25"/>
      <c r="BA397" s="10" t="str">
        <f t="shared" si="217"/>
        <v>MarçoSEMANA 5Saco Microperfurado 25x35 pacte 200</v>
      </c>
      <c r="BB397" s="7">
        <f>SUMIF(NF!$A:$A,$BA397,NF!$I:$I)</f>
        <v>0</v>
      </c>
      <c r="BC397" s="6"/>
      <c r="BD397" s="6"/>
      <c r="BE397" s="6"/>
      <c r="BF397" s="6"/>
      <c r="BG397" s="6"/>
      <c r="BH397" s="6"/>
      <c r="BI397" s="74"/>
      <c r="BJ397" s="74"/>
      <c r="BK397" s="7">
        <f t="shared" si="258"/>
        <v>0</v>
      </c>
      <c r="BL397" s="8">
        <f t="shared" si="263"/>
        <v>1</v>
      </c>
      <c r="BM397" s="51" t="str">
        <f>IFERROR(VLOOKUP(A397,NF!$M:$O,3,0),"")</f>
        <v>Feirinha</v>
      </c>
      <c r="BN397" s="7">
        <f t="shared" si="264"/>
        <v>0</v>
      </c>
      <c r="BO397" s="8">
        <f t="array" ref="BO397">IFERROR(LARGE(IF(NF!$G$2:$G$3137='Mês atual'!A397,NF!$J$2:$J$3137),1),0)*BN397</f>
        <v>0</v>
      </c>
      <c r="BP397" s="50"/>
      <c r="BR397" s="146">
        <f t="array" ref="BR397">IFERROR(LARGE(IF(NF!$G$2:$G$3137='Mês atual'!A397,NF!$J$2:$J$3137),1),0)</f>
        <v>0</v>
      </c>
      <c r="BS397" s="142" t="str">
        <f>VLOOKUP(A397,NF!M:O,3,0)</f>
        <v>Feirinha</v>
      </c>
      <c r="BV397" s="74">
        <f t="shared" si="239"/>
        <v>0</v>
      </c>
      <c r="BW397" s="74">
        <f t="shared" si="240"/>
        <v>0</v>
      </c>
      <c r="BX397" s="74">
        <f t="shared" si="241"/>
        <v>0</v>
      </c>
      <c r="BY397" s="74">
        <f t="shared" si="242"/>
        <v>0</v>
      </c>
      <c r="BZ397" s="74">
        <f t="shared" si="243"/>
        <v>0</v>
      </c>
    </row>
    <row r="398" spans="1:78" x14ac:dyDescent="0.2">
      <c r="A398" s="108" t="s">
        <v>715</v>
      </c>
      <c r="B398" s="12"/>
      <c r="C398" s="9">
        <v>4</v>
      </c>
      <c r="D398" s="25"/>
      <c r="E398" s="10" t="str">
        <f t="shared" si="213"/>
        <v>MarçoSEMANA 1Saco Microperfurado 30x40 pacte 200</v>
      </c>
      <c r="F398" s="7">
        <f>SUMIF(NF!$A:$A,$E398,NF!$I:$I)</f>
        <v>0</v>
      </c>
      <c r="G398" s="74"/>
      <c r="H398" s="74"/>
      <c r="I398" s="74"/>
      <c r="J398" s="6"/>
      <c r="K398" s="6"/>
      <c r="L398" s="6"/>
      <c r="M398" s="6"/>
      <c r="N398" s="7">
        <f t="shared" si="254"/>
        <v>0</v>
      </c>
      <c r="O398" s="11">
        <f t="shared" si="259"/>
        <v>4</v>
      </c>
      <c r="P398" s="25"/>
      <c r="Q398" s="10" t="str">
        <f t="shared" si="214"/>
        <v>MarçoSEMANA 2Saco Microperfurado 30x40 pacte 200</v>
      </c>
      <c r="R398" s="7">
        <f>SUMIF(NF!$A:$A,$Q398,NF!$I:$I)</f>
        <v>0</v>
      </c>
      <c r="S398" s="6"/>
      <c r="T398" s="6"/>
      <c r="U398" s="6"/>
      <c r="V398" s="6"/>
      <c r="W398" s="6"/>
      <c r="X398" s="6"/>
      <c r="Y398" s="6"/>
      <c r="Z398" s="7">
        <f t="shared" si="255"/>
        <v>0</v>
      </c>
      <c r="AA398" s="11">
        <f t="shared" si="260"/>
        <v>4</v>
      </c>
      <c r="AB398" s="25"/>
      <c r="AC398" s="10" t="str">
        <f t="shared" si="215"/>
        <v>MarçoSEMANA 3Saco Microperfurado 30x40 pacte 200</v>
      </c>
      <c r="AD398" s="7">
        <f>SUMIF(NF!$A:$A,$AC398,NF!$I:$I)</f>
        <v>0</v>
      </c>
      <c r="AE398" s="6"/>
      <c r="AF398" s="6"/>
      <c r="AG398" s="6"/>
      <c r="AH398" s="6"/>
      <c r="AI398" s="6"/>
      <c r="AJ398" s="6"/>
      <c r="AK398" s="6"/>
      <c r="AL398" s="7">
        <f t="shared" si="256"/>
        <v>0</v>
      </c>
      <c r="AM398" s="11">
        <f t="shared" si="261"/>
        <v>4</v>
      </c>
      <c r="AN398" s="25"/>
      <c r="AO398" s="10" t="str">
        <f t="shared" si="216"/>
        <v>MarçoSEMANA 4Saco Microperfurado 30x40 pacte 200</v>
      </c>
      <c r="AP398" s="7">
        <f>SUMIF(NF!$A:$A,$AO398,NF!$I:$I)</f>
        <v>0</v>
      </c>
      <c r="AQ398" s="6"/>
      <c r="AR398" s="6"/>
      <c r="AS398" s="6"/>
      <c r="AT398" s="6"/>
      <c r="AU398" s="6"/>
      <c r="AV398" s="6"/>
      <c r="AW398" s="6"/>
      <c r="AX398" s="7">
        <f t="shared" si="257"/>
        <v>0</v>
      </c>
      <c r="AY398" s="11">
        <f t="shared" si="262"/>
        <v>4</v>
      </c>
      <c r="AZ398" s="25"/>
      <c r="BA398" s="10" t="str">
        <f t="shared" si="217"/>
        <v>MarçoSEMANA 5Saco Microperfurado 30x40 pacte 200</v>
      </c>
      <c r="BB398" s="7">
        <f>SUMIF(NF!$A:$A,$BA398,NF!$I:$I)</f>
        <v>0</v>
      </c>
      <c r="BC398" s="6"/>
      <c r="BD398" s="6"/>
      <c r="BE398" s="6"/>
      <c r="BF398" s="6"/>
      <c r="BG398" s="6"/>
      <c r="BH398" s="6"/>
      <c r="BI398" s="74"/>
      <c r="BJ398" s="74"/>
      <c r="BK398" s="7">
        <f t="shared" si="258"/>
        <v>0</v>
      </c>
      <c r="BL398" s="8">
        <f t="shared" si="263"/>
        <v>4</v>
      </c>
      <c r="BM398" s="51" t="str">
        <f>IFERROR(VLOOKUP(A398,NF!$M:$O,3,0),"")</f>
        <v>Feirinha</v>
      </c>
      <c r="BN398" s="7">
        <f t="shared" si="264"/>
        <v>0</v>
      </c>
      <c r="BO398" s="8">
        <f t="array" ref="BO398">IFERROR(LARGE(IF(NF!$G$2:$G$3137='Mês atual'!A398,NF!$J$2:$J$3137),1),0)*BN398</f>
        <v>0</v>
      </c>
      <c r="BP398" s="50"/>
      <c r="BR398" s="146">
        <f t="array" ref="BR398">IFERROR(LARGE(IF(NF!$G$2:$G$3137='Mês atual'!A398,NF!$J$2:$J$3137),1),0)</f>
        <v>0</v>
      </c>
      <c r="BS398" s="142" t="str">
        <f>VLOOKUP(A398,NF!M:O,3,0)</f>
        <v>Feirinha</v>
      </c>
      <c r="BV398" s="74">
        <f t="shared" si="239"/>
        <v>0</v>
      </c>
      <c r="BW398" s="74">
        <f t="shared" si="240"/>
        <v>0</v>
      </c>
      <c r="BX398" s="74">
        <f t="shared" si="241"/>
        <v>0</v>
      </c>
      <c r="BY398" s="74">
        <f t="shared" si="242"/>
        <v>0</v>
      </c>
      <c r="BZ398" s="74">
        <f t="shared" si="243"/>
        <v>0</v>
      </c>
    </row>
    <row r="399" spans="1:78" x14ac:dyDescent="0.2">
      <c r="A399" s="108" t="s">
        <v>969</v>
      </c>
      <c r="B399" s="12"/>
      <c r="C399" s="9">
        <v>270</v>
      </c>
      <c r="D399" s="25"/>
      <c r="E399" s="10" t="str">
        <f t="shared" si="213"/>
        <v>MarçoSEMANA 1Sacola Camiseta Azul 30x45</v>
      </c>
      <c r="F399" s="7">
        <f>SUMIF(NF!$A:$A,$E399,NF!$I:$I)</f>
        <v>0</v>
      </c>
      <c r="G399" s="74"/>
      <c r="H399" s="74"/>
      <c r="I399" s="74"/>
      <c r="J399" s="6"/>
      <c r="K399" s="6"/>
      <c r="L399" s="6"/>
      <c r="M399" s="6"/>
      <c r="N399" s="7">
        <f t="shared" si="254"/>
        <v>0</v>
      </c>
      <c r="O399" s="11">
        <f t="shared" si="259"/>
        <v>270</v>
      </c>
      <c r="P399" s="25"/>
      <c r="Q399" s="10" t="str">
        <f t="shared" si="214"/>
        <v>MarçoSEMANA 2Sacola Camiseta Azul 30x45</v>
      </c>
      <c r="R399" s="7">
        <f>SUMIF(NF!$A:$A,$Q399,NF!$I:$I)</f>
        <v>0</v>
      </c>
      <c r="S399" s="6"/>
      <c r="T399" s="6"/>
      <c r="U399" s="6"/>
      <c r="V399" s="6"/>
      <c r="W399" s="6"/>
      <c r="X399" s="6"/>
      <c r="Y399" s="6"/>
      <c r="Z399" s="7">
        <f t="shared" si="255"/>
        <v>0</v>
      </c>
      <c r="AA399" s="11">
        <f t="shared" si="260"/>
        <v>270</v>
      </c>
      <c r="AB399" s="25"/>
      <c r="AC399" s="10" t="str">
        <f t="shared" si="215"/>
        <v>MarçoSEMANA 3Sacola Camiseta Azul 30x45</v>
      </c>
      <c r="AD399" s="7">
        <f>SUMIF(NF!$A:$A,$AC399,NF!$I:$I)</f>
        <v>0</v>
      </c>
      <c r="AE399" s="6"/>
      <c r="AF399" s="6"/>
      <c r="AG399" s="6"/>
      <c r="AH399" s="6"/>
      <c r="AI399" s="6"/>
      <c r="AJ399" s="6"/>
      <c r="AK399" s="6"/>
      <c r="AL399" s="7">
        <f t="shared" si="256"/>
        <v>0</v>
      </c>
      <c r="AM399" s="11">
        <f t="shared" si="261"/>
        <v>270</v>
      </c>
      <c r="AN399" s="25"/>
      <c r="AO399" s="10" t="str">
        <f t="shared" si="216"/>
        <v>MarçoSEMANA 4Sacola Camiseta Azul 30x45</v>
      </c>
      <c r="AP399" s="7">
        <f>SUMIF(NF!$A:$A,$AO399,NF!$I:$I)</f>
        <v>0</v>
      </c>
      <c r="AQ399" s="6"/>
      <c r="AR399" s="6"/>
      <c r="AS399" s="6"/>
      <c r="AT399" s="6"/>
      <c r="AU399" s="6"/>
      <c r="AV399" s="6"/>
      <c r="AW399" s="6"/>
      <c r="AX399" s="7">
        <f t="shared" si="257"/>
        <v>0</v>
      </c>
      <c r="AY399" s="11">
        <f t="shared" si="262"/>
        <v>270</v>
      </c>
      <c r="AZ399" s="25"/>
      <c r="BA399" s="10" t="str">
        <f t="shared" si="217"/>
        <v>MarçoSEMANA 5Sacola Camiseta Azul 30x45</v>
      </c>
      <c r="BB399" s="7">
        <f>SUMIF(NF!$A:$A,$BA399,NF!$I:$I)</f>
        <v>0</v>
      </c>
      <c r="BC399" s="6"/>
      <c r="BD399" s="6"/>
      <c r="BE399" s="6"/>
      <c r="BF399" s="6"/>
      <c r="BG399" s="6"/>
      <c r="BH399" s="6"/>
      <c r="BI399" s="74"/>
      <c r="BJ399" s="74"/>
      <c r="BK399" s="7">
        <f t="shared" si="258"/>
        <v>0</v>
      </c>
      <c r="BL399" s="8">
        <f t="shared" si="263"/>
        <v>270</v>
      </c>
      <c r="BM399" s="51" t="str">
        <f>IFERROR(VLOOKUP(A399,NF!$M:$O,3,0),"")</f>
        <v>Feirinha</v>
      </c>
      <c r="BN399" s="7">
        <f t="shared" si="264"/>
        <v>0</v>
      </c>
      <c r="BO399" s="8">
        <f t="array" ref="BO399">IFERROR(LARGE(IF(NF!$G$2:$G$3137='Mês atual'!A399,NF!$J$2:$J$3137),1),0)*BN399</f>
        <v>0</v>
      </c>
      <c r="BP399" s="50"/>
      <c r="BR399" s="146">
        <f t="array" ref="BR399">IFERROR(LARGE(IF(NF!$G$2:$G$3137='Mês atual'!A399,NF!$J$2:$J$3137),1),0)</f>
        <v>0</v>
      </c>
      <c r="BS399" s="142" t="str">
        <f>VLOOKUP(A399,NF!M:O,3,0)</f>
        <v>Feirinha</v>
      </c>
      <c r="BV399" s="74">
        <f t="shared" si="239"/>
        <v>0</v>
      </c>
      <c r="BW399" s="74">
        <f t="shared" si="240"/>
        <v>0</v>
      </c>
      <c r="BX399" s="74">
        <f t="shared" si="241"/>
        <v>0</v>
      </c>
      <c r="BY399" s="74">
        <f t="shared" si="242"/>
        <v>0</v>
      </c>
      <c r="BZ399" s="74">
        <f t="shared" si="243"/>
        <v>0</v>
      </c>
    </row>
    <row r="400" spans="1:78" x14ac:dyDescent="0.2">
      <c r="A400" s="108" t="s">
        <v>956</v>
      </c>
      <c r="B400" s="12"/>
      <c r="C400" s="9">
        <v>0</v>
      </c>
      <c r="D400" s="25"/>
      <c r="E400" s="10" t="str">
        <f t="shared" si="213"/>
        <v>MarçoSEMANA 1Tomate Salada Org. Feirinha</v>
      </c>
      <c r="F400" s="7">
        <f>SUMIF(NF!$A:$A,$E400,NF!$I:$I)</f>
        <v>0</v>
      </c>
      <c r="G400" s="74"/>
      <c r="H400" s="74"/>
      <c r="I400" s="74"/>
      <c r="J400" s="6"/>
      <c r="K400" s="6"/>
      <c r="L400" s="6"/>
      <c r="M400" s="6"/>
      <c r="N400" s="7">
        <f t="shared" si="254"/>
        <v>0</v>
      </c>
      <c r="O400" s="11">
        <f t="shared" si="259"/>
        <v>0</v>
      </c>
      <c r="P400" s="25"/>
      <c r="Q400" s="10" t="str">
        <f t="shared" si="214"/>
        <v>MarçoSEMANA 2Tomate Salada Org. Feirinha</v>
      </c>
      <c r="R400" s="7">
        <f>SUMIF(NF!$A:$A,$Q400,NF!$I:$I)</f>
        <v>0</v>
      </c>
      <c r="S400" s="6"/>
      <c r="T400" s="6"/>
      <c r="U400" s="6"/>
      <c r="V400" s="6"/>
      <c r="W400" s="6"/>
      <c r="X400" s="6"/>
      <c r="Y400" s="6"/>
      <c r="Z400" s="7">
        <f t="shared" si="255"/>
        <v>0</v>
      </c>
      <c r="AA400" s="11">
        <f t="shared" si="260"/>
        <v>0</v>
      </c>
      <c r="AB400" s="25"/>
      <c r="AC400" s="10" t="str">
        <f t="shared" si="215"/>
        <v>MarçoSEMANA 3Tomate Salada Org. Feirinha</v>
      </c>
      <c r="AD400" s="7">
        <f>SUMIF(NF!$A:$A,$AC400,NF!$I:$I)</f>
        <v>0</v>
      </c>
      <c r="AE400" s="6"/>
      <c r="AF400" s="6"/>
      <c r="AG400" s="6"/>
      <c r="AH400" s="6"/>
      <c r="AI400" s="6"/>
      <c r="AJ400" s="6"/>
      <c r="AK400" s="6"/>
      <c r="AL400" s="7">
        <f t="shared" si="256"/>
        <v>0</v>
      </c>
      <c r="AM400" s="11">
        <f t="shared" si="261"/>
        <v>0</v>
      </c>
      <c r="AN400" s="25"/>
      <c r="AO400" s="10" t="str">
        <f t="shared" si="216"/>
        <v>MarçoSEMANA 4Tomate Salada Org. Feirinha</v>
      </c>
      <c r="AP400" s="7">
        <f>SUMIF(NF!$A:$A,$AO400,NF!$I:$I)</f>
        <v>0</v>
      </c>
      <c r="AQ400" s="6"/>
      <c r="AR400" s="6"/>
      <c r="AS400" s="6"/>
      <c r="AT400" s="6"/>
      <c r="AU400" s="6"/>
      <c r="AV400" s="6"/>
      <c r="AW400" s="6"/>
      <c r="AX400" s="7">
        <f t="shared" si="257"/>
        <v>0</v>
      </c>
      <c r="AY400" s="11">
        <f t="shared" si="262"/>
        <v>0</v>
      </c>
      <c r="AZ400" s="25"/>
      <c r="BA400" s="10" t="str">
        <f t="shared" si="217"/>
        <v>MarçoSEMANA 5Tomate Salada Org. Feirinha</v>
      </c>
      <c r="BB400" s="7">
        <f>SUMIF(NF!$A:$A,$BA400,NF!$I:$I)</f>
        <v>0</v>
      </c>
      <c r="BC400" s="6"/>
      <c r="BD400" s="6"/>
      <c r="BE400" s="6"/>
      <c r="BF400" s="6"/>
      <c r="BG400" s="6"/>
      <c r="BH400" s="6"/>
      <c r="BI400" s="74"/>
      <c r="BJ400" s="74"/>
      <c r="BK400" s="7">
        <f t="shared" si="258"/>
        <v>0</v>
      </c>
      <c r="BL400" s="8">
        <f t="shared" si="263"/>
        <v>0</v>
      </c>
      <c r="BM400" s="51" t="str">
        <f>IFERROR(VLOOKUP(A400,NF!$M:$O,3,0),"")</f>
        <v>Feirinha</v>
      </c>
      <c r="BN400" s="7">
        <f t="shared" si="264"/>
        <v>0</v>
      </c>
      <c r="BO400" s="8">
        <f t="array" ref="BO400">IFERROR(LARGE(IF(NF!$G$2:$G$3137='Mês atual'!A400,NF!$J$2:$J$3137),1),0)*BN400</f>
        <v>0</v>
      </c>
      <c r="BP400" s="50"/>
      <c r="BR400" s="146">
        <f t="array" ref="BR400">IFERROR(LARGE(IF(NF!$G$2:$G$3137='Mês atual'!A400,NF!$J$2:$J$3137),1),0)</f>
        <v>0</v>
      </c>
      <c r="BS400" s="142" t="str">
        <f>VLOOKUP(A400,NF!M:O,3,0)</f>
        <v>Feirinha</v>
      </c>
      <c r="BV400" s="74">
        <f t="shared" si="239"/>
        <v>0</v>
      </c>
      <c r="BW400" s="74">
        <f t="shared" si="240"/>
        <v>0</v>
      </c>
      <c r="BX400" s="74">
        <f t="shared" si="241"/>
        <v>0</v>
      </c>
      <c r="BY400" s="74">
        <f t="shared" si="242"/>
        <v>0</v>
      </c>
      <c r="BZ400" s="74">
        <f t="shared" si="243"/>
        <v>0</v>
      </c>
    </row>
    <row r="401" spans="1:78" ht="15.95" thickBot="1" x14ac:dyDescent="0.25">
      <c r="A401" s="108" t="s">
        <v>957</v>
      </c>
      <c r="B401" s="12"/>
      <c r="C401" s="9">
        <v>0</v>
      </c>
      <c r="D401" s="25"/>
      <c r="E401" s="10" t="str">
        <f t="shared" si="213"/>
        <v>MarçoSEMANA 1Vagem Francesa Org. Feirinha</v>
      </c>
      <c r="F401" s="7">
        <f>SUMIF(NF!$A:$A,$E401,NF!$I:$I)</f>
        <v>0</v>
      </c>
      <c r="G401" s="74"/>
      <c r="H401" s="74"/>
      <c r="I401" s="74"/>
      <c r="J401" s="6"/>
      <c r="K401" s="6"/>
      <c r="L401" s="6"/>
      <c r="M401" s="6"/>
      <c r="N401" s="7">
        <f t="shared" si="254"/>
        <v>0</v>
      </c>
      <c r="O401" s="11">
        <f t="shared" si="259"/>
        <v>0</v>
      </c>
      <c r="P401" s="25"/>
      <c r="Q401" s="10" t="str">
        <f t="shared" si="214"/>
        <v>MarçoSEMANA 2Vagem Francesa Org. Feirinha</v>
      </c>
      <c r="R401" s="7">
        <f>SUMIF(NF!$A:$A,$Q401,NF!$I:$I)</f>
        <v>0</v>
      </c>
      <c r="S401" s="6"/>
      <c r="T401" s="6"/>
      <c r="U401" s="6"/>
      <c r="V401" s="6"/>
      <c r="W401" s="6"/>
      <c r="X401" s="6"/>
      <c r="Y401" s="6"/>
      <c r="Z401" s="7">
        <f t="shared" si="255"/>
        <v>0</v>
      </c>
      <c r="AA401" s="11">
        <f t="shared" si="260"/>
        <v>0</v>
      </c>
      <c r="AB401" s="25"/>
      <c r="AC401" s="10" t="str">
        <f t="shared" si="215"/>
        <v>MarçoSEMANA 3Vagem Francesa Org. Feirinha</v>
      </c>
      <c r="AD401" s="7">
        <f>SUMIF(NF!$A:$A,$AC401,NF!$I:$I)</f>
        <v>0</v>
      </c>
      <c r="AE401" s="6"/>
      <c r="AF401" s="6"/>
      <c r="AG401" s="6"/>
      <c r="AH401" s="6"/>
      <c r="AI401" s="6"/>
      <c r="AJ401" s="6"/>
      <c r="AK401" s="6"/>
      <c r="AL401" s="7">
        <f t="shared" si="256"/>
        <v>0</v>
      </c>
      <c r="AM401" s="11">
        <f t="shared" si="261"/>
        <v>0</v>
      </c>
      <c r="AN401" s="25"/>
      <c r="AO401" s="10" t="str">
        <f t="shared" si="216"/>
        <v>MarçoSEMANA 4Vagem Francesa Org. Feirinha</v>
      </c>
      <c r="AP401" s="7">
        <f>SUMIF(NF!$A:$A,$AO401,NF!$I:$I)</f>
        <v>0</v>
      </c>
      <c r="AQ401" s="6"/>
      <c r="AR401" s="6"/>
      <c r="AS401" s="6"/>
      <c r="AT401" s="6"/>
      <c r="AU401" s="6"/>
      <c r="AV401" s="6"/>
      <c r="AW401" s="6"/>
      <c r="AX401" s="7">
        <f t="shared" si="257"/>
        <v>0</v>
      </c>
      <c r="AY401" s="11">
        <f t="shared" si="262"/>
        <v>0</v>
      </c>
      <c r="AZ401" s="25"/>
      <c r="BA401" s="10" t="str">
        <f t="shared" si="217"/>
        <v>MarçoSEMANA 5Vagem Francesa Org. Feirinha</v>
      </c>
      <c r="BB401" s="7">
        <f>SUMIF(NF!$A:$A,$BA401,NF!$I:$I)</f>
        <v>0</v>
      </c>
      <c r="BC401" s="6"/>
      <c r="BD401" s="6"/>
      <c r="BE401" s="6"/>
      <c r="BF401" s="6"/>
      <c r="BG401" s="6"/>
      <c r="BH401" s="6"/>
      <c r="BI401" s="74"/>
      <c r="BJ401" s="74"/>
      <c r="BK401" s="7">
        <f t="shared" si="258"/>
        <v>0</v>
      </c>
      <c r="BL401" s="8">
        <f t="shared" si="263"/>
        <v>0</v>
      </c>
      <c r="BM401" s="51" t="str">
        <f>IFERROR(VLOOKUP(A401,NF!$M:$O,3,0),"")</f>
        <v>Feirinha</v>
      </c>
      <c r="BN401" s="7">
        <f t="shared" si="264"/>
        <v>0</v>
      </c>
      <c r="BO401" s="8">
        <f t="array" ref="BO401">IFERROR(LARGE(IF(NF!$G$2:$G$3137='Mês atual'!A401,NF!$J$2:$J$3137),1),0)*BN401</f>
        <v>0</v>
      </c>
      <c r="BP401" s="50"/>
      <c r="BR401" s="146">
        <f t="array" ref="BR401">IFERROR(LARGE(IF(NF!$G$2:$G$3137='Mês atual'!A401,NF!$J$2:$J$3137),1),0)</f>
        <v>0</v>
      </c>
      <c r="BS401" s="142" t="str">
        <f>VLOOKUP(A401,NF!M:O,3,0)</f>
        <v>Feirinha</v>
      </c>
      <c r="BV401" s="74">
        <f t="shared" si="239"/>
        <v>0</v>
      </c>
      <c r="BW401" s="74">
        <f t="shared" si="240"/>
        <v>0</v>
      </c>
      <c r="BX401" s="74">
        <f t="shared" si="241"/>
        <v>0</v>
      </c>
      <c r="BY401" s="74">
        <f t="shared" si="242"/>
        <v>0</v>
      </c>
      <c r="BZ401" s="74">
        <f t="shared" si="243"/>
        <v>0</v>
      </c>
    </row>
    <row r="402" spans="1:78" s="16" customFormat="1" ht="30" customHeight="1" thickBot="1" x14ac:dyDescent="0.25">
      <c r="A402" s="139" t="s">
        <v>922</v>
      </c>
      <c r="B402" s="130"/>
      <c r="C402" s="131"/>
      <c r="D402" s="132"/>
      <c r="E402" s="133"/>
      <c r="F402" s="134"/>
      <c r="G402" s="135"/>
      <c r="H402" s="135"/>
      <c r="I402" s="135"/>
      <c r="J402" s="133"/>
      <c r="K402" s="133"/>
      <c r="L402" s="133"/>
      <c r="M402" s="133"/>
      <c r="N402" s="134"/>
      <c r="O402" s="134"/>
      <c r="P402" s="132"/>
      <c r="Q402" s="133"/>
      <c r="R402" s="134"/>
      <c r="S402" s="133"/>
      <c r="T402" s="133"/>
      <c r="U402" s="133"/>
      <c r="V402" s="133"/>
      <c r="W402" s="133"/>
      <c r="X402" s="133"/>
      <c r="Y402" s="133"/>
      <c r="Z402" s="134"/>
      <c r="AA402" s="134"/>
      <c r="AB402" s="132"/>
      <c r="AC402" s="133"/>
      <c r="AD402" s="134"/>
      <c r="AE402" s="133"/>
      <c r="AF402" s="133"/>
      <c r="AG402" s="133"/>
      <c r="AH402" s="133"/>
      <c r="AI402" s="133"/>
      <c r="AJ402" s="133"/>
      <c r="AK402" s="133"/>
      <c r="AL402" s="134"/>
      <c r="AM402" s="134"/>
      <c r="AN402" s="132"/>
      <c r="AO402" s="133"/>
      <c r="AP402" s="134"/>
      <c r="AQ402" s="133"/>
      <c r="AR402" s="133"/>
      <c r="AS402" s="133"/>
      <c r="AT402" s="133"/>
      <c r="AU402" s="133"/>
      <c r="AV402" s="133"/>
      <c r="AW402" s="133"/>
      <c r="AX402" s="134"/>
      <c r="AY402" s="134"/>
      <c r="AZ402" s="132"/>
      <c r="BA402" s="133"/>
      <c r="BB402" s="134"/>
      <c r="BC402" s="133"/>
      <c r="BD402" s="133"/>
      <c r="BE402" s="133"/>
      <c r="BF402" s="133"/>
      <c r="BG402" s="133"/>
      <c r="BH402" s="133"/>
      <c r="BI402" s="135"/>
      <c r="BJ402" s="135"/>
      <c r="BK402" s="134"/>
      <c r="BL402" s="134"/>
      <c r="BM402" s="136"/>
      <c r="BN402" s="137"/>
      <c r="BO402" s="137"/>
      <c r="BP402" s="138"/>
      <c r="BQ402" s="144"/>
      <c r="BR402" s="144"/>
      <c r="BS402" s="144"/>
      <c r="BT402" s="145"/>
      <c r="BU402" s="145"/>
      <c r="BV402" s="154"/>
      <c r="BW402" s="154"/>
      <c r="BX402" s="154"/>
      <c r="BY402" s="154"/>
      <c r="BZ402" s="154"/>
    </row>
    <row r="403" spans="1:78" x14ac:dyDescent="0.2">
      <c r="A403" s="108" t="s">
        <v>62</v>
      </c>
      <c r="B403" s="12"/>
      <c r="C403" s="9">
        <v>0</v>
      </c>
      <c r="D403" s="25"/>
      <c r="E403" s="10" t="str">
        <f t="shared" ref="E403:E572" si="265">CONCATENATE($C$2,$F$1,$A403)</f>
        <v xml:space="preserve">MarçoSEMANA 1Abacate </v>
      </c>
      <c r="F403" s="7">
        <f>SUMIF(NF!$A:$A,$E403,NF!$I:$I)</f>
        <v>0</v>
      </c>
      <c r="G403" s="74"/>
      <c r="H403" s="74"/>
      <c r="I403" s="74"/>
      <c r="J403" s="6"/>
      <c r="K403" s="6"/>
      <c r="L403" s="6"/>
      <c r="M403" s="6"/>
      <c r="N403" s="7">
        <f t="shared" ref="N403:N422" si="266">SUM(G403:M403)</f>
        <v>0</v>
      </c>
      <c r="O403" s="11">
        <f t="shared" ref="O403:O572" si="267">F403+C403-N403</f>
        <v>0</v>
      </c>
      <c r="P403" s="25"/>
      <c r="Q403" s="10" t="str">
        <f t="shared" ref="Q403:Q572" si="268">CONCATENATE($C$2,$R$1,$A403)</f>
        <v xml:space="preserve">MarçoSEMANA 2Abacate </v>
      </c>
      <c r="R403" s="7">
        <f>SUMIF(NF!$A:$A,$Q403,NF!$I:$I)</f>
        <v>19.8</v>
      </c>
      <c r="S403" s="6"/>
      <c r="T403" s="6">
        <v>7</v>
      </c>
      <c r="U403" s="6"/>
      <c r="V403" s="6"/>
      <c r="W403" s="6"/>
      <c r="X403" s="6">
        <v>3.8</v>
      </c>
      <c r="Y403" s="6"/>
      <c r="Z403" s="7">
        <f t="shared" ref="Z403:Z422" si="269">SUM(S403:Y403)</f>
        <v>10.8</v>
      </c>
      <c r="AA403" s="11">
        <f t="shared" ref="AA403:AA572" si="270">R403+O403-Z403</f>
        <v>9</v>
      </c>
      <c r="AB403" s="25"/>
      <c r="AC403" s="10" t="str">
        <f t="shared" ref="AC403:AC572" si="271">CONCATENATE($C$2,$AD$1,$A403)</f>
        <v xml:space="preserve">MarçoSEMANA 3Abacate </v>
      </c>
      <c r="AD403" s="7">
        <f>SUMIF(NF!$A:$A,$AC403,NF!$I:$I)</f>
        <v>0</v>
      </c>
      <c r="AE403" s="6">
        <v>9</v>
      </c>
      <c r="AF403" s="6"/>
      <c r="AG403" s="6"/>
      <c r="AH403" s="6"/>
      <c r="AI403" s="6"/>
      <c r="AJ403" s="6"/>
      <c r="AK403" s="6"/>
      <c r="AL403" s="7">
        <f t="shared" ref="AL403:AL422" si="272">SUM(AE403:AK403)</f>
        <v>9</v>
      </c>
      <c r="AM403" s="11">
        <f t="shared" ref="AM403:AM572" si="273">AD403+AA403-AL403</f>
        <v>0</v>
      </c>
      <c r="AN403" s="25"/>
      <c r="AO403" s="10" t="str">
        <f t="shared" ref="AO403:AO572" si="274">CONCATENATE($C$2,$AP$1,$A403)</f>
        <v xml:space="preserve">MarçoSEMANA 4Abacate </v>
      </c>
      <c r="AP403" s="7">
        <f>SUMIF(NF!$A:$A,$AO403,NF!$I:$I)</f>
        <v>8</v>
      </c>
      <c r="AQ403" s="6"/>
      <c r="AR403" s="6">
        <v>8</v>
      </c>
      <c r="AS403" s="6"/>
      <c r="AT403" s="6"/>
      <c r="AU403" s="6"/>
      <c r="AV403" s="6"/>
      <c r="AW403" s="6"/>
      <c r="AX403" s="7">
        <f t="shared" ref="AX403:AX422" si="275">SUM(AQ403:AW403)</f>
        <v>8</v>
      </c>
      <c r="AY403" s="11">
        <f t="shared" ref="AY403:AY572" si="276">AP403+AM403-AX403</f>
        <v>0</v>
      </c>
      <c r="AZ403" s="25"/>
      <c r="BA403" s="10" t="str">
        <f t="shared" ref="BA403:BA572" si="277">CONCATENATE($C$2,$BB$1,$A403)</f>
        <v xml:space="preserve">MarçoSEMANA 5Abacate </v>
      </c>
      <c r="BB403" s="7">
        <f>SUMIF(NF!$A:$A,$BA403,NF!$I:$I)</f>
        <v>8</v>
      </c>
      <c r="BC403" s="6"/>
      <c r="BD403" s="6"/>
      <c r="BE403" s="6">
        <v>8</v>
      </c>
      <c r="BF403" s="6"/>
      <c r="BG403" s="6"/>
      <c r="BH403" s="6"/>
      <c r="BI403" s="74"/>
      <c r="BJ403" s="74"/>
      <c r="BK403" s="7">
        <f t="shared" ref="BK403:BK422" si="278">SUM(BC403:BJ403)</f>
        <v>8</v>
      </c>
      <c r="BL403" s="8">
        <f t="shared" ref="BL403:BL572" si="279">BB403+AY403-BK403</f>
        <v>0</v>
      </c>
      <c r="BM403" s="51" t="str">
        <f>IFERROR(VLOOKUP(A403,NF!$M:$O,3,0),"")</f>
        <v>Hortifruti</v>
      </c>
      <c r="BN403" s="7">
        <f t="shared" ref="BN403:BN572" si="280">SUM(N403,Z403,AL403,AX403,BK403)</f>
        <v>35.799999999999997</v>
      </c>
      <c r="BO403" s="8">
        <f t="array" ref="BO403">IFERROR(LARGE(IF(NF!$G$2:$G$3137='Mês atual'!A403,NF!$J$2:$J$3137),1),0)*BN403</f>
        <v>214.79999999999998</v>
      </c>
      <c r="BP403" s="50"/>
      <c r="BR403" s="146">
        <f t="array" ref="BR403">IFERROR(LARGE(IF(NF!$G$2:$G$3137='Mês atual'!A403,NF!$J$2:$J$3137),1),0)</f>
        <v>6</v>
      </c>
      <c r="BS403" s="142" t="str">
        <f>VLOOKUP(A403,NF!M:O,3,0)</f>
        <v>Hortifruti</v>
      </c>
      <c r="BV403" s="74">
        <f t="shared" ref="BV403:BV467" si="281">N403</f>
        <v>0</v>
      </c>
      <c r="BW403" s="74">
        <f t="shared" ref="BW403:BW467" si="282">Z403</f>
        <v>10.8</v>
      </c>
      <c r="BX403" s="74">
        <f t="shared" ref="BX403:BX467" si="283">AL403</f>
        <v>9</v>
      </c>
      <c r="BY403" s="74">
        <f t="shared" ref="BY403:BY467" si="284">AX403</f>
        <v>8</v>
      </c>
      <c r="BZ403" s="74">
        <f t="shared" ref="BZ403:BZ467" si="285">BK403</f>
        <v>8</v>
      </c>
    </row>
    <row r="404" spans="1:78" x14ac:dyDescent="0.2">
      <c r="A404" s="108" t="s">
        <v>63</v>
      </c>
      <c r="B404" s="12"/>
      <c r="C404" s="9">
        <v>0</v>
      </c>
      <c r="D404" s="25"/>
      <c r="E404" s="10" t="str">
        <f t="shared" si="265"/>
        <v>MarçoSEMANA 1Abacate Organico</v>
      </c>
      <c r="F404" s="7">
        <f>SUMIF(NF!$A:$A,$E404,NF!$I:$I)</f>
        <v>0</v>
      </c>
      <c r="G404" s="74"/>
      <c r="H404" s="74"/>
      <c r="I404" s="74"/>
      <c r="J404" s="6"/>
      <c r="K404" s="6"/>
      <c r="L404" s="6"/>
      <c r="M404" s="6"/>
      <c r="N404" s="7">
        <f t="shared" si="266"/>
        <v>0</v>
      </c>
      <c r="O404" s="11">
        <f t="shared" si="267"/>
        <v>0</v>
      </c>
      <c r="P404" s="25"/>
      <c r="Q404" s="10" t="str">
        <f t="shared" si="268"/>
        <v>MarçoSEMANA 2Abacate Organico</v>
      </c>
      <c r="R404" s="7">
        <f>SUMIF(NF!$A:$A,$Q404,NF!$I:$I)</f>
        <v>0</v>
      </c>
      <c r="S404" s="6"/>
      <c r="T404" s="6"/>
      <c r="U404" s="6"/>
      <c r="V404" s="6"/>
      <c r="W404" s="6"/>
      <c r="X404" s="6"/>
      <c r="Y404" s="6"/>
      <c r="Z404" s="7">
        <f t="shared" si="269"/>
        <v>0</v>
      </c>
      <c r="AA404" s="11">
        <f t="shared" si="270"/>
        <v>0</v>
      </c>
      <c r="AB404" s="25"/>
      <c r="AC404" s="10" t="str">
        <f t="shared" si="271"/>
        <v>MarçoSEMANA 3Abacate Organico</v>
      </c>
      <c r="AD404" s="7">
        <f>SUMIF(NF!$A:$A,$AC404,NF!$I:$I)</f>
        <v>0</v>
      </c>
      <c r="AE404" s="6"/>
      <c r="AF404" s="6"/>
      <c r="AG404" s="6"/>
      <c r="AH404" s="6"/>
      <c r="AI404" s="6"/>
      <c r="AJ404" s="6"/>
      <c r="AK404" s="6"/>
      <c r="AL404" s="7">
        <f t="shared" si="272"/>
        <v>0</v>
      </c>
      <c r="AM404" s="11">
        <f t="shared" si="273"/>
        <v>0</v>
      </c>
      <c r="AN404" s="25"/>
      <c r="AO404" s="10" t="str">
        <f t="shared" si="274"/>
        <v>MarçoSEMANA 4Abacate Organico</v>
      </c>
      <c r="AP404" s="7">
        <f>SUMIF(NF!$A:$A,$AO404,NF!$I:$I)</f>
        <v>0</v>
      </c>
      <c r="AQ404" s="6"/>
      <c r="AR404" s="6"/>
      <c r="AS404" s="6"/>
      <c r="AT404" s="6"/>
      <c r="AU404" s="6"/>
      <c r="AV404" s="6"/>
      <c r="AW404" s="6"/>
      <c r="AX404" s="7">
        <f t="shared" si="275"/>
        <v>0</v>
      </c>
      <c r="AY404" s="11">
        <f t="shared" si="276"/>
        <v>0</v>
      </c>
      <c r="AZ404" s="25"/>
      <c r="BA404" s="10" t="str">
        <f t="shared" si="277"/>
        <v>MarçoSEMANA 5Abacate Organico</v>
      </c>
      <c r="BB404" s="7">
        <f>SUMIF(NF!$A:$A,$BA404,NF!$I:$I)</f>
        <v>0</v>
      </c>
      <c r="BC404" s="6"/>
      <c r="BD404" s="6"/>
      <c r="BE404" s="6"/>
      <c r="BF404" s="6"/>
      <c r="BG404" s="6"/>
      <c r="BH404" s="6"/>
      <c r="BI404" s="74"/>
      <c r="BJ404" s="74"/>
      <c r="BK404" s="7">
        <f t="shared" si="278"/>
        <v>0</v>
      </c>
      <c r="BL404" s="8">
        <f t="shared" si="279"/>
        <v>0</v>
      </c>
      <c r="BM404" s="51" t="str">
        <f>IFERROR(VLOOKUP(A404,NF!$M:$O,3,0),"")</f>
        <v>Hortifruti</v>
      </c>
      <c r="BN404" s="7">
        <f t="shared" si="280"/>
        <v>0</v>
      </c>
      <c r="BO404" s="8">
        <f t="array" ref="BO404">IFERROR(LARGE(IF(NF!$G$2:$G$3137='Mês atual'!A404,NF!$J$2:$J$3137),1),0)*BN404</f>
        <v>0</v>
      </c>
      <c r="BP404" s="50"/>
      <c r="BR404" s="146">
        <f t="array" ref="BR404">IFERROR(LARGE(IF(NF!$G$2:$G$3137='Mês atual'!A404,NF!$J$2:$J$3137),1),0)</f>
        <v>0</v>
      </c>
      <c r="BS404" s="142" t="str">
        <f>VLOOKUP(A404,NF!M:O,3,0)</f>
        <v>Hortifruti</v>
      </c>
      <c r="BV404" s="74">
        <f t="shared" si="281"/>
        <v>0</v>
      </c>
      <c r="BW404" s="74">
        <f t="shared" si="282"/>
        <v>0</v>
      </c>
      <c r="BX404" s="74">
        <f t="shared" si="283"/>
        <v>0</v>
      </c>
      <c r="BY404" s="74">
        <f t="shared" si="284"/>
        <v>0</v>
      </c>
      <c r="BZ404" s="74">
        <f t="shared" si="285"/>
        <v>0</v>
      </c>
    </row>
    <row r="405" spans="1:78" x14ac:dyDescent="0.2">
      <c r="A405" s="108" t="s">
        <v>65</v>
      </c>
      <c r="B405" s="12"/>
      <c r="C405" s="9">
        <v>10</v>
      </c>
      <c r="D405" s="25"/>
      <c r="E405" s="10" t="str">
        <f t="shared" si="265"/>
        <v xml:space="preserve">MarçoSEMANA 1Abacaxi </v>
      </c>
      <c r="F405" s="7">
        <f>SUMIF(NF!$A:$A,$E405,NF!$I:$I)</f>
        <v>35</v>
      </c>
      <c r="G405" s="74"/>
      <c r="H405" s="74"/>
      <c r="I405" s="74"/>
      <c r="J405" s="6">
        <v>20</v>
      </c>
      <c r="K405" s="6"/>
      <c r="L405" s="6">
        <v>10</v>
      </c>
      <c r="M405" s="6">
        <v>5</v>
      </c>
      <c r="N405" s="7">
        <f t="shared" si="266"/>
        <v>35</v>
      </c>
      <c r="O405" s="11">
        <f t="shared" si="267"/>
        <v>10</v>
      </c>
      <c r="P405" s="25"/>
      <c r="Q405" s="10" t="str">
        <f t="shared" si="268"/>
        <v xml:space="preserve">MarçoSEMANA 2Abacaxi </v>
      </c>
      <c r="R405" s="7">
        <f>SUMIF(NF!$A:$A,$Q405,NF!$I:$I)</f>
        <v>61</v>
      </c>
      <c r="S405" s="6">
        <v>10</v>
      </c>
      <c r="T405" s="6">
        <v>10</v>
      </c>
      <c r="U405" s="6">
        <v>6</v>
      </c>
      <c r="V405" s="6">
        <v>10</v>
      </c>
      <c r="W405" s="6"/>
      <c r="X405" s="6">
        <v>10</v>
      </c>
      <c r="Y405" s="6">
        <v>10</v>
      </c>
      <c r="Z405" s="7">
        <f t="shared" si="269"/>
        <v>56</v>
      </c>
      <c r="AA405" s="11">
        <f t="shared" si="270"/>
        <v>15</v>
      </c>
      <c r="AB405" s="25"/>
      <c r="AC405" s="10" t="str">
        <f t="shared" si="271"/>
        <v xml:space="preserve">MarçoSEMANA 3Abacaxi </v>
      </c>
      <c r="AD405" s="7">
        <f>SUMIF(NF!$A:$A,$AC405,NF!$I:$I)</f>
        <v>46</v>
      </c>
      <c r="AE405" s="6">
        <v>5</v>
      </c>
      <c r="AF405" s="6"/>
      <c r="AG405" s="6">
        <v>6</v>
      </c>
      <c r="AH405" s="6">
        <v>10</v>
      </c>
      <c r="AI405" s="6">
        <v>15</v>
      </c>
      <c r="AJ405" s="6">
        <v>10</v>
      </c>
      <c r="AK405" s="6">
        <v>10</v>
      </c>
      <c r="AL405" s="7">
        <f t="shared" si="272"/>
        <v>56</v>
      </c>
      <c r="AM405" s="11">
        <f t="shared" si="273"/>
        <v>5</v>
      </c>
      <c r="AN405" s="25"/>
      <c r="AO405" s="10" t="str">
        <f t="shared" si="274"/>
        <v xml:space="preserve">MarçoSEMANA 4Abacaxi </v>
      </c>
      <c r="AP405" s="7">
        <f>SUMIF(NF!$A:$A,$AO405,NF!$I:$I)</f>
        <v>35</v>
      </c>
      <c r="AQ405" s="6">
        <v>5</v>
      </c>
      <c r="AR405" s="6"/>
      <c r="AS405" s="6">
        <v>10</v>
      </c>
      <c r="AT405" s="6"/>
      <c r="AU405" s="6"/>
      <c r="AV405" s="6">
        <v>10</v>
      </c>
      <c r="AW405" s="6">
        <v>15</v>
      </c>
      <c r="AX405" s="7">
        <f t="shared" si="275"/>
        <v>40</v>
      </c>
      <c r="AY405" s="11">
        <f t="shared" si="276"/>
        <v>0</v>
      </c>
      <c r="AZ405" s="25"/>
      <c r="BA405" s="10" t="str">
        <f t="shared" si="277"/>
        <v xml:space="preserve">MarçoSEMANA 5Abacaxi </v>
      </c>
      <c r="BB405" s="7">
        <f>SUMIF(NF!$A:$A,$BA405,NF!$I:$I)</f>
        <v>58</v>
      </c>
      <c r="BC405" s="6">
        <v>10</v>
      </c>
      <c r="BD405" s="6">
        <v>5</v>
      </c>
      <c r="BE405" s="6">
        <v>17</v>
      </c>
      <c r="BF405" s="6"/>
      <c r="BG405" s="6">
        <v>10</v>
      </c>
      <c r="BH405" s="6">
        <v>6</v>
      </c>
      <c r="BI405" s="74"/>
      <c r="BJ405" s="74"/>
      <c r="BK405" s="7">
        <f t="shared" si="278"/>
        <v>48</v>
      </c>
      <c r="BL405" s="8">
        <f t="shared" si="279"/>
        <v>10</v>
      </c>
      <c r="BM405" s="51" t="str">
        <f>IFERROR(VLOOKUP(A405,NF!$M:$O,3,0),"")</f>
        <v>Hortifruti</v>
      </c>
      <c r="BN405" s="7">
        <f t="shared" si="280"/>
        <v>235</v>
      </c>
      <c r="BO405" s="8">
        <f t="array" ref="BO405">IFERROR(LARGE(IF(NF!$G$2:$G$3137='Mês atual'!A405,NF!$J$2:$J$3137),1),0)*BN405</f>
        <v>881.25</v>
      </c>
      <c r="BP405" s="50"/>
      <c r="BR405" s="146">
        <f t="array" ref="BR405">IFERROR(LARGE(IF(NF!$G$2:$G$3137='Mês atual'!A405,NF!$J$2:$J$3137),1),0)</f>
        <v>3.75</v>
      </c>
      <c r="BS405" s="142" t="str">
        <f>VLOOKUP(A405,NF!M:O,3,0)</f>
        <v>Hortifruti</v>
      </c>
      <c r="BV405" s="74">
        <f t="shared" si="281"/>
        <v>35</v>
      </c>
      <c r="BW405" s="74">
        <f t="shared" si="282"/>
        <v>56</v>
      </c>
      <c r="BX405" s="74">
        <f t="shared" si="283"/>
        <v>56</v>
      </c>
      <c r="BY405" s="74">
        <f t="shared" si="284"/>
        <v>40</v>
      </c>
      <c r="BZ405" s="74">
        <f t="shared" si="285"/>
        <v>48</v>
      </c>
    </row>
    <row r="406" spans="1:78" x14ac:dyDescent="0.2">
      <c r="A406" s="108" t="s">
        <v>68</v>
      </c>
      <c r="B406" s="12"/>
      <c r="C406" s="9">
        <v>15</v>
      </c>
      <c r="D406" s="25"/>
      <c r="E406" s="10" t="str">
        <f t="shared" si="265"/>
        <v>MarçoSEMANA 1Abobora</v>
      </c>
      <c r="F406" s="7">
        <f>SUMIF(NF!$A:$A,$E406,NF!$I:$I)</f>
        <v>15</v>
      </c>
      <c r="G406" s="74"/>
      <c r="H406" s="74"/>
      <c r="I406" s="74"/>
      <c r="J406" s="6">
        <f>9.7+2.78</f>
        <v>12.479999999999999</v>
      </c>
      <c r="K406" s="6">
        <v>2.52</v>
      </c>
      <c r="L406" s="6"/>
      <c r="M406" s="6">
        <v>7.4</v>
      </c>
      <c r="N406" s="7">
        <f t="shared" si="266"/>
        <v>22.4</v>
      </c>
      <c r="O406" s="11">
        <f t="shared" si="267"/>
        <v>7.6000000000000014</v>
      </c>
      <c r="P406" s="25"/>
      <c r="Q406" s="10" t="str">
        <f t="shared" si="268"/>
        <v>MarçoSEMANA 2Abobora</v>
      </c>
      <c r="R406" s="7">
        <f>SUMIF(NF!$A:$A,$Q406,NF!$I:$I)</f>
        <v>27</v>
      </c>
      <c r="S406" s="6">
        <f>3.02+5.1+4.88</f>
        <v>13</v>
      </c>
      <c r="T406" s="6"/>
      <c r="U406" s="6"/>
      <c r="V406" s="6"/>
      <c r="W406" s="6">
        <v>4.5999999999999996</v>
      </c>
      <c r="X406" s="6"/>
      <c r="Y406" s="6">
        <v>9</v>
      </c>
      <c r="Z406" s="7">
        <f t="shared" si="269"/>
        <v>26.6</v>
      </c>
      <c r="AA406" s="11">
        <f t="shared" si="270"/>
        <v>8</v>
      </c>
      <c r="AB406" s="25"/>
      <c r="AC406" s="10" t="str">
        <f t="shared" si="271"/>
        <v>MarçoSEMANA 3Abobora</v>
      </c>
      <c r="AD406" s="7">
        <f>SUMIF(NF!$A:$A,$AC406,NF!$I:$I)</f>
        <v>13</v>
      </c>
      <c r="AE406" s="6">
        <v>7</v>
      </c>
      <c r="AF406" s="6"/>
      <c r="AG406" s="6"/>
      <c r="AH406" s="6">
        <f>5.52+6.04-4.56</f>
        <v>6.9999999999999991</v>
      </c>
      <c r="AI406" s="6">
        <v>7</v>
      </c>
      <c r="AJ406" s="6"/>
      <c r="AK406" s="6"/>
      <c r="AL406" s="7">
        <f t="shared" si="272"/>
        <v>21</v>
      </c>
      <c r="AM406" s="11">
        <f t="shared" si="273"/>
        <v>0</v>
      </c>
      <c r="AN406" s="25"/>
      <c r="AO406" s="10" t="str">
        <f t="shared" si="274"/>
        <v>MarçoSEMANA 4Abobora</v>
      </c>
      <c r="AP406" s="7">
        <f>SUMIF(NF!$A:$A,$AO406,NF!$I:$I)</f>
        <v>22</v>
      </c>
      <c r="AQ406" s="6"/>
      <c r="AR406" s="6">
        <f>6.5-1</f>
        <v>5.5</v>
      </c>
      <c r="AS406" s="6">
        <f>5.16-1</f>
        <v>4.16</v>
      </c>
      <c r="AT406" s="6">
        <f>5-1</f>
        <v>4</v>
      </c>
      <c r="AU406" s="6">
        <f>5.34-1</f>
        <v>4.34</v>
      </c>
      <c r="AV406" s="6">
        <v>4</v>
      </c>
      <c r="AW406" s="6"/>
      <c r="AX406" s="7">
        <f t="shared" si="275"/>
        <v>22</v>
      </c>
      <c r="AY406" s="11">
        <f t="shared" si="276"/>
        <v>0</v>
      </c>
      <c r="AZ406" s="25"/>
      <c r="BA406" s="10" t="str">
        <f t="shared" si="277"/>
        <v>MarçoSEMANA 5Abobora</v>
      </c>
      <c r="BB406" s="7">
        <f>SUMIF(NF!$A:$A,$BA406,NF!$I:$I)</f>
        <v>17</v>
      </c>
      <c r="BC406" s="6">
        <f>4+4</f>
        <v>8</v>
      </c>
      <c r="BD406" s="6"/>
      <c r="BE406" s="6"/>
      <c r="BF406" s="6"/>
      <c r="BG406" s="6"/>
      <c r="BH406" s="6">
        <f>5+4</f>
        <v>9</v>
      </c>
      <c r="BI406" s="74"/>
      <c r="BJ406" s="74"/>
      <c r="BK406" s="7">
        <f t="shared" si="278"/>
        <v>17</v>
      </c>
      <c r="BL406" s="8">
        <f t="shared" si="279"/>
        <v>0</v>
      </c>
      <c r="BM406" s="51" t="str">
        <f>IFERROR(VLOOKUP(A406,NF!$M:$O,3,0),"")</f>
        <v>Hortifruti</v>
      </c>
      <c r="BN406" s="7">
        <f t="shared" si="280"/>
        <v>109</v>
      </c>
      <c r="BO406" s="8">
        <f t="array" ref="BO406">IFERROR(LARGE(IF(NF!$G$2:$G$3137='Mês atual'!A406,NF!$J$2:$J$3137),1),0)*BN406</f>
        <v>654</v>
      </c>
      <c r="BP406" s="50"/>
      <c r="BR406" s="146">
        <f t="array" ref="BR406">IFERROR(LARGE(IF(NF!$G$2:$G$3137='Mês atual'!A406,NF!$J$2:$J$3137),1),0)</f>
        <v>6</v>
      </c>
      <c r="BS406" s="142" t="str">
        <f>VLOOKUP(A406,NF!M:O,3,0)</f>
        <v>Hortifruti</v>
      </c>
      <c r="BV406" s="74">
        <f t="shared" si="281"/>
        <v>22.4</v>
      </c>
      <c r="BW406" s="74">
        <f t="shared" si="282"/>
        <v>26.6</v>
      </c>
      <c r="BX406" s="74">
        <f t="shared" si="283"/>
        <v>21</v>
      </c>
      <c r="BY406" s="74">
        <f t="shared" si="284"/>
        <v>22</v>
      </c>
      <c r="BZ406" s="74">
        <f t="shared" si="285"/>
        <v>17</v>
      </c>
    </row>
    <row r="407" spans="1:78" x14ac:dyDescent="0.2">
      <c r="A407" s="108" t="s">
        <v>69</v>
      </c>
      <c r="B407" s="12"/>
      <c r="C407" s="9">
        <v>2</v>
      </c>
      <c r="D407" s="25"/>
      <c r="E407" s="10" t="str">
        <f t="shared" si="265"/>
        <v>MarçoSEMANA 1Abobora Japonesa</v>
      </c>
      <c r="F407" s="7">
        <f>SUMIF(NF!$A:$A,$E407,NF!$I:$I)</f>
        <v>3</v>
      </c>
      <c r="G407" s="74"/>
      <c r="H407" s="74"/>
      <c r="I407" s="74"/>
      <c r="J407" s="6"/>
      <c r="K407" s="6"/>
      <c r="L407" s="6">
        <v>3</v>
      </c>
      <c r="M407" s="6"/>
      <c r="N407" s="7">
        <f t="shared" si="266"/>
        <v>3</v>
      </c>
      <c r="O407" s="11">
        <f t="shared" si="267"/>
        <v>2</v>
      </c>
      <c r="P407" s="25"/>
      <c r="Q407" s="10" t="str">
        <f t="shared" si="268"/>
        <v>MarçoSEMANA 2Abobora Japonesa</v>
      </c>
      <c r="R407" s="7">
        <f>SUMIF(NF!$A:$A,$Q407,NF!$I:$I)</f>
        <v>10</v>
      </c>
      <c r="S407" s="6"/>
      <c r="T407" s="6"/>
      <c r="U407" s="6">
        <v>10</v>
      </c>
      <c r="V407" s="6"/>
      <c r="W407" s="6"/>
      <c r="X407" s="6"/>
      <c r="Y407" s="6"/>
      <c r="Z407" s="7">
        <f t="shared" si="269"/>
        <v>10</v>
      </c>
      <c r="AA407" s="11">
        <f t="shared" si="270"/>
        <v>2</v>
      </c>
      <c r="AB407" s="25"/>
      <c r="AC407" s="10" t="str">
        <f t="shared" si="271"/>
        <v>MarçoSEMANA 3Abobora Japonesa</v>
      </c>
      <c r="AD407" s="7">
        <f>SUMIF(NF!$A:$A,$AC407,NF!$I:$I)</f>
        <v>7.8</v>
      </c>
      <c r="AE407" s="6"/>
      <c r="AF407" s="6"/>
      <c r="AG407" s="6">
        <f>2+1</f>
        <v>3</v>
      </c>
      <c r="AH407" s="6"/>
      <c r="AI407" s="6"/>
      <c r="AJ407" s="6"/>
      <c r="AK407" s="6">
        <f>4+1.5</f>
        <v>5.5</v>
      </c>
      <c r="AL407" s="7">
        <f t="shared" si="272"/>
        <v>8.5</v>
      </c>
      <c r="AM407" s="11">
        <f t="shared" si="273"/>
        <v>1.3000000000000007</v>
      </c>
      <c r="AN407" s="25"/>
      <c r="AO407" s="10" t="str">
        <f t="shared" si="274"/>
        <v>MarçoSEMANA 4Abobora Japonesa</v>
      </c>
      <c r="AP407" s="7">
        <f>SUMIF(NF!$A:$A,$AO407,NF!$I:$I)</f>
        <v>12</v>
      </c>
      <c r="AQ407" s="6"/>
      <c r="AR407" s="6"/>
      <c r="AS407" s="6">
        <v>2</v>
      </c>
      <c r="AT407" s="6"/>
      <c r="AU407" s="6"/>
      <c r="AV407" s="6"/>
      <c r="AW407" s="6"/>
      <c r="AX407" s="7">
        <f t="shared" si="275"/>
        <v>2</v>
      </c>
      <c r="AY407" s="11">
        <f t="shared" si="276"/>
        <v>11.3</v>
      </c>
      <c r="AZ407" s="25"/>
      <c r="BA407" s="10" t="str">
        <f t="shared" si="277"/>
        <v>MarçoSEMANA 5Abobora Japonesa</v>
      </c>
      <c r="BB407" s="7">
        <f>SUMIF(NF!$A:$A,$BA407,NF!$I:$I)</f>
        <v>8</v>
      </c>
      <c r="BC407" s="6">
        <v>11.3</v>
      </c>
      <c r="BD407" s="6"/>
      <c r="BE407" s="6">
        <v>8</v>
      </c>
      <c r="BF407" s="6"/>
      <c r="BG407" s="6"/>
      <c r="BH407" s="6"/>
      <c r="BI407" s="74"/>
      <c r="BJ407" s="74"/>
      <c r="BK407" s="7">
        <f t="shared" si="278"/>
        <v>19.3</v>
      </c>
      <c r="BL407" s="8">
        <f t="shared" si="279"/>
        <v>0</v>
      </c>
      <c r="BM407" s="51" t="str">
        <f>IFERROR(VLOOKUP(A407,NF!$M:$O,3,0),"")</f>
        <v>Hortifruti</v>
      </c>
      <c r="BN407" s="7">
        <f t="shared" si="280"/>
        <v>42.8</v>
      </c>
      <c r="BO407" s="8">
        <f t="array" ref="BO407">IFERROR(LARGE(IF(NF!$G$2:$G$3137='Mês atual'!A407,NF!$J$2:$J$3137),1),0)*BN407</f>
        <v>123.26399999999998</v>
      </c>
      <c r="BP407" s="50"/>
      <c r="BR407" s="146">
        <f t="array" ref="BR407">IFERROR(LARGE(IF(NF!$G$2:$G$3137='Mês atual'!A407,NF!$J$2:$J$3137),1),0)</f>
        <v>2.88</v>
      </c>
      <c r="BS407" s="142" t="str">
        <f>VLOOKUP(A407,NF!M:O,3,0)</f>
        <v>Hortifruti</v>
      </c>
      <c r="BV407" s="74">
        <f t="shared" si="281"/>
        <v>3</v>
      </c>
      <c r="BW407" s="74">
        <f t="shared" si="282"/>
        <v>10</v>
      </c>
      <c r="BX407" s="74">
        <f t="shared" si="283"/>
        <v>8.5</v>
      </c>
      <c r="BY407" s="74">
        <f t="shared" si="284"/>
        <v>2</v>
      </c>
      <c r="BZ407" s="74">
        <f t="shared" si="285"/>
        <v>19.3</v>
      </c>
    </row>
    <row r="408" spans="1:78" x14ac:dyDescent="0.2">
      <c r="A408" s="108" t="s">
        <v>70</v>
      </c>
      <c r="B408" s="12"/>
      <c r="C408" s="9">
        <v>0</v>
      </c>
      <c r="D408" s="25"/>
      <c r="E408" s="10" t="str">
        <f t="shared" si="265"/>
        <v>MarçoSEMANA 1Abobora Moranga</v>
      </c>
      <c r="F408" s="7">
        <f>SUMIF(NF!$A:$A,$E408,NF!$I:$I)</f>
        <v>0</v>
      </c>
      <c r="G408" s="74"/>
      <c r="H408" s="74"/>
      <c r="I408" s="74"/>
      <c r="J408" s="6"/>
      <c r="K408" s="6"/>
      <c r="L408" s="6"/>
      <c r="M408" s="6"/>
      <c r="N408" s="7">
        <f t="shared" si="266"/>
        <v>0</v>
      </c>
      <c r="O408" s="11">
        <f t="shared" si="267"/>
        <v>0</v>
      </c>
      <c r="P408" s="25"/>
      <c r="Q408" s="10" t="str">
        <f t="shared" si="268"/>
        <v>MarçoSEMANA 2Abobora Moranga</v>
      </c>
      <c r="R408" s="7">
        <f>SUMIF(NF!$A:$A,$Q408,NF!$I:$I)</f>
        <v>10.8</v>
      </c>
      <c r="S408" s="6"/>
      <c r="T408" s="6"/>
      <c r="U408" s="6"/>
      <c r="V408" s="6"/>
      <c r="W408" s="6"/>
      <c r="X408" s="6"/>
      <c r="Y408" s="6">
        <v>10.8</v>
      </c>
      <c r="Z408" s="7">
        <f t="shared" si="269"/>
        <v>10.8</v>
      </c>
      <c r="AA408" s="11">
        <f t="shared" si="270"/>
        <v>0</v>
      </c>
      <c r="AB408" s="25"/>
      <c r="AC408" s="10" t="str">
        <f t="shared" si="271"/>
        <v>MarçoSEMANA 3Abobora Moranga</v>
      </c>
      <c r="AD408" s="7">
        <f>SUMIF(NF!$A:$A,$AC408,NF!$I:$I)</f>
        <v>0</v>
      </c>
      <c r="AE408" s="6"/>
      <c r="AF408" s="6"/>
      <c r="AG408" s="6"/>
      <c r="AH408" s="6"/>
      <c r="AI408" s="6"/>
      <c r="AJ408" s="6"/>
      <c r="AK408" s="6"/>
      <c r="AL408" s="7">
        <f t="shared" si="272"/>
        <v>0</v>
      </c>
      <c r="AM408" s="11">
        <f t="shared" si="273"/>
        <v>0</v>
      </c>
      <c r="AN408" s="25"/>
      <c r="AO408" s="10" t="str">
        <f t="shared" si="274"/>
        <v>MarçoSEMANA 4Abobora Moranga</v>
      </c>
      <c r="AP408" s="7">
        <f>SUMIF(NF!$A:$A,$AO408,NF!$I:$I)</f>
        <v>0</v>
      </c>
      <c r="AQ408" s="6"/>
      <c r="AR408" s="6"/>
      <c r="AS408" s="6"/>
      <c r="AT408" s="6"/>
      <c r="AU408" s="6"/>
      <c r="AV408" s="6"/>
      <c r="AW408" s="6"/>
      <c r="AX408" s="7">
        <f t="shared" si="275"/>
        <v>0</v>
      </c>
      <c r="AY408" s="11">
        <f t="shared" si="276"/>
        <v>0</v>
      </c>
      <c r="AZ408" s="25"/>
      <c r="BA408" s="10" t="str">
        <f t="shared" si="277"/>
        <v>MarçoSEMANA 5Abobora Moranga</v>
      </c>
      <c r="BB408" s="7">
        <f>SUMIF(NF!$A:$A,$BA408,NF!$I:$I)</f>
        <v>0</v>
      </c>
      <c r="BC408" s="6"/>
      <c r="BD408" s="6"/>
      <c r="BE408" s="6"/>
      <c r="BF408" s="6"/>
      <c r="BG408" s="6"/>
      <c r="BH408" s="6"/>
      <c r="BI408" s="74"/>
      <c r="BJ408" s="74"/>
      <c r="BK408" s="7">
        <f t="shared" si="278"/>
        <v>0</v>
      </c>
      <c r="BL408" s="8">
        <f t="shared" si="279"/>
        <v>0</v>
      </c>
      <c r="BM408" s="51" t="str">
        <f>IFERROR(VLOOKUP(A408,NF!$M:$O,3,0),"")</f>
        <v>Hortifruti</v>
      </c>
      <c r="BN408" s="7">
        <f t="shared" si="280"/>
        <v>10.8</v>
      </c>
      <c r="BO408" s="8">
        <f t="array" ref="BO408">IFERROR(LARGE(IF(NF!$G$2:$G$3137='Mês atual'!A408,NF!$J$2:$J$3137),1),0)*BN408</f>
        <v>41.04</v>
      </c>
      <c r="BP408" s="50"/>
      <c r="BR408" s="146">
        <f t="array" ref="BR408">IFERROR(LARGE(IF(NF!$G$2:$G$3137='Mês atual'!A408,NF!$J$2:$J$3137),1),0)</f>
        <v>3.8</v>
      </c>
      <c r="BS408" s="142" t="str">
        <f>VLOOKUP(A408,NF!M:O,3,0)</f>
        <v>Hortifruti</v>
      </c>
      <c r="BV408" s="74">
        <f t="shared" si="281"/>
        <v>0</v>
      </c>
      <c r="BW408" s="74">
        <f t="shared" si="282"/>
        <v>10.8</v>
      </c>
      <c r="BX408" s="74">
        <f t="shared" si="283"/>
        <v>0</v>
      </c>
      <c r="BY408" s="74">
        <f t="shared" si="284"/>
        <v>0</v>
      </c>
      <c r="BZ408" s="74">
        <f t="shared" si="285"/>
        <v>0</v>
      </c>
    </row>
    <row r="409" spans="1:78" x14ac:dyDescent="0.2">
      <c r="A409" s="108" t="s">
        <v>71</v>
      </c>
      <c r="B409" s="12"/>
      <c r="C409" s="9">
        <v>0</v>
      </c>
      <c r="D409" s="25"/>
      <c r="E409" s="10" t="str">
        <f t="shared" si="265"/>
        <v>MarçoSEMANA 1Abobora Organica</v>
      </c>
      <c r="F409" s="7">
        <f>SUMIF(NF!$A:$A,$E409,NF!$I:$I)</f>
        <v>0</v>
      </c>
      <c r="G409" s="74"/>
      <c r="H409" s="74"/>
      <c r="I409" s="74"/>
      <c r="J409" s="6"/>
      <c r="K409" s="6"/>
      <c r="L409" s="6"/>
      <c r="M409" s="6"/>
      <c r="N409" s="7">
        <f t="shared" si="266"/>
        <v>0</v>
      </c>
      <c r="O409" s="11">
        <f t="shared" si="267"/>
        <v>0</v>
      </c>
      <c r="P409" s="25"/>
      <c r="Q409" s="10" t="str">
        <f t="shared" si="268"/>
        <v>MarçoSEMANA 2Abobora Organica</v>
      </c>
      <c r="R409" s="7">
        <f>SUMIF(NF!$A:$A,$Q409,NF!$I:$I)</f>
        <v>0</v>
      </c>
      <c r="S409" s="6"/>
      <c r="T409" s="6"/>
      <c r="U409" s="6"/>
      <c r="V409" s="6"/>
      <c r="W409" s="6"/>
      <c r="X409" s="6"/>
      <c r="Y409" s="6"/>
      <c r="Z409" s="7">
        <f t="shared" si="269"/>
        <v>0</v>
      </c>
      <c r="AA409" s="11">
        <f t="shared" si="270"/>
        <v>0</v>
      </c>
      <c r="AB409" s="25"/>
      <c r="AC409" s="10" t="str">
        <f t="shared" si="271"/>
        <v>MarçoSEMANA 3Abobora Organica</v>
      </c>
      <c r="AD409" s="7">
        <f>SUMIF(NF!$A:$A,$AC409,NF!$I:$I)</f>
        <v>0</v>
      </c>
      <c r="AE409" s="6"/>
      <c r="AF409" s="6"/>
      <c r="AG409" s="6"/>
      <c r="AH409" s="6"/>
      <c r="AI409" s="6"/>
      <c r="AJ409" s="6"/>
      <c r="AK409" s="6"/>
      <c r="AL409" s="7">
        <f t="shared" si="272"/>
        <v>0</v>
      </c>
      <c r="AM409" s="11">
        <f t="shared" si="273"/>
        <v>0</v>
      </c>
      <c r="AN409" s="25"/>
      <c r="AO409" s="10" t="str">
        <f t="shared" si="274"/>
        <v>MarçoSEMANA 4Abobora Organica</v>
      </c>
      <c r="AP409" s="7">
        <f>SUMIF(NF!$A:$A,$AO409,NF!$I:$I)</f>
        <v>0</v>
      </c>
      <c r="AQ409" s="6"/>
      <c r="AR409" s="6"/>
      <c r="AS409" s="6"/>
      <c r="AT409" s="6"/>
      <c r="AU409" s="6"/>
      <c r="AV409" s="6"/>
      <c r="AW409" s="6"/>
      <c r="AX409" s="7">
        <f t="shared" si="275"/>
        <v>0</v>
      </c>
      <c r="AY409" s="11">
        <f t="shared" si="276"/>
        <v>0</v>
      </c>
      <c r="AZ409" s="25"/>
      <c r="BA409" s="10" t="str">
        <f t="shared" si="277"/>
        <v>MarçoSEMANA 5Abobora Organica</v>
      </c>
      <c r="BB409" s="7">
        <f>SUMIF(NF!$A:$A,$BA409,NF!$I:$I)</f>
        <v>0</v>
      </c>
      <c r="BC409" s="6"/>
      <c r="BD409" s="6"/>
      <c r="BE409" s="6"/>
      <c r="BF409" s="6"/>
      <c r="BG409" s="6"/>
      <c r="BH409" s="6"/>
      <c r="BI409" s="74"/>
      <c r="BJ409" s="74"/>
      <c r="BK409" s="7">
        <f t="shared" si="278"/>
        <v>0</v>
      </c>
      <c r="BL409" s="8">
        <f t="shared" si="279"/>
        <v>0</v>
      </c>
      <c r="BM409" s="51" t="str">
        <f>IFERROR(VLOOKUP(A409,NF!$M:$O,3,0),"")</f>
        <v>Hortifruti</v>
      </c>
      <c r="BN409" s="7">
        <f t="shared" si="280"/>
        <v>0</v>
      </c>
      <c r="BO409" s="8">
        <f t="array" ref="BO409">IFERROR(LARGE(IF(NF!$G$2:$G$3137='Mês atual'!A409,NF!$J$2:$J$3137),1),0)*BN409</f>
        <v>0</v>
      </c>
      <c r="BP409" s="50"/>
      <c r="BR409" s="146">
        <f t="array" ref="BR409">IFERROR(LARGE(IF(NF!$G$2:$G$3137='Mês atual'!A409,NF!$J$2:$J$3137),1),0)</f>
        <v>0</v>
      </c>
      <c r="BS409" s="142" t="str">
        <f>VLOOKUP(A409,NF!M:O,3,0)</f>
        <v>Hortifruti</v>
      </c>
      <c r="BV409" s="74">
        <f t="shared" si="281"/>
        <v>0</v>
      </c>
      <c r="BW409" s="74">
        <f t="shared" si="282"/>
        <v>0</v>
      </c>
      <c r="BX409" s="74">
        <f t="shared" si="283"/>
        <v>0</v>
      </c>
      <c r="BY409" s="74">
        <f t="shared" si="284"/>
        <v>0</v>
      </c>
      <c r="BZ409" s="74">
        <f t="shared" si="285"/>
        <v>0</v>
      </c>
    </row>
    <row r="410" spans="1:78" x14ac:dyDescent="0.2">
      <c r="A410" s="108" t="s">
        <v>72</v>
      </c>
      <c r="B410" s="12"/>
      <c r="C410" s="9">
        <v>7.36</v>
      </c>
      <c r="D410" s="25"/>
      <c r="E410" s="10" t="str">
        <f t="shared" si="265"/>
        <v xml:space="preserve">MarçoSEMANA 1Abobrinha </v>
      </c>
      <c r="F410" s="7">
        <f>SUMIF(NF!$A:$A,$E410,NF!$I:$I)</f>
        <v>35.4</v>
      </c>
      <c r="G410" s="74"/>
      <c r="H410" s="74"/>
      <c r="I410" s="74"/>
      <c r="J410" s="6">
        <f>7.36+3.1+0.095+1.02</f>
        <v>11.575000000000001</v>
      </c>
      <c r="K410" s="6"/>
      <c r="L410" s="6">
        <f>4.04+1+1.02</f>
        <v>6.0600000000000005</v>
      </c>
      <c r="M410" s="6">
        <f>4.2+1+1+1.02</f>
        <v>7.2200000000000006</v>
      </c>
      <c r="N410" s="7">
        <f t="shared" si="266"/>
        <v>24.855000000000004</v>
      </c>
      <c r="O410" s="11">
        <f t="shared" si="267"/>
        <v>17.904999999999994</v>
      </c>
      <c r="P410" s="25"/>
      <c r="Q410" s="10" t="str">
        <f t="shared" si="268"/>
        <v xml:space="preserve">MarçoSEMANA 2Abobrinha </v>
      </c>
      <c r="R410" s="7">
        <f>SUMIF(NF!$A:$A,$Q410,NF!$I:$I)</f>
        <v>25.974</v>
      </c>
      <c r="S410" s="6">
        <f>1.5+5+2+2.06+1+1.02</f>
        <v>12.58</v>
      </c>
      <c r="T410" s="6">
        <f>2.67+3.126+2.104+5.14+5.06+1+1.02</f>
        <v>20.119999999999997</v>
      </c>
      <c r="U410" s="6"/>
      <c r="V410" s="6"/>
      <c r="W410" s="6">
        <f>3.02+1+1.02</f>
        <v>5.0399999999999991</v>
      </c>
      <c r="X410" s="6"/>
      <c r="Y410" s="6">
        <f>4.5+1+0.635</f>
        <v>6.1349999999999998</v>
      </c>
      <c r="Z410" s="7">
        <f t="shared" si="269"/>
        <v>43.874999999999993</v>
      </c>
      <c r="AA410" s="11">
        <f t="shared" si="270"/>
        <v>3.9999999999977831E-3</v>
      </c>
      <c r="AB410" s="25"/>
      <c r="AC410" s="10" t="str">
        <f t="shared" si="271"/>
        <v xml:space="preserve">MarçoSEMANA 3Abobrinha </v>
      </c>
      <c r="AD410" s="7">
        <f>SUMIF(NF!$A:$A,$AC410,NF!$I:$I)</f>
        <v>46.22</v>
      </c>
      <c r="AE410" s="6">
        <f>6.755+1.02+0.38</f>
        <v>8.1550000000000011</v>
      </c>
      <c r="AF410" s="6">
        <f>4.08+1.574+1.02</f>
        <v>6.6739999999999995</v>
      </c>
      <c r="AG410" s="6">
        <f>12+2+1.02</f>
        <v>15.02</v>
      </c>
      <c r="AH410" s="6"/>
      <c r="AI410" s="6">
        <f>5.4+2.08+1.02</f>
        <v>8.5</v>
      </c>
      <c r="AJ410" s="6"/>
      <c r="AK410" s="6">
        <f>3.08+2+1.02</f>
        <v>6.1</v>
      </c>
      <c r="AL410" s="7">
        <f t="shared" si="272"/>
        <v>44.449000000000005</v>
      </c>
      <c r="AM410" s="11">
        <f t="shared" si="273"/>
        <v>1.7749999999999915</v>
      </c>
      <c r="AN410" s="25"/>
      <c r="AO410" s="10" t="str">
        <f t="shared" si="274"/>
        <v xml:space="preserve">MarçoSEMANA 4Abobrinha </v>
      </c>
      <c r="AP410" s="7">
        <f>SUMIF(NF!$A:$A,$AO410,NF!$I:$I)</f>
        <v>32.28</v>
      </c>
      <c r="AQ410" s="6">
        <f>2.6+1.2+1.02</f>
        <v>4.82</v>
      </c>
      <c r="AR410" s="6"/>
      <c r="AS410" s="6"/>
      <c r="AT410" s="6">
        <f>3.02+1.5+1.02</f>
        <v>5.5399999999999991</v>
      </c>
      <c r="AU410" s="6"/>
      <c r="AV410" s="6">
        <f>3.56+1.02</f>
        <v>4.58</v>
      </c>
      <c r="AW410" s="6">
        <f>5.04+1.02</f>
        <v>6.0600000000000005</v>
      </c>
      <c r="AX410" s="7">
        <f t="shared" si="275"/>
        <v>21</v>
      </c>
      <c r="AY410" s="11">
        <f t="shared" si="276"/>
        <v>13.054999999999993</v>
      </c>
      <c r="AZ410" s="25"/>
      <c r="BA410" s="10" t="str">
        <f t="shared" si="277"/>
        <v xml:space="preserve">MarçoSEMANA 5Abobrinha </v>
      </c>
      <c r="BB410" s="7">
        <f>SUMIF(NF!$A:$A,$BA410,NF!$I:$I)</f>
        <v>16.2</v>
      </c>
      <c r="BC410" s="6">
        <f>2+1.02</f>
        <v>3.02</v>
      </c>
      <c r="BD410" s="6"/>
      <c r="BE410" s="6">
        <f>3+1.02</f>
        <v>4.0199999999999996</v>
      </c>
      <c r="BF410" s="6">
        <f>4.3+1.02+1.02</f>
        <v>6.34</v>
      </c>
      <c r="BG410" s="6">
        <f>1.572+1.02</f>
        <v>2.5920000000000001</v>
      </c>
      <c r="BH410" s="6">
        <f>1.6+1.02</f>
        <v>2.62</v>
      </c>
      <c r="BI410" s="74"/>
      <c r="BJ410" s="74"/>
      <c r="BK410" s="7">
        <f t="shared" si="278"/>
        <v>18.591999999999999</v>
      </c>
      <c r="BL410" s="8">
        <f t="shared" si="279"/>
        <v>10.662999999999993</v>
      </c>
      <c r="BM410" s="51" t="str">
        <f>IFERROR(VLOOKUP(A410,NF!$M:$O,3,0),"")</f>
        <v>Hortifruti</v>
      </c>
      <c r="BN410" s="7">
        <f t="shared" si="280"/>
        <v>152.77100000000002</v>
      </c>
      <c r="BO410" s="8">
        <f t="array" ref="BO410">IFERROR(LARGE(IF(NF!$G$2:$G$3137='Mês atual'!A410,NF!$J$2:$J$3137),1),0)*BN410</f>
        <v>608.02858000000003</v>
      </c>
      <c r="BP410" s="50"/>
      <c r="BR410" s="146">
        <f t="array" ref="BR410">IFERROR(LARGE(IF(NF!$G$2:$G$3137='Mês atual'!A410,NF!$J$2:$J$3137),1),0)</f>
        <v>3.98</v>
      </c>
      <c r="BS410" s="142" t="str">
        <f>VLOOKUP(A410,NF!M:O,3,0)</f>
        <v>Hortifruti</v>
      </c>
      <c r="BV410" s="74">
        <f t="shared" si="281"/>
        <v>24.855000000000004</v>
      </c>
      <c r="BW410" s="74">
        <f t="shared" si="282"/>
        <v>43.874999999999993</v>
      </c>
      <c r="BX410" s="74">
        <f t="shared" si="283"/>
        <v>44.449000000000005</v>
      </c>
      <c r="BY410" s="74">
        <f t="shared" si="284"/>
        <v>21</v>
      </c>
      <c r="BZ410" s="74">
        <f t="shared" si="285"/>
        <v>18.591999999999999</v>
      </c>
    </row>
    <row r="411" spans="1:78" x14ac:dyDescent="0.2">
      <c r="A411" s="108" t="s">
        <v>73</v>
      </c>
      <c r="B411" s="12"/>
      <c r="C411" s="9">
        <v>0</v>
      </c>
      <c r="D411" s="25"/>
      <c r="E411" s="10" t="str">
        <f t="shared" si="265"/>
        <v>MarçoSEMANA 1Abobrinha Organica</v>
      </c>
      <c r="F411" s="7">
        <f>SUMIF(NF!$A:$A,$E411,NF!$I:$I)</f>
        <v>0</v>
      </c>
      <c r="G411" s="74"/>
      <c r="H411" s="74"/>
      <c r="I411" s="74"/>
      <c r="J411" s="6"/>
      <c r="K411" s="6"/>
      <c r="L411" s="6"/>
      <c r="M411" s="6"/>
      <c r="N411" s="7">
        <f t="shared" si="266"/>
        <v>0</v>
      </c>
      <c r="O411" s="11">
        <f t="shared" si="267"/>
        <v>0</v>
      </c>
      <c r="P411" s="25"/>
      <c r="Q411" s="10" t="str">
        <f t="shared" si="268"/>
        <v>MarçoSEMANA 2Abobrinha Organica</v>
      </c>
      <c r="R411" s="7">
        <f>SUMIF(NF!$A:$A,$Q411,NF!$I:$I)</f>
        <v>0</v>
      </c>
      <c r="S411" s="6"/>
      <c r="T411" s="6"/>
      <c r="U411" s="6"/>
      <c r="V411" s="6"/>
      <c r="W411" s="6"/>
      <c r="X411" s="6"/>
      <c r="Y411" s="6"/>
      <c r="Z411" s="7">
        <f t="shared" si="269"/>
        <v>0</v>
      </c>
      <c r="AA411" s="11">
        <f t="shared" si="270"/>
        <v>0</v>
      </c>
      <c r="AB411" s="25"/>
      <c r="AC411" s="10" t="str">
        <f t="shared" si="271"/>
        <v>MarçoSEMANA 3Abobrinha Organica</v>
      </c>
      <c r="AD411" s="7">
        <f>SUMIF(NF!$A:$A,$AC411,NF!$I:$I)</f>
        <v>0</v>
      </c>
      <c r="AE411" s="6"/>
      <c r="AF411" s="6"/>
      <c r="AG411" s="6"/>
      <c r="AH411" s="6"/>
      <c r="AI411" s="6"/>
      <c r="AJ411" s="6"/>
      <c r="AK411" s="6"/>
      <c r="AL411" s="7">
        <f t="shared" si="272"/>
        <v>0</v>
      </c>
      <c r="AM411" s="11">
        <f t="shared" si="273"/>
        <v>0</v>
      </c>
      <c r="AN411" s="25"/>
      <c r="AO411" s="10" t="str">
        <f t="shared" si="274"/>
        <v>MarçoSEMANA 4Abobrinha Organica</v>
      </c>
      <c r="AP411" s="7">
        <f>SUMIF(NF!$A:$A,$AO411,NF!$I:$I)</f>
        <v>0</v>
      </c>
      <c r="AQ411" s="6"/>
      <c r="AR411" s="6"/>
      <c r="AS411" s="6"/>
      <c r="AT411" s="6"/>
      <c r="AU411" s="6"/>
      <c r="AV411" s="6"/>
      <c r="AW411" s="6"/>
      <c r="AX411" s="7">
        <f t="shared" si="275"/>
        <v>0</v>
      </c>
      <c r="AY411" s="11">
        <f t="shared" si="276"/>
        <v>0</v>
      </c>
      <c r="AZ411" s="25"/>
      <c r="BA411" s="10" t="str">
        <f t="shared" si="277"/>
        <v>MarçoSEMANA 5Abobrinha Organica</v>
      </c>
      <c r="BB411" s="7">
        <f>SUMIF(NF!$A:$A,$BA411,NF!$I:$I)</f>
        <v>0</v>
      </c>
      <c r="BC411" s="6"/>
      <c r="BD411" s="6"/>
      <c r="BE411" s="6"/>
      <c r="BF411" s="6"/>
      <c r="BG411" s="6"/>
      <c r="BH411" s="6"/>
      <c r="BI411" s="74"/>
      <c r="BJ411" s="74"/>
      <c r="BK411" s="7">
        <f t="shared" si="278"/>
        <v>0</v>
      </c>
      <c r="BL411" s="8">
        <f t="shared" si="279"/>
        <v>0</v>
      </c>
      <c r="BM411" s="51" t="str">
        <f>IFERROR(VLOOKUP(A411,NF!$M:$O,3,0),"")</f>
        <v>Hortifruti</v>
      </c>
      <c r="BN411" s="7">
        <f t="shared" si="280"/>
        <v>0</v>
      </c>
      <c r="BO411" s="8">
        <f t="array" ref="BO411">IFERROR(LARGE(IF(NF!$G$2:$G$3137='Mês atual'!A411,NF!$J$2:$J$3137),1),0)*BN411</f>
        <v>0</v>
      </c>
      <c r="BP411" s="50"/>
      <c r="BR411" s="146">
        <f t="array" ref="BR411">IFERROR(LARGE(IF(NF!$G$2:$G$3137='Mês atual'!A411,NF!$J$2:$J$3137),1),0)</f>
        <v>0</v>
      </c>
      <c r="BS411" s="142" t="str">
        <f>VLOOKUP(A411,NF!M:O,3,0)</f>
        <v>Hortifruti</v>
      </c>
      <c r="BV411" s="74">
        <f t="shared" si="281"/>
        <v>0</v>
      </c>
      <c r="BW411" s="74">
        <f t="shared" si="282"/>
        <v>0</v>
      </c>
      <c r="BX411" s="74">
        <f t="shared" si="283"/>
        <v>0</v>
      </c>
      <c r="BY411" s="74">
        <f t="shared" si="284"/>
        <v>0</v>
      </c>
      <c r="BZ411" s="74">
        <f t="shared" si="285"/>
        <v>0</v>
      </c>
    </row>
    <row r="412" spans="1:78" x14ac:dyDescent="0.2">
      <c r="A412" s="108" t="s">
        <v>75</v>
      </c>
      <c r="B412" s="12"/>
      <c r="C412" s="9">
        <v>0</v>
      </c>
      <c r="D412" s="25"/>
      <c r="E412" s="10" t="str">
        <f t="shared" si="265"/>
        <v>MarçoSEMANA 1Acelga</v>
      </c>
      <c r="F412" s="7">
        <f>SUMIF(NF!$A:$A,$E412,NF!$I:$I)</f>
        <v>0</v>
      </c>
      <c r="G412" s="74"/>
      <c r="H412" s="74"/>
      <c r="I412" s="74"/>
      <c r="J412" s="6"/>
      <c r="K412" s="6"/>
      <c r="L412" s="6"/>
      <c r="M412" s="6"/>
      <c r="N412" s="7">
        <f t="shared" si="266"/>
        <v>0</v>
      </c>
      <c r="O412" s="11">
        <f t="shared" si="267"/>
        <v>0</v>
      </c>
      <c r="P412" s="25"/>
      <c r="Q412" s="10" t="str">
        <f t="shared" si="268"/>
        <v>MarçoSEMANA 2Acelga</v>
      </c>
      <c r="R412" s="7">
        <f>SUMIF(NF!$A:$A,$Q412,NF!$I:$I)</f>
        <v>8</v>
      </c>
      <c r="S412" s="6"/>
      <c r="T412" s="6"/>
      <c r="U412" s="6">
        <v>4</v>
      </c>
      <c r="V412" s="6"/>
      <c r="W412" s="6">
        <v>4</v>
      </c>
      <c r="X412" s="6"/>
      <c r="Y412" s="6"/>
      <c r="Z412" s="7">
        <f t="shared" si="269"/>
        <v>8</v>
      </c>
      <c r="AA412" s="11">
        <f t="shared" si="270"/>
        <v>0</v>
      </c>
      <c r="AB412" s="25"/>
      <c r="AC412" s="10" t="str">
        <f t="shared" si="271"/>
        <v>MarçoSEMANA 3Acelga</v>
      </c>
      <c r="AD412" s="7">
        <f>SUMIF(NF!$A:$A,$AC412,NF!$I:$I)</f>
        <v>3</v>
      </c>
      <c r="AE412" s="6"/>
      <c r="AF412" s="6"/>
      <c r="AG412" s="6"/>
      <c r="AH412" s="6"/>
      <c r="AI412" s="6"/>
      <c r="AJ412" s="6"/>
      <c r="AK412" s="6">
        <v>3</v>
      </c>
      <c r="AL412" s="7">
        <f t="shared" si="272"/>
        <v>3</v>
      </c>
      <c r="AM412" s="11">
        <f t="shared" si="273"/>
        <v>0</v>
      </c>
      <c r="AN412" s="25"/>
      <c r="AO412" s="10" t="str">
        <f t="shared" si="274"/>
        <v>MarçoSEMANA 4Acelga</v>
      </c>
      <c r="AP412" s="7">
        <f>SUMIF(NF!$A:$A,$AO412,NF!$I:$I)</f>
        <v>1.5</v>
      </c>
      <c r="AQ412" s="6"/>
      <c r="AR412" s="6"/>
      <c r="AS412" s="6">
        <v>1.5</v>
      </c>
      <c r="AT412" s="6"/>
      <c r="AU412" s="6"/>
      <c r="AV412" s="6"/>
      <c r="AW412" s="6"/>
      <c r="AX412" s="7">
        <f t="shared" si="275"/>
        <v>1.5</v>
      </c>
      <c r="AY412" s="11">
        <f t="shared" si="276"/>
        <v>0</v>
      </c>
      <c r="AZ412" s="25"/>
      <c r="BA412" s="10" t="str">
        <f t="shared" si="277"/>
        <v>MarçoSEMANA 5Acelga</v>
      </c>
      <c r="BB412" s="7">
        <f>SUMIF(NF!$A:$A,$BA412,NF!$I:$I)</f>
        <v>2.6</v>
      </c>
      <c r="BC412" s="6"/>
      <c r="BD412" s="6"/>
      <c r="BE412" s="6">
        <v>2</v>
      </c>
      <c r="BF412" s="6"/>
      <c r="BG412" s="6"/>
      <c r="BH412" s="6"/>
      <c r="BI412" s="74"/>
      <c r="BJ412" s="74"/>
      <c r="BK412" s="7">
        <f t="shared" si="278"/>
        <v>2</v>
      </c>
      <c r="BL412" s="8">
        <f t="shared" si="279"/>
        <v>0.60000000000000009</v>
      </c>
      <c r="BM412" s="51" t="str">
        <f>IFERROR(VLOOKUP(A412,NF!$M:$O,3,0),"")</f>
        <v>Hortifruti</v>
      </c>
      <c r="BN412" s="7">
        <f t="shared" si="280"/>
        <v>14.5</v>
      </c>
      <c r="BO412" s="8">
        <f t="array" ref="BO412">IFERROR(LARGE(IF(NF!$G$2:$G$3137='Mês atual'!A412,NF!$J$2:$J$3137),1),0)*BN412</f>
        <v>144.75833333333335</v>
      </c>
      <c r="BP412" s="50"/>
      <c r="BR412" s="146">
        <f t="array" ref="BR412">IFERROR(LARGE(IF(NF!$G$2:$G$3137='Mês atual'!A412,NF!$J$2:$J$3137),1),0)</f>
        <v>9.9833333333333343</v>
      </c>
      <c r="BS412" s="142" t="str">
        <f>VLOOKUP(A412,NF!M:O,3,0)</f>
        <v>Hortifruti</v>
      </c>
      <c r="BV412" s="74">
        <f t="shared" si="281"/>
        <v>0</v>
      </c>
      <c r="BW412" s="74">
        <f t="shared" si="282"/>
        <v>8</v>
      </c>
      <c r="BX412" s="74">
        <f t="shared" si="283"/>
        <v>3</v>
      </c>
      <c r="BY412" s="74">
        <f t="shared" si="284"/>
        <v>1.5</v>
      </c>
      <c r="BZ412" s="74">
        <f t="shared" si="285"/>
        <v>2</v>
      </c>
    </row>
    <row r="413" spans="1:78" x14ac:dyDescent="0.25">
      <c r="A413" s="108" t="s">
        <v>85</v>
      </c>
      <c r="B413" s="12"/>
      <c r="C413" s="9">
        <v>0</v>
      </c>
      <c r="D413" s="25"/>
      <c r="E413" s="10" t="str">
        <f t="shared" si="265"/>
        <v>MarçoSEMANA 1Agrião</v>
      </c>
      <c r="F413" s="7">
        <f>SUMIF(NF!$A:$A,$E413,NF!$I:$I)</f>
        <v>0</v>
      </c>
      <c r="G413" s="74"/>
      <c r="H413" s="74"/>
      <c r="I413" s="74"/>
      <c r="J413" s="6"/>
      <c r="K413" s="6"/>
      <c r="L413" s="6"/>
      <c r="M413" s="6"/>
      <c r="N413" s="7">
        <f t="shared" si="266"/>
        <v>0</v>
      </c>
      <c r="O413" s="11">
        <f t="shared" si="267"/>
        <v>0</v>
      </c>
      <c r="P413" s="25"/>
      <c r="Q413" s="10" t="str">
        <f t="shared" si="268"/>
        <v>MarçoSEMANA 2Agrião</v>
      </c>
      <c r="R413" s="7">
        <f>SUMIF(NF!$A:$A,$Q413,NF!$I:$I)</f>
        <v>0</v>
      </c>
      <c r="S413" s="6"/>
      <c r="T413" s="6"/>
      <c r="U413" s="6"/>
      <c r="V413" s="6"/>
      <c r="W413" s="6"/>
      <c r="X413" s="6"/>
      <c r="Y413" s="6"/>
      <c r="Z413" s="7">
        <f t="shared" si="269"/>
        <v>0</v>
      </c>
      <c r="AA413" s="11">
        <f t="shared" si="270"/>
        <v>0</v>
      </c>
      <c r="AB413" s="25"/>
      <c r="AC413" s="10" t="str">
        <f t="shared" si="271"/>
        <v>MarçoSEMANA 3Agrião</v>
      </c>
      <c r="AD413" s="7">
        <f>SUMIF(NF!$A:$A,$AC413,NF!$I:$I)</f>
        <v>0</v>
      </c>
      <c r="AE413" s="6"/>
      <c r="AF413" s="6"/>
      <c r="AG413" s="6"/>
      <c r="AH413" s="6"/>
      <c r="AI413" s="6"/>
      <c r="AJ413" s="6"/>
      <c r="AK413" s="6"/>
      <c r="AL413" s="7">
        <f t="shared" si="272"/>
        <v>0</v>
      </c>
      <c r="AM413" s="11">
        <f t="shared" si="273"/>
        <v>0</v>
      </c>
      <c r="AN413" s="25"/>
      <c r="AO413" s="10" t="str">
        <f t="shared" si="274"/>
        <v>MarçoSEMANA 4Agrião</v>
      </c>
      <c r="AP413" s="7">
        <f>SUMIF(NF!$A:$A,$AO413,NF!$I:$I)</f>
        <v>0</v>
      </c>
      <c r="AQ413" s="6"/>
      <c r="AR413" s="6"/>
      <c r="AS413" s="6"/>
      <c r="AT413" s="6"/>
      <c r="AU413" s="6"/>
      <c r="AV413" s="6"/>
      <c r="AW413" s="6"/>
      <c r="AX413" s="7">
        <f t="shared" si="275"/>
        <v>0</v>
      </c>
      <c r="AY413" s="11">
        <f t="shared" si="276"/>
        <v>0</v>
      </c>
      <c r="AZ413" s="25"/>
      <c r="BA413" s="10" t="str">
        <f t="shared" si="277"/>
        <v>MarçoSEMANA 5Agrião</v>
      </c>
      <c r="BB413" s="7">
        <f>SUMIF(NF!$A:$A,$BA413,NF!$I:$I)</f>
        <v>1.5</v>
      </c>
      <c r="BC413" s="6"/>
      <c r="BD413" s="6"/>
      <c r="BE413" s="6"/>
      <c r="BF413" s="6"/>
      <c r="BG413" s="6"/>
      <c r="BH413" s="6"/>
      <c r="BI413" s="74"/>
      <c r="BJ413" s="74"/>
      <c r="BK413" s="7">
        <f t="shared" si="278"/>
        <v>0</v>
      </c>
      <c r="BL413" s="8">
        <f t="shared" si="279"/>
        <v>1.5</v>
      </c>
      <c r="BM413" s="51" t="str">
        <f>IFERROR(VLOOKUP(A413,NF!$M:$O,3,0),"")</f>
        <v>Hortifruti</v>
      </c>
      <c r="BN413" s="7">
        <f t="shared" si="280"/>
        <v>0</v>
      </c>
      <c r="BO413" s="8">
        <f t="array" ref="BO413">IFERROR(LARGE(IF(NF!$G$2:$G$3137='Mês atual'!A413,NF!$J$2:$J$3137),1),0)*BN413</f>
        <v>0</v>
      </c>
      <c r="BP413" s="50"/>
      <c r="BR413" s="146">
        <f t="array" ref="BR413">IFERROR(LARGE(IF(NF!$G$2:$G$3137='Mês atual'!A413,NF!$J$2:$J$3137),1),0)</f>
        <v>3.5</v>
      </c>
      <c r="BS413" s="142" t="str">
        <f>VLOOKUP(A413,NF!M:O,3,0)</f>
        <v>Hortifruti</v>
      </c>
      <c r="BV413" s="74">
        <f t="shared" si="281"/>
        <v>0</v>
      </c>
      <c r="BW413" s="74">
        <f t="shared" si="282"/>
        <v>0</v>
      </c>
      <c r="BX413" s="74">
        <f t="shared" si="283"/>
        <v>0</v>
      </c>
      <c r="BY413" s="74">
        <f t="shared" si="284"/>
        <v>0</v>
      </c>
      <c r="BZ413" s="74">
        <f t="shared" si="285"/>
        <v>0</v>
      </c>
    </row>
    <row r="414" spans="1:78" x14ac:dyDescent="0.25">
      <c r="A414" s="108" t="s">
        <v>86</v>
      </c>
      <c r="B414" s="12"/>
      <c r="C414" s="9">
        <v>0</v>
      </c>
      <c r="D414" s="25"/>
      <c r="E414" s="10" t="str">
        <f t="shared" si="265"/>
        <v>MarçoSEMANA 1Agrião Orgânico</v>
      </c>
      <c r="F414" s="7">
        <f>SUMIF(NF!$A:$A,$E414,NF!$I:$I)</f>
        <v>0</v>
      </c>
      <c r="G414" s="74"/>
      <c r="H414" s="74"/>
      <c r="I414" s="74"/>
      <c r="J414" s="6"/>
      <c r="K414" s="6"/>
      <c r="L414" s="6"/>
      <c r="M414" s="6"/>
      <c r="N414" s="7">
        <f t="shared" si="266"/>
        <v>0</v>
      </c>
      <c r="O414" s="11">
        <f t="shared" si="267"/>
        <v>0</v>
      </c>
      <c r="P414" s="25"/>
      <c r="Q414" s="10" t="str">
        <f t="shared" si="268"/>
        <v>MarçoSEMANA 2Agrião Orgânico</v>
      </c>
      <c r="R414" s="7">
        <f>SUMIF(NF!$A:$A,$Q414,NF!$I:$I)</f>
        <v>0</v>
      </c>
      <c r="S414" s="6"/>
      <c r="T414" s="6"/>
      <c r="U414" s="6"/>
      <c r="V414" s="6"/>
      <c r="W414" s="6"/>
      <c r="X414" s="6"/>
      <c r="Y414" s="6"/>
      <c r="Z414" s="7">
        <f t="shared" si="269"/>
        <v>0</v>
      </c>
      <c r="AA414" s="11">
        <f t="shared" si="270"/>
        <v>0</v>
      </c>
      <c r="AB414" s="25"/>
      <c r="AC414" s="10" t="str">
        <f t="shared" si="271"/>
        <v>MarçoSEMANA 3Agrião Orgânico</v>
      </c>
      <c r="AD414" s="7">
        <f>SUMIF(NF!$A:$A,$AC414,NF!$I:$I)</f>
        <v>0</v>
      </c>
      <c r="AE414" s="6"/>
      <c r="AF414" s="6"/>
      <c r="AG414" s="6"/>
      <c r="AH414" s="6"/>
      <c r="AI414" s="6"/>
      <c r="AJ414" s="6"/>
      <c r="AK414" s="6"/>
      <c r="AL414" s="7">
        <f t="shared" si="272"/>
        <v>0</v>
      </c>
      <c r="AM414" s="11">
        <f t="shared" si="273"/>
        <v>0</v>
      </c>
      <c r="AN414" s="25"/>
      <c r="AO414" s="10" t="str">
        <f t="shared" si="274"/>
        <v>MarçoSEMANA 4Agrião Orgânico</v>
      </c>
      <c r="AP414" s="7">
        <f>SUMIF(NF!$A:$A,$AO414,NF!$I:$I)</f>
        <v>0</v>
      </c>
      <c r="AQ414" s="6"/>
      <c r="AR414" s="6"/>
      <c r="AS414" s="6"/>
      <c r="AT414" s="6"/>
      <c r="AU414" s="6"/>
      <c r="AV414" s="6"/>
      <c r="AW414" s="6"/>
      <c r="AX414" s="7">
        <f t="shared" si="275"/>
        <v>0</v>
      </c>
      <c r="AY414" s="11">
        <f t="shared" si="276"/>
        <v>0</v>
      </c>
      <c r="AZ414" s="25"/>
      <c r="BA414" s="10" t="str">
        <f t="shared" si="277"/>
        <v>MarçoSEMANA 5Agrião Orgânico</v>
      </c>
      <c r="BB414" s="7">
        <f>SUMIF(NF!$A:$A,$BA414,NF!$I:$I)</f>
        <v>0</v>
      </c>
      <c r="BC414" s="6"/>
      <c r="BD414" s="6"/>
      <c r="BE414" s="6"/>
      <c r="BF414" s="6"/>
      <c r="BG414" s="6"/>
      <c r="BH414" s="6"/>
      <c r="BI414" s="74"/>
      <c r="BJ414" s="74"/>
      <c r="BK414" s="7">
        <f t="shared" si="278"/>
        <v>0</v>
      </c>
      <c r="BL414" s="8">
        <f t="shared" si="279"/>
        <v>0</v>
      </c>
      <c r="BM414" s="51" t="str">
        <f>IFERROR(VLOOKUP(A414,NF!$M:$O,3,0),"")</f>
        <v>Hortifruti</v>
      </c>
      <c r="BN414" s="7">
        <f t="shared" si="280"/>
        <v>0</v>
      </c>
      <c r="BO414" s="8">
        <f t="array" ref="BO414">IFERROR(LARGE(IF(NF!$G$2:$G$3137='Mês atual'!A414,NF!$J$2:$J$3137),1),0)*BN414</f>
        <v>0</v>
      </c>
      <c r="BP414" s="50"/>
      <c r="BR414" s="146">
        <f t="array" ref="BR414">IFERROR(LARGE(IF(NF!$G$2:$G$3137='Mês atual'!A414,NF!$J$2:$J$3137),1),0)</f>
        <v>0</v>
      </c>
      <c r="BS414" s="142" t="str">
        <f>VLOOKUP(A414,NF!M:O,3,0)</f>
        <v>Hortifruti</v>
      </c>
      <c r="BV414" s="74">
        <f t="shared" si="281"/>
        <v>0</v>
      </c>
      <c r="BW414" s="74">
        <f t="shared" si="282"/>
        <v>0</v>
      </c>
      <c r="BX414" s="74">
        <f t="shared" si="283"/>
        <v>0</v>
      </c>
      <c r="BY414" s="74">
        <f t="shared" si="284"/>
        <v>0</v>
      </c>
      <c r="BZ414" s="74">
        <f t="shared" si="285"/>
        <v>0</v>
      </c>
    </row>
    <row r="415" spans="1:78" x14ac:dyDescent="0.25">
      <c r="A415" s="108" t="s">
        <v>88</v>
      </c>
      <c r="B415" s="12"/>
      <c r="C415" s="9">
        <v>0</v>
      </c>
      <c r="D415" s="25"/>
      <c r="E415" s="10" t="str">
        <f t="shared" si="265"/>
        <v>MarçoSEMANA 1Água de Côco</v>
      </c>
      <c r="F415" s="7">
        <f>SUMIF(NF!$A:$A,$E415,NF!$I:$I)</f>
        <v>0</v>
      </c>
      <c r="G415" s="74"/>
      <c r="H415" s="74"/>
      <c r="I415" s="74"/>
      <c r="J415" s="6"/>
      <c r="K415" s="6"/>
      <c r="L415" s="6"/>
      <c r="M415" s="6"/>
      <c r="N415" s="7">
        <f t="shared" si="266"/>
        <v>0</v>
      </c>
      <c r="O415" s="11">
        <f t="shared" si="267"/>
        <v>0</v>
      </c>
      <c r="P415" s="25"/>
      <c r="Q415" s="10" t="str">
        <f t="shared" si="268"/>
        <v>MarçoSEMANA 2Água de Côco</v>
      </c>
      <c r="R415" s="7">
        <f>SUMIF(NF!$A:$A,$Q415,NF!$I:$I)</f>
        <v>0</v>
      </c>
      <c r="S415" s="6"/>
      <c r="T415" s="6"/>
      <c r="U415" s="6"/>
      <c r="V415" s="6"/>
      <c r="W415" s="6"/>
      <c r="X415" s="6"/>
      <c r="Y415" s="6"/>
      <c r="Z415" s="7">
        <f t="shared" si="269"/>
        <v>0</v>
      </c>
      <c r="AA415" s="11">
        <f t="shared" si="270"/>
        <v>0</v>
      </c>
      <c r="AB415" s="25"/>
      <c r="AC415" s="10" t="str">
        <f t="shared" si="271"/>
        <v>MarçoSEMANA 3Água de Côco</v>
      </c>
      <c r="AD415" s="7">
        <f>SUMIF(NF!$A:$A,$AC415,NF!$I:$I)</f>
        <v>0</v>
      </c>
      <c r="AE415" s="6"/>
      <c r="AF415" s="6"/>
      <c r="AG415" s="6"/>
      <c r="AH415" s="6"/>
      <c r="AI415" s="6"/>
      <c r="AJ415" s="6"/>
      <c r="AK415" s="6"/>
      <c r="AL415" s="7">
        <f t="shared" si="272"/>
        <v>0</v>
      </c>
      <c r="AM415" s="11">
        <f t="shared" si="273"/>
        <v>0</v>
      </c>
      <c r="AN415" s="25"/>
      <c r="AO415" s="10" t="str">
        <f t="shared" si="274"/>
        <v>MarçoSEMANA 4Água de Côco</v>
      </c>
      <c r="AP415" s="7">
        <f>SUMIF(NF!$A:$A,$AO415,NF!$I:$I)</f>
        <v>0</v>
      </c>
      <c r="AQ415" s="6"/>
      <c r="AR415" s="6"/>
      <c r="AS415" s="6"/>
      <c r="AT415" s="6"/>
      <c r="AU415" s="6"/>
      <c r="AV415" s="6"/>
      <c r="AW415" s="6"/>
      <c r="AX415" s="7">
        <f t="shared" si="275"/>
        <v>0</v>
      </c>
      <c r="AY415" s="11">
        <f t="shared" si="276"/>
        <v>0</v>
      </c>
      <c r="AZ415" s="25"/>
      <c r="BA415" s="10" t="str">
        <f t="shared" si="277"/>
        <v>MarçoSEMANA 5Água de Côco</v>
      </c>
      <c r="BB415" s="7">
        <f>SUMIF(NF!$A:$A,$BA415,NF!$I:$I)</f>
        <v>0</v>
      </c>
      <c r="BC415" s="6"/>
      <c r="BD415" s="6"/>
      <c r="BE415" s="6"/>
      <c r="BF415" s="6"/>
      <c r="BG415" s="6"/>
      <c r="BH415" s="6"/>
      <c r="BI415" s="74"/>
      <c r="BJ415" s="74"/>
      <c r="BK415" s="7">
        <f t="shared" si="278"/>
        <v>0</v>
      </c>
      <c r="BL415" s="8">
        <f t="shared" si="279"/>
        <v>0</v>
      </c>
      <c r="BM415" s="51" t="str">
        <f>IFERROR(VLOOKUP(A415,NF!$M:$O,3,0),"")</f>
        <v>Hortifruti</v>
      </c>
      <c r="BN415" s="7">
        <f t="shared" si="280"/>
        <v>0</v>
      </c>
      <c r="BO415" s="8">
        <f t="array" ref="BO415">IFERROR(LARGE(IF(NF!$G$2:$G$3137='Mês atual'!A415,NF!$J$2:$J$3137),1),0)*BN415</f>
        <v>0</v>
      </c>
      <c r="BP415" s="50"/>
      <c r="BR415" s="146">
        <f t="array" ref="BR415">IFERROR(LARGE(IF(NF!$G$2:$G$3137='Mês atual'!A415,NF!$J$2:$J$3137),1),0)</f>
        <v>0</v>
      </c>
      <c r="BS415" s="142" t="str">
        <f>VLOOKUP(A415,NF!M:O,3,0)</f>
        <v>Hortifruti</v>
      </c>
      <c r="BV415" s="74">
        <f t="shared" si="281"/>
        <v>0</v>
      </c>
      <c r="BW415" s="74">
        <f t="shared" si="282"/>
        <v>0</v>
      </c>
      <c r="BX415" s="74">
        <f t="shared" si="283"/>
        <v>0</v>
      </c>
      <c r="BY415" s="74">
        <f t="shared" si="284"/>
        <v>0</v>
      </c>
      <c r="BZ415" s="74">
        <f t="shared" si="285"/>
        <v>0</v>
      </c>
    </row>
    <row r="416" spans="1:78" x14ac:dyDescent="0.2">
      <c r="A416" s="108" t="s">
        <v>95</v>
      </c>
      <c r="B416" s="12"/>
      <c r="C416" s="9">
        <v>14</v>
      </c>
      <c r="D416" s="25"/>
      <c r="E416" s="10" t="str">
        <f t="shared" si="265"/>
        <v>MarçoSEMANA 1Aipim</v>
      </c>
      <c r="F416" s="7">
        <f>SUMIF(NF!$A:$A,$E416,NF!$I:$I)</f>
        <v>20</v>
      </c>
      <c r="G416" s="74"/>
      <c r="H416" s="74"/>
      <c r="I416" s="74"/>
      <c r="J416" s="6">
        <v>10</v>
      </c>
      <c r="K416" s="6"/>
      <c r="L416" s="6">
        <v>10</v>
      </c>
      <c r="M416" s="6"/>
      <c r="N416" s="7">
        <f t="shared" si="266"/>
        <v>20</v>
      </c>
      <c r="O416" s="11">
        <f t="shared" si="267"/>
        <v>14</v>
      </c>
      <c r="P416" s="25"/>
      <c r="Q416" s="10" t="str">
        <f t="shared" si="268"/>
        <v>MarçoSEMANA 2Aipim</v>
      </c>
      <c r="R416" s="7">
        <f>SUMIF(NF!$A:$A,$Q416,NF!$I:$I)</f>
        <v>40</v>
      </c>
      <c r="S416" s="6">
        <v>10</v>
      </c>
      <c r="T416" s="6">
        <v>10</v>
      </c>
      <c r="U416" s="6"/>
      <c r="V416" s="6">
        <v>10</v>
      </c>
      <c r="W416" s="6"/>
      <c r="X416" s="6"/>
      <c r="Y416" s="6">
        <v>14</v>
      </c>
      <c r="Z416" s="7">
        <f t="shared" si="269"/>
        <v>44</v>
      </c>
      <c r="AA416" s="11">
        <f t="shared" si="270"/>
        <v>10</v>
      </c>
      <c r="AB416" s="25"/>
      <c r="AC416" s="10" t="str">
        <f t="shared" si="271"/>
        <v>MarçoSEMANA 3Aipim</v>
      </c>
      <c r="AD416" s="7">
        <f>SUMIF(NF!$A:$A,$AC416,NF!$I:$I)</f>
        <v>40</v>
      </c>
      <c r="AE416" s="6">
        <v>10</v>
      </c>
      <c r="AF416" s="6">
        <v>10</v>
      </c>
      <c r="AG416" s="6"/>
      <c r="AH416" s="6"/>
      <c r="AI416" s="6">
        <v>10</v>
      </c>
      <c r="AJ416" s="6">
        <v>10</v>
      </c>
      <c r="AK416" s="6"/>
      <c r="AL416" s="7">
        <f t="shared" si="272"/>
        <v>40</v>
      </c>
      <c r="AM416" s="11">
        <f t="shared" si="273"/>
        <v>10</v>
      </c>
      <c r="AN416" s="25"/>
      <c r="AO416" s="10" t="str">
        <f t="shared" si="274"/>
        <v>MarçoSEMANA 4Aipim</v>
      </c>
      <c r="AP416" s="7">
        <f>SUMIF(NF!$A:$A,$AO416,NF!$I:$I)</f>
        <v>40</v>
      </c>
      <c r="AQ416" s="6">
        <v>10</v>
      </c>
      <c r="AR416" s="6">
        <v>10</v>
      </c>
      <c r="AS416" s="6">
        <v>10</v>
      </c>
      <c r="AT416" s="6">
        <v>10</v>
      </c>
      <c r="AU416" s="6"/>
      <c r="AV416" s="6"/>
      <c r="AW416" s="6"/>
      <c r="AX416" s="7">
        <f t="shared" si="275"/>
        <v>40</v>
      </c>
      <c r="AY416" s="11">
        <f t="shared" si="276"/>
        <v>10</v>
      </c>
      <c r="AZ416" s="25"/>
      <c r="BA416" s="10" t="str">
        <f t="shared" si="277"/>
        <v>MarçoSEMANA 5Aipim</v>
      </c>
      <c r="BB416" s="7">
        <f>SUMIF(NF!$A:$A,$BA416,NF!$I:$I)</f>
        <v>40</v>
      </c>
      <c r="BC416" s="6">
        <v>10</v>
      </c>
      <c r="BD416" s="6"/>
      <c r="BE416" s="6"/>
      <c r="BF416" s="6">
        <v>10</v>
      </c>
      <c r="BG416" s="6"/>
      <c r="BH416" s="6"/>
      <c r="BI416" s="74"/>
      <c r="BJ416" s="74"/>
      <c r="BK416" s="7">
        <f t="shared" si="278"/>
        <v>20</v>
      </c>
      <c r="BL416" s="8">
        <f t="shared" si="279"/>
        <v>30</v>
      </c>
      <c r="BM416" s="51" t="str">
        <f>IFERROR(VLOOKUP(A416,NF!$M:$O,3,0),"")</f>
        <v>Hortifruti</v>
      </c>
      <c r="BN416" s="7">
        <f t="shared" si="280"/>
        <v>164</v>
      </c>
      <c r="BO416" s="8">
        <f t="array" ref="BO416">IFERROR(LARGE(IF(NF!$G$2:$G$3137='Mês atual'!A416,NF!$J$2:$J$3137),1),0)*BN416</f>
        <v>820</v>
      </c>
      <c r="BP416" s="50"/>
      <c r="BR416" s="146">
        <f t="array" ref="BR416">IFERROR(LARGE(IF(NF!$G$2:$G$3137='Mês atual'!A416,NF!$J$2:$J$3137),1),0)</f>
        <v>5</v>
      </c>
      <c r="BS416" s="142" t="str">
        <f>VLOOKUP(A416,NF!M:O,3,0)</f>
        <v>Hortifruti</v>
      </c>
      <c r="BV416" s="74">
        <f t="shared" si="281"/>
        <v>20</v>
      </c>
      <c r="BW416" s="74">
        <f t="shared" si="282"/>
        <v>44</v>
      </c>
      <c r="BX416" s="74">
        <f t="shared" si="283"/>
        <v>40</v>
      </c>
      <c r="BY416" s="74">
        <f t="shared" si="284"/>
        <v>40</v>
      </c>
      <c r="BZ416" s="74">
        <f t="shared" si="285"/>
        <v>20</v>
      </c>
    </row>
    <row r="417" spans="1:78" x14ac:dyDescent="0.2">
      <c r="A417" s="108" t="s">
        <v>96</v>
      </c>
      <c r="B417" s="12"/>
      <c r="C417" s="9">
        <v>0</v>
      </c>
      <c r="D417" s="25"/>
      <c r="E417" s="10" t="str">
        <f t="shared" si="265"/>
        <v>MarçoSEMANA 1Aipo</v>
      </c>
      <c r="F417" s="7">
        <f>SUMIF(NF!$A:$A,$E417,NF!$I:$I)</f>
        <v>2.2000000000000002</v>
      </c>
      <c r="G417" s="74"/>
      <c r="H417" s="74"/>
      <c r="I417" s="74"/>
      <c r="J417" s="6">
        <v>1.2</v>
      </c>
      <c r="K417" s="6"/>
      <c r="L417" s="6">
        <v>1</v>
      </c>
      <c r="M417" s="6"/>
      <c r="N417" s="7">
        <f t="shared" si="266"/>
        <v>2.2000000000000002</v>
      </c>
      <c r="O417" s="11">
        <f t="shared" si="267"/>
        <v>0</v>
      </c>
      <c r="P417" s="25"/>
      <c r="Q417" s="10" t="str">
        <f t="shared" si="268"/>
        <v>MarçoSEMANA 2Aipo</v>
      </c>
      <c r="R417" s="7">
        <f>SUMIF(NF!$A:$A,$Q417,NF!$I:$I)</f>
        <v>1.3</v>
      </c>
      <c r="S417" s="6"/>
      <c r="T417" s="6"/>
      <c r="U417" s="6"/>
      <c r="V417" s="6"/>
      <c r="W417" s="6"/>
      <c r="X417" s="6">
        <v>1.3</v>
      </c>
      <c r="Y417" s="6"/>
      <c r="Z417" s="7">
        <f t="shared" si="269"/>
        <v>1.3</v>
      </c>
      <c r="AA417" s="11">
        <f t="shared" si="270"/>
        <v>0</v>
      </c>
      <c r="AB417" s="25"/>
      <c r="AC417" s="10" t="str">
        <f t="shared" si="271"/>
        <v>MarçoSEMANA 3Aipo</v>
      </c>
      <c r="AD417" s="7">
        <f>SUMIF(NF!$A:$A,$AC417,NF!$I:$I)</f>
        <v>1</v>
      </c>
      <c r="AE417" s="6"/>
      <c r="AF417" s="6"/>
      <c r="AG417" s="6"/>
      <c r="AH417" s="6">
        <v>1</v>
      </c>
      <c r="AI417" s="6"/>
      <c r="AJ417" s="6"/>
      <c r="AK417" s="6"/>
      <c r="AL417" s="7">
        <f t="shared" si="272"/>
        <v>1</v>
      </c>
      <c r="AM417" s="11">
        <f t="shared" si="273"/>
        <v>0</v>
      </c>
      <c r="AN417" s="25"/>
      <c r="AO417" s="10" t="str">
        <f t="shared" si="274"/>
        <v>MarçoSEMANA 4Aipo</v>
      </c>
      <c r="AP417" s="7">
        <f>SUMIF(NF!$A:$A,$AO417,NF!$I:$I)</f>
        <v>1</v>
      </c>
      <c r="AQ417" s="6"/>
      <c r="AR417" s="6"/>
      <c r="AS417" s="6">
        <v>1</v>
      </c>
      <c r="AT417" s="6"/>
      <c r="AU417" s="6"/>
      <c r="AV417" s="6"/>
      <c r="AW417" s="6"/>
      <c r="AX417" s="7">
        <f t="shared" si="275"/>
        <v>1</v>
      </c>
      <c r="AY417" s="11">
        <f t="shared" si="276"/>
        <v>0</v>
      </c>
      <c r="AZ417" s="25"/>
      <c r="BA417" s="10" t="str">
        <f t="shared" si="277"/>
        <v>MarçoSEMANA 5Aipo</v>
      </c>
      <c r="BB417" s="7">
        <f>SUMIF(NF!$A:$A,$BA417,NF!$I:$I)</f>
        <v>3.4000000000000004</v>
      </c>
      <c r="BC417" s="6">
        <v>1.2</v>
      </c>
      <c r="BD417" s="6"/>
      <c r="BE417" s="6"/>
      <c r="BF417" s="6">
        <v>1</v>
      </c>
      <c r="BG417" s="6"/>
      <c r="BH417" s="6"/>
      <c r="BI417" s="74"/>
      <c r="BJ417" s="74"/>
      <c r="BK417" s="7">
        <f t="shared" si="278"/>
        <v>2.2000000000000002</v>
      </c>
      <c r="BL417" s="8">
        <f t="shared" si="279"/>
        <v>1.2000000000000002</v>
      </c>
      <c r="BM417" s="51" t="str">
        <f>IFERROR(VLOOKUP(A417,NF!$M:$O,3,0),"")</f>
        <v>Hortifruti</v>
      </c>
      <c r="BN417" s="7">
        <f t="shared" si="280"/>
        <v>7.7</v>
      </c>
      <c r="BO417" s="8">
        <f t="array" ref="BO417">IFERROR(LARGE(IF(NF!$G$2:$G$3137='Mês atual'!A417,NF!$J$2:$J$3137),1),0)*BN417</f>
        <v>30.8</v>
      </c>
      <c r="BP417" s="50"/>
      <c r="BR417" s="146">
        <f t="array" ref="BR417">IFERROR(LARGE(IF(NF!$G$2:$G$3137='Mês atual'!A417,NF!$J$2:$J$3137),1),0)</f>
        <v>4</v>
      </c>
      <c r="BS417" s="142" t="str">
        <f>VLOOKUP(A417,NF!M:O,3,0)</f>
        <v>Hortifruti</v>
      </c>
      <c r="BV417" s="74">
        <f t="shared" si="281"/>
        <v>2.2000000000000002</v>
      </c>
      <c r="BW417" s="74">
        <f t="shared" si="282"/>
        <v>1.3</v>
      </c>
      <c r="BX417" s="74">
        <f t="shared" si="283"/>
        <v>1</v>
      </c>
      <c r="BY417" s="74">
        <f t="shared" si="284"/>
        <v>1</v>
      </c>
      <c r="BZ417" s="74">
        <f t="shared" si="285"/>
        <v>2.2000000000000002</v>
      </c>
    </row>
    <row r="418" spans="1:78" x14ac:dyDescent="0.2">
      <c r="A418" s="108" t="s">
        <v>101</v>
      </c>
      <c r="B418" s="12"/>
      <c r="C418" s="9">
        <v>0</v>
      </c>
      <c r="D418" s="25"/>
      <c r="E418" s="10" t="str">
        <f t="shared" si="265"/>
        <v>MarçoSEMANA 1Alecrim</v>
      </c>
      <c r="F418" s="7">
        <f>SUMIF(NF!$A:$A,$E418,NF!$I:$I)</f>
        <v>0</v>
      </c>
      <c r="G418" s="74"/>
      <c r="H418" s="74"/>
      <c r="I418" s="74"/>
      <c r="J418" s="6"/>
      <c r="K418" s="6"/>
      <c r="L418" s="6"/>
      <c r="M418" s="6"/>
      <c r="N418" s="7">
        <f t="shared" si="266"/>
        <v>0</v>
      </c>
      <c r="O418" s="11">
        <f t="shared" si="267"/>
        <v>0</v>
      </c>
      <c r="P418" s="25"/>
      <c r="Q418" s="10" t="str">
        <f t="shared" si="268"/>
        <v>MarçoSEMANA 2Alecrim</v>
      </c>
      <c r="R418" s="7">
        <f>SUMIF(NF!$A:$A,$Q418,NF!$I:$I)</f>
        <v>0.2</v>
      </c>
      <c r="S418" s="6"/>
      <c r="T418" s="6">
        <v>0.2</v>
      </c>
      <c r="U418" s="6"/>
      <c r="V418" s="6"/>
      <c r="W418" s="6"/>
      <c r="X418" s="6"/>
      <c r="Y418" s="6"/>
      <c r="Z418" s="7">
        <f t="shared" si="269"/>
        <v>0.2</v>
      </c>
      <c r="AA418" s="11">
        <f t="shared" si="270"/>
        <v>0</v>
      </c>
      <c r="AB418" s="25"/>
      <c r="AC418" s="10" t="str">
        <f t="shared" si="271"/>
        <v>MarçoSEMANA 3Alecrim</v>
      </c>
      <c r="AD418" s="7">
        <f>SUMIF(NF!$A:$A,$AC418,NF!$I:$I)</f>
        <v>0.2</v>
      </c>
      <c r="AE418" s="6"/>
      <c r="AF418" s="6"/>
      <c r="AG418" s="6"/>
      <c r="AH418" s="6">
        <v>0.2</v>
      </c>
      <c r="AI418" s="6"/>
      <c r="AJ418" s="6"/>
      <c r="AK418" s="6"/>
      <c r="AL418" s="7">
        <f t="shared" si="272"/>
        <v>0.2</v>
      </c>
      <c r="AM418" s="11">
        <f t="shared" si="273"/>
        <v>0</v>
      </c>
      <c r="AN418" s="25"/>
      <c r="AO418" s="10" t="str">
        <f t="shared" si="274"/>
        <v>MarçoSEMANA 4Alecrim</v>
      </c>
      <c r="AP418" s="7">
        <f>SUMIF(NF!$A:$A,$AO418,NF!$I:$I)</f>
        <v>0.2</v>
      </c>
      <c r="AQ418" s="6"/>
      <c r="AR418" s="6"/>
      <c r="AS418" s="6"/>
      <c r="AT418" s="6">
        <v>0.2</v>
      </c>
      <c r="AU418" s="6"/>
      <c r="AV418" s="6"/>
      <c r="AW418" s="6"/>
      <c r="AX418" s="7">
        <f t="shared" si="275"/>
        <v>0.2</v>
      </c>
      <c r="AY418" s="11">
        <f t="shared" si="276"/>
        <v>0</v>
      </c>
      <c r="AZ418" s="25"/>
      <c r="BA418" s="10" t="str">
        <f t="shared" si="277"/>
        <v>MarçoSEMANA 5Alecrim</v>
      </c>
      <c r="BB418" s="7">
        <f>SUMIF(NF!$A:$A,$BA418,NF!$I:$I)</f>
        <v>0</v>
      </c>
      <c r="BC418" s="6"/>
      <c r="BD418" s="6"/>
      <c r="BE418" s="6"/>
      <c r="BF418" s="6"/>
      <c r="BG418" s="6"/>
      <c r="BH418" s="6"/>
      <c r="BI418" s="74"/>
      <c r="BJ418" s="74"/>
      <c r="BK418" s="7">
        <f t="shared" si="278"/>
        <v>0</v>
      </c>
      <c r="BL418" s="8">
        <f t="shared" si="279"/>
        <v>0</v>
      </c>
      <c r="BM418" s="51" t="str">
        <f>IFERROR(VLOOKUP(A418,NF!$M:$O,3,0),"")</f>
        <v>Hortifruti</v>
      </c>
      <c r="BN418" s="7">
        <f t="shared" si="280"/>
        <v>0.60000000000000009</v>
      </c>
      <c r="BO418" s="8">
        <f t="array" ref="BO418">IFERROR(LARGE(IF(NF!$G$2:$G$3137='Mês atual'!A418,NF!$J$2:$J$3137),1),0)*BN418</f>
        <v>8.4000000000000021</v>
      </c>
      <c r="BP418" s="50"/>
      <c r="BR418" s="146">
        <f t="array" ref="BR418">IFERROR(LARGE(IF(NF!$G$2:$G$3137='Mês atual'!A418,NF!$J$2:$J$3137),1),0)</f>
        <v>14</v>
      </c>
      <c r="BS418" s="142" t="str">
        <f>VLOOKUP(A418,NF!M:O,3,0)</f>
        <v>Hortifruti</v>
      </c>
      <c r="BV418" s="74">
        <f t="shared" si="281"/>
        <v>0</v>
      </c>
      <c r="BW418" s="74">
        <f t="shared" si="282"/>
        <v>0.2</v>
      </c>
      <c r="BX418" s="74">
        <f t="shared" si="283"/>
        <v>0.2</v>
      </c>
      <c r="BY418" s="74">
        <f t="shared" si="284"/>
        <v>0.2</v>
      </c>
      <c r="BZ418" s="74">
        <f t="shared" si="285"/>
        <v>0</v>
      </c>
    </row>
    <row r="419" spans="1:78" x14ac:dyDescent="0.2">
      <c r="A419" s="108" t="s">
        <v>102</v>
      </c>
      <c r="B419" s="12"/>
      <c r="C419" s="9">
        <v>0</v>
      </c>
      <c r="D419" s="25"/>
      <c r="E419" s="10" t="str">
        <f t="shared" si="265"/>
        <v xml:space="preserve">MarçoSEMANA 1Alface Americana    </v>
      </c>
      <c r="F419" s="7">
        <f>SUMIF(NF!$A:$A,$E419,NF!$I:$I)</f>
        <v>13.239999999999998</v>
      </c>
      <c r="G419" s="74"/>
      <c r="H419" s="74"/>
      <c r="I419" s="74"/>
      <c r="J419" s="6">
        <v>4.22</v>
      </c>
      <c r="K419" s="6"/>
      <c r="L419" s="6"/>
      <c r="M419" s="6">
        <v>4.51</v>
      </c>
      <c r="N419" s="7">
        <f t="shared" si="266"/>
        <v>8.73</v>
      </c>
      <c r="O419" s="11">
        <f t="shared" si="267"/>
        <v>4.509999999999998</v>
      </c>
      <c r="P419" s="25"/>
      <c r="Q419" s="10" t="str">
        <f t="shared" si="268"/>
        <v xml:space="preserve">MarçoSEMANA 2Alface Americana    </v>
      </c>
      <c r="R419" s="7">
        <f>SUMIF(NF!$A:$A,$Q419,NF!$I:$I)</f>
        <v>24.76</v>
      </c>
      <c r="S419" s="6">
        <v>4.51</v>
      </c>
      <c r="T419" s="6">
        <v>4.82</v>
      </c>
      <c r="U419" s="6">
        <v>5.52</v>
      </c>
      <c r="V419" s="6">
        <v>3.99</v>
      </c>
      <c r="W419" s="6">
        <v>3.99</v>
      </c>
      <c r="X419" s="6">
        <v>3.22</v>
      </c>
      <c r="Y419" s="6">
        <v>3.22</v>
      </c>
      <c r="Z419" s="7">
        <f t="shared" si="269"/>
        <v>29.269999999999996</v>
      </c>
      <c r="AA419" s="11">
        <f t="shared" si="270"/>
        <v>0</v>
      </c>
      <c r="AB419" s="25"/>
      <c r="AC419" s="10" t="str">
        <f t="shared" si="271"/>
        <v xml:space="preserve">MarçoSEMANA 3Alface Americana    </v>
      </c>
      <c r="AD419" s="7">
        <f>SUMIF(NF!$A:$A,$AC419,NF!$I:$I)</f>
        <v>29.905999999999999</v>
      </c>
      <c r="AE419" s="6">
        <f>3.5+3.186</f>
        <v>6.6859999999999999</v>
      </c>
      <c r="AF419" s="6">
        <v>4.58</v>
      </c>
      <c r="AG419" s="6">
        <v>4.5999999999999996</v>
      </c>
      <c r="AH419" s="6">
        <v>3.44</v>
      </c>
      <c r="AI419" s="6">
        <v>1.18</v>
      </c>
      <c r="AJ419" s="6">
        <v>3.4</v>
      </c>
      <c r="AK419" s="6">
        <v>3.6</v>
      </c>
      <c r="AL419" s="7">
        <f t="shared" si="272"/>
        <v>27.486000000000001</v>
      </c>
      <c r="AM419" s="11">
        <f t="shared" si="273"/>
        <v>2.4199999999999982</v>
      </c>
      <c r="AN419" s="25"/>
      <c r="AO419" s="10" t="str">
        <f t="shared" si="274"/>
        <v xml:space="preserve">MarçoSEMANA 4Alface Americana    </v>
      </c>
      <c r="AP419" s="7">
        <f>SUMIF(NF!$A:$A,$AO419,NF!$I:$I)</f>
        <v>23.64</v>
      </c>
      <c r="AQ419" s="6">
        <v>3.6</v>
      </c>
      <c r="AR419" s="6">
        <f>2.64+2.86</f>
        <v>5.5</v>
      </c>
      <c r="AS419" s="6">
        <v>3.36</v>
      </c>
      <c r="AT419" s="6">
        <v>2.46</v>
      </c>
      <c r="AU419" s="6">
        <v>2.64</v>
      </c>
      <c r="AV419" s="6">
        <v>2.64</v>
      </c>
      <c r="AW419" s="6">
        <v>3.52</v>
      </c>
      <c r="AX419" s="7">
        <f t="shared" si="275"/>
        <v>23.72</v>
      </c>
      <c r="AY419" s="11">
        <f t="shared" si="276"/>
        <v>2.34</v>
      </c>
      <c r="AZ419" s="25"/>
      <c r="BA419" s="10" t="str">
        <f t="shared" si="277"/>
        <v xml:space="preserve">MarçoSEMANA 5Alface Americana    </v>
      </c>
      <c r="BB419" s="7">
        <f>SUMIF(NF!$A:$A,$BA419,NF!$I:$I)</f>
        <v>25</v>
      </c>
      <c r="BC419" s="6">
        <v>3.52</v>
      </c>
      <c r="BD419" s="6">
        <v>5.18</v>
      </c>
      <c r="BE419" s="6">
        <v>5.44</v>
      </c>
      <c r="BF419" s="6">
        <v>2.9</v>
      </c>
      <c r="BG419" s="6">
        <f>2.66+4.3-3.84</f>
        <v>3.12</v>
      </c>
      <c r="BH419" s="6">
        <v>3.34</v>
      </c>
      <c r="BI419" s="74"/>
      <c r="BJ419" s="74"/>
      <c r="BK419" s="7">
        <f t="shared" si="278"/>
        <v>23.5</v>
      </c>
      <c r="BL419" s="8">
        <f t="shared" si="279"/>
        <v>3.84</v>
      </c>
      <c r="BM419" s="51" t="str">
        <f>IFERROR(VLOOKUP(A419,NF!$M:$O,3,0),"")</f>
        <v>Hortifruti</v>
      </c>
      <c r="BN419" s="7">
        <f t="shared" si="280"/>
        <v>112.706</v>
      </c>
      <c r="BO419" s="8">
        <f t="array" ref="BO419">IFERROR(LARGE(IF(NF!$G$2:$G$3137='Mês atual'!A419,NF!$J$2:$J$3137),1),0)*BN419</f>
        <v>1319.4848780487805</v>
      </c>
      <c r="BP419" s="50"/>
      <c r="BR419" s="146">
        <f t="array" ref="BR419">IFERROR(LARGE(IF(NF!$G$2:$G$3137='Mês atual'!A419,NF!$J$2:$J$3137),1),0)</f>
        <v>11.707317073170731</v>
      </c>
      <c r="BS419" s="142" t="str">
        <f>VLOOKUP(A419,NF!M:O,3,0)</f>
        <v>Hortifruti</v>
      </c>
      <c r="BV419" s="74">
        <f t="shared" si="281"/>
        <v>8.73</v>
      </c>
      <c r="BW419" s="74">
        <f t="shared" si="282"/>
        <v>29.269999999999996</v>
      </c>
      <c r="BX419" s="74">
        <f t="shared" si="283"/>
        <v>27.486000000000001</v>
      </c>
      <c r="BY419" s="74">
        <f t="shared" si="284"/>
        <v>23.72</v>
      </c>
      <c r="BZ419" s="74">
        <f t="shared" si="285"/>
        <v>23.5</v>
      </c>
    </row>
    <row r="420" spans="1:78" x14ac:dyDescent="0.25">
      <c r="A420" s="108" t="s">
        <v>103</v>
      </c>
      <c r="B420" s="12"/>
      <c r="C420" s="9">
        <v>0</v>
      </c>
      <c r="D420" s="25"/>
      <c r="E420" s="10" t="str">
        <f t="shared" si="265"/>
        <v>MarçoSEMANA 1Alface Americana Orgânica</v>
      </c>
      <c r="F420" s="7">
        <f>SUMIF(NF!$A:$A,$E420,NF!$I:$I)</f>
        <v>6.04</v>
      </c>
      <c r="G420" s="74"/>
      <c r="H420" s="74"/>
      <c r="I420" s="74"/>
      <c r="J420" s="6"/>
      <c r="K420" s="6">
        <v>3.02</v>
      </c>
      <c r="L420" s="6">
        <v>3.02</v>
      </c>
      <c r="M420" s="6"/>
      <c r="N420" s="7">
        <f t="shared" si="266"/>
        <v>6.04</v>
      </c>
      <c r="O420" s="11">
        <f t="shared" si="267"/>
        <v>0</v>
      </c>
      <c r="P420" s="25"/>
      <c r="Q420" s="10" t="str">
        <f t="shared" si="268"/>
        <v>MarçoSEMANA 2Alface Americana Orgânica</v>
      </c>
      <c r="R420" s="7">
        <f>SUMIF(NF!$A:$A,$Q420,NF!$I:$I)</f>
        <v>3.54</v>
      </c>
      <c r="S420" s="6"/>
      <c r="T420" s="6"/>
      <c r="U420" s="6"/>
      <c r="V420" s="6"/>
      <c r="W420" s="6"/>
      <c r="X420" s="6">
        <v>3.54</v>
      </c>
      <c r="Y420" s="6"/>
      <c r="Z420" s="7">
        <f t="shared" si="269"/>
        <v>3.54</v>
      </c>
      <c r="AA420" s="11">
        <f t="shared" si="270"/>
        <v>0</v>
      </c>
      <c r="AB420" s="25"/>
      <c r="AC420" s="10" t="str">
        <f t="shared" si="271"/>
        <v>MarçoSEMANA 3Alface Americana Orgânica</v>
      </c>
      <c r="AD420" s="7">
        <f>SUMIF(NF!$A:$A,$AC420,NF!$I:$I)</f>
        <v>0</v>
      </c>
      <c r="AE420" s="6"/>
      <c r="AF420" s="6"/>
      <c r="AG420" s="6"/>
      <c r="AH420" s="6"/>
      <c r="AI420" s="6"/>
      <c r="AJ420" s="6"/>
      <c r="AK420" s="6"/>
      <c r="AL420" s="7">
        <f t="shared" si="272"/>
        <v>0</v>
      </c>
      <c r="AM420" s="11">
        <f t="shared" si="273"/>
        <v>0</v>
      </c>
      <c r="AN420" s="25"/>
      <c r="AO420" s="10" t="str">
        <f t="shared" si="274"/>
        <v>MarçoSEMANA 4Alface Americana Orgânica</v>
      </c>
      <c r="AP420" s="7">
        <f>SUMIF(NF!$A:$A,$AO420,NF!$I:$I)</f>
        <v>0</v>
      </c>
      <c r="AQ420" s="6"/>
      <c r="AR420" s="6"/>
      <c r="AS420" s="6"/>
      <c r="AT420" s="6"/>
      <c r="AU420" s="6"/>
      <c r="AV420" s="6"/>
      <c r="AW420" s="6"/>
      <c r="AX420" s="7">
        <f t="shared" si="275"/>
        <v>0</v>
      </c>
      <c r="AY420" s="11">
        <f t="shared" si="276"/>
        <v>0</v>
      </c>
      <c r="AZ420" s="25"/>
      <c r="BA420" s="10" t="str">
        <f t="shared" si="277"/>
        <v>MarçoSEMANA 5Alface Americana Orgânica</v>
      </c>
      <c r="BB420" s="7">
        <f>SUMIF(NF!$A:$A,$BA420,NF!$I:$I)</f>
        <v>0</v>
      </c>
      <c r="BC420" s="6"/>
      <c r="BD420" s="6"/>
      <c r="BE420" s="6"/>
      <c r="BF420" s="6"/>
      <c r="BG420" s="6"/>
      <c r="BH420" s="6"/>
      <c r="BI420" s="74"/>
      <c r="BJ420" s="74"/>
      <c r="BK420" s="7">
        <f t="shared" si="278"/>
        <v>0</v>
      </c>
      <c r="BL420" s="8">
        <f t="shared" si="279"/>
        <v>0</v>
      </c>
      <c r="BM420" s="51" t="str">
        <f>IFERROR(VLOOKUP(A420,NF!$M:$O,3,0),"")</f>
        <v>Hortifruti</v>
      </c>
      <c r="BN420" s="7">
        <f t="shared" si="280"/>
        <v>9.58</v>
      </c>
      <c r="BO420" s="8">
        <f t="array" ref="BO420">IFERROR(LARGE(IF(NF!$G$2:$G$3137='Mês atual'!A420,NF!$J$2:$J$3137),1),0)*BN420</f>
        <v>182.81033917514122</v>
      </c>
      <c r="BP420" s="50"/>
      <c r="BR420" s="146">
        <f t="array" ref="BR420">IFERROR(LARGE(IF(NF!$G$2:$G$3137='Mês atual'!A420,NF!$J$2:$J$3137),1),0)</f>
        <v>19.082498870056494</v>
      </c>
      <c r="BS420" s="142" t="str">
        <f>VLOOKUP(A420,NF!M:O,3,0)</f>
        <v>Hortifruti</v>
      </c>
      <c r="BV420" s="74">
        <f t="shared" si="281"/>
        <v>6.04</v>
      </c>
      <c r="BW420" s="74">
        <f t="shared" si="282"/>
        <v>3.54</v>
      </c>
      <c r="BX420" s="74">
        <f t="shared" si="283"/>
        <v>0</v>
      </c>
      <c r="BY420" s="74">
        <f t="shared" si="284"/>
        <v>0</v>
      </c>
      <c r="BZ420" s="74">
        <f t="shared" si="285"/>
        <v>0</v>
      </c>
    </row>
    <row r="421" spans="1:78" x14ac:dyDescent="0.2">
      <c r="A421" s="108" t="s">
        <v>104</v>
      </c>
      <c r="B421" s="12"/>
      <c r="C421" s="9">
        <v>0</v>
      </c>
      <c r="D421" s="25"/>
      <c r="E421" s="10" t="str">
        <f t="shared" si="265"/>
        <v>MarçoSEMANA 1Alface crespa</v>
      </c>
      <c r="F421" s="7">
        <f>SUMIF(NF!$A:$A,$E421,NF!$I:$I)</f>
        <v>2.68</v>
      </c>
      <c r="G421" s="74"/>
      <c r="H421" s="74"/>
      <c r="I421" s="74"/>
      <c r="J421" s="6"/>
      <c r="K421" s="6"/>
      <c r="L421" s="6"/>
      <c r="M421" s="6">
        <v>2.68</v>
      </c>
      <c r="N421" s="7">
        <f t="shared" si="266"/>
        <v>2.68</v>
      </c>
      <c r="O421" s="11">
        <f t="shared" si="267"/>
        <v>0</v>
      </c>
      <c r="P421" s="25"/>
      <c r="Q421" s="10" t="str">
        <f t="shared" si="268"/>
        <v>MarçoSEMANA 2Alface crespa</v>
      </c>
      <c r="R421" s="7">
        <f>SUMIF(NF!$A:$A,$Q421,NF!$I:$I)</f>
        <v>0</v>
      </c>
      <c r="S421" s="6"/>
      <c r="T421" s="6"/>
      <c r="U421" s="6"/>
      <c r="V421" s="6"/>
      <c r="W421" s="6"/>
      <c r="X421" s="6"/>
      <c r="Y421" s="6"/>
      <c r="Z421" s="7">
        <f t="shared" si="269"/>
        <v>0</v>
      </c>
      <c r="AA421" s="11">
        <f t="shared" si="270"/>
        <v>0</v>
      </c>
      <c r="AB421" s="25"/>
      <c r="AC421" s="10" t="str">
        <f t="shared" si="271"/>
        <v>MarçoSEMANA 3Alface crespa</v>
      </c>
      <c r="AD421" s="7">
        <f>SUMIF(NF!$A:$A,$AC421,NF!$I:$I)</f>
        <v>6.4399999999999995</v>
      </c>
      <c r="AE421" s="6"/>
      <c r="AF421" s="6"/>
      <c r="AG421" s="6">
        <v>1.78</v>
      </c>
      <c r="AH421" s="6">
        <v>1.38</v>
      </c>
      <c r="AI421" s="6"/>
      <c r="AJ421" s="6">
        <v>1.76</v>
      </c>
      <c r="AK421" s="6">
        <v>1.52</v>
      </c>
      <c r="AL421" s="7">
        <f t="shared" si="272"/>
        <v>6.4399999999999995</v>
      </c>
      <c r="AM421" s="11">
        <f t="shared" si="273"/>
        <v>0</v>
      </c>
      <c r="AN421" s="25"/>
      <c r="AO421" s="10" t="str">
        <f t="shared" si="274"/>
        <v>MarçoSEMANA 4Alface crespa</v>
      </c>
      <c r="AP421" s="7">
        <f>SUMIF(NF!$A:$A,$AO421,NF!$I:$I)</f>
        <v>8.9420000000000002</v>
      </c>
      <c r="AQ421" s="6"/>
      <c r="AR421" s="6">
        <v>1.18</v>
      </c>
      <c r="AS421" s="6">
        <f>1.442+1.36</f>
        <v>2.802</v>
      </c>
      <c r="AT421" s="6"/>
      <c r="AU421" s="6">
        <v>1.7</v>
      </c>
      <c r="AV421" s="6">
        <v>1.63</v>
      </c>
      <c r="AW421" s="6">
        <v>1.63</v>
      </c>
      <c r="AX421" s="7">
        <f t="shared" si="275"/>
        <v>8.9420000000000002</v>
      </c>
      <c r="AY421" s="11">
        <f t="shared" si="276"/>
        <v>0</v>
      </c>
      <c r="AZ421" s="25"/>
      <c r="BA421" s="10" t="str">
        <f t="shared" si="277"/>
        <v>MarçoSEMANA 5Alface crespa</v>
      </c>
      <c r="BB421" s="7">
        <f>SUMIF(NF!$A:$A,$BA421,NF!$I:$I)</f>
        <v>9.5</v>
      </c>
      <c r="BC421" s="6">
        <v>1.74</v>
      </c>
      <c r="BD421" s="6">
        <v>1.94</v>
      </c>
      <c r="BE421" s="6">
        <v>1.18</v>
      </c>
      <c r="BF421" s="6">
        <v>1.62</v>
      </c>
      <c r="BG421" s="6"/>
      <c r="BH421" s="6">
        <v>1.51</v>
      </c>
      <c r="BI421" s="74"/>
      <c r="BJ421" s="74"/>
      <c r="BK421" s="7">
        <f t="shared" si="278"/>
        <v>7.9899999999999993</v>
      </c>
      <c r="BL421" s="8">
        <f t="shared" si="279"/>
        <v>1.5100000000000007</v>
      </c>
      <c r="BM421" s="51" t="str">
        <f>IFERROR(VLOOKUP(A421,NF!$M:$O,3,0),"")</f>
        <v>Hortifruti</v>
      </c>
      <c r="BN421" s="7">
        <f t="shared" si="280"/>
        <v>26.051999999999996</v>
      </c>
      <c r="BO421" s="8">
        <f t="array" ref="BO421">IFERROR(LARGE(IF(NF!$G$2:$G$3137='Mês atual'!A421,NF!$J$2:$J$3137),1),0)*BN421</f>
        <v>264.935593220339</v>
      </c>
      <c r="BP421" s="50"/>
      <c r="BR421" s="146">
        <f t="array" ref="BR421">IFERROR(LARGE(IF(NF!$G$2:$G$3137='Mês atual'!A421,NF!$J$2:$J$3137),1),0)</f>
        <v>10.16949152542373</v>
      </c>
      <c r="BS421" s="142" t="str">
        <f>VLOOKUP(A421,NF!M:O,3,0)</f>
        <v>Hortifruti</v>
      </c>
      <c r="BV421" s="74">
        <f t="shared" si="281"/>
        <v>2.68</v>
      </c>
      <c r="BW421" s="74">
        <f t="shared" si="282"/>
        <v>0</v>
      </c>
      <c r="BX421" s="74">
        <f t="shared" si="283"/>
        <v>6.4399999999999995</v>
      </c>
      <c r="BY421" s="74">
        <f t="shared" si="284"/>
        <v>8.9420000000000002</v>
      </c>
      <c r="BZ421" s="74">
        <f t="shared" si="285"/>
        <v>7.9899999999999993</v>
      </c>
    </row>
    <row r="422" spans="1:78" x14ac:dyDescent="0.25">
      <c r="A422" s="108" t="s">
        <v>105</v>
      </c>
      <c r="B422" s="12"/>
      <c r="C422" s="9">
        <v>0</v>
      </c>
      <c r="D422" s="25"/>
      <c r="E422" s="10" t="str">
        <f t="shared" si="265"/>
        <v>MarçoSEMANA 1Alface crespa Orgânica</v>
      </c>
      <c r="F422" s="7">
        <f>SUMIF(NF!$A:$A,$E422,NF!$I:$I)</f>
        <v>2.76</v>
      </c>
      <c r="G422" s="74"/>
      <c r="H422" s="74"/>
      <c r="I422" s="74"/>
      <c r="J422" s="6"/>
      <c r="K422" s="6"/>
      <c r="L422" s="6">
        <v>2.76</v>
      </c>
      <c r="M422" s="6"/>
      <c r="N422" s="7">
        <f t="shared" si="266"/>
        <v>2.76</v>
      </c>
      <c r="O422" s="11">
        <f t="shared" si="267"/>
        <v>0</v>
      </c>
      <c r="P422" s="25"/>
      <c r="Q422" s="10" t="str">
        <f t="shared" si="268"/>
        <v>MarçoSEMANA 2Alface crespa Orgânica</v>
      </c>
      <c r="R422" s="7">
        <f>SUMIF(NF!$A:$A,$Q422,NF!$I:$I)</f>
        <v>5.8599999999999994</v>
      </c>
      <c r="S422" s="6"/>
      <c r="T422" s="6">
        <v>1.7</v>
      </c>
      <c r="U422" s="6"/>
      <c r="V422" s="6">
        <v>2.14</v>
      </c>
      <c r="W422" s="6"/>
      <c r="X422" s="6">
        <v>1.01</v>
      </c>
      <c r="Y422" s="6">
        <v>1.01</v>
      </c>
      <c r="Z422" s="7">
        <f t="shared" si="269"/>
        <v>5.8599999999999994</v>
      </c>
      <c r="AA422" s="11">
        <f t="shared" si="270"/>
        <v>0</v>
      </c>
      <c r="AB422" s="25"/>
      <c r="AC422" s="10" t="str">
        <f t="shared" si="271"/>
        <v>MarçoSEMANA 3Alface crespa Orgânica</v>
      </c>
      <c r="AD422" s="7">
        <f>SUMIF(NF!$A:$A,$AC422,NF!$I:$I)</f>
        <v>2.46</v>
      </c>
      <c r="AE422" s="6">
        <v>1.23</v>
      </c>
      <c r="AF422" s="6">
        <v>1.23</v>
      </c>
      <c r="AG422" s="6"/>
      <c r="AH422" s="6"/>
      <c r="AI422" s="6"/>
      <c r="AJ422" s="6"/>
      <c r="AK422" s="6"/>
      <c r="AL422" s="7">
        <f t="shared" si="272"/>
        <v>2.46</v>
      </c>
      <c r="AM422" s="11">
        <f t="shared" si="273"/>
        <v>0</v>
      </c>
      <c r="AN422" s="25"/>
      <c r="AO422" s="10" t="str">
        <f t="shared" si="274"/>
        <v>MarçoSEMANA 4Alface crespa Orgânica</v>
      </c>
      <c r="AP422" s="7">
        <f>SUMIF(NF!$A:$A,$AO422,NF!$I:$I)</f>
        <v>0</v>
      </c>
      <c r="AQ422" s="6"/>
      <c r="AR422" s="6"/>
      <c r="AS422" s="6"/>
      <c r="AT422" s="6"/>
      <c r="AU422" s="6"/>
      <c r="AV422" s="6"/>
      <c r="AW422" s="6"/>
      <c r="AX422" s="7">
        <f t="shared" si="275"/>
        <v>0</v>
      </c>
      <c r="AY422" s="11">
        <f t="shared" si="276"/>
        <v>0</v>
      </c>
      <c r="AZ422" s="25"/>
      <c r="BA422" s="10" t="str">
        <f t="shared" si="277"/>
        <v>MarçoSEMANA 5Alface crespa Orgânica</v>
      </c>
      <c r="BB422" s="7">
        <f>SUMIF(NF!$A:$A,$BA422,NF!$I:$I)</f>
        <v>0</v>
      </c>
      <c r="BC422" s="6"/>
      <c r="BD422" s="6"/>
      <c r="BE422" s="6"/>
      <c r="BF422" s="6"/>
      <c r="BG422" s="6"/>
      <c r="BH422" s="6"/>
      <c r="BI422" s="74"/>
      <c r="BJ422" s="74"/>
      <c r="BK422" s="7">
        <f t="shared" si="278"/>
        <v>0</v>
      </c>
      <c r="BL422" s="8">
        <f t="shared" si="279"/>
        <v>0</v>
      </c>
      <c r="BM422" s="51" t="str">
        <f>IFERROR(VLOOKUP(A422,NF!$M:$O,3,0),"")</f>
        <v>Hortifruti</v>
      </c>
      <c r="BN422" s="7">
        <f t="shared" si="280"/>
        <v>11.079999999999998</v>
      </c>
      <c r="BO422" s="8">
        <f t="array" ref="BO422">IFERROR(LARGE(IF(NF!$G$2:$G$3137='Mês atual'!A422,NF!$J$2:$J$3137),1),0)*BN422</f>
        <v>208.27792941176466</v>
      </c>
      <c r="BP422" s="50"/>
      <c r="BR422" s="146">
        <f t="array" ref="BR422">IFERROR(LARGE(IF(NF!$G$2:$G$3137='Mês atual'!A422,NF!$J$2:$J$3137),1),0)</f>
        <v>18.797647058823529</v>
      </c>
      <c r="BS422" s="142" t="str">
        <f>VLOOKUP(A422,NF!M:O,3,0)</f>
        <v>Hortifruti</v>
      </c>
      <c r="BV422" s="74">
        <f t="shared" si="281"/>
        <v>2.76</v>
      </c>
      <c r="BW422" s="74">
        <f t="shared" si="282"/>
        <v>5.8599999999999994</v>
      </c>
      <c r="BX422" s="74">
        <f t="shared" si="283"/>
        <v>2.46</v>
      </c>
      <c r="BY422" s="74">
        <f t="shared" si="284"/>
        <v>0</v>
      </c>
      <c r="BZ422" s="74">
        <f t="shared" si="285"/>
        <v>0</v>
      </c>
    </row>
    <row r="423" spans="1:78" x14ac:dyDescent="0.2">
      <c r="A423" s="108" t="s">
        <v>958</v>
      </c>
      <c r="B423" s="12"/>
      <c r="C423" s="9">
        <v>0</v>
      </c>
      <c r="D423" s="25"/>
      <c r="E423" s="10" t="str">
        <f t="shared" si="265"/>
        <v>MarçoSEMANA 1Alface Romana</v>
      </c>
      <c r="F423" s="7">
        <f>SUMIF(NF!$A:$A,$E423,NF!$I:$I)</f>
        <v>0</v>
      </c>
      <c r="G423" s="74"/>
      <c r="H423" s="74"/>
      <c r="I423" s="74"/>
      <c r="J423" s="6"/>
      <c r="K423" s="6"/>
      <c r="L423" s="6"/>
      <c r="M423" s="6"/>
      <c r="N423" s="7">
        <f>SUM(G423:M423)</f>
        <v>0</v>
      </c>
      <c r="O423" s="11">
        <f t="shared" si="267"/>
        <v>0</v>
      </c>
      <c r="P423" s="25"/>
      <c r="Q423" s="10" t="str">
        <f t="shared" si="268"/>
        <v>MarçoSEMANA 2Alface Romana</v>
      </c>
      <c r="R423" s="7">
        <f>SUMIF(NF!$A:$A,$Q423,NF!$I:$I)</f>
        <v>0</v>
      </c>
      <c r="S423" s="6"/>
      <c r="T423" s="6"/>
      <c r="U423" s="6"/>
      <c r="V423" s="6"/>
      <c r="W423" s="6"/>
      <c r="X423" s="6"/>
      <c r="Y423" s="6"/>
      <c r="Z423" s="7">
        <f t="shared" ref="Z423:Z432" si="286">SUM(S423:Y423)</f>
        <v>0</v>
      </c>
      <c r="AA423" s="11">
        <f t="shared" si="270"/>
        <v>0</v>
      </c>
      <c r="AB423" s="25"/>
      <c r="AC423" s="10" t="str">
        <f t="shared" si="271"/>
        <v>MarçoSEMANA 3Alface Romana</v>
      </c>
      <c r="AD423" s="7">
        <f>SUMIF(NF!$A:$A,$AC423,NF!$I:$I)</f>
        <v>0</v>
      </c>
      <c r="AE423" s="6"/>
      <c r="AF423" s="6"/>
      <c r="AG423" s="6"/>
      <c r="AH423" s="6"/>
      <c r="AI423" s="6"/>
      <c r="AJ423" s="6"/>
      <c r="AK423" s="6"/>
      <c r="AL423" s="7">
        <f t="shared" ref="AL423:AL432" si="287">SUM(AE423:AK423)</f>
        <v>0</v>
      </c>
      <c r="AM423" s="11">
        <f t="shared" si="273"/>
        <v>0</v>
      </c>
      <c r="AN423" s="25"/>
      <c r="AO423" s="10" t="str">
        <f t="shared" si="274"/>
        <v>MarçoSEMANA 4Alface Romana</v>
      </c>
      <c r="AP423" s="7">
        <f>SUMIF(NF!$A:$A,$AO423,NF!$I:$I)</f>
        <v>0</v>
      </c>
      <c r="AQ423" s="6"/>
      <c r="AR423" s="6"/>
      <c r="AS423" s="6"/>
      <c r="AT423" s="6"/>
      <c r="AU423" s="6"/>
      <c r="AV423" s="6"/>
      <c r="AW423" s="6"/>
      <c r="AX423" s="7">
        <f t="shared" ref="AX423:AX432" si="288">SUM(AQ423:AW423)</f>
        <v>0</v>
      </c>
      <c r="AY423" s="11">
        <f t="shared" si="276"/>
        <v>0</v>
      </c>
      <c r="AZ423" s="25"/>
      <c r="BA423" s="10" t="str">
        <f t="shared" si="277"/>
        <v>MarçoSEMANA 5Alface Romana</v>
      </c>
      <c r="BB423" s="7">
        <f>SUMIF(NF!$A:$A,$BA423,NF!$I:$I)</f>
        <v>0</v>
      </c>
      <c r="BC423" s="6"/>
      <c r="BD423" s="6"/>
      <c r="BE423" s="6"/>
      <c r="BF423" s="6"/>
      <c r="BG423" s="6"/>
      <c r="BH423" s="6"/>
      <c r="BI423" s="74"/>
      <c r="BJ423" s="74"/>
      <c r="BK423" s="7">
        <f t="shared" ref="BK423:BK432" si="289">SUM(BC423:BJ423)</f>
        <v>0</v>
      </c>
      <c r="BL423" s="8">
        <f t="shared" si="279"/>
        <v>0</v>
      </c>
      <c r="BM423" s="51" t="str">
        <f>IFERROR(VLOOKUP(A423,NF!$M:$O,3,0),"")</f>
        <v>Hortifruti</v>
      </c>
      <c r="BN423" s="7">
        <f t="shared" si="280"/>
        <v>0</v>
      </c>
      <c r="BO423" s="8">
        <f t="array" ref="BO423">IFERROR(LARGE(IF(NF!$G$2:$G$3137='Mês atual'!A423,NF!$J$2:$J$3137),1),0)*BN423</f>
        <v>0</v>
      </c>
      <c r="BP423" s="50"/>
      <c r="BR423" s="146">
        <f t="array" ref="BR423">IFERROR(LARGE(IF(NF!$G$2:$G$3137='Mês atual'!A423,NF!$J$2:$J$3137),1),0)</f>
        <v>0</v>
      </c>
      <c r="BS423" s="142" t="str">
        <f>VLOOKUP(A423,NF!M:O,3,0)</f>
        <v>Hortifruti</v>
      </c>
      <c r="BV423" s="74">
        <f t="shared" si="281"/>
        <v>0</v>
      </c>
      <c r="BW423" s="74">
        <f t="shared" si="282"/>
        <v>0</v>
      </c>
      <c r="BX423" s="74">
        <f t="shared" si="283"/>
        <v>0</v>
      </c>
      <c r="BY423" s="74">
        <f t="shared" si="284"/>
        <v>0</v>
      </c>
      <c r="BZ423" s="74">
        <f t="shared" si="285"/>
        <v>0</v>
      </c>
    </row>
    <row r="424" spans="1:78" x14ac:dyDescent="0.25">
      <c r="A424" s="108" t="s">
        <v>107</v>
      </c>
      <c r="B424" s="12"/>
      <c r="C424" s="9">
        <v>0</v>
      </c>
      <c r="D424" s="25"/>
      <c r="E424" s="10" t="str">
        <f t="shared" si="265"/>
        <v>MarçoSEMANA 1Alface Romana Orgânica</v>
      </c>
      <c r="F424" s="7">
        <f>SUMIF(NF!$A:$A,$E424,NF!$I:$I)</f>
        <v>0</v>
      </c>
      <c r="G424" s="74"/>
      <c r="H424" s="74"/>
      <c r="I424" s="74"/>
      <c r="J424" s="6"/>
      <c r="K424" s="6"/>
      <c r="L424" s="6"/>
      <c r="M424" s="6"/>
      <c r="N424" s="7">
        <f t="shared" ref="N424:N430" si="290">SUM(G424:M424)</f>
        <v>0</v>
      </c>
      <c r="O424" s="11">
        <f t="shared" si="267"/>
        <v>0</v>
      </c>
      <c r="P424" s="25"/>
      <c r="Q424" s="10" t="str">
        <f t="shared" si="268"/>
        <v>MarçoSEMANA 2Alface Romana Orgânica</v>
      </c>
      <c r="R424" s="7">
        <f>SUMIF(NF!$A:$A,$Q424,NF!$I:$I)</f>
        <v>0</v>
      </c>
      <c r="S424" s="6"/>
      <c r="T424" s="6"/>
      <c r="U424" s="6"/>
      <c r="V424" s="6"/>
      <c r="W424" s="6"/>
      <c r="X424" s="6"/>
      <c r="Y424" s="6"/>
      <c r="Z424" s="7">
        <f t="shared" si="286"/>
        <v>0</v>
      </c>
      <c r="AA424" s="11">
        <f t="shared" si="270"/>
        <v>0</v>
      </c>
      <c r="AB424" s="25"/>
      <c r="AC424" s="10" t="str">
        <f t="shared" si="271"/>
        <v>MarçoSEMANA 3Alface Romana Orgânica</v>
      </c>
      <c r="AD424" s="7">
        <f>SUMIF(NF!$A:$A,$AC424,NF!$I:$I)</f>
        <v>0</v>
      </c>
      <c r="AE424" s="6"/>
      <c r="AF424" s="6"/>
      <c r="AG424" s="6"/>
      <c r="AH424" s="6"/>
      <c r="AI424" s="6"/>
      <c r="AJ424" s="6"/>
      <c r="AK424" s="6"/>
      <c r="AL424" s="7">
        <f t="shared" si="287"/>
        <v>0</v>
      </c>
      <c r="AM424" s="11">
        <f t="shared" si="273"/>
        <v>0</v>
      </c>
      <c r="AN424" s="25"/>
      <c r="AO424" s="10" t="str">
        <f t="shared" si="274"/>
        <v>MarçoSEMANA 4Alface Romana Orgânica</v>
      </c>
      <c r="AP424" s="7">
        <f>SUMIF(NF!$A:$A,$AO424,NF!$I:$I)</f>
        <v>0</v>
      </c>
      <c r="AQ424" s="6"/>
      <c r="AR424" s="6"/>
      <c r="AS424" s="6"/>
      <c r="AT424" s="6"/>
      <c r="AU424" s="6"/>
      <c r="AV424" s="6"/>
      <c r="AW424" s="6"/>
      <c r="AX424" s="7">
        <f t="shared" si="288"/>
        <v>0</v>
      </c>
      <c r="AY424" s="11">
        <f t="shared" si="276"/>
        <v>0</v>
      </c>
      <c r="AZ424" s="25"/>
      <c r="BA424" s="10" t="str">
        <f t="shared" si="277"/>
        <v>MarçoSEMANA 5Alface Romana Orgânica</v>
      </c>
      <c r="BB424" s="7">
        <f>SUMIF(NF!$A:$A,$BA424,NF!$I:$I)</f>
        <v>0</v>
      </c>
      <c r="BC424" s="6"/>
      <c r="BD424" s="6"/>
      <c r="BE424" s="6"/>
      <c r="BF424" s="6"/>
      <c r="BG424" s="6"/>
      <c r="BH424" s="6"/>
      <c r="BI424" s="74"/>
      <c r="BJ424" s="74"/>
      <c r="BK424" s="7">
        <f t="shared" si="289"/>
        <v>0</v>
      </c>
      <c r="BL424" s="8">
        <f t="shared" si="279"/>
        <v>0</v>
      </c>
      <c r="BM424" s="51" t="str">
        <f>IFERROR(VLOOKUP(A424,NF!$M:$O,3,0),"")</f>
        <v>Hortifruti</v>
      </c>
      <c r="BN424" s="7">
        <f t="shared" si="280"/>
        <v>0</v>
      </c>
      <c r="BO424" s="8">
        <f t="array" ref="BO424">IFERROR(LARGE(IF(NF!$G$2:$G$3137='Mês atual'!A424,NF!$J$2:$J$3137),1),0)*BN424</f>
        <v>0</v>
      </c>
      <c r="BP424" s="50"/>
      <c r="BR424" s="146">
        <f t="array" ref="BR424">IFERROR(LARGE(IF(NF!$G$2:$G$3137='Mês atual'!A424,NF!$J$2:$J$3137),1),0)</f>
        <v>0</v>
      </c>
      <c r="BS424" s="142" t="str">
        <f>VLOOKUP(A424,NF!M:O,3,0)</f>
        <v>Hortifruti</v>
      </c>
      <c r="BV424" s="74">
        <f t="shared" si="281"/>
        <v>0</v>
      </c>
      <c r="BW424" s="74">
        <f t="shared" si="282"/>
        <v>0</v>
      </c>
      <c r="BX424" s="74">
        <f t="shared" si="283"/>
        <v>0</v>
      </c>
      <c r="BY424" s="74">
        <f t="shared" si="284"/>
        <v>0</v>
      </c>
      <c r="BZ424" s="74">
        <f t="shared" si="285"/>
        <v>0</v>
      </c>
    </row>
    <row r="425" spans="1:78" x14ac:dyDescent="0.2">
      <c r="A425" s="108" t="s">
        <v>108</v>
      </c>
      <c r="B425" s="12"/>
      <c r="C425" s="9">
        <v>0</v>
      </c>
      <c r="D425" s="25"/>
      <c r="E425" s="10" t="str">
        <f t="shared" si="265"/>
        <v>MarçoSEMANA 1Alface Roxa</v>
      </c>
      <c r="F425" s="7">
        <f>SUMIF(NF!$A:$A,$E425,NF!$I:$I)</f>
        <v>0</v>
      </c>
      <c r="G425" s="74"/>
      <c r="H425" s="74"/>
      <c r="I425" s="74"/>
      <c r="J425" s="6"/>
      <c r="K425" s="6"/>
      <c r="L425" s="6"/>
      <c r="M425" s="6"/>
      <c r="N425" s="7">
        <f t="shared" si="290"/>
        <v>0</v>
      </c>
      <c r="O425" s="11">
        <f t="shared" si="267"/>
        <v>0</v>
      </c>
      <c r="P425" s="25"/>
      <c r="Q425" s="10" t="str">
        <f t="shared" si="268"/>
        <v>MarçoSEMANA 2Alface Roxa</v>
      </c>
      <c r="R425" s="7">
        <f>SUMIF(NF!$A:$A,$Q425,NF!$I:$I)</f>
        <v>0</v>
      </c>
      <c r="S425" s="6"/>
      <c r="T425" s="6"/>
      <c r="U425" s="6"/>
      <c r="V425" s="6"/>
      <c r="W425" s="6"/>
      <c r="X425" s="6"/>
      <c r="Y425" s="6"/>
      <c r="Z425" s="7">
        <f t="shared" si="286"/>
        <v>0</v>
      </c>
      <c r="AA425" s="11">
        <f t="shared" si="270"/>
        <v>0</v>
      </c>
      <c r="AB425" s="25"/>
      <c r="AC425" s="10" t="str">
        <f t="shared" si="271"/>
        <v>MarçoSEMANA 3Alface Roxa</v>
      </c>
      <c r="AD425" s="7">
        <f>SUMIF(NF!$A:$A,$AC425,NF!$I:$I)</f>
        <v>1.34</v>
      </c>
      <c r="AE425" s="6"/>
      <c r="AF425" s="6"/>
      <c r="AG425" s="6"/>
      <c r="AH425" s="6"/>
      <c r="AI425" s="6"/>
      <c r="AJ425" s="6"/>
      <c r="AK425" s="6">
        <v>1.34</v>
      </c>
      <c r="AL425" s="7">
        <f t="shared" si="287"/>
        <v>1.34</v>
      </c>
      <c r="AM425" s="11">
        <f t="shared" si="273"/>
        <v>0</v>
      </c>
      <c r="AN425" s="25"/>
      <c r="AO425" s="10" t="str">
        <f t="shared" si="274"/>
        <v>MarçoSEMANA 4Alface Roxa</v>
      </c>
      <c r="AP425" s="7">
        <f>SUMIF(NF!$A:$A,$AO425,NF!$I:$I)</f>
        <v>3.12</v>
      </c>
      <c r="AQ425" s="6"/>
      <c r="AR425" s="6">
        <v>0.44</v>
      </c>
      <c r="AS425" s="6">
        <v>0.48</v>
      </c>
      <c r="AT425" s="6">
        <v>0.42</v>
      </c>
      <c r="AU425" s="6">
        <v>0.7</v>
      </c>
      <c r="AV425" s="6">
        <v>0.54</v>
      </c>
      <c r="AW425" s="6">
        <v>0.54</v>
      </c>
      <c r="AX425" s="7">
        <f t="shared" si="288"/>
        <v>3.12</v>
      </c>
      <c r="AY425" s="11">
        <f t="shared" si="276"/>
        <v>0</v>
      </c>
      <c r="AZ425" s="25"/>
      <c r="BA425" s="10" t="str">
        <f t="shared" si="277"/>
        <v>MarçoSEMANA 5Alface Roxa</v>
      </c>
      <c r="BB425" s="7">
        <f>SUMIF(NF!$A:$A,$BA425,NF!$I:$I)</f>
        <v>3.38</v>
      </c>
      <c r="BC425" s="6">
        <v>0.5</v>
      </c>
      <c r="BD425" s="6"/>
      <c r="BE425" s="6">
        <v>0.44</v>
      </c>
      <c r="BF425" s="6">
        <v>0.68</v>
      </c>
      <c r="BG425" s="6">
        <v>0.4</v>
      </c>
      <c r="BH425" s="6">
        <v>0.68</v>
      </c>
      <c r="BI425" s="74"/>
      <c r="BJ425" s="74"/>
      <c r="BK425" s="7">
        <f t="shared" si="289"/>
        <v>2.7</v>
      </c>
      <c r="BL425" s="8">
        <f t="shared" si="279"/>
        <v>0.67999999999999972</v>
      </c>
      <c r="BM425" s="51" t="str">
        <f>IFERROR(VLOOKUP(A425,NF!$M:$O,3,0),"")</f>
        <v>Hortifruti</v>
      </c>
      <c r="BN425" s="7">
        <f t="shared" si="280"/>
        <v>7.16</v>
      </c>
      <c r="BO425" s="8">
        <f t="array" ref="BO425">IFERROR(LARGE(IF(NF!$G$2:$G$3137='Mês atual'!A425,NF!$J$2:$J$3137),1),0)*BN425</f>
        <v>127.85714285714286</v>
      </c>
      <c r="BP425" s="50"/>
      <c r="BR425" s="146">
        <f t="array" ref="BR425">IFERROR(LARGE(IF(NF!$G$2:$G$3137='Mês atual'!A425,NF!$J$2:$J$3137),1),0)</f>
        <v>17.857142857142858</v>
      </c>
      <c r="BS425" s="142" t="str">
        <f>VLOOKUP(A425,NF!M:O,3,0)</f>
        <v>Hortifruti</v>
      </c>
      <c r="BV425" s="74">
        <f t="shared" si="281"/>
        <v>0</v>
      </c>
      <c r="BW425" s="74">
        <f t="shared" si="282"/>
        <v>0</v>
      </c>
      <c r="BX425" s="74">
        <f t="shared" si="283"/>
        <v>1.34</v>
      </c>
      <c r="BY425" s="74">
        <f t="shared" si="284"/>
        <v>3.12</v>
      </c>
      <c r="BZ425" s="74">
        <f t="shared" si="285"/>
        <v>2.7</v>
      </c>
    </row>
    <row r="426" spans="1:78" x14ac:dyDescent="0.25">
      <c r="A426" s="108" t="s">
        <v>109</v>
      </c>
      <c r="B426" s="12"/>
      <c r="C426" s="9">
        <v>0.91</v>
      </c>
      <c r="D426" s="25"/>
      <c r="E426" s="10" t="str">
        <f t="shared" si="265"/>
        <v>MarçoSEMANA 1Alface Roxa Orgânica</v>
      </c>
      <c r="F426" s="7">
        <f>SUMIF(NF!$A:$A,$E426,NF!$I:$I)</f>
        <v>1.54</v>
      </c>
      <c r="G426" s="74"/>
      <c r="H426" s="74"/>
      <c r="I426" s="74"/>
      <c r="J426" s="6">
        <v>0.91</v>
      </c>
      <c r="K426" s="6"/>
      <c r="L426" s="6">
        <v>1.54</v>
      </c>
      <c r="M426" s="6"/>
      <c r="N426" s="7">
        <f t="shared" si="290"/>
        <v>2.4500000000000002</v>
      </c>
      <c r="O426" s="11">
        <f t="shared" si="267"/>
        <v>0</v>
      </c>
      <c r="P426" s="25"/>
      <c r="Q426" s="10" t="str">
        <f t="shared" si="268"/>
        <v>MarçoSEMANA 2Alface Roxa Orgânica</v>
      </c>
      <c r="R426" s="7">
        <f>SUMIF(NF!$A:$A,$Q426,NF!$I:$I)</f>
        <v>5.1400000000000006</v>
      </c>
      <c r="S426" s="6"/>
      <c r="T426" s="6">
        <v>1.6</v>
      </c>
      <c r="U426" s="6"/>
      <c r="V426" s="6">
        <v>1.76</v>
      </c>
      <c r="W426" s="6"/>
      <c r="X426" s="6">
        <v>0.89</v>
      </c>
      <c r="Y426" s="6">
        <v>0.89</v>
      </c>
      <c r="Z426" s="7">
        <f t="shared" si="286"/>
        <v>5.14</v>
      </c>
      <c r="AA426" s="11">
        <f t="shared" si="270"/>
        <v>0</v>
      </c>
      <c r="AB426" s="25"/>
      <c r="AC426" s="10" t="str">
        <f t="shared" si="271"/>
        <v>MarçoSEMANA 3Alface Roxa Orgânica</v>
      </c>
      <c r="AD426" s="7">
        <f>SUMIF(NF!$A:$A,$AC426,NF!$I:$I)</f>
        <v>3.8200000000000003</v>
      </c>
      <c r="AE426" s="6">
        <v>1.04</v>
      </c>
      <c r="AF426" s="6">
        <v>1.04</v>
      </c>
      <c r="AG426" s="6"/>
      <c r="AH426" s="6">
        <v>1.74</v>
      </c>
      <c r="AI426" s="6"/>
      <c r="AJ426" s="6"/>
      <c r="AK426" s="6"/>
      <c r="AL426" s="7">
        <f t="shared" si="287"/>
        <v>3.8200000000000003</v>
      </c>
      <c r="AM426" s="11">
        <f t="shared" si="273"/>
        <v>0</v>
      </c>
      <c r="AN426" s="25"/>
      <c r="AO426" s="10" t="str">
        <f t="shared" si="274"/>
        <v>MarçoSEMANA 4Alface Roxa Orgânica</v>
      </c>
      <c r="AP426" s="7">
        <f>SUMIF(NF!$A:$A,$AO426,NF!$I:$I)</f>
        <v>0</v>
      </c>
      <c r="AQ426" s="6"/>
      <c r="AR426" s="6"/>
      <c r="AS426" s="6"/>
      <c r="AT426" s="6"/>
      <c r="AU426" s="6"/>
      <c r="AV426" s="6"/>
      <c r="AW426" s="6"/>
      <c r="AX426" s="7">
        <f t="shared" si="288"/>
        <v>0</v>
      </c>
      <c r="AY426" s="11">
        <f t="shared" si="276"/>
        <v>0</v>
      </c>
      <c r="AZ426" s="25"/>
      <c r="BA426" s="10" t="str">
        <f t="shared" si="277"/>
        <v>MarçoSEMANA 5Alface Roxa Orgânica</v>
      </c>
      <c r="BB426" s="7">
        <f>SUMIF(NF!$A:$A,$BA426,NF!$I:$I)</f>
        <v>0</v>
      </c>
      <c r="BC426" s="6"/>
      <c r="BD426" s="6"/>
      <c r="BE426" s="6"/>
      <c r="BF426" s="6"/>
      <c r="BG426" s="6"/>
      <c r="BH426" s="6"/>
      <c r="BI426" s="74"/>
      <c r="BJ426" s="74"/>
      <c r="BK426" s="7">
        <f t="shared" si="289"/>
        <v>0</v>
      </c>
      <c r="BL426" s="8">
        <f t="shared" si="279"/>
        <v>0</v>
      </c>
      <c r="BM426" s="51" t="str">
        <f>IFERROR(VLOOKUP(A426,NF!$M:$O,3,0),"")</f>
        <v>Hortifruti</v>
      </c>
      <c r="BN426" s="7">
        <f t="shared" si="280"/>
        <v>11.41</v>
      </c>
      <c r="BO426" s="8">
        <f t="array" ref="BO426">IFERROR(LARGE(IF(NF!$G$2:$G$3137='Mês atual'!A426,NF!$J$2:$J$3137),1),0)*BN426</f>
        <v>191.40988124999998</v>
      </c>
      <c r="BP426" s="50"/>
      <c r="BR426" s="146">
        <f t="array" ref="BR426">IFERROR(LARGE(IF(NF!$G$2:$G$3137='Mês atual'!A426,NF!$J$2:$J$3137),1),0)</f>
        <v>16.775624999999998</v>
      </c>
      <c r="BS426" s="142" t="str">
        <f>VLOOKUP(A426,NF!M:O,3,0)</f>
        <v>Hortifruti</v>
      </c>
      <c r="BV426" s="74">
        <f t="shared" si="281"/>
        <v>2.4500000000000002</v>
      </c>
      <c r="BW426" s="74">
        <f t="shared" si="282"/>
        <v>5.14</v>
      </c>
      <c r="BX426" s="74">
        <f t="shared" si="283"/>
        <v>3.8200000000000003</v>
      </c>
      <c r="BY426" s="74">
        <f t="shared" si="284"/>
        <v>0</v>
      </c>
      <c r="BZ426" s="74">
        <f t="shared" si="285"/>
        <v>0</v>
      </c>
    </row>
    <row r="427" spans="1:78" x14ac:dyDescent="0.2">
      <c r="A427" s="108" t="s">
        <v>110</v>
      </c>
      <c r="B427" s="12"/>
      <c r="C427" s="9">
        <v>0</v>
      </c>
      <c r="D427" s="25"/>
      <c r="E427" s="10" t="str">
        <f t="shared" si="265"/>
        <v>MarçoSEMANA 1Alfafa</v>
      </c>
      <c r="F427" s="7">
        <f>SUMIF(NF!$A:$A,$E427,NF!$I:$I)</f>
        <v>0</v>
      </c>
      <c r="G427" s="74"/>
      <c r="H427" s="74"/>
      <c r="I427" s="74"/>
      <c r="J427" s="6"/>
      <c r="K427" s="6"/>
      <c r="L427" s="6"/>
      <c r="M427" s="6"/>
      <c r="N427" s="7">
        <f t="shared" si="290"/>
        <v>0</v>
      </c>
      <c r="O427" s="11">
        <f t="shared" si="267"/>
        <v>0</v>
      </c>
      <c r="P427" s="25"/>
      <c r="Q427" s="10" t="str">
        <f t="shared" si="268"/>
        <v>MarçoSEMANA 2Alfafa</v>
      </c>
      <c r="R427" s="7">
        <f>SUMIF(NF!$A:$A,$Q427,NF!$I:$I)</f>
        <v>0</v>
      </c>
      <c r="S427" s="6"/>
      <c r="T427" s="6"/>
      <c r="U427" s="6"/>
      <c r="V427" s="6"/>
      <c r="W427" s="6"/>
      <c r="X427" s="6"/>
      <c r="Y427" s="6"/>
      <c r="Z427" s="7">
        <f t="shared" si="286"/>
        <v>0</v>
      </c>
      <c r="AA427" s="11">
        <f t="shared" si="270"/>
        <v>0</v>
      </c>
      <c r="AB427" s="25"/>
      <c r="AC427" s="10" t="str">
        <f t="shared" si="271"/>
        <v>MarçoSEMANA 3Alfafa</v>
      </c>
      <c r="AD427" s="7">
        <f>SUMIF(NF!$A:$A,$AC427,NF!$I:$I)</f>
        <v>0</v>
      </c>
      <c r="AE427" s="6"/>
      <c r="AF427" s="6"/>
      <c r="AG427" s="6"/>
      <c r="AH427" s="6"/>
      <c r="AI427" s="6"/>
      <c r="AJ427" s="6"/>
      <c r="AK427" s="6"/>
      <c r="AL427" s="7">
        <f t="shared" si="287"/>
        <v>0</v>
      </c>
      <c r="AM427" s="11">
        <f t="shared" si="273"/>
        <v>0</v>
      </c>
      <c r="AN427" s="25"/>
      <c r="AO427" s="10" t="str">
        <f t="shared" si="274"/>
        <v>MarçoSEMANA 4Alfafa</v>
      </c>
      <c r="AP427" s="7">
        <f>SUMIF(NF!$A:$A,$AO427,NF!$I:$I)</f>
        <v>0</v>
      </c>
      <c r="AQ427" s="6"/>
      <c r="AR427" s="6"/>
      <c r="AS427" s="6"/>
      <c r="AT427" s="6"/>
      <c r="AU427" s="6"/>
      <c r="AV427" s="6"/>
      <c r="AW427" s="6"/>
      <c r="AX427" s="7">
        <f t="shared" si="288"/>
        <v>0</v>
      </c>
      <c r="AY427" s="11">
        <f t="shared" si="276"/>
        <v>0</v>
      </c>
      <c r="AZ427" s="25"/>
      <c r="BA427" s="10" t="str">
        <f t="shared" si="277"/>
        <v>MarçoSEMANA 5Alfafa</v>
      </c>
      <c r="BB427" s="7">
        <f>SUMIF(NF!$A:$A,$BA427,NF!$I:$I)</f>
        <v>0.45</v>
      </c>
      <c r="BC427" s="6"/>
      <c r="BD427" s="6"/>
      <c r="BE427" s="6">
        <v>0.45</v>
      </c>
      <c r="BF427" s="6"/>
      <c r="BG427" s="6"/>
      <c r="BH427" s="6"/>
      <c r="BI427" s="74"/>
      <c r="BJ427" s="74"/>
      <c r="BK427" s="7">
        <f t="shared" si="289"/>
        <v>0.45</v>
      </c>
      <c r="BL427" s="8">
        <f t="shared" si="279"/>
        <v>0</v>
      </c>
      <c r="BM427" s="51" t="str">
        <f>IFERROR(VLOOKUP(A427,NF!$M:$O,3,0),"")</f>
        <v>Hortifruti</v>
      </c>
      <c r="BN427" s="7">
        <f t="shared" si="280"/>
        <v>0.45</v>
      </c>
      <c r="BO427" s="8">
        <f t="array" ref="BO427">IFERROR(LARGE(IF(NF!$G$2:$G$3137='Mês atual'!A427,NF!$J$2:$J$3137),1),0)*BN427</f>
        <v>19.5</v>
      </c>
      <c r="BP427" s="50"/>
      <c r="BR427" s="146">
        <f t="array" ref="BR427">IFERROR(LARGE(IF(NF!$G$2:$G$3137='Mês atual'!A427,NF!$J$2:$J$3137),1),0)</f>
        <v>43.333333333333336</v>
      </c>
      <c r="BS427" s="142" t="str">
        <f>VLOOKUP(A427,NF!M:O,3,0)</f>
        <v>Hortifruti</v>
      </c>
      <c r="BV427" s="74">
        <f t="shared" si="281"/>
        <v>0</v>
      </c>
      <c r="BW427" s="74">
        <f t="shared" si="282"/>
        <v>0</v>
      </c>
      <c r="BX427" s="74">
        <f t="shared" si="283"/>
        <v>0</v>
      </c>
      <c r="BY427" s="74">
        <f t="shared" si="284"/>
        <v>0</v>
      </c>
      <c r="BZ427" s="74">
        <f t="shared" si="285"/>
        <v>0.45</v>
      </c>
    </row>
    <row r="428" spans="1:78" x14ac:dyDescent="0.2">
      <c r="A428" s="108" t="s">
        <v>111</v>
      </c>
      <c r="B428" s="12"/>
      <c r="C428" s="9">
        <v>0</v>
      </c>
      <c r="D428" s="25"/>
      <c r="E428" s="10" t="str">
        <f t="shared" si="265"/>
        <v>MarçoSEMANA 1Alho</v>
      </c>
      <c r="F428" s="7">
        <f>SUMIF(NF!$A:$A,$E428,NF!$I:$I)</f>
        <v>0</v>
      </c>
      <c r="G428" s="74"/>
      <c r="H428" s="74"/>
      <c r="I428" s="74"/>
      <c r="J428" s="6"/>
      <c r="K428" s="6"/>
      <c r="L428" s="6"/>
      <c r="M428" s="6"/>
      <c r="N428" s="7">
        <f t="shared" si="290"/>
        <v>0</v>
      </c>
      <c r="O428" s="11">
        <f t="shared" si="267"/>
        <v>0</v>
      </c>
      <c r="P428" s="25"/>
      <c r="Q428" s="10" t="str">
        <f t="shared" si="268"/>
        <v>MarçoSEMANA 2Alho</v>
      </c>
      <c r="R428" s="7">
        <f>SUMIF(NF!$A:$A,$Q428,NF!$I:$I)</f>
        <v>0</v>
      </c>
      <c r="S428" s="6"/>
      <c r="T428" s="6"/>
      <c r="U428" s="6"/>
      <c r="V428" s="6"/>
      <c r="W428" s="6"/>
      <c r="X428" s="6"/>
      <c r="Y428" s="6"/>
      <c r="Z428" s="7">
        <f t="shared" si="286"/>
        <v>0</v>
      </c>
      <c r="AA428" s="11">
        <f t="shared" si="270"/>
        <v>0</v>
      </c>
      <c r="AB428" s="25"/>
      <c r="AC428" s="10" t="str">
        <f t="shared" si="271"/>
        <v>MarçoSEMANA 3Alho</v>
      </c>
      <c r="AD428" s="7">
        <f>SUMIF(NF!$A:$A,$AC428,NF!$I:$I)</f>
        <v>0</v>
      </c>
      <c r="AE428" s="6"/>
      <c r="AF428" s="6"/>
      <c r="AG428" s="6"/>
      <c r="AH428" s="6"/>
      <c r="AI428" s="6"/>
      <c r="AJ428" s="6"/>
      <c r="AK428" s="6"/>
      <c r="AL428" s="7">
        <f t="shared" si="287"/>
        <v>0</v>
      </c>
      <c r="AM428" s="11">
        <f t="shared" si="273"/>
        <v>0</v>
      </c>
      <c r="AN428" s="25"/>
      <c r="AO428" s="10" t="str">
        <f t="shared" si="274"/>
        <v>MarçoSEMANA 4Alho</v>
      </c>
      <c r="AP428" s="7">
        <f>SUMIF(NF!$A:$A,$AO428,NF!$I:$I)</f>
        <v>0</v>
      </c>
      <c r="AQ428" s="6"/>
      <c r="AR428" s="6"/>
      <c r="AS428" s="6"/>
      <c r="AT428" s="6"/>
      <c r="AU428" s="6"/>
      <c r="AV428" s="6"/>
      <c r="AW428" s="6"/>
      <c r="AX428" s="7">
        <f t="shared" si="288"/>
        <v>0</v>
      </c>
      <c r="AY428" s="11">
        <f t="shared" si="276"/>
        <v>0</v>
      </c>
      <c r="AZ428" s="25"/>
      <c r="BA428" s="10" t="str">
        <f t="shared" si="277"/>
        <v>MarçoSEMANA 5Alho</v>
      </c>
      <c r="BB428" s="7">
        <f>SUMIF(NF!$A:$A,$BA428,NF!$I:$I)</f>
        <v>0</v>
      </c>
      <c r="BC428" s="6"/>
      <c r="BD428" s="6"/>
      <c r="BE428" s="6"/>
      <c r="BF428" s="6"/>
      <c r="BG428" s="6"/>
      <c r="BH428" s="6"/>
      <c r="BI428" s="74"/>
      <c r="BJ428" s="74"/>
      <c r="BK428" s="7">
        <f t="shared" si="289"/>
        <v>0</v>
      </c>
      <c r="BL428" s="8">
        <f t="shared" si="279"/>
        <v>0</v>
      </c>
      <c r="BM428" s="51" t="str">
        <f>IFERROR(VLOOKUP(A428,NF!$M:$O,3,0),"")</f>
        <v>Hortifruti</v>
      </c>
      <c r="BN428" s="7">
        <f t="shared" si="280"/>
        <v>0</v>
      </c>
      <c r="BO428" s="8">
        <f t="array" ref="BO428">IFERROR(LARGE(IF(NF!$G$2:$G$3137='Mês atual'!A428,NF!$J$2:$J$3137),1),0)*BN428</f>
        <v>0</v>
      </c>
      <c r="BP428" s="50"/>
      <c r="BR428" s="146">
        <f t="array" ref="BR428">IFERROR(LARGE(IF(NF!$G$2:$G$3137='Mês atual'!A428,NF!$J$2:$J$3137),1),0)</f>
        <v>0</v>
      </c>
      <c r="BS428" s="142" t="str">
        <f>VLOOKUP(A428,NF!M:O,3,0)</f>
        <v>Hortifruti</v>
      </c>
      <c r="BV428" s="74">
        <f t="shared" si="281"/>
        <v>0</v>
      </c>
      <c r="BW428" s="74">
        <f t="shared" si="282"/>
        <v>0</v>
      </c>
      <c r="BX428" s="74">
        <f t="shared" si="283"/>
        <v>0</v>
      </c>
      <c r="BY428" s="74">
        <f t="shared" si="284"/>
        <v>0</v>
      </c>
      <c r="BZ428" s="74">
        <f t="shared" si="285"/>
        <v>0</v>
      </c>
    </row>
    <row r="429" spans="1:78" x14ac:dyDescent="0.2">
      <c r="A429" s="108" t="s">
        <v>112</v>
      </c>
      <c r="B429" s="12"/>
      <c r="C429" s="9">
        <v>12</v>
      </c>
      <c r="D429" s="25"/>
      <c r="E429" s="10" t="str">
        <f t="shared" si="265"/>
        <v>MarçoSEMANA 1Alho Descascado</v>
      </c>
      <c r="F429" s="7">
        <f>SUMIF(NF!$A:$A,$E429,NF!$I:$I)</f>
        <v>15</v>
      </c>
      <c r="G429" s="74"/>
      <c r="H429" s="74"/>
      <c r="I429" s="74"/>
      <c r="J429" s="6"/>
      <c r="K429" s="6">
        <v>4</v>
      </c>
      <c r="L429" s="6">
        <v>3</v>
      </c>
      <c r="M429" s="6">
        <v>2</v>
      </c>
      <c r="N429" s="7">
        <f t="shared" si="290"/>
        <v>9</v>
      </c>
      <c r="O429" s="11">
        <f t="shared" si="267"/>
        <v>18</v>
      </c>
      <c r="P429" s="25"/>
      <c r="Q429" s="10" t="str">
        <f t="shared" si="268"/>
        <v>MarçoSEMANA 2Alho Descascado</v>
      </c>
      <c r="R429" s="7">
        <f>SUMIF(NF!$A:$A,$Q429,NF!$I:$I)</f>
        <v>15</v>
      </c>
      <c r="S429" s="6">
        <v>2</v>
      </c>
      <c r="T429" s="6"/>
      <c r="U429" s="6">
        <v>6</v>
      </c>
      <c r="V429" s="6"/>
      <c r="W429" s="6">
        <v>4</v>
      </c>
      <c r="X429" s="6"/>
      <c r="Y429" s="6">
        <v>5</v>
      </c>
      <c r="Z429" s="7">
        <f t="shared" si="286"/>
        <v>17</v>
      </c>
      <c r="AA429" s="11">
        <f t="shared" si="270"/>
        <v>16</v>
      </c>
      <c r="AB429" s="25"/>
      <c r="AC429" s="10" t="str">
        <f t="shared" si="271"/>
        <v>MarçoSEMANA 3Alho Descascado</v>
      </c>
      <c r="AD429" s="7">
        <f>SUMIF(NF!$A:$A,$AC429,NF!$I:$I)</f>
        <v>20</v>
      </c>
      <c r="AE429" s="6"/>
      <c r="AF429" s="6">
        <v>4</v>
      </c>
      <c r="AG429" s="6">
        <v>7</v>
      </c>
      <c r="AH429" s="6"/>
      <c r="AI429" s="6"/>
      <c r="AJ429" s="6">
        <v>5</v>
      </c>
      <c r="AK429" s="6"/>
      <c r="AL429" s="7">
        <f t="shared" si="287"/>
        <v>16</v>
      </c>
      <c r="AM429" s="11">
        <f t="shared" si="273"/>
        <v>20</v>
      </c>
      <c r="AN429" s="25"/>
      <c r="AO429" s="10" t="str">
        <f t="shared" si="274"/>
        <v>MarçoSEMANA 4Alho Descascado</v>
      </c>
      <c r="AP429" s="7">
        <f>SUMIF(NF!$A:$A,$AO429,NF!$I:$I)</f>
        <v>17</v>
      </c>
      <c r="AQ429" s="6">
        <v>6</v>
      </c>
      <c r="AR429" s="6"/>
      <c r="AS429" s="6">
        <v>3</v>
      </c>
      <c r="AT429" s="6">
        <v>1</v>
      </c>
      <c r="AU429" s="6">
        <v>5</v>
      </c>
      <c r="AV429" s="6"/>
      <c r="AW429" s="6">
        <v>3</v>
      </c>
      <c r="AX429" s="7">
        <f t="shared" si="288"/>
        <v>18</v>
      </c>
      <c r="AY429" s="11">
        <f t="shared" si="276"/>
        <v>19</v>
      </c>
      <c r="AZ429" s="25"/>
      <c r="BA429" s="10" t="str">
        <f t="shared" si="277"/>
        <v>MarçoSEMANA 5Alho Descascado</v>
      </c>
      <c r="BB429" s="7">
        <f>SUMIF(NF!$A:$A,$BA429,NF!$I:$I)</f>
        <v>12</v>
      </c>
      <c r="BC429" s="6">
        <v>3</v>
      </c>
      <c r="BD429" s="6"/>
      <c r="BE429" s="6">
        <v>3</v>
      </c>
      <c r="BF429" s="6">
        <v>4</v>
      </c>
      <c r="BG429" s="6"/>
      <c r="BH429" s="6">
        <v>3</v>
      </c>
      <c r="BI429" s="74"/>
      <c r="BJ429" s="74"/>
      <c r="BK429" s="7">
        <f t="shared" si="289"/>
        <v>13</v>
      </c>
      <c r="BL429" s="8">
        <f t="shared" si="279"/>
        <v>18</v>
      </c>
      <c r="BM429" s="51" t="str">
        <f>IFERROR(VLOOKUP(A429,NF!$M:$O,3,0),"")</f>
        <v>Hortifruti</v>
      </c>
      <c r="BN429" s="7">
        <f t="shared" si="280"/>
        <v>73</v>
      </c>
      <c r="BO429" s="8">
        <f t="array" ref="BO429">IFERROR(LARGE(IF(NF!$G$2:$G$3137='Mês atual'!A429,NF!$J$2:$J$3137),1),0)*BN429</f>
        <v>985.5</v>
      </c>
      <c r="BP429" s="50"/>
      <c r="BR429" s="146">
        <f t="array" ref="BR429">IFERROR(LARGE(IF(NF!$G$2:$G$3137='Mês atual'!A429,NF!$J$2:$J$3137),1),0)</f>
        <v>13.5</v>
      </c>
      <c r="BS429" s="142" t="str">
        <f>VLOOKUP(A429,NF!M:O,3,0)</f>
        <v>Hortifruti</v>
      </c>
      <c r="BV429" s="74">
        <f t="shared" si="281"/>
        <v>9</v>
      </c>
      <c r="BW429" s="74">
        <f t="shared" si="282"/>
        <v>17</v>
      </c>
      <c r="BX429" s="74">
        <f t="shared" si="283"/>
        <v>16</v>
      </c>
      <c r="BY429" s="74">
        <f t="shared" si="284"/>
        <v>18</v>
      </c>
      <c r="BZ429" s="74">
        <f t="shared" si="285"/>
        <v>13</v>
      </c>
    </row>
    <row r="430" spans="1:78" x14ac:dyDescent="0.25">
      <c r="A430" s="108" t="s">
        <v>113</v>
      </c>
      <c r="B430" s="12"/>
      <c r="C430" s="9">
        <v>0</v>
      </c>
      <c r="D430" s="25"/>
      <c r="E430" s="10" t="str">
        <f t="shared" si="265"/>
        <v xml:space="preserve">MarçoSEMANA 1Alho Poró </v>
      </c>
      <c r="F430" s="7">
        <f>SUMIF(NF!$A:$A,$E430,NF!$I:$I)</f>
        <v>1.5</v>
      </c>
      <c r="G430" s="74"/>
      <c r="H430" s="74"/>
      <c r="I430" s="74"/>
      <c r="J430" s="6"/>
      <c r="K430" s="6">
        <v>1.5</v>
      </c>
      <c r="L430" s="6"/>
      <c r="M430" s="6"/>
      <c r="N430" s="7">
        <f t="shared" si="290"/>
        <v>1.5</v>
      </c>
      <c r="O430" s="11">
        <f t="shared" si="267"/>
        <v>0</v>
      </c>
      <c r="P430" s="25"/>
      <c r="Q430" s="10" t="str">
        <f t="shared" si="268"/>
        <v xml:space="preserve">MarçoSEMANA 2Alho Poró </v>
      </c>
      <c r="R430" s="7">
        <f>SUMIF(NF!$A:$A,$Q430,NF!$I:$I)</f>
        <v>8</v>
      </c>
      <c r="S430" s="6"/>
      <c r="T430" s="6"/>
      <c r="U430" s="6">
        <v>5</v>
      </c>
      <c r="V430" s="6">
        <v>1</v>
      </c>
      <c r="W430" s="6">
        <v>2</v>
      </c>
      <c r="X430" s="6"/>
      <c r="Y430" s="6"/>
      <c r="Z430" s="7">
        <f t="shared" si="286"/>
        <v>8</v>
      </c>
      <c r="AA430" s="11">
        <f t="shared" si="270"/>
        <v>0</v>
      </c>
      <c r="AB430" s="25"/>
      <c r="AC430" s="10" t="str">
        <f t="shared" si="271"/>
        <v xml:space="preserve">MarçoSEMANA 3Alho Poró </v>
      </c>
      <c r="AD430" s="7">
        <f>SUMIF(NF!$A:$A,$AC430,NF!$I:$I)</f>
        <v>0</v>
      </c>
      <c r="AE430" s="6"/>
      <c r="AF430" s="6"/>
      <c r="AG430" s="6"/>
      <c r="AH430" s="6"/>
      <c r="AI430" s="6"/>
      <c r="AJ430" s="6"/>
      <c r="AK430" s="6"/>
      <c r="AL430" s="7">
        <f t="shared" si="287"/>
        <v>0</v>
      </c>
      <c r="AM430" s="11">
        <f t="shared" si="273"/>
        <v>0</v>
      </c>
      <c r="AN430" s="25"/>
      <c r="AO430" s="10" t="str">
        <f t="shared" si="274"/>
        <v xml:space="preserve">MarçoSEMANA 4Alho Poró </v>
      </c>
      <c r="AP430" s="7">
        <f>SUMIF(NF!$A:$A,$AO430,NF!$I:$I)</f>
        <v>14</v>
      </c>
      <c r="AQ430" s="6"/>
      <c r="AR430" s="6"/>
      <c r="AS430" s="6">
        <v>4</v>
      </c>
      <c r="AT430" s="6">
        <v>10</v>
      </c>
      <c r="AU430" s="6"/>
      <c r="AV430" s="6"/>
      <c r="AW430" s="6"/>
      <c r="AX430" s="7">
        <f t="shared" si="288"/>
        <v>14</v>
      </c>
      <c r="AY430" s="11">
        <f t="shared" si="276"/>
        <v>0</v>
      </c>
      <c r="AZ430" s="25"/>
      <c r="BA430" s="10" t="str">
        <f t="shared" si="277"/>
        <v xml:space="preserve">MarçoSEMANA 5Alho Poró </v>
      </c>
      <c r="BB430" s="7">
        <f>SUMIF(NF!$A:$A,$BA430,NF!$I:$I)</f>
        <v>1</v>
      </c>
      <c r="BC430" s="6"/>
      <c r="BD430" s="6"/>
      <c r="BE430" s="6"/>
      <c r="BF430" s="6">
        <v>1</v>
      </c>
      <c r="BG430" s="6"/>
      <c r="BH430" s="6"/>
      <c r="BI430" s="74"/>
      <c r="BJ430" s="74"/>
      <c r="BK430" s="7">
        <f t="shared" si="289"/>
        <v>1</v>
      </c>
      <c r="BL430" s="8">
        <f t="shared" si="279"/>
        <v>0</v>
      </c>
      <c r="BM430" s="51" t="str">
        <f>IFERROR(VLOOKUP(A430,NF!$M:$O,3,0),"")</f>
        <v>Hortifruti</v>
      </c>
      <c r="BN430" s="7">
        <f t="shared" si="280"/>
        <v>24.5</v>
      </c>
      <c r="BO430" s="8">
        <f t="array" ref="BO430">IFERROR(LARGE(IF(NF!$G$2:$G$3137='Mês atual'!A430,NF!$J$2:$J$3137),1),0)*BN430</f>
        <v>220.5</v>
      </c>
      <c r="BP430" s="50"/>
      <c r="BR430" s="146">
        <f t="array" ref="BR430">IFERROR(LARGE(IF(NF!$G$2:$G$3137='Mês atual'!A430,NF!$J$2:$J$3137),1),0)</f>
        <v>9</v>
      </c>
      <c r="BS430" s="142" t="str">
        <f>VLOOKUP(A430,NF!M:O,3,0)</f>
        <v>Hortifruti</v>
      </c>
      <c r="BV430" s="74">
        <f t="shared" si="281"/>
        <v>1.5</v>
      </c>
      <c r="BW430" s="74">
        <f t="shared" si="282"/>
        <v>8</v>
      </c>
      <c r="BX430" s="74">
        <f t="shared" si="283"/>
        <v>0</v>
      </c>
      <c r="BY430" s="74">
        <f t="shared" si="284"/>
        <v>14</v>
      </c>
      <c r="BZ430" s="74">
        <f t="shared" si="285"/>
        <v>1</v>
      </c>
    </row>
    <row r="431" spans="1:78" x14ac:dyDescent="0.25">
      <c r="A431" s="108" t="s">
        <v>114</v>
      </c>
      <c r="B431" s="12"/>
      <c r="C431" s="9">
        <v>0</v>
      </c>
      <c r="D431" s="25"/>
      <c r="E431" s="10" t="str">
        <f t="shared" si="265"/>
        <v>MarçoSEMANA 1Alho Poró Orgânico</v>
      </c>
      <c r="F431" s="7">
        <f>SUMIF(NF!$A:$A,$E431,NF!$I:$I)</f>
        <v>0</v>
      </c>
      <c r="G431" s="74"/>
      <c r="H431" s="74"/>
      <c r="I431" s="74"/>
      <c r="J431" s="6"/>
      <c r="K431" s="6"/>
      <c r="L431" s="6"/>
      <c r="M431" s="6"/>
      <c r="N431" s="7">
        <f>SUM(G431:M431)</f>
        <v>0</v>
      </c>
      <c r="O431" s="11">
        <f t="shared" si="267"/>
        <v>0</v>
      </c>
      <c r="P431" s="25"/>
      <c r="Q431" s="10" t="str">
        <f t="shared" si="268"/>
        <v>MarçoSEMANA 2Alho Poró Orgânico</v>
      </c>
      <c r="R431" s="7">
        <f>SUMIF(NF!$A:$A,$Q431,NF!$I:$I)</f>
        <v>0</v>
      </c>
      <c r="S431" s="6"/>
      <c r="T431" s="6"/>
      <c r="U431" s="6"/>
      <c r="V431" s="6"/>
      <c r="W431" s="6"/>
      <c r="X431" s="6"/>
      <c r="Y431" s="6"/>
      <c r="Z431" s="7">
        <f t="shared" si="286"/>
        <v>0</v>
      </c>
      <c r="AA431" s="11">
        <f t="shared" si="270"/>
        <v>0</v>
      </c>
      <c r="AB431" s="25"/>
      <c r="AC431" s="10" t="str">
        <f t="shared" si="271"/>
        <v>MarçoSEMANA 3Alho Poró Orgânico</v>
      </c>
      <c r="AD431" s="7">
        <f>SUMIF(NF!$A:$A,$AC431,NF!$I:$I)</f>
        <v>0</v>
      </c>
      <c r="AE431" s="6"/>
      <c r="AF431" s="6"/>
      <c r="AG431" s="6"/>
      <c r="AH431" s="6"/>
      <c r="AI431" s="6"/>
      <c r="AJ431" s="6"/>
      <c r="AK431" s="6"/>
      <c r="AL431" s="7">
        <f t="shared" si="287"/>
        <v>0</v>
      </c>
      <c r="AM431" s="11">
        <f t="shared" si="273"/>
        <v>0</v>
      </c>
      <c r="AN431" s="25"/>
      <c r="AO431" s="10" t="str">
        <f t="shared" si="274"/>
        <v>MarçoSEMANA 4Alho Poró Orgânico</v>
      </c>
      <c r="AP431" s="7">
        <f>SUMIF(NF!$A:$A,$AO431,NF!$I:$I)</f>
        <v>0</v>
      </c>
      <c r="AQ431" s="6"/>
      <c r="AR431" s="6"/>
      <c r="AS431" s="6"/>
      <c r="AT431" s="6"/>
      <c r="AU431" s="6"/>
      <c r="AV431" s="6"/>
      <c r="AW431" s="6"/>
      <c r="AX431" s="7">
        <f t="shared" si="288"/>
        <v>0</v>
      </c>
      <c r="AY431" s="11">
        <f t="shared" si="276"/>
        <v>0</v>
      </c>
      <c r="AZ431" s="25"/>
      <c r="BA431" s="10" t="str">
        <f t="shared" si="277"/>
        <v>MarçoSEMANA 5Alho Poró Orgânico</v>
      </c>
      <c r="BB431" s="7">
        <f>SUMIF(NF!$A:$A,$BA431,NF!$I:$I)</f>
        <v>0</v>
      </c>
      <c r="BC431" s="6"/>
      <c r="BD431" s="6"/>
      <c r="BE431" s="6"/>
      <c r="BF431" s="6"/>
      <c r="BG431" s="6"/>
      <c r="BH431" s="6"/>
      <c r="BI431" s="74"/>
      <c r="BJ431" s="74"/>
      <c r="BK431" s="7">
        <f t="shared" si="289"/>
        <v>0</v>
      </c>
      <c r="BL431" s="8">
        <f t="shared" si="279"/>
        <v>0</v>
      </c>
      <c r="BM431" s="51" t="str">
        <f>IFERROR(VLOOKUP(A431,NF!$M:$O,3,0),"")</f>
        <v>Hortifruti</v>
      </c>
      <c r="BN431" s="7">
        <f t="shared" si="280"/>
        <v>0</v>
      </c>
      <c r="BO431" s="8">
        <f t="array" ref="BO431">IFERROR(LARGE(IF(NF!$G$2:$G$3137='Mês atual'!A431,NF!$J$2:$J$3137),1),0)*BN431</f>
        <v>0</v>
      </c>
      <c r="BP431" s="50"/>
      <c r="BR431" s="146">
        <f t="array" ref="BR431">IFERROR(LARGE(IF(NF!$G$2:$G$3137='Mês atual'!A431,NF!$J$2:$J$3137),1),0)</f>
        <v>0</v>
      </c>
      <c r="BS431" s="142" t="str">
        <f>VLOOKUP(A431,NF!M:O,3,0)</f>
        <v>Hortifruti</v>
      </c>
      <c r="BV431" s="74">
        <f t="shared" si="281"/>
        <v>0</v>
      </c>
      <c r="BW431" s="74">
        <f t="shared" si="282"/>
        <v>0</v>
      </c>
      <c r="BX431" s="74">
        <f t="shared" si="283"/>
        <v>0</v>
      </c>
      <c r="BY431" s="74">
        <f t="shared" si="284"/>
        <v>0</v>
      </c>
      <c r="BZ431" s="74">
        <f t="shared" si="285"/>
        <v>0</v>
      </c>
    </row>
    <row r="432" spans="1:78" x14ac:dyDescent="0.2">
      <c r="A432" s="108" t="s">
        <v>981</v>
      </c>
      <c r="B432" s="12"/>
      <c r="C432" s="9">
        <v>0</v>
      </c>
      <c r="D432" s="25"/>
      <c r="E432" s="10" t="str">
        <f t="shared" si="265"/>
        <v>MarçoSEMANA 1Ameixa</v>
      </c>
      <c r="F432" s="7">
        <f>SUMIF(NF!$A:$A,$E432,NF!$I:$I)</f>
        <v>0</v>
      </c>
      <c r="G432" s="74"/>
      <c r="H432" s="74"/>
      <c r="I432" s="74"/>
      <c r="J432" s="6"/>
      <c r="K432" s="6"/>
      <c r="L432" s="6"/>
      <c r="M432" s="6"/>
      <c r="N432" s="7">
        <f>SUM(G432:M432)</f>
        <v>0</v>
      </c>
      <c r="O432" s="11">
        <f t="shared" si="267"/>
        <v>0</v>
      </c>
      <c r="P432" s="25"/>
      <c r="Q432" s="10" t="str">
        <f t="shared" si="268"/>
        <v>MarçoSEMANA 2Ameixa</v>
      </c>
      <c r="R432" s="7">
        <f>SUMIF(NF!$A:$A,$Q432,NF!$I:$I)</f>
        <v>0</v>
      </c>
      <c r="S432" s="6"/>
      <c r="T432" s="6"/>
      <c r="U432" s="6"/>
      <c r="V432" s="6"/>
      <c r="W432" s="6"/>
      <c r="X432" s="6"/>
      <c r="Y432" s="6"/>
      <c r="Z432" s="7">
        <f t="shared" si="286"/>
        <v>0</v>
      </c>
      <c r="AA432" s="11">
        <f t="shared" si="270"/>
        <v>0</v>
      </c>
      <c r="AB432" s="25"/>
      <c r="AC432" s="10" t="str">
        <f t="shared" si="271"/>
        <v>MarçoSEMANA 3Ameixa</v>
      </c>
      <c r="AD432" s="7">
        <f>SUMIF(NF!$A:$A,$AC432,NF!$I:$I)</f>
        <v>0</v>
      </c>
      <c r="AE432" s="6"/>
      <c r="AF432" s="6"/>
      <c r="AG432" s="6"/>
      <c r="AH432" s="6"/>
      <c r="AI432" s="6"/>
      <c r="AJ432" s="6"/>
      <c r="AK432" s="6"/>
      <c r="AL432" s="7">
        <f t="shared" si="287"/>
        <v>0</v>
      </c>
      <c r="AM432" s="11">
        <f t="shared" si="273"/>
        <v>0</v>
      </c>
      <c r="AN432" s="25"/>
      <c r="AO432" s="10" t="str">
        <f t="shared" si="274"/>
        <v>MarçoSEMANA 4Ameixa</v>
      </c>
      <c r="AP432" s="7">
        <f>SUMIF(NF!$A:$A,$AO432,NF!$I:$I)</f>
        <v>0</v>
      </c>
      <c r="AQ432" s="6"/>
      <c r="AR432" s="6"/>
      <c r="AS432" s="6"/>
      <c r="AT432" s="6"/>
      <c r="AU432" s="6"/>
      <c r="AV432" s="6"/>
      <c r="AW432" s="6"/>
      <c r="AX432" s="7">
        <f t="shared" si="288"/>
        <v>0</v>
      </c>
      <c r="AY432" s="11">
        <f t="shared" si="276"/>
        <v>0</v>
      </c>
      <c r="AZ432" s="25"/>
      <c r="BA432" s="10" t="str">
        <f t="shared" si="277"/>
        <v>MarçoSEMANA 5Ameixa</v>
      </c>
      <c r="BB432" s="7">
        <f>SUMIF(NF!$A:$A,$BA432,NF!$I:$I)</f>
        <v>0</v>
      </c>
      <c r="BC432" s="6"/>
      <c r="BD432" s="6"/>
      <c r="BE432" s="6"/>
      <c r="BF432" s="6"/>
      <c r="BG432" s="6"/>
      <c r="BH432" s="6"/>
      <c r="BI432" s="74"/>
      <c r="BJ432" s="74"/>
      <c r="BK432" s="7">
        <f t="shared" si="289"/>
        <v>0</v>
      </c>
      <c r="BL432" s="8">
        <f t="shared" si="279"/>
        <v>0</v>
      </c>
      <c r="BM432" s="51" t="str">
        <f>IFERROR(VLOOKUP(A432,NF!$M:$O,3,0),"")</f>
        <v>Hortifruti</v>
      </c>
      <c r="BN432" s="7">
        <f t="shared" si="280"/>
        <v>0</v>
      </c>
      <c r="BO432" s="8">
        <f t="array" ref="BO432">IFERROR(LARGE(IF(NF!$G$2:$G$3137='Mês atual'!A432,NF!$J$2:$J$3137),1),0)*BN432</f>
        <v>0</v>
      </c>
      <c r="BP432" s="50"/>
      <c r="BR432" s="146">
        <f t="array" ref="BR432">IFERROR(LARGE(IF(NF!$G$2:$G$3137='Mês atual'!A432,NF!$J$2:$J$3137),1),0)</f>
        <v>0</v>
      </c>
      <c r="BS432" s="142" t="str">
        <f>VLOOKUP(A432,NF!M:O,3,0)</f>
        <v>Hortifruti</v>
      </c>
      <c r="BV432" s="74">
        <f t="shared" si="281"/>
        <v>0</v>
      </c>
      <c r="BW432" s="74">
        <f t="shared" si="282"/>
        <v>0</v>
      </c>
      <c r="BX432" s="74">
        <f t="shared" si="283"/>
        <v>0</v>
      </c>
      <c r="BY432" s="74">
        <f t="shared" si="284"/>
        <v>0</v>
      </c>
      <c r="BZ432" s="74">
        <f t="shared" si="285"/>
        <v>0</v>
      </c>
    </row>
    <row r="433" spans="1:78" x14ac:dyDescent="0.2">
      <c r="A433" s="108" t="s">
        <v>121</v>
      </c>
      <c r="B433" s="12"/>
      <c r="C433" s="9">
        <v>0</v>
      </c>
      <c r="D433" s="25"/>
      <c r="E433" s="10" t="str">
        <f t="shared" si="265"/>
        <v>MarçoSEMANA 1Amora</v>
      </c>
      <c r="F433" s="7">
        <f>SUMIF(NF!$A:$A,$E433,NF!$I:$I)</f>
        <v>0</v>
      </c>
      <c r="G433" s="74"/>
      <c r="H433" s="74"/>
      <c r="I433" s="74"/>
      <c r="J433" s="6"/>
      <c r="K433" s="6"/>
      <c r="L433" s="6"/>
      <c r="M433" s="6"/>
      <c r="N433" s="7">
        <f t="shared" ref="N433:N438" si="291">SUM(G433:M433)</f>
        <v>0</v>
      </c>
      <c r="O433" s="11">
        <f t="shared" si="267"/>
        <v>0</v>
      </c>
      <c r="P433" s="25"/>
      <c r="Q433" s="10" t="str">
        <f t="shared" si="268"/>
        <v>MarçoSEMANA 2Amora</v>
      </c>
      <c r="R433" s="7">
        <f>SUMIF(NF!$A:$A,$Q433,NF!$I:$I)</f>
        <v>0</v>
      </c>
      <c r="S433" s="6"/>
      <c r="T433" s="6"/>
      <c r="U433" s="6"/>
      <c r="V433" s="6"/>
      <c r="W433" s="6"/>
      <c r="X433" s="6"/>
      <c r="Y433" s="6"/>
      <c r="Z433" s="7">
        <f t="shared" ref="Z433:Z438" si="292">SUM(S433:Y433)</f>
        <v>0</v>
      </c>
      <c r="AA433" s="11">
        <f t="shared" si="270"/>
        <v>0</v>
      </c>
      <c r="AB433" s="25"/>
      <c r="AC433" s="10" t="str">
        <f t="shared" si="271"/>
        <v>MarçoSEMANA 3Amora</v>
      </c>
      <c r="AD433" s="7">
        <f>SUMIF(NF!$A:$A,$AC433,NF!$I:$I)</f>
        <v>0</v>
      </c>
      <c r="AE433" s="6"/>
      <c r="AF433" s="6"/>
      <c r="AG433" s="6"/>
      <c r="AH433" s="6"/>
      <c r="AI433" s="6"/>
      <c r="AJ433" s="6"/>
      <c r="AK433" s="6"/>
      <c r="AL433" s="7">
        <f t="shared" ref="AL433:AL438" si="293">SUM(AE433:AK433)</f>
        <v>0</v>
      </c>
      <c r="AM433" s="11">
        <f t="shared" si="273"/>
        <v>0</v>
      </c>
      <c r="AN433" s="25"/>
      <c r="AO433" s="10" t="str">
        <f t="shared" si="274"/>
        <v>MarçoSEMANA 4Amora</v>
      </c>
      <c r="AP433" s="7">
        <f>SUMIF(NF!$A:$A,$AO433,NF!$I:$I)</f>
        <v>0</v>
      </c>
      <c r="AQ433" s="6"/>
      <c r="AR433" s="6"/>
      <c r="AS433" s="6"/>
      <c r="AT433" s="6"/>
      <c r="AU433" s="6"/>
      <c r="AV433" s="6"/>
      <c r="AW433" s="6"/>
      <c r="AX433" s="7">
        <f t="shared" ref="AX433:AX438" si="294">SUM(AQ433:AW433)</f>
        <v>0</v>
      </c>
      <c r="AY433" s="11">
        <f t="shared" si="276"/>
        <v>0</v>
      </c>
      <c r="AZ433" s="25"/>
      <c r="BA433" s="10" t="str">
        <f t="shared" si="277"/>
        <v>MarçoSEMANA 5Amora</v>
      </c>
      <c r="BB433" s="7">
        <f>SUMIF(NF!$A:$A,$BA433,NF!$I:$I)</f>
        <v>0</v>
      </c>
      <c r="BC433" s="6"/>
      <c r="BD433" s="6"/>
      <c r="BE433" s="6"/>
      <c r="BF433" s="6"/>
      <c r="BG433" s="6"/>
      <c r="BH433" s="6"/>
      <c r="BI433" s="74"/>
      <c r="BJ433" s="74"/>
      <c r="BK433" s="7">
        <f t="shared" ref="BK433:BK438" si="295">SUM(BC433:BJ433)</f>
        <v>0</v>
      </c>
      <c r="BL433" s="8">
        <f t="shared" si="279"/>
        <v>0</v>
      </c>
      <c r="BM433" s="51" t="str">
        <f>IFERROR(VLOOKUP(A433,NF!$M:$O,3,0),"")</f>
        <v>Hortifruti</v>
      </c>
      <c r="BN433" s="7">
        <f t="shared" si="280"/>
        <v>0</v>
      </c>
      <c r="BO433" s="8">
        <f t="array" ref="BO433">IFERROR(LARGE(IF(NF!$G$2:$G$3137='Mês atual'!A433,NF!$J$2:$J$3137),1),0)*BN433</f>
        <v>0</v>
      </c>
      <c r="BP433" s="50"/>
      <c r="BR433" s="146">
        <f t="array" ref="BR433">IFERROR(LARGE(IF(NF!$G$2:$G$3137='Mês atual'!A433,NF!$J$2:$J$3137),1),0)</f>
        <v>0</v>
      </c>
      <c r="BS433" s="142" t="str">
        <f>VLOOKUP(A433,NF!M:O,3,0)</f>
        <v>Hortifruti</v>
      </c>
      <c r="BV433" s="74">
        <f t="shared" si="281"/>
        <v>0</v>
      </c>
      <c r="BW433" s="74">
        <f t="shared" si="282"/>
        <v>0</v>
      </c>
      <c r="BX433" s="74">
        <f t="shared" si="283"/>
        <v>0</v>
      </c>
      <c r="BY433" s="74">
        <f t="shared" si="284"/>
        <v>0</v>
      </c>
      <c r="BZ433" s="74">
        <f t="shared" si="285"/>
        <v>0</v>
      </c>
    </row>
    <row r="434" spans="1:78" x14ac:dyDescent="0.2">
      <c r="A434" s="108" t="s">
        <v>123</v>
      </c>
      <c r="B434" s="12"/>
      <c r="C434" s="9">
        <v>0</v>
      </c>
      <c r="D434" s="25"/>
      <c r="E434" s="10" t="str">
        <f t="shared" si="265"/>
        <v>MarçoSEMANA 1Aneto</v>
      </c>
      <c r="F434" s="7">
        <f>SUMIF(NF!$A:$A,$E434,NF!$I:$I)</f>
        <v>0</v>
      </c>
      <c r="G434" s="74"/>
      <c r="H434" s="74"/>
      <c r="I434" s="74"/>
      <c r="J434" s="6"/>
      <c r="K434" s="6"/>
      <c r="L434" s="6"/>
      <c r="M434" s="6"/>
      <c r="N434" s="7">
        <f t="shared" si="291"/>
        <v>0</v>
      </c>
      <c r="O434" s="11">
        <f t="shared" si="267"/>
        <v>0</v>
      </c>
      <c r="P434" s="25"/>
      <c r="Q434" s="10" t="str">
        <f t="shared" si="268"/>
        <v>MarçoSEMANA 2Aneto</v>
      </c>
      <c r="R434" s="7">
        <f>SUMIF(NF!$A:$A,$Q434,NF!$I:$I)</f>
        <v>0</v>
      </c>
      <c r="S434" s="6"/>
      <c r="T434" s="6"/>
      <c r="U434" s="6"/>
      <c r="V434" s="6"/>
      <c r="W434" s="6"/>
      <c r="X434" s="6"/>
      <c r="Y434" s="6"/>
      <c r="Z434" s="7">
        <f t="shared" si="292"/>
        <v>0</v>
      </c>
      <c r="AA434" s="11">
        <f t="shared" si="270"/>
        <v>0</v>
      </c>
      <c r="AB434" s="25"/>
      <c r="AC434" s="10" t="str">
        <f t="shared" si="271"/>
        <v>MarçoSEMANA 3Aneto</v>
      </c>
      <c r="AD434" s="7">
        <f>SUMIF(NF!$A:$A,$AC434,NF!$I:$I)</f>
        <v>0</v>
      </c>
      <c r="AE434" s="6"/>
      <c r="AF434" s="6"/>
      <c r="AG434" s="6"/>
      <c r="AH434" s="6"/>
      <c r="AI434" s="6"/>
      <c r="AJ434" s="6"/>
      <c r="AK434" s="6"/>
      <c r="AL434" s="7">
        <f t="shared" si="293"/>
        <v>0</v>
      </c>
      <c r="AM434" s="11">
        <f t="shared" si="273"/>
        <v>0</v>
      </c>
      <c r="AN434" s="25"/>
      <c r="AO434" s="10" t="str">
        <f t="shared" si="274"/>
        <v>MarçoSEMANA 4Aneto</v>
      </c>
      <c r="AP434" s="7">
        <f>SUMIF(NF!$A:$A,$AO434,NF!$I:$I)</f>
        <v>0.1</v>
      </c>
      <c r="AQ434" s="6"/>
      <c r="AR434" s="6">
        <v>0.05</v>
      </c>
      <c r="AS434" s="6"/>
      <c r="AT434" s="6"/>
      <c r="AU434" s="6"/>
      <c r="AV434" s="6">
        <v>0.05</v>
      </c>
      <c r="AW434" s="6"/>
      <c r="AX434" s="7">
        <f t="shared" si="294"/>
        <v>0.1</v>
      </c>
      <c r="AY434" s="11">
        <f t="shared" si="276"/>
        <v>0</v>
      </c>
      <c r="AZ434" s="25"/>
      <c r="BA434" s="10" t="str">
        <f t="shared" si="277"/>
        <v>MarçoSEMANA 5Aneto</v>
      </c>
      <c r="BB434" s="7">
        <f>SUMIF(NF!$A:$A,$BA434,NF!$I:$I)</f>
        <v>0</v>
      </c>
      <c r="BC434" s="6"/>
      <c r="BD434" s="6"/>
      <c r="BE434" s="6"/>
      <c r="BF434" s="6"/>
      <c r="BG434" s="6"/>
      <c r="BH434" s="6"/>
      <c r="BI434" s="74"/>
      <c r="BJ434" s="74"/>
      <c r="BK434" s="7">
        <f t="shared" si="295"/>
        <v>0</v>
      </c>
      <c r="BL434" s="8">
        <f t="shared" si="279"/>
        <v>0</v>
      </c>
      <c r="BM434" s="51" t="str">
        <f>IFERROR(VLOOKUP(A434,NF!$M:$O,3,0),"")</f>
        <v>Hortifruti</v>
      </c>
      <c r="BN434" s="7">
        <f t="shared" si="280"/>
        <v>0.1</v>
      </c>
      <c r="BO434" s="8">
        <f t="array" ref="BO434">IFERROR(LARGE(IF(NF!$G$2:$G$3137='Mês atual'!A434,NF!$J$2:$J$3137),1),0)*BN434</f>
        <v>3</v>
      </c>
      <c r="BP434" s="50"/>
      <c r="BR434" s="146">
        <f t="array" ref="BR434">IFERROR(LARGE(IF(NF!$G$2:$G$3137='Mês atual'!A434,NF!$J$2:$J$3137),1),0)</f>
        <v>30</v>
      </c>
      <c r="BS434" s="142" t="str">
        <f>VLOOKUP(A434,NF!M:O,3,0)</f>
        <v>Hortifruti</v>
      </c>
      <c r="BV434" s="74">
        <f t="shared" si="281"/>
        <v>0</v>
      </c>
      <c r="BW434" s="74">
        <f t="shared" si="282"/>
        <v>0</v>
      </c>
      <c r="BX434" s="74">
        <f t="shared" si="283"/>
        <v>0</v>
      </c>
      <c r="BY434" s="74">
        <f t="shared" si="284"/>
        <v>0.1</v>
      </c>
      <c r="BZ434" s="74">
        <f t="shared" si="285"/>
        <v>0</v>
      </c>
    </row>
    <row r="435" spans="1:78" x14ac:dyDescent="0.2">
      <c r="A435" s="108" t="s">
        <v>1040</v>
      </c>
      <c r="B435" s="12"/>
      <c r="C435" s="9">
        <v>0</v>
      </c>
      <c r="D435" s="25"/>
      <c r="E435" s="10" t="str">
        <f t="shared" si="265"/>
        <v>MarçoSEMANA 1Aspargos Frescos</v>
      </c>
      <c r="F435" s="7">
        <f>SUMIF(NF!$A:$A,$E435,NF!$I:$I)</f>
        <v>0</v>
      </c>
      <c r="G435" s="74"/>
      <c r="H435" s="74"/>
      <c r="I435" s="74"/>
      <c r="J435" s="6"/>
      <c r="K435" s="6"/>
      <c r="L435" s="6"/>
      <c r="M435" s="6"/>
      <c r="N435" s="7">
        <f t="shared" si="291"/>
        <v>0</v>
      </c>
      <c r="O435" s="11">
        <f t="shared" si="267"/>
        <v>0</v>
      </c>
      <c r="P435" s="25"/>
      <c r="Q435" s="10" t="str">
        <f t="shared" si="268"/>
        <v>MarçoSEMANA 2Aspargos Frescos</v>
      </c>
      <c r="R435" s="7">
        <f>SUMIF(NF!$A:$A,$Q435,NF!$I:$I)</f>
        <v>0</v>
      </c>
      <c r="S435" s="6"/>
      <c r="T435" s="6"/>
      <c r="U435" s="6"/>
      <c r="V435" s="6"/>
      <c r="W435" s="6"/>
      <c r="X435" s="6"/>
      <c r="Y435" s="6"/>
      <c r="Z435" s="7">
        <f t="shared" si="292"/>
        <v>0</v>
      </c>
      <c r="AA435" s="11">
        <f t="shared" si="270"/>
        <v>0</v>
      </c>
      <c r="AB435" s="25"/>
      <c r="AC435" s="10" t="str">
        <f t="shared" si="271"/>
        <v>MarçoSEMANA 3Aspargos Frescos</v>
      </c>
      <c r="AD435" s="7">
        <f>SUMIF(NF!$A:$A,$AC435,NF!$I:$I)</f>
        <v>0</v>
      </c>
      <c r="AE435" s="6"/>
      <c r="AF435" s="6"/>
      <c r="AG435" s="6"/>
      <c r="AH435" s="6"/>
      <c r="AI435" s="6"/>
      <c r="AJ435" s="6"/>
      <c r="AK435" s="6"/>
      <c r="AL435" s="7">
        <f t="shared" si="293"/>
        <v>0</v>
      </c>
      <c r="AM435" s="11">
        <f t="shared" si="273"/>
        <v>0</v>
      </c>
      <c r="AN435" s="25"/>
      <c r="AO435" s="10" t="str">
        <f t="shared" si="274"/>
        <v>MarçoSEMANA 4Aspargos Frescos</v>
      </c>
      <c r="AP435" s="7">
        <f>SUMIF(NF!$A:$A,$AO435,NF!$I:$I)</f>
        <v>2</v>
      </c>
      <c r="AQ435" s="6"/>
      <c r="AR435" s="6">
        <v>2</v>
      </c>
      <c r="AS435" s="6"/>
      <c r="AT435" s="6"/>
      <c r="AU435" s="6"/>
      <c r="AV435" s="6"/>
      <c r="AW435" s="6"/>
      <c r="AX435" s="7">
        <f t="shared" si="294"/>
        <v>2</v>
      </c>
      <c r="AY435" s="11">
        <f t="shared" si="276"/>
        <v>0</v>
      </c>
      <c r="AZ435" s="25"/>
      <c r="BA435" s="10" t="str">
        <f t="shared" si="277"/>
        <v>MarçoSEMANA 5Aspargos Frescos</v>
      </c>
      <c r="BB435" s="7">
        <f>SUMIF(NF!$A:$A,$BA435,NF!$I:$I)</f>
        <v>0</v>
      </c>
      <c r="BC435" s="6"/>
      <c r="BD435" s="6"/>
      <c r="BE435" s="6"/>
      <c r="BF435" s="6"/>
      <c r="BG435" s="6"/>
      <c r="BH435" s="6"/>
      <c r="BI435" s="74"/>
      <c r="BJ435" s="74"/>
      <c r="BK435" s="7">
        <f t="shared" si="295"/>
        <v>0</v>
      </c>
      <c r="BL435" s="8">
        <f t="shared" si="279"/>
        <v>0</v>
      </c>
      <c r="BM435" s="51" t="str">
        <f>IFERROR(VLOOKUP(A435,NF!$M:$O,3,0),"")</f>
        <v>Hortifruti</v>
      </c>
      <c r="BN435" s="7">
        <f t="shared" si="280"/>
        <v>2</v>
      </c>
      <c r="BO435" s="8">
        <f t="array" ref="BO435">IFERROR(LARGE(IF(NF!$G$2:$G$3137='Mês atual'!A435,NF!$J$2:$J$3137),1),0)*BN435</f>
        <v>60</v>
      </c>
      <c r="BP435" s="50"/>
      <c r="BR435" s="146">
        <f t="array" ref="BR435">IFERROR(LARGE(IF(NF!$G$2:$G$3137='Mês atual'!A435,NF!$J$2:$J$3137),1),0)</f>
        <v>30</v>
      </c>
      <c r="BS435" s="142" t="str">
        <f>VLOOKUP(A435,NF!M:O,3,0)</f>
        <v>Hortifruti</v>
      </c>
      <c r="BV435" s="74">
        <f t="shared" si="281"/>
        <v>0</v>
      </c>
      <c r="BW435" s="74">
        <f t="shared" si="282"/>
        <v>0</v>
      </c>
      <c r="BX435" s="74">
        <f t="shared" si="283"/>
        <v>0</v>
      </c>
      <c r="BY435" s="74">
        <f t="shared" si="284"/>
        <v>2</v>
      </c>
      <c r="BZ435" s="74">
        <f t="shared" si="285"/>
        <v>0</v>
      </c>
    </row>
    <row r="436" spans="1:78" x14ac:dyDescent="0.2">
      <c r="A436" s="108" t="s">
        <v>161</v>
      </c>
      <c r="B436" s="12"/>
      <c r="C436" s="9">
        <v>0</v>
      </c>
      <c r="D436" s="25"/>
      <c r="E436" s="10" t="str">
        <f t="shared" si="265"/>
        <v>MarçoSEMANA 1Banana da Terra</v>
      </c>
      <c r="F436" s="7">
        <f>SUMIF(NF!$A:$A,$E436,NF!$I:$I)</f>
        <v>0</v>
      </c>
      <c r="G436" s="74"/>
      <c r="H436" s="74"/>
      <c r="I436" s="74"/>
      <c r="J436" s="6"/>
      <c r="K436" s="6"/>
      <c r="L436" s="6"/>
      <c r="M436" s="6"/>
      <c r="N436" s="7">
        <f t="shared" si="291"/>
        <v>0</v>
      </c>
      <c r="O436" s="11">
        <f t="shared" si="267"/>
        <v>0</v>
      </c>
      <c r="P436" s="25"/>
      <c r="Q436" s="10" t="str">
        <f t="shared" si="268"/>
        <v>MarçoSEMANA 2Banana da Terra</v>
      </c>
      <c r="R436" s="7">
        <f>SUMIF(NF!$A:$A,$Q436,NF!$I:$I)</f>
        <v>16</v>
      </c>
      <c r="S436" s="6">
        <v>6</v>
      </c>
      <c r="T436" s="6"/>
      <c r="U436" s="6"/>
      <c r="V436" s="6"/>
      <c r="W436" s="6">
        <v>10</v>
      </c>
      <c r="X436" s="6"/>
      <c r="Y436" s="6"/>
      <c r="Z436" s="7">
        <f t="shared" si="292"/>
        <v>16</v>
      </c>
      <c r="AA436" s="11">
        <f t="shared" si="270"/>
        <v>0</v>
      </c>
      <c r="AB436" s="25"/>
      <c r="AC436" s="10" t="str">
        <f t="shared" si="271"/>
        <v>MarçoSEMANA 3Banana da Terra</v>
      </c>
      <c r="AD436" s="7">
        <f>SUMIF(NF!$A:$A,$AC436,NF!$I:$I)</f>
        <v>6</v>
      </c>
      <c r="AE436" s="6"/>
      <c r="AF436" s="6">
        <v>6</v>
      </c>
      <c r="AG436" s="6"/>
      <c r="AH436" s="6"/>
      <c r="AI436" s="6"/>
      <c r="AJ436" s="6"/>
      <c r="AK436" s="6"/>
      <c r="AL436" s="7">
        <f t="shared" si="293"/>
        <v>6</v>
      </c>
      <c r="AM436" s="11">
        <f t="shared" si="273"/>
        <v>0</v>
      </c>
      <c r="AN436" s="25"/>
      <c r="AO436" s="10" t="str">
        <f t="shared" si="274"/>
        <v>MarçoSEMANA 4Banana da Terra</v>
      </c>
      <c r="AP436" s="7">
        <f>SUMIF(NF!$A:$A,$AO436,NF!$I:$I)</f>
        <v>8</v>
      </c>
      <c r="AQ436" s="6">
        <v>6</v>
      </c>
      <c r="AR436" s="6"/>
      <c r="AS436" s="6"/>
      <c r="AT436" s="6">
        <v>2</v>
      </c>
      <c r="AU436" s="6"/>
      <c r="AV436" s="6"/>
      <c r="AW436" s="6"/>
      <c r="AX436" s="7">
        <f t="shared" si="294"/>
        <v>8</v>
      </c>
      <c r="AY436" s="11">
        <f t="shared" si="276"/>
        <v>0</v>
      </c>
      <c r="AZ436" s="25"/>
      <c r="BA436" s="10" t="str">
        <f t="shared" si="277"/>
        <v>MarçoSEMANA 5Banana da Terra</v>
      </c>
      <c r="BB436" s="7">
        <f>SUMIF(NF!$A:$A,$BA436,NF!$I:$I)</f>
        <v>6</v>
      </c>
      <c r="BC436" s="6"/>
      <c r="BD436" s="6"/>
      <c r="BE436" s="6"/>
      <c r="BF436" s="6"/>
      <c r="BG436" s="6">
        <v>6</v>
      </c>
      <c r="BH436" s="6"/>
      <c r="BI436" s="74"/>
      <c r="BJ436" s="74"/>
      <c r="BK436" s="7">
        <f t="shared" si="295"/>
        <v>6</v>
      </c>
      <c r="BL436" s="8">
        <f t="shared" si="279"/>
        <v>0</v>
      </c>
      <c r="BM436" s="51" t="str">
        <f>IFERROR(VLOOKUP(A436,NF!$M:$O,3,0),"")</f>
        <v>Hortifruti</v>
      </c>
      <c r="BN436" s="7">
        <f t="shared" si="280"/>
        <v>36</v>
      </c>
      <c r="BO436" s="8">
        <f t="array" ref="BO436">IFERROR(LARGE(IF(NF!$G$2:$G$3137='Mês atual'!A436,NF!$J$2:$J$3137),1),0)*BN436</f>
        <v>162</v>
      </c>
      <c r="BP436" s="50"/>
      <c r="BR436" s="146">
        <f t="array" ref="BR436">IFERROR(LARGE(IF(NF!$G$2:$G$3137='Mês atual'!A436,NF!$J$2:$J$3137),1),0)</f>
        <v>4.5</v>
      </c>
      <c r="BS436" s="142" t="str">
        <f>VLOOKUP(A436,NF!M:O,3,0)</f>
        <v>Hortifruti</v>
      </c>
      <c r="BV436" s="74">
        <f t="shared" si="281"/>
        <v>0</v>
      </c>
      <c r="BW436" s="74">
        <f t="shared" si="282"/>
        <v>16</v>
      </c>
      <c r="BX436" s="74">
        <f t="shared" si="283"/>
        <v>6</v>
      </c>
      <c r="BY436" s="74">
        <f t="shared" si="284"/>
        <v>8</v>
      </c>
      <c r="BZ436" s="74">
        <f t="shared" si="285"/>
        <v>6</v>
      </c>
    </row>
    <row r="437" spans="1:78" x14ac:dyDescent="0.25">
      <c r="A437" s="108" t="s">
        <v>162</v>
      </c>
      <c r="B437" s="12"/>
      <c r="C437" s="9">
        <v>1</v>
      </c>
      <c r="D437" s="25"/>
      <c r="E437" s="10" t="str">
        <f t="shared" si="265"/>
        <v>MarçoSEMANA 1Banana D'Água</v>
      </c>
      <c r="F437" s="7">
        <f>SUMIF(NF!$A:$A,$E437,NF!$I:$I)</f>
        <v>6</v>
      </c>
      <c r="G437" s="74"/>
      <c r="H437" s="74"/>
      <c r="I437" s="74"/>
      <c r="J437" s="6">
        <v>1</v>
      </c>
      <c r="K437" s="6">
        <v>4</v>
      </c>
      <c r="L437" s="6">
        <v>2</v>
      </c>
      <c r="M437" s="6"/>
      <c r="N437" s="7">
        <f t="shared" si="291"/>
        <v>7</v>
      </c>
      <c r="O437" s="11">
        <f t="shared" si="267"/>
        <v>0</v>
      </c>
      <c r="P437" s="25"/>
      <c r="Q437" s="10" t="str">
        <f t="shared" si="268"/>
        <v>MarçoSEMANA 2Banana D'Água</v>
      </c>
      <c r="R437" s="7">
        <f>SUMIF(NF!$A:$A,$Q437,NF!$I:$I)</f>
        <v>3.5750000000000002</v>
      </c>
      <c r="S437" s="6"/>
      <c r="T437" s="6"/>
      <c r="U437" s="6"/>
      <c r="V437" s="6">
        <v>3.5750000000000002</v>
      </c>
      <c r="W437" s="6"/>
      <c r="X437" s="6"/>
      <c r="Y437" s="6"/>
      <c r="Z437" s="7">
        <f t="shared" si="292"/>
        <v>3.5750000000000002</v>
      </c>
      <c r="AA437" s="11">
        <f t="shared" si="270"/>
        <v>0</v>
      </c>
      <c r="AB437" s="25"/>
      <c r="AC437" s="10" t="str">
        <f t="shared" si="271"/>
        <v>MarçoSEMANA 3Banana D'Água</v>
      </c>
      <c r="AD437" s="7">
        <f>SUMIF(NF!$A:$A,$AC437,NF!$I:$I)</f>
        <v>0</v>
      </c>
      <c r="AE437" s="6"/>
      <c r="AF437" s="6"/>
      <c r="AG437" s="6"/>
      <c r="AH437" s="6"/>
      <c r="AI437" s="6"/>
      <c r="AJ437" s="6"/>
      <c r="AK437" s="6"/>
      <c r="AL437" s="7">
        <f t="shared" si="293"/>
        <v>0</v>
      </c>
      <c r="AM437" s="11">
        <f t="shared" si="273"/>
        <v>0</v>
      </c>
      <c r="AN437" s="25"/>
      <c r="AO437" s="10" t="str">
        <f t="shared" si="274"/>
        <v>MarçoSEMANA 4Banana D'Água</v>
      </c>
      <c r="AP437" s="7">
        <f>SUMIF(NF!$A:$A,$AO437,NF!$I:$I)</f>
        <v>0</v>
      </c>
      <c r="AQ437" s="6"/>
      <c r="AR437" s="6"/>
      <c r="AS437" s="6"/>
      <c r="AT437" s="6"/>
      <c r="AU437" s="6"/>
      <c r="AV437" s="6"/>
      <c r="AW437" s="6"/>
      <c r="AX437" s="7">
        <f t="shared" si="294"/>
        <v>0</v>
      </c>
      <c r="AY437" s="11">
        <f t="shared" si="276"/>
        <v>0</v>
      </c>
      <c r="AZ437" s="25"/>
      <c r="BA437" s="10" t="str">
        <f t="shared" si="277"/>
        <v>MarçoSEMANA 5Banana D'Água</v>
      </c>
      <c r="BB437" s="7">
        <f>SUMIF(NF!$A:$A,$BA437,NF!$I:$I)</f>
        <v>2.09</v>
      </c>
      <c r="BC437" s="6"/>
      <c r="BD437" s="6">
        <v>2.09</v>
      </c>
      <c r="BE437" s="6"/>
      <c r="BF437" s="6"/>
      <c r="BG437" s="6"/>
      <c r="BH437" s="6"/>
      <c r="BI437" s="74"/>
      <c r="BJ437" s="74"/>
      <c r="BK437" s="7">
        <f t="shared" si="295"/>
        <v>2.09</v>
      </c>
      <c r="BL437" s="8">
        <f t="shared" si="279"/>
        <v>0</v>
      </c>
      <c r="BM437" s="51" t="str">
        <f>IFERROR(VLOOKUP(A437,NF!$M:$O,3,0),"")</f>
        <v>Hortifruti</v>
      </c>
      <c r="BN437" s="7">
        <f t="shared" si="280"/>
        <v>12.664999999999999</v>
      </c>
      <c r="BO437" s="8">
        <f t="array" ref="BO437">IFERROR(LARGE(IF(NF!$G$2:$G$3137='Mês atual'!A437,NF!$J$2:$J$3137),1),0)*BN437</f>
        <v>50.533349999999999</v>
      </c>
      <c r="BP437" s="50"/>
      <c r="BR437" s="146">
        <f t="array" ref="BR437">IFERROR(LARGE(IF(NF!$G$2:$G$3137='Mês atual'!A437,NF!$J$2:$J$3137),1),0)</f>
        <v>3.99</v>
      </c>
      <c r="BS437" s="142" t="str">
        <f>VLOOKUP(A437,NF!M:O,3,0)</f>
        <v>Hortifruti</v>
      </c>
      <c r="BV437" s="74">
        <f t="shared" si="281"/>
        <v>7</v>
      </c>
      <c r="BW437" s="74">
        <f t="shared" si="282"/>
        <v>3.5750000000000002</v>
      </c>
      <c r="BX437" s="74">
        <f t="shared" si="283"/>
        <v>0</v>
      </c>
      <c r="BY437" s="74">
        <f t="shared" si="284"/>
        <v>0</v>
      </c>
      <c r="BZ437" s="74">
        <f t="shared" si="285"/>
        <v>2.09</v>
      </c>
    </row>
    <row r="438" spans="1:78" x14ac:dyDescent="0.2">
      <c r="A438" s="108" t="s">
        <v>163</v>
      </c>
      <c r="B438" s="12"/>
      <c r="C438" s="9">
        <v>0</v>
      </c>
      <c r="D438" s="25"/>
      <c r="E438" s="10" t="str">
        <f t="shared" si="265"/>
        <v>MarçoSEMANA 1Banana Prata</v>
      </c>
      <c r="F438" s="7">
        <f>SUMIF(NF!$A:$A,$E438,NF!$I:$I)</f>
        <v>0</v>
      </c>
      <c r="G438" s="74"/>
      <c r="H438" s="74"/>
      <c r="I438" s="74"/>
      <c r="J438" s="6"/>
      <c r="K438" s="6"/>
      <c r="L438" s="6"/>
      <c r="M438" s="6"/>
      <c r="N438" s="7">
        <f t="shared" si="291"/>
        <v>0</v>
      </c>
      <c r="O438" s="11">
        <f t="shared" si="267"/>
        <v>0</v>
      </c>
      <c r="P438" s="25"/>
      <c r="Q438" s="10" t="str">
        <f t="shared" si="268"/>
        <v>MarçoSEMANA 2Banana Prata</v>
      </c>
      <c r="R438" s="7">
        <f>SUMIF(NF!$A:$A,$Q438,NF!$I:$I)</f>
        <v>0</v>
      </c>
      <c r="S438" s="6"/>
      <c r="T438" s="6"/>
      <c r="U438" s="6"/>
      <c r="V438" s="6"/>
      <c r="W438" s="6"/>
      <c r="X438" s="6"/>
      <c r="Y438" s="6"/>
      <c r="Z438" s="7">
        <f t="shared" si="292"/>
        <v>0</v>
      </c>
      <c r="AA438" s="11">
        <f t="shared" si="270"/>
        <v>0</v>
      </c>
      <c r="AB438" s="25"/>
      <c r="AC438" s="10" t="str">
        <f t="shared" si="271"/>
        <v>MarçoSEMANA 3Banana Prata</v>
      </c>
      <c r="AD438" s="7">
        <f>SUMIF(NF!$A:$A,$AC438,NF!$I:$I)</f>
        <v>2</v>
      </c>
      <c r="AE438" s="6"/>
      <c r="AF438" s="6"/>
      <c r="AG438" s="6"/>
      <c r="AH438" s="6">
        <v>2</v>
      </c>
      <c r="AI438" s="6"/>
      <c r="AJ438" s="6"/>
      <c r="AK438" s="6"/>
      <c r="AL438" s="7">
        <f t="shared" si="293"/>
        <v>2</v>
      </c>
      <c r="AM438" s="11">
        <f t="shared" si="273"/>
        <v>0</v>
      </c>
      <c r="AN438" s="25"/>
      <c r="AO438" s="10" t="str">
        <f t="shared" si="274"/>
        <v>MarçoSEMANA 4Banana Prata</v>
      </c>
      <c r="AP438" s="7">
        <f>SUMIF(NF!$A:$A,$AO438,NF!$I:$I)</f>
        <v>0</v>
      </c>
      <c r="AQ438" s="6"/>
      <c r="AR438" s="6"/>
      <c r="AS438" s="6"/>
      <c r="AT438" s="6"/>
      <c r="AU438" s="6"/>
      <c r="AV438" s="6"/>
      <c r="AW438" s="6"/>
      <c r="AX438" s="7">
        <f t="shared" si="294"/>
        <v>0</v>
      </c>
      <c r="AY438" s="11">
        <f t="shared" si="276"/>
        <v>0</v>
      </c>
      <c r="AZ438" s="25"/>
      <c r="BA438" s="10" t="str">
        <f t="shared" si="277"/>
        <v>MarçoSEMANA 5Banana Prata</v>
      </c>
      <c r="BB438" s="7">
        <f>SUMIF(NF!$A:$A,$BA438,NF!$I:$I)</f>
        <v>0</v>
      </c>
      <c r="BC438" s="6"/>
      <c r="BD438" s="6"/>
      <c r="BE438" s="6"/>
      <c r="BF438" s="6"/>
      <c r="BG438" s="6"/>
      <c r="BH438" s="6"/>
      <c r="BI438" s="74"/>
      <c r="BJ438" s="74"/>
      <c r="BK438" s="7">
        <f t="shared" si="295"/>
        <v>0</v>
      </c>
      <c r="BL438" s="8">
        <f t="shared" si="279"/>
        <v>0</v>
      </c>
      <c r="BM438" s="51" t="str">
        <f>IFERROR(VLOOKUP(A438,NF!$M:$O,3,0),"")</f>
        <v>Hortifruti</v>
      </c>
      <c r="BN438" s="7">
        <f t="shared" si="280"/>
        <v>2</v>
      </c>
      <c r="BO438" s="8">
        <f t="array" ref="BO438">IFERROR(LARGE(IF(NF!$G$2:$G$3137='Mês atual'!A438,NF!$J$2:$J$3137),1),0)*BN438</f>
        <v>10</v>
      </c>
      <c r="BP438" s="50"/>
      <c r="BR438" s="146">
        <f t="array" ref="BR438">IFERROR(LARGE(IF(NF!$G$2:$G$3137='Mês atual'!A438,NF!$J$2:$J$3137),1),0)</f>
        <v>5</v>
      </c>
      <c r="BS438" s="142" t="str">
        <f>VLOOKUP(A438,NF!M:O,3,0)</f>
        <v>Hortifruti</v>
      </c>
      <c r="BV438" s="74">
        <f t="shared" si="281"/>
        <v>0</v>
      </c>
      <c r="BW438" s="74">
        <f t="shared" si="282"/>
        <v>0</v>
      </c>
      <c r="BX438" s="74">
        <f t="shared" si="283"/>
        <v>2</v>
      </c>
      <c r="BY438" s="74">
        <f t="shared" si="284"/>
        <v>0</v>
      </c>
      <c r="BZ438" s="74">
        <f t="shared" si="285"/>
        <v>0</v>
      </c>
    </row>
    <row r="439" spans="1:78" x14ac:dyDescent="0.25">
      <c r="A439" s="108" t="s">
        <v>164</v>
      </c>
      <c r="B439" s="12"/>
      <c r="C439" s="9">
        <v>0</v>
      </c>
      <c r="D439" s="25"/>
      <c r="E439" s="10" t="str">
        <f t="shared" si="265"/>
        <v>MarçoSEMANA 1Banana Prata Orgânica</v>
      </c>
      <c r="F439" s="7">
        <f>SUMIF(NF!$A:$A,$E439,NF!$I:$I)</f>
        <v>0</v>
      </c>
      <c r="G439" s="74"/>
      <c r="H439" s="74"/>
      <c r="I439" s="74"/>
      <c r="J439" s="6"/>
      <c r="K439" s="6"/>
      <c r="L439" s="6"/>
      <c r="M439" s="6"/>
      <c r="N439" s="7">
        <f>SUM(G439:M439)</f>
        <v>0</v>
      </c>
      <c r="O439" s="11">
        <f t="shared" si="267"/>
        <v>0</v>
      </c>
      <c r="P439" s="25"/>
      <c r="Q439" s="10" t="str">
        <f t="shared" si="268"/>
        <v>MarçoSEMANA 2Banana Prata Orgânica</v>
      </c>
      <c r="R439" s="7">
        <f>SUMIF(NF!$A:$A,$Q439,NF!$I:$I)</f>
        <v>0</v>
      </c>
      <c r="S439" s="6"/>
      <c r="T439" s="6"/>
      <c r="U439" s="6"/>
      <c r="V439" s="6"/>
      <c r="W439" s="6"/>
      <c r="X439" s="6"/>
      <c r="Y439" s="6"/>
      <c r="Z439" s="7">
        <f>SUM(S439:Y439)</f>
        <v>0</v>
      </c>
      <c r="AA439" s="11">
        <f t="shared" si="270"/>
        <v>0</v>
      </c>
      <c r="AB439" s="25"/>
      <c r="AC439" s="10" t="str">
        <f t="shared" si="271"/>
        <v>MarçoSEMANA 3Banana Prata Orgânica</v>
      </c>
      <c r="AD439" s="7">
        <f>SUMIF(NF!$A:$A,$AC439,NF!$I:$I)</f>
        <v>0</v>
      </c>
      <c r="AE439" s="6"/>
      <c r="AF439" s="6"/>
      <c r="AG439" s="6"/>
      <c r="AH439" s="6"/>
      <c r="AI439" s="6"/>
      <c r="AJ439" s="6"/>
      <c r="AK439" s="6"/>
      <c r="AL439" s="7">
        <f>SUM(AE439:AK439)</f>
        <v>0</v>
      </c>
      <c r="AM439" s="11">
        <f t="shared" si="273"/>
        <v>0</v>
      </c>
      <c r="AN439" s="25"/>
      <c r="AO439" s="10" t="str">
        <f t="shared" si="274"/>
        <v>MarçoSEMANA 4Banana Prata Orgânica</v>
      </c>
      <c r="AP439" s="7">
        <f>SUMIF(NF!$A:$A,$AO439,NF!$I:$I)</f>
        <v>0</v>
      </c>
      <c r="AQ439" s="6"/>
      <c r="AR439" s="6"/>
      <c r="AS439" s="6"/>
      <c r="AT439" s="6"/>
      <c r="AU439" s="6"/>
      <c r="AV439" s="6"/>
      <c r="AW439" s="6"/>
      <c r="AX439" s="7">
        <f>SUM(AQ439:AW439)</f>
        <v>0</v>
      </c>
      <c r="AY439" s="11">
        <f t="shared" si="276"/>
        <v>0</v>
      </c>
      <c r="AZ439" s="25"/>
      <c r="BA439" s="10" t="str">
        <f t="shared" si="277"/>
        <v>MarçoSEMANA 5Banana Prata Orgânica</v>
      </c>
      <c r="BB439" s="7">
        <f>SUMIF(NF!$A:$A,$BA439,NF!$I:$I)</f>
        <v>0</v>
      </c>
      <c r="BC439" s="6"/>
      <c r="BD439" s="6"/>
      <c r="BE439" s="6"/>
      <c r="BF439" s="6"/>
      <c r="BG439" s="6"/>
      <c r="BH439" s="6"/>
      <c r="BI439" s="74"/>
      <c r="BJ439" s="74"/>
      <c r="BK439" s="7">
        <f>SUM(BC439:BJ439)</f>
        <v>0</v>
      </c>
      <c r="BL439" s="8">
        <f t="shared" si="279"/>
        <v>0</v>
      </c>
      <c r="BM439" s="51" t="str">
        <f>IFERROR(VLOOKUP(A439,NF!$M:$O,3,0),"")</f>
        <v>Hortifruti</v>
      </c>
      <c r="BN439" s="7">
        <f t="shared" si="280"/>
        <v>0</v>
      </c>
      <c r="BO439" s="8">
        <f t="array" ref="BO439">IFERROR(LARGE(IF(NF!$G$2:$G$3137='Mês atual'!A439,NF!$J$2:$J$3137),1),0)*BN439</f>
        <v>0</v>
      </c>
      <c r="BP439" s="50"/>
      <c r="BR439" s="146">
        <f t="array" ref="BR439">IFERROR(LARGE(IF(NF!$G$2:$G$3137='Mês atual'!A439,NF!$J$2:$J$3137),1),0)</f>
        <v>0</v>
      </c>
      <c r="BS439" s="142" t="str">
        <f>VLOOKUP(A439,NF!M:O,3,0)</f>
        <v>Hortifruti</v>
      </c>
      <c r="BV439" s="74">
        <f t="shared" si="281"/>
        <v>0</v>
      </c>
      <c r="BW439" s="74">
        <f t="shared" si="282"/>
        <v>0</v>
      </c>
      <c r="BX439" s="74">
        <f t="shared" si="283"/>
        <v>0</v>
      </c>
      <c r="BY439" s="74">
        <f t="shared" si="284"/>
        <v>0</v>
      </c>
      <c r="BZ439" s="74">
        <f t="shared" si="285"/>
        <v>0</v>
      </c>
    </row>
    <row r="440" spans="1:78" x14ac:dyDescent="0.2">
      <c r="A440" s="108" t="s">
        <v>169</v>
      </c>
      <c r="B440" s="12"/>
      <c r="C440" s="9">
        <v>0</v>
      </c>
      <c r="D440" s="25"/>
      <c r="E440" s="10" t="str">
        <f t="shared" si="265"/>
        <v>MarçoSEMANA 1Batata Baroa</v>
      </c>
      <c r="F440" s="7">
        <f>SUMIF(NF!$A:$A,$E440,NF!$I:$I)</f>
        <v>9</v>
      </c>
      <c r="G440" s="74"/>
      <c r="H440" s="74"/>
      <c r="I440" s="74"/>
      <c r="J440" s="6"/>
      <c r="K440" s="6">
        <v>3</v>
      </c>
      <c r="L440" s="6">
        <v>6</v>
      </c>
      <c r="M440" s="6"/>
      <c r="N440" s="7">
        <f t="shared" ref="N440:N454" si="296">SUM(G440:M440)</f>
        <v>9</v>
      </c>
      <c r="O440" s="11">
        <f t="shared" si="267"/>
        <v>0</v>
      </c>
      <c r="P440" s="25"/>
      <c r="Q440" s="10" t="str">
        <f t="shared" si="268"/>
        <v>MarçoSEMANA 2Batata Baroa</v>
      </c>
      <c r="R440" s="7">
        <f>SUMIF(NF!$A:$A,$Q440,NF!$I:$I)</f>
        <v>8</v>
      </c>
      <c r="S440" s="6"/>
      <c r="T440" s="6"/>
      <c r="U440" s="6">
        <v>2</v>
      </c>
      <c r="V440" s="6"/>
      <c r="W440" s="6"/>
      <c r="X440" s="6">
        <v>6</v>
      </c>
      <c r="Y440" s="6"/>
      <c r="Z440" s="7">
        <f t="shared" ref="Z440:Z454" si="297">SUM(S440:Y440)</f>
        <v>8</v>
      </c>
      <c r="AA440" s="11">
        <f t="shared" si="270"/>
        <v>0</v>
      </c>
      <c r="AB440" s="25"/>
      <c r="AC440" s="10" t="str">
        <f t="shared" si="271"/>
        <v>MarçoSEMANA 3Batata Baroa</v>
      </c>
      <c r="AD440" s="7">
        <f>SUMIF(NF!$A:$A,$AC440,NF!$I:$I)</f>
        <v>6.6400000000000006</v>
      </c>
      <c r="AE440" s="6"/>
      <c r="AF440" s="6"/>
      <c r="AG440" s="6">
        <v>2</v>
      </c>
      <c r="AH440" s="6"/>
      <c r="AI440" s="6"/>
      <c r="AJ440" s="6"/>
      <c r="AK440" s="6">
        <v>4.6399999999999997</v>
      </c>
      <c r="AL440" s="7">
        <f t="shared" ref="AL440:AL454" si="298">SUM(AE440:AK440)</f>
        <v>6.64</v>
      </c>
      <c r="AM440" s="11">
        <f t="shared" si="273"/>
        <v>0</v>
      </c>
      <c r="AN440" s="25"/>
      <c r="AO440" s="10" t="str">
        <f t="shared" si="274"/>
        <v>MarçoSEMANA 4Batata Baroa</v>
      </c>
      <c r="AP440" s="7">
        <f>SUMIF(NF!$A:$A,$AO440,NF!$I:$I)</f>
        <v>15.38</v>
      </c>
      <c r="AQ440" s="6">
        <v>2.16</v>
      </c>
      <c r="AR440" s="6">
        <f>5.36+2.78</f>
        <v>8.14</v>
      </c>
      <c r="AS440" s="6"/>
      <c r="AT440" s="6"/>
      <c r="AU440" s="6">
        <v>2.5</v>
      </c>
      <c r="AV440" s="6"/>
      <c r="AW440" s="6">
        <v>2.58</v>
      </c>
      <c r="AX440" s="7">
        <f t="shared" ref="AX440:AX454" si="299">SUM(AQ440:AW440)</f>
        <v>15.38</v>
      </c>
      <c r="AY440" s="11">
        <f t="shared" si="276"/>
        <v>0</v>
      </c>
      <c r="AZ440" s="25"/>
      <c r="BA440" s="10" t="str">
        <f t="shared" si="277"/>
        <v>MarçoSEMANA 5Batata Baroa</v>
      </c>
      <c r="BB440" s="7">
        <f>SUMIF(NF!$A:$A,$BA440,NF!$I:$I)</f>
        <v>4</v>
      </c>
      <c r="BC440" s="6"/>
      <c r="BD440" s="6"/>
      <c r="BE440" s="6"/>
      <c r="BF440" s="6"/>
      <c r="BG440" s="6">
        <v>2</v>
      </c>
      <c r="BH440" s="6"/>
      <c r="BI440" s="74"/>
      <c r="BJ440" s="74"/>
      <c r="BK440" s="7">
        <f t="shared" ref="BK440:BK454" si="300">SUM(BC440:BJ440)</f>
        <v>2</v>
      </c>
      <c r="BL440" s="8">
        <f t="shared" si="279"/>
        <v>2</v>
      </c>
      <c r="BM440" s="51" t="str">
        <f>IFERROR(VLOOKUP(A440,NF!$M:$O,3,0),"")</f>
        <v>Hortifruti</v>
      </c>
      <c r="BN440" s="7">
        <f t="shared" si="280"/>
        <v>41.02</v>
      </c>
      <c r="BO440" s="8">
        <f t="array" ref="BO440">IFERROR(LARGE(IF(NF!$G$2:$G$3137='Mês atual'!A440,NF!$J$2:$J$3137),1),0)*BN440</f>
        <v>215.35500000000002</v>
      </c>
      <c r="BP440" s="50"/>
      <c r="BR440" s="146">
        <f t="array" ref="BR440">IFERROR(LARGE(IF(NF!$G$2:$G$3137='Mês atual'!A440,NF!$J$2:$J$3137),1),0)</f>
        <v>5.25</v>
      </c>
      <c r="BS440" s="142" t="str">
        <f>VLOOKUP(A440,NF!M:O,3,0)</f>
        <v>Hortifruti</v>
      </c>
      <c r="BV440" s="74">
        <f t="shared" si="281"/>
        <v>9</v>
      </c>
      <c r="BW440" s="74">
        <f t="shared" si="282"/>
        <v>8</v>
      </c>
      <c r="BX440" s="74">
        <f t="shared" si="283"/>
        <v>6.64</v>
      </c>
      <c r="BY440" s="74">
        <f t="shared" si="284"/>
        <v>15.38</v>
      </c>
      <c r="BZ440" s="74">
        <f t="shared" si="285"/>
        <v>2</v>
      </c>
    </row>
    <row r="441" spans="1:78" x14ac:dyDescent="0.2">
      <c r="A441" s="108" t="s">
        <v>901</v>
      </c>
      <c r="B441" s="12"/>
      <c r="C441" s="9">
        <v>0</v>
      </c>
      <c r="D441" s="25"/>
      <c r="E441" s="10" t="str">
        <f t="shared" si="265"/>
        <v>MarçoSEMANA 1Batata Calabresa</v>
      </c>
      <c r="F441" s="7">
        <f>SUMIF(NF!$A:$A,$E441,NF!$I:$I)</f>
        <v>0.5</v>
      </c>
      <c r="G441" s="74"/>
      <c r="H441" s="74"/>
      <c r="I441" s="74"/>
      <c r="J441" s="6"/>
      <c r="K441" s="6"/>
      <c r="L441" s="6">
        <v>0.5</v>
      </c>
      <c r="M441" s="6"/>
      <c r="N441" s="7">
        <f t="shared" si="296"/>
        <v>0.5</v>
      </c>
      <c r="O441" s="11">
        <f t="shared" si="267"/>
        <v>0</v>
      </c>
      <c r="P441" s="25"/>
      <c r="Q441" s="10" t="str">
        <f t="shared" si="268"/>
        <v>MarçoSEMANA 2Batata Calabresa</v>
      </c>
      <c r="R441" s="7">
        <f>SUMIF(NF!$A:$A,$Q441,NF!$I:$I)</f>
        <v>13.875</v>
      </c>
      <c r="S441" s="6">
        <v>3</v>
      </c>
      <c r="T441" s="6"/>
      <c r="U441" s="6"/>
      <c r="V441" s="6">
        <f>1.535+2.34</f>
        <v>3.875</v>
      </c>
      <c r="W441" s="6">
        <v>5</v>
      </c>
      <c r="X441" s="6"/>
      <c r="Y441" s="6">
        <v>2</v>
      </c>
      <c r="Z441" s="7">
        <f t="shared" si="297"/>
        <v>13.875</v>
      </c>
      <c r="AA441" s="11">
        <f t="shared" si="270"/>
        <v>0</v>
      </c>
      <c r="AB441" s="25"/>
      <c r="AC441" s="10" t="str">
        <f t="shared" si="271"/>
        <v>MarçoSEMANA 3Batata Calabresa</v>
      </c>
      <c r="AD441" s="7">
        <f>SUMIF(NF!$A:$A,$AC441,NF!$I:$I)</f>
        <v>0</v>
      </c>
      <c r="AE441" s="6"/>
      <c r="AF441" s="6"/>
      <c r="AG441" s="6"/>
      <c r="AH441" s="6"/>
      <c r="AI441" s="6"/>
      <c r="AJ441" s="6"/>
      <c r="AK441" s="6"/>
      <c r="AL441" s="7">
        <f t="shared" si="298"/>
        <v>0</v>
      </c>
      <c r="AM441" s="11">
        <f t="shared" si="273"/>
        <v>0</v>
      </c>
      <c r="AN441" s="25"/>
      <c r="AO441" s="10" t="str">
        <f t="shared" si="274"/>
        <v>MarçoSEMANA 4Batata Calabresa</v>
      </c>
      <c r="AP441" s="7">
        <f>SUMIF(NF!$A:$A,$AO441,NF!$I:$I)</f>
        <v>11</v>
      </c>
      <c r="AQ441" s="6"/>
      <c r="AR441" s="6"/>
      <c r="AS441" s="6"/>
      <c r="AT441" s="6">
        <v>7</v>
      </c>
      <c r="AU441" s="6"/>
      <c r="AV441" s="6"/>
      <c r="AW441" s="6"/>
      <c r="AX441" s="7">
        <f t="shared" si="299"/>
        <v>7</v>
      </c>
      <c r="AY441" s="11">
        <f t="shared" si="276"/>
        <v>4</v>
      </c>
      <c r="AZ441" s="25"/>
      <c r="BA441" s="10" t="str">
        <f t="shared" si="277"/>
        <v>MarçoSEMANA 5Batata Calabresa</v>
      </c>
      <c r="BB441" s="7">
        <f>SUMIF(NF!$A:$A,$BA441,NF!$I:$I)</f>
        <v>3</v>
      </c>
      <c r="BC441" s="6">
        <v>4</v>
      </c>
      <c r="BD441" s="6"/>
      <c r="BE441" s="6"/>
      <c r="BF441" s="6"/>
      <c r="BG441" s="6"/>
      <c r="BH441" s="6">
        <v>3</v>
      </c>
      <c r="BI441" s="74"/>
      <c r="BJ441" s="74"/>
      <c r="BK441" s="7">
        <f t="shared" si="300"/>
        <v>7</v>
      </c>
      <c r="BL441" s="8">
        <f t="shared" si="279"/>
        <v>0</v>
      </c>
      <c r="BM441" s="51" t="str">
        <f>IFERROR(VLOOKUP(A441,NF!$M:$O,3,0),"")</f>
        <v>Hortifruti</v>
      </c>
      <c r="BN441" s="7">
        <f t="shared" si="280"/>
        <v>28.375</v>
      </c>
      <c r="BO441" s="8">
        <f t="array" ref="BO441">IFERROR(LARGE(IF(NF!$G$2:$G$3137='Mês atual'!A441,NF!$J$2:$J$3137),1),0)*BN441</f>
        <v>169.6825</v>
      </c>
      <c r="BP441" s="50"/>
      <c r="BR441" s="146">
        <f t="array" ref="BR441">IFERROR(LARGE(IF(NF!$G$2:$G$3137='Mês atual'!A441,NF!$J$2:$J$3137),1),0)</f>
        <v>5.98</v>
      </c>
      <c r="BS441" s="142" t="str">
        <f>VLOOKUP(A441,NF!M:O,3,0)</f>
        <v>Hortifruti</v>
      </c>
      <c r="BV441" s="74">
        <f t="shared" si="281"/>
        <v>0.5</v>
      </c>
      <c r="BW441" s="74">
        <f t="shared" si="282"/>
        <v>13.875</v>
      </c>
      <c r="BX441" s="74">
        <f t="shared" si="283"/>
        <v>0</v>
      </c>
      <c r="BY441" s="74">
        <f t="shared" si="284"/>
        <v>7</v>
      </c>
      <c r="BZ441" s="74">
        <f t="shared" si="285"/>
        <v>7</v>
      </c>
    </row>
    <row r="442" spans="1:78" x14ac:dyDescent="0.2">
      <c r="A442" s="108" t="s">
        <v>170</v>
      </c>
      <c r="B442" s="12"/>
      <c r="C442" s="9">
        <v>19.64</v>
      </c>
      <c r="D442" s="25"/>
      <c r="E442" s="10" t="str">
        <f t="shared" si="265"/>
        <v>MarçoSEMANA 1Batata Doce</v>
      </c>
      <c r="F442" s="7">
        <f>SUMIF(NF!$A:$A,$E442,NF!$I:$I)</f>
        <v>19.3</v>
      </c>
      <c r="G442" s="74"/>
      <c r="H442" s="74"/>
      <c r="I442" s="74"/>
      <c r="J442" s="6">
        <v>5.08</v>
      </c>
      <c r="K442" s="6">
        <f>7.14+1.76</f>
        <v>8.9</v>
      </c>
      <c r="L442" s="6"/>
      <c r="M442" s="6">
        <v>8.06</v>
      </c>
      <c r="N442" s="7">
        <f t="shared" si="296"/>
        <v>22.04</v>
      </c>
      <c r="O442" s="11">
        <f t="shared" si="267"/>
        <v>16.899999999999999</v>
      </c>
      <c r="P442" s="25"/>
      <c r="Q442" s="10" t="str">
        <f t="shared" si="268"/>
        <v>MarçoSEMANA 2Batata Doce</v>
      </c>
      <c r="R442" s="7">
        <f>SUMIF(NF!$A:$A,$Q442,NF!$I:$I)</f>
        <v>38.42</v>
      </c>
      <c r="S442" s="6"/>
      <c r="T442" s="6">
        <f>2.54+0.743</f>
        <v>3.2829999999999999</v>
      </c>
      <c r="U442" s="6">
        <f>9.92+1.9+0.743</f>
        <v>12.563000000000001</v>
      </c>
      <c r="V442" s="6">
        <f>5.2+0.743</f>
        <v>5.9430000000000005</v>
      </c>
      <c r="W442" s="6">
        <f>2.1+0.743</f>
        <v>2.843</v>
      </c>
      <c r="X442" s="6">
        <f>6.32+0.743</f>
        <v>7.0630000000000006</v>
      </c>
      <c r="Y442" s="6">
        <f>4.5+0.743</f>
        <v>5.2430000000000003</v>
      </c>
      <c r="Z442" s="7">
        <f t="shared" si="297"/>
        <v>36.938000000000002</v>
      </c>
      <c r="AA442" s="11">
        <f t="shared" si="270"/>
        <v>18.381999999999998</v>
      </c>
      <c r="AB442" s="25"/>
      <c r="AC442" s="10" t="str">
        <f t="shared" si="271"/>
        <v>MarçoSEMANA 3Batata Doce</v>
      </c>
      <c r="AD442" s="7">
        <f>SUMIF(NF!$A:$A,$AC442,NF!$I:$I)</f>
        <v>37.78</v>
      </c>
      <c r="AE442" s="6"/>
      <c r="AF442" s="6">
        <f>8.18+2.5+0.743</f>
        <v>11.423</v>
      </c>
      <c r="AG442" s="6">
        <f>7.42+0.743</f>
        <v>8.1630000000000003</v>
      </c>
      <c r="AH442" s="6">
        <f>23.16+0.743</f>
        <v>23.902999999999999</v>
      </c>
      <c r="AI442" s="6"/>
      <c r="AJ442" s="6"/>
      <c r="AK442" s="6">
        <f>5.14+0.743</f>
        <v>5.883</v>
      </c>
      <c r="AL442" s="7">
        <f t="shared" si="298"/>
        <v>49.372</v>
      </c>
      <c r="AM442" s="11">
        <f t="shared" si="273"/>
        <v>6.7899999999999991</v>
      </c>
      <c r="AN442" s="25"/>
      <c r="AO442" s="10" t="str">
        <f t="shared" si="274"/>
        <v>MarçoSEMANA 4Batata Doce</v>
      </c>
      <c r="AP442" s="7">
        <f>SUMIF(NF!$A:$A,$AO442,NF!$I:$I)</f>
        <v>58.16</v>
      </c>
      <c r="AQ442" s="6"/>
      <c r="AR442" s="6">
        <f>23.1+0.743</f>
        <v>23.843</v>
      </c>
      <c r="AS442" s="6">
        <f>3.32+0.743</f>
        <v>4.0629999999999997</v>
      </c>
      <c r="AT442" s="6">
        <f>2.5+0.743</f>
        <v>3.2429999999999999</v>
      </c>
      <c r="AU442" s="6">
        <f>7.22+0.743</f>
        <v>7.9630000000000001</v>
      </c>
      <c r="AV442" s="6">
        <f>8.02+0.743</f>
        <v>8.7629999999999999</v>
      </c>
      <c r="AW442" s="6">
        <f>6.4+0.743</f>
        <v>7.1430000000000007</v>
      </c>
      <c r="AX442" s="7">
        <f t="shared" si="299"/>
        <v>55.017999999999994</v>
      </c>
      <c r="AY442" s="11">
        <f t="shared" si="276"/>
        <v>9.9319999999999951</v>
      </c>
      <c r="AZ442" s="25"/>
      <c r="BA442" s="10" t="str">
        <f t="shared" si="277"/>
        <v>MarçoSEMANA 5Batata Doce</v>
      </c>
      <c r="BB442" s="7">
        <f>SUMIF(NF!$A:$A,$BA442,NF!$I:$I)</f>
        <v>39.700000000000003</v>
      </c>
      <c r="BC442" s="6"/>
      <c r="BD442" s="6">
        <f>23.1+0.743</f>
        <v>23.843</v>
      </c>
      <c r="BE442" s="6">
        <f>4+0.743</f>
        <v>4.7430000000000003</v>
      </c>
      <c r="BF442" s="6">
        <f>9.13+3+0.743</f>
        <v>12.873000000000001</v>
      </c>
      <c r="BG442" s="6"/>
      <c r="BH442" s="6">
        <v>8.17</v>
      </c>
      <c r="BI442" s="74"/>
      <c r="BJ442" s="74"/>
      <c r="BK442" s="7">
        <f t="shared" si="300"/>
        <v>49.629000000000005</v>
      </c>
      <c r="BL442" s="8">
        <f t="shared" si="279"/>
        <v>2.9999999999930083E-3</v>
      </c>
      <c r="BM442" s="51" t="str">
        <f>IFERROR(VLOOKUP(A442,NF!$M:$O,3,0),"")</f>
        <v>Hortifruti</v>
      </c>
      <c r="BN442" s="7">
        <f t="shared" si="280"/>
        <v>212.99700000000001</v>
      </c>
      <c r="BO442" s="8">
        <f t="array" ref="BO442">IFERROR(LARGE(IF(NF!$G$2:$G$3137='Mês atual'!A442,NF!$J$2:$J$3137),1),0)*BN442</f>
        <v>415.37876489707475</v>
      </c>
      <c r="BP442" s="50"/>
      <c r="BR442" s="146">
        <f t="array" ref="BR442">IFERROR(LARGE(IF(NF!$G$2:$G$3137='Mês atual'!A442,NF!$J$2:$J$3137),1),0)</f>
        <v>1.9501625135427951</v>
      </c>
      <c r="BS442" s="142" t="str">
        <f>VLOOKUP(A442,NF!M:O,3,0)</f>
        <v>Hortifruti</v>
      </c>
      <c r="BV442" s="74">
        <f t="shared" si="281"/>
        <v>22.04</v>
      </c>
      <c r="BW442" s="74">
        <f t="shared" si="282"/>
        <v>36.938000000000002</v>
      </c>
      <c r="BX442" s="74">
        <f t="shared" si="283"/>
        <v>49.372</v>
      </c>
      <c r="BY442" s="74">
        <f t="shared" si="284"/>
        <v>55.017999999999994</v>
      </c>
      <c r="BZ442" s="74">
        <f t="shared" si="285"/>
        <v>49.629000000000005</v>
      </c>
    </row>
    <row r="443" spans="1:78" x14ac:dyDescent="0.2">
      <c r="A443" s="108" t="s">
        <v>171</v>
      </c>
      <c r="B443" s="12"/>
      <c r="C443" s="9">
        <v>30.26</v>
      </c>
      <c r="D443" s="25"/>
      <c r="E443" s="10" t="str">
        <f t="shared" si="265"/>
        <v>MarçoSEMANA 1Batata HBT</v>
      </c>
      <c r="F443" s="7">
        <f>SUMIF(NF!$A:$A,$E443,NF!$I:$I)</f>
        <v>25</v>
      </c>
      <c r="G443" s="74"/>
      <c r="H443" s="74"/>
      <c r="I443" s="74"/>
      <c r="J443" s="6">
        <f>2.06+2.06+2.04</f>
        <v>6.16</v>
      </c>
      <c r="K443" s="6">
        <v>3.08</v>
      </c>
      <c r="L443" s="6">
        <f>8.15+2.1</f>
        <v>10.25</v>
      </c>
      <c r="M443" s="6">
        <f>1+6.06+1.75</f>
        <v>8.8099999999999987</v>
      </c>
      <c r="N443" s="7">
        <f t="shared" si="296"/>
        <v>28.3</v>
      </c>
      <c r="O443" s="11">
        <f t="shared" si="267"/>
        <v>26.960000000000004</v>
      </c>
      <c r="P443" s="25"/>
      <c r="Q443" s="10" t="str">
        <f t="shared" si="268"/>
        <v>MarçoSEMANA 2Batata HBT</v>
      </c>
      <c r="R443" s="7">
        <f>SUMIF(NF!$A:$A,$Q443,NF!$I:$I)</f>
        <v>50</v>
      </c>
      <c r="S443" s="6">
        <f>4.01+2.16</f>
        <v>6.17</v>
      </c>
      <c r="T443" s="6">
        <v>7.14</v>
      </c>
      <c r="U443" s="6">
        <f>2.068+2.08+6.08</f>
        <v>10.228</v>
      </c>
      <c r="V443" s="6">
        <v>8.14</v>
      </c>
      <c r="W443" s="6">
        <f>2.06+4.04</f>
        <v>6.1</v>
      </c>
      <c r="X443" s="6">
        <v>7.72</v>
      </c>
      <c r="Y443" s="6">
        <f>1+7.72</f>
        <v>8.7199999999999989</v>
      </c>
      <c r="Z443" s="7">
        <f t="shared" si="297"/>
        <v>54.217999999999996</v>
      </c>
      <c r="AA443" s="11">
        <f t="shared" si="270"/>
        <v>22.742000000000012</v>
      </c>
      <c r="AB443" s="25"/>
      <c r="AC443" s="10" t="str">
        <f t="shared" si="271"/>
        <v>MarçoSEMANA 3Batata HBT</v>
      </c>
      <c r="AD443" s="7">
        <f>SUMIF(NF!$A:$A,$AC443,NF!$I:$I)</f>
        <v>75</v>
      </c>
      <c r="AE443" s="6">
        <f>4.56+4.26+6.06+0.275</f>
        <v>15.154999999999999</v>
      </c>
      <c r="AF443" s="6">
        <f>3.54+0.275</f>
        <v>3.8149999999999999</v>
      </c>
      <c r="AG443" s="6">
        <f>7.06+2.14+7.06+0.275</f>
        <v>16.534999999999997</v>
      </c>
      <c r="AH443" s="6">
        <f>7.08+0.275</f>
        <v>7.3550000000000004</v>
      </c>
      <c r="AI443" s="6">
        <f>8.04+4.1+2.01+0.275</f>
        <v>14.424999999999999</v>
      </c>
      <c r="AJ443" s="6">
        <f>1.14+1.1+0.275</f>
        <v>2.5150000000000001</v>
      </c>
      <c r="AK443" s="6">
        <v>4.0599999999999996</v>
      </c>
      <c r="AL443" s="7">
        <f t="shared" si="298"/>
        <v>63.86</v>
      </c>
      <c r="AM443" s="11">
        <f t="shared" si="273"/>
        <v>33.882000000000019</v>
      </c>
      <c r="AN443" s="25"/>
      <c r="AO443" s="10" t="str">
        <f t="shared" si="274"/>
        <v>MarçoSEMANA 4Batata HBT</v>
      </c>
      <c r="AP443" s="7">
        <f>SUMIF(NF!$A:$A,$AO443,NF!$I:$I)</f>
        <v>50</v>
      </c>
      <c r="AQ443" s="6">
        <f>4+1</f>
        <v>5</v>
      </c>
      <c r="AR443" s="6">
        <v>6.38</v>
      </c>
      <c r="AS443" s="6">
        <f>7.1+1</f>
        <v>8.1</v>
      </c>
      <c r="AT443" s="6">
        <f>2.08+1.08+1</f>
        <v>4.16</v>
      </c>
      <c r="AU443" s="6">
        <f>6.4+3.98</f>
        <v>10.38</v>
      </c>
      <c r="AV443" s="6">
        <f>6.02+3.08+1</f>
        <v>10.1</v>
      </c>
      <c r="AW443" s="6">
        <v>8.1</v>
      </c>
      <c r="AX443" s="7">
        <f t="shared" si="299"/>
        <v>52.22</v>
      </c>
      <c r="AY443" s="11">
        <f t="shared" si="276"/>
        <v>31.66200000000002</v>
      </c>
      <c r="AZ443" s="25"/>
      <c r="BA443" s="10" t="str">
        <f t="shared" si="277"/>
        <v>MarçoSEMANA 5Batata HBT</v>
      </c>
      <c r="BB443" s="7">
        <f>SUMIF(NF!$A:$A,$BA443,NF!$I:$I)</f>
        <v>75</v>
      </c>
      <c r="BC443" s="6">
        <f>3+1</f>
        <v>4</v>
      </c>
      <c r="BD443" s="6">
        <f>1.84+6.14+5</f>
        <v>12.98</v>
      </c>
      <c r="BE443" s="6">
        <f>6.01+2.1+1.63</f>
        <v>9.7399999999999984</v>
      </c>
      <c r="BF443" s="6">
        <f>11.18+11.04+2.22+3.46</f>
        <v>27.9</v>
      </c>
      <c r="BG443" s="6">
        <f>7.06+1.6+1</f>
        <v>9.66</v>
      </c>
      <c r="BH443" s="6">
        <f>1.06+1</f>
        <v>2.06</v>
      </c>
      <c r="BI443" s="74"/>
      <c r="BJ443" s="74"/>
      <c r="BK443" s="7">
        <f t="shared" si="300"/>
        <v>66.34</v>
      </c>
      <c r="BL443" s="8">
        <f t="shared" si="279"/>
        <v>40.322000000000017</v>
      </c>
      <c r="BM443" s="51" t="str">
        <f>IFERROR(VLOOKUP(A443,NF!$M:$O,3,0),"")</f>
        <v>Hortifruti</v>
      </c>
      <c r="BN443" s="7">
        <f t="shared" si="280"/>
        <v>264.93799999999999</v>
      </c>
      <c r="BO443" s="8">
        <f t="array" ref="BO443">IFERROR(LARGE(IF(NF!$G$2:$G$3137='Mês atual'!A443,NF!$J$2:$J$3137),1),0)*BN443</f>
        <v>476.88839999999999</v>
      </c>
      <c r="BP443" s="50"/>
      <c r="BR443" s="146">
        <f t="array" ref="BR443">IFERROR(LARGE(IF(NF!$G$2:$G$3137='Mês atual'!A443,NF!$J$2:$J$3137),1),0)</f>
        <v>1.8</v>
      </c>
      <c r="BS443" s="142" t="str">
        <f>VLOOKUP(A443,NF!M:O,3,0)</f>
        <v>Hortifruti</v>
      </c>
      <c r="BV443" s="74">
        <f t="shared" si="281"/>
        <v>28.3</v>
      </c>
      <c r="BW443" s="74">
        <f t="shared" si="282"/>
        <v>54.217999999999996</v>
      </c>
      <c r="BX443" s="74">
        <f t="shared" si="283"/>
        <v>63.86</v>
      </c>
      <c r="BY443" s="74">
        <f t="shared" si="284"/>
        <v>52.22</v>
      </c>
      <c r="BZ443" s="74">
        <f t="shared" si="285"/>
        <v>66.34</v>
      </c>
    </row>
    <row r="444" spans="1:78" x14ac:dyDescent="0.2">
      <c r="A444" s="108" t="s">
        <v>172</v>
      </c>
      <c r="B444" s="12"/>
      <c r="C444" s="9">
        <v>0</v>
      </c>
      <c r="D444" s="25"/>
      <c r="E444" s="10" t="str">
        <f t="shared" si="265"/>
        <v>MarçoSEMANA 1Batata Inglesa</v>
      </c>
      <c r="F444" s="7">
        <f>SUMIF(NF!$A:$A,$E444,NF!$I:$I)</f>
        <v>0</v>
      </c>
      <c r="G444" s="74"/>
      <c r="H444" s="74"/>
      <c r="I444" s="74"/>
      <c r="J444" s="6"/>
      <c r="K444" s="6"/>
      <c r="L444" s="6"/>
      <c r="M444" s="6"/>
      <c r="N444" s="7">
        <f t="shared" si="296"/>
        <v>0</v>
      </c>
      <c r="O444" s="11">
        <f t="shared" si="267"/>
        <v>0</v>
      </c>
      <c r="P444" s="25"/>
      <c r="Q444" s="10" t="str">
        <f t="shared" si="268"/>
        <v>MarçoSEMANA 2Batata Inglesa</v>
      </c>
      <c r="R444" s="7">
        <f>SUMIF(NF!$A:$A,$Q444,NF!$I:$I)</f>
        <v>0</v>
      </c>
      <c r="S444" s="6"/>
      <c r="T444" s="6"/>
      <c r="U444" s="6"/>
      <c r="V444" s="6"/>
      <c r="W444" s="6"/>
      <c r="X444" s="6"/>
      <c r="Y444" s="6"/>
      <c r="Z444" s="7">
        <f t="shared" si="297"/>
        <v>0</v>
      </c>
      <c r="AA444" s="11">
        <f t="shared" si="270"/>
        <v>0</v>
      </c>
      <c r="AB444" s="25"/>
      <c r="AC444" s="10" t="str">
        <f t="shared" si="271"/>
        <v>MarçoSEMANA 3Batata Inglesa</v>
      </c>
      <c r="AD444" s="7">
        <f>SUMIF(NF!$A:$A,$AC444,NF!$I:$I)</f>
        <v>0</v>
      </c>
      <c r="AE444" s="6"/>
      <c r="AF444" s="6"/>
      <c r="AG444" s="6"/>
      <c r="AH444" s="6"/>
      <c r="AI444" s="6"/>
      <c r="AJ444" s="6"/>
      <c r="AK444" s="6"/>
      <c r="AL444" s="7">
        <f t="shared" si="298"/>
        <v>0</v>
      </c>
      <c r="AM444" s="11">
        <f t="shared" si="273"/>
        <v>0</v>
      </c>
      <c r="AN444" s="25"/>
      <c r="AO444" s="10" t="str">
        <f t="shared" si="274"/>
        <v>MarçoSEMANA 4Batata Inglesa</v>
      </c>
      <c r="AP444" s="7">
        <f>SUMIF(NF!$A:$A,$AO444,NF!$I:$I)</f>
        <v>0</v>
      </c>
      <c r="AQ444" s="6"/>
      <c r="AR444" s="6"/>
      <c r="AS444" s="6"/>
      <c r="AT444" s="6"/>
      <c r="AU444" s="6"/>
      <c r="AV444" s="6"/>
      <c r="AW444" s="6"/>
      <c r="AX444" s="7">
        <f t="shared" si="299"/>
        <v>0</v>
      </c>
      <c r="AY444" s="11">
        <f t="shared" si="276"/>
        <v>0</v>
      </c>
      <c r="AZ444" s="25"/>
      <c r="BA444" s="10" t="str">
        <f t="shared" si="277"/>
        <v>MarçoSEMANA 5Batata Inglesa</v>
      </c>
      <c r="BB444" s="7">
        <f>SUMIF(NF!$A:$A,$BA444,NF!$I:$I)</f>
        <v>6</v>
      </c>
      <c r="BC444" s="6"/>
      <c r="BD444" s="6"/>
      <c r="BE444" s="6"/>
      <c r="BF444" s="6"/>
      <c r="BG444" s="6">
        <v>6</v>
      </c>
      <c r="BH444" s="6"/>
      <c r="BI444" s="74"/>
      <c r="BJ444" s="74"/>
      <c r="BK444" s="7">
        <f t="shared" si="300"/>
        <v>6</v>
      </c>
      <c r="BL444" s="8">
        <f t="shared" si="279"/>
        <v>0</v>
      </c>
      <c r="BM444" s="51" t="str">
        <f>IFERROR(VLOOKUP(A444,NF!$M:$O,3,0),"")</f>
        <v>Hortifruti</v>
      </c>
      <c r="BN444" s="7">
        <f t="shared" si="280"/>
        <v>6</v>
      </c>
      <c r="BO444" s="8">
        <f t="array" ref="BO444">IFERROR(LARGE(IF(NF!$G$2:$G$3137='Mês atual'!A444,NF!$J$2:$J$3137),1),0)*BN444</f>
        <v>11.34</v>
      </c>
      <c r="BP444" s="50"/>
      <c r="BR444" s="146">
        <f t="array" ref="BR444">IFERROR(LARGE(IF(NF!$G$2:$G$3137='Mês atual'!A444,NF!$J$2:$J$3137),1),0)</f>
        <v>1.89</v>
      </c>
      <c r="BS444" s="142" t="str">
        <f>VLOOKUP(A444,NF!M:O,3,0)</f>
        <v>Hortifruti</v>
      </c>
      <c r="BV444" s="74">
        <f t="shared" si="281"/>
        <v>0</v>
      </c>
      <c r="BW444" s="74">
        <f t="shared" si="282"/>
        <v>0</v>
      </c>
      <c r="BX444" s="74">
        <f t="shared" si="283"/>
        <v>0</v>
      </c>
      <c r="BY444" s="74">
        <f t="shared" si="284"/>
        <v>0</v>
      </c>
      <c r="BZ444" s="74">
        <f t="shared" si="285"/>
        <v>6</v>
      </c>
    </row>
    <row r="445" spans="1:78" x14ac:dyDescent="0.2">
      <c r="A445" s="108" t="s">
        <v>177</v>
      </c>
      <c r="B445" s="12"/>
      <c r="C445" s="9">
        <v>0</v>
      </c>
      <c r="D445" s="25"/>
      <c r="E445" s="10" t="str">
        <f t="shared" si="265"/>
        <v>MarçoSEMANA 1Batata Yacon</v>
      </c>
      <c r="F445" s="7">
        <f>SUMIF(NF!$A:$A,$E445,NF!$I:$I)</f>
        <v>0.5</v>
      </c>
      <c r="G445" s="74"/>
      <c r="H445" s="74"/>
      <c r="I445" s="74"/>
      <c r="J445" s="6"/>
      <c r="K445" s="6"/>
      <c r="L445" s="6"/>
      <c r="M445" s="6"/>
      <c r="N445" s="7">
        <f t="shared" si="296"/>
        <v>0</v>
      </c>
      <c r="O445" s="11">
        <f t="shared" si="267"/>
        <v>0.5</v>
      </c>
      <c r="P445" s="25"/>
      <c r="Q445" s="10" t="str">
        <f t="shared" si="268"/>
        <v>MarçoSEMANA 2Batata Yacon</v>
      </c>
      <c r="R445" s="7">
        <f>SUMIF(NF!$A:$A,$Q445,NF!$I:$I)</f>
        <v>0</v>
      </c>
      <c r="S445" s="6">
        <v>0.5</v>
      </c>
      <c r="T445" s="6"/>
      <c r="U445" s="6"/>
      <c r="V445" s="6"/>
      <c r="W445" s="6"/>
      <c r="X445" s="6"/>
      <c r="Y445" s="6"/>
      <c r="Z445" s="7">
        <f t="shared" si="297"/>
        <v>0.5</v>
      </c>
      <c r="AA445" s="11">
        <f t="shared" si="270"/>
        <v>0</v>
      </c>
      <c r="AB445" s="25"/>
      <c r="AC445" s="10" t="str">
        <f t="shared" si="271"/>
        <v>MarçoSEMANA 3Batata Yacon</v>
      </c>
      <c r="AD445" s="7">
        <f>SUMIF(NF!$A:$A,$AC445,NF!$I:$I)</f>
        <v>2</v>
      </c>
      <c r="AE445" s="6">
        <v>0.5</v>
      </c>
      <c r="AF445" s="6"/>
      <c r="AG445" s="6"/>
      <c r="AH445" s="6">
        <v>0.5</v>
      </c>
      <c r="AI445" s="6"/>
      <c r="AJ445" s="6"/>
      <c r="AK445" s="6">
        <v>0.5</v>
      </c>
      <c r="AL445" s="7">
        <f t="shared" si="298"/>
        <v>1.5</v>
      </c>
      <c r="AM445" s="11">
        <f t="shared" si="273"/>
        <v>0.5</v>
      </c>
      <c r="AN445" s="25"/>
      <c r="AO445" s="10" t="str">
        <f t="shared" si="274"/>
        <v>MarçoSEMANA 4Batata Yacon</v>
      </c>
      <c r="AP445" s="7">
        <f>SUMIF(NF!$A:$A,$AO445,NF!$I:$I)</f>
        <v>0</v>
      </c>
      <c r="AQ445" s="6">
        <v>0.5</v>
      </c>
      <c r="AR445" s="6"/>
      <c r="AS445" s="6"/>
      <c r="AT445" s="6"/>
      <c r="AU445" s="6"/>
      <c r="AV445" s="6"/>
      <c r="AW445" s="6"/>
      <c r="AX445" s="7">
        <f t="shared" si="299"/>
        <v>0.5</v>
      </c>
      <c r="AY445" s="11">
        <f t="shared" si="276"/>
        <v>0</v>
      </c>
      <c r="AZ445" s="25"/>
      <c r="BA445" s="10" t="str">
        <f t="shared" si="277"/>
        <v>MarçoSEMANA 5Batata Yacon</v>
      </c>
      <c r="BB445" s="7">
        <f>SUMIF(NF!$A:$A,$BA445,NF!$I:$I)</f>
        <v>0.5</v>
      </c>
      <c r="BC445" s="6"/>
      <c r="BD445" s="6"/>
      <c r="BE445" s="6"/>
      <c r="BF445" s="6"/>
      <c r="BG445" s="6"/>
      <c r="BH445" s="6"/>
      <c r="BI445" s="74"/>
      <c r="BJ445" s="74"/>
      <c r="BK445" s="7">
        <f t="shared" si="300"/>
        <v>0</v>
      </c>
      <c r="BL445" s="8">
        <f t="shared" si="279"/>
        <v>0.5</v>
      </c>
      <c r="BM445" s="51" t="str">
        <f>IFERROR(VLOOKUP(A445,NF!$M:$O,3,0),"")</f>
        <v>Hortifruti</v>
      </c>
      <c r="BN445" s="7">
        <f t="shared" si="280"/>
        <v>2.5</v>
      </c>
      <c r="BO445" s="8">
        <f t="array" ref="BO445">IFERROR(LARGE(IF(NF!$G$2:$G$3137='Mês atual'!A445,NF!$J$2:$J$3137),1),0)*BN445</f>
        <v>20</v>
      </c>
      <c r="BP445" s="50"/>
      <c r="BR445" s="146">
        <f t="array" ref="BR445">IFERROR(LARGE(IF(NF!$G$2:$G$3137='Mês atual'!A445,NF!$J$2:$J$3137),1),0)</f>
        <v>8</v>
      </c>
      <c r="BS445" s="142" t="str">
        <f>VLOOKUP(A445,NF!M:O,3,0)</f>
        <v>Hortifruti</v>
      </c>
      <c r="BV445" s="74">
        <f t="shared" si="281"/>
        <v>0</v>
      </c>
      <c r="BW445" s="74">
        <f t="shared" si="282"/>
        <v>0.5</v>
      </c>
      <c r="BX445" s="74">
        <f t="shared" si="283"/>
        <v>1.5</v>
      </c>
      <c r="BY445" s="74">
        <f t="shared" si="284"/>
        <v>0.5</v>
      </c>
      <c r="BZ445" s="74">
        <f t="shared" si="285"/>
        <v>0</v>
      </c>
    </row>
    <row r="446" spans="1:78" x14ac:dyDescent="0.2">
      <c r="A446" s="108" t="s">
        <v>178</v>
      </c>
      <c r="B446" s="12"/>
      <c r="C446" s="9">
        <v>18.14</v>
      </c>
      <c r="D446" s="25"/>
      <c r="E446" s="10" t="str">
        <f t="shared" si="265"/>
        <v>MarçoSEMANA 1Berinjela</v>
      </c>
      <c r="F446" s="7">
        <f>SUMIF(NF!$A:$A,$E446,NF!$I:$I)</f>
        <v>36.92</v>
      </c>
      <c r="G446" s="74"/>
      <c r="H446" s="74"/>
      <c r="I446" s="74"/>
      <c r="J446" s="6">
        <v>2.3239999999999998</v>
      </c>
      <c r="K446" s="6">
        <v>15.815</v>
      </c>
      <c r="L446" s="6"/>
      <c r="M446" s="6">
        <f>4.16+3.38</f>
        <v>7.54</v>
      </c>
      <c r="N446" s="7">
        <f t="shared" si="296"/>
        <v>25.678999999999998</v>
      </c>
      <c r="O446" s="11">
        <f t="shared" si="267"/>
        <v>29.381000000000004</v>
      </c>
      <c r="P446" s="25"/>
      <c r="Q446" s="10" t="str">
        <f t="shared" si="268"/>
        <v>MarçoSEMANA 2Berinjela</v>
      </c>
      <c r="R446" s="7">
        <f>SUMIF(NF!$A:$A,$Q446,NF!$I:$I)</f>
        <v>31.419999999999998</v>
      </c>
      <c r="S446" s="6">
        <v>20.02</v>
      </c>
      <c r="T446" s="6">
        <f>5.14+2</f>
        <v>7.14</v>
      </c>
      <c r="U446" s="6">
        <f>2.5+6.3+12.42</f>
        <v>21.22</v>
      </c>
      <c r="V446" s="6"/>
      <c r="W446" s="6"/>
      <c r="X446" s="6"/>
      <c r="Y446" s="6">
        <f>5+2.3</f>
        <v>7.3</v>
      </c>
      <c r="Z446" s="7">
        <f t="shared" si="297"/>
        <v>55.679999999999993</v>
      </c>
      <c r="AA446" s="11">
        <f t="shared" si="270"/>
        <v>5.1210000000000093</v>
      </c>
      <c r="AB446" s="25"/>
      <c r="AC446" s="10" t="str">
        <f t="shared" si="271"/>
        <v>MarçoSEMANA 3Berinjela</v>
      </c>
      <c r="AD446" s="7">
        <f>SUMIF(NF!$A:$A,$AC446,NF!$I:$I)</f>
        <v>53.199999999999996</v>
      </c>
      <c r="AE446" s="6">
        <f>6.64+2.08</f>
        <v>8.7199999999999989</v>
      </c>
      <c r="AF446" s="6">
        <f>7.5+2</f>
        <v>9.5</v>
      </c>
      <c r="AG446" s="6"/>
      <c r="AH446" s="6">
        <f>5.06+8.56</f>
        <v>13.620000000000001</v>
      </c>
      <c r="AI446" s="6">
        <v>5.2</v>
      </c>
      <c r="AJ446" s="6">
        <f>4.52+2.7</f>
        <v>7.22</v>
      </c>
      <c r="AK446" s="6">
        <v>5.18</v>
      </c>
      <c r="AL446" s="7">
        <f t="shared" si="298"/>
        <v>49.44</v>
      </c>
      <c r="AM446" s="11">
        <f t="shared" si="273"/>
        <v>8.8810000000000073</v>
      </c>
      <c r="AN446" s="25"/>
      <c r="AO446" s="10" t="str">
        <f t="shared" si="274"/>
        <v>MarçoSEMANA 4Berinjela</v>
      </c>
      <c r="AP446" s="7">
        <f>SUMIF(NF!$A:$A,$AO446,NF!$I:$I)</f>
        <v>42.559999999999995</v>
      </c>
      <c r="AQ446" s="6"/>
      <c r="AR446" s="6">
        <f>5+3.04+6.6</f>
        <v>14.639999999999999</v>
      </c>
      <c r="AS446" s="6"/>
      <c r="AT446" s="6"/>
      <c r="AU446" s="6">
        <v>11.12</v>
      </c>
      <c r="AV446" s="6">
        <v>3.84</v>
      </c>
      <c r="AW446" s="6">
        <f>4.16+8.26</f>
        <v>12.42</v>
      </c>
      <c r="AX446" s="7">
        <f t="shared" si="299"/>
        <v>42.019999999999996</v>
      </c>
      <c r="AY446" s="11">
        <f t="shared" si="276"/>
        <v>9.4210000000000065</v>
      </c>
      <c r="AZ446" s="25"/>
      <c r="BA446" s="10" t="str">
        <f t="shared" si="277"/>
        <v>MarçoSEMANA 5Berinjela</v>
      </c>
      <c r="BB446" s="7">
        <f>SUMIF(NF!$A:$A,$BA446,NF!$I:$I)</f>
        <v>31</v>
      </c>
      <c r="BC446" s="6"/>
      <c r="BD446" s="6">
        <f>7.02+3.196</f>
        <v>10.215999999999999</v>
      </c>
      <c r="BE446" s="6"/>
      <c r="BF446" s="6">
        <f>4.11+1.272</f>
        <v>5.3820000000000006</v>
      </c>
      <c r="BG446" s="6">
        <f>8.01-0.51</f>
        <v>7.5</v>
      </c>
      <c r="BH446" s="6">
        <v>2.7240000000000002</v>
      </c>
      <c r="BI446" s="74"/>
      <c r="BJ446" s="74"/>
      <c r="BK446" s="7">
        <f t="shared" si="300"/>
        <v>25.821999999999999</v>
      </c>
      <c r="BL446" s="8">
        <f t="shared" si="279"/>
        <v>14.599000000000007</v>
      </c>
      <c r="BM446" s="51" t="str">
        <f>IFERROR(VLOOKUP(A446,NF!$M:$O,3,0),"")</f>
        <v>Hortifruti</v>
      </c>
      <c r="BN446" s="7">
        <f t="shared" si="280"/>
        <v>198.64099999999996</v>
      </c>
      <c r="BO446" s="8">
        <f t="array" ref="BO446">IFERROR(LARGE(IF(NF!$G$2:$G$3137='Mês atual'!A446,NF!$J$2:$J$3137),1),0)*BN446</f>
        <v>519.70029069767429</v>
      </c>
      <c r="BP446" s="50"/>
      <c r="BR446" s="146">
        <f t="array" ref="BR446">IFERROR(LARGE(IF(NF!$G$2:$G$3137='Mês atual'!A446,NF!$J$2:$J$3137),1),0)</f>
        <v>2.6162790697674416</v>
      </c>
      <c r="BS446" s="142" t="str">
        <f>VLOOKUP(A446,NF!M:O,3,0)</f>
        <v>Hortifruti</v>
      </c>
      <c r="BV446" s="74">
        <f t="shared" si="281"/>
        <v>25.678999999999998</v>
      </c>
      <c r="BW446" s="74">
        <f t="shared" si="282"/>
        <v>55.679999999999993</v>
      </c>
      <c r="BX446" s="74">
        <f t="shared" si="283"/>
        <v>49.44</v>
      </c>
      <c r="BY446" s="74">
        <f t="shared" si="284"/>
        <v>42.019999999999996</v>
      </c>
      <c r="BZ446" s="74">
        <f t="shared" si="285"/>
        <v>25.821999999999999</v>
      </c>
    </row>
    <row r="447" spans="1:78" x14ac:dyDescent="0.25">
      <c r="A447" s="108" t="s">
        <v>179</v>
      </c>
      <c r="B447" s="12"/>
      <c r="C447" s="9">
        <v>0</v>
      </c>
      <c r="D447" s="25"/>
      <c r="E447" s="10" t="str">
        <f t="shared" si="265"/>
        <v>MarçoSEMANA 1Berinjela Orgânica</v>
      </c>
      <c r="F447" s="7">
        <f>SUMIF(NF!$A:$A,$E447,NF!$I:$I)</f>
        <v>0</v>
      </c>
      <c r="G447" s="74"/>
      <c r="H447" s="74"/>
      <c r="I447" s="74"/>
      <c r="J447" s="6"/>
      <c r="K447" s="6"/>
      <c r="L447" s="6"/>
      <c r="M447" s="6"/>
      <c r="N447" s="7">
        <f t="shared" si="296"/>
        <v>0</v>
      </c>
      <c r="O447" s="11">
        <f t="shared" si="267"/>
        <v>0</v>
      </c>
      <c r="P447" s="25"/>
      <c r="Q447" s="10" t="str">
        <f t="shared" si="268"/>
        <v>MarçoSEMANA 2Berinjela Orgânica</v>
      </c>
      <c r="R447" s="7">
        <f>SUMIF(NF!$A:$A,$Q447,NF!$I:$I)</f>
        <v>0</v>
      </c>
      <c r="S447" s="6"/>
      <c r="T447" s="6"/>
      <c r="U447" s="6"/>
      <c r="V447" s="6"/>
      <c r="W447" s="6"/>
      <c r="X447" s="6"/>
      <c r="Y447" s="6"/>
      <c r="Z447" s="7">
        <f t="shared" si="297"/>
        <v>0</v>
      </c>
      <c r="AA447" s="11">
        <f t="shared" si="270"/>
        <v>0</v>
      </c>
      <c r="AB447" s="25"/>
      <c r="AC447" s="10" t="str">
        <f t="shared" si="271"/>
        <v>MarçoSEMANA 3Berinjela Orgânica</v>
      </c>
      <c r="AD447" s="7">
        <f>SUMIF(NF!$A:$A,$AC447,NF!$I:$I)</f>
        <v>0</v>
      </c>
      <c r="AE447" s="6"/>
      <c r="AF447" s="6"/>
      <c r="AG447" s="6"/>
      <c r="AH447" s="6"/>
      <c r="AI447" s="6"/>
      <c r="AJ447" s="6"/>
      <c r="AK447" s="6"/>
      <c r="AL447" s="7">
        <f t="shared" si="298"/>
        <v>0</v>
      </c>
      <c r="AM447" s="11">
        <f t="shared" si="273"/>
        <v>0</v>
      </c>
      <c r="AN447" s="25"/>
      <c r="AO447" s="10" t="str">
        <f t="shared" si="274"/>
        <v>MarçoSEMANA 4Berinjela Orgânica</v>
      </c>
      <c r="AP447" s="7">
        <f>SUMIF(NF!$A:$A,$AO447,NF!$I:$I)</f>
        <v>0</v>
      </c>
      <c r="AQ447" s="6"/>
      <c r="AR447" s="6"/>
      <c r="AS447" s="6"/>
      <c r="AT447" s="6"/>
      <c r="AU447" s="6"/>
      <c r="AV447" s="6"/>
      <c r="AW447" s="6"/>
      <c r="AX447" s="7">
        <f t="shared" si="299"/>
        <v>0</v>
      </c>
      <c r="AY447" s="11">
        <f t="shared" si="276"/>
        <v>0</v>
      </c>
      <c r="AZ447" s="25"/>
      <c r="BA447" s="10" t="str">
        <f t="shared" si="277"/>
        <v>MarçoSEMANA 5Berinjela Orgânica</v>
      </c>
      <c r="BB447" s="7">
        <f>SUMIF(NF!$A:$A,$BA447,NF!$I:$I)</f>
        <v>0</v>
      </c>
      <c r="BC447" s="6"/>
      <c r="BD447" s="6"/>
      <c r="BE447" s="6"/>
      <c r="BF447" s="6"/>
      <c r="BG447" s="6"/>
      <c r="BH447" s="6"/>
      <c r="BI447" s="74"/>
      <c r="BJ447" s="74"/>
      <c r="BK447" s="7">
        <f t="shared" si="300"/>
        <v>0</v>
      </c>
      <c r="BL447" s="8">
        <f t="shared" si="279"/>
        <v>0</v>
      </c>
      <c r="BM447" s="51" t="str">
        <f>IFERROR(VLOOKUP(A447,NF!$M:$O,3,0),"")</f>
        <v>Hortifruti</v>
      </c>
      <c r="BN447" s="7">
        <f t="shared" si="280"/>
        <v>0</v>
      </c>
      <c r="BO447" s="8">
        <f t="array" ref="BO447">IFERROR(LARGE(IF(NF!$G$2:$G$3137='Mês atual'!A447,NF!$J$2:$J$3137),1),0)*BN447</f>
        <v>0</v>
      </c>
      <c r="BP447" s="50"/>
      <c r="BR447" s="146">
        <f t="array" ref="BR447">IFERROR(LARGE(IF(NF!$G$2:$G$3137='Mês atual'!A447,NF!$J$2:$J$3137),1),0)</f>
        <v>0</v>
      </c>
      <c r="BS447" s="142" t="str">
        <f>VLOOKUP(A447,NF!M:O,3,0)</f>
        <v>Hortifruti</v>
      </c>
      <c r="BV447" s="74">
        <f t="shared" si="281"/>
        <v>0</v>
      </c>
      <c r="BW447" s="74">
        <f t="shared" si="282"/>
        <v>0</v>
      </c>
      <c r="BX447" s="74">
        <f t="shared" si="283"/>
        <v>0</v>
      </c>
      <c r="BY447" s="74">
        <f t="shared" si="284"/>
        <v>0</v>
      </c>
      <c r="BZ447" s="74">
        <f t="shared" si="285"/>
        <v>0</v>
      </c>
    </row>
    <row r="448" spans="1:78" x14ac:dyDescent="0.2">
      <c r="A448" s="108" t="s">
        <v>180</v>
      </c>
      <c r="B448" s="12"/>
      <c r="C448" s="9">
        <v>0</v>
      </c>
      <c r="D448" s="25"/>
      <c r="E448" s="10" t="str">
        <f t="shared" si="265"/>
        <v>MarçoSEMANA 1Bertalha</v>
      </c>
      <c r="F448" s="7">
        <f>SUMIF(NF!$A:$A,$E448,NF!$I:$I)</f>
        <v>0</v>
      </c>
      <c r="G448" s="74"/>
      <c r="H448" s="74"/>
      <c r="I448" s="74"/>
      <c r="J448" s="6"/>
      <c r="K448" s="6"/>
      <c r="L448" s="6"/>
      <c r="M448" s="6"/>
      <c r="N448" s="7">
        <f t="shared" si="296"/>
        <v>0</v>
      </c>
      <c r="O448" s="11">
        <f t="shared" si="267"/>
        <v>0</v>
      </c>
      <c r="P448" s="25"/>
      <c r="Q448" s="10" t="str">
        <f t="shared" si="268"/>
        <v>MarçoSEMANA 2Bertalha</v>
      </c>
      <c r="R448" s="7">
        <f>SUMIF(NF!$A:$A,$Q448,NF!$I:$I)</f>
        <v>5</v>
      </c>
      <c r="S448" s="6"/>
      <c r="T448" s="6"/>
      <c r="U448" s="6"/>
      <c r="V448" s="6"/>
      <c r="W448" s="6"/>
      <c r="X448" s="6">
        <v>5</v>
      </c>
      <c r="Y448" s="6"/>
      <c r="Z448" s="7">
        <f t="shared" si="297"/>
        <v>5</v>
      </c>
      <c r="AA448" s="11">
        <f t="shared" si="270"/>
        <v>0</v>
      </c>
      <c r="AB448" s="25"/>
      <c r="AC448" s="10" t="str">
        <f t="shared" si="271"/>
        <v>MarçoSEMANA 3Bertalha</v>
      </c>
      <c r="AD448" s="7">
        <f>SUMIF(NF!$A:$A,$AC448,NF!$I:$I)</f>
        <v>0</v>
      </c>
      <c r="AE448" s="6"/>
      <c r="AF448" s="6"/>
      <c r="AG448" s="6"/>
      <c r="AH448" s="6"/>
      <c r="AI448" s="6"/>
      <c r="AJ448" s="6"/>
      <c r="AK448" s="6"/>
      <c r="AL448" s="7">
        <f t="shared" si="298"/>
        <v>0</v>
      </c>
      <c r="AM448" s="11">
        <f t="shared" si="273"/>
        <v>0</v>
      </c>
      <c r="AN448" s="25"/>
      <c r="AO448" s="10" t="str">
        <f t="shared" si="274"/>
        <v>MarçoSEMANA 4Bertalha</v>
      </c>
      <c r="AP448" s="7">
        <f>SUMIF(NF!$A:$A,$AO448,NF!$I:$I)</f>
        <v>0</v>
      </c>
      <c r="AQ448" s="6"/>
      <c r="AR448" s="6"/>
      <c r="AS448" s="6"/>
      <c r="AT448" s="6"/>
      <c r="AU448" s="6"/>
      <c r="AV448" s="6"/>
      <c r="AW448" s="6"/>
      <c r="AX448" s="7">
        <f t="shared" si="299"/>
        <v>0</v>
      </c>
      <c r="AY448" s="11">
        <f t="shared" si="276"/>
        <v>0</v>
      </c>
      <c r="AZ448" s="25"/>
      <c r="BA448" s="10" t="str">
        <f t="shared" si="277"/>
        <v>MarçoSEMANA 5Bertalha</v>
      </c>
      <c r="BB448" s="7">
        <f>SUMIF(NF!$A:$A,$BA448,NF!$I:$I)</f>
        <v>0</v>
      </c>
      <c r="BC448" s="6"/>
      <c r="BD448" s="6"/>
      <c r="BE448" s="6"/>
      <c r="BF448" s="6"/>
      <c r="BG448" s="6"/>
      <c r="BH448" s="6"/>
      <c r="BI448" s="74"/>
      <c r="BJ448" s="74"/>
      <c r="BK448" s="7">
        <f t="shared" si="300"/>
        <v>0</v>
      </c>
      <c r="BL448" s="8">
        <f t="shared" si="279"/>
        <v>0</v>
      </c>
      <c r="BM448" s="51" t="str">
        <f>IFERROR(VLOOKUP(A448,NF!$M:$O,3,0),"")</f>
        <v>Hortifruti</v>
      </c>
      <c r="BN448" s="7">
        <f t="shared" si="280"/>
        <v>5</v>
      </c>
      <c r="BO448" s="8">
        <f t="array" ref="BO448">IFERROR(LARGE(IF(NF!$G$2:$G$3137='Mês atual'!A448,NF!$J$2:$J$3137),1),0)*BN448</f>
        <v>20</v>
      </c>
      <c r="BP448" s="50"/>
      <c r="BR448" s="146">
        <f t="array" ref="BR448">IFERROR(LARGE(IF(NF!$G$2:$G$3137='Mês atual'!A448,NF!$J$2:$J$3137),1),0)</f>
        <v>4</v>
      </c>
      <c r="BS448" s="142" t="str">
        <f>VLOOKUP(A448,NF!M:O,3,0)</f>
        <v>Hortifruti</v>
      </c>
      <c r="BV448" s="74">
        <f t="shared" si="281"/>
        <v>0</v>
      </c>
      <c r="BW448" s="74">
        <f t="shared" si="282"/>
        <v>5</v>
      </c>
      <c r="BX448" s="74">
        <f t="shared" si="283"/>
        <v>0</v>
      </c>
      <c r="BY448" s="74">
        <f t="shared" si="284"/>
        <v>0</v>
      </c>
      <c r="BZ448" s="74">
        <f t="shared" si="285"/>
        <v>0</v>
      </c>
    </row>
    <row r="449" spans="1:78" x14ac:dyDescent="0.2">
      <c r="A449" s="108" t="s">
        <v>181</v>
      </c>
      <c r="B449" s="12"/>
      <c r="C449" s="9">
        <v>0</v>
      </c>
      <c r="D449" s="25"/>
      <c r="E449" s="10" t="str">
        <f t="shared" si="265"/>
        <v>MarçoSEMANA 1Beterraba</v>
      </c>
      <c r="F449" s="7">
        <f>SUMIF(NF!$A:$A,$E449,NF!$I:$I)</f>
        <v>0</v>
      </c>
      <c r="G449" s="74"/>
      <c r="H449" s="74"/>
      <c r="I449" s="74"/>
      <c r="J449" s="6"/>
      <c r="K449" s="6"/>
      <c r="L449" s="6"/>
      <c r="M449" s="6"/>
      <c r="N449" s="7">
        <f t="shared" si="296"/>
        <v>0</v>
      </c>
      <c r="O449" s="11">
        <f t="shared" si="267"/>
        <v>0</v>
      </c>
      <c r="P449" s="25"/>
      <c r="Q449" s="10" t="str">
        <f t="shared" si="268"/>
        <v>MarçoSEMANA 2Beterraba</v>
      </c>
      <c r="R449" s="7">
        <f>SUMIF(NF!$A:$A,$Q449,NF!$I:$I)</f>
        <v>12</v>
      </c>
      <c r="S449" s="6"/>
      <c r="T449" s="6"/>
      <c r="U449" s="6"/>
      <c r="V449" s="6">
        <v>2</v>
      </c>
      <c r="W449" s="6">
        <v>2</v>
      </c>
      <c r="X449" s="6">
        <v>3</v>
      </c>
      <c r="Y449" s="6">
        <v>4</v>
      </c>
      <c r="Z449" s="7">
        <f t="shared" si="297"/>
        <v>11</v>
      </c>
      <c r="AA449" s="11">
        <f t="shared" si="270"/>
        <v>1</v>
      </c>
      <c r="AB449" s="25"/>
      <c r="AC449" s="10" t="str">
        <f t="shared" si="271"/>
        <v>MarçoSEMANA 3Beterraba</v>
      </c>
      <c r="AD449" s="7">
        <f>SUMIF(NF!$A:$A,$AC449,NF!$I:$I)</f>
        <v>22</v>
      </c>
      <c r="AE449" s="6">
        <v>1</v>
      </c>
      <c r="AF449" s="6"/>
      <c r="AG449" s="6"/>
      <c r="AH449" s="6">
        <v>1.56</v>
      </c>
      <c r="AI449" s="6">
        <v>8.14</v>
      </c>
      <c r="AJ449" s="6">
        <f>1.208+1.532</f>
        <v>2.74</v>
      </c>
      <c r="AK449" s="6"/>
      <c r="AL449" s="7">
        <f t="shared" si="298"/>
        <v>13.440000000000001</v>
      </c>
      <c r="AM449" s="11">
        <f t="shared" si="273"/>
        <v>9.5599999999999987</v>
      </c>
      <c r="AN449" s="25"/>
      <c r="AO449" s="10" t="str">
        <f t="shared" si="274"/>
        <v>MarçoSEMANA 4Beterraba</v>
      </c>
      <c r="AP449" s="7">
        <f>SUMIF(NF!$A:$A,$AO449,NF!$I:$I)</f>
        <v>11</v>
      </c>
      <c r="AQ449" s="6">
        <v>8</v>
      </c>
      <c r="AR449" s="6">
        <v>1.56</v>
      </c>
      <c r="AS449" s="6">
        <v>1.78</v>
      </c>
      <c r="AT449" s="6"/>
      <c r="AU449" s="6">
        <v>0.92</v>
      </c>
      <c r="AV449" s="6">
        <v>2.2000000000000002</v>
      </c>
      <c r="AW449" s="6">
        <v>4.74</v>
      </c>
      <c r="AX449" s="7">
        <f t="shared" si="299"/>
        <v>19.200000000000003</v>
      </c>
      <c r="AY449" s="11">
        <f t="shared" si="276"/>
        <v>1.3599999999999959</v>
      </c>
      <c r="AZ449" s="25"/>
      <c r="BA449" s="10" t="str">
        <f t="shared" si="277"/>
        <v>MarçoSEMANA 5Beterraba</v>
      </c>
      <c r="BB449" s="7">
        <f>SUMIF(NF!$A:$A,$BA449,NF!$I:$I)</f>
        <v>28</v>
      </c>
      <c r="BC449" s="6">
        <v>1.355</v>
      </c>
      <c r="BD449" s="6">
        <v>1.5</v>
      </c>
      <c r="BE449" s="6">
        <f>8+1.56-0.632</f>
        <v>8.9280000000000008</v>
      </c>
      <c r="BF449" s="6">
        <v>0.94</v>
      </c>
      <c r="BG449" s="6">
        <v>2.04</v>
      </c>
      <c r="BH449" s="6">
        <v>1.6020000000000001</v>
      </c>
      <c r="BI449" s="74"/>
      <c r="BJ449" s="74"/>
      <c r="BK449" s="7">
        <f t="shared" si="300"/>
        <v>16.365000000000002</v>
      </c>
      <c r="BL449" s="8">
        <f t="shared" si="279"/>
        <v>12.994999999999994</v>
      </c>
      <c r="BM449" s="51" t="str">
        <f>IFERROR(VLOOKUP(A449,NF!$M:$O,3,0),"")</f>
        <v>Hortifruti</v>
      </c>
      <c r="BN449" s="7">
        <f t="shared" si="280"/>
        <v>60.005000000000003</v>
      </c>
      <c r="BO449" s="8">
        <f t="array" ref="BO449">IFERROR(LARGE(IF(NF!$G$2:$G$3137='Mês atual'!A449,NF!$J$2:$J$3137),1),0)*BN449</f>
        <v>156.01300000000001</v>
      </c>
      <c r="BP449" s="50"/>
      <c r="BR449" s="146">
        <f t="array" ref="BR449">IFERROR(LARGE(IF(NF!$G$2:$G$3137='Mês atual'!A449,NF!$J$2:$J$3137),1),0)</f>
        <v>2.6</v>
      </c>
      <c r="BS449" s="142" t="str">
        <f>VLOOKUP(A449,NF!M:O,3,0)</f>
        <v>Hortifruti</v>
      </c>
      <c r="BV449" s="74">
        <f t="shared" si="281"/>
        <v>0</v>
      </c>
      <c r="BW449" s="74">
        <f t="shared" si="282"/>
        <v>11</v>
      </c>
      <c r="BX449" s="74">
        <f t="shared" si="283"/>
        <v>13.440000000000001</v>
      </c>
      <c r="BY449" s="74">
        <f t="shared" si="284"/>
        <v>19.200000000000003</v>
      </c>
      <c r="BZ449" s="74">
        <f t="shared" si="285"/>
        <v>16.365000000000002</v>
      </c>
    </row>
    <row r="450" spans="1:78" x14ac:dyDescent="0.25">
      <c r="A450" s="108" t="s">
        <v>182</v>
      </c>
      <c r="B450" s="12"/>
      <c r="C450" s="9">
        <v>4</v>
      </c>
      <c r="D450" s="25"/>
      <c r="E450" s="10" t="str">
        <f t="shared" si="265"/>
        <v>MarçoSEMANA 1Beterraba Orgânica</v>
      </c>
      <c r="F450" s="7">
        <f>SUMIF(NF!$A:$A,$E450,NF!$I:$I)</f>
        <v>5</v>
      </c>
      <c r="G450" s="74"/>
      <c r="H450" s="74"/>
      <c r="I450" s="74"/>
      <c r="J450" s="6">
        <v>2.04</v>
      </c>
      <c r="K450" s="6">
        <v>2.06</v>
      </c>
      <c r="L450" s="6">
        <v>1.58</v>
      </c>
      <c r="M450" s="6">
        <v>2.04</v>
      </c>
      <c r="N450" s="7">
        <f t="shared" si="296"/>
        <v>7.72</v>
      </c>
      <c r="O450" s="11">
        <f t="shared" si="267"/>
        <v>1.2800000000000002</v>
      </c>
      <c r="P450" s="25"/>
      <c r="Q450" s="10" t="str">
        <f t="shared" si="268"/>
        <v>MarçoSEMANA 2Beterraba Orgânica</v>
      </c>
      <c r="R450" s="7">
        <f>SUMIF(NF!$A:$A,$Q450,NF!$I:$I)</f>
        <v>3.5</v>
      </c>
      <c r="S450" s="6"/>
      <c r="T450" s="6">
        <v>1.508</v>
      </c>
      <c r="U450" s="6">
        <v>1.98</v>
      </c>
      <c r="V450" s="6"/>
      <c r="W450" s="6"/>
      <c r="X450" s="6"/>
      <c r="Y450" s="6"/>
      <c r="Z450" s="7">
        <f t="shared" si="297"/>
        <v>3.488</v>
      </c>
      <c r="AA450" s="11">
        <f t="shared" si="270"/>
        <v>1.2920000000000003</v>
      </c>
      <c r="AB450" s="25"/>
      <c r="AC450" s="10" t="str">
        <f t="shared" si="271"/>
        <v>MarçoSEMANA 3Beterraba Orgânica</v>
      </c>
      <c r="AD450" s="7">
        <f>SUMIF(NF!$A:$A,$AC450,NF!$I:$I)</f>
        <v>4.0999999999999996</v>
      </c>
      <c r="AE450" s="6"/>
      <c r="AF450" s="6">
        <v>1.29</v>
      </c>
      <c r="AG450" s="6">
        <v>1.72</v>
      </c>
      <c r="AH450" s="6">
        <v>1</v>
      </c>
      <c r="AI450" s="6">
        <v>1.38</v>
      </c>
      <c r="AJ450" s="6"/>
      <c r="AK450" s="6"/>
      <c r="AL450" s="7">
        <f t="shared" si="298"/>
        <v>5.39</v>
      </c>
      <c r="AM450" s="11">
        <f t="shared" si="273"/>
        <v>1.9999999999997797E-3</v>
      </c>
      <c r="AN450" s="25"/>
      <c r="AO450" s="10" t="str">
        <f t="shared" si="274"/>
        <v>MarçoSEMANA 4Beterraba Orgânica</v>
      </c>
      <c r="AP450" s="7">
        <f>SUMIF(NF!$A:$A,$AO450,NF!$I:$I)</f>
        <v>0</v>
      </c>
      <c r="AQ450" s="6"/>
      <c r="AR450" s="6"/>
      <c r="AS450" s="6"/>
      <c r="AT450" s="6"/>
      <c r="AU450" s="6"/>
      <c r="AV450" s="6"/>
      <c r="AW450" s="6"/>
      <c r="AX450" s="7">
        <f t="shared" si="299"/>
        <v>0</v>
      </c>
      <c r="AY450" s="11">
        <f t="shared" si="276"/>
        <v>1.9999999999997797E-3</v>
      </c>
      <c r="AZ450" s="25"/>
      <c r="BA450" s="10" t="str">
        <f t="shared" si="277"/>
        <v>MarçoSEMANA 5Beterraba Orgânica</v>
      </c>
      <c r="BB450" s="7">
        <f>SUMIF(NF!$A:$A,$BA450,NF!$I:$I)</f>
        <v>0</v>
      </c>
      <c r="BC450" s="6"/>
      <c r="BD450" s="6"/>
      <c r="BE450" s="6"/>
      <c r="BF450" s="6"/>
      <c r="BG450" s="6"/>
      <c r="BH450" s="6"/>
      <c r="BI450" s="74"/>
      <c r="BJ450" s="74"/>
      <c r="BK450" s="7">
        <f t="shared" si="300"/>
        <v>0</v>
      </c>
      <c r="BL450" s="8">
        <f t="shared" si="279"/>
        <v>1.9999999999997797E-3</v>
      </c>
      <c r="BM450" s="51" t="str">
        <f>IFERROR(VLOOKUP(A450,NF!$M:$O,3,0),"")</f>
        <v>Hortifruti</v>
      </c>
      <c r="BN450" s="7">
        <f t="shared" si="280"/>
        <v>16.597999999999999</v>
      </c>
      <c r="BO450" s="8">
        <f t="array" ref="BO450">IFERROR(LARGE(IF(NF!$G$2:$G$3137='Mês atual'!A450,NF!$J$2:$J$3137),1),0)*BN450</f>
        <v>148.76289459999998</v>
      </c>
      <c r="BP450" s="50"/>
      <c r="BR450" s="146">
        <f t="array" ref="BR450">IFERROR(LARGE(IF(NF!$G$2:$G$3137='Mês atual'!A450,NF!$J$2:$J$3137),1),0)</f>
        <v>8.9626999999999999</v>
      </c>
      <c r="BS450" s="142" t="str">
        <f>VLOOKUP(A450,NF!M:O,3,0)</f>
        <v>Hortifruti</v>
      </c>
      <c r="BV450" s="74">
        <f t="shared" si="281"/>
        <v>7.72</v>
      </c>
      <c r="BW450" s="74">
        <f t="shared" si="282"/>
        <v>3.488</v>
      </c>
      <c r="BX450" s="74">
        <f t="shared" si="283"/>
        <v>5.39</v>
      </c>
      <c r="BY450" s="74">
        <f t="shared" si="284"/>
        <v>0</v>
      </c>
      <c r="BZ450" s="74">
        <f t="shared" si="285"/>
        <v>0</v>
      </c>
    </row>
    <row r="451" spans="1:78" x14ac:dyDescent="0.25">
      <c r="A451" s="108" t="s">
        <v>194</v>
      </c>
      <c r="B451" s="12"/>
      <c r="C451" s="9">
        <v>10</v>
      </c>
      <c r="D451" s="25"/>
      <c r="E451" s="10" t="str">
        <f t="shared" si="265"/>
        <v>MarçoSEMANA 1Brócolis Americano</v>
      </c>
      <c r="F451" s="7">
        <f>SUMIF(NF!$A:$A,$E451,NF!$I:$I)</f>
        <v>0</v>
      </c>
      <c r="G451" s="74"/>
      <c r="H451" s="74"/>
      <c r="I451" s="74"/>
      <c r="J451" s="6">
        <v>10</v>
      </c>
      <c r="K451" s="6"/>
      <c r="L451" s="6"/>
      <c r="M451" s="6"/>
      <c r="N451" s="7">
        <f t="shared" si="296"/>
        <v>10</v>
      </c>
      <c r="O451" s="11">
        <f t="shared" si="267"/>
        <v>0</v>
      </c>
      <c r="P451" s="25"/>
      <c r="Q451" s="10" t="str">
        <f t="shared" si="268"/>
        <v>MarçoSEMANA 2Brócolis Americano</v>
      </c>
      <c r="R451" s="7">
        <f>SUMIF(NF!$A:$A,$Q451,NF!$I:$I)</f>
        <v>25</v>
      </c>
      <c r="S451" s="6">
        <v>2</v>
      </c>
      <c r="T451" s="6">
        <v>10</v>
      </c>
      <c r="U451" s="6">
        <v>5</v>
      </c>
      <c r="V451" s="6"/>
      <c r="W451" s="6">
        <v>4</v>
      </c>
      <c r="X451" s="6">
        <v>4</v>
      </c>
      <c r="Y451" s="6"/>
      <c r="Z451" s="7">
        <f t="shared" si="297"/>
        <v>25</v>
      </c>
      <c r="AA451" s="11">
        <f t="shared" si="270"/>
        <v>0</v>
      </c>
      <c r="AB451" s="25"/>
      <c r="AC451" s="10" t="str">
        <f t="shared" si="271"/>
        <v>MarçoSEMANA 3Brócolis Americano</v>
      </c>
      <c r="AD451" s="7">
        <f>SUMIF(NF!$A:$A,$AC451,NF!$I:$I)</f>
        <v>31</v>
      </c>
      <c r="AE451" s="6">
        <v>12</v>
      </c>
      <c r="AF451" s="6"/>
      <c r="AG451" s="6">
        <v>8</v>
      </c>
      <c r="AH451" s="6"/>
      <c r="AI451" s="6"/>
      <c r="AJ451" s="6">
        <v>6</v>
      </c>
      <c r="AK451" s="6">
        <v>5</v>
      </c>
      <c r="AL451" s="7">
        <f t="shared" si="298"/>
        <v>31</v>
      </c>
      <c r="AM451" s="11">
        <f t="shared" si="273"/>
        <v>0</v>
      </c>
      <c r="AN451" s="25"/>
      <c r="AO451" s="10" t="str">
        <f t="shared" si="274"/>
        <v>MarçoSEMANA 4Brócolis Americano</v>
      </c>
      <c r="AP451" s="7">
        <f>SUMIF(NF!$A:$A,$AO451,NF!$I:$I)</f>
        <v>17</v>
      </c>
      <c r="AQ451" s="6"/>
      <c r="AR451" s="6"/>
      <c r="AS451" s="6">
        <v>5</v>
      </c>
      <c r="AT451" s="6"/>
      <c r="AU451" s="6">
        <v>10</v>
      </c>
      <c r="AV451" s="6">
        <v>2</v>
      </c>
      <c r="AW451" s="6"/>
      <c r="AX451" s="7">
        <f t="shared" si="299"/>
        <v>17</v>
      </c>
      <c r="AY451" s="11">
        <f t="shared" si="276"/>
        <v>0</v>
      </c>
      <c r="AZ451" s="25"/>
      <c r="BA451" s="10" t="str">
        <f t="shared" si="277"/>
        <v>MarçoSEMANA 5Brócolis Americano</v>
      </c>
      <c r="BB451" s="7">
        <f>SUMIF(NF!$A:$A,$BA451,NF!$I:$I)</f>
        <v>18</v>
      </c>
      <c r="BC451" s="6"/>
      <c r="BD451" s="6">
        <v>10</v>
      </c>
      <c r="BE451" s="6">
        <v>3</v>
      </c>
      <c r="BF451" s="6">
        <v>3</v>
      </c>
      <c r="BG451" s="6"/>
      <c r="BH451" s="6"/>
      <c r="BI451" s="74"/>
      <c r="BJ451" s="74"/>
      <c r="BK451" s="7">
        <f t="shared" si="300"/>
        <v>16</v>
      </c>
      <c r="BL451" s="8">
        <f t="shared" si="279"/>
        <v>2</v>
      </c>
      <c r="BM451" s="51" t="str">
        <f>IFERROR(VLOOKUP(A451,NF!$M:$O,3,0),"")</f>
        <v>Hortifruti</v>
      </c>
      <c r="BN451" s="7">
        <f t="shared" si="280"/>
        <v>99</v>
      </c>
      <c r="BO451" s="8">
        <f t="array" ref="BO451">IFERROR(LARGE(IF(NF!$G$2:$G$3137='Mês atual'!A451,NF!$J$2:$J$3137),1),0)*BN451</f>
        <v>1502.82</v>
      </c>
      <c r="BP451" s="50"/>
      <c r="BR451" s="146">
        <f t="array" ref="BR451">IFERROR(LARGE(IF(NF!$G$2:$G$3137='Mês atual'!A451,NF!$J$2:$J$3137),1),0)</f>
        <v>15.18</v>
      </c>
      <c r="BS451" s="142" t="str">
        <f>VLOOKUP(A451,NF!M:O,3,0)</f>
        <v>Hortifruti</v>
      </c>
      <c r="BV451" s="74">
        <f t="shared" si="281"/>
        <v>10</v>
      </c>
      <c r="BW451" s="74">
        <f t="shared" si="282"/>
        <v>25</v>
      </c>
      <c r="BX451" s="74">
        <f t="shared" si="283"/>
        <v>31</v>
      </c>
      <c r="BY451" s="74">
        <f t="shared" si="284"/>
        <v>17</v>
      </c>
      <c r="BZ451" s="74">
        <f t="shared" si="285"/>
        <v>16</v>
      </c>
    </row>
    <row r="452" spans="1:78" x14ac:dyDescent="0.25">
      <c r="A452" s="108" t="s">
        <v>889</v>
      </c>
      <c r="B452" s="12"/>
      <c r="C452" s="9">
        <v>0</v>
      </c>
      <c r="D452" s="25"/>
      <c r="E452" s="10" t="str">
        <f t="shared" si="265"/>
        <v>MarçoSEMANA 1Brócolis Nacional</v>
      </c>
      <c r="F452" s="7">
        <f>SUMIF(NF!$A:$A,$E452,NF!$I:$I)</f>
        <v>0</v>
      </c>
      <c r="G452" s="74"/>
      <c r="H452" s="74"/>
      <c r="I452" s="74"/>
      <c r="J452" s="6"/>
      <c r="K452" s="6"/>
      <c r="L452" s="6"/>
      <c r="M452" s="6"/>
      <c r="N452" s="7">
        <f t="shared" si="296"/>
        <v>0</v>
      </c>
      <c r="O452" s="11">
        <f t="shared" si="267"/>
        <v>0</v>
      </c>
      <c r="P452" s="25"/>
      <c r="Q452" s="10" t="str">
        <f t="shared" si="268"/>
        <v>MarçoSEMANA 2Brócolis Nacional</v>
      </c>
      <c r="R452" s="7">
        <f>SUMIF(NF!$A:$A,$Q452,NF!$I:$I)</f>
        <v>0</v>
      </c>
      <c r="S452" s="6"/>
      <c r="T452" s="6"/>
      <c r="U452" s="6"/>
      <c r="V452" s="6"/>
      <c r="W452" s="6"/>
      <c r="X452" s="6"/>
      <c r="Y452" s="6"/>
      <c r="Z452" s="7">
        <f t="shared" si="297"/>
        <v>0</v>
      </c>
      <c r="AA452" s="11">
        <f t="shared" si="270"/>
        <v>0</v>
      </c>
      <c r="AB452" s="25"/>
      <c r="AC452" s="10" t="str">
        <f t="shared" si="271"/>
        <v>MarçoSEMANA 3Brócolis Nacional</v>
      </c>
      <c r="AD452" s="7">
        <f>SUMIF(NF!$A:$A,$AC452,NF!$I:$I)</f>
        <v>0</v>
      </c>
      <c r="AE452" s="6"/>
      <c r="AF452" s="6"/>
      <c r="AG452" s="6"/>
      <c r="AH452" s="6"/>
      <c r="AI452" s="6"/>
      <c r="AJ452" s="6"/>
      <c r="AK452" s="6"/>
      <c r="AL452" s="7">
        <f t="shared" si="298"/>
        <v>0</v>
      </c>
      <c r="AM452" s="11">
        <f t="shared" si="273"/>
        <v>0</v>
      </c>
      <c r="AN452" s="25"/>
      <c r="AO452" s="10" t="str">
        <f t="shared" si="274"/>
        <v>MarçoSEMANA 4Brócolis Nacional</v>
      </c>
      <c r="AP452" s="7">
        <f>SUMIF(NF!$A:$A,$AO452,NF!$I:$I)</f>
        <v>4</v>
      </c>
      <c r="AQ452" s="6"/>
      <c r="AR452" s="6"/>
      <c r="AS452" s="6"/>
      <c r="AT452" s="6">
        <v>4</v>
      </c>
      <c r="AU452" s="6"/>
      <c r="AV452" s="6"/>
      <c r="AW452" s="6"/>
      <c r="AX452" s="7">
        <f t="shared" si="299"/>
        <v>4</v>
      </c>
      <c r="AY452" s="11">
        <f t="shared" si="276"/>
        <v>0</v>
      </c>
      <c r="AZ452" s="25"/>
      <c r="BA452" s="10" t="str">
        <f t="shared" si="277"/>
        <v>MarçoSEMANA 5Brócolis Nacional</v>
      </c>
      <c r="BB452" s="7">
        <f>SUMIF(NF!$A:$A,$BA452,NF!$I:$I)</f>
        <v>0</v>
      </c>
      <c r="BC452" s="6"/>
      <c r="BD452" s="6"/>
      <c r="BE452" s="6"/>
      <c r="BF452" s="6"/>
      <c r="BG452" s="6"/>
      <c r="BH452" s="6"/>
      <c r="BI452" s="74"/>
      <c r="BJ452" s="74"/>
      <c r="BK452" s="7">
        <f t="shared" si="300"/>
        <v>0</v>
      </c>
      <c r="BL452" s="8">
        <f t="shared" si="279"/>
        <v>0</v>
      </c>
      <c r="BM452" s="51" t="str">
        <f>IFERROR(VLOOKUP(A452,NF!$M:$O,3,0),"")</f>
        <v>Hortifruti</v>
      </c>
      <c r="BN452" s="7">
        <f t="shared" si="280"/>
        <v>4</v>
      </c>
      <c r="BO452" s="8">
        <f t="array" ref="BO452">IFERROR(LARGE(IF(NF!$G$2:$G$3137='Mês atual'!A452,NF!$J$2:$J$3137),1),0)*BN452</f>
        <v>24</v>
      </c>
      <c r="BP452" s="50"/>
      <c r="BR452" s="146">
        <f t="array" ref="BR452">IFERROR(LARGE(IF(NF!$G$2:$G$3137='Mês atual'!A452,NF!$J$2:$J$3137),1),0)</f>
        <v>6</v>
      </c>
      <c r="BS452" s="142" t="str">
        <f>VLOOKUP(A452,NF!M:O,3,0)</f>
        <v>Hortifruti</v>
      </c>
      <c r="BV452" s="74">
        <f t="shared" si="281"/>
        <v>0</v>
      </c>
      <c r="BW452" s="74">
        <f t="shared" si="282"/>
        <v>0</v>
      </c>
      <c r="BX452" s="74">
        <f t="shared" si="283"/>
        <v>0</v>
      </c>
      <c r="BY452" s="74">
        <f t="shared" si="284"/>
        <v>4</v>
      </c>
      <c r="BZ452" s="74">
        <f t="shared" si="285"/>
        <v>0</v>
      </c>
    </row>
    <row r="453" spans="1:78" x14ac:dyDescent="0.25">
      <c r="A453" s="108" t="s">
        <v>196</v>
      </c>
      <c r="B453" s="12"/>
      <c r="C453" s="9">
        <v>0</v>
      </c>
      <c r="D453" s="25"/>
      <c r="E453" s="10" t="str">
        <f t="shared" si="265"/>
        <v>MarçoSEMANA 1Brócolis Orgânico</v>
      </c>
      <c r="F453" s="7">
        <f>SUMIF(NF!$A:$A,$E453,NF!$I:$I)</f>
        <v>0</v>
      </c>
      <c r="G453" s="74"/>
      <c r="H453" s="74"/>
      <c r="I453" s="74"/>
      <c r="J453" s="6"/>
      <c r="K453" s="6"/>
      <c r="L453" s="6"/>
      <c r="M453" s="6"/>
      <c r="N453" s="7">
        <f t="shared" si="296"/>
        <v>0</v>
      </c>
      <c r="O453" s="11">
        <f t="shared" si="267"/>
        <v>0</v>
      </c>
      <c r="P453" s="25"/>
      <c r="Q453" s="10" t="str">
        <f t="shared" si="268"/>
        <v>MarçoSEMANA 2Brócolis Orgânico</v>
      </c>
      <c r="R453" s="7">
        <f>SUMIF(NF!$A:$A,$Q453,NF!$I:$I)</f>
        <v>0</v>
      </c>
      <c r="S453" s="6"/>
      <c r="T453" s="6"/>
      <c r="U453" s="6"/>
      <c r="V453" s="6"/>
      <c r="W453" s="6"/>
      <c r="X453" s="6"/>
      <c r="Y453" s="6"/>
      <c r="Z453" s="7">
        <f t="shared" si="297"/>
        <v>0</v>
      </c>
      <c r="AA453" s="11">
        <f t="shared" si="270"/>
        <v>0</v>
      </c>
      <c r="AB453" s="25"/>
      <c r="AC453" s="10" t="str">
        <f t="shared" si="271"/>
        <v>MarçoSEMANA 3Brócolis Orgânico</v>
      </c>
      <c r="AD453" s="7">
        <f>SUMIF(NF!$A:$A,$AC453,NF!$I:$I)</f>
        <v>0</v>
      </c>
      <c r="AE453" s="6"/>
      <c r="AF453" s="6"/>
      <c r="AG453" s="6"/>
      <c r="AH453" s="6"/>
      <c r="AI453" s="6"/>
      <c r="AJ453" s="6"/>
      <c r="AK453" s="6"/>
      <c r="AL453" s="7">
        <f t="shared" si="298"/>
        <v>0</v>
      </c>
      <c r="AM453" s="11">
        <f t="shared" si="273"/>
        <v>0</v>
      </c>
      <c r="AN453" s="25"/>
      <c r="AO453" s="10" t="str">
        <f t="shared" si="274"/>
        <v>MarçoSEMANA 4Brócolis Orgânico</v>
      </c>
      <c r="AP453" s="7">
        <f>SUMIF(NF!$A:$A,$AO453,NF!$I:$I)</f>
        <v>0</v>
      </c>
      <c r="AQ453" s="6"/>
      <c r="AR453" s="6"/>
      <c r="AS453" s="6"/>
      <c r="AT453" s="6"/>
      <c r="AU453" s="6"/>
      <c r="AV453" s="6"/>
      <c r="AW453" s="6"/>
      <c r="AX453" s="7">
        <f t="shared" si="299"/>
        <v>0</v>
      </c>
      <c r="AY453" s="11">
        <f t="shared" si="276"/>
        <v>0</v>
      </c>
      <c r="AZ453" s="25"/>
      <c r="BA453" s="10" t="str">
        <f t="shared" si="277"/>
        <v>MarçoSEMANA 5Brócolis Orgânico</v>
      </c>
      <c r="BB453" s="7">
        <f>SUMIF(NF!$A:$A,$BA453,NF!$I:$I)</f>
        <v>0</v>
      </c>
      <c r="BC453" s="6"/>
      <c r="BD453" s="6"/>
      <c r="BE453" s="6"/>
      <c r="BF453" s="6"/>
      <c r="BG453" s="6"/>
      <c r="BH453" s="6"/>
      <c r="BI453" s="74"/>
      <c r="BJ453" s="74"/>
      <c r="BK453" s="7">
        <f t="shared" si="300"/>
        <v>0</v>
      </c>
      <c r="BL453" s="8">
        <f t="shared" si="279"/>
        <v>0</v>
      </c>
      <c r="BM453" s="51" t="str">
        <f>IFERROR(VLOOKUP(A453,NF!$M:$O,3,0),"")</f>
        <v>Hortifruti</v>
      </c>
      <c r="BN453" s="7">
        <f t="shared" si="280"/>
        <v>0</v>
      </c>
      <c r="BO453" s="8">
        <f t="array" ref="BO453">IFERROR(LARGE(IF(NF!$G$2:$G$3137='Mês atual'!A453,NF!$J$2:$J$3137),1),0)*BN453</f>
        <v>0</v>
      </c>
      <c r="BP453" s="50"/>
      <c r="BR453" s="146">
        <f t="array" ref="BR453">IFERROR(LARGE(IF(NF!$G$2:$G$3137='Mês atual'!A453,NF!$J$2:$J$3137),1),0)</f>
        <v>0</v>
      </c>
      <c r="BS453" s="142" t="str">
        <f>VLOOKUP(A453,NF!M:O,3,0)</f>
        <v>Hortifruti</v>
      </c>
      <c r="BV453" s="74">
        <f t="shared" si="281"/>
        <v>0</v>
      </c>
      <c r="BW453" s="74">
        <f t="shared" si="282"/>
        <v>0</v>
      </c>
      <c r="BX453" s="74">
        <f t="shared" si="283"/>
        <v>0</v>
      </c>
      <c r="BY453" s="74">
        <f t="shared" si="284"/>
        <v>0</v>
      </c>
      <c r="BZ453" s="74">
        <f t="shared" si="285"/>
        <v>0</v>
      </c>
    </row>
    <row r="454" spans="1:78" x14ac:dyDescent="0.25">
      <c r="A454" s="108" t="s">
        <v>197</v>
      </c>
      <c r="B454" s="12"/>
      <c r="C454" s="9">
        <v>4</v>
      </c>
      <c r="D454" s="25"/>
      <c r="E454" s="10" t="str">
        <f t="shared" si="265"/>
        <v>MarçoSEMANA 1Broto de Feijão</v>
      </c>
      <c r="F454" s="7">
        <f>SUMIF(NF!$A:$A,$E454,NF!$I:$I)</f>
        <v>0</v>
      </c>
      <c r="G454" s="74"/>
      <c r="H454" s="74"/>
      <c r="I454" s="74"/>
      <c r="J454" s="6">
        <v>4</v>
      </c>
      <c r="K454" s="6"/>
      <c r="L454" s="6"/>
      <c r="M454" s="6"/>
      <c r="N454" s="7">
        <f t="shared" si="296"/>
        <v>4</v>
      </c>
      <c r="O454" s="11">
        <f t="shared" si="267"/>
        <v>0</v>
      </c>
      <c r="P454" s="25"/>
      <c r="Q454" s="10" t="str">
        <f t="shared" si="268"/>
        <v>MarçoSEMANA 2Broto de Feijão</v>
      </c>
      <c r="R454" s="7">
        <f>SUMIF(NF!$A:$A,$Q454,NF!$I:$I)</f>
        <v>2</v>
      </c>
      <c r="S454" s="6"/>
      <c r="T454" s="6"/>
      <c r="U454" s="6">
        <v>2</v>
      </c>
      <c r="V454" s="6"/>
      <c r="W454" s="6"/>
      <c r="X454" s="6"/>
      <c r="Y454" s="6"/>
      <c r="Z454" s="7">
        <f t="shared" si="297"/>
        <v>2</v>
      </c>
      <c r="AA454" s="11">
        <f t="shared" si="270"/>
        <v>0</v>
      </c>
      <c r="AB454" s="25"/>
      <c r="AC454" s="10" t="str">
        <f t="shared" si="271"/>
        <v>MarçoSEMANA 3Broto de Feijão</v>
      </c>
      <c r="AD454" s="7">
        <f>SUMIF(NF!$A:$A,$AC454,NF!$I:$I)</f>
        <v>3</v>
      </c>
      <c r="AE454" s="6"/>
      <c r="AF454" s="6"/>
      <c r="AG454" s="6"/>
      <c r="AH454" s="6"/>
      <c r="AI454" s="6">
        <v>3</v>
      </c>
      <c r="AJ454" s="6"/>
      <c r="AK454" s="6"/>
      <c r="AL454" s="7">
        <f t="shared" si="298"/>
        <v>3</v>
      </c>
      <c r="AM454" s="11">
        <f t="shared" si="273"/>
        <v>0</v>
      </c>
      <c r="AN454" s="25"/>
      <c r="AO454" s="10" t="str">
        <f t="shared" si="274"/>
        <v>MarçoSEMANA 4Broto de Feijão</v>
      </c>
      <c r="AP454" s="7">
        <f>SUMIF(NF!$A:$A,$AO454,NF!$I:$I)</f>
        <v>3.5</v>
      </c>
      <c r="AQ454" s="6"/>
      <c r="AR454" s="6"/>
      <c r="AS454" s="6"/>
      <c r="AT454" s="6">
        <v>3.5</v>
      </c>
      <c r="AU454" s="6"/>
      <c r="AV454" s="6"/>
      <c r="AW454" s="6"/>
      <c r="AX454" s="7">
        <f t="shared" si="299"/>
        <v>3.5</v>
      </c>
      <c r="AY454" s="11">
        <f t="shared" si="276"/>
        <v>0</v>
      </c>
      <c r="AZ454" s="25"/>
      <c r="BA454" s="10" t="str">
        <f t="shared" si="277"/>
        <v>MarçoSEMANA 5Broto de Feijão</v>
      </c>
      <c r="BB454" s="7">
        <f>SUMIF(NF!$A:$A,$BA454,NF!$I:$I)</f>
        <v>6.5</v>
      </c>
      <c r="BC454" s="6"/>
      <c r="BD454" s="6"/>
      <c r="BE454" s="6">
        <v>1.5</v>
      </c>
      <c r="BF454" s="6">
        <v>3</v>
      </c>
      <c r="BG454" s="6"/>
      <c r="BH454" s="6"/>
      <c r="BI454" s="74"/>
      <c r="BJ454" s="74"/>
      <c r="BK454" s="7">
        <f t="shared" si="300"/>
        <v>4.5</v>
      </c>
      <c r="BL454" s="8">
        <f t="shared" si="279"/>
        <v>2</v>
      </c>
      <c r="BM454" s="51" t="str">
        <f>IFERROR(VLOOKUP(A454,NF!$M:$O,3,0),"")</f>
        <v>Hortifruti</v>
      </c>
      <c r="BN454" s="7">
        <f t="shared" si="280"/>
        <v>17</v>
      </c>
      <c r="BO454" s="8">
        <f t="array" ref="BO454">IFERROR(LARGE(IF(NF!$G$2:$G$3137='Mês atual'!A454,NF!$J$2:$J$3137),1),0)*BN454</f>
        <v>238</v>
      </c>
      <c r="BP454" s="50"/>
      <c r="BR454" s="146">
        <f t="array" ref="BR454">IFERROR(LARGE(IF(NF!$G$2:$G$3137='Mês atual'!A454,NF!$J$2:$J$3137),1),0)</f>
        <v>14</v>
      </c>
      <c r="BS454" s="142" t="str">
        <f>VLOOKUP(A454,NF!M:O,3,0)</f>
        <v>Hortifruti</v>
      </c>
      <c r="BV454" s="74">
        <f t="shared" si="281"/>
        <v>4</v>
      </c>
      <c r="BW454" s="74">
        <f t="shared" si="282"/>
        <v>2</v>
      </c>
      <c r="BX454" s="74">
        <f t="shared" si="283"/>
        <v>3</v>
      </c>
      <c r="BY454" s="74">
        <f t="shared" si="284"/>
        <v>3.5</v>
      </c>
      <c r="BZ454" s="74">
        <f t="shared" si="285"/>
        <v>4.5</v>
      </c>
    </row>
    <row r="455" spans="1:78" x14ac:dyDescent="0.2">
      <c r="A455" s="108" t="s">
        <v>959</v>
      </c>
      <c r="B455" s="12"/>
      <c r="C455" s="9">
        <v>0</v>
      </c>
      <c r="D455" s="25"/>
      <c r="E455" s="10" t="str">
        <f t="shared" si="265"/>
        <v>MarçoSEMANA 1Caju</v>
      </c>
      <c r="F455" s="7">
        <f>SUMIF(NF!$A:$A,$E455,NF!$I:$I)</f>
        <v>0</v>
      </c>
      <c r="G455" s="74"/>
      <c r="H455" s="74"/>
      <c r="I455" s="74"/>
      <c r="J455" s="6"/>
      <c r="K455" s="6"/>
      <c r="L455" s="6"/>
      <c r="M455" s="6"/>
      <c r="N455" s="7">
        <f>SUM(G455:M455)</f>
        <v>0</v>
      </c>
      <c r="O455" s="11">
        <f t="shared" si="267"/>
        <v>0</v>
      </c>
      <c r="P455" s="25"/>
      <c r="Q455" s="10" t="str">
        <f t="shared" si="268"/>
        <v>MarçoSEMANA 2Caju</v>
      </c>
      <c r="R455" s="7">
        <f>SUMIF(NF!$A:$A,$Q455,NF!$I:$I)</f>
        <v>0</v>
      </c>
      <c r="S455" s="6"/>
      <c r="T455" s="6"/>
      <c r="U455" s="6"/>
      <c r="V455" s="6"/>
      <c r="W455" s="6"/>
      <c r="X455" s="6"/>
      <c r="Y455" s="6"/>
      <c r="Z455" s="7">
        <f>SUM(S455:Y455)</f>
        <v>0</v>
      </c>
      <c r="AA455" s="11">
        <f t="shared" si="270"/>
        <v>0</v>
      </c>
      <c r="AB455" s="25"/>
      <c r="AC455" s="10" t="str">
        <f t="shared" si="271"/>
        <v>MarçoSEMANA 3Caju</v>
      </c>
      <c r="AD455" s="7">
        <f>SUMIF(NF!$A:$A,$AC455,NF!$I:$I)</f>
        <v>0</v>
      </c>
      <c r="AE455" s="6"/>
      <c r="AF455" s="6"/>
      <c r="AG455" s="6"/>
      <c r="AH455" s="6"/>
      <c r="AI455" s="6"/>
      <c r="AJ455" s="6"/>
      <c r="AK455" s="6"/>
      <c r="AL455" s="7">
        <f>SUM(AE455:AK455)</f>
        <v>0</v>
      </c>
      <c r="AM455" s="11">
        <f t="shared" si="273"/>
        <v>0</v>
      </c>
      <c r="AN455" s="25"/>
      <c r="AO455" s="10" t="str">
        <f t="shared" si="274"/>
        <v>MarçoSEMANA 4Caju</v>
      </c>
      <c r="AP455" s="7">
        <f>SUMIF(NF!$A:$A,$AO455,NF!$I:$I)</f>
        <v>0</v>
      </c>
      <c r="AQ455" s="6"/>
      <c r="AR455" s="6"/>
      <c r="AS455" s="6"/>
      <c r="AT455" s="6"/>
      <c r="AU455" s="6"/>
      <c r="AV455" s="6"/>
      <c r="AW455" s="6"/>
      <c r="AX455" s="7">
        <f>SUM(AQ455:AW455)</f>
        <v>0</v>
      </c>
      <c r="AY455" s="11">
        <f t="shared" si="276"/>
        <v>0</v>
      </c>
      <c r="AZ455" s="25"/>
      <c r="BA455" s="10" t="str">
        <f t="shared" si="277"/>
        <v>MarçoSEMANA 5Caju</v>
      </c>
      <c r="BB455" s="7">
        <f>SUMIF(NF!$A:$A,$BA455,NF!$I:$I)</f>
        <v>0</v>
      </c>
      <c r="BC455" s="6"/>
      <c r="BD455" s="6"/>
      <c r="BE455" s="6"/>
      <c r="BF455" s="6"/>
      <c r="BG455" s="6"/>
      <c r="BH455" s="6"/>
      <c r="BI455" s="74"/>
      <c r="BJ455" s="74"/>
      <c r="BK455" s="7">
        <f>SUM(BC455:BJ455)</f>
        <v>0</v>
      </c>
      <c r="BL455" s="8">
        <f t="shared" si="279"/>
        <v>0</v>
      </c>
      <c r="BM455" s="51" t="str">
        <f>IFERROR(VLOOKUP(A455,NF!$M:$O,3,0),"")</f>
        <v>Hortifruti</v>
      </c>
      <c r="BN455" s="7">
        <f t="shared" si="280"/>
        <v>0</v>
      </c>
      <c r="BO455" s="8">
        <f t="array" ref="BO455">IFERROR(LARGE(IF(NF!$G$2:$G$3137='Mês atual'!A455,NF!$J$2:$J$3137),1),0)*BN455</f>
        <v>0</v>
      </c>
      <c r="BP455" s="50"/>
      <c r="BR455" s="146">
        <f t="array" ref="BR455">IFERROR(LARGE(IF(NF!$G$2:$G$3137='Mês atual'!A455,NF!$J$2:$J$3137),1),0)</f>
        <v>0</v>
      </c>
      <c r="BS455" s="142" t="str">
        <f>VLOOKUP(A455,NF!M:O,3,0)</f>
        <v>Hortifruti</v>
      </c>
      <c r="BV455" s="74">
        <f t="shared" si="281"/>
        <v>0</v>
      </c>
      <c r="BW455" s="74">
        <f t="shared" si="282"/>
        <v>0</v>
      </c>
      <c r="BX455" s="74">
        <f t="shared" si="283"/>
        <v>0</v>
      </c>
      <c r="BY455" s="74">
        <f t="shared" si="284"/>
        <v>0</v>
      </c>
      <c r="BZ455" s="74">
        <f t="shared" si="285"/>
        <v>0</v>
      </c>
    </row>
    <row r="456" spans="1:78" x14ac:dyDescent="0.25">
      <c r="A456" s="108" t="s">
        <v>211</v>
      </c>
      <c r="B456" s="12"/>
      <c r="C456" s="9">
        <v>0</v>
      </c>
      <c r="D456" s="25"/>
      <c r="E456" s="10" t="str">
        <f t="shared" si="265"/>
        <v>MarçoSEMANA 1Capim Limão</v>
      </c>
      <c r="F456" s="7">
        <f>SUMIF(NF!$A:$A,$E456,NF!$I:$I)</f>
        <v>0.1</v>
      </c>
      <c r="G456" s="74"/>
      <c r="H456" s="74"/>
      <c r="I456" s="74"/>
      <c r="J456" s="6"/>
      <c r="K456" s="6"/>
      <c r="L456" s="6">
        <v>0.1</v>
      </c>
      <c r="M456" s="6"/>
      <c r="N456" s="7">
        <f t="shared" ref="N456:N468" si="301">SUM(G456:M456)</f>
        <v>0.1</v>
      </c>
      <c r="O456" s="11">
        <f t="shared" si="267"/>
        <v>0</v>
      </c>
      <c r="P456" s="25"/>
      <c r="Q456" s="10" t="str">
        <f t="shared" si="268"/>
        <v>MarçoSEMANA 2Capim Limão</v>
      </c>
      <c r="R456" s="7">
        <f>SUMIF(NF!$A:$A,$Q456,NF!$I:$I)</f>
        <v>0.1</v>
      </c>
      <c r="S456" s="6"/>
      <c r="T456" s="6"/>
      <c r="U456" s="6"/>
      <c r="V456" s="6"/>
      <c r="W456" s="6"/>
      <c r="X456" s="6"/>
      <c r="Y456" s="6">
        <v>0.1</v>
      </c>
      <c r="Z456" s="7">
        <f t="shared" ref="Z456:Z468" si="302">SUM(S456:Y456)</f>
        <v>0.1</v>
      </c>
      <c r="AA456" s="11">
        <f t="shared" si="270"/>
        <v>0</v>
      </c>
      <c r="AB456" s="25"/>
      <c r="AC456" s="10" t="str">
        <f t="shared" si="271"/>
        <v>MarçoSEMANA 3Capim Limão</v>
      </c>
      <c r="AD456" s="7">
        <f>SUMIF(NF!$A:$A,$AC456,NF!$I:$I)</f>
        <v>0.1</v>
      </c>
      <c r="AE456" s="6"/>
      <c r="AF456" s="6"/>
      <c r="AG456" s="6"/>
      <c r="AH456" s="6"/>
      <c r="AI456" s="6"/>
      <c r="AJ456" s="6">
        <v>0.1</v>
      </c>
      <c r="AK456" s="6"/>
      <c r="AL456" s="7">
        <f t="shared" ref="AL456:AL468" si="303">SUM(AE456:AK456)</f>
        <v>0.1</v>
      </c>
      <c r="AM456" s="11">
        <f t="shared" si="273"/>
        <v>0</v>
      </c>
      <c r="AN456" s="25"/>
      <c r="AO456" s="10" t="str">
        <f t="shared" si="274"/>
        <v>MarçoSEMANA 4Capim Limão</v>
      </c>
      <c r="AP456" s="7">
        <f>SUMIF(NF!$A:$A,$AO456,NF!$I:$I)</f>
        <v>0</v>
      </c>
      <c r="AQ456" s="6"/>
      <c r="AR456" s="6"/>
      <c r="AS456" s="6"/>
      <c r="AT456" s="6"/>
      <c r="AU456" s="6"/>
      <c r="AV456" s="6"/>
      <c r="AW456" s="6"/>
      <c r="AX456" s="7">
        <f t="shared" ref="AX456:AX468" si="304">SUM(AQ456:AW456)</f>
        <v>0</v>
      </c>
      <c r="AY456" s="11">
        <f t="shared" si="276"/>
        <v>0</v>
      </c>
      <c r="AZ456" s="25"/>
      <c r="BA456" s="10" t="str">
        <f t="shared" si="277"/>
        <v>MarçoSEMANA 5Capim Limão</v>
      </c>
      <c r="BB456" s="7">
        <f>SUMIF(NF!$A:$A,$BA456,NF!$I:$I)</f>
        <v>0.2</v>
      </c>
      <c r="BC456" s="6">
        <v>0.1</v>
      </c>
      <c r="BD456" s="6"/>
      <c r="BE456" s="6"/>
      <c r="BF456" s="6"/>
      <c r="BG456" s="6"/>
      <c r="BH456" s="6"/>
      <c r="BI456" s="74"/>
      <c r="BJ456" s="74"/>
      <c r="BK456" s="7">
        <f t="shared" ref="BK456:BK468" si="305">SUM(BC456:BJ456)</f>
        <v>0.1</v>
      </c>
      <c r="BL456" s="8">
        <f t="shared" si="279"/>
        <v>0.1</v>
      </c>
      <c r="BM456" s="51" t="str">
        <f>IFERROR(VLOOKUP(A456,NF!$M:$O,3,0),"")</f>
        <v>Hortifruti</v>
      </c>
      <c r="BN456" s="7">
        <f t="shared" si="280"/>
        <v>0.4</v>
      </c>
      <c r="BO456" s="8">
        <f t="array" ref="BO456">IFERROR(LARGE(IF(NF!$G$2:$G$3137='Mês atual'!A456,NF!$J$2:$J$3137),1),0)*BN456</f>
        <v>6</v>
      </c>
      <c r="BP456" s="50"/>
      <c r="BR456" s="146">
        <f t="array" ref="BR456">IFERROR(LARGE(IF(NF!$G$2:$G$3137='Mês atual'!A456,NF!$J$2:$J$3137),1),0)</f>
        <v>15</v>
      </c>
      <c r="BS456" s="142" t="str">
        <f>VLOOKUP(A456,NF!M:O,3,0)</f>
        <v>Hortifruti</v>
      </c>
      <c r="BV456" s="74">
        <f t="shared" si="281"/>
        <v>0.1</v>
      </c>
      <c r="BW456" s="74">
        <f t="shared" si="282"/>
        <v>0.1</v>
      </c>
      <c r="BX456" s="74">
        <f t="shared" si="283"/>
        <v>0.1</v>
      </c>
      <c r="BY456" s="74">
        <f t="shared" si="284"/>
        <v>0</v>
      </c>
      <c r="BZ456" s="74">
        <f t="shared" si="285"/>
        <v>0.1</v>
      </c>
    </row>
    <row r="457" spans="1:78" x14ac:dyDescent="0.2">
      <c r="A457" s="108" t="s">
        <v>212</v>
      </c>
      <c r="B457" s="12"/>
      <c r="C457" s="9">
        <v>0</v>
      </c>
      <c r="D457" s="25"/>
      <c r="E457" s="10" t="str">
        <f t="shared" si="265"/>
        <v>MarçoSEMANA 1Caqui</v>
      </c>
      <c r="F457" s="7">
        <f>SUMIF(NF!$A:$A,$E457,NF!$I:$I)</f>
        <v>0</v>
      </c>
      <c r="G457" s="74"/>
      <c r="H457" s="74"/>
      <c r="I457" s="74"/>
      <c r="J457" s="6"/>
      <c r="K457" s="6"/>
      <c r="L457" s="6"/>
      <c r="M457" s="6"/>
      <c r="N457" s="7">
        <f t="shared" si="301"/>
        <v>0</v>
      </c>
      <c r="O457" s="11">
        <f t="shared" si="267"/>
        <v>0</v>
      </c>
      <c r="P457" s="25"/>
      <c r="Q457" s="10" t="str">
        <f t="shared" si="268"/>
        <v>MarçoSEMANA 2Caqui</v>
      </c>
      <c r="R457" s="7">
        <f>SUMIF(NF!$A:$A,$Q457,NF!$I:$I)</f>
        <v>0</v>
      </c>
      <c r="S457" s="6"/>
      <c r="T457" s="6"/>
      <c r="U457" s="6"/>
      <c r="V457" s="6"/>
      <c r="W457" s="6"/>
      <c r="X457" s="6"/>
      <c r="Y457" s="6"/>
      <c r="Z457" s="7">
        <f t="shared" si="302"/>
        <v>0</v>
      </c>
      <c r="AA457" s="11">
        <f t="shared" si="270"/>
        <v>0</v>
      </c>
      <c r="AB457" s="25"/>
      <c r="AC457" s="10" t="str">
        <f t="shared" si="271"/>
        <v>MarçoSEMANA 3Caqui</v>
      </c>
      <c r="AD457" s="7">
        <f>SUMIF(NF!$A:$A,$AC457,NF!$I:$I)</f>
        <v>0</v>
      </c>
      <c r="AE457" s="6"/>
      <c r="AF457" s="6"/>
      <c r="AG457" s="6"/>
      <c r="AH457" s="6"/>
      <c r="AI457" s="6"/>
      <c r="AJ457" s="6"/>
      <c r="AK457" s="6"/>
      <c r="AL457" s="7">
        <f t="shared" si="303"/>
        <v>0</v>
      </c>
      <c r="AM457" s="11">
        <f t="shared" si="273"/>
        <v>0</v>
      </c>
      <c r="AN457" s="25"/>
      <c r="AO457" s="10" t="str">
        <f t="shared" si="274"/>
        <v>MarçoSEMANA 4Caqui</v>
      </c>
      <c r="AP457" s="7">
        <f>SUMIF(NF!$A:$A,$AO457,NF!$I:$I)</f>
        <v>0</v>
      </c>
      <c r="AQ457" s="6"/>
      <c r="AR457" s="6"/>
      <c r="AS457" s="6"/>
      <c r="AT457" s="6"/>
      <c r="AU457" s="6"/>
      <c r="AV457" s="6"/>
      <c r="AW457" s="6"/>
      <c r="AX457" s="7">
        <f t="shared" si="304"/>
        <v>0</v>
      </c>
      <c r="AY457" s="11">
        <f t="shared" si="276"/>
        <v>0</v>
      </c>
      <c r="AZ457" s="25"/>
      <c r="BA457" s="10" t="str">
        <f t="shared" si="277"/>
        <v>MarçoSEMANA 5Caqui</v>
      </c>
      <c r="BB457" s="7">
        <f>SUMIF(NF!$A:$A,$BA457,NF!$I:$I)</f>
        <v>0</v>
      </c>
      <c r="BC457" s="6"/>
      <c r="BD457" s="6"/>
      <c r="BE457" s="6"/>
      <c r="BF457" s="6"/>
      <c r="BG457" s="6"/>
      <c r="BH457" s="6"/>
      <c r="BI457" s="74"/>
      <c r="BJ457" s="74"/>
      <c r="BK457" s="7">
        <f t="shared" si="305"/>
        <v>0</v>
      </c>
      <c r="BL457" s="8">
        <f t="shared" si="279"/>
        <v>0</v>
      </c>
      <c r="BM457" s="51" t="str">
        <f>IFERROR(VLOOKUP(A457,NF!$M:$O,3,0),"")</f>
        <v>Hortifruti</v>
      </c>
      <c r="BN457" s="7">
        <f t="shared" si="280"/>
        <v>0</v>
      </c>
      <c r="BO457" s="8">
        <f t="array" ref="BO457">IFERROR(LARGE(IF(NF!$G$2:$G$3137='Mês atual'!A457,NF!$J$2:$J$3137),1),0)*BN457</f>
        <v>0</v>
      </c>
      <c r="BP457" s="50"/>
      <c r="BR457" s="146">
        <f t="array" ref="BR457">IFERROR(LARGE(IF(NF!$G$2:$G$3137='Mês atual'!A457,NF!$J$2:$J$3137),1),0)</f>
        <v>0</v>
      </c>
      <c r="BS457" s="142" t="str">
        <f>VLOOKUP(A457,NF!M:O,3,0)</f>
        <v>Hortifruti</v>
      </c>
      <c r="BV457" s="74">
        <f t="shared" si="281"/>
        <v>0</v>
      </c>
      <c r="BW457" s="74">
        <f t="shared" si="282"/>
        <v>0</v>
      </c>
      <c r="BX457" s="74">
        <f t="shared" si="283"/>
        <v>0</v>
      </c>
      <c r="BY457" s="74">
        <f t="shared" si="284"/>
        <v>0</v>
      </c>
      <c r="BZ457" s="74">
        <f t="shared" si="285"/>
        <v>0</v>
      </c>
    </row>
    <row r="458" spans="1:78" x14ac:dyDescent="0.25">
      <c r="A458" s="108" t="s">
        <v>213</v>
      </c>
      <c r="B458" s="12"/>
      <c r="C458" s="9">
        <v>0</v>
      </c>
      <c r="D458" s="25"/>
      <c r="E458" s="10" t="str">
        <f t="shared" si="265"/>
        <v>MarçoSEMANA 1Cará</v>
      </c>
      <c r="F458" s="7">
        <f>SUMIF(NF!$A:$A,$E458,NF!$I:$I)</f>
        <v>0</v>
      </c>
      <c r="G458" s="74"/>
      <c r="H458" s="74"/>
      <c r="I458" s="74"/>
      <c r="J458" s="6"/>
      <c r="K458" s="6"/>
      <c r="L458" s="6"/>
      <c r="M458" s="6"/>
      <c r="N458" s="7">
        <f t="shared" si="301"/>
        <v>0</v>
      </c>
      <c r="O458" s="11">
        <f t="shared" si="267"/>
        <v>0</v>
      </c>
      <c r="P458" s="25"/>
      <c r="Q458" s="10" t="str">
        <f t="shared" si="268"/>
        <v>MarçoSEMANA 2Cará</v>
      </c>
      <c r="R458" s="7">
        <f>SUMIF(NF!$A:$A,$Q458,NF!$I:$I)</f>
        <v>0</v>
      </c>
      <c r="S458" s="6"/>
      <c r="T458" s="6"/>
      <c r="U458" s="6"/>
      <c r="V458" s="6"/>
      <c r="W458" s="6"/>
      <c r="X458" s="6"/>
      <c r="Y458" s="6"/>
      <c r="Z458" s="7">
        <f t="shared" si="302"/>
        <v>0</v>
      </c>
      <c r="AA458" s="11">
        <f t="shared" si="270"/>
        <v>0</v>
      </c>
      <c r="AB458" s="25"/>
      <c r="AC458" s="10" t="str">
        <f t="shared" si="271"/>
        <v>MarçoSEMANA 3Cará</v>
      </c>
      <c r="AD458" s="7">
        <f>SUMIF(NF!$A:$A,$AC458,NF!$I:$I)</f>
        <v>4</v>
      </c>
      <c r="AE458" s="6"/>
      <c r="AF458" s="6"/>
      <c r="AG458" s="6"/>
      <c r="AH458" s="6">
        <v>2</v>
      </c>
      <c r="AI458" s="6">
        <v>2</v>
      </c>
      <c r="AJ458" s="6"/>
      <c r="AK458" s="6"/>
      <c r="AL458" s="7">
        <f t="shared" si="303"/>
        <v>4</v>
      </c>
      <c r="AM458" s="11">
        <f t="shared" si="273"/>
        <v>0</v>
      </c>
      <c r="AN458" s="25"/>
      <c r="AO458" s="10" t="str">
        <f t="shared" si="274"/>
        <v>MarçoSEMANA 4Cará</v>
      </c>
      <c r="AP458" s="7">
        <f>SUMIF(NF!$A:$A,$AO458,NF!$I:$I)</f>
        <v>0</v>
      </c>
      <c r="AQ458" s="6"/>
      <c r="AR458" s="6"/>
      <c r="AS458" s="6"/>
      <c r="AT458" s="6"/>
      <c r="AU458" s="6"/>
      <c r="AV458" s="6"/>
      <c r="AW458" s="6"/>
      <c r="AX458" s="7">
        <f t="shared" si="304"/>
        <v>0</v>
      </c>
      <c r="AY458" s="11">
        <f t="shared" si="276"/>
        <v>0</v>
      </c>
      <c r="AZ458" s="25"/>
      <c r="BA458" s="10" t="str">
        <f t="shared" si="277"/>
        <v>MarçoSEMANA 5Cará</v>
      </c>
      <c r="BB458" s="7">
        <f>SUMIF(NF!$A:$A,$BA458,NF!$I:$I)</f>
        <v>0</v>
      </c>
      <c r="BC458" s="6"/>
      <c r="BD458" s="6"/>
      <c r="BE458" s="6"/>
      <c r="BF458" s="6"/>
      <c r="BG458" s="6"/>
      <c r="BH458" s="6"/>
      <c r="BI458" s="74"/>
      <c r="BJ458" s="74"/>
      <c r="BK458" s="7">
        <f t="shared" si="305"/>
        <v>0</v>
      </c>
      <c r="BL458" s="8">
        <f t="shared" si="279"/>
        <v>0</v>
      </c>
      <c r="BM458" s="51" t="str">
        <f>IFERROR(VLOOKUP(A458,NF!$M:$O,3,0),"")</f>
        <v>Hortifruti</v>
      </c>
      <c r="BN458" s="7">
        <f t="shared" si="280"/>
        <v>4</v>
      </c>
      <c r="BO458" s="8">
        <f t="array" ref="BO458">IFERROR(LARGE(IF(NF!$G$2:$G$3137='Mês atual'!A458,NF!$J$2:$J$3137),1),0)*BN458</f>
        <v>32</v>
      </c>
      <c r="BP458" s="50"/>
      <c r="BR458" s="146">
        <f t="array" ref="BR458">IFERROR(LARGE(IF(NF!$G$2:$G$3137='Mês atual'!A458,NF!$J$2:$J$3137),1),0)</f>
        <v>8</v>
      </c>
      <c r="BS458" s="142" t="str">
        <f>VLOOKUP(A458,NF!M:O,3,0)</f>
        <v>Hortifruti</v>
      </c>
      <c r="BV458" s="74">
        <f t="shared" si="281"/>
        <v>0</v>
      </c>
      <c r="BW458" s="74">
        <f t="shared" si="282"/>
        <v>0</v>
      </c>
      <c r="BX458" s="74">
        <f t="shared" si="283"/>
        <v>4</v>
      </c>
      <c r="BY458" s="74">
        <f t="shared" si="284"/>
        <v>0</v>
      </c>
      <c r="BZ458" s="74">
        <f t="shared" si="285"/>
        <v>0</v>
      </c>
    </row>
    <row r="459" spans="1:78" x14ac:dyDescent="0.2">
      <c r="A459" s="108" t="s">
        <v>241</v>
      </c>
      <c r="B459" s="12"/>
      <c r="C459" s="9">
        <v>0</v>
      </c>
      <c r="D459" s="25"/>
      <c r="E459" s="10" t="str">
        <f t="shared" si="265"/>
        <v>MarçoSEMANA 1Cebola</v>
      </c>
      <c r="F459" s="7">
        <f>SUMIF(NF!$A:$A,$E459,NF!$I:$I)</f>
        <v>60.419999999999995</v>
      </c>
      <c r="G459" s="74"/>
      <c r="H459" s="74"/>
      <c r="I459" s="74"/>
      <c r="J459" s="6"/>
      <c r="K459" s="6">
        <v>20.74</v>
      </c>
      <c r="L459" s="6"/>
      <c r="M459" s="6">
        <v>19.86</v>
      </c>
      <c r="N459" s="7">
        <f t="shared" si="301"/>
        <v>40.599999999999994</v>
      </c>
      <c r="O459" s="11">
        <f t="shared" si="267"/>
        <v>19.82</v>
      </c>
      <c r="P459" s="25"/>
      <c r="Q459" s="10" t="str">
        <f t="shared" si="268"/>
        <v>MarçoSEMANA 2Cebola</v>
      </c>
      <c r="R459" s="7">
        <f>SUMIF(NF!$A:$A,$Q459,NF!$I:$I)</f>
        <v>60.199999999999996</v>
      </c>
      <c r="S459" s="6">
        <v>19.82</v>
      </c>
      <c r="T459" s="6"/>
      <c r="U459" s="6"/>
      <c r="V459" s="6">
        <v>20.04</v>
      </c>
      <c r="W459" s="6"/>
      <c r="X459" s="6">
        <v>20.2</v>
      </c>
      <c r="Y459" s="6">
        <v>19.96</v>
      </c>
      <c r="Z459" s="7">
        <f t="shared" si="302"/>
        <v>80.02000000000001</v>
      </c>
      <c r="AA459" s="11">
        <f t="shared" si="270"/>
        <v>0</v>
      </c>
      <c r="AB459" s="25"/>
      <c r="AC459" s="10" t="str">
        <f t="shared" si="271"/>
        <v>MarçoSEMANA 3Cebola</v>
      </c>
      <c r="AD459" s="7">
        <f>SUMIF(NF!$A:$A,$AC459,NF!$I:$I)</f>
        <v>57.36</v>
      </c>
      <c r="AE459" s="6"/>
      <c r="AF459" s="6"/>
      <c r="AG459" s="6">
        <v>19.399999999999999</v>
      </c>
      <c r="AH459" s="6">
        <v>19.84</v>
      </c>
      <c r="AI459" s="6"/>
      <c r="AJ459" s="6"/>
      <c r="AK459" s="6">
        <v>18.12</v>
      </c>
      <c r="AL459" s="7">
        <f t="shared" si="303"/>
        <v>57.36</v>
      </c>
      <c r="AM459" s="11">
        <f t="shared" si="273"/>
        <v>0</v>
      </c>
      <c r="AN459" s="25"/>
      <c r="AO459" s="10" t="str">
        <f t="shared" si="274"/>
        <v>MarçoSEMANA 4Cebola</v>
      </c>
      <c r="AP459" s="7">
        <f>SUMIF(NF!$A:$A,$AO459,NF!$I:$I)</f>
        <v>79.599999999999994</v>
      </c>
      <c r="AQ459" s="6"/>
      <c r="AR459" s="6">
        <v>19.84</v>
      </c>
      <c r="AS459" s="6"/>
      <c r="AT459" s="6"/>
      <c r="AU459" s="6">
        <v>20.079999999999998</v>
      </c>
      <c r="AV459" s="6"/>
      <c r="AW459" s="6"/>
      <c r="AX459" s="7">
        <f t="shared" si="304"/>
        <v>39.92</v>
      </c>
      <c r="AY459" s="11">
        <f t="shared" si="276"/>
        <v>39.679999999999993</v>
      </c>
      <c r="AZ459" s="25"/>
      <c r="BA459" s="10" t="str">
        <f t="shared" si="277"/>
        <v>MarçoSEMANA 5Cebola</v>
      </c>
      <c r="BB459" s="7">
        <f>SUMIF(NF!$A:$A,$BA459,NF!$I:$I)</f>
        <v>58.839999999999996</v>
      </c>
      <c r="BC459" s="6">
        <v>19.82</v>
      </c>
      <c r="BD459" s="6"/>
      <c r="BE459" s="6">
        <v>19.86</v>
      </c>
      <c r="BF459" s="6"/>
      <c r="BG459" s="6">
        <v>19.82</v>
      </c>
      <c r="BH459" s="6"/>
      <c r="BI459" s="74"/>
      <c r="BJ459" s="74"/>
      <c r="BK459" s="7">
        <f t="shared" si="305"/>
        <v>59.5</v>
      </c>
      <c r="BL459" s="8">
        <f t="shared" si="279"/>
        <v>39.019999999999982</v>
      </c>
      <c r="BM459" s="51" t="str">
        <f>IFERROR(VLOOKUP(A459,NF!$M:$O,3,0),"")</f>
        <v>Hortifruti</v>
      </c>
      <c r="BN459" s="7">
        <f t="shared" si="280"/>
        <v>277.40000000000003</v>
      </c>
      <c r="BO459" s="8">
        <f t="array" ref="BO459">IFERROR(LARGE(IF(NF!$G$2:$G$3137='Mês atual'!A459,NF!$J$2:$J$3137),1),0)*BN459</f>
        <v>742.48896247240623</v>
      </c>
      <c r="BP459" s="50"/>
      <c r="BR459" s="146">
        <f t="array" ref="BR459">IFERROR(LARGE(IF(NF!$G$2:$G$3137='Mês atual'!A459,NF!$J$2:$J$3137),1),0)</f>
        <v>2.6766004415011038</v>
      </c>
      <c r="BS459" s="142" t="str">
        <f>VLOOKUP(A459,NF!M:O,3,0)</f>
        <v>Hortifruti</v>
      </c>
      <c r="BV459" s="74">
        <f t="shared" si="281"/>
        <v>40.599999999999994</v>
      </c>
      <c r="BW459" s="74">
        <f t="shared" si="282"/>
        <v>80.02000000000001</v>
      </c>
      <c r="BX459" s="74">
        <f t="shared" si="283"/>
        <v>57.36</v>
      </c>
      <c r="BY459" s="74">
        <f t="shared" si="284"/>
        <v>39.92</v>
      </c>
      <c r="BZ459" s="74">
        <f t="shared" si="285"/>
        <v>59.5</v>
      </c>
    </row>
    <row r="460" spans="1:78" x14ac:dyDescent="0.2">
      <c r="A460" s="108" t="s">
        <v>242</v>
      </c>
      <c r="B460" s="12"/>
      <c r="C460" s="9">
        <v>0</v>
      </c>
      <c r="D460" s="25"/>
      <c r="E460" s="10" t="str">
        <f t="shared" si="265"/>
        <v>MarçoSEMANA 1Cebola Calabresa</v>
      </c>
      <c r="F460" s="7">
        <f>SUMIF(NF!$A:$A,$E460,NF!$I:$I)</f>
        <v>0</v>
      </c>
      <c r="G460" s="74"/>
      <c r="H460" s="74"/>
      <c r="I460" s="74"/>
      <c r="J460" s="6"/>
      <c r="K460" s="6"/>
      <c r="L460" s="6"/>
      <c r="M460" s="6"/>
      <c r="N460" s="7">
        <f t="shared" si="301"/>
        <v>0</v>
      </c>
      <c r="O460" s="11">
        <f t="shared" si="267"/>
        <v>0</v>
      </c>
      <c r="P460" s="25"/>
      <c r="Q460" s="10" t="str">
        <f t="shared" si="268"/>
        <v>MarçoSEMANA 2Cebola Calabresa</v>
      </c>
      <c r="R460" s="7">
        <f>SUMIF(NF!$A:$A,$Q460,NF!$I:$I)</f>
        <v>2</v>
      </c>
      <c r="S460" s="6"/>
      <c r="T460" s="6"/>
      <c r="U460" s="6">
        <v>2</v>
      </c>
      <c r="V460" s="6"/>
      <c r="W460" s="6"/>
      <c r="X460" s="6"/>
      <c r="Y460" s="6"/>
      <c r="Z460" s="7">
        <f t="shared" si="302"/>
        <v>2</v>
      </c>
      <c r="AA460" s="11">
        <f t="shared" si="270"/>
        <v>0</v>
      </c>
      <c r="AB460" s="25"/>
      <c r="AC460" s="10" t="str">
        <f t="shared" si="271"/>
        <v>MarçoSEMANA 3Cebola Calabresa</v>
      </c>
      <c r="AD460" s="7">
        <f>SUMIF(NF!$A:$A,$AC460,NF!$I:$I)</f>
        <v>0</v>
      </c>
      <c r="AE460" s="6"/>
      <c r="AF460" s="6"/>
      <c r="AG460" s="6"/>
      <c r="AH460" s="6"/>
      <c r="AI460" s="6"/>
      <c r="AJ460" s="6"/>
      <c r="AK460" s="6"/>
      <c r="AL460" s="7">
        <f t="shared" si="303"/>
        <v>0</v>
      </c>
      <c r="AM460" s="11">
        <f t="shared" si="273"/>
        <v>0</v>
      </c>
      <c r="AN460" s="25"/>
      <c r="AO460" s="10" t="str">
        <f t="shared" si="274"/>
        <v>MarçoSEMANA 4Cebola Calabresa</v>
      </c>
      <c r="AP460" s="7">
        <f>SUMIF(NF!$A:$A,$AO460,NF!$I:$I)</f>
        <v>0</v>
      </c>
      <c r="AQ460" s="6"/>
      <c r="AR460" s="6"/>
      <c r="AS460" s="6"/>
      <c r="AT460" s="6"/>
      <c r="AU460" s="6"/>
      <c r="AV460" s="6"/>
      <c r="AW460" s="6"/>
      <c r="AX460" s="7">
        <f t="shared" si="304"/>
        <v>0</v>
      </c>
      <c r="AY460" s="11">
        <f t="shared" si="276"/>
        <v>0</v>
      </c>
      <c r="AZ460" s="25"/>
      <c r="BA460" s="10" t="str">
        <f t="shared" si="277"/>
        <v>MarçoSEMANA 5Cebola Calabresa</v>
      </c>
      <c r="BB460" s="7">
        <f>SUMIF(NF!$A:$A,$BA460,NF!$I:$I)</f>
        <v>3</v>
      </c>
      <c r="BC460" s="6"/>
      <c r="BD460" s="6"/>
      <c r="BE460" s="6"/>
      <c r="BF460" s="6">
        <v>3</v>
      </c>
      <c r="BG460" s="6"/>
      <c r="BH460" s="6"/>
      <c r="BI460" s="74"/>
      <c r="BJ460" s="74"/>
      <c r="BK460" s="7">
        <f t="shared" si="305"/>
        <v>3</v>
      </c>
      <c r="BL460" s="8">
        <f t="shared" si="279"/>
        <v>0</v>
      </c>
      <c r="BM460" s="51" t="str">
        <f>IFERROR(VLOOKUP(A460,NF!$M:$O,3,0),"")</f>
        <v>Hortifruti</v>
      </c>
      <c r="BN460" s="7">
        <f t="shared" si="280"/>
        <v>5</v>
      </c>
      <c r="BO460" s="8">
        <f t="array" ref="BO460">IFERROR(LARGE(IF(NF!$G$2:$G$3137='Mês atual'!A460,NF!$J$2:$J$3137),1),0)*BN460</f>
        <v>20</v>
      </c>
      <c r="BP460" s="50"/>
      <c r="BR460" s="146">
        <f t="array" ref="BR460">IFERROR(LARGE(IF(NF!$G$2:$G$3137='Mês atual'!A460,NF!$J$2:$J$3137),1),0)</f>
        <v>4</v>
      </c>
      <c r="BS460" s="142" t="str">
        <f>VLOOKUP(A460,NF!M:O,3,0)</f>
        <v>Hortifruti</v>
      </c>
      <c r="BV460" s="74">
        <f t="shared" si="281"/>
        <v>0</v>
      </c>
      <c r="BW460" s="74">
        <f t="shared" si="282"/>
        <v>2</v>
      </c>
      <c r="BX460" s="74">
        <f t="shared" si="283"/>
        <v>0</v>
      </c>
      <c r="BY460" s="74">
        <f t="shared" si="284"/>
        <v>0</v>
      </c>
      <c r="BZ460" s="74">
        <f t="shared" si="285"/>
        <v>3</v>
      </c>
    </row>
    <row r="461" spans="1:78" x14ac:dyDescent="0.25">
      <c r="A461" s="108" t="s">
        <v>243</v>
      </c>
      <c r="B461" s="12"/>
      <c r="C461" s="9">
        <v>0</v>
      </c>
      <c r="D461" s="25"/>
      <c r="E461" s="10" t="str">
        <f t="shared" si="265"/>
        <v>MarçoSEMANA 1Cebola Orgânica</v>
      </c>
      <c r="F461" s="7">
        <f>SUMIF(NF!$A:$A,$E461,NF!$I:$I)</f>
        <v>0</v>
      </c>
      <c r="G461" s="74"/>
      <c r="H461" s="74"/>
      <c r="I461" s="74"/>
      <c r="J461" s="6"/>
      <c r="K461" s="6"/>
      <c r="L461" s="6"/>
      <c r="M461" s="6"/>
      <c r="N461" s="7">
        <f t="shared" si="301"/>
        <v>0</v>
      </c>
      <c r="O461" s="11">
        <f t="shared" si="267"/>
        <v>0</v>
      </c>
      <c r="P461" s="25"/>
      <c r="Q461" s="10" t="str">
        <f t="shared" si="268"/>
        <v>MarçoSEMANA 2Cebola Orgânica</v>
      </c>
      <c r="R461" s="7">
        <f>SUMIF(NF!$A:$A,$Q461,NF!$I:$I)</f>
        <v>0</v>
      </c>
      <c r="S461" s="6"/>
      <c r="T461" s="6"/>
      <c r="U461" s="6"/>
      <c r="V461" s="6"/>
      <c r="W461" s="6"/>
      <c r="X461" s="6"/>
      <c r="Y461" s="6"/>
      <c r="Z461" s="7">
        <f t="shared" si="302"/>
        <v>0</v>
      </c>
      <c r="AA461" s="11">
        <f t="shared" si="270"/>
        <v>0</v>
      </c>
      <c r="AB461" s="25"/>
      <c r="AC461" s="10" t="str">
        <f t="shared" si="271"/>
        <v>MarçoSEMANA 3Cebola Orgânica</v>
      </c>
      <c r="AD461" s="7">
        <f>SUMIF(NF!$A:$A,$AC461,NF!$I:$I)</f>
        <v>0</v>
      </c>
      <c r="AE461" s="6"/>
      <c r="AF461" s="6"/>
      <c r="AG461" s="6"/>
      <c r="AH461" s="6"/>
      <c r="AI461" s="6"/>
      <c r="AJ461" s="6"/>
      <c r="AK461" s="6"/>
      <c r="AL461" s="7">
        <f t="shared" si="303"/>
        <v>0</v>
      </c>
      <c r="AM461" s="11">
        <f t="shared" si="273"/>
        <v>0</v>
      </c>
      <c r="AN461" s="25"/>
      <c r="AO461" s="10" t="str">
        <f t="shared" si="274"/>
        <v>MarçoSEMANA 4Cebola Orgânica</v>
      </c>
      <c r="AP461" s="7">
        <f>SUMIF(NF!$A:$A,$AO461,NF!$I:$I)</f>
        <v>0</v>
      </c>
      <c r="AQ461" s="6"/>
      <c r="AR461" s="6"/>
      <c r="AS461" s="6"/>
      <c r="AT461" s="6"/>
      <c r="AU461" s="6"/>
      <c r="AV461" s="6"/>
      <c r="AW461" s="6"/>
      <c r="AX461" s="7">
        <f t="shared" si="304"/>
        <v>0</v>
      </c>
      <c r="AY461" s="11">
        <f t="shared" si="276"/>
        <v>0</v>
      </c>
      <c r="AZ461" s="25"/>
      <c r="BA461" s="10" t="str">
        <f t="shared" si="277"/>
        <v>MarçoSEMANA 5Cebola Orgânica</v>
      </c>
      <c r="BB461" s="7">
        <f>SUMIF(NF!$A:$A,$BA461,NF!$I:$I)</f>
        <v>0</v>
      </c>
      <c r="BC461" s="6"/>
      <c r="BD461" s="6"/>
      <c r="BE461" s="6"/>
      <c r="BF461" s="6"/>
      <c r="BG461" s="6"/>
      <c r="BH461" s="6"/>
      <c r="BI461" s="74"/>
      <c r="BJ461" s="74"/>
      <c r="BK461" s="7">
        <f t="shared" si="305"/>
        <v>0</v>
      </c>
      <c r="BL461" s="8">
        <f t="shared" si="279"/>
        <v>0</v>
      </c>
      <c r="BM461" s="51" t="str">
        <f>IFERROR(VLOOKUP(A461,NF!$M:$O,3,0),"")</f>
        <v>Hortifruti</v>
      </c>
      <c r="BN461" s="7">
        <f t="shared" si="280"/>
        <v>0</v>
      </c>
      <c r="BO461" s="8">
        <f t="array" ref="BO461">IFERROR(LARGE(IF(NF!$G$2:$G$3137='Mês atual'!A461,NF!$J$2:$J$3137),1),0)*BN461</f>
        <v>0</v>
      </c>
      <c r="BP461" s="50"/>
      <c r="BR461" s="146">
        <f t="array" ref="BR461">IFERROR(LARGE(IF(NF!$G$2:$G$3137='Mês atual'!A461,NF!$J$2:$J$3137),1),0)</f>
        <v>0</v>
      </c>
      <c r="BS461" s="142" t="str">
        <f>VLOOKUP(A461,NF!M:O,3,0)</f>
        <v>Hortifruti</v>
      </c>
      <c r="BV461" s="74">
        <f t="shared" si="281"/>
        <v>0</v>
      </c>
      <c r="BW461" s="74">
        <f t="shared" si="282"/>
        <v>0</v>
      </c>
      <c r="BX461" s="74">
        <f t="shared" si="283"/>
        <v>0</v>
      </c>
      <c r="BY461" s="74">
        <f t="shared" si="284"/>
        <v>0</v>
      </c>
      <c r="BZ461" s="74">
        <f t="shared" si="285"/>
        <v>0</v>
      </c>
    </row>
    <row r="462" spans="1:78" x14ac:dyDescent="0.2">
      <c r="A462" s="108" t="s">
        <v>244</v>
      </c>
      <c r="B462" s="12"/>
      <c r="C462" s="9">
        <v>0</v>
      </c>
      <c r="D462" s="25"/>
      <c r="E462" s="10" t="str">
        <f t="shared" si="265"/>
        <v>MarçoSEMANA 1Cebola Roxa</v>
      </c>
      <c r="F462" s="7">
        <f>SUMIF(NF!$A:$A,$E462,NF!$I:$I)</f>
        <v>4</v>
      </c>
      <c r="G462" s="74"/>
      <c r="H462" s="74"/>
      <c r="I462" s="74"/>
      <c r="J462" s="6"/>
      <c r="K462" s="6"/>
      <c r="L462" s="6"/>
      <c r="M462" s="6">
        <v>2</v>
      </c>
      <c r="N462" s="7">
        <f t="shared" si="301"/>
        <v>2</v>
      </c>
      <c r="O462" s="11">
        <f t="shared" si="267"/>
        <v>2</v>
      </c>
      <c r="P462" s="25"/>
      <c r="Q462" s="10" t="str">
        <f t="shared" si="268"/>
        <v>MarçoSEMANA 2Cebola Roxa</v>
      </c>
      <c r="R462" s="7">
        <f>SUMIF(NF!$A:$A,$Q462,NF!$I:$I)</f>
        <v>2</v>
      </c>
      <c r="S462" s="6">
        <v>2</v>
      </c>
      <c r="T462" s="6"/>
      <c r="U462" s="6"/>
      <c r="V462" s="6"/>
      <c r="W462" s="6"/>
      <c r="X462" s="6"/>
      <c r="Y462" s="6"/>
      <c r="Z462" s="7">
        <f t="shared" si="302"/>
        <v>2</v>
      </c>
      <c r="AA462" s="11">
        <f t="shared" si="270"/>
        <v>2</v>
      </c>
      <c r="AB462" s="25"/>
      <c r="AC462" s="10" t="str">
        <f t="shared" si="271"/>
        <v>MarçoSEMANA 3Cebola Roxa</v>
      </c>
      <c r="AD462" s="7">
        <f>SUMIF(NF!$A:$A,$AC462,NF!$I:$I)</f>
        <v>4</v>
      </c>
      <c r="AE462" s="6">
        <v>2</v>
      </c>
      <c r="AF462" s="6"/>
      <c r="AG462" s="6"/>
      <c r="AH462" s="6">
        <v>4</v>
      </c>
      <c r="AI462" s="6"/>
      <c r="AJ462" s="6"/>
      <c r="AK462" s="6"/>
      <c r="AL462" s="7">
        <f t="shared" si="303"/>
        <v>6</v>
      </c>
      <c r="AM462" s="11">
        <f t="shared" si="273"/>
        <v>0</v>
      </c>
      <c r="AN462" s="25"/>
      <c r="AO462" s="10" t="str">
        <f t="shared" si="274"/>
        <v>MarçoSEMANA 4Cebola Roxa</v>
      </c>
      <c r="AP462" s="7">
        <f>SUMIF(NF!$A:$A,$AO462,NF!$I:$I)</f>
        <v>0</v>
      </c>
      <c r="AQ462" s="6"/>
      <c r="AR462" s="6"/>
      <c r="AS462" s="6"/>
      <c r="AT462" s="6"/>
      <c r="AU462" s="6"/>
      <c r="AV462" s="6"/>
      <c r="AW462" s="6"/>
      <c r="AX462" s="7">
        <f t="shared" si="304"/>
        <v>0</v>
      </c>
      <c r="AY462" s="11">
        <f t="shared" si="276"/>
        <v>0</v>
      </c>
      <c r="AZ462" s="25"/>
      <c r="BA462" s="10" t="str">
        <f t="shared" si="277"/>
        <v>MarçoSEMANA 5Cebola Roxa</v>
      </c>
      <c r="BB462" s="7">
        <f>SUMIF(NF!$A:$A,$BA462,NF!$I:$I)</f>
        <v>4</v>
      </c>
      <c r="BC462" s="6"/>
      <c r="BD462" s="6"/>
      <c r="BE462" s="6">
        <v>1</v>
      </c>
      <c r="BF462" s="6">
        <v>3</v>
      </c>
      <c r="BG462" s="6"/>
      <c r="BH462" s="6"/>
      <c r="BI462" s="74"/>
      <c r="BJ462" s="74"/>
      <c r="BK462" s="7">
        <f t="shared" si="305"/>
        <v>4</v>
      </c>
      <c r="BL462" s="8">
        <f t="shared" si="279"/>
        <v>0</v>
      </c>
      <c r="BM462" s="51" t="str">
        <f>IFERROR(VLOOKUP(A462,NF!$M:$O,3,0),"")</f>
        <v>Hortifruti</v>
      </c>
      <c r="BN462" s="7">
        <f t="shared" si="280"/>
        <v>14</v>
      </c>
      <c r="BO462" s="8">
        <f t="array" ref="BO462">IFERROR(LARGE(IF(NF!$G$2:$G$3137='Mês atual'!A462,NF!$J$2:$J$3137),1),0)*BN462</f>
        <v>56</v>
      </c>
      <c r="BP462" s="50"/>
      <c r="BR462" s="146">
        <f t="array" ref="BR462">IFERROR(LARGE(IF(NF!$G$2:$G$3137='Mês atual'!A462,NF!$J$2:$J$3137),1),0)</f>
        <v>4</v>
      </c>
      <c r="BS462" s="142" t="str">
        <f>VLOOKUP(A462,NF!M:O,3,0)</f>
        <v>Hortifruti</v>
      </c>
      <c r="BV462" s="74">
        <f t="shared" si="281"/>
        <v>2</v>
      </c>
      <c r="BW462" s="74">
        <f t="shared" si="282"/>
        <v>2</v>
      </c>
      <c r="BX462" s="74">
        <f t="shared" si="283"/>
        <v>6</v>
      </c>
      <c r="BY462" s="74">
        <f t="shared" si="284"/>
        <v>0</v>
      </c>
      <c r="BZ462" s="74">
        <f t="shared" si="285"/>
        <v>4</v>
      </c>
    </row>
    <row r="463" spans="1:78" x14ac:dyDescent="0.2">
      <c r="A463" s="108" t="s">
        <v>1074</v>
      </c>
      <c r="B463" s="12"/>
      <c r="C463" s="9">
        <v>0</v>
      </c>
      <c r="D463" s="25"/>
      <c r="E463" s="10" t="str">
        <f t="shared" si="265"/>
        <v>MarçoSEMANA 1Cebollete (fresco)</v>
      </c>
      <c r="F463" s="7">
        <f>SUMIF(NF!$A:$A,$E463,NF!$I:$I)</f>
        <v>0</v>
      </c>
      <c r="G463" s="74"/>
      <c r="H463" s="74"/>
      <c r="I463" s="74"/>
      <c r="J463" s="6"/>
      <c r="K463" s="6"/>
      <c r="L463" s="6"/>
      <c r="M463" s="6"/>
      <c r="N463" s="7">
        <f t="shared" ref="N463" si="306">SUM(G463:M463)</f>
        <v>0</v>
      </c>
      <c r="O463" s="11">
        <f t="shared" ref="O463" si="307">F463+C463-N463</f>
        <v>0</v>
      </c>
      <c r="P463" s="25"/>
      <c r="Q463" s="10" t="str">
        <f t="shared" si="268"/>
        <v>MarçoSEMANA 2Cebollete (fresco)</v>
      </c>
      <c r="R463" s="7">
        <f>SUMIF(NF!$A:$A,$Q463,NF!$I:$I)</f>
        <v>0</v>
      </c>
      <c r="S463" s="6"/>
      <c r="T463" s="6"/>
      <c r="U463" s="6"/>
      <c r="V463" s="6"/>
      <c r="W463" s="6"/>
      <c r="X463" s="6"/>
      <c r="Y463" s="6"/>
      <c r="Z463" s="7">
        <f t="shared" ref="Z463" si="308">SUM(S463:Y463)</f>
        <v>0</v>
      </c>
      <c r="AA463" s="11">
        <f t="shared" ref="AA463" si="309">R463+O463-Z463</f>
        <v>0</v>
      </c>
      <c r="AB463" s="25"/>
      <c r="AC463" s="10" t="str">
        <f t="shared" si="271"/>
        <v>MarçoSEMANA 3Cebollete (fresco)</v>
      </c>
      <c r="AD463" s="7">
        <f>SUMIF(NF!$A:$A,$AC463,NF!$I:$I)</f>
        <v>0</v>
      </c>
      <c r="AE463" s="6"/>
      <c r="AF463" s="6"/>
      <c r="AG463" s="6"/>
      <c r="AH463" s="6"/>
      <c r="AI463" s="6"/>
      <c r="AJ463" s="6"/>
      <c r="AK463" s="6"/>
      <c r="AL463" s="7">
        <f t="shared" ref="AL463" si="310">SUM(AE463:AK463)</f>
        <v>0</v>
      </c>
      <c r="AM463" s="11">
        <f t="shared" ref="AM463" si="311">AD463+AA463-AL463</f>
        <v>0</v>
      </c>
      <c r="AN463" s="25"/>
      <c r="AO463" s="10" t="str">
        <f t="shared" si="274"/>
        <v>MarçoSEMANA 4Cebollete (fresco)</v>
      </c>
      <c r="AP463" s="7">
        <f>SUMIF(NF!$A:$A,$AO463,NF!$I:$I)</f>
        <v>0</v>
      </c>
      <c r="AQ463" s="6"/>
      <c r="AR463" s="6"/>
      <c r="AS463" s="6"/>
      <c r="AT463" s="6"/>
      <c r="AU463" s="6"/>
      <c r="AV463" s="6"/>
      <c r="AW463" s="6"/>
      <c r="AX463" s="7">
        <f t="shared" ref="AX463" si="312">SUM(AQ463:AW463)</f>
        <v>0</v>
      </c>
      <c r="AY463" s="11">
        <f t="shared" ref="AY463" si="313">AP463+AM463-AX463</f>
        <v>0</v>
      </c>
      <c r="AZ463" s="25"/>
      <c r="BA463" s="10" t="str">
        <f t="shared" si="277"/>
        <v>MarçoSEMANA 5Cebollete (fresco)</v>
      </c>
      <c r="BB463" s="7">
        <f>SUMIF(NF!$A:$A,$BA463,NF!$I:$I)</f>
        <v>0</v>
      </c>
      <c r="BC463" s="6"/>
      <c r="BD463" s="6"/>
      <c r="BE463" s="6"/>
      <c r="BF463" s="6"/>
      <c r="BG463" s="6"/>
      <c r="BH463" s="6"/>
      <c r="BI463" s="74"/>
      <c r="BJ463" s="74"/>
      <c r="BK463" s="7">
        <f t="shared" ref="BK463" si="314">SUM(BC463:BJ463)</f>
        <v>0</v>
      </c>
      <c r="BL463" s="8">
        <f t="shared" ref="BL463" si="315">BB463+AY463-BK463</f>
        <v>0</v>
      </c>
      <c r="BM463" s="51" t="str">
        <f>IFERROR(VLOOKUP(A463,NF!$M:$O,3,0),"")</f>
        <v>Hortifruti</v>
      </c>
      <c r="BN463" s="7">
        <f t="shared" ref="BN463" si="316">SUM(N463,Z463,AL463,AX463,BK463)</f>
        <v>0</v>
      </c>
      <c r="BO463" s="8">
        <f t="array" ref="BO463">IFERROR(LARGE(IF(NF!$G$2:$G$3137='Mês atual'!A463,NF!$J$2:$J$3137),1),0)*BN463</f>
        <v>0</v>
      </c>
      <c r="BP463" s="50"/>
      <c r="BR463" s="146">
        <f t="array" ref="BR463">IFERROR(LARGE(IF(NF!$G$2:$G$3137='Mês atual'!A463,NF!$J$2:$J$3137),1),0)</f>
        <v>0</v>
      </c>
      <c r="BS463" s="142" t="str">
        <f>VLOOKUP(A463,NF!M:O,3,0)</f>
        <v>Hortifruti</v>
      </c>
      <c r="BV463" s="74">
        <f t="shared" ref="BV463" si="317">N463</f>
        <v>0</v>
      </c>
      <c r="BW463" s="74">
        <f t="shared" ref="BW463" si="318">Z463</f>
        <v>0</v>
      </c>
      <c r="BX463" s="74">
        <f t="shared" ref="BX463" si="319">AL463</f>
        <v>0</v>
      </c>
      <c r="BY463" s="74">
        <f t="shared" ref="BY463" si="320">AX463</f>
        <v>0</v>
      </c>
      <c r="BZ463" s="74">
        <f t="shared" ref="BZ463" si="321">BK463</f>
        <v>0</v>
      </c>
    </row>
    <row r="464" spans="1:78" x14ac:dyDescent="0.25">
      <c r="A464" s="108" t="s">
        <v>246</v>
      </c>
      <c r="B464" s="12"/>
      <c r="C464" s="9">
        <v>0</v>
      </c>
      <c r="D464" s="25"/>
      <c r="E464" s="10" t="str">
        <f t="shared" si="265"/>
        <v>MarçoSEMANA 1Cebolinha Orgânica</v>
      </c>
      <c r="F464" s="7">
        <f>SUMIF(NF!$A:$A,$E464,NF!$I:$I)</f>
        <v>0</v>
      </c>
      <c r="G464" s="74"/>
      <c r="H464" s="74"/>
      <c r="I464" s="74"/>
      <c r="J464" s="6"/>
      <c r="K464" s="6"/>
      <c r="L464" s="6"/>
      <c r="M464" s="6"/>
      <c r="N464" s="7">
        <f t="shared" si="301"/>
        <v>0</v>
      </c>
      <c r="O464" s="11">
        <f t="shared" si="267"/>
        <v>0</v>
      </c>
      <c r="P464" s="25"/>
      <c r="Q464" s="10" t="str">
        <f t="shared" si="268"/>
        <v>MarçoSEMANA 2Cebolinha Orgânica</v>
      </c>
      <c r="R464" s="7">
        <f>SUMIF(NF!$A:$A,$Q464,NF!$I:$I)</f>
        <v>0</v>
      </c>
      <c r="S464" s="6"/>
      <c r="T464" s="6"/>
      <c r="U464" s="6"/>
      <c r="V464" s="6"/>
      <c r="W464" s="6"/>
      <c r="X464" s="6"/>
      <c r="Y464" s="6"/>
      <c r="Z464" s="7">
        <f t="shared" si="302"/>
        <v>0</v>
      </c>
      <c r="AA464" s="11">
        <f t="shared" si="270"/>
        <v>0</v>
      </c>
      <c r="AB464" s="25"/>
      <c r="AC464" s="10" t="str">
        <f t="shared" si="271"/>
        <v>MarçoSEMANA 3Cebolinha Orgânica</v>
      </c>
      <c r="AD464" s="7">
        <f>SUMIF(NF!$A:$A,$AC464,NF!$I:$I)</f>
        <v>0</v>
      </c>
      <c r="AE464" s="6"/>
      <c r="AF464" s="6"/>
      <c r="AG464" s="6"/>
      <c r="AH464" s="6"/>
      <c r="AI464" s="6"/>
      <c r="AJ464" s="6"/>
      <c r="AK464" s="6"/>
      <c r="AL464" s="7">
        <f t="shared" si="303"/>
        <v>0</v>
      </c>
      <c r="AM464" s="11">
        <f t="shared" si="273"/>
        <v>0</v>
      </c>
      <c r="AN464" s="25"/>
      <c r="AO464" s="10" t="str">
        <f t="shared" si="274"/>
        <v>MarçoSEMANA 4Cebolinha Orgânica</v>
      </c>
      <c r="AP464" s="7">
        <f>SUMIF(NF!$A:$A,$AO464,NF!$I:$I)</f>
        <v>0</v>
      </c>
      <c r="AQ464" s="6"/>
      <c r="AR464" s="6"/>
      <c r="AS464" s="6"/>
      <c r="AT464" s="6"/>
      <c r="AU464" s="6"/>
      <c r="AV464" s="6"/>
      <c r="AW464" s="6"/>
      <c r="AX464" s="7">
        <f t="shared" si="304"/>
        <v>0</v>
      </c>
      <c r="AY464" s="11">
        <f t="shared" si="276"/>
        <v>0</v>
      </c>
      <c r="AZ464" s="25"/>
      <c r="BA464" s="10" t="str">
        <f t="shared" si="277"/>
        <v>MarçoSEMANA 5Cebolinha Orgânica</v>
      </c>
      <c r="BB464" s="7">
        <f>SUMIF(NF!$A:$A,$BA464,NF!$I:$I)</f>
        <v>0</v>
      </c>
      <c r="BC464" s="6"/>
      <c r="BD464" s="6"/>
      <c r="BE464" s="6"/>
      <c r="BF464" s="6"/>
      <c r="BG464" s="6"/>
      <c r="BH464" s="6"/>
      <c r="BI464" s="74"/>
      <c r="BJ464" s="74"/>
      <c r="BK464" s="7">
        <f t="shared" si="305"/>
        <v>0</v>
      </c>
      <c r="BL464" s="8">
        <f t="shared" si="279"/>
        <v>0</v>
      </c>
      <c r="BM464" s="51" t="str">
        <f>IFERROR(VLOOKUP(A464,NF!$M:$O,3,0),"")</f>
        <v>Hortifruti</v>
      </c>
      <c r="BN464" s="7">
        <f t="shared" si="280"/>
        <v>0</v>
      </c>
      <c r="BO464" s="8">
        <f t="array" ref="BO464">IFERROR(LARGE(IF(NF!$G$2:$G$3137='Mês atual'!A464,NF!$J$2:$J$3137),1),0)*BN464</f>
        <v>0</v>
      </c>
      <c r="BP464" s="50"/>
      <c r="BR464" s="146">
        <f t="array" ref="BR464">IFERROR(LARGE(IF(NF!$G$2:$G$3137='Mês atual'!A464,NF!$J$2:$J$3137),1),0)</f>
        <v>0</v>
      </c>
      <c r="BS464" s="142" t="str">
        <f>VLOOKUP(A464,NF!M:O,3,0)</f>
        <v>Hortifruti</v>
      </c>
      <c r="BV464" s="74">
        <f t="shared" si="281"/>
        <v>0</v>
      </c>
      <c r="BW464" s="74">
        <f t="shared" si="282"/>
        <v>0</v>
      </c>
      <c r="BX464" s="74">
        <f t="shared" si="283"/>
        <v>0</v>
      </c>
      <c r="BY464" s="74">
        <f t="shared" si="284"/>
        <v>0</v>
      </c>
      <c r="BZ464" s="74">
        <f t="shared" si="285"/>
        <v>0</v>
      </c>
    </row>
    <row r="465" spans="1:78" x14ac:dyDescent="0.2">
      <c r="A465" s="108" t="s">
        <v>247</v>
      </c>
      <c r="B465" s="12"/>
      <c r="C465" s="9">
        <v>0</v>
      </c>
      <c r="D465" s="25"/>
      <c r="E465" s="10" t="str">
        <f t="shared" si="265"/>
        <v>MarçoSEMANA 1Cebolinha Verde</v>
      </c>
      <c r="F465" s="7">
        <f>SUMIF(NF!$A:$A,$E465,NF!$I:$I)</f>
        <v>2.0680000000000001</v>
      </c>
      <c r="G465" s="74"/>
      <c r="H465" s="74"/>
      <c r="I465" s="74"/>
      <c r="J465" s="6"/>
      <c r="K465" s="6">
        <f>1+0.5-0.432</f>
        <v>1.0680000000000001</v>
      </c>
      <c r="L465" s="6"/>
      <c r="M465" s="6">
        <v>1</v>
      </c>
      <c r="N465" s="7">
        <f t="shared" si="301"/>
        <v>2.0680000000000001</v>
      </c>
      <c r="O465" s="11">
        <f t="shared" si="267"/>
        <v>0</v>
      </c>
      <c r="P465" s="25"/>
      <c r="Q465" s="10" t="str">
        <f t="shared" si="268"/>
        <v>MarçoSEMANA 2Cebolinha Verde</v>
      </c>
      <c r="R465" s="7">
        <f>SUMIF(NF!$A:$A,$Q465,NF!$I:$I)</f>
        <v>3.609</v>
      </c>
      <c r="S465" s="6">
        <v>0.5</v>
      </c>
      <c r="T465" s="6">
        <f>1-0.493</f>
        <v>0.50700000000000001</v>
      </c>
      <c r="U465" s="6"/>
      <c r="V465" s="6">
        <v>1</v>
      </c>
      <c r="W465" s="6">
        <f>0.5-0.398</f>
        <v>0.10199999999999998</v>
      </c>
      <c r="X465" s="6">
        <v>0.5</v>
      </c>
      <c r="Y465" s="6">
        <v>1</v>
      </c>
      <c r="Z465" s="7">
        <f t="shared" si="302"/>
        <v>3.609</v>
      </c>
      <c r="AA465" s="11">
        <f t="shared" si="270"/>
        <v>0</v>
      </c>
      <c r="AB465" s="25"/>
      <c r="AC465" s="10" t="str">
        <f t="shared" si="271"/>
        <v>MarçoSEMANA 3Cebolinha Verde</v>
      </c>
      <c r="AD465" s="7">
        <f>SUMIF(NF!$A:$A,$AC465,NF!$I:$I)</f>
        <v>4.1289999999999996</v>
      </c>
      <c r="AE465" s="6">
        <v>1</v>
      </c>
      <c r="AF465" s="6">
        <v>0.5</v>
      </c>
      <c r="AG465" s="6">
        <f>1-0.481</f>
        <v>0.51900000000000002</v>
      </c>
      <c r="AH465" s="6">
        <f>0.5-0.39</f>
        <v>0.10999999999999999</v>
      </c>
      <c r="AI465" s="6"/>
      <c r="AJ465" s="6">
        <v>1</v>
      </c>
      <c r="AK465" s="6">
        <v>1</v>
      </c>
      <c r="AL465" s="7">
        <f t="shared" si="303"/>
        <v>4.1289999999999996</v>
      </c>
      <c r="AM465" s="11">
        <f t="shared" si="273"/>
        <v>0</v>
      </c>
      <c r="AN465" s="25"/>
      <c r="AO465" s="10" t="str">
        <f t="shared" si="274"/>
        <v>MarçoSEMANA 4Cebolinha Verde</v>
      </c>
      <c r="AP465" s="7">
        <f>SUMIF(NF!$A:$A,$AO465,NF!$I:$I)</f>
        <v>3.5</v>
      </c>
      <c r="AQ465" s="6"/>
      <c r="AR465" s="6">
        <v>1</v>
      </c>
      <c r="AS465" s="6">
        <v>0.5</v>
      </c>
      <c r="AT465" s="6">
        <v>0.5</v>
      </c>
      <c r="AU465" s="6">
        <v>0.5</v>
      </c>
      <c r="AV465" s="6"/>
      <c r="AW465" s="6">
        <v>1</v>
      </c>
      <c r="AX465" s="7">
        <f t="shared" si="304"/>
        <v>3.5</v>
      </c>
      <c r="AY465" s="11">
        <f t="shared" si="276"/>
        <v>0</v>
      </c>
      <c r="AZ465" s="25"/>
      <c r="BA465" s="10" t="str">
        <f t="shared" si="277"/>
        <v>MarçoSEMANA 5Cebolinha Verde</v>
      </c>
      <c r="BB465" s="7">
        <f>SUMIF(NF!$A:$A,$BA465,NF!$I:$I)</f>
        <v>3</v>
      </c>
      <c r="BC465" s="6"/>
      <c r="BD465" s="6"/>
      <c r="BE465" s="6">
        <v>1</v>
      </c>
      <c r="BF465" s="6">
        <v>0.5</v>
      </c>
      <c r="BG465" s="6"/>
      <c r="BH465" s="6">
        <v>0.5</v>
      </c>
      <c r="BI465" s="74"/>
      <c r="BJ465" s="74"/>
      <c r="BK465" s="7">
        <f t="shared" si="305"/>
        <v>2</v>
      </c>
      <c r="BL465" s="8">
        <f t="shared" si="279"/>
        <v>1</v>
      </c>
      <c r="BM465" s="51" t="str">
        <f>IFERROR(VLOOKUP(A465,NF!$M:$O,3,0),"")</f>
        <v>Hortifruti</v>
      </c>
      <c r="BN465" s="7">
        <f t="shared" si="280"/>
        <v>15.305999999999999</v>
      </c>
      <c r="BO465" s="8">
        <f t="array" ref="BO465">IFERROR(LARGE(IF(NF!$G$2:$G$3137='Mês atual'!A465,NF!$J$2:$J$3137),1),0)*BN465</f>
        <v>107.142</v>
      </c>
      <c r="BP465" s="50"/>
      <c r="BR465" s="146">
        <f t="array" ref="BR465">IFERROR(LARGE(IF(NF!$G$2:$G$3137='Mês atual'!A465,NF!$J$2:$J$3137),1),0)</f>
        <v>7</v>
      </c>
      <c r="BS465" s="142" t="str">
        <f>VLOOKUP(A465,NF!M:O,3,0)</f>
        <v>Hortifruti</v>
      </c>
      <c r="BV465" s="74">
        <f t="shared" si="281"/>
        <v>2.0680000000000001</v>
      </c>
      <c r="BW465" s="74">
        <f t="shared" si="282"/>
        <v>3.609</v>
      </c>
      <c r="BX465" s="74">
        <f t="shared" si="283"/>
        <v>4.1289999999999996</v>
      </c>
      <c r="BY465" s="74">
        <f t="shared" si="284"/>
        <v>3.5</v>
      </c>
      <c r="BZ465" s="74">
        <f t="shared" si="285"/>
        <v>2</v>
      </c>
    </row>
    <row r="466" spans="1:78" x14ac:dyDescent="0.2">
      <c r="A466" s="108" t="s">
        <v>249</v>
      </c>
      <c r="B466" s="12"/>
      <c r="C466" s="9">
        <v>21.78</v>
      </c>
      <c r="D466" s="25"/>
      <c r="E466" s="10" t="str">
        <f t="shared" si="265"/>
        <v>MarçoSEMANA 1Cenoura</v>
      </c>
      <c r="F466" s="7">
        <f>SUMIF(NF!$A:$A,$E466,NF!$I:$I)</f>
        <v>20.36</v>
      </c>
      <c r="G466" s="74"/>
      <c r="H466" s="74"/>
      <c r="I466" s="74"/>
      <c r="J466" s="6">
        <f>2.5+2.06+2.066+1.301</f>
        <v>7.9270000000000005</v>
      </c>
      <c r="K466" s="6">
        <f>2.38+3.08+3.5+0.62+1.301</f>
        <v>10.881</v>
      </c>
      <c r="L466" s="6">
        <f>1.316+2.06+1.624+1.301</f>
        <v>6.3010000000000002</v>
      </c>
      <c r="M466" s="6">
        <f>1.08+1.013+1.301</f>
        <v>3.3940000000000001</v>
      </c>
      <c r="N466" s="7">
        <f t="shared" si="301"/>
        <v>28.503</v>
      </c>
      <c r="O466" s="11">
        <f t="shared" si="267"/>
        <v>13.637</v>
      </c>
      <c r="P466" s="25"/>
      <c r="Q466" s="10" t="str">
        <f t="shared" si="268"/>
        <v>MarçoSEMANA 2Cenoura</v>
      </c>
      <c r="R466" s="7">
        <f>SUMIF(NF!$A:$A,$Q466,NF!$I:$I)</f>
        <v>60.12</v>
      </c>
      <c r="S466" s="6">
        <f>1.48+1.5+3+1.1+1.301</f>
        <v>8.3810000000000002</v>
      </c>
      <c r="T466" s="6">
        <f>2.704+2.12+3.078+2.17+1.301</f>
        <v>11.372999999999999</v>
      </c>
      <c r="U466" s="6">
        <f>2.06+1.18+1.66+1.96+2.36+1+1.301</f>
        <v>11.521000000000001</v>
      </c>
      <c r="V466" s="6">
        <f>4.04+2.008+1.301</f>
        <v>7.3490000000000002</v>
      </c>
      <c r="W466" s="6">
        <f>0.88+2.1+5.08+1.301</f>
        <v>9.3610000000000007</v>
      </c>
      <c r="X466" s="6">
        <f>1+1.301</f>
        <v>2.3010000000000002</v>
      </c>
      <c r="Y466" s="6">
        <f>2.285+3.5+1.76+1.301</f>
        <v>8.8460000000000001</v>
      </c>
      <c r="Z466" s="7">
        <f t="shared" si="302"/>
        <v>59.132000000000005</v>
      </c>
      <c r="AA466" s="11">
        <f t="shared" si="270"/>
        <v>14.625</v>
      </c>
      <c r="AB466" s="25"/>
      <c r="AC466" s="10" t="str">
        <f t="shared" si="271"/>
        <v>MarçoSEMANA 3Cenoura</v>
      </c>
      <c r="AD466" s="7">
        <f>SUMIF(NF!$A:$A,$AC466,NF!$I:$I)</f>
        <v>40.620000000000005</v>
      </c>
      <c r="AE466" s="6">
        <f>5.12+1.301</f>
        <v>6.4210000000000003</v>
      </c>
      <c r="AF466" s="6">
        <f>3.04+2.4+1+1.301</f>
        <v>7.7409999999999997</v>
      </c>
      <c r="AG466" s="6">
        <f>1+2.18+2.4+1.301</f>
        <v>6.8810000000000002</v>
      </c>
      <c r="AH466" s="6">
        <f>3+1.301</f>
        <v>4.3010000000000002</v>
      </c>
      <c r="AI466" s="6">
        <f>2+2.12+1.301</f>
        <v>5.4210000000000003</v>
      </c>
      <c r="AJ466" s="6">
        <f>1.126+1.06+1.301</f>
        <v>3.4870000000000001</v>
      </c>
      <c r="AK466" s="6">
        <f>4.1+2.92+1.301</f>
        <v>8.3209999999999997</v>
      </c>
      <c r="AL466" s="7">
        <f t="shared" si="303"/>
        <v>42.573</v>
      </c>
      <c r="AM466" s="11">
        <f t="shared" si="273"/>
        <v>12.672000000000004</v>
      </c>
      <c r="AN466" s="25"/>
      <c r="AO466" s="10" t="str">
        <f t="shared" si="274"/>
        <v>MarçoSEMANA 4Cenoura</v>
      </c>
      <c r="AP466" s="7">
        <f>SUMIF(NF!$A:$A,$AO466,NF!$I:$I)</f>
        <v>41.900000000000006</v>
      </c>
      <c r="AQ466" s="6">
        <f>1+2+1.7+1.301</f>
        <v>6.0010000000000003</v>
      </c>
      <c r="AR466" s="6">
        <f>2+5.06+2.02+1.301</f>
        <v>10.381</v>
      </c>
      <c r="AS466" s="6">
        <f>1.3+2.5+4.08+2.06+2.01+1.301</f>
        <v>13.250999999999999</v>
      </c>
      <c r="AT466" s="6">
        <f>2.04+1.5+1.5+1.301</f>
        <v>6.3410000000000002</v>
      </c>
      <c r="AU466" s="6">
        <f>0.56+1.54+1.5+1.301</f>
        <v>4.9009999999999998</v>
      </c>
      <c r="AV466" s="6">
        <f>2+2.6+1.5+1.301</f>
        <v>7.4009999999999998</v>
      </c>
      <c r="AW466" s="6">
        <f>2+1.5+1.301</f>
        <v>4.8010000000000002</v>
      </c>
      <c r="AX466" s="7">
        <f t="shared" si="304"/>
        <v>53.076999999999998</v>
      </c>
      <c r="AY466" s="11">
        <f t="shared" si="276"/>
        <v>1.4950000000000117</v>
      </c>
      <c r="AZ466" s="25"/>
      <c r="BA466" s="10" t="str">
        <f t="shared" si="277"/>
        <v>MarçoSEMANA 5Cenoura</v>
      </c>
      <c r="BB466" s="7">
        <f>SUMIF(NF!$A:$A,$BA466,NF!$I:$I)</f>
        <v>73.199999999999989</v>
      </c>
      <c r="BC466" s="6">
        <f>2.72+2.46+1.5+1.301</f>
        <v>7.9809999999999999</v>
      </c>
      <c r="BD466" s="6">
        <f>1.26+2.6+3.18+1.5+1.301</f>
        <v>9.8410000000000011</v>
      </c>
      <c r="BE466" s="6">
        <f>1.54+2+1.5+1.5+1.301</f>
        <v>7.8410000000000002</v>
      </c>
      <c r="BF466" s="6">
        <f>1.5+1.301</f>
        <v>2.8010000000000002</v>
      </c>
      <c r="BG466" s="6">
        <f>3.5+2.22+1.5+1.301</f>
        <v>8.5210000000000008</v>
      </c>
      <c r="BH466" s="6">
        <f>1.06+2.04+1.6+1.5+1.301</f>
        <v>7.5010000000000003</v>
      </c>
      <c r="BI466" s="74"/>
      <c r="BJ466" s="74"/>
      <c r="BK466" s="7">
        <f t="shared" si="305"/>
        <v>44.486000000000004</v>
      </c>
      <c r="BL466" s="8">
        <f t="shared" si="279"/>
        <v>30.208999999999989</v>
      </c>
      <c r="BM466" s="51" t="str">
        <f>IFERROR(VLOOKUP(A466,NF!$M:$O,3,0),"")</f>
        <v>Hortifruti</v>
      </c>
      <c r="BN466" s="7">
        <f t="shared" si="280"/>
        <v>227.77100000000002</v>
      </c>
      <c r="BO466" s="8">
        <f t="array" ref="BO466">IFERROR(LARGE(IF(NF!$G$2:$G$3137='Mês atual'!A466,NF!$J$2:$J$3137),1),0)*BN466</f>
        <v>938.22021546261101</v>
      </c>
      <c r="BP466" s="50"/>
      <c r="BR466" s="146">
        <f t="array" ref="BR466">IFERROR(LARGE(IF(NF!$G$2:$G$3137='Mês atual'!A466,NF!$J$2:$J$3137),1),0)</f>
        <v>4.1191381495564006</v>
      </c>
      <c r="BS466" s="142" t="str">
        <f>VLOOKUP(A466,NF!M:O,3,0)</f>
        <v>Hortifruti</v>
      </c>
      <c r="BV466" s="74">
        <f t="shared" si="281"/>
        <v>28.503</v>
      </c>
      <c r="BW466" s="74">
        <f t="shared" si="282"/>
        <v>59.132000000000005</v>
      </c>
      <c r="BX466" s="74">
        <f t="shared" si="283"/>
        <v>42.573</v>
      </c>
      <c r="BY466" s="74">
        <f t="shared" si="284"/>
        <v>53.076999999999998</v>
      </c>
      <c r="BZ466" s="74">
        <f t="shared" si="285"/>
        <v>44.486000000000004</v>
      </c>
    </row>
    <row r="467" spans="1:78" x14ac:dyDescent="0.25">
      <c r="A467" s="108" t="s">
        <v>252</v>
      </c>
      <c r="B467" s="12"/>
      <c r="C467" s="9">
        <v>0</v>
      </c>
      <c r="D467" s="25"/>
      <c r="E467" s="10" t="str">
        <f t="shared" si="265"/>
        <v>MarçoSEMANA 1Cenoura Orgânica</v>
      </c>
      <c r="F467" s="7">
        <f>SUMIF(NF!$A:$A,$E467,NF!$I:$I)</f>
        <v>7</v>
      </c>
      <c r="G467" s="74"/>
      <c r="H467" s="74"/>
      <c r="I467" s="74"/>
      <c r="J467" s="6"/>
      <c r="K467" s="6">
        <v>2.56</v>
      </c>
      <c r="L467" s="6">
        <v>2.06</v>
      </c>
      <c r="M467" s="6">
        <v>2.38</v>
      </c>
      <c r="N467" s="7">
        <f t="shared" si="301"/>
        <v>7</v>
      </c>
      <c r="O467" s="11">
        <f t="shared" si="267"/>
        <v>0</v>
      </c>
      <c r="P467" s="25"/>
      <c r="Q467" s="10" t="str">
        <f t="shared" si="268"/>
        <v>MarçoSEMANA 2Cenoura Orgânica</v>
      </c>
      <c r="R467" s="7">
        <f>SUMIF(NF!$A:$A,$Q467,NF!$I:$I)</f>
        <v>7.2649999999999997</v>
      </c>
      <c r="S467" s="6"/>
      <c r="T467" s="6"/>
      <c r="U467" s="6"/>
      <c r="V467" s="6"/>
      <c r="W467" s="6"/>
      <c r="X467" s="6">
        <v>3</v>
      </c>
      <c r="Y467" s="6">
        <v>3.2360000000000002</v>
      </c>
      <c r="Z467" s="7">
        <f t="shared" si="302"/>
        <v>6.2360000000000007</v>
      </c>
      <c r="AA467" s="11">
        <f t="shared" si="270"/>
        <v>1.028999999999999</v>
      </c>
      <c r="AB467" s="25"/>
      <c r="AC467" s="10" t="str">
        <f t="shared" si="271"/>
        <v>MarçoSEMANA 3Cenoura Orgânica</v>
      </c>
      <c r="AD467" s="7">
        <f>SUMIF(NF!$A:$A,$AC467,NF!$I:$I)</f>
        <v>12.08</v>
      </c>
      <c r="AE467" s="6">
        <v>2.58</v>
      </c>
      <c r="AF467" s="6">
        <v>1.52</v>
      </c>
      <c r="AG467" s="6">
        <v>1.04</v>
      </c>
      <c r="AH467" s="6">
        <v>2.08</v>
      </c>
      <c r="AI467" s="6">
        <v>1.72</v>
      </c>
      <c r="AJ467" s="6"/>
      <c r="AK467" s="6"/>
      <c r="AL467" s="7">
        <f t="shared" si="303"/>
        <v>8.94</v>
      </c>
      <c r="AM467" s="11">
        <f t="shared" si="273"/>
        <v>4.1689999999999987</v>
      </c>
      <c r="AN467" s="25"/>
      <c r="AO467" s="10" t="str">
        <f t="shared" si="274"/>
        <v>MarçoSEMANA 4Cenoura Orgânica</v>
      </c>
      <c r="AP467" s="7">
        <f>SUMIF(NF!$A:$A,$AO467,NF!$I:$I)</f>
        <v>0</v>
      </c>
      <c r="AQ467" s="6">
        <v>1.7</v>
      </c>
      <c r="AR467" s="6">
        <v>1</v>
      </c>
      <c r="AS467" s="6">
        <v>1.4650000000000001</v>
      </c>
      <c r="AT467" s="6"/>
      <c r="AU467" s="6"/>
      <c r="AV467" s="6"/>
      <c r="AW467" s="6"/>
      <c r="AX467" s="7">
        <f t="shared" si="304"/>
        <v>4.165</v>
      </c>
      <c r="AY467" s="11">
        <f t="shared" si="276"/>
        <v>3.9999999999986713E-3</v>
      </c>
      <c r="AZ467" s="25"/>
      <c r="BA467" s="10" t="str">
        <f t="shared" si="277"/>
        <v>MarçoSEMANA 5Cenoura Orgânica</v>
      </c>
      <c r="BB467" s="7">
        <f>SUMIF(NF!$A:$A,$BA467,NF!$I:$I)</f>
        <v>0</v>
      </c>
      <c r="BC467" s="6"/>
      <c r="BD467" s="6"/>
      <c r="BE467" s="6"/>
      <c r="BF467" s="6"/>
      <c r="BG467" s="6"/>
      <c r="BH467" s="6"/>
      <c r="BI467" s="74"/>
      <c r="BJ467" s="74"/>
      <c r="BK467" s="7">
        <f t="shared" si="305"/>
        <v>0</v>
      </c>
      <c r="BL467" s="8">
        <f t="shared" si="279"/>
        <v>3.9999999999986713E-3</v>
      </c>
      <c r="BM467" s="51" t="str">
        <f>IFERROR(VLOOKUP(A467,NF!$M:$O,3,0),"")</f>
        <v>Hortifruti</v>
      </c>
      <c r="BN467" s="7">
        <f t="shared" si="280"/>
        <v>26.341000000000001</v>
      </c>
      <c r="BO467" s="8">
        <f t="array" ref="BO467">IFERROR(LARGE(IF(NF!$G$2:$G$3137='Mês atual'!A467,NF!$J$2:$J$3137),1),0)*BN467</f>
        <v>241.39645000000002</v>
      </c>
      <c r="BP467" s="50"/>
      <c r="BR467" s="146">
        <f t="array" ref="BR467">IFERROR(LARGE(IF(NF!$G$2:$G$3137='Mês atual'!A467,NF!$J$2:$J$3137),1),0)</f>
        <v>9.1642857142857146</v>
      </c>
      <c r="BS467" s="142" t="str">
        <f>VLOOKUP(A467,NF!M:O,3,0)</f>
        <v>Hortifruti</v>
      </c>
      <c r="BV467" s="74">
        <f t="shared" si="281"/>
        <v>7</v>
      </c>
      <c r="BW467" s="74">
        <f t="shared" si="282"/>
        <v>6.2360000000000007</v>
      </c>
      <c r="BX467" s="74">
        <f t="shared" si="283"/>
        <v>8.94</v>
      </c>
      <c r="BY467" s="74">
        <f t="shared" si="284"/>
        <v>4.165</v>
      </c>
      <c r="BZ467" s="74">
        <f t="shared" si="285"/>
        <v>0</v>
      </c>
    </row>
    <row r="468" spans="1:78" x14ac:dyDescent="0.25">
      <c r="A468" s="108" t="s">
        <v>275</v>
      </c>
      <c r="B468" s="12"/>
      <c r="C468" s="9">
        <v>0</v>
      </c>
      <c r="D468" s="25"/>
      <c r="E468" s="10" t="str">
        <f t="shared" si="265"/>
        <v>MarçoSEMANA 1Chicória</v>
      </c>
      <c r="F468" s="7">
        <f>SUMIF(NF!$A:$A,$E468,NF!$I:$I)</f>
        <v>0</v>
      </c>
      <c r="G468" s="74"/>
      <c r="H468" s="74"/>
      <c r="I468" s="74"/>
      <c r="J468" s="6"/>
      <c r="K468" s="6"/>
      <c r="L468" s="6"/>
      <c r="M468" s="6"/>
      <c r="N468" s="7">
        <f t="shared" si="301"/>
        <v>0</v>
      </c>
      <c r="O468" s="11">
        <f t="shared" si="267"/>
        <v>0</v>
      </c>
      <c r="P468" s="25"/>
      <c r="Q468" s="10" t="str">
        <f t="shared" si="268"/>
        <v>MarçoSEMANA 2Chicória</v>
      </c>
      <c r="R468" s="7">
        <f>SUMIF(NF!$A:$A,$Q468,NF!$I:$I)</f>
        <v>0</v>
      </c>
      <c r="S468" s="6"/>
      <c r="T468" s="6"/>
      <c r="U468" s="6"/>
      <c r="V468" s="6"/>
      <c r="W468" s="6"/>
      <c r="X468" s="6"/>
      <c r="Y468" s="6"/>
      <c r="Z468" s="7">
        <f t="shared" si="302"/>
        <v>0</v>
      </c>
      <c r="AA468" s="11">
        <f t="shared" si="270"/>
        <v>0</v>
      </c>
      <c r="AB468" s="25"/>
      <c r="AC468" s="10" t="str">
        <f t="shared" si="271"/>
        <v>MarçoSEMANA 3Chicória</v>
      </c>
      <c r="AD468" s="7">
        <f>SUMIF(NF!$A:$A,$AC468,NF!$I:$I)</f>
        <v>0</v>
      </c>
      <c r="AE468" s="6"/>
      <c r="AF468" s="6"/>
      <c r="AG468" s="6"/>
      <c r="AH468" s="6"/>
      <c r="AI468" s="6"/>
      <c r="AJ468" s="6"/>
      <c r="AK468" s="6"/>
      <c r="AL468" s="7">
        <f t="shared" si="303"/>
        <v>0</v>
      </c>
      <c r="AM468" s="11">
        <f t="shared" si="273"/>
        <v>0</v>
      </c>
      <c r="AN468" s="25"/>
      <c r="AO468" s="10" t="str">
        <f t="shared" si="274"/>
        <v>MarçoSEMANA 4Chicória</v>
      </c>
      <c r="AP468" s="7">
        <f>SUMIF(NF!$A:$A,$AO468,NF!$I:$I)</f>
        <v>0</v>
      </c>
      <c r="AQ468" s="6"/>
      <c r="AR468" s="6"/>
      <c r="AS468" s="6"/>
      <c r="AT468" s="6"/>
      <c r="AU468" s="6"/>
      <c r="AV468" s="6"/>
      <c r="AW468" s="6"/>
      <c r="AX468" s="7">
        <f t="shared" si="304"/>
        <v>0</v>
      </c>
      <c r="AY468" s="11">
        <f t="shared" si="276"/>
        <v>0</v>
      </c>
      <c r="AZ468" s="25"/>
      <c r="BA468" s="10" t="str">
        <f t="shared" si="277"/>
        <v>MarçoSEMANA 5Chicória</v>
      </c>
      <c r="BB468" s="7">
        <f>SUMIF(NF!$A:$A,$BA468,NF!$I:$I)</f>
        <v>3.9</v>
      </c>
      <c r="BC468" s="6"/>
      <c r="BD468" s="6"/>
      <c r="BE468" s="6">
        <f>2.4+1.5</f>
        <v>3.9</v>
      </c>
      <c r="BF468" s="6"/>
      <c r="BG468" s="6"/>
      <c r="BH468" s="6"/>
      <c r="BI468" s="74"/>
      <c r="BJ468" s="74"/>
      <c r="BK468" s="7">
        <f t="shared" si="305"/>
        <v>3.9</v>
      </c>
      <c r="BL468" s="8">
        <f t="shared" si="279"/>
        <v>0</v>
      </c>
      <c r="BM468" s="51" t="str">
        <f>IFERROR(VLOOKUP(A468,NF!$M:$O,3,0),"")</f>
        <v>Hortifruti</v>
      </c>
      <c r="BN468" s="7">
        <f t="shared" si="280"/>
        <v>3.9</v>
      </c>
      <c r="BO468" s="8">
        <f t="array" ref="BO468">IFERROR(LARGE(IF(NF!$G$2:$G$3137='Mês atual'!A468,NF!$J$2:$J$3137),1),0)*BN468</f>
        <v>15.209999999999999</v>
      </c>
      <c r="BP468" s="50"/>
      <c r="BR468" s="146">
        <f t="array" ref="BR468">IFERROR(LARGE(IF(NF!$G$2:$G$3137='Mês atual'!A468,NF!$J$2:$J$3137),1),0)</f>
        <v>3.9</v>
      </c>
      <c r="BS468" s="142" t="str">
        <f>VLOOKUP(A468,NF!M:O,3,0)</f>
        <v>Hortifruti</v>
      </c>
      <c r="BV468" s="74">
        <f t="shared" ref="BV468:BV531" si="322">N468</f>
        <v>0</v>
      </c>
      <c r="BW468" s="74">
        <f t="shared" ref="BW468:BW531" si="323">Z468</f>
        <v>0</v>
      </c>
      <c r="BX468" s="74">
        <f t="shared" ref="BX468:BX531" si="324">AL468</f>
        <v>0</v>
      </c>
      <c r="BY468" s="74">
        <f t="shared" ref="BY468:BY531" si="325">AX468</f>
        <v>0</v>
      </c>
      <c r="BZ468" s="74">
        <f t="shared" ref="BZ468:BZ531" si="326">BK468</f>
        <v>3.9</v>
      </c>
    </row>
    <row r="469" spans="1:78" x14ac:dyDescent="0.25">
      <c r="A469" s="108" t="s">
        <v>960</v>
      </c>
      <c r="B469" s="12"/>
      <c r="C469" s="9">
        <v>0</v>
      </c>
      <c r="D469" s="25"/>
      <c r="E469" s="10" t="str">
        <f t="shared" si="265"/>
        <v>MarçoSEMANA 1Chicória Frizé</v>
      </c>
      <c r="F469" s="7">
        <f>SUMIF(NF!$A:$A,$E469,NF!$I:$I)</f>
        <v>0</v>
      </c>
      <c r="G469" s="74"/>
      <c r="H469" s="74"/>
      <c r="I469" s="74"/>
      <c r="J469" s="6"/>
      <c r="K469" s="6"/>
      <c r="L469" s="6"/>
      <c r="M469" s="6"/>
      <c r="N469" s="7">
        <f>SUM(G469:M469)</f>
        <v>0</v>
      </c>
      <c r="O469" s="11">
        <f t="shared" si="267"/>
        <v>0</v>
      </c>
      <c r="P469" s="25"/>
      <c r="Q469" s="10" t="str">
        <f t="shared" si="268"/>
        <v>MarçoSEMANA 2Chicória Frizé</v>
      </c>
      <c r="R469" s="7">
        <f>SUMIF(NF!$A:$A,$Q469,NF!$I:$I)</f>
        <v>0</v>
      </c>
      <c r="S469" s="6"/>
      <c r="T469" s="6"/>
      <c r="U469" s="6"/>
      <c r="V469" s="6"/>
      <c r="W469" s="6"/>
      <c r="X469" s="6"/>
      <c r="Y469" s="6"/>
      <c r="Z469" s="7">
        <f>SUM(S469:Y469)</f>
        <v>0</v>
      </c>
      <c r="AA469" s="11">
        <f t="shared" si="270"/>
        <v>0</v>
      </c>
      <c r="AB469" s="25"/>
      <c r="AC469" s="10" t="str">
        <f t="shared" si="271"/>
        <v>MarçoSEMANA 3Chicória Frizé</v>
      </c>
      <c r="AD469" s="7">
        <f>SUMIF(NF!$A:$A,$AC469,NF!$I:$I)</f>
        <v>0</v>
      </c>
      <c r="AE469" s="6"/>
      <c r="AF469" s="6"/>
      <c r="AG469" s="6"/>
      <c r="AH469" s="6"/>
      <c r="AI469" s="6"/>
      <c r="AJ469" s="6"/>
      <c r="AK469" s="6"/>
      <c r="AL469" s="7">
        <f>SUM(AE469:AK469)</f>
        <v>0</v>
      </c>
      <c r="AM469" s="11">
        <f t="shared" si="273"/>
        <v>0</v>
      </c>
      <c r="AN469" s="25"/>
      <c r="AO469" s="10" t="str">
        <f t="shared" si="274"/>
        <v>MarçoSEMANA 4Chicória Frizé</v>
      </c>
      <c r="AP469" s="7">
        <f>SUMIF(NF!$A:$A,$AO469,NF!$I:$I)</f>
        <v>0</v>
      </c>
      <c r="AQ469" s="6"/>
      <c r="AR469" s="6"/>
      <c r="AS469" s="6"/>
      <c r="AT469" s="6"/>
      <c r="AU469" s="6"/>
      <c r="AV469" s="6"/>
      <c r="AW469" s="6"/>
      <c r="AX469" s="7">
        <f>SUM(AQ469:AW469)</f>
        <v>0</v>
      </c>
      <c r="AY469" s="11">
        <f t="shared" si="276"/>
        <v>0</v>
      </c>
      <c r="AZ469" s="25"/>
      <c r="BA469" s="10" t="str">
        <f t="shared" si="277"/>
        <v>MarçoSEMANA 5Chicória Frizé</v>
      </c>
      <c r="BB469" s="7">
        <f>SUMIF(NF!$A:$A,$BA469,NF!$I:$I)</f>
        <v>0</v>
      </c>
      <c r="BC469" s="6"/>
      <c r="BD469" s="6"/>
      <c r="BE469" s="6"/>
      <c r="BF469" s="6"/>
      <c r="BG469" s="6"/>
      <c r="BH469" s="6"/>
      <c r="BI469" s="74"/>
      <c r="BJ469" s="74"/>
      <c r="BK469" s="7">
        <f>SUM(BC469:BJ469)</f>
        <v>0</v>
      </c>
      <c r="BL469" s="8">
        <f t="shared" si="279"/>
        <v>0</v>
      </c>
      <c r="BM469" s="51" t="str">
        <f>IFERROR(VLOOKUP(A469,NF!$M:$O,3,0),"")</f>
        <v>Hortifruti</v>
      </c>
      <c r="BN469" s="7">
        <f t="shared" si="280"/>
        <v>0</v>
      </c>
      <c r="BO469" s="8">
        <f t="array" ref="BO469">IFERROR(LARGE(IF(NF!$G$2:$G$3137='Mês atual'!A469,NF!$J$2:$J$3137),1),0)*BN469</f>
        <v>0</v>
      </c>
      <c r="BP469" s="50"/>
      <c r="BR469" s="146">
        <f t="array" ref="BR469">IFERROR(LARGE(IF(NF!$G$2:$G$3137='Mês atual'!A469,NF!$J$2:$J$3137),1),0)</f>
        <v>0</v>
      </c>
      <c r="BS469" s="142" t="str">
        <f>VLOOKUP(A469,NF!M:O,3,0)</f>
        <v>Hortifruti</v>
      </c>
      <c r="BV469" s="74">
        <f t="shared" si="322"/>
        <v>0</v>
      </c>
      <c r="BW469" s="74">
        <f t="shared" si="323"/>
        <v>0</v>
      </c>
      <c r="BX469" s="74">
        <f t="shared" si="324"/>
        <v>0</v>
      </c>
      <c r="BY469" s="74">
        <f t="shared" si="325"/>
        <v>0</v>
      </c>
      <c r="BZ469" s="74">
        <f t="shared" si="326"/>
        <v>0</v>
      </c>
    </row>
    <row r="470" spans="1:78" x14ac:dyDescent="0.25">
      <c r="A470" s="108" t="s">
        <v>276</v>
      </c>
      <c r="B470" s="12"/>
      <c r="C470" s="9">
        <v>0</v>
      </c>
      <c r="D470" s="25"/>
      <c r="E470" s="10" t="str">
        <f t="shared" si="265"/>
        <v>MarçoSEMANA 1Chicória Orgânica</v>
      </c>
      <c r="F470" s="7">
        <f>SUMIF(NF!$A:$A,$E470,NF!$I:$I)</f>
        <v>0</v>
      </c>
      <c r="G470" s="74"/>
      <c r="H470" s="74"/>
      <c r="I470" s="74"/>
      <c r="J470" s="6"/>
      <c r="K470" s="6"/>
      <c r="L470" s="6"/>
      <c r="M470" s="6"/>
      <c r="N470" s="7">
        <f t="shared" ref="N470:N482" si="327">SUM(G470:M470)</f>
        <v>0</v>
      </c>
      <c r="O470" s="11">
        <f t="shared" si="267"/>
        <v>0</v>
      </c>
      <c r="P470" s="25"/>
      <c r="Q470" s="10" t="str">
        <f t="shared" si="268"/>
        <v>MarçoSEMANA 2Chicória Orgânica</v>
      </c>
      <c r="R470" s="7">
        <f>SUMIF(NF!$A:$A,$Q470,NF!$I:$I)</f>
        <v>0</v>
      </c>
      <c r="S470" s="6"/>
      <c r="T470" s="6"/>
      <c r="U470" s="6"/>
      <c r="V470" s="6"/>
      <c r="W470" s="6"/>
      <c r="X470" s="6"/>
      <c r="Y470" s="6"/>
      <c r="Z470" s="7">
        <f t="shared" ref="Z470:Z482" si="328">SUM(S470:Y470)</f>
        <v>0</v>
      </c>
      <c r="AA470" s="11">
        <f t="shared" si="270"/>
        <v>0</v>
      </c>
      <c r="AB470" s="25"/>
      <c r="AC470" s="10" t="str">
        <f t="shared" si="271"/>
        <v>MarçoSEMANA 3Chicória Orgânica</v>
      </c>
      <c r="AD470" s="7">
        <f>SUMIF(NF!$A:$A,$AC470,NF!$I:$I)</f>
        <v>0</v>
      </c>
      <c r="AE470" s="6"/>
      <c r="AF470" s="6"/>
      <c r="AG470" s="6"/>
      <c r="AH470" s="6"/>
      <c r="AI470" s="6"/>
      <c r="AJ470" s="6"/>
      <c r="AK470" s="6"/>
      <c r="AL470" s="7">
        <f t="shared" ref="AL470:AL482" si="329">SUM(AE470:AK470)</f>
        <v>0</v>
      </c>
      <c r="AM470" s="11">
        <f t="shared" si="273"/>
        <v>0</v>
      </c>
      <c r="AN470" s="25"/>
      <c r="AO470" s="10" t="str">
        <f t="shared" si="274"/>
        <v>MarçoSEMANA 4Chicória Orgânica</v>
      </c>
      <c r="AP470" s="7">
        <f>SUMIF(NF!$A:$A,$AO470,NF!$I:$I)</f>
        <v>0</v>
      </c>
      <c r="AQ470" s="6"/>
      <c r="AR470" s="6"/>
      <c r="AS470" s="6"/>
      <c r="AT470" s="6"/>
      <c r="AU470" s="6"/>
      <c r="AV470" s="6"/>
      <c r="AW470" s="6"/>
      <c r="AX470" s="7">
        <f t="shared" ref="AX470:AX482" si="330">SUM(AQ470:AW470)</f>
        <v>0</v>
      </c>
      <c r="AY470" s="11">
        <f t="shared" si="276"/>
        <v>0</v>
      </c>
      <c r="AZ470" s="25"/>
      <c r="BA470" s="10" t="str">
        <f t="shared" si="277"/>
        <v>MarçoSEMANA 5Chicória Orgânica</v>
      </c>
      <c r="BB470" s="7">
        <f>SUMIF(NF!$A:$A,$BA470,NF!$I:$I)</f>
        <v>0</v>
      </c>
      <c r="BC470" s="6"/>
      <c r="BD470" s="6"/>
      <c r="BE470" s="6"/>
      <c r="BF470" s="6"/>
      <c r="BG470" s="6"/>
      <c r="BH470" s="6"/>
      <c r="BI470" s="74"/>
      <c r="BJ470" s="74"/>
      <c r="BK470" s="7">
        <f t="shared" ref="BK470:BK482" si="331">SUM(BC470:BJ470)</f>
        <v>0</v>
      </c>
      <c r="BL470" s="8">
        <f t="shared" si="279"/>
        <v>0</v>
      </c>
      <c r="BM470" s="51" t="str">
        <f>IFERROR(VLOOKUP(A470,NF!$M:$O,3,0),"")</f>
        <v>Hortifruti</v>
      </c>
      <c r="BN470" s="7">
        <f t="shared" si="280"/>
        <v>0</v>
      </c>
      <c r="BO470" s="8">
        <f t="array" ref="BO470">IFERROR(LARGE(IF(NF!$G$2:$G$3137='Mês atual'!A470,NF!$J$2:$J$3137),1),0)*BN470</f>
        <v>0</v>
      </c>
      <c r="BP470" s="50"/>
      <c r="BR470" s="146">
        <f t="array" ref="BR470">IFERROR(LARGE(IF(NF!$G$2:$G$3137='Mês atual'!A470,NF!$J$2:$J$3137),1),0)</f>
        <v>0</v>
      </c>
      <c r="BS470" s="142" t="str">
        <f>VLOOKUP(A470,NF!M:O,3,0)</f>
        <v>Hortifruti</v>
      </c>
      <c r="BV470" s="74">
        <f t="shared" si="322"/>
        <v>0</v>
      </c>
      <c r="BW470" s="74">
        <f t="shared" si="323"/>
        <v>0</v>
      </c>
      <c r="BX470" s="74">
        <f t="shared" si="324"/>
        <v>0</v>
      </c>
      <c r="BY470" s="74">
        <f t="shared" si="325"/>
        <v>0</v>
      </c>
      <c r="BZ470" s="74">
        <f t="shared" si="326"/>
        <v>0</v>
      </c>
    </row>
    <row r="471" spans="1:78" x14ac:dyDescent="0.2">
      <c r="A471" s="108" t="s">
        <v>280</v>
      </c>
      <c r="B471" s="12"/>
      <c r="C471" s="9">
        <v>10.7</v>
      </c>
      <c r="D471" s="25"/>
      <c r="E471" s="10" t="str">
        <f t="shared" si="265"/>
        <v>MarçoSEMANA 1Chuchu</v>
      </c>
      <c r="F471" s="7">
        <f>SUMIF(NF!$A:$A,$E471,NF!$I:$I)</f>
        <v>18.2</v>
      </c>
      <c r="G471" s="74"/>
      <c r="H471" s="74"/>
      <c r="I471" s="74"/>
      <c r="J471" s="6">
        <v>2.1280000000000001</v>
      </c>
      <c r="K471" s="6">
        <f>5.32+2.048</f>
        <v>7.3680000000000003</v>
      </c>
      <c r="L471" s="6"/>
      <c r="M471" s="6"/>
      <c r="N471" s="7">
        <f t="shared" si="327"/>
        <v>9.4960000000000004</v>
      </c>
      <c r="O471" s="11">
        <f t="shared" si="267"/>
        <v>19.403999999999996</v>
      </c>
      <c r="P471" s="25"/>
      <c r="Q471" s="10" t="str">
        <f t="shared" si="268"/>
        <v>MarçoSEMANA 2Chuchu</v>
      </c>
      <c r="R471" s="7">
        <f>SUMIF(NF!$A:$A,$Q471,NF!$I:$I)</f>
        <v>0</v>
      </c>
      <c r="S471" s="6"/>
      <c r="T471" s="6">
        <v>2.5</v>
      </c>
      <c r="U471" s="6"/>
      <c r="V471" s="6">
        <v>5.24</v>
      </c>
      <c r="W471" s="6">
        <v>2.08</v>
      </c>
      <c r="X471" s="6">
        <v>4.3</v>
      </c>
      <c r="Y471" s="6">
        <v>2.1480000000000001</v>
      </c>
      <c r="Z471" s="7">
        <f t="shared" si="328"/>
        <v>16.268000000000001</v>
      </c>
      <c r="AA471" s="11">
        <f t="shared" si="270"/>
        <v>3.1359999999999957</v>
      </c>
      <c r="AB471" s="25"/>
      <c r="AC471" s="10" t="str">
        <f t="shared" si="271"/>
        <v>MarçoSEMANA 3Chuchu</v>
      </c>
      <c r="AD471" s="7">
        <f>SUMIF(NF!$A:$A,$AC471,NF!$I:$I)</f>
        <v>16.2</v>
      </c>
      <c r="AE471" s="6">
        <v>2.1800000000000002</v>
      </c>
      <c r="AF471" s="6">
        <v>4</v>
      </c>
      <c r="AG471" s="6">
        <v>6.28</v>
      </c>
      <c r="AH471" s="6"/>
      <c r="AI471" s="6"/>
      <c r="AJ471" s="6"/>
      <c r="AK471" s="6"/>
      <c r="AL471" s="7">
        <f t="shared" si="329"/>
        <v>12.46</v>
      </c>
      <c r="AM471" s="11">
        <f t="shared" si="273"/>
        <v>6.8759999999999941</v>
      </c>
      <c r="AN471" s="25"/>
      <c r="AO471" s="10" t="str">
        <f t="shared" si="274"/>
        <v>MarçoSEMANA 4Chuchu</v>
      </c>
      <c r="AP471" s="7">
        <f>SUMIF(NF!$A:$A,$AO471,NF!$I:$I)</f>
        <v>19.059999999999999</v>
      </c>
      <c r="AQ471" s="6">
        <f>2+1</f>
        <v>3</v>
      </c>
      <c r="AR471" s="6">
        <f>4.24+2.16</f>
        <v>6.4</v>
      </c>
      <c r="AS471" s="6"/>
      <c r="AT471" s="6">
        <f>2.8+1</f>
        <v>3.8</v>
      </c>
      <c r="AU471" s="6">
        <f>2.07</f>
        <v>2.0699999999999998</v>
      </c>
      <c r="AV471" s="6">
        <f>3.56+1</f>
        <v>4.5600000000000005</v>
      </c>
      <c r="AW471" s="6"/>
      <c r="AX471" s="7">
        <f t="shared" si="330"/>
        <v>19.829999999999998</v>
      </c>
      <c r="AY471" s="11">
        <f t="shared" si="276"/>
        <v>6.1059999999999945</v>
      </c>
      <c r="AZ471" s="25"/>
      <c r="BA471" s="10" t="str">
        <f t="shared" si="277"/>
        <v>MarçoSEMANA 5Chuchu</v>
      </c>
      <c r="BB471" s="7">
        <f>SUMIF(NF!$A:$A,$BA471,NF!$I:$I)</f>
        <v>16.96</v>
      </c>
      <c r="BC471" s="6">
        <f>1.58+1</f>
        <v>2.58</v>
      </c>
      <c r="BD471" s="6">
        <f>4.18+1</f>
        <v>5.18</v>
      </c>
      <c r="BE471" s="6"/>
      <c r="BF471" s="6"/>
      <c r="BG471" s="6"/>
      <c r="BH471" s="6">
        <f>2.36+0.71</f>
        <v>3.07</v>
      </c>
      <c r="BI471" s="74"/>
      <c r="BJ471" s="74"/>
      <c r="BK471" s="7">
        <f t="shared" si="331"/>
        <v>10.83</v>
      </c>
      <c r="BL471" s="8">
        <f t="shared" si="279"/>
        <v>12.235999999999995</v>
      </c>
      <c r="BM471" s="51" t="str">
        <f>IFERROR(VLOOKUP(A471,NF!$M:$O,3,0),"")</f>
        <v>Hortifruti</v>
      </c>
      <c r="BN471" s="7">
        <f t="shared" si="280"/>
        <v>68.884</v>
      </c>
      <c r="BO471" s="8">
        <f t="array" ref="BO471">IFERROR(LARGE(IF(NF!$G$2:$G$3137='Mês atual'!A471,NF!$J$2:$J$3137),1),0)*BN471</f>
        <v>106.30246913580247</v>
      </c>
      <c r="BP471" s="50"/>
      <c r="BR471" s="146">
        <f t="array" ref="BR471">IFERROR(LARGE(IF(NF!$G$2:$G$3137='Mês atual'!A471,NF!$J$2:$J$3137),1),0)</f>
        <v>1.5432098765432098</v>
      </c>
      <c r="BS471" s="142" t="str">
        <f>VLOOKUP(A471,NF!M:O,3,0)</f>
        <v>Hortifruti</v>
      </c>
      <c r="BV471" s="74">
        <f t="shared" si="322"/>
        <v>9.4960000000000004</v>
      </c>
      <c r="BW471" s="74">
        <f t="shared" si="323"/>
        <v>16.268000000000001</v>
      </c>
      <c r="BX471" s="74">
        <f t="shared" si="324"/>
        <v>12.46</v>
      </c>
      <c r="BY471" s="74">
        <f t="shared" si="325"/>
        <v>19.829999999999998</v>
      </c>
      <c r="BZ471" s="74">
        <f t="shared" si="326"/>
        <v>10.83</v>
      </c>
    </row>
    <row r="472" spans="1:78" x14ac:dyDescent="0.25">
      <c r="A472" s="108" t="s">
        <v>281</v>
      </c>
      <c r="B472" s="12"/>
      <c r="C472" s="9">
        <v>0</v>
      </c>
      <c r="D472" s="25"/>
      <c r="E472" s="10" t="str">
        <f t="shared" si="265"/>
        <v>MarçoSEMANA 1Chuchu Orgânico</v>
      </c>
      <c r="F472" s="7">
        <f>SUMIF(NF!$A:$A,$E472,NF!$I:$I)</f>
        <v>0</v>
      </c>
      <c r="G472" s="74"/>
      <c r="H472" s="74"/>
      <c r="I472" s="74"/>
      <c r="J472" s="6"/>
      <c r="K472" s="6"/>
      <c r="L472" s="6"/>
      <c r="M472" s="6"/>
      <c r="N472" s="7">
        <f t="shared" si="327"/>
        <v>0</v>
      </c>
      <c r="O472" s="11">
        <f t="shared" si="267"/>
        <v>0</v>
      </c>
      <c r="P472" s="25"/>
      <c r="Q472" s="10" t="str">
        <f t="shared" si="268"/>
        <v>MarçoSEMANA 2Chuchu Orgânico</v>
      </c>
      <c r="R472" s="7">
        <f>SUMIF(NF!$A:$A,$Q472,NF!$I:$I)</f>
        <v>0</v>
      </c>
      <c r="S472" s="6"/>
      <c r="T472" s="6"/>
      <c r="U472" s="6"/>
      <c r="V472" s="6"/>
      <c r="W472" s="6"/>
      <c r="X472" s="6"/>
      <c r="Y472" s="6"/>
      <c r="Z472" s="7">
        <f t="shared" si="328"/>
        <v>0</v>
      </c>
      <c r="AA472" s="11">
        <f t="shared" si="270"/>
        <v>0</v>
      </c>
      <c r="AB472" s="25"/>
      <c r="AC472" s="10" t="str">
        <f t="shared" si="271"/>
        <v>MarçoSEMANA 3Chuchu Orgânico</v>
      </c>
      <c r="AD472" s="7">
        <f>SUMIF(NF!$A:$A,$AC472,NF!$I:$I)</f>
        <v>0</v>
      </c>
      <c r="AE472" s="6"/>
      <c r="AF472" s="6"/>
      <c r="AG472" s="6"/>
      <c r="AH472" s="6"/>
      <c r="AI472" s="6"/>
      <c r="AJ472" s="6"/>
      <c r="AK472" s="6"/>
      <c r="AL472" s="7">
        <f t="shared" si="329"/>
        <v>0</v>
      </c>
      <c r="AM472" s="11">
        <f t="shared" si="273"/>
        <v>0</v>
      </c>
      <c r="AN472" s="25"/>
      <c r="AO472" s="10" t="str">
        <f t="shared" si="274"/>
        <v>MarçoSEMANA 4Chuchu Orgânico</v>
      </c>
      <c r="AP472" s="7">
        <f>SUMIF(NF!$A:$A,$AO472,NF!$I:$I)</f>
        <v>0</v>
      </c>
      <c r="AQ472" s="6"/>
      <c r="AR472" s="6"/>
      <c r="AS472" s="6"/>
      <c r="AT472" s="6"/>
      <c r="AU472" s="6"/>
      <c r="AV472" s="6"/>
      <c r="AW472" s="6"/>
      <c r="AX472" s="7">
        <f t="shared" si="330"/>
        <v>0</v>
      </c>
      <c r="AY472" s="11">
        <f t="shared" si="276"/>
        <v>0</v>
      </c>
      <c r="AZ472" s="25"/>
      <c r="BA472" s="10" t="str">
        <f t="shared" si="277"/>
        <v>MarçoSEMANA 5Chuchu Orgânico</v>
      </c>
      <c r="BB472" s="7">
        <f>SUMIF(NF!$A:$A,$BA472,NF!$I:$I)</f>
        <v>0</v>
      </c>
      <c r="BC472" s="6"/>
      <c r="BD472" s="6"/>
      <c r="BE472" s="6"/>
      <c r="BF472" s="6"/>
      <c r="BG472" s="6"/>
      <c r="BH472" s="6"/>
      <c r="BI472" s="74"/>
      <c r="BJ472" s="74"/>
      <c r="BK472" s="7">
        <f t="shared" si="331"/>
        <v>0</v>
      </c>
      <c r="BL472" s="8">
        <f t="shared" si="279"/>
        <v>0</v>
      </c>
      <c r="BM472" s="51" t="str">
        <f>IFERROR(VLOOKUP(A472,NF!$M:$O,3,0),"")</f>
        <v>Hortifruti</v>
      </c>
      <c r="BN472" s="7">
        <f t="shared" si="280"/>
        <v>0</v>
      </c>
      <c r="BO472" s="8">
        <f t="array" ref="BO472">IFERROR(LARGE(IF(NF!$G$2:$G$3137='Mês atual'!A472,NF!$J$2:$J$3137),1),0)*BN472</f>
        <v>0</v>
      </c>
      <c r="BP472" s="50"/>
      <c r="BR472" s="146">
        <f t="array" ref="BR472">IFERROR(LARGE(IF(NF!$G$2:$G$3137='Mês atual'!A472,NF!$J$2:$J$3137),1),0)</f>
        <v>0</v>
      </c>
      <c r="BS472" s="142" t="str">
        <f>VLOOKUP(A472,NF!M:O,3,0)</f>
        <v>Hortifruti</v>
      </c>
      <c r="BV472" s="74">
        <f t="shared" si="322"/>
        <v>0</v>
      </c>
      <c r="BW472" s="74">
        <f t="shared" si="323"/>
        <v>0</v>
      </c>
      <c r="BX472" s="74">
        <f t="shared" si="324"/>
        <v>0</v>
      </c>
      <c r="BY472" s="74">
        <f t="shared" si="325"/>
        <v>0</v>
      </c>
      <c r="BZ472" s="74">
        <f t="shared" si="326"/>
        <v>0</v>
      </c>
    </row>
    <row r="473" spans="1:78" x14ac:dyDescent="0.25">
      <c r="A473" s="108" t="s">
        <v>287</v>
      </c>
      <c r="B473" s="12"/>
      <c r="C473" s="9">
        <v>0</v>
      </c>
      <c r="D473" s="25"/>
      <c r="E473" s="10" t="str">
        <f t="shared" si="265"/>
        <v>MarçoSEMANA 1Côco Seco</v>
      </c>
      <c r="F473" s="7">
        <f>SUMIF(NF!$A:$A,$E473,NF!$I:$I)</f>
        <v>0</v>
      </c>
      <c r="G473" s="74"/>
      <c r="H473" s="74"/>
      <c r="I473" s="74"/>
      <c r="J473" s="6"/>
      <c r="K473" s="6"/>
      <c r="L473" s="6"/>
      <c r="M473" s="6"/>
      <c r="N473" s="7">
        <f>SUM(G473:M473)</f>
        <v>0</v>
      </c>
      <c r="O473" s="11">
        <f t="shared" si="267"/>
        <v>0</v>
      </c>
      <c r="P473" s="25"/>
      <c r="Q473" s="10" t="str">
        <f t="shared" si="268"/>
        <v>MarçoSEMANA 2Côco Seco</v>
      </c>
      <c r="R473" s="7">
        <f>SUMIF(NF!$A:$A,$Q473,NF!$I:$I)</f>
        <v>4</v>
      </c>
      <c r="S473" s="6">
        <v>2</v>
      </c>
      <c r="T473" s="6">
        <v>2</v>
      </c>
      <c r="U473" s="6"/>
      <c r="V473" s="6"/>
      <c r="W473" s="6"/>
      <c r="X473" s="6"/>
      <c r="Y473" s="6"/>
      <c r="Z473" s="7">
        <f>SUM(S473:Y473)</f>
        <v>4</v>
      </c>
      <c r="AA473" s="11">
        <f t="shared" si="270"/>
        <v>0</v>
      </c>
      <c r="AB473" s="25"/>
      <c r="AC473" s="10" t="str">
        <f t="shared" si="271"/>
        <v>MarçoSEMANA 3Côco Seco</v>
      </c>
      <c r="AD473" s="7">
        <f>SUMIF(NF!$A:$A,$AC473,NF!$I:$I)</f>
        <v>3</v>
      </c>
      <c r="AE473" s="6"/>
      <c r="AF473" s="6"/>
      <c r="AG473" s="6"/>
      <c r="AH473" s="6"/>
      <c r="AI473" s="6">
        <v>3</v>
      </c>
      <c r="AJ473" s="6"/>
      <c r="AK473" s="6"/>
      <c r="AL473" s="7">
        <f>SUM(AE473:AK473)</f>
        <v>3</v>
      </c>
      <c r="AM473" s="11">
        <f t="shared" si="273"/>
        <v>0</v>
      </c>
      <c r="AN473" s="25"/>
      <c r="AO473" s="10" t="str">
        <f t="shared" si="274"/>
        <v>MarçoSEMANA 4Côco Seco</v>
      </c>
      <c r="AP473" s="7">
        <f>SUMIF(NF!$A:$A,$AO473,NF!$I:$I)</f>
        <v>0</v>
      </c>
      <c r="AQ473" s="6"/>
      <c r="AR473" s="6"/>
      <c r="AS473" s="6"/>
      <c r="AT473" s="6"/>
      <c r="AU473" s="6"/>
      <c r="AV473" s="6"/>
      <c r="AW473" s="6"/>
      <c r="AX473" s="7">
        <f>SUM(AQ473:AW473)</f>
        <v>0</v>
      </c>
      <c r="AY473" s="11">
        <f t="shared" si="276"/>
        <v>0</v>
      </c>
      <c r="AZ473" s="25"/>
      <c r="BA473" s="10" t="str">
        <f t="shared" si="277"/>
        <v>MarçoSEMANA 5Côco Seco</v>
      </c>
      <c r="BB473" s="7">
        <f>SUMIF(NF!$A:$A,$BA473,NF!$I:$I)</f>
        <v>3</v>
      </c>
      <c r="BC473" s="6"/>
      <c r="BD473" s="6">
        <v>3</v>
      </c>
      <c r="BE473" s="6"/>
      <c r="BF473" s="6"/>
      <c r="BG473" s="6"/>
      <c r="BH473" s="6"/>
      <c r="BI473" s="74"/>
      <c r="BJ473" s="74"/>
      <c r="BK473" s="7">
        <f>SUM(BC473:BJ473)</f>
        <v>3</v>
      </c>
      <c r="BL473" s="8">
        <f t="shared" si="279"/>
        <v>0</v>
      </c>
      <c r="BM473" s="51" t="str">
        <f>IFERROR(VLOOKUP(A473,NF!$M:$O,3,0),"")</f>
        <v>Mercado</v>
      </c>
      <c r="BN473" s="7">
        <f t="shared" si="280"/>
        <v>10</v>
      </c>
      <c r="BO473" s="8">
        <f t="array" ref="BO473">IFERROR(LARGE(IF(NF!$G$2:$G$3137='Mês atual'!A473,NF!$J$2:$J$3137),1),0)*BN473</f>
        <v>69</v>
      </c>
      <c r="BP473" s="50"/>
      <c r="BR473" s="146">
        <f t="array" ref="BR473">IFERROR(LARGE(IF(NF!$G$2:$G$3137='Mês atual'!A473,NF!$J$2:$J$3137),1),0)</f>
        <v>6.9</v>
      </c>
      <c r="BS473" s="142" t="str">
        <f>VLOOKUP(A473,NF!M:O,3,0)</f>
        <v>Mercado</v>
      </c>
      <c r="BV473" s="74">
        <f t="shared" si="322"/>
        <v>0</v>
      </c>
      <c r="BW473" s="74">
        <f t="shared" si="323"/>
        <v>4</v>
      </c>
      <c r="BX473" s="74">
        <f t="shared" si="324"/>
        <v>3</v>
      </c>
      <c r="BY473" s="74">
        <f t="shared" si="325"/>
        <v>0</v>
      </c>
      <c r="BZ473" s="74">
        <f t="shared" si="326"/>
        <v>3</v>
      </c>
    </row>
    <row r="474" spans="1:78" x14ac:dyDescent="0.25">
      <c r="A474" s="108" t="s">
        <v>288</v>
      </c>
      <c r="B474" s="12"/>
      <c r="C474" s="9">
        <v>10</v>
      </c>
      <c r="D474" s="25"/>
      <c r="E474" s="10" t="str">
        <f t="shared" si="265"/>
        <v>MarçoSEMANA 1Côco Verde</v>
      </c>
      <c r="F474" s="7">
        <f>SUMIF(NF!$A:$A,$E474,NF!$I:$I)</f>
        <v>65</v>
      </c>
      <c r="G474" s="74"/>
      <c r="H474" s="74"/>
      <c r="I474" s="74"/>
      <c r="J474" s="6">
        <v>20</v>
      </c>
      <c r="K474" s="6">
        <v>15</v>
      </c>
      <c r="L474" s="6">
        <v>20</v>
      </c>
      <c r="M474" s="6">
        <v>20</v>
      </c>
      <c r="N474" s="7">
        <f t="shared" si="327"/>
        <v>75</v>
      </c>
      <c r="O474" s="11">
        <f t="shared" si="267"/>
        <v>0</v>
      </c>
      <c r="P474" s="25"/>
      <c r="Q474" s="10" t="str">
        <f t="shared" si="268"/>
        <v>MarçoSEMANA 2Côco Verde</v>
      </c>
      <c r="R474" s="7">
        <f>SUMIF(NF!$A:$A,$Q474,NF!$I:$I)</f>
        <v>98</v>
      </c>
      <c r="S474" s="6">
        <v>15</v>
      </c>
      <c r="T474" s="6"/>
      <c r="U474" s="6">
        <v>15</v>
      </c>
      <c r="V474" s="6">
        <v>15</v>
      </c>
      <c r="W474" s="6">
        <v>13</v>
      </c>
      <c r="X474" s="6">
        <v>15</v>
      </c>
      <c r="Y474" s="6">
        <v>15</v>
      </c>
      <c r="Z474" s="7">
        <f t="shared" si="328"/>
        <v>88</v>
      </c>
      <c r="AA474" s="11">
        <f t="shared" si="270"/>
        <v>10</v>
      </c>
      <c r="AB474" s="25"/>
      <c r="AC474" s="10" t="str">
        <f t="shared" si="271"/>
        <v>MarçoSEMANA 3Côco Verde</v>
      </c>
      <c r="AD474" s="7">
        <f>SUMIF(NF!$A:$A,$AC474,NF!$I:$I)</f>
        <v>75</v>
      </c>
      <c r="AE474" s="6">
        <v>10</v>
      </c>
      <c r="AF474" s="6"/>
      <c r="AG474" s="6">
        <v>15</v>
      </c>
      <c r="AH474" s="6">
        <v>15</v>
      </c>
      <c r="AI474" s="6">
        <v>10</v>
      </c>
      <c r="AJ474" s="6">
        <v>10</v>
      </c>
      <c r="AK474" s="6">
        <v>15</v>
      </c>
      <c r="AL474" s="7">
        <f t="shared" si="329"/>
        <v>75</v>
      </c>
      <c r="AM474" s="11">
        <f t="shared" si="273"/>
        <v>10</v>
      </c>
      <c r="AN474" s="25"/>
      <c r="AO474" s="10" t="str">
        <f t="shared" si="274"/>
        <v>MarçoSEMANA 4Côco Verde</v>
      </c>
      <c r="AP474" s="7">
        <f>SUMIF(NF!$A:$A,$AO474,NF!$I:$I)</f>
        <v>95</v>
      </c>
      <c r="AQ474" s="6">
        <v>20</v>
      </c>
      <c r="AR474" s="6">
        <v>20</v>
      </c>
      <c r="AS474" s="6">
        <v>15</v>
      </c>
      <c r="AT474" s="6"/>
      <c r="AU474" s="6">
        <v>15</v>
      </c>
      <c r="AV474" s="6">
        <v>15</v>
      </c>
      <c r="AW474" s="6">
        <v>10</v>
      </c>
      <c r="AX474" s="7">
        <f t="shared" si="330"/>
        <v>95</v>
      </c>
      <c r="AY474" s="11">
        <f t="shared" si="276"/>
        <v>10</v>
      </c>
      <c r="AZ474" s="25"/>
      <c r="BA474" s="10" t="str">
        <f t="shared" si="277"/>
        <v>MarçoSEMANA 5Côco Verde</v>
      </c>
      <c r="BB474" s="7">
        <f>SUMIF(NF!$A:$A,$BA474,NF!$I:$I)</f>
        <v>115</v>
      </c>
      <c r="BC474" s="6">
        <f>10+10</f>
        <v>20</v>
      </c>
      <c r="BD474" s="6">
        <v>20</v>
      </c>
      <c r="BE474" s="6">
        <v>15</v>
      </c>
      <c r="BF474" s="6">
        <v>10</v>
      </c>
      <c r="BG474" s="6">
        <v>20</v>
      </c>
      <c r="BH474" s="6">
        <v>15</v>
      </c>
      <c r="BI474" s="74"/>
      <c r="BJ474" s="74"/>
      <c r="BK474" s="7">
        <f t="shared" si="331"/>
        <v>100</v>
      </c>
      <c r="BL474" s="8">
        <f t="shared" si="279"/>
        <v>25</v>
      </c>
      <c r="BM474" s="51" t="str">
        <f>IFERROR(VLOOKUP(A474,NF!$M:$O,3,0),"")</f>
        <v>Hortifruti</v>
      </c>
      <c r="BN474" s="7">
        <f t="shared" si="280"/>
        <v>433</v>
      </c>
      <c r="BO474" s="8">
        <f t="array" ref="BO474">IFERROR(LARGE(IF(NF!$G$2:$G$3137='Mês atual'!A474,NF!$J$2:$J$3137),1),0)*BN474</f>
        <v>1060.8500000000001</v>
      </c>
      <c r="BP474" s="50"/>
      <c r="BR474" s="146">
        <f t="array" ref="BR474">IFERROR(LARGE(IF(NF!$G$2:$G$3137='Mês atual'!A474,NF!$J$2:$J$3137),1),0)</f>
        <v>2.4500000000000002</v>
      </c>
      <c r="BS474" s="142" t="str">
        <f>VLOOKUP(A474,NF!M:O,3,0)</f>
        <v>Hortifruti</v>
      </c>
      <c r="BV474" s="74">
        <f t="shared" si="322"/>
        <v>75</v>
      </c>
      <c r="BW474" s="74">
        <f t="shared" si="323"/>
        <v>88</v>
      </c>
      <c r="BX474" s="74">
        <f t="shared" si="324"/>
        <v>75</v>
      </c>
      <c r="BY474" s="74">
        <f t="shared" si="325"/>
        <v>95</v>
      </c>
      <c r="BZ474" s="74">
        <f t="shared" si="326"/>
        <v>100</v>
      </c>
    </row>
    <row r="475" spans="1:78" x14ac:dyDescent="0.2">
      <c r="A475" s="108" t="s">
        <v>289</v>
      </c>
      <c r="B475" s="12"/>
      <c r="C475" s="9">
        <v>0</v>
      </c>
      <c r="D475" s="25"/>
      <c r="E475" s="10" t="str">
        <f t="shared" si="265"/>
        <v>MarçoSEMANA 1Coentro</v>
      </c>
      <c r="F475" s="7">
        <f>SUMIF(NF!$A:$A,$E475,NF!$I:$I)</f>
        <v>0.5</v>
      </c>
      <c r="G475" s="74"/>
      <c r="H475" s="74"/>
      <c r="I475" s="74"/>
      <c r="J475" s="6"/>
      <c r="K475" s="6"/>
      <c r="L475" s="6"/>
      <c r="M475" s="6">
        <v>0.5</v>
      </c>
      <c r="N475" s="7">
        <f t="shared" si="327"/>
        <v>0.5</v>
      </c>
      <c r="O475" s="11">
        <f t="shared" si="267"/>
        <v>0</v>
      </c>
      <c r="P475" s="25"/>
      <c r="Q475" s="10" t="str">
        <f t="shared" si="268"/>
        <v>MarçoSEMANA 2Coentro</v>
      </c>
      <c r="R475" s="7">
        <f>SUMIF(NF!$A:$A,$Q475,NF!$I:$I)</f>
        <v>2.7</v>
      </c>
      <c r="S475" s="6">
        <v>0.2</v>
      </c>
      <c r="T475" s="6">
        <v>0.5</v>
      </c>
      <c r="U475" s="6"/>
      <c r="V475" s="6">
        <v>0.7</v>
      </c>
      <c r="W475" s="6">
        <v>0.3</v>
      </c>
      <c r="X475" s="6">
        <v>0.5</v>
      </c>
      <c r="Y475" s="6">
        <v>0.5</v>
      </c>
      <c r="Z475" s="7">
        <f t="shared" si="328"/>
        <v>2.7</v>
      </c>
      <c r="AA475" s="11">
        <f t="shared" si="270"/>
        <v>0</v>
      </c>
      <c r="AB475" s="25"/>
      <c r="AC475" s="10" t="str">
        <f t="shared" si="271"/>
        <v>MarçoSEMANA 3Coentro</v>
      </c>
      <c r="AD475" s="7">
        <f>SUMIF(NF!$A:$A,$AC475,NF!$I:$I)</f>
        <v>2</v>
      </c>
      <c r="AE475" s="6">
        <v>0.3</v>
      </c>
      <c r="AF475" s="6">
        <v>0.8</v>
      </c>
      <c r="AG475" s="6">
        <v>0.3</v>
      </c>
      <c r="AH475" s="6">
        <v>0.3</v>
      </c>
      <c r="AI475" s="6"/>
      <c r="AJ475" s="6"/>
      <c r="AK475" s="6">
        <v>0.3</v>
      </c>
      <c r="AL475" s="7">
        <f t="shared" si="329"/>
        <v>2</v>
      </c>
      <c r="AM475" s="11">
        <f t="shared" si="273"/>
        <v>0</v>
      </c>
      <c r="AN475" s="25"/>
      <c r="AO475" s="10" t="str">
        <f t="shared" si="274"/>
        <v>MarçoSEMANA 4Coentro</v>
      </c>
      <c r="AP475" s="7">
        <f>SUMIF(NF!$A:$A,$AO475,NF!$I:$I)</f>
        <v>1.9000000000000001</v>
      </c>
      <c r="AQ475" s="6"/>
      <c r="AR475" s="6">
        <v>0.3</v>
      </c>
      <c r="AS475" s="6"/>
      <c r="AT475" s="6">
        <v>0.3</v>
      </c>
      <c r="AU475" s="6">
        <v>0.5</v>
      </c>
      <c r="AV475" s="6"/>
      <c r="AW475" s="6">
        <v>0.8</v>
      </c>
      <c r="AX475" s="7">
        <f t="shared" si="330"/>
        <v>1.9000000000000001</v>
      </c>
      <c r="AY475" s="11">
        <f t="shared" si="276"/>
        <v>0</v>
      </c>
      <c r="AZ475" s="25"/>
      <c r="BA475" s="10" t="str">
        <f t="shared" si="277"/>
        <v>MarçoSEMANA 5Coentro</v>
      </c>
      <c r="BB475" s="7">
        <f>SUMIF(NF!$A:$A,$BA475,NF!$I:$I)</f>
        <v>2.4000000000000004</v>
      </c>
      <c r="BC475" s="6">
        <v>0.5</v>
      </c>
      <c r="BD475" s="6"/>
      <c r="BE475" s="6">
        <v>0.5</v>
      </c>
      <c r="BF475" s="6">
        <v>0.6</v>
      </c>
      <c r="BG475" s="6">
        <v>0.3</v>
      </c>
      <c r="BH475" s="6"/>
      <c r="BI475" s="74"/>
      <c r="BJ475" s="74"/>
      <c r="BK475" s="7">
        <f t="shared" si="331"/>
        <v>1.9000000000000001</v>
      </c>
      <c r="BL475" s="8">
        <f t="shared" si="279"/>
        <v>0.50000000000000022</v>
      </c>
      <c r="BM475" s="51" t="str">
        <f>IFERROR(VLOOKUP(A475,NF!$M:$O,3,0),"")</f>
        <v>Hortifruti</v>
      </c>
      <c r="BN475" s="7">
        <f t="shared" si="280"/>
        <v>9</v>
      </c>
      <c r="BO475" s="8">
        <f t="array" ref="BO475">IFERROR(LARGE(IF(NF!$G$2:$G$3137='Mês atual'!A475,NF!$J$2:$J$3137),1),0)*BN475</f>
        <v>270</v>
      </c>
      <c r="BP475" s="50"/>
      <c r="BR475" s="146">
        <f t="array" ref="BR475">IFERROR(LARGE(IF(NF!$G$2:$G$3137='Mês atual'!A475,NF!$J$2:$J$3137),1),0)</f>
        <v>30</v>
      </c>
      <c r="BS475" s="142" t="str">
        <f>VLOOKUP(A475,NF!M:O,3,0)</f>
        <v>Hortifruti</v>
      </c>
      <c r="BV475" s="74">
        <f t="shared" si="322"/>
        <v>0.5</v>
      </c>
      <c r="BW475" s="74">
        <f t="shared" si="323"/>
        <v>2.7</v>
      </c>
      <c r="BX475" s="74">
        <f t="shared" si="324"/>
        <v>2</v>
      </c>
      <c r="BY475" s="74">
        <f t="shared" si="325"/>
        <v>1.9000000000000001</v>
      </c>
      <c r="BZ475" s="74">
        <f t="shared" si="326"/>
        <v>1.9000000000000001</v>
      </c>
    </row>
    <row r="476" spans="1:78" x14ac:dyDescent="0.25">
      <c r="A476" s="108" t="s">
        <v>290</v>
      </c>
      <c r="B476" s="12"/>
      <c r="C476" s="9">
        <v>0</v>
      </c>
      <c r="D476" s="25"/>
      <c r="E476" s="10" t="str">
        <f t="shared" si="265"/>
        <v>MarçoSEMANA 1Coentro Orgânico</v>
      </c>
      <c r="F476" s="7">
        <f>SUMIF(NF!$A:$A,$E476,NF!$I:$I)</f>
        <v>0</v>
      </c>
      <c r="G476" s="74"/>
      <c r="H476" s="74"/>
      <c r="I476" s="74"/>
      <c r="J476" s="6"/>
      <c r="K476" s="6"/>
      <c r="L476" s="6"/>
      <c r="M476" s="6"/>
      <c r="N476" s="7">
        <f t="shared" si="327"/>
        <v>0</v>
      </c>
      <c r="O476" s="11">
        <f t="shared" si="267"/>
        <v>0</v>
      </c>
      <c r="P476" s="25"/>
      <c r="Q476" s="10" t="str">
        <f t="shared" si="268"/>
        <v>MarçoSEMANA 2Coentro Orgânico</v>
      </c>
      <c r="R476" s="7">
        <f>SUMIF(NF!$A:$A,$Q476,NF!$I:$I)</f>
        <v>0</v>
      </c>
      <c r="S476" s="6"/>
      <c r="T476" s="6"/>
      <c r="U476" s="6"/>
      <c r="V476" s="6"/>
      <c r="W476" s="6"/>
      <c r="X476" s="6"/>
      <c r="Y476" s="6"/>
      <c r="Z476" s="7">
        <f t="shared" si="328"/>
        <v>0</v>
      </c>
      <c r="AA476" s="11">
        <f t="shared" si="270"/>
        <v>0</v>
      </c>
      <c r="AB476" s="25"/>
      <c r="AC476" s="10" t="str">
        <f t="shared" si="271"/>
        <v>MarçoSEMANA 3Coentro Orgânico</v>
      </c>
      <c r="AD476" s="7">
        <f>SUMIF(NF!$A:$A,$AC476,NF!$I:$I)</f>
        <v>0</v>
      </c>
      <c r="AE476" s="6"/>
      <c r="AF476" s="6"/>
      <c r="AG476" s="6"/>
      <c r="AH476" s="6"/>
      <c r="AI476" s="6"/>
      <c r="AJ476" s="6"/>
      <c r="AK476" s="6"/>
      <c r="AL476" s="7">
        <f t="shared" si="329"/>
        <v>0</v>
      </c>
      <c r="AM476" s="11">
        <f t="shared" si="273"/>
        <v>0</v>
      </c>
      <c r="AN476" s="25"/>
      <c r="AO476" s="10" t="str">
        <f t="shared" si="274"/>
        <v>MarçoSEMANA 4Coentro Orgânico</v>
      </c>
      <c r="AP476" s="7">
        <f>SUMIF(NF!$A:$A,$AO476,NF!$I:$I)</f>
        <v>0</v>
      </c>
      <c r="AQ476" s="6"/>
      <c r="AR476" s="6"/>
      <c r="AS476" s="6"/>
      <c r="AT476" s="6"/>
      <c r="AU476" s="6"/>
      <c r="AV476" s="6"/>
      <c r="AW476" s="6"/>
      <c r="AX476" s="7">
        <f t="shared" si="330"/>
        <v>0</v>
      </c>
      <c r="AY476" s="11">
        <f t="shared" si="276"/>
        <v>0</v>
      </c>
      <c r="AZ476" s="25"/>
      <c r="BA476" s="10" t="str">
        <f t="shared" si="277"/>
        <v>MarçoSEMANA 5Coentro Orgânico</v>
      </c>
      <c r="BB476" s="7">
        <f>SUMIF(NF!$A:$A,$BA476,NF!$I:$I)</f>
        <v>0</v>
      </c>
      <c r="BC476" s="6"/>
      <c r="BD476" s="6"/>
      <c r="BE476" s="6"/>
      <c r="BF476" s="6"/>
      <c r="BG476" s="6"/>
      <c r="BH476" s="6"/>
      <c r="BI476" s="74"/>
      <c r="BJ476" s="74"/>
      <c r="BK476" s="7">
        <f t="shared" si="331"/>
        <v>0</v>
      </c>
      <c r="BL476" s="8">
        <f t="shared" si="279"/>
        <v>0</v>
      </c>
      <c r="BM476" s="51" t="str">
        <f>IFERROR(VLOOKUP(A476,NF!$M:$O,3,0),"")</f>
        <v>Hortifruti</v>
      </c>
      <c r="BN476" s="7">
        <f t="shared" si="280"/>
        <v>0</v>
      </c>
      <c r="BO476" s="8">
        <f t="array" ref="BO476">IFERROR(LARGE(IF(NF!$G$2:$G$3137='Mês atual'!A476,NF!$J$2:$J$3137),1),0)*BN476</f>
        <v>0</v>
      </c>
      <c r="BP476" s="50"/>
      <c r="BR476" s="146">
        <f t="array" ref="BR476">IFERROR(LARGE(IF(NF!$G$2:$G$3137='Mês atual'!A476,NF!$J$2:$J$3137),1),0)</f>
        <v>0</v>
      </c>
      <c r="BS476" s="142" t="str">
        <f>VLOOKUP(A476,NF!M:O,3,0)</f>
        <v>Hortifruti</v>
      </c>
      <c r="BV476" s="74">
        <f t="shared" si="322"/>
        <v>0</v>
      </c>
      <c r="BW476" s="74">
        <f t="shared" si="323"/>
        <v>0</v>
      </c>
      <c r="BX476" s="74">
        <f t="shared" si="324"/>
        <v>0</v>
      </c>
      <c r="BY476" s="74">
        <f t="shared" si="325"/>
        <v>0</v>
      </c>
      <c r="BZ476" s="74">
        <f t="shared" si="326"/>
        <v>0</v>
      </c>
    </row>
    <row r="477" spans="1:78" x14ac:dyDescent="0.2">
      <c r="A477" s="108" t="s">
        <v>305</v>
      </c>
      <c r="B477" s="12"/>
      <c r="C477" s="9">
        <v>0</v>
      </c>
      <c r="D477" s="25"/>
      <c r="E477" s="10" t="str">
        <f t="shared" si="265"/>
        <v>MarçoSEMANA 1Couve de Bruxelas</v>
      </c>
      <c r="F477" s="7">
        <f>SUMIF(NF!$A:$A,$E477,NF!$I:$I)</f>
        <v>0</v>
      </c>
      <c r="G477" s="74"/>
      <c r="H477" s="74"/>
      <c r="I477" s="74"/>
      <c r="J477" s="6"/>
      <c r="K477" s="6"/>
      <c r="L477" s="6"/>
      <c r="M477" s="6"/>
      <c r="N477" s="7">
        <f t="shared" si="327"/>
        <v>0</v>
      </c>
      <c r="O477" s="11">
        <f t="shared" si="267"/>
        <v>0</v>
      </c>
      <c r="P477" s="25"/>
      <c r="Q477" s="10" t="str">
        <f t="shared" si="268"/>
        <v>MarçoSEMANA 2Couve de Bruxelas</v>
      </c>
      <c r="R477" s="7">
        <f>SUMIF(NF!$A:$A,$Q477,NF!$I:$I)</f>
        <v>0</v>
      </c>
      <c r="S477" s="6"/>
      <c r="T477" s="6"/>
      <c r="U477" s="6"/>
      <c r="V477" s="6"/>
      <c r="W477" s="6"/>
      <c r="X477" s="6"/>
      <c r="Y477" s="6"/>
      <c r="Z477" s="7">
        <f t="shared" si="328"/>
        <v>0</v>
      </c>
      <c r="AA477" s="11">
        <f t="shared" si="270"/>
        <v>0</v>
      </c>
      <c r="AB477" s="25"/>
      <c r="AC477" s="10" t="str">
        <f t="shared" si="271"/>
        <v>MarçoSEMANA 3Couve de Bruxelas</v>
      </c>
      <c r="AD477" s="7">
        <f>SUMIF(NF!$A:$A,$AC477,NF!$I:$I)</f>
        <v>0</v>
      </c>
      <c r="AE477" s="6"/>
      <c r="AF477" s="6"/>
      <c r="AG477" s="6"/>
      <c r="AH477" s="6"/>
      <c r="AI477" s="6"/>
      <c r="AJ477" s="6"/>
      <c r="AK477" s="6"/>
      <c r="AL477" s="7">
        <f t="shared" si="329"/>
        <v>0</v>
      </c>
      <c r="AM477" s="11">
        <f t="shared" si="273"/>
        <v>0</v>
      </c>
      <c r="AN477" s="25"/>
      <c r="AO477" s="10" t="str">
        <f t="shared" si="274"/>
        <v>MarçoSEMANA 4Couve de Bruxelas</v>
      </c>
      <c r="AP477" s="7">
        <f>SUMIF(NF!$A:$A,$AO477,NF!$I:$I)</f>
        <v>0</v>
      </c>
      <c r="AQ477" s="6"/>
      <c r="AR477" s="6"/>
      <c r="AS477" s="6"/>
      <c r="AT477" s="6"/>
      <c r="AU477" s="6"/>
      <c r="AV477" s="6"/>
      <c r="AW477" s="6"/>
      <c r="AX477" s="7">
        <f t="shared" si="330"/>
        <v>0</v>
      </c>
      <c r="AY477" s="11">
        <f t="shared" si="276"/>
        <v>0</v>
      </c>
      <c r="AZ477" s="25"/>
      <c r="BA477" s="10" t="str">
        <f t="shared" si="277"/>
        <v>MarçoSEMANA 5Couve de Bruxelas</v>
      </c>
      <c r="BB477" s="7">
        <f>SUMIF(NF!$A:$A,$BA477,NF!$I:$I)</f>
        <v>0</v>
      </c>
      <c r="BC477" s="6"/>
      <c r="BD477" s="6"/>
      <c r="BE477" s="6"/>
      <c r="BF477" s="6"/>
      <c r="BG477" s="6"/>
      <c r="BH477" s="6"/>
      <c r="BI477" s="74"/>
      <c r="BJ477" s="74"/>
      <c r="BK477" s="7">
        <f t="shared" si="331"/>
        <v>0</v>
      </c>
      <c r="BL477" s="8">
        <f t="shared" si="279"/>
        <v>0</v>
      </c>
      <c r="BM477" s="51" t="str">
        <f>IFERROR(VLOOKUP(A477,NF!$M:$O,3,0),"")</f>
        <v>Hortifruti</v>
      </c>
      <c r="BN477" s="7">
        <f t="shared" si="280"/>
        <v>0</v>
      </c>
      <c r="BO477" s="8">
        <f t="array" ref="BO477">IFERROR(LARGE(IF(NF!$G$2:$G$3137='Mês atual'!A477,NF!$J$2:$J$3137),1),0)*BN477</f>
        <v>0</v>
      </c>
      <c r="BP477" s="50"/>
      <c r="BR477" s="146">
        <f t="array" ref="BR477">IFERROR(LARGE(IF(NF!$G$2:$G$3137='Mês atual'!A477,NF!$J$2:$J$3137),1),0)</f>
        <v>0</v>
      </c>
      <c r="BS477" s="142" t="str">
        <f>VLOOKUP(A477,NF!M:O,3,0)</f>
        <v>Hortifruti</v>
      </c>
      <c r="BV477" s="74">
        <f t="shared" si="322"/>
        <v>0</v>
      </c>
      <c r="BW477" s="74">
        <f t="shared" si="323"/>
        <v>0</v>
      </c>
      <c r="BX477" s="74">
        <f t="shared" si="324"/>
        <v>0</v>
      </c>
      <c r="BY477" s="74">
        <f t="shared" si="325"/>
        <v>0</v>
      </c>
      <c r="BZ477" s="74">
        <f t="shared" si="326"/>
        <v>0</v>
      </c>
    </row>
    <row r="478" spans="1:78" x14ac:dyDescent="0.2">
      <c r="A478" s="108" t="s">
        <v>306</v>
      </c>
      <c r="B478" s="12"/>
      <c r="C478" s="9">
        <v>0</v>
      </c>
      <c r="D478" s="25"/>
      <c r="E478" s="10" t="str">
        <f t="shared" si="265"/>
        <v>MarçoSEMANA 1Couve Flor</v>
      </c>
      <c r="F478" s="7">
        <f>SUMIF(NF!$A:$A,$E478,NF!$I:$I)</f>
        <v>8</v>
      </c>
      <c r="G478" s="74"/>
      <c r="H478" s="74"/>
      <c r="I478" s="74"/>
      <c r="J478" s="6"/>
      <c r="K478" s="6">
        <v>2</v>
      </c>
      <c r="L478" s="6">
        <v>2.5</v>
      </c>
      <c r="M478" s="6">
        <v>3.5</v>
      </c>
      <c r="N478" s="7">
        <f t="shared" si="327"/>
        <v>8</v>
      </c>
      <c r="O478" s="11">
        <f t="shared" si="267"/>
        <v>0</v>
      </c>
      <c r="P478" s="25"/>
      <c r="Q478" s="10" t="str">
        <f t="shared" si="268"/>
        <v>MarçoSEMANA 2Couve Flor</v>
      </c>
      <c r="R478" s="7">
        <f>SUMIF(NF!$A:$A,$Q478,NF!$I:$I)</f>
        <v>13</v>
      </c>
      <c r="S478" s="6"/>
      <c r="T478" s="6">
        <v>4</v>
      </c>
      <c r="U478" s="6">
        <v>6</v>
      </c>
      <c r="V478" s="6"/>
      <c r="W478" s="6">
        <v>3</v>
      </c>
      <c r="X478" s="6"/>
      <c r="Y478" s="6"/>
      <c r="Z478" s="7">
        <f t="shared" si="328"/>
        <v>13</v>
      </c>
      <c r="AA478" s="11">
        <f t="shared" si="270"/>
        <v>0</v>
      </c>
      <c r="AB478" s="25"/>
      <c r="AC478" s="10" t="str">
        <f t="shared" si="271"/>
        <v>MarçoSEMANA 3Couve Flor</v>
      </c>
      <c r="AD478" s="7">
        <f>SUMIF(NF!$A:$A,$AC478,NF!$I:$I)</f>
        <v>2</v>
      </c>
      <c r="AE478" s="6"/>
      <c r="AF478" s="6"/>
      <c r="AG478" s="6"/>
      <c r="AH478" s="6"/>
      <c r="AI478" s="6"/>
      <c r="AJ478" s="6"/>
      <c r="AK478" s="6">
        <v>2</v>
      </c>
      <c r="AL478" s="7">
        <f t="shared" si="329"/>
        <v>2</v>
      </c>
      <c r="AM478" s="11">
        <f t="shared" si="273"/>
        <v>0</v>
      </c>
      <c r="AN478" s="25"/>
      <c r="AO478" s="10" t="str">
        <f t="shared" si="274"/>
        <v>MarçoSEMANA 4Couve Flor</v>
      </c>
      <c r="AP478" s="7">
        <f>SUMIF(NF!$A:$A,$AO478,NF!$I:$I)</f>
        <v>6.5</v>
      </c>
      <c r="AQ478" s="6"/>
      <c r="AR478" s="6"/>
      <c r="AS478" s="6"/>
      <c r="AT478" s="6">
        <v>2</v>
      </c>
      <c r="AU478" s="6"/>
      <c r="AV478" s="6">
        <f>2.5+2</f>
        <v>4.5</v>
      </c>
      <c r="AW478" s="6"/>
      <c r="AX478" s="7">
        <f t="shared" si="330"/>
        <v>6.5</v>
      </c>
      <c r="AY478" s="11">
        <f t="shared" si="276"/>
        <v>0</v>
      </c>
      <c r="AZ478" s="25"/>
      <c r="BA478" s="10" t="str">
        <f t="shared" si="277"/>
        <v>MarçoSEMANA 5Couve Flor</v>
      </c>
      <c r="BB478" s="7">
        <f>SUMIF(NF!$A:$A,$BA478,NF!$I:$I)</f>
        <v>9</v>
      </c>
      <c r="BC478" s="6"/>
      <c r="BD478" s="6"/>
      <c r="BE478" s="6">
        <v>2</v>
      </c>
      <c r="BF478" s="6">
        <v>4</v>
      </c>
      <c r="BG478" s="6">
        <v>3</v>
      </c>
      <c r="BH478" s="6"/>
      <c r="BI478" s="74"/>
      <c r="BJ478" s="74"/>
      <c r="BK478" s="7">
        <f t="shared" si="331"/>
        <v>9</v>
      </c>
      <c r="BL478" s="8">
        <f t="shared" si="279"/>
        <v>0</v>
      </c>
      <c r="BM478" s="51" t="str">
        <f>IFERROR(VLOOKUP(A478,NF!$M:$O,3,0),"")</f>
        <v>Hortifruti</v>
      </c>
      <c r="BN478" s="7">
        <f t="shared" si="280"/>
        <v>38.5</v>
      </c>
      <c r="BO478" s="8">
        <f t="array" ref="BO478">IFERROR(LARGE(IF(NF!$G$2:$G$3137='Mês atual'!A478,NF!$J$2:$J$3137),1),0)*BN478</f>
        <v>231</v>
      </c>
      <c r="BP478" s="50"/>
      <c r="BR478" s="146">
        <f t="array" ref="BR478">IFERROR(LARGE(IF(NF!$G$2:$G$3137='Mês atual'!A478,NF!$J$2:$J$3137),1),0)</f>
        <v>6</v>
      </c>
      <c r="BS478" s="142" t="str">
        <f>VLOOKUP(A478,NF!M:O,3,0)</f>
        <v>Hortifruti</v>
      </c>
      <c r="BV478" s="74">
        <f t="shared" si="322"/>
        <v>8</v>
      </c>
      <c r="BW478" s="74">
        <f t="shared" si="323"/>
        <v>13</v>
      </c>
      <c r="BX478" s="74">
        <f t="shared" si="324"/>
        <v>2</v>
      </c>
      <c r="BY478" s="74">
        <f t="shared" si="325"/>
        <v>6.5</v>
      </c>
      <c r="BZ478" s="74">
        <f t="shared" si="326"/>
        <v>9</v>
      </c>
    </row>
    <row r="479" spans="1:78" x14ac:dyDescent="0.2">
      <c r="A479" s="108" t="s">
        <v>307</v>
      </c>
      <c r="B479" s="12"/>
      <c r="C479" s="9">
        <v>0</v>
      </c>
      <c r="D479" s="25"/>
      <c r="E479" s="10" t="str">
        <f t="shared" si="265"/>
        <v>MarçoSEMANA 1Couve Manteiga</v>
      </c>
      <c r="F479" s="7">
        <f>SUMIF(NF!$A:$A,$E479,NF!$I:$I)</f>
        <v>12</v>
      </c>
      <c r="G479" s="74"/>
      <c r="H479" s="74"/>
      <c r="I479" s="74"/>
      <c r="J479" s="6"/>
      <c r="K479" s="6">
        <v>7</v>
      </c>
      <c r="L479" s="6">
        <v>5</v>
      </c>
      <c r="M479" s="6"/>
      <c r="N479" s="7">
        <f t="shared" si="327"/>
        <v>12</v>
      </c>
      <c r="O479" s="11">
        <f t="shared" si="267"/>
        <v>0</v>
      </c>
      <c r="P479" s="25"/>
      <c r="Q479" s="10" t="str">
        <f t="shared" si="268"/>
        <v>MarçoSEMANA 2Couve Manteiga</v>
      </c>
      <c r="R479" s="7">
        <f>SUMIF(NF!$A:$A,$Q479,NF!$I:$I)</f>
        <v>10</v>
      </c>
      <c r="S479" s="6"/>
      <c r="T479" s="6"/>
      <c r="U479" s="6"/>
      <c r="V479" s="6"/>
      <c r="W479" s="6">
        <v>6</v>
      </c>
      <c r="X479" s="6">
        <v>4</v>
      </c>
      <c r="Y479" s="6"/>
      <c r="Z479" s="7">
        <f t="shared" si="328"/>
        <v>10</v>
      </c>
      <c r="AA479" s="11">
        <f t="shared" si="270"/>
        <v>0</v>
      </c>
      <c r="AB479" s="25"/>
      <c r="AC479" s="10" t="str">
        <f t="shared" si="271"/>
        <v>MarçoSEMANA 3Couve Manteiga</v>
      </c>
      <c r="AD479" s="7">
        <f>SUMIF(NF!$A:$A,$AC479,NF!$I:$I)</f>
        <v>10.18</v>
      </c>
      <c r="AE479" s="6"/>
      <c r="AF479" s="6"/>
      <c r="AG479" s="6"/>
      <c r="AH479" s="6"/>
      <c r="AI479" s="6">
        <v>6.18</v>
      </c>
      <c r="AJ479" s="6">
        <f>3+1</f>
        <v>4</v>
      </c>
      <c r="AK479" s="6"/>
      <c r="AL479" s="7">
        <f t="shared" si="329"/>
        <v>10.18</v>
      </c>
      <c r="AM479" s="11">
        <f t="shared" si="273"/>
        <v>0</v>
      </c>
      <c r="AN479" s="25"/>
      <c r="AO479" s="10" t="str">
        <f t="shared" si="274"/>
        <v>MarçoSEMANA 4Couve Manteiga</v>
      </c>
      <c r="AP479" s="7">
        <f>SUMIF(NF!$A:$A,$AO479,NF!$I:$I)</f>
        <v>12.32</v>
      </c>
      <c r="AQ479" s="6">
        <v>0.32</v>
      </c>
      <c r="AR479" s="6"/>
      <c r="AS479" s="6"/>
      <c r="AT479" s="6"/>
      <c r="AU479" s="6">
        <v>6</v>
      </c>
      <c r="AV479" s="6">
        <v>4</v>
      </c>
      <c r="AW479" s="6">
        <v>2</v>
      </c>
      <c r="AX479" s="7">
        <f t="shared" si="330"/>
        <v>12.32</v>
      </c>
      <c r="AY479" s="11">
        <f t="shared" si="276"/>
        <v>0</v>
      </c>
      <c r="AZ479" s="25"/>
      <c r="BA479" s="10" t="str">
        <f t="shared" si="277"/>
        <v>MarçoSEMANA 5Couve Manteiga</v>
      </c>
      <c r="BB479" s="7">
        <f>SUMIF(NF!$A:$A,$BA479,NF!$I:$I)</f>
        <v>3</v>
      </c>
      <c r="BC479" s="6"/>
      <c r="BD479" s="6"/>
      <c r="BE479" s="6"/>
      <c r="BF479" s="6"/>
      <c r="BG479" s="6"/>
      <c r="BH479" s="6">
        <v>3</v>
      </c>
      <c r="BI479" s="74"/>
      <c r="BJ479" s="74"/>
      <c r="BK479" s="7">
        <f t="shared" si="331"/>
        <v>3</v>
      </c>
      <c r="BL479" s="8">
        <f t="shared" si="279"/>
        <v>0</v>
      </c>
      <c r="BM479" s="51" t="str">
        <f>IFERROR(VLOOKUP(A479,NF!$M:$O,3,0),"")</f>
        <v>Hortifruti</v>
      </c>
      <c r="BN479" s="7">
        <f t="shared" si="280"/>
        <v>47.5</v>
      </c>
      <c r="BO479" s="8">
        <f t="array" ref="BO479">IFERROR(LARGE(IF(NF!$G$2:$G$3137='Mês atual'!A479,NF!$J$2:$J$3137),1),0)*BN479</f>
        <v>742.1875</v>
      </c>
      <c r="BP479" s="50"/>
      <c r="BR479" s="146">
        <f t="array" ref="BR479">IFERROR(LARGE(IF(NF!$G$2:$G$3137='Mês atual'!A479,NF!$J$2:$J$3137),1),0)</f>
        <v>15.625</v>
      </c>
      <c r="BS479" s="142" t="str">
        <f>VLOOKUP(A479,NF!M:O,3,0)</f>
        <v>Hortifruti</v>
      </c>
      <c r="BV479" s="74">
        <f t="shared" si="322"/>
        <v>12</v>
      </c>
      <c r="BW479" s="74">
        <f t="shared" si="323"/>
        <v>10</v>
      </c>
      <c r="BX479" s="74">
        <f t="shared" si="324"/>
        <v>10.18</v>
      </c>
      <c r="BY479" s="74">
        <f t="shared" si="325"/>
        <v>12.32</v>
      </c>
      <c r="BZ479" s="74">
        <f t="shared" si="326"/>
        <v>3</v>
      </c>
    </row>
    <row r="480" spans="1:78" x14ac:dyDescent="0.25">
      <c r="A480" s="108" t="s">
        <v>308</v>
      </c>
      <c r="B480" s="12"/>
      <c r="C480" s="9">
        <v>0</v>
      </c>
      <c r="D480" s="25"/>
      <c r="E480" s="10" t="str">
        <f t="shared" si="265"/>
        <v>MarçoSEMANA 1Couve Orgânica</v>
      </c>
      <c r="F480" s="7">
        <f>SUMIF(NF!$A:$A,$E480,NF!$I:$I)</f>
        <v>0</v>
      </c>
      <c r="G480" s="74"/>
      <c r="H480" s="74"/>
      <c r="I480" s="74"/>
      <c r="J480" s="6"/>
      <c r="K480" s="6"/>
      <c r="L480" s="6"/>
      <c r="M480" s="6"/>
      <c r="N480" s="7">
        <f t="shared" si="327"/>
        <v>0</v>
      </c>
      <c r="O480" s="11">
        <f t="shared" si="267"/>
        <v>0</v>
      </c>
      <c r="P480" s="25"/>
      <c r="Q480" s="10" t="str">
        <f t="shared" si="268"/>
        <v>MarçoSEMANA 2Couve Orgânica</v>
      </c>
      <c r="R480" s="7">
        <f>SUMIF(NF!$A:$A,$Q480,NF!$I:$I)</f>
        <v>0</v>
      </c>
      <c r="S480" s="6"/>
      <c r="T480" s="6"/>
      <c r="U480" s="6"/>
      <c r="V480" s="6"/>
      <c r="W480" s="6"/>
      <c r="X480" s="6"/>
      <c r="Y480" s="6"/>
      <c r="Z480" s="7">
        <f t="shared" si="328"/>
        <v>0</v>
      </c>
      <c r="AA480" s="11">
        <f t="shared" si="270"/>
        <v>0</v>
      </c>
      <c r="AB480" s="25"/>
      <c r="AC480" s="10" t="str">
        <f t="shared" si="271"/>
        <v>MarçoSEMANA 3Couve Orgânica</v>
      </c>
      <c r="AD480" s="7">
        <f>SUMIF(NF!$A:$A,$AC480,NF!$I:$I)</f>
        <v>0</v>
      </c>
      <c r="AE480" s="6"/>
      <c r="AF480" s="6"/>
      <c r="AG480" s="6"/>
      <c r="AH480" s="6"/>
      <c r="AI480" s="6"/>
      <c r="AJ480" s="6"/>
      <c r="AK480" s="6"/>
      <c r="AL480" s="7">
        <f t="shared" si="329"/>
        <v>0</v>
      </c>
      <c r="AM480" s="11">
        <f t="shared" si="273"/>
        <v>0</v>
      </c>
      <c r="AN480" s="25"/>
      <c r="AO480" s="10" t="str">
        <f t="shared" si="274"/>
        <v>MarçoSEMANA 4Couve Orgânica</v>
      </c>
      <c r="AP480" s="7">
        <f>SUMIF(NF!$A:$A,$AO480,NF!$I:$I)</f>
        <v>0</v>
      </c>
      <c r="AQ480" s="6"/>
      <c r="AR480" s="6"/>
      <c r="AS480" s="6"/>
      <c r="AT480" s="6"/>
      <c r="AU480" s="6"/>
      <c r="AV480" s="6"/>
      <c r="AW480" s="6"/>
      <c r="AX480" s="7">
        <f t="shared" si="330"/>
        <v>0</v>
      </c>
      <c r="AY480" s="11">
        <f t="shared" si="276"/>
        <v>0</v>
      </c>
      <c r="AZ480" s="25"/>
      <c r="BA480" s="10" t="str">
        <f t="shared" si="277"/>
        <v>MarçoSEMANA 5Couve Orgânica</v>
      </c>
      <c r="BB480" s="7">
        <f>SUMIF(NF!$A:$A,$BA480,NF!$I:$I)</f>
        <v>0</v>
      </c>
      <c r="BC480" s="6"/>
      <c r="BD480" s="6"/>
      <c r="BE480" s="6"/>
      <c r="BF480" s="6"/>
      <c r="BG480" s="6"/>
      <c r="BH480" s="6"/>
      <c r="BI480" s="74"/>
      <c r="BJ480" s="74"/>
      <c r="BK480" s="7">
        <f t="shared" si="331"/>
        <v>0</v>
      </c>
      <c r="BL480" s="8">
        <f t="shared" si="279"/>
        <v>0</v>
      </c>
      <c r="BM480" s="51" t="str">
        <f>IFERROR(VLOOKUP(A480,NF!$M:$O,3,0),"")</f>
        <v>Hortifruti</v>
      </c>
      <c r="BN480" s="7">
        <f t="shared" si="280"/>
        <v>0</v>
      </c>
      <c r="BO480" s="8">
        <f t="array" ref="BO480">IFERROR(LARGE(IF(NF!$G$2:$G$3137='Mês atual'!A480,NF!$J$2:$J$3137),1),0)*BN480</f>
        <v>0</v>
      </c>
      <c r="BP480" s="50"/>
      <c r="BR480" s="146">
        <f t="array" ref="BR480">IFERROR(LARGE(IF(NF!$G$2:$G$3137='Mês atual'!A480,NF!$J$2:$J$3137),1),0)</f>
        <v>0</v>
      </c>
      <c r="BS480" s="142" t="str">
        <f>VLOOKUP(A480,NF!M:O,3,0)</f>
        <v>Hortifruti</v>
      </c>
      <c r="BV480" s="74">
        <f t="shared" si="322"/>
        <v>0</v>
      </c>
      <c r="BW480" s="74">
        <f t="shared" si="323"/>
        <v>0</v>
      </c>
      <c r="BX480" s="74">
        <f t="shared" si="324"/>
        <v>0</v>
      </c>
      <c r="BY480" s="74">
        <f t="shared" si="325"/>
        <v>0</v>
      </c>
      <c r="BZ480" s="74">
        <f t="shared" si="326"/>
        <v>0</v>
      </c>
    </row>
    <row r="481" spans="1:78" x14ac:dyDescent="0.2">
      <c r="A481" s="108" t="s">
        <v>326</v>
      </c>
      <c r="B481" s="12"/>
      <c r="C481" s="9">
        <v>0</v>
      </c>
      <c r="D481" s="25"/>
      <c r="E481" s="10" t="str">
        <f t="shared" si="265"/>
        <v>MarçoSEMANA 1Endivia</v>
      </c>
      <c r="F481" s="7">
        <f>SUMIF(NF!$A:$A,$E481,NF!$I:$I)</f>
        <v>0</v>
      </c>
      <c r="G481" s="74"/>
      <c r="H481" s="74"/>
      <c r="I481" s="74"/>
      <c r="J481" s="6"/>
      <c r="K481" s="6"/>
      <c r="L481" s="6"/>
      <c r="M481" s="6"/>
      <c r="N481" s="7">
        <f t="shared" si="327"/>
        <v>0</v>
      </c>
      <c r="O481" s="11">
        <f t="shared" si="267"/>
        <v>0</v>
      </c>
      <c r="P481" s="25"/>
      <c r="Q481" s="10" t="str">
        <f t="shared" si="268"/>
        <v>MarçoSEMANA 2Endivia</v>
      </c>
      <c r="R481" s="7">
        <f>SUMIF(NF!$A:$A,$Q481,NF!$I:$I)</f>
        <v>0.5</v>
      </c>
      <c r="S481" s="6"/>
      <c r="T481" s="6"/>
      <c r="U481" s="6"/>
      <c r="V481" s="6"/>
      <c r="W481" s="6"/>
      <c r="X481" s="6">
        <v>0.5</v>
      </c>
      <c r="Y481" s="6"/>
      <c r="Z481" s="7">
        <f t="shared" si="328"/>
        <v>0.5</v>
      </c>
      <c r="AA481" s="11">
        <f t="shared" si="270"/>
        <v>0</v>
      </c>
      <c r="AB481" s="25"/>
      <c r="AC481" s="10" t="str">
        <f t="shared" si="271"/>
        <v>MarçoSEMANA 3Endivia</v>
      </c>
      <c r="AD481" s="7">
        <f>SUMIF(NF!$A:$A,$AC481,NF!$I:$I)</f>
        <v>0.5</v>
      </c>
      <c r="AE481" s="6"/>
      <c r="AF481" s="6">
        <v>0.5</v>
      </c>
      <c r="AG481" s="6"/>
      <c r="AH481" s="6"/>
      <c r="AI481" s="6"/>
      <c r="AJ481" s="6"/>
      <c r="AK481" s="6"/>
      <c r="AL481" s="7">
        <f t="shared" si="329"/>
        <v>0.5</v>
      </c>
      <c r="AM481" s="11">
        <f t="shared" si="273"/>
        <v>0</v>
      </c>
      <c r="AN481" s="25"/>
      <c r="AO481" s="10" t="str">
        <f t="shared" si="274"/>
        <v>MarçoSEMANA 4Endivia</v>
      </c>
      <c r="AP481" s="7">
        <f>SUMIF(NF!$A:$A,$AO481,NF!$I:$I)</f>
        <v>0</v>
      </c>
      <c r="AQ481" s="6"/>
      <c r="AR481" s="6"/>
      <c r="AS481" s="6"/>
      <c r="AT481" s="6"/>
      <c r="AU481" s="6"/>
      <c r="AV481" s="6"/>
      <c r="AW481" s="6"/>
      <c r="AX481" s="7">
        <f t="shared" si="330"/>
        <v>0</v>
      </c>
      <c r="AY481" s="11">
        <f t="shared" si="276"/>
        <v>0</v>
      </c>
      <c r="AZ481" s="25"/>
      <c r="BA481" s="10" t="str">
        <f t="shared" si="277"/>
        <v>MarçoSEMANA 5Endivia</v>
      </c>
      <c r="BB481" s="7">
        <f>SUMIF(NF!$A:$A,$BA481,NF!$I:$I)</f>
        <v>2.5</v>
      </c>
      <c r="BC481" s="6"/>
      <c r="BD481" s="6">
        <v>2.5</v>
      </c>
      <c r="BE481" s="6"/>
      <c r="BF481" s="6"/>
      <c r="BG481" s="6"/>
      <c r="BH481" s="6"/>
      <c r="BI481" s="74"/>
      <c r="BJ481" s="74"/>
      <c r="BK481" s="7">
        <f t="shared" si="331"/>
        <v>2.5</v>
      </c>
      <c r="BL481" s="8">
        <f t="shared" si="279"/>
        <v>0</v>
      </c>
      <c r="BM481" s="51" t="str">
        <f>IFERROR(VLOOKUP(A481,NF!$M:$O,3,0),"")</f>
        <v>Hortifruti</v>
      </c>
      <c r="BN481" s="7">
        <f t="shared" si="280"/>
        <v>3.5</v>
      </c>
      <c r="BO481" s="8">
        <f t="array" ref="BO481">IFERROR(LARGE(IF(NF!$G$2:$G$3137='Mês atual'!A481,NF!$J$2:$J$3137),1),0)*BN481</f>
        <v>70</v>
      </c>
      <c r="BP481" s="50"/>
      <c r="BR481" s="146">
        <f t="array" ref="BR481">IFERROR(LARGE(IF(NF!$G$2:$G$3137='Mês atual'!A481,NF!$J$2:$J$3137),1),0)</f>
        <v>20</v>
      </c>
      <c r="BS481" s="142" t="str">
        <f>VLOOKUP(A481,NF!M:O,3,0)</f>
        <v>Hortifruti</v>
      </c>
      <c r="BV481" s="74">
        <f t="shared" si="322"/>
        <v>0</v>
      </c>
      <c r="BW481" s="74">
        <f t="shared" si="323"/>
        <v>0.5</v>
      </c>
      <c r="BX481" s="74">
        <f t="shared" si="324"/>
        <v>0.5</v>
      </c>
      <c r="BY481" s="74">
        <f t="shared" si="325"/>
        <v>0</v>
      </c>
      <c r="BZ481" s="74">
        <f t="shared" si="326"/>
        <v>2.5</v>
      </c>
    </row>
    <row r="482" spans="1:78" x14ac:dyDescent="0.2">
      <c r="A482" s="108" t="s">
        <v>328</v>
      </c>
      <c r="B482" s="12"/>
      <c r="C482" s="9">
        <v>0</v>
      </c>
      <c r="D482" s="25"/>
      <c r="E482" s="10" t="str">
        <f t="shared" si="265"/>
        <v>MarçoSEMANA 1Erva doce</v>
      </c>
      <c r="F482" s="7">
        <f>SUMIF(NF!$A:$A,$E482,NF!$I:$I)</f>
        <v>0</v>
      </c>
      <c r="G482" s="74"/>
      <c r="H482" s="74"/>
      <c r="I482" s="74"/>
      <c r="J482" s="6"/>
      <c r="K482" s="6"/>
      <c r="L482" s="6"/>
      <c r="M482" s="6"/>
      <c r="N482" s="7">
        <f t="shared" si="327"/>
        <v>0</v>
      </c>
      <c r="O482" s="11">
        <f t="shared" si="267"/>
        <v>0</v>
      </c>
      <c r="P482" s="25"/>
      <c r="Q482" s="10" t="str">
        <f t="shared" si="268"/>
        <v>MarçoSEMANA 2Erva doce</v>
      </c>
      <c r="R482" s="7">
        <f>SUMIF(NF!$A:$A,$Q482,NF!$I:$I)</f>
        <v>0</v>
      </c>
      <c r="S482" s="6"/>
      <c r="T482" s="6"/>
      <c r="U482" s="6"/>
      <c r="V482" s="6"/>
      <c r="W482" s="6"/>
      <c r="X482" s="6"/>
      <c r="Y482" s="6"/>
      <c r="Z482" s="7">
        <f t="shared" si="328"/>
        <v>0</v>
      </c>
      <c r="AA482" s="11">
        <f t="shared" si="270"/>
        <v>0</v>
      </c>
      <c r="AB482" s="25"/>
      <c r="AC482" s="10" t="str">
        <f t="shared" si="271"/>
        <v>MarçoSEMANA 3Erva doce</v>
      </c>
      <c r="AD482" s="7">
        <f>SUMIF(NF!$A:$A,$AC482,NF!$I:$I)</f>
        <v>0</v>
      </c>
      <c r="AE482" s="6"/>
      <c r="AF482" s="6"/>
      <c r="AG482" s="6"/>
      <c r="AH482" s="6"/>
      <c r="AI482" s="6"/>
      <c r="AJ482" s="6"/>
      <c r="AK482" s="6"/>
      <c r="AL482" s="7">
        <f t="shared" si="329"/>
        <v>0</v>
      </c>
      <c r="AM482" s="11">
        <f t="shared" si="273"/>
        <v>0</v>
      </c>
      <c r="AN482" s="25"/>
      <c r="AO482" s="10" t="str">
        <f t="shared" si="274"/>
        <v>MarçoSEMANA 4Erva doce</v>
      </c>
      <c r="AP482" s="7">
        <f>SUMIF(NF!$A:$A,$AO482,NF!$I:$I)</f>
        <v>0</v>
      </c>
      <c r="AQ482" s="6"/>
      <c r="AR482" s="6"/>
      <c r="AS482" s="6"/>
      <c r="AT482" s="6"/>
      <c r="AU482" s="6"/>
      <c r="AV482" s="6"/>
      <c r="AW482" s="6"/>
      <c r="AX482" s="7">
        <f t="shared" si="330"/>
        <v>0</v>
      </c>
      <c r="AY482" s="11">
        <f t="shared" si="276"/>
        <v>0</v>
      </c>
      <c r="AZ482" s="25"/>
      <c r="BA482" s="10" t="str">
        <f t="shared" si="277"/>
        <v>MarçoSEMANA 5Erva doce</v>
      </c>
      <c r="BB482" s="7">
        <f>SUMIF(NF!$A:$A,$BA482,NF!$I:$I)</f>
        <v>0</v>
      </c>
      <c r="BC482" s="6"/>
      <c r="BD482" s="6"/>
      <c r="BE482" s="6"/>
      <c r="BF482" s="6"/>
      <c r="BG482" s="6"/>
      <c r="BH482" s="6"/>
      <c r="BI482" s="74"/>
      <c r="BJ482" s="74"/>
      <c r="BK482" s="7">
        <f t="shared" si="331"/>
        <v>0</v>
      </c>
      <c r="BL482" s="8">
        <f t="shared" si="279"/>
        <v>0</v>
      </c>
      <c r="BM482" s="51" t="str">
        <f>IFERROR(VLOOKUP(A482,NF!$M:$O,3,0),"")</f>
        <v>Hortifruti</v>
      </c>
      <c r="BN482" s="7">
        <f t="shared" si="280"/>
        <v>0</v>
      </c>
      <c r="BO482" s="8">
        <f t="array" ref="BO482">IFERROR(LARGE(IF(NF!$G$2:$G$3137='Mês atual'!A482,NF!$J$2:$J$3137),1),0)*BN482</f>
        <v>0</v>
      </c>
      <c r="BP482" s="50"/>
      <c r="BR482" s="146">
        <f t="array" ref="BR482">IFERROR(LARGE(IF(NF!$G$2:$G$3137='Mês atual'!A482,NF!$J$2:$J$3137),1),0)</f>
        <v>0</v>
      </c>
      <c r="BS482" s="142" t="str">
        <f>VLOOKUP(A482,NF!M:O,3,0)</f>
        <v>Hortifruti</v>
      </c>
      <c r="BV482" s="74">
        <f t="shared" si="322"/>
        <v>0</v>
      </c>
      <c r="BW482" s="74">
        <f t="shared" si="323"/>
        <v>0</v>
      </c>
      <c r="BX482" s="74">
        <f t="shared" si="324"/>
        <v>0</v>
      </c>
      <c r="BY482" s="74">
        <f t="shared" si="325"/>
        <v>0</v>
      </c>
      <c r="BZ482" s="74">
        <f t="shared" si="326"/>
        <v>0</v>
      </c>
    </row>
    <row r="483" spans="1:78" x14ac:dyDescent="0.2">
      <c r="A483" s="108" t="s">
        <v>929</v>
      </c>
      <c r="B483" s="12"/>
      <c r="C483" s="9">
        <v>0</v>
      </c>
      <c r="D483" s="25"/>
      <c r="E483" s="10" t="str">
        <f t="shared" si="265"/>
        <v>MarçoSEMANA 1Ervilha Torta</v>
      </c>
      <c r="F483" s="7">
        <f>SUMIF(NF!$A:$A,$E483,NF!$I:$I)</f>
        <v>0</v>
      </c>
      <c r="G483" s="74"/>
      <c r="H483" s="74"/>
      <c r="I483" s="74"/>
      <c r="J483" s="6"/>
      <c r="K483" s="6"/>
      <c r="L483" s="6"/>
      <c r="M483" s="6"/>
      <c r="N483" s="7">
        <f>SUM(G483:M483)</f>
        <v>0</v>
      </c>
      <c r="O483" s="11">
        <f t="shared" si="267"/>
        <v>0</v>
      </c>
      <c r="P483" s="25"/>
      <c r="Q483" s="10" t="str">
        <f t="shared" si="268"/>
        <v>MarçoSEMANA 2Ervilha Torta</v>
      </c>
      <c r="R483" s="7">
        <f>SUMIF(NF!$A:$A,$Q483,NF!$I:$I)</f>
        <v>0</v>
      </c>
      <c r="S483" s="6"/>
      <c r="T483" s="6"/>
      <c r="U483" s="6"/>
      <c r="V483" s="6"/>
      <c r="W483" s="6"/>
      <c r="X483" s="6"/>
      <c r="Y483" s="6"/>
      <c r="Z483" s="7">
        <f>SUM(S483:Y483)</f>
        <v>0</v>
      </c>
      <c r="AA483" s="11">
        <f t="shared" si="270"/>
        <v>0</v>
      </c>
      <c r="AB483" s="25"/>
      <c r="AC483" s="10" t="str">
        <f t="shared" si="271"/>
        <v>MarçoSEMANA 3Ervilha Torta</v>
      </c>
      <c r="AD483" s="7">
        <f>SUMIF(NF!$A:$A,$AC483,NF!$I:$I)</f>
        <v>0</v>
      </c>
      <c r="AE483" s="6"/>
      <c r="AF483" s="6"/>
      <c r="AG483" s="6"/>
      <c r="AH483" s="6"/>
      <c r="AI483" s="6"/>
      <c r="AJ483" s="6"/>
      <c r="AK483" s="6"/>
      <c r="AL483" s="7">
        <f>SUM(AE483:AK483)</f>
        <v>0</v>
      </c>
      <c r="AM483" s="11">
        <f t="shared" si="273"/>
        <v>0</v>
      </c>
      <c r="AN483" s="25"/>
      <c r="AO483" s="10" t="str">
        <f t="shared" si="274"/>
        <v>MarçoSEMANA 4Ervilha Torta</v>
      </c>
      <c r="AP483" s="7">
        <f>SUMIF(NF!$A:$A,$AO483,NF!$I:$I)</f>
        <v>0</v>
      </c>
      <c r="AQ483" s="6"/>
      <c r="AR483" s="6"/>
      <c r="AS483" s="6"/>
      <c r="AT483" s="6"/>
      <c r="AU483" s="6"/>
      <c r="AV483" s="6"/>
      <c r="AW483" s="6"/>
      <c r="AX483" s="7">
        <f>SUM(AQ483:AW483)</f>
        <v>0</v>
      </c>
      <c r="AY483" s="11">
        <f t="shared" si="276"/>
        <v>0</v>
      </c>
      <c r="AZ483" s="25"/>
      <c r="BA483" s="10" t="str">
        <f t="shared" si="277"/>
        <v>MarçoSEMANA 5Ervilha Torta</v>
      </c>
      <c r="BB483" s="7">
        <f>SUMIF(NF!$A:$A,$BA483,NF!$I:$I)</f>
        <v>0</v>
      </c>
      <c r="BC483" s="6"/>
      <c r="BD483" s="6"/>
      <c r="BE483" s="6"/>
      <c r="BF483" s="6"/>
      <c r="BG483" s="6"/>
      <c r="BH483" s="6"/>
      <c r="BI483" s="74"/>
      <c r="BJ483" s="74"/>
      <c r="BK483" s="7">
        <f>SUM(BC483:BJ483)</f>
        <v>0</v>
      </c>
      <c r="BL483" s="8">
        <f t="shared" si="279"/>
        <v>0</v>
      </c>
      <c r="BM483" s="51" t="str">
        <f>IFERROR(VLOOKUP(A483,NF!$M:$O,3,0),"")</f>
        <v>Hortifruti</v>
      </c>
      <c r="BN483" s="7">
        <f t="shared" si="280"/>
        <v>0</v>
      </c>
      <c r="BO483" s="8">
        <f t="array" ref="BO483">IFERROR(LARGE(IF(NF!$G$2:$G$3137='Mês atual'!A483,NF!$J$2:$J$3137),1),0)*BN483</f>
        <v>0</v>
      </c>
      <c r="BP483" s="50"/>
      <c r="BR483" s="146">
        <f t="array" ref="BR483">IFERROR(LARGE(IF(NF!$G$2:$G$3137='Mês atual'!A483,NF!$J$2:$J$3137),1),0)</f>
        <v>0</v>
      </c>
      <c r="BS483" s="142" t="str">
        <f>VLOOKUP(A483,NF!M:O,3,0)</f>
        <v>Hortifruti</v>
      </c>
      <c r="BV483" s="74">
        <f t="shared" si="322"/>
        <v>0</v>
      </c>
      <c r="BW483" s="74">
        <f t="shared" si="323"/>
        <v>0</v>
      </c>
      <c r="BX483" s="74">
        <f t="shared" si="324"/>
        <v>0</v>
      </c>
      <c r="BY483" s="74">
        <f t="shared" si="325"/>
        <v>0</v>
      </c>
      <c r="BZ483" s="74">
        <f t="shared" si="326"/>
        <v>0</v>
      </c>
    </row>
    <row r="484" spans="1:78" x14ac:dyDescent="0.2">
      <c r="A484" s="108" t="s">
        <v>332</v>
      </c>
      <c r="B484" s="12"/>
      <c r="C484" s="9">
        <v>6</v>
      </c>
      <c r="D484" s="25"/>
      <c r="E484" s="10" t="str">
        <f t="shared" si="265"/>
        <v>MarçoSEMANA 1Espinafre</v>
      </c>
      <c r="F484" s="7">
        <f>SUMIF(NF!$A:$A,$E484,NF!$I:$I)</f>
        <v>0</v>
      </c>
      <c r="G484" s="74"/>
      <c r="H484" s="74"/>
      <c r="I484" s="74"/>
      <c r="J484" s="6">
        <v>6</v>
      </c>
      <c r="K484" s="6"/>
      <c r="L484" s="6"/>
      <c r="M484" s="6"/>
      <c r="N484" s="7">
        <f t="shared" ref="N484:N501" si="332">SUM(G484:M484)</f>
        <v>6</v>
      </c>
      <c r="O484" s="11">
        <f t="shared" si="267"/>
        <v>0</v>
      </c>
      <c r="P484" s="25"/>
      <c r="Q484" s="10" t="str">
        <f t="shared" si="268"/>
        <v>MarçoSEMANA 2Espinafre</v>
      </c>
      <c r="R484" s="7">
        <f>SUMIF(NF!$A:$A,$Q484,NF!$I:$I)</f>
        <v>6.42</v>
      </c>
      <c r="S484" s="6"/>
      <c r="T484" s="6">
        <v>3</v>
      </c>
      <c r="U484" s="6"/>
      <c r="V484" s="6">
        <f>4-0.58</f>
        <v>3.42</v>
      </c>
      <c r="W484" s="6"/>
      <c r="X484" s="6"/>
      <c r="Y484" s="6"/>
      <c r="Z484" s="7">
        <f t="shared" ref="Z484:Z501" si="333">SUM(S484:Y484)</f>
        <v>6.42</v>
      </c>
      <c r="AA484" s="11">
        <f t="shared" si="270"/>
        <v>0</v>
      </c>
      <c r="AB484" s="25"/>
      <c r="AC484" s="10" t="str">
        <f t="shared" si="271"/>
        <v>MarçoSEMANA 3Espinafre</v>
      </c>
      <c r="AD484" s="7">
        <f>SUMIF(NF!$A:$A,$AC484,NF!$I:$I)</f>
        <v>19</v>
      </c>
      <c r="AE484" s="6"/>
      <c r="AF484" s="6">
        <v>5</v>
      </c>
      <c r="AG484" s="6"/>
      <c r="AH484" s="6">
        <v>8</v>
      </c>
      <c r="AI484" s="6">
        <v>3.5</v>
      </c>
      <c r="AJ484" s="6">
        <v>2.5</v>
      </c>
      <c r="AK484" s="6"/>
      <c r="AL484" s="7">
        <f t="shared" ref="AL484:AL501" si="334">SUM(AE484:AK484)</f>
        <v>19</v>
      </c>
      <c r="AM484" s="11">
        <f t="shared" si="273"/>
        <v>0</v>
      </c>
      <c r="AN484" s="25"/>
      <c r="AO484" s="10" t="str">
        <f t="shared" si="274"/>
        <v>MarçoSEMANA 4Espinafre</v>
      </c>
      <c r="AP484" s="7">
        <f>SUMIF(NF!$A:$A,$AO484,NF!$I:$I)</f>
        <v>10</v>
      </c>
      <c r="AQ484" s="6"/>
      <c r="AR484" s="6"/>
      <c r="AS484" s="6"/>
      <c r="AT484" s="6">
        <v>5</v>
      </c>
      <c r="AU484" s="6"/>
      <c r="AV484" s="6">
        <v>5</v>
      </c>
      <c r="AW484" s="6"/>
      <c r="AX484" s="7">
        <f t="shared" ref="AX484:AX501" si="335">SUM(AQ484:AW484)</f>
        <v>10</v>
      </c>
      <c r="AY484" s="11">
        <f t="shared" si="276"/>
        <v>0</v>
      </c>
      <c r="AZ484" s="25"/>
      <c r="BA484" s="10" t="str">
        <f t="shared" si="277"/>
        <v>MarçoSEMANA 5Espinafre</v>
      </c>
      <c r="BB484" s="7">
        <f>SUMIF(NF!$A:$A,$BA484,NF!$I:$I)</f>
        <v>8</v>
      </c>
      <c r="BC484" s="6"/>
      <c r="BD484" s="6"/>
      <c r="BE484" s="6"/>
      <c r="BF484" s="6">
        <v>3</v>
      </c>
      <c r="BG484" s="6">
        <v>5</v>
      </c>
      <c r="BH484" s="6"/>
      <c r="BI484" s="74"/>
      <c r="BJ484" s="74"/>
      <c r="BK484" s="7">
        <f t="shared" ref="BK484:BK501" si="336">SUM(BC484:BJ484)</f>
        <v>8</v>
      </c>
      <c r="BL484" s="8">
        <f t="shared" si="279"/>
        <v>0</v>
      </c>
      <c r="BM484" s="51" t="str">
        <f>IFERROR(VLOOKUP(A484,NF!$M:$O,3,0),"")</f>
        <v>Hortifruti</v>
      </c>
      <c r="BN484" s="7">
        <f t="shared" si="280"/>
        <v>49.42</v>
      </c>
      <c r="BO484" s="8">
        <f t="array" ref="BO484">IFERROR(LARGE(IF(NF!$G$2:$G$3137='Mês atual'!A484,NF!$J$2:$J$3137),1),0)*BN484</f>
        <v>469.49</v>
      </c>
      <c r="BP484" s="50"/>
      <c r="BR484" s="146">
        <f t="array" ref="BR484">IFERROR(LARGE(IF(NF!$G$2:$G$3137='Mês atual'!A484,NF!$J$2:$J$3137),1),0)</f>
        <v>9.5</v>
      </c>
      <c r="BS484" s="142" t="str">
        <f>VLOOKUP(A484,NF!M:O,3,0)</f>
        <v>Hortifruti</v>
      </c>
      <c r="BV484" s="74">
        <f t="shared" si="322"/>
        <v>6</v>
      </c>
      <c r="BW484" s="74">
        <f t="shared" si="323"/>
        <v>6.42</v>
      </c>
      <c r="BX484" s="74">
        <f t="shared" si="324"/>
        <v>19</v>
      </c>
      <c r="BY484" s="74">
        <f t="shared" si="325"/>
        <v>10</v>
      </c>
      <c r="BZ484" s="74">
        <f t="shared" si="326"/>
        <v>8</v>
      </c>
    </row>
    <row r="485" spans="1:78" x14ac:dyDescent="0.25">
      <c r="A485" s="108" t="s">
        <v>333</v>
      </c>
      <c r="B485" s="12"/>
      <c r="C485" s="9">
        <v>0</v>
      </c>
      <c r="D485" s="25"/>
      <c r="E485" s="10" t="str">
        <f t="shared" si="265"/>
        <v>MarçoSEMANA 1Espinafre Orgânico</v>
      </c>
      <c r="F485" s="7">
        <f>SUMIF(NF!$A:$A,$E485,NF!$I:$I)</f>
        <v>0</v>
      </c>
      <c r="G485" s="74"/>
      <c r="H485" s="74"/>
      <c r="I485" s="74"/>
      <c r="J485" s="6"/>
      <c r="K485" s="6"/>
      <c r="L485" s="6"/>
      <c r="M485" s="6"/>
      <c r="N485" s="7">
        <f t="shared" si="332"/>
        <v>0</v>
      </c>
      <c r="O485" s="11">
        <f t="shared" si="267"/>
        <v>0</v>
      </c>
      <c r="P485" s="25"/>
      <c r="Q485" s="10" t="str">
        <f t="shared" si="268"/>
        <v>MarçoSEMANA 2Espinafre Orgânico</v>
      </c>
      <c r="R485" s="7">
        <f>SUMIF(NF!$A:$A,$Q485,NF!$I:$I)</f>
        <v>0</v>
      </c>
      <c r="S485" s="6"/>
      <c r="T485" s="6"/>
      <c r="U485" s="6"/>
      <c r="V485" s="6"/>
      <c r="W485" s="6"/>
      <c r="X485" s="6"/>
      <c r="Y485" s="6"/>
      <c r="Z485" s="7">
        <f t="shared" si="333"/>
        <v>0</v>
      </c>
      <c r="AA485" s="11">
        <f t="shared" si="270"/>
        <v>0</v>
      </c>
      <c r="AB485" s="25"/>
      <c r="AC485" s="10" t="str">
        <f t="shared" si="271"/>
        <v>MarçoSEMANA 3Espinafre Orgânico</v>
      </c>
      <c r="AD485" s="7">
        <f>SUMIF(NF!$A:$A,$AC485,NF!$I:$I)</f>
        <v>0</v>
      </c>
      <c r="AE485" s="6"/>
      <c r="AF485" s="6"/>
      <c r="AG485" s="6"/>
      <c r="AH485" s="6"/>
      <c r="AI485" s="6"/>
      <c r="AJ485" s="6"/>
      <c r="AK485" s="6"/>
      <c r="AL485" s="7">
        <f t="shared" si="334"/>
        <v>0</v>
      </c>
      <c r="AM485" s="11">
        <f t="shared" si="273"/>
        <v>0</v>
      </c>
      <c r="AN485" s="25"/>
      <c r="AO485" s="10" t="str">
        <f t="shared" si="274"/>
        <v>MarçoSEMANA 4Espinafre Orgânico</v>
      </c>
      <c r="AP485" s="7">
        <f>SUMIF(NF!$A:$A,$AO485,NF!$I:$I)</f>
        <v>0</v>
      </c>
      <c r="AQ485" s="6"/>
      <c r="AR485" s="6"/>
      <c r="AS485" s="6"/>
      <c r="AT485" s="6"/>
      <c r="AU485" s="6"/>
      <c r="AV485" s="6"/>
      <c r="AW485" s="6"/>
      <c r="AX485" s="7">
        <f t="shared" si="335"/>
        <v>0</v>
      </c>
      <c r="AY485" s="11">
        <f t="shared" si="276"/>
        <v>0</v>
      </c>
      <c r="AZ485" s="25"/>
      <c r="BA485" s="10" t="str">
        <f t="shared" si="277"/>
        <v>MarçoSEMANA 5Espinafre Orgânico</v>
      </c>
      <c r="BB485" s="7">
        <f>SUMIF(NF!$A:$A,$BA485,NF!$I:$I)</f>
        <v>0</v>
      </c>
      <c r="BC485" s="6"/>
      <c r="BD485" s="6"/>
      <c r="BE485" s="6"/>
      <c r="BF485" s="6"/>
      <c r="BG485" s="6"/>
      <c r="BH485" s="6"/>
      <c r="BI485" s="74"/>
      <c r="BJ485" s="74"/>
      <c r="BK485" s="7">
        <f t="shared" si="336"/>
        <v>0</v>
      </c>
      <c r="BL485" s="8">
        <f t="shared" si="279"/>
        <v>0</v>
      </c>
      <c r="BM485" s="51" t="str">
        <f>IFERROR(VLOOKUP(A485,NF!$M:$O,3,0),"")</f>
        <v>Hortifruti</v>
      </c>
      <c r="BN485" s="7">
        <f t="shared" si="280"/>
        <v>0</v>
      </c>
      <c r="BO485" s="8">
        <f t="array" ref="BO485">IFERROR(LARGE(IF(NF!$G$2:$G$3137='Mês atual'!A485,NF!$J$2:$J$3137),1),0)*BN485</f>
        <v>0</v>
      </c>
      <c r="BP485" s="50"/>
      <c r="BR485" s="146">
        <f t="array" ref="BR485">IFERROR(LARGE(IF(NF!$G$2:$G$3137='Mês atual'!A485,NF!$J$2:$J$3137),1),0)</f>
        <v>0</v>
      </c>
      <c r="BS485" s="142" t="str">
        <f>VLOOKUP(A485,NF!M:O,3,0)</f>
        <v>Hortifruti</v>
      </c>
      <c r="BV485" s="74">
        <f t="shared" si="322"/>
        <v>0</v>
      </c>
      <c r="BW485" s="74">
        <f t="shared" si="323"/>
        <v>0</v>
      </c>
      <c r="BX485" s="74">
        <f t="shared" si="324"/>
        <v>0</v>
      </c>
      <c r="BY485" s="74">
        <f t="shared" si="325"/>
        <v>0</v>
      </c>
      <c r="BZ485" s="74">
        <f t="shared" si="326"/>
        <v>0</v>
      </c>
    </row>
    <row r="486" spans="1:78" x14ac:dyDescent="0.25">
      <c r="A486" s="108" t="s">
        <v>336</v>
      </c>
      <c r="B486" s="12"/>
      <c r="C486" s="9">
        <v>0</v>
      </c>
      <c r="D486" s="25"/>
      <c r="E486" s="10" t="str">
        <f t="shared" si="265"/>
        <v xml:space="preserve">MarçoSEMANA 1Estragão </v>
      </c>
      <c r="F486" s="7">
        <f>SUMIF(NF!$A:$A,$E486,NF!$I:$I)</f>
        <v>0</v>
      </c>
      <c r="G486" s="74"/>
      <c r="H486" s="74"/>
      <c r="I486" s="74"/>
      <c r="J486" s="6"/>
      <c r="K486" s="6"/>
      <c r="L486" s="6"/>
      <c r="M486" s="6"/>
      <c r="N486" s="7">
        <f t="shared" si="332"/>
        <v>0</v>
      </c>
      <c r="O486" s="11">
        <f t="shared" si="267"/>
        <v>0</v>
      </c>
      <c r="P486" s="25"/>
      <c r="Q486" s="10" t="str">
        <f t="shared" si="268"/>
        <v xml:space="preserve">MarçoSEMANA 2Estragão </v>
      </c>
      <c r="R486" s="7">
        <f>SUMIF(NF!$A:$A,$Q486,NF!$I:$I)</f>
        <v>0</v>
      </c>
      <c r="S486" s="6"/>
      <c r="T486" s="6"/>
      <c r="U486" s="6"/>
      <c r="V486" s="6"/>
      <c r="W486" s="6"/>
      <c r="X486" s="6"/>
      <c r="Y486" s="6"/>
      <c r="Z486" s="7">
        <f t="shared" si="333"/>
        <v>0</v>
      </c>
      <c r="AA486" s="11">
        <f t="shared" si="270"/>
        <v>0</v>
      </c>
      <c r="AB486" s="25"/>
      <c r="AC486" s="10" t="str">
        <f t="shared" si="271"/>
        <v xml:space="preserve">MarçoSEMANA 3Estragão </v>
      </c>
      <c r="AD486" s="7">
        <f>SUMIF(NF!$A:$A,$AC486,NF!$I:$I)</f>
        <v>0</v>
      </c>
      <c r="AE486" s="6"/>
      <c r="AF486" s="6"/>
      <c r="AG486" s="6"/>
      <c r="AH486" s="6"/>
      <c r="AI486" s="6"/>
      <c r="AJ486" s="6"/>
      <c r="AK486" s="6"/>
      <c r="AL486" s="7">
        <f t="shared" si="334"/>
        <v>0</v>
      </c>
      <c r="AM486" s="11">
        <f t="shared" si="273"/>
        <v>0</v>
      </c>
      <c r="AN486" s="25"/>
      <c r="AO486" s="10" t="str">
        <f t="shared" si="274"/>
        <v xml:space="preserve">MarçoSEMANA 4Estragão </v>
      </c>
      <c r="AP486" s="7">
        <f>SUMIF(NF!$A:$A,$AO486,NF!$I:$I)</f>
        <v>0</v>
      </c>
      <c r="AQ486" s="6"/>
      <c r="AR486" s="6"/>
      <c r="AS486" s="6"/>
      <c r="AT486" s="6"/>
      <c r="AU486" s="6"/>
      <c r="AV486" s="6"/>
      <c r="AW486" s="6"/>
      <c r="AX486" s="7">
        <f t="shared" si="335"/>
        <v>0</v>
      </c>
      <c r="AY486" s="11">
        <f t="shared" si="276"/>
        <v>0</v>
      </c>
      <c r="AZ486" s="25"/>
      <c r="BA486" s="10" t="str">
        <f t="shared" si="277"/>
        <v xml:space="preserve">MarçoSEMANA 5Estragão </v>
      </c>
      <c r="BB486" s="7">
        <f>SUMIF(NF!$A:$A,$BA486,NF!$I:$I)</f>
        <v>0</v>
      </c>
      <c r="BC486" s="6"/>
      <c r="BD486" s="6"/>
      <c r="BE486" s="6"/>
      <c r="BF486" s="6"/>
      <c r="BG486" s="6"/>
      <c r="BH486" s="6"/>
      <c r="BI486" s="74"/>
      <c r="BJ486" s="74"/>
      <c r="BK486" s="7">
        <f t="shared" si="336"/>
        <v>0</v>
      </c>
      <c r="BL486" s="8">
        <f t="shared" si="279"/>
        <v>0</v>
      </c>
      <c r="BM486" s="51" t="str">
        <f>IFERROR(VLOOKUP(A486,NF!$M:$O,3,0),"")</f>
        <v>Hortifruti</v>
      </c>
      <c r="BN486" s="7">
        <f t="shared" si="280"/>
        <v>0</v>
      </c>
      <c r="BO486" s="8">
        <f t="array" ref="BO486">IFERROR(LARGE(IF(NF!$G$2:$G$3137='Mês atual'!A486,NF!$J$2:$J$3137),1),0)*BN486</f>
        <v>0</v>
      </c>
      <c r="BP486" s="50"/>
      <c r="BR486" s="146">
        <f t="array" ref="BR486">IFERROR(LARGE(IF(NF!$G$2:$G$3137='Mês atual'!A486,NF!$J$2:$J$3137),1),0)</f>
        <v>0</v>
      </c>
      <c r="BS486" s="142" t="str">
        <f>VLOOKUP(A486,NF!M:O,3,0)</f>
        <v>Hortifruti</v>
      </c>
      <c r="BV486" s="74">
        <f t="shared" si="322"/>
        <v>0</v>
      </c>
      <c r="BW486" s="74">
        <f t="shared" si="323"/>
        <v>0</v>
      </c>
      <c r="BX486" s="74">
        <f t="shared" si="324"/>
        <v>0</v>
      </c>
      <c r="BY486" s="74">
        <f t="shared" si="325"/>
        <v>0</v>
      </c>
      <c r="BZ486" s="74">
        <f t="shared" si="326"/>
        <v>0</v>
      </c>
    </row>
    <row r="487" spans="1:78" x14ac:dyDescent="0.2">
      <c r="A487" s="108" t="s">
        <v>357</v>
      </c>
      <c r="B487" s="12"/>
      <c r="C487" s="9">
        <v>0</v>
      </c>
      <c r="D487" s="25"/>
      <c r="E487" s="10" t="str">
        <f t="shared" si="265"/>
        <v>MarçoSEMANA 1Figo Fresco</v>
      </c>
      <c r="F487" s="7">
        <f>SUMIF(NF!$A:$A,$E487,NF!$I:$I)</f>
        <v>0</v>
      </c>
      <c r="G487" s="74"/>
      <c r="H487" s="74"/>
      <c r="I487" s="74"/>
      <c r="J487" s="6"/>
      <c r="K487" s="6"/>
      <c r="L487" s="6"/>
      <c r="M487" s="6"/>
      <c r="N487" s="7">
        <f t="shared" si="332"/>
        <v>0</v>
      </c>
      <c r="O487" s="11">
        <f t="shared" si="267"/>
        <v>0</v>
      </c>
      <c r="P487" s="25"/>
      <c r="Q487" s="10" t="str">
        <f t="shared" si="268"/>
        <v>MarçoSEMANA 2Figo Fresco</v>
      </c>
      <c r="R487" s="7">
        <f>SUMIF(NF!$A:$A,$Q487,NF!$I:$I)</f>
        <v>0</v>
      </c>
      <c r="S487" s="6"/>
      <c r="T487" s="6"/>
      <c r="U487" s="6"/>
      <c r="V487" s="6"/>
      <c r="W487" s="6"/>
      <c r="X487" s="6"/>
      <c r="Y487" s="6"/>
      <c r="Z487" s="7">
        <f t="shared" si="333"/>
        <v>0</v>
      </c>
      <c r="AA487" s="11">
        <f t="shared" si="270"/>
        <v>0</v>
      </c>
      <c r="AB487" s="25"/>
      <c r="AC487" s="10" t="str">
        <f t="shared" si="271"/>
        <v>MarçoSEMANA 3Figo Fresco</v>
      </c>
      <c r="AD487" s="7">
        <f>SUMIF(NF!$A:$A,$AC487,NF!$I:$I)</f>
        <v>0</v>
      </c>
      <c r="AE487" s="6"/>
      <c r="AF487" s="6"/>
      <c r="AG487" s="6"/>
      <c r="AH487" s="6"/>
      <c r="AI487" s="6"/>
      <c r="AJ487" s="6"/>
      <c r="AK487" s="6"/>
      <c r="AL487" s="7">
        <f t="shared" si="334"/>
        <v>0</v>
      </c>
      <c r="AM487" s="11">
        <f t="shared" si="273"/>
        <v>0</v>
      </c>
      <c r="AN487" s="25"/>
      <c r="AO487" s="10" t="str">
        <f t="shared" si="274"/>
        <v>MarçoSEMANA 4Figo Fresco</v>
      </c>
      <c r="AP487" s="7">
        <f>SUMIF(NF!$A:$A,$AO487,NF!$I:$I)</f>
        <v>0</v>
      </c>
      <c r="AQ487" s="6"/>
      <c r="AR487" s="6"/>
      <c r="AS487" s="6"/>
      <c r="AT487" s="6"/>
      <c r="AU487" s="6"/>
      <c r="AV487" s="6"/>
      <c r="AW487" s="6"/>
      <c r="AX487" s="7">
        <f t="shared" si="335"/>
        <v>0</v>
      </c>
      <c r="AY487" s="11">
        <f t="shared" si="276"/>
        <v>0</v>
      </c>
      <c r="AZ487" s="25"/>
      <c r="BA487" s="10" t="str">
        <f t="shared" si="277"/>
        <v>MarçoSEMANA 5Figo Fresco</v>
      </c>
      <c r="BB487" s="7">
        <f>SUMIF(NF!$A:$A,$BA487,NF!$I:$I)</f>
        <v>0</v>
      </c>
      <c r="BC487" s="6"/>
      <c r="BD487" s="6"/>
      <c r="BE487" s="6"/>
      <c r="BF487" s="6"/>
      <c r="BG487" s="6"/>
      <c r="BH487" s="6"/>
      <c r="BI487" s="74"/>
      <c r="BJ487" s="74"/>
      <c r="BK487" s="7">
        <f t="shared" si="336"/>
        <v>0</v>
      </c>
      <c r="BL487" s="8">
        <f t="shared" si="279"/>
        <v>0</v>
      </c>
      <c r="BM487" s="51" t="str">
        <f>IFERROR(VLOOKUP(A487,NF!$M:$O,3,0),"")</f>
        <v>Hortifruti</v>
      </c>
      <c r="BN487" s="7">
        <f t="shared" si="280"/>
        <v>0</v>
      </c>
      <c r="BO487" s="8">
        <f t="array" ref="BO487">IFERROR(LARGE(IF(NF!$G$2:$G$3137='Mês atual'!A487,NF!$J$2:$J$3137),1),0)*BN487</f>
        <v>0</v>
      </c>
      <c r="BP487" s="50"/>
      <c r="BR487" s="146">
        <f t="array" ref="BR487">IFERROR(LARGE(IF(NF!$G$2:$G$3137='Mês atual'!A487,NF!$J$2:$J$3137),1),0)</f>
        <v>0</v>
      </c>
      <c r="BS487" s="142" t="str">
        <f>VLOOKUP(A487,NF!M:O,3,0)</f>
        <v>Hortifruti</v>
      </c>
      <c r="BV487" s="74">
        <f t="shared" si="322"/>
        <v>0</v>
      </c>
      <c r="BW487" s="74">
        <f t="shared" si="323"/>
        <v>0</v>
      </c>
      <c r="BX487" s="74">
        <f t="shared" si="324"/>
        <v>0</v>
      </c>
      <c r="BY487" s="74">
        <f t="shared" si="325"/>
        <v>0</v>
      </c>
      <c r="BZ487" s="74">
        <f t="shared" si="326"/>
        <v>0</v>
      </c>
    </row>
    <row r="488" spans="1:78" x14ac:dyDescent="0.25">
      <c r="A488" s="108" t="s">
        <v>365</v>
      </c>
      <c r="B488" s="12"/>
      <c r="C488" s="9">
        <v>0</v>
      </c>
      <c r="D488" s="25"/>
      <c r="E488" s="10" t="str">
        <f t="shared" si="265"/>
        <v>MarçoSEMANA 1Flores Comestíveis</v>
      </c>
      <c r="F488" s="7">
        <f>SUMIF(NF!$A:$A,$E488,NF!$I:$I)</f>
        <v>0</v>
      </c>
      <c r="G488" s="74"/>
      <c r="H488" s="74"/>
      <c r="I488" s="74"/>
      <c r="J488" s="6"/>
      <c r="K488" s="6"/>
      <c r="L488" s="6"/>
      <c r="M488" s="6"/>
      <c r="N488" s="7">
        <f t="shared" si="332"/>
        <v>0</v>
      </c>
      <c r="O488" s="11">
        <f t="shared" si="267"/>
        <v>0</v>
      </c>
      <c r="P488" s="25"/>
      <c r="Q488" s="10" t="str">
        <f t="shared" si="268"/>
        <v>MarçoSEMANA 2Flores Comestíveis</v>
      </c>
      <c r="R488" s="7">
        <f>SUMIF(NF!$A:$A,$Q488,NF!$I:$I)</f>
        <v>0</v>
      </c>
      <c r="S488" s="6"/>
      <c r="T488" s="6"/>
      <c r="U488" s="6"/>
      <c r="V488" s="6"/>
      <c r="W488" s="6"/>
      <c r="X488" s="6"/>
      <c r="Y488" s="6"/>
      <c r="Z488" s="7">
        <f t="shared" si="333"/>
        <v>0</v>
      </c>
      <c r="AA488" s="11">
        <f t="shared" si="270"/>
        <v>0</v>
      </c>
      <c r="AB488" s="25"/>
      <c r="AC488" s="10" t="str">
        <f t="shared" si="271"/>
        <v>MarçoSEMANA 3Flores Comestíveis</v>
      </c>
      <c r="AD488" s="7">
        <f>SUMIF(NF!$A:$A,$AC488,NF!$I:$I)</f>
        <v>0</v>
      </c>
      <c r="AE488" s="6"/>
      <c r="AF488" s="6"/>
      <c r="AG488" s="6"/>
      <c r="AH488" s="6"/>
      <c r="AI488" s="6"/>
      <c r="AJ488" s="6"/>
      <c r="AK488" s="6"/>
      <c r="AL488" s="7">
        <f t="shared" si="334"/>
        <v>0</v>
      </c>
      <c r="AM488" s="11">
        <f t="shared" si="273"/>
        <v>0</v>
      </c>
      <c r="AN488" s="25"/>
      <c r="AO488" s="10" t="str">
        <f t="shared" si="274"/>
        <v>MarçoSEMANA 4Flores Comestíveis</v>
      </c>
      <c r="AP488" s="7">
        <f>SUMIF(NF!$A:$A,$AO488,NF!$I:$I)</f>
        <v>0</v>
      </c>
      <c r="AQ488" s="6"/>
      <c r="AR488" s="6"/>
      <c r="AS488" s="6"/>
      <c r="AT488" s="6"/>
      <c r="AU488" s="6"/>
      <c r="AV488" s="6"/>
      <c r="AW488" s="6"/>
      <c r="AX488" s="7">
        <f t="shared" si="335"/>
        <v>0</v>
      </c>
      <c r="AY488" s="11">
        <f t="shared" si="276"/>
        <v>0</v>
      </c>
      <c r="AZ488" s="25"/>
      <c r="BA488" s="10" t="str">
        <f t="shared" si="277"/>
        <v>MarçoSEMANA 5Flores Comestíveis</v>
      </c>
      <c r="BB488" s="7">
        <f>SUMIF(NF!$A:$A,$BA488,NF!$I:$I)</f>
        <v>0</v>
      </c>
      <c r="BC488" s="6"/>
      <c r="BD488" s="6"/>
      <c r="BE488" s="6"/>
      <c r="BF488" s="6"/>
      <c r="BG488" s="6"/>
      <c r="BH488" s="6"/>
      <c r="BI488" s="74"/>
      <c r="BJ488" s="74"/>
      <c r="BK488" s="7">
        <f t="shared" si="336"/>
        <v>0</v>
      </c>
      <c r="BL488" s="8">
        <f t="shared" si="279"/>
        <v>0</v>
      </c>
      <c r="BM488" s="51" t="str">
        <f>IFERROR(VLOOKUP(A488,NF!$M:$O,3,0),"")</f>
        <v>Hortifruti</v>
      </c>
      <c r="BN488" s="7">
        <f t="shared" si="280"/>
        <v>0</v>
      </c>
      <c r="BO488" s="8">
        <f t="array" ref="BO488">IFERROR(LARGE(IF(NF!$G$2:$G$3137='Mês atual'!A488,NF!$J$2:$J$3137),1),0)*BN488</f>
        <v>0</v>
      </c>
      <c r="BP488" s="50"/>
      <c r="BR488" s="146">
        <f t="array" ref="BR488">IFERROR(LARGE(IF(NF!$G$2:$G$3137='Mês atual'!A488,NF!$J$2:$J$3137),1),0)</f>
        <v>0</v>
      </c>
      <c r="BS488" s="142" t="str">
        <f>VLOOKUP(A488,NF!M:O,3,0)</f>
        <v>Hortifruti</v>
      </c>
      <c r="BV488" s="74">
        <f t="shared" si="322"/>
        <v>0</v>
      </c>
      <c r="BW488" s="74">
        <f t="shared" si="323"/>
        <v>0</v>
      </c>
      <c r="BX488" s="74">
        <f t="shared" si="324"/>
        <v>0</v>
      </c>
      <c r="BY488" s="74">
        <f t="shared" si="325"/>
        <v>0</v>
      </c>
      <c r="BZ488" s="74">
        <f t="shared" si="326"/>
        <v>0</v>
      </c>
    </row>
    <row r="489" spans="1:78" x14ac:dyDescent="0.2">
      <c r="A489" s="108" t="s">
        <v>371</v>
      </c>
      <c r="B489" s="12"/>
      <c r="C489" s="9">
        <v>0</v>
      </c>
      <c r="D489" s="25"/>
      <c r="E489" s="10" t="str">
        <f t="shared" si="265"/>
        <v>MarçoSEMANA 1Fruta do Conde</v>
      </c>
      <c r="F489" s="7">
        <f>SUMIF(NF!$A:$A,$E489,NF!$I:$I)</f>
        <v>0</v>
      </c>
      <c r="G489" s="74"/>
      <c r="H489" s="74"/>
      <c r="I489" s="74"/>
      <c r="J489" s="6"/>
      <c r="K489" s="6"/>
      <c r="L489" s="6"/>
      <c r="M489" s="6"/>
      <c r="N489" s="7">
        <f t="shared" si="332"/>
        <v>0</v>
      </c>
      <c r="O489" s="11">
        <f t="shared" si="267"/>
        <v>0</v>
      </c>
      <c r="P489" s="25"/>
      <c r="Q489" s="10" t="str">
        <f t="shared" si="268"/>
        <v>MarçoSEMANA 2Fruta do Conde</v>
      </c>
      <c r="R489" s="7">
        <f>SUMIF(NF!$A:$A,$Q489,NF!$I:$I)</f>
        <v>0</v>
      </c>
      <c r="S489" s="6"/>
      <c r="T489" s="6"/>
      <c r="U489" s="6"/>
      <c r="V489" s="6"/>
      <c r="W489" s="6"/>
      <c r="X489" s="6"/>
      <c r="Y489" s="6"/>
      <c r="Z489" s="7">
        <f t="shared" si="333"/>
        <v>0</v>
      </c>
      <c r="AA489" s="11">
        <f t="shared" si="270"/>
        <v>0</v>
      </c>
      <c r="AB489" s="25"/>
      <c r="AC489" s="10" t="str">
        <f t="shared" si="271"/>
        <v>MarçoSEMANA 3Fruta do Conde</v>
      </c>
      <c r="AD489" s="7">
        <f>SUMIF(NF!$A:$A,$AC489,NF!$I:$I)</f>
        <v>0</v>
      </c>
      <c r="AE489" s="6"/>
      <c r="AF489" s="6"/>
      <c r="AG489" s="6"/>
      <c r="AH489" s="6"/>
      <c r="AI489" s="6"/>
      <c r="AJ489" s="6"/>
      <c r="AK489" s="6"/>
      <c r="AL489" s="7">
        <f t="shared" si="334"/>
        <v>0</v>
      </c>
      <c r="AM489" s="11">
        <f t="shared" si="273"/>
        <v>0</v>
      </c>
      <c r="AN489" s="25"/>
      <c r="AO489" s="10" t="str">
        <f t="shared" si="274"/>
        <v>MarçoSEMANA 4Fruta do Conde</v>
      </c>
      <c r="AP489" s="7">
        <f>SUMIF(NF!$A:$A,$AO489,NF!$I:$I)</f>
        <v>0</v>
      </c>
      <c r="AQ489" s="6"/>
      <c r="AR489" s="6"/>
      <c r="AS489" s="6"/>
      <c r="AT489" s="6"/>
      <c r="AU489" s="6"/>
      <c r="AV489" s="6"/>
      <c r="AW489" s="6"/>
      <c r="AX489" s="7">
        <f t="shared" si="335"/>
        <v>0</v>
      </c>
      <c r="AY489" s="11">
        <f t="shared" si="276"/>
        <v>0</v>
      </c>
      <c r="AZ489" s="25"/>
      <c r="BA489" s="10" t="str">
        <f t="shared" si="277"/>
        <v>MarçoSEMANA 5Fruta do Conde</v>
      </c>
      <c r="BB489" s="7">
        <f>SUMIF(NF!$A:$A,$BA489,NF!$I:$I)</f>
        <v>0</v>
      </c>
      <c r="BC489" s="6"/>
      <c r="BD489" s="6"/>
      <c r="BE489" s="6"/>
      <c r="BF489" s="6"/>
      <c r="BG489" s="6"/>
      <c r="BH489" s="6"/>
      <c r="BI489" s="74"/>
      <c r="BJ489" s="74"/>
      <c r="BK489" s="7">
        <f t="shared" si="336"/>
        <v>0</v>
      </c>
      <c r="BL489" s="8">
        <f t="shared" si="279"/>
        <v>0</v>
      </c>
      <c r="BM489" s="51" t="str">
        <f>IFERROR(VLOOKUP(A489,NF!$M:$O,3,0),"")</f>
        <v>Hortifruti</v>
      </c>
      <c r="BN489" s="7">
        <f t="shared" si="280"/>
        <v>0</v>
      </c>
      <c r="BO489" s="8">
        <f t="array" ref="BO489">IFERROR(LARGE(IF(NF!$G$2:$G$3137='Mês atual'!A489,NF!$J$2:$J$3137),1),0)*BN489</f>
        <v>0</v>
      </c>
      <c r="BP489" s="50"/>
      <c r="BR489" s="146">
        <f t="array" ref="BR489">IFERROR(LARGE(IF(NF!$G$2:$G$3137='Mês atual'!A489,NF!$J$2:$J$3137),1),0)</f>
        <v>0</v>
      </c>
      <c r="BS489" s="142" t="str">
        <f>VLOOKUP(A489,NF!M:O,3,0)</f>
        <v>Hortifruti</v>
      </c>
      <c r="BV489" s="74">
        <f t="shared" si="322"/>
        <v>0</v>
      </c>
      <c r="BW489" s="74">
        <f t="shared" si="323"/>
        <v>0</v>
      </c>
      <c r="BX489" s="74">
        <f t="shared" si="324"/>
        <v>0</v>
      </c>
      <c r="BY489" s="74">
        <f t="shared" si="325"/>
        <v>0</v>
      </c>
      <c r="BZ489" s="74">
        <f t="shared" si="326"/>
        <v>0</v>
      </c>
    </row>
    <row r="490" spans="1:78" x14ac:dyDescent="0.2">
      <c r="A490" s="108" t="s">
        <v>374</v>
      </c>
      <c r="B490" s="12"/>
      <c r="C490" s="9">
        <v>0</v>
      </c>
      <c r="D490" s="25"/>
      <c r="E490" s="10" t="str">
        <f t="shared" si="265"/>
        <v>MarçoSEMANA 1Funcho</v>
      </c>
      <c r="F490" s="7">
        <f>SUMIF(NF!$A:$A,$E490,NF!$I:$I)</f>
        <v>0</v>
      </c>
      <c r="G490" s="74"/>
      <c r="H490" s="74"/>
      <c r="I490" s="74"/>
      <c r="J490" s="6"/>
      <c r="K490" s="6"/>
      <c r="L490" s="6"/>
      <c r="M490" s="6"/>
      <c r="N490" s="7">
        <f>SUM(G490:M490)</f>
        <v>0</v>
      </c>
      <c r="O490" s="11">
        <f t="shared" si="267"/>
        <v>0</v>
      </c>
      <c r="P490" s="25"/>
      <c r="Q490" s="10" t="str">
        <f t="shared" si="268"/>
        <v>MarçoSEMANA 2Funcho</v>
      </c>
      <c r="R490" s="7">
        <f>SUMIF(NF!$A:$A,$Q490,NF!$I:$I)</f>
        <v>0</v>
      </c>
      <c r="S490" s="6"/>
      <c r="T490" s="6"/>
      <c r="U490" s="6"/>
      <c r="V490" s="6"/>
      <c r="W490" s="6"/>
      <c r="X490" s="6"/>
      <c r="Y490" s="6"/>
      <c r="Z490" s="7">
        <f>SUM(S490:Y490)</f>
        <v>0</v>
      </c>
      <c r="AA490" s="11">
        <f t="shared" si="270"/>
        <v>0</v>
      </c>
      <c r="AB490" s="25"/>
      <c r="AC490" s="10" t="str">
        <f t="shared" si="271"/>
        <v>MarçoSEMANA 3Funcho</v>
      </c>
      <c r="AD490" s="7">
        <f>SUMIF(NF!$A:$A,$AC490,NF!$I:$I)</f>
        <v>0</v>
      </c>
      <c r="AE490" s="6"/>
      <c r="AF490" s="6"/>
      <c r="AG490" s="6"/>
      <c r="AH490" s="6"/>
      <c r="AI490" s="6"/>
      <c r="AJ490" s="6"/>
      <c r="AK490" s="6"/>
      <c r="AL490" s="7">
        <f>SUM(AE490:AK490)</f>
        <v>0</v>
      </c>
      <c r="AM490" s="11">
        <f t="shared" si="273"/>
        <v>0</v>
      </c>
      <c r="AN490" s="25"/>
      <c r="AO490" s="10" t="str">
        <f t="shared" si="274"/>
        <v>MarçoSEMANA 4Funcho</v>
      </c>
      <c r="AP490" s="7">
        <f>SUMIF(NF!$A:$A,$AO490,NF!$I:$I)</f>
        <v>0</v>
      </c>
      <c r="AQ490" s="6"/>
      <c r="AR490" s="6"/>
      <c r="AS490" s="6"/>
      <c r="AT490" s="6"/>
      <c r="AU490" s="6"/>
      <c r="AV490" s="6"/>
      <c r="AW490" s="6"/>
      <c r="AX490" s="7">
        <f>SUM(AQ490:AW490)</f>
        <v>0</v>
      </c>
      <c r="AY490" s="11">
        <f t="shared" si="276"/>
        <v>0</v>
      </c>
      <c r="AZ490" s="25"/>
      <c r="BA490" s="10" t="str">
        <f t="shared" si="277"/>
        <v>MarçoSEMANA 5Funcho</v>
      </c>
      <c r="BB490" s="7">
        <f>SUMIF(NF!$A:$A,$BA490,NF!$I:$I)</f>
        <v>0</v>
      </c>
      <c r="BC490" s="6"/>
      <c r="BD490" s="6"/>
      <c r="BE490" s="6"/>
      <c r="BF490" s="6"/>
      <c r="BG490" s="6"/>
      <c r="BH490" s="6"/>
      <c r="BI490" s="74"/>
      <c r="BJ490" s="74"/>
      <c r="BK490" s="7">
        <f>SUM(BC490:BJ490)</f>
        <v>0</v>
      </c>
      <c r="BL490" s="8">
        <f t="shared" si="279"/>
        <v>0</v>
      </c>
      <c r="BM490" s="51" t="str">
        <f>IFERROR(VLOOKUP(A490,NF!$M:$O,3,0),"")</f>
        <v>Hortifruti</v>
      </c>
      <c r="BN490" s="7">
        <f t="shared" si="280"/>
        <v>0</v>
      </c>
      <c r="BO490" s="8">
        <f t="array" ref="BO490">IFERROR(LARGE(IF(NF!$G$2:$G$3137='Mês atual'!A490,NF!$J$2:$J$3137),1),0)*BN490</f>
        <v>0</v>
      </c>
      <c r="BP490" s="50"/>
      <c r="BR490" s="146">
        <f t="array" ref="BR490">IFERROR(LARGE(IF(NF!$G$2:$G$3137='Mês atual'!A490,NF!$J$2:$J$3137),1),0)</f>
        <v>0</v>
      </c>
      <c r="BS490" s="142" t="str">
        <f>VLOOKUP(A490,NF!M:O,3,0)</f>
        <v>Hortifruti</v>
      </c>
      <c r="BV490" s="74">
        <f t="shared" si="322"/>
        <v>0</v>
      </c>
      <c r="BW490" s="74">
        <f t="shared" si="323"/>
        <v>0</v>
      </c>
      <c r="BX490" s="74">
        <f t="shared" si="324"/>
        <v>0</v>
      </c>
      <c r="BY490" s="74">
        <f t="shared" si="325"/>
        <v>0</v>
      </c>
      <c r="BZ490" s="74">
        <f t="shared" si="326"/>
        <v>0</v>
      </c>
    </row>
    <row r="491" spans="1:78" x14ac:dyDescent="0.2">
      <c r="A491" s="108" t="s">
        <v>385</v>
      </c>
      <c r="B491" s="12"/>
      <c r="C491" s="9">
        <v>0</v>
      </c>
      <c r="D491" s="25"/>
      <c r="E491" s="10" t="str">
        <f t="shared" si="265"/>
        <v>MarçoSEMANA 1Gengibre</v>
      </c>
      <c r="F491" s="7">
        <f>SUMIF(NF!$A:$A,$E491,NF!$I:$I)</f>
        <v>0</v>
      </c>
      <c r="G491" s="74"/>
      <c r="H491" s="74"/>
      <c r="I491" s="74"/>
      <c r="J491" s="6"/>
      <c r="K491" s="6"/>
      <c r="L491" s="6"/>
      <c r="M491" s="6"/>
      <c r="N491" s="7">
        <f t="shared" si="332"/>
        <v>0</v>
      </c>
      <c r="O491" s="11">
        <f t="shared" si="267"/>
        <v>0</v>
      </c>
      <c r="P491" s="25"/>
      <c r="Q491" s="10" t="str">
        <f t="shared" si="268"/>
        <v>MarçoSEMANA 2Gengibre</v>
      </c>
      <c r="R491" s="7">
        <f>SUMIF(NF!$A:$A,$Q491,NF!$I:$I)</f>
        <v>0</v>
      </c>
      <c r="S491" s="6"/>
      <c r="T491" s="6"/>
      <c r="U491" s="6"/>
      <c r="V491" s="6"/>
      <c r="W491" s="6"/>
      <c r="X491" s="6"/>
      <c r="Y491" s="6"/>
      <c r="Z491" s="7">
        <f t="shared" si="333"/>
        <v>0</v>
      </c>
      <c r="AA491" s="11">
        <f t="shared" si="270"/>
        <v>0</v>
      </c>
      <c r="AB491" s="25"/>
      <c r="AC491" s="10" t="str">
        <f t="shared" si="271"/>
        <v>MarçoSEMANA 3Gengibre</v>
      </c>
      <c r="AD491" s="7">
        <f>SUMIF(NF!$A:$A,$AC491,NF!$I:$I)</f>
        <v>0</v>
      </c>
      <c r="AE491" s="6"/>
      <c r="AF491" s="6"/>
      <c r="AG491" s="6"/>
      <c r="AH491" s="6"/>
      <c r="AI491" s="6"/>
      <c r="AJ491" s="6"/>
      <c r="AK491" s="6"/>
      <c r="AL491" s="7">
        <f t="shared" si="334"/>
        <v>0</v>
      </c>
      <c r="AM491" s="11">
        <f t="shared" si="273"/>
        <v>0</v>
      </c>
      <c r="AN491" s="25"/>
      <c r="AO491" s="10" t="str">
        <f t="shared" si="274"/>
        <v>MarçoSEMANA 4Gengibre</v>
      </c>
      <c r="AP491" s="7">
        <f>SUMIF(NF!$A:$A,$AO491,NF!$I:$I)</f>
        <v>0</v>
      </c>
      <c r="AQ491" s="6"/>
      <c r="AR491" s="6"/>
      <c r="AS491" s="6"/>
      <c r="AT491" s="6"/>
      <c r="AU491" s="6"/>
      <c r="AV491" s="6"/>
      <c r="AW491" s="6"/>
      <c r="AX491" s="7">
        <f t="shared" si="335"/>
        <v>0</v>
      </c>
      <c r="AY491" s="11">
        <f t="shared" si="276"/>
        <v>0</v>
      </c>
      <c r="AZ491" s="25"/>
      <c r="BA491" s="10" t="str">
        <f t="shared" si="277"/>
        <v>MarçoSEMANA 5Gengibre</v>
      </c>
      <c r="BB491" s="7">
        <f>SUMIF(NF!$A:$A,$BA491,NF!$I:$I)</f>
        <v>0</v>
      </c>
      <c r="BC491" s="6"/>
      <c r="BD491" s="6"/>
      <c r="BE491" s="6"/>
      <c r="BF491" s="6"/>
      <c r="BG491" s="6"/>
      <c r="BH491" s="6"/>
      <c r="BI491" s="74"/>
      <c r="BJ491" s="74"/>
      <c r="BK491" s="7">
        <f t="shared" si="336"/>
        <v>0</v>
      </c>
      <c r="BL491" s="8">
        <f t="shared" si="279"/>
        <v>0</v>
      </c>
      <c r="BM491" s="51" t="str">
        <f>IFERROR(VLOOKUP(A491,NF!$M:$O,3,0),"")</f>
        <v>Hortifruti</v>
      </c>
      <c r="BN491" s="7">
        <f t="shared" si="280"/>
        <v>0</v>
      </c>
      <c r="BO491" s="8">
        <f t="array" ref="BO491">IFERROR(LARGE(IF(NF!$G$2:$G$3137='Mês atual'!A491,NF!$J$2:$J$3137),1),0)*BN491</f>
        <v>0</v>
      </c>
      <c r="BP491" s="50"/>
      <c r="BR491" s="146">
        <f t="array" ref="BR491">IFERROR(LARGE(IF(NF!$G$2:$G$3137='Mês atual'!A491,NF!$J$2:$J$3137),1),0)</f>
        <v>0</v>
      </c>
      <c r="BS491" s="142" t="str">
        <f>VLOOKUP(A491,NF!M:O,3,0)</f>
        <v>Hortifruti</v>
      </c>
      <c r="BV491" s="74">
        <f t="shared" si="322"/>
        <v>0</v>
      </c>
      <c r="BW491" s="74">
        <f t="shared" si="323"/>
        <v>0</v>
      </c>
      <c r="BX491" s="74">
        <f t="shared" si="324"/>
        <v>0</v>
      </c>
      <c r="BY491" s="74">
        <f t="shared" si="325"/>
        <v>0</v>
      </c>
      <c r="BZ491" s="74">
        <f t="shared" si="326"/>
        <v>0</v>
      </c>
    </row>
    <row r="492" spans="1:78" x14ac:dyDescent="0.2">
      <c r="A492" s="108" t="s">
        <v>391</v>
      </c>
      <c r="B492" s="12"/>
      <c r="C492" s="9">
        <v>0</v>
      </c>
      <c r="D492" s="25"/>
      <c r="E492" s="10" t="str">
        <f t="shared" si="265"/>
        <v>MarçoSEMANA 1Goiaba</v>
      </c>
      <c r="F492" s="7">
        <f>SUMIF(NF!$A:$A,$E492,NF!$I:$I)</f>
        <v>2.8</v>
      </c>
      <c r="G492" s="74"/>
      <c r="H492" s="74"/>
      <c r="I492" s="74"/>
      <c r="J492" s="6"/>
      <c r="K492" s="6"/>
      <c r="L492" s="6"/>
      <c r="M492" s="6">
        <v>2.8</v>
      </c>
      <c r="N492" s="7">
        <f t="shared" si="332"/>
        <v>2.8</v>
      </c>
      <c r="O492" s="11">
        <f t="shared" si="267"/>
        <v>0</v>
      </c>
      <c r="P492" s="25"/>
      <c r="Q492" s="10" t="str">
        <f t="shared" si="268"/>
        <v>MarçoSEMANA 2Goiaba</v>
      </c>
      <c r="R492" s="7">
        <f>SUMIF(NF!$A:$A,$Q492,NF!$I:$I)</f>
        <v>2.7</v>
      </c>
      <c r="S492" s="6"/>
      <c r="T492" s="6">
        <v>2.7</v>
      </c>
      <c r="U492" s="6"/>
      <c r="V492" s="6"/>
      <c r="W492" s="6"/>
      <c r="X492" s="6"/>
      <c r="Y492" s="6"/>
      <c r="Z492" s="7">
        <f t="shared" si="333"/>
        <v>2.7</v>
      </c>
      <c r="AA492" s="11">
        <f t="shared" si="270"/>
        <v>0</v>
      </c>
      <c r="AB492" s="25"/>
      <c r="AC492" s="10" t="str">
        <f t="shared" si="271"/>
        <v>MarçoSEMANA 3Goiaba</v>
      </c>
      <c r="AD492" s="7">
        <f>SUMIF(NF!$A:$A,$AC492,NF!$I:$I)</f>
        <v>5.2</v>
      </c>
      <c r="AE492" s="6">
        <v>2.6</v>
      </c>
      <c r="AF492" s="6"/>
      <c r="AG492" s="6"/>
      <c r="AH492" s="6"/>
      <c r="AI492" s="6"/>
      <c r="AJ492" s="6"/>
      <c r="AK492" s="6">
        <v>2.6</v>
      </c>
      <c r="AL492" s="7">
        <f t="shared" si="334"/>
        <v>5.2</v>
      </c>
      <c r="AM492" s="11">
        <f t="shared" si="273"/>
        <v>0</v>
      </c>
      <c r="AN492" s="25"/>
      <c r="AO492" s="10" t="str">
        <f t="shared" si="274"/>
        <v>MarçoSEMANA 4Goiaba</v>
      </c>
      <c r="AP492" s="7">
        <f>SUMIF(NF!$A:$A,$AO492,NF!$I:$I)</f>
        <v>2.7</v>
      </c>
      <c r="AQ492" s="6"/>
      <c r="AR492" s="6"/>
      <c r="AS492" s="6"/>
      <c r="AT492" s="6"/>
      <c r="AU492" s="6">
        <v>2.7</v>
      </c>
      <c r="AV492" s="6"/>
      <c r="AW492" s="6"/>
      <c r="AX492" s="7">
        <f t="shared" si="335"/>
        <v>2.7</v>
      </c>
      <c r="AY492" s="11">
        <f t="shared" si="276"/>
        <v>0</v>
      </c>
      <c r="AZ492" s="25"/>
      <c r="BA492" s="10" t="str">
        <f t="shared" si="277"/>
        <v>MarçoSEMANA 5Goiaba</v>
      </c>
      <c r="BB492" s="7">
        <f>SUMIF(NF!$A:$A,$BA492,NF!$I:$I)</f>
        <v>5.2</v>
      </c>
      <c r="BC492" s="6"/>
      <c r="BD492" s="6">
        <v>2.6</v>
      </c>
      <c r="BE492" s="6"/>
      <c r="BF492" s="6"/>
      <c r="BG492" s="6"/>
      <c r="BH492" s="6"/>
      <c r="BI492" s="74"/>
      <c r="BJ492" s="74"/>
      <c r="BK492" s="7">
        <f t="shared" si="336"/>
        <v>2.6</v>
      </c>
      <c r="BL492" s="8">
        <f t="shared" si="279"/>
        <v>2.6</v>
      </c>
      <c r="BM492" s="51" t="str">
        <f>IFERROR(VLOOKUP(A492,NF!$M:$O,3,0),"")</f>
        <v>Hortifruti</v>
      </c>
      <c r="BN492" s="7">
        <f t="shared" si="280"/>
        <v>15.999999999999998</v>
      </c>
      <c r="BO492" s="8">
        <f t="array" ref="BO492">IFERROR(LARGE(IF(NF!$G$2:$G$3137='Mês atual'!A492,NF!$J$2:$J$3137),1),0)*BN492</f>
        <v>123.07692307692305</v>
      </c>
      <c r="BP492" s="50"/>
      <c r="BR492" s="146">
        <f t="array" ref="BR492">IFERROR(LARGE(IF(NF!$G$2:$G$3137='Mês atual'!A492,NF!$J$2:$J$3137),1),0)</f>
        <v>7.6923076923076916</v>
      </c>
      <c r="BS492" s="142" t="str">
        <f>VLOOKUP(A492,NF!M:O,3,0)</f>
        <v>Hortifruti</v>
      </c>
      <c r="BV492" s="74">
        <f t="shared" si="322"/>
        <v>2.8</v>
      </c>
      <c r="BW492" s="74">
        <f t="shared" si="323"/>
        <v>2.7</v>
      </c>
      <c r="BX492" s="74">
        <f t="shared" si="324"/>
        <v>5.2</v>
      </c>
      <c r="BY492" s="74">
        <f t="shared" si="325"/>
        <v>2.7</v>
      </c>
      <c r="BZ492" s="74">
        <f t="shared" si="326"/>
        <v>2.6</v>
      </c>
    </row>
    <row r="493" spans="1:78" x14ac:dyDescent="0.25">
      <c r="A493" s="108" t="s">
        <v>405</v>
      </c>
      <c r="B493" s="12"/>
      <c r="C493" s="9">
        <v>0</v>
      </c>
      <c r="D493" s="25"/>
      <c r="E493" s="10" t="str">
        <f t="shared" si="265"/>
        <v>MarçoSEMANA 1Hortelã</v>
      </c>
      <c r="F493" s="7">
        <f>SUMIF(NF!$A:$A,$E493,NF!$I:$I)</f>
        <v>1.3</v>
      </c>
      <c r="G493" s="74"/>
      <c r="H493" s="74"/>
      <c r="I493" s="74"/>
      <c r="J493" s="6"/>
      <c r="K493" s="6">
        <v>0.5</v>
      </c>
      <c r="L493" s="6">
        <v>0.5</v>
      </c>
      <c r="M493" s="6">
        <v>0.3</v>
      </c>
      <c r="N493" s="7">
        <f t="shared" si="332"/>
        <v>1.3</v>
      </c>
      <c r="O493" s="11">
        <f t="shared" si="267"/>
        <v>0</v>
      </c>
      <c r="P493" s="25"/>
      <c r="Q493" s="10" t="str">
        <f t="shared" si="268"/>
        <v>MarçoSEMANA 2Hortelã</v>
      </c>
      <c r="R493" s="7">
        <f>SUMIF(NF!$A:$A,$Q493,NF!$I:$I)</f>
        <v>1.5</v>
      </c>
      <c r="S493" s="6"/>
      <c r="T493" s="6"/>
      <c r="U493" s="6"/>
      <c r="V493" s="6">
        <v>0.5</v>
      </c>
      <c r="W493" s="6"/>
      <c r="X493" s="6"/>
      <c r="Y493" s="6">
        <v>1</v>
      </c>
      <c r="Z493" s="7">
        <f t="shared" si="333"/>
        <v>1.5</v>
      </c>
      <c r="AA493" s="11">
        <f t="shared" si="270"/>
        <v>0</v>
      </c>
      <c r="AB493" s="25"/>
      <c r="AC493" s="10" t="str">
        <f t="shared" si="271"/>
        <v>MarçoSEMANA 3Hortelã</v>
      </c>
      <c r="AD493" s="7">
        <f>SUMIF(NF!$A:$A,$AC493,NF!$I:$I)</f>
        <v>2.5</v>
      </c>
      <c r="AE493" s="6">
        <v>0.5</v>
      </c>
      <c r="AF493" s="6">
        <v>0.5</v>
      </c>
      <c r="AG493" s="6"/>
      <c r="AH493" s="6">
        <v>1</v>
      </c>
      <c r="AI493" s="6"/>
      <c r="AJ493" s="6"/>
      <c r="AK493" s="6">
        <v>0.5</v>
      </c>
      <c r="AL493" s="7">
        <f t="shared" si="334"/>
        <v>2.5</v>
      </c>
      <c r="AM493" s="11">
        <f t="shared" si="273"/>
        <v>0</v>
      </c>
      <c r="AN493" s="25"/>
      <c r="AO493" s="10" t="str">
        <f t="shared" si="274"/>
        <v>MarçoSEMANA 4Hortelã</v>
      </c>
      <c r="AP493" s="7">
        <f>SUMIF(NF!$A:$A,$AO493,NF!$I:$I)</f>
        <v>1.3</v>
      </c>
      <c r="AQ493" s="6"/>
      <c r="AR493" s="6">
        <v>0.3</v>
      </c>
      <c r="AS493" s="6">
        <v>0.5</v>
      </c>
      <c r="AT493" s="6"/>
      <c r="AU493" s="6"/>
      <c r="AV493" s="6">
        <v>0.5</v>
      </c>
      <c r="AW493" s="6"/>
      <c r="AX493" s="7">
        <f t="shared" si="335"/>
        <v>1.3</v>
      </c>
      <c r="AY493" s="11">
        <f t="shared" si="276"/>
        <v>0</v>
      </c>
      <c r="AZ493" s="25"/>
      <c r="BA493" s="10" t="str">
        <f t="shared" si="277"/>
        <v>MarçoSEMANA 5Hortelã</v>
      </c>
      <c r="BB493" s="7">
        <f>SUMIF(NF!$A:$A,$BA493,NF!$I:$I)</f>
        <v>1.9000000000000001</v>
      </c>
      <c r="BC493" s="6">
        <v>0.5</v>
      </c>
      <c r="BD493" s="6">
        <v>0.6</v>
      </c>
      <c r="BE493" s="6"/>
      <c r="BF493" s="6">
        <v>0.3</v>
      </c>
      <c r="BG493" s="6"/>
      <c r="BH493" s="6"/>
      <c r="BI493" s="74"/>
      <c r="BJ493" s="74"/>
      <c r="BK493" s="7">
        <f t="shared" si="336"/>
        <v>1.4000000000000001</v>
      </c>
      <c r="BL493" s="8">
        <f t="shared" si="279"/>
        <v>0.5</v>
      </c>
      <c r="BM493" s="51" t="str">
        <f>IFERROR(VLOOKUP(A493,NF!$M:$O,3,0),"")</f>
        <v>Hortifruti</v>
      </c>
      <c r="BN493" s="7">
        <f t="shared" si="280"/>
        <v>8</v>
      </c>
      <c r="BO493" s="8">
        <f t="array" ref="BO493">IFERROR(LARGE(IF(NF!$G$2:$G$3137='Mês atual'!A493,NF!$J$2:$J$3137),1),0)*BN493</f>
        <v>305.33333333333331</v>
      </c>
      <c r="BP493" s="50"/>
      <c r="BR493" s="146">
        <f t="array" ref="BR493">IFERROR(LARGE(IF(NF!$G$2:$G$3137='Mês atual'!A493,NF!$J$2:$J$3137),1),0)</f>
        <v>38.166666666666664</v>
      </c>
      <c r="BS493" s="142" t="str">
        <f>VLOOKUP(A493,NF!M:O,3,0)</f>
        <v>Hortifruti</v>
      </c>
      <c r="BV493" s="74">
        <f t="shared" si="322"/>
        <v>1.3</v>
      </c>
      <c r="BW493" s="74">
        <f t="shared" si="323"/>
        <v>1.5</v>
      </c>
      <c r="BX493" s="74">
        <f t="shared" si="324"/>
        <v>2.5</v>
      </c>
      <c r="BY493" s="74">
        <f t="shared" si="325"/>
        <v>1.3</v>
      </c>
      <c r="BZ493" s="74">
        <f t="shared" si="326"/>
        <v>1.4000000000000001</v>
      </c>
    </row>
    <row r="494" spans="1:78" x14ac:dyDescent="0.25">
      <c r="A494" s="108" t="s">
        <v>406</v>
      </c>
      <c r="B494" s="12"/>
      <c r="C494" s="9">
        <v>0</v>
      </c>
      <c r="D494" s="25"/>
      <c r="E494" s="10" t="str">
        <f t="shared" si="265"/>
        <v>MarçoSEMANA 1Hortelã Orgânica</v>
      </c>
      <c r="F494" s="7">
        <f>SUMIF(NF!$A:$A,$E494,NF!$I:$I)</f>
        <v>0</v>
      </c>
      <c r="G494" s="74"/>
      <c r="H494" s="74"/>
      <c r="I494" s="74"/>
      <c r="J494" s="6"/>
      <c r="K494" s="6"/>
      <c r="L494" s="6"/>
      <c r="M494" s="6"/>
      <c r="N494" s="7">
        <f t="shared" si="332"/>
        <v>0</v>
      </c>
      <c r="O494" s="11">
        <f t="shared" si="267"/>
        <v>0</v>
      </c>
      <c r="P494" s="25"/>
      <c r="Q494" s="10" t="str">
        <f t="shared" si="268"/>
        <v>MarçoSEMANA 2Hortelã Orgânica</v>
      </c>
      <c r="R494" s="7">
        <f>SUMIF(NF!$A:$A,$Q494,NF!$I:$I)</f>
        <v>0</v>
      </c>
      <c r="S494" s="6"/>
      <c r="T494" s="6"/>
      <c r="U494" s="6"/>
      <c r="V494" s="6"/>
      <c r="W494" s="6"/>
      <c r="X494" s="6"/>
      <c r="Y494" s="6"/>
      <c r="Z494" s="7">
        <f t="shared" si="333"/>
        <v>0</v>
      </c>
      <c r="AA494" s="11">
        <f t="shared" si="270"/>
        <v>0</v>
      </c>
      <c r="AB494" s="25"/>
      <c r="AC494" s="10" t="str">
        <f t="shared" si="271"/>
        <v>MarçoSEMANA 3Hortelã Orgânica</v>
      </c>
      <c r="AD494" s="7">
        <f>SUMIF(NF!$A:$A,$AC494,NF!$I:$I)</f>
        <v>0</v>
      </c>
      <c r="AE494" s="6"/>
      <c r="AF494" s="6"/>
      <c r="AG494" s="6"/>
      <c r="AH494" s="6"/>
      <c r="AI494" s="6"/>
      <c r="AJ494" s="6"/>
      <c r="AK494" s="6"/>
      <c r="AL494" s="7">
        <f t="shared" si="334"/>
        <v>0</v>
      </c>
      <c r="AM494" s="11">
        <f t="shared" si="273"/>
        <v>0</v>
      </c>
      <c r="AN494" s="25"/>
      <c r="AO494" s="10" t="str">
        <f t="shared" si="274"/>
        <v>MarçoSEMANA 4Hortelã Orgânica</v>
      </c>
      <c r="AP494" s="7">
        <f>SUMIF(NF!$A:$A,$AO494,NF!$I:$I)</f>
        <v>0</v>
      </c>
      <c r="AQ494" s="6"/>
      <c r="AR494" s="6"/>
      <c r="AS494" s="6"/>
      <c r="AT494" s="6"/>
      <c r="AU494" s="6"/>
      <c r="AV494" s="6"/>
      <c r="AW494" s="6"/>
      <c r="AX494" s="7">
        <f t="shared" si="335"/>
        <v>0</v>
      </c>
      <c r="AY494" s="11">
        <f t="shared" si="276"/>
        <v>0</v>
      </c>
      <c r="AZ494" s="25"/>
      <c r="BA494" s="10" t="str">
        <f t="shared" si="277"/>
        <v>MarçoSEMANA 5Hortelã Orgânica</v>
      </c>
      <c r="BB494" s="7">
        <f>SUMIF(NF!$A:$A,$BA494,NF!$I:$I)</f>
        <v>0</v>
      </c>
      <c r="BC494" s="6"/>
      <c r="BD494" s="6"/>
      <c r="BE494" s="6"/>
      <c r="BF494" s="6"/>
      <c r="BG494" s="6"/>
      <c r="BH494" s="6"/>
      <c r="BI494" s="74"/>
      <c r="BJ494" s="74"/>
      <c r="BK494" s="7">
        <f t="shared" si="336"/>
        <v>0</v>
      </c>
      <c r="BL494" s="8">
        <f t="shared" si="279"/>
        <v>0</v>
      </c>
      <c r="BM494" s="51" t="str">
        <f>IFERROR(VLOOKUP(A494,NF!$M:$O,3,0),"")</f>
        <v>Hortifruti</v>
      </c>
      <c r="BN494" s="7">
        <f t="shared" si="280"/>
        <v>0</v>
      </c>
      <c r="BO494" s="8">
        <f t="array" ref="BO494">IFERROR(LARGE(IF(NF!$G$2:$G$3137='Mês atual'!A494,NF!$J$2:$J$3137),1),0)*BN494</f>
        <v>0</v>
      </c>
      <c r="BP494" s="50"/>
      <c r="BR494" s="146">
        <f t="array" ref="BR494">IFERROR(LARGE(IF(NF!$G$2:$G$3137='Mês atual'!A494,NF!$J$2:$J$3137),1),0)</f>
        <v>0</v>
      </c>
      <c r="BS494" s="142" t="str">
        <f>VLOOKUP(A494,NF!M:O,3,0)</f>
        <v>Hortifruti</v>
      </c>
      <c r="BV494" s="74">
        <f t="shared" si="322"/>
        <v>0</v>
      </c>
      <c r="BW494" s="74">
        <f t="shared" si="323"/>
        <v>0</v>
      </c>
      <c r="BX494" s="74">
        <f t="shared" si="324"/>
        <v>0</v>
      </c>
      <c r="BY494" s="74">
        <f t="shared" si="325"/>
        <v>0</v>
      </c>
      <c r="BZ494" s="74">
        <f t="shared" si="326"/>
        <v>0</v>
      </c>
    </row>
    <row r="495" spans="1:78" x14ac:dyDescent="0.2">
      <c r="A495" s="108" t="s">
        <v>448</v>
      </c>
      <c r="B495" s="12"/>
      <c r="C495" s="9">
        <v>0</v>
      </c>
      <c r="D495" s="25"/>
      <c r="E495" s="10" t="str">
        <f t="shared" si="265"/>
        <v>MarçoSEMANA 1Inhame</v>
      </c>
      <c r="F495" s="7">
        <f>SUMIF(NF!$A:$A,$E495,NF!$I:$I)</f>
        <v>6</v>
      </c>
      <c r="G495" s="74"/>
      <c r="H495" s="74"/>
      <c r="I495" s="74"/>
      <c r="J495" s="6"/>
      <c r="K495" s="6"/>
      <c r="L495" s="6">
        <v>6</v>
      </c>
      <c r="M495" s="6"/>
      <c r="N495" s="7">
        <f t="shared" si="332"/>
        <v>6</v>
      </c>
      <c r="O495" s="11">
        <f t="shared" si="267"/>
        <v>0</v>
      </c>
      <c r="P495" s="25"/>
      <c r="Q495" s="10" t="str">
        <f t="shared" si="268"/>
        <v>MarçoSEMANA 2Inhame</v>
      </c>
      <c r="R495" s="7">
        <f>SUMIF(NF!$A:$A,$Q495,NF!$I:$I)</f>
        <v>0</v>
      </c>
      <c r="S495" s="6"/>
      <c r="T495" s="6"/>
      <c r="U495" s="6"/>
      <c r="V495" s="6"/>
      <c r="W495" s="6"/>
      <c r="X495" s="6"/>
      <c r="Y495" s="6"/>
      <c r="Z495" s="7">
        <f t="shared" si="333"/>
        <v>0</v>
      </c>
      <c r="AA495" s="11">
        <f t="shared" si="270"/>
        <v>0</v>
      </c>
      <c r="AB495" s="25"/>
      <c r="AC495" s="10" t="str">
        <f t="shared" si="271"/>
        <v>MarçoSEMANA 3Inhame</v>
      </c>
      <c r="AD495" s="7">
        <f>SUMIF(NF!$A:$A,$AC495,NF!$I:$I)</f>
        <v>8</v>
      </c>
      <c r="AE495" s="6"/>
      <c r="AF495" s="6"/>
      <c r="AG495" s="6">
        <v>2</v>
      </c>
      <c r="AH495" s="6"/>
      <c r="AI495" s="6"/>
      <c r="AJ495" s="6">
        <v>4</v>
      </c>
      <c r="AK495" s="6"/>
      <c r="AL495" s="7">
        <f t="shared" si="334"/>
        <v>6</v>
      </c>
      <c r="AM495" s="11">
        <f t="shared" si="273"/>
        <v>2</v>
      </c>
      <c r="AN495" s="25"/>
      <c r="AO495" s="10" t="str">
        <f t="shared" si="274"/>
        <v>MarçoSEMANA 4Inhame</v>
      </c>
      <c r="AP495" s="7">
        <f>SUMIF(NF!$A:$A,$AO495,NF!$I:$I)</f>
        <v>5</v>
      </c>
      <c r="AQ495" s="6">
        <v>2</v>
      </c>
      <c r="AR495" s="6">
        <v>2</v>
      </c>
      <c r="AS495" s="6"/>
      <c r="AT495" s="6">
        <v>3</v>
      </c>
      <c r="AU495" s="6"/>
      <c r="AV495" s="6"/>
      <c r="AW495" s="6"/>
      <c r="AX495" s="7">
        <f t="shared" si="335"/>
        <v>7</v>
      </c>
      <c r="AY495" s="11">
        <f t="shared" si="276"/>
        <v>0</v>
      </c>
      <c r="AZ495" s="25"/>
      <c r="BA495" s="10" t="str">
        <f t="shared" si="277"/>
        <v>MarçoSEMANA 5Inhame</v>
      </c>
      <c r="BB495" s="7">
        <f>SUMIF(NF!$A:$A,$BA495,NF!$I:$I)</f>
        <v>10</v>
      </c>
      <c r="BC495" s="6"/>
      <c r="BD495" s="6">
        <f>6.05+1.95</f>
        <v>8</v>
      </c>
      <c r="BE495" s="6"/>
      <c r="BF495" s="6"/>
      <c r="BG495" s="6"/>
      <c r="BH495" s="6"/>
      <c r="BI495" s="74"/>
      <c r="BJ495" s="74"/>
      <c r="BK495" s="7">
        <f t="shared" si="336"/>
        <v>8</v>
      </c>
      <c r="BL495" s="8">
        <f t="shared" si="279"/>
        <v>2</v>
      </c>
      <c r="BM495" s="51" t="str">
        <f>IFERROR(VLOOKUP(A495,NF!$M:$O,3,0),"")</f>
        <v>Hortifruti</v>
      </c>
      <c r="BN495" s="7">
        <f t="shared" si="280"/>
        <v>27</v>
      </c>
      <c r="BO495" s="8">
        <f t="array" ref="BO495">IFERROR(LARGE(IF(NF!$G$2:$G$3137='Mês atual'!A495,NF!$J$2:$J$3137),1),0)*BN495</f>
        <v>118.80000000000001</v>
      </c>
      <c r="BP495" s="50"/>
      <c r="BR495" s="146">
        <f t="array" ref="BR495">IFERROR(LARGE(IF(NF!$G$2:$G$3137='Mês atual'!A495,NF!$J$2:$J$3137),1),0)</f>
        <v>4.4000000000000004</v>
      </c>
      <c r="BS495" s="142" t="str">
        <f>VLOOKUP(A495,NF!M:O,3,0)</f>
        <v>Hortifruti</v>
      </c>
      <c r="BV495" s="74">
        <f t="shared" si="322"/>
        <v>6</v>
      </c>
      <c r="BW495" s="74">
        <f t="shared" si="323"/>
        <v>0</v>
      </c>
      <c r="BX495" s="74">
        <f t="shared" si="324"/>
        <v>6</v>
      </c>
      <c r="BY495" s="74">
        <f t="shared" si="325"/>
        <v>7</v>
      </c>
      <c r="BZ495" s="74">
        <f t="shared" si="326"/>
        <v>8</v>
      </c>
    </row>
    <row r="496" spans="1:78" x14ac:dyDescent="0.25">
      <c r="A496" s="108" t="s">
        <v>451</v>
      </c>
      <c r="B496" s="12"/>
      <c r="C496" s="9">
        <v>0</v>
      </c>
      <c r="D496" s="25"/>
      <c r="E496" s="10" t="str">
        <f t="shared" si="265"/>
        <v>MarçoSEMANA 1Jiló</v>
      </c>
      <c r="F496" s="7">
        <f>SUMIF(NF!$A:$A,$E496,NF!$I:$I)</f>
        <v>0</v>
      </c>
      <c r="G496" s="74"/>
      <c r="H496" s="74"/>
      <c r="I496" s="74"/>
      <c r="J496" s="6"/>
      <c r="K496" s="6"/>
      <c r="L496" s="6"/>
      <c r="M496" s="6"/>
      <c r="N496" s="7">
        <f t="shared" si="332"/>
        <v>0</v>
      </c>
      <c r="O496" s="11">
        <f t="shared" si="267"/>
        <v>0</v>
      </c>
      <c r="P496" s="25"/>
      <c r="Q496" s="10" t="str">
        <f t="shared" si="268"/>
        <v>MarçoSEMANA 2Jiló</v>
      </c>
      <c r="R496" s="7">
        <f>SUMIF(NF!$A:$A,$Q496,NF!$I:$I)</f>
        <v>0</v>
      </c>
      <c r="S496" s="6"/>
      <c r="T496" s="6"/>
      <c r="U496" s="6"/>
      <c r="V496" s="6"/>
      <c r="W496" s="6"/>
      <c r="X496" s="6"/>
      <c r="Y496" s="6"/>
      <c r="Z496" s="7">
        <f t="shared" si="333"/>
        <v>0</v>
      </c>
      <c r="AA496" s="11">
        <f t="shared" si="270"/>
        <v>0</v>
      </c>
      <c r="AB496" s="25"/>
      <c r="AC496" s="10" t="str">
        <f t="shared" si="271"/>
        <v>MarçoSEMANA 3Jiló</v>
      </c>
      <c r="AD496" s="7">
        <f>SUMIF(NF!$A:$A,$AC496,NF!$I:$I)</f>
        <v>0</v>
      </c>
      <c r="AE496" s="6"/>
      <c r="AF496" s="6"/>
      <c r="AG496" s="6"/>
      <c r="AH496" s="6"/>
      <c r="AI496" s="6"/>
      <c r="AJ496" s="6"/>
      <c r="AK496" s="6"/>
      <c r="AL496" s="7">
        <f t="shared" si="334"/>
        <v>0</v>
      </c>
      <c r="AM496" s="11">
        <f t="shared" si="273"/>
        <v>0</v>
      </c>
      <c r="AN496" s="25"/>
      <c r="AO496" s="10" t="str">
        <f t="shared" si="274"/>
        <v>MarçoSEMANA 4Jiló</v>
      </c>
      <c r="AP496" s="7">
        <f>SUMIF(NF!$A:$A,$AO496,NF!$I:$I)</f>
        <v>1.5</v>
      </c>
      <c r="AQ496" s="6"/>
      <c r="AR496" s="6"/>
      <c r="AS496" s="6"/>
      <c r="AT496" s="6">
        <v>1.5</v>
      </c>
      <c r="AU496" s="6"/>
      <c r="AV496" s="6"/>
      <c r="AW496" s="6"/>
      <c r="AX496" s="7">
        <f t="shared" si="335"/>
        <v>1.5</v>
      </c>
      <c r="AY496" s="11">
        <f t="shared" si="276"/>
        <v>0</v>
      </c>
      <c r="AZ496" s="25"/>
      <c r="BA496" s="10" t="str">
        <f t="shared" si="277"/>
        <v>MarçoSEMANA 5Jiló</v>
      </c>
      <c r="BB496" s="7">
        <f>SUMIF(NF!$A:$A,$BA496,NF!$I:$I)</f>
        <v>0</v>
      </c>
      <c r="BC496" s="6"/>
      <c r="BD496" s="6"/>
      <c r="BE496" s="6"/>
      <c r="BF496" s="6"/>
      <c r="BG496" s="6"/>
      <c r="BH496" s="6"/>
      <c r="BI496" s="74"/>
      <c r="BJ496" s="74"/>
      <c r="BK496" s="7">
        <f t="shared" si="336"/>
        <v>0</v>
      </c>
      <c r="BL496" s="8">
        <f t="shared" si="279"/>
        <v>0</v>
      </c>
      <c r="BM496" s="51" t="str">
        <f>IFERROR(VLOOKUP(A496,NF!$M:$O,3,0),"")</f>
        <v>Hortifruti</v>
      </c>
      <c r="BN496" s="7">
        <f t="shared" si="280"/>
        <v>1.5</v>
      </c>
      <c r="BO496" s="8">
        <f t="array" ref="BO496">IFERROR(LARGE(IF(NF!$G$2:$G$3137='Mês atual'!A496,NF!$J$2:$J$3137),1),0)*BN496</f>
        <v>6</v>
      </c>
      <c r="BP496" s="50"/>
      <c r="BR496" s="146">
        <f t="array" ref="BR496">IFERROR(LARGE(IF(NF!$G$2:$G$3137='Mês atual'!A496,NF!$J$2:$J$3137),1),0)</f>
        <v>4</v>
      </c>
      <c r="BS496" s="142" t="str">
        <f>VLOOKUP(A496,NF!M:O,3,0)</f>
        <v>Hortifruti</v>
      </c>
      <c r="BV496" s="74">
        <f t="shared" si="322"/>
        <v>0</v>
      </c>
      <c r="BW496" s="74">
        <f t="shared" si="323"/>
        <v>0</v>
      </c>
      <c r="BX496" s="74">
        <f t="shared" si="324"/>
        <v>0</v>
      </c>
      <c r="BY496" s="74">
        <f t="shared" si="325"/>
        <v>1.5</v>
      </c>
      <c r="BZ496" s="74">
        <f t="shared" si="326"/>
        <v>0</v>
      </c>
    </row>
    <row r="497" spans="1:78" x14ac:dyDescent="0.2">
      <c r="A497" s="108" t="s">
        <v>453</v>
      </c>
      <c r="B497" s="12"/>
      <c r="C497" s="9">
        <v>0</v>
      </c>
      <c r="D497" s="25"/>
      <c r="E497" s="10" t="str">
        <f t="shared" si="265"/>
        <v>MarçoSEMANA 1Kiwi</v>
      </c>
      <c r="F497" s="7">
        <f>SUMIF(NF!$A:$A,$E497,NF!$I:$I)</f>
        <v>2</v>
      </c>
      <c r="G497" s="74"/>
      <c r="H497" s="74"/>
      <c r="I497" s="74"/>
      <c r="J497" s="6">
        <v>0.5</v>
      </c>
      <c r="K497" s="6">
        <v>0.5</v>
      </c>
      <c r="L497" s="6">
        <v>0.5</v>
      </c>
      <c r="M497" s="6">
        <v>0.5</v>
      </c>
      <c r="N497" s="7">
        <f t="shared" si="332"/>
        <v>2</v>
      </c>
      <c r="O497" s="11">
        <f t="shared" si="267"/>
        <v>0</v>
      </c>
      <c r="P497" s="25"/>
      <c r="Q497" s="10" t="str">
        <f t="shared" si="268"/>
        <v>MarçoSEMANA 2Kiwi</v>
      </c>
      <c r="R497" s="7">
        <f>SUMIF(NF!$A:$A,$Q497,NF!$I:$I)</f>
        <v>2.5</v>
      </c>
      <c r="S497" s="6">
        <v>0.5</v>
      </c>
      <c r="T497" s="6">
        <v>0.5</v>
      </c>
      <c r="U497" s="6"/>
      <c r="V497" s="6">
        <v>0.5</v>
      </c>
      <c r="W497" s="6"/>
      <c r="X497" s="6"/>
      <c r="Y497" s="6"/>
      <c r="Z497" s="7">
        <f t="shared" si="333"/>
        <v>1.5</v>
      </c>
      <c r="AA497" s="11">
        <f t="shared" si="270"/>
        <v>1</v>
      </c>
      <c r="AB497" s="25"/>
      <c r="AC497" s="10" t="str">
        <f t="shared" si="271"/>
        <v>MarçoSEMANA 3Kiwi</v>
      </c>
      <c r="AD497" s="7">
        <f>SUMIF(NF!$A:$A,$AC497,NF!$I:$I)</f>
        <v>3</v>
      </c>
      <c r="AE497" s="6">
        <v>1</v>
      </c>
      <c r="AF497" s="6">
        <v>0.5</v>
      </c>
      <c r="AG497" s="6">
        <v>0.5</v>
      </c>
      <c r="AH497" s="6">
        <v>0.5</v>
      </c>
      <c r="AI497" s="6">
        <v>0.5</v>
      </c>
      <c r="AJ497" s="6"/>
      <c r="AK497" s="6">
        <v>1</v>
      </c>
      <c r="AL497" s="7">
        <f t="shared" si="334"/>
        <v>4</v>
      </c>
      <c r="AM497" s="11">
        <f t="shared" si="273"/>
        <v>0</v>
      </c>
      <c r="AN497" s="25"/>
      <c r="AO497" s="10" t="str">
        <f t="shared" si="274"/>
        <v>MarçoSEMANA 4Kiwi</v>
      </c>
      <c r="AP497" s="7">
        <f>SUMIF(NF!$A:$A,$AO497,NF!$I:$I)</f>
        <v>2.5</v>
      </c>
      <c r="AQ497" s="6">
        <v>0.5</v>
      </c>
      <c r="AR497" s="6">
        <v>0.5</v>
      </c>
      <c r="AS497" s="6"/>
      <c r="AT497" s="6">
        <v>0.5</v>
      </c>
      <c r="AU497" s="6"/>
      <c r="AV497" s="6">
        <v>0.5</v>
      </c>
      <c r="AW497" s="6">
        <v>0.5</v>
      </c>
      <c r="AX497" s="7">
        <f t="shared" si="335"/>
        <v>2.5</v>
      </c>
      <c r="AY497" s="11">
        <f t="shared" si="276"/>
        <v>0</v>
      </c>
      <c r="AZ497" s="25"/>
      <c r="BA497" s="10" t="str">
        <f t="shared" si="277"/>
        <v>MarçoSEMANA 5Kiwi</v>
      </c>
      <c r="BB497" s="7">
        <f>SUMIF(NF!$A:$A,$BA497,NF!$I:$I)</f>
        <v>2</v>
      </c>
      <c r="BC497" s="6"/>
      <c r="BD497" s="6">
        <v>0.5</v>
      </c>
      <c r="BE497" s="6">
        <v>0.5</v>
      </c>
      <c r="BF497" s="6"/>
      <c r="BG497" s="6"/>
      <c r="BH497" s="6">
        <v>0.5</v>
      </c>
      <c r="BI497" s="74"/>
      <c r="BJ497" s="74"/>
      <c r="BK497" s="7">
        <f t="shared" si="336"/>
        <v>1.5</v>
      </c>
      <c r="BL497" s="8">
        <f t="shared" si="279"/>
        <v>0.5</v>
      </c>
      <c r="BM497" s="51" t="str">
        <f>IFERROR(VLOOKUP(A497,NF!$M:$O,3,0),"")</f>
        <v>Hortifruti</v>
      </c>
      <c r="BN497" s="7">
        <f t="shared" si="280"/>
        <v>11.5</v>
      </c>
      <c r="BO497" s="8">
        <f t="array" ref="BO497">IFERROR(LARGE(IF(NF!$G$2:$G$3137='Mês atual'!A497,NF!$J$2:$J$3137),1),0)*BN497</f>
        <v>172.5</v>
      </c>
      <c r="BP497" s="50"/>
      <c r="BR497" s="146">
        <f t="array" ref="BR497">IFERROR(LARGE(IF(NF!$G$2:$G$3137='Mês atual'!A497,NF!$J$2:$J$3137),1),0)</f>
        <v>15</v>
      </c>
      <c r="BS497" s="142" t="str">
        <f>VLOOKUP(A497,NF!M:O,3,0)</f>
        <v>Hortifruti</v>
      </c>
      <c r="BV497" s="74">
        <f t="shared" si="322"/>
        <v>2</v>
      </c>
      <c r="BW497" s="74">
        <f t="shared" si="323"/>
        <v>1.5</v>
      </c>
      <c r="BX497" s="74">
        <f t="shared" si="324"/>
        <v>4</v>
      </c>
      <c r="BY497" s="74">
        <f t="shared" si="325"/>
        <v>2.5</v>
      </c>
      <c r="BZ497" s="74">
        <f t="shared" si="326"/>
        <v>1.5</v>
      </c>
    </row>
    <row r="498" spans="1:78" x14ac:dyDescent="0.2">
      <c r="A498" s="108" t="s">
        <v>456</v>
      </c>
      <c r="B498" s="12"/>
      <c r="C498" s="9">
        <v>20.02</v>
      </c>
      <c r="D498" s="25"/>
      <c r="E498" s="10" t="str">
        <f t="shared" si="265"/>
        <v>MarçoSEMANA 1Laranja Pera</v>
      </c>
      <c r="F498" s="7">
        <f>SUMIF(NF!$A:$A,$E498,NF!$I:$I)</f>
        <v>60.819999999999993</v>
      </c>
      <c r="G498" s="74"/>
      <c r="H498" s="74"/>
      <c r="I498" s="74"/>
      <c r="J498" s="6">
        <v>20.02</v>
      </c>
      <c r="K498" s="6"/>
      <c r="L498" s="6">
        <v>20.74</v>
      </c>
      <c r="M498" s="6">
        <v>20.12</v>
      </c>
      <c r="N498" s="7">
        <f t="shared" si="332"/>
        <v>60.879999999999995</v>
      </c>
      <c r="O498" s="11">
        <f t="shared" si="267"/>
        <v>19.959999999999994</v>
      </c>
      <c r="P498" s="25"/>
      <c r="Q498" s="10" t="str">
        <f t="shared" si="268"/>
        <v>MarçoSEMANA 2Laranja Pera</v>
      </c>
      <c r="R498" s="7">
        <f>SUMIF(NF!$A:$A,$Q498,NF!$I:$I)</f>
        <v>142.07999999999998</v>
      </c>
      <c r="S498" s="6">
        <v>9.81</v>
      </c>
      <c r="T498" s="6">
        <v>9.81</v>
      </c>
      <c r="U498" s="6">
        <v>41.48</v>
      </c>
      <c r="V498" s="6">
        <v>19.18</v>
      </c>
      <c r="W498" s="6">
        <v>21.72</v>
      </c>
      <c r="X498" s="6">
        <v>20</v>
      </c>
      <c r="Y498" s="6">
        <f>20.02+20.02</f>
        <v>40.04</v>
      </c>
      <c r="Z498" s="7">
        <f t="shared" si="333"/>
        <v>162.04</v>
      </c>
      <c r="AA498" s="11">
        <f t="shared" si="270"/>
        <v>0</v>
      </c>
      <c r="AB498" s="25"/>
      <c r="AC498" s="10" t="str">
        <f t="shared" si="271"/>
        <v>MarçoSEMANA 3Laranja Pera</v>
      </c>
      <c r="AD498" s="7">
        <f>SUMIF(NF!$A:$A,$AC498,NF!$I:$I)</f>
        <v>122.37999999999998</v>
      </c>
      <c r="AE498" s="6">
        <v>20.329999999999998</v>
      </c>
      <c r="AF498" s="6">
        <v>20.329999999999998</v>
      </c>
      <c r="AG498" s="6">
        <v>20.88</v>
      </c>
      <c r="AH498" s="6">
        <v>19.32</v>
      </c>
      <c r="AI498" s="6">
        <v>11.16</v>
      </c>
      <c r="AJ498" s="6">
        <v>11.16</v>
      </c>
      <c r="AK498" s="6">
        <v>19.2</v>
      </c>
      <c r="AL498" s="7">
        <f t="shared" si="334"/>
        <v>122.37999999999998</v>
      </c>
      <c r="AM498" s="11">
        <f t="shared" si="273"/>
        <v>0</v>
      </c>
      <c r="AN498" s="25"/>
      <c r="AO498" s="10" t="str">
        <f t="shared" si="274"/>
        <v>MarçoSEMANA 4Laranja Pera</v>
      </c>
      <c r="AP498" s="7">
        <f>SUMIF(NF!$A:$A,$AO498,NF!$I:$I)</f>
        <v>145.30000000000001</v>
      </c>
      <c r="AQ498" s="6">
        <v>20.36</v>
      </c>
      <c r="AR498" s="6">
        <v>19.02</v>
      </c>
      <c r="AS498" s="6">
        <v>21.98</v>
      </c>
      <c r="AT498" s="6"/>
      <c r="AU498" s="6">
        <v>20.98</v>
      </c>
      <c r="AV498" s="6">
        <v>20.440000000000001</v>
      </c>
      <c r="AW498" s="6">
        <v>20.6</v>
      </c>
      <c r="AX498" s="7">
        <f t="shared" si="335"/>
        <v>123.38</v>
      </c>
      <c r="AY498" s="11">
        <f t="shared" si="276"/>
        <v>21.920000000000016</v>
      </c>
      <c r="AZ498" s="25"/>
      <c r="BA498" s="10" t="str">
        <f t="shared" si="277"/>
        <v>MarçoSEMANA 5Laranja Pera</v>
      </c>
      <c r="BB498" s="7">
        <f>SUMIF(NF!$A:$A,$BA498,NF!$I:$I)</f>
        <v>122.75</v>
      </c>
      <c r="BC498" s="6">
        <v>21.92</v>
      </c>
      <c r="BD498" s="6">
        <v>20.13</v>
      </c>
      <c r="BE498" s="6">
        <v>20.3</v>
      </c>
      <c r="BF498" s="6">
        <v>20.54</v>
      </c>
      <c r="BG498" s="6">
        <v>20.5</v>
      </c>
      <c r="BH498" s="6">
        <v>19.68</v>
      </c>
      <c r="BI498" s="74"/>
      <c r="BJ498" s="74"/>
      <c r="BK498" s="7">
        <f t="shared" si="336"/>
        <v>123.07</v>
      </c>
      <c r="BL498" s="8">
        <f t="shared" si="279"/>
        <v>21.600000000000023</v>
      </c>
      <c r="BM498" s="51" t="str">
        <f>IFERROR(VLOOKUP(A498,NF!$M:$O,3,0),"")</f>
        <v>Hortifruti</v>
      </c>
      <c r="BN498" s="7">
        <f t="shared" si="280"/>
        <v>591.75</v>
      </c>
      <c r="BO498" s="8">
        <f t="array" ref="BO498">IFERROR(LARGE(IF(NF!$G$2:$G$3137='Mês atual'!A498,NF!$J$2:$J$3137),1),0)*BN498</f>
        <v>1028.8748137108794</v>
      </c>
      <c r="BP498" s="50"/>
      <c r="BR498" s="146">
        <f t="array" ref="BR498">IFERROR(LARGE(IF(NF!$G$2:$G$3137='Mês atual'!A498,NF!$J$2:$J$3137),1),0)</f>
        <v>1.7386984600099356</v>
      </c>
      <c r="BS498" s="142" t="str">
        <f>VLOOKUP(A498,NF!M:O,3,0)</f>
        <v>Hortifruti</v>
      </c>
      <c r="BV498" s="74">
        <f t="shared" si="322"/>
        <v>60.879999999999995</v>
      </c>
      <c r="BW498" s="74">
        <f t="shared" si="323"/>
        <v>162.04</v>
      </c>
      <c r="BX498" s="74">
        <f t="shared" si="324"/>
        <v>122.37999999999998</v>
      </c>
      <c r="BY498" s="74">
        <f t="shared" si="325"/>
        <v>123.38</v>
      </c>
      <c r="BZ498" s="74">
        <f t="shared" si="326"/>
        <v>123.07</v>
      </c>
    </row>
    <row r="499" spans="1:78" x14ac:dyDescent="0.2">
      <c r="A499" s="108" t="s">
        <v>457</v>
      </c>
      <c r="B499" s="12"/>
      <c r="C499" s="9">
        <v>0</v>
      </c>
      <c r="D499" s="25"/>
      <c r="E499" s="10" t="str">
        <f t="shared" si="265"/>
        <v>MarçoSEMANA 1Laranja Seleta</v>
      </c>
      <c r="F499" s="7">
        <f>SUMIF(NF!$A:$A,$E499,NF!$I:$I)</f>
        <v>0</v>
      </c>
      <c r="G499" s="74"/>
      <c r="H499" s="74"/>
      <c r="I499" s="74"/>
      <c r="J499" s="6"/>
      <c r="K499" s="6"/>
      <c r="L499" s="6"/>
      <c r="M499" s="6"/>
      <c r="N499" s="7">
        <f t="shared" si="332"/>
        <v>0</v>
      </c>
      <c r="O499" s="11">
        <f t="shared" si="267"/>
        <v>0</v>
      </c>
      <c r="P499" s="25"/>
      <c r="Q499" s="10" t="str">
        <f t="shared" si="268"/>
        <v>MarçoSEMANA 2Laranja Seleta</v>
      </c>
      <c r="R499" s="7">
        <f>SUMIF(NF!$A:$A,$Q499,NF!$I:$I)</f>
        <v>0</v>
      </c>
      <c r="S499" s="6"/>
      <c r="T499" s="6"/>
      <c r="U499" s="6"/>
      <c r="V499" s="6"/>
      <c r="W499" s="6"/>
      <c r="X499" s="6"/>
      <c r="Y499" s="6"/>
      <c r="Z499" s="7">
        <f t="shared" si="333"/>
        <v>0</v>
      </c>
      <c r="AA499" s="11">
        <f t="shared" si="270"/>
        <v>0</v>
      </c>
      <c r="AB499" s="25"/>
      <c r="AC499" s="10" t="str">
        <f t="shared" si="271"/>
        <v>MarçoSEMANA 3Laranja Seleta</v>
      </c>
      <c r="AD499" s="7">
        <f>SUMIF(NF!$A:$A,$AC499,NF!$I:$I)</f>
        <v>0</v>
      </c>
      <c r="AE499" s="6"/>
      <c r="AF499" s="6"/>
      <c r="AG499" s="6"/>
      <c r="AH499" s="6"/>
      <c r="AI499" s="6"/>
      <c r="AJ499" s="6"/>
      <c r="AK499" s="6"/>
      <c r="AL499" s="7">
        <f t="shared" si="334"/>
        <v>0</v>
      </c>
      <c r="AM499" s="11">
        <f t="shared" si="273"/>
        <v>0</v>
      </c>
      <c r="AN499" s="25"/>
      <c r="AO499" s="10" t="str">
        <f t="shared" si="274"/>
        <v>MarçoSEMANA 4Laranja Seleta</v>
      </c>
      <c r="AP499" s="7">
        <f>SUMIF(NF!$A:$A,$AO499,NF!$I:$I)</f>
        <v>0</v>
      </c>
      <c r="AQ499" s="6"/>
      <c r="AR499" s="6"/>
      <c r="AS499" s="6"/>
      <c r="AT499" s="6"/>
      <c r="AU499" s="6"/>
      <c r="AV499" s="6"/>
      <c r="AW499" s="6"/>
      <c r="AX499" s="7">
        <f t="shared" si="335"/>
        <v>0</v>
      </c>
      <c r="AY499" s="11">
        <f t="shared" si="276"/>
        <v>0</v>
      </c>
      <c r="AZ499" s="25"/>
      <c r="BA499" s="10" t="str">
        <f t="shared" si="277"/>
        <v>MarçoSEMANA 5Laranja Seleta</v>
      </c>
      <c r="BB499" s="7">
        <f>SUMIF(NF!$A:$A,$BA499,NF!$I:$I)</f>
        <v>0</v>
      </c>
      <c r="BC499" s="6"/>
      <c r="BD499" s="6"/>
      <c r="BE499" s="6"/>
      <c r="BF499" s="6"/>
      <c r="BG499" s="6"/>
      <c r="BH499" s="6"/>
      <c r="BI499" s="74"/>
      <c r="BJ499" s="74"/>
      <c r="BK499" s="7">
        <f t="shared" si="336"/>
        <v>0</v>
      </c>
      <c r="BL499" s="8">
        <f t="shared" si="279"/>
        <v>0</v>
      </c>
      <c r="BM499" s="51" t="str">
        <f>IFERROR(VLOOKUP(A499,NF!$M:$O,3,0),"")</f>
        <v>Hortifruti</v>
      </c>
      <c r="BN499" s="7">
        <f t="shared" si="280"/>
        <v>0</v>
      </c>
      <c r="BO499" s="8">
        <f t="array" ref="BO499">IFERROR(LARGE(IF(NF!$G$2:$G$3137='Mês atual'!A499,NF!$J$2:$J$3137),1),0)*BN499</f>
        <v>0</v>
      </c>
      <c r="BP499" s="50"/>
      <c r="BR499" s="146">
        <f t="array" ref="BR499">IFERROR(LARGE(IF(NF!$G$2:$G$3137='Mês atual'!A499,NF!$J$2:$J$3137),1),0)</f>
        <v>0</v>
      </c>
      <c r="BS499" s="142" t="str">
        <f>VLOOKUP(A499,NF!M:O,3,0)</f>
        <v>Hortifruti</v>
      </c>
      <c r="BV499" s="74">
        <f t="shared" si="322"/>
        <v>0</v>
      </c>
      <c r="BW499" s="74">
        <f t="shared" si="323"/>
        <v>0</v>
      </c>
      <c r="BX499" s="74">
        <f t="shared" si="324"/>
        <v>0</v>
      </c>
      <c r="BY499" s="74">
        <f t="shared" si="325"/>
        <v>0</v>
      </c>
      <c r="BZ499" s="74">
        <f t="shared" si="326"/>
        <v>0</v>
      </c>
    </row>
    <row r="500" spans="1:78" x14ac:dyDescent="0.25">
      <c r="A500" s="108" t="s">
        <v>463</v>
      </c>
      <c r="B500" s="12"/>
      <c r="C500" s="9">
        <v>15.7</v>
      </c>
      <c r="D500" s="25"/>
      <c r="E500" s="10" t="str">
        <f t="shared" si="265"/>
        <v>MarçoSEMANA 1Limão</v>
      </c>
      <c r="F500" s="7">
        <f>SUMIF(NF!$A:$A,$E500,NF!$I:$I)</f>
        <v>23.66</v>
      </c>
      <c r="G500" s="74"/>
      <c r="H500" s="74"/>
      <c r="I500" s="74"/>
      <c r="J500" s="6">
        <v>5.18</v>
      </c>
      <c r="K500" s="6">
        <v>5.92</v>
      </c>
      <c r="L500" s="6">
        <v>4.5999999999999996</v>
      </c>
      <c r="M500" s="6">
        <v>2.5840000000000001</v>
      </c>
      <c r="N500" s="7">
        <f t="shared" si="332"/>
        <v>18.283999999999999</v>
      </c>
      <c r="O500" s="11">
        <f t="shared" si="267"/>
        <v>21.076000000000001</v>
      </c>
      <c r="P500" s="25"/>
      <c r="Q500" s="10" t="str">
        <f t="shared" si="268"/>
        <v>MarçoSEMANA 2Limão</v>
      </c>
      <c r="R500" s="7">
        <f>SUMIF(NF!$A:$A,$Q500,NF!$I:$I)</f>
        <v>23.96</v>
      </c>
      <c r="S500" s="6">
        <v>3.7959999999999998</v>
      </c>
      <c r="T500" s="6">
        <v>4.5199999999999996</v>
      </c>
      <c r="U500" s="6">
        <v>4.5599999999999996</v>
      </c>
      <c r="V500" s="6">
        <v>8.1999999999999993</v>
      </c>
      <c r="W500" s="6">
        <v>4.74</v>
      </c>
      <c r="X500" s="6">
        <v>4.46</v>
      </c>
      <c r="Y500" s="6">
        <v>3.18</v>
      </c>
      <c r="Z500" s="7">
        <f t="shared" si="333"/>
        <v>33.455999999999996</v>
      </c>
      <c r="AA500" s="11">
        <f t="shared" si="270"/>
        <v>11.580000000000005</v>
      </c>
      <c r="AB500" s="25"/>
      <c r="AC500" s="10" t="str">
        <f t="shared" si="271"/>
        <v>MarçoSEMANA 3Limão</v>
      </c>
      <c r="AD500" s="7">
        <f>SUMIF(NF!$A:$A,$AC500,NF!$I:$I)</f>
        <v>43.540000000000006</v>
      </c>
      <c r="AE500" s="6">
        <v>5.12</v>
      </c>
      <c r="AF500" s="6">
        <v>6.5</v>
      </c>
      <c r="AG500" s="6">
        <v>6.18</v>
      </c>
      <c r="AH500" s="6">
        <v>2.56</v>
      </c>
      <c r="AI500" s="6">
        <v>3.16</v>
      </c>
      <c r="AJ500" s="6">
        <v>2.94</v>
      </c>
      <c r="AK500" s="6">
        <v>5.22</v>
      </c>
      <c r="AL500" s="7">
        <f t="shared" si="334"/>
        <v>31.68</v>
      </c>
      <c r="AM500" s="11">
        <f t="shared" si="273"/>
        <v>23.440000000000012</v>
      </c>
      <c r="AN500" s="25"/>
      <c r="AO500" s="10" t="str">
        <f t="shared" si="274"/>
        <v>MarçoSEMANA 4Limão</v>
      </c>
      <c r="AP500" s="7">
        <f>SUMIF(NF!$A:$A,$AO500,NF!$I:$I)</f>
        <v>23.8</v>
      </c>
      <c r="AQ500" s="6">
        <v>6.86</v>
      </c>
      <c r="AR500" s="6">
        <v>4.58</v>
      </c>
      <c r="AS500" s="6">
        <v>2.14</v>
      </c>
      <c r="AT500" s="6">
        <v>3.7</v>
      </c>
      <c r="AU500" s="6">
        <v>6.16</v>
      </c>
      <c r="AV500" s="6">
        <v>4.0599999999999996</v>
      </c>
      <c r="AW500" s="6">
        <v>3.14</v>
      </c>
      <c r="AX500" s="7">
        <f t="shared" si="335"/>
        <v>30.64</v>
      </c>
      <c r="AY500" s="11">
        <f t="shared" si="276"/>
        <v>16.600000000000009</v>
      </c>
      <c r="AZ500" s="25"/>
      <c r="BA500" s="10" t="str">
        <f t="shared" si="277"/>
        <v>MarçoSEMANA 5Limão</v>
      </c>
      <c r="BB500" s="7">
        <f>SUMIF(NF!$A:$A,$BA500,NF!$I:$I)</f>
        <v>23.18</v>
      </c>
      <c r="BC500" s="6">
        <v>3.7</v>
      </c>
      <c r="BD500" s="6">
        <v>3.1059999999999999</v>
      </c>
      <c r="BE500" s="6">
        <v>8.6940000000000008</v>
      </c>
      <c r="BF500" s="6">
        <v>4.6580000000000004</v>
      </c>
      <c r="BG500" s="6">
        <v>3.8620000000000001</v>
      </c>
      <c r="BH500" s="6">
        <v>3.38</v>
      </c>
      <c r="BI500" s="74"/>
      <c r="BJ500" s="74"/>
      <c r="BK500" s="7">
        <f t="shared" si="336"/>
        <v>27.400000000000002</v>
      </c>
      <c r="BL500" s="8">
        <f t="shared" si="279"/>
        <v>12.380000000000006</v>
      </c>
      <c r="BM500" s="51" t="str">
        <f>IFERROR(VLOOKUP(A500,NF!$M:$O,3,0),"")</f>
        <v>Hortifruti</v>
      </c>
      <c r="BN500" s="7">
        <f t="shared" si="280"/>
        <v>141.45999999999998</v>
      </c>
      <c r="BO500" s="8">
        <f t="array" ref="BO500">IFERROR(LARGE(IF(NF!$G$2:$G$3137='Mês atual'!A500,NF!$J$2:$J$3137),1),0)*BN500</f>
        <v>286.82571182053488</v>
      </c>
      <c r="BP500" s="50"/>
      <c r="BR500" s="146">
        <f t="array" ref="BR500">IFERROR(LARGE(IF(NF!$G$2:$G$3137='Mês atual'!A500,NF!$J$2:$J$3137),1),0)</f>
        <v>2.0276100086281277</v>
      </c>
      <c r="BS500" s="142" t="str">
        <f>VLOOKUP(A500,NF!M:O,3,0)</f>
        <v>Hortifruti</v>
      </c>
      <c r="BV500" s="74">
        <f t="shared" si="322"/>
        <v>18.283999999999999</v>
      </c>
      <c r="BW500" s="74">
        <f t="shared" si="323"/>
        <v>33.455999999999996</v>
      </c>
      <c r="BX500" s="74">
        <f t="shared" si="324"/>
        <v>31.68</v>
      </c>
      <c r="BY500" s="74">
        <f t="shared" si="325"/>
        <v>30.64</v>
      </c>
      <c r="BZ500" s="74">
        <f t="shared" si="326"/>
        <v>27.400000000000002</v>
      </c>
    </row>
    <row r="501" spans="1:78" x14ac:dyDescent="0.25">
      <c r="A501" s="108" t="s">
        <v>464</v>
      </c>
      <c r="B501" s="12"/>
      <c r="C501" s="9">
        <v>0</v>
      </c>
      <c r="D501" s="25"/>
      <c r="E501" s="10" t="str">
        <f t="shared" si="265"/>
        <v>MarçoSEMANA 1Limão Orgânico</v>
      </c>
      <c r="F501" s="7">
        <f>SUMIF(NF!$A:$A,$E501,NF!$I:$I)</f>
        <v>0</v>
      </c>
      <c r="G501" s="74"/>
      <c r="H501" s="74"/>
      <c r="I501" s="74"/>
      <c r="J501" s="6"/>
      <c r="K501" s="6"/>
      <c r="L501" s="6"/>
      <c r="M501" s="6"/>
      <c r="N501" s="7">
        <f t="shared" si="332"/>
        <v>0</v>
      </c>
      <c r="O501" s="11">
        <f t="shared" si="267"/>
        <v>0</v>
      </c>
      <c r="P501" s="25"/>
      <c r="Q501" s="10" t="str">
        <f t="shared" si="268"/>
        <v>MarçoSEMANA 2Limão Orgânico</v>
      </c>
      <c r="R501" s="7">
        <f>SUMIF(NF!$A:$A,$Q501,NF!$I:$I)</f>
        <v>0</v>
      </c>
      <c r="S501" s="6"/>
      <c r="T501" s="6"/>
      <c r="U501" s="6"/>
      <c r="V501" s="6"/>
      <c r="W501" s="6"/>
      <c r="X501" s="6"/>
      <c r="Y501" s="6"/>
      <c r="Z501" s="7">
        <f t="shared" si="333"/>
        <v>0</v>
      </c>
      <c r="AA501" s="11">
        <f t="shared" si="270"/>
        <v>0</v>
      </c>
      <c r="AB501" s="25"/>
      <c r="AC501" s="10" t="str">
        <f t="shared" si="271"/>
        <v>MarçoSEMANA 3Limão Orgânico</v>
      </c>
      <c r="AD501" s="7">
        <f>SUMIF(NF!$A:$A,$AC501,NF!$I:$I)</f>
        <v>0</v>
      </c>
      <c r="AE501" s="6"/>
      <c r="AF501" s="6"/>
      <c r="AG501" s="6"/>
      <c r="AH501" s="6"/>
      <c r="AI501" s="6"/>
      <c r="AJ501" s="6"/>
      <c r="AK501" s="6"/>
      <c r="AL501" s="7">
        <f t="shared" si="334"/>
        <v>0</v>
      </c>
      <c r="AM501" s="11">
        <f t="shared" si="273"/>
        <v>0</v>
      </c>
      <c r="AN501" s="25"/>
      <c r="AO501" s="10" t="str">
        <f t="shared" si="274"/>
        <v>MarçoSEMANA 4Limão Orgânico</v>
      </c>
      <c r="AP501" s="7">
        <f>SUMIF(NF!$A:$A,$AO501,NF!$I:$I)</f>
        <v>0</v>
      </c>
      <c r="AQ501" s="6"/>
      <c r="AR501" s="6"/>
      <c r="AS501" s="6"/>
      <c r="AT501" s="6"/>
      <c r="AU501" s="6"/>
      <c r="AV501" s="6"/>
      <c r="AW501" s="6"/>
      <c r="AX501" s="7">
        <f t="shared" si="335"/>
        <v>0</v>
      </c>
      <c r="AY501" s="11">
        <f t="shared" si="276"/>
        <v>0</v>
      </c>
      <c r="AZ501" s="25"/>
      <c r="BA501" s="10" t="str">
        <f t="shared" si="277"/>
        <v>MarçoSEMANA 5Limão Orgânico</v>
      </c>
      <c r="BB501" s="7">
        <f>SUMIF(NF!$A:$A,$BA501,NF!$I:$I)</f>
        <v>0</v>
      </c>
      <c r="BC501" s="6"/>
      <c r="BD501" s="6"/>
      <c r="BE501" s="6"/>
      <c r="BF501" s="6"/>
      <c r="BG501" s="6"/>
      <c r="BH501" s="6"/>
      <c r="BI501" s="74"/>
      <c r="BJ501" s="74"/>
      <c r="BK501" s="7">
        <f t="shared" si="336"/>
        <v>0</v>
      </c>
      <c r="BL501" s="8">
        <f t="shared" si="279"/>
        <v>0</v>
      </c>
      <c r="BM501" s="51" t="str">
        <f>IFERROR(VLOOKUP(A501,NF!$M:$O,3,0),"")</f>
        <v>Hortifruti</v>
      </c>
      <c r="BN501" s="7">
        <f t="shared" si="280"/>
        <v>0</v>
      </c>
      <c r="BO501" s="8">
        <f t="array" ref="BO501">IFERROR(LARGE(IF(NF!$G$2:$G$3137='Mês atual'!A501,NF!$J$2:$J$3137),1),0)*BN501</f>
        <v>0</v>
      </c>
      <c r="BP501" s="50"/>
      <c r="BR501" s="146">
        <f t="array" ref="BR501">IFERROR(LARGE(IF(NF!$G$2:$G$3137='Mês atual'!A501,NF!$J$2:$J$3137),1),0)</f>
        <v>0</v>
      </c>
      <c r="BS501" s="142" t="str">
        <f>VLOOKUP(A501,NF!M:O,3,0)</f>
        <v>Hortifruti</v>
      </c>
      <c r="BV501" s="74">
        <f t="shared" si="322"/>
        <v>0</v>
      </c>
      <c r="BW501" s="74">
        <f t="shared" si="323"/>
        <v>0</v>
      </c>
      <c r="BX501" s="74">
        <f t="shared" si="324"/>
        <v>0</v>
      </c>
      <c r="BY501" s="74">
        <f t="shared" si="325"/>
        <v>0</v>
      </c>
      <c r="BZ501" s="74">
        <f t="shared" si="326"/>
        <v>0</v>
      </c>
    </row>
    <row r="502" spans="1:78" x14ac:dyDescent="0.25">
      <c r="A502" s="108" t="s">
        <v>465</v>
      </c>
      <c r="B502" s="12"/>
      <c r="C502" s="9">
        <v>1</v>
      </c>
      <c r="D502" s="25"/>
      <c r="E502" s="10" t="str">
        <f t="shared" si="265"/>
        <v>MarçoSEMANA 1Limão Siciliano</v>
      </c>
      <c r="F502" s="7">
        <f>SUMIF(NF!$A:$A,$E502,NF!$I:$I)</f>
        <v>1</v>
      </c>
      <c r="G502" s="74"/>
      <c r="H502" s="74"/>
      <c r="I502" s="74"/>
      <c r="J502" s="6">
        <v>1</v>
      </c>
      <c r="K502" s="6"/>
      <c r="L502" s="6"/>
      <c r="M502" s="6">
        <v>1</v>
      </c>
      <c r="N502" s="7">
        <f t="shared" ref="N502:N569" si="337">SUM(G502:M502)</f>
        <v>2</v>
      </c>
      <c r="O502" s="11">
        <f t="shared" si="267"/>
        <v>0</v>
      </c>
      <c r="P502" s="25"/>
      <c r="Q502" s="10" t="str">
        <f t="shared" si="268"/>
        <v>MarçoSEMANA 2Limão Siciliano</v>
      </c>
      <c r="R502" s="7">
        <f>SUMIF(NF!$A:$A,$Q502,NF!$I:$I)</f>
        <v>1</v>
      </c>
      <c r="S502" s="6"/>
      <c r="T502" s="6"/>
      <c r="U502" s="6"/>
      <c r="V502" s="6"/>
      <c r="W502" s="6"/>
      <c r="X502" s="6">
        <v>1</v>
      </c>
      <c r="Y502" s="6"/>
      <c r="Z502" s="7">
        <f t="shared" ref="Z502:Z569" si="338">SUM(S502:Y502)</f>
        <v>1</v>
      </c>
      <c r="AA502" s="11">
        <f t="shared" si="270"/>
        <v>0</v>
      </c>
      <c r="AB502" s="25"/>
      <c r="AC502" s="10" t="str">
        <f t="shared" si="271"/>
        <v>MarçoSEMANA 3Limão Siciliano</v>
      </c>
      <c r="AD502" s="7">
        <f>SUMIF(NF!$A:$A,$AC502,NF!$I:$I)</f>
        <v>1</v>
      </c>
      <c r="AE502" s="6"/>
      <c r="AF502" s="6"/>
      <c r="AG502" s="6">
        <v>1</v>
      </c>
      <c r="AH502" s="6"/>
      <c r="AI502" s="6"/>
      <c r="AJ502" s="6"/>
      <c r="AK502" s="6"/>
      <c r="AL502" s="7">
        <f t="shared" ref="AL502:AL569" si="339">SUM(AE502:AK502)</f>
        <v>1</v>
      </c>
      <c r="AM502" s="11">
        <f t="shared" si="273"/>
        <v>0</v>
      </c>
      <c r="AN502" s="25"/>
      <c r="AO502" s="10" t="str">
        <f t="shared" si="274"/>
        <v>MarçoSEMANA 4Limão Siciliano</v>
      </c>
      <c r="AP502" s="7">
        <f>SUMIF(NF!$A:$A,$AO502,NF!$I:$I)</f>
        <v>1</v>
      </c>
      <c r="AQ502" s="6"/>
      <c r="AR502" s="6"/>
      <c r="AS502" s="6">
        <v>1</v>
      </c>
      <c r="AT502" s="6"/>
      <c r="AU502" s="6"/>
      <c r="AV502" s="6"/>
      <c r="AW502" s="6"/>
      <c r="AX502" s="7">
        <f t="shared" ref="AX502:AX569" si="340">SUM(AQ502:AW502)</f>
        <v>1</v>
      </c>
      <c r="AY502" s="11">
        <f t="shared" si="276"/>
        <v>0</v>
      </c>
      <c r="AZ502" s="25"/>
      <c r="BA502" s="10" t="str">
        <f t="shared" si="277"/>
        <v>MarçoSEMANA 5Limão Siciliano</v>
      </c>
      <c r="BB502" s="7">
        <f>SUMIF(NF!$A:$A,$BA502,NF!$I:$I)</f>
        <v>2</v>
      </c>
      <c r="BC502" s="6"/>
      <c r="BD502" s="6"/>
      <c r="BE502" s="6">
        <v>1</v>
      </c>
      <c r="BF502" s="6"/>
      <c r="BG502" s="6"/>
      <c r="BH502" s="6"/>
      <c r="BI502" s="74"/>
      <c r="BJ502" s="74"/>
      <c r="BK502" s="7">
        <f t="shared" ref="BK502:BK569" si="341">SUM(BC502:BJ502)</f>
        <v>1</v>
      </c>
      <c r="BL502" s="8">
        <f t="shared" si="279"/>
        <v>1</v>
      </c>
      <c r="BM502" s="51" t="str">
        <f>IFERROR(VLOOKUP(A502,NF!$M:$O,3,0),"")</f>
        <v>Hortifruti</v>
      </c>
      <c r="BN502" s="7">
        <f t="shared" si="280"/>
        <v>6</v>
      </c>
      <c r="BO502" s="8">
        <f t="array" ref="BO502">IFERROR(LARGE(IF(NF!$G$2:$G$3137='Mês atual'!A502,NF!$J$2:$J$3137),1),0)*BN502</f>
        <v>61.5</v>
      </c>
      <c r="BP502" s="50"/>
      <c r="BR502" s="146">
        <f t="array" ref="BR502">IFERROR(LARGE(IF(NF!$G$2:$G$3137='Mês atual'!A502,NF!$J$2:$J$3137),1),0)</f>
        <v>10.25</v>
      </c>
      <c r="BS502" s="142" t="str">
        <f>VLOOKUP(A502,NF!M:O,3,0)</f>
        <v>Hortifruti</v>
      </c>
      <c r="BV502" s="74">
        <f t="shared" si="322"/>
        <v>2</v>
      </c>
      <c r="BW502" s="74">
        <f t="shared" si="323"/>
        <v>1</v>
      </c>
      <c r="BX502" s="74">
        <f t="shared" si="324"/>
        <v>1</v>
      </c>
      <c r="BY502" s="74">
        <f t="shared" si="325"/>
        <v>1</v>
      </c>
      <c r="BZ502" s="74">
        <f t="shared" si="326"/>
        <v>1</v>
      </c>
    </row>
    <row r="503" spans="1:78" x14ac:dyDescent="0.2">
      <c r="A503" s="108" t="s">
        <v>468</v>
      </c>
      <c r="B503" s="12"/>
      <c r="C503" s="9">
        <v>0</v>
      </c>
      <c r="D503" s="25"/>
      <c r="E503" s="10" t="str">
        <f t="shared" si="265"/>
        <v>MarçoSEMANA 1Louro</v>
      </c>
      <c r="F503" s="7">
        <f>SUMIF(NF!$A:$A,$E503,NF!$I:$I)</f>
        <v>0</v>
      </c>
      <c r="G503" s="74"/>
      <c r="H503" s="74"/>
      <c r="I503" s="74"/>
      <c r="J503" s="6"/>
      <c r="K503" s="6"/>
      <c r="L503" s="6"/>
      <c r="M503" s="6"/>
      <c r="N503" s="7">
        <f t="shared" si="337"/>
        <v>0</v>
      </c>
      <c r="O503" s="11">
        <f t="shared" si="267"/>
        <v>0</v>
      </c>
      <c r="P503" s="25"/>
      <c r="Q503" s="10" t="str">
        <f t="shared" si="268"/>
        <v>MarçoSEMANA 2Louro</v>
      </c>
      <c r="R503" s="7">
        <f>SUMIF(NF!$A:$A,$Q503,NF!$I:$I)</f>
        <v>0</v>
      </c>
      <c r="S503" s="6"/>
      <c r="T503" s="6"/>
      <c r="U503" s="6"/>
      <c r="V503" s="6"/>
      <c r="W503" s="6"/>
      <c r="X503" s="6"/>
      <c r="Y503" s="6"/>
      <c r="Z503" s="7">
        <f t="shared" si="338"/>
        <v>0</v>
      </c>
      <c r="AA503" s="11">
        <f t="shared" si="270"/>
        <v>0</v>
      </c>
      <c r="AB503" s="25"/>
      <c r="AC503" s="10" t="str">
        <f t="shared" si="271"/>
        <v>MarçoSEMANA 3Louro</v>
      </c>
      <c r="AD503" s="7">
        <f>SUMIF(NF!$A:$A,$AC503,NF!$I:$I)</f>
        <v>0.06</v>
      </c>
      <c r="AE503" s="6"/>
      <c r="AF503" s="6"/>
      <c r="AG503" s="6"/>
      <c r="AH503" s="6">
        <v>0.06</v>
      </c>
      <c r="AI503" s="6"/>
      <c r="AJ503" s="6"/>
      <c r="AK503" s="6"/>
      <c r="AL503" s="7">
        <f t="shared" si="339"/>
        <v>0.06</v>
      </c>
      <c r="AM503" s="11">
        <f t="shared" si="273"/>
        <v>0</v>
      </c>
      <c r="AN503" s="25"/>
      <c r="AO503" s="10" t="str">
        <f t="shared" si="274"/>
        <v>MarçoSEMANA 4Louro</v>
      </c>
      <c r="AP503" s="7">
        <f>SUMIF(NF!$A:$A,$AO503,NF!$I:$I)</f>
        <v>0</v>
      </c>
      <c r="AQ503" s="6"/>
      <c r="AR503" s="6"/>
      <c r="AS503" s="6"/>
      <c r="AT503" s="6"/>
      <c r="AU503" s="6"/>
      <c r="AV503" s="6"/>
      <c r="AW503" s="6"/>
      <c r="AX503" s="7">
        <f t="shared" si="340"/>
        <v>0</v>
      </c>
      <c r="AY503" s="11">
        <f t="shared" si="276"/>
        <v>0</v>
      </c>
      <c r="AZ503" s="25"/>
      <c r="BA503" s="10" t="str">
        <f t="shared" si="277"/>
        <v>MarçoSEMANA 5Louro</v>
      </c>
      <c r="BB503" s="7">
        <f>SUMIF(NF!$A:$A,$BA503,NF!$I:$I)</f>
        <v>0.3</v>
      </c>
      <c r="BC503" s="6"/>
      <c r="BD503" s="6">
        <v>0.3</v>
      </c>
      <c r="BE503" s="6"/>
      <c r="BF503" s="6"/>
      <c r="BG503" s="6"/>
      <c r="BH503" s="6"/>
      <c r="BI503" s="74"/>
      <c r="BJ503" s="74"/>
      <c r="BK503" s="7">
        <f t="shared" si="341"/>
        <v>0.3</v>
      </c>
      <c r="BL503" s="8">
        <f t="shared" si="279"/>
        <v>0</v>
      </c>
      <c r="BM503" s="51" t="str">
        <f>IFERROR(VLOOKUP(A503,NF!$M:$O,3,0),"")</f>
        <v>Hortifruti</v>
      </c>
      <c r="BN503" s="7">
        <f t="shared" si="280"/>
        <v>0.36</v>
      </c>
      <c r="BO503" s="8">
        <f t="array" ref="BO503">IFERROR(LARGE(IF(NF!$G$2:$G$3137='Mês atual'!A503,NF!$J$2:$J$3137),1),0)*BN503</f>
        <v>29.7</v>
      </c>
      <c r="BP503" s="50"/>
      <c r="BR503" s="146">
        <f t="array" ref="BR503">IFERROR(LARGE(IF(NF!$G$2:$G$3137='Mês atual'!A503,NF!$J$2:$J$3137),1),0)</f>
        <v>82.5</v>
      </c>
      <c r="BS503" s="142" t="str">
        <f>VLOOKUP(A503,NF!M:O,3,0)</f>
        <v>Hortifruti</v>
      </c>
      <c r="BV503" s="74">
        <f t="shared" si="322"/>
        <v>0</v>
      </c>
      <c r="BW503" s="74">
        <f t="shared" si="323"/>
        <v>0</v>
      </c>
      <c r="BX503" s="74">
        <f t="shared" si="324"/>
        <v>0.06</v>
      </c>
      <c r="BY503" s="74">
        <f t="shared" si="325"/>
        <v>0</v>
      </c>
      <c r="BZ503" s="74">
        <f t="shared" si="326"/>
        <v>0.3</v>
      </c>
    </row>
    <row r="504" spans="1:78" x14ac:dyDescent="0.25">
      <c r="A504" s="108" t="s">
        <v>474</v>
      </c>
      <c r="B504" s="12"/>
      <c r="C504" s="9">
        <v>0</v>
      </c>
      <c r="D504" s="25"/>
      <c r="E504" s="10" t="str">
        <f t="shared" si="265"/>
        <v>MarçoSEMANA 1Maçã Ácida</v>
      </c>
      <c r="F504" s="7">
        <f>SUMIF(NF!$A:$A,$E504,NF!$I:$I)</f>
        <v>0</v>
      </c>
      <c r="G504" s="74"/>
      <c r="H504" s="74"/>
      <c r="I504" s="74"/>
      <c r="J504" s="6"/>
      <c r="K504" s="6"/>
      <c r="L504" s="6"/>
      <c r="M504" s="6"/>
      <c r="N504" s="7">
        <f t="shared" si="337"/>
        <v>0</v>
      </c>
      <c r="O504" s="11">
        <f t="shared" si="267"/>
        <v>0</v>
      </c>
      <c r="P504" s="25"/>
      <c r="Q504" s="10" t="str">
        <f t="shared" si="268"/>
        <v>MarçoSEMANA 2Maçã Ácida</v>
      </c>
      <c r="R504" s="7">
        <f>SUMIF(NF!$A:$A,$Q504,NF!$I:$I)</f>
        <v>0</v>
      </c>
      <c r="S504" s="6"/>
      <c r="T504" s="6"/>
      <c r="U504" s="6"/>
      <c r="V504" s="6"/>
      <c r="W504" s="6"/>
      <c r="X504" s="6"/>
      <c r="Y504" s="6"/>
      <c r="Z504" s="7">
        <f t="shared" si="338"/>
        <v>0</v>
      </c>
      <c r="AA504" s="11">
        <f t="shared" si="270"/>
        <v>0</v>
      </c>
      <c r="AB504" s="25"/>
      <c r="AC504" s="10" t="str">
        <f t="shared" si="271"/>
        <v>MarçoSEMANA 3Maçã Ácida</v>
      </c>
      <c r="AD504" s="7">
        <f>SUMIF(NF!$A:$A,$AC504,NF!$I:$I)</f>
        <v>0</v>
      </c>
      <c r="AE504" s="6"/>
      <c r="AF504" s="6"/>
      <c r="AG504" s="6"/>
      <c r="AH504" s="6"/>
      <c r="AI504" s="6"/>
      <c r="AJ504" s="6"/>
      <c r="AK504" s="6"/>
      <c r="AL504" s="7">
        <f t="shared" si="339"/>
        <v>0</v>
      </c>
      <c r="AM504" s="11">
        <f t="shared" si="273"/>
        <v>0</v>
      </c>
      <c r="AN504" s="25"/>
      <c r="AO504" s="10" t="str">
        <f t="shared" si="274"/>
        <v>MarçoSEMANA 4Maçã Ácida</v>
      </c>
      <c r="AP504" s="7">
        <f>SUMIF(NF!$A:$A,$AO504,NF!$I:$I)</f>
        <v>1.5</v>
      </c>
      <c r="AQ504" s="6"/>
      <c r="AR504" s="6"/>
      <c r="AS504" s="6"/>
      <c r="AT504" s="6"/>
      <c r="AU504" s="6"/>
      <c r="AV504" s="6">
        <v>1.5</v>
      </c>
      <c r="AW504" s="6"/>
      <c r="AX504" s="7">
        <f t="shared" si="340"/>
        <v>1.5</v>
      </c>
      <c r="AY504" s="11">
        <f t="shared" si="276"/>
        <v>0</v>
      </c>
      <c r="AZ504" s="25"/>
      <c r="BA504" s="10" t="str">
        <f t="shared" si="277"/>
        <v>MarçoSEMANA 5Maçã Ácida</v>
      </c>
      <c r="BB504" s="7">
        <f>SUMIF(NF!$A:$A,$BA504,NF!$I:$I)</f>
        <v>0.5</v>
      </c>
      <c r="BC504" s="6"/>
      <c r="BD504" s="6"/>
      <c r="BE504" s="6"/>
      <c r="BF504" s="6"/>
      <c r="BG504" s="6">
        <v>0.5</v>
      </c>
      <c r="BH504" s="6"/>
      <c r="BI504" s="74"/>
      <c r="BJ504" s="74"/>
      <c r="BK504" s="7">
        <f t="shared" si="341"/>
        <v>0.5</v>
      </c>
      <c r="BL504" s="8">
        <f t="shared" si="279"/>
        <v>0</v>
      </c>
      <c r="BM504" s="51" t="str">
        <f>IFERROR(VLOOKUP(A504,NF!$M:$O,3,0),"")</f>
        <v>Hortifruti</v>
      </c>
      <c r="BN504" s="7">
        <f t="shared" si="280"/>
        <v>2</v>
      </c>
      <c r="BO504" s="8">
        <f t="array" ref="BO504">IFERROR(LARGE(IF(NF!$G$2:$G$3137='Mês atual'!A504,NF!$J$2:$J$3137),1),0)*BN504</f>
        <v>19.8</v>
      </c>
      <c r="BP504" s="50"/>
      <c r="BR504" s="146">
        <f t="array" ref="BR504">IFERROR(LARGE(IF(NF!$G$2:$G$3137='Mês atual'!A504,NF!$J$2:$J$3137),1),0)</f>
        <v>9.9</v>
      </c>
      <c r="BS504" s="142" t="str">
        <f>VLOOKUP(A504,NF!M:O,3,0)</f>
        <v>Hortifruti</v>
      </c>
      <c r="BV504" s="74">
        <f t="shared" si="322"/>
        <v>0</v>
      </c>
      <c r="BW504" s="74">
        <f t="shared" si="323"/>
        <v>0</v>
      </c>
      <c r="BX504" s="74">
        <f t="shared" si="324"/>
        <v>0</v>
      </c>
      <c r="BY504" s="74">
        <f t="shared" si="325"/>
        <v>1.5</v>
      </c>
      <c r="BZ504" s="74">
        <f t="shared" si="326"/>
        <v>0.5</v>
      </c>
    </row>
    <row r="505" spans="1:78" x14ac:dyDescent="0.25">
      <c r="A505" s="108" t="s">
        <v>476</v>
      </c>
      <c r="B505" s="12"/>
      <c r="C505" s="9">
        <v>21.58</v>
      </c>
      <c r="D505" s="25"/>
      <c r="E505" s="10" t="str">
        <f t="shared" si="265"/>
        <v>MarçoSEMANA 1Maçã Nacional</v>
      </c>
      <c r="F505" s="7">
        <f>SUMIF(NF!$A:$A,$E505,NF!$I:$I)</f>
        <v>0</v>
      </c>
      <c r="G505" s="74"/>
      <c r="H505" s="74"/>
      <c r="I505" s="74"/>
      <c r="J505" s="6">
        <v>1</v>
      </c>
      <c r="K505" s="6">
        <f>1.506+2.04</f>
        <v>3.5460000000000003</v>
      </c>
      <c r="L505" s="6">
        <v>1</v>
      </c>
      <c r="M505" s="6">
        <v>1.0780000000000001</v>
      </c>
      <c r="N505" s="7">
        <f t="shared" si="337"/>
        <v>6.6240000000000006</v>
      </c>
      <c r="O505" s="11">
        <f t="shared" si="267"/>
        <v>14.955999999999998</v>
      </c>
      <c r="P505" s="25"/>
      <c r="Q505" s="10" t="str">
        <f t="shared" si="268"/>
        <v>MarçoSEMANA 2Maçã Nacional</v>
      </c>
      <c r="R505" s="7">
        <f>SUMIF(NF!$A:$A,$Q505,NF!$I:$I)</f>
        <v>17.920000000000002</v>
      </c>
      <c r="S505" s="6">
        <v>2.02</v>
      </c>
      <c r="T505" s="6">
        <f>9.94+2.68+2</f>
        <v>14.62</v>
      </c>
      <c r="U505" s="6">
        <v>1</v>
      </c>
      <c r="V505" s="6">
        <f>1.36+1.18</f>
        <v>2.54</v>
      </c>
      <c r="W505" s="6">
        <f>2.22+3.04+0.7</f>
        <v>5.96</v>
      </c>
      <c r="X505" s="6">
        <v>1.76</v>
      </c>
      <c r="Y505" s="6">
        <v>1.06</v>
      </c>
      <c r="Z505" s="7">
        <f t="shared" si="338"/>
        <v>28.96</v>
      </c>
      <c r="AA505" s="11">
        <f t="shared" si="270"/>
        <v>3.9159999999999968</v>
      </c>
      <c r="AB505" s="25"/>
      <c r="AC505" s="10" t="str">
        <f t="shared" si="271"/>
        <v>MarçoSEMANA 3Maçã Nacional</v>
      </c>
      <c r="AD505" s="7">
        <f>SUMIF(NF!$A:$A,$AC505,NF!$I:$I)</f>
        <v>18.079999999999998</v>
      </c>
      <c r="AE505" s="6">
        <v>1</v>
      </c>
      <c r="AF505" s="6">
        <v>1.6</v>
      </c>
      <c r="AG505" s="6">
        <f>1.61+2.28</f>
        <v>3.8899999999999997</v>
      </c>
      <c r="AH505" s="6">
        <v>1</v>
      </c>
      <c r="AI505" s="6">
        <v>1.5</v>
      </c>
      <c r="AJ505" s="6">
        <v>1.5680000000000001</v>
      </c>
      <c r="AK505" s="6">
        <v>2.028</v>
      </c>
      <c r="AL505" s="7">
        <f t="shared" si="339"/>
        <v>12.586</v>
      </c>
      <c r="AM505" s="11">
        <f t="shared" si="273"/>
        <v>9.4099999999999948</v>
      </c>
      <c r="AN505" s="25"/>
      <c r="AO505" s="10" t="str">
        <f t="shared" si="274"/>
        <v>MarçoSEMANA 4Maçã Nacional</v>
      </c>
      <c r="AP505" s="7">
        <f>SUMIF(NF!$A:$A,$AO505,NF!$I:$I)</f>
        <v>17.399999999999999</v>
      </c>
      <c r="AQ505" s="6">
        <v>1</v>
      </c>
      <c r="AR505" s="6">
        <f>2.136+1.98</f>
        <v>4.1159999999999997</v>
      </c>
      <c r="AS505" s="6">
        <v>1.726</v>
      </c>
      <c r="AT505" s="6">
        <v>1</v>
      </c>
      <c r="AU505" s="6">
        <v>0.64</v>
      </c>
      <c r="AV505" s="6">
        <v>1</v>
      </c>
      <c r="AW505" s="6">
        <v>1</v>
      </c>
      <c r="AX505" s="7">
        <f t="shared" si="340"/>
        <v>10.481999999999999</v>
      </c>
      <c r="AY505" s="11">
        <f t="shared" si="276"/>
        <v>16.327999999999996</v>
      </c>
      <c r="AZ505" s="25"/>
      <c r="BA505" s="10" t="str">
        <f t="shared" si="277"/>
        <v>MarçoSEMANA 5Maçã Nacional</v>
      </c>
      <c r="BB505" s="7">
        <f>SUMIF(NF!$A:$A,$BA505,NF!$I:$I)</f>
        <v>17.940000000000001</v>
      </c>
      <c r="BC505" s="6">
        <v>1.94</v>
      </c>
      <c r="BD505" s="6">
        <f>2+2.88</f>
        <v>4.88</v>
      </c>
      <c r="BE505" s="6">
        <f>2.48+2.064</f>
        <v>4.5440000000000005</v>
      </c>
      <c r="BF505" s="6">
        <v>1</v>
      </c>
      <c r="BG505" s="6">
        <v>1</v>
      </c>
      <c r="BH505" s="6">
        <v>1.92</v>
      </c>
      <c r="BI505" s="74"/>
      <c r="BJ505" s="74"/>
      <c r="BK505" s="7">
        <f t="shared" si="341"/>
        <v>15.284000000000001</v>
      </c>
      <c r="BL505" s="8">
        <f t="shared" si="279"/>
        <v>18.984000000000002</v>
      </c>
      <c r="BM505" s="51" t="str">
        <f>IFERROR(VLOOKUP(A505,NF!$M:$O,3,0),"")</f>
        <v>Hortifruti</v>
      </c>
      <c r="BN505" s="7">
        <f t="shared" si="280"/>
        <v>73.936000000000007</v>
      </c>
      <c r="BO505" s="8">
        <f t="array" ref="BO505">IFERROR(LARGE(IF(NF!$G$2:$G$3137='Mês atual'!A505,NF!$J$2:$J$3137),1),0)*BN505</f>
        <v>284.21194690265492</v>
      </c>
      <c r="BP505" s="50"/>
      <c r="BR505" s="146">
        <f t="array" ref="BR505">IFERROR(LARGE(IF(NF!$G$2:$G$3137='Mês atual'!A505,NF!$J$2:$J$3137),1),0)</f>
        <v>3.8440265486725669</v>
      </c>
      <c r="BS505" s="142" t="str">
        <f>VLOOKUP(A505,NF!M:O,3,0)</f>
        <v>Hortifruti</v>
      </c>
      <c r="BV505" s="74">
        <f t="shared" si="322"/>
        <v>6.6240000000000006</v>
      </c>
      <c r="BW505" s="74">
        <f t="shared" si="323"/>
        <v>28.96</v>
      </c>
      <c r="BX505" s="74">
        <f t="shared" si="324"/>
        <v>12.586</v>
      </c>
      <c r="BY505" s="74">
        <f t="shared" si="325"/>
        <v>10.481999999999999</v>
      </c>
      <c r="BZ505" s="74">
        <f t="shared" si="326"/>
        <v>15.284000000000001</v>
      </c>
    </row>
    <row r="506" spans="1:78" x14ac:dyDescent="0.25">
      <c r="A506" s="108" t="s">
        <v>493</v>
      </c>
      <c r="B506" s="12"/>
      <c r="C506" s="9">
        <v>2</v>
      </c>
      <c r="D506" s="25"/>
      <c r="E506" s="10" t="str">
        <f t="shared" si="265"/>
        <v>MarçoSEMANA 1Mamão Bahia</v>
      </c>
      <c r="F506" s="7">
        <f>SUMIF(NF!$A:$A,$E506,NF!$I:$I)</f>
        <v>6</v>
      </c>
      <c r="G506" s="74"/>
      <c r="H506" s="74"/>
      <c r="I506" s="74"/>
      <c r="J506" s="6">
        <v>2</v>
      </c>
      <c r="K506" s="6"/>
      <c r="L506" s="6">
        <v>2</v>
      </c>
      <c r="M506" s="6">
        <v>2</v>
      </c>
      <c r="N506" s="7">
        <f t="shared" si="337"/>
        <v>6</v>
      </c>
      <c r="O506" s="11">
        <f t="shared" si="267"/>
        <v>2</v>
      </c>
      <c r="P506" s="25"/>
      <c r="Q506" s="10" t="str">
        <f t="shared" si="268"/>
        <v>MarçoSEMANA 2Mamão Bahia</v>
      </c>
      <c r="R506" s="7">
        <f>SUMIF(NF!$A:$A,$Q506,NF!$I:$I)</f>
        <v>10.7</v>
      </c>
      <c r="S506" s="6">
        <v>2</v>
      </c>
      <c r="T506" s="6">
        <v>2</v>
      </c>
      <c r="U506" s="6">
        <v>2</v>
      </c>
      <c r="V506" s="6"/>
      <c r="W506" s="6">
        <v>1.7</v>
      </c>
      <c r="X506" s="6">
        <v>2</v>
      </c>
      <c r="Y506" s="6">
        <v>1.5</v>
      </c>
      <c r="Z506" s="7">
        <f t="shared" si="338"/>
        <v>11.2</v>
      </c>
      <c r="AA506" s="11">
        <f t="shared" si="270"/>
        <v>1.5</v>
      </c>
      <c r="AB506" s="25"/>
      <c r="AC506" s="10" t="str">
        <f t="shared" si="271"/>
        <v>MarçoSEMANA 3Mamão Bahia</v>
      </c>
      <c r="AD506" s="7">
        <f>SUMIF(NF!$A:$A,$AC506,NF!$I:$I)</f>
        <v>10.8</v>
      </c>
      <c r="AE506" s="6">
        <v>1.5</v>
      </c>
      <c r="AF506" s="6"/>
      <c r="AG506" s="6">
        <v>2</v>
      </c>
      <c r="AH506" s="6">
        <v>2.8</v>
      </c>
      <c r="AI506" s="6"/>
      <c r="AJ506" s="6">
        <v>2</v>
      </c>
      <c r="AK506" s="6" t="s">
        <v>1285</v>
      </c>
      <c r="AL506" s="7">
        <f t="shared" si="339"/>
        <v>8.3000000000000007</v>
      </c>
      <c r="AM506" s="11">
        <f t="shared" si="273"/>
        <v>4</v>
      </c>
      <c r="AN506" s="25"/>
      <c r="AO506" s="10" t="str">
        <f t="shared" si="274"/>
        <v>MarçoSEMANA 4Mamão Bahia</v>
      </c>
      <c r="AP506" s="7">
        <f>SUMIF(NF!$A:$A,$AO506,NF!$I:$I)</f>
        <v>8.3000000000000007</v>
      </c>
      <c r="AQ506" s="6">
        <f>2+3.3</f>
        <v>5.3</v>
      </c>
      <c r="AR506" s="6"/>
      <c r="AS506" s="6"/>
      <c r="AT506" s="6"/>
      <c r="AU506" s="6">
        <v>3</v>
      </c>
      <c r="AV506" s="6"/>
      <c r="AW506" s="6">
        <v>2</v>
      </c>
      <c r="AX506" s="7">
        <f t="shared" si="340"/>
        <v>10.3</v>
      </c>
      <c r="AY506" s="11">
        <f t="shared" si="276"/>
        <v>2</v>
      </c>
      <c r="AZ506" s="25"/>
      <c r="BA506" s="10" t="str">
        <f t="shared" si="277"/>
        <v>MarçoSEMANA 5Mamão Bahia</v>
      </c>
      <c r="BB506" s="7">
        <f>SUMIF(NF!$A:$A,$BA506,NF!$I:$I)</f>
        <v>13.3</v>
      </c>
      <c r="BC506" s="6">
        <v>1.8</v>
      </c>
      <c r="BD506" s="6"/>
      <c r="BE506" s="6">
        <v>2</v>
      </c>
      <c r="BF506" s="6">
        <v>3.5</v>
      </c>
      <c r="BG506" s="6">
        <v>2</v>
      </c>
      <c r="BH506" s="6">
        <v>2</v>
      </c>
      <c r="BI506" s="74"/>
      <c r="BJ506" s="74"/>
      <c r="BK506" s="7">
        <f t="shared" si="341"/>
        <v>11.3</v>
      </c>
      <c r="BL506" s="8">
        <f t="shared" si="279"/>
        <v>4</v>
      </c>
      <c r="BM506" s="51" t="str">
        <f>IFERROR(VLOOKUP(A506,NF!$M:$O,3,0),"")</f>
        <v>Hortifruti</v>
      </c>
      <c r="BN506" s="7">
        <f t="shared" si="280"/>
        <v>47.099999999999994</v>
      </c>
      <c r="BO506" s="8">
        <f t="array" ref="BO506">IFERROR(LARGE(IF(NF!$G$2:$G$3137='Mês atual'!A506,NF!$J$2:$J$3137),1),0)*BN506</f>
        <v>270.82499999999999</v>
      </c>
      <c r="BP506" s="50"/>
      <c r="BR506" s="146">
        <f t="array" ref="BR506">IFERROR(LARGE(IF(NF!$G$2:$G$3137='Mês atual'!A506,NF!$J$2:$J$3137),1),0)</f>
        <v>5.75</v>
      </c>
      <c r="BS506" s="142" t="str">
        <f>VLOOKUP(A506,NF!M:O,3,0)</f>
        <v>Hortifruti</v>
      </c>
      <c r="BV506" s="74">
        <f t="shared" si="322"/>
        <v>6</v>
      </c>
      <c r="BW506" s="74">
        <f t="shared" si="323"/>
        <v>11.2</v>
      </c>
      <c r="BX506" s="74">
        <f t="shared" si="324"/>
        <v>8.3000000000000007</v>
      </c>
      <c r="BY506" s="74">
        <f t="shared" si="325"/>
        <v>10.3</v>
      </c>
      <c r="BZ506" s="74">
        <f t="shared" si="326"/>
        <v>11.3</v>
      </c>
    </row>
    <row r="507" spans="1:78" x14ac:dyDescent="0.25">
      <c r="A507" s="108" t="s">
        <v>494</v>
      </c>
      <c r="B507" s="12"/>
      <c r="C507" s="9">
        <v>0</v>
      </c>
      <c r="D507" s="25"/>
      <c r="E507" s="10" t="str">
        <f t="shared" si="265"/>
        <v>MarçoSEMANA 1Mamão Papaya</v>
      </c>
      <c r="F507" s="7">
        <f>SUMIF(NF!$A:$A,$E507,NF!$I:$I)</f>
        <v>0</v>
      </c>
      <c r="G507" s="74"/>
      <c r="H507" s="74"/>
      <c r="I507" s="74"/>
      <c r="J507" s="6"/>
      <c r="K507" s="6"/>
      <c r="L507" s="6"/>
      <c r="M507" s="6"/>
      <c r="N507" s="7">
        <f t="shared" si="337"/>
        <v>0</v>
      </c>
      <c r="O507" s="11">
        <f t="shared" si="267"/>
        <v>0</v>
      </c>
      <c r="P507" s="25"/>
      <c r="Q507" s="10" t="str">
        <f t="shared" si="268"/>
        <v>MarçoSEMANA 2Mamão Papaya</v>
      </c>
      <c r="R507" s="7">
        <f>SUMIF(NF!$A:$A,$Q507,NF!$I:$I)</f>
        <v>0</v>
      </c>
      <c r="S507" s="6"/>
      <c r="T507" s="6"/>
      <c r="U507" s="6"/>
      <c r="V507" s="6"/>
      <c r="W507" s="6"/>
      <c r="X507" s="6"/>
      <c r="Y507" s="6"/>
      <c r="Z507" s="7">
        <f t="shared" si="338"/>
        <v>0</v>
      </c>
      <c r="AA507" s="11">
        <f t="shared" si="270"/>
        <v>0</v>
      </c>
      <c r="AB507" s="25"/>
      <c r="AC507" s="10" t="str">
        <f t="shared" si="271"/>
        <v>MarçoSEMANA 3Mamão Papaya</v>
      </c>
      <c r="AD507" s="7">
        <f>SUMIF(NF!$A:$A,$AC507,NF!$I:$I)</f>
        <v>0</v>
      </c>
      <c r="AE507" s="6"/>
      <c r="AF507" s="6"/>
      <c r="AG507" s="6"/>
      <c r="AH507" s="6"/>
      <c r="AI507" s="6"/>
      <c r="AJ507" s="6"/>
      <c r="AK507" s="6"/>
      <c r="AL507" s="7">
        <f t="shared" si="339"/>
        <v>0</v>
      </c>
      <c r="AM507" s="11">
        <f t="shared" si="273"/>
        <v>0</v>
      </c>
      <c r="AN507" s="25"/>
      <c r="AO507" s="10" t="str">
        <f t="shared" si="274"/>
        <v>MarçoSEMANA 4Mamão Papaya</v>
      </c>
      <c r="AP507" s="7">
        <f>SUMIF(NF!$A:$A,$AO507,NF!$I:$I)</f>
        <v>0</v>
      </c>
      <c r="AQ507" s="6"/>
      <c r="AR507" s="6"/>
      <c r="AS507" s="6"/>
      <c r="AT507" s="6"/>
      <c r="AU507" s="6"/>
      <c r="AV507" s="6"/>
      <c r="AW507" s="6"/>
      <c r="AX507" s="7">
        <f t="shared" si="340"/>
        <v>0</v>
      </c>
      <c r="AY507" s="11">
        <f t="shared" si="276"/>
        <v>0</v>
      </c>
      <c r="AZ507" s="25"/>
      <c r="BA507" s="10" t="str">
        <f t="shared" si="277"/>
        <v>MarçoSEMANA 5Mamão Papaya</v>
      </c>
      <c r="BB507" s="7">
        <f>SUMIF(NF!$A:$A,$BA507,NF!$I:$I)</f>
        <v>2</v>
      </c>
      <c r="BC507" s="6"/>
      <c r="BD507" s="6"/>
      <c r="BE507" s="6"/>
      <c r="BF507" s="6"/>
      <c r="BG507" s="6"/>
      <c r="BH507" s="6"/>
      <c r="BI507" s="74"/>
      <c r="BJ507" s="74"/>
      <c r="BK507" s="7">
        <f t="shared" si="341"/>
        <v>0</v>
      </c>
      <c r="BL507" s="8">
        <f t="shared" si="279"/>
        <v>2</v>
      </c>
      <c r="BM507" s="51" t="str">
        <f>IFERROR(VLOOKUP(A507,NF!$M:$O,3,0),"")</f>
        <v>Hortifruti</v>
      </c>
      <c r="BN507" s="7">
        <f t="shared" si="280"/>
        <v>0</v>
      </c>
      <c r="BO507" s="8">
        <f t="array" ref="BO507">IFERROR(LARGE(IF(NF!$G$2:$G$3137='Mês atual'!A507,NF!$J$2:$J$3137),1),0)*BN507</f>
        <v>0</v>
      </c>
      <c r="BP507" s="50"/>
      <c r="BR507" s="146">
        <f t="array" ref="BR507">IFERROR(LARGE(IF(NF!$G$2:$G$3137='Mês atual'!A507,NF!$J$2:$J$3137),1),0)</f>
        <v>4</v>
      </c>
      <c r="BS507" s="142" t="str">
        <f>VLOOKUP(A507,NF!M:O,3,0)</f>
        <v>Hortifruti</v>
      </c>
      <c r="BV507" s="74">
        <f t="shared" si="322"/>
        <v>0</v>
      </c>
      <c r="BW507" s="74">
        <f t="shared" si="323"/>
        <v>0</v>
      </c>
      <c r="BX507" s="74">
        <f t="shared" si="324"/>
        <v>0</v>
      </c>
      <c r="BY507" s="74">
        <f t="shared" si="325"/>
        <v>0</v>
      </c>
      <c r="BZ507" s="74">
        <f t="shared" si="326"/>
        <v>0</v>
      </c>
    </row>
    <row r="508" spans="1:78" x14ac:dyDescent="0.2">
      <c r="A508" s="108" t="s">
        <v>495</v>
      </c>
      <c r="B508" s="12"/>
      <c r="C508" s="9">
        <v>0</v>
      </c>
      <c r="D508" s="25"/>
      <c r="E508" s="10" t="str">
        <f t="shared" si="265"/>
        <v>MarçoSEMANA 1Manga Palmer</v>
      </c>
      <c r="F508" s="7">
        <f>SUMIF(NF!$A:$A,$E508,NF!$I:$I)</f>
        <v>17</v>
      </c>
      <c r="G508" s="74"/>
      <c r="H508" s="74"/>
      <c r="I508" s="74"/>
      <c r="J508" s="6"/>
      <c r="K508" s="6">
        <v>6</v>
      </c>
      <c r="L508" s="6"/>
      <c r="M508" s="6">
        <v>5.5</v>
      </c>
      <c r="N508" s="7">
        <f t="shared" si="337"/>
        <v>11.5</v>
      </c>
      <c r="O508" s="11">
        <f t="shared" si="267"/>
        <v>5.5</v>
      </c>
      <c r="P508" s="25"/>
      <c r="Q508" s="10" t="str">
        <f t="shared" si="268"/>
        <v>MarçoSEMANA 2Manga Palmer</v>
      </c>
      <c r="R508" s="7">
        <f>SUMIF(NF!$A:$A,$Q508,NF!$I:$I)</f>
        <v>36.42</v>
      </c>
      <c r="S508" s="6">
        <v>5.5</v>
      </c>
      <c r="T508" s="6">
        <v>6</v>
      </c>
      <c r="U508" s="6">
        <v>5</v>
      </c>
      <c r="V508" s="6">
        <v>6.34</v>
      </c>
      <c r="W508" s="6">
        <v>6.38</v>
      </c>
      <c r="X508" s="6">
        <v>6.35</v>
      </c>
      <c r="Y508" s="6">
        <v>6.35</v>
      </c>
      <c r="Z508" s="7">
        <f t="shared" si="338"/>
        <v>41.92</v>
      </c>
      <c r="AA508" s="11">
        <f t="shared" si="270"/>
        <v>0</v>
      </c>
      <c r="AB508" s="25"/>
      <c r="AC508" s="10" t="str">
        <f t="shared" si="271"/>
        <v>MarçoSEMANA 3Manga Palmer</v>
      </c>
      <c r="AD508" s="7">
        <f>SUMIF(NF!$A:$A,$AC508,NF!$I:$I)</f>
        <v>35.21</v>
      </c>
      <c r="AE508" s="6">
        <v>6.34</v>
      </c>
      <c r="AF508" s="6"/>
      <c r="AG508" s="6">
        <v>6.16</v>
      </c>
      <c r="AH508" s="6">
        <v>6.52</v>
      </c>
      <c r="AI508" s="6">
        <v>6.08</v>
      </c>
      <c r="AJ508" s="6">
        <v>5.05</v>
      </c>
      <c r="AK508" s="6">
        <v>5.0599999999999996</v>
      </c>
      <c r="AL508" s="7">
        <f t="shared" si="339"/>
        <v>35.21</v>
      </c>
      <c r="AM508" s="11">
        <f t="shared" si="273"/>
        <v>0</v>
      </c>
      <c r="AN508" s="25"/>
      <c r="AO508" s="10" t="str">
        <f t="shared" si="274"/>
        <v>MarçoSEMANA 4Manga Palmer</v>
      </c>
      <c r="AP508" s="7">
        <f>SUMIF(NF!$A:$A,$AO508,NF!$I:$I)</f>
        <v>31.379999999999995</v>
      </c>
      <c r="AQ508" s="6"/>
      <c r="AR508" s="6">
        <v>6</v>
      </c>
      <c r="AS508" s="6">
        <v>1</v>
      </c>
      <c r="AT508" s="6">
        <v>6.5</v>
      </c>
      <c r="AU508" s="6">
        <v>6.76</v>
      </c>
      <c r="AV508" s="6"/>
      <c r="AW508" s="6">
        <v>5.56</v>
      </c>
      <c r="AX508" s="7">
        <f t="shared" si="340"/>
        <v>25.819999999999997</v>
      </c>
      <c r="AY508" s="11">
        <f t="shared" si="276"/>
        <v>5.5599999999999987</v>
      </c>
      <c r="AZ508" s="25"/>
      <c r="BA508" s="10" t="str">
        <f t="shared" si="277"/>
        <v>MarçoSEMANA 5Manga Palmer</v>
      </c>
      <c r="BB508" s="7">
        <f>SUMIF(NF!$A:$A,$BA508,NF!$I:$I)</f>
        <v>43.019999999999996</v>
      </c>
      <c r="BC508" s="6">
        <v>5.56</v>
      </c>
      <c r="BD508" s="6">
        <v>7</v>
      </c>
      <c r="BE508" s="6">
        <v>7</v>
      </c>
      <c r="BF508" s="6">
        <v>6</v>
      </c>
      <c r="BG508" s="6">
        <v>8.44</v>
      </c>
      <c r="BH508" s="6">
        <v>7.16</v>
      </c>
      <c r="BI508" s="74"/>
      <c r="BJ508" s="74"/>
      <c r="BK508" s="7">
        <f t="shared" si="341"/>
        <v>41.16</v>
      </c>
      <c r="BL508" s="8">
        <f t="shared" si="279"/>
        <v>7.4200000000000017</v>
      </c>
      <c r="BM508" s="51" t="str">
        <f>IFERROR(VLOOKUP(A508,NF!$M:$O,3,0),"")</f>
        <v>Hortifruti</v>
      </c>
      <c r="BN508" s="7">
        <f t="shared" si="280"/>
        <v>155.60999999999999</v>
      </c>
      <c r="BO508" s="8">
        <f t="array" ref="BO508">IFERROR(LARGE(IF(NF!$G$2:$G$3137='Mês atual'!A508,NF!$J$2:$J$3137),1),0)*BN508</f>
        <v>778.05</v>
      </c>
      <c r="BP508" s="50"/>
      <c r="BR508" s="146">
        <f t="array" ref="BR508">IFERROR(LARGE(IF(NF!$G$2:$G$3137='Mês atual'!A508,NF!$J$2:$J$3137),1),0)</f>
        <v>5</v>
      </c>
      <c r="BS508" s="142" t="str">
        <f>VLOOKUP(A508,NF!M:O,3,0)</f>
        <v>Hortifruti</v>
      </c>
      <c r="BV508" s="74">
        <f t="shared" si="322"/>
        <v>11.5</v>
      </c>
      <c r="BW508" s="74">
        <f t="shared" si="323"/>
        <v>41.92</v>
      </c>
      <c r="BX508" s="74">
        <f t="shared" si="324"/>
        <v>35.21</v>
      </c>
      <c r="BY508" s="74">
        <f t="shared" si="325"/>
        <v>25.819999999999997</v>
      </c>
      <c r="BZ508" s="74">
        <f t="shared" si="326"/>
        <v>41.16</v>
      </c>
    </row>
    <row r="509" spans="1:78" x14ac:dyDescent="0.2">
      <c r="A509" s="108" t="s">
        <v>496</v>
      </c>
      <c r="B509" s="12"/>
      <c r="C509" s="9">
        <v>0</v>
      </c>
      <c r="D509" s="25"/>
      <c r="E509" s="10" t="str">
        <f t="shared" si="265"/>
        <v>MarçoSEMANA 1Manga Tommy</v>
      </c>
      <c r="F509" s="7">
        <f>SUMIF(NF!$A:$A,$E509,NF!$I:$I)</f>
        <v>2</v>
      </c>
      <c r="G509" s="74"/>
      <c r="H509" s="74"/>
      <c r="I509" s="74"/>
      <c r="J509" s="6"/>
      <c r="K509" s="6">
        <v>2</v>
      </c>
      <c r="L509" s="6"/>
      <c r="M509" s="6"/>
      <c r="N509" s="7">
        <f t="shared" si="337"/>
        <v>2</v>
      </c>
      <c r="O509" s="11">
        <f t="shared" si="267"/>
        <v>0</v>
      </c>
      <c r="P509" s="25"/>
      <c r="Q509" s="10" t="str">
        <f t="shared" si="268"/>
        <v>MarçoSEMANA 2Manga Tommy</v>
      </c>
      <c r="R509" s="7">
        <f>SUMIF(NF!$A:$A,$Q509,NF!$I:$I)</f>
        <v>5</v>
      </c>
      <c r="S509" s="6"/>
      <c r="T509" s="6">
        <v>3</v>
      </c>
      <c r="U509" s="6">
        <v>2</v>
      </c>
      <c r="V509" s="6"/>
      <c r="W509" s="6"/>
      <c r="X509" s="6"/>
      <c r="Y509" s="6"/>
      <c r="Z509" s="7">
        <f t="shared" si="338"/>
        <v>5</v>
      </c>
      <c r="AA509" s="11">
        <f t="shared" si="270"/>
        <v>0</v>
      </c>
      <c r="AB509" s="25"/>
      <c r="AC509" s="10" t="str">
        <f t="shared" si="271"/>
        <v>MarçoSEMANA 3Manga Tommy</v>
      </c>
      <c r="AD509" s="7">
        <f>SUMIF(NF!$A:$A,$AC509,NF!$I:$I)</f>
        <v>2</v>
      </c>
      <c r="AE509" s="6"/>
      <c r="AF509" s="6"/>
      <c r="AG509" s="6">
        <v>2</v>
      </c>
      <c r="AH509" s="6"/>
      <c r="AI509" s="6"/>
      <c r="AJ509" s="6"/>
      <c r="AK509" s="6"/>
      <c r="AL509" s="7">
        <f t="shared" si="339"/>
        <v>2</v>
      </c>
      <c r="AM509" s="11">
        <f t="shared" si="273"/>
        <v>0</v>
      </c>
      <c r="AN509" s="25"/>
      <c r="AO509" s="10" t="str">
        <f t="shared" si="274"/>
        <v>MarçoSEMANA 4Manga Tommy</v>
      </c>
      <c r="AP509" s="7">
        <f>SUMIF(NF!$A:$A,$AO509,NF!$I:$I)</f>
        <v>2</v>
      </c>
      <c r="AQ509" s="6">
        <v>2</v>
      </c>
      <c r="AR509" s="6"/>
      <c r="AS509" s="6"/>
      <c r="AT509" s="6"/>
      <c r="AU509" s="6"/>
      <c r="AV509" s="6"/>
      <c r="AW509" s="6"/>
      <c r="AX509" s="7">
        <f t="shared" si="340"/>
        <v>2</v>
      </c>
      <c r="AY509" s="11">
        <f t="shared" si="276"/>
        <v>0</v>
      </c>
      <c r="AZ509" s="25"/>
      <c r="BA509" s="10" t="str">
        <f t="shared" si="277"/>
        <v>MarçoSEMANA 5Manga Tommy</v>
      </c>
      <c r="BB509" s="7">
        <f>SUMIF(NF!$A:$A,$BA509,NF!$I:$I)</f>
        <v>1.5</v>
      </c>
      <c r="BC509" s="6"/>
      <c r="BD509" s="6"/>
      <c r="BE509" s="6"/>
      <c r="BF509" s="6"/>
      <c r="BG509" s="6">
        <v>1.5</v>
      </c>
      <c r="BH509" s="6"/>
      <c r="BI509" s="74"/>
      <c r="BJ509" s="74"/>
      <c r="BK509" s="7">
        <f t="shared" si="341"/>
        <v>1.5</v>
      </c>
      <c r="BL509" s="8">
        <f t="shared" si="279"/>
        <v>0</v>
      </c>
      <c r="BM509" s="51" t="str">
        <f>IFERROR(VLOOKUP(A509,NF!$M:$O,3,0),"")</f>
        <v>Hortifruti</v>
      </c>
      <c r="BN509" s="7">
        <f t="shared" si="280"/>
        <v>12.5</v>
      </c>
      <c r="BO509" s="8">
        <f t="array" ref="BO509">IFERROR(LARGE(IF(NF!$G$2:$G$3137='Mês atual'!A509,NF!$J$2:$J$3137),1),0)*BN509</f>
        <v>56.25</v>
      </c>
      <c r="BP509" s="50"/>
      <c r="BR509" s="146">
        <f t="array" ref="BR509">IFERROR(LARGE(IF(NF!$G$2:$G$3137='Mês atual'!A509,NF!$J$2:$J$3137),1),0)</f>
        <v>4.5</v>
      </c>
      <c r="BS509" s="142" t="str">
        <f>VLOOKUP(A509,NF!M:O,3,0)</f>
        <v>Hortifruti</v>
      </c>
      <c r="BV509" s="74">
        <f t="shared" si="322"/>
        <v>2</v>
      </c>
      <c r="BW509" s="74">
        <f t="shared" si="323"/>
        <v>5</v>
      </c>
      <c r="BX509" s="74">
        <f t="shared" si="324"/>
        <v>2</v>
      </c>
      <c r="BY509" s="74">
        <f t="shared" si="325"/>
        <v>2</v>
      </c>
      <c r="BZ509" s="74">
        <f t="shared" si="326"/>
        <v>1.5</v>
      </c>
    </row>
    <row r="510" spans="1:78" x14ac:dyDescent="0.25">
      <c r="A510" s="108" t="s">
        <v>498</v>
      </c>
      <c r="B510" s="12"/>
      <c r="C510" s="9">
        <v>0</v>
      </c>
      <c r="D510" s="25"/>
      <c r="E510" s="10" t="str">
        <f t="shared" si="265"/>
        <v>MarçoSEMANA 1Manjericão</v>
      </c>
      <c r="F510" s="7">
        <f>SUMIF(NF!$A:$A,$E510,NF!$I:$I)</f>
        <v>0.73</v>
      </c>
      <c r="G510" s="74"/>
      <c r="H510" s="74"/>
      <c r="I510" s="74"/>
      <c r="J510" s="6"/>
      <c r="K510" s="6"/>
      <c r="L510" s="6">
        <v>0.5</v>
      </c>
      <c r="M510" s="6">
        <v>0.23</v>
      </c>
      <c r="N510" s="7">
        <f t="shared" si="337"/>
        <v>0.73</v>
      </c>
      <c r="O510" s="11">
        <f t="shared" si="267"/>
        <v>0</v>
      </c>
      <c r="P510" s="25"/>
      <c r="Q510" s="10" t="str">
        <f t="shared" si="268"/>
        <v>MarçoSEMANA 2Manjericão</v>
      </c>
      <c r="R510" s="7">
        <f>SUMIF(NF!$A:$A,$Q510,NF!$I:$I)</f>
        <v>1.8</v>
      </c>
      <c r="S510" s="6">
        <v>0.5</v>
      </c>
      <c r="T510" s="6">
        <v>0.5</v>
      </c>
      <c r="U510" s="6"/>
      <c r="V510" s="6">
        <v>0.5</v>
      </c>
      <c r="W510" s="6"/>
      <c r="X510" s="6"/>
      <c r="Y510" s="6">
        <v>0.3</v>
      </c>
      <c r="Z510" s="7">
        <f t="shared" si="338"/>
        <v>1.8</v>
      </c>
      <c r="AA510" s="11">
        <f t="shared" si="270"/>
        <v>0</v>
      </c>
      <c r="AB510" s="25"/>
      <c r="AC510" s="10" t="str">
        <f t="shared" si="271"/>
        <v>MarçoSEMANA 3Manjericão</v>
      </c>
      <c r="AD510" s="7">
        <f>SUMIF(NF!$A:$A,$AC510,NF!$I:$I)</f>
        <v>1.5</v>
      </c>
      <c r="AE510" s="6"/>
      <c r="AF510" s="6">
        <v>0.5</v>
      </c>
      <c r="AG510" s="6">
        <v>0.5</v>
      </c>
      <c r="AH510" s="6"/>
      <c r="AI510" s="6"/>
      <c r="AJ510" s="6"/>
      <c r="AK510" s="6">
        <v>0.5</v>
      </c>
      <c r="AL510" s="7">
        <f t="shared" si="339"/>
        <v>1.5</v>
      </c>
      <c r="AM510" s="11">
        <f t="shared" si="273"/>
        <v>0</v>
      </c>
      <c r="AN510" s="25"/>
      <c r="AO510" s="10" t="str">
        <f t="shared" si="274"/>
        <v>MarçoSEMANA 4Manjericão</v>
      </c>
      <c r="AP510" s="7">
        <f>SUMIF(NF!$A:$A,$AO510,NF!$I:$I)</f>
        <v>1.8</v>
      </c>
      <c r="AQ510" s="6">
        <v>0.5</v>
      </c>
      <c r="AR510" s="6"/>
      <c r="AS510" s="6">
        <v>0.5</v>
      </c>
      <c r="AT510" s="6"/>
      <c r="AU510" s="6">
        <v>0.3</v>
      </c>
      <c r="AV510" s="6"/>
      <c r="AW510" s="6">
        <v>0.5</v>
      </c>
      <c r="AX510" s="7">
        <f t="shared" si="340"/>
        <v>1.8</v>
      </c>
      <c r="AY510" s="11">
        <f t="shared" si="276"/>
        <v>0</v>
      </c>
      <c r="AZ510" s="25"/>
      <c r="BA510" s="10" t="str">
        <f t="shared" si="277"/>
        <v>MarçoSEMANA 5Manjericão</v>
      </c>
      <c r="BB510" s="7">
        <f>SUMIF(NF!$A:$A,$BA510,NF!$I:$I)</f>
        <v>1.02</v>
      </c>
      <c r="BC510" s="6"/>
      <c r="BD510" s="6"/>
      <c r="BE510" s="6"/>
      <c r="BF510" s="6">
        <v>0.32</v>
      </c>
      <c r="BG510" s="6"/>
      <c r="BH510" s="6">
        <v>0.2</v>
      </c>
      <c r="BI510" s="74"/>
      <c r="BJ510" s="74"/>
      <c r="BK510" s="7">
        <f t="shared" si="341"/>
        <v>0.52</v>
      </c>
      <c r="BL510" s="8">
        <f t="shared" si="279"/>
        <v>0.5</v>
      </c>
      <c r="BM510" s="51" t="str">
        <f>IFERROR(VLOOKUP(A510,NF!$M:$O,3,0),"")</f>
        <v>Hortifruti</v>
      </c>
      <c r="BN510" s="7">
        <f t="shared" si="280"/>
        <v>6.35</v>
      </c>
      <c r="BO510" s="8">
        <f t="array" ref="BO510">IFERROR(LARGE(IF(NF!$G$2:$G$3137='Mês atual'!A510,NF!$J$2:$J$3137),1),0)*BN510</f>
        <v>118.66562499999999</v>
      </c>
      <c r="BP510" s="50"/>
      <c r="BR510" s="146">
        <f t="array" ref="BR510">IFERROR(LARGE(IF(NF!$G$2:$G$3137='Mês atual'!A510,NF!$J$2:$J$3137),1),0)</f>
        <v>18.6875</v>
      </c>
      <c r="BS510" s="142" t="str">
        <f>VLOOKUP(A510,NF!M:O,3,0)</f>
        <v>Hortifruti</v>
      </c>
      <c r="BV510" s="74">
        <f t="shared" si="322"/>
        <v>0.73</v>
      </c>
      <c r="BW510" s="74">
        <f t="shared" si="323"/>
        <v>1.8</v>
      </c>
      <c r="BX510" s="74">
        <f t="shared" si="324"/>
        <v>1.5</v>
      </c>
      <c r="BY510" s="74">
        <f t="shared" si="325"/>
        <v>1.8</v>
      </c>
      <c r="BZ510" s="74">
        <f t="shared" si="326"/>
        <v>0.52</v>
      </c>
    </row>
    <row r="511" spans="1:78" x14ac:dyDescent="0.25">
      <c r="A511" s="108" t="s">
        <v>499</v>
      </c>
      <c r="B511" s="12"/>
      <c r="C511" s="9">
        <v>0</v>
      </c>
      <c r="D511" s="25"/>
      <c r="E511" s="10" t="str">
        <f t="shared" si="265"/>
        <v>MarçoSEMANA 1Manjericão Orgânico</v>
      </c>
      <c r="F511" s="7">
        <f>SUMIF(NF!$A:$A,$E511,NF!$I:$I)</f>
        <v>0</v>
      </c>
      <c r="G511" s="74"/>
      <c r="H511" s="74"/>
      <c r="I511" s="74"/>
      <c r="J511" s="6"/>
      <c r="K511" s="6"/>
      <c r="L511" s="6"/>
      <c r="M511" s="6"/>
      <c r="N511" s="7">
        <f t="shared" si="337"/>
        <v>0</v>
      </c>
      <c r="O511" s="11">
        <f t="shared" si="267"/>
        <v>0</v>
      </c>
      <c r="P511" s="25"/>
      <c r="Q511" s="10" t="str">
        <f t="shared" si="268"/>
        <v>MarçoSEMANA 2Manjericão Orgânico</v>
      </c>
      <c r="R511" s="7">
        <f>SUMIF(NF!$A:$A,$Q511,NF!$I:$I)</f>
        <v>0</v>
      </c>
      <c r="S511" s="6"/>
      <c r="T511" s="6"/>
      <c r="U511" s="6"/>
      <c r="V511" s="6"/>
      <c r="W511" s="6"/>
      <c r="X511" s="6"/>
      <c r="Y511" s="6"/>
      <c r="Z511" s="7">
        <f t="shared" si="338"/>
        <v>0</v>
      </c>
      <c r="AA511" s="11">
        <f t="shared" si="270"/>
        <v>0</v>
      </c>
      <c r="AB511" s="25"/>
      <c r="AC511" s="10" t="str">
        <f t="shared" si="271"/>
        <v>MarçoSEMANA 3Manjericão Orgânico</v>
      </c>
      <c r="AD511" s="7">
        <f>SUMIF(NF!$A:$A,$AC511,NF!$I:$I)</f>
        <v>0</v>
      </c>
      <c r="AE511" s="6"/>
      <c r="AF511" s="6"/>
      <c r="AG511" s="6"/>
      <c r="AH511" s="6"/>
      <c r="AI511" s="6"/>
      <c r="AJ511" s="6"/>
      <c r="AK511" s="6"/>
      <c r="AL511" s="7">
        <f t="shared" si="339"/>
        <v>0</v>
      </c>
      <c r="AM511" s="11">
        <f t="shared" si="273"/>
        <v>0</v>
      </c>
      <c r="AN511" s="25"/>
      <c r="AO511" s="10" t="str">
        <f t="shared" si="274"/>
        <v>MarçoSEMANA 4Manjericão Orgânico</v>
      </c>
      <c r="AP511" s="7">
        <f>SUMIF(NF!$A:$A,$AO511,NF!$I:$I)</f>
        <v>0</v>
      </c>
      <c r="AQ511" s="6"/>
      <c r="AR511" s="6"/>
      <c r="AS511" s="6"/>
      <c r="AT511" s="6"/>
      <c r="AU511" s="6"/>
      <c r="AV511" s="6"/>
      <c r="AW511" s="6"/>
      <c r="AX511" s="7">
        <f t="shared" si="340"/>
        <v>0</v>
      </c>
      <c r="AY511" s="11">
        <f t="shared" si="276"/>
        <v>0</v>
      </c>
      <c r="AZ511" s="25"/>
      <c r="BA511" s="10" t="str">
        <f t="shared" si="277"/>
        <v>MarçoSEMANA 5Manjericão Orgânico</v>
      </c>
      <c r="BB511" s="7">
        <f>SUMIF(NF!$A:$A,$BA511,NF!$I:$I)</f>
        <v>0</v>
      </c>
      <c r="BC511" s="6"/>
      <c r="BD511" s="6"/>
      <c r="BE511" s="6"/>
      <c r="BF511" s="6"/>
      <c r="BG511" s="6"/>
      <c r="BH511" s="6"/>
      <c r="BI511" s="74"/>
      <c r="BJ511" s="74"/>
      <c r="BK511" s="7">
        <f t="shared" si="341"/>
        <v>0</v>
      </c>
      <c r="BL511" s="8">
        <f t="shared" si="279"/>
        <v>0</v>
      </c>
      <c r="BM511" s="51" t="str">
        <f>IFERROR(VLOOKUP(A511,NF!$M:$O,3,0),"")</f>
        <v>Hortifruti</v>
      </c>
      <c r="BN511" s="7">
        <f t="shared" si="280"/>
        <v>0</v>
      </c>
      <c r="BO511" s="8">
        <f t="array" ref="BO511">IFERROR(LARGE(IF(NF!$G$2:$G$3137='Mês atual'!A511,NF!$J$2:$J$3137),1),0)*BN511</f>
        <v>0</v>
      </c>
      <c r="BP511" s="50"/>
      <c r="BR511" s="146">
        <f t="array" ref="BR511">IFERROR(LARGE(IF(NF!$G$2:$G$3137='Mês atual'!A511,NF!$J$2:$J$3137),1),0)</f>
        <v>0</v>
      </c>
      <c r="BS511" s="142" t="str">
        <f>VLOOKUP(A511,NF!M:O,3,0)</f>
        <v>Hortifruti</v>
      </c>
      <c r="BV511" s="74">
        <f t="shared" si="322"/>
        <v>0</v>
      </c>
      <c r="BW511" s="74">
        <f t="shared" si="323"/>
        <v>0</v>
      </c>
      <c r="BX511" s="74">
        <f t="shared" si="324"/>
        <v>0</v>
      </c>
      <c r="BY511" s="74">
        <f t="shared" si="325"/>
        <v>0</v>
      </c>
      <c r="BZ511" s="74">
        <f t="shared" si="326"/>
        <v>0</v>
      </c>
    </row>
    <row r="512" spans="1:78" x14ac:dyDescent="0.25">
      <c r="A512" s="108" t="s">
        <v>500</v>
      </c>
      <c r="B512" s="12"/>
      <c r="C512" s="9">
        <v>0</v>
      </c>
      <c r="D512" s="25"/>
      <c r="E512" s="10" t="str">
        <f t="shared" si="265"/>
        <v>MarçoSEMANA 1Manjericão Roxo</v>
      </c>
      <c r="F512" s="7">
        <f>SUMIF(NF!$A:$A,$E512,NF!$I:$I)</f>
        <v>0</v>
      </c>
      <c r="G512" s="74"/>
      <c r="H512" s="74"/>
      <c r="I512" s="74"/>
      <c r="J512" s="6"/>
      <c r="K512" s="6"/>
      <c r="L512" s="6"/>
      <c r="M512" s="6"/>
      <c r="N512" s="7">
        <f t="shared" si="337"/>
        <v>0</v>
      </c>
      <c r="O512" s="11">
        <f t="shared" si="267"/>
        <v>0</v>
      </c>
      <c r="P512" s="25"/>
      <c r="Q512" s="10" t="str">
        <f t="shared" si="268"/>
        <v>MarçoSEMANA 2Manjericão Roxo</v>
      </c>
      <c r="R512" s="7">
        <f>SUMIF(NF!$A:$A,$Q512,NF!$I:$I)</f>
        <v>0</v>
      </c>
      <c r="S512" s="6"/>
      <c r="T512" s="6"/>
      <c r="U512" s="6"/>
      <c r="V512" s="6"/>
      <c r="W512" s="6"/>
      <c r="X512" s="6"/>
      <c r="Y512" s="6"/>
      <c r="Z512" s="7">
        <f t="shared" si="338"/>
        <v>0</v>
      </c>
      <c r="AA512" s="11">
        <f t="shared" si="270"/>
        <v>0</v>
      </c>
      <c r="AB512" s="25"/>
      <c r="AC512" s="10" t="str">
        <f t="shared" si="271"/>
        <v>MarçoSEMANA 3Manjericão Roxo</v>
      </c>
      <c r="AD512" s="7">
        <f>SUMIF(NF!$A:$A,$AC512,NF!$I:$I)</f>
        <v>0</v>
      </c>
      <c r="AE512" s="6"/>
      <c r="AF512" s="6"/>
      <c r="AG512" s="6"/>
      <c r="AH512" s="6"/>
      <c r="AI512" s="6"/>
      <c r="AJ512" s="6"/>
      <c r="AK512" s="6"/>
      <c r="AL512" s="7">
        <f t="shared" si="339"/>
        <v>0</v>
      </c>
      <c r="AM512" s="11">
        <f t="shared" si="273"/>
        <v>0</v>
      </c>
      <c r="AN512" s="25"/>
      <c r="AO512" s="10" t="str">
        <f t="shared" si="274"/>
        <v>MarçoSEMANA 4Manjericão Roxo</v>
      </c>
      <c r="AP512" s="7">
        <f>SUMIF(NF!$A:$A,$AO512,NF!$I:$I)</f>
        <v>0</v>
      </c>
      <c r="AQ512" s="6"/>
      <c r="AR512" s="6"/>
      <c r="AS512" s="6"/>
      <c r="AT512" s="6"/>
      <c r="AU512" s="6"/>
      <c r="AV512" s="6"/>
      <c r="AW512" s="6"/>
      <c r="AX512" s="7">
        <f t="shared" si="340"/>
        <v>0</v>
      </c>
      <c r="AY512" s="11">
        <f t="shared" si="276"/>
        <v>0</v>
      </c>
      <c r="AZ512" s="25"/>
      <c r="BA512" s="10" t="str">
        <f t="shared" si="277"/>
        <v>MarçoSEMANA 5Manjericão Roxo</v>
      </c>
      <c r="BB512" s="7">
        <f>SUMIF(NF!$A:$A,$BA512,NF!$I:$I)</f>
        <v>0</v>
      </c>
      <c r="BC512" s="6"/>
      <c r="BD512" s="6"/>
      <c r="BE512" s="6"/>
      <c r="BF512" s="6"/>
      <c r="BG512" s="6"/>
      <c r="BH512" s="6"/>
      <c r="BI512" s="74"/>
      <c r="BJ512" s="74"/>
      <c r="BK512" s="7">
        <f t="shared" si="341"/>
        <v>0</v>
      </c>
      <c r="BL512" s="8">
        <f t="shared" si="279"/>
        <v>0</v>
      </c>
      <c r="BM512" s="51" t="str">
        <f>IFERROR(VLOOKUP(A512,NF!$M:$O,3,0),"")</f>
        <v>Hortifruti</v>
      </c>
      <c r="BN512" s="7">
        <f t="shared" si="280"/>
        <v>0</v>
      </c>
      <c r="BO512" s="8">
        <f t="array" ref="BO512">IFERROR(LARGE(IF(NF!$G$2:$G$3137='Mês atual'!A512,NF!$J$2:$J$3137),1),0)*BN512</f>
        <v>0</v>
      </c>
      <c r="BP512" s="50"/>
      <c r="BR512" s="146">
        <f t="array" ref="BR512">IFERROR(LARGE(IF(NF!$G$2:$G$3137='Mês atual'!A512,NF!$J$2:$J$3137),1),0)</f>
        <v>0</v>
      </c>
      <c r="BS512" s="142" t="str">
        <f>VLOOKUP(A512,NF!M:O,3,0)</f>
        <v>Hortifruti</v>
      </c>
      <c r="BV512" s="74">
        <f t="shared" si="322"/>
        <v>0</v>
      </c>
      <c r="BW512" s="74">
        <f t="shared" si="323"/>
        <v>0</v>
      </c>
      <c r="BX512" s="74">
        <f t="shared" si="324"/>
        <v>0</v>
      </c>
      <c r="BY512" s="74">
        <f t="shared" si="325"/>
        <v>0</v>
      </c>
      <c r="BZ512" s="74">
        <f t="shared" si="326"/>
        <v>0</v>
      </c>
    </row>
    <row r="513" spans="1:78" x14ac:dyDescent="0.2">
      <c r="A513" s="108" t="s">
        <v>501</v>
      </c>
      <c r="B513" s="12"/>
      <c r="C513" s="9">
        <v>0</v>
      </c>
      <c r="D513" s="25"/>
      <c r="E513" s="10" t="str">
        <f t="shared" si="265"/>
        <v>MarçoSEMANA 1Manjerona</v>
      </c>
      <c r="F513" s="7">
        <f>SUMIF(NF!$A:$A,$E513,NF!$I:$I)</f>
        <v>0</v>
      </c>
      <c r="G513" s="74"/>
      <c r="H513" s="74"/>
      <c r="I513" s="74"/>
      <c r="J513" s="6"/>
      <c r="K513" s="6"/>
      <c r="L513" s="6"/>
      <c r="M513" s="6"/>
      <c r="N513" s="7">
        <f t="shared" si="337"/>
        <v>0</v>
      </c>
      <c r="O513" s="11">
        <f t="shared" si="267"/>
        <v>0</v>
      </c>
      <c r="P513" s="25"/>
      <c r="Q513" s="10" t="str">
        <f t="shared" si="268"/>
        <v>MarçoSEMANA 2Manjerona</v>
      </c>
      <c r="R513" s="7">
        <f>SUMIF(NF!$A:$A,$Q513,NF!$I:$I)</f>
        <v>0</v>
      </c>
      <c r="S513" s="6"/>
      <c r="T513" s="6"/>
      <c r="U513" s="6"/>
      <c r="V513" s="6"/>
      <c r="W513" s="6"/>
      <c r="X513" s="6"/>
      <c r="Y513" s="6"/>
      <c r="Z513" s="7">
        <f t="shared" si="338"/>
        <v>0</v>
      </c>
      <c r="AA513" s="11">
        <f t="shared" si="270"/>
        <v>0</v>
      </c>
      <c r="AB513" s="25"/>
      <c r="AC513" s="10" t="str">
        <f t="shared" si="271"/>
        <v>MarçoSEMANA 3Manjerona</v>
      </c>
      <c r="AD513" s="7">
        <f>SUMIF(NF!$A:$A,$AC513,NF!$I:$I)</f>
        <v>0</v>
      </c>
      <c r="AE513" s="6"/>
      <c r="AF513" s="6"/>
      <c r="AG513" s="6"/>
      <c r="AH513" s="6"/>
      <c r="AI513" s="6"/>
      <c r="AJ513" s="6"/>
      <c r="AK513" s="6"/>
      <c r="AL513" s="7">
        <f t="shared" si="339"/>
        <v>0</v>
      </c>
      <c r="AM513" s="11">
        <f t="shared" si="273"/>
        <v>0</v>
      </c>
      <c r="AN513" s="25"/>
      <c r="AO513" s="10" t="str">
        <f t="shared" si="274"/>
        <v>MarçoSEMANA 4Manjerona</v>
      </c>
      <c r="AP513" s="7">
        <f>SUMIF(NF!$A:$A,$AO513,NF!$I:$I)</f>
        <v>0</v>
      </c>
      <c r="AQ513" s="6"/>
      <c r="AR513" s="6"/>
      <c r="AS513" s="6"/>
      <c r="AT513" s="6"/>
      <c r="AU513" s="6"/>
      <c r="AV513" s="6"/>
      <c r="AW513" s="6"/>
      <c r="AX513" s="7">
        <f t="shared" si="340"/>
        <v>0</v>
      </c>
      <c r="AY513" s="11">
        <f t="shared" si="276"/>
        <v>0</v>
      </c>
      <c r="AZ513" s="25"/>
      <c r="BA513" s="10" t="str">
        <f t="shared" si="277"/>
        <v>MarçoSEMANA 5Manjerona</v>
      </c>
      <c r="BB513" s="7">
        <f>SUMIF(NF!$A:$A,$BA513,NF!$I:$I)</f>
        <v>0</v>
      </c>
      <c r="BC513" s="6"/>
      <c r="BD513" s="6"/>
      <c r="BE513" s="6"/>
      <c r="BF513" s="6"/>
      <c r="BG513" s="6"/>
      <c r="BH513" s="6"/>
      <c r="BI513" s="74"/>
      <c r="BJ513" s="74"/>
      <c r="BK513" s="7">
        <f t="shared" si="341"/>
        <v>0</v>
      </c>
      <c r="BL513" s="8">
        <f t="shared" si="279"/>
        <v>0</v>
      </c>
      <c r="BM513" s="51" t="str">
        <f>IFERROR(VLOOKUP(A513,NF!$M:$O,3,0),"")</f>
        <v>Hortifruti</v>
      </c>
      <c r="BN513" s="7">
        <f t="shared" si="280"/>
        <v>0</v>
      </c>
      <c r="BO513" s="8">
        <f t="array" ref="BO513">IFERROR(LARGE(IF(NF!$G$2:$G$3137='Mês atual'!A513,NF!$J$2:$J$3137),1),0)*BN513</f>
        <v>0</v>
      </c>
      <c r="BP513" s="50"/>
      <c r="BR513" s="146">
        <f t="array" ref="BR513">IFERROR(LARGE(IF(NF!$G$2:$G$3137='Mês atual'!A513,NF!$J$2:$J$3137),1),0)</f>
        <v>0</v>
      </c>
      <c r="BS513" s="142" t="str">
        <f>VLOOKUP(A513,NF!M:O,3,0)</f>
        <v>Hortifruti</v>
      </c>
      <c r="BV513" s="74">
        <f t="shared" si="322"/>
        <v>0</v>
      </c>
      <c r="BW513" s="74">
        <f t="shared" si="323"/>
        <v>0</v>
      </c>
      <c r="BX513" s="74">
        <f t="shared" si="324"/>
        <v>0</v>
      </c>
      <c r="BY513" s="74">
        <f t="shared" si="325"/>
        <v>0</v>
      </c>
      <c r="BZ513" s="74">
        <f t="shared" si="326"/>
        <v>0</v>
      </c>
    </row>
    <row r="514" spans="1:78" x14ac:dyDescent="0.25">
      <c r="A514" s="108" t="s">
        <v>503</v>
      </c>
      <c r="B514" s="12"/>
      <c r="C514" s="9">
        <v>0</v>
      </c>
      <c r="D514" s="25"/>
      <c r="E514" s="10" t="str">
        <f t="shared" si="265"/>
        <v>MarçoSEMANA 1Maracujá</v>
      </c>
      <c r="F514" s="7">
        <f>SUMIF(NF!$A:$A,$E514,NF!$I:$I)</f>
        <v>0</v>
      </c>
      <c r="G514" s="74"/>
      <c r="H514" s="74"/>
      <c r="I514" s="74"/>
      <c r="J514" s="6"/>
      <c r="K514" s="6"/>
      <c r="L514" s="6"/>
      <c r="M514" s="6"/>
      <c r="N514" s="7">
        <f t="shared" si="337"/>
        <v>0</v>
      </c>
      <c r="O514" s="11">
        <f t="shared" si="267"/>
        <v>0</v>
      </c>
      <c r="P514" s="25"/>
      <c r="Q514" s="10" t="str">
        <f t="shared" si="268"/>
        <v>MarçoSEMANA 2Maracujá</v>
      </c>
      <c r="R514" s="7">
        <f>SUMIF(NF!$A:$A,$Q514,NF!$I:$I)</f>
        <v>1</v>
      </c>
      <c r="S514" s="6"/>
      <c r="T514" s="6"/>
      <c r="U514" s="6"/>
      <c r="V514" s="6"/>
      <c r="W514" s="6">
        <v>1</v>
      </c>
      <c r="X514" s="6"/>
      <c r="Y514" s="6"/>
      <c r="Z514" s="7">
        <f t="shared" si="338"/>
        <v>1</v>
      </c>
      <c r="AA514" s="11">
        <f t="shared" si="270"/>
        <v>0</v>
      </c>
      <c r="AB514" s="25"/>
      <c r="AC514" s="10" t="str">
        <f t="shared" si="271"/>
        <v>MarçoSEMANA 3Maracujá</v>
      </c>
      <c r="AD514" s="7">
        <f>SUMIF(NF!$A:$A,$AC514,NF!$I:$I)</f>
        <v>0</v>
      </c>
      <c r="AE514" s="6"/>
      <c r="AF514" s="6"/>
      <c r="AG514" s="6"/>
      <c r="AH514" s="6"/>
      <c r="AI514" s="6"/>
      <c r="AJ514" s="6"/>
      <c r="AK514" s="6"/>
      <c r="AL514" s="7">
        <f t="shared" si="339"/>
        <v>0</v>
      </c>
      <c r="AM514" s="11">
        <f t="shared" si="273"/>
        <v>0</v>
      </c>
      <c r="AN514" s="25"/>
      <c r="AO514" s="10" t="str">
        <f t="shared" si="274"/>
        <v>MarçoSEMANA 4Maracujá</v>
      </c>
      <c r="AP514" s="7">
        <f>SUMIF(NF!$A:$A,$AO514,NF!$I:$I)</f>
        <v>2.1399999999999997</v>
      </c>
      <c r="AQ514" s="6">
        <v>1</v>
      </c>
      <c r="AR514" s="6"/>
      <c r="AS514" s="6"/>
      <c r="AT514" s="6"/>
      <c r="AU514" s="6"/>
      <c r="AV514" s="6"/>
      <c r="AW514" s="6">
        <v>1.1399999999999999</v>
      </c>
      <c r="AX514" s="7">
        <f t="shared" si="340"/>
        <v>2.1399999999999997</v>
      </c>
      <c r="AY514" s="11">
        <f t="shared" si="276"/>
        <v>0</v>
      </c>
      <c r="AZ514" s="25"/>
      <c r="BA514" s="10" t="str">
        <f t="shared" si="277"/>
        <v>MarçoSEMANA 5Maracujá</v>
      </c>
      <c r="BB514" s="7">
        <f>SUMIF(NF!$A:$A,$BA514,NF!$I:$I)</f>
        <v>0</v>
      </c>
      <c r="BC514" s="6"/>
      <c r="BD514" s="6"/>
      <c r="BE514" s="6"/>
      <c r="BF514" s="6"/>
      <c r="BG514" s="6"/>
      <c r="BH514" s="6"/>
      <c r="BI514" s="74"/>
      <c r="BJ514" s="74"/>
      <c r="BK514" s="7">
        <f t="shared" si="341"/>
        <v>0</v>
      </c>
      <c r="BL514" s="8">
        <f t="shared" si="279"/>
        <v>0</v>
      </c>
      <c r="BM514" s="51" t="str">
        <f>IFERROR(VLOOKUP(A514,NF!$M:$O,3,0),"")</f>
        <v>Hortifruti</v>
      </c>
      <c r="BN514" s="7">
        <f t="shared" si="280"/>
        <v>3.1399999999999997</v>
      </c>
      <c r="BO514" s="8">
        <f t="array" ref="BO514">IFERROR(LARGE(IF(NF!$G$2:$G$3137='Mês atual'!A514,NF!$J$2:$J$3137),1),0)*BN514</f>
        <v>21.917199999999998</v>
      </c>
      <c r="BP514" s="50"/>
      <c r="BR514" s="146">
        <f t="array" ref="BR514">IFERROR(LARGE(IF(NF!$G$2:$G$3137='Mês atual'!A514,NF!$J$2:$J$3137),1),0)</f>
        <v>6.98</v>
      </c>
      <c r="BS514" s="142" t="str">
        <f>VLOOKUP(A514,NF!M:O,3,0)</f>
        <v>Hortifruti</v>
      </c>
      <c r="BV514" s="74">
        <f t="shared" si="322"/>
        <v>0</v>
      </c>
      <c r="BW514" s="74">
        <f t="shared" si="323"/>
        <v>1</v>
      </c>
      <c r="BX514" s="74">
        <f t="shared" si="324"/>
        <v>0</v>
      </c>
      <c r="BY514" s="74">
        <f t="shared" si="325"/>
        <v>2.1399999999999997</v>
      </c>
      <c r="BZ514" s="74">
        <f t="shared" si="326"/>
        <v>0</v>
      </c>
    </row>
    <row r="515" spans="1:78" x14ac:dyDescent="0.2">
      <c r="A515" s="108" t="s">
        <v>514</v>
      </c>
      <c r="B515" s="12"/>
      <c r="C515" s="9">
        <v>0</v>
      </c>
      <c r="D515" s="25"/>
      <c r="E515" s="10" t="str">
        <f t="shared" si="265"/>
        <v>MarçoSEMANA 1Maxixe</v>
      </c>
      <c r="F515" s="7">
        <f>SUMIF(NF!$A:$A,$E515,NF!$I:$I)</f>
        <v>0</v>
      </c>
      <c r="G515" s="74"/>
      <c r="H515" s="74"/>
      <c r="I515" s="74"/>
      <c r="J515" s="6"/>
      <c r="K515" s="6"/>
      <c r="L515" s="6"/>
      <c r="M515" s="6"/>
      <c r="N515" s="7">
        <f t="shared" si="337"/>
        <v>0</v>
      </c>
      <c r="O515" s="11">
        <f t="shared" si="267"/>
        <v>0</v>
      </c>
      <c r="P515" s="25"/>
      <c r="Q515" s="10" t="str">
        <f t="shared" si="268"/>
        <v>MarçoSEMANA 2Maxixe</v>
      </c>
      <c r="R515" s="7">
        <f>SUMIF(NF!$A:$A,$Q515,NF!$I:$I)</f>
        <v>0</v>
      </c>
      <c r="S515" s="6"/>
      <c r="T515" s="6"/>
      <c r="U515" s="6"/>
      <c r="V515" s="6"/>
      <c r="W515" s="6"/>
      <c r="X515" s="6"/>
      <c r="Y515" s="6"/>
      <c r="Z515" s="7">
        <f t="shared" si="338"/>
        <v>0</v>
      </c>
      <c r="AA515" s="11">
        <f t="shared" si="270"/>
        <v>0</v>
      </c>
      <c r="AB515" s="25"/>
      <c r="AC515" s="10" t="str">
        <f t="shared" si="271"/>
        <v>MarçoSEMANA 3Maxixe</v>
      </c>
      <c r="AD515" s="7">
        <f>SUMIF(NF!$A:$A,$AC515,NF!$I:$I)</f>
        <v>0</v>
      </c>
      <c r="AE515" s="6"/>
      <c r="AF515" s="6"/>
      <c r="AG515" s="6"/>
      <c r="AH515" s="6"/>
      <c r="AI515" s="6"/>
      <c r="AJ515" s="6"/>
      <c r="AK515" s="6"/>
      <c r="AL515" s="7">
        <f t="shared" si="339"/>
        <v>0</v>
      </c>
      <c r="AM515" s="11">
        <f t="shared" si="273"/>
        <v>0</v>
      </c>
      <c r="AN515" s="25"/>
      <c r="AO515" s="10" t="str">
        <f t="shared" si="274"/>
        <v>MarçoSEMANA 4Maxixe</v>
      </c>
      <c r="AP515" s="7">
        <f>SUMIF(NF!$A:$A,$AO515,NF!$I:$I)</f>
        <v>0</v>
      </c>
      <c r="AQ515" s="6" t="s">
        <v>1157</v>
      </c>
      <c r="AR515" s="6"/>
      <c r="AS515" s="6"/>
      <c r="AT515" s="6"/>
      <c r="AU515" s="6"/>
      <c r="AV515" s="6"/>
      <c r="AW515" s="6"/>
      <c r="AX515" s="7">
        <f t="shared" si="340"/>
        <v>0</v>
      </c>
      <c r="AY515" s="11">
        <f t="shared" si="276"/>
        <v>0</v>
      </c>
      <c r="AZ515" s="25"/>
      <c r="BA515" s="10" t="str">
        <f t="shared" si="277"/>
        <v>MarçoSEMANA 5Maxixe</v>
      </c>
      <c r="BB515" s="7">
        <f>SUMIF(NF!$A:$A,$BA515,NF!$I:$I)</f>
        <v>0</v>
      </c>
      <c r="BC515" s="6"/>
      <c r="BD515" s="6"/>
      <c r="BE515" s="6"/>
      <c r="BF515" s="6"/>
      <c r="BG515" s="6"/>
      <c r="BH515" s="6"/>
      <c r="BI515" s="74"/>
      <c r="BJ515" s="74"/>
      <c r="BK515" s="7">
        <f t="shared" si="341"/>
        <v>0</v>
      </c>
      <c r="BL515" s="8">
        <f t="shared" si="279"/>
        <v>0</v>
      </c>
      <c r="BM515" s="51" t="str">
        <f>IFERROR(VLOOKUP(A515,NF!$M:$O,3,0),"")</f>
        <v>Hortifruti</v>
      </c>
      <c r="BN515" s="7">
        <f t="shared" si="280"/>
        <v>0</v>
      </c>
      <c r="BO515" s="8">
        <f t="array" ref="BO515">IFERROR(LARGE(IF(NF!$G$2:$G$3137='Mês atual'!A515,NF!$J$2:$J$3137),1),0)*BN515</f>
        <v>0</v>
      </c>
      <c r="BP515" s="50"/>
      <c r="BR515" s="146">
        <f t="array" ref="BR515">IFERROR(LARGE(IF(NF!$G$2:$G$3137='Mês atual'!A515,NF!$J$2:$J$3137),1),0)</f>
        <v>0</v>
      </c>
      <c r="BS515" s="142" t="str">
        <f>VLOOKUP(A515,NF!M:O,3,0)</f>
        <v>Hortifruti</v>
      </c>
      <c r="BV515" s="74">
        <f t="shared" si="322"/>
        <v>0</v>
      </c>
      <c r="BW515" s="74">
        <f t="shared" si="323"/>
        <v>0</v>
      </c>
      <c r="BX515" s="74">
        <f t="shared" si="324"/>
        <v>0</v>
      </c>
      <c r="BY515" s="74">
        <f t="shared" si="325"/>
        <v>0</v>
      </c>
      <c r="BZ515" s="74">
        <f t="shared" si="326"/>
        <v>0</v>
      </c>
    </row>
    <row r="516" spans="1:78" x14ac:dyDescent="0.25">
      <c r="A516" s="108" t="s">
        <v>516</v>
      </c>
      <c r="B516" s="12"/>
      <c r="C516" s="9">
        <v>0</v>
      </c>
      <c r="D516" s="25"/>
      <c r="E516" s="10" t="str">
        <f t="shared" si="265"/>
        <v>MarçoSEMANA 1Melância</v>
      </c>
      <c r="F516" s="7">
        <f>SUMIF(NF!$A:$A,$E516,NF!$I:$I)</f>
        <v>10</v>
      </c>
      <c r="G516" s="74"/>
      <c r="H516" s="74"/>
      <c r="I516" s="74"/>
      <c r="J516" s="6"/>
      <c r="K516" s="6"/>
      <c r="L516" s="6"/>
      <c r="M516" s="6">
        <v>10</v>
      </c>
      <c r="N516" s="7">
        <f t="shared" si="337"/>
        <v>10</v>
      </c>
      <c r="O516" s="11">
        <f t="shared" si="267"/>
        <v>0</v>
      </c>
      <c r="P516" s="25"/>
      <c r="Q516" s="10" t="str">
        <f t="shared" si="268"/>
        <v>MarçoSEMANA 2Melância</v>
      </c>
      <c r="R516" s="7">
        <f>SUMIF(NF!$A:$A,$Q516,NF!$I:$I)</f>
        <v>40</v>
      </c>
      <c r="S516" s="6">
        <v>10</v>
      </c>
      <c r="T516" s="6"/>
      <c r="U516" s="6"/>
      <c r="V516" s="6">
        <v>10</v>
      </c>
      <c r="W516" s="6"/>
      <c r="X516" s="6">
        <v>10</v>
      </c>
      <c r="Y516" s="6"/>
      <c r="Z516" s="7">
        <f t="shared" si="338"/>
        <v>30</v>
      </c>
      <c r="AA516" s="11">
        <f t="shared" si="270"/>
        <v>10</v>
      </c>
      <c r="AB516" s="25"/>
      <c r="AC516" s="10" t="str">
        <f t="shared" si="271"/>
        <v>MarçoSEMANA 3Melância</v>
      </c>
      <c r="AD516" s="7">
        <f>SUMIF(NF!$A:$A,$AC516,NF!$I:$I)</f>
        <v>20</v>
      </c>
      <c r="AE516" s="6">
        <v>10</v>
      </c>
      <c r="AF516" s="6"/>
      <c r="AG516" s="6"/>
      <c r="AH516" s="6">
        <v>10</v>
      </c>
      <c r="AI516" s="6"/>
      <c r="AJ516" s="6"/>
      <c r="AK516" s="6">
        <v>10</v>
      </c>
      <c r="AL516" s="7">
        <f t="shared" si="339"/>
        <v>30</v>
      </c>
      <c r="AM516" s="11">
        <f t="shared" si="273"/>
        <v>0</v>
      </c>
      <c r="AN516" s="25"/>
      <c r="AO516" s="10" t="str">
        <f t="shared" si="274"/>
        <v>MarçoSEMANA 4Melância</v>
      </c>
      <c r="AP516" s="7">
        <f>SUMIF(NF!$A:$A,$AO516,NF!$I:$I)</f>
        <v>30</v>
      </c>
      <c r="AQ516" s="6"/>
      <c r="AR516" s="6"/>
      <c r="AS516" s="6">
        <v>10</v>
      </c>
      <c r="AT516" s="6"/>
      <c r="AU516" s="6"/>
      <c r="AV516" s="6"/>
      <c r="AW516" s="6">
        <v>10</v>
      </c>
      <c r="AX516" s="7">
        <f t="shared" si="340"/>
        <v>20</v>
      </c>
      <c r="AY516" s="11">
        <f t="shared" si="276"/>
        <v>10</v>
      </c>
      <c r="AZ516" s="25"/>
      <c r="BA516" s="10" t="str">
        <f t="shared" si="277"/>
        <v>MarçoSEMANA 5Melância</v>
      </c>
      <c r="BB516" s="7">
        <f>SUMIF(NF!$A:$A,$BA516,NF!$I:$I)</f>
        <v>20</v>
      </c>
      <c r="BC516" s="6">
        <v>10</v>
      </c>
      <c r="BD516" s="6"/>
      <c r="BE516" s="6"/>
      <c r="BF516" s="6"/>
      <c r="BG516" s="6">
        <v>10</v>
      </c>
      <c r="BH516" s="6">
        <v>10</v>
      </c>
      <c r="BI516" s="74"/>
      <c r="BJ516" s="74"/>
      <c r="BK516" s="7">
        <f t="shared" si="341"/>
        <v>30</v>
      </c>
      <c r="BL516" s="8">
        <f t="shared" si="279"/>
        <v>0</v>
      </c>
      <c r="BM516" s="51" t="str">
        <f>IFERROR(VLOOKUP(A516,NF!$M:$O,3,0),"")</f>
        <v>Hortifruti</v>
      </c>
      <c r="BN516" s="7">
        <f t="shared" si="280"/>
        <v>120</v>
      </c>
      <c r="BO516" s="8">
        <f t="array" ref="BO516">IFERROR(LARGE(IF(NF!$G$2:$G$3137='Mês atual'!A516,NF!$J$2:$J$3137),1),0)*BN516</f>
        <v>182.4</v>
      </c>
      <c r="BP516" s="50"/>
      <c r="BR516" s="146">
        <f t="array" ref="BR516">IFERROR(LARGE(IF(NF!$G$2:$G$3137='Mês atual'!A516,NF!$J$2:$J$3137),1),0)</f>
        <v>1.52</v>
      </c>
      <c r="BS516" s="142" t="str">
        <f>VLOOKUP(A516,NF!M:O,3,0)</f>
        <v>Hortifruti</v>
      </c>
      <c r="BV516" s="74">
        <f t="shared" si="322"/>
        <v>10</v>
      </c>
      <c r="BW516" s="74">
        <f t="shared" si="323"/>
        <v>30</v>
      </c>
      <c r="BX516" s="74">
        <f t="shared" si="324"/>
        <v>30</v>
      </c>
      <c r="BY516" s="74">
        <f t="shared" si="325"/>
        <v>20</v>
      </c>
      <c r="BZ516" s="74">
        <f t="shared" si="326"/>
        <v>30</v>
      </c>
    </row>
    <row r="517" spans="1:78" x14ac:dyDescent="0.25">
      <c r="A517" s="108" t="s">
        <v>517</v>
      </c>
      <c r="B517" s="12"/>
      <c r="C517" s="9">
        <v>0</v>
      </c>
      <c r="D517" s="25"/>
      <c r="E517" s="10" t="str">
        <f t="shared" si="265"/>
        <v xml:space="preserve">MarçoSEMANA 1Melão de Rede </v>
      </c>
      <c r="F517" s="7">
        <f>SUMIF(NF!$A:$A,$E517,NF!$I:$I)</f>
        <v>0</v>
      </c>
      <c r="G517" s="74"/>
      <c r="H517" s="74"/>
      <c r="I517" s="74"/>
      <c r="J517" s="6"/>
      <c r="K517" s="6"/>
      <c r="L517" s="6"/>
      <c r="M517" s="6"/>
      <c r="N517" s="7">
        <f t="shared" si="337"/>
        <v>0</v>
      </c>
      <c r="O517" s="11">
        <f t="shared" si="267"/>
        <v>0</v>
      </c>
      <c r="P517" s="25"/>
      <c r="Q517" s="10" t="str">
        <f t="shared" si="268"/>
        <v xml:space="preserve">MarçoSEMANA 2Melão de Rede </v>
      </c>
      <c r="R517" s="7">
        <f>SUMIF(NF!$A:$A,$Q517,NF!$I:$I)</f>
        <v>0</v>
      </c>
      <c r="S517" s="6"/>
      <c r="T517" s="6"/>
      <c r="U517" s="6"/>
      <c r="V517" s="6"/>
      <c r="W517" s="6"/>
      <c r="X517" s="6"/>
      <c r="Y517" s="6"/>
      <c r="Z517" s="7">
        <f t="shared" si="338"/>
        <v>0</v>
      </c>
      <c r="AA517" s="11">
        <f t="shared" si="270"/>
        <v>0</v>
      </c>
      <c r="AB517" s="25"/>
      <c r="AC517" s="10" t="str">
        <f t="shared" si="271"/>
        <v xml:space="preserve">MarçoSEMANA 3Melão de Rede </v>
      </c>
      <c r="AD517" s="7">
        <f>SUMIF(NF!$A:$A,$AC517,NF!$I:$I)</f>
        <v>0</v>
      </c>
      <c r="AE517" s="6"/>
      <c r="AF517" s="6"/>
      <c r="AG517" s="6"/>
      <c r="AH517" s="6"/>
      <c r="AI517" s="6"/>
      <c r="AJ517" s="6"/>
      <c r="AK517" s="6"/>
      <c r="AL517" s="7">
        <f t="shared" si="339"/>
        <v>0</v>
      </c>
      <c r="AM517" s="11">
        <f t="shared" si="273"/>
        <v>0</v>
      </c>
      <c r="AN517" s="25"/>
      <c r="AO517" s="10" t="str">
        <f t="shared" si="274"/>
        <v xml:space="preserve">MarçoSEMANA 4Melão de Rede </v>
      </c>
      <c r="AP517" s="7">
        <f>SUMIF(NF!$A:$A,$AO517,NF!$I:$I)</f>
        <v>0</v>
      </c>
      <c r="AQ517" s="6"/>
      <c r="AR517" s="6"/>
      <c r="AS517" s="6"/>
      <c r="AT517" s="6"/>
      <c r="AU517" s="6"/>
      <c r="AV517" s="6"/>
      <c r="AW517" s="6"/>
      <c r="AX517" s="7">
        <f t="shared" si="340"/>
        <v>0</v>
      </c>
      <c r="AY517" s="11">
        <f t="shared" si="276"/>
        <v>0</v>
      </c>
      <c r="AZ517" s="25"/>
      <c r="BA517" s="10" t="str">
        <f t="shared" si="277"/>
        <v xml:space="preserve">MarçoSEMANA 5Melão de Rede </v>
      </c>
      <c r="BB517" s="7">
        <f>SUMIF(NF!$A:$A,$BA517,NF!$I:$I)</f>
        <v>0</v>
      </c>
      <c r="BC517" s="6"/>
      <c r="BD517" s="6"/>
      <c r="BE517" s="6"/>
      <c r="BF517" s="6"/>
      <c r="BG517" s="6"/>
      <c r="BH517" s="6"/>
      <c r="BI517" s="74"/>
      <c r="BJ517" s="74"/>
      <c r="BK517" s="7">
        <f t="shared" si="341"/>
        <v>0</v>
      </c>
      <c r="BL517" s="8">
        <f t="shared" si="279"/>
        <v>0</v>
      </c>
      <c r="BM517" s="51" t="str">
        <f>IFERROR(VLOOKUP(A517,NF!$M:$O,3,0),"")</f>
        <v>Hortifruti</v>
      </c>
      <c r="BN517" s="7">
        <f t="shared" si="280"/>
        <v>0</v>
      </c>
      <c r="BO517" s="8">
        <f t="array" ref="BO517">IFERROR(LARGE(IF(NF!$G$2:$G$3137='Mês atual'!A517,NF!$J$2:$J$3137),1),0)*BN517</f>
        <v>0</v>
      </c>
      <c r="BP517" s="50"/>
      <c r="BR517" s="146">
        <f t="array" ref="BR517">IFERROR(LARGE(IF(NF!$G$2:$G$3137='Mês atual'!A517,NF!$J$2:$J$3137),1),0)</f>
        <v>0</v>
      </c>
      <c r="BS517" s="142" t="str">
        <f>VLOOKUP(A517,NF!M:O,3,0)</f>
        <v>Hortifruti</v>
      </c>
      <c r="BV517" s="74">
        <f t="shared" si="322"/>
        <v>0</v>
      </c>
      <c r="BW517" s="74">
        <f t="shared" si="323"/>
        <v>0</v>
      </c>
      <c r="BX517" s="74">
        <f t="shared" si="324"/>
        <v>0</v>
      </c>
      <c r="BY517" s="74">
        <f t="shared" si="325"/>
        <v>0</v>
      </c>
      <c r="BZ517" s="74">
        <f t="shared" si="326"/>
        <v>0</v>
      </c>
    </row>
    <row r="518" spans="1:78" x14ac:dyDescent="0.25">
      <c r="A518" s="108" t="s">
        <v>518</v>
      </c>
      <c r="B518" s="12"/>
      <c r="C518" s="9">
        <v>0</v>
      </c>
      <c r="D518" s="25"/>
      <c r="E518" s="10" t="str">
        <f t="shared" si="265"/>
        <v>MarçoSEMANA 1Melão Orange</v>
      </c>
      <c r="F518" s="7">
        <f>SUMIF(NF!$A:$A,$E518,NF!$I:$I)</f>
        <v>4</v>
      </c>
      <c r="G518" s="74"/>
      <c r="H518" s="74"/>
      <c r="I518" s="74"/>
      <c r="J518" s="6"/>
      <c r="K518" s="6"/>
      <c r="L518" s="6"/>
      <c r="M518" s="6">
        <v>2</v>
      </c>
      <c r="N518" s="7">
        <f t="shared" si="337"/>
        <v>2</v>
      </c>
      <c r="O518" s="11">
        <f t="shared" si="267"/>
        <v>2</v>
      </c>
      <c r="P518" s="25"/>
      <c r="Q518" s="10" t="str">
        <f t="shared" si="268"/>
        <v>MarçoSEMANA 2Melão Orange</v>
      </c>
      <c r="R518" s="7">
        <f>SUMIF(NF!$A:$A,$Q518,NF!$I:$I)</f>
        <v>3.75</v>
      </c>
      <c r="S518" s="6">
        <v>2</v>
      </c>
      <c r="T518" s="6"/>
      <c r="U518" s="6"/>
      <c r="V518" s="6">
        <v>1.75</v>
      </c>
      <c r="W518" s="6"/>
      <c r="X518" s="6"/>
      <c r="Y518" s="6"/>
      <c r="Z518" s="7">
        <f t="shared" si="338"/>
        <v>3.75</v>
      </c>
      <c r="AA518" s="11">
        <f t="shared" si="270"/>
        <v>2</v>
      </c>
      <c r="AB518" s="25"/>
      <c r="AC518" s="10" t="str">
        <f t="shared" si="271"/>
        <v>MarçoSEMANA 3Melão Orange</v>
      </c>
      <c r="AD518" s="7">
        <f>SUMIF(NF!$A:$A,$AC518,NF!$I:$I)</f>
        <v>5.8</v>
      </c>
      <c r="AE518" s="6">
        <v>3.8</v>
      </c>
      <c r="AF518" s="6"/>
      <c r="AG518" s="6">
        <v>2</v>
      </c>
      <c r="AH518" s="6"/>
      <c r="AI518" s="6">
        <v>2</v>
      </c>
      <c r="AJ518" s="6"/>
      <c r="AK518" s="6"/>
      <c r="AL518" s="7">
        <f t="shared" si="339"/>
        <v>7.8</v>
      </c>
      <c r="AM518" s="11">
        <f t="shared" si="273"/>
        <v>0</v>
      </c>
      <c r="AN518" s="25"/>
      <c r="AO518" s="10" t="str">
        <f t="shared" si="274"/>
        <v>MarçoSEMANA 4Melão Orange</v>
      </c>
      <c r="AP518" s="7">
        <f>SUMIF(NF!$A:$A,$AO518,NF!$I:$I)</f>
        <v>5.3</v>
      </c>
      <c r="AQ518" s="6"/>
      <c r="AR518" s="6">
        <v>1.8</v>
      </c>
      <c r="AS518" s="6"/>
      <c r="AT518" s="6"/>
      <c r="AU518" s="6">
        <v>1.7</v>
      </c>
      <c r="AV518" s="6"/>
      <c r="AW518" s="6">
        <v>1.8</v>
      </c>
      <c r="AX518" s="7">
        <f t="shared" si="340"/>
        <v>5.3</v>
      </c>
      <c r="AY518" s="11">
        <f t="shared" si="276"/>
        <v>0</v>
      </c>
      <c r="AZ518" s="25"/>
      <c r="BA518" s="10" t="str">
        <f t="shared" si="277"/>
        <v>MarçoSEMANA 5Melão Orange</v>
      </c>
      <c r="BB518" s="7">
        <f>SUMIF(NF!$A:$A,$BA518,NF!$I:$I)</f>
        <v>4</v>
      </c>
      <c r="BC518" s="6"/>
      <c r="BD518" s="6"/>
      <c r="BE518" s="6">
        <v>2</v>
      </c>
      <c r="BF518" s="6"/>
      <c r="BG518" s="6"/>
      <c r="BH518" s="6"/>
      <c r="BI518" s="74"/>
      <c r="BJ518" s="74"/>
      <c r="BK518" s="7">
        <f t="shared" si="341"/>
        <v>2</v>
      </c>
      <c r="BL518" s="8">
        <f t="shared" si="279"/>
        <v>2</v>
      </c>
      <c r="BM518" s="51" t="str">
        <f>IFERROR(VLOOKUP(A518,NF!$M:$O,3,0),"")</f>
        <v>Hortifruti</v>
      </c>
      <c r="BN518" s="7">
        <f t="shared" si="280"/>
        <v>20.85</v>
      </c>
      <c r="BO518" s="8">
        <f t="array" ref="BO518">IFERROR(LARGE(IF(NF!$G$2:$G$3137='Mês atual'!A518,NF!$J$2:$J$3137),1),0)*BN518</f>
        <v>100.08</v>
      </c>
      <c r="BP518" s="50"/>
      <c r="BR518" s="146">
        <f t="array" ref="BR518">IFERROR(LARGE(IF(NF!$G$2:$G$3137='Mês atual'!A518,NF!$J$2:$J$3137),1),0)</f>
        <v>4.8</v>
      </c>
      <c r="BS518" s="142" t="str">
        <f>VLOOKUP(A518,NF!M:O,3,0)</f>
        <v>Hortifruti</v>
      </c>
      <c r="BV518" s="74">
        <f t="shared" si="322"/>
        <v>2</v>
      </c>
      <c r="BW518" s="74">
        <f t="shared" si="323"/>
        <v>3.75</v>
      </c>
      <c r="BX518" s="74">
        <f t="shared" si="324"/>
        <v>7.8</v>
      </c>
      <c r="BY518" s="74">
        <f t="shared" si="325"/>
        <v>5.3</v>
      </c>
      <c r="BZ518" s="74">
        <f t="shared" si="326"/>
        <v>2</v>
      </c>
    </row>
    <row r="519" spans="1:78" x14ac:dyDescent="0.2">
      <c r="A519" s="108" t="s">
        <v>899</v>
      </c>
      <c r="B519" s="12"/>
      <c r="C519" s="9">
        <v>0</v>
      </c>
      <c r="D519" s="25"/>
      <c r="E519" s="10" t="str">
        <f t="shared" si="265"/>
        <v>MarçoSEMANA 1Menta</v>
      </c>
      <c r="F519" s="7">
        <f>SUMIF(NF!$A:$A,$E519,NF!$I:$I)</f>
        <v>0</v>
      </c>
      <c r="G519" s="74"/>
      <c r="H519" s="74"/>
      <c r="I519" s="74"/>
      <c r="J519" s="6"/>
      <c r="K519" s="6"/>
      <c r="L519" s="6"/>
      <c r="M519" s="6"/>
      <c r="N519" s="7">
        <f t="shared" si="337"/>
        <v>0</v>
      </c>
      <c r="O519" s="11">
        <f t="shared" si="267"/>
        <v>0</v>
      </c>
      <c r="P519" s="25"/>
      <c r="Q519" s="10" t="str">
        <f t="shared" si="268"/>
        <v>MarçoSEMANA 2Menta</v>
      </c>
      <c r="R519" s="7">
        <f>SUMIF(NF!$A:$A,$Q519,NF!$I:$I)</f>
        <v>0</v>
      </c>
      <c r="S519" s="6"/>
      <c r="T519" s="6"/>
      <c r="U519" s="6"/>
      <c r="V519" s="6"/>
      <c r="W519" s="6"/>
      <c r="X519" s="6"/>
      <c r="Y519" s="6"/>
      <c r="Z519" s="7">
        <f t="shared" si="338"/>
        <v>0</v>
      </c>
      <c r="AA519" s="11">
        <f t="shared" si="270"/>
        <v>0</v>
      </c>
      <c r="AB519" s="25"/>
      <c r="AC519" s="10" t="str">
        <f t="shared" si="271"/>
        <v>MarçoSEMANA 3Menta</v>
      </c>
      <c r="AD519" s="7">
        <f>SUMIF(NF!$A:$A,$AC519,NF!$I:$I)</f>
        <v>0</v>
      </c>
      <c r="AE519" s="6"/>
      <c r="AF519" s="6"/>
      <c r="AG519" s="6"/>
      <c r="AH519" s="6"/>
      <c r="AI519" s="6"/>
      <c r="AJ519" s="6"/>
      <c r="AK519" s="6"/>
      <c r="AL519" s="7">
        <f t="shared" si="339"/>
        <v>0</v>
      </c>
      <c r="AM519" s="11">
        <f t="shared" si="273"/>
        <v>0</v>
      </c>
      <c r="AN519" s="25"/>
      <c r="AO519" s="10" t="str">
        <f t="shared" si="274"/>
        <v>MarçoSEMANA 4Menta</v>
      </c>
      <c r="AP519" s="7">
        <f>SUMIF(NF!$A:$A,$AO519,NF!$I:$I)</f>
        <v>0</v>
      </c>
      <c r="AQ519" s="6"/>
      <c r="AR519" s="6"/>
      <c r="AS519" s="6"/>
      <c r="AT519" s="6"/>
      <c r="AU519" s="6"/>
      <c r="AV519" s="6"/>
      <c r="AW519" s="6"/>
      <c r="AX519" s="7">
        <f t="shared" si="340"/>
        <v>0</v>
      </c>
      <c r="AY519" s="11">
        <f t="shared" si="276"/>
        <v>0</v>
      </c>
      <c r="AZ519" s="25"/>
      <c r="BA519" s="10" t="str">
        <f t="shared" si="277"/>
        <v>MarçoSEMANA 5Menta</v>
      </c>
      <c r="BB519" s="7">
        <f>SUMIF(NF!$A:$A,$BA519,NF!$I:$I)</f>
        <v>0</v>
      </c>
      <c r="BC519" s="6"/>
      <c r="BD519" s="6"/>
      <c r="BE519" s="6"/>
      <c r="BF519" s="6"/>
      <c r="BG519" s="6"/>
      <c r="BH519" s="6"/>
      <c r="BI519" s="74"/>
      <c r="BJ519" s="74"/>
      <c r="BK519" s="7">
        <f t="shared" si="341"/>
        <v>0</v>
      </c>
      <c r="BL519" s="8">
        <f t="shared" si="279"/>
        <v>0</v>
      </c>
      <c r="BM519" s="51" t="str">
        <f>IFERROR(VLOOKUP(A519,NF!$M:$O,3,0),"")</f>
        <v>Hortifruti</v>
      </c>
      <c r="BN519" s="7">
        <f t="shared" si="280"/>
        <v>0</v>
      </c>
      <c r="BO519" s="8">
        <f t="array" ref="BO519">IFERROR(LARGE(IF(NF!$G$2:$G$3137='Mês atual'!A519,NF!$J$2:$J$3137),1),0)*BN519</f>
        <v>0</v>
      </c>
      <c r="BP519" s="50"/>
      <c r="BR519" s="146">
        <f t="array" ref="BR519">IFERROR(LARGE(IF(NF!$G$2:$G$3137='Mês atual'!A519,NF!$J$2:$J$3137),1),0)</f>
        <v>0</v>
      </c>
      <c r="BS519" s="142" t="str">
        <f>VLOOKUP(A519,NF!M:O,3,0)</f>
        <v>Hortifruti</v>
      </c>
      <c r="BV519" s="74">
        <f t="shared" si="322"/>
        <v>0</v>
      </c>
      <c r="BW519" s="74">
        <f t="shared" si="323"/>
        <v>0</v>
      </c>
      <c r="BX519" s="74">
        <f t="shared" si="324"/>
        <v>0</v>
      </c>
      <c r="BY519" s="74">
        <f t="shared" si="325"/>
        <v>0</v>
      </c>
      <c r="BZ519" s="74">
        <f t="shared" si="326"/>
        <v>0</v>
      </c>
    </row>
    <row r="520" spans="1:78" x14ac:dyDescent="0.2">
      <c r="A520" s="108" t="s">
        <v>520</v>
      </c>
      <c r="B520" s="12"/>
      <c r="C520" s="9">
        <v>0</v>
      </c>
      <c r="D520" s="25"/>
      <c r="E520" s="10" t="str">
        <f t="shared" si="265"/>
        <v>MarçoSEMANA 1Milho espiga</v>
      </c>
      <c r="F520" s="7">
        <f>SUMIF(NF!$A:$A,$E520,NF!$I:$I)</f>
        <v>0</v>
      </c>
      <c r="G520" s="74"/>
      <c r="H520" s="74"/>
      <c r="I520" s="74"/>
      <c r="J520" s="6"/>
      <c r="K520" s="6"/>
      <c r="L520" s="6"/>
      <c r="M520" s="6"/>
      <c r="N520" s="7">
        <f t="shared" si="337"/>
        <v>0</v>
      </c>
      <c r="O520" s="11">
        <f t="shared" si="267"/>
        <v>0</v>
      </c>
      <c r="P520" s="25"/>
      <c r="Q520" s="10" t="str">
        <f t="shared" si="268"/>
        <v>MarçoSEMANA 2Milho espiga</v>
      </c>
      <c r="R520" s="7">
        <f>SUMIF(NF!$A:$A,$Q520,NF!$I:$I)</f>
        <v>0</v>
      </c>
      <c r="S520" s="6"/>
      <c r="T520" s="6"/>
      <c r="U520" s="6"/>
      <c r="V520" s="6"/>
      <c r="W520" s="6"/>
      <c r="X520" s="6"/>
      <c r="Y520" s="6"/>
      <c r="Z520" s="7">
        <f t="shared" si="338"/>
        <v>0</v>
      </c>
      <c r="AA520" s="11">
        <f t="shared" si="270"/>
        <v>0</v>
      </c>
      <c r="AB520" s="25"/>
      <c r="AC520" s="10" t="str">
        <f t="shared" si="271"/>
        <v>MarçoSEMANA 3Milho espiga</v>
      </c>
      <c r="AD520" s="7">
        <f>SUMIF(NF!$A:$A,$AC520,NF!$I:$I)</f>
        <v>0</v>
      </c>
      <c r="AE520" s="6"/>
      <c r="AF520" s="6"/>
      <c r="AG520" s="6"/>
      <c r="AH520" s="6"/>
      <c r="AI520" s="6"/>
      <c r="AJ520" s="6"/>
      <c r="AK520" s="6"/>
      <c r="AL520" s="7">
        <f t="shared" si="339"/>
        <v>0</v>
      </c>
      <c r="AM520" s="11">
        <f t="shared" si="273"/>
        <v>0</v>
      </c>
      <c r="AN520" s="25"/>
      <c r="AO520" s="10" t="str">
        <f t="shared" si="274"/>
        <v>MarçoSEMANA 4Milho espiga</v>
      </c>
      <c r="AP520" s="7">
        <f>SUMIF(NF!$A:$A,$AO520,NF!$I:$I)</f>
        <v>0</v>
      </c>
      <c r="AQ520" s="6"/>
      <c r="AR520" s="6"/>
      <c r="AS520" s="6"/>
      <c r="AT520" s="6"/>
      <c r="AU520" s="6"/>
      <c r="AV520" s="6"/>
      <c r="AW520" s="6"/>
      <c r="AX520" s="7">
        <f t="shared" si="340"/>
        <v>0</v>
      </c>
      <c r="AY520" s="11">
        <f t="shared" si="276"/>
        <v>0</v>
      </c>
      <c r="AZ520" s="25"/>
      <c r="BA520" s="10" t="str">
        <f t="shared" si="277"/>
        <v>MarçoSEMANA 5Milho espiga</v>
      </c>
      <c r="BB520" s="7">
        <f>SUMIF(NF!$A:$A,$BA520,NF!$I:$I)</f>
        <v>0</v>
      </c>
      <c r="BC520" s="6"/>
      <c r="BD520" s="6"/>
      <c r="BE520" s="6"/>
      <c r="BF520" s="6"/>
      <c r="BG520" s="6"/>
      <c r="BH520" s="6"/>
      <c r="BI520" s="74"/>
      <c r="BJ520" s="74"/>
      <c r="BK520" s="7">
        <f t="shared" si="341"/>
        <v>0</v>
      </c>
      <c r="BL520" s="8">
        <f t="shared" si="279"/>
        <v>0</v>
      </c>
      <c r="BM520" s="51" t="str">
        <f>IFERROR(VLOOKUP(A520,NF!$M:$O,3,0),"")</f>
        <v>Hortifruti</v>
      </c>
      <c r="BN520" s="7">
        <f t="shared" si="280"/>
        <v>0</v>
      </c>
      <c r="BO520" s="8">
        <f t="array" ref="BO520">IFERROR(LARGE(IF(NF!$G$2:$G$3137='Mês atual'!A520,NF!$J$2:$J$3137),1),0)*BN520</f>
        <v>0</v>
      </c>
      <c r="BP520" s="50"/>
      <c r="BR520" s="146">
        <f t="array" ref="BR520">IFERROR(LARGE(IF(NF!$G$2:$G$3137='Mês atual'!A520,NF!$J$2:$J$3137),1),0)</f>
        <v>0</v>
      </c>
      <c r="BS520" s="142" t="str">
        <f>VLOOKUP(A520,NF!M:O,3,0)</f>
        <v>Hortifruti</v>
      </c>
      <c r="BV520" s="74">
        <f t="shared" si="322"/>
        <v>0</v>
      </c>
      <c r="BW520" s="74">
        <f t="shared" si="323"/>
        <v>0</v>
      </c>
      <c r="BX520" s="74">
        <f t="shared" si="324"/>
        <v>0</v>
      </c>
      <c r="BY520" s="74">
        <f t="shared" si="325"/>
        <v>0</v>
      </c>
      <c r="BZ520" s="74">
        <f t="shared" si="326"/>
        <v>0</v>
      </c>
    </row>
    <row r="521" spans="1:78" x14ac:dyDescent="0.2">
      <c r="A521" s="108" t="s">
        <v>530</v>
      </c>
      <c r="B521" s="12"/>
      <c r="C521" s="9">
        <v>0</v>
      </c>
      <c r="D521" s="25"/>
      <c r="E521" s="10" t="str">
        <f t="shared" si="265"/>
        <v>MarçoSEMANA 1Morango</v>
      </c>
      <c r="F521" s="7">
        <f>SUMIF(NF!$A:$A,$E521,NF!$I:$I)</f>
        <v>0</v>
      </c>
      <c r="G521" s="74"/>
      <c r="H521" s="74"/>
      <c r="I521" s="74"/>
      <c r="J521" s="6"/>
      <c r="K521" s="6"/>
      <c r="L521" s="6"/>
      <c r="M521" s="6"/>
      <c r="N521" s="7">
        <f t="shared" si="337"/>
        <v>0</v>
      </c>
      <c r="O521" s="11">
        <f t="shared" si="267"/>
        <v>0</v>
      </c>
      <c r="P521" s="25"/>
      <c r="Q521" s="10" t="str">
        <f t="shared" si="268"/>
        <v>MarçoSEMANA 2Morango</v>
      </c>
      <c r="R521" s="7">
        <f>SUMIF(NF!$A:$A,$Q521,NF!$I:$I)</f>
        <v>0</v>
      </c>
      <c r="S521" s="6"/>
      <c r="T521" s="6"/>
      <c r="U521" s="6"/>
      <c r="V521" s="6"/>
      <c r="W521" s="6"/>
      <c r="X521" s="6"/>
      <c r="Y521" s="6"/>
      <c r="Z521" s="7">
        <f t="shared" si="338"/>
        <v>0</v>
      </c>
      <c r="AA521" s="11">
        <f t="shared" si="270"/>
        <v>0</v>
      </c>
      <c r="AB521" s="25"/>
      <c r="AC521" s="10" t="str">
        <f t="shared" si="271"/>
        <v>MarçoSEMANA 3Morango</v>
      </c>
      <c r="AD521" s="7">
        <f>SUMIF(NF!$A:$A,$AC521,NF!$I:$I)</f>
        <v>0</v>
      </c>
      <c r="AE521" s="6"/>
      <c r="AF521" s="6"/>
      <c r="AG521" s="6"/>
      <c r="AH521" s="6"/>
      <c r="AI521" s="6"/>
      <c r="AJ521" s="6"/>
      <c r="AK521" s="6"/>
      <c r="AL521" s="7">
        <f t="shared" si="339"/>
        <v>0</v>
      </c>
      <c r="AM521" s="11">
        <f t="shared" si="273"/>
        <v>0</v>
      </c>
      <c r="AN521" s="25"/>
      <c r="AO521" s="10" t="str">
        <f t="shared" si="274"/>
        <v>MarçoSEMANA 4Morango</v>
      </c>
      <c r="AP521" s="7">
        <f>SUMIF(NF!$A:$A,$AO521,NF!$I:$I)</f>
        <v>0</v>
      </c>
      <c r="AQ521" s="6"/>
      <c r="AR521" s="6"/>
      <c r="AS521" s="6"/>
      <c r="AT521" s="6"/>
      <c r="AU521" s="6"/>
      <c r="AV521" s="6"/>
      <c r="AW521" s="6"/>
      <c r="AX521" s="7">
        <f t="shared" si="340"/>
        <v>0</v>
      </c>
      <c r="AY521" s="11">
        <f t="shared" si="276"/>
        <v>0</v>
      </c>
      <c r="AZ521" s="25"/>
      <c r="BA521" s="10" t="str">
        <f t="shared" si="277"/>
        <v>MarçoSEMANA 5Morango</v>
      </c>
      <c r="BB521" s="7">
        <f>SUMIF(NF!$A:$A,$BA521,NF!$I:$I)</f>
        <v>0</v>
      </c>
      <c r="BC521" s="6"/>
      <c r="BD521" s="6"/>
      <c r="BE521" s="6"/>
      <c r="BF521" s="6"/>
      <c r="BG521" s="6"/>
      <c r="BH521" s="6"/>
      <c r="BI521" s="74"/>
      <c r="BJ521" s="74"/>
      <c r="BK521" s="7">
        <f t="shared" si="341"/>
        <v>0</v>
      </c>
      <c r="BL521" s="8">
        <f t="shared" si="279"/>
        <v>0</v>
      </c>
      <c r="BM521" s="51" t="str">
        <f>IFERROR(VLOOKUP(A521,NF!$M:$O,3,0),"")</f>
        <v>Hortifruti</v>
      </c>
      <c r="BN521" s="7">
        <f t="shared" si="280"/>
        <v>0</v>
      </c>
      <c r="BO521" s="8">
        <f t="array" ref="BO521">IFERROR(LARGE(IF(NF!$G$2:$G$3137='Mês atual'!A521,NF!$J$2:$J$3137),1),0)*BN521</f>
        <v>0</v>
      </c>
      <c r="BP521" s="50"/>
      <c r="BR521" s="146">
        <f t="array" ref="BR521">IFERROR(LARGE(IF(NF!$G$2:$G$3137='Mês atual'!A521,NF!$J$2:$J$3137),1),0)</f>
        <v>0</v>
      </c>
      <c r="BS521" s="142" t="str">
        <f>VLOOKUP(A521,NF!M:O,3,0)</f>
        <v>Hortifruti</v>
      </c>
      <c r="BV521" s="74">
        <f t="shared" si="322"/>
        <v>0</v>
      </c>
      <c r="BW521" s="74">
        <f t="shared" si="323"/>
        <v>0</v>
      </c>
      <c r="BX521" s="74">
        <f t="shared" si="324"/>
        <v>0</v>
      </c>
      <c r="BY521" s="74">
        <f t="shared" si="325"/>
        <v>0</v>
      </c>
      <c r="BZ521" s="74">
        <f t="shared" si="326"/>
        <v>0</v>
      </c>
    </row>
    <row r="522" spans="1:78" x14ac:dyDescent="0.2">
      <c r="A522" s="108" t="s">
        <v>534</v>
      </c>
      <c r="B522" s="12"/>
      <c r="C522" s="9">
        <v>0</v>
      </c>
      <c r="D522" s="25"/>
      <c r="E522" s="10" t="str">
        <f t="shared" si="265"/>
        <v>MarçoSEMANA 1Nabo</v>
      </c>
      <c r="F522" s="7">
        <f>SUMIF(NF!$A:$A,$E522,NF!$I:$I)</f>
        <v>0</v>
      </c>
      <c r="G522" s="74"/>
      <c r="H522" s="74"/>
      <c r="I522" s="74"/>
      <c r="J522" s="6"/>
      <c r="K522" s="6"/>
      <c r="L522" s="6"/>
      <c r="M522" s="6"/>
      <c r="N522" s="7">
        <f t="shared" si="337"/>
        <v>0</v>
      </c>
      <c r="O522" s="11">
        <f t="shared" si="267"/>
        <v>0</v>
      </c>
      <c r="P522" s="25"/>
      <c r="Q522" s="10" t="str">
        <f t="shared" si="268"/>
        <v>MarçoSEMANA 2Nabo</v>
      </c>
      <c r="R522" s="7">
        <f>SUMIF(NF!$A:$A,$Q522,NF!$I:$I)</f>
        <v>0</v>
      </c>
      <c r="S522" s="6"/>
      <c r="T522" s="6"/>
      <c r="U522" s="6"/>
      <c r="V522" s="6"/>
      <c r="W522" s="6"/>
      <c r="X522" s="6"/>
      <c r="Y522" s="6"/>
      <c r="Z522" s="7">
        <f t="shared" si="338"/>
        <v>0</v>
      </c>
      <c r="AA522" s="11">
        <f t="shared" si="270"/>
        <v>0</v>
      </c>
      <c r="AB522" s="25"/>
      <c r="AC522" s="10" t="str">
        <f t="shared" si="271"/>
        <v>MarçoSEMANA 3Nabo</v>
      </c>
      <c r="AD522" s="7">
        <f>SUMIF(NF!$A:$A,$AC522,NF!$I:$I)</f>
        <v>0</v>
      </c>
      <c r="AE522" s="6"/>
      <c r="AF522" s="6"/>
      <c r="AG522" s="6"/>
      <c r="AH522" s="6"/>
      <c r="AI522" s="6"/>
      <c r="AJ522" s="6"/>
      <c r="AK522" s="6"/>
      <c r="AL522" s="7">
        <f t="shared" si="339"/>
        <v>0</v>
      </c>
      <c r="AM522" s="11">
        <f t="shared" si="273"/>
        <v>0</v>
      </c>
      <c r="AN522" s="25"/>
      <c r="AO522" s="10" t="str">
        <f t="shared" si="274"/>
        <v>MarçoSEMANA 4Nabo</v>
      </c>
      <c r="AP522" s="7">
        <f>SUMIF(NF!$A:$A,$AO522,NF!$I:$I)</f>
        <v>0</v>
      </c>
      <c r="AQ522" s="6"/>
      <c r="AR522" s="6"/>
      <c r="AS522" s="6"/>
      <c r="AT522" s="6"/>
      <c r="AU522" s="6"/>
      <c r="AV522" s="6"/>
      <c r="AW522" s="6"/>
      <c r="AX522" s="7">
        <f t="shared" si="340"/>
        <v>0</v>
      </c>
      <c r="AY522" s="11">
        <f t="shared" si="276"/>
        <v>0</v>
      </c>
      <c r="AZ522" s="25"/>
      <c r="BA522" s="10" t="str">
        <f t="shared" si="277"/>
        <v>MarçoSEMANA 5Nabo</v>
      </c>
      <c r="BB522" s="7">
        <f>SUMIF(NF!$A:$A,$BA522,NF!$I:$I)</f>
        <v>0</v>
      </c>
      <c r="BC522" s="6"/>
      <c r="BD522" s="6"/>
      <c r="BE522" s="6"/>
      <c r="BF522" s="6"/>
      <c r="BG522" s="6"/>
      <c r="BH522" s="6"/>
      <c r="BI522" s="74"/>
      <c r="BJ522" s="74"/>
      <c r="BK522" s="7">
        <f t="shared" si="341"/>
        <v>0</v>
      </c>
      <c r="BL522" s="8">
        <f t="shared" si="279"/>
        <v>0</v>
      </c>
      <c r="BM522" s="51" t="str">
        <f>IFERROR(VLOOKUP(A522,NF!$M:$O,3,0),"")</f>
        <v>Hortifruti</v>
      </c>
      <c r="BN522" s="7">
        <f t="shared" si="280"/>
        <v>0</v>
      </c>
      <c r="BO522" s="8">
        <f t="array" ref="BO522">IFERROR(LARGE(IF(NF!$G$2:$G$3137='Mês atual'!A522,NF!$J$2:$J$3137),1),0)*BN522</f>
        <v>0</v>
      </c>
      <c r="BP522" s="50"/>
      <c r="BR522" s="146">
        <f t="array" ref="BR522">IFERROR(LARGE(IF(NF!$G$2:$G$3137='Mês atual'!A522,NF!$J$2:$J$3137),1),0)</f>
        <v>0</v>
      </c>
      <c r="BS522" s="142" t="str">
        <f>VLOOKUP(A522,NF!M:O,3,0)</f>
        <v>Hortifruti</v>
      </c>
      <c r="BV522" s="74">
        <f t="shared" si="322"/>
        <v>0</v>
      </c>
      <c r="BW522" s="74">
        <f t="shared" si="323"/>
        <v>0</v>
      </c>
      <c r="BX522" s="74">
        <f t="shared" si="324"/>
        <v>0</v>
      </c>
      <c r="BY522" s="74">
        <f t="shared" si="325"/>
        <v>0</v>
      </c>
      <c r="BZ522" s="74">
        <f t="shared" si="326"/>
        <v>0</v>
      </c>
    </row>
    <row r="523" spans="1:78" x14ac:dyDescent="0.25">
      <c r="A523" s="108" t="s">
        <v>535</v>
      </c>
      <c r="B523" s="12"/>
      <c r="C523" s="9">
        <v>0</v>
      </c>
      <c r="D523" s="25"/>
      <c r="E523" s="10" t="str">
        <f t="shared" si="265"/>
        <v>MarçoSEMANA 1Nabo Japonês</v>
      </c>
      <c r="F523" s="7">
        <f>SUMIF(NF!$A:$A,$E523,NF!$I:$I)</f>
        <v>0</v>
      </c>
      <c r="G523" s="74"/>
      <c r="H523" s="74"/>
      <c r="I523" s="74"/>
      <c r="J523" s="6"/>
      <c r="K523" s="6"/>
      <c r="L523" s="6"/>
      <c r="M523" s="6"/>
      <c r="N523" s="7">
        <f t="shared" si="337"/>
        <v>0</v>
      </c>
      <c r="O523" s="11">
        <f t="shared" si="267"/>
        <v>0</v>
      </c>
      <c r="P523" s="25"/>
      <c r="Q523" s="10" t="str">
        <f t="shared" si="268"/>
        <v>MarçoSEMANA 2Nabo Japonês</v>
      </c>
      <c r="R523" s="7">
        <f>SUMIF(NF!$A:$A,$Q523,NF!$I:$I)</f>
        <v>1.5</v>
      </c>
      <c r="S523" s="6"/>
      <c r="T523" s="6"/>
      <c r="U523" s="6"/>
      <c r="V523" s="6"/>
      <c r="W523" s="6"/>
      <c r="X523" s="6">
        <v>1.5</v>
      </c>
      <c r="Y523" s="6"/>
      <c r="Z523" s="7">
        <f t="shared" si="338"/>
        <v>1.5</v>
      </c>
      <c r="AA523" s="11">
        <f t="shared" si="270"/>
        <v>0</v>
      </c>
      <c r="AB523" s="25"/>
      <c r="AC523" s="10" t="str">
        <f t="shared" si="271"/>
        <v>MarçoSEMANA 3Nabo Japonês</v>
      </c>
      <c r="AD523" s="7">
        <f>SUMIF(NF!$A:$A,$AC523,NF!$I:$I)</f>
        <v>2</v>
      </c>
      <c r="AE523" s="6"/>
      <c r="AF523" s="6"/>
      <c r="AG523" s="6"/>
      <c r="AH523" s="6"/>
      <c r="AI523" s="6"/>
      <c r="AJ523" s="6"/>
      <c r="AK523" s="6"/>
      <c r="AL523" s="7">
        <f t="shared" si="339"/>
        <v>0</v>
      </c>
      <c r="AM523" s="11">
        <f t="shared" si="273"/>
        <v>2</v>
      </c>
      <c r="AN523" s="25"/>
      <c r="AO523" s="10" t="str">
        <f t="shared" si="274"/>
        <v>MarçoSEMANA 4Nabo Japonês</v>
      </c>
      <c r="AP523" s="7">
        <f>SUMIF(NF!$A:$A,$AO523,NF!$I:$I)</f>
        <v>3</v>
      </c>
      <c r="AQ523" s="6">
        <v>3</v>
      </c>
      <c r="AR523" s="6"/>
      <c r="AS523" s="6">
        <v>2</v>
      </c>
      <c r="AT523" s="6"/>
      <c r="AU523" s="6"/>
      <c r="AV523" s="6"/>
      <c r="AW523" s="6"/>
      <c r="AX523" s="7">
        <f t="shared" si="340"/>
        <v>5</v>
      </c>
      <c r="AY523" s="11">
        <f t="shared" si="276"/>
        <v>0</v>
      </c>
      <c r="AZ523" s="25"/>
      <c r="BA523" s="10" t="str">
        <f t="shared" si="277"/>
        <v>MarçoSEMANA 5Nabo Japonês</v>
      </c>
      <c r="BB523" s="7">
        <f>SUMIF(NF!$A:$A,$BA523,NF!$I:$I)</f>
        <v>0</v>
      </c>
      <c r="BC523" s="6"/>
      <c r="BD523" s="6"/>
      <c r="BE523" s="6"/>
      <c r="BF523" s="6"/>
      <c r="BG523" s="6"/>
      <c r="BH523" s="6"/>
      <c r="BI523" s="74"/>
      <c r="BJ523" s="74"/>
      <c r="BK523" s="7">
        <f t="shared" si="341"/>
        <v>0</v>
      </c>
      <c r="BL523" s="8">
        <f t="shared" si="279"/>
        <v>0</v>
      </c>
      <c r="BM523" s="51" t="str">
        <f>IFERROR(VLOOKUP(A523,NF!$M:$O,3,0),"")</f>
        <v>Hortifruti</v>
      </c>
      <c r="BN523" s="7">
        <f t="shared" si="280"/>
        <v>6.5</v>
      </c>
      <c r="BO523" s="8">
        <f t="array" ref="BO523">IFERROR(LARGE(IF(NF!$G$2:$G$3137='Mês atual'!A523,NF!$J$2:$J$3137),1),0)*BN523</f>
        <v>45.5</v>
      </c>
      <c r="BP523" s="50"/>
      <c r="BR523" s="146">
        <f t="array" ref="BR523">IFERROR(LARGE(IF(NF!$G$2:$G$3137='Mês atual'!A523,NF!$J$2:$J$3137),1),0)</f>
        <v>7</v>
      </c>
      <c r="BS523" s="142" t="str">
        <f>VLOOKUP(A523,NF!M:O,3,0)</f>
        <v>Hortifruti</v>
      </c>
      <c r="BV523" s="74">
        <f t="shared" si="322"/>
        <v>0</v>
      </c>
      <c r="BW523" s="74">
        <f t="shared" si="323"/>
        <v>1.5</v>
      </c>
      <c r="BX523" s="74">
        <f t="shared" si="324"/>
        <v>0</v>
      </c>
      <c r="BY523" s="74">
        <f t="shared" si="325"/>
        <v>5</v>
      </c>
      <c r="BZ523" s="74">
        <f t="shared" si="326"/>
        <v>0</v>
      </c>
    </row>
    <row r="524" spans="1:78" x14ac:dyDescent="0.25">
      <c r="A524" s="108" t="s">
        <v>538</v>
      </c>
      <c r="B524" s="12"/>
      <c r="C524" s="9">
        <v>0</v>
      </c>
      <c r="D524" s="25"/>
      <c r="E524" s="10" t="str">
        <f t="shared" si="265"/>
        <v>MarçoSEMANA 1Nirá</v>
      </c>
      <c r="F524" s="7">
        <f>SUMIF(NF!$A:$A,$E524,NF!$I:$I)</f>
        <v>0</v>
      </c>
      <c r="G524" s="74"/>
      <c r="H524" s="74"/>
      <c r="I524" s="74"/>
      <c r="J524" s="6"/>
      <c r="K524" s="6"/>
      <c r="L524" s="6"/>
      <c r="M524" s="6"/>
      <c r="N524" s="7">
        <f t="shared" si="337"/>
        <v>0</v>
      </c>
      <c r="O524" s="11">
        <f t="shared" si="267"/>
        <v>0</v>
      </c>
      <c r="P524" s="25"/>
      <c r="Q524" s="10" t="str">
        <f t="shared" si="268"/>
        <v>MarçoSEMANA 2Nirá</v>
      </c>
      <c r="R524" s="7">
        <f>SUMIF(NF!$A:$A,$Q524,NF!$I:$I)</f>
        <v>1.01</v>
      </c>
      <c r="S524" s="6"/>
      <c r="T524" s="6"/>
      <c r="U524" s="6">
        <v>1.01</v>
      </c>
      <c r="V524" s="6"/>
      <c r="W524" s="6"/>
      <c r="X524" s="6"/>
      <c r="Y524" s="6"/>
      <c r="Z524" s="7">
        <f t="shared" si="338"/>
        <v>1.01</v>
      </c>
      <c r="AA524" s="11">
        <f t="shared" si="270"/>
        <v>0</v>
      </c>
      <c r="AB524" s="25"/>
      <c r="AC524" s="10" t="str">
        <f t="shared" si="271"/>
        <v>MarçoSEMANA 3Nirá</v>
      </c>
      <c r="AD524" s="7">
        <f>SUMIF(NF!$A:$A,$AC524,NF!$I:$I)</f>
        <v>0</v>
      </c>
      <c r="AE524" s="6"/>
      <c r="AF524" s="6"/>
      <c r="AG524" s="6"/>
      <c r="AH524" s="6"/>
      <c r="AI524" s="6"/>
      <c r="AJ524" s="6"/>
      <c r="AK524" s="6"/>
      <c r="AL524" s="7">
        <f t="shared" si="339"/>
        <v>0</v>
      </c>
      <c r="AM524" s="11">
        <f t="shared" si="273"/>
        <v>0</v>
      </c>
      <c r="AN524" s="25"/>
      <c r="AO524" s="10" t="str">
        <f t="shared" si="274"/>
        <v>MarçoSEMANA 4Nirá</v>
      </c>
      <c r="AP524" s="7">
        <f>SUMIF(NF!$A:$A,$AO524,NF!$I:$I)</f>
        <v>0</v>
      </c>
      <c r="AQ524" s="6"/>
      <c r="AR524" s="6"/>
      <c r="AS524" s="6"/>
      <c r="AT524" s="6"/>
      <c r="AU524" s="6"/>
      <c r="AV524" s="6"/>
      <c r="AW524" s="6"/>
      <c r="AX524" s="7">
        <f t="shared" si="340"/>
        <v>0</v>
      </c>
      <c r="AY524" s="11">
        <f t="shared" si="276"/>
        <v>0</v>
      </c>
      <c r="AZ524" s="25"/>
      <c r="BA524" s="10" t="str">
        <f t="shared" si="277"/>
        <v>MarçoSEMANA 5Nirá</v>
      </c>
      <c r="BB524" s="7">
        <f>SUMIF(NF!$A:$A,$BA524,NF!$I:$I)</f>
        <v>1</v>
      </c>
      <c r="BC524" s="6"/>
      <c r="BD524" s="6"/>
      <c r="BE524" s="6">
        <v>1</v>
      </c>
      <c r="BF524" s="6"/>
      <c r="BG524" s="6"/>
      <c r="BH524" s="6"/>
      <c r="BI524" s="74"/>
      <c r="BJ524" s="74"/>
      <c r="BK524" s="7">
        <f t="shared" si="341"/>
        <v>1</v>
      </c>
      <c r="BL524" s="8">
        <f t="shared" si="279"/>
        <v>0</v>
      </c>
      <c r="BM524" s="51" t="str">
        <f>IFERROR(VLOOKUP(A524,NF!$M:$O,3,0),"")</f>
        <v>Hortifruti</v>
      </c>
      <c r="BN524" s="7">
        <f t="shared" si="280"/>
        <v>2.0099999999999998</v>
      </c>
      <c r="BO524" s="8">
        <f t="array" ref="BO524">IFERROR(LARGE(IF(NF!$G$2:$G$3137='Mês atual'!A524,NF!$J$2:$J$3137),1),0)*BN524</f>
        <v>30.15</v>
      </c>
      <c r="BP524" s="50"/>
      <c r="BR524" s="146">
        <f t="array" ref="BR524">IFERROR(LARGE(IF(NF!$G$2:$G$3137='Mês atual'!A524,NF!$J$2:$J$3137),1),0)</f>
        <v>15</v>
      </c>
      <c r="BS524" s="142" t="str">
        <f>VLOOKUP(A524,NF!M:O,3,0)</f>
        <v>Hortifruti</v>
      </c>
      <c r="BV524" s="74">
        <f t="shared" si="322"/>
        <v>0</v>
      </c>
      <c r="BW524" s="74">
        <f t="shared" si="323"/>
        <v>1.01</v>
      </c>
      <c r="BX524" s="74">
        <f t="shared" si="324"/>
        <v>0</v>
      </c>
      <c r="BY524" s="74">
        <f t="shared" si="325"/>
        <v>0</v>
      </c>
      <c r="BZ524" s="74">
        <f t="shared" si="326"/>
        <v>1</v>
      </c>
    </row>
    <row r="525" spans="1:78" x14ac:dyDescent="0.25">
      <c r="A525" s="108" t="s">
        <v>1019</v>
      </c>
      <c r="B525" s="12"/>
      <c r="C525" s="9">
        <v>0</v>
      </c>
      <c r="D525" s="25"/>
      <c r="E525" s="10" t="str">
        <f t="shared" si="265"/>
        <v>MarçoSEMANA 1Orégano Fresco</v>
      </c>
      <c r="F525" s="7">
        <f>SUMIF(NF!$A:$A,$E525,NF!$I:$I)</f>
        <v>0</v>
      </c>
      <c r="G525" s="74"/>
      <c r="H525" s="74"/>
      <c r="I525" s="74"/>
      <c r="J525" s="6"/>
      <c r="K525" s="6"/>
      <c r="L525" s="6"/>
      <c r="M525" s="6"/>
      <c r="N525" s="7">
        <f>SUM(G525:M525)</f>
        <v>0</v>
      </c>
      <c r="O525" s="11">
        <f>F525+C525-N525</f>
        <v>0</v>
      </c>
      <c r="P525" s="25"/>
      <c r="Q525" s="10" t="str">
        <f t="shared" si="268"/>
        <v>MarçoSEMANA 2Orégano Fresco</v>
      </c>
      <c r="R525" s="7">
        <f>SUMIF(NF!$A:$A,$Q525,NF!$I:$I)</f>
        <v>0</v>
      </c>
      <c r="S525" s="6"/>
      <c r="T525" s="6"/>
      <c r="U525" s="6"/>
      <c r="V525" s="6"/>
      <c r="W525" s="6"/>
      <c r="X525" s="6"/>
      <c r="Y525" s="6"/>
      <c r="Z525" s="7">
        <f>SUM(S525:Y525)</f>
        <v>0</v>
      </c>
      <c r="AA525" s="11">
        <f>R525+O525-Z525</f>
        <v>0</v>
      </c>
      <c r="AB525" s="25"/>
      <c r="AC525" s="10" t="str">
        <f t="shared" si="271"/>
        <v>MarçoSEMANA 3Orégano Fresco</v>
      </c>
      <c r="AD525" s="7">
        <f>SUMIF(NF!$A:$A,$AC525,NF!$I:$I)</f>
        <v>0</v>
      </c>
      <c r="AE525" s="6"/>
      <c r="AF525" s="6"/>
      <c r="AG525" s="6"/>
      <c r="AH525" s="6"/>
      <c r="AI525" s="6"/>
      <c r="AJ525" s="6"/>
      <c r="AK525" s="6"/>
      <c r="AL525" s="7">
        <f>SUM(AE525:AK525)</f>
        <v>0</v>
      </c>
      <c r="AM525" s="11">
        <f>AD525+AA525-AL525</f>
        <v>0</v>
      </c>
      <c r="AN525" s="25"/>
      <c r="AO525" s="10" t="str">
        <f t="shared" si="274"/>
        <v>MarçoSEMANA 4Orégano Fresco</v>
      </c>
      <c r="AP525" s="7">
        <f>SUMIF(NF!$A:$A,$AO525,NF!$I:$I)</f>
        <v>0</v>
      </c>
      <c r="AQ525" s="6"/>
      <c r="AR525" s="6"/>
      <c r="AS525" s="6"/>
      <c r="AT525" s="6"/>
      <c r="AU525" s="6"/>
      <c r="AV525" s="6"/>
      <c r="AW525" s="6"/>
      <c r="AX525" s="7">
        <f>SUM(AQ525:AW525)</f>
        <v>0</v>
      </c>
      <c r="AY525" s="11">
        <f>AP525+AM525-AX525</f>
        <v>0</v>
      </c>
      <c r="AZ525" s="25"/>
      <c r="BA525" s="10" t="str">
        <f t="shared" si="277"/>
        <v>MarçoSEMANA 5Orégano Fresco</v>
      </c>
      <c r="BB525" s="7">
        <f>SUMIF(NF!$A:$A,$BA525,NF!$I:$I)</f>
        <v>0</v>
      </c>
      <c r="BC525" s="6"/>
      <c r="BD525" s="6"/>
      <c r="BE525" s="6"/>
      <c r="BF525" s="6"/>
      <c r="BG525" s="6"/>
      <c r="BH525" s="6"/>
      <c r="BI525" s="74"/>
      <c r="BJ525" s="74"/>
      <c r="BK525" s="7">
        <f>SUM(BC525:BJ525)</f>
        <v>0</v>
      </c>
      <c r="BL525" s="8">
        <f>BB525+AY525-BK525</f>
        <v>0</v>
      </c>
      <c r="BM525" s="51" t="str">
        <f>IFERROR(VLOOKUP(A525,NF!$M:$O,3,0),"")</f>
        <v>Hortifruti</v>
      </c>
      <c r="BN525" s="7">
        <f>SUM(N525,Z525,AL525,AX525,BK525)</f>
        <v>0</v>
      </c>
      <c r="BO525" s="8">
        <f t="array" ref="BO525">IFERROR(LARGE(IF(NF!$G$2:$G$3137='Mês atual'!A525,NF!$J$2:$J$3137),1),0)*BN525</f>
        <v>0</v>
      </c>
      <c r="BP525" s="50"/>
      <c r="BR525" s="146">
        <f t="array" ref="BR525">IFERROR(LARGE(IF(NF!$G$2:$G$3137='Mês atual'!A525,NF!$J$2:$J$3137),1),0)</f>
        <v>0</v>
      </c>
      <c r="BS525" s="142" t="str">
        <f>VLOOKUP(A525,NF!M:O,3,0)</f>
        <v>Hortifruti</v>
      </c>
      <c r="BV525" s="74">
        <f t="shared" si="322"/>
        <v>0</v>
      </c>
      <c r="BW525" s="74">
        <f t="shared" si="323"/>
        <v>0</v>
      </c>
      <c r="BX525" s="74">
        <f t="shared" si="324"/>
        <v>0</v>
      </c>
      <c r="BY525" s="74">
        <f t="shared" si="325"/>
        <v>0</v>
      </c>
      <c r="BZ525" s="74">
        <f t="shared" si="326"/>
        <v>0</v>
      </c>
    </row>
    <row r="526" spans="1:78" x14ac:dyDescent="0.2">
      <c r="A526" s="108" t="s">
        <v>547</v>
      </c>
      <c r="B526" s="12"/>
      <c r="C526" s="9">
        <v>0</v>
      </c>
      <c r="D526" s="25"/>
      <c r="E526" s="10" t="str">
        <f t="shared" si="265"/>
        <v>MarçoSEMANA 1Ovo Caipira</v>
      </c>
      <c r="F526" s="7">
        <f>SUMIF(NF!$A:$A,$E526,NF!$I:$I)</f>
        <v>0</v>
      </c>
      <c r="G526" s="74"/>
      <c r="H526" s="74"/>
      <c r="I526" s="74"/>
      <c r="J526" s="6"/>
      <c r="K526" s="6"/>
      <c r="L526" s="6"/>
      <c r="M526" s="6"/>
      <c r="N526" s="7">
        <f t="shared" si="337"/>
        <v>0</v>
      </c>
      <c r="O526" s="11">
        <f t="shared" si="267"/>
        <v>0</v>
      </c>
      <c r="P526" s="25"/>
      <c r="Q526" s="10" t="str">
        <f t="shared" si="268"/>
        <v>MarçoSEMANA 2Ovo Caipira</v>
      </c>
      <c r="R526" s="7">
        <f>SUMIF(NF!$A:$A,$Q526,NF!$I:$I)</f>
        <v>0</v>
      </c>
      <c r="S526" s="6"/>
      <c r="T526" s="6"/>
      <c r="U526" s="6"/>
      <c r="V526" s="6"/>
      <c r="W526" s="6"/>
      <c r="X526" s="6"/>
      <c r="Y526" s="6"/>
      <c r="Z526" s="7">
        <f t="shared" si="338"/>
        <v>0</v>
      </c>
      <c r="AA526" s="11">
        <f t="shared" si="270"/>
        <v>0</v>
      </c>
      <c r="AB526" s="25"/>
      <c r="AC526" s="10" t="str">
        <f t="shared" si="271"/>
        <v>MarçoSEMANA 3Ovo Caipira</v>
      </c>
      <c r="AD526" s="7">
        <f>SUMIF(NF!$A:$A,$AC526,NF!$I:$I)</f>
        <v>0</v>
      </c>
      <c r="AE526" s="6"/>
      <c r="AF526" s="6"/>
      <c r="AG526" s="6"/>
      <c r="AH526" s="6"/>
      <c r="AI526" s="6"/>
      <c r="AJ526" s="6"/>
      <c r="AK526" s="6"/>
      <c r="AL526" s="7">
        <f t="shared" si="339"/>
        <v>0</v>
      </c>
      <c r="AM526" s="11">
        <f t="shared" si="273"/>
        <v>0</v>
      </c>
      <c r="AN526" s="25"/>
      <c r="AO526" s="10" t="str">
        <f t="shared" si="274"/>
        <v>MarçoSEMANA 4Ovo Caipira</v>
      </c>
      <c r="AP526" s="7">
        <f>SUMIF(NF!$A:$A,$AO526,NF!$I:$I)</f>
        <v>0</v>
      </c>
      <c r="AQ526" s="6"/>
      <c r="AR526" s="6"/>
      <c r="AS526" s="6"/>
      <c r="AT526" s="6"/>
      <c r="AU526" s="6"/>
      <c r="AV526" s="6"/>
      <c r="AW526" s="6"/>
      <c r="AX526" s="7">
        <f t="shared" si="340"/>
        <v>0</v>
      </c>
      <c r="AY526" s="11">
        <f t="shared" si="276"/>
        <v>0</v>
      </c>
      <c r="AZ526" s="25"/>
      <c r="BA526" s="10" t="str">
        <f t="shared" si="277"/>
        <v>MarçoSEMANA 5Ovo Caipira</v>
      </c>
      <c r="BB526" s="7">
        <f>SUMIF(NF!$A:$A,$BA526,NF!$I:$I)</f>
        <v>0</v>
      </c>
      <c r="BC526" s="6"/>
      <c r="BD526" s="6"/>
      <c r="BE526" s="6"/>
      <c r="BF526" s="6"/>
      <c r="BG526" s="6"/>
      <c r="BH526" s="6"/>
      <c r="BI526" s="74"/>
      <c r="BJ526" s="74"/>
      <c r="BK526" s="7">
        <f t="shared" si="341"/>
        <v>0</v>
      </c>
      <c r="BL526" s="8">
        <f t="shared" si="279"/>
        <v>0</v>
      </c>
      <c r="BM526" s="51" t="str">
        <f>IFERROR(VLOOKUP(A526,NF!$M:$O,3,0),"")</f>
        <v>Hortifruti</v>
      </c>
      <c r="BN526" s="7">
        <f t="shared" si="280"/>
        <v>0</v>
      </c>
      <c r="BO526" s="8">
        <f t="array" ref="BO526">IFERROR(LARGE(IF(NF!$G$2:$G$3137='Mês atual'!A526,NF!$J$2:$J$3137),1),0)*BN526</f>
        <v>0</v>
      </c>
      <c r="BP526" s="50"/>
      <c r="BR526" s="146">
        <f t="array" ref="BR526">IFERROR(LARGE(IF(NF!$G$2:$G$3137='Mês atual'!A526,NF!$J$2:$J$3137),1),0)</f>
        <v>0</v>
      </c>
      <c r="BS526" s="142" t="str">
        <f>VLOOKUP(A526,NF!M:O,3,0)</f>
        <v>Hortifruti</v>
      </c>
      <c r="BV526" s="74">
        <f t="shared" si="322"/>
        <v>0</v>
      </c>
      <c r="BW526" s="74">
        <f t="shared" si="323"/>
        <v>0</v>
      </c>
      <c r="BX526" s="74">
        <f t="shared" si="324"/>
        <v>0</v>
      </c>
      <c r="BY526" s="74">
        <f t="shared" si="325"/>
        <v>0</v>
      </c>
      <c r="BZ526" s="74">
        <f t="shared" si="326"/>
        <v>0</v>
      </c>
    </row>
    <row r="527" spans="1:78" x14ac:dyDescent="0.2">
      <c r="A527" s="108" t="s">
        <v>548</v>
      </c>
      <c r="B527" s="12"/>
      <c r="C527" s="9">
        <v>12</v>
      </c>
      <c r="D527" s="25"/>
      <c r="E527" s="10" t="str">
        <f t="shared" si="265"/>
        <v>MarçoSEMANA 1Ovo de Codorna</v>
      </c>
      <c r="F527" s="7">
        <f>SUMIF(NF!$A:$A,$E527,NF!$I:$I)</f>
        <v>0</v>
      </c>
      <c r="G527" s="74"/>
      <c r="H527" s="74"/>
      <c r="I527" s="74"/>
      <c r="J527" s="6">
        <v>4</v>
      </c>
      <c r="K527" s="6">
        <v>2</v>
      </c>
      <c r="L527" s="6">
        <v>3</v>
      </c>
      <c r="M527" s="6">
        <v>3</v>
      </c>
      <c r="N527" s="7">
        <f t="shared" si="337"/>
        <v>12</v>
      </c>
      <c r="O527" s="11">
        <f t="shared" si="267"/>
        <v>0</v>
      </c>
      <c r="P527" s="25"/>
      <c r="Q527" s="10" t="str">
        <f t="shared" si="268"/>
        <v>MarçoSEMANA 2Ovo de Codorna</v>
      </c>
      <c r="R527" s="7">
        <f>SUMIF(NF!$A:$A,$Q527,NF!$I:$I)</f>
        <v>20</v>
      </c>
      <c r="S527" s="6"/>
      <c r="T527" s="6">
        <v>4</v>
      </c>
      <c r="U527" s="6">
        <v>2</v>
      </c>
      <c r="V527" s="6"/>
      <c r="W527" s="6">
        <v>3</v>
      </c>
      <c r="X527" s="6">
        <v>4</v>
      </c>
      <c r="Y527" s="6">
        <v>4</v>
      </c>
      <c r="Z527" s="7">
        <f t="shared" si="338"/>
        <v>17</v>
      </c>
      <c r="AA527" s="11">
        <f t="shared" si="270"/>
        <v>3</v>
      </c>
      <c r="AB527" s="25"/>
      <c r="AC527" s="10" t="str">
        <f t="shared" si="271"/>
        <v>MarçoSEMANA 3Ovo de Codorna</v>
      </c>
      <c r="AD527" s="7">
        <f>SUMIF(NF!$A:$A,$AC527,NF!$I:$I)</f>
        <v>20</v>
      </c>
      <c r="AE527" s="6">
        <v>2</v>
      </c>
      <c r="AF527" s="6">
        <v>2</v>
      </c>
      <c r="AG527" s="6">
        <v>3</v>
      </c>
      <c r="AH527" s="6">
        <v>2</v>
      </c>
      <c r="AI527" s="6">
        <v>2</v>
      </c>
      <c r="AJ527" s="6">
        <v>3</v>
      </c>
      <c r="AK527" s="6">
        <v>4</v>
      </c>
      <c r="AL527" s="7">
        <f t="shared" si="339"/>
        <v>18</v>
      </c>
      <c r="AM527" s="11">
        <f t="shared" si="273"/>
        <v>5</v>
      </c>
      <c r="AN527" s="25"/>
      <c r="AO527" s="10" t="str">
        <f t="shared" si="274"/>
        <v>MarçoSEMANA 4Ovo de Codorna</v>
      </c>
      <c r="AP527" s="7">
        <f>SUMIF(NF!$A:$A,$AO527,NF!$I:$I)</f>
        <v>18</v>
      </c>
      <c r="AQ527" s="6">
        <v>3</v>
      </c>
      <c r="AR527" s="6">
        <v>1</v>
      </c>
      <c r="AS527" s="6">
        <v>3</v>
      </c>
      <c r="AT527" s="6">
        <v>1</v>
      </c>
      <c r="AU527" s="6">
        <v>3</v>
      </c>
      <c r="AV527" s="6">
        <v>2</v>
      </c>
      <c r="AW527" s="6">
        <v>4</v>
      </c>
      <c r="AX527" s="7">
        <f t="shared" si="340"/>
        <v>17</v>
      </c>
      <c r="AY527" s="11">
        <f t="shared" si="276"/>
        <v>6</v>
      </c>
      <c r="AZ527" s="25"/>
      <c r="BA527" s="10" t="str">
        <f t="shared" si="277"/>
        <v>MarçoSEMANA 5Ovo de Codorna</v>
      </c>
      <c r="BB527" s="7">
        <f>SUMIF(NF!$A:$A,$BA527,NF!$I:$I)</f>
        <v>17</v>
      </c>
      <c r="BC527" s="6">
        <v>3</v>
      </c>
      <c r="BD527" s="6">
        <v>2</v>
      </c>
      <c r="BE527" s="6">
        <v>2</v>
      </c>
      <c r="BF527" s="6">
        <v>2</v>
      </c>
      <c r="BG527" s="6">
        <v>3</v>
      </c>
      <c r="BH527" s="6">
        <v>1</v>
      </c>
      <c r="BI527" s="74"/>
      <c r="BJ527" s="74"/>
      <c r="BK527" s="7">
        <f t="shared" si="341"/>
        <v>13</v>
      </c>
      <c r="BL527" s="8">
        <f t="shared" si="279"/>
        <v>10</v>
      </c>
      <c r="BM527" s="51" t="str">
        <f>IFERROR(VLOOKUP(A527,NF!$M:$O,3,0),"")</f>
        <v>Hortifruti</v>
      </c>
      <c r="BN527" s="7">
        <f t="shared" si="280"/>
        <v>77</v>
      </c>
      <c r="BO527" s="8">
        <f t="array" ref="BO527">IFERROR(LARGE(IF(NF!$G$2:$G$3137='Mês atual'!A527,NF!$J$2:$J$3137),1),0)*BN527</f>
        <v>816.19999999999993</v>
      </c>
      <c r="BP527" s="50"/>
      <c r="BR527" s="146">
        <f t="array" ref="BR527">IFERROR(LARGE(IF(NF!$G$2:$G$3137='Mês atual'!A527,NF!$J$2:$J$3137),1),0)</f>
        <v>10.6</v>
      </c>
      <c r="BS527" s="142" t="str">
        <f>VLOOKUP(A527,NF!M:O,3,0)</f>
        <v>Hortifruti</v>
      </c>
      <c r="BV527" s="74">
        <f t="shared" si="322"/>
        <v>12</v>
      </c>
      <c r="BW527" s="74">
        <f t="shared" si="323"/>
        <v>17</v>
      </c>
      <c r="BX527" s="74">
        <f t="shared" si="324"/>
        <v>18</v>
      </c>
      <c r="BY527" s="74">
        <f t="shared" si="325"/>
        <v>17</v>
      </c>
      <c r="BZ527" s="74">
        <f t="shared" si="326"/>
        <v>13</v>
      </c>
    </row>
    <row r="528" spans="1:78" x14ac:dyDescent="0.2">
      <c r="A528" s="108" t="s">
        <v>549</v>
      </c>
      <c r="B528" s="12"/>
      <c r="C528" s="9">
        <v>53</v>
      </c>
      <c r="D528" s="25"/>
      <c r="E528" s="10" t="str">
        <f t="shared" si="265"/>
        <v>MarçoSEMANA 1Ovos Extra</v>
      </c>
      <c r="F528" s="7">
        <f>SUMIF(NF!$A:$A,$E528,NF!$I:$I)</f>
        <v>720</v>
      </c>
      <c r="G528" s="74"/>
      <c r="H528" s="74"/>
      <c r="I528" s="74"/>
      <c r="J528" s="6">
        <v>89</v>
      </c>
      <c r="K528" s="6">
        <v>132</v>
      </c>
      <c r="L528" s="6">
        <v>19</v>
      </c>
      <c r="M528" s="6">
        <v>11</v>
      </c>
      <c r="N528" s="7">
        <f t="shared" si="337"/>
        <v>251</v>
      </c>
      <c r="O528" s="11">
        <f t="shared" si="267"/>
        <v>522</v>
      </c>
      <c r="P528" s="25"/>
      <c r="Q528" s="10" t="str">
        <f t="shared" si="268"/>
        <v>MarçoSEMANA 2Ovos Extra</v>
      </c>
      <c r="R528" s="7">
        <f>SUMIF(NF!$A:$A,$Q528,NF!$I:$I)</f>
        <v>720</v>
      </c>
      <c r="S528" s="6">
        <v>146</v>
      </c>
      <c r="T528" s="6">
        <v>193</v>
      </c>
      <c r="U528" s="6">
        <v>167</v>
      </c>
      <c r="V528" s="6">
        <v>61</v>
      </c>
      <c r="W528" s="6">
        <v>148</v>
      </c>
      <c r="X528" s="6">
        <v>178</v>
      </c>
      <c r="Y528" s="6">
        <v>8</v>
      </c>
      <c r="Z528" s="7">
        <f t="shared" si="338"/>
        <v>901</v>
      </c>
      <c r="AA528" s="11">
        <f t="shared" si="270"/>
        <v>341</v>
      </c>
      <c r="AB528" s="25"/>
      <c r="AC528" s="10" t="str">
        <f t="shared" si="271"/>
        <v>MarçoSEMANA 3Ovos Extra</v>
      </c>
      <c r="AD528" s="7">
        <f>SUMIF(NF!$A:$A,$AC528,NF!$I:$I)</f>
        <v>720</v>
      </c>
      <c r="AE528" s="6">
        <v>151</v>
      </c>
      <c r="AF528" s="6">
        <v>76</v>
      </c>
      <c r="AG528" s="6">
        <v>222</v>
      </c>
      <c r="AH528" s="6">
        <v>167</v>
      </c>
      <c r="AI528" s="6">
        <v>129</v>
      </c>
      <c r="AJ528" s="6">
        <v>69</v>
      </c>
      <c r="AK528" s="6">
        <v>109</v>
      </c>
      <c r="AL528" s="7">
        <f t="shared" si="339"/>
        <v>923</v>
      </c>
      <c r="AM528" s="11">
        <f t="shared" si="273"/>
        <v>138</v>
      </c>
      <c r="AN528" s="25"/>
      <c r="AO528" s="10" t="str">
        <f t="shared" si="274"/>
        <v>MarçoSEMANA 4Ovos Extra</v>
      </c>
      <c r="AP528" s="7">
        <f>SUMIF(NF!$A:$A,$AO528,NF!$I:$I)</f>
        <v>1080</v>
      </c>
      <c r="AQ528" s="6">
        <v>39</v>
      </c>
      <c r="AR528" s="6">
        <v>104</v>
      </c>
      <c r="AS528" s="6">
        <v>201</v>
      </c>
      <c r="AT528" s="6">
        <v>65</v>
      </c>
      <c r="AU528" s="6">
        <v>188</v>
      </c>
      <c r="AV528" s="6">
        <v>51</v>
      </c>
      <c r="AW528" s="6">
        <v>85</v>
      </c>
      <c r="AX528" s="7">
        <f t="shared" si="340"/>
        <v>733</v>
      </c>
      <c r="AY528" s="11">
        <f t="shared" si="276"/>
        <v>485</v>
      </c>
      <c r="AZ528" s="25"/>
      <c r="BA528" s="10" t="str">
        <f t="shared" si="277"/>
        <v>MarçoSEMANA 5Ovos Extra</v>
      </c>
      <c r="BB528" s="7">
        <f>SUMIF(NF!$A:$A,$BA528,NF!$I:$I)</f>
        <v>360</v>
      </c>
      <c r="BC528" s="6">
        <v>35</v>
      </c>
      <c r="BD528" s="6">
        <v>104</v>
      </c>
      <c r="BE528" s="6">
        <v>195</v>
      </c>
      <c r="BF528" s="6">
        <v>136</v>
      </c>
      <c r="BG528" s="6">
        <v>20</v>
      </c>
      <c r="BH528" s="6">
        <v>49</v>
      </c>
      <c r="BI528" s="74"/>
      <c r="BJ528" s="74"/>
      <c r="BK528" s="7">
        <f t="shared" si="341"/>
        <v>539</v>
      </c>
      <c r="BL528" s="8">
        <f t="shared" si="279"/>
        <v>306</v>
      </c>
      <c r="BM528" s="51" t="str">
        <f>IFERROR(VLOOKUP(A528,NF!$M:$O,3,0),"")</f>
        <v>Hortifruti</v>
      </c>
      <c r="BN528" s="7">
        <f t="shared" si="280"/>
        <v>3347</v>
      </c>
      <c r="BO528" s="8">
        <f t="array" ref="BO528">IFERROR(LARGE(IF(NF!$G$2:$G$3137='Mês atual'!A528,NF!$J$2:$J$3137),1),0)*BN528</f>
        <v>1022.6944444444446</v>
      </c>
      <c r="BP528" s="50"/>
      <c r="BR528" s="146">
        <f t="array" ref="BR528">IFERROR(LARGE(IF(NF!$G$2:$G$3137='Mês atual'!A528,NF!$J$2:$J$3137),1),0)</f>
        <v>0.30555555555555558</v>
      </c>
      <c r="BS528" s="142" t="str">
        <f>VLOOKUP(A528,NF!M:O,3,0)</f>
        <v>Hortifruti</v>
      </c>
      <c r="BV528" s="74">
        <f t="shared" si="322"/>
        <v>251</v>
      </c>
      <c r="BW528" s="74">
        <f t="shared" si="323"/>
        <v>901</v>
      </c>
      <c r="BX528" s="74">
        <f t="shared" si="324"/>
        <v>923</v>
      </c>
      <c r="BY528" s="74">
        <f t="shared" si="325"/>
        <v>733</v>
      </c>
      <c r="BZ528" s="74">
        <f t="shared" si="326"/>
        <v>539</v>
      </c>
    </row>
    <row r="529" spans="1:78" x14ac:dyDescent="0.25">
      <c r="A529" s="108" t="s">
        <v>556</v>
      </c>
      <c r="B529" s="12"/>
      <c r="C529" s="9">
        <v>0</v>
      </c>
      <c r="D529" s="25"/>
      <c r="E529" s="10" t="str">
        <f t="shared" si="265"/>
        <v>MarçoSEMANA 1Palmito Orgânico</v>
      </c>
      <c r="F529" s="7">
        <f>SUMIF(NF!$A:$A,$E529,NF!$I:$I)</f>
        <v>0</v>
      </c>
      <c r="G529" s="74"/>
      <c r="H529" s="74"/>
      <c r="I529" s="74"/>
      <c r="J529" s="6"/>
      <c r="K529" s="6"/>
      <c r="L529" s="6"/>
      <c r="M529" s="6"/>
      <c r="N529" s="7">
        <f t="shared" si="337"/>
        <v>0</v>
      </c>
      <c r="O529" s="11">
        <f t="shared" si="267"/>
        <v>0</v>
      </c>
      <c r="P529" s="25"/>
      <c r="Q529" s="10" t="str">
        <f t="shared" si="268"/>
        <v>MarçoSEMANA 2Palmito Orgânico</v>
      </c>
      <c r="R529" s="7">
        <f>SUMIF(NF!$A:$A,$Q529,NF!$I:$I)</f>
        <v>0</v>
      </c>
      <c r="S529" s="6"/>
      <c r="T529" s="6"/>
      <c r="U529" s="6"/>
      <c r="V529" s="6"/>
      <c r="W529" s="6"/>
      <c r="X529" s="6"/>
      <c r="Y529" s="6"/>
      <c r="Z529" s="7">
        <f t="shared" si="338"/>
        <v>0</v>
      </c>
      <c r="AA529" s="11">
        <f t="shared" si="270"/>
        <v>0</v>
      </c>
      <c r="AB529" s="25"/>
      <c r="AC529" s="10" t="str">
        <f t="shared" si="271"/>
        <v>MarçoSEMANA 3Palmito Orgânico</v>
      </c>
      <c r="AD529" s="7">
        <f>SUMIF(NF!$A:$A,$AC529,NF!$I:$I)</f>
        <v>0</v>
      </c>
      <c r="AE529" s="6"/>
      <c r="AF529" s="6"/>
      <c r="AG529" s="6"/>
      <c r="AH529" s="6"/>
      <c r="AI529" s="6"/>
      <c r="AJ529" s="6"/>
      <c r="AK529" s="6"/>
      <c r="AL529" s="7">
        <f t="shared" si="339"/>
        <v>0</v>
      </c>
      <c r="AM529" s="11">
        <f t="shared" si="273"/>
        <v>0</v>
      </c>
      <c r="AN529" s="25"/>
      <c r="AO529" s="10" t="str">
        <f t="shared" si="274"/>
        <v>MarçoSEMANA 4Palmito Orgânico</v>
      </c>
      <c r="AP529" s="7">
        <f>SUMIF(NF!$A:$A,$AO529,NF!$I:$I)</f>
        <v>0</v>
      </c>
      <c r="AQ529" s="6"/>
      <c r="AR529" s="6"/>
      <c r="AS529" s="6"/>
      <c r="AT529" s="6"/>
      <c r="AU529" s="6"/>
      <c r="AV529" s="6"/>
      <c r="AW529" s="6"/>
      <c r="AX529" s="7">
        <f t="shared" si="340"/>
        <v>0</v>
      </c>
      <c r="AY529" s="11">
        <f t="shared" si="276"/>
        <v>0</v>
      </c>
      <c r="AZ529" s="25"/>
      <c r="BA529" s="10" t="str">
        <f t="shared" si="277"/>
        <v>MarçoSEMANA 5Palmito Orgânico</v>
      </c>
      <c r="BB529" s="7">
        <f>SUMIF(NF!$A:$A,$BA529,NF!$I:$I)</f>
        <v>0</v>
      </c>
      <c r="BC529" s="6"/>
      <c r="BD529" s="6"/>
      <c r="BE529" s="6"/>
      <c r="BF529" s="6"/>
      <c r="BG529" s="6"/>
      <c r="BH529" s="6"/>
      <c r="BI529" s="74"/>
      <c r="BJ529" s="74"/>
      <c r="BK529" s="7">
        <f t="shared" si="341"/>
        <v>0</v>
      </c>
      <c r="BL529" s="8">
        <f t="shared" si="279"/>
        <v>0</v>
      </c>
      <c r="BM529" s="51" t="str">
        <f>IFERROR(VLOOKUP(A529,NF!$M:$O,3,0),"")</f>
        <v>Hortifruti</v>
      </c>
      <c r="BN529" s="7">
        <f t="shared" si="280"/>
        <v>0</v>
      </c>
      <c r="BO529" s="8">
        <f t="array" ref="BO529">IFERROR(LARGE(IF(NF!$G$2:$G$3137='Mês atual'!A529,NF!$J$2:$J$3137),1),0)*BN529</f>
        <v>0</v>
      </c>
      <c r="BP529" s="50"/>
      <c r="BR529" s="146">
        <f t="array" ref="BR529">IFERROR(LARGE(IF(NF!$G$2:$G$3137='Mês atual'!A529,NF!$J$2:$J$3137),1),0)</f>
        <v>0</v>
      </c>
      <c r="BS529" s="142" t="str">
        <f>VLOOKUP(A529,NF!M:O,3,0)</f>
        <v>Hortifruti</v>
      </c>
      <c r="BV529" s="74">
        <f t="shared" si="322"/>
        <v>0</v>
      </c>
      <c r="BW529" s="74">
        <f t="shared" si="323"/>
        <v>0</v>
      </c>
      <c r="BX529" s="74">
        <f t="shared" si="324"/>
        <v>0</v>
      </c>
      <c r="BY529" s="74">
        <f t="shared" si="325"/>
        <v>0</v>
      </c>
      <c r="BZ529" s="74">
        <f t="shared" si="326"/>
        <v>0</v>
      </c>
    </row>
    <row r="530" spans="1:78" x14ac:dyDescent="0.25">
      <c r="A530" s="108" t="s">
        <v>576</v>
      </c>
      <c r="B530" s="12"/>
      <c r="C530" s="9">
        <v>2.84</v>
      </c>
      <c r="D530" s="25"/>
      <c r="E530" s="10" t="str">
        <f t="shared" si="265"/>
        <v>MarçoSEMANA 1Pepino Japonês</v>
      </c>
      <c r="F530" s="7">
        <f>SUMIF(NF!$A:$A,$E530,NF!$I:$I)</f>
        <v>33.624000000000002</v>
      </c>
      <c r="G530" s="74"/>
      <c r="H530" s="74"/>
      <c r="I530" s="74"/>
      <c r="J530" s="6">
        <f>3.52+2.84+2.54+2.92</f>
        <v>11.819999999999999</v>
      </c>
      <c r="K530" s="6">
        <f>4.148+3.58</f>
        <v>7.7279999999999998</v>
      </c>
      <c r="L530" s="6">
        <v>3.64</v>
      </c>
      <c r="M530" s="6">
        <f>1.6+3</f>
        <v>4.5999999999999996</v>
      </c>
      <c r="N530" s="7">
        <f t="shared" si="337"/>
        <v>27.787999999999997</v>
      </c>
      <c r="O530" s="11">
        <f t="shared" si="267"/>
        <v>8.6760000000000019</v>
      </c>
      <c r="P530" s="25"/>
      <c r="Q530" s="10" t="str">
        <f t="shared" si="268"/>
        <v>MarçoSEMANA 2Pepino Japonês</v>
      </c>
      <c r="R530" s="7">
        <f>SUMIF(NF!$A:$A,$Q530,NF!$I:$I)</f>
        <v>42.084000000000003</v>
      </c>
      <c r="S530" s="6">
        <v>3.06</v>
      </c>
      <c r="T530" s="6">
        <f>2.5+1</f>
        <v>3.5</v>
      </c>
      <c r="U530" s="6">
        <v>5</v>
      </c>
      <c r="V530" s="6">
        <v>3.13</v>
      </c>
      <c r="W530" s="6">
        <f>10.58+1.16</f>
        <v>11.74</v>
      </c>
      <c r="X530" s="6">
        <v>3</v>
      </c>
      <c r="Y530" s="6">
        <f>3.09+3.04+1.32</f>
        <v>7.45</v>
      </c>
      <c r="Z530" s="7">
        <f t="shared" si="338"/>
        <v>36.880000000000003</v>
      </c>
      <c r="AA530" s="11">
        <f t="shared" si="270"/>
        <v>13.880000000000003</v>
      </c>
      <c r="AB530" s="25"/>
      <c r="AC530" s="10" t="str">
        <f t="shared" si="271"/>
        <v>MarçoSEMANA 3Pepino Japonês</v>
      </c>
      <c r="AD530" s="7">
        <f>SUMIF(NF!$A:$A,$AC530,NF!$I:$I)</f>
        <v>35.575000000000003</v>
      </c>
      <c r="AE530" s="6">
        <f>2+10.14+3.54</f>
        <v>15.68</v>
      </c>
      <c r="AF530" s="6">
        <f>3.14+1</f>
        <v>4.1400000000000006</v>
      </c>
      <c r="AG530" s="6">
        <v>4.1340000000000003</v>
      </c>
      <c r="AH530" s="6">
        <v>3.5</v>
      </c>
      <c r="AI530" s="6">
        <v>3.52</v>
      </c>
      <c r="AJ530" s="6">
        <f>1.4+1.786+1</f>
        <v>4.1859999999999999</v>
      </c>
      <c r="AK530" s="6">
        <v>4</v>
      </c>
      <c r="AL530" s="7">
        <f t="shared" si="339"/>
        <v>39.159999999999997</v>
      </c>
      <c r="AM530" s="11">
        <f t="shared" si="273"/>
        <v>10.295000000000009</v>
      </c>
      <c r="AN530" s="25"/>
      <c r="AO530" s="10" t="str">
        <f t="shared" si="274"/>
        <v>MarçoSEMANA 4Pepino Japonês</v>
      </c>
      <c r="AP530" s="7">
        <f>SUMIF(NF!$A:$A,$AO530,NF!$I:$I)</f>
        <v>36.06</v>
      </c>
      <c r="AQ530" s="6">
        <v>3</v>
      </c>
      <c r="AR530" s="6">
        <f>2.56+1</f>
        <v>3.56</v>
      </c>
      <c r="AS530" s="6">
        <f>6.22+2.02</f>
        <v>8.24</v>
      </c>
      <c r="AT530" s="6">
        <v>3</v>
      </c>
      <c r="AU530" s="6">
        <f>1.6+3.24+1</f>
        <v>5.84</v>
      </c>
      <c r="AV530" s="6">
        <f>4.24+1.3+1.3</f>
        <v>6.84</v>
      </c>
      <c r="AW530" s="6">
        <v>4</v>
      </c>
      <c r="AX530" s="7">
        <f t="shared" si="340"/>
        <v>34.480000000000004</v>
      </c>
      <c r="AY530" s="11">
        <f t="shared" si="276"/>
        <v>11.875000000000007</v>
      </c>
      <c r="AZ530" s="25"/>
      <c r="BA530" s="10" t="str">
        <f t="shared" si="277"/>
        <v>MarçoSEMANA 5Pepino Japonês</v>
      </c>
      <c r="BB530" s="7">
        <f>SUMIF(NF!$A:$A,$BA530,NF!$I:$I)</f>
        <v>41.507999999999996</v>
      </c>
      <c r="BC530" s="6">
        <f>5.038+3.12</f>
        <v>8.1580000000000013</v>
      </c>
      <c r="BD530" s="6">
        <f>2.702+2.86+2.972+0.999</f>
        <v>9.5329999999999995</v>
      </c>
      <c r="BE530" s="6">
        <v>2.68</v>
      </c>
      <c r="BF530" s="6">
        <f>2.3+1.5</f>
        <v>3.8</v>
      </c>
      <c r="BG530" s="6">
        <v>3.62</v>
      </c>
      <c r="BH530" s="6">
        <f>1.572+0.54</f>
        <v>2.1120000000000001</v>
      </c>
      <c r="BI530" s="74"/>
      <c r="BJ530" s="74"/>
      <c r="BK530" s="7">
        <f t="shared" si="341"/>
        <v>29.903000000000006</v>
      </c>
      <c r="BL530" s="8">
        <f t="shared" si="279"/>
        <v>23.479999999999997</v>
      </c>
      <c r="BM530" s="51" t="str">
        <f>IFERROR(VLOOKUP(A530,NF!$M:$O,3,0),"")</f>
        <v>Hortifruti</v>
      </c>
      <c r="BN530" s="7">
        <f t="shared" si="280"/>
        <v>168.21100000000001</v>
      </c>
      <c r="BO530" s="8">
        <f t="array" ref="BO530">IFERROR(LARGE(IF(NF!$G$2:$G$3137='Mês atual'!A530,NF!$J$2:$J$3137),1),0)*BN530</f>
        <v>839.3728900000001</v>
      </c>
      <c r="BP530" s="50"/>
      <c r="BR530" s="146">
        <f t="array" ref="BR530">IFERROR(LARGE(IF(NF!$G$2:$G$3137='Mês atual'!A530,NF!$J$2:$J$3137),1),0)</f>
        <v>4.99</v>
      </c>
      <c r="BS530" s="142" t="str">
        <f>VLOOKUP(A530,NF!M:O,3,0)</f>
        <v>Hortifruti</v>
      </c>
      <c r="BV530" s="74">
        <f t="shared" si="322"/>
        <v>27.787999999999997</v>
      </c>
      <c r="BW530" s="74">
        <f t="shared" si="323"/>
        <v>36.880000000000003</v>
      </c>
      <c r="BX530" s="74">
        <f t="shared" si="324"/>
        <v>39.159999999999997</v>
      </c>
      <c r="BY530" s="74">
        <f t="shared" si="325"/>
        <v>34.480000000000004</v>
      </c>
      <c r="BZ530" s="74">
        <f t="shared" si="326"/>
        <v>29.903000000000006</v>
      </c>
    </row>
    <row r="531" spans="1:78" x14ac:dyDescent="0.25">
      <c r="A531" s="108" t="s">
        <v>577</v>
      </c>
      <c r="B531" s="12"/>
      <c r="C531" s="9">
        <v>0</v>
      </c>
      <c r="D531" s="25"/>
      <c r="E531" s="10" t="str">
        <f t="shared" si="265"/>
        <v>MarçoSEMANA 1Pepino Japonês Orgânico</v>
      </c>
      <c r="F531" s="7">
        <f>SUMIF(NF!$A:$A,$E531,NF!$I:$I)</f>
        <v>0</v>
      </c>
      <c r="G531" s="74"/>
      <c r="H531" s="74"/>
      <c r="I531" s="74"/>
      <c r="J531" s="6"/>
      <c r="K531" s="6"/>
      <c r="L531" s="6"/>
      <c r="M531" s="6"/>
      <c r="N531" s="7">
        <f t="shared" si="337"/>
        <v>0</v>
      </c>
      <c r="O531" s="11">
        <f t="shared" si="267"/>
        <v>0</v>
      </c>
      <c r="P531" s="25"/>
      <c r="Q531" s="10" t="str">
        <f t="shared" si="268"/>
        <v>MarçoSEMANA 2Pepino Japonês Orgânico</v>
      </c>
      <c r="R531" s="7">
        <f>SUMIF(NF!$A:$A,$Q531,NF!$I:$I)</f>
        <v>0</v>
      </c>
      <c r="S531" s="6"/>
      <c r="T531" s="6"/>
      <c r="U531" s="6"/>
      <c r="V531" s="6"/>
      <c r="W531" s="6"/>
      <c r="X531" s="6"/>
      <c r="Y531" s="6"/>
      <c r="Z531" s="7">
        <f t="shared" si="338"/>
        <v>0</v>
      </c>
      <c r="AA531" s="11">
        <f t="shared" si="270"/>
        <v>0</v>
      </c>
      <c r="AB531" s="25"/>
      <c r="AC531" s="10" t="str">
        <f t="shared" si="271"/>
        <v>MarçoSEMANA 3Pepino Japonês Orgânico</v>
      </c>
      <c r="AD531" s="7">
        <f>SUMIF(NF!$A:$A,$AC531,NF!$I:$I)</f>
        <v>0</v>
      </c>
      <c r="AE531" s="6"/>
      <c r="AF531" s="6"/>
      <c r="AG531" s="6"/>
      <c r="AH531" s="6"/>
      <c r="AI531" s="6"/>
      <c r="AJ531" s="6"/>
      <c r="AK531" s="6"/>
      <c r="AL531" s="7">
        <f t="shared" si="339"/>
        <v>0</v>
      </c>
      <c r="AM531" s="11">
        <f t="shared" si="273"/>
        <v>0</v>
      </c>
      <c r="AN531" s="25"/>
      <c r="AO531" s="10" t="str">
        <f t="shared" si="274"/>
        <v>MarçoSEMANA 4Pepino Japonês Orgânico</v>
      </c>
      <c r="AP531" s="7">
        <f>SUMIF(NF!$A:$A,$AO531,NF!$I:$I)</f>
        <v>0</v>
      </c>
      <c r="AQ531" s="6"/>
      <c r="AR531" s="6"/>
      <c r="AS531" s="6"/>
      <c r="AT531" s="6"/>
      <c r="AU531" s="6"/>
      <c r="AV531" s="6"/>
      <c r="AW531" s="6"/>
      <c r="AX531" s="7">
        <f t="shared" si="340"/>
        <v>0</v>
      </c>
      <c r="AY531" s="11">
        <f t="shared" si="276"/>
        <v>0</v>
      </c>
      <c r="AZ531" s="25"/>
      <c r="BA531" s="10" t="str">
        <f t="shared" si="277"/>
        <v>MarçoSEMANA 5Pepino Japonês Orgânico</v>
      </c>
      <c r="BB531" s="7">
        <f>SUMIF(NF!$A:$A,$BA531,NF!$I:$I)</f>
        <v>0</v>
      </c>
      <c r="BC531" s="6"/>
      <c r="BD531" s="6"/>
      <c r="BE531" s="6"/>
      <c r="BF531" s="6"/>
      <c r="BG531" s="6"/>
      <c r="BH531" s="6"/>
      <c r="BI531" s="74"/>
      <c r="BJ531" s="74"/>
      <c r="BK531" s="7">
        <f t="shared" si="341"/>
        <v>0</v>
      </c>
      <c r="BL531" s="8">
        <f t="shared" si="279"/>
        <v>0</v>
      </c>
      <c r="BM531" s="51" t="str">
        <f>IFERROR(VLOOKUP(A531,NF!$M:$O,3,0),"")</f>
        <v>Hortifruti</v>
      </c>
      <c r="BN531" s="7">
        <f t="shared" si="280"/>
        <v>0</v>
      </c>
      <c r="BO531" s="8">
        <f t="array" ref="BO531">IFERROR(LARGE(IF(NF!$G$2:$G$3137='Mês atual'!A531,NF!$J$2:$J$3137),1),0)*BN531</f>
        <v>0</v>
      </c>
      <c r="BP531" s="50"/>
      <c r="BR531" s="146">
        <f t="array" ref="BR531">IFERROR(LARGE(IF(NF!$G$2:$G$3137='Mês atual'!A531,NF!$J$2:$J$3137),1),0)</f>
        <v>0</v>
      </c>
      <c r="BS531" s="142" t="str">
        <f>VLOOKUP(A531,NF!M:O,3,0)</f>
        <v>Hortifruti</v>
      </c>
      <c r="BV531" s="74">
        <f t="shared" si="322"/>
        <v>0</v>
      </c>
      <c r="BW531" s="74">
        <f t="shared" si="323"/>
        <v>0</v>
      </c>
      <c r="BX531" s="74">
        <f t="shared" si="324"/>
        <v>0</v>
      </c>
      <c r="BY531" s="74">
        <f t="shared" si="325"/>
        <v>0</v>
      </c>
      <c r="BZ531" s="74">
        <f t="shared" si="326"/>
        <v>0</v>
      </c>
    </row>
    <row r="532" spans="1:78" x14ac:dyDescent="0.2">
      <c r="A532" s="108" t="s">
        <v>580</v>
      </c>
      <c r="B532" s="12"/>
      <c r="C532" s="9">
        <v>0</v>
      </c>
      <c r="D532" s="25"/>
      <c r="E532" s="10" t="str">
        <f t="shared" si="265"/>
        <v>MarçoSEMANA 1Pera</v>
      </c>
      <c r="F532" s="7">
        <f>SUMIF(NF!$A:$A,$E532,NF!$I:$I)</f>
        <v>3.5</v>
      </c>
      <c r="G532" s="74"/>
      <c r="H532" s="74"/>
      <c r="I532" s="74"/>
      <c r="J532" s="6"/>
      <c r="K532" s="6">
        <v>3.5</v>
      </c>
      <c r="L532" s="6"/>
      <c r="M532" s="6"/>
      <c r="N532" s="7">
        <f t="shared" si="337"/>
        <v>3.5</v>
      </c>
      <c r="O532" s="11">
        <f t="shared" si="267"/>
        <v>0</v>
      </c>
      <c r="P532" s="25"/>
      <c r="Q532" s="10" t="str">
        <f t="shared" si="268"/>
        <v>MarçoSEMANA 2Pera</v>
      </c>
      <c r="R532" s="7">
        <f>SUMIF(NF!$A:$A,$Q532,NF!$I:$I)</f>
        <v>3</v>
      </c>
      <c r="S532" s="6"/>
      <c r="T532" s="6">
        <v>2</v>
      </c>
      <c r="U532" s="6"/>
      <c r="V532" s="6"/>
      <c r="W532" s="6"/>
      <c r="X532" s="6">
        <v>1</v>
      </c>
      <c r="Y532" s="6"/>
      <c r="Z532" s="7">
        <f t="shared" si="338"/>
        <v>3</v>
      </c>
      <c r="AA532" s="11">
        <f t="shared" si="270"/>
        <v>0</v>
      </c>
      <c r="AB532" s="25"/>
      <c r="AC532" s="10" t="str">
        <f t="shared" si="271"/>
        <v>MarçoSEMANA 3Pera</v>
      </c>
      <c r="AD532" s="7">
        <f>SUMIF(NF!$A:$A,$AC532,NF!$I:$I)</f>
        <v>4</v>
      </c>
      <c r="AE532" s="6"/>
      <c r="AF532" s="6"/>
      <c r="AG532" s="6">
        <v>4</v>
      </c>
      <c r="AH532" s="6"/>
      <c r="AI532" s="6"/>
      <c r="AJ532" s="6"/>
      <c r="AK532" s="6"/>
      <c r="AL532" s="7">
        <f t="shared" si="339"/>
        <v>4</v>
      </c>
      <c r="AM532" s="11">
        <f t="shared" si="273"/>
        <v>0</v>
      </c>
      <c r="AN532" s="25"/>
      <c r="AO532" s="10" t="str">
        <f t="shared" si="274"/>
        <v>MarçoSEMANA 4Pera</v>
      </c>
      <c r="AP532" s="7">
        <f>SUMIF(NF!$A:$A,$AO532,NF!$I:$I)</f>
        <v>1</v>
      </c>
      <c r="AQ532" s="6"/>
      <c r="AR532" s="6"/>
      <c r="AS532" s="6">
        <v>1</v>
      </c>
      <c r="AT532" s="6"/>
      <c r="AU532" s="6"/>
      <c r="AV532" s="6"/>
      <c r="AW532" s="6"/>
      <c r="AX532" s="7">
        <f t="shared" si="340"/>
        <v>1</v>
      </c>
      <c r="AY532" s="11">
        <f t="shared" si="276"/>
        <v>0</v>
      </c>
      <c r="AZ532" s="25"/>
      <c r="BA532" s="10" t="str">
        <f t="shared" si="277"/>
        <v>MarçoSEMANA 5Pera</v>
      </c>
      <c r="BB532" s="7">
        <f>SUMIF(NF!$A:$A,$BA532,NF!$I:$I)</f>
        <v>2.9</v>
      </c>
      <c r="BC532" s="6"/>
      <c r="BD532" s="6"/>
      <c r="BE532" s="6"/>
      <c r="BF532" s="6"/>
      <c r="BG532" s="6">
        <v>2.9</v>
      </c>
      <c r="BH532" s="6"/>
      <c r="BI532" s="74"/>
      <c r="BJ532" s="74"/>
      <c r="BK532" s="7">
        <f t="shared" si="341"/>
        <v>2.9</v>
      </c>
      <c r="BL532" s="8">
        <f t="shared" si="279"/>
        <v>0</v>
      </c>
      <c r="BM532" s="51" t="str">
        <f>IFERROR(VLOOKUP(A532,NF!$M:$O,3,0),"")</f>
        <v>Hortifruti</v>
      </c>
      <c r="BN532" s="7">
        <f t="shared" si="280"/>
        <v>14.4</v>
      </c>
      <c r="BO532" s="8">
        <f t="array" ref="BO532">IFERROR(LARGE(IF(NF!$G$2:$G$3137='Mês atual'!A532,NF!$J$2:$J$3137),1),0)*BN532</f>
        <v>126</v>
      </c>
      <c r="BP532" s="50"/>
      <c r="BR532" s="146">
        <f t="array" ref="BR532">IFERROR(LARGE(IF(NF!$G$2:$G$3137='Mês atual'!A532,NF!$J$2:$J$3137),1),0)</f>
        <v>8.75</v>
      </c>
      <c r="BS532" s="142" t="str">
        <f>VLOOKUP(A532,NF!M:O,3,0)</f>
        <v>Hortifruti</v>
      </c>
      <c r="BV532" s="74">
        <f t="shared" ref="BV532:BV621" si="342">N532</f>
        <v>3.5</v>
      </c>
      <c r="BW532" s="74">
        <f t="shared" ref="BW532:BW621" si="343">Z532</f>
        <v>3</v>
      </c>
      <c r="BX532" s="74">
        <f t="shared" ref="BX532:BX621" si="344">AL532</f>
        <v>4</v>
      </c>
      <c r="BY532" s="74">
        <f t="shared" ref="BY532:BY621" si="345">AX532</f>
        <v>1</v>
      </c>
      <c r="BZ532" s="74">
        <f t="shared" ref="BZ532:BZ621" si="346">BK532</f>
        <v>2.9</v>
      </c>
    </row>
    <row r="533" spans="1:78" x14ac:dyDescent="0.2">
      <c r="A533" s="108" t="s">
        <v>650</v>
      </c>
      <c r="B533" s="12"/>
      <c r="C533" s="9">
        <v>0</v>
      </c>
      <c r="D533" s="25"/>
      <c r="E533" s="10" t="str">
        <f t="shared" si="265"/>
        <v>MarçoSEMANA 1Pessego</v>
      </c>
      <c r="F533" s="7">
        <f>SUMIF(NF!$A:$A,$E533,NF!$I:$I)</f>
        <v>0</v>
      </c>
      <c r="G533" s="74"/>
      <c r="H533" s="74"/>
      <c r="I533" s="74"/>
      <c r="J533" s="6"/>
      <c r="K533" s="6"/>
      <c r="L533" s="6"/>
      <c r="M533" s="6"/>
      <c r="N533" s="7">
        <f t="shared" si="337"/>
        <v>0</v>
      </c>
      <c r="O533" s="11">
        <f t="shared" si="267"/>
        <v>0</v>
      </c>
      <c r="P533" s="25"/>
      <c r="Q533" s="10" t="str">
        <f t="shared" si="268"/>
        <v>MarçoSEMANA 2Pessego</v>
      </c>
      <c r="R533" s="7">
        <f>SUMIF(NF!$A:$A,$Q533,NF!$I:$I)</f>
        <v>0</v>
      </c>
      <c r="S533" s="6"/>
      <c r="T533" s="6"/>
      <c r="U533" s="6"/>
      <c r="V533" s="6"/>
      <c r="W533" s="6"/>
      <c r="X533" s="6"/>
      <c r="Y533" s="6"/>
      <c r="Z533" s="7">
        <f t="shared" si="338"/>
        <v>0</v>
      </c>
      <c r="AA533" s="11">
        <f t="shared" si="270"/>
        <v>0</v>
      </c>
      <c r="AB533" s="25"/>
      <c r="AC533" s="10" t="str">
        <f t="shared" si="271"/>
        <v>MarçoSEMANA 3Pessego</v>
      </c>
      <c r="AD533" s="7">
        <f>SUMIF(NF!$A:$A,$AC533,NF!$I:$I)</f>
        <v>0</v>
      </c>
      <c r="AE533" s="6"/>
      <c r="AF533" s="6"/>
      <c r="AG533" s="6"/>
      <c r="AH533" s="6"/>
      <c r="AI533" s="6"/>
      <c r="AJ533" s="6"/>
      <c r="AK533" s="6"/>
      <c r="AL533" s="7">
        <f t="shared" si="339"/>
        <v>0</v>
      </c>
      <c r="AM533" s="11">
        <f t="shared" si="273"/>
        <v>0</v>
      </c>
      <c r="AN533" s="25"/>
      <c r="AO533" s="10" t="str">
        <f t="shared" si="274"/>
        <v>MarçoSEMANA 4Pessego</v>
      </c>
      <c r="AP533" s="7">
        <f>SUMIF(NF!$A:$A,$AO533,NF!$I:$I)</f>
        <v>0</v>
      </c>
      <c r="AQ533" s="6"/>
      <c r="AR533" s="6"/>
      <c r="AS533" s="6"/>
      <c r="AT533" s="6"/>
      <c r="AU533" s="6"/>
      <c r="AV533" s="6"/>
      <c r="AW533" s="6"/>
      <c r="AX533" s="7">
        <f t="shared" si="340"/>
        <v>0</v>
      </c>
      <c r="AY533" s="11">
        <f t="shared" si="276"/>
        <v>0</v>
      </c>
      <c r="AZ533" s="25"/>
      <c r="BA533" s="10" t="str">
        <f t="shared" si="277"/>
        <v>MarçoSEMANA 5Pessego</v>
      </c>
      <c r="BB533" s="7">
        <f>SUMIF(NF!$A:$A,$BA533,NF!$I:$I)</f>
        <v>0</v>
      </c>
      <c r="BC533" s="6"/>
      <c r="BD533" s="6"/>
      <c r="BE533" s="6"/>
      <c r="BF533" s="6"/>
      <c r="BG533" s="6"/>
      <c r="BH533" s="6"/>
      <c r="BI533" s="74"/>
      <c r="BJ533" s="74"/>
      <c r="BK533" s="7">
        <f t="shared" si="341"/>
        <v>0</v>
      </c>
      <c r="BL533" s="8">
        <f t="shared" si="279"/>
        <v>0</v>
      </c>
      <c r="BM533" s="51" t="str">
        <f>IFERROR(VLOOKUP(A533,NF!$M:$O,3,0),"")</f>
        <v>Hortifruti</v>
      </c>
      <c r="BN533" s="7">
        <f t="shared" si="280"/>
        <v>0</v>
      </c>
      <c r="BO533" s="8">
        <f t="array" ref="BO533">IFERROR(LARGE(IF(NF!$G$2:$G$3137='Mês atual'!A533,NF!$J$2:$J$3137),1),0)*BN533</f>
        <v>0</v>
      </c>
      <c r="BP533" s="50"/>
      <c r="BR533" s="146">
        <f t="array" ref="BR533">IFERROR(LARGE(IF(NF!$G$2:$G$3137='Mês atual'!A533,NF!$J$2:$J$3137),1),0)</f>
        <v>0</v>
      </c>
      <c r="BS533" s="142" t="str">
        <f>VLOOKUP(A533,NF!M:O,3,0)</f>
        <v>Hortifruti</v>
      </c>
      <c r="BV533" s="74">
        <f t="shared" si="342"/>
        <v>0</v>
      </c>
      <c r="BW533" s="74">
        <f t="shared" si="343"/>
        <v>0</v>
      </c>
      <c r="BX533" s="74">
        <f t="shared" si="344"/>
        <v>0</v>
      </c>
      <c r="BY533" s="74">
        <f t="shared" si="345"/>
        <v>0</v>
      </c>
      <c r="BZ533" s="74">
        <f t="shared" si="346"/>
        <v>0</v>
      </c>
    </row>
    <row r="534" spans="1:78" x14ac:dyDescent="0.2">
      <c r="A534" s="108" t="s">
        <v>653</v>
      </c>
      <c r="B534" s="12"/>
      <c r="C534" s="9">
        <v>0</v>
      </c>
      <c r="D534" s="25"/>
      <c r="E534" s="10" t="str">
        <f t="shared" si="265"/>
        <v>MarçoSEMANA 1Pimenta Biquinho</v>
      </c>
      <c r="F534" s="7">
        <f>SUMIF(NF!$A:$A,$E534,NF!$I:$I)</f>
        <v>0</v>
      </c>
      <c r="G534" s="74"/>
      <c r="H534" s="74"/>
      <c r="I534" s="74"/>
      <c r="J534" s="6"/>
      <c r="K534" s="6"/>
      <c r="L534" s="6"/>
      <c r="M534" s="6"/>
      <c r="N534" s="7">
        <f>SUM(G534:M534)</f>
        <v>0</v>
      </c>
      <c r="O534" s="11">
        <f t="shared" si="267"/>
        <v>0</v>
      </c>
      <c r="P534" s="25"/>
      <c r="Q534" s="10" t="str">
        <f t="shared" si="268"/>
        <v>MarçoSEMANA 2Pimenta Biquinho</v>
      </c>
      <c r="R534" s="7">
        <f>SUMIF(NF!$A:$A,$Q534,NF!$I:$I)</f>
        <v>0</v>
      </c>
      <c r="S534" s="6"/>
      <c r="T534" s="6"/>
      <c r="U534" s="6"/>
      <c r="V534" s="6"/>
      <c r="W534" s="6"/>
      <c r="X534" s="6"/>
      <c r="Y534" s="6"/>
      <c r="Z534" s="7">
        <f>SUM(S534:Y534)</f>
        <v>0</v>
      </c>
      <c r="AA534" s="11">
        <f t="shared" si="270"/>
        <v>0</v>
      </c>
      <c r="AB534" s="25"/>
      <c r="AC534" s="10" t="str">
        <f t="shared" si="271"/>
        <v>MarçoSEMANA 3Pimenta Biquinho</v>
      </c>
      <c r="AD534" s="7">
        <f>SUMIF(NF!$A:$A,$AC534,NF!$I:$I)</f>
        <v>0</v>
      </c>
      <c r="AE534" s="6"/>
      <c r="AF534" s="6"/>
      <c r="AG534" s="6"/>
      <c r="AH534" s="6"/>
      <c r="AI534" s="6"/>
      <c r="AJ534" s="6"/>
      <c r="AK534" s="6"/>
      <c r="AL534" s="7">
        <f>SUM(AE534:AK534)</f>
        <v>0</v>
      </c>
      <c r="AM534" s="11">
        <f t="shared" si="273"/>
        <v>0</v>
      </c>
      <c r="AN534" s="25"/>
      <c r="AO534" s="10" t="str">
        <f t="shared" si="274"/>
        <v>MarçoSEMANA 4Pimenta Biquinho</v>
      </c>
      <c r="AP534" s="7">
        <f>SUMIF(NF!$A:$A,$AO534,NF!$I:$I)</f>
        <v>0.2</v>
      </c>
      <c r="AQ534" s="6"/>
      <c r="AR534" s="6"/>
      <c r="AS534" s="6">
        <v>0.2</v>
      </c>
      <c r="AT534" s="6"/>
      <c r="AU534" s="6"/>
      <c r="AV534" s="6"/>
      <c r="AW534" s="6"/>
      <c r="AX534" s="7">
        <f>SUM(AQ534:AW534)</f>
        <v>0.2</v>
      </c>
      <c r="AY534" s="11">
        <f t="shared" si="276"/>
        <v>0</v>
      </c>
      <c r="AZ534" s="25"/>
      <c r="BA534" s="10" t="str">
        <f t="shared" si="277"/>
        <v>MarçoSEMANA 5Pimenta Biquinho</v>
      </c>
      <c r="BB534" s="7">
        <f>SUMIF(NF!$A:$A,$BA534,NF!$I:$I)</f>
        <v>0</v>
      </c>
      <c r="BC534" s="6"/>
      <c r="BD534" s="6"/>
      <c r="BE534" s="6"/>
      <c r="BF534" s="6"/>
      <c r="BG534" s="6"/>
      <c r="BH534" s="6"/>
      <c r="BI534" s="74"/>
      <c r="BJ534" s="74"/>
      <c r="BK534" s="7">
        <f>SUM(BC534:BJ534)</f>
        <v>0</v>
      </c>
      <c r="BL534" s="8">
        <f t="shared" si="279"/>
        <v>0</v>
      </c>
      <c r="BM534" s="51" t="str">
        <f>IFERROR(VLOOKUP(A534,NF!$M:$O,3,0),"")</f>
        <v>Hortifruti</v>
      </c>
      <c r="BN534" s="7">
        <f t="shared" si="280"/>
        <v>0.2</v>
      </c>
      <c r="BO534" s="8">
        <f t="array" ref="BO534">IFERROR(LARGE(IF(NF!$G$2:$G$3137='Mês atual'!A534,NF!$J$2:$J$3137),1),0)*BN534</f>
        <v>12</v>
      </c>
      <c r="BP534" s="50"/>
      <c r="BR534" s="146">
        <f t="array" ref="BR534">IFERROR(LARGE(IF(NF!$G$2:$G$3137='Mês atual'!A534,NF!$J$2:$J$3137),1),0)</f>
        <v>60</v>
      </c>
      <c r="BS534" s="142" t="str">
        <f>VLOOKUP(A534,NF!M:O,3,0)</f>
        <v>Hortifruti</v>
      </c>
      <c r="BV534" s="74">
        <f t="shared" si="342"/>
        <v>0</v>
      </c>
      <c r="BW534" s="74">
        <f t="shared" si="343"/>
        <v>0</v>
      </c>
      <c r="BX534" s="74">
        <f t="shared" si="344"/>
        <v>0</v>
      </c>
      <c r="BY534" s="74">
        <f t="shared" si="345"/>
        <v>0.2</v>
      </c>
      <c r="BZ534" s="74">
        <f t="shared" si="346"/>
        <v>0</v>
      </c>
    </row>
    <row r="535" spans="1:78" x14ac:dyDescent="0.2">
      <c r="A535" s="108" t="s">
        <v>655</v>
      </c>
      <c r="B535" s="12"/>
      <c r="C535" s="9">
        <v>0</v>
      </c>
      <c r="D535" s="25"/>
      <c r="E535" s="10" t="str">
        <f t="shared" si="265"/>
        <v>MarçoSEMANA 1Pimenta de Cheiro</v>
      </c>
      <c r="F535" s="7">
        <f>SUMIF(NF!$A:$A,$E535,NF!$I:$I)</f>
        <v>0</v>
      </c>
      <c r="G535" s="74"/>
      <c r="H535" s="74"/>
      <c r="I535" s="74"/>
      <c r="J535" s="6"/>
      <c r="K535" s="6"/>
      <c r="L535" s="6"/>
      <c r="M535" s="6"/>
      <c r="N535" s="7">
        <f>SUM(G535:M535)</f>
        <v>0</v>
      </c>
      <c r="O535" s="11">
        <f t="shared" si="267"/>
        <v>0</v>
      </c>
      <c r="P535" s="25"/>
      <c r="Q535" s="10" t="str">
        <f t="shared" si="268"/>
        <v>MarçoSEMANA 2Pimenta de Cheiro</v>
      </c>
      <c r="R535" s="7">
        <f>SUMIF(NF!$A:$A,$Q535,NF!$I:$I)</f>
        <v>0</v>
      </c>
      <c r="S535" s="6"/>
      <c r="T535" s="6"/>
      <c r="U535" s="6"/>
      <c r="V535" s="6"/>
      <c r="W535" s="6"/>
      <c r="X535" s="6"/>
      <c r="Y535" s="6"/>
      <c r="Z535" s="7">
        <f>SUM(S535:Y535)</f>
        <v>0</v>
      </c>
      <c r="AA535" s="11">
        <f t="shared" si="270"/>
        <v>0</v>
      </c>
      <c r="AB535" s="25"/>
      <c r="AC535" s="10" t="str">
        <f t="shared" si="271"/>
        <v>MarçoSEMANA 3Pimenta de Cheiro</v>
      </c>
      <c r="AD535" s="7">
        <f>SUMIF(NF!$A:$A,$AC535,NF!$I:$I)</f>
        <v>0</v>
      </c>
      <c r="AE535" s="6"/>
      <c r="AF535" s="6"/>
      <c r="AG535" s="6"/>
      <c r="AH535" s="6"/>
      <c r="AI535" s="6"/>
      <c r="AJ535" s="6"/>
      <c r="AK535" s="6"/>
      <c r="AL535" s="7">
        <f>SUM(AE535:AK535)</f>
        <v>0</v>
      </c>
      <c r="AM535" s="11">
        <f t="shared" si="273"/>
        <v>0</v>
      </c>
      <c r="AN535" s="25"/>
      <c r="AO535" s="10" t="str">
        <f t="shared" si="274"/>
        <v>MarçoSEMANA 4Pimenta de Cheiro</v>
      </c>
      <c r="AP535" s="7">
        <f>SUMIF(NF!$A:$A,$AO535,NF!$I:$I)</f>
        <v>0.2</v>
      </c>
      <c r="AQ535" s="6"/>
      <c r="AR535" s="6"/>
      <c r="AS535" s="6">
        <v>0.2</v>
      </c>
      <c r="AT535" s="6"/>
      <c r="AU535" s="6"/>
      <c r="AV535" s="6"/>
      <c r="AW535" s="6"/>
      <c r="AX535" s="7">
        <f>SUM(AQ535:AW535)</f>
        <v>0.2</v>
      </c>
      <c r="AY535" s="11">
        <f t="shared" si="276"/>
        <v>0</v>
      </c>
      <c r="AZ535" s="25"/>
      <c r="BA535" s="10" t="str">
        <f t="shared" si="277"/>
        <v>MarçoSEMANA 5Pimenta de Cheiro</v>
      </c>
      <c r="BB535" s="7">
        <f>SUMIF(NF!$A:$A,$BA535,NF!$I:$I)</f>
        <v>0</v>
      </c>
      <c r="BC535" s="6"/>
      <c r="BD535" s="6"/>
      <c r="BE535" s="6"/>
      <c r="BF535" s="6"/>
      <c r="BG535" s="6"/>
      <c r="BH535" s="6"/>
      <c r="BI535" s="74"/>
      <c r="BJ535" s="74"/>
      <c r="BK535" s="7">
        <f>SUM(BC535:BJ535)</f>
        <v>0</v>
      </c>
      <c r="BL535" s="8">
        <f t="shared" si="279"/>
        <v>0</v>
      </c>
      <c r="BM535" s="51" t="str">
        <f>IFERROR(VLOOKUP(A535,NF!$M:$O,3,0),"")</f>
        <v>Hortifruti</v>
      </c>
      <c r="BN535" s="7">
        <f t="shared" si="280"/>
        <v>0.2</v>
      </c>
      <c r="BO535" s="8">
        <f t="array" ref="BO535">IFERROR(LARGE(IF(NF!$G$2:$G$3137='Mês atual'!A535,NF!$J$2:$J$3137),1),0)*BN535</f>
        <v>6</v>
      </c>
      <c r="BP535" s="50"/>
      <c r="BR535" s="146">
        <f t="array" ref="BR535">IFERROR(LARGE(IF(NF!$G$2:$G$3137='Mês atual'!A535,NF!$J$2:$J$3137),1),0)</f>
        <v>30</v>
      </c>
      <c r="BS535" s="142" t="str">
        <f>VLOOKUP(A535,NF!M:O,3,0)</f>
        <v>Hortifruti</v>
      </c>
      <c r="BV535" s="74">
        <f t="shared" si="342"/>
        <v>0</v>
      </c>
      <c r="BW535" s="74">
        <f t="shared" si="343"/>
        <v>0</v>
      </c>
      <c r="BX535" s="74">
        <f t="shared" si="344"/>
        <v>0</v>
      </c>
      <c r="BY535" s="74">
        <f t="shared" si="345"/>
        <v>0.2</v>
      </c>
      <c r="BZ535" s="74">
        <f t="shared" si="346"/>
        <v>0</v>
      </c>
    </row>
    <row r="536" spans="1:78" x14ac:dyDescent="0.25">
      <c r="A536" s="108" t="s">
        <v>656</v>
      </c>
      <c r="B536" s="12"/>
      <c r="C536" s="9">
        <v>0</v>
      </c>
      <c r="D536" s="25"/>
      <c r="E536" s="10" t="str">
        <f t="shared" si="265"/>
        <v>MarçoSEMANA 1Pimenta Dedo de Moça</v>
      </c>
      <c r="F536" s="7">
        <f>SUMIF(NF!$A:$A,$E536,NF!$I:$I)</f>
        <v>0</v>
      </c>
      <c r="G536" s="74"/>
      <c r="H536" s="74"/>
      <c r="I536" s="74"/>
      <c r="J536" s="6"/>
      <c r="K536" s="6"/>
      <c r="L536" s="6"/>
      <c r="M536" s="6"/>
      <c r="N536" s="7">
        <f t="shared" si="337"/>
        <v>0</v>
      </c>
      <c r="O536" s="11">
        <f t="shared" si="267"/>
        <v>0</v>
      </c>
      <c r="P536" s="25"/>
      <c r="Q536" s="10" t="str">
        <f t="shared" si="268"/>
        <v>MarçoSEMANA 2Pimenta Dedo de Moça</v>
      </c>
      <c r="R536" s="7">
        <f>SUMIF(NF!$A:$A,$Q536,NF!$I:$I)</f>
        <v>1</v>
      </c>
      <c r="S536" s="6"/>
      <c r="T536" s="6"/>
      <c r="U536" s="6"/>
      <c r="V536" s="6"/>
      <c r="W536" s="6">
        <v>1</v>
      </c>
      <c r="X536" s="6"/>
      <c r="Y536" s="6"/>
      <c r="Z536" s="7">
        <f t="shared" si="338"/>
        <v>1</v>
      </c>
      <c r="AA536" s="11">
        <f t="shared" si="270"/>
        <v>0</v>
      </c>
      <c r="AB536" s="25"/>
      <c r="AC536" s="10" t="str">
        <f t="shared" si="271"/>
        <v>MarçoSEMANA 3Pimenta Dedo de Moça</v>
      </c>
      <c r="AD536" s="7">
        <f>SUMIF(NF!$A:$A,$AC536,NF!$I:$I)</f>
        <v>0</v>
      </c>
      <c r="AE536" s="6"/>
      <c r="AF536" s="6"/>
      <c r="AG536" s="6"/>
      <c r="AH536" s="6"/>
      <c r="AI536" s="6"/>
      <c r="AJ536" s="6"/>
      <c r="AK536" s="6"/>
      <c r="AL536" s="7">
        <f t="shared" si="339"/>
        <v>0</v>
      </c>
      <c r="AM536" s="11">
        <f t="shared" si="273"/>
        <v>0</v>
      </c>
      <c r="AN536" s="25"/>
      <c r="AO536" s="10" t="str">
        <f t="shared" si="274"/>
        <v>MarçoSEMANA 4Pimenta Dedo de Moça</v>
      </c>
      <c r="AP536" s="7">
        <f>SUMIF(NF!$A:$A,$AO536,NF!$I:$I)</f>
        <v>0.2</v>
      </c>
      <c r="AQ536" s="6"/>
      <c r="AR536" s="6"/>
      <c r="AS536" s="6">
        <v>0.2</v>
      </c>
      <c r="AT536" s="6"/>
      <c r="AU536" s="6"/>
      <c r="AV536" s="6"/>
      <c r="AW536" s="6"/>
      <c r="AX536" s="7">
        <f t="shared" si="340"/>
        <v>0.2</v>
      </c>
      <c r="AY536" s="11">
        <f t="shared" si="276"/>
        <v>0</v>
      </c>
      <c r="AZ536" s="25"/>
      <c r="BA536" s="10" t="str">
        <f t="shared" si="277"/>
        <v>MarçoSEMANA 5Pimenta Dedo de Moça</v>
      </c>
      <c r="BB536" s="7">
        <f>SUMIF(NF!$A:$A,$BA536,NF!$I:$I)</f>
        <v>0</v>
      </c>
      <c r="BC536" s="6"/>
      <c r="BD536" s="6"/>
      <c r="BE536" s="6"/>
      <c r="BF536" s="6"/>
      <c r="BG536" s="6"/>
      <c r="BH536" s="6"/>
      <c r="BI536" s="74"/>
      <c r="BJ536" s="74"/>
      <c r="BK536" s="7">
        <f t="shared" si="341"/>
        <v>0</v>
      </c>
      <c r="BL536" s="8">
        <f t="shared" si="279"/>
        <v>0</v>
      </c>
      <c r="BM536" s="51" t="str">
        <f>IFERROR(VLOOKUP(A536,NF!$M:$O,3,0),"")</f>
        <v>Hortifruti</v>
      </c>
      <c r="BN536" s="7">
        <f t="shared" si="280"/>
        <v>1.2</v>
      </c>
      <c r="BO536" s="8">
        <f t="array" ref="BO536">IFERROR(LARGE(IF(NF!$G$2:$G$3137='Mês atual'!A536,NF!$J$2:$J$3137),1),0)*BN536</f>
        <v>24</v>
      </c>
      <c r="BP536" s="50"/>
      <c r="BR536" s="146">
        <f t="array" ref="BR536">IFERROR(LARGE(IF(NF!$G$2:$G$3137='Mês atual'!A536,NF!$J$2:$J$3137),1),0)</f>
        <v>20</v>
      </c>
      <c r="BS536" s="142" t="str">
        <f>VLOOKUP(A536,NF!M:O,3,0)</f>
        <v>Hortifruti</v>
      </c>
      <c r="BV536" s="74">
        <f t="shared" si="342"/>
        <v>0</v>
      </c>
      <c r="BW536" s="74">
        <f t="shared" si="343"/>
        <v>1</v>
      </c>
      <c r="BX536" s="74">
        <f t="shared" si="344"/>
        <v>0</v>
      </c>
      <c r="BY536" s="74">
        <f t="shared" si="345"/>
        <v>0.2</v>
      </c>
      <c r="BZ536" s="74">
        <f t="shared" si="346"/>
        <v>0</v>
      </c>
    </row>
    <row r="537" spans="1:78" x14ac:dyDescent="0.2">
      <c r="A537" s="108" t="s">
        <v>659</v>
      </c>
      <c r="B537" s="12"/>
      <c r="C537" s="9">
        <v>0</v>
      </c>
      <c r="D537" s="25"/>
      <c r="E537" s="10" t="str">
        <f t="shared" si="265"/>
        <v>MarçoSEMANA 1Pimenta Malagueta</v>
      </c>
      <c r="F537" s="7">
        <f>SUMIF(NF!$A:$A,$E537,NF!$I:$I)</f>
        <v>0</v>
      </c>
      <c r="G537" s="74"/>
      <c r="H537" s="74"/>
      <c r="I537" s="74"/>
      <c r="J537" s="6"/>
      <c r="K537" s="6"/>
      <c r="L537" s="6"/>
      <c r="M537" s="6"/>
      <c r="N537" s="7">
        <f>SUM(G537:M537)</f>
        <v>0</v>
      </c>
      <c r="O537" s="11">
        <f t="shared" si="267"/>
        <v>0</v>
      </c>
      <c r="P537" s="25"/>
      <c r="Q537" s="10" t="str">
        <f t="shared" si="268"/>
        <v>MarçoSEMANA 2Pimenta Malagueta</v>
      </c>
      <c r="R537" s="7">
        <f>SUMIF(NF!$A:$A,$Q537,NF!$I:$I)</f>
        <v>0</v>
      </c>
      <c r="S537" s="6"/>
      <c r="T537" s="6"/>
      <c r="U537" s="6"/>
      <c r="V537" s="6"/>
      <c r="W537" s="6"/>
      <c r="X537" s="6"/>
      <c r="Y537" s="6"/>
      <c r="Z537" s="7">
        <f>SUM(S537:Y537)</f>
        <v>0</v>
      </c>
      <c r="AA537" s="11">
        <f t="shared" si="270"/>
        <v>0</v>
      </c>
      <c r="AB537" s="25"/>
      <c r="AC537" s="10" t="str">
        <f t="shared" si="271"/>
        <v>MarçoSEMANA 3Pimenta Malagueta</v>
      </c>
      <c r="AD537" s="7">
        <f>SUMIF(NF!$A:$A,$AC537,NF!$I:$I)</f>
        <v>0</v>
      </c>
      <c r="AE537" s="6"/>
      <c r="AF537" s="6"/>
      <c r="AG537" s="6"/>
      <c r="AH537" s="6"/>
      <c r="AI537" s="6"/>
      <c r="AJ537" s="6"/>
      <c r="AK537" s="6"/>
      <c r="AL537" s="7">
        <f>SUM(AE537:AK537)</f>
        <v>0</v>
      </c>
      <c r="AM537" s="11">
        <f t="shared" si="273"/>
        <v>0</v>
      </c>
      <c r="AN537" s="25"/>
      <c r="AO537" s="10" t="str">
        <f t="shared" si="274"/>
        <v>MarçoSEMANA 4Pimenta Malagueta</v>
      </c>
      <c r="AP537" s="7">
        <f>SUMIF(NF!$A:$A,$AO537,NF!$I:$I)</f>
        <v>0.2</v>
      </c>
      <c r="AQ537" s="6"/>
      <c r="AR537" s="6"/>
      <c r="AS537" s="6">
        <v>0.2</v>
      </c>
      <c r="AT537" s="6"/>
      <c r="AU537" s="6"/>
      <c r="AV537" s="6"/>
      <c r="AW537" s="6"/>
      <c r="AX537" s="7">
        <f>SUM(AQ537:AW537)</f>
        <v>0.2</v>
      </c>
      <c r="AY537" s="11">
        <f t="shared" si="276"/>
        <v>0</v>
      </c>
      <c r="AZ537" s="25"/>
      <c r="BA537" s="10" t="str">
        <f t="shared" si="277"/>
        <v>MarçoSEMANA 5Pimenta Malagueta</v>
      </c>
      <c r="BB537" s="7">
        <f>SUMIF(NF!$A:$A,$BA537,NF!$I:$I)</f>
        <v>0</v>
      </c>
      <c r="BC537" s="6"/>
      <c r="BD537" s="6"/>
      <c r="BE537" s="6"/>
      <c r="BF537" s="6"/>
      <c r="BG537" s="6"/>
      <c r="BH537" s="6"/>
      <c r="BI537" s="74"/>
      <c r="BJ537" s="74"/>
      <c r="BK537" s="7">
        <f>SUM(BC537:BJ537)</f>
        <v>0</v>
      </c>
      <c r="BL537" s="8">
        <f t="shared" si="279"/>
        <v>0</v>
      </c>
      <c r="BM537" s="51" t="str">
        <f>IFERROR(VLOOKUP(A537,NF!$M:$O,3,0),"")</f>
        <v>Hortifruti</v>
      </c>
      <c r="BN537" s="7">
        <f t="shared" si="280"/>
        <v>0.2</v>
      </c>
      <c r="BO537" s="8">
        <f t="array" ref="BO537">IFERROR(LARGE(IF(NF!$G$2:$G$3137='Mês atual'!A537,NF!$J$2:$J$3137),1),0)*BN537</f>
        <v>10</v>
      </c>
      <c r="BP537" s="50"/>
      <c r="BR537" s="146">
        <f t="array" ref="BR537">IFERROR(LARGE(IF(NF!$G$2:$G$3137='Mês atual'!A537,NF!$J$2:$J$3137),1),0)</f>
        <v>50</v>
      </c>
      <c r="BS537" s="142" t="str">
        <f>VLOOKUP(A537,NF!M:O,3,0)</f>
        <v>Hortifruti</v>
      </c>
      <c r="BV537" s="74">
        <f t="shared" si="342"/>
        <v>0</v>
      </c>
      <c r="BW537" s="74">
        <f t="shared" si="343"/>
        <v>0</v>
      </c>
      <c r="BX537" s="74">
        <f t="shared" si="344"/>
        <v>0</v>
      </c>
      <c r="BY537" s="74">
        <f t="shared" si="345"/>
        <v>0.2</v>
      </c>
      <c r="BZ537" s="74">
        <f t="shared" si="346"/>
        <v>0</v>
      </c>
    </row>
    <row r="538" spans="1:78" x14ac:dyDescent="0.25">
      <c r="A538" s="108" t="s">
        <v>663</v>
      </c>
      <c r="B538" s="12"/>
      <c r="C538" s="9">
        <v>1</v>
      </c>
      <c r="D538" s="25"/>
      <c r="E538" s="10" t="str">
        <f t="shared" si="265"/>
        <v>MarçoSEMANA 1Pimentão Amarelo</v>
      </c>
      <c r="F538" s="7">
        <f>SUMIF(NF!$A:$A,$E538,NF!$I:$I)</f>
        <v>2</v>
      </c>
      <c r="G538" s="74"/>
      <c r="H538" s="74"/>
      <c r="I538" s="74"/>
      <c r="J538" s="6">
        <v>1</v>
      </c>
      <c r="K538" s="6">
        <v>1</v>
      </c>
      <c r="L538" s="6"/>
      <c r="M538" s="6">
        <v>1</v>
      </c>
      <c r="N538" s="7">
        <f t="shared" si="337"/>
        <v>3</v>
      </c>
      <c r="O538" s="11">
        <f t="shared" si="267"/>
        <v>0</v>
      </c>
      <c r="P538" s="25"/>
      <c r="Q538" s="10" t="str">
        <f t="shared" si="268"/>
        <v>MarçoSEMANA 2Pimentão Amarelo</v>
      </c>
      <c r="R538" s="7">
        <f>SUMIF(NF!$A:$A,$Q538,NF!$I:$I)</f>
        <v>2</v>
      </c>
      <c r="S538" s="6"/>
      <c r="T538" s="6"/>
      <c r="U538" s="6"/>
      <c r="V538" s="6"/>
      <c r="W538" s="6"/>
      <c r="X538" s="6">
        <v>1</v>
      </c>
      <c r="Y538" s="6">
        <v>1</v>
      </c>
      <c r="Z538" s="7">
        <f t="shared" si="338"/>
        <v>2</v>
      </c>
      <c r="AA538" s="11">
        <f t="shared" si="270"/>
        <v>0</v>
      </c>
      <c r="AB538" s="25"/>
      <c r="AC538" s="10" t="str">
        <f t="shared" si="271"/>
        <v>MarçoSEMANA 3Pimentão Amarelo</v>
      </c>
      <c r="AD538" s="7">
        <f>SUMIF(NF!$A:$A,$AC538,NF!$I:$I)</f>
        <v>2</v>
      </c>
      <c r="AE538" s="6"/>
      <c r="AF538" s="6"/>
      <c r="AG538" s="6"/>
      <c r="AH538" s="6">
        <v>1</v>
      </c>
      <c r="AI538" s="6"/>
      <c r="AJ538" s="6"/>
      <c r="AK538" s="6">
        <v>1</v>
      </c>
      <c r="AL538" s="7">
        <f t="shared" si="339"/>
        <v>2</v>
      </c>
      <c r="AM538" s="11">
        <f t="shared" si="273"/>
        <v>0</v>
      </c>
      <c r="AN538" s="25"/>
      <c r="AO538" s="10" t="str">
        <f t="shared" si="274"/>
        <v>MarçoSEMANA 4Pimentão Amarelo</v>
      </c>
      <c r="AP538" s="7">
        <f>SUMIF(NF!$A:$A,$AO538,NF!$I:$I)</f>
        <v>3</v>
      </c>
      <c r="AQ538" s="6">
        <v>1</v>
      </c>
      <c r="AR538" s="6"/>
      <c r="AS538" s="6"/>
      <c r="AT538" s="6"/>
      <c r="AU538" s="6">
        <v>2</v>
      </c>
      <c r="AV538" s="6"/>
      <c r="AW538" s="6"/>
      <c r="AX538" s="7">
        <f t="shared" si="340"/>
        <v>3</v>
      </c>
      <c r="AY538" s="11">
        <f t="shared" si="276"/>
        <v>0</v>
      </c>
      <c r="AZ538" s="25"/>
      <c r="BA538" s="10" t="str">
        <f t="shared" si="277"/>
        <v>MarçoSEMANA 5Pimentão Amarelo</v>
      </c>
      <c r="BB538" s="7">
        <f>SUMIF(NF!$A:$A,$BA538,NF!$I:$I)</f>
        <v>3</v>
      </c>
      <c r="BC538" s="6"/>
      <c r="BD538" s="6"/>
      <c r="BE538" s="6"/>
      <c r="BF538" s="6">
        <v>2</v>
      </c>
      <c r="BG538" s="6"/>
      <c r="BH538" s="6">
        <v>1</v>
      </c>
      <c r="BI538" s="74"/>
      <c r="BJ538" s="74"/>
      <c r="BK538" s="7">
        <f t="shared" si="341"/>
        <v>3</v>
      </c>
      <c r="BL538" s="8">
        <f t="shared" si="279"/>
        <v>0</v>
      </c>
      <c r="BM538" s="51" t="str">
        <f>IFERROR(VLOOKUP(A538,NF!$M:$O,3,0),"")</f>
        <v>Hortifruti</v>
      </c>
      <c r="BN538" s="7">
        <f t="shared" si="280"/>
        <v>13</v>
      </c>
      <c r="BO538" s="8">
        <f t="array" ref="BO538">IFERROR(LARGE(IF(NF!$G$2:$G$3137='Mês atual'!A538,NF!$J$2:$J$3137),1),0)*BN538</f>
        <v>156</v>
      </c>
      <c r="BP538" s="50"/>
      <c r="BR538" s="146">
        <f t="array" ref="BR538">IFERROR(LARGE(IF(NF!$G$2:$G$3137='Mês atual'!A538,NF!$J$2:$J$3137),1),0)</f>
        <v>12</v>
      </c>
      <c r="BS538" s="142" t="str">
        <f>VLOOKUP(A538,NF!M:O,3,0)</f>
        <v>Hortifruti</v>
      </c>
      <c r="BV538" s="74">
        <f t="shared" si="342"/>
        <v>3</v>
      </c>
      <c r="BW538" s="74">
        <f t="shared" si="343"/>
        <v>2</v>
      </c>
      <c r="BX538" s="74">
        <f t="shared" si="344"/>
        <v>2</v>
      </c>
      <c r="BY538" s="74">
        <f t="shared" si="345"/>
        <v>3</v>
      </c>
      <c r="BZ538" s="74">
        <f t="shared" si="346"/>
        <v>3</v>
      </c>
    </row>
    <row r="539" spans="1:78" x14ac:dyDescent="0.25">
      <c r="A539" s="108" t="s">
        <v>664</v>
      </c>
      <c r="B539" s="12"/>
      <c r="C539" s="9">
        <v>0</v>
      </c>
      <c r="D539" s="25"/>
      <c r="E539" s="10" t="str">
        <f t="shared" si="265"/>
        <v>MarçoSEMANA 1Pimentão Orgânico</v>
      </c>
      <c r="F539" s="7">
        <f>SUMIF(NF!$A:$A,$E539,NF!$I:$I)</f>
        <v>0</v>
      </c>
      <c r="G539" s="74"/>
      <c r="H539" s="74"/>
      <c r="I539" s="74"/>
      <c r="J539" s="6"/>
      <c r="K539" s="6"/>
      <c r="L539" s="6"/>
      <c r="M539" s="6"/>
      <c r="N539" s="7">
        <f t="shared" si="337"/>
        <v>0</v>
      </c>
      <c r="O539" s="11">
        <f t="shared" si="267"/>
        <v>0</v>
      </c>
      <c r="P539" s="25"/>
      <c r="Q539" s="10" t="str">
        <f t="shared" si="268"/>
        <v>MarçoSEMANA 2Pimentão Orgânico</v>
      </c>
      <c r="R539" s="7">
        <f>SUMIF(NF!$A:$A,$Q539,NF!$I:$I)</f>
        <v>0</v>
      </c>
      <c r="S539" s="6"/>
      <c r="T539" s="6"/>
      <c r="U539" s="6"/>
      <c r="V539" s="6"/>
      <c r="W539" s="6"/>
      <c r="X539" s="6"/>
      <c r="Y539" s="6"/>
      <c r="Z539" s="7">
        <f t="shared" si="338"/>
        <v>0</v>
      </c>
      <c r="AA539" s="11">
        <f t="shared" si="270"/>
        <v>0</v>
      </c>
      <c r="AB539" s="25"/>
      <c r="AC539" s="10" t="str">
        <f t="shared" si="271"/>
        <v>MarçoSEMANA 3Pimentão Orgânico</v>
      </c>
      <c r="AD539" s="7">
        <f>SUMIF(NF!$A:$A,$AC539,NF!$I:$I)</f>
        <v>0</v>
      </c>
      <c r="AE539" s="6"/>
      <c r="AF539" s="6"/>
      <c r="AG539" s="6"/>
      <c r="AH539" s="6"/>
      <c r="AI539" s="6"/>
      <c r="AJ539" s="6"/>
      <c r="AK539" s="6"/>
      <c r="AL539" s="7">
        <f t="shared" si="339"/>
        <v>0</v>
      </c>
      <c r="AM539" s="11">
        <f t="shared" si="273"/>
        <v>0</v>
      </c>
      <c r="AN539" s="25"/>
      <c r="AO539" s="10" t="str">
        <f t="shared" si="274"/>
        <v>MarçoSEMANA 4Pimentão Orgânico</v>
      </c>
      <c r="AP539" s="7">
        <f>SUMIF(NF!$A:$A,$AO539,NF!$I:$I)</f>
        <v>0</v>
      </c>
      <c r="AQ539" s="6"/>
      <c r="AR539" s="6"/>
      <c r="AS539" s="6"/>
      <c r="AT539" s="6"/>
      <c r="AU539" s="6"/>
      <c r="AV539" s="6"/>
      <c r="AW539" s="6"/>
      <c r="AX539" s="7">
        <f t="shared" si="340"/>
        <v>0</v>
      </c>
      <c r="AY539" s="11">
        <f t="shared" si="276"/>
        <v>0</v>
      </c>
      <c r="AZ539" s="25"/>
      <c r="BA539" s="10" t="str">
        <f t="shared" si="277"/>
        <v>MarçoSEMANA 5Pimentão Orgânico</v>
      </c>
      <c r="BB539" s="7">
        <f>SUMIF(NF!$A:$A,$BA539,NF!$I:$I)</f>
        <v>0</v>
      </c>
      <c r="BC539" s="6"/>
      <c r="BD539" s="6"/>
      <c r="BE539" s="6"/>
      <c r="BF539" s="6"/>
      <c r="BG539" s="6"/>
      <c r="BH539" s="6"/>
      <c r="BI539" s="74"/>
      <c r="BJ539" s="74"/>
      <c r="BK539" s="7">
        <f t="shared" si="341"/>
        <v>0</v>
      </c>
      <c r="BL539" s="8">
        <f t="shared" si="279"/>
        <v>0</v>
      </c>
      <c r="BM539" s="51" t="str">
        <f>IFERROR(VLOOKUP(A539,NF!$M:$O,3,0),"")</f>
        <v>Hortifruti</v>
      </c>
      <c r="BN539" s="7">
        <f t="shared" si="280"/>
        <v>0</v>
      </c>
      <c r="BO539" s="8">
        <f t="array" ref="BO539">IFERROR(LARGE(IF(NF!$G$2:$G$3137='Mês atual'!A539,NF!$J$2:$J$3137),1),0)*BN539</f>
        <v>0</v>
      </c>
      <c r="BP539" s="50"/>
      <c r="BR539" s="146">
        <f t="array" ref="BR539">IFERROR(LARGE(IF(NF!$G$2:$G$3137='Mês atual'!A539,NF!$J$2:$J$3137),1),0)</f>
        <v>0</v>
      </c>
      <c r="BS539" s="142" t="str">
        <f>VLOOKUP(A539,NF!M:O,3,0)</f>
        <v>Hortifruti</v>
      </c>
      <c r="BV539" s="74">
        <f t="shared" si="342"/>
        <v>0</v>
      </c>
      <c r="BW539" s="74">
        <f t="shared" si="343"/>
        <v>0</v>
      </c>
      <c r="BX539" s="74">
        <f t="shared" si="344"/>
        <v>0</v>
      </c>
      <c r="BY539" s="74">
        <f t="shared" si="345"/>
        <v>0</v>
      </c>
      <c r="BZ539" s="74">
        <f t="shared" si="346"/>
        <v>0</v>
      </c>
    </row>
    <row r="540" spans="1:78" x14ac:dyDescent="0.25">
      <c r="A540" s="108" t="s">
        <v>665</v>
      </c>
      <c r="B540" s="12"/>
      <c r="C540" s="9">
        <v>0</v>
      </c>
      <c r="D540" s="25"/>
      <c r="E540" s="10" t="str">
        <f t="shared" si="265"/>
        <v>MarçoSEMANA 1Pimentão Verde</v>
      </c>
      <c r="F540" s="7">
        <f>SUMIF(NF!$A:$A,$E540,NF!$I:$I)</f>
        <v>3</v>
      </c>
      <c r="G540" s="74"/>
      <c r="H540" s="74"/>
      <c r="I540" s="74"/>
      <c r="J540" s="6"/>
      <c r="K540" s="6">
        <v>3</v>
      </c>
      <c r="L540" s="6"/>
      <c r="M540" s="6"/>
      <c r="N540" s="7">
        <f t="shared" si="337"/>
        <v>3</v>
      </c>
      <c r="O540" s="11">
        <f t="shared" si="267"/>
        <v>0</v>
      </c>
      <c r="P540" s="25"/>
      <c r="Q540" s="10" t="str">
        <f t="shared" si="268"/>
        <v>MarçoSEMANA 2Pimentão Verde</v>
      </c>
      <c r="R540" s="7">
        <f>SUMIF(NF!$A:$A,$Q540,NF!$I:$I)</f>
        <v>1</v>
      </c>
      <c r="S540" s="6"/>
      <c r="T540" s="6"/>
      <c r="U540" s="6"/>
      <c r="V540" s="6"/>
      <c r="W540" s="6"/>
      <c r="X540" s="6"/>
      <c r="Y540" s="6">
        <v>1</v>
      </c>
      <c r="Z540" s="7">
        <f t="shared" si="338"/>
        <v>1</v>
      </c>
      <c r="AA540" s="11">
        <f t="shared" si="270"/>
        <v>0</v>
      </c>
      <c r="AB540" s="25"/>
      <c r="AC540" s="10" t="str">
        <f t="shared" si="271"/>
        <v>MarçoSEMANA 3Pimentão Verde</v>
      </c>
      <c r="AD540" s="7">
        <f>SUMIF(NF!$A:$A,$AC540,NF!$I:$I)</f>
        <v>2</v>
      </c>
      <c r="AE540" s="6"/>
      <c r="AF540" s="6">
        <v>1</v>
      </c>
      <c r="AG540" s="6"/>
      <c r="AH540" s="6"/>
      <c r="AI540" s="6"/>
      <c r="AJ540" s="6">
        <v>1</v>
      </c>
      <c r="AK540" s="6"/>
      <c r="AL540" s="7">
        <f t="shared" si="339"/>
        <v>2</v>
      </c>
      <c r="AM540" s="11">
        <f t="shared" si="273"/>
        <v>0</v>
      </c>
      <c r="AN540" s="25"/>
      <c r="AO540" s="10" t="str">
        <f t="shared" si="274"/>
        <v>MarçoSEMANA 4Pimentão Verde</v>
      </c>
      <c r="AP540" s="7">
        <f>SUMIF(NF!$A:$A,$AO540,NF!$I:$I)</f>
        <v>3</v>
      </c>
      <c r="AQ540" s="6">
        <v>1</v>
      </c>
      <c r="AR540" s="6"/>
      <c r="AS540" s="6"/>
      <c r="AT540" s="6">
        <v>1</v>
      </c>
      <c r="AU540" s="6">
        <v>1</v>
      </c>
      <c r="AV540" s="6"/>
      <c r="AW540" s="6"/>
      <c r="AX540" s="7">
        <f t="shared" si="340"/>
        <v>3</v>
      </c>
      <c r="AY540" s="11">
        <f t="shared" si="276"/>
        <v>0</v>
      </c>
      <c r="AZ540" s="25"/>
      <c r="BA540" s="10" t="str">
        <f t="shared" si="277"/>
        <v>MarçoSEMANA 5Pimentão Verde</v>
      </c>
      <c r="BB540" s="7">
        <f>SUMIF(NF!$A:$A,$BA540,NF!$I:$I)</f>
        <v>3</v>
      </c>
      <c r="BC540" s="6"/>
      <c r="BD540" s="6"/>
      <c r="BE540" s="6"/>
      <c r="BF540" s="6">
        <v>2</v>
      </c>
      <c r="BG540" s="6"/>
      <c r="BH540" s="6">
        <v>1</v>
      </c>
      <c r="BI540" s="74"/>
      <c r="BJ540" s="74"/>
      <c r="BK540" s="7">
        <f t="shared" si="341"/>
        <v>3</v>
      </c>
      <c r="BL540" s="8">
        <f t="shared" si="279"/>
        <v>0</v>
      </c>
      <c r="BM540" s="51" t="str">
        <f>IFERROR(VLOOKUP(A540,NF!$M:$O,3,0),"")</f>
        <v>Hortifruti</v>
      </c>
      <c r="BN540" s="7">
        <f t="shared" si="280"/>
        <v>12</v>
      </c>
      <c r="BO540" s="8">
        <f t="array" ref="BO540">IFERROR(LARGE(IF(NF!$G$2:$G$3137='Mês atual'!A540,NF!$J$2:$J$3137),1),0)*BN540</f>
        <v>55.800000000000004</v>
      </c>
      <c r="BP540" s="50"/>
      <c r="BR540" s="146">
        <f t="array" ref="BR540">IFERROR(LARGE(IF(NF!$G$2:$G$3137='Mês atual'!A540,NF!$J$2:$J$3137),1),0)</f>
        <v>4.6500000000000004</v>
      </c>
      <c r="BS540" s="142" t="str">
        <f>VLOOKUP(A540,NF!M:O,3,0)</f>
        <v>Hortifruti</v>
      </c>
      <c r="BV540" s="74">
        <f t="shared" si="342"/>
        <v>3</v>
      </c>
      <c r="BW540" s="74">
        <f t="shared" si="343"/>
        <v>1</v>
      </c>
      <c r="BX540" s="74">
        <f t="shared" si="344"/>
        <v>2</v>
      </c>
      <c r="BY540" s="74">
        <f t="shared" si="345"/>
        <v>3</v>
      </c>
      <c r="BZ540" s="74">
        <f t="shared" si="346"/>
        <v>3</v>
      </c>
    </row>
    <row r="541" spans="1:78" x14ac:dyDescent="0.25">
      <c r="A541" s="108" t="s">
        <v>666</v>
      </c>
      <c r="B541" s="12"/>
      <c r="C541" s="9">
        <v>1</v>
      </c>
      <c r="D541" s="25"/>
      <c r="E541" s="10" t="str">
        <f t="shared" si="265"/>
        <v>MarçoSEMANA 1Pimentão Vermelho</v>
      </c>
      <c r="F541" s="7">
        <f>SUMIF(NF!$A:$A,$E541,NF!$I:$I)</f>
        <v>2</v>
      </c>
      <c r="G541" s="74"/>
      <c r="H541" s="74"/>
      <c r="I541" s="74"/>
      <c r="J541" s="6">
        <v>1</v>
      </c>
      <c r="K541" s="6">
        <v>1</v>
      </c>
      <c r="L541" s="6"/>
      <c r="M541" s="6">
        <v>1</v>
      </c>
      <c r="N541" s="7">
        <f t="shared" si="337"/>
        <v>3</v>
      </c>
      <c r="O541" s="11">
        <f t="shared" si="267"/>
        <v>0</v>
      </c>
      <c r="P541" s="25"/>
      <c r="Q541" s="10" t="str">
        <f t="shared" si="268"/>
        <v>MarçoSEMANA 2Pimentão Vermelho</v>
      </c>
      <c r="R541" s="7">
        <f>SUMIF(NF!$A:$A,$Q541,NF!$I:$I)</f>
        <v>2</v>
      </c>
      <c r="S541" s="6"/>
      <c r="T541" s="6"/>
      <c r="U541" s="6"/>
      <c r="V541" s="6"/>
      <c r="W541" s="6"/>
      <c r="X541" s="6">
        <v>1</v>
      </c>
      <c r="Y541" s="6">
        <v>1</v>
      </c>
      <c r="Z541" s="7">
        <f t="shared" si="338"/>
        <v>2</v>
      </c>
      <c r="AA541" s="11">
        <f t="shared" si="270"/>
        <v>0</v>
      </c>
      <c r="AB541" s="25"/>
      <c r="AC541" s="10" t="str">
        <f t="shared" si="271"/>
        <v>MarçoSEMANA 3Pimentão Vermelho</v>
      </c>
      <c r="AD541" s="7">
        <f>SUMIF(NF!$A:$A,$AC541,NF!$I:$I)</f>
        <v>3</v>
      </c>
      <c r="AE541" s="6"/>
      <c r="AF541" s="6"/>
      <c r="AG541" s="6">
        <v>2</v>
      </c>
      <c r="AH541" s="6">
        <v>1</v>
      </c>
      <c r="AI541" s="6"/>
      <c r="AJ541" s="6"/>
      <c r="AK541" s="6"/>
      <c r="AL541" s="7">
        <f t="shared" si="339"/>
        <v>3</v>
      </c>
      <c r="AM541" s="11">
        <f t="shared" si="273"/>
        <v>0</v>
      </c>
      <c r="AN541" s="25"/>
      <c r="AO541" s="10" t="str">
        <f t="shared" si="274"/>
        <v>MarçoSEMANA 4Pimentão Vermelho</v>
      </c>
      <c r="AP541" s="7">
        <f>SUMIF(NF!$A:$A,$AO541,NF!$I:$I)</f>
        <v>3</v>
      </c>
      <c r="AQ541" s="6"/>
      <c r="AR541" s="6"/>
      <c r="AS541" s="6"/>
      <c r="AT541" s="6">
        <v>1</v>
      </c>
      <c r="AU541" s="6">
        <v>2</v>
      </c>
      <c r="AV541" s="6"/>
      <c r="AW541" s="6"/>
      <c r="AX541" s="7">
        <f t="shared" si="340"/>
        <v>3</v>
      </c>
      <c r="AY541" s="11">
        <f t="shared" si="276"/>
        <v>0</v>
      </c>
      <c r="AZ541" s="25"/>
      <c r="BA541" s="10" t="str">
        <f t="shared" si="277"/>
        <v>MarçoSEMANA 5Pimentão Vermelho</v>
      </c>
      <c r="BB541" s="7">
        <f>SUMIF(NF!$A:$A,$BA541,NF!$I:$I)</f>
        <v>6</v>
      </c>
      <c r="BC541" s="6">
        <v>2</v>
      </c>
      <c r="BD541" s="6"/>
      <c r="BE541" s="6"/>
      <c r="BF541" s="6">
        <v>2</v>
      </c>
      <c r="BG541" s="6"/>
      <c r="BH541" s="6">
        <v>1</v>
      </c>
      <c r="BI541" s="74"/>
      <c r="BJ541" s="74"/>
      <c r="BK541" s="7">
        <f t="shared" si="341"/>
        <v>5</v>
      </c>
      <c r="BL541" s="8">
        <f t="shared" si="279"/>
        <v>1</v>
      </c>
      <c r="BM541" s="51" t="str">
        <f>IFERROR(VLOOKUP(A541,NF!$M:$O,3,0),"")</f>
        <v>Hortifruti</v>
      </c>
      <c r="BN541" s="7">
        <f t="shared" si="280"/>
        <v>16</v>
      </c>
      <c r="BO541" s="8">
        <f t="array" ref="BO541">IFERROR(LARGE(IF(NF!$G$2:$G$3137='Mês atual'!A541,NF!$J$2:$J$3137),1),0)*BN541</f>
        <v>192</v>
      </c>
      <c r="BP541" s="50"/>
      <c r="BR541" s="146">
        <f t="array" ref="BR541">IFERROR(LARGE(IF(NF!$G$2:$G$3137='Mês atual'!A541,NF!$J$2:$J$3137),1),0)</f>
        <v>12</v>
      </c>
      <c r="BS541" s="142" t="str">
        <f>VLOOKUP(A541,NF!M:O,3,0)</f>
        <v>Hortifruti</v>
      </c>
      <c r="BV541" s="74">
        <f t="shared" si="342"/>
        <v>3</v>
      </c>
      <c r="BW541" s="74">
        <f t="shared" si="343"/>
        <v>2</v>
      </c>
      <c r="BX541" s="74">
        <f t="shared" si="344"/>
        <v>3</v>
      </c>
      <c r="BY541" s="74">
        <f t="shared" si="345"/>
        <v>3</v>
      </c>
      <c r="BZ541" s="74">
        <f t="shared" si="346"/>
        <v>5</v>
      </c>
    </row>
    <row r="542" spans="1:78" x14ac:dyDescent="0.2">
      <c r="A542" s="108" t="s">
        <v>689</v>
      </c>
      <c r="B542" s="12"/>
      <c r="C542" s="9">
        <v>0</v>
      </c>
      <c r="D542" s="25"/>
      <c r="E542" s="10" t="str">
        <f t="shared" si="265"/>
        <v>MarçoSEMANA 1Quiabo</v>
      </c>
      <c r="F542" s="7">
        <f>SUMIF(NF!$A:$A,$E542,NF!$I:$I)</f>
        <v>7</v>
      </c>
      <c r="G542" s="74"/>
      <c r="H542" s="74"/>
      <c r="I542" s="74"/>
      <c r="J542" s="6"/>
      <c r="K542" s="6"/>
      <c r="L542" s="6">
        <v>7</v>
      </c>
      <c r="M542" s="6"/>
      <c r="N542" s="7">
        <f t="shared" si="337"/>
        <v>7</v>
      </c>
      <c r="O542" s="11">
        <f t="shared" si="267"/>
        <v>0</v>
      </c>
      <c r="P542" s="25"/>
      <c r="Q542" s="10" t="str">
        <f t="shared" si="268"/>
        <v>MarçoSEMANA 2Quiabo</v>
      </c>
      <c r="R542" s="7">
        <f>SUMIF(NF!$A:$A,$Q542,NF!$I:$I)</f>
        <v>19</v>
      </c>
      <c r="S542" s="6"/>
      <c r="T542" s="6"/>
      <c r="U542" s="6"/>
      <c r="V542" s="6">
        <v>8</v>
      </c>
      <c r="W542" s="6">
        <v>6</v>
      </c>
      <c r="X542" s="6"/>
      <c r="Y542" s="6">
        <v>5</v>
      </c>
      <c r="Z542" s="7">
        <f t="shared" si="338"/>
        <v>19</v>
      </c>
      <c r="AA542" s="11">
        <f t="shared" si="270"/>
        <v>0</v>
      </c>
      <c r="AB542" s="25"/>
      <c r="AC542" s="10" t="str">
        <f t="shared" si="271"/>
        <v>MarçoSEMANA 3Quiabo</v>
      </c>
      <c r="AD542" s="7">
        <f>SUMIF(NF!$A:$A,$AC542,NF!$I:$I)</f>
        <v>16</v>
      </c>
      <c r="AE542" s="6"/>
      <c r="AF542" s="6"/>
      <c r="AG542" s="6">
        <v>6</v>
      </c>
      <c r="AH542" s="6"/>
      <c r="AI542" s="6">
        <v>10</v>
      </c>
      <c r="AJ542" s="6"/>
      <c r="AK542" s="6"/>
      <c r="AL542" s="7">
        <f t="shared" si="339"/>
        <v>16</v>
      </c>
      <c r="AM542" s="11">
        <f t="shared" si="273"/>
        <v>0</v>
      </c>
      <c r="AN542" s="25"/>
      <c r="AO542" s="10" t="str">
        <f t="shared" si="274"/>
        <v>MarçoSEMANA 4Quiabo</v>
      </c>
      <c r="AP542" s="7">
        <f>SUMIF(NF!$A:$A,$AO542,NF!$I:$I)</f>
        <v>7</v>
      </c>
      <c r="AQ542" s="6"/>
      <c r="AR542" s="6"/>
      <c r="AS542" s="6"/>
      <c r="AT542" s="6">
        <v>2</v>
      </c>
      <c r="AU542" s="6"/>
      <c r="AV542" s="6">
        <v>5</v>
      </c>
      <c r="AW542" s="6"/>
      <c r="AX542" s="7">
        <f t="shared" si="340"/>
        <v>7</v>
      </c>
      <c r="AY542" s="11">
        <f t="shared" si="276"/>
        <v>0</v>
      </c>
      <c r="AZ542" s="25"/>
      <c r="BA542" s="10" t="str">
        <f t="shared" si="277"/>
        <v>MarçoSEMANA 5Quiabo</v>
      </c>
      <c r="BB542" s="7">
        <f>SUMIF(NF!$A:$A,$BA542,NF!$I:$I)</f>
        <v>0</v>
      </c>
      <c r="BC542" s="6"/>
      <c r="BD542" s="6"/>
      <c r="BE542" s="6"/>
      <c r="BF542" s="6"/>
      <c r="BG542" s="6"/>
      <c r="BH542" s="6"/>
      <c r="BI542" s="74"/>
      <c r="BJ542" s="74"/>
      <c r="BK542" s="7">
        <f t="shared" si="341"/>
        <v>0</v>
      </c>
      <c r="BL542" s="8">
        <f t="shared" si="279"/>
        <v>0</v>
      </c>
      <c r="BM542" s="51" t="str">
        <f>IFERROR(VLOOKUP(A542,NF!$M:$O,3,0),"")</f>
        <v>Hortifruti</v>
      </c>
      <c r="BN542" s="7">
        <f t="shared" si="280"/>
        <v>49</v>
      </c>
      <c r="BO542" s="8">
        <f t="array" ref="BO542">IFERROR(LARGE(IF(NF!$G$2:$G$3137='Mês atual'!A542,NF!$J$2:$J$3137),1),0)*BN542</f>
        <v>196</v>
      </c>
      <c r="BP542" s="50"/>
      <c r="BR542" s="146">
        <f t="array" ref="BR542">IFERROR(LARGE(IF(NF!$G$2:$G$3137='Mês atual'!A542,NF!$J$2:$J$3137),1),0)</f>
        <v>4</v>
      </c>
      <c r="BS542" s="142" t="str">
        <f>VLOOKUP(A542,NF!M:O,3,0)</f>
        <v>Hortifruti</v>
      </c>
      <c r="BV542" s="74">
        <f t="shared" si="342"/>
        <v>7</v>
      </c>
      <c r="BW542" s="74">
        <f t="shared" si="343"/>
        <v>19</v>
      </c>
      <c r="BX542" s="74">
        <f t="shared" si="344"/>
        <v>16</v>
      </c>
      <c r="BY542" s="74">
        <f t="shared" si="345"/>
        <v>7</v>
      </c>
      <c r="BZ542" s="74">
        <f t="shared" si="346"/>
        <v>0</v>
      </c>
    </row>
    <row r="543" spans="1:78" x14ac:dyDescent="0.2">
      <c r="A543" s="108" t="s">
        <v>693</v>
      </c>
      <c r="B543" s="12"/>
      <c r="C543" s="9">
        <v>0</v>
      </c>
      <c r="D543" s="25"/>
      <c r="E543" s="10" t="str">
        <f t="shared" si="265"/>
        <v>MarçoSEMANA 1Rabanete</v>
      </c>
      <c r="F543" s="7">
        <f>SUMIF(NF!$A:$A,$E543,NF!$I:$I)</f>
        <v>0</v>
      </c>
      <c r="G543" s="74"/>
      <c r="H543" s="74"/>
      <c r="I543" s="74"/>
      <c r="J543" s="6"/>
      <c r="K543" s="6"/>
      <c r="L543" s="6"/>
      <c r="M543" s="6"/>
      <c r="N543" s="7">
        <f t="shared" si="337"/>
        <v>0</v>
      </c>
      <c r="O543" s="11">
        <f t="shared" si="267"/>
        <v>0</v>
      </c>
      <c r="P543" s="25"/>
      <c r="Q543" s="10" t="str">
        <f t="shared" si="268"/>
        <v>MarçoSEMANA 2Rabanete</v>
      </c>
      <c r="R543" s="7">
        <f>SUMIF(NF!$A:$A,$Q543,NF!$I:$I)</f>
        <v>2</v>
      </c>
      <c r="S543" s="6"/>
      <c r="T543" s="6"/>
      <c r="U543" s="6"/>
      <c r="V543" s="6"/>
      <c r="W543" s="6"/>
      <c r="X543" s="6">
        <v>2</v>
      </c>
      <c r="Y543" s="6"/>
      <c r="Z543" s="7">
        <f t="shared" si="338"/>
        <v>2</v>
      </c>
      <c r="AA543" s="11">
        <f t="shared" si="270"/>
        <v>0</v>
      </c>
      <c r="AB543" s="25"/>
      <c r="AC543" s="10" t="str">
        <f t="shared" si="271"/>
        <v>MarçoSEMANA 3Rabanete</v>
      </c>
      <c r="AD543" s="7">
        <f>SUMIF(NF!$A:$A,$AC543,NF!$I:$I)</f>
        <v>3.5</v>
      </c>
      <c r="AE543" s="6"/>
      <c r="AF543" s="6">
        <v>3.5</v>
      </c>
      <c r="AG543" s="6"/>
      <c r="AH543" s="6"/>
      <c r="AI543" s="6"/>
      <c r="AJ543" s="6"/>
      <c r="AK543" s="6"/>
      <c r="AL543" s="7">
        <f t="shared" si="339"/>
        <v>3.5</v>
      </c>
      <c r="AM543" s="11">
        <f t="shared" si="273"/>
        <v>0</v>
      </c>
      <c r="AN543" s="25"/>
      <c r="AO543" s="10" t="str">
        <f t="shared" si="274"/>
        <v>MarçoSEMANA 4Rabanete</v>
      </c>
      <c r="AP543" s="7">
        <f>SUMIF(NF!$A:$A,$AO543,NF!$I:$I)</f>
        <v>0.5</v>
      </c>
      <c r="AQ543" s="6"/>
      <c r="AR543" s="6"/>
      <c r="AS543" s="6"/>
      <c r="AT543" s="6"/>
      <c r="AU543" s="6">
        <v>0.5</v>
      </c>
      <c r="AV543" s="6"/>
      <c r="AW543" s="6"/>
      <c r="AX543" s="7">
        <f t="shared" si="340"/>
        <v>0.5</v>
      </c>
      <c r="AY543" s="11">
        <f t="shared" si="276"/>
        <v>0</v>
      </c>
      <c r="AZ543" s="25"/>
      <c r="BA543" s="10" t="str">
        <f t="shared" si="277"/>
        <v>MarçoSEMANA 5Rabanete</v>
      </c>
      <c r="BB543" s="7">
        <f>SUMIF(NF!$A:$A,$BA543,NF!$I:$I)</f>
        <v>2</v>
      </c>
      <c r="BC543" s="6"/>
      <c r="BD543" s="6"/>
      <c r="BE543" s="6"/>
      <c r="BF543" s="6"/>
      <c r="BG543" s="6"/>
      <c r="BH543" s="6"/>
      <c r="BI543" s="74"/>
      <c r="BJ543" s="74"/>
      <c r="BK543" s="7">
        <f t="shared" si="341"/>
        <v>0</v>
      </c>
      <c r="BL543" s="8">
        <f t="shared" si="279"/>
        <v>2</v>
      </c>
      <c r="BM543" s="51" t="str">
        <f>IFERROR(VLOOKUP(A543,NF!$M:$O,3,0),"")</f>
        <v>Hortifruti</v>
      </c>
      <c r="BN543" s="7">
        <f t="shared" si="280"/>
        <v>6</v>
      </c>
      <c r="BO543" s="8">
        <f t="array" ref="BO543">IFERROR(LARGE(IF(NF!$G$2:$G$3137='Mês atual'!A543,NF!$J$2:$J$3137),1),0)*BN543</f>
        <v>40.799999999999997</v>
      </c>
      <c r="BP543" s="50"/>
      <c r="BR543" s="146">
        <f t="array" ref="BR543">IFERROR(LARGE(IF(NF!$G$2:$G$3137='Mês atual'!A543,NF!$J$2:$J$3137),1),0)</f>
        <v>6.8</v>
      </c>
      <c r="BS543" s="142" t="str">
        <f>VLOOKUP(A543,NF!M:O,3,0)</f>
        <v>Hortifruti</v>
      </c>
      <c r="BV543" s="74">
        <f t="shared" si="342"/>
        <v>0</v>
      </c>
      <c r="BW543" s="74">
        <f t="shared" si="343"/>
        <v>2</v>
      </c>
      <c r="BX543" s="74">
        <f t="shared" si="344"/>
        <v>3.5</v>
      </c>
      <c r="BY543" s="74">
        <f t="shared" si="345"/>
        <v>0.5</v>
      </c>
      <c r="BZ543" s="74">
        <f t="shared" si="346"/>
        <v>0</v>
      </c>
    </row>
    <row r="544" spans="1:78" x14ac:dyDescent="0.25">
      <c r="A544" s="108" t="s">
        <v>694</v>
      </c>
      <c r="B544" s="12"/>
      <c r="C544" s="9">
        <v>0</v>
      </c>
      <c r="D544" s="25"/>
      <c r="E544" s="10" t="str">
        <f t="shared" si="265"/>
        <v>MarçoSEMANA 1Rabanete Orgânico</v>
      </c>
      <c r="F544" s="7">
        <f>SUMIF(NF!$A:$A,$E544,NF!$I:$I)</f>
        <v>0</v>
      </c>
      <c r="G544" s="74"/>
      <c r="H544" s="74"/>
      <c r="I544" s="74"/>
      <c r="J544" s="6"/>
      <c r="K544" s="6"/>
      <c r="L544" s="6"/>
      <c r="M544" s="6"/>
      <c r="N544" s="7">
        <f t="shared" si="337"/>
        <v>0</v>
      </c>
      <c r="O544" s="11">
        <f t="shared" si="267"/>
        <v>0</v>
      </c>
      <c r="P544" s="25"/>
      <c r="Q544" s="10" t="str">
        <f t="shared" si="268"/>
        <v>MarçoSEMANA 2Rabanete Orgânico</v>
      </c>
      <c r="R544" s="7">
        <f>SUMIF(NF!$A:$A,$Q544,NF!$I:$I)</f>
        <v>0</v>
      </c>
      <c r="S544" s="6"/>
      <c r="T544" s="6"/>
      <c r="U544" s="6"/>
      <c r="V544" s="6"/>
      <c r="W544" s="6"/>
      <c r="X544" s="6"/>
      <c r="Y544" s="6"/>
      <c r="Z544" s="7">
        <f t="shared" si="338"/>
        <v>0</v>
      </c>
      <c r="AA544" s="11">
        <f t="shared" si="270"/>
        <v>0</v>
      </c>
      <c r="AB544" s="25"/>
      <c r="AC544" s="10" t="str">
        <f t="shared" si="271"/>
        <v>MarçoSEMANA 3Rabanete Orgânico</v>
      </c>
      <c r="AD544" s="7">
        <f>SUMIF(NF!$A:$A,$AC544,NF!$I:$I)</f>
        <v>0</v>
      </c>
      <c r="AE544" s="6"/>
      <c r="AF544" s="6"/>
      <c r="AG544" s="6"/>
      <c r="AH544" s="6"/>
      <c r="AI544" s="6"/>
      <c r="AJ544" s="6"/>
      <c r="AK544" s="6"/>
      <c r="AL544" s="7">
        <f t="shared" si="339"/>
        <v>0</v>
      </c>
      <c r="AM544" s="11">
        <f t="shared" si="273"/>
        <v>0</v>
      </c>
      <c r="AN544" s="25"/>
      <c r="AO544" s="10" t="str">
        <f t="shared" si="274"/>
        <v>MarçoSEMANA 4Rabanete Orgânico</v>
      </c>
      <c r="AP544" s="7">
        <f>SUMIF(NF!$A:$A,$AO544,NF!$I:$I)</f>
        <v>0</v>
      </c>
      <c r="AQ544" s="6"/>
      <c r="AR544" s="6"/>
      <c r="AS544" s="6"/>
      <c r="AT544" s="6"/>
      <c r="AU544" s="6" t="s">
        <v>1286</v>
      </c>
      <c r="AV544" s="6"/>
      <c r="AW544" s="6"/>
      <c r="AX544" s="7">
        <f t="shared" si="340"/>
        <v>0</v>
      </c>
      <c r="AY544" s="11">
        <f t="shared" si="276"/>
        <v>0</v>
      </c>
      <c r="AZ544" s="25"/>
      <c r="BA544" s="10" t="str">
        <f t="shared" si="277"/>
        <v>MarçoSEMANA 5Rabanete Orgânico</v>
      </c>
      <c r="BB544" s="7">
        <f>SUMIF(NF!$A:$A,$BA544,NF!$I:$I)</f>
        <v>0</v>
      </c>
      <c r="BC544" s="6"/>
      <c r="BD544" s="6"/>
      <c r="BE544" s="6"/>
      <c r="BF544" s="6"/>
      <c r="BG544" s="6"/>
      <c r="BH544" s="6"/>
      <c r="BI544" s="74"/>
      <c r="BJ544" s="74"/>
      <c r="BK544" s="7">
        <f t="shared" si="341"/>
        <v>0</v>
      </c>
      <c r="BL544" s="8">
        <f t="shared" si="279"/>
        <v>0</v>
      </c>
      <c r="BM544" s="51" t="str">
        <f>IFERROR(VLOOKUP(A544,NF!$M:$O,3,0),"")</f>
        <v>Hortifruti</v>
      </c>
      <c r="BN544" s="7">
        <f t="shared" si="280"/>
        <v>0</v>
      </c>
      <c r="BO544" s="8">
        <f t="array" ref="BO544">IFERROR(LARGE(IF(NF!$G$2:$G$3137='Mês atual'!A544,NF!$J$2:$J$3137),1),0)*BN544</f>
        <v>0</v>
      </c>
      <c r="BP544" s="50"/>
      <c r="BR544" s="146">
        <f t="array" ref="BR544">IFERROR(LARGE(IF(NF!$G$2:$G$3137='Mês atual'!A544,NF!$J$2:$J$3137),1),0)</f>
        <v>0</v>
      </c>
      <c r="BS544" s="142" t="str">
        <f>VLOOKUP(A544,NF!M:O,3,0)</f>
        <v>Hortifruti</v>
      </c>
      <c r="BV544" s="74">
        <f t="shared" si="342"/>
        <v>0</v>
      </c>
      <c r="BW544" s="74">
        <f t="shared" si="343"/>
        <v>0</v>
      </c>
      <c r="BX544" s="74">
        <f t="shared" si="344"/>
        <v>0</v>
      </c>
      <c r="BY544" s="74">
        <f t="shared" si="345"/>
        <v>0</v>
      </c>
      <c r="BZ544" s="74">
        <f t="shared" si="346"/>
        <v>0</v>
      </c>
    </row>
    <row r="545" spans="1:78" x14ac:dyDescent="0.2">
      <c r="A545" s="108" t="s">
        <v>695</v>
      </c>
      <c r="B545" s="12"/>
      <c r="C545" s="9">
        <v>0</v>
      </c>
      <c r="D545" s="25"/>
      <c r="E545" s="10" t="str">
        <f t="shared" si="265"/>
        <v>MarçoSEMANA 1Radichio</v>
      </c>
      <c r="F545" s="7">
        <f>SUMIF(NF!$A:$A,$E545,NF!$I:$I)</f>
        <v>0</v>
      </c>
      <c r="G545" s="74"/>
      <c r="H545" s="74"/>
      <c r="I545" s="74"/>
      <c r="J545" s="6"/>
      <c r="K545" s="6"/>
      <c r="L545" s="6"/>
      <c r="M545" s="6"/>
      <c r="N545" s="7">
        <f t="shared" si="337"/>
        <v>0</v>
      </c>
      <c r="O545" s="11">
        <f t="shared" si="267"/>
        <v>0</v>
      </c>
      <c r="P545" s="25"/>
      <c r="Q545" s="10" t="str">
        <f t="shared" si="268"/>
        <v>MarçoSEMANA 2Radichio</v>
      </c>
      <c r="R545" s="7">
        <f>SUMIF(NF!$A:$A,$Q545,NF!$I:$I)</f>
        <v>0</v>
      </c>
      <c r="S545" s="6"/>
      <c r="T545" s="6"/>
      <c r="U545" s="6"/>
      <c r="V545" s="6"/>
      <c r="W545" s="6"/>
      <c r="X545" s="6"/>
      <c r="Y545" s="6"/>
      <c r="Z545" s="7">
        <f t="shared" si="338"/>
        <v>0</v>
      </c>
      <c r="AA545" s="11">
        <f t="shared" si="270"/>
        <v>0</v>
      </c>
      <c r="AB545" s="25"/>
      <c r="AC545" s="10" t="str">
        <f t="shared" si="271"/>
        <v>MarçoSEMANA 3Radichio</v>
      </c>
      <c r="AD545" s="7">
        <f>SUMIF(NF!$A:$A,$AC545,NF!$I:$I)</f>
        <v>0</v>
      </c>
      <c r="AE545" s="6"/>
      <c r="AF545" s="6"/>
      <c r="AG545" s="6"/>
      <c r="AH545" s="6"/>
      <c r="AI545" s="6"/>
      <c r="AJ545" s="6"/>
      <c r="AK545" s="6"/>
      <c r="AL545" s="7">
        <f t="shared" si="339"/>
        <v>0</v>
      </c>
      <c r="AM545" s="11">
        <f t="shared" si="273"/>
        <v>0</v>
      </c>
      <c r="AN545" s="25"/>
      <c r="AO545" s="10" t="str">
        <f t="shared" si="274"/>
        <v>MarçoSEMANA 4Radichio</v>
      </c>
      <c r="AP545" s="7">
        <f>SUMIF(NF!$A:$A,$AO545,NF!$I:$I)</f>
        <v>0</v>
      </c>
      <c r="AQ545" s="6"/>
      <c r="AR545" s="6"/>
      <c r="AS545" s="6"/>
      <c r="AT545" s="6"/>
      <c r="AU545" s="6"/>
      <c r="AV545" s="6"/>
      <c r="AW545" s="6"/>
      <c r="AX545" s="7">
        <f t="shared" si="340"/>
        <v>0</v>
      </c>
      <c r="AY545" s="11">
        <f t="shared" si="276"/>
        <v>0</v>
      </c>
      <c r="AZ545" s="25"/>
      <c r="BA545" s="10" t="str">
        <f t="shared" si="277"/>
        <v>MarçoSEMANA 5Radichio</v>
      </c>
      <c r="BB545" s="7">
        <f>SUMIF(NF!$A:$A,$BA545,NF!$I:$I)</f>
        <v>0</v>
      </c>
      <c r="BC545" s="6"/>
      <c r="BD545" s="6"/>
      <c r="BE545" s="6"/>
      <c r="BF545" s="6"/>
      <c r="BG545" s="6"/>
      <c r="BH545" s="6"/>
      <c r="BI545" s="74"/>
      <c r="BJ545" s="74"/>
      <c r="BK545" s="7">
        <f t="shared" si="341"/>
        <v>0</v>
      </c>
      <c r="BL545" s="8">
        <f t="shared" si="279"/>
        <v>0</v>
      </c>
      <c r="BM545" s="51" t="str">
        <f>IFERROR(VLOOKUP(A545,NF!$M:$O,3,0),"")</f>
        <v>Hortifruti</v>
      </c>
      <c r="BN545" s="7">
        <f t="shared" si="280"/>
        <v>0</v>
      </c>
      <c r="BO545" s="8">
        <f t="array" ref="BO545">IFERROR(LARGE(IF(NF!$G$2:$G$3137='Mês atual'!A545,NF!$J$2:$J$3137),1),0)*BN545</f>
        <v>0</v>
      </c>
      <c r="BP545" s="50"/>
      <c r="BR545" s="146">
        <f t="array" ref="BR545">IFERROR(LARGE(IF(NF!$G$2:$G$3137='Mês atual'!A545,NF!$J$2:$J$3137),1),0)</f>
        <v>0</v>
      </c>
      <c r="BS545" s="142" t="str">
        <f>VLOOKUP(A545,NF!M:O,3,0)</f>
        <v>Hortifruti</v>
      </c>
      <c r="BV545" s="74">
        <f t="shared" si="342"/>
        <v>0</v>
      </c>
      <c r="BW545" s="74">
        <f t="shared" si="343"/>
        <v>0</v>
      </c>
      <c r="BX545" s="74">
        <f t="shared" si="344"/>
        <v>0</v>
      </c>
      <c r="BY545" s="74">
        <f t="shared" si="345"/>
        <v>0</v>
      </c>
      <c r="BZ545" s="74">
        <f t="shared" si="346"/>
        <v>0</v>
      </c>
    </row>
    <row r="546" spans="1:78" x14ac:dyDescent="0.25">
      <c r="A546" s="108" t="s">
        <v>696</v>
      </c>
      <c r="B546" s="12"/>
      <c r="C546" s="9">
        <v>0</v>
      </c>
      <c r="D546" s="25"/>
      <c r="E546" s="10" t="str">
        <f t="shared" si="265"/>
        <v>MarçoSEMANA 1Radichio Orgânico</v>
      </c>
      <c r="F546" s="7">
        <f>SUMIF(NF!$A:$A,$E546,NF!$I:$I)</f>
        <v>0</v>
      </c>
      <c r="G546" s="74"/>
      <c r="H546" s="74"/>
      <c r="I546" s="74"/>
      <c r="J546" s="6"/>
      <c r="K546" s="6"/>
      <c r="L546" s="6"/>
      <c r="M546" s="6"/>
      <c r="N546" s="7">
        <f t="shared" si="337"/>
        <v>0</v>
      </c>
      <c r="O546" s="11">
        <f t="shared" si="267"/>
        <v>0</v>
      </c>
      <c r="P546" s="25"/>
      <c r="Q546" s="10" t="str">
        <f t="shared" si="268"/>
        <v>MarçoSEMANA 2Radichio Orgânico</v>
      </c>
      <c r="R546" s="7">
        <f>SUMIF(NF!$A:$A,$Q546,NF!$I:$I)</f>
        <v>0</v>
      </c>
      <c r="S546" s="6"/>
      <c r="T546" s="6"/>
      <c r="U546" s="6"/>
      <c r="V546" s="6"/>
      <c r="W546" s="6"/>
      <c r="X546" s="6"/>
      <c r="Y546" s="6"/>
      <c r="Z546" s="7">
        <f t="shared" si="338"/>
        <v>0</v>
      </c>
      <c r="AA546" s="11">
        <f t="shared" si="270"/>
        <v>0</v>
      </c>
      <c r="AB546" s="25"/>
      <c r="AC546" s="10" t="str">
        <f t="shared" si="271"/>
        <v>MarçoSEMANA 3Radichio Orgânico</v>
      </c>
      <c r="AD546" s="7">
        <f>SUMIF(NF!$A:$A,$AC546,NF!$I:$I)</f>
        <v>0</v>
      </c>
      <c r="AE546" s="6"/>
      <c r="AF546" s="6"/>
      <c r="AG546" s="6"/>
      <c r="AH546" s="6"/>
      <c r="AI546" s="6"/>
      <c r="AJ546" s="6"/>
      <c r="AK546" s="6"/>
      <c r="AL546" s="7">
        <f t="shared" si="339"/>
        <v>0</v>
      </c>
      <c r="AM546" s="11">
        <f t="shared" si="273"/>
        <v>0</v>
      </c>
      <c r="AN546" s="25"/>
      <c r="AO546" s="10" t="str">
        <f t="shared" si="274"/>
        <v>MarçoSEMANA 4Radichio Orgânico</v>
      </c>
      <c r="AP546" s="7">
        <f>SUMIF(NF!$A:$A,$AO546,NF!$I:$I)</f>
        <v>0</v>
      </c>
      <c r="AQ546" s="6"/>
      <c r="AR546" s="6"/>
      <c r="AS546" s="6"/>
      <c r="AT546" s="6"/>
      <c r="AU546" s="6"/>
      <c r="AV546" s="6"/>
      <c r="AW546" s="6"/>
      <c r="AX546" s="7">
        <f t="shared" si="340"/>
        <v>0</v>
      </c>
      <c r="AY546" s="11">
        <f t="shared" si="276"/>
        <v>0</v>
      </c>
      <c r="AZ546" s="25"/>
      <c r="BA546" s="10" t="str">
        <f t="shared" si="277"/>
        <v>MarçoSEMANA 5Radichio Orgânico</v>
      </c>
      <c r="BB546" s="7">
        <f>SUMIF(NF!$A:$A,$BA546,NF!$I:$I)</f>
        <v>0</v>
      </c>
      <c r="BC546" s="6"/>
      <c r="BD546" s="6"/>
      <c r="BE546" s="6"/>
      <c r="BF546" s="6"/>
      <c r="BG546" s="6"/>
      <c r="BH546" s="6"/>
      <c r="BI546" s="74"/>
      <c r="BJ546" s="74"/>
      <c r="BK546" s="7">
        <f t="shared" si="341"/>
        <v>0</v>
      </c>
      <c r="BL546" s="8">
        <f t="shared" si="279"/>
        <v>0</v>
      </c>
      <c r="BM546" s="51" t="str">
        <f>IFERROR(VLOOKUP(A546,NF!$M:$O,3,0),"")</f>
        <v>Hortifruti</v>
      </c>
      <c r="BN546" s="7">
        <f t="shared" si="280"/>
        <v>0</v>
      </c>
      <c r="BO546" s="8">
        <f t="array" ref="BO546">IFERROR(LARGE(IF(NF!$G$2:$G$3137='Mês atual'!A546,NF!$J$2:$J$3137),1),0)*BN546</f>
        <v>0</v>
      </c>
      <c r="BP546" s="50"/>
      <c r="BR546" s="146">
        <f t="array" ref="BR546">IFERROR(LARGE(IF(NF!$G$2:$G$3137='Mês atual'!A546,NF!$J$2:$J$3137),1),0)</f>
        <v>0</v>
      </c>
      <c r="BS546" s="142" t="str">
        <f>VLOOKUP(A546,NF!M:O,3,0)</f>
        <v>Hortifruti</v>
      </c>
      <c r="BV546" s="74">
        <f t="shared" si="342"/>
        <v>0</v>
      </c>
      <c r="BW546" s="74">
        <f t="shared" si="343"/>
        <v>0</v>
      </c>
      <c r="BX546" s="74">
        <f t="shared" si="344"/>
        <v>0</v>
      </c>
      <c r="BY546" s="74">
        <f t="shared" si="345"/>
        <v>0</v>
      </c>
      <c r="BZ546" s="74">
        <f t="shared" si="346"/>
        <v>0</v>
      </c>
    </row>
    <row r="547" spans="1:78" x14ac:dyDescent="0.2">
      <c r="A547" s="108" t="s">
        <v>700</v>
      </c>
      <c r="B547" s="12"/>
      <c r="C547" s="9">
        <v>0</v>
      </c>
      <c r="D547" s="25"/>
      <c r="E547" s="10" t="str">
        <f t="shared" si="265"/>
        <v>MarçoSEMANA 1Repolho</v>
      </c>
      <c r="F547" s="7">
        <f>SUMIF(NF!$A:$A,$E547,NF!$I:$I)</f>
        <v>0</v>
      </c>
      <c r="G547" s="74"/>
      <c r="H547" s="74"/>
      <c r="I547" s="74"/>
      <c r="J547" s="6"/>
      <c r="K547" s="6"/>
      <c r="L547" s="6"/>
      <c r="M547" s="6"/>
      <c r="N547" s="7">
        <f t="shared" si="337"/>
        <v>0</v>
      </c>
      <c r="O547" s="11">
        <f t="shared" si="267"/>
        <v>0</v>
      </c>
      <c r="P547" s="25"/>
      <c r="Q547" s="10" t="str">
        <f t="shared" si="268"/>
        <v>MarçoSEMANA 2Repolho</v>
      </c>
      <c r="R547" s="7">
        <f>SUMIF(NF!$A:$A,$Q547,NF!$I:$I)</f>
        <v>6</v>
      </c>
      <c r="S547" s="6"/>
      <c r="T547" s="6"/>
      <c r="U547" s="6">
        <v>3</v>
      </c>
      <c r="V547" s="6">
        <v>3</v>
      </c>
      <c r="W547" s="6"/>
      <c r="X547" s="6"/>
      <c r="Y547" s="6"/>
      <c r="Z547" s="7">
        <f t="shared" si="338"/>
        <v>6</v>
      </c>
      <c r="AA547" s="11">
        <f t="shared" si="270"/>
        <v>0</v>
      </c>
      <c r="AB547" s="25"/>
      <c r="AC547" s="10" t="str">
        <f t="shared" si="271"/>
        <v>MarçoSEMANA 3Repolho</v>
      </c>
      <c r="AD547" s="7">
        <f>SUMIF(NF!$A:$A,$AC547,NF!$I:$I)</f>
        <v>6</v>
      </c>
      <c r="AE547" s="6"/>
      <c r="AF547" s="6"/>
      <c r="AG547" s="6">
        <v>6</v>
      </c>
      <c r="AH547" s="6"/>
      <c r="AI547" s="6"/>
      <c r="AJ547" s="6"/>
      <c r="AK547" s="6"/>
      <c r="AL547" s="7">
        <f t="shared" si="339"/>
        <v>6</v>
      </c>
      <c r="AM547" s="11">
        <f t="shared" si="273"/>
        <v>0</v>
      </c>
      <c r="AN547" s="25"/>
      <c r="AO547" s="10" t="str">
        <f t="shared" si="274"/>
        <v>MarçoSEMANA 4Repolho</v>
      </c>
      <c r="AP547" s="7">
        <f>SUMIF(NF!$A:$A,$AO547,NF!$I:$I)</f>
        <v>15.5</v>
      </c>
      <c r="AQ547" s="6">
        <v>6</v>
      </c>
      <c r="AR547" s="6"/>
      <c r="AS547" s="6"/>
      <c r="AT547" s="6"/>
      <c r="AU547" s="6"/>
      <c r="AV547" s="6">
        <v>2.5</v>
      </c>
      <c r="AW547" s="6"/>
      <c r="AX547" s="7">
        <f t="shared" si="340"/>
        <v>8.5</v>
      </c>
      <c r="AY547" s="11">
        <f t="shared" si="276"/>
        <v>7</v>
      </c>
      <c r="AZ547" s="25"/>
      <c r="BA547" s="10" t="str">
        <f t="shared" si="277"/>
        <v>MarçoSEMANA 5Repolho</v>
      </c>
      <c r="BB547" s="7">
        <f>SUMIF(NF!$A:$A,$BA547,NF!$I:$I)</f>
        <v>3</v>
      </c>
      <c r="BC547" s="6">
        <v>4</v>
      </c>
      <c r="BD547" s="6"/>
      <c r="BE547" s="6"/>
      <c r="BF547" s="6">
        <v>3</v>
      </c>
      <c r="BG547" s="6"/>
      <c r="BH547" s="6"/>
      <c r="BI547" s="74"/>
      <c r="BJ547" s="74"/>
      <c r="BK547" s="7">
        <f t="shared" si="341"/>
        <v>7</v>
      </c>
      <c r="BL547" s="8">
        <f t="shared" si="279"/>
        <v>3</v>
      </c>
      <c r="BM547" s="51" t="str">
        <f>IFERROR(VLOOKUP(A547,NF!$M:$O,3,0),"")</f>
        <v>Hortifruti</v>
      </c>
      <c r="BN547" s="7">
        <f t="shared" si="280"/>
        <v>27.5</v>
      </c>
      <c r="BO547" s="8">
        <f t="array" ref="BO547">IFERROR(LARGE(IF(NF!$G$2:$G$3137='Mês atual'!A547,NF!$J$2:$J$3137),1),0)*BN547</f>
        <v>55</v>
      </c>
      <c r="BP547" s="50"/>
      <c r="BR547" s="146">
        <f t="array" ref="BR547">IFERROR(LARGE(IF(NF!$G$2:$G$3137='Mês atual'!A547,NF!$J$2:$J$3137),1),0)</f>
        <v>2</v>
      </c>
      <c r="BS547" s="142" t="str">
        <f>VLOOKUP(A547,NF!M:O,3,0)</f>
        <v>Hortifruti</v>
      </c>
      <c r="BV547" s="74">
        <f t="shared" si="342"/>
        <v>0</v>
      </c>
      <c r="BW547" s="74">
        <f t="shared" si="343"/>
        <v>6</v>
      </c>
      <c r="BX547" s="74">
        <f t="shared" si="344"/>
        <v>6</v>
      </c>
      <c r="BY547" s="74">
        <f t="shared" si="345"/>
        <v>8.5</v>
      </c>
      <c r="BZ547" s="74">
        <f t="shared" si="346"/>
        <v>7</v>
      </c>
    </row>
    <row r="548" spans="1:78" x14ac:dyDescent="0.25">
      <c r="A548" s="108" t="s">
        <v>701</v>
      </c>
      <c r="B548" s="12"/>
      <c r="C548" s="9">
        <v>0</v>
      </c>
      <c r="D548" s="25"/>
      <c r="E548" s="10" t="str">
        <f t="shared" si="265"/>
        <v>MarçoSEMANA 1Repolho Orgânico</v>
      </c>
      <c r="F548" s="7">
        <f>SUMIF(NF!$A:$A,$E548,NF!$I:$I)</f>
        <v>0</v>
      </c>
      <c r="G548" s="74"/>
      <c r="H548" s="74"/>
      <c r="I548" s="74"/>
      <c r="J548" s="6"/>
      <c r="K548" s="6"/>
      <c r="L548" s="6"/>
      <c r="M548" s="6"/>
      <c r="N548" s="7">
        <f t="shared" si="337"/>
        <v>0</v>
      </c>
      <c r="O548" s="11">
        <f t="shared" si="267"/>
        <v>0</v>
      </c>
      <c r="P548" s="25"/>
      <c r="Q548" s="10" t="str">
        <f t="shared" si="268"/>
        <v>MarçoSEMANA 2Repolho Orgânico</v>
      </c>
      <c r="R548" s="7">
        <f>SUMIF(NF!$A:$A,$Q548,NF!$I:$I)</f>
        <v>0</v>
      </c>
      <c r="S548" s="6"/>
      <c r="T548" s="6"/>
      <c r="U548" s="6"/>
      <c r="V548" s="6"/>
      <c r="W548" s="6"/>
      <c r="X548" s="6"/>
      <c r="Y548" s="6"/>
      <c r="Z548" s="7">
        <f t="shared" si="338"/>
        <v>0</v>
      </c>
      <c r="AA548" s="11">
        <f t="shared" si="270"/>
        <v>0</v>
      </c>
      <c r="AB548" s="25"/>
      <c r="AC548" s="10" t="str">
        <f t="shared" si="271"/>
        <v>MarçoSEMANA 3Repolho Orgânico</v>
      </c>
      <c r="AD548" s="7">
        <f>SUMIF(NF!$A:$A,$AC548,NF!$I:$I)</f>
        <v>0</v>
      </c>
      <c r="AE548" s="6"/>
      <c r="AF548" s="6"/>
      <c r="AG548" s="6"/>
      <c r="AH548" s="6"/>
      <c r="AI548" s="6"/>
      <c r="AJ548" s="6"/>
      <c r="AK548" s="6"/>
      <c r="AL548" s="7">
        <f t="shared" si="339"/>
        <v>0</v>
      </c>
      <c r="AM548" s="11">
        <f t="shared" si="273"/>
        <v>0</v>
      </c>
      <c r="AN548" s="25"/>
      <c r="AO548" s="10" t="str">
        <f t="shared" si="274"/>
        <v>MarçoSEMANA 4Repolho Orgânico</v>
      </c>
      <c r="AP548" s="7">
        <f>SUMIF(NF!$A:$A,$AO548,NF!$I:$I)</f>
        <v>0</v>
      </c>
      <c r="AQ548" s="6"/>
      <c r="AR548" s="6"/>
      <c r="AS548" s="6"/>
      <c r="AT548" s="6"/>
      <c r="AU548" s="6"/>
      <c r="AV548" s="6"/>
      <c r="AW548" s="6"/>
      <c r="AX548" s="7">
        <f t="shared" si="340"/>
        <v>0</v>
      </c>
      <c r="AY548" s="11">
        <f t="shared" si="276"/>
        <v>0</v>
      </c>
      <c r="AZ548" s="25"/>
      <c r="BA548" s="10" t="str">
        <f t="shared" si="277"/>
        <v>MarçoSEMANA 5Repolho Orgânico</v>
      </c>
      <c r="BB548" s="7">
        <f>SUMIF(NF!$A:$A,$BA548,NF!$I:$I)</f>
        <v>0</v>
      </c>
      <c r="BC548" s="6"/>
      <c r="BD548" s="6"/>
      <c r="BE548" s="6"/>
      <c r="BF548" s="6"/>
      <c r="BG548" s="6"/>
      <c r="BH548" s="6"/>
      <c r="BI548" s="74"/>
      <c r="BJ548" s="74"/>
      <c r="BK548" s="7">
        <f t="shared" si="341"/>
        <v>0</v>
      </c>
      <c r="BL548" s="8">
        <f t="shared" si="279"/>
        <v>0</v>
      </c>
      <c r="BM548" s="51" t="str">
        <f>IFERROR(VLOOKUP(A548,NF!$M:$O,3,0),"")</f>
        <v>Hortifruti</v>
      </c>
      <c r="BN548" s="7">
        <f t="shared" si="280"/>
        <v>0</v>
      </c>
      <c r="BO548" s="8">
        <f t="array" ref="BO548">IFERROR(LARGE(IF(NF!$G$2:$G$3137='Mês atual'!A548,NF!$J$2:$J$3137),1),0)*BN548</f>
        <v>0</v>
      </c>
      <c r="BP548" s="50"/>
      <c r="BR548" s="146">
        <f t="array" ref="BR548">IFERROR(LARGE(IF(NF!$G$2:$G$3137='Mês atual'!A548,NF!$J$2:$J$3137),1),0)</f>
        <v>0</v>
      </c>
      <c r="BS548" s="142" t="str">
        <f>VLOOKUP(A548,NF!M:O,3,0)</f>
        <v>Hortifruti</v>
      </c>
      <c r="BV548" s="74">
        <f t="shared" si="342"/>
        <v>0</v>
      </c>
      <c r="BW548" s="74">
        <f t="shared" si="343"/>
        <v>0</v>
      </c>
      <c r="BX548" s="74">
        <f t="shared" si="344"/>
        <v>0</v>
      </c>
      <c r="BY548" s="74">
        <f t="shared" si="345"/>
        <v>0</v>
      </c>
      <c r="BZ548" s="74">
        <f t="shared" si="346"/>
        <v>0</v>
      </c>
    </row>
    <row r="549" spans="1:78" x14ac:dyDescent="0.2">
      <c r="A549" s="108" t="s">
        <v>702</v>
      </c>
      <c r="B549" s="12"/>
      <c r="C549" s="9">
        <v>0</v>
      </c>
      <c r="D549" s="25"/>
      <c r="E549" s="10" t="str">
        <f t="shared" si="265"/>
        <v>MarçoSEMANA 1Repolho Roxo</v>
      </c>
      <c r="F549" s="7">
        <f>SUMIF(NF!$A:$A,$E549,NF!$I:$I)</f>
        <v>0</v>
      </c>
      <c r="G549" s="74"/>
      <c r="H549" s="74"/>
      <c r="I549" s="74"/>
      <c r="J549" s="6"/>
      <c r="K549" s="6"/>
      <c r="L549" s="6"/>
      <c r="M549" s="6"/>
      <c r="N549" s="7">
        <f t="shared" si="337"/>
        <v>0</v>
      </c>
      <c r="O549" s="11">
        <f t="shared" si="267"/>
        <v>0</v>
      </c>
      <c r="P549" s="25"/>
      <c r="Q549" s="10" t="str">
        <f t="shared" si="268"/>
        <v>MarçoSEMANA 2Repolho Roxo</v>
      </c>
      <c r="R549" s="7">
        <f>SUMIF(NF!$A:$A,$Q549,NF!$I:$I)</f>
        <v>0</v>
      </c>
      <c r="S549" s="6"/>
      <c r="T549" s="6"/>
      <c r="U549" s="6"/>
      <c r="V549" s="6"/>
      <c r="W549" s="6"/>
      <c r="X549" s="6"/>
      <c r="Y549" s="6"/>
      <c r="Z549" s="7">
        <f t="shared" si="338"/>
        <v>0</v>
      </c>
      <c r="AA549" s="11">
        <f t="shared" si="270"/>
        <v>0</v>
      </c>
      <c r="AB549" s="25"/>
      <c r="AC549" s="10" t="str">
        <f t="shared" si="271"/>
        <v>MarçoSEMANA 3Repolho Roxo</v>
      </c>
      <c r="AD549" s="7">
        <f>SUMIF(NF!$A:$A,$AC549,NF!$I:$I)</f>
        <v>4</v>
      </c>
      <c r="AE549" s="6"/>
      <c r="AF549" s="6">
        <v>4</v>
      </c>
      <c r="AG549" s="6"/>
      <c r="AH549" s="6"/>
      <c r="AI549" s="6"/>
      <c r="AJ549" s="6"/>
      <c r="AK549" s="6"/>
      <c r="AL549" s="7">
        <f t="shared" si="339"/>
        <v>4</v>
      </c>
      <c r="AM549" s="11">
        <f t="shared" si="273"/>
        <v>0</v>
      </c>
      <c r="AN549" s="25"/>
      <c r="AO549" s="10" t="str">
        <f t="shared" si="274"/>
        <v>MarçoSEMANA 4Repolho Roxo</v>
      </c>
      <c r="AP549" s="7">
        <f>SUMIF(NF!$A:$A,$AO549,NF!$I:$I)</f>
        <v>10</v>
      </c>
      <c r="AQ549" s="6"/>
      <c r="AR549" s="6"/>
      <c r="AS549" s="6">
        <v>3</v>
      </c>
      <c r="AT549" s="6"/>
      <c r="AU549" s="6">
        <v>3</v>
      </c>
      <c r="AV549" s="6"/>
      <c r="AW549" s="6"/>
      <c r="AX549" s="7">
        <f t="shared" si="340"/>
        <v>6</v>
      </c>
      <c r="AY549" s="11">
        <f t="shared" si="276"/>
        <v>4</v>
      </c>
      <c r="AZ549" s="25"/>
      <c r="BA549" s="10" t="str">
        <f t="shared" si="277"/>
        <v>MarçoSEMANA 5Repolho Roxo</v>
      </c>
      <c r="BB549" s="7">
        <f>SUMIF(NF!$A:$A,$BA549,NF!$I:$I)</f>
        <v>3</v>
      </c>
      <c r="BC549" s="6">
        <f>4+3</f>
        <v>7</v>
      </c>
      <c r="BD549" s="6"/>
      <c r="BE549" s="6"/>
      <c r="BF549" s="6"/>
      <c r="BG549" s="6"/>
      <c r="BH549" s="6"/>
      <c r="BI549" s="74"/>
      <c r="BJ549" s="74"/>
      <c r="BK549" s="7">
        <f t="shared" si="341"/>
        <v>7</v>
      </c>
      <c r="BL549" s="8">
        <f t="shared" si="279"/>
        <v>0</v>
      </c>
      <c r="BM549" s="51" t="str">
        <f>IFERROR(VLOOKUP(A549,NF!$M:$O,3,0),"")</f>
        <v>Hortifruti</v>
      </c>
      <c r="BN549" s="7">
        <f t="shared" si="280"/>
        <v>17</v>
      </c>
      <c r="BO549" s="8">
        <f t="array" ref="BO549">IFERROR(LARGE(IF(NF!$G$2:$G$3137='Mês atual'!A549,NF!$J$2:$J$3137),1),0)*BN549</f>
        <v>51</v>
      </c>
      <c r="BP549" s="50"/>
      <c r="BR549" s="146">
        <f t="array" ref="BR549">IFERROR(LARGE(IF(NF!$G$2:$G$3137='Mês atual'!A549,NF!$J$2:$J$3137),1),0)</f>
        <v>3</v>
      </c>
      <c r="BS549" s="142" t="str">
        <f>VLOOKUP(A549,NF!M:O,3,0)</f>
        <v>Hortifruti</v>
      </c>
      <c r="BV549" s="74">
        <f t="shared" si="342"/>
        <v>0</v>
      </c>
      <c r="BW549" s="74">
        <f t="shared" si="343"/>
        <v>0</v>
      </c>
      <c r="BX549" s="74">
        <f t="shared" si="344"/>
        <v>4</v>
      </c>
      <c r="BY549" s="74">
        <f t="shared" si="345"/>
        <v>6</v>
      </c>
      <c r="BZ549" s="74">
        <f t="shared" si="346"/>
        <v>7</v>
      </c>
    </row>
    <row r="550" spans="1:78" x14ac:dyDescent="0.25">
      <c r="A550" s="108" t="s">
        <v>705</v>
      </c>
      <c r="B550" s="12"/>
      <c r="C550" s="9">
        <v>0</v>
      </c>
      <c r="D550" s="25"/>
      <c r="E550" s="10" t="str">
        <f t="shared" si="265"/>
        <v>MarçoSEMANA 1Rúcula</v>
      </c>
      <c r="F550" s="7">
        <f>SUMIF(NF!$A:$A,$E550,NF!$I:$I)</f>
        <v>7</v>
      </c>
      <c r="G550" s="74"/>
      <c r="H550" s="74"/>
      <c r="I550" s="74"/>
      <c r="J550" s="6">
        <v>2</v>
      </c>
      <c r="K550" s="6"/>
      <c r="L550" s="6">
        <v>2</v>
      </c>
      <c r="M550" s="6">
        <v>3</v>
      </c>
      <c r="N550" s="7">
        <f t="shared" si="337"/>
        <v>7</v>
      </c>
      <c r="O550" s="11">
        <f t="shared" si="267"/>
        <v>0</v>
      </c>
      <c r="P550" s="25"/>
      <c r="Q550" s="10" t="str">
        <f t="shared" si="268"/>
        <v>MarçoSEMANA 2Rúcula</v>
      </c>
      <c r="R550" s="7">
        <f>SUMIF(NF!$A:$A,$Q550,NF!$I:$I)</f>
        <v>7</v>
      </c>
      <c r="S550" s="6"/>
      <c r="T550" s="6"/>
      <c r="U550" s="6"/>
      <c r="V550" s="6">
        <v>3</v>
      </c>
      <c r="W550" s="6"/>
      <c r="X550" s="6"/>
      <c r="Y550" s="6">
        <v>4</v>
      </c>
      <c r="Z550" s="7">
        <f t="shared" si="338"/>
        <v>7</v>
      </c>
      <c r="AA550" s="11">
        <f t="shared" si="270"/>
        <v>0</v>
      </c>
      <c r="AB550" s="25"/>
      <c r="AC550" s="10" t="str">
        <f t="shared" si="271"/>
        <v>MarçoSEMANA 3Rúcula</v>
      </c>
      <c r="AD550" s="7">
        <f>SUMIF(NF!$A:$A,$AC550,NF!$I:$I)</f>
        <v>11.66</v>
      </c>
      <c r="AE550" s="6"/>
      <c r="AF550" s="6">
        <v>1.66</v>
      </c>
      <c r="AG550" s="6"/>
      <c r="AH550" s="6">
        <v>3</v>
      </c>
      <c r="AI550" s="6">
        <v>2</v>
      </c>
      <c r="AJ550" s="6">
        <v>1</v>
      </c>
      <c r="AK550" s="6">
        <v>2</v>
      </c>
      <c r="AL550" s="7">
        <f t="shared" si="339"/>
        <v>9.66</v>
      </c>
      <c r="AM550" s="11">
        <f t="shared" si="273"/>
        <v>2</v>
      </c>
      <c r="AN550" s="25"/>
      <c r="AO550" s="10" t="str">
        <f t="shared" si="274"/>
        <v>MarçoSEMANA 4Rúcula</v>
      </c>
      <c r="AP550" s="7">
        <f>SUMIF(NF!$A:$A,$AO550,NF!$I:$I)</f>
        <v>20</v>
      </c>
      <c r="AQ550" s="6">
        <v>4</v>
      </c>
      <c r="AR550" s="6"/>
      <c r="AS550" s="6">
        <v>3</v>
      </c>
      <c r="AT550" s="6">
        <v>7</v>
      </c>
      <c r="AU550" s="6">
        <v>3</v>
      </c>
      <c r="AV550" s="6">
        <v>2.5</v>
      </c>
      <c r="AW550" s="6">
        <v>2.5</v>
      </c>
      <c r="AX550" s="7">
        <f t="shared" si="340"/>
        <v>22</v>
      </c>
      <c r="AY550" s="11">
        <f t="shared" si="276"/>
        <v>0</v>
      </c>
      <c r="AZ550" s="25"/>
      <c r="BA550" s="10" t="str">
        <f t="shared" si="277"/>
        <v>MarçoSEMANA 5Rúcula</v>
      </c>
      <c r="BB550" s="7">
        <f>SUMIF(NF!$A:$A,$BA550,NF!$I:$I)</f>
        <v>14</v>
      </c>
      <c r="BC550" s="6">
        <v>2</v>
      </c>
      <c r="BD550" s="6">
        <v>2</v>
      </c>
      <c r="BE550" s="6">
        <v>3</v>
      </c>
      <c r="BF550" s="6"/>
      <c r="BG550" s="6">
        <v>2</v>
      </c>
      <c r="BH550" s="6">
        <v>2</v>
      </c>
      <c r="BI550" s="74"/>
      <c r="BJ550" s="74"/>
      <c r="BK550" s="7">
        <f t="shared" si="341"/>
        <v>11</v>
      </c>
      <c r="BL550" s="8">
        <f t="shared" si="279"/>
        <v>3</v>
      </c>
      <c r="BM550" s="51" t="str">
        <f>IFERROR(VLOOKUP(A550,NF!$M:$O,3,0),"")</f>
        <v>Hortifruti</v>
      </c>
      <c r="BN550" s="7">
        <f t="shared" si="280"/>
        <v>56.66</v>
      </c>
      <c r="BO550" s="8">
        <f t="array" ref="BO550">IFERROR(LARGE(IF(NF!$G$2:$G$3137='Mês atual'!A550,NF!$J$2:$J$3137),1),0)*BN550</f>
        <v>955.71084337349396</v>
      </c>
      <c r="BP550" s="50"/>
      <c r="BR550" s="146">
        <f t="array" ref="BR550">IFERROR(LARGE(IF(NF!$G$2:$G$3137='Mês atual'!A550,NF!$J$2:$J$3137),1),0)</f>
        <v>16.867469879518072</v>
      </c>
      <c r="BS550" s="142" t="str">
        <f>VLOOKUP(A550,NF!M:O,3,0)</f>
        <v>Hortifruti</v>
      </c>
      <c r="BV550" s="74">
        <f t="shared" si="342"/>
        <v>7</v>
      </c>
      <c r="BW550" s="74">
        <f t="shared" si="343"/>
        <v>7</v>
      </c>
      <c r="BX550" s="74">
        <f t="shared" si="344"/>
        <v>9.66</v>
      </c>
      <c r="BY550" s="74">
        <f t="shared" si="345"/>
        <v>22</v>
      </c>
      <c r="BZ550" s="74">
        <f t="shared" si="346"/>
        <v>11</v>
      </c>
    </row>
    <row r="551" spans="1:78" x14ac:dyDescent="0.25">
      <c r="A551" s="108" t="s">
        <v>706</v>
      </c>
      <c r="B551" s="12"/>
      <c r="C551" s="9">
        <v>0</v>
      </c>
      <c r="D551" s="25"/>
      <c r="E551" s="10" t="str">
        <f t="shared" si="265"/>
        <v>MarçoSEMANA 1Rúcula Orgânica</v>
      </c>
      <c r="F551" s="7">
        <f>SUMIF(NF!$A:$A,$E551,NF!$I:$I)</f>
        <v>2.14</v>
      </c>
      <c r="G551" s="74"/>
      <c r="H551" s="74"/>
      <c r="I551" s="74"/>
      <c r="J551" s="6"/>
      <c r="K551" s="6">
        <v>2.14</v>
      </c>
      <c r="L551" s="6"/>
      <c r="M551" s="6"/>
      <c r="N551" s="7">
        <f t="shared" si="337"/>
        <v>2.14</v>
      </c>
      <c r="O551" s="11">
        <f t="shared" si="267"/>
        <v>0</v>
      </c>
      <c r="P551" s="25"/>
      <c r="Q551" s="10" t="str">
        <f t="shared" si="268"/>
        <v>MarçoSEMANA 2Rúcula Orgânica</v>
      </c>
      <c r="R551" s="7">
        <f>SUMIF(NF!$A:$A,$Q551,NF!$I:$I)</f>
        <v>6</v>
      </c>
      <c r="S551" s="6">
        <v>1.8</v>
      </c>
      <c r="T551" s="6"/>
      <c r="U551" s="6">
        <v>2.2000000000000002</v>
      </c>
      <c r="V551" s="6"/>
      <c r="W551" s="6">
        <v>2</v>
      </c>
      <c r="X551" s="6"/>
      <c r="Y551" s="6"/>
      <c r="Z551" s="7">
        <f t="shared" si="338"/>
        <v>6</v>
      </c>
      <c r="AA551" s="11">
        <f t="shared" si="270"/>
        <v>0</v>
      </c>
      <c r="AB551" s="25"/>
      <c r="AC551" s="10" t="str">
        <f t="shared" si="271"/>
        <v>MarçoSEMANA 3Rúcula Orgânica</v>
      </c>
      <c r="AD551" s="7">
        <f>SUMIF(NF!$A:$A,$AC551,NF!$I:$I)</f>
        <v>4</v>
      </c>
      <c r="AE551" s="6">
        <v>2</v>
      </c>
      <c r="AF551" s="6"/>
      <c r="AG551" s="6">
        <v>2</v>
      </c>
      <c r="AH551" s="6"/>
      <c r="AI551" s="6"/>
      <c r="AJ551" s="6"/>
      <c r="AK551" s="6"/>
      <c r="AL551" s="7">
        <f t="shared" si="339"/>
        <v>4</v>
      </c>
      <c r="AM551" s="11">
        <f t="shared" si="273"/>
        <v>0</v>
      </c>
      <c r="AN551" s="25"/>
      <c r="AO551" s="10" t="str">
        <f t="shared" si="274"/>
        <v>MarçoSEMANA 4Rúcula Orgânica</v>
      </c>
      <c r="AP551" s="7">
        <f>SUMIF(NF!$A:$A,$AO551,NF!$I:$I)</f>
        <v>0</v>
      </c>
      <c r="AQ551" s="6"/>
      <c r="AR551" s="6"/>
      <c r="AS551" s="6"/>
      <c r="AT551" s="6"/>
      <c r="AU551" s="6"/>
      <c r="AV551" s="6"/>
      <c r="AW551" s="6"/>
      <c r="AX551" s="7">
        <f t="shared" si="340"/>
        <v>0</v>
      </c>
      <c r="AY551" s="11">
        <f t="shared" si="276"/>
        <v>0</v>
      </c>
      <c r="AZ551" s="25"/>
      <c r="BA551" s="10" t="str">
        <f t="shared" si="277"/>
        <v>MarçoSEMANA 5Rúcula Orgânica</v>
      </c>
      <c r="BB551" s="7">
        <f>SUMIF(NF!$A:$A,$BA551,NF!$I:$I)</f>
        <v>0</v>
      </c>
      <c r="BC551" s="6"/>
      <c r="BD551" s="6"/>
      <c r="BE551" s="6"/>
      <c r="BF551" s="6"/>
      <c r="BG551" s="6"/>
      <c r="BH551" s="6"/>
      <c r="BI551" s="74"/>
      <c r="BJ551" s="74"/>
      <c r="BK551" s="7">
        <f t="shared" si="341"/>
        <v>0</v>
      </c>
      <c r="BL551" s="8">
        <f t="shared" si="279"/>
        <v>0</v>
      </c>
      <c r="BM551" s="51" t="str">
        <f>IFERROR(VLOOKUP(A551,NF!$M:$O,3,0),"")</f>
        <v>Hortifruti</v>
      </c>
      <c r="BN551" s="7">
        <f t="shared" si="280"/>
        <v>12.14</v>
      </c>
      <c r="BO551" s="8">
        <f t="array" ref="BO551">IFERROR(LARGE(IF(NF!$G$2:$G$3137='Mês atual'!A551,NF!$J$2:$J$3137),1),0)*BN551</f>
        <v>229.78996666666666</v>
      </c>
      <c r="BP551" s="50"/>
      <c r="BR551" s="146">
        <f t="array" ref="BR551">IFERROR(LARGE(IF(NF!$G$2:$G$3137='Mês atual'!A551,NF!$J$2:$J$3137),1),0)</f>
        <v>18.928333333333331</v>
      </c>
      <c r="BS551" s="142" t="str">
        <f>VLOOKUP(A551,NF!M:O,3,0)</f>
        <v>Hortifruti</v>
      </c>
      <c r="BV551" s="74">
        <f t="shared" si="342"/>
        <v>2.14</v>
      </c>
      <c r="BW551" s="74">
        <f t="shared" si="343"/>
        <v>6</v>
      </c>
      <c r="BX551" s="74">
        <f t="shared" si="344"/>
        <v>4</v>
      </c>
      <c r="BY551" s="74">
        <f t="shared" si="345"/>
        <v>0</v>
      </c>
      <c r="BZ551" s="74">
        <f t="shared" si="346"/>
        <v>0</v>
      </c>
    </row>
    <row r="552" spans="1:78" x14ac:dyDescent="0.2">
      <c r="A552" s="108" t="s">
        <v>728</v>
      </c>
      <c r="B552" s="12"/>
      <c r="C552" s="9">
        <v>0</v>
      </c>
      <c r="D552" s="25"/>
      <c r="E552" s="10" t="str">
        <f t="shared" si="265"/>
        <v>MarçoSEMANA 1Salsa</v>
      </c>
      <c r="F552" s="7">
        <f>SUMIF(NF!$A:$A,$E552,NF!$I:$I)</f>
        <v>2.5</v>
      </c>
      <c r="G552" s="74"/>
      <c r="H552" s="74"/>
      <c r="I552" s="74"/>
      <c r="J552" s="6">
        <v>0.5</v>
      </c>
      <c r="K552" s="6">
        <v>1</v>
      </c>
      <c r="L552" s="6"/>
      <c r="M552" s="6">
        <v>1</v>
      </c>
      <c r="N552" s="7">
        <f t="shared" si="337"/>
        <v>2.5</v>
      </c>
      <c r="O552" s="11">
        <f t="shared" si="267"/>
        <v>0</v>
      </c>
      <c r="P552" s="25"/>
      <c r="Q552" s="10" t="str">
        <f t="shared" si="268"/>
        <v>MarçoSEMANA 2Salsa</v>
      </c>
      <c r="R552" s="7">
        <f>SUMIF(NF!$A:$A,$Q552,NF!$I:$I)</f>
        <v>3.1</v>
      </c>
      <c r="S552" s="6">
        <v>0.5</v>
      </c>
      <c r="T552" s="6"/>
      <c r="U552" s="6">
        <v>0.5</v>
      </c>
      <c r="V552" s="6">
        <v>0.5</v>
      </c>
      <c r="W552" s="6"/>
      <c r="X552" s="6"/>
      <c r="Y552" s="6">
        <v>1.6</v>
      </c>
      <c r="Z552" s="7">
        <f t="shared" si="338"/>
        <v>3.1</v>
      </c>
      <c r="AA552" s="11">
        <f t="shared" si="270"/>
        <v>0</v>
      </c>
      <c r="AB552" s="25"/>
      <c r="AC552" s="10" t="str">
        <f t="shared" si="271"/>
        <v>MarçoSEMANA 3Salsa</v>
      </c>
      <c r="AD552" s="7">
        <f>SUMIF(NF!$A:$A,$AC552,NF!$I:$I)</f>
        <v>4.5</v>
      </c>
      <c r="AE552" s="6">
        <v>1</v>
      </c>
      <c r="AF552" s="6"/>
      <c r="AG552" s="6">
        <v>1.5</v>
      </c>
      <c r="AH552" s="6"/>
      <c r="AI552" s="6"/>
      <c r="AJ552" s="6">
        <v>1</v>
      </c>
      <c r="AK552" s="6">
        <v>1</v>
      </c>
      <c r="AL552" s="7">
        <f t="shared" si="339"/>
        <v>4.5</v>
      </c>
      <c r="AM552" s="11">
        <f t="shared" si="273"/>
        <v>0</v>
      </c>
      <c r="AN552" s="25"/>
      <c r="AO552" s="10" t="str">
        <f t="shared" si="274"/>
        <v>MarçoSEMANA 4Salsa</v>
      </c>
      <c r="AP552" s="7">
        <f>SUMIF(NF!$A:$A,$AO552,NF!$I:$I)</f>
        <v>3</v>
      </c>
      <c r="AQ552" s="6"/>
      <c r="AR552" s="6">
        <v>0.5</v>
      </c>
      <c r="AS552" s="6"/>
      <c r="AT552" s="6">
        <v>1</v>
      </c>
      <c r="AU552" s="6">
        <v>0.5</v>
      </c>
      <c r="AV552" s="6">
        <v>0.5</v>
      </c>
      <c r="AW552" s="6">
        <v>0.5</v>
      </c>
      <c r="AX552" s="7">
        <f t="shared" si="340"/>
        <v>3</v>
      </c>
      <c r="AY552" s="11">
        <f t="shared" si="276"/>
        <v>0</v>
      </c>
      <c r="AZ552" s="25"/>
      <c r="BA552" s="10" t="str">
        <f t="shared" si="277"/>
        <v>MarçoSEMANA 5Salsa</v>
      </c>
      <c r="BB552" s="7">
        <f>SUMIF(NF!$A:$A,$BA552,NF!$I:$I)</f>
        <v>4.28</v>
      </c>
      <c r="BC552" s="6">
        <v>0.3</v>
      </c>
      <c r="BD552" s="6">
        <v>1.28</v>
      </c>
      <c r="BE552" s="6"/>
      <c r="BF552" s="6">
        <v>0.7</v>
      </c>
      <c r="BG552" s="6">
        <v>0.5</v>
      </c>
      <c r="BH552" s="6">
        <v>0.5</v>
      </c>
      <c r="BI552" s="74"/>
      <c r="BJ552" s="74"/>
      <c r="BK552" s="7">
        <f t="shared" si="341"/>
        <v>3.2800000000000002</v>
      </c>
      <c r="BL552" s="8">
        <f t="shared" si="279"/>
        <v>1</v>
      </c>
      <c r="BM552" s="51" t="str">
        <f>IFERROR(VLOOKUP(A552,NF!$M:$O,3,0),"")</f>
        <v>Hortifruti</v>
      </c>
      <c r="BN552" s="7">
        <f t="shared" si="280"/>
        <v>16.38</v>
      </c>
      <c r="BO552" s="8">
        <f t="array" ref="BO552">IFERROR(LARGE(IF(NF!$G$2:$G$3137='Mês atual'!A552,NF!$J$2:$J$3137),1),0)*BN552</f>
        <v>589.44600000000003</v>
      </c>
      <c r="BP552" s="50"/>
      <c r="BR552" s="146">
        <f t="array" ref="BR552">IFERROR(LARGE(IF(NF!$G$2:$G$3137='Mês atual'!A552,NF!$J$2:$J$3137),1),0)</f>
        <v>35.985714285714288</v>
      </c>
      <c r="BS552" s="142" t="str">
        <f>VLOOKUP(A552,NF!M:O,3,0)</f>
        <v>Hortifruti</v>
      </c>
      <c r="BV552" s="74">
        <f t="shared" si="342"/>
        <v>2.5</v>
      </c>
      <c r="BW552" s="74">
        <f t="shared" si="343"/>
        <v>3.1</v>
      </c>
      <c r="BX552" s="74">
        <f t="shared" si="344"/>
        <v>4.5</v>
      </c>
      <c r="BY552" s="74">
        <f t="shared" si="345"/>
        <v>3</v>
      </c>
      <c r="BZ552" s="74">
        <f t="shared" si="346"/>
        <v>3.2800000000000002</v>
      </c>
    </row>
    <row r="553" spans="1:78" x14ac:dyDescent="0.2">
      <c r="A553" s="108" t="s">
        <v>729</v>
      </c>
      <c r="B553" s="12"/>
      <c r="C553" s="9">
        <v>0</v>
      </c>
      <c r="D553" s="25"/>
      <c r="E553" s="10" t="str">
        <f t="shared" si="265"/>
        <v>MarçoSEMANA 1Salsa Crespa</v>
      </c>
      <c r="F553" s="7">
        <f>SUMIF(NF!$A:$A,$E553,NF!$I:$I)</f>
        <v>0</v>
      </c>
      <c r="G553" s="74"/>
      <c r="H553" s="74"/>
      <c r="I553" s="74"/>
      <c r="J553" s="6"/>
      <c r="K553" s="6"/>
      <c r="L553" s="6"/>
      <c r="M553" s="6"/>
      <c r="N553" s="7">
        <f t="shared" si="337"/>
        <v>0</v>
      </c>
      <c r="O553" s="11">
        <f t="shared" si="267"/>
        <v>0</v>
      </c>
      <c r="P553" s="25"/>
      <c r="Q553" s="10" t="str">
        <f t="shared" si="268"/>
        <v>MarçoSEMANA 2Salsa Crespa</v>
      </c>
      <c r="R553" s="7">
        <f>SUMIF(NF!$A:$A,$Q553,NF!$I:$I)</f>
        <v>0</v>
      </c>
      <c r="S553" s="6"/>
      <c r="T553" s="6"/>
      <c r="U553" s="6"/>
      <c r="V553" s="6"/>
      <c r="W553" s="6"/>
      <c r="X553" s="6"/>
      <c r="Y553" s="6"/>
      <c r="Z553" s="7">
        <f t="shared" si="338"/>
        <v>0</v>
      </c>
      <c r="AA553" s="11">
        <f t="shared" si="270"/>
        <v>0</v>
      </c>
      <c r="AB553" s="25"/>
      <c r="AC553" s="10" t="str">
        <f t="shared" si="271"/>
        <v>MarçoSEMANA 3Salsa Crespa</v>
      </c>
      <c r="AD553" s="7">
        <f>SUMIF(NF!$A:$A,$AC553,NF!$I:$I)</f>
        <v>0</v>
      </c>
      <c r="AE553" s="6"/>
      <c r="AF553" s="6"/>
      <c r="AG553" s="6"/>
      <c r="AH553" s="6"/>
      <c r="AI553" s="6"/>
      <c r="AJ553" s="6"/>
      <c r="AK553" s="6"/>
      <c r="AL553" s="7">
        <f t="shared" si="339"/>
        <v>0</v>
      </c>
      <c r="AM553" s="11">
        <f t="shared" si="273"/>
        <v>0</v>
      </c>
      <c r="AN553" s="25"/>
      <c r="AO553" s="10" t="str">
        <f t="shared" si="274"/>
        <v>MarçoSEMANA 4Salsa Crespa</v>
      </c>
      <c r="AP553" s="7">
        <f>SUMIF(NF!$A:$A,$AO553,NF!$I:$I)</f>
        <v>0</v>
      </c>
      <c r="AQ553" s="6"/>
      <c r="AR553" s="6"/>
      <c r="AS553" s="6"/>
      <c r="AT553" s="6"/>
      <c r="AU553" s="6"/>
      <c r="AV553" s="6"/>
      <c r="AW553" s="6"/>
      <c r="AX553" s="7">
        <f t="shared" si="340"/>
        <v>0</v>
      </c>
      <c r="AY553" s="11">
        <f t="shared" si="276"/>
        <v>0</v>
      </c>
      <c r="AZ553" s="25"/>
      <c r="BA553" s="10" t="str">
        <f t="shared" si="277"/>
        <v>MarçoSEMANA 5Salsa Crespa</v>
      </c>
      <c r="BB553" s="7">
        <f>SUMIF(NF!$A:$A,$BA553,NF!$I:$I)</f>
        <v>0</v>
      </c>
      <c r="BC553" s="6"/>
      <c r="BD553" s="6"/>
      <c r="BE553" s="6"/>
      <c r="BF553" s="6"/>
      <c r="BG553" s="6"/>
      <c r="BH553" s="6"/>
      <c r="BI553" s="74"/>
      <c r="BJ553" s="74"/>
      <c r="BK553" s="7">
        <f t="shared" si="341"/>
        <v>0</v>
      </c>
      <c r="BL553" s="8">
        <f t="shared" si="279"/>
        <v>0</v>
      </c>
      <c r="BM553" s="51" t="str">
        <f>IFERROR(VLOOKUP(A553,NF!$M:$O,3,0),"")</f>
        <v>Hortifruti</v>
      </c>
      <c r="BN553" s="7">
        <f t="shared" si="280"/>
        <v>0</v>
      </c>
      <c r="BO553" s="8">
        <f t="array" ref="BO553">IFERROR(LARGE(IF(NF!$G$2:$G$3137='Mês atual'!A553,NF!$J$2:$J$3137),1),0)*BN553</f>
        <v>0</v>
      </c>
      <c r="BP553" s="50"/>
      <c r="BR553" s="146">
        <f t="array" ref="BR553">IFERROR(LARGE(IF(NF!$G$2:$G$3137='Mês atual'!A553,NF!$J$2:$J$3137),1),0)</f>
        <v>0</v>
      </c>
      <c r="BS553" s="142" t="str">
        <f>VLOOKUP(A553,NF!M:O,3,0)</f>
        <v>Hortifruti</v>
      </c>
      <c r="BV553" s="74">
        <f t="shared" si="342"/>
        <v>0</v>
      </c>
      <c r="BW553" s="74">
        <f t="shared" si="343"/>
        <v>0</v>
      </c>
      <c r="BX553" s="74">
        <f t="shared" si="344"/>
        <v>0</v>
      </c>
      <c r="BY553" s="74">
        <f t="shared" si="345"/>
        <v>0</v>
      </c>
      <c r="BZ553" s="74">
        <f t="shared" si="346"/>
        <v>0</v>
      </c>
    </row>
    <row r="554" spans="1:78" x14ac:dyDescent="0.25">
      <c r="A554" s="108" t="s">
        <v>731</v>
      </c>
      <c r="B554" s="12"/>
      <c r="C554" s="9">
        <v>0</v>
      </c>
      <c r="D554" s="25"/>
      <c r="E554" s="10" t="str">
        <f t="shared" si="265"/>
        <v>MarçoSEMANA 1Salsa Lisa Orgânica</v>
      </c>
      <c r="F554" s="7">
        <f>SUMIF(NF!$A:$A,$E554,NF!$I:$I)</f>
        <v>0</v>
      </c>
      <c r="G554" s="74"/>
      <c r="H554" s="74"/>
      <c r="I554" s="74"/>
      <c r="J554" s="6"/>
      <c r="K554" s="6"/>
      <c r="L554" s="6"/>
      <c r="M554" s="6"/>
      <c r="N554" s="7">
        <f t="shared" si="337"/>
        <v>0</v>
      </c>
      <c r="O554" s="11">
        <f t="shared" si="267"/>
        <v>0</v>
      </c>
      <c r="P554" s="25"/>
      <c r="Q554" s="10" t="str">
        <f t="shared" si="268"/>
        <v>MarçoSEMANA 2Salsa Lisa Orgânica</v>
      </c>
      <c r="R554" s="7">
        <f>SUMIF(NF!$A:$A,$Q554,NF!$I:$I)</f>
        <v>0</v>
      </c>
      <c r="S554" s="6"/>
      <c r="T554" s="6"/>
      <c r="U554" s="6"/>
      <c r="V554" s="6"/>
      <c r="W554" s="6"/>
      <c r="X554" s="6"/>
      <c r="Y554" s="6"/>
      <c r="Z554" s="7">
        <f t="shared" si="338"/>
        <v>0</v>
      </c>
      <c r="AA554" s="11">
        <f t="shared" si="270"/>
        <v>0</v>
      </c>
      <c r="AB554" s="25"/>
      <c r="AC554" s="10" t="str">
        <f t="shared" si="271"/>
        <v>MarçoSEMANA 3Salsa Lisa Orgânica</v>
      </c>
      <c r="AD554" s="7">
        <f>SUMIF(NF!$A:$A,$AC554,NF!$I:$I)</f>
        <v>0</v>
      </c>
      <c r="AE554" s="6"/>
      <c r="AF554" s="6"/>
      <c r="AG554" s="6"/>
      <c r="AH554" s="6"/>
      <c r="AI554" s="6"/>
      <c r="AJ554" s="6"/>
      <c r="AK554" s="6"/>
      <c r="AL554" s="7">
        <f t="shared" si="339"/>
        <v>0</v>
      </c>
      <c r="AM554" s="11">
        <f t="shared" si="273"/>
        <v>0</v>
      </c>
      <c r="AN554" s="25"/>
      <c r="AO554" s="10" t="str">
        <f t="shared" si="274"/>
        <v>MarçoSEMANA 4Salsa Lisa Orgânica</v>
      </c>
      <c r="AP554" s="7">
        <f>SUMIF(NF!$A:$A,$AO554,NF!$I:$I)</f>
        <v>0</v>
      </c>
      <c r="AQ554" s="6"/>
      <c r="AR554" s="6"/>
      <c r="AS554" s="6"/>
      <c r="AT554" s="6"/>
      <c r="AU554" s="6"/>
      <c r="AV554" s="6"/>
      <c r="AW554" s="6"/>
      <c r="AX554" s="7">
        <f t="shared" si="340"/>
        <v>0</v>
      </c>
      <c r="AY554" s="11">
        <f t="shared" si="276"/>
        <v>0</v>
      </c>
      <c r="AZ554" s="25"/>
      <c r="BA554" s="10" t="str">
        <f t="shared" si="277"/>
        <v>MarçoSEMANA 5Salsa Lisa Orgânica</v>
      </c>
      <c r="BB554" s="7">
        <f>SUMIF(NF!$A:$A,$BA554,NF!$I:$I)</f>
        <v>0</v>
      </c>
      <c r="BC554" s="6"/>
      <c r="BD554" s="6"/>
      <c r="BE554" s="6"/>
      <c r="BF554" s="6"/>
      <c r="BG554" s="6"/>
      <c r="BH554" s="6"/>
      <c r="BI554" s="74"/>
      <c r="BJ554" s="74"/>
      <c r="BK554" s="7">
        <f t="shared" si="341"/>
        <v>0</v>
      </c>
      <c r="BL554" s="8">
        <f t="shared" si="279"/>
        <v>0</v>
      </c>
      <c r="BM554" s="51" t="str">
        <f>IFERROR(VLOOKUP(A554,NF!$M:$O,3,0),"")</f>
        <v>Hortifruti</v>
      </c>
      <c r="BN554" s="7">
        <f t="shared" si="280"/>
        <v>0</v>
      </c>
      <c r="BO554" s="8">
        <f t="array" ref="BO554">IFERROR(LARGE(IF(NF!$G$2:$G$3137='Mês atual'!A554,NF!$J$2:$J$3137),1),0)*BN554</f>
        <v>0</v>
      </c>
      <c r="BP554" s="50"/>
      <c r="BR554" s="146">
        <f t="array" ref="BR554">IFERROR(LARGE(IF(NF!$G$2:$G$3137='Mês atual'!A554,NF!$J$2:$J$3137),1),0)</f>
        <v>0</v>
      </c>
      <c r="BS554" s="142" t="str">
        <f>VLOOKUP(A554,NF!M:O,3,0)</f>
        <v>Hortifruti</v>
      </c>
      <c r="BV554" s="74">
        <f t="shared" si="342"/>
        <v>0</v>
      </c>
      <c r="BW554" s="74">
        <f t="shared" si="343"/>
        <v>0</v>
      </c>
      <c r="BX554" s="74">
        <f t="shared" si="344"/>
        <v>0</v>
      </c>
      <c r="BY554" s="74">
        <f t="shared" si="345"/>
        <v>0</v>
      </c>
      <c r="BZ554" s="74">
        <f t="shared" si="346"/>
        <v>0</v>
      </c>
    </row>
    <row r="555" spans="1:78" x14ac:dyDescent="0.25">
      <c r="A555" s="108" t="s">
        <v>732</v>
      </c>
      <c r="B555" s="12"/>
      <c r="C555" s="9">
        <v>0</v>
      </c>
      <c r="D555" s="25"/>
      <c r="E555" s="10" t="str">
        <f t="shared" si="265"/>
        <v>MarçoSEMANA 1Sálvia</v>
      </c>
      <c r="F555" s="7">
        <f>SUMIF(NF!$A:$A,$E555,NF!$I:$I)</f>
        <v>0</v>
      </c>
      <c r="G555" s="74"/>
      <c r="H555" s="74"/>
      <c r="I555" s="74"/>
      <c r="J555" s="6"/>
      <c r="K555" s="6"/>
      <c r="L555" s="6"/>
      <c r="M555" s="6"/>
      <c r="N555" s="7">
        <f t="shared" si="337"/>
        <v>0</v>
      </c>
      <c r="O555" s="11">
        <f t="shared" si="267"/>
        <v>0</v>
      </c>
      <c r="P555" s="25"/>
      <c r="Q555" s="10" t="str">
        <f t="shared" si="268"/>
        <v>MarçoSEMANA 2Sálvia</v>
      </c>
      <c r="R555" s="7">
        <f>SUMIF(NF!$A:$A,$Q555,NF!$I:$I)</f>
        <v>0</v>
      </c>
      <c r="S555" s="6"/>
      <c r="T555" s="6"/>
      <c r="U555" s="6"/>
      <c r="V555" s="6"/>
      <c r="W555" s="6"/>
      <c r="X555" s="6"/>
      <c r="Y555" s="6"/>
      <c r="Z555" s="7">
        <f t="shared" si="338"/>
        <v>0</v>
      </c>
      <c r="AA555" s="11">
        <f t="shared" si="270"/>
        <v>0</v>
      </c>
      <c r="AB555" s="25"/>
      <c r="AC555" s="10" t="str">
        <f t="shared" si="271"/>
        <v>MarçoSEMANA 3Sálvia</v>
      </c>
      <c r="AD555" s="7">
        <f>SUMIF(NF!$A:$A,$AC555,NF!$I:$I)</f>
        <v>0</v>
      </c>
      <c r="AE555" s="6"/>
      <c r="AF555" s="6"/>
      <c r="AG555" s="6"/>
      <c r="AH555" s="6"/>
      <c r="AI555" s="6"/>
      <c r="AJ555" s="6"/>
      <c r="AK555" s="6"/>
      <c r="AL555" s="7">
        <f t="shared" si="339"/>
        <v>0</v>
      </c>
      <c r="AM555" s="11">
        <f t="shared" si="273"/>
        <v>0</v>
      </c>
      <c r="AN555" s="25"/>
      <c r="AO555" s="10" t="str">
        <f t="shared" si="274"/>
        <v>MarçoSEMANA 4Sálvia</v>
      </c>
      <c r="AP555" s="7">
        <f>SUMIF(NF!$A:$A,$AO555,NF!$I:$I)</f>
        <v>0</v>
      </c>
      <c r="AQ555" s="6"/>
      <c r="AR555" s="6"/>
      <c r="AS555" s="6"/>
      <c r="AT555" s="6"/>
      <c r="AU555" s="6"/>
      <c r="AV555" s="6"/>
      <c r="AW555" s="6"/>
      <c r="AX555" s="7">
        <f t="shared" si="340"/>
        <v>0</v>
      </c>
      <c r="AY555" s="11">
        <f t="shared" si="276"/>
        <v>0</v>
      </c>
      <c r="AZ555" s="25"/>
      <c r="BA555" s="10" t="str">
        <f t="shared" si="277"/>
        <v>MarçoSEMANA 5Sálvia</v>
      </c>
      <c r="BB555" s="7">
        <f>SUMIF(NF!$A:$A,$BA555,NF!$I:$I)</f>
        <v>0.1</v>
      </c>
      <c r="BC555" s="6"/>
      <c r="BD555" s="6"/>
      <c r="BE555" s="6">
        <v>0.1</v>
      </c>
      <c r="BF555" s="6"/>
      <c r="BG555" s="6"/>
      <c r="BH555" s="6"/>
      <c r="BI555" s="74"/>
      <c r="BJ555" s="74"/>
      <c r="BK555" s="7">
        <f t="shared" si="341"/>
        <v>0.1</v>
      </c>
      <c r="BL555" s="8">
        <f t="shared" si="279"/>
        <v>0</v>
      </c>
      <c r="BM555" s="51" t="str">
        <f>IFERROR(VLOOKUP(A555,NF!$M:$O,3,0),"")</f>
        <v>Hortifruti</v>
      </c>
      <c r="BN555" s="7">
        <f t="shared" si="280"/>
        <v>0.1</v>
      </c>
      <c r="BO555" s="8">
        <f t="array" ref="BO555">IFERROR(LARGE(IF(NF!$G$2:$G$3137='Mês atual'!A555,NF!$J$2:$J$3137),1),0)*BN555</f>
        <v>3</v>
      </c>
      <c r="BP555" s="50"/>
      <c r="BR555" s="146">
        <f t="array" ref="BR555">IFERROR(LARGE(IF(NF!$G$2:$G$3137='Mês atual'!A555,NF!$J$2:$J$3137),1),0)</f>
        <v>30</v>
      </c>
      <c r="BS555" s="142" t="str">
        <f>VLOOKUP(A555,NF!M:O,3,0)</f>
        <v>Hortifruti</v>
      </c>
      <c r="BV555" s="74">
        <f t="shared" si="342"/>
        <v>0</v>
      </c>
      <c r="BW555" s="74">
        <f t="shared" si="343"/>
        <v>0</v>
      </c>
      <c r="BX555" s="74">
        <f t="shared" si="344"/>
        <v>0</v>
      </c>
      <c r="BY555" s="74">
        <f t="shared" si="345"/>
        <v>0</v>
      </c>
      <c r="BZ555" s="74">
        <f t="shared" si="346"/>
        <v>0.1</v>
      </c>
    </row>
    <row r="556" spans="1:78" x14ac:dyDescent="0.2">
      <c r="A556" s="108" t="s">
        <v>1020</v>
      </c>
      <c r="B556" s="12"/>
      <c r="C556" s="9">
        <v>0</v>
      </c>
      <c r="D556" s="25"/>
      <c r="E556" s="10" t="str">
        <f t="shared" si="265"/>
        <v>MarçoSEMANA 1Tamarindo</v>
      </c>
      <c r="F556" s="7">
        <f>SUMIF(NF!$A:$A,$E556,NF!$I:$I)</f>
        <v>0</v>
      </c>
      <c r="G556" s="74"/>
      <c r="H556" s="74"/>
      <c r="I556" s="74"/>
      <c r="J556" s="6"/>
      <c r="K556" s="6"/>
      <c r="L556" s="6"/>
      <c r="M556" s="6"/>
      <c r="N556" s="7">
        <f>SUM(G556:M556)</f>
        <v>0</v>
      </c>
      <c r="O556" s="11">
        <f>F556+C556-N556</f>
        <v>0</v>
      </c>
      <c r="P556" s="25"/>
      <c r="Q556" s="10" t="str">
        <f t="shared" si="268"/>
        <v>MarçoSEMANA 2Tamarindo</v>
      </c>
      <c r="R556" s="7">
        <f>SUMIF(NF!$A:$A,$Q556,NF!$I:$I)</f>
        <v>0</v>
      </c>
      <c r="S556" s="6"/>
      <c r="T556" s="6"/>
      <c r="U556" s="6"/>
      <c r="V556" s="6"/>
      <c r="W556" s="6"/>
      <c r="X556" s="6"/>
      <c r="Y556" s="6"/>
      <c r="Z556" s="7">
        <f>SUM(S556:Y556)</f>
        <v>0</v>
      </c>
      <c r="AA556" s="11">
        <f>R556+O556-Z556</f>
        <v>0</v>
      </c>
      <c r="AB556" s="25"/>
      <c r="AC556" s="10" t="str">
        <f t="shared" si="271"/>
        <v>MarçoSEMANA 3Tamarindo</v>
      </c>
      <c r="AD556" s="7">
        <f>SUMIF(NF!$A:$A,$AC556,NF!$I:$I)</f>
        <v>0</v>
      </c>
      <c r="AE556" s="6"/>
      <c r="AF556" s="6"/>
      <c r="AG556" s="6"/>
      <c r="AH556" s="6"/>
      <c r="AI556" s="6"/>
      <c r="AJ556" s="6"/>
      <c r="AK556" s="6"/>
      <c r="AL556" s="7">
        <f>SUM(AE556:AK556)</f>
        <v>0</v>
      </c>
      <c r="AM556" s="11">
        <f>AD556+AA556-AL556</f>
        <v>0</v>
      </c>
      <c r="AN556" s="25"/>
      <c r="AO556" s="10" t="str">
        <f t="shared" si="274"/>
        <v>MarçoSEMANA 4Tamarindo</v>
      </c>
      <c r="AP556" s="7">
        <f>SUMIF(NF!$A:$A,$AO556,NF!$I:$I)</f>
        <v>0</v>
      </c>
      <c r="AQ556" s="6"/>
      <c r="AR556" s="6"/>
      <c r="AS556" s="6"/>
      <c r="AT556" s="6"/>
      <c r="AU556" s="6"/>
      <c r="AV556" s="6"/>
      <c r="AW556" s="6"/>
      <c r="AX556" s="7">
        <f>SUM(AQ556:AW556)</f>
        <v>0</v>
      </c>
      <c r="AY556" s="11">
        <f>AP556+AM556-AX556</f>
        <v>0</v>
      </c>
      <c r="AZ556" s="25"/>
      <c r="BA556" s="10" t="str">
        <f t="shared" si="277"/>
        <v>MarçoSEMANA 5Tamarindo</v>
      </c>
      <c r="BB556" s="7">
        <f>SUMIF(NF!$A:$A,$BA556,NF!$I:$I)</f>
        <v>0</v>
      </c>
      <c r="BC556" s="6"/>
      <c r="BD556" s="6"/>
      <c r="BE556" s="6"/>
      <c r="BF556" s="6"/>
      <c r="BG556" s="6"/>
      <c r="BH556" s="6"/>
      <c r="BI556" s="74"/>
      <c r="BJ556" s="74"/>
      <c r="BK556" s="7">
        <f>SUM(BC556:BJ556)</f>
        <v>0</v>
      </c>
      <c r="BL556" s="8">
        <f>BB556+AY556-BK556</f>
        <v>0</v>
      </c>
      <c r="BM556" s="51" t="str">
        <f>IFERROR(VLOOKUP(A556,NF!$M:$O,3,0),"")</f>
        <v>Hortifruti</v>
      </c>
      <c r="BN556" s="7">
        <f>SUM(N556,Z556,AL556,AX556,BK556)</f>
        <v>0</v>
      </c>
      <c r="BO556" s="8">
        <f t="array" ref="BO556">IFERROR(LARGE(IF(NF!$G$2:$G$3137='Mês atual'!A556,NF!$J$2:$J$3137),1),0)*BN556</f>
        <v>0</v>
      </c>
      <c r="BP556" s="50"/>
      <c r="BR556" s="146">
        <f t="array" ref="BR556">IFERROR(LARGE(IF(NF!$G$2:$G$3137='Mês atual'!A556,NF!$J$2:$J$3137),1),0)</f>
        <v>0</v>
      </c>
      <c r="BS556" s="142" t="str">
        <f>VLOOKUP(A556,NF!M:O,3,0)</f>
        <v>Hortifruti</v>
      </c>
      <c r="BV556" s="74">
        <f t="shared" si="342"/>
        <v>0</v>
      </c>
      <c r="BW556" s="74">
        <f t="shared" si="343"/>
        <v>0</v>
      </c>
      <c r="BX556" s="74">
        <f t="shared" si="344"/>
        <v>0</v>
      </c>
      <c r="BY556" s="74">
        <f t="shared" si="345"/>
        <v>0</v>
      </c>
      <c r="BZ556" s="74">
        <f t="shared" si="346"/>
        <v>0</v>
      </c>
    </row>
    <row r="557" spans="1:78" x14ac:dyDescent="0.2">
      <c r="A557" s="108" t="s">
        <v>783</v>
      </c>
      <c r="B557" s="12"/>
      <c r="C557" s="9">
        <v>0</v>
      </c>
      <c r="D557" s="25"/>
      <c r="E557" s="10" t="str">
        <f t="shared" si="265"/>
        <v>MarçoSEMANA 1Tangerina</v>
      </c>
      <c r="F557" s="7">
        <f>SUMIF(NF!$A:$A,$E557,NF!$I:$I)</f>
        <v>0</v>
      </c>
      <c r="G557" s="74"/>
      <c r="H557" s="74"/>
      <c r="I557" s="74"/>
      <c r="J557" s="6"/>
      <c r="K557" s="6"/>
      <c r="L557" s="6"/>
      <c r="M557" s="6"/>
      <c r="N557" s="7">
        <f t="shared" si="337"/>
        <v>0</v>
      </c>
      <c r="O557" s="11">
        <f t="shared" si="267"/>
        <v>0</v>
      </c>
      <c r="P557" s="25"/>
      <c r="Q557" s="10" t="str">
        <f t="shared" si="268"/>
        <v>MarçoSEMANA 2Tangerina</v>
      </c>
      <c r="R557" s="7">
        <f>SUMIF(NF!$A:$A,$Q557,NF!$I:$I)</f>
        <v>0</v>
      </c>
      <c r="S557" s="6"/>
      <c r="T557" s="6"/>
      <c r="U557" s="6"/>
      <c r="V557" s="6"/>
      <c r="W557" s="6"/>
      <c r="X557" s="6"/>
      <c r="Y557" s="6"/>
      <c r="Z557" s="7">
        <f t="shared" si="338"/>
        <v>0</v>
      </c>
      <c r="AA557" s="11">
        <f t="shared" si="270"/>
        <v>0</v>
      </c>
      <c r="AB557" s="25"/>
      <c r="AC557" s="10" t="str">
        <f t="shared" si="271"/>
        <v>MarçoSEMANA 3Tangerina</v>
      </c>
      <c r="AD557" s="7">
        <f>SUMIF(NF!$A:$A,$AC557,NF!$I:$I)</f>
        <v>0</v>
      </c>
      <c r="AE557" s="6"/>
      <c r="AF557" s="6"/>
      <c r="AG557" s="6"/>
      <c r="AH557" s="6"/>
      <c r="AI557" s="6"/>
      <c r="AJ557" s="6"/>
      <c r="AK557" s="6"/>
      <c r="AL557" s="7">
        <f t="shared" si="339"/>
        <v>0</v>
      </c>
      <c r="AM557" s="11">
        <f t="shared" si="273"/>
        <v>0</v>
      </c>
      <c r="AN557" s="25"/>
      <c r="AO557" s="10" t="str">
        <f t="shared" si="274"/>
        <v>MarçoSEMANA 4Tangerina</v>
      </c>
      <c r="AP557" s="7">
        <f>SUMIF(NF!$A:$A,$AO557,NF!$I:$I)</f>
        <v>0</v>
      </c>
      <c r="AQ557" s="6"/>
      <c r="AR557" s="6"/>
      <c r="AS557" s="6"/>
      <c r="AT557" s="6"/>
      <c r="AU557" s="6"/>
      <c r="AV557" s="6"/>
      <c r="AW557" s="6"/>
      <c r="AX557" s="7">
        <f t="shared" si="340"/>
        <v>0</v>
      </c>
      <c r="AY557" s="11">
        <f t="shared" si="276"/>
        <v>0</v>
      </c>
      <c r="AZ557" s="25"/>
      <c r="BA557" s="10" t="str">
        <f t="shared" si="277"/>
        <v>MarçoSEMANA 5Tangerina</v>
      </c>
      <c r="BB557" s="7">
        <f>SUMIF(NF!$A:$A,$BA557,NF!$I:$I)</f>
        <v>0</v>
      </c>
      <c r="BC557" s="6"/>
      <c r="BD557" s="6"/>
      <c r="BE557" s="6"/>
      <c r="BF557" s="6"/>
      <c r="BG557" s="6"/>
      <c r="BH557" s="6"/>
      <c r="BI557" s="74"/>
      <c r="BJ557" s="74"/>
      <c r="BK557" s="7">
        <f t="shared" si="341"/>
        <v>0</v>
      </c>
      <c r="BL557" s="8">
        <f t="shared" si="279"/>
        <v>0</v>
      </c>
      <c r="BM557" s="51" t="str">
        <f>IFERROR(VLOOKUP(A557,NF!$M:$O,3,0),"")</f>
        <v>Hortifruti</v>
      </c>
      <c r="BN557" s="7">
        <f t="shared" si="280"/>
        <v>0</v>
      </c>
      <c r="BO557" s="8">
        <f t="array" ref="BO557">IFERROR(LARGE(IF(NF!$G$2:$G$3137='Mês atual'!A557,NF!$J$2:$J$3137),1),0)*BN557</f>
        <v>0</v>
      </c>
      <c r="BP557" s="50"/>
      <c r="BR557" s="146">
        <f t="array" ref="BR557">IFERROR(LARGE(IF(NF!$G$2:$G$3137='Mês atual'!A557,NF!$J$2:$J$3137),1),0)</f>
        <v>0</v>
      </c>
      <c r="BS557" s="142" t="str">
        <f>VLOOKUP(A557,NF!M:O,3,0)</f>
        <v>Hortifruti</v>
      </c>
      <c r="BV557" s="74">
        <f t="shared" si="342"/>
        <v>0</v>
      </c>
      <c r="BW557" s="74">
        <f t="shared" si="343"/>
        <v>0</v>
      </c>
      <c r="BX557" s="74">
        <f t="shared" si="344"/>
        <v>0</v>
      </c>
      <c r="BY557" s="74">
        <f t="shared" si="345"/>
        <v>0</v>
      </c>
      <c r="BZ557" s="74">
        <f t="shared" si="346"/>
        <v>0</v>
      </c>
    </row>
    <row r="558" spans="1:78" x14ac:dyDescent="0.2">
      <c r="A558" s="108" t="s">
        <v>787</v>
      </c>
      <c r="B558" s="12"/>
      <c r="C558" s="9">
        <v>0</v>
      </c>
      <c r="D558" s="25"/>
      <c r="E558" s="10" t="str">
        <f t="shared" si="265"/>
        <v>MarçoSEMANA 1Tofu 500 gr</v>
      </c>
      <c r="F558" s="7">
        <f>SUMIF(NF!$A:$A,$E558,NF!$I:$I)</f>
        <v>0</v>
      </c>
      <c r="G558" s="74"/>
      <c r="H558" s="74"/>
      <c r="I558" s="74"/>
      <c r="J558" s="6"/>
      <c r="K558" s="6"/>
      <c r="L558" s="6"/>
      <c r="M558" s="6"/>
      <c r="N558" s="7">
        <f t="shared" si="337"/>
        <v>0</v>
      </c>
      <c r="O558" s="11">
        <f t="shared" si="267"/>
        <v>0</v>
      </c>
      <c r="P558" s="25"/>
      <c r="Q558" s="10" t="str">
        <f t="shared" si="268"/>
        <v>MarçoSEMANA 2Tofu 500 gr</v>
      </c>
      <c r="R558" s="7">
        <f>SUMIF(NF!$A:$A,$Q558,NF!$I:$I)</f>
        <v>0</v>
      </c>
      <c r="S558" s="6"/>
      <c r="T558" s="6"/>
      <c r="U558" s="6"/>
      <c r="V558" s="6"/>
      <c r="W558" s="6"/>
      <c r="X558" s="6"/>
      <c r="Y558" s="6"/>
      <c r="Z558" s="7">
        <f t="shared" si="338"/>
        <v>0</v>
      </c>
      <c r="AA558" s="11">
        <f t="shared" si="270"/>
        <v>0</v>
      </c>
      <c r="AB558" s="25"/>
      <c r="AC558" s="10" t="str">
        <f t="shared" si="271"/>
        <v>MarçoSEMANA 3Tofu 500 gr</v>
      </c>
      <c r="AD558" s="7">
        <f>SUMIF(NF!$A:$A,$AC558,NF!$I:$I)</f>
        <v>0</v>
      </c>
      <c r="AE558" s="6"/>
      <c r="AF558" s="6"/>
      <c r="AG558" s="6"/>
      <c r="AH558" s="6"/>
      <c r="AI558" s="6"/>
      <c r="AJ558" s="6"/>
      <c r="AK558" s="6"/>
      <c r="AL558" s="7">
        <f t="shared" si="339"/>
        <v>0</v>
      </c>
      <c r="AM558" s="11">
        <f t="shared" si="273"/>
        <v>0</v>
      </c>
      <c r="AN558" s="25"/>
      <c r="AO558" s="10" t="str">
        <f t="shared" si="274"/>
        <v>MarçoSEMANA 4Tofu 500 gr</v>
      </c>
      <c r="AP558" s="7">
        <f>SUMIF(NF!$A:$A,$AO558,NF!$I:$I)</f>
        <v>0</v>
      </c>
      <c r="AQ558" s="6"/>
      <c r="AR558" s="6"/>
      <c r="AS558" s="6"/>
      <c r="AT558" s="6"/>
      <c r="AU558" s="6"/>
      <c r="AV558" s="6"/>
      <c r="AW558" s="6"/>
      <c r="AX558" s="7">
        <f t="shared" si="340"/>
        <v>0</v>
      </c>
      <c r="AY558" s="11">
        <f t="shared" si="276"/>
        <v>0</v>
      </c>
      <c r="AZ558" s="25"/>
      <c r="BA558" s="10" t="str">
        <f t="shared" si="277"/>
        <v>MarçoSEMANA 5Tofu 500 gr</v>
      </c>
      <c r="BB558" s="7">
        <f>SUMIF(NF!$A:$A,$BA558,NF!$I:$I)</f>
        <v>0</v>
      </c>
      <c r="BC558" s="6"/>
      <c r="BD558" s="6"/>
      <c r="BE558" s="6"/>
      <c r="BF558" s="6"/>
      <c r="BG558" s="6"/>
      <c r="BH558" s="6"/>
      <c r="BI558" s="74"/>
      <c r="BJ558" s="74"/>
      <c r="BK558" s="7">
        <f t="shared" si="341"/>
        <v>0</v>
      </c>
      <c r="BL558" s="8">
        <f t="shared" si="279"/>
        <v>0</v>
      </c>
      <c r="BM558" s="51" t="str">
        <f>IFERROR(VLOOKUP(A558,NF!$M:$O,3,0),"")</f>
        <v>Hortifruti</v>
      </c>
      <c r="BN558" s="7">
        <f t="shared" si="280"/>
        <v>0</v>
      </c>
      <c r="BO558" s="8">
        <f t="array" ref="BO558">IFERROR(LARGE(IF(NF!$G$2:$G$3137='Mês atual'!A558,NF!$J$2:$J$3137),1),0)*BN558</f>
        <v>0</v>
      </c>
      <c r="BP558" s="50"/>
      <c r="BR558" s="146">
        <f t="array" ref="BR558">IFERROR(LARGE(IF(NF!$G$2:$G$3137='Mês atual'!A558,NF!$J$2:$J$3137),1),0)</f>
        <v>0</v>
      </c>
      <c r="BS558" s="142" t="str">
        <f>VLOOKUP(A558,NF!M:O,3,0)</f>
        <v>Hortifruti</v>
      </c>
      <c r="BV558" s="74">
        <f t="shared" si="342"/>
        <v>0</v>
      </c>
      <c r="BW558" s="74">
        <f t="shared" si="343"/>
        <v>0</v>
      </c>
      <c r="BX558" s="74">
        <f t="shared" si="344"/>
        <v>0</v>
      </c>
      <c r="BY558" s="74">
        <f t="shared" si="345"/>
        <v>0</v>
      </c>
      <c r="BZ558" s="74">
        <f t="shared" si="346"/>
        <v>0</v>
      </c>
    </row>
    <row r="559" spans="1:78" x14ac:dyDescent="0.2">
      <c r="A559" s="108" t="s">
        <v>788</v>
      </c>
      <c r="B559" s="12"/>
      <c r="C559" s="9">
        <v>0</v>
      </c>
      <c r="D559" s="25"/>
      <c r="E559" s="10" t="str">
        <f t="shared" si="265"/>
        <v>MarçoSEMANA 1Tofu Kilo</v>
      </c>
      <c r="F559" s="7">
        <f>SUMIF(NF!$A:$A,$E559,NF!$I:$I)</f>
        <v>0</v>
      </c>
      <c r="G559" s="74"/>
      <c r="H559" s="74"/>
      <c r="I559" s="74"/>
      <c r="J559" s="6"/>
      <c r="K559" s="6"/>
      <c r="L559" s="6"/>
      <c r="M559" s="6"/>
      <c r="N559" s="7">
        <f t="shared" si="337"/>
        <v>0</v>
      </c>
      <c r="O559" s="11">
        <f t="shared" si="267"/>
        <v>0</v>
      </c>
      <c r="P559" s="25"/>
      <c r="Q559" s="10" t="str">
        <f t="shared" si="268"/>
        <v>MarçoSEMANA 2Tofu Kilo</v>
      </c>
      <c r="R559" s="7">
        <f>SUMIF(NF!$A:$A,$Q559,NF!$I:$I)</f>
        <v>3</v>
      </c>
      <c r="S559" s="6"/>
      <c r="T559" s="6"/>
      <c r="U559" s="6">
        <v>3</v>
      </c>
      <c r="V559" s="6"/>
      <c r="W559" s="6"/>
      <c r="X559" s="6"/>
      <c r="Y559" s="6"/>
      <c r="Z559" s="7">
        <f t="shared" si="338"/>
        <v>3</v>
      </c>
      <c r="AA559" s="11">
        <f t="shared" si="270"/>
        <v>0</v>
      </c>
      <c r="AB559" s="25"/>
      <c r="AC559" s="10" t="str">
        <f t="shared" si="271"/>
        <v>MarçoSEMANA 3Tofu Kilo</v>
      </c>
      <c r="AD559" s="7">
        <f>SUMIF(NF!$A:$A,$AC559,NF!$I:$I)</f>
        <v>4</v>
      </c>
      <c r="AE559" s="6"/>
      <c r="AF559" s="6"/>
      <c r="AG559" s="6">
        <v>3</v>
      </c>
      <c r="AH559" s="6"/>
      <c r="AI559" s="6">
        <v>1</v>
      </c>
      <c r="AJ559" s="6"/>
      <c r="AK559" s="6"/>
      <c r="AL559" s="7">
        <f t="shared" si="339"/>
        <v>4</v>
      </c>
      <c r="AM559" s="11">
        <f t="shared" si="273"/>
        <v>0</v>
      </c>
      <c r="AN559" s="25"/>
      <c r="AO559" s="10" t="str">
        <f t="shared" si="274"/>
        <v>MarçoSEMANA 4Tofu Kilo</v>
      </c>
      <c r="AP559" s="7">
        <f>SUMIF(NF!$A:$A,$AO559,NF!$I:$I)</f>
        <v>7</v>
      </c>
      <c r="AQ559" s="6"/>
      <c r="AR559" s="6"/>
      <c r="AS559" s="6">
        <v>3</v>
      </c>
      <c r="AT559" s="6"/>
      <c r="AU559" s="6">
        <v>4</v>
      </c>
      <c r="AV559" s="6"/>
      <c r="AW559" s="6"/>
      <c r="AX559" s="7">
        <f t="shared" si="340"/>
        <v>7</v>
      </c>
      <c r="AY559" s="11">
        <f t="shared" si="276"/>
        <v>0</v>
      </c>
      <c r="AZ559" s="25"/>
      <c r="BA559" s="10" t="str">
        <f t="shared" si="277"/>
        <v>MarçoSEMANA 5Tofu Kilo</v>
      </c>
      <c r="BB559" s="7">
        <f>SUMIF(NF!$A:$A,$BA559,NF!$I:$I)</f>
        <v>2</v>
      </c>
      <c r="BC559" s="6"/>
      <c r="BD559" s="6"/>
      <c r="BE559" s="6">
        <v>2</v>
      </c>
      <c r="BF559" s="6"/>
      <c r="BG559" s="6"/>
      <c r="BH559" s="6"/>
      <c r="BI559" s="74"/>
      <c r="BJ559" s="74"/>
      <c r="BK559" s="7">
        <f t="shared" si="341"/>
        <v>2</v>
      </c>
      <c r="BL559" s="8">
        <f t="shared" si="279"/>
        <v>0</v>
      </c>
      <c r="BM559" s="51" t="str">
        <f>IFERROR(VLOOKUP(A559,NF!$M:$O,3,0),"")</f>
        <v>Hortifruti</v>
      </c>
      <c r="BN559" s="7">
        <f t="shared" si="280"/>
        <v>16</v>
      </c>
      <c r="BO559" s="8">
        <f t="array" ref="BO559">IFERROR(LARGE(IF(NF!$G$2:$G$3137='Mês atual'!A559,NF!$J$2:$J$3137),1),0)*BN559</f>
        <v>224</v>
      </c>
      <c r="BP559" s="50"/>
      <c r="BR559" s="146">
        <f t="array" ref="BR559">IFERROR(LARGE(IF(NF!$G$2:$G$3137='Mês atual'!A559,NF!$J$2:$J$3137),1),0)</f>
        <v>14</v>
      </c>
      <c r="BS559" s="142" t="str">
        <f>VLOOKUP(A559,NF!M:O,3,0)</f>
        <v>Hortifruti</v>
      </c>
      <c r="BV559" s="74">
        <f t="shared" si="342"/>
        <v>0</v>
      </c>
      <c r="BW559" s="74">
        <f t="shared" si="343"/>
        <v>3</v>
      </c>
      <c r="BX559" s="74">
        <f t="shared" si="344"/>
        <v>4</v>
      </c>
      <c r="BY559" s="74">
        <f t="shared" si="345"/>
        <v>7</v>
      </c>
      <c r="BZ559" s="74">
        <f t="shared" si="346"/>
        <v>2</v>
      </c>
    </row>
    <row r="560" spans="1:78" x14ac:dyDescent="0.2">
      <c r="A560" s="108" t="s">
        <v>789</v>
      </c>
      <c r="B560" s="12"/>
      <c r="C560" s="9">
        <v>0</v>
      </c>
      <c r="D560" s="25"/>
      <c r="E560" s="10" t="str">
        <f t="shared" si="265"/>
        <v>MarçoSEMANA 1Tomate Cereja</v>
      </c>
      <c r="F560" s="7">
        <f>SUMIF(NF!$A:$A,$E560,NF!$I:$I)</f>
        <v>0</v>
      </c>
      <c r="G560" s="74"/>
      <c r="H560" s="74"/>
      <c r="I560" s="74"/>
      <c r="J560" s="6"/>
      <c r="K560" s="6"/>
      <c r="L560" s="6"/>
      <c r="M560" s="6"/>
      <c r="N560" s="7">
        <f t="shared" si="337"/>
        <v>0</v>
      </c>
      <c r="O560" s="11">
        <f t="shared" si="267"/>
        <v>0</v>
      </c>
      <c r="P560" s="25"/>
      <c r="Q560" s="10" t="str">
        <f t="shared" si="268"/>
        <v>MarçoSEMANA 2Tomate Cereja</v>
      </c>
      <c r="R560" s="7">
        <f>SUMIF(NF!$A:$A,$Q560,NF!$I:$I)</f>
        <v>0</v>
      </c>
      <c r="S560" s="6"/>
      <c r="T560" s="6"/>
      <c r="U560" s="6"/>
      <c r="V560" s="6"/>
      <c r="W560" s="6"/>
      <c r="X560" s="6"/>
      <c r="Y560" s="6"/>
      <c r="Z560" s="7">
        <f t="shared" si="338"/>
        <v>0</v>
      </c>
      <c r="AA560" s="11">
        <f t="shared" si="270"/>
        <v>0</v>
      </c>
      <c r="AB560" s="25"/>
      <c r="AC560" s="10" t="str">
        <f t="shared" si="271"/>
        <v>MarçoSEMANA 3Tomate Cereja</v>
      </c>
      <c r="AD560" s="7">
        <f>SUMIF(NF!$A:$A,$AC560,NF!$I:$I)</f>
        <v>6</v>
      </c>
      <c r="AE560" s="6"/>
      <c r="AF560" s="6"/>
      <c r="AG560" s="6"/>
      <c r="AH560" s="6"/>
      <c r="AI560" s="6">
        <v>6</v>
      </c>
      <c r="AJ560" s="6"/>
      <c r="AK560" s="6"/>
      <c r="AL560" s="7">
        <f t="shared" si="339"/>
        <v>6</v>
      </c>
      <c r="AM560" s="11">
        <f t="shared" si="273"/>
        <v>0</v>
      </c>
      <c r="AN560" s="25"/>
      <c r="AO560" s="10" t="str">
        <f t="shared" si="274"/>
        <v>MarçoSEMANA 4Tomate Cereja</v>
      </c>
      <c r="AP560" s="7">
        <f>SUMIF(NF!$A:$A,$AO560,NF!$I:$I)</f>
        <v>6</v>
      </c>
      <c r="AQ560" s="6"/>
      <c r="AR560" s="6"/>
      <c r="AS560" s="6"/>
      <c r="AT560" s="6"/>
      <c r="AU560" s="6"/>
      <c r="AV560" s="6"/>
      <c r="AW560" s="6">
        <v>6</v>
      </c>
      <c r="AX560" s="7">
        <f t="shared" si="340"/>
        <v>6</v>
      </c>
      <c r="AY560" s="11">
        <f t="shared" si="276"/>
        <v>0</v>
      </c>
      <c r="AZ560" s="25"/>
      <c r="BA560" s="10" t="str">
        <f t="shared" si="277"/>
        <v>MarçoSEMANA 5Tomate Cereja</v>
      </c>
      <c r="BB560" s="7">
        <f>SUMIF(NF!$A:$A,$BA560,NF!$I:$I)</f>
        <v>10</v>
      </c>
      <c r="BC560" s="6"/>
      <c r="BD560" s="6"/>
      <c r="BE560" s="6"/>
      <c r="BF560" s="6">
        <v>3</v>
      </c>
      <c r="BG560" s="6"/>
      <c r="BH560" s="6">
        <v>5</v>
      </c>
      <c r="BI560" s="74"/>
      <c r="BJ560" s="74"/>
      <c r="BK560" s="7">
        <f t="shared" si="341"/>
        <v>8</v>
      </c>
      <c r="BL560" s="8">
        <f t="shared" si="279"/>
        <v>2</v>
      </c>
      <c r="BM560" s="51" t="str">
        <f>IFERROR(VLOOKUP(A560,NF!$M:$O,3,0),"")</f>
        <v>Hortifruti</v>
      </c>
      <c r="BN560" s="7">
        <f t="shared" si="280"/>
        <v>20</v>
      </c>
      <c r="BO560" s="8">
        <f t="array" ref="BO560">IFERROR(LARGE(IF(NF!$G$2:$G$3137='Mês atual'!A560,NF!$J$2:$J$3137),1),0)*BN560</f>
        <v>140</v>
      </c>
      <c r="BP560" s="50"/>
      <c r="BR560" s="146">
        <f t="array" ref="BR560">IFERROR(LARGE(IF(NF!$G$2:$G$3137='Mês atual'!A560,NF!$J$2:$J$3137),1),0)</f>
        <v>7</v>
      </c>
      <c r="BS560" s="142" t="str">
        <f>VLOOKUP(A560,NF!M:O,3,0)</f>
        <v>Hortifruti</v>
      </c>
      <c r="BV560" s="74">
        <f t="shared" si="342"/>
        <v>0</v>
      </c>
      <c r="BW560" s="74">
        <f t="shared" si="343"/>
        <v>0</v>
      </c>
      <c r="BX560" s="74">
        <f t="shared" si="344"/>
        <v>6</v>
      </c>
      <c r="BY560" s="74">
        <f t="shared" si="345"/>
        <v>6</v>
      </c>
      <c r="BZ560" s="74">
        <f t="shared" si="346"/>
        <v>8</v>
      </c>
    </row>
    <row r="561" spans="1:78" x14ac:dyDescent="0.25">
      <c r="A561" s="108" t="s">
        <v>790</v>
      </c>
      <c r="B561" s="12"/>
      <c r="C561" s="9">
        <v>0</v>
      </c>
      <c r="D561" s="25"/>
      <c r="E561" s="10" t="str">
        <f t="shared" si="265"/>
        <v>MarçoSEMANA 1Tomate Cereja Orgânico</v>
      </c>
      <c r="F561" s="7">
        <f>SUMIF(NF!$A:$A,$E561,NF!$I:$I)</f>
        <v>0</v>
      </c>
      <c r="G561" s="74"/>
      <c r="H561" s="74"/>
      <c r="I561" s="74"/>
      <c r="J561" s="6"/>
      <c r="K561" s="6"/>
      <c r="L561" s="6"/>
      <c r="M561" s="6"/>
      <c r="N561" s="7">
        <f t="shared" si="337"/>
        <v>0</v>
      </c>
      <c r="O561" s="11">
        <f t="shared" si="267"/>
        <v>0</v>
      </c>
      <c r="P561" s="25"/>
      <c r="Q561" s="10" t="str">
        <f t="shared" si="268"/>
        <v>MarçoSEMANA 2Tomate Cereja Orgânico</v>
      </c>
      <c r="R561" s="7">
        <f>SUMIF(NF!$A:$A,$Q561,NF!$I:$I)</f>
        <v>0</v>
      </c>
      <c r="S561" s="6"/>
      <c r="T561" s="6"/>
      <c r="U561" s="6"/>
      <c r="V561" s="6"/>
      <c r="W561" s="6"/>
      <c r="X561" s="6"/>
      <c r="Y561" s="6"/>
      <c r="Z561" s="7">
        <f t="shared" si="338"/>
        <v>0</v>
      </c>
      <c r="AA561" s="11">
        <f t="shared" si="270"/>
        <v>0</v>
      </c>
      <c r="AB561" s="25"/>
      <c r="AC561" s="10" t="str">
        <f t="shared" si="271"/>
        <v>MarçoSEMANA 3Tomate Cereja Orgânico</v>
      </c>
      <c r="AD561" s="7">
        <f>SUMIF(NF!$A:$A,$AC561,NF!$I:$I)</f>
        <v>0</v>
      </c>
      <c r="AE561" s="6"/>
      <c r="AF561" s="6"/>
      <c r="AG561" s="6"/>
      <c r="AH561" s="6"/>
      <c r="AI561" s="6"/>
      <c r="AJ561" s="6"/>
      <c r="AK561" s="6"/>
      <c r="AL561" s="7">
        <f t="shared" si="339"/>
        <v>0</v>
      </c>
      <c r="AM561" s="11">
        <f t="shared" si="273"/>
        <v>0</v>
      </c>
      <c r="AN561" s="25"/>
      <c r="AO561" s="10" t="str">
        <f t="shared" si="274"/>
        <v>MarçoSEMANA 4Tomate Cereja Orgânico</v>
      </c>
      <c r="AP561" s="7">
        <f>SUMIF(NF!$A:$A,$AO561,NF!$I:$I)</f>
        <v>0</v>
      </c>
      <c r="AQ561" s="6"/>
      <c r="AR561" s="6"/>
      <c r="AS561" s="6"/>
      <c r="AT561" s="6"/>
      <c r="AU561" s="6"/>
      <c r="AV561" s="6"/>
      <c r="AW561" s="6"/>
      <c r="AX561" s="7">
        <f t="shared" si="340"/>
        <v>0</v>
      </c>
      <c r="AY561" s="11">
        <f t="shared" si="276"/>
        <v>0</v>
      </c>
      <c r="AZ561" s="25"/>
      <c r="BA561" s="10" t="str">
        <f t="shared" si="277"/>
        <v>MarçoSEMANA 5Tomate Cereja Orgânico</v>
      </c>
      <c r="BB561" s="7">
        <f>SUMIF(NF!$A:$A,$BA561,NF!$I:$I)</f>
        <v>0</v>
      </c>
      <c r="BC561" s="6"/>
      <c r="BD561" s="6"/>
      <c r="BE561" s="6"/>
      <c r="BF561" s="6"/>
      <c r="BG561" s="6"/>
      <c r="BH561" s="6"/>
      <c r="BI561" s="74"/>
      <c r="BJ561" s="74"/>
      <c r="BK561" s="7">
        <f t="shared" si="341"/>
        <v>0</v>
      </c>
      <c r="BL561" s="8">
        <f t="shared" si="279"/>
        <v>0</v>
      </c>
      <c r="BM561" s="51" t="str">
        <f>IFERROR(VLOOKUP(A561,NF!$M:$O,3,0),"")</f>
        <v>Hortifruti</v>
      </c>
      <c r="BN561" s="7">
        <f t="shared" si="280"/>
        <v>0</v>
      </c>
      <c r="BO561" s="8">
        <f t="array" ref="BO561">IFERROR(LARGE(IF(NF!$G$2:$G$3137='Mês atual'!A561,NF!$J$2:$J$3137),1),0)*BN561</f>
        <v>0</v>
      </c>
      <c r="BP561" s="50"/>
      <c r="BR561" s="146">
        <f t="array" ref="BR561">IFERROR(LARGE(IF(NF!$G$2:$G$3137='Mês atual'!A561,NF!$J$2:$J$3137),1),0)</f>
        <v>0</v>
      </c>
      <c r="BS561" s="142" t="str">
        <f>VLOOKUP(A561,NF!M:O,3,0)</f>
        <v>Hortifruti</v>
      </c>
      <c r="BV561" s="74">
        <f t="shared" si="342"/>
        <v>0</v>
      </c>
      <c r="BW561" s="74">
        <f t="shared" si="343"/>
        <v>0</v>
      </c>
      <c r="BX561" s="74">
        <f t="shared" si="344"/>
        <v>0</v>
      </c>
      <c r="BY561" s="74">
        <f t="shared" si="345"/>
        <v>0</v>
      </c>
      <c r="BZ561" s="74">
        <f t="shared" si="346"/>
        <v>0</v>
      </c>
    </row>
    <row r="562" spans="1:78" x14ac:dyDescent="0.2">
      <c r="A562" s="108" t="s">
        <v>791</v>
      </c>
      <c r="B562" s="12"/>
      <c r="C562" s="9">
        <v>0</v>
      </c>
      <c r="D562" s="25"/>
      <c r="E562" s="10" t="str">
        <f t="shared" si="265"/>
        <v>MarçoSEMANA 1Tomate Molho</v>
      </c>
      <c r="F562" s="7">
        <f>SUMIF(NF!$A:$A,$E562,NF!$I:$I)</f>
        <v>0</v>
      </c>
      <c r="G562" s="74"/>
      <c r="H562" s="74"/>
      <c r="I562" s="74"/>
      <c r="J562" s="6"/>
      <c r="K562" s="6"/>
      <c r="L562" s="6"/>
      <c r="M562" s="6"/>
      <c r="N562" s="7">
        <f t="shared" si="337"/>
        <v>0</v>
      </c>
      <c r="O562" s="11">
        <f t="shared" si="267"/>
        <v>0</v>
      </c>
      <c r="P562" s="25"/>
      <c r="Q562" s="10" t="str">
        <f t="shared" si="268"/>
        <v>MarçoSEMANA 2Tomate Molho</v>
      </c>
      <c r="R562" s="7">
        <f>SUMIF(NF!$A:$A,$Q562,NF!$I:$I)</f>
        <v>21.6</v>
      </c>
      <c r="S562" s="6"/>
      <c r="T562" s="6"/>
      <c r="U562" s="6"/>
      <c r="V562" s="6"/>
      <c r="W562" s="6"/>
      <c r="X562" s="6"/>
      <c r="Y562" s="6">
        <v>21.6</v>
      </c>
      <c r="Z562" s="7">
        <f t="shared" si="338"/>
        <v>21.6</v>
      </c>
      <c r="AA562" s="11">
        <f t="shared" si="270"/>
        <v>0</v>
      </c>
      <c r="AB562" s="25"/>
      <c r="AC562" s="10" t="str">
        <f t="shared" si="271"/>
        <v>MarçoSEMANA 3Tomate Molho</v>
      </c>
      <c r="AD562" s="7">
        <f>SUMIF(NF!$A:$A,$AC562,NF!$I:$I)</f>
        <v>0</v>
      </c>
      <c r="AE562" s="6"/>
      <c r="AF562" s="6"/>
      <c r="AG562" s="6"/>
      <c r="AH562" s="6"/>
      <c r="AI562" s="6"/>
      <c r="AJ562" s="6"/>
      <c r="AK562" s="6"/>
      <c r="AL562" s="7">
        <f t="shared" si="339"/>
        <v>0</v>
      </c>
      <c r="AM562" s="11">
        <f t="shared" si="273"/>
        <v>0</v>
      </c>
      <c r="AN562" s="25"/>
      <c r="AO562" s="10" t="str">
        <f t="shared" si="274"/>
        <v>MarçoSEMANA 4Tomate Molho</v>
      </c>
      <c r="AP562" s="7">
        <f>SUMIF(NF!$A:$A,$AO562,NF!$I:$I)</f>
        <v>0</v>
      </c>
      <c r="AQ562" s="6"/>
      <c r="AR562" s="6"/>
      <c r="AS562" s="6"/>
      <c r="AT562" s="6"/>
      <c r="AU562" s="6"/>
      <c r="AV562" s="6"/>
      <c r="AW562" s="6"/>
      <c r="AX562" s="7">
        <f t="shared" si="340"/>
        <v>0</v>
      </c>
      <c r="AY562" s="11">
        <f t="shared" si="276"/>
        <v>0</v>
      </c>
      <c r="AZ562" s="25"/>
      <c r="BA562" s="10" t="str">
        <f t="shared" si="277"/>
        <v>MarçoSEMANA 5Tomate Molho</v>
      </c>
      <c r="BB562" s="7">
        <f>SUMIF(NF!$A:$A,$BA562,NF!$I:$I)</f>
        <v>0</v>
      </c>
      <c r="BC562" s="6"/>
      <c r="BD562" s="6"/>
      <c r="BE562" s="6"/>
      <c r="BF562" s="6"/>
      <c r="BG562" s="6"/>
      <c r="BH562" s="6"/>
      <c r="BI562" s="74"/>
      <c r="BJ562" s="74"/>
      <c r="BK562" s="7">
        <f t="shared" si="341"/>
        <v>0</v>
      </c>
      <c r="BL562" s="8">
        <f t="shared" si="279"/>
        <v>0</v>
      </c>
      <c r="BM562" s="51" t="str">
        <f>IFERROR(VLOOKUP(A562,NF!$M:$O,3,0),"")</f>
        <v>Hortifruti</v>
      </c>
      <c r="BN562" s="7">
        <f t="shared" si="280"/>
        <v>21.6</v>
      </c>
      <c r="BO562" s="8">
        <f t="array" ref="BO562">IFERROR(LARGE(IF(NF!$G$2:$G$3137='Mês atual'!A562,NF!$J$2:$J$3137),1),0)*BN562</f>
        <v>60</v>
      </c>
      <c r="BP562" s="50"/>
      <c r="BR562" s="146">
        <f t="array" ref="BR562">IFERROR(LARGE(IF(NF!$G$2:$G$3137='Mês atual'!A562,NF!$J$2:$J$3137),1),0)</f>
        <v>2.7777777777777777</v>
      </c>
      <c r="BS562" s="142" t="str">
        <f>VLOOKUP(A562,NF!M:O,3,0)</f>
        <v>Hortifruti</v>
      </c>
      <c r="BV562" s="74">
        <f t="shared" si="342"/>
        <v>0</v>
      </c>
      <c r="BW562" s="74">
        <f t="shared" si="343"/>
        <v>21.6</v>
      </c>
      <c r="BX562" s="74">
        <f t="shared" si="344"/>
        <v>0</v>
      </c>
      <c r="BY562" s="74">
        <f t="shared" si="345"/>
        <v>0</v>
      </c>
      <c r="BZ562" s="74">
        <f t="shared" si="346"/>
        <v>0</v>
      </c>
    </row>
    <row r="563" spans="1:78" x14ac:dyDescent="0.25">
      <c r="A563" s="108" t="s">
        <v>792</v>
      </c>
      <c r="B563" s="12"/>
      <c r="C563" s="9">
        <v>0</v>
      </c>
      <c r="D563" s="25"/>
      <c r="E563" s="10" t="str">
        <f t="shared" si="265"/>
        <v>MarçoSEMANA 1Tomate Orgânico</v>
      </c>
      <c r="F563" s="7">
        <f>SUMIF(NF!$A:$A,$E563,NF!$I:$I)</f>
        <v>0</v>
      </c>
      <c r="G563" s="74"/>
      <c r="H563" s="74"/>
      <c r="I563" s="74"/>
      <c r="J563" s="6"/>
      <c r="K563" s="6"/>
      <c r="L563" s="6"/>
      <c r="M563" s="6"/>
      <c r="N563" s="7">
        <f t="shared" si="337"/>
        <v>0</v>
      </c>
      <c r="O563" s="11">
        <f t="shared" si="267"/>
        <v>0</v>
      </c>
      <c r="P563" s="25"/>
      <c r="Q563" s="10" t="str">
        <f t="shared" si="268"/>
        <v>MarçoSEMANA 2Tomate Orgânico</v>
      </c>
      <c r="R563" s="7">
        <f>SUMIF(NF!$A:$A,$Q563,NF!$I:$I)</f>
        <v>0</v>
      </c>
      <c r="S563" s="6"/>
      <c r="T563" s="6"/>
      <c r="U563" s="6"/>
      <c r="V563" s="6"/>
      <c r="W563" s="6"/>
      <c r="X563" s="6"/>
      <c r="Y563" s="6"/>
      <c r="Z563" s="7">
        <f t="shared" si="338"/>
        <v>0</v>
      </c>
      <c r="AA563" s="11">
        <f t="shared" si="270"/>
        <v>0</v>
      </c>
      <c r="AB563" s="25"/>
      <c r="AC563" s="10" t="str">
        <f t="shared" si="271"/>
        <v>MarçoSEMANA 3Tomate Orgânico</v>
      </c>
      <c r="AD563" s="7">
        <f>SUMIF(NF!$A:$A,$AC563,NF!$I:$I)</f>
        <v>0</v>
      </c>
      <c r="AE563" s="6"/>
      <c r="AF563" s="6"/>
      <c r="AG563" s="6"/>
      <c r="AH563" s="6"/>
      <c r="AI563" s="6"/>
      <c r="AJ563" s="6"/>
      <c r="AK563" s="6"/>
      <c r="AL563" s="7">
        <f t="shared" si="339"/>
        <v>0</v>
      </c>
      <c r="AM563" s="11">
        <f t="shared" si="273"/>
        <v>0</v>
      </c>
      <c r="AN563" s="25"/>
      <c r="AO563" s="10" t="str">
        <f t="shared" si="274"/>
        <v>MarçoSEMANA 4Tomate Orgânico</v>
      </c>
      <c r="AP563" s="7">
        <f>SUMIF(NF!$A:$A,$AO563,NF!$I:$I)</f>
        <v>0</v>
      </c>
      <c r="AQ563" s="6"/>
      <c r="AR563" s="6"/>
      <c r="AS563" s="6"/>
      <c r="AT563" s="6"/>
      <c r="AU563" s="6"/>
      <c r="AV563" s="6"/>
      <c r="AW563" s="6"/>
      <c r="AX563" s="7">
        <f t="shared" si="340"/>
        <v>0</v>
      </c>
      <c r="AY563" s="11">
        <f t="shared" si="276"/>
        <v>0</v>
      </c>
      <c r="AZ563" s="25"/>
      <c r="BA563" s="10" t="str">
        <f t="shared" si="277"/>
        <v>MarçoSEMANA 5Tomate Orgânico</v>
      </c>
      <c r="BB563" s="7">
        <f>SUMIF(NF!$A:$A,$BA563,NF!$I:$I)</f>
        <v>0</v>
      </c>
      <c r="BC563" s="6"/>
      <c r="BD563" s="6"/>
      <c r="BE563" s="6"/>
      <c r="BF563" s="6"/>
      <c r="BG563" s="6"/>
      <c r="BH563" s="6"/>
      <c r="BI563" s="74"/>
      <c r="BJ563" s="74"/>
      <c r="BK563" s="7">
        <f t="shared" si="341"/>
        <v>0</v>
      </c>
      <c r="BL563" s="8">
        <f t="shared" si="279"/>
        <v>0</v>
      </c>
      <c r="BM563" s="51" t="str">
        <f>IFERROR(VLOOKUP(A563,NF!$M:$O,3,0),"")</f>
        <v>Hortifruti</v>
      </c>
      <c r="BN563" s="7">
        <f t="shared" si="280"/>
        <v>0</v>
      </c>
      <c r="BO563" s="8">
        <f t="array" ref="BO563">IFERROR(LARGE(IF(NF!$G$2:$G$3137='Mês atual'!A563,NF!$J$2:$J$3137),1),0)*BN563</f>
        <v>0</v>
      </c>
      <c r="BP563" s="50"/>
      <c r="BR563" s="146">
        <f t="array" ref="BR563">IFERROR(LARGE(IF(NF!$G$2:$G$3137='Mês atual'!A563,NF!$J$2:$J$3137),1),0)</f>
        <v>0</v>
      </c>
      <c r="BS563" s="142" t="str">
        <f>VLOOKUP(A563,NF!M:O,3,0)</f>
        <v>Hortifruti</v>
      </c>
      <c r="BV563" s="74">
        <f t="shared" si="342"/>
        <v>0</v>
      </c>
      <c r="BW563" s="74">
        <f t="shared" si="343"/>
        <v>0</v>
      </c>
      <c r="BX563" s="74">
        <f t="shared" si="344"/>
        <v>0</v>
      </c>
      <c r="BY563" s="74">
        <f t="shared" si="345"/>
        <v>0</v>
      </c>
      <c r="BZ563" s="74">
        <f t="shared" si="346"/>
        <v>0</v>
      </c>
    </row>
    <row r="564" spans="1:78" x14ac:dyDescent="0.2">
      <c r="A564" s="108" t="s">
        <v>794</v>
      </c>
      <c r="B564" s="12"/>
      <c r="C564" s="9">
        <v>21.1</v>
      </c>
      <c r="D564" s="25"/>
      <c r="E564" s="10" t="str">
        <f t="shared" si="265"/>
        <v>MarçoSEMANA 1Tomate Salada</v>
      </c>
      <c r="F564" s="7">
        <f>SUMIF(NF!$A:$A,$E564,NF!$I:$I)</f>
        <v>40.980000000000004</v>
      </c>
      <c r="G564" s="74"/>
      <c r="H564" s="74"/>
      <c r="I564" s="74"/>
      <c r="J564" s="6">
        <v>21.1</v>
      </c>
      <c r="K564" s="6">
        <v>20.32</v>
      </c>
      <c r="L564" s="6"/>
      <c r="M564" s="6">
        <v>20.66</v>
      </c>
      <c r="N564" s="7">
        <f t="shared" si="337"/>
        <v>62.08</v>
      </c>
      <c r="O564" s="11">
        <f t="shared" si="267"/>
        <v>0</v>
      </c>
      <c r="P564" s="25"/>
      <c r="Q564" s="10" t="str">
        <f t="shared" si="268"/>
        <v>MarçoSEMANA 2Tomate Salada</v>
      </c>
      <c r="R564" s="7">
        <f>SUMIF(NF!$A:$A,$Q564,NF!$I:$I)</f>
        <v>83.5</v>
      </c>
      <c r="S564" s="6">
        <v>20.04</v>
      </c>
      <c r="T564" s="6"/>
      <c r="U564" s="6">
        <v>21.12</v>
      </c>
      <c r="V564" s="6"/>
      <c r="W564" s="6">
        <v>20.72</v>
      </c>
      <c r="X564" s="6"/>
      <c r="Y564" s="6">
        <v>21.62</v>
      </c>
      <c r="Z564" s="7">
        <f t="shared" si="338"/>
        <v>83.5</v>
      </c>
      <c r="AA564" s="11">
        <f t="shared" si="270"/>
        <v>0</v>
      </c>
      <c r="AB564" s="25"/>
      <c r="AC564" s="10" t="str">
        <f t="shared" si="271"/>
        <v>MarçoSEMANA 3Tomate Salada</v>
      </c>
      <c r="AD564" s="7">
        <f>SUMIF(NF!$A:$A,$AC564,NF!$I:$I)</f>
        <v>82.339999999999989</v>
      </c>
      <c r="AE564" s="6"/>
      <c r="AF564" s="6">
        <v>20.86</v>
      </c>
      <c r="AG564" s="6">
        <v>20.88</v>
      </c>
      <c r="AH564" s="6"/>
      <c r="AI564" s="6">
        <v>19.899999999999999</v>
      </c>
      <c r="AJ564" s="6"/>
      <c r="AK564" s="6">
        <v>20.7</v>
      </c>
      <c r="AL564" s="7">
        <f t="shared" si="339"/>
        <v>82.339999999999989</v>
      </c>
      <c r="AM564" s="11">
        <f t="shared" si="273"/>
        <v>0</v>
      </c>
      <c r="AN564" s="25"/>
      <c r="AO564" s="10" t="str">
        <f t="shared" si="274"/>
        <v>MarçoSEMANA 4Tomate Salada</v>
      </c>
      <c r="AP564" s="7">
        <f>SUMIF(NF!$A:$A,$AO564,NF!$I:$I)</f>
        <v>82.26</v>
      </c>
      <c r="AQ564" s="6">
        <v>21.78</v>
      </c>
      <c r="AR564" s="6"/>
      <c r="AS564" s="6">
        <v>20.079999999999998</v>
      </c>
      <c r="AT564" s="6"/>
      <c r="AU564" s="6">
        <v>19.920000000000002</v>
      </c>
      <c r="AV564" s="6">
        <v>20.48</v>
      </c>
      <c r="AW564" s="6"/>
      <c r="AX564" s="7">
        <f t="shared" si="340"/>
        <v>82.26</v>
      </c>
      <c r="AY564" s="11">
        <f t="shared" si="276"/>
        <v>0</v>
      </c>
      <c r="AZ564" s="25"/>
      <c r="BA564" s="10" t="str">
        <f t="shared" si="277"/>
        <v>MarçoSEMANA 5Tomate Salada</v>
      </c>
      <c r="BB564" s="7">
        <f>SUMIF(NF!$A:$A,$BA564,NF!$I:$I)</f>
        <v>98.007999999999996</v>
      </c>
      <c r="BC564" s="6">
        <v>20.94</v>
      </c>
      <c r="BD564" s="6"/>
      <c r="BE564" s="6">
        <v>19.829999999999998</v>
      </c>
      <c r="BF564" s="6">
        <v>17.055</v>
      </c>
      <c r="BG564" s="6"/>
      <c r="BH564" s="6">
        <v>19.54</v>
      </c>
      <c r="BI564" s="74"/>
      <c r="BJ564" s="74"/>
      <c r="BK564" s="7">
        <f t="shared" si="341"/>
        <v>77.364999999999995</v>
      </c>
      <c r="BL564" s="8">
        <f t="shared" si="279"/>
        <v>20.643000000000001</v>
      </c>
      <c r="BM564" s="51" t="str">
        <f>IFERROR(VLOOKUP(A564,NF!$M:$O,3,0),"")</f>
        <v>Hortifruti</v>
      </c>
      <c r="BN564" s="7">
        <f t="shared" si="280"/>
        <v>387.54499999999996</v>
      </c>
      <c r="BO564" s="8">
        <f t="array" ref="BO564">IFERROR(LARGE(IF(NF!$G$2:$G$3137='Mês atual'!A564,NF!$J$2:$J$3137),1),0)*BN564</f>
        <v>1317.7166139054989</v>
      </c>
      <c r="BP564" s="50"/>
      <c r="BR564" s="146">
        <f t="array" ref="BR564">IFERROR(LARGE(IF(NF!$G$2:$G$3137='Mês atual'!A564,NF!$J$2:$J$3137),1),0)</f>
        <v>3.4001641458553173</v>
      </c>
      <c r="BS564" s="142" t="str">
        <f>VLOOKUP(A564,NF!M:O,3,0)</f>
        <v>Hortifruti</v>
      </c>
      <c r="BV564" s="74">
        <f t="shared" si="342"/>
        <v>62.08</v>
      </c>
      <c r="BW564" s="74">
        <f t="shared" si="343"/>
        <v>83.5</v>
      </c>
      <c r="BX564" s="74">
        <f t="shared" si="344"/>
        <v>82.339999999999989</v>
      </c>
      <c r="BY564" s="74">
        <f t="shared" si="345"/>
        <v>82.26</v>
      </c>
      <c r="BZ564" s="74">
        <f t="shared" si="346"/>
        <v>77.364999999999995</v>
      </c>
    </row>
    <row r="565" spans="1:78" x14ac:dyDescent="0.2">
      <c r="A565" s="108" t="s">
        <v>797</v>
      </c>
      <c r="B565" s="12"/>
      <c r="C565" s="9">
        <v>0</v>
      </c>
      <c r="D565" s="25"/>
      <c r="E565" s="10" t="str">
        <f t="shared" si="265"/>
        <v>MarçoSEMANA 1Tomilho</v>
      </c>
      <c r="F565" s="7">
        <f>SUMIF(NF!$A:$A,$E565,NF!$I:$I)</f>
        <v>0</v>
      </c>
      <c r="G565" s="74"/>
      <c r="H565" s="74"/>
      <c r="I565" s="74"/>
      <c r="J565" s="6"/>
      <c r="K565" s="6"/>
      <c r="L565" s="6"/>
      <c r="M565" s="6"/>
      <c r="N565" s="7">
        <f t="shared" si="337"/>
        <v>0</v>
      </c>
      <c r="O565" s="11">
        <f t="shared" si="267"/>
        <v>0</v>
      </c>
      <c r="P565" s="25"/>
      <c r="Q565" s="10" t="str">
        <f t="shared" si="268"/>
        <v>MarçoSEMANA 2Tomilho</v>
      </c>
      <c r="R565" s="7">
        <f>SUMIF(NF!$A:$A,$Q565,NF!$I:$I)</f>
        <v>0.2</v>
      </c>
      <c r="S565" s="6"/>
      <c r="T565" s="6"/>
      <c r="U565" s="6"/>
      <c r="V565" s="6"/>
      <c r="W565" s="6">
        <v>0.2</v>
      </c>
      <c r="X565" s="6"/>
      <c r="Y565" s="6"/>
      <c r="Z565" s="7">
        <f t="shared" si="338"/>
        <v>0.2</v>
      </c>
      <c r="AA565" s="11">
        <f t="shared" si="270"/>
        <v>0</v>
      </c>
      <c r="AB565" s="25"/>
      <c r="AC565" s="10" t="str">
        <f t="shared" si="271"/>
        <v>MarçoSEMANA 3Tomilho</v>
      </c>
      <c r="AD565" s="7">
        <f>SUMIF(NF!$A:$A,$AC565,NF!$I:$I)</f>
        <v>0.2</v>
      </c>
      <c r="AE565" s="6">
        <v>0.2</v>
      </c>
      <c r="AF565" s="6"/>
      <c r="AG565" s="6"/>
      <c r="AH565" s="6"/>
      <c r="AI565" s="6"/>
      <c r="AJ565" s="6"/>
      <c r="AK565" s="6"/>
      <c r="AL565" s="7">
        <f t="shared" si="339"/>
        <v>0.2</v>
      </c>
      <c r="AM565" s="11">
        <f t="shared" si="273"/>
        <v>0</v>
      </c>
      <c r="AN565" s="25"/>
      <c r="AO565" s="10" t="str">
        <f t="shared" si="274"/>
        <v>MarçoSEMANA 4Tomilho</v>
      </c>
      <c r="AP565" s="7">
        <f>SUMIF(NF!$A:$A,$AO565,NF!$I:$I)</f>
        <v>0.2</v>
      </c>
      <c r="AQ565" s="6"/>
      <c r="AR565" s="6"/>
      <c r="AS565" s="6"/>
      <c r="AT565" s="6">
        <v>0.2</v>
      </c>
      <c r="AU565" s="6"/>
      <c r="AV565" s="6"/>
      <c r="AW565" s="6"/>
      <c r="AX565" s="7">
        <f t="shared" si="340"/>
        <v>0.2</v>
      </c>
      <c r="AY565" s="11">
        <f t="shared" si="276"/>
        <v>0</v>
      </c>
      <c r="AZ565" s="25"/>
      <c r="BA565" s="10" t="str">
        <f t="shared" si="277"/>
        <v>MarçoSEMANA 5Tomilho</v>
      </c>
      <c r="BB565" s="7">
        <f>SUMIF(NF!$A:$A,$BA565,NF!$I:$I)</f>
        <v>0</v>
      </c>
      <c r="BC565" s="6"/>
      <c r="BD565" s="6"/>
      <c r="BE565" s="6"/>
      <c r="BF565" s="6"/>
      <c r="BG565" s="6"/>
      <c r="BH565" s="6"/>
      <c r="BI565" s="74"/>
      <c r="BJ565" s="74"/>
      <c r="BK565" s="7">
        <f t="shared" si="341"/>
        <v>0</v>
      </c>
      <c r="BL565" s="8">
        <f t="shared" si="279"/>
        <v>0</v>
      </c>
      <c r="BM565" s="51" t="str">
        <f>IFERROR(VLOOKUP(A565,NF!$M:$O,3,0),"")</f>
        <v>Hortifruti</v>
      </c>
      <c r="BN565" s="7">
        <f t="shared" si="280"/>
        <v>0.60000000000000009</v>
      </c>
      <c r="BO565" s="8">
        <f t="array" ref="BO565">IFERROR(LARGE(IF(NF!$G$2:$G$3137='Mês atual'!A565,NF!$J$2:$J$3137),1),0)*BN565</f>
        <v>12.000000000000002</v>
      </c>
      <c r="BP565" s="50"/>
      <c r="BR565" s="146">
        <f t="array" ref="BR565">IFERROR(LARGE(IF(NF!$G$2:$G$3137='Mês atual'!A565,NF!$J$2:$J$3137),1),0)</f>
        <v>20</v>
      </c>
      <c r="BS565" s="142" t="str">
        <f>VLOOKUP(A565,NF!M:O,3,0)</f>
        <v>Hortifruti</v>
      </c>
      <c r="BV565" s="74">
        <f t="shared" si="342"/>
        <v>0</v>
      </c>
      <c r="BW565" s="74">
        <f t="shared" si="343"/>
        <v>0.2</v>
      </c>
      <c r="BX565" s="74">
        <f t="shared" si="344"/>
        <v>0.2</v>
      </c>
      <c r="BY565" s="74">
        <f t="shared" si="345"/>
        <v>0.2</v>
      </c>
      <c r="BZ565" s="74">
        <f t="shared" si="346"/>
        <v>0</v>
      </c>
    </row>
    <row r="566" spans="1:78" x14ac:dyDescent="0.25">
      <c r="A566" s="108" t="s">
        <v>827</v>
      </c>
      <c r="B566" s="12"/>
      <c r="C566" s="9">
        <v>0</v>
      </c>
      <c r="D566" s="25"/>
      <c r="E566" s="10" t="str">
        <f t="shared" si="265"/>
        <v>MarçoSEMANA 1Uva Itália</v>
      </c>
      <c r="F566" s="7">
        <f>SUMIF(NF!$A:$A,$E566,NF!$I:$I)</f>
        <v>0</v>
      </c>
      <c r="G566" s="74"/>
      <c r="H566" s="74"/>
      <c r="I566" s="74"/>
      <c r="J566" s="6"/>
      <c r="K566" s="6"/>
      <c r="L566" s="6"/>
      <c r="M566" s="6"/>
      <c r="N566" s="7">
        <f t="shared" si="337"/>
        <v>0</v>
      </c>
      <c r="O566" s="11">
        <f t="shared" si="267"/>
        <v>0</v>
      </c>
      <c r="P566" s="25"/>
      <c r="Q566" s="10" t="str">
        <f t="shared" si="268"/>
        <v>MarçoSEMANA 2Uva Itália</v>
      </c>
      <c r="R566" s="7">
        <f>SUMIF(NF!$A:$A,$Q566,NF!$I:$I)</f>
        <v>0</v>
      </c>
      <c r="S566" s="6"/>
      <c r="T566" s="6"/>
      <c r="U566" s="6"/>
      <c r="V566" s="6"/>
      <c r="W566" s="6"/>
      <c r="X566" s="6"/>
      <c r="Y566" s="6"/>
      <c r="Z566" s="7">
        <f t="shared" si="338"/>
        <v>0</v>
      </c>
      <c r="AA566" s="11">
        <f t="shared" si="270"/>
        <v>0</v>
      </c>
      <c r="AB566" s="25"/>
      <c r="AC566" s="10" t="str">
        <f t="shared" si="271"/>
        <v>MarçoSEMANA 3Uva Itália</v>
      </c>
      <c r="AD566" s="7">
        <f>SUMIF(NF!$A:$A,$AC566,NF!$I:$I)</f>
        <v>0</v>
      </c>
      <c r="AE566" s="6"/>
      <c r="AF566" s="6"/>
      <c r="AG566" s="6"/>
      <c r="AH566" s="6"/>
      <c r="AI566" s="6"/>
      <c r="AJ566" s="6"/>
      <c r="AK566" s="6"/>
      <c r="AL566" s="7">
        <f t="shared" si="339"/>
        <v>0</v>
      </c>
      <c r="AM566" s="11">
        <f t="shared" si="273"/>
        <v>0</v>
      </c>
      <c r="AN566" s="25"/>
      <c r="AO566" s="10" t="str">
        <f t="shared" si="274"/>
        <v>MarçoSEMANA 4Uva Itália</v>
      </c>
      <c r="AP566" s="7">
        <f>SUMIF(NF!$A:$A,$AO566,NF!$I:$I)</f>
        <v>0</v>
      </c>
      <c r="AQ566" s="6"/>
      <c r="AR566" s="6"/>
      <c r="AS566" s="6"/>
      <c r="AT566" s="6"/>
      <c r="AU566" s="6"/>
      <c r="AV566" s="6"/>
      <c r="AW566" s="6"/>
      <c r="AX566" s="7">
        <f t="shared" si="340"/>
        <v>0</v>
      </c>
      <c r="AY566" s="11">
        <f t="shared" si="276"/>
        <v>0</v>
      </c>
      <c r="AZ566" s="25"/>
      <c r="BA566" s="10" t="str">
        <f t="shared" si="277"/>
        <v>MarçoSEMANA 5Uva Itália</v>
      </c>
      <c r="BB566" s="7">
        <f>SUMIF(NF!$A:$A,$BA566,NF!$I:$I)</f>
        <v>0</v>
      </c>
      <c r="BC566" s="6"/>
      <c r="BD566" s="6"/>
      <c r="BE566" s="6"/>
      <c r="BF566" s="6"/>
      <c r="BG566" s="6"/>
      <c r="BH566" s="6"/>
      <c r="BI566" s="74"/>
      <c r="BJ566" s="74"/>
      <c r="BK566" s="7">
        <f t="shared" si="341"/>
        <v>0</v>
      </c>
      <c r="BL566" s="8">
        <f t="shared" si="279"/>
        <v>0</v>
      </c>
      <c r="BM566" s="51" t="str">
        <f>IFERROR(VLOOKUP(A566,NF!$M:$O,3,0),"")</f>
        <v>Hortifruti</v>
      </c>
      <c r="BN566" s="7">
        <f t="shared" si="280"/>
        <v>0</v>
      </c>
      <c r="BO566" s="8">
        <f t="array" ref="BO566">IFERROR(LARGE(IF(NF!$G$2:$G$3137='Mês atual'!A566,NF!$J$2:$J$3137),1),0)*BN566</f>
        <v>0</v>
      </c>
      <c r="BP566" s="50"/>
      <c r="BR566" s="146">
        <f t="array" ref="BR566">IFERROR(LARGE(IF(NF!$G$2:$G$3137='Mês atual'!A566,NF!$J$2:$J$3137),1),0)</f>
        <v>0</v>
      </c>
      <c r="BS566" s="142" t="str">
        <f>VLOOKUP(A566,NF!M:O,3,0)</f>
        <v>Hortifruti</v>
      </c>
      <c r="BV566" s="74">
        <f t="shared" si="342"/>
        <v>0</v>
      </c>
      <c r="BW566" s="74">
        <f t="shared" si="343"/>
        <v>0</v>
      </c>
      <c r="BX566" s="74">
        <f t="shared" si="344"/>
        <v>0</v>
      </c>
      <c r="BY566" s="74">
        <f t="shared" si="345"/>
        <v>0</v>
      </c>
      <c r="BZ566" s="74">
        <f t="shared" si="346"/>
        <v>0</v>
      </c>
    </row>
    <row r="567" spans="1:78" x14ac:dyDescent="0.2">
      <c r="A567" s="108" t="s">
        <v>828</v>
      </c>
      <c r="B567" s="12"/>
      <c r="C567" s="9">
        <v>0</v>
      </c>
      <c r="D567" s="25"/>
      <c r="E567" s="10" t="str">
        <f t="shared" si="265"/>
        <v>MarçoSEMANA 1Uva Rubi</v>
      </c>
      <c r="F567" s="7">
        <f>SUMIF(NF!$A:$A,$E567,NF!$I:$I)</f>
        <v>0</v>
      </c>
      <c r="G567" s="74"/>
      <c r="H567" s="74"/>
      <c r="I567" s="74"/>
      <c r="J567" s="6"/>
      <c r="K567" s="6"/>
      <c r="L567" s="6"/>
      <c r="M567" s="6"/>
      <c r="N567" s="7">
        <f t="shared" si="337"/>
        <v>0</v>
      </c>
      <c r="O567" s="11">
        <f t="shared" si="267"/>
        <v>0</v>
      </c>
      <c r="P567" s="25"/>
      <c r="Q567" s="10" t="str">
        <f t="shared" si="268"/>
        <v>MarçoSEMANA 2Uva Rubi</v>
      </c>
      <c r="R567" s="7">
        <f>SUMIF(NF!$A:$A,$Q567,NF!$I:$I)</f>
        <v>0</v>
      </c>
      <c r="S567" s="6"/>
      <c r="T567" s="6"/>
      <c r="U567" s="6"/>
      <c r="V567" s="6"/>
      <c r="W567" s="6"/>
      <c r="X567" s="6"/>
      <c r="Y567" s="6"/>
      <c r="Z567" s="7">
        <f t="shared" si="338"/>
        <v>0</v>
      </c>
      <c r="AA567" s="11">
        <f t="shared" si="270"/>
        <v>0</v>
      </c>
      <c r="AB567" s="25"/>
      <c r="AC567" s="10" t="str">
        <f t="shared" si="271"/>
        <v>MarçoSEMANA 3Uva Rubi</v>
      </c>
      <c r="AD567" s="7">
        <f>SUMIF(NF!$A:$A,$AC567,NF!$I:$I)</f>
        <v>0</v>
      </c>
      <c r="AE567" s="6"/>
      <c r="AF567" s="6"/>
      <c r="AG567" s="6"/>
      <c r="AH567" s="6"/>
      <c r="AI567" s="6"/>
      <c r="AJ567" s="6"/>
      <c r="AK567" s="6"/>
      <c r="AL567" s="7">
        <f t="shared" si="339"/>
        <v>0</v>
      </c>
      <c r="AM567" s="11">
        <f t="shared" si="273"/>
        <v>0</v>
      </c>
      <c r="AN567" s="25"/>
      <c r="AO567" s="10" t="str">
        <f t="shared" si="274"/>
        <v>MarçoSEMANA 4Uva Rubi</v>
      </c>
      <c r="AP567" s="7">
        <f>SUMIF(NF!$A:$A,$AO567,NF!$I:$I)</f>
        <v>0</v>
      </c>
      <c r="AQ567" s="6"/>
      <c r="AR567" s="6"/>
      <c r="AS567" s="6"/>
      <c r="AT567" s="6"/>
      <c r="AU567" s="6"/>
      <c r="AV567" s="6"/>
      <c r="AW567" s="6"/>
      <c r="AX567" s="7">
        <f t="shared" si="340"/>
        <v>0</v>
      </c>
      <c r="AY567" s="11">
        <f t="shared" si="276"/>
        <v>0</v>
      </c>
      <c r="AZ567" s="25"/>
      <c r="BA567" s="10" t="str">
        <f t="shared" si="277"/>
        <v>MarçoSEMANA 5Uva Rubi</v>
      </c>
      <c r="BB567" s="7">
        <f>SUMIF(NF!$A:$A,$BA567,NF!$I:$I)</f>
        <v>0</v>
      </c>
      <c r="BC567" s="6"/>
      <c r="BD567" s="6"/>
      <c r="BE567" s="6"/>
      <c r="BF567" s="6"/>
      <c r="BG567" s="6"/>
      <c r="BH567" s="6"/>
      <c r="BI567" s="74"/>
      <c r="BJ567" s="74"/>
      <c r="BK567" s="7">
        <f t="shared" si="341"/>
        <v>0</v>
      </c>
      <c r="BL567" s="8">
        <f t="shared" si="279"/>
        <v>0</v>
      </c>
      <c r="BM567" s="51" t="str">
        <f>IFERROR(VLOOKUP(A567,NF!$M:$O,3,0),"")</f>
        <v>Hortifruti</v>
      </c>
      <c r="BN567" s="7">
        <f t="shared" si="280"/>
        <v>0</v>
      </c>
      <c r="BO567" s="8">
        <f t="array" ref="BO567">IFERROR(LARGE(IF(NF!$G$2:$G$3137='Mês atual'!A567,NF!$J$2:$J$3137),1),0)*BN567</f>
        <v>0</v>
      </c>
      <c r="BP567" s="50"/>
      <c r="BR567" s="146">
        <f t="array" ref="BR567">IFERROR(LARGE(IF(NF!$G$2:$G$3137='Mês atual'!A567,NF!$J$2:$J$3137),1),0)</f>
        <v>0</v>
      </c>
      <c r="BS567" s="142" t="str">
        <f>VLOOKUP(A567,NF!M:O,3,0)</f>
        <v>Hortifruti</v>
      </c>
      <c r="BV567" s="74">
        <f t="shared" si="342"/>
        <v>0</v>
      </c>
      <c r="BW567" s="74">
        <f t="shared" si="343"/>
        <v>0</v>
      </c>
      <c r="BX567" s="74">
        <f t="shared" si="344"/>
        <v>0</v>
      </c>
      <c r="BY567" s="74">
        <f t="shared" si="345"/>
        <v>0</v>
      </c>
      <c r="BZ567" s="74">
        <f t="shared" si="346"/>
        <v>0</v>
      </c>
    </row>
    <row r="568" spans="1:78" x14ac:dyDescent="0.25">
      <c r="A568" s="108" t="s">
        <v>829</v>
      </c>
      <c r="B568" s="12"/>
      <c r="C568" s="9">
        <v>0</v>
      </c>
      <c r="D568" s="25"/>
      <c r="E568" s="10" t="str">
        <f t="shared" si="265"/>
        <v>MarçoSEMANA 1Uva s/ Caroço</v>
      </c>
      <c r="F568" s="7">
        <f>SUMIF(NF!$A:$A,$E568,NF!$I:$I)</f>
        <v>0</v>
      </c>
      <c r="G568" s="74"/>
      <c r="H568" s="74"/>
      <c r="I568" s="74"/>
      <c r="J568" s="6"/>
      <c r="K568" s="6"/>
      <c r="L568" s="6"/>
      <c r="M568" s="6"/>
      <c r="N568" s="7">
        <f t="shared" si="337"/>
        <v>0</v>
      </c>
      <c r="O568" s="11">
        <f t="shared" si="267"/>
        <v>0</v>
      </c>
      <c r="P568" s="25"/>
      <c r="Q568" s="10" t="str">
        <f t="shared" si="268"/>
        <v>MarçoSEMANA 2Uva s/ Caroço</v>
      </c>
      <c r="R568" s="7">
        <f>SUMIF(NF!$A:$A,$Q568,NF!$I:$I)</f>
        <v>1.5</v>
      </c>
      <c r="S568" s="6"/>
      <c r="T568" s="6"/>
      <c r="U568" s="6"/>
      <c r="V568" s="6">
        <v>1.5</v>
      </c>
      <c r="W568" s="6"/>
      <c r="X568" s="6"/>
      <c r="Y568" s="6"/>
      <c r="Z568" s="7">
        <f t="shared" si="338"/>
        <v>1.5</v>
      </c>
      <c r="AA568" s="11">
        <f t="shared" si="270"/>
        <v>0</v>
      </c>
      <c r="AB568" s="25"/>
      <c r="AC568" s="10" t="str">
        <f t="shared" si="271"/>
        <v>MarçoSEMANA 3Uva s/ Caroço</v>
      </c>
      <c r="AD568" s="7">
        <f>SUMIF(NF!$A:$A,$AC568,NF!$I:$I)</f>
        <v>0</v>
      </c>
      <c r="AE568" s="6"/>
      <c r="AF568" s="6"/>
      <c r="AG568" s="6"/>
      <c r="AH568" s="6"/>
      <c r="AI568" s="6"/>
      <c r="AJ568" s="6"/>
      <c r="AK568" s="6"/>
      <c r="AL568" s="7">
        <f t="shared" si="339"/>
        <v>0</v>
      </c>
      <c r="AM568" s="11">
        <f t="shared" si="273"/>
        <v>0</v>
      </c>
      <c r="AN568" s="25"/>
      <c r="AO568" s="10" t="str">
        <f t="shared" si="274"/>
        <v>MarçoSEMANA 4Uva s/ Caroço</v>
      </c>
      <c r="AP568" s="7">
        <f>SUMIF(NF!$A:$A,$AO568,NF!$I:$I)</f>
        <v>0</v>
      </c>
      <c r="AQ568" s="6"/>
      <c r="AR568" s="6"/>
      <c r="AS568" s="6"/>
      <c r="AT568" s="6"/>
      <c r="AU568" s="6"/>
      <c r="AV568" s="6"/>
      <c r="AW568" s="6"/>
      <c r="AX568" s="7">
        <f t="shared" si="340"/>
        <v>0</v>
      </c>
      <c r="AY568" s="11">
        <f t="shared" si="276"/>
        <v>0</v>
      </c>
      <c r="AZ568" s="25"/>
      <c r="BA568" s="10" t="str">
        <f t="shared" si="277"/>
        <v>MarçoSEMANA 5Uva s/ Caroço</v>
      </c>
      <c r="BB568" s="7">
        <f>SUMIF(NF!$A:$A,$BA568,NF!$I:$I)</f>
        <v>0</v>
      </c>
      <c r="BC568" s="6"/>
      <c r="BD568" s="6"/>
      <c r="BE568" s="6"/>
      <c r="BF568" s="6"/>
      <c r="BG568" s="6"/>
      <c r="BH568" s="6"/>
      <c r="BI568" s="74"/>
      <c r="BJ568" s="74"/>
      <c r="BK568" s="7">
        <f t="shared" si="341"/>
        <v>0</v>
      </c>
      <c r="BL568" s="8">
        <f t="shared" si="279"/>
        <v>0</v>
      </c>
      <c r="BM568" s="51" t="str">
        <f>IFERROR(VLOOKUP(A568,NF!$M:$O,3,0),"")</f>
        <v>Hortifruti</v>
      </c>
      <c r="BN568" s="7">
        <f t="shared" si="280"/>
        <v>1.5</v>
      </c>
      <c r="BO568" s="8">
        <f t="array" ref="BO568">IFERROR(LARGE(IF(NF!$G$2:$G$3137='Mês atual'!A568,NF!$J$2:$J$3137),1),0)*BN568</f>
        <v>24</v>
      </c>
      <c r="BP568" s="50"/>
      <c r="BR568" s="146">
        <f t="array" ref="BR568">IFERROR(LARGE(IF(NF!$G$2:$G$3137='Mês atual'!A568,NF!$J$2:$J$3137),1),0)</f>
        <v>16</v>
      </c>
      <c r="BS568" s="142" t="str">
        <f>VLOOKUP(A568,NF!M:O,3,0)</f>
        <v>Hortifruti</v>
      </c>
      <c r="BV568" s="74">
        <f t="shared" si="342"/>
        <v>0</v>
      </c>
      <c r="BW568" s="74">
        <f t="shared" si="343"/>
        <v>1.5</v>
      </c>
      <c r="BX568" s="74">
        <f t="shared" si="344"/>
        <v>0</v>
      </c>
      <c r="BY568" s="74">
        <f t="shared" si="345"/>
        <v>0</v>
      </c>
      <c r="BZ568" s="74">
        <f t="shared" si="346"/>
        <v>0</v>
      </c>
    </row>
    <row r="569" spans="1:78" x14ac:dyDescent="0.2">
      <c r="A569" s="108" t="s">
        <v>830</v>
      </c>
      <c r="B569" s="12"/>
      <c r="C569" s="9">
        <v>0</v>
      </c>
      <c r="D569" s="25"/>
      <c r="E569" s="10" t="str">
        <f t="shared" si="265"/>
        <v>MarçoSEMANA 1Vagem Francesa</v>
      </c>
      <c r="F569" s="7">
        <f>SUMIF(NF!$A:$A,$E569,NF!$I:$I)</f>
        <v>0</v>
      </c>
      <c r="G569" s="74"/>
      <c r="H569" s="74"/>
      <c r="I569" s="74"/>
      <c r="J569" s="6"/>
      <c r="K569" s="6"/>
      <c r="L569" s="6"/>
      <c r="M569" s="6"/>
      <c r="N569" s="7">
        <f t="shared" si="337"/>
        <v>0</v>
      </c>
      <c r="O569" s="11">
        <f t="shared" si="267"/>
        <v>0</v>
      </c>
      <c r="P569" s="25"/>
      <c r="Q569" s="10" t="str">
        <f t="shared" si="268"/>
        <v>MarçoSEMANA 2Vagem Francesa</v>
      </c>
      <c r="R569" s="7">
        <f>SUMIF(NF!$A:$A,$Q569,NF!$I:$I)</f>
        <v>0</v>
      </c>
      <c r="S569" s="6"/>
      <c r="T569" s="6"/>
      <c r="U569" s="6"/>
      <c r="V569" s="6"/>
      <c r="W569" s="6"/>
      <c r="X569" s="6"/>
      <c r="Y569" s="6"/>
      <c r="Z569" s="7">
        <f t="shared" si="338"/>
        <v>0</v>
      </c>
      <c r="AA569" s="11">
        <f t="shared" si="270"/>
        <v>0</v>
      </c>
      <c r="AB569" s="25"/>
      <c r="AC569" s="10" t="str">
        <f t="shared" si="271"/>
        <v>MarçoSEMANA 3Vagem Francesa</v>
      </c>
      <c r="AD569" s="7">
        <f>SUMIF(NF!$A:$A,$AC569,NF!$I:$I)</f>
        <v>0</v>
      </c>
      <c r="AE569" s="6"/>
      <c r="AF569" s="6"/>
      <c r="AG569" s="6"/>
      <c r="AH569" s="6"/>
      <c r="AI569" s="6"/>
      <c r="AJ569" s="6"/>
      <c r="AK569" s="6"/>
      <c r="AL569" s="7">
        <f t="shared" si="339"/>
        <v>0</v>
      </c>
      <c r="AM569" s="11">
        <f t="shared" si="273"/>
        <v>0</v>
      </c>
      <c r="AN569" s="25"/>
      <c r="AO569" s="10" t="str">
        <f t="shared" si="274"/>
        <v>MarçoSEMANA 4Vagem Francesa</v>
      </c>
      <c r="AP569" s="7">
        <f>SUMIF(NF!$A:$A,$AO569,NF!$I:$I)</f>
        <v>0</v>
      </c>
      <c r="AQ569" s="6"/>
      <c r="AR569" s="6"/>
      <c r="AS569" s="6"/>
      <c r="AT569" s="6"/>
      <c r="AU569" s="6"/>
      <c r="AV569" s="6"/>
      <c r="AW569" s="6"/>
      <c r="AX569" s="7">
        <f t="shared" si="340"/>
        <v>0</v>
      </c>
      <c r="AY569" s="11">
        <f t="shared" si="276"/>
        <v>0</v>
      </c>
      <c r="AZ569" s="25"/>
      <c r="BA569" s="10" t="str">
        <f t="shared" si="277"/>
        <v>MarçoSEMANA 5Vagem Francesa</v>
      </c>
      <c r="BB569" s="7">
        <f>SUMIF(NF!$A:$A,$BA569,NF!$I:$I)</f>
        <v>0</v>
      </c>
      <c r="BC569" s="6"/>
      <c r="BD569" s="6"/>
      <c r="BE569" s="6"/>
      <c r="BF569" s="6"/>
      <c r="BG569" s="6"/>
      <c r="BH569" s="6"/>
      <c r="BI569" s="74"/>
      <c r="BJ569" s="74"/>
      <c r="BK569" s="7">
        <f t="shared" si="341"/>
        <v>0</v>
      </c>
      <c r="BL569" s="8">
        <f t="shared" si="279"/>
        <v>0</v>
      </c>
      <c r="BM569" s="51" t="str">
        <f>IFERROR(VLOOKUP(A569,NF!$M:$O,3,0),"")</f>
        <v>Hortifruti</v>
      </c>
      <c r="BN569" s="7">
        <f t="shared" si="280"/>
        <v>0</v>
      </c>
      <c r="BO569" s="8">
        <f t="array" ref="BO569">IFERROR(LARGE(IF(NF!$G$2:$G$3137='Mês atual'!A569,NF!$J$2:$J$3137),1),0)*BN569</f>
        <v>0</v>
      </c>
      <c r="BP569" s="50"/>
      <c r="BR569" s="146">
        <f t="array" ref="BR569">IFERROR(LARGE(IF(NF!$G$2:$G$3137='Mês atual'!A569,NF!$J$2:$J$3137),1),0)</f>
        <v>0</v>
      </c>
      <c r="BS569" s="142" t="str">
        <f>VLOOKUP(A569,NF!M:O,3,0)</f>
        <v>Hortifruti</v>
      </c>
      <c r="BV569" s="74">
        <f t="shared" si="342"/>
        <v>0</v>
      </c>
      <c r="BW569" s="74">
        <f t="shared" si="343"/>
        <v>0</v>
      </c>
      <c r="BX569" s="74">
        <f t="shared" si="344"/>
        <v>0</v>
      </c>
      <c r="BY569" s="74">
        <f t="shared" si="345"/>
        <v>0</v>
      </c>
      <c r="BZ569" s="74">
        <f t="shared" si="346"/>
        <v>0</v>
      </c>
    </row>
    <row r="570" spans="1:78" x14ac:dyDescent="0.25">
      <c r="A570" s="108" t="s">
        <v>831</v>
      </c>
      <c r="B570" s="12"/>
      <c r="C570" s="9">
        <v>2</v>
      </c>
      <c r="D570" s="25"/>
      <c r="E570" s="10" t="str">
        <f t="shared" si="265"/>
        <v>MarçoSEMANA 1Vagem Macarrão</v>
      </c>
      <c r="F570" s="7">
        <f>SUMIF(NF!$A:$A,$E570,NF!$I:$I)</f>
        <v>5</v>
      </c>
      <c r="G570" s="74"/>
      <c r="H570" s="74"/>
      <c r="I570" s="74"/>
      <c r="J570" s="6">
        <v>2</v>
      </c>
      <c r="K570" s="6"/>
      <c r="L570" s="6">
        <v>2</v>
      </c>
      <c r="M570" s="6">
        <v>3</v>
      </c>
      <c r="N570" s="7">
        <f>SUM(G570:M570)</f>
        <v>7</v>
      </c>
      <c r="O570" s="11">
        <f t="shared" si="267"/>
        <v>0</v>
      </c>
      <c r="P570" s="25"/>
      <c r="Q570" s="10" t="str">
        <f t="shared" si="268"/>
        <v>MarçoSEMANA 2Vagem Macarrão</v>
      </c>
      <c r="R570" s="7">
        <f>SUMIF(NF!$A:$A,$Q570,NF!$I:$I)</f>
        <v>3.5</v>
      </c>
      <c r="S570" s="6"/>
      <c r="T570" s="6"/>
      <c r="U570" s="6">
        <v>2.5</v>
      </c>
      <c r="V570" s="6">
        <v>1</v>
      </c>
      <c r="W570" s="6"/>
      <c r="X570" s="6"/>
      <c r="Y570" s="6"/>
      <c r="Z570" s="7">
        <f>SUM(S570:Y570)</f>
        <v>3.5</v>
      </c>
      <c r="AA570" s="11">
        <f t="shared" si="270"/>
        <v>0</v>
      </c>
      <c r="AB570" s="25"/>
      <c r="AC570" s="10" t="str">
        <f t="shared" si="271"/>
        <v>MarçoSEMANA 3Vagem Macarrão</v>
      </c>
      <c r="AD570" s="7">
        <f>SUMIF(NF!$A:$A,$AC570,NF!$I:$I)</f>
        <v>10</v>
      </c>
      <c r="AE570" s="6"/>
      <c r="AF570" s="6">
        <v>4</v>
      </c>
      <c r="AG570" s="6">
        <v>5</v>
      </c>
      <c r="AH570" s="6"/>
      <c r="AI570" s="6"/>
      <c r="AJ570" s="6">
        <v>1</v>
      </c>
      <c r="AK570" s="6"/>
      <c r="AL570" s="7">
        <f>SUM(AE570:AK570)</f>
        <v>10</v>
      </c>
      <c r="AM570" s="11">
        <f t="shared" si="273"/>
        <v>0</v>
      </c>
      <c r="AN570" s="25"/>
      <c r="AO570" s="10" t="str">
        <f t="shared" si="274"/>
        <v>MarçoSEMANA 4Vagem Macarrão</v>
      </c>
      <c r="AP570" s="7">
        <f>SUMIF(NF!$A:$A,$AO570,NF!$I:$I)</f>
        <v>8</v>
      </c>
      <c r="AQ570" s="6"/>
      <c r="AR570" s="6">
        <v>2</v>
      </c>
      <c r="AS570" s="6">
        <v>5</v>
      </c>
      <c r="AT570" s="6">
        <v>1</v>
      </c>
      <c r="AU570" s="6"/>
      <c r="AV570" s="6"/>
      <c r="AW570" s="6"/>
      <c r="AX570" s="7">
        <f>SUM(AQ570:AW570)</f>
        <v>8</v>
      </c>
      <c r="AY570" s="11">
        <f t="shared" si="276"/>
        <v>0</v>
      </c>
      <c r="AZ570" s="25"/>
      <c r="BA570" s="10" t="str">
        <f t="shared" si="277"/>
        <v>MarçoSEMANA 5Vagem Macarrão</v>
      </c>
      <c r="BB570" s="7">
        <f>SUMIF(NF!$A:$A,$BA570,NF!$I:$I)</f>
        <v>8</v>
      </c>
      <c r="BC570" s="6"/>
      <c r="BD570" s="6">
        <v>3</v>
      </c>
      <c r="BE570" s="6">
        <v>1</v>
      </c>
      <c r="BF570" s="6">
        <f>2.5-1</f>
        <v>1.5</v>
      </c>
      <c r="BG570" s="6">
        <v>1</v>
      </c>
      <c r="BH570" s="6">
        <v>0.5</v>
      </c>
      <c r="BI570" s="74"/>
      <c r="BJ570" s="74"/>
      <c r="BK570" s="7">
        <f>SUM(BC570:BJ570)</f>
        <v>7</v>
      </c>
      <c r="BL570" s="8">
        <f t="shared" si="279"/>
        <v>1</v>
      </c>
      <c r="BM570" s="51" t="str">
        <f>IFERROR(VLOOKUP(A570,NF!$M:$O,3,0),"")</f>
        <v>Hortifruti</v>
      </c>
      <c r="BN570" s="7">
        <f t="shared" si="280"/>
        <v>35.5</v>
      </c>
      <c r="BO570" s="8">
        <f t="array" ref="BO570">IFERROR(LARGE(IF(NF!$G$2:$G$3137='Mês atual'!A570,NF!$J$2:$J$3137),1),0)*BN570</f>
        <v>386.95</v>
      </c>
      <c r="BP570" s="50"/>
      <c r="BR570" s="146">
        <f t="array" ref="BR570">IFERROR(LARGE(IF(NF!$G$2:$G$3137='Mês atual'!A570,NF!$J$2:$J$3137),1),0)</f>
        <v>10.9</v>
      </c>
      <c r="BS570" s="142" t="str">
        <f>VLOOKUP(A570,NF!M:O,3,0)</f>
        <v>Hortifruti</v>
      </c>
      <c r="BV570" s="74">
        <f t="shared" si="342"/>
        <v>7</v>
      </c>
      <c r="BW570" s="74">
        <f t="shared" si="343"/>
        <v>3.5</v>
      </c>
      <c r="BX570" s="74">
        <f t="shared" si="344"/>
        <v>10</v>
      </c>
      <c r="BY570" s="74">
        <f t="shared" si="345"/>
        <v>8</v>
      </c>
      <c r="BZ570" s="74">
        <f t="shared" si="346"/>
        <v>7</v>
      </c>
    </row>
    <row r="571" spans="1:78" x14ac:dyDescent="0.25">
      <c r="A571" s="108" t="s">
        <v>832</v>
      </c>
      <c r="B571" s="12"/>
      <c r="C571" s="9">
        <v>0</v>
      </c>
      <c r="D571" s="25"/>
      <c r="E571" s="10" t="str">
        <f t="shared" si="265"/>
        <v>MarçoSEMANA 1Vagem Macarrão Orgânico</v>
      </c>
      <c r="F571" s="7">
        <f>SUMIF(NF!$A:$A,$E571,NF!$I:$I)</f>
        <v>0</v>
      </c>
      <c r="G571" s="74"/>
      <c r="H571" s="74"/>
      <c r="I571" s="74"/>
      <c r="J571" s="6"/>
      <c r="K571" s="6"/>
      <c r="L571" s="6"/>
      <c r="M571" s="6"/>
      <c r="N571" s="7">
        <f>SUM(G571:M571)</f>
        <v>0</v>
      </c>
      <c r="O571" s="11">
        <f t="shared" si="267"/>
        <v>0</v>
      </c>
      <c r="P571" s="25"/>
      <c r="Q571" s="10" t="str">
        <f t="shared" si="268"/>
        <v>MarçoSEMANA 2Vagem Macarrão Orgânico</v>
      </c>
      <c r="R571" s="7">
        <f>SUMIF(NF!$A:$A,$Q571,NF!$I:$I)</f>
        <v>0</v>
      </c>
      <c r="S571" s="6"/>
      <c r="T571" s="6"/>
      <c r="U571" s="6"/>
      <c r="V571" s="6"/>
      <c r="W571" s="6"/>
      <c r="X571" s="6"/>
      <c r="Y571" s="6"/>
      <c r="Z571" s="7">
        <f>SUM(S571:Y571)</f>
        <v>0</v>
      </c>
      <c r="AA571" s="11">
        <f t="shared" si="270"/>
        <v>0</v>
      </c>
      <c r="AB571" s="25"/>
      <c r="AC571" s="10" t="str">
        <f t="shared" si="271"/>
        <v>MarçoSEMANA 3Vagem Macarrão Orgânico</v>
      </c>
      <c r="AD571" s="7">
        <f>SUMIF(NF!$A:$A,$AC571,NF!$I:$I)</f>
        <v>0</v>
      </c>
      <c r="AE571" s="6"/>
      <c r="AF571" s="6"/>
      <c r="AG571" s="6"/>
      <c r="AH571" s="6"/>
      <c r="AI571" s="6"/>
      <c r="AJ571" s="6"/>
      <c r="AK571" s="6"/>
      <c r="AL571" s="7">
        <f>SUM(AE571:AK571)</f>
        <v>0</v>
      </c>
      <c r="AM571" s="11">
        <f t="shared" si="273"/>
        <v>0</v>
      </c>
      <c r="AN571" s="25"/>
      <c r="AO571" s="10" t="str">
        <f t="shared" si="274"/>
        <v>MarçoSEMANA 4Vagem Macarrão Orgânico</v>
      </c>
      <c r="AP571" s="7">
        <f>SUMIF(NF!$A:$A,$AO571,NF!$I:$I)</f>
        <v>0</v>
      </c>
      <c r="AQ571" s="6"/>
      <c r="AR571" s="6"/>
      <c r="AS571" s="6"/>
      <c r="AT571" s="6"/>
      <c r="AU571" s="6"/>
      <c r="AV571" s="6"/>
      <c r="AW571" s="6"/>
      <c r="AX571" s="7">
        <f>SUM(AQ571:AW571)</f>
        <v>0</v>
      </c>
      <c r="AY571" s="11">
        <f t="shared" si="276"/>
        <v>0</v>
      </c>
      <c r="AZ571" s="25"/>
      <c r="BA571" s="10" t="str">
        <f t="shared" si="277"/>
        <v>MarçoSEMANA 5Vagem Macarrão Orgânico</v>
      </c>
      <c r="BB571" s="7">
        <f>SUMIF(NF!$A:$A,$BA571,NF!$I:$I)</f>
        <v>0</v>
      </c>
      <c r="BC571" s="6"/>
      <c r="BD571" s="6"/>
      <c r="BE571" s="6"/>
      <c r="BF571" s="6"/>
      <c r="BG571" s="6"/>
      <c r="BH571" s="6"/>
      <c r="BI571" s="74"/>
      <c r="BJ571" s="74"/>
      <c r="BK571" s="7">
        <f>SUM(BC571:BJ571)</f>
        <v>0</v>
      </c>
      <c r="BL571" s="8">
        <f t="shared" si="279"/>
        <v>0</v>
      </c>
      <c r="BM571" s="51" t="str">
        <f>IFERROR(VLOOKUP(A571,NF!$M:$O,3,0),"")</f>
        <v>Hortifruti</v>
      </c>
      <c r="BN571" s="7">
        <f t="shared" si="280"/>
        <v>0</v>
      </c>
      <c r="BO571" s="8">
        <f t="array" ref="BO571">IFERROR(LARGE(IF(NF!$G$2:$G$3137='Mês atual'!A571,NF!$J$2:$J$3137),1),0)*BN571</f>
        <v>0</v>
      </c>
      <c r="BP571" s="50"/>
      <c r="BR571" s="146">
        <f t="array" ref="BR571">IFERROR(LARGE(IF(NF!$G$2:$G$3137='Mês atual'!A571,NF!$J$2:$J$3137),1),0)</f>
        <v>0</v>
      </c>
      <c r="BS571" s="142" t="str">
        <f>VLOOKUP(A571,NF!M:O,3,0)</f>
        <v>Hortifruti</v>
      </c>
      <c r="BV571" s="74">
        <f t="shared" si="342"/>
        <v>0</v>
      </c>
      <c r="BW571" s="74">
        <f t="shared" si="343"/>
        <v>0</v>
      </c>
      <c r="BX571" s="74">
        <f t="shared" si="344"/>
        <v>0</v>
      </c>
      <c r="BY571" s="74">
        <f t="shared" si="345"/>
        <v>0</v>
      </c>
      <c r="BZ571" s="74">
        <f t="shared" si="346"/>
        <v>0</v>
      </c>
    </row>
    <row r="572" spans="1:78" ht="15.95" thickBot="1" x14ac:dyDescent="0.25">
      <c r="A572" s="108" t="s">
        <v>982</v>
      </c>
      <c r="B572" s="12"/>
      <c r="C572" s="9">
        <v>0</v>
      </c>
      <c r="D572" s="25"/>
      <c r="E572" s="10" t="str">
        <f t="shared" si="265"/>
        <v>MarçoSEMANA 1Vagem Manteiga</v>
      </c>
      <c r="F572" s="7">
        <f>SUMIF(NF!$A:$A,$E572,NF!$I:$I)</f>
        <v>5</v>
      </c>
      <c r="G572" s="74"/>
      <c r="H572" s="74"/>
      <c r="I572" s="74"/>
      <c r="J572" s="6"/>
      <c r="K572" s="6">
        <v>5</v>
      </c>
      <c r="L572" s="6"/>
      <c r="M572" s="6"/>
      <c r="N572" s="7">
        <f>SUM(G572:M572)</f>
        <v>5</v>
      </c>
      <c r="O572" s="11">
        <f t="shared" si="267"/>
        <v>0</v>
      </c>
      <c r="P572" s="25"/>
      <c r="Q572" s="10" t="str">
        <f t="shared" si="268"/>
        <v>MarçoSEMANA 2Vagem Manteiga</v>
      </c>
      <c r="R572" s="7">
        <f>SUMIF(NF!$A:$A,$Q572,NF!$I:$I)</f>
        <v>0</v>
      </c>
      <c r="S572" s="6"/>
      <c r="T572" s="6"/>
      <c r="U572" s="6"/>
      <c r="V572" s="6"/>
      <c r="W572" s="6"/>
      <c r="X572" s="6"/>
      <c r="Y572" s="6"/>
      <c r="Z572" s="7">
        <f>SUM(S572:Y572)</f>
        <v>0</v>
      </c>
      <c r="AA572" s="11">
        <f t="shared" si="270"/>
        <v>0</v>
      </c>
      <c r="AB572" s="25"/>
      <c r="AC572" s="10" t="str">
        <f t="shared" si="271"/>
        <v>MarçoSEMANA 3Vagem Manteiga</v>
      </c>
      <c r="AD572" s="7">
        <f>SUMIF(NF!$A:$A,$AC572,NF!$I:$I)</f>
        <v>0</v>
      </c>
      <c r="AE572" s="6"/>
      <c r="AF572" s="6"/>
      <c r="AG572" s="6"/>
      <c r="AH572" s="6"/>
      <c r="AI572" s="6"/>
      <c r="AJ572" s="6"/>
      <c r="AK572" s="6"/>
      <c r="AL572" s="7">
        <f>SUM(AE572:AK572)</f>
        <v>0</v>
      </c>
      <c r="AM572" s="11">
        <f t="shared" si="273"/>
        <v>0</v>
      </c>
      <c r="AN572" s="25"/>
      <c r="AO572" s="10" t="str">
        <f t="shared" si="274"/>
        <v>MarçoSEMANA 4Vagem Manteiga</v>
      </c>
      <c r="AP572" s="7">
        <f>SUMIF(NF!$A:$A,$AO572,NF!$I:$I)</f>
        <v>0</v>
      </c>
      <c r="AQ572" s="6"/>
      <c r="AR572" s="6"/>
      <c r="AS572" s="6"/>
      <c r="AT572" s="6"/>
      <c r="AU572" s="6"/>
      <c r="AV572" s="6"/>
      <c r="AW572" s="6"/>
      <c r="AX572" s="7">
        <f>SUM(AQ572:AW572)</f>
        <v>0</v>
      </c>
      <c r="AY572" s="11">
        <f t="shared" si="276"/>
        <v>0</v>
      </c>
      <c r="AZ572" s="25"/>
      <c r="BA572" s="10" t="str">
        <f t="shared" si="277"/>
        <v>MarçoSEMANA 5Vagem Manteiga</v>
      </c>
      <c r="BB572" s="7">
        <f>SUMIF(NF!$A:$A,$BA572,NF!$I:$I)</f>
        <v>0</v>
      </c>
      <c r="BC572" s="6"/>
      <c r="BD572" s="6"/>
      <c r="BE572" s="6"/>
      <c r="BF572" s="6"/>
      <c r="BG572" s="6"/>
      <c r="BH572" s="6"/>
      <c r="BI572" s="74"/>
      <c r="BJ572" s="74"/>
      <c r="BK572" s="7">
        <f>SUM(BC572:BJ572)</f>
        <v>0</v>
      </c>
      <c r="BL572" s="8">
        <f t="shared" si="279"/>
        <v>0</v>
      </c>
      <c r="BM572" s="51" t="str">
        <f>IFERROR(VLOOKUP(A572,NF!$M:$O,3,0),"")</f>
        <v>Hortifruti</v>
      </c>
      <c r="BN572" s="7">
        <f t="shared" si="280"/>
        <v>5</v>
      </c>
      <c r="BO572" s="8">
        <f t="array" ref="BO572">IFERROR(LARGE(IF(NF!$G$2:$G$3137='Mês atual'!A572,NF!$J$2:$J$3137),1),0)*BN572</f>
        <v>30</v>
      </c>
      <c r="BP572" s="50"/>
      <c r="BR572" s="146">
        <f t="array" ref="BR572">IFERROR(LARGE(IF(NF!$G$2:$G$3137='Mês atual'!A572,NF!$J$2:$J$3137),1),0)</f>
        <v>6</v>
      </c>
      <c r="BS572" s="142" t="str">
        <f>VLOOKUP(A572,NF!M:O,3,0)</f>
        <v>Hortifruti</v>
      </c>
      <c r="BV572" s="74">
        <f t="shared" si="342"/>
        <v>5</v>
      </c>
      <c r="BW572" s="74">
        <f t="shared" si="343"/>
        <v>0</v>
      </c>
      <c r="BX572" s="74">
        <f t="shared" si="344"/>
        <v>0</v>
      </c>
      <c r="BY572" s="74">
        <f t="shared" si="345"/>
        <v>0</v>
      </c>
      <c r="BZ572" s="74">
        <f t="shared" si="346"/>
        <v>0</v>
      </c>
    </row>
    <row r="573" spans="1:78" s="16" customFormat="1" ht="30" customHeight="1" thickBot="1" x14ac:dyDescent="0.3">
      <c r="A573" s="139" t="s">
        <v>1080</v>
      </c>
      <c r="B573" s="130"/>
      <c r="C573" s="131"/>
      <c r="D573" s="132"/>
      <c r="E573" s="133"/>
      <c r="F573" s="134"/>
      <c r="G573" s="135"/>
      <c r="H573" s="135"/>
      <c r="I573" s="135"/>
      <c r="J573" s="133"/>
      <c r="K573" s="133"/>
      <c r="L573" s="133"/>
      <c r="M573" s="133"/>
      <c r="N573" s="134"/>
      <c r="O573" s="134"/>
      <c r="P573" s="132"/>
      <c r="Q573" s="133"/>
      <c r="R573" s="134"/>
      <c r="S573" s="133"/>
      <c r="T573" s="133"/>
      <c r="U573" s="133"/>
      <c r="V573" s="133"/>
      <c r="W573" s="133"/>
      <c r="X573" s="133"/>
      <c r="Y573" s="133"/>
      <c r="Z573" s="134"/>
      <c r="AA573" s="134"/>
      <c r="AB573" s="132"/>
      <c r="AC573" s="133"/>
      <c r="AD573" s="134"/>
      <c r="AE573" s="133"/>
      <c r="AF573" s="133"/>
      <c r="AG573" s="133"/>
      <c r="AH573" s="133"/>
      <c r="AI573" s="133"/>
      <c r="AJ573" s="133"/>
      <c r="AK573" s="133"/>
      <c r="AL573" s="134"/>
      <c r="AM573" s="134"/>
      <c r="AN573" s="132"/>
      <c r="AO573" s="133"/>
      <c r="AP573" s="134"/>
      <c r="AQ573" s="133"/>
      <c r="AR573" s="133"/>
      <c r="AS573" s="133"/>
      <c r="AT573" s="133"/>
      <c r="AU573" s="133"/>
      <c r="AV573" s="133"/>
      <c r="AW573" s="133"/>
      <c r="AX573" s="134"/>
      <c r="AY573" s="134"/>
      <c r="AZ573" s="132"/>
      <c r="BA573" s="133"/>
      <c r="BB573" s="134"/>
      <c r="BC573" s="133"/>
      <c r="BD573" s="133"/>
      <c r="BE573" s="133"/>
      <c r="BF573" s="133"/>
      <c r="BG573" s="133"/>
      <c r="BH573" s="133"/>
      <c r="BI573" s="135"/>
      <c r="BJ573" s="135"/>
      <c r="BK573" s="134"/>
      <c r="BL573" s="134"/>
      <c r="BM573" s="136"/>
      <c r="BN573" s="137"/>
      <c r="BO573" s="137"/>
      <c r="BP573" s="138"/>
      <c r="BQ573" s="144"/>
      <c r="BR573" s="144"/>
      <c r="BS573" s="144"/>
      <c r="BT573" s="145"/>
      <c r="BU573" s="145"/>
      <c r="BV573" s="154"/>
      <c r="BW573" s="154"/>
      <c r="BX573" s="154"/>
      <c r="BY573" s="154"/>
      <c r="BZ573" s="154"/>
    </row>
    <row r="574" spans="1:78" x14ac:dyDescent="0.2">
      <c r="A574" s="108" t="s">
        <v>310</v>
      </c>
      <c r="B574" s="12"/>
      <c r="C574" s="9">
        <v>0</v>
      </c>
      <c r="D574" s="25"/>
      <c r="E574" s="10" t="str">
        <f t="shared" ref="E574:E595" si="347">CONCATENATE($C$2,$F$1,$A574)</f>
        <v>MarçoSEMANA 1Cream Cheese</v>
      </c>
      <c r="F574" s="7">
        <f>SUMIF(NF!$A:$A,$E574,NF!$I:$I)</f>
        <v>0</v>
      </c>
      <c r="G574" s="74"/>
      <c r="H574" s="74"/>
      <c r="I574" s="74"/>
      <c r="J574" s="6"/>
      <c r="K574" s="6"/>
      <c r="L574" s="6"/>
      <c r="M574" s="6"/>
      <c r="N574" s="7">
        <f>SUM(G574:M574)</f>
        <v>0</v>
      </c>
      <c r="O574" s="11">
        <f t="shared" ref="O574:O576" si="348">F574+C574-N574</f>
        <v>0</v>
      </c>
      <c r="P574" s="25"/>
      <c r="Q574" s="10" t="str">
        <f t="shared" ref="Q574:Q595" si="349">CONCATENATE($C$2,$R$1,$A574)</f>
        <v>MarçoSEMANA 2Cream Cheese</v>
      </c>
      <c r="R574" s="7">
        <f>SUMIF(NF!$A:$A,$Q574,NF!$I:$I)</f>
        <v>0</v>
      </c>
      <c r="S574" s="6"/>
      <c r="T574" s="6"/>
      <c r="U574" s="6"/>
      <c r="V574" s="6"/>
      <c r="W574" s="6"/>
      <c r="X574" s="6"/>
      <c r="Y574" s="6"/>
      <c r="Z574" s="7">
        <f>SUM(S574:Y574)</f>
        <v>0</v>
      </c>
      <c r="AA574" s="11">
        <f t="shared" ref="AA574:AA576" si="350">R574+O574-Z574</f>
        <v>0</v>
      </c>
      <c r="AB574" s="25"/>
      <c r="AC574" s="10" t="str">
        <f t="shared" ref="AC574:AC595" si="351">CONCATENATE($C$2,$AD$1,$A574)</f>
        <v>MarçoSEMANA 3Cream Cheese</v>
      </c>
      <c r="AD574" s="7">
        <f>SUMIF(NF!$A:$A,$AC574,NF!$I:$I)</f>
        <v>0</v>
      </c>
      <c r="AE574" s="6"/>
      <c r="AF574" s="6"/>
      <c r="AG574" s="6"/>
      <c r="AH574" s="6"/>
      <c r="AI574" s="6"/>
      <c r="AJ574" s="6"/>
      <c r="AK574" s="6"/>
      <c r="AL574" s="7">
        <f>SUM(AE574:AK574)</f>
        <v>0</v>
      </c>
      <c r="AM574" s="11">
        <f t="shared" ref="AM574:AM576" si="352">AD574+AA574-AL574</f>
        <v>0</v>
      </c>
      <c r="AN574" s="25"/>
      <c r="AO574" s="10" t="str">
        <f t="shared" ref="AO574:AO595" si="353">CONCATENATE($C$2,$AP$1,$A574)</f>
        <v>MarçoSEMANA 4Cream Cheese</v>
      </c>
      <c r="AP574" s="7">
        <f>SUMIF(NF!$A:$A,$AO574,NF!$I:$I)</f>
        <v>1.5</v>
      </c>
      <c r="AQ574" s="6"/>
      <c r="AR574" s="6"/>
      <c r="AS574" s="6">
        <v>1.5</v>
      </c>
      <c r="AT574" s="6"/>
      <c r="AU574" s="6"/>
      <c r="AV574" s="6"/>
      <c r="AW574" s="6"/>
      <c r="AX574" s="7">
        <f>SUM(AQ574:AW574)</f>
        <v>1.5</v>
      </c>
      <c r="AY574" s="11">
        <f t="shared" ref="AY574:AY576" si="354">AP574+AM574-AX574</f>
        <v>0</v>
      </c>
      <c r="AZ574" s="25"/>
      <c r="BA574" s="10" t="str">
        <f t="shared" ref="BA574:BA595" si="355">CONCATENATE($C$2,$BB$1,$A574)</f>
        <v>MarçoSEMANA 5Cream Cheese</v>
      </c>
      <c r="BB574" s="7">
        <f>SUMIF(NF!$A:$A,$BA574,NF!$I:$I)</f>
        <v>0</v>
      </c>
      <c r="BC574" s="6"/>
      <c r="BD574" s="6"/>
      <c r="BE574" s="6"/>
      <c r="BF574" s="6"/>
      <c r="BG574" s="6"/>
      <c r="BH574" s="6"/>
      <c r="BI574" s="74"/>
      <c r="BJ574" s="74"/>
      <c r="BK574" s="7">
        <f>SUM(BC574:BJ574)</f>
        <v>0</v>
      </c>
      <c r="BL574" s="8">
        <f t="shared" ref="BL574:BL576" si="356">BB574+AY574-BK574</f>
        <v>0</v>
      </c>
      <c r="BM574" s="51" t="str">
        <f>IFERROR(VLOOKUP(A574,NF!$M:$O,3,0),"")</f>
        <v>Laticínios</v>
      </c>
      <c r="BN574" s="7">
        <f t="shared" ref="BN574:BN576" si="357">SUM(N574,Z574,AL574,AX574,BK574)</f>
        <v>1.5</v>
      </c>
      <c r="BO574" s="8">
        <f t="array" ref="BO574">IFERROR(LARGE(IF(NF!$G$2:$G$3137='Mês atual'!A574,NF!$J$2:$J$3137),1),0)*BN574</f>
        <v>30.494999999999997</v>
      </c>
      <c r="BP574" s="50"/>
      <c r="BR574" s="146">
        <f t="array" ref="BR574">IFERROR(LARGE(IF(NF!$G$2:$G$3137='Mês atual'!A574,NF!$J$2:$J$3137),1),0)</f>
        <v>20.329999999999998</v>
      </c>
      <c r="BS574" s="142" t="str">
        <f>VLOOKUP(A574,NF!M:O,3,0)</f>
        <v>Laticínios</v>
      </c>
      <c r="BV574" s="74">
        <f t="shared" ref="BV574:BV596" si="358">N574</f>
        <v>0</v>
      </c>
      <c r="BW574" s="74">
        <f t="shared" ref="BW574:BW596" si="359">Z574</f>
        <v>0</v>
      </c>
      <c r="BX574" s="74">
        <f t="shared" ref="BX574:BX596" si="360">AL574</f>
        <v>0</v>
      </c>
      <c r="BY574" s="74">
        <f t="shared" ref="BY574:BY596" si="361">AX574</f>
        <v>1.5</v>
      </c>
      <c r="BZ574" s="74">
        <f t="shared" ref="BZ574:BZ596" si="362">BK574</f>
        <v>0</v>
      </c>
    </row>
    <row r="575" spans="1:78" x14ac:dyDescent="0.2">
      <c r="A575" s="108" t="s">
        <v>313</v>
      </c>
      <c r="B575" s="12"/>
      <c r="C575" s="9">
        <v>33</v>
      </c>
      <c r="D575" s="25"/>
      <c r="E575" s="10" t="str">
        <f t="shared" si="347"/>
        <v>MarçoSEMANA 1Creme de Leite 300 g</v>
      </c>
      <c r="F575" s="7">
        <f>SUMIF(NF!$A:$A,$E575,NF!$I:$I)</f>
        <v>0</v>
      </c>
      <c r="G575" s="74"/>
      <c r="H575" s="74"/>
      <c r="I575" s="74"/>
      <c r="J575" s="6"/>
      <c r="K575" s="6">
        <v>1</v>
      </c>
      <c r="L575" s="6">
        <v>2</v>
      </c>
      <c r="M575" s="6">
        <v>1</v>
      </c>
      <c r="N575" s="7">
        <f>SUM(G575:M575)</f>
        <v>4</v>
      </c>
      <c r="O575" s="11">
        <f t="shared" si="348"/>
        <v>29</v>
      </c>
      <c r="P575" s="25"/>
      <c r="Q575" s="10" t="str">
        <f t="shared" si="349"/>
        <v>MarçoSEMANA 2Creme de Leite 300 g</v>
      </c>
      <c r="R575" s="7">
        <f>SUMIF(NF!$A:$A,$Q575,NF!$I:$I)</f>
        <v>0</v>
      </c>
      <c r="S575" s="6"/>
      <c r="T575" s="6"/>
      <c r="U575" s="6">
        <v>3</v>
      </c>
      <c r="V575" s="6"/>
      <c r="W575" s="6">
        <v>1</v>
      </c>
      <c r="X575" s="6">
        <v>2</v>
      </c>
      <c r="Y575" s="6">
        <v>1</v>
      </c>
      <c r="Z575" s="7">
        <f>SUM(S575:Y575)</f>
        <v>7</v>
      </c>
      <c r="AA575" s="11">
        <f t="shared" si="350"/>
        <v>22</v>
      </c>
      <c r="AB575" s="25"/>
      <c r="AC575" s="10" t="str">
        <f t="shared" si="351"/>
        <v>MarçoSEMANA 3Creme de Leite 300 g</v>
      </c>
      <c r="AD575" s="7">
        <f>SUMIF(NF!$A:$A,$AC575,NF!$I:$I)</f>
        <v>0</v>
      </c>
      <c r="AE575" s="6">
        <v>3</v>
      </c>
      <c r="AF575" s="6"/>
      <c r="AG575" s="6">
        <v>1</v>
      </c>
      <c r="AH575" s="6">
        <v>2</v>
      </c>
      <c r="AI575" s="6"/>
      <c r="AJ575" s="6">
        <v>2</v>
      </c>
      <c r="AK575" s="6"/>
      <c r="AL575" s="7">
        <f>SUM(AE575:AK575)</f>
        <v>8</v>
      </c>
      <c r="AM575" s="11">
        <f t="shared" si="352"/>
        <v>14</v>
      </c>
      <c r="AN575" s="25"/>
      <c r="AO575" s="10" t="str">
        <f t="shared" si="353"/>
        <v>MarçoSEMANA 4Creme de Leite 300 g</v>
      </c>
      <c r="AP575" s="7">
        <f>SUMIF(NF!$A:$A,$AO575,NF!$I:$I)</f>
        <v>0</v>
      </c>
      <c r="AQ575" s="6">
        <v>3</v>
      </c>
      <c r="AR575" s="6"/>
      <c r="AS575" s="6"/>
      <c r="AT575" s="6"/>
      <c r="AU575" s="6">
        <v>1</v>
      </c>
      <c r="AV575" s="6"/>
      <c r="AW575" s="6">
        <v>3</v>
      </c>
      <c r="AX575" s="7">
        <f>SUM(AQ575:AW575)</f>
        <v>7</v>
      </c>
      <c r="AY575" s="11">
        <f t="shared" si="354"/>
        <v>7</v>
      </c>
      <c r="AZ575" s="25"/>
      <c r="BA575" s="10" t="str">
        <f t="shared" si="355"/>
        <v>MarçoSEMANA 5Creme de Leite 300 g</v>
      </c>
      <c r="BB575" s="7">
        <f>SUMIF(NF!$A:$A,$BA575,NF!$I:$I)</f>
        <v>0</v>
      </c>
      <c r="BC575" s="6">
        <v>2</v>
      </c>
      <c r="BD575" s="6"/>
      <c r="BE575" s="6"/>
      <c r="BF575" s="6">
        <v>1</v>
      </c>
      <c r="BG575" s="6"/>
      <c r="BH575" s="6">
        <v>1</v>
      </c>
      <c r="BI575" s="74"/>
      <c r="BJ575" s="74"/>
      <c r="BK575" s="7">
        <f>SUM(BC575:BJ575)</f>
        <v>4</v>
      </c>
      <c r="BL575" s="8">
        <f t="shared" si="356"/>
        <v>3</v>
      </c>
      <c r="BM575" s="51" t="str">
        <f>IFERROR(VLOOKUP(A575,NF!$M:$O,3,0),"")</f>
        <v>Laticínios</v>
      </c>
      <c r="BN575" s="7">
        <f t="shared" si="357"/>
        <v>30</v>
      </c>
      <c r="BO575" s="8">
        <f t="array" ref="BO575">IFERROR(LARGE(IF(NF!$G$2:$G$3137='Mês atual'!A575,NF!$J$2:$J$3137),1),0)*BN575</f>
        <v>0</v>
      </c>
      <c r="BP575" s="50"/>
      <c r="BR575" s="146">
        <f t="array" ref="BR575">IFERROR(LARGE(IF(NF!$G$2:$G$3137='Mês atual'!A575,NF!$J$2:$J$3137),1),0)</f>
        <v>0</v>
      </c>
      <c r="BS575" s="142" t="str">
        <f>VLOOKUP(A575,NF!M:O,3,0)</f>
        <v>Laticínios</v>
      </c>
      <c r="BV575" s="74">
        <f t="shared" si="358"/>
        <v>4</v>
      </c>
      <c r="BW575" s="74">
        <f t="shared" si="359"/>
        <v>7</v>
      </c>
      <c r="BX575" s="74">
        <f t="shared" si="360"/>
        <v>8</v>
      </c>
      <c r="BY575" s="74">
        <f t="shared" si="361"/>
        <v>7</v>
      </c>
      <c r="BZ575" s="74">
        <f t="shared" si="362"/>
        <v>4</v>
      </c>
    </row>
    <row r="576" spans="1:78" x14ac:dyDescent="0.2">
      <c r="A576" s="108" t="s">
        <v>314</v>
      </c>
      <c r="B576" s="12"/>
      <c r="C576" s="9">
        <v>0.5</v>
      </c>
      <c r="D576" s="25"/>
      <c r="E576" s="10" t="str">
        <f t="shared" si="347"/>
        <v>MarçoSEMANA 1Creme de Leite Chantily</v>
      </c>
      <c r="F576" s="7">
        <f>SUMIF(NF!$A:$A,$E576,NF!$I:$I)</f>
        <v>0</v>
      </c>
      <c r="G576" s="74"/>
      <c r="H576" s="74"/>
      <c r="I576" s="74"/>
      <c r="J576" s="6"/>
      <c r="K576" s="6">
        <v>0.5</v>
      </c>
      <c r="L576" s="6"/>
      <c r="M576" s="6"/>
      <c r="N576" s="7">
        <f>SUM(G576:M576)</f>
        <v>0.5</v>
      </c>
      <c r="O576" s="11">
        <f t="shared" si="348"/>
        <v>0</v>
      </c>
      <c r="P576" s="25"/>
      <c r="Q576" s="10" t="str">
        <f t="shared" si="349"/>
        <v>MarçoSEMANA 2Creme de Leite Chantily</v>
      </c>
      <c r="R576" s="7">
        <f>SUMIF(NF!$A:$A,$Q576,NF!$I:$I)</f>
        <v>0.5</v>
      </c>
      <c r="S576" s="6"/>
      <c r="T576" s="6"/>
      <c r="U576" s="6"/>
      <c r="V576" s="6"/>
      <c r="W576" s="6"/>
      <c r="X576" s="6"/>
      <c r="Y576" s="6"/>
      <c r="Z576" s="7">
        <f>SUM(S576:Y576)</f>
        <v>0</v>
      </c>
      <c r="AA576" s="11">
        <f t="shared" si="350"/>
        <v>0.5</v>
      </c>
      <c r="AB576" s="25"/>
      <c r="AC576" s="10" t="str">
        <f t="shared" si="351"/>
        <v>MarçoSEMANA 3Creme de Leite Chantily</v>
      </c>
      <c r="AD576" s="7">
        <f>SUMIF(NF!$A:$A,$AC576,NF!$I:$I)</f>
        <v>0</v>
      </c>
      <c r="AE576" s="6"/>
      <c r="AF576" s="6"/>
      <c r="AG576" s="6"/>
      <c r="AH576" s="6"/>
      <c r="AI576" s="6"/>
      <c r="AJ576" s="6"/>
      <c r="AK576" s="6"/>
      <c r="AL576" s="7">
        <f>SUM(AE576:AK576)</f>
        <v>0</v>
      </c>
      <c r="AM576" s="11">
        <f t="shared" si="352"/>
        <v>0.5</v>
      </c>
      <c r="AN576" s="25"/>
      <c r="AO576" s="10" t="str">
        <f t="shared" si="353"/>
        <v>MarçoSEMANA 4Creme de Leite Chantily</v>
      </c>
      <c r="AP576" s="7">
        <f>SUMIF(NF!$A:$A,$AO576,NF!$I:$I)</f>
        <v>0</v>
      </c>
      <c r="AQ576" s="6"/>
      <c r="AR576" s="6"/>
      <c r="AS576" s="6"/>
      <c r="AT576" s="6"/>
      <c r="AU576" s="6"/>
      <c r="AV576" s="6"/>
      <c r="AW576" s="6"/>
      <c r="AX576" s="7">
        <f>SUM(AQ576:AW576)</f>
        <v>0</v>
      </c>
      <c r="AY576" s="11">
        <f t="shared" si="354"/>
        <v>0.5</v>
      </c>
      <c r="AZ576" s="25"/>
      <c r="BA576" s="10" t="str">
        <f t="shared" si="355"/>
        <v>MarçoSEMANA 5Creme de Leite Chantily</v>
      </c>
      <c r="BB576" s="7">
        <f>SUMIF(NF!$A:$A,$BA576,NF!$I:$I)</f>
        <v>0.5</v>
      </c>
      <c r="BC576" s="6"/>
      <c r="BD576" s="6"/>
      <c r="BE576" s="6"/>
      <c r="BF576" s="6">
        <v>0.5</v>
      </c>
      <c r="BG576" s="6"/>
      <c r="BH576" s="6">
        <v>0.5</v>
      </c>
      <c r="BI576" s="74"/>
      <c r="BJ576" s="74"/>
      <c r="BK576" s="7">
        <f>SUM(BC576:BJ576)</f>
        <v>1</v>
      </c>
      <c r="BL576" s="8">
        <f t="shared" si="356"/>
        <v>0</v>
      </c>
      <c r="BM576" s="51" t="str">
        <f>IFERROR(VLOOKUP(A576,NF!$M:$O,3,0),"")</f>
        <v>Laticínios</v>
      </c>
      <c r="BN576" s="7">
        <f t="shared" si="357"/>
        <v>1.5</v>
      </c>
      <c r="BO576" s="8">
        <f t="array" ref="BO576">IFERROR(LARGE(IF(NF!$G$2:$G$3137='Mês atual'!A576,NF!$J$2:$J$3137),1),0)*BN576</f>
        <v>50.97</v>
      </c>
      <c r="BP576" s="50"/>
      <c r="BR576" s="146">
        <f t="array" ref="BR576">IFERROR(LARGE(IF(NF!$G$2:$G$3137='Mês atual'!A576,NF!$J$2:$J$3137),1),0)</f>
        <v>33.979999999999997</v>
      </c>
      <c r="BS576" s="142" t="str">
        <f>VLOOKUP(A576,NF!M:O,3,0)</f>
        <v>Laticínios</v>
      </c>
      <c r="BV576" s="74">
        <f t="shared" si="358"/>
        <v>0.5</v>
      </c>
      <c r="BW576" s="74">
        <f t="shared" si="359"/>
        <v>0</v>
      </c>
      <c r="BX576" s="74">
        <f t="shared" si="360"/>
        <v>0</v>
      </c>
      <c r="BY576" s="74">
        <f t="shared" si="361"/>
        <v>0</v>
      </c>
      <c r="BZ576" s="74">
        <f t="shared" si="362"/>
        <v>1</v>
      </c>
    </row>
    <row r="577" spans="1:78" x14ac:dyDescent="0.25">
      <c r="A577" s="108" t="s">
        <v>315</v>
      </c>
      <c r="B577" s="12"/>
      <c r="C577" s="9">
        <v>3</v>
      </c>
      <c r="D577" s="25"/>
      <c r="E577" s="10" t="str">
        <f t="shared" si="347"/>
        <v>MarçoSEMANA 1Creme de Leite Culinário 20% Bd 10 Lt</v>
      </c>
      <c r="F577" s="7">
        <f>SUMIF(NF!$A:$A,$E577,NF!$I:$I)</f>
        <v>2</v>
      </c>
      <c r="G577" s="74"/>
      <c r="H577" s="74"/>
      <c r="I577" s="74"/>
      <c r="J577" s="6">
        <v>1</v>
      </c>
      <c r="K577" s="6"/>
      <c r="L577" s="6"/>
      <c r="M577" s="6"/>
      <c r="N577" s="7">
        <f>SUM(G577:M577)</f>
        <v>1</v>
      </c>
      <c r="O577" s="11">
        <f>F577+C577-N577</f>
        <v>4</v>
      </c>
      <c r="P577" s="25"/>
      <c r="Q577" s="10" t="str">
        <f t="shared" si="349"/>
        <v>MarçoSEMANA 2Creme de Leite Culinário 20% Bd 10 Lt</v>
      </c>
      <c r="R577" s="7">
        <f>SUMIF(NF!$A:$A,$Q577,NF!$I:$I)</f>
        <v>4</v>
      </c>
      <c r="S577" s="6">
        <v>2</v>
      </c>
      <c r="T577" s="6">
        <v>1</v>
      </c>
      <c r="U577" s="6"/>
      <c r="V577" s="6"/>
      <c r="W577" s="6">
        <v>1</v>
      </c>
      <c r="X577" s="6">
        <v>1</v>
      </c>
      <c r="Y577" s="6"/>
      <c r="Z577" s="7">
        <f>SUM(S577:Y577)</f>
        <v>5</v>
      </c>
      <c r="AA577" s="11">
        <f>R577+O577-Z577</f>
        <v>3</v>
      </c>
      <c r="AB577" s="25"/>
      <c r="AC577" s="10" t="str">
        <f t="shared" si="351"/>
        <v>MarçoSEMANA 3Creme de Leite Culinário 20% Bd 10 Lt</v>
      </c>
      <c r="AD577" s="7">
        <f>SUMIF(NF!$A:$A,$AC577,NF!$I:$I)</f>
        <v>4</v>
      </c>
      <c r="AE577" s="6"/>
      <c r="AF577" s="6">
        <v>1</v>
      </c>
      <c r="AG577" s="6">
        <v>1</v>
      </c>
      <c r="AH577" s="6"/>
      <c r="AI577" s="6">
        <v>1</v>
      </c>
      <c r="AJ577" s="6">
        <v>1</v>
      </c>
      <c r="AK577" s="6"/>
      <c r="AL577" s="7">
        <f>SUM(AE577:AK577)</f>
        <v>4</v>
      </c>
      <c r="AM577" s="11">
        <f>AD577+AA577-AL577</f>
        <v>3</v>
      </c>
      <c r="AN577" s="25"/>
      <c r="AO577" s="10" t="str">
        <f t="shared" si="353"/>
        <v>MarçoSEMANA 4Creme de Leite Culinário 20% Bd 10 Lt</v>
      </c>
      <c r="AP577" s="7">
        <f>SUMIF(NF!$A:$A,$AO577,NF!$I:$I)</f>
        <v>4</v>
      </c>
      <c r="AQ577" s="6">
        <v>1</v>
      </c>
      <c r="AR577" s="6">
        <v>1</v>
      </c>
      <c r="AS577" s="6"/>
      <c r="AT577" s="6">
        <v>1</v>
      </c>
      <c r="AU577" s="6"/>
      <c r="AV577" s="6"/>
      <c r="AW577" s="6">
        <v>1</v>
      </c>
      <c r="AX577" s="7">
        <f>SUM(AQ577:AW577)</f>
        <v>4</v>
      </c>
      <c r="AY577" s="11">
        <f>AP577+AM577-AX577</f>
        <v>3</v>
      </c>
      <c r="AZ577" s="25"/>
      <c r="BA577" s="10" t="str">
        <f t="shared" si="355"/>
        <v>MarçoSEMANA 5Creme de Leite Culinário 20% Bd 10 Lt</v>
      </c>
      <c r="BB577" s="7">
        <f>SUMIF(NF!$A:$A,$BA577,NF!$I:$I)</f>
        <v>5</v>
      </c>
      <c r="BC577" s="6"/>
      <c r="BD577" s="6">
        <v>1</v>
      </c>
      <c r="BE577" s="6">
        <v>1</v>
      </c>
      <c r="BF577" s="6"/>
      <c r="BG577" s="6"/>
      <c r="BH577" s="6">
        <v>1</v>
      </c>
      <c r="BI577" s="74"/>
      <c r="BJ577" s="74"/>
      <c r="BK577" s="7">
        <f>SUM(BC577:BJ577)</f>
        <v>3</v>
      </c>
      <c r="BL577" s="8">
        <f>BB577+AY577-BK577</f>
        <v>5</v>
      </c>
      <c r="BM577" s="51" t="str">
        <f>IFERROR(VLOOKUP(A577,NF!$M:$O,3,0),"")</f>
        <v>Laticínios</v>
      </c>
      <c r="BN577" s="7">
        <f>SUM(N577,Z577,AL577,AX577,BK577)</f>
        <v>17</v>
      </c>
      <c r="BO577" s="8">
        <f t="array" ref="BO577">IFERROR(LARGE(IF(NF!$G$2:$G$3137='Mês atual'!A577,NF!$J$2:$J$3137),1),0)*BN577</f>
        <v>2421.6499999999996</v>
      </c>
      <c r="BP577" s="50"/>
      <c r="BR577" s="146">
        <f t="array" ref="BR577">IFERROR(LARGE(IF(NF!$G$2:$G$3137='Mês atual'!A577,NF!$J$2:$J$3137),1),0)</f>
        <v>142.44999999999999</v>
      </c>
      <c r="BS577" s="142" t="str">
        <f>VLOOKUP(A577,NF!M:O,3,0)</f>
        <v>Laticínios</v>
      </c>
      <c r="BV577" s="74">
        <f t="shared" si="358"/>
        <v>1</v>
      </c>
      <c r="BW577" s="74">
        <f t="shared" si="359"/>
        <v>5</v>
      </c>
      <c r="BX577" s="74">
        <f t="shared" si="360"/>
        <v>4</v>
      </c>
      <c r="BY577" s="74">
        <f t="shared" si="361"/>
        <v>4</v>
      </c>
      <c r="BZ577" s="74">
        <f t="shared" si="362"/>
        <v>3</v>
      </c>
    </row>
    <row r="578" spans="1:78" x14ac:dyDescent="0.2">
      <c r="A578" s="108" t="s">
        <v>672</v>
      </c>
      <c r="B578" s="12"/>
      <c r="C578" s="9">
        <v>0</v>
      </c>
      <c r="D578" s="25"/>
      <c r="E578" s="10" t="str">
        <f t="shared" si="347"/>
        <v>MarçoSEMANA 1Queijo Brie</v>
      </c>
      <c r="F578" s="7">
        <f>SUMIF(NF!$A:$A,$E578,NF!$I:$I)</f>
        <v>0</v>
      </c>
      <c r="G578" s="74"/>
      <c r="H578" s="74"/>
      <c r="I578" s="74"/>
      <c r="J578" s="6"/>
      <c r="K578" s="6"/>
      <c r="L578" s="6"/>
      <c r="M578" s="6"/>
      <c r="N578" s="7">
        <f t="shared" ref="N578:N584" si="363">SUM(G578:M578)</f>
        <v>0</v>
      </c>
      <c r="O578" s="11">
        <f t="shared" ref="O578:O596" si="364">F578+C578-N578</f>
        <v>0</v>
      </c>
      <c r="P578" s="25"/>
      <c r="Q578" s="10" t="str">
        <f t="shared" si="349"/>
        <v>MarçoSEMANA 2Queijo Brie</v>
      </c>
      <c r="R578" s="7">
        <f>SUMIF(NF!$A:$A,$Q578,NF!$I:$I)</f>
        <v>0</v>
      </c>
      <c r="S578" s="6"/>
      <c r="T578" s="6"/>
      <c r="U578" s="6"/>
      <c r="V578" s="6"/>
      <c r="W578" s="6"/>
      <c r="X578" s="6"/>
      <c r="Y578" s="6"/>
      <c r="Z578" s="7">
        <f t="shared" ref="Z578:Z581" si="365">SUM(S578:Y578)</f>
        <v>0</v>
      </c>
      <c r="AA578" s="11">
        <f t="shared" ref="AA578:AA596" si="366">R578+O578-Z578</f>
        <v>0</v>
      </c>
      <c r="AB578" s="25"/>
      <c r="AC578" s="10" t="str">
        <f t="shared" si="351"/>
        <v>MarçoSEMANA 3Queijo Brie</v>
      </c>
      <c r="AD578" s="7">
        <f>SUMIF(NF!$A:$A,$AC578,NF!$I:$I)</f>
        <v>0</v>
      </c>
      <c r="AE578" s="6"/>
      <c r="AF578" s="6"/>
      <c r="AG578" s="6"/>
      <c r="AH578" s="6"/>
      <c r="AI578" s="6"/>
      <c r="AJ578" s="6"/>
      <c r="AK578" s="6"/>
      <c r="AL578" s="7">
        <f t="shared" ref="AL578:AL584" si="367">SUM(AE578:AK578)</f>
        <v>0</v>
      </c>
      <c r="AM578" s="11">
        <f t="shared" ref="AM578:AM596" si="368">AD578+AA578-AL578</f>
        <v>0</v>
      </c>
      <c r="AN578" s="25"/>
      <c r="AO578" s="10" t="str">
        <f t="shared" si="353"/>
        <v>MarçoSEMANA 4Queijo Brie</v>
      </c>
      <c r="AP578" s="7">
        <f>SUMIF(NF!$A:$A,$AO578,NF!$I:$I)</f>
        <v>0</v>
      </c>
      <c r="AQ578" s="6"/>
      <c r="AR578" s="6"/>
      <c r="AS578" s="6"/>
      <c r="AT578" s="6"/>
      <c r="AU578" s="6"/>
      <c r="AV578" s="6"/>
      <c r="AW578" s="6"/>
      <c r="AX578" s="7">
        <f t="shared" ref="AX578:AX584" si="369">SUM(AQ578:AW578)</f>
        <v>0</v>
      </c>
      <c r="AY578" s="11">
        <f t="shared" ref="AY578:AY596" si="370">AP578+AM578-AX578</f>
        <v>0</v>
      </c>
      <c r="AZ578" s="25"/>
      <c r="BA578" s="10" t="str">
        <f t="shared" si="355"/>
        <v>MarçoSEMANA 5Queijo Brie</v>
      </c>
      <c r="BB578" s="7">
        <f>SUMIF(NF!$A:$A,$BA578,NF!$I:$I)</f>
        <v>0</v>
      </c>
      <c r="BC578" s="6"/>
      <c r="BD578" s="6"/>
      <c r="BE578" s="6"/>
      <c r="BF578" s="6"/>
      <c r="BG578" s="6"/>
      <c r="BH578" s="6"/>
      <c r="BI578" s="74"/>
      <c r="BJ578" s="74"/>
      <c r="BK578" s="7">
        <f t="shared" ref="BK578:BK584" si="371">SUM(BC578:BJ578)</f>
        <v>0</v>
      </c>
      <c r="BL578" s="8">
        <f t="shared" ref="BL578:BL596" si="372">BB578+AY578-BK578</f>
        <v>0</v>
      </c>
      <c r="BM578" s="51" t="str">
        <f>IFERROR(VLOOKUP(A578,NF!$M:$O,3,0),"")</f>
        <v>Laticínios</v>
      </c>
      <c r="BN578" s="7">
        <f t="shared" ref="BN578:BN596" si="373">SUM(N578,Z578,AL578,AX578,BK578)</f>
        <v>0</v>
      </c>
      <c r="BO578" s="8">
        <f t="array" ref="BO578">IFERROR(LARGE(IF(NF!$G$2:$G$3137='Mês atual'!A578,NF!$J$2:$J$3137),1),0)*BN578</f>
        <v>0</v>
      </c>
      <c r="BP578" s="50"/>
      <c r="BR578" s="146">
        <f t="array" ref="BR578">IFERROR(LARGE(IF(NF!$G$2:$G$3137='Mês atual'!A578,NF!$J$2:$J$3137),1),0)</f>
        <v>0</v>
      </c>
      <c r="BS578" s="142" t="str">
        <f>VLOOKUP(A578,NF!M:O,3,0)</f>
        <v>Laticínios</v>
      </c>
      <c r="BV578" s="74">
        <f t="shared" si="358"/>
        <v>0</v>
      </c>
      <c r="BW578" s="74">
        <f t="shared" si="359"/>
        <v>0</v>
      </c>
      <c r="BX578" s="74">
        <f t="shared" si="360"/>
        <v>0</v>
      </c>
      <c r="BY578" s="74">
        <f t="shared" si="361"/>
        <v>0</v>
      </c>
      <c r="BZ578" s="74">
        <f t="shared" si="362"/>
        <v>0</v>
      </c>
    </row>
    <row r="579" spans="1:78" x14ac:dyDescent="0.2">
      <c r="A579" s="108" t="s">
        <v>673</v>
      </c>
      <c r="B579" s="12"/>
      <c r="C579" s="9">
        <v>0</v>
      </c>
      <c r="D579" s="25"/>
      <c r="E579" s="10" t="str">
        <f t="shared" si="347"/>
        <v>MarçoSEMANA 1Queijo Burrata</v>
      </c>
      <c r="F579" s="7">
        <f>SUMIF(NF!$A:$A,$E579,NF!$I:$I)</f>
        <v>0</v>
      </c>
      <c r="G579" s="74"/>
      <c r="H579" s="74"/>
      <c r="I579" s="74"/>
      <c r="J579" s="6"/>
      <c r="K579" s="6"/>
      <c r="L579" s="6"/>
      <c r="M579" s="6"/>
      <c r="N579" s="7">
        <f t="shared" si="363"/>
        <v>0</v>
      </c>
      <c r="O579" s="11">
        <f t="shared" si="364"/>
        <v>0</v>
      </c>
      <c r="P579" s="25"/>
      <c r="Q579" s="10" t="str">
        <f t="shared" si="349"/>
        <v>MarçoSEMANA 2Queijo Burrata</v>
      </c>
      <c r="R579" s="7">
        <f>SUMIF(NF!$A:$A,$Q579,NF!$I:$I)</f>
        <v>0</v>
      </c>
      <c r="S579" s="6"/>
      <c r="T579" s="6"/>
      <c r="U579" s="6"/>
      <c r="V579" s="6"/>
      <c r="W579" s="6"/>
      <c r="X579" s="6"/>
      <c r="Y579" s="6"/>
      <c r="Z579" s="7">
        <f t="shared" si="365"/>
        <v>0</v>
      </c>
      <c r="AA579" s="11">
        <f t="shared" si="366"/>
        <v>0</v>
      </c>
      <c r="AB579" s="25"/>
      <c r="AC579" s="10" t="str">
        <f t="shared" si="351"/>
        <v>MarçoSEMANA 3Queijo Burrata</v>
      </c>
      <c r="AD579" s="7">
        <f>SUMIF(NF!$A:$A,$AC579,NF!$I:$I)</f>
        <v>0</v>
      </c>
      <c r="AE579" s="6"/>
      <c r="AF579" s="6"/>
      <c r="AG579" s="6"/>
      <c r="AH579" s="6"/>
      <c r="AI579" s="6"/>
      <c r="AJ579" s="6"/>
      <c r="AK579" s="6"/>
      <c r="AL579" s="7">
        <f t="shared" si="367"/>
        <v>0</v>
      </c>
      <c r="AM579" s="11">
        <f t="shared" si="368"/>
        <v>0</v>
      </c>
      <c r="AN579" s="25"/>
      <c r="AO579" s="10" t="str">
        <f t="shared" si="353"/>
        <v>MarçoSEMANA 4Queijo Burrata</v>
      </c>
      <c r="AP579" s="7">
        <f>SUMIF(NF!$A:$A,$AO579,NF!$I:$I)</f>
        <v>0</v>
      </c>
      <c r="AQ579" s="6"/>
      <c r="AR579" s="6"/>
      <c r="AS579" s="6"/>
      <c r="AT579" s="6"/>
      <c r="AU579" s="6"/>
      <c r="AV579" s="6"/>
      <c r="AW579" s="6"/>
      <c r="AX579" s="7">
        <f t="shared" si="369"/>
        <v>0</v>
      </c>
      <c r="AY579" s="11">
        <f t="shared" si="370"/>
        <v>0</v>
      </c>
      <c r="AZ579" s="25"/>
      <c r="BA579" s="10" t="str">
        <f t="shared" si="355"/>
        <v>MarçoSEMANA 5Queijo Burrata</v>
      </c>
      <c r="BB579" s="7">
        <f>SUMIF(NF!$A:$A,$BA579,NF!$I:$I)</f>
        <v>0</v>
      </c>
      <c r="BC579" s="6"/>
      <c r="BD579" s="6"/>
      <c r="BE579" s="6"/>
      <c r="BF579" s="6"/>
      <c r="BG579" s="6"/>
      <c r="BH579" s="6"/>
      <c r="BI579" s="74"/>
      <c r="BJ579" s="74"/>
      <c r="BK579" s="7">
        <f t="shared" si="371"/>
        <v>0</v>
      </c>
      <c r="BL579" s="8">
        <f t="shared" si="372"/>
        <v>0</v>
      </c>
      <c r="BM579" s="51" t="str">
        <f>IFERROR(VLOOKUP(A579,NF!$M:$O,3,0),"")</f>
        <v>Laticínios</v>
      </c>
      <c r="BN579" s="7">
        <f t="shared" si="373"/>
        <v>0</v>
      </c>
      <c r="BO579" s="8">
        <f t="array" ref="BO579">IFERROR(LARGE(IF(NF!$G$2:$G$3137='Mês atual'!A579,NF!$J$2:$J$3137),1),0)*BN579</f>
        <v>0</v>
      </c>
      <c r="BP579" s="50"/>
      <c r="BR579" s="146">
        <f t="array" ref="BR579">IFERROR(LARGE(IF(NF!$G$2:$G$3137='Mês atual'!A579,NF!$J$2:$J$3137),1),0)</f>
        <v>0</v>
      </c>
      <c r="BS579" s="142" t="str">
        <f>VLOOKUP(A579,NF!M:O,3,0)</f>
        <v>Laticínios</v>
      </c>
      <c r="BV579" s="74">
        <f t="shared" si="358"/>
        <v>0</v>
      </c>
      <c r="BW579" s="74">
        <f t="shared" si="359"/>
        <v>0</v>
      </c>
      <c r="BX579" s="74">
        <f t="shared" si="360"/>
        <v>0</v>
      </c>
      <c r="BY579" s="74">
        <f t="shared" si="361"/>
        <v>0</v>
      </c>
      <c r="BZ579" s="74">
        <f t="shared" si="362"/>
        <v>0</v>
      </c>
    </row>
    <row r="580" spans="1:78" x14ac:dyDescent="0.2">
      <c r="A580" s="108" t="s">
        <v>674</v>
      </c>
      <c r="B580" s="12"/>
      <c r="C580" s="9">
        <v>0</v>
      </c>
      <c r="D580" s="25"/>
      <c r="E580" s="10" t="str">
        <f t="shared" si="347"/>
        <v>MarçoSEMANA 1Queijo Cheddar</v>
      </c>
      <c r="F580" s="7">
        <f>SUMIF(NF!$A:$A,$E580,NF!$I:$I)</f>
        <v>0</v>
      </c>
      <c r="G580" s="74"/>
      <c r="H580" s="74"/>
      <c r="I580" s="74"/>
      <c r="J580" s="6"/>
      <c r="K580" s="6"/>
      <c r="L580" s="6"/>
      <c r="M580" s="6"/>
      <c r="N580" s="7">
        <f t="shared" si="363"/>
        <v>0</v>
      </c>
      <c r="O580" s="11">
        <f t="shared" si="364"/>
        <v>0</v>
      </c>
      <c r="P580" s="25"/>
      <c r="Q580" s="10" t="str">
        <f t="shared" si="349"/>
        <v>MarçoSEMANA 2Queijo Cheddar</v>
      </c>
      <c r="R580" s="7">
        <f>SUMIF(NF!$A:$A,$Q580,NF!$I:$I)</f>
        <v>0</v>
      </c>
      <c r="S580" s="6"/>
      <c r="T580" s="6"/>
      <c r="U580" s="6"/>
      <c r="V580" s="6"/>
      <c r="W580" s="6"/>
      <c r="X580" s="6"/>
      <c r="Y580" s="6"/>
      <c r="Z580" s="7">
        <f t="shared" si="365"/>
        <v>0</v>
      </c>
      <c r="AA580" s="11">
        <f t="shared" si="366"/>
        <v>0</v>
      </c>
      <c r="AB580" s="25"/>
      <c r="AC580" s="10" t="str">
        <f t="shared" si="351"/>
        <v>MarçoSEMANA 3Queijo Cheddar</v>
      </c>
      <c r="AD580" s="7">
        <f>SUMIF(NF!$A:$A,$AC580,NF!$I:$I)</f>
        <v>0</v>
      </c>
      <c r="AE580" s="6"/>
      <c r="AF580" s="6"/>
      <c r="AG580" s="6"/>
      <c r="AH580" s="6"/>
      <c r="AI580" s="6"/>
      <c r="AJ580" s="6"/>
      <c r="AK580" s="6"/>
      <c r="AL580" s="7">
        <f t="shared" si="367"/>
        <v>0</v>
      </c>
      <c r="AM580" s="11">
        <f t="shared" si="368"/>
        <v>0</v>
      </c>
      <c r="AN580" s="25"/>
      <c r="AO580" s="10" t="str">
        <f t="shared" si="353"/>
        <v>MarçoSEMANA 4Queijo Cheddar</v>
      </c>
      <c r="AP580" s="7">
        <f>SUMIF(NF!$A:$A,$AO580,NF!$I:$I)</f>
        <v>0</v>
      </c>
      <c r="AQ580" s="6"/>
      <c r="AR580" s="6"/>
      <c r="AS580" s="6"/>
      <c r="AT580" s="6"/>
      <c r="AU580" s="6"/>
      <c r="AV580" s="6"/>
      <c r="AW580" s="6"/>
      <c r="AX580" s="7">
        <f t="shared" si="369"/>
        <v>0</v>
      </c>
      <c r="AY580" s="11">
        <f t="shared" si="370"/>
        <v>0</v>
      </c>
      <c r="AZ580" s="25"/>
      <c r="BA580" s="10" t="str">
        <f t="shared" si="355"/>
        <v>MarçoSEMANA 5Queijo Cheddar</v>
      </c>
      <c r="BB580" s="7">
        <f>SUMIF(NF!$A:$A,$BA580,NF!$I:$I)</f>
        <v>0</v>
      </c>
      <c r="BC580" s="6"/>
      <c r="BD580" s="6"/>
      <c r="BE580" s="6"/>
      <c r="BF580" s="6"/>
      <c r="BG580" s="6"/>
      <c r="BH580" s="6"/>
      <c r="BI580" s="74"/>
      <c r="BJ580" s="74"/>
      <c r="BK580" s="7">
        <f t="shared" si="371"/>
        <v>0</v>
      </c>
      <c r="BL580" s="8">
        <f t="shared" si="372"/>
        <v>0</v>
      </c>
      <c r="BM580" s="51" t="str">
        <f>IFERROR(VLOOKUP(A580,NF!$M:$O,3,0),"")</f>
        <v>Laticínios</v>
      </c>
      <c r="BN580" s="7">
        <f t="shared" si="373"/>
        <v>0</v>
      </c>
      <c r="BO580" s="8">
        <f t="array" ref="BO580">IFERROR(LARGE(IF(NF!$G$2:$G$3137='Mês atual'!A580,NF!$J$2:$J$3137),1),0)*BN580</f>
        <v>0</v>
      </c>
      <c r="BP580" s="50"/>
      <c r="BR580" s="146">
        <f t="array" ref="BR580">IFERROR(LARGE(IF(NF!$G$2:$G$3137='Mês atual'!A580,NF!$J$2:$J$3137),1),0)</f>
        <v>0</v>
      </c>
      <c r="BS580" s="142" t="str">
        <f>VLOOKUP(A580,NF!M:O,3,0)</f>
        <v>Laticínios</v>
      </c>
      <c r="BV580" s="74">
        <f t="shared" si="358"/>
        <v>0</v>
      </c>
      <c r="BW580" s="74">
        <f t="shared" si="359"/>
        <v>0</v>
      </c>
      <c r="BX580" s="74">
        <f t="shared" si="360"/>
        <v>0</v>
      </c>
      <c r="BY580" s="74">
        <f t="shared" si="361"/>
        <v>0</v>
      </c>
      <c r="BZ580" s="74">
        <f t="shared" si="362"/>
        <v>0</v>
      </c>
    </row>
    <row r="581" spans="1:78" x14ac:dyDescent="0.2">
      <c r="A581" s="108" t="s">
        <v>985</v>
      </c>
      <c r="B581" s="12"/>
      <c r="C581" s="9">
        <v>0</v>
      </c>
      <c r="D581" s="25"/>
      <c r="E581" s="10" t="str">
        <f t="shared" si="347"/>
        <v>MarçoSEMANA 1Queijo Coalhada Minas</v>
      </c>
      <c r="F581" s="7">
        <f>SUMIF(NF!$A:$A,$E581,NF!$I:$I)</f>
        <v>0</v>
      </c>
      <c r="G581" s="74"/>
      <c r="H581" s="74"/>
      <c r="I581" s="74"/>
      <c r="J581" s="6"/>
      <c r="K581" s="6"/>
      <c r="L581" s="6"/>
      <c r="M581" s="6"/>
      <c r="N581" s="7">
        <f t="shared" si="363"/>
        <v>0</v>
      </c>
      <c r="O581" s="11">
        <f t="shared" si="364"/>
        <v>0</v>
      </c>
      <c r="P581" s="25"/>
      <c r="Q581" s="10" t="str">
        <f t="shared" si="349"/>
        <v>MarçoSEMANA 2Queijo Coalhada Minas</v>
      </c>
      <c r="R581" s="7">
        <f>SUMIF(NF!$A:$A,$Q581,NF!$I:$I)</f>
        <v>0</v>
      </c>
      <c r="S581" s="6"/>
      <c r="T581" s="6"/>
      <c r="U581" s="6"/>
      <c r="V581" s="6"/>
      <c r="W581" s="6"/>
      <c r="X581" s="6"/>
      <c r="Y581" s="6"/>
      <c r="Z581" s="7">
        <f t="shared" si="365"/>
        <v>0</v>
      </c>
      <c r="AA581" s="11">
        <f t="shared" si="366"/>
        <v>0</v>
      </c>
      <c r="AB581" s="25"/>
      <c r="AC581" s="10" t="str">
        <f t="shared" si="351"/>
        <v>MarçoSEMANA 3Queijo Coalhada Minas</v>
      </c>
      <c r="AD581" s="7">
        <f>SUMIF(NF!$A:$A,$AC581,NF!$I:$I)</f>
        <v>0</v>
      </c>
      <c r="AE581" s="6"/>
      <c r="AF581" s="6"/>
      <c r="AG581" s="6"/>
      <c r="AH581" s="6"/>
      <c r="AI581" s="6"/>
      <c r="AJ581" s="6"/>
      <c r="AK581" s="6"/>
      <c r="AL581" s="7">
        <f t="shared" si="367"/>
        <v>0</v>
      </c>
      <c r="AM581" s="11">
        <f t="shared" si="368"/>
        <v>0</v>
      </c>
      <c r="AN581" s="25"/>
      <c r="AO581" s="10" t="str">
        <f t="shared" si="353"/>
        <v>MarçoSEMANA 4Queijo Coalhada Minas</v>
      </c>
      <c r="AP581" s="7">
        <f>SUMIF(NF!$A:$A,$AO581,NF!$I:$I)</f>
        <v>0</v>
      </c>
      <c r="AQ581" s="6"/>
      <c r="AR581" s="6"/>
      <c r="AS581" s="6"/>
      <c r="AT581" s="6"/>
      <c r="AU581" s="6"/>
      <c r="AV581" s="6"/>
      <c r="AW581" s="6"/>
      <c r="AX581" s="7">
        <f t="shared" si="369"/>
        <v>0</v>
      </c>
      <c r="AY581" s="11">
        <f t="shared" si="370"/>
        <v>0</v>
      </c>
      <c r="AZ581" s="25"/>
      <c r="BA581" s="10" t="str">
        <f t="shared" si="355"/>
        <v>MarçoSEMANA 5Queijo Coalhada Minas</v>
      </c>
      <c r="BB581" s="7">
        <f>SUMIF(NF!$A:$A,$BA581,NF!$I:$I)</f>
        <v>0</v>
      </c>
      <c r="BC581" s="6"/>
      <c r="BD581" s="6"/>
      <c r="BE581" s="6"/>
      <c r="BF581" s="6"/>
      <c r="BG581" s="6"/>
      <c r="BH581" s="6"/>
      <c r="BI581" s="74"/>
      <c r="BJ581" s="74"/>
      <c r="BK581" s="7">
        <f t="shared" si="371"/>
        <v>0</v>
      </c>
      <c r="BL581" s="8">
        <f t="shared" si="372"/>
        <v>0</v>
      </c>
      <c r="BM581" s="51" t="str">
        <f>IFERROR(VLOOKUP(A581,NF!$M:$O,3,0),"")</f>
        <v>Laticínios</v>
      </c>
      <c r="BN581" s="7">
        <f t="shared" si="373"/>
        <v>0</v>
      </c>
      <c r="BO581" s="8">
        <f t="array" ref="BO581">IFERROR(LARGE(IF(NF!$G$2:$G$3137='Mês atual'!A581,NF!$J$2:$J$3137),1),0)*BN581</f>
        <v>0</v>
      </c>
      <c r="BP581" s="50"/>
      <c r="BR581" s="146">
        <f t="array" ref="BR581">IFERROR(LARGE(IF(NF!$G$2:$G$3137='Mês atual'!A581,NF!$J$2:$J$3137),1),0)</f>
        <v>0</v>
      </c>
      <c r="BS581" s="142" t="str">
        <f>VLOOKUP(A581,NF!M:O,3,0)</f>
        <v>Laticínios</v>
      </c>
      <c r="BV581" s="74">
        <f t="shared" si="358"/>
        <v>0</v>
      </c>
      <c r="BW581" s="74">
        <f t="shared" si="359"/>
        <v>0</v>
      </c>
      <c r="BX581" s="74">
        <f t="shared" si="360"/>
        <v>0</v>
      </c>
      <c r="BY581" s="74">
        <f t="shared" si="361"/>
        <v>0</v>
      </c>
      <c r="BZ581" s="74">
        <f t="shared" si="362"/>
        <v>0</v>
      </c>
    </row>
    <row r="582" spans="1:78" x14ac:dyDescent="0.2">
      <c r="A582" s="108" t="s">
        <v>675</v>
      </c>
      <c r="B582" s="12"/>
      <c r="C582" s="9">
        <v>2.0950000000000002</v>
      </c>
      <c r="D582" s="25"/>
      <c r="E582" s="10" t="str">
        <f t="shared" si="347"/>
        <v>MarçoSEMANA 1Queijo Coalho</v>
      </c>
      <c r="F582" s="7">
        <f>SUMIF(NF!$A:$A,$E582,NF!$I:$I)</f>
        <v>10</v>
      </c>
      <c r="G582" s="74"/>
      <c r="H582" s="74"/>
      <c r="I582" s="74"/>
      <c r="J582" s="6"/>
      <c r="K582" s="6"/>
      <c r="L582" s="6"/>
      <c r="M582" s="6"/>
      <c r="N582" s="7">
        <f t="shared" si="363"/>
        <v>0</v>
      </c>
      <c r="O582" s="11">
        <f t="shared" si="364"/>
        <v>12.095000000000001</v>
      </c>
      <c r="P582" s="25"/>
      <c r="Q582" s="10" t="str">
        <f t="shared" si="349"/>
        <v>MarçoSEMANA 2Queijo Coalho</v>
      </c>
      <c r="R582" s="7">
        <f>SUMIF(NF!$A:$A,$Q582,NF!$I:$I)</f>
        <v>0</v>
      </c>
      <c r="S582" s="6"/>
      <c r="T582" s="6"/>
      <c r="U582" s="6"/>
      <c r="V582" s="6"/>
      <c r="W582" s="6"/>
      <c r="X582" s="6"/>
      <c r="Y582" s="6"/>
      <c r="Z582" s="7">
        <f>SUM(S582:Y582)</f>
        <v>0</v>
      </c>
      <c r="AA582" s="11">
        <f t="shared" si="366"/>
        <v>12.095000000000001</v>
      </c>
      <c r="AB582" s="25"/>
      <c r="AC582" s="10" t="str">
        <f t="shared" si="351"/>
        <v>MarçoSEMANA 3Queijo Coalho</v>
      </c>
      <c r="AD582" s="7">
        <f>SUMIF(NF!$A:$A,$AC582,NF!$I:$I)</f>
        <v>0</v>
      </c>
      <c r="AE582" s="6"/>
      <c r="AF582" s="6"/>
      <c r="AG582" s="6"/>
      <c r="AH582" s="6"/>
      <c r="AI582" s="6">
        <f>2.09+0.631</f>
        <v>2.7210000000000001</v>
      </c>
      <c r="AJ582" s="6"/>
      <c r="AK582" s="6"/>
      <c r="AL582" s="7">
        <f t="shared" si="367"/>
        <v>2.7210000000000001</v>
      </c>
      <c r="AM582" s="11">
        <f t="shared" si="368"/>
        <v>9.3740000000000006</v>
      </c>
      <c r="AN582" s="25"/>
      <c r="AO582" s="10" t="str">
        <f t="shared" si="353"/>
        <v>MarçoSEMANA 4Queijo Coalho</v>
      </c>
      <c r="AP582" s="7">
        <f>SUMIF(NF!$A:$A,$AO582,NF!$I:$I)</f>
        <v>0</v>
      </c>
      <c r="AQ582" s="6"/>
      <c r="AR582" s="6"/>
      <c r="AS582" s="6"/>
      <c r="AT582" s="6"/>
      <c r="AU582" s="6"/>
      <c r="AV582" s="6"/>
      <c r="AW582" s="6"/>
      <c r="AX582" s="7">
        <f t="shared" si="369"/>
        <v>0</v>
      </c>
      <c r="AY582" s="11">
        <f t="shared" si="370"/>
        <v>9.3740000000000006</v>
      </c>
      <c r="AZ582" s="25"/>
      <c r="BA582" s="10" t="str">
        <f t="shared" si="355"/>
        <v>MarçoSEMANA 5Queijo Coalho</v>
      </c>
      <c r="BB582" s="7">
        <f>SUMIF(NF!$A:$A,$BA582,NF!$I:$I)</f>
        <v>0</v>
      </c>
      <c r="BC582" s="6">
        <f>4.068+0.631</f>
        <v>4.6989999999999998</v>
      </c>
      <c r="BD582" s="6"/>
      <c r="BE582" s="6">
        <f>1.95+0.631</f>
        <v>2.581</v>
      </c>
      <c r="BF582" s="6"/>
      <c r="BG582" s="6"/>
      <c r="BH582" s="6"/>
      <c r="BI582" s="74"/>
      <c r="BJ582" s="74"/>
      <c r="BK582" s="7">
        <f t="shared" si="371"/>
        <v>7.2799999999999994</v>
      </c>
      <c r="BL582" s="8">
        <f t="shared" si="372"/>
        <v>2.0940000000000012</v>
      </c>
      <c r="BM582" s="51" t="str">
        <f>IFERROR(VLOOKUP(A582,NF!$M:$O,3,0),"")</f>
        <v>Laticínios</v>
      </c>
      <c r="BN582" s="7">
        <f t="shared" si="373"/>
        <v>10.000999999999999</v>
      </c>
      <c r="BO582" s="8">
        <f t="array" ref="BO582">IFERROR(LARGE(IF(NF!$G$2:$G$3137='Mês atual'!A582,NF!$J$2:$J$3137),1),0)*BN582</f>
        <v>241.32412999999997</v>
      </c>
      <c r="BP582" s="50"/>
      <c r="BR582" s="146">
        <f t="array" ref="BR582">IFERROR(LARGE(IF(NF!$G$2:$G$3137='Mês atual'!A582,NF!$J$2:$J$3137),1),0)</f>
        <v>24.13</v>
      </c>
      <c r="BS582" s="142" t="str">
        <f>VLOOKUP(A582,NF!M:O,3,0)</f>
        <v>Laticínios</v>
      </c>
      <c r="BV582" s="74">
        <f t="shared" si="358"/>
        <v>0</v>
      </c>
      <c r="BW582" s="74">
        <f t="shared" si="359"/>
        <v>0</v>
      </c>
      <c r="BX582" s="74">
        <f t="shared" si="360"/>
        <v>2.7210000000000001</v>
      </c>
      <c r="BY582" s="74">
        <f t="shared" si="361"/>
        <v>0</v>
      </c>
      <c r="BZ582" s="74">
        <f t="shared" si="362"/>
        <v>7.2799999999999994</v>
      </c>
    </row>
    <row r="583" spans="1:78" x14ac:dyDescent="0.2">
      <c r="A583" s="108" t="s">
        <v>676</v>
      </c>
      <c r="B583" s="12"/>
      <c r="C583" s="9">
        <v>0</v>
      </c>
      <c r="D583" s="25"/>
      <c r="E583" s="10" t="str">
        <f t="shared" si="347"/>
        <v>MarçoSEMANA 1Queijo Cottage</v>
      </c>
      <c r="F583" s="7">
        <f>SUMIF(NF!$A:$A,$E583,NF!$I:$I)</f>
        <v>0</v>
      </c>
      <c r="G583" s="74"/>
      <c r="H583" s="74"/>
      <c r="I583" s="74"/>
      <c r="J583" s="6"/>
      <c r="K583" s="6"/>
      <c r="L583" s="6"/>
      <c r="M583" s="6"/>
      <c r="N583" s="7">
        <f t="shared" si="363"/>
        <v>0</v>
      </c>
      <c r="O583" s="11">
        <f t="shared" si="364"/>
        <v>0</v>
      </c>
      <c r="P583" s="25"/>
      <c r="Q583" s="10" t="str">
        <f t="shared" si="349"/>
        <v>MarçoSEMANA 2Queijo Cottage</v>
      </c>
      <c r="R583" s="7">
        <f>SUMIF(NF!$A:$A,$Q583,NF!$I:$I)</f>
        <v>0</v>
      </c>
      <c r="S583" s="6"/>
      <c r="T583" s="6"/>
      <c r="U583" s="6"/>
      <c r="V583" s="6"/>
      <c r="W583" s="6"/>
      <c r="X583" s="6"/>
      <c r="Y583" s="6"/>
      <c r="Z583" s="7">
        <f>SUM(S583:Y583)</f>
        <v>0</v>
      </c>
      <c r="AA583" s="11">
        <f t="shared" si="366"/>
        <v>0</v>
      </c>
      <c r="AB583" s="25"/>
      <c r="AC583" s="10" t="str">
        <f t="shared" si="351"/>
        <v>MarçoSEMANA 3Queijo Cottage</v>
      </c>
      <c r="AD583" s="7">
        <f>SUMIF(NF!$A:$A,$AC583,NF!$I:$I)</f>
        <v>0</v>
      </c>
      <c r="AE583" s="6"/>
      <c r="AF583" s="6"/>
      <c r="AG583" s="6"/>
      <c r="AH583" s="6"/>
      <c r="AI583" s="6"/>
      <c r="AJ583" s="6"/>
      <c r="AK583" s="6"/>
      <c r="AL583" s="7">
        <f t="shared" si="367"/>
        <v>0</v>
      </c>
      <c r="AM583" s="11">
        <f t="shared" si="368"/>
        <v>0</v>
      </c>
      <c r="AN583" s="25"/>
      <c r="AO583" s="10" t="str">
        <f t="shared" si="353"/>
        <v>MarçoSEMANA 4Queijo Cottage</v>
      </c>
      <c r="AP583" s="7">
        <f>SUMIF(NF!$A:$A,$AO583,NF!$I:$I)</f>
        <v>0</v>
      </c>
      <c r="AQ583" s="6"/>
      <c r="AR583" s="6"/>
      <c r="AS583" s="6"/>
      <c r="AT583" s="6"/>
      <c r="AU583" s="6"/>
      <c r="AV583" s="6"/>
      <c r="AW583" s="6"/>
      <c r="AX583" s="7">
        <f t="shared" si="369"/>
        <v>0</v>
      </c>
      <c r="AY583" s="11">
        <f t="shared" si="370"/>
        <v>0</v>
      </c>
      <c r="AZ583" s="25"/>
      <c r="BA583" s="10" t="str">
        <f t="shared" si="355"/>
        <v>MarçoSEMANA 5Queijo Cottage</v>
      </c>
      <c r="BB583" s="7">
        <f>SUMIF(NF!$A:$A,$BA583,NF!$I:$I)</f>
        <v>0</v>
      </c>
      <c r="BC583" s="6"/>
      <c r="BD583" s="6"/>
      <c r="BE583" s="6"/>
      <c r="BF583" s="6"/>
      <c r="BG583" s="6"/>
      <c r="BH583" s="6"/>
      <c r="BI583" s="74"/>
      <c r="BJ583" s="74"/>
      <c r="BK583" s="7">
        <f t="shared" si="371"/>
        <v>0</v>
      </c>
      <c r="BL583" s="8">
        <f t="shared" si="372"/>
        <v>0</v>
      </c>
      <c r="BM583" s="51" t="str">
        <f>IFERROR(VLOOKUP(A583,NF!$M:$O,3,0),"")</f>
        <v>Laticínios</v>
      </c>
      <c r="BN583" s="7">
        <f t="shared" si="373"/>
        <v>0</v>
      </c>
      <c r="BO583" s="8">
        <f t="array" ref="BO583">IFERROR(LARGE(IF(NF!$G$2:$G$3137='Mês atual'!A583,NF!$J$2:$J$3137),1),0)*BN583</f>
        <v>0</v>
      </c>
      <c r="BP583" s="50"/>
      <c r="BR583" s="146">
        <f t="array" ref="BR583">IFERROR(LARGE(IF(NF!$G$2:$G$3137='Mês atual'!A583,NF!$J$2:$J$3137),1),0)</f>
        <v>0</v>
      </c>
      <c r="BS583" s="142" t="str">
        <f>VLOOKUP(A583,NF!M:O,3,0)</f>
        <v>Laticínios</v>
      </c>
      <c r="BV583" s="74">
        <f t="shared" si="358"/>
        <v>0</v>
      </c>
      <c r="BW583" s="74">
        <f t="shared" si="359"/>
        <v>0</v>
      </c>
      <c r="BX583" s="74">
        <f t="shared" si="360"/>
        <v>0</v>
      </c>
      <c r="BY583" s="74">
        <f t="shared" si="361"/>
        <v>0</v>
      </c>
      <c r="BZ583" s="74">
        <f t="shared" si="362"/>
        <v>0</v>
      </c>
    </row>
    <row r="584" spans="1:78" x14ac:dyDescent="0.2">
      <c r="A584" s="108" t="s">
        <v>677</v>
      </c>
      <c r="B584" s="12"/>
      <c r="C584" s="9">
        <v>0</v>
      </c>
      <c r="D584" s="25"/>
      <c r="E584" s="10" t="str">
        <f t="shared" si="347"/>
        <v>MarçoSEMANA 1Queijo de Cabra</v>
      </c>
      <c r="F584" s="7">
        <f>SUMIF(NF!$A:$A,$E584,NF!$I:$I)</f>
        <v>0</v>
      </c>
      <c r="G584" s="74"/>
      <c r="H584" s="74"/>
      <c r="I584" s="74"/>
      <c r="J584" s="6"/>
      <c r="K584" s="6"/>
      <c r="L584" s="6"/>
      <c r="M584" s="6"/>
      <c r="N584" s="7">
        <f t="shared" si="363"/>
        <v>0</v>
      </c>
      <c r="O584" s="11">
        <f t="shared" si="364"/>
        <v>0</v>
      </c>
      <c r="P584" s="25"/>
      <c r="Q584" s="10" t="str">
        <f t="shared" si="349"/>
        <v>MarçoSEMANA 2Queijo de Cabra</v>
      </c>
      <c r="R584" s="7">
        <f>SUMIF(NF!$A:$A,$Q584,NF!$I:$I)</f>
        <v>0</v>
      </c>
      <c r="S584" s="6"/>
      <c r="T584" s="6"/>
      <c r="U584" s="6"/>
      <c r="V584" s="6"/>
      <c r="W584" s="6"/>
      <c r="X584" s="6"/>
      <c r="Y584" s="6"/>
      <c r="Z584" s="7">
        <f t="shared" ref="Z584" si="374">SUM(S584:Y584)</f>
        <v>0</v>
      </c>
      <c r="AA584" s="11">
        <f t="shared" si="366"/>
        <v>0</v>
      </c>
      <c r="AB584" s="25"/>
      <c r="AC584" s="10" t="str">
        <f t="shared" si="351"/>
        <v>MarçoSEMANA 3Queijo de Cabra</v>
      </c>
      <c r="AD584" s="7">
        <f>SUMIF(NF!$A:$A,$AC584,NF!$I:$I)</f>
        <v>0</v>
      </c>
      <c r="AE584" s="6"/>
      <c r="AF584" s="6"/>
      <c r="AG584" s="6"/>
      <c r="AH584" s="6"/>
      <c r="AI584" s="6"/>
      <c r="AJ584" s="6"/>
      <c r="AK584" s="6"/>
      <c r="AL584" s="7">
        <f t="shared" si="367"/>
        <v>0</v>
      </c>
      <c r="AM584" s="11">
        <f t="shared" si="368"/>
        <v>0</v>
      </c>
      <c r="AN584" s="25"/>
      <c r="AO584" s="10" t="str">
        <f t="shared" si="353"/>
        <v>MarçoSEMANA 4Queijo de Cabra</v>
      </c>
      <c r="AP584" s="7">
        <f>SUMIF(NF!$A:$A,$AO584,NF!$I:$I)</f>
        <v>0</v>
      </c>
      <c r="AQ584" s="6"/>
      <c r="AR584" s="6"/>
      <c r="AS584" s="6"/>
      <c r="AT584" s="6"/>
      <c r="AU584" s="6"/>
      <c r="AV584" s="6"/>
      <c r="AW584" s="6"/>
      <c r="AX584" s="7">
        <f t="shared" si="369"/>
        <v>0</v>
      </c>
      <c r="AY584" s="11">
        <f t="shared" si="370"/>
        <v>0</v>
      </c>
      <c r="AZ584" s="25"/>
      <c r="BA584" s="10" t="str">
        <f t="shared" si="355"/>
        <v>MarçoSEMANA 5Queijo de Cabra</v>
      </c>
      <c r="BB584" s="7">
        <f>SUMIF(NF!$A:$A,$BA584,NF!$I:$I)</f>
        <v>0</v>
      </c>
      <c r="BC584" s="6"/>
      <c r="BD584" s="6"/>
      <c r="BE584" s="6"/>
      <c r="BF584" s="6"/>
      <c r="BG584" s="6"/>
      <c r="BH584" s="6"/>
      <c r="BI584" s="74"/>
      <c r="BJ584" s="74"/>
      <c r="BK584" s="7">
        <f t="shared" si="371"/>
        <v>0</v>
      </c>
      <c r="BL584" s="8">
        <f t="shared" si="372"/>
        <v>0</v>
      </c>
      <c r="BM584" s="51" t="str">
        <f>IFERROR(VLOOKUP(A584,NF!$M:$O,3,0),"")</f>
        <v>Laticínios</v>
      </c>
      <c r="BN584" s="7">
        <f t="shared" si="373"/>
        <v>0</v>
      </c>
      <c r="BO584" s="8">
        <f t="array" ref="BO584">IFERROR(LARGE(IF(NF!$G$2:$G$3137='Mês atual'!A584,NF!$J$2:$J$3137),1),0)*BN584</f>
        <v>0</v>
      </c>
      <c r="BP584" s="50"/>
      <c r="BR584" s="146">
        <f t="array" ref="BR584">IFERROR(LARGE(IF(NF!$G$2:$G$3137='Mês atual'!A584,NF!$J$2:$J$3137),1),0)</f>
        <v>0</v>
      </c>
      <c r="BS584" s="142" t="str">
        <f>VLOOKUP(A584,NF!M:O,3,0)</f>
        <v>Laticínios</v>
      </c>
      <c r="BV584" s="74">
        <f t="shared" si="358"/>
        <v>0</v>
      </c>
      <c r="BW584" s="74">
        <f t="shared" si="359"/>
        <v>0</v>
      </c>
      <c r="BX584" s="74">
        <f t="shared" si="360"/>
        <v>0</v>
      </c>
      <c r="BY584" s="74">
        <f t="shared" si="361"/>
        <v>0</v>
      </c>
      <c r="BZ584" s="74">
        <f t="shared" si="362"/>
        <v>0</v>
      </c>
    </row>
    <row r="585" spans="1:78" x14ac:dyDescent="0.2">
      <c r="A585" s="108" t="s">
        <v>678</v>
      </c>
      <c r="B585" s="12"/>
      <c r="C585" s="9">
        <v>2.75</v>
      </c>
      <c r="D585" s="25"/>
      <c r="E585" s="10" t="str">
        <f t="shared" si="347"/>
        <v>MarçoSEMANA 1Queijo Gorgonzola</v>
      </c>
      <c r="F585" s="7">
        <f>SUMIF(NF!$A:$A,$E585,NF!$I:$I)</f>
        <v>0</v>
      </c>
      <c r="G585" s="74"/>
      <c r="H585" s="74"/>
      <c r="I585" s="74"/>
      <c r="J585" s="6"/>
      <c r="K585" s="6"/>
      <c r="L585" s="6"/>
      <c r="M585" s="6"/>
      <c r="N585" s="7">
        <f>SUM(G585:M585)</f>
        <v>0</v>
      </c>
      <c r="O585" s="11">
        <f t="shared" si="364"/>
        <v>2.75</v>
      </c>
      <c r="P585" s="25"/>
      <c r="Q585" s="10" t="str">
        <f t="shared" si="349"/>
        <v>MarçoSEMANA 2Queijo Gorgonzola</v>
      </c>
      <c r="R585" s="7">
        <f>SUMIF(NF!$A:$A,$Q585,NF!$I:$I)</f>
        <v>0</v>
      </c>
      <c r="S585" s="6"/>
      <c r="T585" s="6"/>
      <c r="U585" s="6"/>
      <c r="V585" s="6">
        <v>2.7480000000000002</v>
      </c>
      <c r="W585" s="6"/>
      <c r="X585" s="6"/>
      <c r="Y585" s="6"/>
      <c r="Z585" s="7">
        <f>SUM(S585:Y585)</f>
        <v>2.7480000000000002</v>
      </c>
      <c r="AA585" s="11">
        <f t="shared" si="366"/>
        <v>1.9999999999997797E-3</v>
      </c>
      <c r="AB585" s="25"/>
      <c r="AC585" s="10" t="str">
        <f t="shared" si="351"/>
        <v>MarçoSEMANA 3Queijo Gorgonzola</v>
      </c>
      <c r="AD585" s="7">
        <f>SUMIF(NF!$A:$A,$AC585,NF!$I:$I)</f>
        <v>0</v>
      </c>
      <c r="AE585" s="6"/>
      <c r="AF585" s="6"/>
      <c r="AG585" s="6"/>
      <c r="AH585" s="6"/>
      <c r="AI585" s="6"/>
      <c r="AJ585" s="6"/>
      <c r="AK585" s="6"/>
      <c r="AL585" s="7">
        <f>SUM(AE585:AK585)</f>
        <v>0</v>
      </c>
      <c r="AM585" s="11">
        <f t="shared" si="368"/>
        <v>1.9999999999997797E-3</v>
      </c>
      <c r="AN585" s="25"/>
      <c r="AO585" s="10" t="str">
        <f t="shared" si="353"/>
        <v>MarçoSEMANA 4Queijo Gorgonzola</v>
      </c>
      <c r="AP585" s="7">
        <f>SUMIF(NF!$A:$A,$AO585,NF!$I:$I)</f>
        <v>3.17</v>
      </c>
      <c r="AQ585" s="6"/>
      <c r="AR585" s="6"/>
      <c r="AS585" s="6"/>
      <c r="AT585" s="6"/>
      <c r="AU585" s="6"/>
      <c r="AV585" s="6"/>
      <c r="AW585" s="6"/>
      <c r="AX585" s="7">
        <f>SUM(AQ585:AW585)</f>
        <v>0</v>
      </c>
      <c r="AY585" s="11">
        <f t="shared" si="370"/>
        <v>3.1719999999999997</v>
      </c>
      <c r="AZ585" s="25"/>
      <c r="BA585" s="10" t="str">
        <f t="shared" si="355"/>
        <v>MarçoSEMANA 5Queijo Gorgonzola</v>
      </c>
      <c r="BB585" s="7">
        <f>SUMIF(NF!$A:$A,$BA585,NF!$I:$I)</f>
        <v>0</v>
      </c>
      <c r="BC585" s="6"/>
      <c r="BD585" s="6">
        <v>3.17</v>
      </c>
      <c r="BE585" s="6"/>
      <c r="BF585" s="6"/>
      <c r="BG585" s="6"/>
      <c r="BH585" s="6"/>
      <c r="BI585" s="74"/>
      <c r="BJ585" s="74"/>
      <c r="BK585" s="7">
        <f>SUM(BC585:BJ585)</f>
        <v>3.17</v>
      </c>
      <c r="BL585" s="8">
        <f t="shared" si="372"/>
        <v>1.9999999999997797E-3</v>
      </c>
      <c r="BM585" s="51" t="str">
        <f>IFERROR(VLOOKUP(A585,NF!$M:$O,3,0),"")</f>
        <v>Laticínios</v>
      </c>
      <c r="BN585" s="7">
        <f t="shared" si="373"/>
        <v>5.9180000000000001</v>
      </c>
      <c r="BO585" s="8">
        <f t="array" ref="BO585">IFERROR(LARGE(IF(NF!$G$2:$G$3137='Mês atual'!A585,NF!$J$2:$J$3137),1),0)*BN585</f>
        <v>301.81799999999998</v>
      </c>
      <c r="BP585" s="50"/>
      <c r="BR585" s="146">
        <f t="array" ref="BR585">IFERROR(LARGE(IF(NF!$G$2:$G$3137='Mês atual'!A585,NF!$J$2:$J$3137),1),0)</f>
        <v>51</v>
      </c>
      <c r="BS585" s="142" t="str">
        <f>VLOOKUP(A585,NF!M:O,3,0)</f>
        <v>Laticínios</v>
      </c>
      <c r="BV585" s="74">
        <f t="shared" si="358"/>
        <v>0</v>
      </c>
      <c r="BW585" s="74">
        <f t="shared" si="359"/>
        <v>2.7480000000000002</v>
      </c>
      <c r="BX585" s="74">
        <f t="shared" si="360"/>
        <v>0</v>
      </c>
      <c r="BY585" s="74">
        <f t="shared" si="361"/>
        <v>0</v>
      </c>
      <c r="BZ585" s="74">
        <f t="shared" si="362"/>
        <v>3.17</v>
      </c>
    </row>
    <row r="586" spans="1:78" x14ac:dyDescent="0.2">
      <c r="A586" s="108" t="s">
        <v>679</v>
      </c>
      <c r="B586" s="12"/>
      <c r="C586" s="9">
        <v>0</v>
      </c>
      <c r="D586" s="25"/>
      <c r="E586" s="10" t="str">
        <f t="shared" si="347"/>
        <v>MarçoSEMANA 1Queijo Gouda</v>
      </c>
      <c r="F586" s="7">
        <f>SUMIF(NF!$A:$A,$E586,NF!$I:$I)</f>
        <v>0</v>
      </c>
      <c r="G586" s="74"/>
      <c r="H586" s="74"/>
      <c r="I586" s="74"/>
      <c r="J586" s="6"/>
      <c r="K586" s="6"/>
      <c r="L586" s="6"/>
      <c r="M586" s="6"/>
      <c r="N586" s="7">
        <f t="shared" ref="N586:N588" si="375">SUM(G586:M586)</f>
        <v>0</v>
      </c>
      <c r="O586" s="11">
        <f t="shared" si="364"/>
        <v>0</v>
      </c>
      <c r="P586" s="25"/>
      <c r="Q586" s="10" t="str">
        <f t="shared" si="349"/>
        <v>MarçoSEMANA 2Queijo Gouda</v>
      </c>
      <c r="R586" s="7">
        <f>SUMIF(NF!$A:$A,$Q586,NF!$I:$I)</f>
        <v>0</v>
      </c>
      <c r="S586" s="6"/>
      <c r="T586" s="6"/>
      <c r="U586" s="6"/>
      <c r="V586" s="6"/>
      <c r="W586" s="6"/>
      <c r="X586" s="6"/>
      <c r="Y586" s="6"/>
      <c r="Z586" s="7">
        <f t="shared" ref="Z586:Z588" si="376">SUM(S586:Y586)</f>
        <v>0</v>
      </c>
      <c r="AA586" s="11">
        <f t="shared" si="366"/>
        <v>0</v>
      </c>
      <c r="AB586" s="25"/>
      <c r="AC586" s="10" t="str">
        <f t="shared" si="351"/>
        <v>MarçoSEMANA 3Queijo Gouda</v>
      </c>
      <c r="AD586" s="7">
        <f>SUMIF(NF!$A:$A,$AC586,NF!$I:$I)</f>
        <v>0</v>
      </c>
      <c r="AE586" s="6"/>
      <c r="AF586" s="6"/>
      <c r="AG586" s="6"/>
      <c r="AH586" s="6"/>
      <c r="AI586" s="6"/>
      <c r="AJ586" s="6"/>
      <c r="AK586" s="6"/>
      <c r="AL586" s="7">
        <f t="shared" ref="AL586:AL588" si="377">SUM(AE586:AK586)</f>
        <v>0</v>
      </c>
      <c r="AM586" s="11">
        <f t="shared" si="368"/>
        <v>0</v>
      </c>
      <c r="AN586" s="25"/>
      <c r="AO586" s="10" t="str">
        <f t="shared" si="353"/>
        <v>MarçoSEMANA 4Queijo Gouda</v>
      </c>
      <c r="AP586" s="7">
        <f>SUMIF(NF!$A:$A,$AO586,NF!$I:$I)</f>
        <v>0</v>
      </c>
      <c r="AQ586" s="6"/>
      <c r="AR586" s="6"/>
      <c r="AS586" s="6"/>
      <c r="AT586" s="6"/>
      <c r="AU586" s="6"/>
      <c r="AV586" s="6"/>
      <c r="AW586" s="6"/>
      <c r="AX586" s="7">
        <f t="shared" ref="AX586:AX588" si="378">SUM(AQ586:AW586)</f>
        <v>0</v>
      </c>
      <c r="AY586" s="11">
        <f t="shared" si="370"/>
        <v>0</v>
      </c>
      <c r="AZ586" s="25"/>
      <c r="BA586" s="10" t="str">
        <f t="shared" si="355"/>
        <v>MarçoSEMANA 5Queijo Gouda</v>
      </c>
      <c r="BB586" s="7">
        <f>SUMIF(NF!$A:$A,$BA586,NF!$I:$I)</f>
        <v>0</v>
      </c>
      <c r="BC586" s="6"/>
      <c r="BD586" s="6"/>
      <c r="BE586" s="6"/>
      <c r="BF586" s="6"/>
      <c r="BG586" s="6"/>
      <c r="BH586" s="6"/>
      <c r="BI586" s="74"/>
      <c r="BJ586" s="74"/>
      <c r="BK586" s="7">
        <f t="shared" ref="BK586:BK588" si="379">SUM(BC586:BJ586)</f>
        <v>0</v>
      </c>
      <c r="BL586" s="8">
        <f t="shared" si="372"/>
        <v>0</v>
      </c>
      <c r="BM586" s="51" t="str">
        <f>IFERROR(VLOOKUP(A586,NF!$M:$O,3,0),"")</f>
        <v>Laticínios</v>
      </c>
      <c r="BN586" s="7">
        <f t="shared" si="373"/>
        <v>0</v>
      </c>
      <c r="BO586" s="8">
        <f t="array" ref="BO586">IFERROR(LARGE(IF(NF!$G$2:$G$3137='Mês atual'!A586,NF!$J$2:$J$3137),1),0)*BN586</f>
        <v>0</v>
      </c>
      <c r="BP586" s="50"/>
      <c r="BR586" s="146">
        <f t="array" ref="BR586">IFERROR(LARGE(IF(NF!$G$2:$G$3137='Mês atual'!A586,NF!$J$2:$J$3137),1),0)</f>
        <v>0</v>
      </c>
      <c r="BS586" s="142" t="str">
        <f>VLOOKUP(A586,NF!M:O,3,0)</f>
        <v>Laticínios</v>
      </c>
      <c r="BV586" s="74">
        <f t="shared" si="358"/>
        <v>0</v>
      </c>
      <c r="BW586" s="74">
        <f t="shared" si="359"/>
        <v>0</v>
      </c>
      <c r="BX586" s="74">
        <f t="shared" si="360"/>
        <v>0</v>
      </c>
      <c r="BY586" s="74">
        <f t="shared" si="361"/>
        <v>0</v>
      </c>
      <c r="BZ586" s="74">
        <f t="shared" si="362"/>
        <v>0</v>
      </c>
    </row>
    <row r="587" spans="1:78" x14ac:dyDescent="0.2">
      <c r="A587" s="108" t="s">
        <v>680</v>
      </c>
      <c r="B587" s="12"/>
      <c r="C587" s="9">
        <v>1</v>
      </c>
      <c r="D587" s="25"/>
      <c r="E587" s="10" t="str">
        <f t="shared" si="347"/>
        <v>MarçoSEMANA 1Queijo Mascarpone Ecila Bd 3,6 Kg</v>
      </c>
      <c r="F587" s="7">
        <f>SUMIF(NF!$A:$A,$E587,NF!$I:$I)</f>
        <v>0</v>
      </c>
      <c r="G587" s="74"/>
      <c r="H587" s="74"/>
      <c r="I587" s="74"/>
      <c r="J587" s="6"/>
      <c r="K587" s="6"/>
      <c r="L587" s="6"/>
      <c r="M587" s="6"/>
      <c r="N587" s="7">
        <f t="shared" si="375"/>
        <v>0</v>
      </c>
      <c r="O587" s="11">
        <f t="shared" si="364"/>
        <v>1</v>
      </c>
      <c r="P587" s="25"/>
      <c r="Q587" s="10" t="str">
        <f t="shared" si="349"/>
        <v>MarçoSEMANA 2Queijo Mascarpone Ecila Bd 3,6 Kg</v>
      </c>
      <c r="R587" s="7">
        <f>SUMIF(NF!$A:$A,$Q587,NF!$I:$I)</f>
        <v>0</v>
      </c>
      <c r="S587" s="6">
        <v>1</v>
      </c>
      <c r="T587" s="6"/>
      <c r="U587" s="6"/>
      <c r="V587" s="6"/>
      <c r="W587" s="6"/>
      <c r="X587" s="6"/>
      <c r="Y587" s="6"/>
      <c r="Z587" s="7">
        <f t="shared" si="376"/>
        <v>1</v>
      </c>
      <c r="AA587" s="11">
        <f t="shared" si="366"/>
        <v>0</v>
      </c>
      <c r="AB587" s="25"/>
      <c r="AC587" s="10" t="str">
        <f t="shared" si="351"/>
        <v>MarçoSEMANA 3Queijo Mascarpone Ecila Bd 3,6 Kg</v>
      </c>
      <c r="AD587" s="7">
        <f>SUMIF(NF!$A:$A,$AC587,NF!$I:$I)</f>
        <v>0</v>
      </c>
      <c r="AE587" s="6"/>
      <c r="AF587" s="6"/>
      <c r="AG587" s="6"/>
      <c r="AH587" s="6"/>
      <c r="AI587" s="6"/>
      <c r="AJ587" s="6"/>
      <c r="AK587" s="6"/>
      <c r="AL587" s="7">
        <f t="shared" si="377"/>
        <v>0</v>
      </c>
      <c r="AM587" s="11">
        <f t="shared" si="368"/>
        <v>0</v>
      </c>
      <c r="AN587" s="25"/>
      <c r="AO587" s="10" t="str">
        <f t="shared" si="353"/>
        <v>MarçoSEMANA 4Queijo Mascarpone Ecila Bd 3,6 Kg</v>
      </c>
      <c r="AP587" s="7">
        <f>SUMIF(NF!$A:$A,$AO587,NF!$I:$I)</f>
        <v>0</v>
      </c>
      <c r="AQ587" s="6"/>
      <c r="AR587" s="6"/>
      <c r="AS587" s="6"/>
      <c r="AT587" s="6"/>
      <c r="AU587" s="6"/>
      <c r="AV587" s="6"/>
      <c r="AW587" s="6"/>
      <c r="AX587" s="7">
        <f t="shared" si="378"/>
        <v>0</v>
      </c>
      <c r="AY587" s="11">
        <f t="shared" si="370"/>
        <v>0</v>
      </c>
      <c r="AZ587" s="25"/>
      <c r="BA587" s="10" t="str">
        <f t="shared" si="355"/>
        <v>MarçoSEMANA 5Queijo Mascarpone Ecila Bd 3,6 Kg</v>
      </c>
      <c r="BB587" s="7">
        <f>SUMIF(NF!$A:$A,$BA587,NF!$I:$I)</f>
        <v>0</v>
      </c>
      <c r="BC587" s="6"/>
      <c r="BD587" s="6"/>
      <c r="BE587" s="6"/>
      <c r="BF587" s="6"/>
      <c r="BG587" s="6"/>
      <c r="BH587" s="6"/>
      <c r="BI587" s="74"/>
      <c r="BJ587" s="74"/>
      <c r="BK587" s="7">
        <f t="shared" si="379"/>
        <v>0</v>
      </c>
      <c r="BL587" s="8">
        <f t="shared" si="372"/>
        <v>0</v>
      </c>
      <c r="BM587" s="51" t="str">
        <f>IFERROR(VLOOKUP(A587,NF!$M:$O,3,0),"")</f>
        <v>Laticínios</v>
      </c>
      <c r="BN587" s="7">
        <f t="shared" si="373"/>
        <v>1</v>
      </c>
      <c r="BO587" s="8">
        <f t="array" ref="BO587">IFERROR(LARGE(IF(NF!$G$2:$G$3137='Mês atual'!A587,NF!$J$2:$J$3137),1),0)*BN587</f>
        <v>0</v>
      </c>
      <c r="BP587" s="50"/>
      <c r="BR587" s="146">
        <f t="array" ref="BR587">IFERROR(LARGE(IF(NF!$G$2:$G$3137='Mês atual'!A587,NF!$J$2:$J$3137),1),0)</f>
        <v>0</v>
      </c>
      <c r="BS587" s="142" t="str">
        <f>VLOOKUP(A587,NF!M:O,3,0)</f>
        <v>Laticínios</v>
      </c>
      <c r="BV587" s="74">
        <f t="shared" si="358"/>
        <v>0</v>
      </c>
      <c r="BW587" s="74">
        <f t="shared" si="359"/>
        <v>1</v>
      </c>
      <c r="BX587" s="74">
        <f t="shared" si="360"/>
        <v>0</v>
      </c>
      <c r="BY587" s="74">
        <f t="shared" si="361"/>
        <v>0</v>
      </c>
      <c r="BZ587" s="74">
        <f t="shared" si="362"/>
        <v>0</v>
      </c>
    </row>
    <row r="588" spans="1:78" x14ac:dyDescent="0.2">
      <c r="A588" s="108" t="s">
        <v>681</v>
      </c>
      <c r="B588" s="12"/>
      <c r="C588" s="9">
        <v>4.4000000000000004</v>
      </c>
      <c r="D588" s="25"/>
      <c r="E588" s="10" t="str">
        <f t="shared" si="347"/>
        <v>MarçoSEMANA 1Queijo Minas</v>
      </c>
      <c r="F588" s="7">
        <f>SUMIF(NF!$A:$A,$E588,NF!$I:$I)</f>
        <v>1.6</v>
      </c>
      <c r="G588" s="74"/>
      <c r="H588" s="74"/>
      <c r="I588" s="74"/>
      <c r="J588" s="6">
        <v>2.8620000000000001</v>
      </c>
      <c r="K588" s="6"/>
      <c r="L588" s="6"/>
      <c r="M588" s="6">
        <v>3.1349999999999998</v>
      </c>
      <c r="N588" s="7">
        <f t="shared" si="375"/>
        <v>5.9969999999999999</v>
      </c>
      <c r="O588" s="11">
        <f t="shared" si="364"/>
        <v>3.0000000000001137E-3</v>
      </c>
      <c r="P588" s="25"/>
      <c r="Q588" s="10" t="str">
        <f t="shared" si="349"/>
        <v>MarçoSEMANA 2Queijo Minas</v>
      </c>
      <c r="R588" s="7">
        <f>SUMIF(NF!$A:$A,$Q588,NF!$I:$I)</f>
        <v>4.4000000000000004</v>
      </c>
      <c r="S588" s="6"/>
      <c r="T588" s="6">
        <v>1.46</v>
      </c>
      <c r="U588" s="6"/>
      <c r="V588" s="6"/>
      <c r="W588" s="6">
        <v>1.94</v>
      </c>
      <c r="X588" s="6">
        <v>1</v>
      </c>
      <c r="Y588" s="6"/>
      <c r="Z588" s="7">
        <f t="shared" si="376"/>
        <v>4.4000000000000004</v>
      </c>
      <c r="AA588" s="11">
        <f t="shared" si="366"/>
        <v>3.0000000000001137E-3</v>
      </c>
      <c r="AB588" s="25"/>
      <c r="AC588" s="10" t="str">
        <f t="shared" si="351"/>
        <v>MarçoSEMANA 3Queijo Minas</v>
      </c>
      <c r="AD588" s="7">
        <f>SUMIF(NF!$A:$A,$AC588,NF!$I:$I)</f>
        <v>1.6</v>
      </c>
      <c r="AE588" s="6"/>
      <c r="AF588" s="6"/>
      <c r="AG588" s="6"/>
      <c r="AH588" s="6"/>
      <c r="AI588" s="6"/>
      <c r="AJ588" s="6">
        <v>1.6</v>
      </c>
      <c r="AK588" s="6"/>
      <c r="AL588" s="7">
        <f t="shared" si="377"/>
        <v>1.6</v>
      </c>
      <c r="AM588" s="11">
        <f t="shared" si="368"/>
        <v>3.0000000000001137E-3</v>
      </c>
      <c r="AN588" s="25"/>
      <c r="AO588" s="10" t="str">
        <f t="shared" si="353"/>
        <v>MarçoSEMANA 4Queijo Minas</v>
      </c>
      <c r="AP588" s="7">
        <f>SUMIF(NF!$A:$A,$AO588,NF!$I:$I)</f>
        <v>4.4000000000000004</v>
      </c>
      <c r="AQ588" s="6"/>
      <c r="AR588" s="6"/>
      <c r="AS588" s="6">
        <v>1.405</v>
      </c>
      <c r="AT588" s="6">
        <f>1.495</f>
        <v>1.4950000000000001</v>
      </c>
      <c r="AU588" s="6"/>
      <c r="AV588" s="6">
        <v>1.5</v>
      </c>
      <c r="AW588" s="6"/>
      <c r="AX588" s="7">
        <f t="shared" si="378"/>
        <v>4.4000000000000004</v>
      </c>
      <c r="AY588" s="11">
        <f t="shared" si="370"/>
        <v>3.0000000000001137E-3</v>
      </c>
      <c r="AZ588" s="25"/>
      <c r="BA588" s="10" t="str">
        <f t="shared" si="355"/>
        <v>MarçoSEMANA 5Queijo Minas</v>
      </c>
      <c r="BB588" s="7">
        <f>SUMIF(NF!$A:$A,$BA588,NF!$I:$I)</f>
        <v>5.3</v>
      </c>
      <c r="BC588" s="6">
        <f>1.298-0.401</f>
        <v>0.89700000000000002</v>
      </c>
      <c r="BD588" s="6">
        <f>1.205-0.401</f>
        <v>0.80400000000000005</v>
      </c>
      <c r="BE588" s="6"/>
      <c r="BF588" s="6">
        <f>1.175-0.401</f>
        <v>0.77400000000000002</v>
      </c>
      <c r="BG588" s="6"/>
      <c r="BH588" s="6"/>
      <c r="BI588" s="74"/>
      <c r="BJ588" s="74"/>
      <c r="BK588" s="7">
        <f t="shared" si="379"/>
        <v>2.4750000000000001</v>
      </c>
      <c r="BL588" s="8">
        <f t="shared" si="372"/>
        <v>2.8279999999999998</v>
      </c>
      <c r="BM588" s="51" t="str">
        <f>IFERROR(VLOOKUP(A588,NF!$M:$O,3,0),"")</f>
        <v>Laticínios</v>
      </c>
      <c r="BN588" s="7">
        <f t="shared" si="373"/>
        <v>18.872</v>
      </c>
      <c r="BO588" s="8">
        <f t="array" ref="BO588">IFERROR(LARGE(IF(NF!$G$2:$G$3137='Mês atual'!A588,NF!$J$2:$J$3137),1),0)*BN588</f>
        <v>392.5376</v>
      </c>
      <c r="BP588" s="50"/>
      <c r="BR588" s="146">
        <f t="array" ref="BR588">IFERROR(LARGE(IF(NF!$G$2:$G$3137='Mês atual'!A588,NF!$J$2:$J$3137),1),0)</f>
        <v>20.8</v>
      </c>
      <c r="BS588" s="142" t="str">
        <f>VLOOKUP(A588,NF!M:O,3,0)</f>
        <v>Laticínios</v>
      </c>
      <c r="BV588" s="74">
        <f t="shared" si="358"/>
        <v>5.9969999999999999</v>
      </c>
      <c r="BW588" s="74">
        <f t="shared" si="359"/>
        <v>4.4000000000000004</v>
      </c>
      <c r="BX588" s="74">
        <f t="shared" si="360"/>
        <v>1.6</v>
      </c>
      <c r="BY588" s="74">
        <f t="shared" si="361"/>
        <v>4.4000000000000004</v>
      </c>
      <c r="BZ588" s="74">
        <f t="shared" si="362"/>
        <v>2.4750000000000001</v>
      </c>
    </row>
    <row r="589" spans="1:78" x14ac:dyDescent="0.25">
      <c r="A589" s="108" t="s">
        <v>682</v>
      </c>
      <c r="B589" s="12"/>
      <c r="C589" s="9">
        <v>0</v>
      </c>
      <c r="D589" s="25"/>
      <c r="E589" s="10" t="str">
        <f t="shared" si="347"/>
        <v>MarçoSEMANA 1Queijo Minas Padrão</v>
      </c>
      <c r="F589" s="7">
        <f>SUMIF(NF!$A:$A,$E589,NF!$I:$I)</f>
        <v>8.6300000000000008</v>
      </c>
      <c r="G589" s="74"/>
      <c r="H589" s="74"/>
      <c r="I589" s="74"/>
      <c r="J589" s="6"/>
      <c r="K589" s="6">
        <v>4.3600000000000003</v>
      </c>
      <c r="L589" s="6"/>
      <c r="M589" s="6"/>
      <c r="N589" s="7">
        <f t="shared" ref="N589" si="380">SUM(G589:M589)</f>
        <v>4.3600000000000003</v>
      </c>
      <c r="O589" s="11">
        <f t="shared" si="364"/>
        <v>4.2700000000000005</v>
      </c>
      <c r="P589" s="25"/>
      <c r="Q589" s="10" t="str">
        <f t="shared" si="349"/>
        <v>MarçoSEMANA 2Queijo Minas Padrão</v>
      </c>
      <c r="R589" s="7">
        <f>SUMIF(NF!$A:$A,$Q589,NF!$I:$I)</f>
        <v>0</v>
      </c>
      <c r="S589" s="6"/>
      <c r="T589" s="6">
        <v>1.994</v>
      </c>
      <c r="U589" s="6"/>
      <c r="V589" s="6"/>
      <c r="W589" s="6">
        <f>0.464+0.44</f>
        <v>0.90400000000000003</v>
      </c>
      <c r="X589" s="6"/>
      <c r="Y589" s="6"/>
      <c r="Z589" s="7">
        <f t="shared" ref="Z589" si="381">SUM(S589:Y589)</f>
        <v>2.8980000000000001</v>
      </c>
      <c r="AA589" s="11">
        <f t="shared" si="366"/>
        <v>1.3720000000000003</v>
      </c>
      <c r="AB589" s="25"/>
      <c r="AC589" s="10" t="str">
        <f t="shared" si="351"/>
        <v>MarçoSEMANA 3Queijo Minas Padrão</v>
      </c>
      <c r="AD589" s="7">
        <f>SUMIF(NF!$A:$A,$AC589,NF!$I:$I)</f>
        <v>8.6999999999999993</v>
      </c>
      <c r="AE589" s="6"/>
      <c r="AF589" s="6"/>
      <c r="AG589" s="6"/>
      <c r="AH589" s="6"/>
      <c r="AI589" s="6">
        <f>2.88+0.44</f>
        <v>3.32</v>
      </c>
      <c r="AJ589" s="6"/>
      <c r="AK589" s="6"/>
      <c r="AL589" s="7">
        <f t="shared" ref="AL589" si="382">SUM(AE589:AK589)</f>
        <v>3.32</v>
      </c>
      <c r="AM589" s="11">
        <f t="shared" si="368"/>
        <v>6.7519999999999989</v>
      </c>
      <c r="AN589" s="25"/>
      <c r="AO589" s="10" t="str">
        <f t="shared" si="353"/>
        <v>MarçoSEMANA 4Queijo Minas Padrão</v>
      </c>
      <c r="AP589" s="7">
        <f>SUMIF(NF!$A:$A,$AO589,NF!$I:$I)</f>
        <v>0</v>
      </c>
      <c r="AQ589" s="6"/>
      <c r="AR589" s="6"/>
      <c r="AS589" s="6"/>
      <c r="AT589" s="6"/>
      <c r="AU589" s="6">
        <f>3.406+0.44</f>
        <v>3.8460000000000001</v>
      </c>
      <c r="AV589" s="6"/>
      <c r="AW589" s="6"/>
      <c r="AX589" s="7">
        <f t="shared" ref="AX589" si="383">SUM(AQ589:AW589)</f>
        <v>3.8460000000000001</v>
      </c>
      <c r="AY589" s="11">
        <f t="shared" si="370"/>
        <v>2.9059999999999988</v>
      </c>
      <c r="AZ589" s="25"/>
      <c r="BA589" s="10" t="str">
        <f t="shared" si="355"/>
        <v>MarçoSEMANA 5Queijo Minas Padrão</v>
      </c>
      <c r="BB589" s="7">
        <f>SUMIF(NF!$A:$A,$BA589,NF!$I:$I)</f>
        <v>8.5399999999999991</v>
      </c>
      <c r="BC589" s="6"/>
      <c r="BD589" s="6">
        <f>0.482+0.44</f>
        <v>0.92199999999999993</v>
      </c>
      <c r="BE589" s="6"/>
      <c r="BF589" s="6"/>
      <c r="BG589" s="6">
        <f>2.398+0.44</f>
        <v>2.8380000000000001</v>
      </c>
      <c r="BH589" s="6"/>
      <c r="BI589" s="74"/>
      <c r="BJ589" s="74"/>
      <c r="BK589" s="7">
        <f t="shared" ref="BK589" si="384">SUM(BC589:BJ589)</f>
        <v>3.76</v>
      </c>
      <c r="BL589" s="8">
        <f t="shared" si="372"/>
        <v>7.6859999999999982</v>
      </c>
      <c r="BM589" s="51" t="str">
        <f>IFERROR(VLOOKUP(A589,NF!$M:$O,3,0),"")</f>
        <v>Laticínios</v>
      </c>
      <c r="BN589" s="7">
        <f t="shared" si="373"/>
        <v>18.184000000000001</v>
      </c>
      <c r="BO589" s="8">
        <f t="array" ref="BO589">IFERROR(LARGE(IF(NF!$G$2:$G$3137='Mês atual'!A589,NF!$J$2:$J$3137),1),0)*BN589</f>
        <v>568.79552000000001</v>
      </c>
      <c r="BP589" s="50"/>
      <c r="BR589" s="146">
        <f t="array" ref="BR589">IFERROR(LARGE(IF(NF!$G$2:$G$3137='Mês atual'!A589,NF!$J$2:$J$3137),1),0)</f>
        <v>31.28</v>
      </c>
      <c r="BS589" s="142" t="str">
        <f>VLOOKUP(A589,NF!M:O,3,0)</f>
        <v>Laticínios</v>
      </c>
      <c r="BV589" s="74">
        <f t="shared" si="358"/>
        <v>4.3600000000000003</v>
      </c>
      <c r="BW589" s="74">
        <f t="shared" si="359"/>
        <v>2.8980000000000001</v>
      </c>
      <c r="BX589" s="74">
        <f t="shared" si="360"/>
        <v>3.32</v>
      </c>
      <c r="BY589" s="74">
        <f t="shared" si="361"/>
        <v>3.8460000000000001</v>
      </c>
      <c r="BZ589" s="74">
        <f t="shared" si="362"/>
        <v>3.76</v>
      </c>
    </row>
    <row r="590" spans="1:78" x14ac:dyDescent="0.2">
      <c r="A590" s="108" t="s">
        <v>683</v>
      </c>
      <c r="B590" s="12"/>
      <c r="C590" s="9">
        <f>4*0.88</f>
        <v>3.52</v>
      </c>
      <c r="D590" s="25"/>
      <c r="E590" s="10" t="str">
        <f t="shared" si="347"/>
        <v>MarçoSEMANA 1Queijo Mozzarela Italiana pcte 880 gr</v>
      </c>
      <c r="F590" s="7">
        <f>SUMIF(NF!$A:$A,$E590,NF!$I:$I)</f>
        <v>0</v>
      </c>
      <c r="G590" s="74"/>
      <c r="H590" s="74"/>
      <c r="I590" s="74"/>
      <c r="J590" s="6"/>
      <c r="K590" s="6"/>
      <c r="L590" s="6"/>
      <c r="M590" s="6"/>
      <c r="N590" s="7">
        <f t="shared" ref="N590:N596" si="385">SUM(G590:M590)</f>
        <v>0</v>
      </c>
      <c r="O590" s="11">
        <f t="shared" si="364"/>
        <v>3.52</v>
      </c>
      <c r="P590" s="25"/>
      <c r="Q590" s="10" t="str">
        <f t="shared" si="349"/>
        <v>MarçoSEMANA 2Queijo Mozzarela Italiana pcte 880 gr</v>
      </c>
      <c r="R590" s="7">
        <f>SUMIF(NF!$A:$A,$Q590,NF!$I:$I)</f>
        <v>0</v>
      </c>
      <c r="S590" s="6"/>
      <c r="T590" s="6"/>
      <c r="U590" s="6"/>
      <c r="V590" s="6"/>
      <c r="W590" s="6"/>
      <c r="X590" s="6"/>
      <c r="Y590" s="6"/>
      <c r="Z590" s="7">
        <f t="shared" ref="Z590:Z596" si="386">SUM(S590:Y590)</f>
        <v>0</v>
      </c>
      <c r="AA590" s="11">
        <f t="shared" si="366"/>
        <v>3.52</v>
      </c>
      <c r="AB590" s="25"/>
      <c r="AC590" s="10" t="str">
        <f t="shared" si="351"/>
        <v>MarçoSEMANA 3Queijo Mozzarela Italiana pcte 880 gr</v>
      </c>
      <c r="AD590" s="7">
        <f>SUMIF(NF!$A:$A,$AC590,NF!$I:$I)</f>
        <v>6.16</v>
      </c>
      <c r="AE590" s="6">
        <f>3*0.88</f>
        <v>2.64</v>
      </c>
      <c r="AF590" s="6"/>
      <c r="AG590" s="6"/>
      <c r="AH590" s="6"/>
      <c r="AI590" s="6">
        <f>4*0.88</f>
        <v>3.52</v>
      </c>
      <c r="AJ590" s="6"/>
      <c r="AK590" s="6"/>
      <c r="AL590" s="7">
        <f t="shared" ref="AL590:AL596" si="387">SUM(AE590:AK590)</f>
        <v>6.16</v>
      </c>
      <c r="AM590" s="11">
        <f t="shared" si="368"/>
        <v>3.5199999999999996</v>
      </c>
      <c r="AN590" s="25"/>
      <c r="AO590" s="10" t="str">
        <f t="shared" si="353"/>
        <v>MarçoSEMANA 4Queijo Mozzarela Italiana pcte 880 gr</v>
      </c>
      <c r="AP590" s="7">
        <f>SUMIF(NF!$A:$A,$AO590,NF!$I:$I)</f>
        <v>0</v>
      </c>
      <c r="AQ590" s="6"/>
      <c r="AR590" s="6"/>
      <c r="AS590" s="6"/>
      <c r="AT590" s="6"/>
      <c r="AU590" s="6"/>
      <c r="AV590" s="6"/>
      <c r="AW590" s="6">
        <f>3*0.88</f>
        <v>2.64</v>
      </c>
      <c r="AX590" s="7">
        <f t="shared" ref="AX590:AX596" si="388">SUM(AQ590:AW590)</f>
        <v>2.64</v>
      </c>
      <c r="AY590" s="11">
        <f t="shared" si="370"/>
        <v>0.87999999999999945</v>
      </c>
      <c r="AZ590" s="25"/>
      <c r="BA590" s="10" t="str">
        <f t="shared" si="355"/>
        <v>MarçoSEMANA 5Queijo Mozzarela Italiana pcte 880 gr</v>
      </c>
      <c r="BB590" s="7">
        <f>SUMIF(NF!$A:$A,$BA590,NF!$I:$I)</f>
        <v>4.4000000000000004</v>
      </c>
      <c r="BC590" s="6"/>
      <c r="BD590" s="6"/>
      <c r="BE590" s="6"/>
      <c r="BF590" s="6"/>
      <c r="BG590" s="6"/>
      <c r="BH590" s="6">
        <f>6*0.88</f>
        <v>5.28</v>
      </c>
      <c r="BI590" s="74"/>
      <c r="BJ590" s="74"/>
      <c r="BK590" s="7">
        <f t="shared" ref="BK590:BK596" si="389">SUM(BC590:BJ590)</f>
        <v>5.28</v>
      </c>
      <c r="BL590" s="8">
        <f t="shared" si="372"/>
        <v>0</v>
      </c>
      <c r="BM590" s="51" t="str">
        <f>IFERROR(VLOOKUP(A590,NF!$M:$O,3,0),"")</f>
        <v>Laticínios</v>
      </c>
      <c r="BN590" s="7">
        <f t="shared" si="373"/>
        <v>14.080000000000002</v>
      </c>
      <c r="BO590" s="8">
        <f t="array" ref="BO590">IFERROR(LARGE(IF(NF!$G$2:$G$3137='Mês atual'!A590,NF!$J$2:$J$3137),1),0)*BN590</f>
        <v>616.96000000000015</v>
      </c>
      <c r="BP590" s="50"/>
      <c r="BR590" s="146">
        <f t="array" ref="BR590">IFERROR(LARGE(IF(NF!$G$2:$G$3137='Mês atual'!A590,NF!$J$2:$J$3137),1),0)</f>
        <v>43.81818181818182</v>
      </c>
      <c r="BS590" s="142" t="str">
        <f>VLOOKUP(A590,NF!M:O,3,0)</f>
        <v>Laticínios</v>
      </c>
      <c r="BV590" s="74">
        <f t="shared" si="358"/>
        <v>0</v>
      </c>
      <c r="BW590" s="74">
        <f t="shared" si="359"/>
        <v>0</v>
      </c>
      <c r="BX590" s="74">
        <f t="shared" si="360"/>
        <v>6.16</v>
      </c>
      <c r="BY590" s="74">
        <f t="shared" si="361"/>
        <v>2.64</v>
      </c>
      <c r="BZ590" s="74">
        <f t="shared" si="362"/>
        <v>5.28</v>
      </c>
    </row>
    <row r="591" spans="1:78" x14ac:dyDescent="0.2">
      <c r="A591" s="108" t="s">
        <v>684</v>
      </c>
      <c r="B591" s="12"/>
      <c r="C591" s="9">
        <f>3.315+3.06</f>
        <v>6.375</v>
      </c>
      <c r="D591" s="25"/>
      <c r="E591" s="10" t="str">
        <f t="shared" si="347"/>
        <v>MarçoSEMANA 1Queijo Mussarela</v>
      </c>
      <c r="F591" s="7">
        <f>SUMIF(NF!$A:$A,$E591,NF!$I:$I)</f>
        <v>3.1</v>
      </c>
      <c r="G591" s="74"/>
      <c r="H591" s="74"/>
      <c r="I591" s="74"/>
      <c r="J591" s="6">
        <v>3.3149999999999999</v>
      </c>
      <c r="K591" s="6"/>
      <c r="L591" s="6"/>
      <c r="M591" s="6"/>
      <c r="N591" s="7">
        <f t="shared" si="385"/>
        <v>3.3149999999999999</v>
      </c>
      <c r="O591" s="11">
        <f t="shared" si="364"/>
        <v>6.16</v>
      </c>
      <c r="P591" s="25"/>
      <c r="Q591" s="10" t="str">
        <f t="shared" si="349"/>
        <v>MarçoSEMANA 2Queijo Mussarela</v>
      </c>
      <c r="R591" s="7">
        <f>SUMIF(NF!$A:$A,$Q591,NF!$I:$I)</f>
        <v>9.52</v>
      </c>
      <c r="S591" s="6">
        <v>3.0539999999999998</v>
      </c>
      <c r="T591" s="6"/>
      <c r="U591" s="6"/>
      <c r="V591" s="6"/>
      <c r="W591" s="6"/>
      <c r="X591" s="6">
        <v>3.34</v>
      </c>
      <c r="Y591" s="6">
        <v>2.99</v>
      </c>
      <c r="Z591" s="7">
        <f t="shared" si="386"/>
        <v>9.3840000000000003</v>
      </c>
      <c r="AA591" s="11">
        <f t="shared" si="366"/>
        <v>6.2959999999999994</v>
      </c>
      <c r="AB591" s="25"/>
      <c r="AC591" s="10" t="str">
        <f t="shared" si="351"/>
        <v>MarçoSEMANA 3Queijo Mussarela</v>
      </c>
      <c r="AD591" s="7">
        <f>SUMIF(NF!$A:$A,$AC591,NF!$I:$I)</f>
        <v>6.46</v>
      </c>
      <c r="AE591" s="6"/>
      <c r="AF591" s="6">
        <v>3.14</v>
      </c>
      <c r="AG591" s="6"/>
      <c r="AH591" s="6">
        <v>3.2549999999999999</v>
      </c>
      <c r="AI591" s="6">
        <v>2.9750000000000001</v>
      </c>
      <c r="AJ591" s="6"/>
      <c r="AK591" s="6"/>
      <c r="AL591" s="7">
        <f t="shared" si="387"/>
        <v>9.3699999999999992</v>
      </c>
      <c r="AM591" s="11">
        <f t="shared" si="368"/>
        <v>3.386000000000001</v>
      </c>
      <c r="AN591" s="25"/>
      <c r="AO591" s="10" t="str">
        <f t="shared" si="353"/>
        <v>MarçoSEMANA 4Queijo Mussarela</v>
      </c>
      <c r="AP591" s="7">
        <f>SUMIF(NF!$A:$A,$AO591,NF!$I:$I)</f>
        <v>9.36</v>
      </c>
      <c r="AQ591" s="6"/>
      <c r="AR591" s="6">
        <v>3.242</v>
      </c>
      <c r="AS591" s="6"/>
      <c r="AT591" s="6"/>
      <c r="AU591" s="6">
        <v>2.99</v>
      </c>
      <c r="AV591" s="6"/>
      <c r="AW591" s="6">
        <v>3.09</v>
      </c>
      <c r="AX591" s="7">
        <f t="shared" si="388"/>
        <v>9.3219999999999992</v>
      </c>
      <c r="AY591" s="11">
        <f t="shared" si="370"/>
        <v>3.4240000000000013</v>
      </c>
      <c r="AZ591" s="25"/>
      <c r="BA591" s="10" t="str">
        <f t="shared" si="355"/>
        <v>MarçoSEMANA 5Queijo Mussarela</v>
      </c>
      <c r="BB591" s="7">
        <f>SUMIF(NF!$A:$A,$BA591,NF!$I:$I)</f>
        <v>8</v>
      </c>
      <c r="BC591" s="6"/>
      <c r="BD591" s="6">
        <v>3.15</v>
      </c>
      <c r="BE591" s="6"/>
      <c r="BF591" s="6"/>
      <c r="BG591" s="6"/>
      <c r="BH591" s="6">
        <v>4.1500000000000004</v>
      </c>
      <c r="BI591" s="74"/>
      <c r="BJ591" s="74"/>
      <c r="BK591" s="7">
        <f t="shared" si="389"/>
        <v>7.3000000000000007</v>
      </c>
      <c r="BL591" s="8">
        <f t="shared" si="372"/>
        <v>4.1240000000000006</v>
      </c>
      <c r="BM591" s="51" t="str">
        <f>IFERROR(VLOOKUP(A591,NF!$M:$O,3,0),"")</f>
        <v>Laticínios</v>
      </c>
      <c r="BN591" s="7">
        <f t="shared" si="373"/>
        <v>38.691000000000003</v>
      </c>
      <c r="BO591" s="8">
        <f t="array" ref="BO591">IFERROR(LARGE(IF(NF!$G$2:$G$3137='Mês atual'!A591,NF!$J$2:$J$3137),1),0)*BN591</f>
        <v>1005.9660000000001</v>
      </c>
      <c r="BP591" s="50"/>
      <c r="BR591" s="146">
        <f t="array" ref="BR591">IFERROR(LARGE(IF(NF!$G$2:$G$3137='Mês atual'!A591,NF!$J$2:$J$3137),1),0)</f>
        <v>26</v>
      </c>
      <c r="BS591" s="142" t="str">
        <f>VLOOKUP(A591,NF!M:O,3,0)</f>
        <v>Laticínios</v>
      </c>
      <c r="BV591" s="74">
        <f t="shared" si="358"/>
        <v>3.3149999999999999</v>
      </c>
      <c r="BW591" s="74">
        <f t="shared" si="359"/>
        <v>9.3840000000000003</v>
      </c>
      <c r="BX591" s="74">
        <f t="shared" si="360"/>
        <v>9.3699999999999992</v>
      </c>
      <c r="BY591" s="74">
        <f t="shared" si="361"/>
        <v>9.3219999999999992</v>
      </c>
      <c r="BZ591" s="74">
        <f t="shared" si="362"/>
        <v>7.3000000000000007</v>
      </c>
    </row>
    <row r="592" spans="1:78" x14ac:dyDescent="0.2">
      <c r="A592" s="108" t="s">
        <v>685</v>
      </c>
      <c r="B592" s="12"/>
      <c r="C592" s="9">
        <v>5.9249999999999998</v>
      </c>
      <c r="D592" s="25"/>
      <c r="E592" s="10" t="str">
        <f t="shared" si="347"/>
        <v>MarçoSEMANA 1Queijo Parmezon</v>
      </c>
      <c r="F592" s="7">
        <f>SUMIF(NF!$A:$A,$E592,NF!$I:$I)</f>
        <v>5.9</v>
      </c>
      <c r="G592" s="74"/>
      <c r="H592" s="74"/>
      <c r="I592" s="74"/>
      <c r="J592" s="6"/>
      <c r="K592" s="6">
        <v>5.9249999999999998</v>
      </c>
      <c r="L592" s="6"/>
      <c r="M592" s="6"/>
      <c r="N592" s="7">
        <f t="shared" si="385"/>
        <v>5.9249999999999998</v>
      </c>
      <c r="O592" s="11">
        <f t="shared" si="364"/>
        <v>5.8999999999999995</v>
      </c>
      <c r="P592" s="25"/>
      <c r="Q592" s="10" t="str">
        <f t="shared" si="349"/>
        <v>MarçoSEMANA 2Queijo Parmezon</v>
      </c>
      <c r="R592" s="7">
        <f>SUMIF(NF!$A:$A,$Q592,NF!$I:$I)</f>
        <v>0</v>
      </c>
      <c r="S592" s="6"/>
      <c r="T592" s="6"/>
      <c r="U592" s="6"/>
      <c r="V592" s="6"/>
      <c r="W592" s="6"/>
      <c r="X592" s="6"/>
      <c r="Y592" s="6"/>
      <c r="Z592" s="7">
        <f t="shared" si="386"/>
        <v>0</v>
      </c>
      <c r="AA592" s="11">
        <f t="shared" si="366"/>
        <v>5.8999999999999995</v>
      </c>
      <c r="AB592" s="25"/>
      <c r="AC592" s="10" t="str">
        <f t="shared" si="351"/>
        <v>MarçoSEMANA 3Queijo Parmezon</v>
      </c>
      <c r="AD592" s="7">
        <f>SUMIF(NF!$A:$A,$AC592,NF!$I:$I)</f>
        <v>6.2</v>
      </c>
      <c r="AE592" s="6"/>
      <c r="AF592" s="6"/>
      <c r="AG592" s="6"/>
      <c r="AH592" s="6">
        <v>6.25</v>
      </c>
      <c r="AI592" s="6"/>
      <c r="AJ592" s="6"/>
      <c r="AK592" s="6"/>
      <c r="AL592" s="7">
        <f t="shared" si="387"/>
        <v>6.25</v>
      </c>
      <c r="AM592" s="11">
        <f t="shared" si="368"/>
        <v>5.85</v>
      </c>
      <c r="AN592" s="25"/>
      <c r="AO592" s="10" t="str">
        <f t="shared" si="353"/>
        <v>MarçoSEMANA 4Queijo Parmezon</v>
      </c>
      <c r="AP592" s="7">
        <f>SUMIF(NF!$A:$A,$AO592,NF!$I:$I)</f>
        <v>10.199999999999999</v>
      </c>
      <c r="AQ592" s="6"/>
      <c r="AR592" s="6">
        <v>5.84</v>
      </c>
      <c r="AS592" s="6"/>
      <c r="AT592" s="6"/>
      <c r="AU592" s="6"/>
      <c r="AV592" s="6"/>
      <c r="AW592" s="6"/>
      <c r="AX592" s="7">
        <f t="shared" si="388"/>
        <v>5.84</v>
      </c>
      <c r="AY592" s="11">
        <f t="shared" si="370"/>
        <v>10.209999999999997</v>
      </c>
      <c r="AZ592" s="25"/>
      <c r="BA592" s="10" t="str">
        <f t="shared" si="355"/>
        <v>MarçoSEMANA 5Queijo Parmezon</v>
      </c>
      <c r="BB592" s="7">
        <f>SUMIF(NF!$A:$A,$BA592,NF!$I:$I)</f>
        <v>5.4</v>
      </c>
      <c r="BC592" s="6">
        <v>5.1959999999999997</v>
      </c>
      <c r="BD592" s="6"/>
      <c r="BE592" s="6"/>
      <c r="BF592" s="6"/>
      <c r="BG592" s="6"/>
      <c r="BH592" s="6"/>
      <c r="BI592" s="74"/>
      <c r="BJ592" s="74"/>
      <c r="BK592" s="7">
        <f t="shared" si="389"/>
        <v>5.1959999999999997</v>
      </c>
      <c r="BL592" s="8">
        <f t="shared" si="372"/>
        <v>10.413999999999998</v>
      </c>
      <c r="BM592" s="51" t="str">
        <f>IFERROR(VLOOKUP(A592,NF!$M:$O,3,0),"")</f>
        <v>Laticínios</v>
      </c>
      <c r="BN592" s="7">
        <f t="shared" si="373"/>
        <v>23.210999999999999</v>
      </c>
      <c r="BO592" s="8">
        <f t="array" ref="BO592">IFERROR(LARGE(IF(NF!$G$2:$G$3137='Mês atual'!A592,NF!$J$2:$J$3137),1),0)*BN592</f>
        <v>579.34655999999995</v>
      </c>
      <c r="BP592" s="50"/>
      <c r="BR592" s="146">
        <f t="array" ref="BR592">IFERROR(LARGE(IF(NF!$G$2:$G$3137='Mês atual'!A592,NF!$J$2:$J$3137),1),0)</f>
        <v>24.96</v>
      </c>
      <c r="BS592" s="142" t="str">
        <f>VLOOKUP(A592,NF!M:O,3,0)</f>
        <v>Laticínios</v>
      </c>
      <c r="BV592" s="74">
        <f t="shared" si="358"/>
        <v>5.9249999999999998</v>
      </c>
      <c r="BW592" s="74">
        <f t="shared" si="359"/>
        <v>0</v>
      </c>
      <c r="BX592" s="74">
        <f t="shared" si="360"/>
        <v>6.25</v>
      </c>
      <c r="BY592" s="74">
        <f t="shared" si="361"/>
        <v>5.84</v>
      </c>
      <c r="BZ592" s="74">
        <f t="shared" si="362"/>
        <v>5.1959999999999997</v>
      </c>
    </row>
    <row r="593" spans="1:78" x14ac:dyDescent="0.2">
      <c r="A593" s="108" t="s">
        <v>686</v>
      </c>
      <c r="B593" s="12"/>
      <c r="C593" s="9">
        <v>2.79</v>
      </c>
      <c r="D593" s="25"/>
      <c r="E593" s="10" t="str">
        <f t="shared" si="347"/>
        <v>MarçoSEMANA 1Queijo Prato</v>
      </c>
      <c r="F593" s="7">
        <f>SUMIF(NF!$A:$A,$E593,NF!$I:$I)</f>
        <v>0</v>
      </c>
      <c r="G593" s="74"/>
      <c r="H593" s="74"/>
      <c r="I593" s="74"/>
      <c r="J593" s="6"/>
      <c r="K593" s="6"/>
      <c r="L593" s="6"/>
      <c r="M593" s="6"/>
      <c r="N593" s="7">
        <f t="shared" si="385"/>
        <v>0</v>
      </c>
      <c r="O593" s="11">
        <f t="shared" si="364"/>
        <v>2.79</v>
      </c>
      <c r="P593" s="25"/>
      <c r="Q593" s="10" t="str">
        <f t="shared" si="349"/>
        <v>MarçoSEMANA 2Queijo Prato</v>
      </c>
      <c r="R593" s="7">
        <f>SUMIF(NF!$A:$A,$Q593,NF!$I:$I)</f>
        <v>0</v>
      </c>
      <c r="S593" s="6"/>
      <c r="T593" s="6"/>
      <c r="U593" s="6"/>
      <c r="V593" s="6"/>
      <c r="W593" s="6"/>
      <c r="X593" s="6"/>
      <c r="Y593" s="6">
        <v>2.79</v>
      </c>
      <c r="Z593" s="7">
        <f t="shared" si="386"/>
        <v>2.79</v>
      </c>
      <c r="AA593" s="11">
        <f t="shared" si="366"/>
        <v>0</v>
      </c>
      <c r="AB593" s="25"/>
      <c r="AC593" s="10" t="str">
        <f t="shared" si="351"/>
        <v>MarçoSEMANA 3Queijo Prato</v>
      </c>
      <c r="AD593" s="7">
        <f>SUMIF(NF!$A:$A,$AC593,NF!$I:$I)</f>
        <v>3</v>
      </c>
      <c r="AE593" s="6"/>
      <c r="AF593" s="6"/>
      <c r="AG593" s="6"/>
      <c r="AH593" s="6"/>
      <c r="AI593" s="6"/>
      <c r="AJ593" s="6"/>
      <c r="AK593" s="6"/>
      <c r="AL593" s="7">
        <f t="shared" si="387"/>
        <v>0</v>
      </c>
      <c r="AM593" s="11">
        <f t="shared" si="368"/>
        <v>3</v>
      </c>
      <c r="AN593" s="25"/>
      <c r="AO593" s="10" t="str">
        <f t="shared" si="353"/>
        <v>MarçoSEMANA 4Queijo Prato</v>
      </c>
      <c r="AP593" s="7">
        <f>SUMIF(NF!$A:$A,$AO593,NF!$I:$I)</f>
        <v>0</v>
      </c>
      <c r="AQ593" s="6"/>
      <c r="AR593" s="6"/>
      <c r="AS593" s="6"/>
      <c r="AT593" s="6"/>
      <c r="AU593" s="6"/>
      <c r="AV593" s="6"/>
      <c r="AW593" s="6"/>
      <c r="AX593" s="7">
        <f t="shared" si="388"/>
        <v>0</v>
      </c>
      <c r="AY593" s="11">
        <f t="shared" si="370"/>
        <v>3</v>
      </c>
      <c r="AZ593" s="25"/>
      <c r="BA593" s="10" t="str">
        <f t="shared" si="355"/>
        <v>MarçoSEMANA 5Queijo Prato</v>
      </c>
      <c r="BB593" s="7">
        <f>SUMIF(NF!$A:$A,$BA593,NF!$I:$I)</f>
        <v>0</v>
      </c>
      <c r="BC593" s="6"/>
      <c r="BD593" s="6"/>
      <c r="BE593" s="6">
        <v>3</v>
      </c>
      <c r="BF593" s="6"/>
      <c r="BG593" s="6"/>
      <c r="BH593" s="6"/>
      <c r="BI593" s="74"/>
      <c r="BJ593" s="74"/>
      <c r="BK593" s="7">
        <f t="shared" si="389"/>
        <v>3</v>
      </c>
      <c r="BL593" s="8">
        <f t="shared" si="372"/>
        <v>0</v>
      </c>
      <c r="BM593" s="51" t="str">
        <f>IFERROR(VLOOKUP(A593,NF!$M:$O,3,0),"")</f>
        <v>Laticínios</v>
      </c>
      <c r="BN593" s="7">
        <f t="shared" si="373"/>
        <v>5.79</v>
      </c>
      <c r="BO593" s="8">
        <f t="array" ref="BO593">IFERROR(LARGE(IF(NF!$G$2:$G$3137='Mês atual'!A593,NF!$J$2:$J$3137),1),0)*BN593</f>
        <v>150.54</v>
      </c>
      <c r="BP593" s="50"/>
      <c r="BR593" s="146">
        <f t="array" ref="BR593">IFERROR(LARGE(IF(NF!$G$2:$G$3137='Mês atual'!A593,NF!$J$2:$J$3137),1),0)</f>
        <v>26</v>
      </c>
      <c r="BS593" s="142" t="str">
        <f>VLOOKUP(A593,NF!M:O,3,0)</f>
        <v>Laticínios</v>
      </c>
      <c r="BV593" s="74">
        <f t="shared" si="358"/>
        <v>0</v>
      </c>
      <c r="BW593" s="74">
        <f t="shared" si="359"/>
        <v>2.79</v>
      </c>
      <c r="BX593" s="74">
        <f t="shared" si="360"/>
        <v>0</v>
      </c>
      <c r="BY593" s="74">
        <f t="shared" si="361"/>
        <v>0</v>
      </c>
      <c r="BZ593" s="74">
        <f t="shared" si="362"/>
        <v>3</v>
      </c>
    </row>
    <row r="594" spans="1:78" x14ac:dyDescent="0.2">
      <c r="A594" s="108" t="s">
        <v>986</v>
      </c>
      <c r="B594" s="12"/>
      <c r="C594" s="9">
        <v>4.6749999999999998</v>
      </c>
      <c r="D594" s="25"/>
      <c r="E594" s="10" t="str">
        <f t="shared" si="347"/>
        <v>MarçoSEMANA 1Queijo Provolone Curado</v>
      </c>
      <c r="F594" s="7">
        <f>SUMIF(NF!$A:$A,$E594,NF!$I:$I)</f>
        <v>0</v>
      </c>
      <c r="G594" s="74"/>
      <c r="H594" s="74"/>
      <c r="I594" s="74"/>
      <c r="J594" s="6"/>
      <c r="K594" s="6"/>
      <c r="L594" s="6"/>
      <c r="M594" s="6"/>
      <c r="N594" s="7">
        <f t="shared" si="385"/>
        <v>0</v>
      </c>
      <c r="O594" s="11">
        <f t="shared" si="364"/>
        <v>4.6749999999999998</v>
      </c>
      <c r="P594" s="25"/>
      <c r="Q594" s="10" t="str">
        <f t="shared" si="349"/>
        <v>MarçoSEMANA 2Queijo Provolone Curado</v>
      </c>
      <c r="R594" s="7">
        <f>SUMIF(NF!$A:$A,$Q594,NF!$I:$I)</f>
        <v>0</v>
      </c>
      <c r="S594" s="6"/>
      <c r="T594" s="6"/>
      <c r="U594" s="6"/>
      <c r="V594" s="6"/>
      <c r="W594" s="6"/>
      <c r="X594" s="6"/>
      <c r="Y594" s="6"/>
      <c r="Z594" s="7">
        <f t="shared" si="386"/>
        <v>0</v>
      </c>
      <c r="AA594" s="11">
        <f t="shared" si="366"/>
        <v>4.6749999999999998</v>
      </c>
      <c r="AB594" s="25"/>
      <c r="AC594" s="10" t="str">
        <f t="shared" si="351"/>
        <v>MarçoSEMANA 3Queijo Provolone Curado</v>
      </c>
      <c r="AD594" s="7">
        <f>SUMIF(NF!$A:$A,$AC594,NF!$I:$I)</f>
        <v>0</v>
      </c>
      <c r="AE594" s="6"/>
      <c r="AF594" s="6"/>
      <c r="AG594" s="6"/>
      <c r="AH594" s="6"/>
      <c r="AI594" s="6"/>
      <c r="AJ594" s="6"/>
      <c r="AK594" s="6"/>
      <c r="AL594" s="7">
        <f t="shared" si="387"/>
        <v>0</v>
      </c>
      <c r="AM594" s="11">
        <f t="shared" si="368"/>
        <v>4.6749999999999998</v>
      </c>
      <c r="AN594" s="25"/>
      <c r="AO594" s="10" t="str">
        <f t="shared" si="353"/>
        <v>MarçoSEMANA 4Queijo Provolone Curado</v>
      </c>
      <c r="AP594" s="7">
        <f>SUMIF(NF!$A:$A,$AO594,NF!$I:$I)</f>
        <v>0</v>
      </c>
      <c r="AQ594" s="6"/>
      <c r="AR594" s="6"/>
      <c r="AS594" s="6"/>
      <c r="AT594" s="6"/>
      <c r="AU594" s="6"/>
      <c r="AV594" s="6"/>
      <c r="AW594" s="6"/>
      <c r="AX594" s="7">
        <f t="shared" si="388"/>
        <v>0</v>
      </c>
      <c r="AY594" s="11">
        <f t="shared" si="370"/>
        <v>4.6749999999999998</v>
      </c>
      <c r="AZ594" s="25"/>
      <c r="BA594" s="10" t="str">
        <f t="shared" si="355"/>
        <v>MarçoSEMANA 5Queijo Provolone Curado</v>
      </c>
      <c r="BB594" s="7">
        <f>SUMIF(NF!$A:$A,$BA594,NF!$I:$I)</f>
        <v>0</v>
      </c>
      <c r="BC594" s="6"/>
      <c r="BD594" s="6"/>
      <c r="BE594" s="6">
        <v>4.6749999999999998</v>
      </c>
      <c r="BF594" s="6"/>
      <c r="BG594" s="6"/>
      <c r="BH594" s="6"/>
      <c r="BI594" s="74"/>
      <c r="BJ594" s="74"/>
      <c r="BK594" s="7">
        <f t="shared" si="389"/>
        <v>4.6749999999999998</v>
      </c>
      <c r="BL594" s="8">
        <f t="shared" si="372"/>
        <v>0</v>
      </c>
      <c r="BM594" s="51" t="str">
        <f>IFERROR(VLOOKUP(A594,NF!$M:$O,3,0),"")</f>
        <v>Laticínios</v>
      </c>
      <c r="BN594" s="7">
        <f t="shared" si="373"/>
        <v>4.6749999999999998</v>
      </c>
      <c r="BO594" s="8">
        <f t="array" ref="BO594">IFERROR(LARGE(IF(NF!$G$2:$G$3137='Mês atual'!A594,NF!$J$2:$J$3137),1),0)*BN594</f>
        <v>0</v>
      </c>
      <c r="BP594" s="50"/>
      <c r="BR594" s="146">
        <f t="array" ref="BR594">IFERROR(LARGE(IF(NF!$G$2:$G$3137='Mês atual'!A594,NF!$J$2:$J$3137),1),0)</f>
        <v>0</v>
      </c>
      <c r="BS594" s="142" t="str">
        <f>VLOOKUP(A594,NF!M:O,3,0)</f>
        <v>Laticínios</v>
      </c>
      <c r="BV594" s="74">
        <f t="shared" si="358"/>
        <v>0</v>
      </c>
      <c r="BW594" s="74">
        <f t="shared" si="359"/>
        <v>0</v>
      </c>
      <c r="BX594" s="74">
        <f t="shared" si="360"/>
        <v>0</v>
      </c>
      <c r="BY594" s="74">
        <f t="shared" si="361"/>
        <v>0</v>
      </c>
      <c r="BZ594" s="74">
        <f t="shared" si="362"/>
        <v>4.6749999999999998</v>
      </c>
    </row>
    <row r="595" spans="1:78" x14ac:dyDescent="0.25">
      <c r="A595" s="108" t="s">
        <v>687</v>
      </c>
      <c r="B595" s="12"/>
      <c r="C595" s="9">
        <v>1</v>
      </c>
      <c r="D595" s="25"/>
      <c r="E595" s="10" t="str">
        <f t="shared" si="347"/>
        <v>MarçoSEMANA 1Queijo Requeijão BD 3,6 Kg</v>
      </c>
      <c r="F595" s="7">
        <f>SUMIF(NF!$A:$A,$E595,NF!$I:$I)</f>
        <v>2</v>
      </c>
      <c r="G595" s="74"/>
      <c r="H595" s="74"/>
      <c r="I595" s="74"/>
      <c r="J595" s="6">
        <v>1</v>
      </c>
      <c r="K595" s="6"/>
      <c r="L595" s="6"/>
      <c r="M595" s="6">
        <v>1</v>
      </c>
      <c r="N595" s="7">
        <f t="shared" si="385"/>
        <v>2</v>
      </c>
      <c r="O595" s="11">
        <f t="shared" si="364"/>
        <v>1</v>
      </c>
      <c r="P595" s="25"/>
      <c r="Q595" s="10" t="str">
        <f t="shared" si="349"/>
        <v>MarçoSEMANA 2Queijo Requeijão BD 3,6 Kg</v>
      </c>
      <c r="R595" s="7">
        <f>SUMIF(NF!$A:$A,$Q595,NF!$I:$I)</f>
        <v>3</v>
      </c>
      <c r="S595" s="6"/>
      <c r="T595" s="6">
        <v>1</v>
      </c>
      <c r="U595" s="6"/>
      <c r="V595" s="6">
        <v>1</v>
      </c>
      <c r="W595" s="6"/>
      <c r="X595" s="6"/>
      <c r="Y595" s="6">
        <v>1</v>
      </c>
      <c r="Z595" s="7">
        <f t="shared" si="386"/>
        <v>3</v>
      </c>
      <c r="AA595" s="11">
        <f t="shared" si="366"/>
        <v>1</v>
      </c>
      <c r="AB595" s="25"/>
      <c r="AC595" s="10" t="str">
        <f t="shared" si="351"/>
        <v>MarçoSEMANA 3Queijo Requeijão BD 3,6 Kg</v>
      </c>
      <c r="AD595" s="7">
        <f>SUMIF(NF!$A:$A,$AC595,NF!$I:$I)</f>
        <v>4</v>
      </c>
      <c r="AE595" s="6">
        <v>1</v>
      </c>
      <c r="AF595" s="6">
        <v>1</v>
      </c>
      <c r="AG595" s="6"/>
      <c r="AH595" s="6">
        <v>1</v>
      </c>
      <c r="AI595" s="6"/>
      <c r="AJ595" s="6"/>
      <c r="AK595" s="6">
        <v>1</v>
      </c>
      <c r="AL595" s="7">
        <f t="shared" si="387"/>
        <v>4</v>
      </c>
      <c r="AM595" s="11">
        <f t="shared" si="368"/>
        <v>1</v>
      </c>
      <c r="AN595" s="25"/>
      <c r="AO595" s="10" t="str">
        <f t="shared" si="353"/>
        <v>MarçoSEMANA 4Queijo Requeijão BD 3,6 Kg</v>
      </c>
      <c r="AP595" s="7">
        <f>SUMIF(NF!$A:$A,$AO595,NF!$I:$I)</f>
        <v>4</v>
      </c>
      <c r="AQ595" s="6">
        <v>1</v>
      </c>
      <c r="AR595" s="6"/>
      <c r="AS595" s="6">
        <v>1</v>
      </c>
      <c r="AT595" s="6">
        <v>1</v>
      </c>
      <c r="AU595" s="6"/>
      <c r="AV595" s="6"/>
      <c r="AW595" s="6"/>
      <c r="AX595" s="7">
        <f t="shared" si="388"/>
        <v>3</v>
      </c>
      <c r="AY595" s="11">
        <f t="shared" si="370"/>
        <v>2</v>
      </c>
      <c r="AZ595" s="25"/>
      <c r="BA595" s="10" t="str">
        <f t="shared" si="355"/>
        <v>MarçoSEMANA 5Queijo Requeijão BD 3,6 Kg</v>
      </c>
      <c r="BB595" s="7">
        <f>SUMIF(NF!$A:$A,$BA595,NF!$I:$I)</f>
        <v>2</v>
      </c>
      <c r="BC595" s="6">
        <v>1</v>
      </c>
      <c r="BD595" s="6"/>
      <c r="BE595" s="6">
        <v>1</v>
      </c>
      <c r="BF595" s="6">
        <v>1</v>
      </c>
      <c r="BG595" s="6"/>
      <c r="BH595" s="6"/>
      <c r="BI595" s="74"/>
      <c r="BJ595" s="74"/>
      <c r="BK595" s="7">
        <f t="shared" si="389"/>
        <v>3</v>
      </c>
      <c r="BL595" s="8">
        <f t="shared" si="372"/>
        <v>1</v>
      </c>
      <c r="BM595" s="51" t="str">
        <f>IFERROR(VLOOKUP(A595,NF!$M:$O,3,0),"")</f>
        <v>Laticínios</v>
      </c>
      <c r="BN595" s="7">
        <f t="shared" si="373"/>
        <v>15</v>
      </c>
      <c r="BO595" s="8">
        <f t="array" ref="BO595">IFERROR(LARGE(IF(NF!$G$2:$G$3137='Mês atual'!A595,NF!$J$2:$J$3137),1),0)*BN595</f>
        <v>1116</v>
      </c>
      <c r="BP595" s="50"/>
      <c r="BR595" s="146">
        <f t="array" ref="BR595">IFERROR(LARGE(IF(NF!$G$2:$G$3137='Mês atual'!A595,NF!$J$2:$J$3137),1),0)</f>
        <v>74.400000000000006</v>
      </c>
      <c r="BS595" s="142" t="str">
        <f>VLOOKUP(A595,NF!M:O,3,0)</f>
        <v>Laticínios</v>
      </c>
      <c r="BV595" s="74">
        <f t="shared" si="358"/>
        <v>2</v>
      </c>
      <c r="BW595" s="74">
        <f t="shared" si="359"/>
        <v>3</v>
      </c>
      <c r="BX595" s="74">
        <f t="shared" si="360"/>
        <v>4</v>
      </c>
      <c r="BY595" s="74">
        <f t="shared" si="361"/>
        <v>3</v>
      </c>
      <c r="BZ595" s="74">
        <f t="shared" si="362"/>
        <v>3</v>
      </c>
    </row>
    <row r="596" spans="1:78" ht="15.95" thickBot="1" x14ac:dyDescent="0.25">
      <c r="A596" s="108" t="s">
        <v>688</v>
      </c>
      <c r="B596" s="12"/>
      <c r="C596" s="9">
        <f>1.705+0.42</f>
        <v>2.125</v>
      </c>
      <c r="D596" s="25"/>
      <c r="E596" s="10" t="str">
        <f t="shared" ref="E596:E639" si="390">CONCATENATE($C$2,$F$1,$A596)</f>
        <v>MarçoSEMANA 1Queijo Ricota</v>
      </c>
      <c r="F596" s="7">
        <f>SUMIF(NF!$A:$A,$E596,NF!$I:$I)</f>
        <v>0</v>
      </c>
      <c r="G596" s="74"/>
      <c r="H596" s="74"/>
      <c r="I596" s="74"/>
      <c r="J596" s="6"/>
      <c r="K596" s="6">
        <v>1.262</v>
      </c>
      <c r="L596" s="6"/>
      <c r="M596" s="6">
        <v>0.86</v>
      </c>
      <c r="N596" s="7">
        <f t="shared" si="385"/>
        <v>2.1219999999999999</v>
      </c>
      <c r="O596" s="11">
        <f t="shared" si="364"/>
        <v>3.0000000000001137E-3</v>
      </c>
      <c r="P596" s="25"/>
      <c r="Q596" s="10" t="str">
        <f t="shared" ref="Q596:Q639" si="391">CONCATENATE($C$2,$R$1,$A596)</f>
        <v>MarçoSEMANA 2Queijo Ricota</v>
      </c>
      <c r="R596" s="7">
        <f>SUMIF(NF!$A:$A,$Q596,NF!$I:$I)</f>
        <v>10.879999999999999</v>
      </c>
      <c r="S596" s="6"/>
      <c r="T596" s="6"/>
      <c r="U596" s="6">
        <v>1.22</v>
      </c>
      <c r="V596" s="6">
        <f>1.644+1.19</f>
        <v>2.8339999999999996</v>
      </c>
      <c r="W596" s="6">
        <f>1.225+0.35</f>
        <v>1.5750000000000002</v>
      </c>
      <c r="X596" s="6"/>
      <c r="Y596" s="6"/>
      <c r="Z596" s="7">
        <f t="shared" si="386"/>
        <v>5.6289999999999996</v>
      </c>
      <c r="AA596" s="11">
        <f t="shared" si="366"/>
        <v>5.2539999999999996</v>
      </c>
      <c r="AB596" s="25"/>
      <c r="AC596" s="10" t="str">
        <f t="shared" ref="AC596:AC639" si="392">CONCATENATE($C$2,$AD$1,$A596)</f>
        <v>MarçoSEMANA 3Queijo Ricota</v>
      </c>
      <c r="AD596" s="7">
        <f>SUMIF(NF!$A:$A,$AC596,NF!$I:$I)</f>
        <v>4.88</v>
      </c>
      <c r="AE596" s="6">
        <v>1.5980000000000001</v>
      </c>
      <c r="AF596" s="6">
        <f>1.2+0.4</f>
        <v>1.6</v>
      </c>
      <c r="AG596" s="6">
        <v>0.76</v>
      </c>
      <c r="AH596" s="6">
        <v>1.77</v>
      </c>
      <c r="AI596" s="6"/>
      <c r="AJ596" s="6">
        <v>1.468</v>
      </c>
      <c r="AK596" s="6"/>
      <c r="AL596" s="7">
        <f t="shared" si="387"/>
        <v>7.1959999999999997</v>
      </c>
      <c r="AM596" s="11">
        <f t="shared" si="368"/>
        <v>2.9380000000000006</v>
      </c>
      <c r="AN596" s="25"/>
      <c r="AO596" s="10" t="str">
        <f t="shared" ref="AO596:AO639" si="393">CONCATENATE($C$2,$AP$1,$A596)</f>
        <v>MarçoSEMANA 4Queijo Ricota</v>
      </c>
      <c r="AP596" s="7">
        <f>SUMIF(NF!$A:$A,$AO596,NF!$I:$I)</f>
        <v>4.6999999999999993</v>
      </c>
      <c r="AQ596" s="6">
        <v>0.96</v>
      </c>
      <c r="AR596" s="6"/>
      <c r="AS596" s="6"/>
      <c r="AT596" s="6">
        <v>1.49</v>
      </c>
      <c r="AU596" s="6"/>
      <c r="AV596" s="6">
        <v>3.28</v>
      </c>
      <c r="AW596" s="6"/>
      <c r="AX596" s="7">
        <f t="shared" si="388"/>
        <v>5.73</v>
      </c>
      <c r="AY596" s="11">
        <f t="shared" si="370"/>
        <v>1.9079999999999995</v>
      </c>
      <c r="AZ596" s="25"/>
      <c r="BA596" s="10" t="str">
        <f t="shared" ref="BA596:BA639" si="394">CONCATENATE($C$2,$BB$1,$A596)</f>
        <v>MarçoSEMANA 5Queijo Ricota</v>
      </c>
      <c r="BB596" s="7">
        <f>SUMIF(NF!$A:$A,$BA596,NF!$I:$I)</f>
        <v>9.5</v>
      </c>
      <c r="BC596" s="6"/>
      <c r="BD596" s="6"/>
      <c r="BE596" s="6">
        <f>0.475+0.06</f>
        <v>0.53499999999999992</v>
      </c>
      <c r="BF596" s="6"/>
      <c r="BG596" s="6"/>
      <c r="BH596" s="6"/>
      <c r="BI596" s="74"/>
      <c r="BJ596" s="74"/>
      <c r="BK596" s="7">
        <f t="shared" si="389"/>
        <v>0.53499999999999992</v>
      </c>
      <c r="BL596" s="8">
        <f t="shared" si="372"/>
        <v>10.872999999999999</v>
      </c>
      <c r="BM596" s="51" t="str">
        <f>IFERROR(VLOOKUP(A596,NF!$M:$O,3,0),"")</f>
        <v>Laticínios</v>
      </c>
      <c r="BN596" s="7">
        <f t="shared" si="373"/>
        <v>21.212</v>
      </c>
      <c r="BO596" s="8">
        <f t="array" ref="BO596">IFERROR(LARGE(IF(NF!$G$2:$G$3137='Mês atual'!A596,NF!$J$2:$J$3137),1),0)*BN596</f>
        <v>224.84719999999999</v>
      </c>
      <c r="BP596" s="50"/>
      <c r="BR596" s="146">
        <f t="array" ref="BR596">IFERROR(LARGE(IF(NF!$G$2:$G$3137='Mês atual'!A596,NF!$J$2:$J$3137),1),0)</f>
        <v>10.6</v>
      </c>
      <c r="BS596" s="142" t="str">
        <f>VLOOKUP(A596,NF!M:O,3,0)</f>
        <v>Laticínios</v>
      </c>
      <c r="BV596" s="74">
        <f t="shared" si="358"/>
        <v>2.1219999999999999</v>
      </c>
      <c r="BW596" s="74">
        <f t="shared" si="359"/>
        <v>5.6289999999999996</v>
      </c>
      <c r="BX596" s="74">
        <f t="shared" si="360"/>
        <v>7.1959999999999997</v>
      </c>
      <c r="BY596" s="74">
        <f t="shared" si="361"/>
        <v>5.73</v>
      </c>
      <c r="BZ596" s="74">
        <f t="shared" si="362"/>
        <v>0.53499999999999992</v>
      </c>
    </row>
    <row r="597" spans="1:78" s="16" customFormat="1" ht="30" customHeight="1" thickBot="1" x14ac:dyDescent="0.25">
      <c r="A597" s="139" t="s">
        <v>923</v>
      </c>
      <c r="B597" s="130"/>
      <c r="C597" s="131"/>
      <c r="D597" s="132"/>
      <c r="E597" s="133"/>
      <c r="F597" s="134"/>
      <c r="G597" s="135"/>
      <c r="H597" s="135"/>
      <c r="I597" s="135"/>
      <c r="J597" s="133"/>
      <c r="K597" s="133"/>
      <c r="L597" s="133"/>
      <c r="M597" s="133"/>
      <c r="N597" s="134"/>
      <c r="O597" s="134"/>
      <c r="P597" s="132"/>
      <c r="Q597" s="133"/>
      <c r="R597" s="134"/>
      <c r="S597" s="133"/>
      <c r="T597" s="133"/>
      <c r="U597" s="133"/>
      <c r="V597" s="133"/>
      <c r="W597" s="133"/>
      <c r="X597" s="133"/>
      <c r="Y597" s="133"/>
      <c r="Z597" s="134"/>
      <c r="AA597" s="134"/>
      <c r="AB597" s="132"/>
      <c r="AC597" s="133"/>
      <c r="AD597" s="134"/>
      <c r="AE597" s="133"/>
      <c r="AF597" s="133"/>
      <c r="AG597" s="133"/>
      <c r="AH597" s="133"/>
      <c r="AI597" s="133"/>
      <c r="AJ597" s="133"/>
      <c r="AK597" s="133"/>
      <c r="AL597" s="134"/>
      <c r="AM597" s="134"/>
      <c r="AN597" s="132"/>
      <c r="AO597" s="133"/>
      <c r="AP597" s="134"/>
      <c r="AQ597" s="133"/>
      <c r="AR597" s="133"/>
      <c r="AS597" s="133"/>
      <c r="AT597" s="133"/>
      <c r="AU597" s="133"/>
      <c r="AV597" s="133"/>
      <c r="AW597" s="133"/>
      <c r="AX597" s="134"/>
      <c r="AY597" s="134"/>
      <c r="AZ597" s="132"/>
      <c r="BA597" s="133"/>
      <c r="BB597" s="134"/>
      <c r="BC597" s="133"/>
      <c r="BD597" s="133"/>
      <c r="BE597" s="133"/>
      <c r="BF597" s="133"/>
      <c r="BG597" s="133"/>
      <c r="BH597" s="133"/>
      <c r="BI597" s="135"/>
      <c r="BJ597" s="135"/>
      <c r="BK597" s="134"/>
      <c r="BL597" s="134"/>
      <c r="BM597" s="136"/>
      <c r="BN597" s="137"/>
      <c r="BO597" s="137"/>
      <c r="BP597" s="138"/>
      <c r="BQ597" s="144"/>
      <c r="BR597" s="144"/>
      <c r="BS597" s="144"/>
      <c r="BT597" s="145"/>
      <c r="BU597" s="145"/>
      <c r="BV597" s="154"/>
      <c r="BW597" s="154"/>
      <c r="BX597" s="154"/>
      <c r="BY597" s="154"/>
      <c r="BZ597" s="154"/>
    </row>
    <row r="598" spans="1:78" x14ac:dyDescent="0.2">
      <c r="A598" s="108" t="s">
        <v>84</v>
      </c>
      <c r="B598" s="12"/>
      <c r="C598" s="9">
        <v>1</v>
      </c>
      <c r="D598" s="25"/>
      <c r="E598" s="10" t="str">
        <f t="shared" si="390"/>
        <v xml:space="preserve">MarçoSEMANA 1AFVT - Antimicrobial Bb 10,4 KG </v>
      </c>
      <c r="F598" s="7">
        <f>SUMIF(NF!$A:$A,$E598,NF!$I:$I)</f>
        <v>0</v>
      </c>
      <c r="G598" s="74"/>
      <c r="H598" s="74"/>
      <c r="I598" s="74"/>
      <c r="J598" s="6"/>
      <c r="K598" s="6"/>
      <c r="L598" s="6"/>
      <c r="M598" s="6"/>
      <c r="N598" s="7">
        <f>SUM(G598:M598)</f>
        <v>0</v>
      </c>
      <c r="O598" s="11">
        <f t="shared" ref="O598:O639" si="395">F598+C598-N598</f>
        <v>1</v>
      </c>
      <c r="P598" s="25"/>
      <c r="Q598" s="10" t="str">
        <f t="shared" si="391"/>
        <v xml:space="preserve">MarçoSEMANA 2AFVT - Antimicrobial Bb 10,4 KG </v>
      </c>
      <c r="R598" s="7">
        <f>SUMIF(NF!$A:$A,$Q598,NF!$I:$I)</f>
        <v>0</v>
      </c>
      <c r="S598" s="6"/>
      <c r="T598" s="6"/>
      <c r="U598" s="6"/>
      <c r="V598" s="6"/>
      <c r="W598" s="6"/>
      <c r="X598" s="6"/>
      <c r="Y598" s="6"/>
      <c r="Z598" s="7">
        <f>SUM(S598:Y598)</f>
        <v>0</v>
      </c>
      <c r="AA598" s="11">
        <f t="shared" ref="AA598:AA639" si="396">R598+O598-Z598</f>
        <v>1</v>
      </c>
      <c r="AB598" s="25"/>
      <c r="AC598" s="10" t="str">
        <f t="shared" si="392"/>
        <v xml:space="preserve">MarçoSEMANA 3AFVT - Antimicrobial Bb 10,4 KG </v>
      </c>
      <c r="AD598" s="7">
        <f>SUMIF(NF!$A:$A,$AC598,NF!$I:$I)</f>
        <v>0</v>
      </c>
      <c r="AE598" s="6"/>
      <c r="AF598" s="6"/>
      <c r="AG598" s="6"/>
      <c r="AH598" s="6">
        <v>1</v>
      </c>
      <c r="AI598" s="6"/>
      <c r="AJ598" s="6"/>
      <c r="AK598" s="6"/>
      <c r="AL598" s="7">
        <f>SUM(AE598:AK598)</f>
        <v>1</v>
      </c>
      <c r="AM598" s="11">
        <f t="shared" ref="AM598:AM639" si="397">AD598+AA598-AL598</f>
        <v>0</v>
      </c>
      <c r="AN598" s="25"/>
      <c r="AO598" s="10" t="str">
        <f t="shared" si="393"/>
        <v xml:space="preserve">MarçoSEMANA 4AFVT - Antimicrobial Bb 10,4 KG </v>
      </c>
      <c r="AP598" s="7">
        <f>SUMIF(NF!$A:$A,$AO598,NF!$I:$I)</f>
        <v>0</v>
      </c>
      <c r="AQ598" s="6"/>
      <c r="AR598" s="6"/>
      <c r="AS598" s="6"/>
      <c r="AT598" s="6"/>
      <c r="AU598" s="6"/>
      <c r="AV598" s="6"/>
      <c r="AW598" s="6"/>
      <c r="AX598" s="7">
        <f>SUM(AQ598:AW598)</f>
        <v>0</v>
      </c>
      <c r="AY598" s="11">
        <f t="shared" ref="AY598:AY639" si="398">AP598+AM598-AX598</f>
        <v>0</v>
      </c>
      <c r="AZ598" s="25"/>
      <c r="BA598" s="10" t="str">
        <f t="shared" si="394"/>
        <v xml:space="preserve">MarçoSEMANA 5AFVT - Antimicrobial Bb 10,4 KG </v>
      </c>
      <c r="BB598" s="7">
        <f>SUMIF(NF!$A:$A,$BA598,NF!$I:$I)</f>
        <v>0</v>
      </c>
      <c r="BC598" s="6"/>
      <c r="BD598" s="6"/>
      <c r="BE598" s="6"/>
      <c r="BF598" s="6"/>
      <c r="BG598" s="6"/>
      <c r="BH598" s="6"/>
      <c r="BI598" s="74"/>
      <c r="BJ598" s="74"/>
      <c r="BK598" s="7">
        <f>SUM(BC598:BJ598)</f>
        <v>0</v>
      </c>
      <c r="BL598" s="8">
        <f t="shared" ref="BL598:BL639" si="399">BB598+AY598-BK598</f>
        <v>0</v>
      </c>
      <c r="BM598" s="51" t="str">
        <f>IFERROR(VLOOKUP(A598,NF!$M:$O,3,0),"")</f>
        <v>Limpeza</v>
      </c>
      <c r="BN598" s="7">
        <f t="shared" ref="BN598:BN639" si="400">SUM(N598,Z598,AL598,AX598,BK598)</f>
        <v>1</v>
      </c>
      <c r="BO598" s="8">
        <f t="array" ref="BO598">IFERROR(LARGE(IF(NF!$G$2:$G$3137='Mês atual'!A598,NF!$J$2:$J$3137),1),0)*BN598</f>
        <v>0</v>
      </c>
      <c r="BP598" s="50"/>
      <c r="BR598" s="146">
        <f t="array" ref="BR598">IFERROR(LARGE(IF(NF!$G$2:$G$3137='Mês atual'!A598,NF!$J$2:$J$3137),1),0)</f>
        <v>0</v>
      </c>
      <c r="BS598" s="142" t="str">
        <f>VLOOKUP(A598,NF!M:O,3,0)</f>
        <v>Limpeza</v>
      </c>
      <c r="BV598" s="74">
        <f t="shared" si="342"/>
        <v>0</v>
      </c>
      <c r="BW598" s="74">
        <f t="shared" si="343"/>
        <v>0</v>
      </c>
      <c r="BX598" s="74">
        <f t="shared" si="344"/>
        <v>1</v>
      </c>
      <c r="BY598" s="74">
        <f t="shared" si="345"/>
        <v>0</v>
      </c>
      <c r="BZ598" s="74">
        <f t="shared" si="346"/>
        <v>0</v>
      </c>
    </row>
    <row r="599" spans="1:78" x14ac:dyDescent="0.25">
      <c r="A599" s="108" t="s">
        <v>99</v>
      </c>
      <c r="B599" s="12"/>
      <c r="C599" s="9">
        <v>17</v>
      </c>
      <c r="D599" s="25"/>
      <c r="E599" s="10" t="str">
        <f t="shared" si="390"/>
        <v>MarçoSEMANA 1Álcool 70</v>
      </c>
      <c r="F599" s="7">
        <f>SUMIF(NF!$A:$A,$E599,NF!$I:$I)</f>
        <v>0</v>
      </c>
      <c r="G599" s="74"/>
      <c r="H599" s="74"/>
      <c r="I599" s="74"/>
      <c r="J599" s="6">
        <v>2</v>
      </c>
      <c r="K599" s="6">
        <v>3</v>
      </c>
      <c r="L599" s="6"/>
      <c r="M599" s="6">
        <v>2</v>
      </c>
      <c r="N599" s="7">
        <f>SUM(G599:M599)</f>
        <v>7</v>
      </c>
      <c r="O599" s="11">
        <f t="shared" si="395"/>
        <v>10</v>
      </c>
      <c r="P599" s="25"/>
      <c r="Q599" s="10" t="str">
        <f t="shared" si="391"/>
        <v>MarçoSEMANA 2Álcool 70</v>
      </c>
      <c r="R599" s="7">
        <f>SUMIF(NF!$A:$A,$Q599,NF!$I:$I)</f>
        <v>24</v>
      </c>
      <c r="S599" s="6">
        <v>2</v>
      </c>
      <c r="T599" s="6"/>
      <c r="U599" s="6">
        <v>2</v>
      </c>
      <c r="V599" s="6">
        <v>2</v>
      </c>
      <c r="W599" s="6">
        <v>1</v>
      </c>
      <c r="X599" s="6">
        <v>2</v>
      </c>
      <c r="Y599" s="6">
        <v>1</v>
      </c>
      <c r="Z599" s="7">
        <f>SUM(S599:Y599)</f>
        <v>10</v>
      </c>
      <c r="AA599" s="11">
        <f t="shared" si="396"/>
        <v>24</v>
      </c>
      <c r="AB599" s="25"/>
      <c r="AC599" s="10" t="str">
        <f t="shared" si="392"/>
        <v>MarçoSEMANA 3Álcool 70</v>
      </c>
      <c r="AD599" s="7">
        <f>SUMIF(NF!$A:$A,$AC599,NF!$I:$I)</f>
        <v>12</v>
      </c>
      <c r="AE599" s="6">
        <v>1</v>
      </c>
      <c r="AF599" s="6">
        <v>1</v>
      </c>
      <c r="AG599" s="6">
        <v>1</v>
      </c>
      <c r="AH599" s="6">
        <v>1</v>
      </c>
      <c r="AI599" s="6">
        <v>2</v>
      </c>
      <c r="AJ599" s="6"/>
      <c r="AK599" s="6">
        <v>2</v>
      </c>
      <c r="AL599" s="7">
        <f>SUM(AE599:AK599)</f>
        <v>8</v>
      </c>
      <c r="AM599" s="11">
        <f t="shared" si="397"/>
        <v>28</v>
      </c>
      <c r="AN599" s="25"/>
      <c r="AO599" s="10" t="str">
        <f t="shared" si="393"/>
        <v>MarçoSEMANA 4Álcool 70</v>
      </c>
      <c r="AP599" s="7">
        <f>SUMIF(NF!$A:$A,$AO599,NF!$I:$I)</f>
        <v>12</v>
      </c>
      <c r="AQ599" s="6"/>
      <c r="AR599" s="6">
        <v>2</v>
      </c>
      <c r="AS599" s="6">
        <v>1</v>
      </c>
      <c r="AT599" s="6">
        <v>3</v>
      </c>
      <c r="AU599" s="6">
        <v>1</v>
      </c>
      <c r="AV599" s="6">
        <v>1</v>
      </c>
      <c r="AW599" s="6">
        <v>1</v>
      </c>
      <c r="AX599" s="7">
        <f>SUM(AQ599:AW599)</f>
        <v>9</v>
      </c>
      <c r="AY599" s="11">
        <f t="shared" si="398"/>
        <v>31</v>
      </c>
      <c r="AZ599" s="25"/>
      <c r="BA599" s="10" t="str">
        <f t="shared" si="394"/>
        <v>MarçoSEMANA 5Álcool 70</v>
      </c>
      <c r="BB599" s="7">
        <f>SUMIF(NF!$A:$A,$BA599,NF!$I:$I)</f>
        <v>0</v>
      </c>
      <c r="BC599" s="6">
        <v>1</v>
      </c>
      <c r="BD599" s="6">
        <v>1</v>
      </c>
      <c r="BE599" s="6">
        <v>2</v>
      </c>
      <c r="BF599" s="6">
        <v>2</v>
      </c>
      <c r="BG599" s="6">
        <v>1</v>
      </c>
      <c r="BH599" s="6">
        <v>2</v>
      </c>
      <c r="BI599" s="74"/>
      <c r="BJ599" s="74"/>
      <c r="BK599" s="7">
        <f>SUM(BC599:BJ599)</f>
        <v>9</v>
      </c>
      <c r="BL599" s="8">
        <f t="shared" si="399"/>
        <v>22</v>
      </c>
      <c r="BM599" s="51" t="str">
        <f>IFERROR(VLOOKUP(A599,NF!$M:$O,3,0),"")</f>
        <v>Limpeza</v>
      </c>
      <c r="BN599" s="7">
        <f t="shared" si="400"/>
        <v>43</v>
      </c>
      <c r="BO599" s="8">
        <f t="array" ref="BO599">IFERROR(LARGE(IF(NF!$G$2:$G$3137='Mês atual'!A599,NF!$J$2:$J$3137),1),0)*BN599</f>
        <v>1452.54</v>
      </c>
      <c r="BP599" s="50"/>
      <c r="BR599" s="146">
        <f t="array" ref="BR599">IFERROR(LARGE(IF(NF!$G$2:$G$3137='Mês atual'!A599,NF!$J$2:$J$3137),1),0)</f>
        <v>33.78</v>
      </c>
      <c r="BS599" s="142" t="str">
        <f>VLOOKUP(A599,NF!M:O,3,0)</f>
        <v>Limpeza</v>
      </c>
      <c r="BV599" s="74">
        <f t="shared" si="342"/>
        <v>7</v>
      </c>
      <c r="BW599" s="74">
        <f t="shared" si="343"/>
        <v>10</v>
      </c>
      <c r="BX599" s="74">
        <f t="shared" si="344"/>
        <v>8</v>
      </c>
      <c r="BY599" s="74">
        <f t="shared" si="345"/>
        <v>9</v>
      </c>
      <c r="BZ599" s="74">
        <f t="shared" si="346"/>
        <v>9</v>
      </c>
    </row>
    <row r="600" spans="1:78" x14ac:dyDescent="0.25">
      <c r="A600" s="108" t="s">
        <v>100</v>
      </c>
      <c r="B600" s="12"/>
      <c r="C600" s="9">
        <v>6</v>
      </c>
      <c r="D600" s="25"/>
      <c r="E600" s="10" t="str">
        <f t="shared" si="390"/>
        <v>MarçoSEMANA 1Álcool Espuma</v>
      </c>
      <c r="F600" s="7">
        <f>SUMIF(NF!$A:$A,$E600,NF!$I:$I)</f>
        <v>0</v>
      </c>
      <c r="G600" s="74"/>
      <c r="H600" s="74"/>
      <c r="I600" s="74"/>
      <c r="J600" s="6">
        <v>1</v>
      </c>
      <c r="K600" s="6"/>
      <c r="L600" s="6"/>
      <c r="M600" s="6"/>
      <c r="N600" s="7">
        <f>SUM(G600:M600)</f>
        <v>1</v>
      </c>
      <c r="O600" s="11">
        <f t="shared" si="395"/>
        <v>5</v>
      </c>
      <c r="P600" s="25"/>
      <c r="Q600" s="10" t="str">
        <f t="shared" si="391"/>
        <v>MarçoSEMANA 2Álcool Espuma</v>
      </c>
      <c r="R600" s="7">
        <f>SUMIF(NF!$A:$A,$Q600,NF!$I:$I)</f>
        <v>0</v>
      </c>
      <c r="S600" s="6"/>
      <c r="T600" s="6"/>
      <c r="U600" s="6"/>
      <c r="V600" s="6"/>
      <c r="W600" s="6"/>
      <c r="X600" s="6"/>
      <c r="Y600" s="6"/>
      <c r="Z600" s="7">
        <f>SUM(S600:Y600)</f>
        <v>0</v>
      </c>
      <c r="AA600" s="11">
        <f t="shared" si="396"/>
        <v>5</v>
      </c>
      <c r="AB600" s="25"/>
      <c r="AC600" s="10" t="str">
        <f t="shared" si="392"/>
        <v>MarçoSEMANA 3Álcool Espuma</v>
      </c>
      <c r="AD600" s="7">
        <f>SUMIF(NF!$A:$A,$AC600,NF!$I:$I)</f>
        <v>0</v>
      </c>
      <c r="AE600" s="6"/>
      <c r="AF600" s="6"/>
      <c r="AG600" s="6"/>
      <c r="AH600" s="6"/>
      <c r="AI600" s="6"/>
      <c r="AJ600" s="6"/>
      <c r="AK600" s="6"/>
      <c r="AL600" s="7">
        <f>SUM(AE600:AK600)</f>
        <v>0</v>
      </c>
      <c r="AM600" s="11">
        <f t="shared" si="397"/>
        <v>5</v>
      </c>
      <c r="AN600" s="25"/>
      <c r="AO600" s="10" t="str">
        <f t="shared" si="393"/>
        <v>MarçoSEMANA 4Álcool Espuma</v>
      </c>
      <c r="AP600" s="7">
        <f>SUMIF(NF!$A:$A,$AO600,NF!$I:$I)</f>
        <v>0</v>
      </c>
      <c r="AQ600" s="6"/>
      <c r="AR600" s="6"/>
      <c r="AS600" s="6">
        <v>1</v>
      </c>
      <c r="AT600" s="6"/>
      <c r="AU600" s="6"/>
      <c r="AV600" s="6"/>
      <c r="AW600" s="6"/>
      <c r="AX600" s="7">
        <f>SUM(AQ600:AW600)</f>
        <v>1</v>
      </c>
      <c r="AY600" s="11">
        <f t="shared" si="398"/>
        <v>4</v>
      </c>
      <c r="AZ600" s="25"/>
      <c r="BA600" s="10" t="str">
        <f t="shared" si="394"/>
        <v>MarçoSEMANA 5Álcool Espuma</v>
      </c>
      <c r="BB600" s="7">
        <f>SUMIF(NF!$A:$A,$BA600,NF!$I:$I)</f>
        <v>0</v>
      </c>
      <c r="BC600" s="6"/>
      <c r="BD600" s="6"/>
      <c r="BE600" s="6"/>
      <c r="BF600" s="6"/>
      <c r="BG600" s="6"/>
      <c r="BH600" s="6"/>
      <c r="BI600" s="74"/>
      <c r="BJ600" s="74"/>
      <c r="BK600" s="7">
        <f>SUM(BC600:BJ600)</f>
        <v>0</v>
      </c>
      <c r="BL600" s="8">
        <f t="shared" si="399"/>
        <v>4</v>
      </c>
      <c r="BM600" s="51" t="str">
        <f>IFERROR(VLOOKUP(A600,NF!$M:$O,3,0),"")</f>
        <v>Limpeza</v>
      </c>
      <c r="BN600" s="7">
        <f t="shared" si="400"/>
        <v>2</v>
      </c>
      <c r="BO600" s="8">
        <f t="array" ref="BO600">IFERROR(LARGE(IF(NF!$G$2:$G$3137='Mês atual'!A600,NF!$J$2:$J$3137),1),0)*BN600</f>
        <v>0</v>
      </c>
      <c r="BP600" s="50"/>
      <c r="BR600" s="146">
        <f t="array" ref="BR600">IFERROR(LARGE(IF(NF!$G$2:$G$3137='Mês atual'!A600,NF!$J$2:$J$3137),1),0)</f>
        <v>0</v>
      </c>
      <c r="BS600" s="142" t="str">
        <f>VLOOKUP(A600,NF!M:O,3,0)</f>
        <v>Limpeza</v>
      </c>
      <c r="BV600" s="74">
        <f t="shared" si="342"/>
        <v>1</v>
      </c>
      <c r="BW600" s="74">
        <f t="shared" si="343"/>
        <v>0</v>
      </c>
      <c r="BX600" s="74">
        <f t="shared" si="344"/>
        <v>0</v>
      </c>
      <c r="BY600" s="74">
        <f t="shared" si="345"/>
        <v>1</v>
      </c>
      <c r="BZ600" s="74">
        <f t="shared" si="346"/>
        <v>0</v>
      </c>
    </row>
    <row r="601" spans="1:78" x14ac:dyDescent="0.25">
      <c r="A601" s="108" t="s">
        <v>991</v>
      </c>
      <c r="B601" s="12"/>
      <c r="C601" s="9">
        <v>2</v>
      </c>
      <c r="D601" s="25"/>
      <c r="E601" s="10" t="str">
        <f t="shared" si="390"/>
        <v>MarçoSEMANA 1Álcool Gel Antiséptico 800 ml</v>
      </c>
      <c r="F601" s="7">
        <f>SUMIF(NF!$A:$A,$E601,NF!$I:$I)</f>
        <v>0</v>
      </c>
      <c r="G601" s="74"/>
      <c r="H601" s="74"/>
      <c r="I601" s="74"/>
      <c r="J601" s="6"/>
      <c r="K601" s="6"/>
      <c r="L601" s="6"/>
      <c r="M601" s="6"/>
      <c r="N601" s="7">
        <f>SUM(G601:M601)</f>
        <v>0</v>
      </c>
      <c r="O601" s="11">
        <f>F601+C601-N601</f>
        <v>2</v>
      </c>
      <c r="P601" s="25"/>
      <c r="Q601" s="10" t="str">
        <f t="shared" si="391"/>
        <v>MarçoSEMANA 2Álcool Gel Antiséptico 800 ml</v>
      </c>
      <c r="R601" s="7">
        <f>SUMIF(NF!$A:$A,$Q601,NF!$I:$I)</f>
        <v>0</v>
      </c>
      <c r="S601" s="6"/>
      <c r="T601" s="6"/>
      <c r="U601" s="6"/>
      <c r="V601" s="6"/>
      <c r="W601" s="6"/>
      <c r="X601" s="6"/>
      <c r="Y601" s="6"/>
      <c r="Z601" s="7">
        <f>SUM(S601:Y601)</f>
        <v>0</v>
      </c>
      <c r="AA601" s="11">
        <f>R601+O601-Z601</f>
        <v>2</v>
      </c>
      <c r="AB601" s="25"/>
      <c r="AC601" s="10" t="str">
        <f t="shared" si="392"/>
        <v>MarçoSEMANA 3Álcool Gel Antiséptico 800 ml</v>
      </c>
      <c r="AD601" s="7">
        <f>SUMIF(NF!$A:$A,$AC601,NF!$I:$I)</f>
        <v>0</v>
      </c>
      <c r="AE601" s="6"/>
      <c r="AF601" s="6"/>
      <c r="AG601" s="6"/>
      <c r="AH601" s="6"/>
      <c r="AI601" s="6"/>
      <c r="AJ601" s="6"/>
      <c r="AK601" s="6"/>
      <c r="AL601" s="7">
        <f>SUM(AE601:AK601)</f>
        <v>0</v>
      </c>
      <c r="AM601" s="11">
        <f>AD601+AA601-AL601</f>
        <v>2</v>
      </c>
      <c r="AN601" s="25"/>
      <c r="AO601" s="10" t="str">
        <f t="shared" si="393"/>
        <v>MarçoSEMANA 4Álcool Gel Antiséptico 800 ml</v>
      </c>
      <c r="AP601" s="7">
        <f>SUMIF(NF!$A:$A,$AO601,NF!$I:$I)</f>
        <v>0</v>
      </c>
      <c r="AQ601" s="6">
        <v>1</v>
      </c>
      <c r="AR601" s="6"/>
      <c r="AS601" s="6"/>
      <c r="AT601" s="6"/>
      <c r="AU601" s="6"/>
      <c r="AV601" s="6"/>
      <c r="AW601" s="6"/>
      <c r="AX601" s="7">
        <f>SUM(AQ601:AW601)</f>
        <v>1</v>
      </c>
      <c r="AY601" s="11">
        <f>AP601+AM601-AX601</f>
        <v>1</v>
      </c>
      <c r="AZ601" s="25"/>
      <c r="BA601" s="10" t="str">
        <f t="shared" si="394"/>
        <v>MarçoSEMANA 5Álcool Gel Antiséptico 800 ml</v>
      </c>
      <c r="BB601" s="7">
        <f>SUMIF(NF!$A:$A,$BA601,NF!$I:$I)</f>
        <v>0</v>
      </c>
      <c r="BC601" s="6"/>
      <c r="BD601" s="6"/>
      <c r="BE601" s="6"/>
      <c r="BF601" s="6"/>
      <c r="BG601" s="6"/>
      <c r="BH601" s="6"/>
      <c r="BI601" s="74"/>
      <c r="BJ601" s="74"/>
      <c r="BK601" s="7">
        <f>SUM(BC601:BJ601)</f>
        <v>0</v>
      </c>
      <c r="BL601" s="8">
        <f>BB601+AY601-BK601</f>
        <v>1</v>
      </c>
      <c r="BM601" s="51" t="str">
        <f>IFERROR(VLOOKUP(A601,NF!$M:$O,3,0),"")</f>
        <v>Limpeza</v>
      </c>
      <c r="BN601" s="7">
        <f>SUM(N601,Z601,AL601,AX601,BK601)</f>
        <v>1</v>
      </c>
      <c r="BO601" s="8">
        <f t="array" ref="BO601">IFERROR(LARGE(IF(NF!$G$2:$G$3137='Mês atual'!A601,NF!$J$2:$J$3137),1),0)*BN601</f>
        <v>0</v>
      </c>
      <c r="BP601" s="50"/>
      <c r="BR601" s="146">
        <f t="array" ref="BR601">IFERROR(LARGE(IF(NF!$G$2:$G$3137='Mês atual'!A601,NF!$J$2:$J$3137),1),0)</f>
        <v>0</v>
      </c>
      <c r="BS601" s="142" t="str">
        <f>VLOOKUP(A601,NF!M:O,3,0)</f>
        <v>Limpeza</v>
      </c>
      <c r="BV601" s="74">
        <f t="shared" si="342"/>
        <v>0</v>
      </c>
      <c r="BW601" s="74">
        <f t="shared" si="343"/>
        <v>0</v>
      </c>
      <c r="BX601" s="74">
        <f t="shared" si="344"/>
        <v>0</v>
      </c>
      <c r="BY601" s="74">
        <f t="shared" si="345"/>
        <v>1</v>
      </c>
      <c r="BZ601" s="74">
        <f t="shared" si="346"/>
        <v>0</v>
      </c>
    </row>
    <row r="602" spans="1:78" x14ac:dyDescent="0.2">
      <c r="A602" s="108" t="s">
        <v>120</v>
      </c>
      <c r="B602" s="12"/>
      <c r="C602" s="9">
        <v>0</v>
      </c>
      <c r="D602" s="25"/>
      <c r="E602" s="10" t="str">
        <f t="shared" si="390"/>
        <v>MarçoSEMANA 1Ammoniated Glas Cln (Limpa vidro) BB 5L</v>
      </c>
      <c r="F602" s="7">
        <f>SUMIF(NF!$A:$A,$E602,NF!$I:$I)</f>
        <v>0</v>
      </c>
      <c r="G602" s="74"/>
      <c r="H602" s="74"/>
      <c r="I602" s="74"/>
      <c r="J602" s="6"/>
      <c r="K602" s="6"/>
      <c r="L602" s="6"/>
      <c r="M602" s="6"/>
      <c r="N602" s="7">
        <f t="shared" ref="N602:N621" si="401">SUM(G602:M602)</f>
        <v>0</v>
      </c>
      <c r="O602" s="11">
        <f t="shared" si="395"/>
        <v>0</v>
      </c>
      <c r="P602" s="25"/>
      <c r="Q602" s="10" t="str">
        <f t="shared" si="391"/>
        <v>MarçoSEMANA 2Ammoniated Glas Cln (Limpa vidro) BB 5L</v>
      </c>
      <c r="R602" s="7">
        <f>SUMIF(NF!$A:$A,$Q602,NF!$I:$I)</f>
        <v>1</v>
      </c>
      <c r="S602" s="6"/>
      <c r="T602" s="6"/>
      <c r="U602" s="6"/>
      <c r="V602" s="6"/>
      <c r="W602" s="6"/>
      <c r="X602" s="6"/>
      <c r="Y602" s="6"/>
      <c r="Z602" s="7">
        <f t="shared" ref="Z602:Z621" si="402">SUM(S602:Y602)</f>
        <v>0</v>
      </c>
      <c r="AA602" s="11">
        <f t="shared" si="396"/>
        <v>1</v>
      </c>
      <c r="AB602" s="25"/>
      <c r="AC602" s="10" t="str">
        <f t="shared" si="392"/>
        <v>MarçoSEMANA 3Ammoniated Glas Cln (Limpa vidro) BB 5L</v>
      </c>
      <c r="AD602" s="7">
        <f>SUMIF(NF!$A:$A,$AC602,NF!$I:$I)</f>
        <v>0</v>
      </c>
      <c r="AE602" s="6"/>
      <c r="AF602" s="6"/>
      <c r="AG602" s="6"/>
      <c r="AH602" s="6"/>
      <c r="AI602" s="6">
        <v>1</v>
      </c>
      <c r="AJ602" s="6"/>
      <c r="AK602" s="6"/>
      <c r="AL602" s="7">
        <f t="shared" ref="AL602:AL621" si="403">SUM(AE602:AK602)</f>
        <v>1</v>
      </c>
      <c r="AM602" s="11">
        <f t="shared" si="397"/>
        <v>0</v>
      </c>
      <c r="AN602" s="25"/>
      <c r="AO602" s="10" t="str">
        <f t="shared" si="393"/>
        <v>MarçoSEMANA 4Ammoniated Glas Cln (Limpa vidro) BB 5L</v>
      </c>
      <c r="AP602" s="7">
        <f>SUMIF(NF!$A:$A,$AO602,NF!$I:$I)</f>
        <v>0</v>
      </c>
      <c r="AQ602" s="6"/>
      <c r="AR602" s="6"/>
      <c r="AS602" s="6"/>
      <c r="AT602" s="6"/>
      <c r="AU602" s="6"/>
      <c r="AV602" s="6"/>
      <c r="AW602" s="6"/>
      <c r="AX602" s="7">
        <f t="shared" ref="AX602:AX621" si="404">SUM(AQ602:AW602)</f>
        <v>0</v>
      </c>
      <c r="AY602" s="11">
        <f t="shared" si="398"/>
        <v>0</v>
      </c>
      <c r="AZ602" s="25"/>
      <c r="BA602" s="10" t="str">
        <f t="shared" si="394"/>
        <v>MarçoSEMANA 5Ammoniated Glas Cln (Limpa vidro) BB 5L</v>
      </c>
      <c r="BB602" s="7">
        <f>SUMIF(NF!$A:$A,$BA602,NF!$I:$I)</f>
        <v>0</v>
      </c>
      <c r="BC602" s="6"/>
      <c r="BD602" s="6"/>
      <c r="BE602" s="6"/>
      <c r="BF602" s="6"/>
      <c r="BG602" s="6"/>
      <c r="BH602" s="6"/>
      <c r="BI602" s="74"/>
      <c r="BJ602" s="74"/>
      <c r="BK602" s="7">
        <f t="shared" ref="BK602:BK621" si="405">SUM(BC602:BJ602)</f>
        <v>0</v>
      </c>
      <c r="BL602" s="8">
        <f t="shared" si="399"/>
        <v>0</v>
      </c>
      <c r="BM602" s="51" t="str">
        <f>IFERROR(VLOOKUP(A602,NF!$M:$O,3,0),"")</f>
        <v>Limpeza</v>
      </c>
      <c r="BN602" s="7">
        <f t="shared" si="400"/>
        <v>1</v>
      </c>
      <c r="BO602" s="8">
        <f t="array" ref="BO602">IFERROR(LARGE(IF(NF!$G$2:$G$3137='Mês atual'!A602,NF!$J$2:$J$3137),1),0)*BN602</f>
        <v>479.33</v>
      </c>
      <c r="BP602" s="50"/>
      <c r="BR602" s="146">
        <f t="array" ref="BR602">IFERROR(LARGE(IF(NF!$G$2:$G$3137='Mês atual'!A602,NF!$J$2:$J$3137),1),0)</f>
        <v>479.33</v>
      </c>
      <c r="BS602" s="142" t="str">
        <f>VLOOKUP(A602,NF!M:O,3,0)</f>
        <v>Limpeza</v>
      </c>
      <c r="BV602" s="74">
        <f t="shared" si="342"/>
        <v>0</v>
      </c>
      <c r="BW602" s="74">
        <f t="shared" si="343"/>
        <v>0</v>
      </c>
      <c r="BX602" s="74">
        <f t="shared" si="344"/>
        <v>1</v>
      </c>
      <c r="BY602" s="74">
        <f t="shared" si="345"/>
        <v>0</v>
      </c>
      <c r="BZ602" s="74">
        <f t="shared" si="346"/>
        <v>0</v>
      </c>
    </row>
    <row r="603" spans="1:78" x14ac:dyDescent="0.25">
      <c r="A603" s="108" t="s">
        <v>125</v>
      </c>
      <c r="B603" s="12"/>
      <c r="C603" s="9">
        <v>0</v>
      </c>
      <c r="D603" s="25"/>
      <c r="E603" s="10" t="str">
        <f t="shared" si="390"/>
        <v>MarçoSEMANA 1Antibacterial Detergentye p/ mãos Bb 5lt</v>
      </c>
      <c r="F603" s="7">
        <f>SUMIF(NF!$A:$A,$E603,NF!$I:$I)</f>
        <v>1</v>
      </c>
      <c r="G603" s="74"/>
      <c r="H603" s="74"/>
      <c r="I603" s="74"/>
      <c r="J603" s="6">
        <v>1</v>
      </c>
      <c r="K603" s="6"/>
      <c r="L603" s="6"/>
      <c r="M603" s="6"/>
      <c r="N603" s="7">
        <f t="shared" si="401"/>
        <v>1</v>
      </c>
      <c r="O603" s="11">
        <f t="shared" si="395"/>
        <v>0</v>
      </c>
      <c r="P603" s="25"/>
      <c r="Q603" s="10" t="str">
        <f t="shared" si="391"/>
        <v>MarçoSEMANA 2Antibacterial Detergentye p/ mãos Bb 5lt</v>
      </c>
      <c r="R603" s="7">
        <f>SUMIF(NF!$A:$A,$Q603,NF!$I:$I)</f>
        <v>1</v>
      </c>
      <c r="S603" s="6"/>
      <c r="T603" s="6"/>
      <c r="U603" s="6"/>
      <c r="V603" s="6"/>
      <c r="W603" s="6"/>
      <c r="X603" s="6"/>
      <c r="Y603" s="6"/>
      <c r="Z603" s="7">
        <f t="shared" si="402"/>
        <v>0</v>
      </c>
      <c r="AA603" s="11">
        <f t="shared" si="396"/>
        <v>1</v>
      </c>
      <c r="AB603" s="25"/>
      <c r="AC603" s="10" t="str">
        <f t="shared" si="392"/>
        <v>MarçoSEMANA 3Antibacterial Detergentye p/ mãos Bb 5lt</v>
      </c>
      <c r="AD603" s="7">
        <f>SUMIF(NF!$A:$A,$AC603,NF!$I:$I)</f>
        <v>0</v>
      </c>
      <c r="AE603" s="6"/>
      <c r="AF603" s="6"/>
      <c r="AG603" s="6"/>
      <c r="AH603" s="6"/>
      <c r="AI603" s="6"/>
      <c r="AJ603" s="6"/>
      <c r="AK603" s="6"/>
      <c r="AL603" s="7">
        <f t="shared" si="403"/>
        <v>0</v>
      </c>
      <c r="AM603" s="11">
        <f t="shared" si="397"/>
        <v>1</v>
      </c>
      <c r="AN603" s="25"/>
      <c r="AO603" s="10" t="str">
        <f t="shared" si="393"/>
        <v>MarçoSEMANA 4Antibacterial Detergentye p/ mãos Bb 5lt</v>
      </c>
      <c r="AP603" s="7">
        <f>SUMIF(NF!$A:$A,$AO603,NF!$I:$I)</f>
        <v>0</v>
      </c>
      <c r="AQ603" s="6"/>
      <c r="AR603" s="6"/>
      <c r="AS603" s="6"/>
      <c r="AT603" s="6"/>
      <c r="AU603" s="6"/>
      <c r="AV603" s="6"/>
      <c r="AW603" s="6"/>
      <c r="AX603" s="7">
        <f t="shared" si="404"/>
        <v>0</v>
      </c>
      <c r="AY603" s="11">
        <f t="shared" si="398"/>
        <v>1</v>
      </c>
      <c r="AZ603" s="25"/>
      <c r="BA603" s="10" t="str">
        <f t="shared" si="394"/>
        <v>MarçoSEMANA 5Antibacterial Detergentye p/ mãos Bb 5lt</v>
      </c>
      <c r="BB603" s="7">
        <f>SUMIF(NF!$A:$A,$BA603,NF!$I:$I)</f>
        <v>0</v>
      </c>
      <c r="BC603" s="6"/>
      <c r="BD603" s="6">
        <v>1</v>
      </c>
      <c r="BE603" s="6"/>
      <c r="BF603" s="6"/>
      <c r="BG603" s="6"/>
      <c r="BH603" s="6"/>
      <c r="BI603" s="74"/>
      <c r="BJ603" s="74"/>
      <c r="BK603" s="7">
        <f t="shared" si="405"/>
        <v>1</v>
      </c>
      <c r="BL603" s="8">
        <f t="shared" si="399"/>
        <v>0</v>
      </c>
      <c r="BM603" s="51" t="str">
        <f>IFERROR(VLOOKUP(A603,NF!$M:$O,3,0),"")</f>
        <v>Limpeza</v>
      </c>
      <c r="BN603" s="7">
        <f t="shared" si="400"/>
        <v>2</v>
      </c>
      <c r="BO603" s="8">
        <f t="array" ref="BO603">IFERROR(LARGE(IF(NF!$G$2:$G$3137='Mês atual'!A603,NF!$J$2:$J$3137),1),0)*BN603</f>
        <v>310.42</v>
      </c>
      <c r="BP603" s="50"/>
      <c r="BR603" s="146">
        <f t="array" ref="BR603">IFERROR(LARGE(IF(NF!$G$2:$G$3137='Mês atual'!A603,NF!$J$2:$J$3137),1),0)</f>
        <v>155.21</v>
      </c>
      <c r="BS603" s="142" t="str">
        <f>VLOOKUP(A603,NF!M:O,3,0)</f>
        <v>Limpeza</v>
      </c>
      <c r="BV603" s="74">
        <f t="shared" si="342"/>
        <v>1</v>
      </c>
      <c r="BW603" s="74">
        <f t="shared" si="343"/>
        <v>0</v>
      </c>
      <c r="BX603" s="74">
        <f t="shared" si="344"/>
        <v>0</v>
      </c>
      <c r="BY603" s="74">
        <f t="shared" si="345"/>
        <v>0</v>
      </c>
      <c r="BZ603" s="74">
        <f t="shared" si="346"/>
        <v>1</v>
      </c>
    </row>
    <row r="604" spans="1:78" x14ac:dyDescent="0.2">
      <c r="A604" s="108" t="s">
        <v>284</v>
      </c>
      <c r="B604" s="12"/>
      <c r="C604" s="9">
        <v>0</v>
      </c>
      <c r="D604" s="25"/>
      <c r="E604" s="10" t="str">
        <f t="shared" si="390"/>
        <v>MarçoSEMANA 1Cloril saco 20 kg</v>
      </c>
      <c r="F604" s="7">
        <f>SUMIF(NF!$A:$A,$E604,NF!$I:$I)</f>
        <v>0</v>
      </c>
      <c r="G604" s="74"/>
      <c r="H604" s="74"/>
      <c r="I604" s="74"/>
      <c r="J604" s="6"/>
      <c r="K604" s="6"/>
      <c r="L604" s="6"/>
      <c r="M604" s="6"/>
      <c r="N604" s="7">
        <f t="shared" si="401"/>
        <v>0</v>
      </c>
      <c r="O604" s="11">
        <f t="shared" si="395"/>
        <v>0</v>
      </c>
      <c r="P604" s="25"/>
      <c r="Q604" s="10" t="str">
        <f t="shared" si="391"/>
        <v>MarçoSEMANA 2Cloril saco 20 kg</v>
      </c>
      <c r="R604" s="7">
        <f>SUMIF(NF!$A:$A,$Q604,NF!$I:$I)</f>
        <v>0</v>
      </c>
      <c r="S604" s="6"/>
      <c r="T604" s="6"/>
      <c r="U604" s="6"/>
      <c r="V604" s="6"/>
      <c r="W604" s="6"/>
      <c r="X604" s="6"/>
      <c r="Y604" s="6"/>
      <c r="Z604" s="7">
        <f t="shared" si="402"/>
        <v>0</v>
      </c>
      <c r="AA604" s="11">
        <f t="shared" si="396"/>
        <v>0</v>
      </c>
      <c r="AB604" s="25"/>
      <c r="AC604" s="10" t="str">
        <f t="shared" si="392"/>
        <v>MarçoSEMANA 3Cloril saco 20 kg</v>
      </c>
      <c r="AD604" s="7">
        <f>SUMIF(NF!$A:$A,$AC604,NF!$I:$I)</f>
        <v>0</v>
      </c>
      <c r="AE604" s="6"/>
      <c r="AF604" s="6"/>
      <c r="AG604" s="6"/>
      <c r="AH604" s="6"/>
      <c r="AI604" s="6"/>
      <c r="AJ604" s="6"/>
      <c r="AK604" s="6"/>
      <c r="AL604" s="7">
        <f t="shared" si="403"/>
        <v>0</v>
      </c>
      <c r="AM604" s="11">
        <f t="shared" si="397"/>
        <v>0</v>
      </c>
      <c r="AN604" s="25"/>
      <c r="AO604" s="10" t="str">
        <f t="shared" si="393"/>
        <v>MarçoSEMANA 4Cloril saco 20 kg</v>
      </c>
      <c r="AP604" s="7">
        <f>SUMIF(NF!$A:$A,$AO604,NF!$I:$I)</f>
        <v>0</v>
      </c>
      <c r="AQ604" s="6"/>
      <c r="AR604" s="6"/>
      <c r="AS604" s="6"/>
      <c r="AT604" s="6"/>
      <c r="AU604" s="6"/>
      <c r="AV604" s="6"/>
      <c r="AW604" s="6"/>
      <c r="AX604" s="7">
        <f t="shared" si="404"/>
        <v>0</v>
      </c>
      <c r="AY604" s="11">
        <f t="shared" si="398"/>
        <v>0</v>
      </c>
      <c r="AZ604" s="25"/>
      <c r="BA604" s="10" t="str">
        <f t="shared" si="394"/>
        <v>MarçoSEMANA 5Cloril saco 20 kg</v>
      </c>
      <c r="BB604" s="7">
        <f>SUMIF(NF!$A:$A,$BA604,NF!$I:$I)</f>
        <v>0</v>
      </c>
      <c r="BC604" s="6"/>
      <c r="BD604" s="6"/>
      <c r="BE604" s="6"/>
      <c r="BF604" s="6"/>
      <c r="BG604" s="6"/>
      <c r="BH604" s="6"/>
      <c r="BI604" s="74"/>
      <c r="BJ604" s="74"/>
      <c r="BK604" s="7">
        <f t="shared" si="405"/>
        <v>0</v>
      </c>
      <c r="BL604" s="8">
        <f t="shared" si="399"/>
        <v>0</v>
      </c>
      <c r="BM604" s="51" t="str">
        <f>IFERROR(VLOOKUP(A604,NF!$M:$O,3,0),"")</f>
        <v>Limpeza</v>
      </c>
      <c r="BN604" s="7">
        <f t="shared" si="400"/>
        <v>0</v>
      </c>
      <c r="BO604" s="8">
        <f t="array" ref="BO604">IFERROR(LARGE(IF(NF!$G$2:$G$3137='Mês atual'!A604,NF!$J$2:$J$3137),1),0)*BN604</f>
        <v>0</v>
      </c>
      <c r="BP604" s="50"/>
      <c r="BR604" s="146">
        <f t="array" ref="BR604">IFERROR(LARGE(IF(NF!$G$2:$G$3137='Mês atual'!A604,NF!$J$2:$J$3137),1),0)</f>
        <v>0</v>
      </c>
      <c r="BS604" s="142" t="str">
        <f>VLOOKUP(A604,NF!M:O,3,0)</f>
        <v>Limpeza</v>
      </c>
      <c r="BV604" s="74">
        <f t="shared" si="342"/>
        <v>0</v>
      </c>
      <c r="BW604" s="74">
        <f t="shared" si="343"/>
        <v>0</v>
      </c>
      <c r="BX604" s="74">
        <f t="shared" si="344"/>
        <v>0</v>
      </c>
      <c r="BY604" s="74">
        <f t="shared" si="345"/>
        <v>0</v>
      </c>
      <c r="BZ604" s="74">
        <f t="shared" si="346"/>
        <v>0</v>
      </c>
    </row>
    <row r="605" spans="1:78" x14ac:dyDescent="0.2">
      <c r="A605" s="108" t="s">
        <v>320</v>
      </c>
      <c r="B605" s="12"/>
      <c r="C605" s="9">
        <v>4</v>
      </c>
      <c r="D605" s="25"/>
      <c r="E605" s="10" t="str">
        <f t="shared" si="390"/>
        <v>MarçoSEMANA 1Detergente Emulsionante (Coifa) Bb 5 Lt</v>
      </c>
      <c r="F605" s="7">
        <f>SUMIF(NF!$A:$A,$E605,NF!$I:$I)</f>
        <v>0</v>
      </c>
      <c r="G605" s="74"/>
      <c r="H605" s="74"/>
      <c r="I605" s="74"/>
      <c r="J605" s="6"/>
      <c r="K605" s="6"/>
      <c r="L605" s="6"/>
      <c r="M605" s="6"/>
      <c r="N605" s="7">
        <f t="shared" si="401"/>
        <v>0</v>
      </c>
      <c r="O605" s="11">
        <f t="shared" si="395"/>
        <v>4</v>
      </c>
      <c r="P605" s="25"/>
      <c r="Q605" s="10" t="str">
        <f t="shared" si="391"/>
        <v>MarçoSEMANA 2Detergente Emulsionante (Coifa) Bb 5 Lt</v>
      </c>
      <c r="R605" s="7">
        <f>SUMIF(NF!$A:$A,$Q605,NF!$I:$I)</f>
        <v>0</v>
      </c>
      <c r="S605" s="6"/>
      <c r="T605" s="6"/>
      <c r="U605" s="6"/>
      <c r="V605" s="6"/>
      <c r="W605" s="6"/>
      <c r="X605" s="6"/>
      <c r="Y605" s="6"/>
      <c r="Z605" s="7">
        <f t="shared" si="402"/>
        <v>0</v>
      </c>
      <c r="AA605" s="11">
        <f t="shared" si="396"/>
        <v>4</v>
      </c>
      <c r="AB605" s="25"/>
      <c r="AC605" s="10" t="str">
        <f t="shared" si="392"/>
        <v>MarçoSEMANA 3Detergente Emulsionante (Coifa) Bb 5 Lt</v>
      </c>
      <c r="AD605" s="7">
        <f>SUMIF(NF!$A:$A,$AC605,NF!$I:$I)</f>
        <v>0</v>
      </c>
      <c r="AE605" s="6"/>
      <c r="AF605" s="6"/>
      <c r="AG605" s="6"/>
      <c r="AH605" s="6"/>
      <c r="AI605" s="6"/>
      <c r="AJ605" s="6"/>
      <c r="AK605" s="6"/>
      <c r="AL605" s="7">
        <f t="shared" si="403"/>
        <v>0</v>
      </c>
      <c r="AM605" s="11">
        <f t="shared" si="397"/>
        <v>4</v>
      </c>
      <c r="AN605" s="25"/>
      <c r="AO605" s="10" t="str">
        <f t="shared" si="393"/>
        <v>MarçoSEMANA 4Detergente Emulsionante (Coifa) Bb 5 Lt</v>
      </c>
      <c r="AP605" s="7">
        <f>SUMIF(NF!$A:$A,$AO605,NF!$I:$I)</f>
        <v>0</v>
      </c>
      <c r="AQ605" s="6"/>
      <c r="AR605" s="6"/>
      <c r="AS605" s="6"/>
      <c r="AT605" s="6"/>
      <c r="AU605" s="6"/>
      <c r="AV605" s="6"/>
      <c r="AW605" s="6"/>
      <c r="AX605" s="7">
        <f t="shared" si="404"/>
        <v>0</v>
      </c>
      <c r="AY605" s="11">
        <f t="shared" si="398"/>
        <v>4</v>
      </c>
      <c r="AZ605" s="25"/>
      <c r="BA605" s="10" t="str">
        <f t="shared" si="394"/>
        <v>MarçoSEMANA 5Detergente Emulsionante (Coifa) Bb 5 Lt</v>
      </c>
      <c r="BB605" s="7">
        <f>SUMIF(NF!$A:$A,$BA605,NF!$I:$I)</f>
        <v>0</v>
      </c>
      <c r="BC605" s="6"/>
      <c r="BD605" s="6"/>
      <c r="BE605" s="6"/>
      <c r="BF605" s="6">
        <v>1</v>
      </c>
      <c r="BG605" s="6"/>
      <c r="BH605" s="6"/>
      <c r="BI605" s="74"/>
      <c r="BJ605" s="74"/>
      <c r="BK605" s="7">
        <f t="shared" si="405"/>
        <v>1</v>
      </c>
      <c r="BL605" s="8">
        <f t="shared" si="399"/>
        <v>3</v>
      </c>
      <c r="BM605" s="51" t="str">
        <f>IFERROR(VLOOKUP(A605,NF!$M:$O,3,0),"")</f>
        <v>Limpeza</v>
      </c>
      <c r="BN605" s="7">
        <f t="shared" si="400"/>
        <v>1</v>
      </c>
      <c r="BO605" s="8">
        <f t="array" ref="BO605">IFERROR(LARGE(IF(NF!$G$2:$G$3137='Mês atual'!A605,NF!$J$2:$J$3137),1),0)*BN605</f>
        <v>0</v>
      </c>
      <c r="BP605" s="50"/>
      <c r="BR605" s="146">
        <f t="array" ref="BR605">IFERROR(LARGE(IF(NF!$G$2:$G$3137='Mês atual'!A605,NF!$J$2:$J$3137),1),0)</f>
        <v>0</v>
      </c>
      <c r="BS605" s="142" t="str">
        <f>VLOOKUP(A605,NF!M:O,3,0)</f>
        <v>Limpeza</v>
      </c>
      <c r="BV605" s="74">
        <f t="shared" si="342"/>
        <v>0</v>
      </c>
      <c r="BW605" s="74">
        <f t="shared" si="343"/>
        <v>0</v>
      </c>
      <c r="BX605" s="74">
        <f t="shared" si="344"/>
        <v>0</v>
      </c>
      <c r="BY605" s="74">
        <f t="shared" si="345"/>
        <v>0</v>
      </c>
      <c r="BZ605" s="74">
        <f t="shared" si="346"/>
        <v>1</v>
      </c>
    </row>
    <row r="606" spans="1:78" x14ac:dyDescent="0.2">
      <c r="A606" s="108" t="s">
        <v>335</v>
      </c>
      <c r="B606" s="12"/>
      <c r="C606" s="9">
        <v>11</v>
      </c>
      <c r="D606" s="25"/>
      <c r="E606" s="10" t="str">
        <f t="shared" si="390"/>
        <v>MarçoSEMANA 1Esponja Dupla Face</v>
      </c>
      <c r="F606" s="7">
        <f>SUMIF(NF!$A:$A,$E606,NF!$I:$I)</f>
        <v>0</v>
      </c>
      <c r="G606" s="74"/>
      <c r="H606" s="74"/>
      <c r="I606" s="74"/>
      <c r="J606" s="6">
        <f>3+(2)</f>
        <v>5</v>
      </c>
      <c r="K606" s="6">
        <v>1</v>
      </c>
      <c r="L606" s="6">
        <v>1</v>
      </c>
      <c r="M606" s="6"/>
      <c r="N606" s="7">
        <f t="shared" si="401"/>
        <v>7</v>
      </c>
      <c r="O606" s="11">
        <f t="shared" si="395"/>
        <v>4</v>
      </c>
      <c r="P606" s="25"/>
      <c r="Q606" s="10" t="str">
        <f t="shared" si="391"/>
        <v>MarçoSEMANA 2Esponja Dupla Face</v>
      </c>
      <c r="R606" s="7">
        <f>SUMIF(NF!$A:$A,$Q606,NF!$I:$I)</f>
        <v>10</v>
      </c>
      <c r="S606" s="6"/>
      <c r="T606" s="6">
        <v>2</v>
      </c>
      <c r="U606" s="6">
        <v>1</v>
      </c>
      <c r="V606" s="6">
        <v>1</v>
      </c>
      <c r="W606" s="6"/>
      <c r="X606" s="6">
        <v>1</v>
      </c>
      <c r="Y606" s="6"/>
      <c r="Z606" s="7">
        <f>SUM(S606:Y606)</f>
        <v>5</v>
      </c>
      <c r="AA606" s="11">
        <f t="shared" si="396"/>
        <v>9</v>
      </c>
      <c r="AB606" s="25"/>
      <c r="AC606" s="10" t="str">
        <f t="shared" si="392"/>
        <v>MarçoSEMANA 3Esponja Dupla Face</v>
      </c>
      <c r="AD606" s="7">
        <f>SUMIF(NF!$A:$A,$AC606,NF!$I:$I)</f>
        <v>17</v>
      </c>
      <c r="AE606" s="6">
        <v>1</v>
      </c>
      <c r="AF606" s="6">
        <v>1</v>
      </c>
      <c r="AG606" s="6">
        <v>2</v>
      </c>
      <c r="AH606" s="6">
        <v>2</v>
      </c>
      <c r="AI606" s="6"/>
      <c r="AJ606" s="6"/>
      <c r="AK606" s="6"/>
      <c r="AL606" s="7">
        <f t="shared" si="403"/>
        <v>6</v>
      </c>
      <c r="AM606" s="11">
        <f t="shared" si="397"/>
        <v>20</v>
      </c>
      <c r="AN606" s="25"/>
      <c r="AO606" s="10" t="str">
        <f t="shared" si="393"/>
        <v>MarçoSEMANA 4Esponja Dupla Face</v>
      </c>
      <c r="AP606" s="7">
        <f>SUMIF(NF!$A:$A,$AO606,NF!$I:$I)</f>
        <v>0</v>
      </c>
      <c r="AQ606" s="6"/>
      <c r="AR606" s="6">
        <v>4</v>
      </c>
      <c r="AS606" s="6">
        <v>1</v>
      </c>
      <c r="AT606" s="6"/>
      <c r="AU606" s="6"/>
      <c r="AV606" s="6">
        <v>1</v>
      </c>
      <c r="AW606" s="6"/>
      <c r="AX606" s="7">
        <f t="shared" si="404"/>
        <v>6</v>
      </c>
      <c r="AY606" s="11">
        <f t="shared" si="398"/>
        <v>14</v>
      </c>
      <c r="AZ606" s="25"/>
      <c r="BA606" s="10" t="str">
        <f t="shared" si="394"/>
        <v>MarçoSEMANA 5Esponja Dupla Face</v>
      </c>
      <c r="BB606" s="7">
        <f>SUMIF(NF!$A:$A,$BA606,NF!$I:$I)</f>
        <v>5</v>
      </c>
      <c r="BC606" s="6"/>
      <c r="BD606" s="6">
        <v>2</v>
      </c>
      <c r="BE606" s="6"/>
      <c r="BF606" s="6">
        <v>2</v>
      </c>
      <c r="BG606" s="6"/>
      <c r="BH606" s="6"/>
      <c r="BI606" s="74"/>
      <c r="BJ606" s="74"/>
      <c r="BK606" s="7">
        <f t="shared" si="405"/>
        <v>4</v>
      </c>
      <c r="BL606" s="8">
        <f t="shared" si="399"/>
        <v>15</v>
      </c>
      <c r="BM606" s="51" t="str">
        <f>IFERROR(VLOOKUP(A606,NF!$M:$O,3,0),"")</f>
        <v>Limpeza</v>
      </c>
      <c r="BN606" s="7">
        <f t="shared" si="400"/>
        <v>28</v>
      </c>
      <c r="BO606" s="8">
        <f t="array" ref="BO606">IFERROR(LARGE(IF(NF!$G$2:$G$3137='Mês atual'!A606,NF!$J$2:$J$3137),1),0)*BN606</f>
        <v>27.047999999999998</v>
      </c>
      <c r="BP606" s="50"/>
      <c r="BR606" s="146">
        <f t="array" ref="BR606">IFERROR(LARGE(IF(NF!$G$2:$G$3137='Mês atual'!A606,NF!$J$2:$J$3137),1),0)</f>
        <v>0.96599999999999997</v>
      </c>
      <c r="BS606" s="142" t="str">
        <f>VLOOKUP(A606,NF!M:O,3,0)</f>
        <v>Limpeza</v>
      </c>
      <c r="BV606" s="74">
        <f t="shared" si="342"/>
        <v>7</v>
      </c>
      <c r="BW606" s="74">
        <f t="shared" si="343"/>
        <v>5</v>
      </c>
      <c r="BX606" s="74">
        <f t="shared" si="344"/>
        <v>6</v>
      </c>
      <c r="BY606" s="74">
        <f t="shared" si="345"/>
        <v>6</v>
      </c>
      <c r="BZ606" s="74">
        <f t="shared" si="346"/>
        <v>4</v>
      </c>
    </row>
    <row r="607" spans="1:78" x14ac:dyDescent="0.25">
      <c r="A607" s="108" t="s">
        <v>355</v>
      </c>
      <c r="B607" s="12"/>
      <c r="C607" s="9">
        <v>7</v>
      </c>
      <c r="D607" s="25"/>
      <c r="E607" s="10" t="str">
        <f t="shared" si="390"/>
        <v>MarçoSEMANA 1Fibraço</v>
      </c>
      <c r="F607" s="7">
        <f>SUMIF(NF!$A:$A,$E607,NF!$I:$I)</f>
        <v>0</v>
      </c>
      <c r="G607" s="74"/>
      <c r="H607" s="74"/>
      <c r="I607" s="74"/>
      <c r="J607" s="6">
        <f>2+(2)</f>
        <v>4</v>
      </c>
      <c r="K607" s="6">
        <v>1</v>
      </c>
      <c r="L607" s="6">
        <v>2</v>
      </c>
      <c r="M607" s="6"/>
      <c r="N607" s="7">
        <f t="shared" si="401"/>
        <v>7</v>
      </c>
      <c r="O607" s="11">
        <f t="shared" si="395"/>
        <v>0</v>
      </c>
      <c r="P607" s="25"/>
      <c r="Q607" s="10" t="str">
        <f t="shared" si="391"/>
        <v>MarçoSEMANA 2Fibraço</v>
      </c>
      <c r="R607" s="7">
        <f>SUMIF(NF!$A:$A,$Q607,NF!$I:$I)</f>
        <v>20</v>
      </c>
      <c r="S607" s="6">
        <v>2</v>
      </c>
      <c r="T607" s="6"/>
      <c r="U607" s="6"/>
      <c r="V607" s="6">
        <v>1</v>
      </c>
      <c r="W607" s="6">
        <v>2</v>
      </c>
      <c r="X607" s="6"/>
      <c r="Y607" s="6">
        <v>1</v>
      </c>
      <c r="Z607" s="7">
        <f>SUM(S607:Y607)</f>
        <v>6</v>
      </c>
      <c r="AA607" s="11">
        <f t="shared" si="396"/>
        <v>14</v>
      </c>
      <c r="AB607" s="25"/>
      <c r="AC607" s="10" t="str">
        <f t="shared" si="392"/>
        <v>MarçoSEMANA 3Fibraço</v>
      </c>
      <c r="AD607" s="7">
        <f>SUMIF(NF!$A:$A,$AC607,NF!$I:$I)</f>
        <v>20</v>
      </c>
      <c r="AE607" s="6">
        <v>1</v>
      </c>
      <c r="AF607" s="6">
        <v>2</v>
      </c>
      <c r="AG607" s="6"/>
      <c r="AH607" s="6">
        <v>2</v>
      </c>
      <c r="AI607" s="6"/>
      <c r="AJ607" s="6">
        <v>1</v>
      </c>
      <c r="AK607" s="6">
        <v>1</v>
      </c>
      <c r="AL607" s="7">
        <f t="shared" si="403"/>
        <v>7</v>
      </c>
      <c r="AM607" s="11">
        <f t="shared" si="397"/>
        <v>27</v>
      </c>
      <c r="AN607" s="25"/>
      <c r="AO607" s="10" t="str">
        <f t="shared" si="393"/>
        <v>MarçoSEMANA 4Fibraço</v>
      </c>
      <c r="AP607" s="7">
        <f>SUMIF(NF!$A:$A,$AO607,NF!$I:$I)</f>
        <v>0</v>
      </c>
      <c r="AQ607" s="6"/>
      <c r="AR607" s="6">
        <v>1</v>
      </c>
      <c r="AS607" s="6">
        <v>2</v>
      </c>
      <c r="AT607" s="6"/>
      <c r="AU607" s="6">
        <v>2</v>
      </c>
      <c r="AV607" s="6"/>
      <c r="AW607" s="6">
        <v>2</v>
      </c>
      <c r="AX607" s="7">
        <f t="shared" si="404"/>
        <v>7</v>
      </c>
      <c r="AY607" s="11">
        <f t="shared" si="398"/>
        <v>20</v>
      </c>
      <c r="AZ607" s="25"/>
      <c r="BA607" s="10" t="str">
        <f t="shared" si="394"/>
        <v>MarçoSEMANA 5Fibraço</v>
      </c>
      <c r="BB607" s="7">
        <f>SUMIF(NF!$A:$A,$BA607,NF!$I:$I)</f>
        <v>0</v>
      </c>
      <c r="BC607" s="6"/>
      <c r="BD607" s="6"/>
      <c r="BE607" s="6">
        <v>2</v>
      </c>
      <c r="BF607" s="6">
        <v>2</v>
      </c>
      <c r="BG607" s="6">
        <v>1</v>
      </c>
      <c r="BH607" s="6"/>
      <c r="BI607" s="74"/>
      <c r="BJ607" s="74"/>
      <c r="BK607" s="7">
        <f t="shared" si="405"/>
        <v>5</v>
      </c>
      <c r="BL607" s="8">
        <f t="shared" si="399"/>
        <v>15</v>
      </c>
      <c r="BM607" s="51" t="str">
        <f>IFERROR(VLOOKUP(A607,NF!$M:$O,3,0),"")</f>
        <v>Limpeza</v>
      </c>
      <c r="BN607" s="7">
        <f t="shared" si="400"/>
        <v>32</v>
      </c>
      <c r="BO607" s="8">
        <f t="array" ref="BO607">IFERROR(LARGE(IF(NF!$G$2:$G$3137='Mês atual'!A607,NF!$J$2:$J$3137),1),0)*BN607</f>
        <v>52.48</v>
      </c>
      <c r="BP607" s="50"/>
      <c r="BR607" s="146">
        <f t="array" ref="BR607">IFERROR(LARGE(IF(NF!$G$2:$G$3137='Mês atual'!A607,NF!$J$2:$J$3137),1),0)</f>
        <v>1.64</v>
      </c>
      <c r="BS607" s="142" t="str">
        <f>VLOOKUP(A607,NF!M:O,3,0)</f>
        <v>Limpeza</v>
      </c>
      <c r="BV607" s="74">
        <f t="shared" si="342"/>
        <v>7</v>
      </c>
      <c r="BW607" s="74">
        <f t="shared" si="343"/>
        <v>6</v>
      </c>
      <c r="BX607" s="74">
        <f t="shared" si="344"/>
        <v>7</v>
      </c>
      <c r="BY607" s="74">
        <f t="shared" si="345"/>
        <v>7</v>
      </c>
      <c r="BZ607" s="74">
        <f t="shared" si="346"/>
        <v>5</v>
      </c>
    </row>
    <row r="608" spans="1:78" x14ac:dyDescent="0.2">
      <c r="A608" s="108" t="s">
        <v>983</v>
      </c>
      <c r="B608" s="12"/>
      <c r="C608" s="9">
        <v>2</v>
      </c>
      <c r="D608" s="25"/>
      <c r="E608" s="10" t="str">
        <f t="shared" si="390"/>
        <v>MarçoSEMANA 1Greasestrip Plus Bb 5 L</v>
      </c>
      <c r="F608" s="7">
        <f>SUMIF(NF!$A:$A,$E608,NF!$I:$I)</f>
        <v>1</v>
      </c>
      <c r="G608" s="74"/>
      <c r="H608" s="74"/>
      <c r="I608" s="74"/>
      <c r="J608" s="6">
        <v>1</v>
      </c>
      <c r="K608" s="6"/>
      <c r="L608" s="6"/>
      <c r="M608" s="6"/>
      <c r="N608" s="7">
        <f t="shared" si="401"/>
        <v>1</v>
      </c>
      <c r="O608" s="11">
        <f t="shared" si="395"/>
        <v>2</v>
      </c>
      <c r="P608" s="25"/>
      <c r="Q608" s="10" t="str">
        <f t="shared" si="391"/>
        <v>MarçoSEMANA 2Greasestrip Plus Bb 5 L</v>
      </c>
      <c r="R608" s="7">
        <f>SUMIF(NF!$A:$A,$Q608,NF!$I:$I)</f>
        <v>0</v>
      </c>
      <c r="S608" s="6"/>
      <c r="T608" s="6"/>
      <c r="U608" s="6"/>
      <c r="V608" s="6"/>
      <c r="W608" s="6"/>
      <c r="X608" s="6"/>
      <c r="Y608" s="6"/>
      <c r="Z608" s="7">
        <f t="shared" si="402"/>
        <v>0</v>
      </c>
      <c r="AA608" s="11">
        <f t="shared" si="396"/>
        <v>2</v>
      </c>
      <c r="AB608" s="25"/>
      <c r="AC608" s="10" t="str">
        <f t="shared" si="392"/>
        <v>MarçoSEMANA 3Greasestrip Plus Bb 5 L</v>
      </c>
      <c r="AD608" s="7">
        <f>SUMIF(NF!$A:$A,$AC608,NF!$I:$I)</f>
        <v>0</v>
      </c>
      <c r="AE608" s="6"/>
      <c r="AF608" s="6"/>
      <c r="AG608" s="6">
        <v>1</v>
      </c>
      <c r="AH608" s="6"/>
      <c r="AI608" s="6"/>
      <c r="AJ608" s="6"/>
      <c r="AK608" s="6"/>
      <c r="AL608" s="7">
        <f t="shared" si="403"/>
        <v>1</v>
      </c>
      <c r="AM608" s="11">
        <f t="shared" si="397"/>
        <v>1</v>
      </c>
      <c r="AN608" s="25"/>
      <c r="AO608" s="10" t="str">
        <f t="shared" si="393"/>
        <v>MarçoSEMANA 4Greasestrip Plus Bb 5 L</v>
      </c>
      <c r="AP608" s="7">
        <f>SUMIF(NF!$A:$A,$AO608,NF!$I:$I)</f>
        <v>2</v>
      </c>
      <c r="AQ608" s="6"/>
      <c r="AR608" s="6"/>
      <c r="AS608" s="6"/>
      <c r="AT608" s="6"/>
      <c r="AU608" s="6"/>
      <c r="AV608" s="6">
        <v>1</v>
      </c>
      <c r="AW608" s="6"/>
      <c r="AX608" s="7">
        <f t="shared" si="404"/>
        <v>1</v>
      </c>
      <c r="AY608" s="11">
        <f t="shared" si="398"/>
        <v>2</v>
      </c>
      <c r="AZ608" s="25"/>
      <c r="BA608" s="10" t="str">
        <f t="shared" si="394"/>
        <v>MarçoSEMANA 5Greasestrip Plus Bb 5 L</v>
      </c>
      <c r="BB608" s="7">
        <f>SUMIF(NF!$A:$A,$BA608,NF!$I:$I)</f>
        <v>0</v>
      </c>
      <c r="BC608" s="6"/>
      <c r="BD608" s="6"/>
      <c r="BE608" s="6"/>
      <c r="BF608" s="6"/>
      <c r="BG608" s="6"/>
      <c r="BH608" s="6"/>
      <c r="BI608" s="74"/>
      <c r="BJ608" s="74"/>
      <c r="BK608" s="7">
        <f t="shared" si="405"/>
        <v>0</v>
      </c>
      <c r="BL608" s="8">
        <f t="shared" si="399"/>
        <v>2</v>
      </c>
      <c r="BM608" s="51" t="str">
        <f>IFERROR(VLOOKUP(A608,NF!$M:$O,3,0),"")</f>
        <v>Limpeza</v>
      </c>
      <c r="BN608" s="7">
        <f t="shared" si="400"/>
        <v>3</v>
      </c>
      <c r="BO608" s="8">
        <f t="array" ref="BO608">IFERROR(LARGE(IF(NF!$G$2:$G$3137='Mês atual'!A608,NF!$J$2:$J$3137),1),0)*BN608</f>
        <v>849.13499999999999</v>
      </c>
      <c r="BP608" s="50"/>
      <c r="BR608" s="146">
        <f t="array" ref="BR608">IFERROR(LARGE(IF(NF!$G$2:$G$3137='Mês atual'!A608,NF!$J$2:$J$3137),1),0)</f>
        <v>283.04500000000002</v>
      </c>
      <c r="BS608" s="142" t="str">
        <f>VLOOKUP(A608,NF!M:O,3,0)</f>
        <v>Limpeza</v>
      </c>
      <c r="BV608" s="74">
        <f t="shared" si="342"/>
        <v>1</v>
      </c>
      <c r="BW608" s="74">
        <f t="shared" si="343"/>
        <v>0</v>
      </c>
      <c r="BX608" s="74">
        <f t="shared" si="344"/>
        <v>1</v>
      </c>
      <c r="BY608" s="74">
        <f t="shared" si="345"/>
        <v>1</v>
      </c>
      <c r="BZ608" s="74">
        <f t="shared" si="346"/>
        <v>0</v>
      </c>
    </row>
    <row r="609" spans="1:78" x14ac:dyDescent="0.25">
      <c r="A609" s="108" t="s">
        <v>401</v>
      </c>
      <c r="B609" s="12"/>
      <c r="C609" s="9">
        <v>9</v>
      </c>
      <c r="D609" s="25"/>
      <c r="E609" s="10" t="str">
        <f t="shared" si="390"/>
        <v>MarçoSEMANA 1Higienizador de Assento Sanitário</v>
      </c>
      <c r="F609" s="7">
        <f>SUMIF(NF!$A:$A,$E609,NF!$I:$I)</f>
        <v>0</v>
      </c>
      <c r="G609" s="74"/>
      <c r="H609" s="74"/>
      <c r="I609" s="74"/>
      <c r="J609" s="6"/>
      <c r="K609" s="6"/>
      <c r="L609" s="6"/>
      <c r="M609" s="6"/>
      <c r="N609" s="7">
        <f>SUM(G609:M609)</f>
        <v>0</v>
      </c>
      <c r="O609" s="11">
        <f t="shared" si="395"/>
        <v>9</v>
      </c>
      <c r="P609" s="25"/>
      <c r="Q609" s="10" t="str">
        <f t="shared" si="391"/>
        <v>MarçoSEMANA 2Higienizador de Assento Sanitário</v>
      </c>
      <c r="R609" s="7">
        <f>SUMIF(NF!$A:$A,$Q609,NF!$I:$I)</f>
        <v>0</v>
      </c>
      <c r="S609" s="6"/>
      <c r="T609" s="6"/>
      <c r="U609" s="6"/>
      <c r="V609" s="6"/>
      <c r="W609" s="6"/>
      <c r="X609" s="6"/>
      <c r="Y609" s="6"/>
      <c r="Z609" s="7">
        <f>SUM(S609:Y609)</f>
        <v>0</v>
      </c>
      <c r="AA609" s="11">
        <f t="shared" si="396"/>
        <v>9</v>
      </c>
      <c r="AB609" s="25"/>
      <c r="AC609" s="10" t="str">
        <f t="shared" si="392"/>
        <v>MarçoSEMANA 3Higienizador de Assento Sanitário</v>
      </c>
      <c r="AD609" s="7">
        <f>SUMIF(NF!$A:$A,$AC609,NF!$I:$I)</f>
        <v>0</v>
      </c>
      <c r="AE609" s="6"/>
      <c r="AF609" s="6"/>
      <c r="AG609" s="6"/>
      <c r="AH609" s="6"/>
      <c r="AI609" s="6"/>
      <c r="AJ609" s="6"/>
      <c r="AK609" s="6">
        <v>1</v>
      </c>
      <c r="AL609" s="7">
        <f>SUM(AE609:AK609)</f>
        <v>1</v>
      </c>
      <c r="AM609" s="11">
        <f t="shared" si="397"/>
        <v>8</v>
      </c>
      <c r="AN609" s="25"/>
      <c r="AO609" s="10" t="str">
        <f t="shared" si="393"/>
        <v>MarçoSEMANA 4Higienizador de Assento Sanitário</v>
      </c>
      <c r="AP609" s="7">
        <f>SUMIF(NF!$A:$A,$AO609,NF!$I:$I)</f>
        <v>0</v>
      </c>
      <c r="AQ609" s="6"/>
      <c r="AR609" s="6"/>
      <c r="AS609" s="6"/>
      <c r="AT609" s="6"/>
      <c r="AU609" s="6"/>
      <c r="AV609" s="6"/>
      <c r="AW609" s="6">
        <v>1</v>
      </c>
      <c r="AX609" s="7">
        <f>SUM(AQ609:AW609)</f>
        <v>1</v>
      </c>
      <c r="AY609" s="11">
        <f t="shared" si="398"/>
        <v>7</v>
      </c>
      <c r="AZ609" s="25"/>
      <c r="BA609" s="10" t="str">
        <f t="shared" si="394"/>
        <v>MarçoSEMANA 5Higienizador de Assento Sanitário</v>
      </c>
      <c r="BB609" s="7">
        <f>SUMIF(NF!$A:$A,$BA609,NF!$I:$I)</f>
        <v>0</v>
      </c>
      <c r="BC609" s="6"/>
      <c r="BD609" s="6"/>
      <c r="BE609" s="6"/>
      <c r="BF609" s="6"/>
      <c r="BG609" s="6"/>
      <c r="BH609" s="6"/>
      <c r="BI609" s="74"/>
      <c r="BJ609" s="74"/>
      <c r="BK609" s="7">
        <f>SUM(BC609:BJ609)</f>
        <v>0</v>
      </c>
      <c r="BL609" s="8">
        <f t="shared" si="399"/>
        <v>7</v>
      </c>
      <c r="BM609" s="51" t="str">
        <f>IFERROR(VLOOKUP(A609,NF!$M:$O,3,0),"")</f>
        <v>Limpeza</v>
      </c>
      <c r="BN609" s="7">
        <f t="shared" si="400"/>
        <v>2</v>
      </c>
      <c r="BO609" s="8">
        <f t="array" ref="BO609">IFERROR(LARGE(IF(NF!$G$2:$G$3137='Mês atual'!A609,NF!$J$2:$J$3137),1),0)*BN609</f>
        <v>0</v>
      </c>
      <c r="BP609" s="50"/>
      <c r="BR609" s="146">
        <f t="array" ref="BR609">IFERROR(LARGE(IF(NF!$G$2:$G$3137='Mês atual'!A609,NF!$J$2:$J$3137),1),0)</f>
        <v>0</v>
      </c>
      <c r="BS609" s="142" t="str">
        <f>VLOOKUP(A609,NF!M:O,3,0)</f>
        <v>Limpeza</v>
      </c>
      <c r="BV609" s="74">
        <f t="shared" si="342"/>
        <v>0</v>
      </c>
      <c r="BW609" s="74">
        <f t="shared" si="343"/>
        <v>0</v>
      </c>
      <c r="BX609" s="74">
        <f t="shared" si="344"/>
        <v>1</v>
      </c>
      <c r="BY609" s="74">
        <f t="shared" si="345"/>
        <v>1</v>
      </c>
      <c r="BZ609" s="74">
        <f t="shared" si="346"/>
        <v>0</v>
      </c>
    </row>
    <row r="610" spans="1:78" x14ac:dyDescent="0.25">
      <c r="A610" s="108" t="s">
        <v>402</v>
      </c>
      <c r="B610" s="12"/>
      <c r="C610" s="9">
        <v>5</v>
      </c>
      <c r="D610" s="25"/>
      <c r="E610" s="10" t="str">
        <f t="shared" si="390"/>
        <v>MarçoSEMANA 1Hipoclorito de Sódio Bb 5 Lt</v>
      </c>
      <c r="F610" s="7">
        <f>SUMIF(NF!$A:$A,$E610,NF!$I:$I)</f>
        <v>0</v>
      </c>
      <c r="G610" s="74"/>
      <c r="H610" s="74"/>
      <c r="I610" s="74"/>
      <c r="J610" s="6"/>
      <c r="K610" s="6">
        <v>1</v>
      </c>
      <c r="L610" s="6"/>
      <c r="M610" s="6">
        <v>1</v>
      </c>
      <c r="N610" s="7">
        <f t="shared" si="401"/>
        <v>2</v>
      </c>
      <c r="O610" s="11">
        <f t="shared" si="395"/>
        <v>3</v>
      </c>
      <c r="P610" s="25"/>
      <c r="Q610" s="10" t="str">
        <f t="shared" si="391"/>
        <v>MarçoSEMANA 2Hipoclorito de Sódio Bb 5 Lt</v>
      </c>
      <c r="R610" s="7">
        <f>SUMIF(NF!$A:$A,$Q610,NF!$I:$I)</f>
        <v>3</v>
      </c>
      <c r="S610" s="6"/>
      <c r="T610" s="6"/>
      <c r="U610" s="6">
        <v>1</v>
      </c>
      <c r="V610" s="6"/>
      <c r="W610" s="6"/>
      <c r="X610" s="6">
        <v>1</v>
      </c>
      <c r="Y610" s="6"/>
      <c r="Z610" s="7">
        <f t="shared" si="402"/>
        <v>2</v>
      </c>
      <c r="AA610" s="11">
        <f t="shared" si="396"/>
        <v>4</v>
      </c>
      <c r="AB610" s="25"/>
      <c r="AC610" s="10" t="str">
        <f t="shared" si="392"/>
        <v>MarçoSEMANA 3Hipoclorito de Sódio Bb 5 Lt</v>
      </c>
      <c r="AD610" s="7">
        <f>SUMIF(NF!$A:$A,$AC610,NF!$I:$I)</f>
        <v>7</v>
      </c>
      <c r="AE610" s="6"/>
      <c r="AF610" s="6">
        <v>1</v>
      </c>
      <c r="AG610" s="6"/>
      <c r="AH610" s="6"/>
      <c r="AI610" s="6"/>
      <c r="AJ610" s="6"/>
      <c r="AK610" s="6">
        <v>1</v>
      </c>
      <c r="AL610" s="7">
        <f t="shared" si="403"/>
        <v>2</v>
      </c>
      <c r="AM610" s="11">
        <f t="shared" si="397"/>
        <v>9</v>
      </c>
      <c r="AN610" s="25"/>
      <c r="AO610" s="10" t="str">
        <f t="shared" si="393"/>
        <v>MarçoSEMANA 4Hipoclorito de Sódio Bb 5 Lt</v>
      </c>
      <c r="AP610" s="7">
        <f>SUMIF(NF!$A:$A,$AO610,NF!$I:$I)</f>
        <v>0</v>
      </c>
      <c r="AQ610" s="6"/>
      <c r="AR610" s="6">
        <v>1</v>
      </c>
      <c r="AS610" s="6"/>
      <c r="AT610" s="6"/>
      <c r="AU610" s="6"/>
      <c r="AV610" s="6">
        <v>1</v>
      </c>
      <c r="AW610" s="6"/>
      <c r="AX610" s="7">
        <f t="shared" si="404"/>
        <v>2</v>
      </c>
      <c r="AY610" s="11">
        <f t="shared" si="398"/>
        <v>7</v>
      </c>
      <c r="AZ610" s="25"/>
      <c r="BA610" s="10" t="str">
        <f t="shared" si="394"/>
        <v>MarçoSEMANA 5Hipoclorito de Sódio Bb 5 Lt</v>
      </c>
      <c r="BB610" s="7">
        <f>SUMIF(NF!$A:$A,$BA610,NF!$I:$I)</f>
        <v>0</v>
      </c>
      <c r="BC610" s="6"/>
      <c r="BD610" s="6">
        <v>1</v>
      </c>
      <c r="BE610" s="6"/>
      <c r="BF610" s="6"/>
      <c r="BG610" s="6">
        <v>1</v>
      </c>
      <c r="BH610" s="6"/>
      <c r="BI610" s="74"/>
      <c r="BJ610" s="74"/>
      <c r="BK610" s="7">
        <f t="shared" si="405"/>
        <v>2</v>
      </c>
      <c r="BL610" s="8">
        <f t="shared" si="399"/>
        <v>5</v>
      </c>
      <c r="BM610" s="51" t="str">
        <f>IFERROR(VLOOKUP(A610,NF!$M:$O,3,0),"")</f>
        <v>Limpeza</v>
      </c>
      <c r="BN610" s="7">
        <f t="shared" si="400"/>
        <v>10</v>
      </c>
      <c r="BO610" s="8">
        <f t="array" ref="BO610">IFERROR(LARGE(IF(NF!$G$2:$G$3137='Mês atual'!A610,NF!$J$2:$J$3137),1),0)*BN610</f>
        <v>170.79999999999998</v>
      </c>
      <c r="BP610" s="50"/>
      <c r="BR610" s="146">
        <f t="array" ref="BR610">IFERROR(LARGE(IF(NF!$G$2:$G$3137='Mês atual'!A610,NF!$J$2:$J$3137),1),0)</f>
        <v>17.079999999999998</v>
      </c>
      <c r="BS610" s="142" t="str">
        <f>VLOOKUP(A610,NF!M:O,3,0)</f>
        <v>Limpeza</v>
      </c>
      <c r="BV610" s="74">
        <f t="shared" si="342"/>
        <v>2</v>
      </c>
      <c r="BW610" s="74">
        <f t="shared" si="343"/>
        <v>2</v>
      </c>
      <c r="BX610" s="74">
        <f t="shared" si="344"/>
        <v>2</v>
      </c>
      <c r="BY610" s="74">
        <f t="shared" si="345"/>
        <v>2</v>
      </c>
      <c r="BZ610" s="74">
        <f t="shared" si="346"/>
        <v>2</v>
      </c>
    </row>
    <row r="611" spans="1:78" x14ac:dyDescent="0.2">
      <c r="A611" s="108" t="s">
        <v>449</v>
      </c>
      <c r="B611" s="12"/>
      <c r="C611" s="9">
        <v>4</v>
      </c>
      <c r="D611" s="25"/>
      <c r="E611" s="10" t="str">
        <f t="shared" si="390"/>
        <v>MarçoSEMANA 1Inseticida</v>
      </c>
      <c r="F611" s="7">
        <f>SUMIF(NF!$A:$A,$E611,NF!$I:$I)</f>
        <v>0</v>
      </c>
      <c r="G611" s="74"/>
      <c r="H611" s="74"/>
      <c r="I611" s="74"/>
      <c r="J611" s="6"/>
      <c r="K611" s="6">
        <v>2</v>
      </c>
      <c r="L611" s="6"/>
      <c r="M611" s="6"/>
      <c r="N611" s="7">
        <f t="shared" si="401"/>
        <v>2</v>
      </c>
      <c r="O611" s="11">
        <f t="shared" si="395"/>
        <v>2</v>
      </c>
      <c r="P611" s="25"/>
      <c r="Q611" s="10" t="str">
        <f t="shared" si="391"/>
        <v>MarçoSEMANA 2Inseticida</v>
      </c>
      <c r="R611" s="7">
        <f>SUMIF(NF!$A:$A,$Q611,NF!$I:$I)</f>
        <v>6</v>
      </c>
      <c r="S611" s="6"/>
      <c r="T611" s="6"/>
      <c r="U611" s="6"/>
      <c r="V611" s="6">
        <v>1</v>
      </c>
      <c r="W611" s="6">
        <v>1</v>
      </c>
      <c r="X611" s="6"/>
      <c r="Y611" s="6">
        <v>3</v>
      </c>
      <c r="Z611" s="7">
        <f t="shared" si="402"/>
        <v>5</v>
      </c>
      <c r="AA611" s="11">
        <f t="shared" si="396"/>
        <v>3</v>
      </c>
      <c r="AB611" s="25"/>
      <c r="AC611" s="10" t="str">
        <f t="shared" si="392"/>
        <v>MarçoSEMANA 3Inseticida</v>
      </c>
      <c r="AD611" s="7">
        <f>SUMIF(NF!$A:$A,$AC611,NF!$I:$I)</f>
        <v>6</v>
      </c>
      <c r="AE611" s="6"/>
      <c r="AF611" s="6"/>
      <c r="AG611" s="6"/>
      <c r="AH611" s="6"/>
      <c r="AI611" s="6"/>
      <c r="AJ611" s="6"/>
      <c r="AK611" s="6"/>
      <c r="AL611" s="7">
        <f t="shared" si="403"/>
        <v>0</v>
      </c>
      <c r="AM611" s="11">
        <f t="shared" si="397"/>
        <v>9</v>
      </c>
      <c r="AN611" s="25"/>
      <c r="AO611" s="10" t="str">
        <f t="shared" si="393"/>
        <v>MarçoSEMANA 4Inseticida</v>
      </c>
      <c r="AP611" s="7">
        <f>SUMIF(NF!$A:$A,$AO611,NF!$I:$I)</f>
        <v>0</v>
      </c>
      <c r="AQ611" s="6"/>
      <c r="AR611" s="6">
        <v>2</v>
      </c>
      <c r="AS611" s="6"/>
      <c r="AT611" s="6"/>
      <c r="AU611" s="6"/>
      <c r="AV611" s="6"/>
      <c r="AW611" s="6"/>
      <c r="AX611" s="7">
        <f t="shared" si="404"/>
        <v>2</v>
      </c>
      <c r="AY611" s="11">
        <f t="shared" si="398"/>
        <v>7</v>
      </c>
      <c r="AZ611" s="25"/>
      <c r="BA611" s="10" t="str">
        <f t="shared" si="394"/>
        <v>MarçoSEMANA 5Inseticida</v>
      </c>
      <c r="BB611" s="7">
        <f>SUMIF(NF!$A:$A,$BA611,NF!$I:$I)</f>
        <v>0</v>
      </c>
      <c r="BC611" s="6"/>
      <c r="BD611" s="6"/>
      <c r="BE611" s="6"/>
      <c r="BF611" s="6"/>
      <c r="BG611" s="6"/>
      <c r="BH611" s="6"/>
      <c r="BI611" s="74"/>
      <c r="BJ611" s="74"/>
      <c r="BK611" s="7">
        <f t="shared" si="405"/>
        <v>0</v>
      </c>
      <c r="BL611" s="8">
        <f t="shared" si="399"/>
        <v>7</v>
      </c>
      <c r="BM611" s="51" t="str">
        <f>IFERROR(VLOOKUP(A611,NF!$M:$O,3,0),"")</f>
        <v>Limpeza</v>
      </c>
      <c r="BN611" s="7">
        <f t="shared" si="400"/>
        <v>9</v>
      </c>
      <c r="BO611" s="8">
        <f t="array" ref="BO611">IFERROR(LARGE(IF(NF!$G$2:$G$3137='Mês atual'!A611,NF!$J$2:$J$3137),1),0)*BN611</f>
        <v>97.38</v>
      </c>
      <c r="BP611" s="50"/>
      <c r="BR611" s="146">
        <f t="array" ref="BR611">IFERROR(LARGE(IF(NF!$G$2:$G$3137='Mês atual'!A611,NF!$J$2:$J$3137),1),0)</f>
        <v>10.82</v>
      </c>
      <c r="BS611" s="142" t="str">
        <f>VLOOKUP(A611,NF!M:O,3,0)</f>
        <v>Limpeza</v>
      </c>
      <c r="BV611" s="74">
        <f t="shared" si="342"/>
        <v>2</v>
      </c>
      <c r="BW611" s="74">
        <f t="shared" si="343"/>
        <v>5</v>
      </c>
      <c r="BX611" s="74">
        <f t="shared" si="344"/>
        <v>0</v>
      </c>
      <c r="BY611" s="74">
        <f t="shared" si="345"/>
        <v>2</v>
      </c>
      <c r="BZ611" s="74">
        <f t="shared" si="346"/>
        <v>0</v>
      </c>
    </row>
    <row r="612" spans="1:78" x14ac:dyDescent="0.2">
      <c r="A612" s="108" t="s">
        <v>450</v>
      </c>
      <c r="B612" s="12"/>
      <c r="C612" s="9">
        <v>0</v>
      </c>
      <c r="D612" s="25"/>
      <c r="E612" s="10" t="str">
        <f t="shared" si="390"/>
        <v>MarçoSEMANA 1Jet Dry Secante Bb 5 Lt</v>
      </c>
      <c r="F612" s="7">
        <f>SUMIF(NF!$A:$A,$E612,NF!$I:$I)</f>
        <v>0</v>
      </c>
      <c r="G612" s="74"/>
      <c r="H612" s="74"/>
      <c r="I612" s="74"/>
      <c r="J612" s="6"/>
      <c r="K612" s="6"/>
      <c r="L612" s="6"/>
      <c r="M612" s="6"/>
      <c r="N612" s="7">
        <f t="shared" si="401"/>
        <v>0</v>
      </c>
      <c r="O612" s="11">
        <f t="shared" si="395"/>
        <v>0</v>
      </c>
      <c r="P612" s="25"/>
      <c r="Q612" s="10" t="str">
        <f t="shared" si="391"/>
        <v>MarçoSEMANA 2Jet Dry Secante Bb 5 Lt</v>
      </c>
      <c r="R612" s="7">
        <f>SUMIF(NF!$A:$A,$Q612,NF!$I:$I)</f>
        <v>1</v>
      </c>
      <c r="S612" s="6"/>
      <c r="T612" s="6"/>
      <c r="U612" s="6"/>
      <c r="V612" s="6"/>
      <c r="W612" s="6"/>
      <c r="X612" s="6"/>
      <c r="Y612" s="6"/>
      <c r="Z612" s="7">
        <f t="shared" si="402"/>
        <v>0</v>
      </c>
      <c r="AA612" s="11">
        <f t="shared" si="396"/>
        <v>1</v>
      </c>
      <c r="AB612" s="25"/>
      <c r="AC612" s="10" t="str">
        <f t="shared" si="392"/>
        <v>MarçoSEMANA 3Jet Dry Secante Bb 5 Lt</v>
      </c>
      <c r="AD612" s="7">
        <f>SUMIF(NF!$A:$A,$AC612,NF!$I:$I)</f>
        <v>0</v>
      </c>
      <c r="AE612" s="6"/>
      <c r="AF612" s="6"/>
      <c r="AG612" s="6"/>
      <c r="AH612" s="6"/>
      <c r="AI612" s="6"/>
      <c r="AJ612" s="6"/>
      <c r="AK612" s="6"/>
      <c r="AL612" s="7">
        <f t="shared" si="403"/>
        <v>0</v>
      </c>
      <c r="AM612" s="11">
        <f t="shared" si="397"/>
        <v>1</v>
      </c>
      <c r="AN612" s="25"/>
      <c r="AO612" s="10" t="str">
        <f t="shared" si="393"/>
        <v>MarçoSEMANA 4Jet Dry Secante Bb 5 Lt</v>
      </c>
      <c r="AP612" s="7">
        <f>SUMIF(NF!$A:$A,$AO612,NF!$I:$I)</f>
        <v>0</v>
      </c>
      <c r="AQ612" s="6"/>
      <c r="AR612" s="6"/>
      <c r="AS612" s="6"/>
      <c r="AT612" s="6"/>
      <c r="AU612" s="6"/>
      <c r="AV612" s="6"/>
      <c r="AW612" s="6"/>
      <c r="AX612" s="7">
        <f t="shared" si="404"/>
        <v>0</v>
      </c>
      <c r="AY612" s="11">
        <f t="shared" si="398"/>
        <v>1</v>
      </c>
      <c r="AZ612" s="25"/>
      <c r="BA612" s="10" t="str">
        <f t="shared" si="394"/>
        <v>MarçoSEMANA 5Jet Dry Secante Bb 5 Lt</v>
      </c>
      <c r="BB612" s="7">
        <f>SUMIF(NF!$A:$A,$BA612,NF!$I:$I)</f>
        <v>0</v>
      </c>
      <c r="BC612" s="6"/>
      <c r="BD612" s="6"/>
      <c r="BE612" s="6">
        <v>1</v>
      </c>
      <c r="BF612" s="6"/>
      <c r="BG612" s="6"/>
      <c r="BH612" s="6"/>
      <c r="BI612" s="74"/>
      <c r="BJ612" s="74"/>
      <c r="BK612" s="7">
        <f t="shared" si="405"/>
        <v>1</v>
      </c>
      <c r="BL612" s="8">
        <f t="shared" si="399"/>
        <v>0</v>
      </c>
      <c r="BM612" s="51" t="str">
        <f>IFERROR(VLOOKUP(A612,NF!$M:$O,3,0),"")</f>
        <v>Limpeza</v>
      </c>
      <c r="BN612" s="7">
        <f t="shared" si="400"/>
        <v>1</v>
      </c>
      <c r="BO612" s="8">
        <f t="array" ref="BO612">IFERROR(LARGE(IF(NF!$G$2:$G$3137='Mês atual'!A612,NF!$J$2:$J$3137),1),0)*BN612</f>
        <v>361.22</v>
      </c>
      <c r="BP612" s="50"/>
      <c r="BR612" s="146">
        <f t="array" ref="BR612">IFERROR(LARGE(IF(NF!$G$2:$G$3137='Mês atual'!A612,NF!$J$2:$J$3137),1),0)</f>
        <v>361.22</v>
      </c>
      <c r="BS612" s="142" t="str">
        <f>VLOOKUP(A612,NF!M:O,3,0)</f>
        <v>Limpeza</v>
      </c>
      <c r="BV612" s="74">
        <f t="shared" si="342"/>
        <v>0</v>
      </c>
      <c r="BW612" s="74">
        <f t="shared" si="343"/>
        <v>0</v>
      </c>
      <c r="BX612" s="74">
        <f t="shared" si="344"/>
        <v>0</v>
      </c>
      <c r="BY612" s="74">
        <f t="shared" si="345"/>
        <v>0</v>
      </c>
      <c r="BZ612" s="74">
        <f t="shared" si="346"/>
        <v>1</v>
      </c>
    </row>
    <row r="613" spans="1:78" x14ac:dyDescent="0.25">
      <c r="A613" s="108" t="s">
        <v>1075</v>
      </c>
      <c r="B613" s="12"/>
      <c r="C613" s="9">
        <v>0</v>
      </c>
      <c r="D613" s="25"/>
      <c r="E613" s="10" t="str">
        <f t="shared" si="390"/>
        <v>MarçoSEMANA 1Kit Pá de Lixo Coletora + Vassoura</v>
      </c>
      <c r="F613" s="7">
        <f>SUMIF(NF!$A:$A,$E613,NF!$I:$I)</f>
        <v>0</v>
      </c>
      <c r="G613" s="74"/>
      <c r="H613" s="74"/>
      <c r="I613" s="74"/>
      <c r="J613" s="6"/>
      <c r="K613" s="6"/>
      <c r="L613" s="6"/>
      <c r="M613" s="6"/>
      <c r="N613" s="7">
        <f t="shared" ref="N613" si="406">SUM(G613:M613)</f>
        <v>0</v>
      </c>
      <c r="O613" s="11">
        <f t="shared" ref="O613" si="407">F613+C613-N613</f>
        <v>0</v>
      </c>
      <c r="P613" s="25"/>
      <c r="Q613" s="10" t="str">
        <f t="shared" si="391"/>
        <v>MarçoSEMANA 2Kit Pá de Lixo Coletora + Vassoura</v>
      </c>
      <c r="R613" s="7">
        <f>SUMIF(NF!$A:$A,$Q613,NF!$I:$I)</f>
        <v>0</v>
      </c>
      <c r="S613" s="6"/>
      <c r="T613" s="6"/>
      <c r="U613" s="6"/>
      <c r="V613" s="6"/>
      <c r="W613" s="6"/>
      <c r="X613" s="6"/>
      <c r="Y613" s="6"/>
      <c r="Z613" s="7">
        <f t="shared" ref="Z613" si="408">SUM(S613:Y613)</f>
        <v>0</v>
      </c>
      <c r="AA613" s="11">
        <f t="shared" ref="AA613" si="409">R613+O613-Z613</f>
        <v>0</v>
      </c>
      <c r="AB613" s="25"/>
      <c r="AC613" s="10" t="str">
        <f t="shared" si="392"/>
        <v>MarçoSEMANA 3Kit Pá de Lixo Coletora + Vassoura</v>
      </c>
      <c r="AD613" s="7">
        <f>SUMIF(NF!$A:$A,$AC613,NF!$I:$I)</f>
        <v>0</v>
      </c>
      <c r="AE613" s="6"/>
      <c r="AF613" s="6"/>
      <c r="AG613" s="6"/>
      <c r="AH613" s="6"/>
      <c r="AI613" s="6"/>
      <c r="AJ613" s="6"/>
      <c r="AK613" s="6"/>
      <c r="AL613" s="7">
        <f t="shared" ref="AL613" si="410">SUM(AE613:AK613)</f>
        <v>0</v>
      </c>
      <c r="AM613" s="11">
        <f t="shared" ref="AM613" si="411">AD613+AA613-AL613</f>
        <v>0</v>
      </c>
      <c r="AN613" s="25"/>
      <c r="AO613" s="10" t="str">
        <f t="shared" si="393"/>
        <v>MarçoSEMANA 4Kit Pá de Lixo Coletora + Vassoura</v>
      </c>
      <c r="AP613" s="7">
        <f>SUMIF(NF!$A:$A,$AO613,NF!$I:$I)</f>
        <v>0</v>
      </c>
      <c r="AQ613" s="6"/>
      <c r="AR613" s="6"/>
      <c r="AS613" s="6"/>
      <c r="AT613" s="6"/>
      <c r="AU613" s="6"/>
      <c r="AV613" s="6"/>
      <c r="AW613" s="6"/>
      <c r="AX613" s="7">
        <f t="shared" ref="AX613" si="412">SUM(AQ613:AW613)</f>
        <v>0</v>
      </c>
      <c r="AY613" s="11">
        <f t="shared" ref="AY613" si="413">AP613+AM613-AX613</f>
        <v>0</v>
      </c>
      <c r="AZ613" s="25"/>
      <c r="BA613" s="10" t="str">
        <f t="shared" si="394"/>
        <v>MarçoSEMANA 5Kit Pá de Lixo Coletora + Vassoura</v>
      </c>
      <c r="BB613" s="7">
        <f>SUMIF(NF!$A:$A,$BA613,NF!$I:$I)</f>
        <v>0</v>
      </c>
      <c r="BC613" s="6"/>
      <c r="BD613" s="6"/>
      <c r="BE613" s="6"/>
      <c r="BF613" s="6"/>
      <c r="BG613" s="6"/>
      <c r="BH613" s="6"/>
      <c r="BI613" s="74"/>
      <c r="BJ613" s="74"/>
      <c r="BK613" s="7">
        <f t="shared" ref="BK613" si="414">SUM(BC613:BJ613)</f>
        <v>0</v>
      </c>
      <c r="BL613" s="8">
        <f t="shared" ref="BL613" si="415">BB613+AY613-BK613</f>
        <v>0</v>
      </c>
      <c r="BM613" s="51" t="str">
        <f>IFERROR(VLOOKUP(A613,NF!$M:$O,3,0),"")</f>
        <v>Limpeza</v>
      </c>
      <c r="BN613" s="7">
        <f t="shared" ref="BN613" si="416">SUM(N613,Z613,AL613,AX613,BK613)</f>
        <v>0</v>
      </c>
      <c r="BO613" s="8">
        <f t="array" ref="BO613">IFERROR(LARGE(IF(NF!$G$2:$G$3137='Mês atual'!A613,NF!$J$2:$J$3137),1),0)*BN613</f>
        <v>0</v>
      </c>
      <c r="BP613" s="50"/>
      <c r="BR613" s="146">
        <f t="array" ref="BR613">IFERROR(LARGE(IF(NF!$G$2:$G$3137='Mês atual'!A613,NF!$J$2:$J$3137),1),0)</f>
        <v>0</v>
      </c>
      <c r="BS613" s="142" t="str">
        <f>VLOOKUP(A613,NF!M:O,3,0)</f>
        <v>Limpeza</v>
      </c>
      <c r="BV613" s="74">
        <f t="shared" ref="BV613" si="417">N613</f>
        <v>0</v>
      </c>
      <c r="BW613" s="74">
        <f t="shared" ref="BW613" si="418">Z613</f>
        <v>0</v>
      </c>
      <c r="BX613" s="74">
        <f t="shared" ref="BX613" si="419">AL613</f>
        <v>0</v>
      </c>
      <c r="BY613" s="74">
        <f t="shared" ref="BY613" si="420">AX613</f>
        <v>0</v>
      </c>
      <c r="BZ613" s="74">
        <f t="shared" ref="BZ613" si="421">BK613</f>
        <v>0</v>
      </c>
    </row>
    <row r="614" spans="1:78" x14ac:dyDescent="0.25">
      <c r="A614" s="108" t="s">
        <v>469</v>
      </c>
      <c r="B614" s="12"/>
      <c r="C614" s="9">
        <v>2</v>
      </c>
      <c r="D614" s="25"/>
      <c r="E614" s="10" t="str">
        <f t="shared" si="390"/>
        <v>MarçoSEMANA 1Lustra Móveis</v>
      </c>
      <c r="F614" s="7">
        <f>SUMIF(NF!$A:$A,$E614,NF!$I:$I)</f>
        <v>0</v>
      </c>
      <c r="G614" s="74"/>
      <c r="H614" s="74"/>
      <c r="I614" s="74"/>
      <c r="J614" s="6"/>
      <c r="K614" s="6"/>
      <c r="L614" s="6"/>
      <c r="M614" s="6"/>
      <c r="N614" s="7">
        <f t="shared" si="401"/>
        <v>0</v>
      </c>
      <c r="O614" s="11">
        <f t="shared" si="395"/>
        <v>2</v>
      </c>
      <c r="P614" s="25"/>
      <c r="Q614" s="10" t="str">
        <f t="shared" si="391"/>
        <v>MarçoSEMANA 2Lustra Móveis</v>
      </c>
      <c r="R614" s="7">
        <f>SUMIF(NF!$A:$A,$Q614,NF!$I:$I)</f>
        <v>0</v>
      </c>
      <c r="S614" s="6"/>
      <c r="T614" s="6"/>
      <c r="U614" s="6"/>
      <c r="V614" s="6"/>
      <c r="W614" s="6"/>
      <c r="X614" s="6"/>
      <c r="Y614" s="6"/>
      <c r="Z614" s="7">
        <f t="shared" si="402"/>
        <v>0</v>
      </c>
      <c r="AA614" s="11">
        <f t="shared" si="396"/>
        <v>2</v>
      </c>
      <c r="AB614" s="25"/>
      <c r="AC614" s="10" t="str">
        <f t="shared" si="392"/>
        <v>MarçoSEMANA 3Lustra Móveis</v>
      </c>
      <c r="AD614" s="7">
        <f>SUMIF(NF!$A:$A,$AC614,NF!$I:$I)</f>
        <v>0</v>
      </c>
      <c r="AE614" s="6"/>
      <c r="AF614" s="6"/>
      <c r="AG614" s="6"/>
      <c r="AH614" s="6"/>
      <c r="AI614" s="6"/>
      <c r="AJ614" s="6"/>
      <c r="AK614" s="6"/>
      <c r="AL614" s="7">
        <f t="shared" si="403"/>
        <v>0</v>
      </c>
      <c r="AM614" s="11">
        <f t="shared" si="397"/>
        <v>2</v>
      </c>
      <c r="AN614" s="25"/>
      <c r="AO614" s="10" t="str">
        <f t="shared" si="393"/>
        <v>MarçoSEMANA 4Lustra Móveis</v>
      </c>
      <c r="AP614" s="7">
        <f>SUMIF(NF!$A:$A,$AO614,NF!$I:$I)</f>
        <v>0</v>
      </c>
      <c r="AQ614" s="6"/>
      <c r="AR614" s="6"/>
      <c r="AS614" s="6"/>
      <c r="AT614" s="6"/>
      <c r="AU614" s="6"/>
      <c r="AV614" s="6"/>
      <c r="AW614" s="6"/>
      <c r="AX614" s="7">
        <f t="shared" si="404"/>
        <v>0</v>
      </c>
      <c r="AY614" s="11">
        <f t="shared" si="398"/>
        <v>2</v>
      </c>
      <c r="AZ614" s="25"/>
      <c r="BA614" s="10" t="str">
        <f t="shared" si="394"/>
        <v>MarçoSEMANA 5Lustra Móveis</v>
      </c>
      <c r="BB614" s="7">
        <f>SUMIF(NF!$A:$A,$BA614,NF!$I:$I)</f>
        <v>0</v>
      </c>
      <c r="BC614" s="6"/>
      <c r="BD614" s="6"/>
      <c r="BE614" s="6"/>
      <c r="BF614" s="6"/>
      <c r="BG614" s="6"/>
      <c r="BH614" s="6"/>
      <c r="BI614" s="74"/>
      <c r="BJ614" s="74"/>
      <c r="BK614" s="7">
        <f t="shared" si="405"/>
        <v>0</v>
      </c>
      <c r="BL614" s="8">
        <f t="shared" si="399"/>
        <v>2</v>
      </c>
      <c r="BM614" s="51" t="str">
        <f>IFERROR(VLOOKUP(A614,NF!$M:$O,3,0),"")</f>
        <v>Limpeza</v>
      </c>
      <c r="BN614" s="7">
        <f t="shared" si="400"/>
        <v>0</v>
      </c>
      <c r="BO614" s="8">
        <f t="array" ref="BO614">IFERROR(LARGE(IF(NF!$G$2:$G$3137='Mês atual'!A614,NF!$J$2:$J$3137),1),0)*BN614</f>
        <v>0</v>
      </c>
      <c r="BP614" s="50"/>
      <c r="BR614" s="146">
        <f t="array" ref="BR614">IFERROR(LARGE(IF(NF!$G$2:$G$3137='Mês atual'!A614,NF!$J$2:$J$3137),1),0)</f>
        <v>0</v>
      </c>
      <c r="BS614" s="142" t="str">
        <f>VLOOKUP(A614,NF!M:O,3,0)</f>
        <v>Limpeza</v>
      </c>
      <c r="BV614" s="74">
        <f t="shared" si="342"/>
        <v>0</v>
      </c>
      <c r="BW614" s="74">
        <f t="shared" si="343"/>
        <v>0</v>
      </c>
      <c r="BX614" s="74">
        <f t="shared" si="344"/>
        <v>0</v>
      </c>
      <c r="BY614" s="74">
        <f t="shared" si="345"/>
        <v>0</v>
      </c>
      <c r="BZ614" s="74">
        <f t="shared" si="346"/>
        <v>0</v>
      </c>
    </row>
    <row r="615" spans="1:78" x14ac:dyDescent="0.2">
      <c r="A615" s="108" t="s">
        <v>519</v>
      </c>
      <c r="B615" s="12"/>
      <c r="C615" s="9">
        <v>2</v>
      </c>
      <c r="D615" s="25"/>
      <c r="E615" s="10" t="str">
        <f t="shared" si="390"/>
        <v>MarçoSEMANA 1Mikro Chlor</v>
      </c>
      <c r="F615" s="7">
        <f>SUMIF(NF!$A:$A,$E615,NF!$I:$I)</f>
        <v>0</v>
      </c>
      <c r="G615" s="74"/>
      <c r="H615" s="74"/>
      <c r="I615" s="74"/>
      <c r="J615" s="6"/>
      <c r="K615" s="6"/>
      <c r="L615" s="6"/>
      <c r="M615" s="6"/>
      <c r="N615" s="7">
        <f t="shared" si="401"/>
        <v>0</v>
      </c>
      <c r="O615" s="11">
        <f t="shared" si="395"/>
        <v>2</v>
      </c>
      <c r="P615" s="25"/>
      <c r="Q615" s="10" t="str">
        <f t="shared" si="391"/>
        <v>MarçoSEMANA 2Mikro Chlor</v>
      </c>
      <c r="R615" s="7">
        <f>SUMIF(NF!$A:$A,$Q615,NF!$I:$I)</f>
        <v>0</v>
      </c>
      <c r="S615" s="6"/>
      <c r="T615" s="6"/>
      <c r="U615" s="6"/>
      <c r="V615" s="6"/>
      <c r="W615" s="6"/>
      <c r="X615" s="6"/>
      <c r="Y615" s="6"/>
      <c r="Z615" s="7">
        <f t="shared" si="402"/>
        <v>0</v>
      </c>
      <c r="AA615" s="11">
        <f t="shared" si="396"/>
        <v>2</v>
      </c>
      <c r="AB615" s="25"/>
      <c r="AC615" s="10" t="str">
        <f t="shared" si="392"/>
        <v>MarçoSEMANA 3Mikro Chlor</v>
      </c>
      <c r="AD615" s="7">
        <f>SUMIF(NF!$A:$A,$AC615,NF!$I:$I)</f>
        <v>0</v>
      </c>
      <c r="AE615" s="6"/>
      <c r="AF615" s="6"/>
      <c r="AG615" s="6"/>
      <c r="AH615" s="6"/>
      <c r="AI615" s="6"/>
      <c r="AJ615" s="6"/>
      <c r="AK615" s="6"/>
      <c r="AL615" s="7">
        <f t="shared" si="403"/>
        <v>0</v>
      </c>
      <c r="AM615" s="11">
        <f t="shared" si="397"/>
        <v>2</v>
      </c>
      <c r="AN615" s="25"/>
      <c r="AO615" s="10" t="str">
        <f t="shared" si="393"/>
        <v>MarçoSEMANA 4Mikro Chlor</v>
      </c>
      <c r="AP615" s="7">
        <f>SUMIF(NF!$A:$A,$AO615,NF!$I:$I)</f>
        <v>0</v>
      </c>
      <c r="AQ615" s="6"/>
      <c r="AR615" s="6"/>
      <c r="AS615" s="6"/>
      <c r="AT615" s="6"/>
      <c r="AU615" s="6"/>
      <c r="AV615" s="6"/>
      <c r="AW615" s="6"/>
      <c r="AX615" s="7">
        <f t="shared" si="404"/>
        <v>0</v>
      </c>
      <c r="AY615" s="11">
        <f t="shared" si="398"/>
        <v>2</v>
      </c>
      <c r="AZ615" s="25"/>
      <c r="BA615" s="10" t="str">
        <f t="shared" si="394"/>
        <v>MarçoSEMANA 5Mikro Chlor</v>
      </c>
      <c r="BB615" s="7">
        <f>SUMIF(NF!$A:$A,$BA615,NF!$I:$I)</f>
        <v>0</v>
      </c>
      <c r="BC615" s="6"/>
      <c r="BD615" s="6"/>
      <c r="BE615" s="6"/>
      <c r="BF615" s="6"/>
      <c r="BG615" s="6"/>
      <c r="BH615" s="6"/>
      <c r="BI615" s="74"/>
      <c r="BJ615" s="74"/>
      <c r="BK615" s="7">
        <f t="shared" si="405"/>
        <v>0</v>
      </c>
      <c r="BL615" s="8">
        <f t="shared" si="399"/>
        <v>2</v>
      </c>
      <c r="BM615" s="51" t="str">
        <f>IFERROR(VLOOKUP(A615,NF!$M:$O,3,0),"")</f>
        <v>Limpeza</v>
      </c>
      <c r="BN615" s="7">
        <f t="shared" si="400"/>
        <v>0</v>
      </c>
      <c r="BO615" s="8">
        <f t="array" ref="BO615">IFERROR(LARGE(IF(NF!$G$2:$G$3137='Mês atual'!A615,NF!$J$2:$J$3137),1),0)*BN615</f>
        <v>0</v>
      </c>
      <c r="BP615" s="50"/>
      <c r="BR615" s="146">
        <f t="array" ref="BR615">IFERROR(LARGE(IF(NF!$G$2:$G$3137='Mês atual'!A615,NF!$J$2:$J$3137),1),0)</f>
        <v>0</v>
      </c>
      <c r="BS615" s="142" t="str">
        <f>VLOOKUP(A615,NF!M:O,3,0)</f>
        <v>Limpeza</v>
      </c>
      <c r="BV615" s="74">
        <f t="shared" si="342"/>
        <v>0</v>
      </c>
      <c r="BW615" s="74">
        <f t="shared" si="343"/>
        <v>0</v>
      </c>
      <c r="BX615" s="74">
        <f t="shared" si="344"/>
        <v>0</v>
      </c>
      <c r="BY615" s="74">
        <f t="shared" si="345"/>
        <v>0</v>
      </c>
      <c r="BZ615" s="74">
        <f t="shared" si="346"/>
        <v>0</v>
      </c>
    </row>
    <row r="616" spans="1:78" x14ac:dyDescent="0.25">
      <c r="A616" s="108" t="s">
        <v>540</v>
      </c>
      <c r="B616" s="12"/>
      <c r="C616" s="9">
        <v>2</v>
      </c>
      <c r="D616" s="25"/>
      <c r="E616" s="10" t="str">
        <f t="shared" si="390"/>
        <v>MarçoSEMANA 1Oásis enforce (limpador clorado) Bb5lt</v>
      </c>
      <c r="F616" s="7">
        <f>SUMIF(NF!$A:$A,$E616,NF!$I:$I)</f>
        <v>2</v>
      </c>
      <c r="G616" s="74"/>
      <c r="H616" s="74"/>
      <c r="I616" s="74"/>
      <c r="J616" s="6">
        <v>1</v>
      </c>
      <c r="K616" s="6"/>
      <c r="L616" s="6"/>
      <c r="M616" s="6"/>
      <c r="N616" s="7">
        <f t="shared" si="401"/>
        <v>1</v>
      </c>
      <c r="O616" s="11">
        <f t="shared" si="395"/>
        <v>3</v>
      </c>
      <c r="P616" s="25"/>
      <c r="Q616" s="10" t="str">
        <f t="shared" si="391"/>
        <v>MarçoSEMANA 2Oásis enforce (limpador clorado) Bb5lt</v>
      </c>
      <c r="R616" s="7">
        <f>SUMIF(NF!$A:$A,$Q616,NF!$I:$I)</f>
        <v>0</v>
      </c>
      <c r="S616" s="6"/>
      <c r="T616" s="6"/>
      <c r="U616" s="6"/>
      <c r="V616" s="6"/>
      <c r="W616" s="6"/>
      <c r="X616" s="6"/>
      <c r="Y616" s="6"/>
      <c r="Z616" s="7">
        <f t="shared" si="402"/>
        <v>0</v>
      </c>
      <c r="AA616" s="11">
        <f t="shared" si="396"/>
        <v>3</v>
      </c>
      <c r="AB616" s="25"/>
      <c r="AC616" s="10" t="str">
        <f t="shared" si="392"/>
        <v>MarçoSEMANA 3Oásis enforce (limpador clorado) Bb5lt</v>
      </c>
      <c r="AD616" s="7">
        <f>SUMIF(NF!$A:$A,$AC616,NF!$I:$I)</f>
        <v>0</v>
      </c>
      <c r="AE616" s="6"/>
      <c r="AF616" s="6"/>
      <c r="AG616" s="6"/>
      <c r="AH616" s="6"/>
      <c r="AI616" s="6">
        <v>1</v>
      </c>
      <c r="AJ616" s="6"/>
      <c r="AK616" s="6"/>
      <c r="AL616" s="7">
        <f t="shared" si="403"/>
        <v>1</v>
      </c>
      <c r="AM616" s="11">
        <f t="shared" si="397"/>
        <v>2</v>
      </c>
      <c r="AN616" s="25"/>
      <c r="AO616" s="10" t="str">
        <f t="shared" si="393"/>
        <v>MarçoSEMANA 4Oásis enforce (limpador clorado) Bb5lt</v>
      </c>
      <c r="AP616" s="7">
        <f>SUMIF(NF!$A:$A,$AO616,NF!$I:$I)</f>
        <v>1</v>
      </c>
      <c r="AQ616" s="6"/>
      <c r="AR616" s="6"/>
      <c r="AS616" s="6"/>
      <c r="AT616" s="6"/>
      <c r="AU616" s="6"/>
      <c r="AV616" s="6"/>
      <c r="AW616" s="6"/>
      <c r="AX616" s="7">
        <f t="shared" si="404"/>
        <v>0</v>
      </c>
      <c r="AY616" s="11">
        <f t="shared" si="398"/>
        <v>3</v>
      </c>
      <c r="AZ616" s="25"/>
      <c r="BA616" s="10" t="str">
        <f t="shared" si="394"/>
        <v>MarçoSEMANA 5Oásis enforce (limpador clorado) Bb5lt</v>
      </c>
      <c r="BB616" s="7">
        <f>SUMIF(NF!$A:$A,$BA616,NF!$I:$I)</f>
        <v>0</v>
      </c>
      <c r="BC616" s="6"/>
      <c r="BD616" s="6"/>
      <c r="BE616" s="6"/>
      <c r="BF616" s="6"/>
      <c r="BG616" s="6"/>
      <c r="BH616" s="6"/>
      <c r="BI616" s="74"/>
      <c r="BJ616" s="74"/>
      <c r="BK616" s="7">
        <f t="shared" si="405"/>
        <v>0</v>
      </c>
      <c r="BL616" s="8">
        <f t="shared" si="399"/>
        <v>3</v>
      </c>
      <c r="BM616" s="51" t="str">
        <f>IFERROR(VLOOKUP(A616,NF!$M:$O,3,0),"")</f>
        <v>Limpeza</v>
      </c>
      <c r="BN616" s="7">
        <f t="shared" si="400"/>
        <v>2</v>
      </c>
      <c r="BO616" s="8">
        <f t="array" ref="BO616">IFERROR(LARGE(IF(NF!$G$2:$G$3137='Mês atual'!A616,NF!$J$2:$J$3137),1),0)*BN616</f>
        <v>698.13</v>
      </c>
      <c r="BP616" s="50"/>
      <c r="BR616" s="146">
        <f t="array" ref="BR616">IFERROR(LARGE(IF(NF!$G$2:$G$3137='Mês atual'!A616,NF!$J$2:$J$3137),1),0)</f>
        <v>349.065</v>
      </c>
      <c r="BS616" s="142" t="str">
        <f>VLOOKUP(A616,NF!M:O,3,0)</f>
        <v>Limpeza</v>
      </c>
      <c r="BV616" s="74">
        <f t="shared" si="342"/>
        <v>1</v>
      </c>
      <c r="BW616" s="74">
        <f t="shared" si="343"/>
        <v>0</v>
      </c>
      <c r="BX616" s="74">
        <f t="shared" si="344"/>
        <v>1</v>
      </c>
      <c r="BY616" s="74">
        <f t="shared" si="345"/>
        <v>0</v>
      </c>
      <c r="BZ616" s="74">
        <f t="shared" si="346"/>
        <v>0</v>
      </c>
    </row>
    <row r="617" spans="1:78" x14ac:dyDescent="0.25">
      <c r="A617" s="108" t="s">
        <v>552</v>
      </c>
      <c r="B617" s="12"/>
      <c r="C617" s="9">
        <v>1</v>
      </c>
      <c r="D617" s="25"/>
      <c r="E617" s="10" t="str">
        <f t="shared" si="390"/>
        <v>MarçoSEMANA 1Pá c/ Cabo para Lixo</v>
      </c>
      <c r="F617" s="7">
        <f>SUMIF(NF!$A:$A,$E617,NF!$I:$I)</f>
        <v>0</v>
      </c>
      <c r="G617" s="74"/>
      <c r="H617" s="74"/>
      <c r="I617" s="74"/>
      <c r="J617" s="6">
        <v>1</v>
      </c>
      <c r="K617" s="6"/>
      <c r="L617" s="6"/>
      <c r="M617" s="6"/>
      <c r="N617" s="7">
        <f t="shared" si="401"/>
        <v>1</v>
      </c>
      <c r="O617" s="11">
        <f t="shared" si="395"/>
        <v>0</v>
      </c>
      <c r="P617" s="25"/>
      <c r="Q617" s="10" t="str">
        <f t="shared" si="391"/>
        <v>MarçoSEMANA 2Pá c/ Cabo para Lixo</v>
      </c>
      <c r="R617" s="7">
        <f>SUMIF(NF!$A:$A,$Q617,NF!$I:$I)</f>
        <v>0</v>
      </c>
      <c r="S617" s="6"/>
      <c r="T617" s="6"/>
      <c r="U617" s="6"/>
      <c r="V617" s="6"/>
      <c r="W617" s="6"/>
      <c r="X617" s="6"/>
      <c r="Y617" s="6"/>
      <c r="Z617" s="7">
        <f t="shared" si="402"/>
        <v>0</v>
      </c>
      <c r="AA617" s="11">
        <f t="shared" si="396"/>
        <v>0</v>
      </c>
      <c r="AB617" s="25"/>
      <c r="AC617" s="10" t="str">
        <f t="shared" si="392"/>
        <v>MarçoSEMANA 3Pá c/ Cabo para Lixo</v>
      </c>
      <c r="AD617" s="7">
        <f>SUMIF(NF!$A:$A,$AC617,NF!$I:$I)</f>
        <v>1</v>
      </c>
      <c r="AE617" s="6"/>
      <c r="AF617" s="6"/>
      <c r="AG617" s="6"/>
      <c r="AH617" s="6"/>
      <c r="AI617" s="6"/>
      <c r="AJ617" s="6"/>
      <c r="AK617" s="6"/>
      <c r="AL617" s="7">
        <f t="shared" si="403"/>
        <v>0</v>
      </c>
      <c r="AM617" s="11">
        <f t="shared" si="397"/>
        <v>1</v>
      </c>
      <c r="AN617" s="25"/>
      <c r="AO617" s="10" t="str">
        <f t="shared" si="393"/>
        <v>MarçoSEMANA 4Pá c/ Cabo para Lixo</v>
      </c>
      <c r="AP617" s="7">
        <f>SUMIF(NF!$A:$A,$AO617,NF!$I:$I)</f>
        <v>0</v>
      </c>
      <c r="AQ617" s="6"/>
      <c r="AR617" s="6"/>
      <c r="AS617" s="6"/>
      <c r="AT617" s="6"/>
      <c r="AU617" s="6"/>
      <c r="AV617" s="6"/>
      <c r="AW617" s="6"/>
      <c r="AX617" s="7">
        <f t="shared" si="404"/>
        <v>0</v>
      </c>
      <c r="AY617" s="11">
        <f t="shared" si="398"/>
        <v>1</v>
      </c>
      <c r="AZ617" s="25"/>
      <c r="BA617" s="10" t="str">
        <f t="shared" si="394"/>
        <v>MarçoSEMANA 5Pá c/ Cabo para Lixo</v>
      </c>
      <c r="BB617" s="7">
        <f>SUMIF(NF!$A:$A,$BA617,NF!$I:$I)</f>
        <v>0</v>
      </c>
      <c r="BC617" s="6"/>
      <c r="BD617" s="6"/>
      <c r="BE617" s="6"/>
      <c r="BF617" s="6"/>
      <c r="BG617" s="6"/>
      <c r="BH617" s="6"/>
      <c r="BI617" s="74"/>
      <c r="BJ617" s="74"/>
      <c r="BK617" s="7">
        <f t="shared" si="405"/>
        <v>0</v>
      </c>
      <c r="BL617" s="8">
        <f t="shared" si="399"/>
        <v>1</v>
      </c>
      <c r="BM617" s="51" t="str">
        <f>IFERROR(VLOOKUP(A617,NF!$M:$O,3,0),"")</f>
        <v>Limpeza</v>
      </c>
      <c r="BN617" s="7">
        <f t="shared" si="400"/>
        <v>1</v>
      </c>
      <c r="BO617" s="8">
        <f t="array" ref="BO617">IFERROR(LARGE(IF(NF!$G$2:$G$3137='Mês atual'!A617,NF!$J$2:$J$3137),1),0)*BN617</f>
        <v>3.31</v>
      </c>
      <c r="BP617" s="50"/>
      <c r="BR617" s="146">
        <f t="array" ref="BR617">IFERROR(LARGE(IF(NF!$G$2:$G$3137='Mês atual'!A617,NF!$J$2:$J$3137),1),0)</f>
        <v>3.31</v>
      </c>
      <c r="BS617" s="142" t="str">
        <f>VLOOKUP(A617,NF!M:O,3,0)</f>
        <v>Limpeza</v>
      </c>
      <c r="BV617" s="74">
        <f t="shared" si="342"/>
        <v>1</v>
      </c>
      <c r="BW617" s="74">
        <f t="shared" si="343"/>
        <v>0</v>
      </c>
      <c r="BX617" s="74">
        <f t="shared" si="344"/>
        <v>0</v>
      </c>
      <c r="BY617" s="74">
        <f t="shared" si="345"/>
        <v>0</v>
      </c>
      <c r="BZ617" s="74">
        <f t="shared" si="346"/>
        <v>0</v>
      </c>
    </row>
    <row r="618" spans="1:78" x14ac:dyDescent="0.2">
      <c r="A618" s="108" t="s">
        <v>574</v>
      </c>
      <c r="B618" s="12"/>
      <c r="C618" s="9">
        <v>0</v>
      </c>
      <c r="D618" s="25"/>
      <c r="E618" s="10" t="str">
        <f t="shared" si="390"/>
        <v>MarçoSEMANA 1Pastilha Descalsificante (bd Azul)</v>
      </c>
      <c r="F618" s="7">
        <f>SUMIF(NF!$A:$A,$E618,NF!$I:$I)</f>
        <v>0</v>
      </c>
      <c r="G618" s="74"/>
      <c r="H618" s="74"/>
      <c r="I618" s="74"/>
      <c r="J618" s="6"/>
      <c r="K618" s="6"/>
      <c r="L618" s="6"/>
      <c r="M618" s="6"/>
      <c r="N618" s="7">
        <f t="shared" si="401"/>
        <v>0</v>
      </c>
      <c r="O618" s="11">
        <f t="shared" si="395"/>
        <v>0</v>
      </c>
      <c r="P618" s="25"/>
      <c r="Q618" s="10" t="str">
        <f t="shared" si="391"/>
        <v>MarçoSEMANA 2Pastilha Descalsificante (bd Azul)</v>
      </c>
      <c r="R618" s="7">
        <f>SUMIF(NF!$A:$A,$Q618,NF!$I:$I)</f>
        <v>0</v>
      </c>
      <c r="S618" s="6"/>
      <c r="T618" s="6"/>
      <c r="U618" s="6"/>
      <c r="V618" s="6"/>
      <c r="W618" s="6"/>
      <c r="X618" s="6"/>
      <c r="Y618" s="6"/>
      <c r="Z618" s="7">
        <f t="shared" si="402"/>
        <v>0</v>
      </c>
      <c r="AA618" s="11">
        <f t="shared" si="396"/>
        <v>0</v>
      </c>
      <c r="AB618" s="25"/>
      <c r="AC618" s="10" t="str">
        <f t="shared" si="392"/>
        <v>MarçoSEMANA 3Pastilha Descalsificante (bd Azul)</v>
      </c>
      <c r="AD618" s="7">
        <f>SUMIF(NF!$A:$A,$AC618,NF!$I:$I)</f>
        <v>0</v>
      </c>
      <c r="AE618" s="6"/>
      <c r="AF618" s="6"/>
      <c r="AG618" s="6"/>
      <c r="AH618" s="6"/>
      <c r="AI618" s="6"/>
      <c r="AJ618" s="6"/>
      <c r="AK618" s="6"/>
      <c r="AL618" s="7">
        <f t="shared" si="403"/>
        <v>0</v>
      </c>
      <c r="AM618" s="11">
        <f t="shared" si="397"/>
        <v>0</v>
      </c>
      <c r="AN618" s="25"/>
      <c r="AO618" s="10" t="str">
        <f t="shared" si="393"/>
        <v>MarçoSEMANA 4Pastilha Descalsificante (bd Azul)</v>
      </c>
      <c r="AP618" s="7">
        <f>SUMIF(NF!$A:$A,$AO618,NF!$I:$I)</f>
        <v>0</v>
      </c>
      <c r="AQ618" s="6"/>
      <c r="AR618" s="6"/>
      <c r="AS618" s="6"/>
      <c r="AT618" s="6"/>
      <c r="AU618" s="6"/>
      <c r="AV618" s="6"/>
      <c r="AW618" s="6"/>
      <c r="AX618" s="7">
        <f t="shared" si="404"/>
        <v>0</v>
      </c>
      <c r="AY618" s="11">
        <f t="shared" si="398"/>
        <v>0</v>
      </c>
      <c r="AZ618" s="25"/>
      <c r="BA618" s="10" t="str">
        <f t="shared" si="394"/>
        <v>MarçoSEMANA 5Pastilha Descalsificante (bd Azul)</v>
      </c>
      <c r="BB618" s="7">
        <f>SUMIF(NF!$A:$A,$BA618,NF!$I:$I)</f>
        <v>0</v>
      </c>
      <c r="BC618" s="6"/>
      <c r="BD618" s="6"/>
      <c r="BE618" s="6"/>
      <c r="BF618" s="6"/>
      <c r="BG618" s="6"/>
      <c r="BH618" s="6"/>
      <c r="BI618" s="74"/>
      <c r="BJ618" s="74"/>
      <c r="BK618" s="7">
        <f t="shared" si="405"/>
        <v>0</v>
      </c>
      <c r="BL618" s="8">
        <f t="shared" si="399"/>
        <v>0</v>
      </c>
      <c r="BM618" s="51" t="str">
        <f>IFERROR(VLOOKUP(A618,NF!$M:$O,3,0),"")</f>
        <v>Limpeza</v>
      </c>
      <c r="BN618" s="7">
        <f t="shared" si="400"/>
        <v>0</v>
      </c>
      <c r="BO618" s="8">
        <f t="array" ref="BO618">IFERROR(LARGE(IF(NF!$G$2:$G$3137='Mês atual'!A618,NF!$J$2:$J$3137),1),0)*BN618</f>
        <v>0</v>
      </c>
      <c r="BP618" s="50"/>
      <c r="BR618" s="146">
        <f t="array" ref="BR618">IFERROR(LARGE(IF(NF!$G$2:$G$3137='Mês atual'!A618,NF!$J$2:$J$3137),1),0)</f>
        <v>0</v>
      </c>
      <c r="BS618" s="142" t="str">
        <f>VLOOKUP(A618,NF!M:O,3,0)</f>
        <v>Limpeza</v>
      </c>
      <c r="BV618" s="74">
        <f t="shared" si="342"/>
        <v>0</v>
      </c>
      <c r="BW618" s="74">
        <f t="shared" si="343"/>
        <v>0</v>
      </c>
      <c r="BX618" s="74">
        <f t="shared" si="344"/>
        <v>0</v>
      </c>
      <c r="BY618" s="74">
        <f t="shared" si="345"/>
        <v>0</v>
      </c>
      <c r="BZ618" s="74">
        <f t="shared" si="346"/>
        <v>0</v>
      </c>
    </row>
    <row r="619" spans="1:78" x14ac:dyDescent="0.2">
      <c r="A619" s="108" t="s">
        <v>575</v>
      </c>
      <c r="B619" s="12"/>
      <c r="C619" s="9">
        <v>3</v>
      </c>
      <c r="D619" s="25"/>
      <c r="E619" s="10" t="str">
        <f t="shared" si="390"/>
        <v>MarçoSEMANA 1Pastilha Detergente</v>
      </c>
      <c r="F619" s="7">
        <f>SUMIF(NF!$A:$A,$E619,NF!$I:$I)</f>
        <v>0</v>
      </c>
      <c r="G619" s="74"/>
      <c r="H619" s="74"/>
      <c r="I619" s="74"/>
      <c r="J619" s="6"/>
      <c r="K619" s="6"/>
      <c r="L619" s="6"/>
      <c r="M619" s="6"/>
      <c r="N619" s="7">
        <f t="shared" si="401"/>
        <v>0</v>
      </c>
      <c r="O619" s="11">
        <f t="shared" si="395"/>
        <v>3</v>
      </c>
      <c r="P619" s="25"/>
      <c r="Q619" s="10" t="str">
        <f t="shared" si="391"/>
        <v>MarçoSEMANA 2Pastilha Detergente</v>
      </c>
      <c r="R619" s="7">
        <f>SUMIF(NF!$A:$A,$Q619,NF!$I:$I)</f>
        <v>0</v>
      </c>
      <c r="S619" s="6"/>
      <c r="T619" s="6"/>
      <c r="U619" s="6"/>
      <c r="V619" s="6"/>
      <c r="W619" s="6"/>
      <c r="X619" s="6"/>
      <c r="Y619" s="6"/>
      <c r="Z619" s="7">
        <f t="shared" si="402"/>
        <v>0</v>
      </c>
      <c r="AA619" s="11">
        <f t="shared" si="396"/>
        <v>3</v>
      </c>
      <c r="AB619" s="25"/>
      <c r="AC619" s="10" t="str">
        <f t="shared" si="392"/>
        <v>MarçoSEMANA 3Pastilha Detergente</v>
      </c>
      <c r="AD619" s="7">
        <f>SUMIF(NF!$A:$A,$AC619,NF!$I:$I)</f>
        <v>0</v>
      </c>
      <c r="AE619" s="6"/>
      <c r="AF619" s="6"/>
      <c r="AG619" s="6">
        <v>1</v>
      </c>
      <c r="AH619" s="6"/>
      <c r="AI619" s="6"/>
      <c r="AJ619" s="6"/>
      <c r="AK619" s="6"/>
      <c r="AL619" s="7">
        <f t="shared" si="403"/>
        <v>1</v>
      </c>
      <c r="AM619" s="11">
        <f t="shared" si="397"/>
        <v>2</v>
      </c>
      <c r="AN619" s="25"/>
      <c r="AO619" s="10" t="str">
        <f t="shared" si="393"/>
        <v>MarçoSEMANA 4Pastilha Detergente</v>
      </c>
      <c r="AP619" s="7">
        <f>SUMIF(NF!$A:$A,$AO619,NF!$I:$I)</f>
        <v>0</v>
      </c>
      <c r="AQ619" s="6"/>
      <c r="AR619" s="6"/>
      <c r="AS619" s="6"/>
      <c r="AT619" s="6"/>
      <c r="AU619" s="6"/>
      <c r="AV619" s="6"/>
      <c r="AW619" s="6"/>
      <c r="AX619" s="7">
        <f t="shared" si="404"/>
        <v>0</v>
      </c>
      <c r="AY619" s="11">
        <f t="shared" si="398"/>
        <v>2</v>
      </c>
      <c r="AZ619" s="25"/>
      <c r="BA619" s="10" t="str">
        <f t="shared" si="394"/>
        <v>MarçoSEMANA 5Pastilha Detergente</v>
      </c>
      <c r="BB619" s="7">
        <f>SUMIF(NF!$A:$A,$BA619,NF!$I:$I)</f>
        <v>0</v>
      </c>
      <c r="BC619" s="6"/>
      <c r="BD619" s="6"/>
      <c r="BE619" s="6"/>
      <c r="BF619" s="6"/>
      <c r="BG619" s="6"/>
      <c r="BH619" s="6"/>
      <c r="BI619" s="74"/>
      <c r="BJ619" s="74"/>
      <c r="BK619" s="7">
        <f t="shared" si="405"/>
        <v>0</v>
      </c>
      <c r="BL619" s="8">
        <f t="shared" si="399"/>
        <v>2</v>
      </c>
      <c r="BM619" s="51" t="str">
        <f>IFERROR(VLOOKUP(A619,NF!$M:$O,3,0),"")</f>
        <v>Limpeza</v>
      </c>
      <c r="BN619" s="7">
        <f t="shared" si="400"/>
        <v>1</v>
      </c>
      <c r="BO619" s="8">
        <f t="array" ref="BO619">IFERROR(LARGE(IF(NF!$G$2:$G$3137='Mês atual'!A619,NF!$J$2:$J$3137),1),0)*BN619</f>
        <v>0</v>
      </c>
      <c r="BP619" s="50"/>
      <c r="BR619" s="146">
        <f t="array" ref="BR619">IFERROR(LARGE(IF(NF!$G$2:$G$3137='Mês atual'!A619,NF!$J$2:$J$3137),1),0)</f>
        <v>0</v>
      </c>
      <c r="BS619" s="142" t="str">
        <f>VLOOKUP(A619,NF!M:O,3,0)</f>
        <v>Limpeza</v>
      </c>
      <c r="BV619" s="74">
        <f t="shared" si="342"/>
        <v>0</v>
      </c>
      <c r="BW619" s="74">
        <f t="shared" si="343"/>
        <v>0</v>
      </c>
      <c r="BX619" s="74">
        <f t="shared" si="344"/>
        <v>1</v>
      </c>
      <c r="BY619" s="74">
        <f t="shared" si="345"/>
        <v>0</v>
      </c>
      <c r="BZ619" s="74">
        <f t="shared" si="346"/>
        <v>0</v>
      </c>
    </row>
    <row r="620" spans="1:78" x14ac:dyDescent="0.2">
      <c r="A620" s="108" t="s">
        <v>582</v>
      </c>
      <c r="B620" s="12"/>
      <c r="C620" s="9">
        <v>1</v>
      </c>
      <c r="D620" s="25"/>
      <c r="E620" s="10" t="str">
        <f t="shared" si="390"/>
        <v>MarçoSEMANA 1Perfumador de Ambiente</v>
      </c>
      <c r="F620" s="7">
        <f>SUMIF(NF!$A:$A,$E620,NF!$I:$I)</f>
        <v>0</v>
      </c>
      <c r="G620" s="74"/>
      <c r="H620" s="74"/>
      <c r="I620" s="74"/>
      <c r="J620" s="6"/>
      <c r="K620" s="6"/>
      <c r="L620" s="6"/>
      <c r="M620" s="6"/>
      <c r="N620" s="7">
        <f t="shared" si="401"/>
        <v>0</v>
      </c>
      <c r="O620" s="11">
        <f t="shared" si="395"/>
        <v>1</v>
      </c>
      <c r="P620" s="25"/>
      <c r="Q620" s="10" t="str">
        <f t="shared" si="391"/>
        <v>MarçoSEMANA 2Perfumador de Ambiente</v>
      </c>
      <c r="R620" s="7">
        <f>SUMIF(NF!$A:$A,$Q620,NF!$I:$I)</f>
        <v>0</v>
      </c>
      <c r="S620" s="6"/>
      <c r="T620" s="6"/>
      <c r="U620" s="6"/>
      <c r="V620" s="6"/>
      <c r="W620" s="6"/>
      <c r="X620" s="6"/>
      <c r="Y620" s="6"/>
      <c r="Z620" s="7">
        <f t="shared" si="402"/>
        <v>0</v>
      </c>
      <c r="AA620" s="11">
        <f t="shared" si="396"/>
        <v>1</v>
      </c>
      <c r="AB620" s="25"/>
      <c r="AC620" s="10" t="str">
        <f t="shared" si="392"/>
        <v>MarçoSEMANA 3Perfumador de Ambiente</v>
      </c>
      <c r="AD620" s="7">
        <f>SUMIF(NF!$A:$A,$AC620,NF!$I:$I)</f>
        <v>0</v>
      </c>
      <c r="AE620" s="6"/>
      <c r="AF620" s="6"/>
      <c r="AG620" s="6"/>
      <c r="AH620" s="6"/>
      <c r="AI620" s="6"/>
      <c r="AJ620" s="6"/>
      <c r="AK620" s="6"/>
      <c r="AL620" s="7">
        <f t="shared" si="403"/>
        <v>0</v>
      </c>
      <c r="AM620" s="11">
        <f t="shared" si="397"/>
        <v>1</v>
      </c>
      <c r="AN620" s="25"/>
      <c r="AO620" s="10" t="str">
        <f t="shared" si="393"/>
        <v>MarçoSEMANA 4Perfumador de Ambiente</v>
      </c>
      <c r="AP620" s="7">
        <f>SUMIF(NF!$A:$A,$AO620,NF!$I:$I)</f>
        <v>0</v>
      </c>
      <c r="AQ620" s="6">
        <v>1</v>
      </c>
      <c r="AR620" s="6"/>
      <c r="AS620" s="6"/>
      <c r="AT620" s="6"/>
      <c r="AU620" s="6"/>
      <c r="AV620" s="6"/>
      <c r="AW620" s="6"/>
      <c r="AX620" s="7">
        <f t="shared" si="404"/>
        <v>1</v>
      </c>
      <c r="AY620" s="11">
        <f t="shared" si="398"/>
        <v>0</v>
      </c>
      <c r="AZ620" s="25"/>
      <c r="BA620" s="10" t="str">
        <f t="shared" si="394"/>
        <v>MarçoSEMANA 5Perfumador de Ambiente</v>
      </c>
      <c r="BB620" s="7">
        <f>SUMIF(NF!$A:$A,$BA620,NF!$I:$I)</f>
        <v>0</v>
      </c>
      <c r="BC620" s="6"/>
      <c r="BD620" s="6"/>
      <c r="BE620" s="6"/>
      <c r="BF620" s="6"/>
      <c r="BG620" s="6"/>
      <c r="BH620" s="6"/>
      <c r="BI620" s="74"/>
      <c r="BJ620" s="74"/>
      <c r="BK620" s="7">
        <f t="shared" si="405"/>
        <v>0</v>
      </c>
      <c r="BL620" s="8">
        <f t="shared" si="399"/>
        <v>0</v>
      </c>
      <c r="BM620" s="51" t="str">
        <f>IFERROR(VLOOKUP(A620,NF!$M:$O,3,0),"")</f>
        <v>Limpeza</v>
      </c>
      <c r="BN620" s="7">
        <f t="shared" si="400"/>
        <v>1</v>
      </c>
      <c r="BO620" s="8">
        <f t="array" ref="BO620">IFERROR(LARGE(IF(NF!$G$2:$G$3137='Mês atual'!A620,NF!$J$2:$J$3137),1),0)*BN620</f>
        <v>0</v>
      </c>
      <c r="BP620" s="50"/>
      <c r="BR620" s="146">
        <f t="array" ref="BR620">IFERROR(LARGE(IF(NF!$G$2:$G$3137='Mês atual'!A620,NF!$J$2:$J$3137),1),0)</f>
        <v>0</v>
      </c>
      <c r="BS620" s="142" t="str">
        <f>VLOOKUP(A620,NF!M:O,3,0)</f>
        <v>Limpeza</v>
      </c>
      <c r="BV620" s="74">
        <f t="shared" si="342"/>
        <v>0</v>
      </c>
      <c r="BW620" s="74">
        <f t="shared" si="343"/>
        <v>0</v>
      </c>
      <c r="BX620" s="74">
        <f t="shared" si="344"/>
        <v>0</v>
      </c>
      <c r="BY620" s="74">
        <f t="shared" si="345"/>
        <v>1</v>
      </c>
      <c r="BZ620" s="74">
        <f t="shared" si="346"/>
        <v>0</v>
      </c>
    </row>
    <row r="621" spans="1:78" x14ac:dyDescent="0.25">
      <c r="A621" s="108" t="s">
        <v>671</v>
      </c>
      <c r="B621" s="12"/>
      <c r="C621" s="9">
        <v>2</v>
      </c>
      <c r="D621" s="25"/>
      <c r="E621" s="10" t="str">
        <f t="shared" si="390"/>
        <v>MarçoSEMANA 1Quat Sanitizer (Higienização) Bb 5 Lt</v>
      </c>
      <c r="F621" s="7">
        <f>SUMIF(NF!$A:$A,$E621,NF!$I:$I)</f>
        <v>0</v>
      </c>
      <c r="G621" s="74"/>
      <c r="H621" s="74"/>
      <c r="I621" s="74"/>
      <c r="J621" s="6"/>
      <c r="K621" s="6"/>
      <c r="L621" s="6"/>
      <c r="M621" s="6"/>
      <c r="N621" s="7">
        <f t="shared" si="401"/>
        <v>0</v>
      </c>
      <c r="O621" s="11">
        <f t="shared" si="395"/>
        <v>2</v>
      </c>
      <c r="P621" s="25"/>
      <c r="Q621" s="10" t="str">
        <f t="shared" si="391"/>
        <v>MarçoSEMANA 2Quat Sanitizer (Higienização) Bb 5 Lt</v>
      </c>
      <c r="R621" s="7">
        <f>SUMIF(NF!$A:$A,$Q621,NF!$I:$I)</f>
        <v>0</v>
      </c>
      <c r="S621" s="6"/>
      <c r="T621" s="6"/>
      <c r="U621" s="6"/>
      <c r="V621" s="6"/>
      <c r="W621" s="6"/>
      <c r="X621" s="6"/>
      <c r="Y621" s="6"/>
      <c r="Z621" s="7">
        <f t="shared" si="402"/>
        <v>0</v>
      </c>
      <c r="AA621" s="11">
        <f t="shared" si="396"/>
        <v>2</v>
      </c>
      <c r="AB621" s="25"/>
      <c r="AC621" s="10" t="str">
        <f t="shared" si="392"/>
        <v>MarçoSEMANA 3Quat Sanitizer (Higienização) Bb 5 Lt</v>
      </c>
      <c r="AD621" s="7">
        <f>SUMIF(NF!$A:$A,$AC621,NF!$I:$I)</f>
        <v>0</v>
      </c>
      <c r="AE621" s="6"/>
      <c r="AF621" s="6"/>
      <c r="AG621" s="6"/>
      <c r="AH621" s="6"/>
      <c r="AI621" s="6"/>
      <c r="AJ621" s="6"/>
      <c r="AK621" s="6"/>
      <c r="AL621" s="7">
        <f t="shared" si="403"/>
        <v>0</v>
      </c>
      <c r="AM621" s="11">
        <f t="shared" si="397"/>
        <v>2</v>
      </c>
      <c r="AN621" s="25"/>
      <c r="AO621" s="10" t="str">
        <f t="shared" si="393"/>
        <v>MarçoSEMANA 4Quat Sanitizer (Higienização) Bb 5 Lt</v>
      </c>
      <c r="AP621" s="7">
        <f>SUMIF(NF!$A:$A,$AO621,NF!$I:$I)</f>
        <v>0</v>
      </c>
      <c r="AQ621" s="6"/>
      <c r="AR621" s="6"/>
      <c r="AS621" s="6"/>
      <c r="AT621" s="6"/>
      <c r="AU621" s="6"/>
      <c r="AV621" s="6"/>
      <c r="AW621" s="6"/>
      <c r="AX621" s="7">
        <f t="shared" si="404"/>
        <v>0</v>
      </c>
      <c r="AY621" s="11">
        <f t="shared" si="398"/>
        <v>2</v>
      </c>
      <c r="AZ621" s="25"/>
      <c r="BA621" s="10" t="str">
        <f t="shared" si="394"/>
        <v>MarçoSEMANA 5Quat Sanitizer (Higienização) Bb 5 Lt</v>
      </c>
      <c r="BB621" s="7">
        <f>SUMIF(NF!$A:$A,$BA621,NF!$I:$I)</f>
        <v>0</v>
      </c>
      <c r="BC621" s="6"/>
      <c r="BD621" s="6"/>
      <c r="BE621" s="6"/>
      <c r="BF621" s="6"/>
      <c r="BG621" s="6"/>
      <c r="BH621" s="6"/>
      <c r="BI621" s="74"/>
      <c r="BJ621" s="74"/>
      <c r="BK621" s="7">
        <f t="shared" si="405"/>
        <v>0</v>
      </c>
      <c r="BL621" s="8">
        <f t="shared" si="399"/>
        <v>2</v>
      </c>
      <c r="BM621" s="51" t="str">
        <f>IFERROR(VLOOKUP(A621,NF!$M:$O,3,0),"")</f>
        <v>Limpeza</v>
      </c>
      <c r="BN621" s="7">
        <f t="shared" si="400"/>
        <v>0</v>
      </c>
      <c r="BO621" s="8">
        <f t="array" ref="BO621">IFERROR(LARGE(IF(NF!$G$2:$G$3137='Mês atual'!A621,NF!$J$2:$J$3137),1),0)*BN621</f>
        <v>0</v>
      </c>
      <c r="BP621" s="50"/>
      <c r="BR621" s="146">
        <f t="array" ref="BR621">IFERROR(LARGE(IF(NF!$G$2:$G$3137='Mês atual'!A621,NF!$J$2:$J$3137),1),0)</f>
        <v>0</v>
      </c>
      <c r="BS621" s="142" t="str">
        <f>VLOOKUP(A621,NF!M:O,3,0)</f>
        <v>Limpeza</v>
      </c>
      <c r="BV621" s="74">
        <f t="shared" si="342"/>
        <v>0</v>
      </c>
      <c r="BW621" s="74">
        <f t="shared" si="343"/>
        <v>0</v>
      </c>
      <c r="BX621" s="74">
        <f t="shared" si="344"/>
        <v>0</v>
      </c>
      <c r="BY621" s="74">
        <f t="shared" si="345"/>
        <v>0</v>
      </c>
      <c r="BZ621" s="74">
        <f t="shared" si="346"/>
        <v>0</v>
      </c>
    </row>
    <row r="622" spans="1:78" x14ac:dyDescent="0.2">
      <c r="A622" s="108" t="s">
        <v>931</v>
      </c>
      <c r="B622" s="12"/>
      <c r="C622" s="9">
        <v>0</v>
      </c>
      <c r="D622" s="25"/>
      <c r="E622" s="10" t="str">
        <f t="shared" si="390"/>
        <v>MarçoSEMANA 1Repelente (Mosquito)</v>
      </c>
      <c r="F622" s="7">
        <f>SUMIF(NF!$A:$A,$E622,NF!$I:$I)</f>
        <v>0</v>
      </c>
      <c r="G622" s="74"/>
      <c r="H622" s="74"/>
      <c r="I622" s="74"/>
      <c r="J622" s="6"/>
      <c r="K622" s="6"/>
      <c r="L622" s="6"/>
      <c r="M622" s="6"/>
      <c r="N622" s="7">
        <f>SUM(G622:M622)</f>
        <v>0</v>
      </c>
      <c r="O622" s="11">
        <f t="shared" si="395"/>
        <v>0</v>
      </c>
      <c r="P622" s="25"/>
      <c r="Q622" s="10" t="str">
        <f t="shared" si="391"/>
        <v>MarçoSEMANA 2Repelente (Mosquito)</v>
      </c>
      <c r="R622" s="7">
        <f>SUMIF(NF!$A:$A,$Q622,NF!$I:$I)</f>
        <v>0</v>
      </c>
      <c r="S622" s="6"/>
      <c r="T622" s="6"/>
      <c r="U622" s="6"/>
      <c r="V622" s="6"/>
      <c r="W622" s="6"/>
      <c r="X622" s="6"/>
      <c r="Y622" s="6"/>
      <c r="Z622" s="7">
        <f>SUM(S622:Y622)</f>
        <v>0</v>
      </c>
      <c r="AA622" s="11">
        <f t="shared" si="396"/>
        <v>0</v>
      </c>
      <c r="AB622" s="25"/>
      <c r="AC622" s="10" t="str">
        <f t="shared" si="392"/>
        <v>MarçoSEMANA 3Repelente (Mosquito)</v>
      </c>
      <c r="AD622" s="7">
        <f>SUMIF(NF!$A:$A,$AC622,NF!$I:$I)</f>
        <v>0</v>
      </c>
      <c r="AE622" s="6"/>
      <c r="AF622" s="6"/>
      <c r="AG622" s="6"/>
      <c r="AH622" s="6"/>
      <c r="AI622" s="6"/>
      <c r="AJ622" s="6"/>
      <c r="AK622" s="6"/>
      <c r="AL622" s="7">
        <f>SUM(AE622:AK622)</f>
        <v>0</v>
      </c>
      <c r="AM622" s="11">
        <f t="shared" si="397"/>
        <v>0</v>
      </c>
      <c r="AN622" s="25"/>
      <c r="AO622" s="10" t="str">
        <f t="shared" si="393"/>
        <v>MarçoSEMANA 4Repelente (Mosquito)</v>
      </c>
      <c r="AP622" s="7">
        <f>SUMIF(NF!$A:$A,$AO622,NF!$I:$I)</f>
        <v>0</v>
      </c>
      <c r="AQ622" s="6"/>
      <c r="AR622" s="6"/>
      <c r="AS622" s="6"/>
      <c r="AT622" s="6"/>
      <c r="AU622" s="6"/>
      <c r="AV622" s="6"/>
      <c r="AW622" s="6"/>
      <c r="AX622" s="7">
        <f>SUM(AQ622:AW622)</f>
        <v>0</v>
      </c>
      <c r="AY622" s="11">
        <f t="shared" si="398"/>
        <v>0</v>
      </c>
      <c r="AZ622" s="25"/>
      <c r="BA622" s="10" t="str">
        <f t="shared" si="394"/>
        <v>MarçoSEMANA 5Repelente (Mosquito)</v>
      </c>
      <c r="BB622" s="7">
        <f>SUMIF(NF!$A:$A,$BA622,NF!$I:$I)</f>
        <v>0</v>
      </c>
      <c r="BC622" s="6"/>
      <c r="BD622" s="6"/>
      <c r="BE622" s="6"/>
      <c r="BF622" s="6"/>
      <c r="BG622" s="6"/>
      <c r="BH622" s="6"/>
      <c r="BI622" s="74"/>
      <c r="BJ622" s="74"/>
      <c r="BK622" s="7">
        <f>SUM(BC622:BJ622)</f>
        <v>0</v>
      </c>
      <c r="BL622" s="8">
        <f t="shared" si="399"/>
        <v>0</v>
      </c>
      <c r="BM622" s="51" t="str">
        <f>IFERROR(VLOOKUP(A622,NF!$M:$O,3,0),"")</f>
        <v>Limpeza</v>
      </c>
      <c r="BN622" s="7">
        <f t="shared" si="400"/>
        <v>0</v>
      </c>
      <c r="BO622" s="8">
        <f t="array" ref="BO622">IFERROR(LARGE(IF(NF!$G$2:$G$3137='Mês atual'!A622,NF!$J$2:$J$3137),1),0)*BN622</f>
        <v>0</v>
      </c>
      <c r="BP622" s="50"/>
      <c r="BR622" s="146">
        <f t="array" ref="BR622">IFERROR(LARGE(IF(NF!$G$2:$G$3137='Mês atual'!A622,NF!$J$2:$J$3137),1),0)</f>
        <v>0</v>
      </c>
      <c r="BS622" s="142" t="str">
        <f>VLOOKUP(A622,NF!M:O,3,0)</f>
        <v>Limpeza</v>
      </c>
      <c r="BV622" s="74">
        <f t="shared" ref="BV622:BV687" si="422">N622</f>
        <v>0</v>
      </c>
      <c r="BW622" s="74">
        <f t="shared" ref="BW622:BW687" si="423">Z622</f>
        <v>0</v>
      </c>
      <c r="BX622" s="74">
        <f t="shared" ref="BX622:BX687" si="424">AL622</f>
        <v>0</v>
      </c>
      <c r="BY622" s="74">
        <f t="shared" ref="BY622:BY687" si="425">AX622</f>
        <v>0</v>
      </c>
      <c r="BZ622" s="74">
        <f t="shared" ref="BZ622:BZ687" si="426">BK622</f>
        <v>0</v>
      </c>
    </row>
    <row r="623" spans="1:78" x14ac:dyDescent="0.25">
      <c r="A623" s="108" t="s">
        <v>707</v>
      </c>
      <c r="B623" s="12"/>
      <c r="C623" s="9">
        <v>1</v>
      </c>
      <c r="D623" s="25"/>
      <c r="E623" s="10" t="str">
        <f t="shared" si="390"/>
        <v>MarçoSEMANA 1Sabão em Pó</v>
      </c>
      <c r="F623" s="7">
        <f>SUMIF(NF!$A:$A,$E623,NF!$I:$I)</f>
        <v>0</v>
      </c>
      <c r="G623" s="74"/>
      <c r="H623" s="74"/>
      <c r="I623" s="74"/>
      <c r="J623" s="6">
        <v>1</v>
      </c>
      <c r="K623" s="6"/>
      <c r="L623" s="6"/>
      <c r="M623" s="6"/>
      <c r="N623" s="7">
        <f t="shared" ref="N623:N639" si="427">SUM(G623:M623)</f>
        <v>1</v>
      </c>
      <c r="O623" s="11">
        <f t="shared" si="395"/>
        <v>0</v>
      </c>
      <c r="P623" s="25"/>
      <c r="Q623" s="10" t="str">
        <f t="shared" si="391"/>
        <v>MarçoSEMANA 2Sabão em Pó</v>
      </c>
      <c r="R623" s="7">
        <f>SUMIF(NF!$A:$A,$Q623,NF!$I:$I)</f>
        <v>0</v>
      </c>
      <c r="S623" s="6"/>
      <c r="T623" s="6"/>
      <c r="U623" s="6"/>
      <c r="V623" s="6"/>
      <c r="W623" s="6"/>
      <c r="X623" s="6"/>
      <c r="Y623" s="6"/>
      <c r="Z623" s="7">
        <f t="shared" ref="Z623:Z639" si="428">SUM(S623:Y623)</f>
        <v>0</v>
      </c>
      <c r="AA623" s="11">
        <f t="shared" si="396"/>
        <v>0</v>
      </c>
      <c r="AB623" s="25"/>
      <c r="AC623" s="10" t="str">
        <f t="shared" si="392"/>
        <v>MarçoSEMANA 3Sabão em Pó</v>
      </c>
      <c r="AD623" s="7">
        <f>SUMIF(NF!$A:$A,$AC623,NF!$I:$I)</f>
        <v>1</v>
      </c>
      <c r="AE623" s="6"/>
      <c r="AF623" s="6"/>
      <c r="AG623" s="6"/>
      <c r="AH623" s="6"/>
      <c r="AI623" s="6"/>
      <c r="AJ623" s="6"/>
      <c r="AK623" s="6"/>
      <c r="AL623" s="7">
        <f t="shared" ref="AL623:AL639" si="429">SUM(AE623:AK623)</f>
        <v>0</v>
      </c>
      <c r="AM623" s="11">
        <f t="shared" si="397"/>
        <v>1</v>
      </c>
      <c r="AN623" s="25"/>
      <c r="AO623" s="10" t="str">
        <f t="shared" si="393"/>
        <v>MarçoSEMANA 4Sabão em Pó</v>
      </c>
      <c r="AP623" s="7">
        <f>SUMIF(NF!$A:$A,$AO623,NF!$I:$I)</f>
        <v>0</v>
      </c>
      <c r="AQ623" s="6"/>
      <c r="AR623" s="6"/>
      <c r="AS623" s="6"/>
      <c r="AT623" s="6"/>
      <c r="AU623" s="6"/>
      <c r="AV623" s="6"/>
      <c r="AW623" s="6"/>
      <c r="AX623" s="7">
        <f t="shared" ref="AX623:AX639" si="430">SUM(AQ623:AW623)</f>
        <v>0</v>
      </c>
      <c r="AY623" s="11">
        <f t="shared" si="398"/>
        <v>1</v>
      </c>
      <c r="AZ623" s="25"/>
      <c r="BA623" s="10" t="str">
        <f t="shared" si="394"/>
        <v>MarçoSEMANA 5Sabão em Pó</v>
      </c>
      <c r="BB623" s="7">
        <f>SUMIF(NF!$A:$A,$BA623,NF!$I:$I)</f>
        <v>0</v>
      </c>
      <c r="BC623" s="6"/>
      <c r="BD623" s="6"/>
      <c r="BE623" s="6"/>
      <c r="BF623" s="6"/>
      <c r="BG623" s="6"/>
      <c r="BH623" s="6"/>
      <c r="BI623" s="74"/>
      <c r="BJ623" s="74"/>
      <c r="BK623" s="7">
        <f t="shared" ref="BK623:BK639" si="431">SUM(BC623:BJ623)</f>
        <v>0</v>
      </c>
      <c r="BL623" s="8">
        <f t="shared" si="399"/>
        <v>1</v>
      </c>
      <c r="BM623" s="51" t="str">
        <f>IFERROR(VLOOKUP(A623,NF!$M:$O,3,0),"")</f>
        <v>Limpeza</v>
      </c>
      <c r="BN623" s="7">
        <f t="shared" si="400"/>
        <v>1</v>
      </c>
      <c r="BO623" s="8">
        <f t="array" ref="BO623">IFERROR(LARGE(IF(NF!$G$2:$G$3137='Mês atual'!A623,NF!$J$2:$J$3137),1),0)*BN623</f>
        <v>19.670000000000002</v>
      </c>
      <c r="BP623" s="50"/>
      <c r="BR623" s="146">
        <f t="array" ref="BR623">IFERROR(LARGE(IF(NF!$G$2:$G$3137='Mês atual'!A623,NF!$J$2:$J$3137),1),0)</f>
        <v>19.670000000000002</v>
      </c>
      <c r="BS623" s="142" t="str">
        <f>VLOOKUP(A623,NF!M:O,3,0)</f>
        <v>Limpeza</v>
      </c>
      <c r="BV623" s="74">
        <f t="shared" si="422"/>
        <v>1</v>
      </c>
      <c r="BW623" s="74">
        <f t="shared" si="423"/>
        <v>0</v>
      </c>
      <c r="BX623" s="74">
        <f t="shared" si="424"/>
        <v>0</v>
      </c>
      <c r="BY623" s="74">
        <f t="shared" si="425"/>
        <v>0</v>
      </c>
      <c r="BZ623" s="74">
        <f t="shared" si="426"/>
        <v>0</v>
      </c>
    </row>
    <row r="624" spans="1:78" x14ac:dyDescent="0.2">
      <c r="A624" s="108" t="s">
        <v>708</v>
      </c>
      <c r="B624" s="12"/>
      <c r="C624" s="9">
        <v>4</v>
      </c>
      <c r="D624" s="25"/>
      <c r="E624" s="10" t="str">
        <f t="shared" si="390"/>
        <v>MarçoSEMANA 1Sabonete Espuma refil 800 ml</v>
      </c>
      <c r="F624" s="7">
        <f>SUMIF(NF!$A:$A,$E624,NF!$I:$I)</f>
        <v>0</v>
      </c>
      <c r="G624" s="74"/>
      <c r="H624" s="74"/>
      <c r="I624" s="74"/>
      <c r="J624" s="6"/>
      <c r="K624" s="6"/>
      <c r="L624" s="6"/>
      <c r="M624" s="6"/>
      <c r="N624" s="7">
        <f t="shared" si="427"/>
        <v>0</v>
      </c>
      <c r="O624" s="11">
        <f t="shared" si="395"/>
        <v>4</v>
      </c>
      <c r="P624" s="25"/>
      <c r="Q624" s="10" t="str">
        <f t="shared" si="391"/>
        <v>MarçoSEMANA 2Sabonete Espuma refil 800 ml</v>
      </c>
      <c r="R624" s="7">
        <f>SUMIF(NF!$A:$A,$Q624,NF!$I:$I)</f>
        <v>0</v>
      </c>
      <c r="S624" s="6"/>
      <c r="T624" s="6"/>
      <c r="U624" s="6"/>
      <c r="V624" s="6"/>
      <c r="W624" s="6"/>
      <c r="X624" s="6"/>
      <c r="Y624" s="6">
        <v>1</v>
      </c>
      <c r="Z624" s="7">
        <f t="shared" si="428"/>
        <v>1</v>
      </c>
      <c r="AA624" s="11">
        <f t="shared" si="396"/>
        <v>3</v>
      </c>
      <c r="AB624" s="25"/>
      <c r="AC624" s="10" t="str">
        <f t="shared" si="392"/>
        <v>MarçoSEMANA 3Sabonete Espuma refil 800 ml</v>
      </c>
      <c r="AD624" s="7">
        <f>SUMIF(NF!$A:$A,$AC624,NF!$I:$I)</f>
        <v>0</v>
      </c>
      <c r="AE624" s="6"/>
      <c r="AF624" s="6"/>
      <c r="AG624" s="6"/>
      <c r="AH624" s="6"/>
      <c r="AI624" s="6"/>
      <c r="AJ624" s="6"/>
      <c r="AK624" s="6"/>
      <c r="AL624" s="7">
        <f t="shared" si="429"/>
        <v>0</v>
      </c>
      <c r="AM624" s="11">
        <f t="shared" si="397"/>
        <v>3</v>
      </c>
      <c r="AN624" s="25"/>
      <c r="AO624" s="10" t="str">
        <f t="shared" si="393"/>
        <v>MarçoSEMANA 4Sabonete Espuma refil 800 ml</v>
      </c>
      <c r="AP624" s="7">
        <f>SUMIF(NF!$A:$A,$AO624,NF!$I:$I)</f>
        <v>0</v>
      </c>
      <c r="AQ624" s="6"/>
      <c r="AR624" s="6"/>
      <c r="AS624" s="6"/>
      <c r="AT624" s="6"/>
      <c r="AU624" s="6"/>
      <c r="AV624" s="6"/>
      <c r="AW624" s="6"/>
      <c r="AX624" s="7">
        <f t="shared" si="430"/>
        <v>0</v>
      </c>
      <c r="AY624" s="11">
        <f t="shared" si="398"/>
        <v>3</v>
      </c>
      <c r="AZ624" s="25"/>
      <c r="BA624" s="10" t="str">
        <f t="shared" si="394"/>
        <v>MarçoSEMANA 5Sabonete Espuma refil 800 ml</v>
      </c>
      <c r="BB624" s="7">
        <f>SUMIF(NF!$A:$A,$BA624,NF!$I:$I)</f>
        <v>0</v>
      </c>
      <c r="BC624" s="6"/>
      <c r="BD624" s="6"/>
      <c r="BE624" s="6"/>
      <c r="BF624" s="6"/>
      <c r="BG624" s="6"/>
      <c r="BH624" s="6"/>
      <c r="BI624" s="74"/>
      <c r="BJ624" s="74"/>
      <c r="BK624" s="7">
        <f t="shared" si="431"/>
        <v>0</v>
      </c>
      <c r="BL624" s="8">
        <f t="shared" si="399"/>
        <v>3</v>
      </c>
      <c r="BM624" s="51" t="str">
        <f>IFERROR(VLOOKUP(A624,NF!$M:$O,3,0),"")</f>
        <v>Limpeza</v>
      </c>
      <c r="BN624" s="7">
        <f t="shared" si="400"/>
        <v>1</v>
      </c>
      <c r="BO624" s="8">
        <f t="array" ref="BO624">IFERROR(LARGE(IF(NF!$G$2:$G$3137='Mês atual'!A624,NF!$J$2:$J$3137),1),0)*BN624</f>
        <v>0</v>
      </c>
      <c r="BP624" s="50"/>
      <c r="BR624" s="146">
        <f t="array" ref="BR624">IFERROR(LARGE(IF(NF!$G$2:$G$3137='Mês atual'!A624,NF!$J$2:$J$3137),1),0)</f>
        <v>0</v>
      </c>
      <c r="BS624" s="142" t="str">
        <f>VLOOKUP(A624,NF!M:O,3,0)</f>
        <v>Limpeza</v>
      </c>
      <c r="BV624" s="74">
        <f t="shared" si="422"/>
        <v>0</v>
      </c>
      <c r="BW624" s="74">
        <f t="shared" si="423"/>
        <v>1</v>
      </c>
      <c r="BX624" s="74">
        <f t="shared" si="424"/>
        <v>0</v>
      </c>
      <c r="BY624" s="74">
        <f t="shared" si="425"/>
        <v>0</v>
      </c>
      <c r="BZ624" s="74">
        <f t="shared" si="426"/>
        <v>0</v>
      </c>
    </row>
    <row r="625" spans="1:78" x14ac:dyDescent="0.2">
      <c r="A625" s="108" t="s">
        <v>709</v>
      </c>
      <c r="B625" s="12"/>
      <c r="C625" s="9">
        <v>1</v>
      </c>
      <c r="D625" s="25"/>
      <c r="E625" s="10" t="str">
        <f t="shared" si="390"/>
        <v>MarçoSEMANA 1Saco de Lixo 100 Lt</v>
      </c>
      <c r="F625" s="7">
        <f>SUMIF(NF!$A:$A,$E625,NF!$I:$I)</f>
        <v>0</v>
      </c>
      <c r="G625" s="74"/>
      <c r="H625" s="74"/>
      <c r="I625" s="74"/>
      <c r="J625" s="6"/>
      <c r="K625" s="6"/>
      <c r="L625" s="6"/>
      <c r="M625" s="6"/>
      <c r="N625" s="7">
        <f t="shared" si="427"/>
        <v>0</v>
      </c>
      <c r="O625" s="11">
        <f t="shared" si="395"/>
        <v>1</v>
      </c>
      <c r="P625" s="25"/>
      <c r="Q625" s="10" t="str">
        <f t="shared" si="391"/>
        <v>MarçoSEMANA 2Saco de Lixo 100 Lt</v>
      </c>
      <c r="R625" s="7">
        <f>SUMIF(NF!$A:$A,$Q625,NF!$I:$I)</f>
        <v>1</v>
      </c>
      <c r="S625" s="6"/>
      <c r="T625" s="6"/>
      <c r="U625" s="6"/>
      <c r="V625" s="6"/>
      <c r="W625" s="6"/>
      <c r="X625" s="6"/>
      <c r="Y625" s="6"/>
      <c r="Z625" s="7">
        <f t="shared" si="428"/>
        <v>0</v>
      </c>
      <c r="AA625" s="11">
        <f t="shared" si="396"/>
        <v>2</v>
      </c>
      <c r="AB625" s="25"/>
      <c r="AC625" s="10" t="str">
        <f t="shared" si="392"/>
        <v>MarçoSEMANA 3Saco de Lixo 100 Lt</v>
      </c>
      <c r="AD625" s="7">
        <f>SUMIF(NF!$A:$A,$AC625,NF!$I:$I)</f>
        <v>0</v>
      </c>
      <c r="AE625" s="6"/>
      <c r="AF625" s="6"/>
      <c r="AG625" s="6"/>
      <c r="AH625" s="6">
        <v>1</v>
      </c>
      <c r="AI625" s="6"/>
      <c r="AJ625" s="6"/>
      <c r="AK625" s="6"/>
      <c r="AL625" s="7">
        <f t="shared" si="429"/>
        <v>1</v>
      </c>
      <c r="AM625" s="11">
        <f t="shared" si="397"/>
        <v>1</v>
      </c>
      <c r="AN625" s="25"/>
      <c r="AO625" s="10" t="str">
        <f t="shared" si="393"/>
        <v>MarçoSEMANA 4Saco de Lixo 100 Lt</v>
      </c>
      <c r="AP625" s="7">
        <f>SUMIF(NF!$A:$A,$AO625,NF!$I:$I)</f>
        <v>0</v>
      </c>
      <c r="AQ625" s="6"/>
      <c r="AR625" s="6"/>
      <c r="AS625" s="6"/>
      <c r="AT625" s="6"/>
      <c r="AU625" s="6"/>
      <c r="AV625" s="6"/>
      <c r="AW625" s="6"/>
      <c r="AX625" s="7">
        <f t="shared" si="430"/>
        <v>0</v>
      </c>
      <c r="AY625" s="11">
        <f t="shared" si="398"/>
        <v>1</v>
      </c>
      <c r="AZ625" s="25"/>
      <c r="BA625" s="10" t="str">
        <f t="shared" si="394"/>
        <v>MarçoSEMANA 5Saco de Lixo 100 Lt</v>
      </c>
      <c r="BB625" s="7">
        <f>SUMIF(NF!$A:$A,$BA625,NF!$I:$I)</f>
        <v>0</v>
      </c>
      <c r="BC625" s="6"/>
      <c r="BD625" s="6"/>
      <c r="BE625" s="6"/>
      <c r="BF625" s="6"/>
      <c r="BG625" s="6"/>
      <c r="BH625" s="6"/>
      <c r="BI625" s="74"/>
      <c r="BJ625" s="74"/>
      <c r="BK625" s="7">
        <f t="shared" si="431"/>
        <v>0</v>
      </c>
      <c r="BL625" s="8">
        <f t="shared" si="399"/>
        <v>1</v>
      </c>
      <c r="BM625" s="51" t="str">
        <f>IFERROR(VLOOKUP(A625,NF!$M:$O,3,0),"")</f>
        <v>Limpeza</v>
      </c>
      <c r="BN625" s="7">
        <f t="shared" si="400"/>
        <v>1</v>
      </c>
      <c r="BO625" s="8">
        <f t="array" ref="BO625">IFERROR(LARGE(IF(NF!$G$2:$G$3137='Mês atual'!A625,NF!$J$2:$J$3137),1),0)*BN625</f>
        <v>37.270000000000003</v>
      </c>
      <c r="BP625" s="50"/>
      <c r="BR625" s="146">
        <f t="array" ref="BR625">IFERROR(LARGE(IF(NF!$G$2:$G$3137='Mês atual'!A625,NF!$J$2:$J$3137),1),0)</f>
        <v>37.270000000000003</v>
      </c>
      <c r="BS625" s="142" t="str">
        <f>VLOOKUP(A625,NF!M:O,3,0)</f>
        <v>Limpeza</v>
      </c>
      <c r="BV625" s="74">
        <f t="shared" si="422"/>
        <v>0</v>
      </c>
      <c r="BW625" s="74">
        <f t="shared" si="423"/>
        <v>0</v>
      </c>
      <c r="BX625" s="74">
        <f t="shared" si="424"/>
        <v>1</v>
      </c>
      <c r="BY625" s="74">
        <f t="shared" si="425"/>
        <v>0</v>
      </c>
      <c r="BZ625" s="74">
        <f t="shared" si="426"/>
        <v>0</v>
      </c>
    </row>
    <row r="626" spans="1:78" x14ac:dyDescent="0.2">
      <c r="A626" s="108" t="s">
        <v>710</v>
      </c>
      <c r="B626" s="12"/>
      <c r="C626" s="9">
        <v>1</v>
      </c>
      <c r="D626" s="25"/>
      <c r="E626" s="10" t="str">
        <f t="shared" si="390"/>
        <v>MarçoSEMANA 1Saco de Lixo 20 Lt</v>
      </c>
      <c r="F626" s="7">
        <f>SUMIF(NF!$A:$A,$E626,NF!$I:$I)</f>
        <v>0</v>
      </c>
      <c r="G626" s="74"/>
      <c r="H626" s="74"/>
      <c r="I626" s="74"/>
      <c r="J626" s="6"/>
      <c r="K626" s="6"/>
      <c r="L626" s="6"/>
      <c r="M626" s="6"/>
      <c r="N626" s="7">
        <f t="shared" si="427"/>
        <v>0</v>
      </c>
      <c r="O626" s="11">
        <f t="shared" si="395"/>
        <v>1</v>
      </c>
      <c r="P626" s="25"/>
      <c r="Q626" s="10" t="str">
        <f t="shared" si="391"/>
        <v>MarçoSEMANA 2Saco de Lixo 20 Lt</v>
      </c>
      <c r="R626" s="7">
        <f>SUMIF(NF!$A:$A,$Q626,NF!$I:$I)</f>
        <v>1</v>
      </c>
      <c r="S626" s="6"/>
      <c r="T626" s="6"/>
      <c r="U626" s="6"/>
      <c r="V626" s="6"/>
      <c r="W626" s="6"/>
      <c r="X626" s="6"/>
      <c r="Y626" s="6">
        <v>1</v>
      </c>
      <c r="Z626" s="7">
        <f t="shared" si="428"/>
        <v>1</v>
      </c>
      <c r="AA626" s="11">
        <f t="shared" si="396"/>
        <v>1</v>
      </c>
      <c r="AB626" s="25"/>
      <c r="AC626" s="10" t="str">
        <f t="shared" si="392"/>
        <v>MarçoSEMANA 3Saco de Lixo 20 Lt</v>
      </c>
      <c r="AD626" s="7">
        <f>SUMIF(NF!$A:$A,$AC626,NF!$I:$I)</f>
        <v>1</v>
      </c>
      <c r="AE626" s="6"/>
      <c r="AF626" s="6"/>
      <c r="AG626" s="6"/>
      <c r="AH626" s="6"/>
      <c r="AI626" s="6"/>
      <c r="AJ626" s="6"/>
      <c r="AK626" s="6"/>
      <c r="AL626" s="7">
        <f t="shared" si="429"/>
        <v>0</v>
      </c>
      <c r="AM626" s="11">
        <f t="shared" si="397"/>
        <v>2</v>
      </c>
      <c r="AN626" s="25"/>
      <c r="AO626" s="10" t="str">
        <f t="shared" si="393"/>
        <v>MarçoSEMANA 4Saco de Lixo 20 Lt</v>
      </c>
      <c r="AP626" s="7">
        <f>SUMIF(NF!$A:$A,$AO626,NF!$I:$I)</f>
        <v>0</v>
      </c>
      <c r="AQ626" s="6"/>
      <c r="AR626" s="6"/>
      <c r="AS626" s="6"/>
      <c r="AT626" s="6"/>
      <c r="AU626" s="6"/>
      <c r="AV626" s="6"/>
      <c r="AW626" s="6"/>
      <c r="AX626" s="7">
        <f t="shared" si="430"/>
        <v>0</v>
      </c>
      <c r="AY626" s="11">
        <f t="shared" si="398"/>
        <v>2</v>
      </c>
      <c r="AZ626" s="25"/>
      <c r="BA626" s="10" t="str">
        <f t="shared" si="394"/>
        <v>MarçoSEMANA 5Saco de Lixo 20 Lt</v>
      </c>
      <c r="BB626" s="7">
        <f>SUMIF(NF!$A:$A,$BA626,NF!$I:$I)</f>
        <v>0</v>
      </c>
      <c r="BC626" s="6"/>
      <c r="BD626" s="6"/>
      <c r="BE626" s="6"/>
      <c r="BF626" s="6">
        <v>1</v>
      </c>
      <c r="BG626" s="6"/>
      <c r="BH626" s="6"/>
      <c r="BI626" s="74"/>
      <c r="BJ626" s="74"/>
      <c r="BK626" s="7">
        <f t="shared" si="431"/>
        <v>1</v>
      </c>
      <c r="BL626" s="8">
        <f t="shared" si="399"/>
        <v>1</v>
      </c>
      <c r="BM626" s="51" t="str">
        <f>IFERROR(VLOOKUP(A626,NF!$M:$O,3,0),"")</f>
        <v>Limpeza</v>
      </c>
      <c r="BN626" s="7">
        <f t="shared" si="400"/>
        <v>2</v>
      </c>
      <c r="BO626" s="8">
        <f t="array" ref="BO626">IFERROR(LARGE(IF(NF!$G$2:$G$3137='Mês atual'!A626,NF!$J$2:$J$3137),1),0)*BN626</f>
        <v>16.8</v>
      </c>
      <c r="BP626" s="50"/>
      <c r="BR626" s="146">
        <f t="array" ref="BR626">IFERROR(LARGE(IF(NF!$G$2:$G$3137='Mês atual'!A626,NF!$J$2:$J$3137),1),0)</f>
        <v>8.4</v>
      </c>
      <c r="BS626" s="142" t="str">
        <f>VLOOKUP(A626,NF!M:O,3,0)</f>
        <v>Limpeza</v>
      </c>
      <c r="BV626" s="74">
        <f t="shared" si="422"/>
        <v>0</v>
      </c>
      <c r="BW626" s="74">
        <f t="shared" si="423"/>
        <v>1</v>
      </c>
      <c r="BX626" s="74">
        <f t="shared" si="424"/>
        <v>0</v>
      </c>
      <c r="BY626" s="74">
        <f t="shared" si="425"/>
        <v>0</v>
      </c>
      <c r="BZ626" s="74">
        <f t="shared" si="426"/>
        <v>1</v>
      </c>
    </row>
    <row r="627" spans="1:78" x14ac:dyDescent="0.2">
      <c r="A627" s="108" t="s">
        <v>711</v>
      </c>
      <c r="B627" s="12"/>
      <c r="C627" s="9">
        <v>2</v>
      </c>
      <c r="D627" s="25"/>
      <c r="E627" s="10" t="str">
        <f t="shared" si="390"/>
        <v>MarçoSEMANA 1Saco de Lixo 200 Lt</v>
      </c>
      <c r="F627" s="7">
        <f>SUMIF(NF!$A:$A,$E627,NF!$I:$I)</f>
        <v>0</v>
      </c>
      <c r="G627" s="74"/>
      <c r="H627" s="74"/>
      <c r="I627" s="74"/>
      <c r="J627" s="6"/>
      <c r="K627" s="6"/>
      <c r="L627" s="6"/>
      <c r="M627" s="6">
        <v>1</v>
      </c>
      <c r="N627" s="7">
        <f t="shared" si="427"/>
        <v>1</v>
      </c>
      <c r="O627" s="11">
        <f t="shared" si="395"/>
        <v>1</v>
      </c>
      <c r="P627" s="25"/>
      <c r="Q627" s="10" t="str">
        <f t="shared" si="391"/>
        <v>MarçoSEMANA 2Saco de Lixo 200 Lt</v>
      </c>
      <c r="R627" s="7">
        <f>SUMIF(NF!$A:$A,$Q627,NF!$I:$I)</f>
        <v>2</v>
      </c>
      <c r="S627" s="6"/>
      <c r="T627" s="6"/>
      <c r="U627" s="6"/>
      <c r="V627" s="6"/>
      <c r="W627" s="6"/>
      <c r="X627" s="6"/>
      <c r="Y627" s="6">
        <v>1</v>
      </c>
      <c r="Z627" s="7">
        <f t="shared" si="428"/>
        <v>1</v>
      </c>
      <c r="AA627" s="11">
        <f t="shared" si="396"/>
        <v>2</v>
      </c>
      <c r="AB627" s="25"/>
      <c r="AC627" s="10" t="str">
        <f t="shared" si="392"/>
        <v>MarçoSEMANA 3Saco de Lixo 200 Lt</v>
      </c>
      <c r="AD627" s="7">
        <f>SUMIF(NF!$A:$A,$AC627,NF!$I:$I)</f>
        <v>2</v>
      </c>
      <c r="AE627" s="6"/>
      <c r="AF627" s="6"/>
      <c r="AG627" s="6"/>
      <c r="AH627" s="6">
        <v>1</v>
      </c>
      <c r="AI627" s="6"/>
      <c r="AJ627" s="6"/>
      <c r="AK627" s="6">
        <v>1</v>
      </c>
      <c r="AL627" s="7">
        <f t="shared" si="429"/>
        <v>2</v>
      </c>
      <c r="AM627" s="11">
        <f t="shared" si="397"/>
        <v>2</v>
      </c>
      <c r="AN627" s="25"/>
      <c r="AO627" s="10" t="str">
        <f t="shared" si="393"/>
        <v>MarçoSEMANA 4Saco de Lixo 200 Lt</v>
      </c>
      <c r="AP627" s="7">
        <f>SUMIF(NF!$A:$A,$AO627,NF!$I:$I)</f>
        <v>1</v>
      </c>
      <c r="AQ627" s="6"/>
      <c r="AR627" s="6"/>
      <c r="AS627" s="6"/>
      <c r="AT627" s="6"/>
      <c r="AU627" s="6">
        <v>1</v>
      </c>
      <c r="AV627" s="6"/>
      <c r="AW627" s="6"/>
      <c r="AX627" s="7">
        <f t="shared" si="430"/>
        <v>1</v>
      </c>
      <c r="AY627" s="11">
        <f t="shared" si="398"/>
        <v>2</v>
      </c>
      <c r="AZ627" s="25"/>
      <c r="BA627" s="10" t="str">
        <f t="shared" si="394"/>
        <v>MarçoSEMANA 5Saco de Lixo 200 Lt</v>
      </c>
      <c r="BB627" s="7">
        <f>SUMIF(NF!$A:$A,$BA627,NF!$I:$I)</f>
        <v>0</v>
      </c>
      <c r="BC627" s="6"/>
      <c r="BD627" s="6"/>
      <c r="BE627" s="6"/>
      <c r="BF627" s="6">
        <v>1</v>
      </c>
      <c r="BG627" s="6"/>
      <c r="BH627" s="6"/>
      <c r="BI627" s="74"/>
      <c r="BJ627" s="74"/>
      <c r="BK627" s="7">
        <f t="shared" si="431"/>
        <v>1</v>
      </c>
      <c r="BL627" s="8">
        <f t="shared" si="399"/>
        <v>1</v>
      </c>
      <c r="BM627" s="51" t="str">
        <f>IFERROR(VLOOKUP(A627,NF!$M:$O,3,0),"")</f>
        <v>Limpeza</v>
      </c>
      <c r="BN627" s="7">
        <f t="shared" si="400"/>
        <v>6</v>
      </c>
      <c r="BO627" s="8">
        <f t="array" ref="BO627">IFERROR(LARGE(IF(NF!$G$2:$G$3137='Mês atual'!A627,NF!$J$2:$J$3137),1),0)*BN627</f>
        <v>289.14</v>
      </c>
      <c r="BP627" s="50"/>
      <c r="BR627" s="146">
        <f t="array" ref="BR627">IFERROR(LARGE(IF(NF!$G$2:$G$3137='Mês atual'!A627,NF!$J$2:$J$3137),1),0)</f>
        <v>48.19</v>
      </c>
      <c r="BS627" s="142" t="str">
        <f>VLOOKUP(A627,NF!M:O,3,0)</f>
        <v>Limpeza</v>
      </c>
      <c r="BV627" s="74">
        <f t="shared" si="422"/>
        <v>1</v>
      </c>
      <c r="BW627" s="74">
        <f t="shared" si="423"/>
        <v>1</v>
      </c>
      <c r="BX627" s="74">
        <f t="shared" si="424"/>
        <v>2</v>
      </c>
      <c r="BY627" s="74">
        <f t="shared" si="425"/>
        <v>1</v>
      </c>
      <c r="BZ627" s="74">
        <f t="shared" si="426"/>
        <v>1</v>
      </c>
    </row>
    <row r="628" spans="1:78" x14ac:dyDescent="0.2">
      <c r="A628" s="108" t="s">
        <v>712</v>
      </c>
      <c r="B628" s="12"/>
      <c r="C628" s="9">
        <v>2</v>
      </c>
      <c r="D628" s="25"/>
      <c r="E628" s="10" t="str">
        <f t="shared" si="390"/>
        <v>MarçoSEMANA 1Saco de Lixo 300 Lt</v>
      </c>
      <c r="F628" s="7">
        <f>SUMIF(NF!$A:$A,$E628,NF!$I:$I)</f>
        <v>0</v>
      </c>
      <c r="G628" s="74"/>
      <c r="H628" s="74"/>
      <c r="I628" s="74"/>
      <c r="J628" s="6"/>
      <c r="K628" s="6"/>
      <c r="L628" s="6"/>
      <c r="M628" s="6"/>
      <c r="N628" s="7">
        <f t="shared" si="427"/>
        <v>0</v>
      </c>
      <c r="O628" s="11">
        <f t="shared" si="395"/>
        <v>2</v>
      </c>
      <c r="P628" s="25"/>
      <c r="Q628" s="10" t="str">
        <f t="shared" si="391"/>
        <v>MarçoSEMANA 2Saco de Lixo 300 Lt</v>
      </c>
      <c r="R628" s="7">
        <f>SUMIF(NF!$A:$A,$Q628,NF!$I:$I)</f>
        <v>0</v>
      </c>
      <c r="S628" s="6"/>
      <c r="T628" s="6"/>
      <c r="U628" s="6">
        <v>1</v>
      </c>
      <c r="V628" s="6"/>
      <c r="W628" s="6"/>
      <c r="X628" s="6"/>
      <c r="Y628" s="6"/>
      <c r="Z628" s="7">
        <f t="shared" si="428"/>
        <v>1</v>
      </c>
      <c r="AA628" s="11">
        <f t="shared" si="396"/>
        <v>1</v>
      </c>
      <c r="AB628" s="25"/>
      <c r="AC628" s="10" t="str">
        <f t="shared" si="392"/>
        <v>MarçoSEMANA 3Saco de Lixo 300 Lt</v>
      </c>
      <c r="AD628" s="7">
        <f>SUMIF(NF!$A:$A,$AC628,NF!$I:$I)</f>
        <v>1</v>
      </c>
      <c r="AE628" s="6"/>
      <c r="AF628" s="6"/>
      <c r="AG628" s="6"/>
      <c r="AH628" s="6"/>
      <c r="AI628" s="6"/>
      <c r="AJ628" s="6"/>
      <c r="AK628" s="6"/>
      <c r="AL628" s="7">
        <f t="shared" si="429"/>
        <v>0</v>
      </c>
      <c r="AM628" s="11">
        <f t="shared" si="397"/>
        <v>2</v>
      </c>
      <c r="AN628" s="25"/>
      <c r="AO628" s="10" t="str">
        <f t="shared" si="393"/>
        <v>MarçoSEMANA 4Saco de Lixo 300 Lt</v>
      </c>
      <c r="AP628" s="7">
        <f>SUMIF(NF!$A:$A,$AO628,NF!$I:$I)</f>
        <v>0</v>
      </c>
      <c r="AQ628" s="6"/>
      <c r="AR628" s="6"/>
      <c r="AS628" s="6"/>
      <c r="AT628" s="6"/>
      <c r="AU628" s="6"/>
      <c r="AV628" s="6"/>
      <c r="AW628" s="6"/>
      <c r="AX628" s="7">
        <f t="shared" si="430"/>
        <v>0</v>
      </c>
      <c r="AY628" s="11">
        <f t="shared" si="398"/>
        <v>2</v>
      </c>
      <c r="AZ628" s="25"/>
      <c r="BA628" s="10" t="str">
        <f t="shared" si="394"/>
        <v>MarçoSEMANA 5Saco de Lixo 300 Lt</v>
      </c>
      <c r="BB628" s="7">
        <f>SUMIF(NF!$A:$A,$BA628,NF!$I:$I)</f>
        <v>0</v>
      </c>
      <c r="BC628" s="6"/>
      <c r="BD628" s="6"/>
      <c r="BE628" s="6"/>
      <c r="BF628" s="6"/>
      <c r="BG628" s="6"/>
      <c r="BH628" s="6"/>
      <c r="BI628" s="74"/>
      <c r="BJ628" s="74"/>
      <c r="BK628" s="7">
        <f t="shared" si="431"/>
        <v>0</v>
      </c>
      <c r="BL628" s="8">
        <f t="shared" si="399"/>
        <v>2</v>
      </c>
      <c r="BM628" s="51" t="str">
        <f>IFERROR(VLOOKUP(A628,NF!$M:$O,3,0),"")</f>
        <v>Limpeza</v>
      </c>
      <c r="BN628" s="7">
        <f t="shared" si="400"/>
        <v>1</v>
      </c>
      <c r="BO628" s="8">
        <f t="array" ref="BO628">IFERROR(LARGE(IF(NF!$G$2:$G$3137='Mês atual'!A628,NF!$J$2:$J$3137),1),0)*BN628</f>
        <v>91.05</v>
      </c>
      <c r="BP628" s="50"/>
      <c r="BR628" s="146">
        <f t="array" ref="BR628">IFERROR(LARGE(IF(NF!$G$2:$G$3137='Mês atual'!A628,NF!$J$2:$J$3137),1),0)</f>
        <v>91.05</v>
      </c>
      <c r="BS628" s="142" t="str">
        <f>VLOOKUP(A628,NF!M:O,3,0)</f>
        <v>Limpeza</v>
      </c>
      <c r="BV628" s="74">
        <f t="shared" si="422"/>
        <v>0</v>
      </c>
      <c r="BW628" s="74">
        <f t="shared" si="423"/>
        <v>1</v>
      </c>
      <c r="BX628" s="74">
        <f t="shared" si="424"/>
        <v>0</v>
      </c>
      <c r="BY628" s="74">
        <f t="shared" si="425"/>
        <v>0</v>
      </c>
      <c r="BZ628" s="74">
        <f t="shared" si="426"/>
        <v>0</v>
      </c>
    </row>
    <row r="629" spans="1:78" x14ac:dyDescent="0.2">
      <c r="A629" s="108" t="s">
        <v>713</v>
      </c>
      <c r="B629" s="12"/>
      <c r="C629" s="9">
        <v>1</v>
      </c>
      <c r="D629" s="25"/>
      <c r="E629" s="10" t="str">
        <f t="shared" si="390"/>
        <v>MarçoSEMANA 1Saco de Lixo 60 Lt</v>
      </c>
      <c r="F629" s="7">
        <f>SUMIF(NF!$A:$A,$E629,NF!$I:$I)</f>
        <v>0</v>
      </c>
      <c r="G629" s="74"/>
      <c r="H629" s="74"/>
      <c r="I629" s="74"/>
      <c r="J629" s="6"/>
      <c r="K629" s="6"/>
      <c r="L629" s="6"/>
      <c r="M629" s="6"/>
      <c r="N629" s="7">
        <f t="shared" si="427"/>
        <v>0</v>
      </c>
      <c r="O629" s="11">
        <f t="shared" si="395"/>
        <v>1</v>
      </c>
      <c r="P629" s="25"/>
      <c r="Q629" s="10" t="str">
        <f t="shared" si="391"/>
        <v>MarçoSEMANA 2Saco de Lixo 60 Lt</v>
      </c>
      <c r="R629" s="7">
        <f>SUMIF(NF!$A:$A,$Q629,NF!$I:$I)</f>
        <v>1</v>
      </c>
      <c r="S629" s="6"/>
      <c r="T629" s="6"/>
      <c r="U629" s="6"/>
      <c r="V629" s="6"/>
      <c r="W629" s="6"/>
      <c r="X629" s="6"/>
      <c r="Y629" s="6"/>
      <c r="Z629" s="7">
        <f t="shared" si="428"/>
        <v>0</v>
      </c>
      <c r="AA629" s="11">
        <f t="shared" si="396"/>
        <v>2</v>
      </c>
      <c r="AB629" s="25"/>
      <c r="AC629" s="10" t="str">
        <f t="shared" si="392"/>
        <v>MarçoSEMANA 3Saco de Lixo 60 Lt</v>
      </c>
      <c r="AD629" s="7">
        <f>SUMIF(NF!$A:$A,$AC629,NF!$I:$I)</f>
        <v>0</v>
      </c>
      <c r="AE629" s="6"/>
      <c r="AF629" s="6"/>
      <c r="AG629" s="6"/>
      <c r="AH629" s="6"/>
      <c r="AI629" s="6"/>
      <c r="AJ629" s="6"/>
      <c r="AK629" s="6"/>
      <c r="AL629" s="7">
        <f t="shared" si="429"/>
        <v>0</v>
      </c>
      <c r="AM629" s="11">
        <f t="shared" si="397"/>
        <v>2</v>
      </c>
      <c r="AN629" s="25"/>
      <c r="AO629" s="10" t="str">
        <f t="shared" si="393"/>
        <v>MarçoSEMANA 4Saco de Lixo 60 Lt</v>
      </c>
      <c r="AP629" s="7">
        <f>SUMIF(NF!$A:$A,$AO629,NF!$I:$I)</f>
        <v>0</v>
      </c>
      <c r="AQ629" s="6"/>
      <c r="AR629" s="6"/>
      <c r="AS629" s="6"/>
      <c r="AT629" s="6"/>
      <c r="AU629" s="6"/>
      <c r="AV629" s="6"/>
      <c r="AW629" s="6"/>
      <c r="AX629" s="7">
        <f t="shared" si="430"/>
        <v>0</v>
      </c>
      <c r="AY629" s="11">
        <f t="shared" si="398"/>
        <v>2</v>
      </c>
      <c r="AZ629" s="25"/>
      <c r="BA629" s="10" t="str">
        <f t="shared" si="394"/>
        <v>MarçoSEMANA 5Saco de Lixo 60 Lt</v>
      </c>
      <c r="BB629" s="7">
        <f>SUMIF(NF!$A:$A,$BA629,NF!$I:$I)</f>
        <v>0</v>
      </c>
      <c r="BC629" s="6">
        <v>1</v>
      </c>
      <c r="BD629" s="6"/>
      <c r="BE629" s="6"/>
      <c r="BF629" s="6"/>
      <c r="BG629" s="6"/>
      <c r="BH629" s="6"/>
      <c r="BI629" s="74"/>
      <c r="BJ629" s="74"/>
      <c r="BK629" s="7">
        <f t="shared" si="431"/>
        <v>1</v>
      </c>
      <c r="BL629" s="8">
        <f t="shared" si="399"/>
        <v>1</v>
      </c>
      <c r="BM629" s="51" t="str">
        <f>IFERROR(VLOOKUP(A629,NF!$M:$O,3,0),"")</f>
        <v>Limpeza</v>
      </c>
      <c r="BN629" s="7">
        <f t="shared" si="400"/>
        <v>1</v>
      </c>
      <c r="BO629" s="8">
        <f t="array" ref="BO629">IFERROR(LARGE(IF(NF!$G$2:$G$3137='Mês atual'!A629,NF!$J$2:$J$3137),1),0)*BN629</f>
        <v>12.72</v>
      </c>
      <c r="BP629" s="50"/>
      <c r="BR629" s="146">
        <f t="array" ref="BR629">IFERROR(LARGE(IF(NF!$G$2:$G$3137='Mês atual'!A629,NF!$J$2:$J$3137),1),0)</f>
        <v>12.72</v>
      </c>
      <c r="BS629" s="142" t="str">
        <f>VLOOKUP(A629,NF!M:O,3,0)</f>
        <v>Limpeza</v>
      </c>
      <c r="BV629" s="74">
        <f t="shared" si="422"/>
        <v>0</v>
      </c>
      <c r="BW629" s="74">
        <f t="shared" si="423"/>
        <v>0</v>
      </c>
      <c r="BX629" s="74">
        <f t="shared" si="424"/>
        <v>0</v>
      </c>
      <c r="BY629" s="74">
        <f t="shared" si="425"/>
        <v>0</v>
      </c>
      <c r="BZ629" s="74">
        <f t="shared" si="426"/>
        <v>1</v>
      </c>
    </row>
    <row r="630" spans="1:78" x14ac:dyDescent="0.25">
      <c r="A630" s="108" t="s">
        <v>733</v>
      </c>
      <c r="B630" s="12"/>
      <c r="C630" s="9">
        <v>2</v>
      </c>
      <c r="D630" s="25"/>
      <c r="E630" s="10" t="str">
        <f t="shared" si="390"/>
        <v>MarçoSEMANA 1Sapólio</v>
      </c>
      <c r="F630" s="7">
        <f>SUMIF(NF!$A:$A,$E630,NF!$I:$I)</f>
        <v>0</v>
      </c>
      <c r="G630" s="74"/>
      <c r="H630" s="74"/>
      <c r="I630" s="74"/>
      <c r="J630" s="6">
        <f>(1)</f>
        <v>1</v>
      </c>
      <c r="K630" s="6"/>
      <c r="L630" s="6"/>
      <c r="M630" s="6"/>
      <c r="N630" s="7">
        <f t="shared" si="427"/>
        <v>1</v>
      </c>
      <c r="O630" s="11">
        <f t="shared" si="395"/>
        <v>1</v>
      </c>
      <c r="P630" s="25"/>
      <c r="Q630" s="10" t="str">
        <f t="shared" si="391"/>
        <v>MarçoSEMANA 2Sapólio</v>
      </c>
      <c r="R630" s="7">
        <f>SUMIF(NF!$A:$A,$Q630,NF!$I:$I)</f>
        <v>1</v>
      </c>
      <c r="S630" s="6"/>
      <c r="T630" s="6"/>
      <c r="U630" s="6"/>
      <c r="V630" s="6"/>
      <c r="W630" s="6"/>
      <c r="X630" s="6"/>
      <c r="Y630" s="6"/>
      <c r="Z630" s="7">
        <f t="shared" si="428"/>
        <v>0</v>
      </c>
      <c r="AA630" s="11">
        <f t="shared" si="396"/>
        <v>2</v>
      </c>
      <c r="AB630" s="25"/>
      <c r="AC630" s="10" t="str">
        <f t="shared" si="392"/>
        <v>MarçoSEMANA 3Sapólio</v>
      </c>
      <c r="AD630" s="7">
        <f>SUMIF(NF!$A:$A,$AC630,NF!$I:$I)</f>
        <v>1</v>
      </c>
      <c r="AE630" s="6"/>
      <c r="AF630" s="6"/>
      <c r="AG630" s="6"/>
      <c r="AH630" s="6"/>
      <c r="AI630" s="6"/>
      <c r="AJ630" s="6"/>
      <c r="AK630" s="6"/>
      <c r="AL630" s="7">
        <f t="shared" si="429"/>
        <v>0</v>
      </c>
      <c r="AM630" s="11">
        <f t="shared" si="397"/>
        <v>3</v>
      </c>
      <c r="AN630" s="25"/>
      <c r="AO630" s="10" t="str">
        <f t="shared" si="393"/>
        <v>MarçoSEMANA 4Sapólio</v>
      </c>
      <c r="AP630" s="7">
        <f>SUMIF(NF!$A:$A,$AO630,NF!$I:$I)</f>
        <v>0</v>
      </c>
      <c r="AQ630" s="6"/>
      <c r="AR630" s="6"/>
      <c r="AS630" s="6"/>
      <c r="AT630" s="6"/>
      <c r="AU630" s="6"/>
      <c r="AV630" s="6"/>
      <c r="AW630" s="6"/>
      <c r="AX630" s="7">
        <f t="shared" si="430"/>
        <v>0</v>
      </c>
      <c r="AY630" s="11">
        <f t="shared" si="398"/>
        <v>3</v>
      </c>
      <c r="AZ630" s="25"/>
      <c r="BA630" s="10" t="str">
        <f t="shared" si="394"/>
        <v>MarçoSEMANA 5Sapólio</v>
      </c>
      <c r="BB630" s="7">
        <f>SUMIF(NF!$A:$A,$BA630,NF!$I:$I)</f>
        <v>0</v>
      </c>
      <c r="BC630" s="6"/>
      <c r="BD630" s="6"/>
      <c r="BE630" s="6"/>
      <c r="BF630" s="6"/>
      <c r="BG630" s="6"/>
      <c r="BH630" s="6"/>
      <c r="BI630" s="74"/>
      <c r="BJ630" s="74"/>
      <c r="BK630" s="7">
        <f t="shared" si="431"/>
        <v>0</v>
      </c>
      <c r="BL630" s="8">
        <f t="shared" si="399"/>
        <v>3</v>
      </c>
      <c r="BM630" s="51" t="str">
        <f>IFERROR(VLOOKUP(A630,NF!$M:$O,3,0),"")</f>
        <v>Limpeza</v>
      </c>
      <c r="BN630" s="7">
        <f t="shared" si="400"/>
        <v>1</v>
      </c>
      <c r="BO630" s="8">
        <f t="array" ref="BO630">IFERROR(LARGE(IF(NF!$G$2:$G$3137='Mês atual'!A630,NF!$J$2:$J$3137),1),0)*BN630</f>
        <v>4.8600000000000003</v>
      </c>
      <c r="BP630" s="50"/>
      <c r="BR630" s="146">
        <f t="array" ref="BR630">IFERROR(LARGE(IF(NF!$G$2:$G$3137='Mês atual'!A630,NF!$J$2:$J$3137),1),0)</f>
        <v>4.8600000000000003</v>
      </c>
      <c r="BS630" s="142" t="str">
        <f>VLOOKUP(A630,NF!M:O,3,0)</f>
        <v>Limpeza</v>
      </c>
      <c r="BV630" s="74">
        <f t="shared" si="422"/>
        <v>1</v>
      </c>
      <c r="BW630" s="74">
        <f t="shared" si="423"/>
        <v>0</v>
      </c>
      <c r="BX630" s="74">
        <f t="shared" si="424"/>
        <v>0</v>
      </c>
      <c r="BY630" s="74">
        <f t="shared" si="425"/>
        <v>0</v>
      </c>
      <c r="BZ630" s="74">
        <f t="shared" si="426"/>
        <v>0</v>
      </c>
    </row>
    <row r="631" spans="1:78" x14ac:dyDescent="0.2">
      <c r="A631" s="108" t="s">
        <v>746</v>
      </c>
      <c r="B631" s="12"/>
      <c r="C631" s="9">
        <v>1</v>
      </c>
      <c r="D631" s="25"/>
      <c r="E631" s="10" t="str">
        <f t="shared" si="390"/>
        <v>MarçoSEMANA 1Silver Power Talher</v>
      </c>
      <c r="F631" s="7">
        <f>SUMIF(NF!$A:$A,$E631,NF!$I:$I)</f>
        <v>0</v>
      </c>
      <c r="G631" s="74"/>
      <c r="H631" s="74"/>
      <c r="I631" s="74"/>
      <c r="J631" s="6"/>
      <c r="K631" s="6"/>
      <c r="L631" s="6"/>
      <c r="M631" s="6"/>
      <c r="N631" s="7">
        <f t="shared" si="427"/>
        <v>0</v>
      </c>
      <c r="O631" s="11">
        <f t="shared" si="395"/>
        <v>1</v>
      </c>
      <c r="P631" s="25"/>
      <c r="Q631" s="10" t="str">
        <f t="shared" si="391"/>
        <v>MarçoSEMANA 2Silver Power Talher</v>
      </c>
      <c r="R631" s="7">
        <f>SUMIF(NF!$A:$A,$Q631,NF!$I:$I)</f>
        <v>0</v>
      </c>
      <c r="S631" s="6"/>
      <c r="T631" s="6"/>
      <c r="U631" s="6"/>
      <c r="V631" s="6"/>
      <c r="W631" s="6"/>
      <c r="X631" s="6"/>
      <c r="Y631" s="6"/>
      <c r="Z631" s="7">
        <f t="shared" si="428"/>
        <v>0</v>
      </c>
      <c r="AA631" s="11">
        <f t="shared" si="396"/>
        <v>1</v>
      </c>
      <c r="AB631" s="25"/>
      <c r="AC631" s="10" t="str">
        <f t="shared" si="392"/>
        <v>MarçoSEMANA 3Silver Power Talher</v>
      </c>
      <c r="AD631" s="7">
        <f>SUMIF(NF!$A:$A,$AC631,NF!$I:$I)</f>
        <v>0</v>
      </c>
      <c r="AE631" s="6"/>
      <c r="AF631" s="6">
        <v>1</v>
      </c>
      <c r="AG631" s="6"/>
      <c r="AH631" s="6"/>
      <c r="AI631" s="6"/>
      <c r="AJ631" s="6"/>
      <c r="AK631" s="6"/>
      <c r="AL631" s="7">
        <f t="shared" si="429"/>
        <v>1</v>
      </c>
      <c r="AM631" s="11">
        <f t="shared" si="397"/>
        <v>0</v>
      </c>
      <c r="AN631" s="25"/>
      <c r="AO631" s="10" t="str">
        <f t="shared" si="393"/>
        <v>MarçoSEMANA 4Silver Power Talher</v>
      </c>
      <c r="AP631" s="7">
        <f>SUMIF(NF!$A:$A,$AO631,NF!$I:$I)</f>
        <v>2</v>
      </c>
      <c r="AQ631" s="6"/>
      <c r="AR631" s="6"/>
      <c r="AS631" s="6"/>
      <c r="AT631" s="6"/>
      <c r="AU631" s="6"/>
      <c r="AV631" s="6"/>
      <c r="AW631" s="6"/>
      <c r="AX631" s="7">
        <f t="shared" si="430"/>
        <v>0</v>
      </c>
      <c r="AY631" s="11">
        <f t="shared" si="398"/>
        <v>2</v>
      </c>
      <c r="AZ631" s="25"/>
      <c r="BA631" s="10" t="str">
        <f t="shared" si="394"/>
        <v>MarçoSEMANA 5Silver Power Talher</v>
      </c>
      <c r="BB631" s="7">
        <f>SUMIF(NF!$A:$A,$BA631,NF!$I:$I)</f>
        <v>0</v>
      </c>
      <c r="BC631" s="6"/>
      <c r="BD631" s="6"/>
      <c r="BE631" s="6"/>
      <c r="BF631" s="6"/>
      <c r="BG631" s="6">
        <v>1</v>
      </c>
      <c r="BH631" s="6"/>
      <c r="BI631" s="74"/>
      <c r="BJ631" s="74"/>
      <c r="BK631" s="7">
        <f t="shared" si="431"/>
        <v>1</v>
      </c>
      <c r="BL631" s="8">
        <f t="shared" si="399"/>
        <v>1</v>
      </c>
      <c r="BM631" s="51" t="str">
        <f>IFERROR(VLOOKUP(A631,NF!$M:$O,3,0),"")</f>
        <v>Limpeza</v>
      </c>
      <c r="BN631" s="7">
        <f t="shared" si="400"/>
        <v>2</v>
      </c>
      <c r="BO631" s="8">
        <f t="array" ref="BO631">IFERROR(LARGE(IF(NF!$G$2:$G$3137='Mês atual'!A631,NF!$J$2:$J$3137),1),0)*BN631</f>
        <v>918.5</v>
      </c>
      <c r="BP631" s="50"/>
      <c r="BR631" s="146">
        <f t="array" ref="BR631">IFERROR(LARGE(IF(NF!$G$2:$G$3137='Mês atual'!A631,NF!$J$2:$J$3137),1),0)</f>
        <v>459.25</v>
      </c>
      <c r="BS631" s="142" t="str">
        <f>VLOOKUP(A631,NF!M:O,3,0)</f>
        <v>Limpeza</v>
      </c>
      <c r="BV631" s="74">
        <f t="shared" si="422"/>
        <v>0</v>
      </c>
      <c r="BW631" s="74">
        <f t="shared" si="423"/>
        <v>0</v>
      </c>
      <c r="BX631" s="74">
        <f t="shared" si="424"/>
        <v>1</v>
      </c>
      <c r="BY631" s="74">
        <f t="shared" si="425"/>
        <v>0</v>
      </c>
      <c r="BZ631" s="74">
        <f t="shared" si="426"/>
        <v>1</v>
      </c>
    </row>
    <row r="632" spans="1:78" x14ac:dyDescent="0.25">
      <c r="A632" s="108" t="s">
        <v>747</v>
      </c>
      <c r="B632" s="12"/>
      <c r="C632" s="9">
        <v>0</v>
      </c>
      <c r="D632" s="25"/>
      <c r="E632" s="10" t="str">
        <f t="shared" si="390"/>
        <v>MarçoSEMANA 1Solid Power (Lava Louça) 4 Kg</v>
      </c>
      <c r="F632" s="7">
        <f>SUMIF(NF!$A:$A,$E632,NF!$I:$I)</f>
        <v>2</v>
      </c>
      <c r="G632" s="74"/>
      <c r="H632" s="74"/>
      <c r="I632" s="74"/>
      <c r="J632" s="6">
        <v>1</v>
      </c>
      <c r="K632" s="6"/>
      <c r="L632" s="6"/>
      <c r="M632" s="6"/>
      <c r="N632" s="7">
        <f t="shared" si="427"/>
        <v>1</v>
      </c>
      <c r="O632" s="11">
        <f t="shared" si="395"/>
        <v>1</v>
      </c>
      <c r="P632" s="25"/>
      <c r="Q632" s="10" t="str">
        <f t="shared" si="391"/>
        <v>MarçoSEMANA 2Solid Power (Lava Louça) 4 Kg</v>
      </c>
      <c r="R632" s="7">
        <f>SUMIF(NF!$A:$A,$Q632,NF!$I:$I)</f>
        <v>3</v>
      </c>
      <c r="S632" s="6"/>
      <c r="T632" s="6"/>
      <c r="U632" s="6"/>
      <c r="V632" s="6"/>
      <c r="W632" s="6"/>
      <c r="X632" s="6"/>
      <c r="Y632" s="6"/>
      <c r="Z632" s="7">
        <f t="shared" si="428"/>
        <v>0</v>
      </c>
      <c r="AA632" s="11">
        <f t="shared" si="396"/>
        <v>4</v>
      </c>
      <c r="AB632" s="25"/>
      <c r="AC632" s="10" t="str">
        <f t="shared" si="392"/>
        <v>MarçoSEMANA 3Solid Power (Lava Louça) 4 Kg</v>
      </c>
      <c r="AD632" s="7">
        <f>SUMIF(NF!$A:$A,$AC632,NF!$I:$I)</f>
        <v>0</v>
      </c>
      <c r="AE632" s="6"/>
      <c r="AF632" s="6"/>
      <c r="AG632" s="6"/>
      <c r="AH632" s="6"/>
      <c r="AI632" s="6"/>
      <c r="AJ632" s="6">
        <v>1</v>
      </c>
      <c r="AK632" s="6"/>
      <c r="AL632" s="7">
        <f t="shared" si="429"/>
        <v>1</v>
      </c>
      <c r="AM632" s="11">
        <f t="shared" si="397"/>
        <v>3</v>
      </c>
      <c r="AN632" s="25"/>
      <c r="AO632" s="10" t="str">
        <f t="shared" si="393"/>
        <v>MarçoSEMANA 4Solid Power (Lava Louça) 4 Kg</v>
      </c>
      <c r="AP632" s="7">
        <f>SUMIF(NF!$A:$A,$AO632,NF!$I:$I)</f>
        <v>0</v>
      </c>
      <c r="AQ632" s="6"/>
      <c r="AR632" s="6"/>
      <c r="AS632" s="6"/>
      <c r="AT632" s="6"/>
      <c r="AU632" s="6"/>
      <c r="AV632" s="6"/>
      <c r="AW632" s="6"/>
      <c r="AX632" s="7">
        <f t="shared" si="430"/>
        <v>0</v>
      </c>
      <c r="AY632" s="11">
        <f t="shared" si="398"/>
        <v>3</v>
      </c>
      <c r="AZ632" s="25"/>
      <c r="BA632" s="10" t="str">
        <f t="shared" si="394"/>
        <v>MarçoSEMANA 5Solid Power (Lava Louça) 4 Kg</v>
      </c>
      <c r="BB632" s="7">
        <f>SUMIF(NF!$A:$A,$BA632,NF!$I:$I)</f>
        <v>0</v>
      </c>
      <c r="BC632" s="6"/>
      <c r="BD632" s="6"/>
      <c r="BE632" s="6"/>
      <c r="BF632" s="6"/>
      <c r="BG632" s="6"/>
      <c r="BH632" s="6"/>
      <c r="BI632" s="74"/>
      <c r="BJ632" s="74"/>
      <c r="BK632" s="7">
        <f t="shared" si="431"/>
        <v>0</v>
      </c>
      <c r="BL632" s="8">
        <f t="shared" si="399"/>
        <v>3</v>
      </c>
      <c r="BM632" s="51" t="str">
        <f>IFERROR(VLOOKUP(A632,NF!$M:$O,3,0),"")</f>
        <v>Limpeza</v>
      </c>
      <c r="BN632" s="7">
        <f t="shared" si="400"/>
        <v>2</v>
      </c>
      <c r="BO632" s="8">
        <f t="array" ref="BO632">IFERROR(LARGE(IF(NF!$G$2:$G$3137='Mês atual'!A632,NF!$J$2:$J$3137),1),0)*BN632</f>
        <v>1105.77</v>
      </c>
      <c r="BP632" s="50"/>
      <c r="BR632" s="146">
        <f t="array" ref="BR632">IFERROR(LARGE(IF(NF!$G$2:$G$3137='Mês atual'!A632,NF!$J$2:$J$3137),1),0)</f>
        <v>552.88499999999999</v>
      </c>
      <c r="BS632" s="142" t="str">
        <f>VLOOKUP(A632,NF!M:O,3,0)</f>
        <v>Limpeza</v>
      </c>
      <c r="BV632" s="74">
        <f t="shared" si="422"/>
        <v>1</v>
      </c>
      <c r="BW632" s="74">
        <f t="shared" si="423"/>
        <v>0</v>
      </c>
      <c r="BX632" s="74">
        <f t="shared" si="424"/>
        <v>1</v>
      </c>
      <c r="BY632" s="74">
        <f t="shared" si="425"/>
        <v>0</v>
      </c>
      <c r="BZ632" s="74">
        <f t="shared" si="426"/>
        <v>0</v>
      </c>
    </row>
    <row r="633" spans="1:78" x14ac:dyDescent="0.2">
      <c r="A633" s="108" t="s">
        <v>802</v>
      </c>
      <c r="B633" s="12"/>
      <c r="C633" s="9">
        <v>1</v>
      </c>
      <c r="D633" s="25"/>
      <c r="E633" s="10" t="str">
        <f t="shared" si="390"/>
        <v>MarçoSEMANA 1Top Mat Bb 5 Lt</v>
      </c>
      <c r="F633" s="7">
        <f>SUMIF(NF!$A:$A,$E633,NF!$I:$I)</f>
        <v>0</v>
      </c>
      <c r="G633" s="74"/>
      <c r="H633" s="74"/>
      <c r="I633" s="74"/>
      <c r="J633" s="6"/>
      <c r="K633" s="6"/>
      <c r="L633" s="6"/>
      <c r="M633" s="6"/>
      <c r="N633" s="7">
        <f t="shared" si="427"/>
        <v>0</v>
      </c>
      <c r="O633" s="11">
        <f t="shared" si="395"/>
        <v>1</v>
      </c>
      <c r="P633" s="25"/>
      <c r="Q633" s="10" t="str">
        <f t="shared" si="391"/>
        <v>MarçoSEMANA 2Top Mat Bb 5 Lt</v>
      </c>
      <c r="R633" s="7">
        <f>SUMIF(NF!$A:$A,$Q633,NF!$I:$I)</f>
        <v>0</v>
      </c>
      <c r="S633" s="6"/>
      <c r="T633" s="6"/>
      <c r="U633" s="6"/>
      <c r="V633" s="6"/>
      <c r="W633" s="6"/>
      <c r="X633" s="6"/>
      <c r="Y633" s="6"/>
      <c r="Z633" s="7">
        <f t="shared" si="428"/>
        <v>0</v>
      </c>
      <c r="AA633" s="11">
        <f t="shared" si="396"/>
        <v>1</v>
      </c>
      <c r="AB633" s="25"/>
      <c r="AC633" s="10" t="str">
        <f t="shared" si="392"/>
        <v>MarçoSEMANA 3Top Mat Bb 5 Lt</v>
      </c>
      <c r="AD633" s="7">
        <f>SUMIF(NF!$A:$A,$AC633,NF!$I:$I)</f>
        <v>0</v>
      </c>
      <c r="AE633" s="6"/>
      <c r="AF633" s="6"/>
      <c r="AG633" s="6"/>
      <c r="AH633" s="6"/>
      <c r="AI633" s="6"/>
      <c r="AJ633" s="6"/>
      <c r="AK633" s="6"/>
      <c r="AL633" s="7">
        <f t="shared" si="429"/>
        <v>0</v>
      </c>
      <c r="AM633" s="11">
        <f t="shared" si="397"/>
        <v>1</v>
      </c>
      <c r="AN633" s="25"/>
      <c r="AO633" s="10" t="str">
        <f t="shared" si="393"/>
        <v>MarçoSEMANA 4Top Mat Bb 5 Lt</v>
      </c>
      <c r="AP633" s="7">
        <f>SUMIF(NF!$A:$A,$AO633,NF!$I:$I)</f>
        <v>0</v>
      </c>
      <c r="AQ633" s="6"/>
      <c r="AR633" s="6"/>
      <c r="AS633" s="6"/>
      <c r="AT633" s="6"/>
      <c r="AU633" s="6"/>
      <c r="AV633" s="6"/>
      <c r="AW633" s="6"/>
      <c r="AX633" s="7">
        <f t="shared" si="430"/>
        <v>0</v>
      </c>
      <c r="AY633" s="11">
        <f t="shared" si="398"/>
        <v>1</v>
      </c>
      <c r="AZ633" s="25"/>
      <c r="BA633" s="10" t="str">
        <f t="shared" si="394"/>
        <v>MarçoSEMANA 5Top Mat Bb 5 Lt</v>
      </c>
      <c r="BB633" s="7">
        <f>SUMIF(NF!$A:$A,$BA633,NF!$I:$I)</f>
        <v>0</v>
      </c>
      <c r="BC633" s="6"/>
      <c r="BD633" s="6"/>
      <c r="BE633" s="6"/>
      <c r="BF633" s="6"/>
      <c r="BG633" s="6"/>
      <c r="BH633" s="6"/>
      <c r="BI633" s="74"/>
      <c r="BJ633" s="74"/>
      <c r="BK633" s="7">
        <f t="shared" si="431"/>
        <v>0</v>
      </c>
      <c r="BL633" s="8">
        <f t="shared" si="399"/>
        <v>1</v>
      </c>
      <c r="BM633" s="51" t="str">
        <f>IFERROR(VLOOKUP(A633,NF!$M:$O,3,0),"")</f>
        <v>Limpeza</v>
      </c>
      <c r="BN633" s="7">
        <f t="shared" si="400"/>
        <v>0</v>
      </c>
      <c r="BO633" s="8">
        <f t="array" ref="BO633">IFERROR(LARGE(IF(NF!$G$2:$G$3137='Mês atual'!A633,NF!$J$2:$J$3137),1),0)*BN633</f>
        <v>0</v>
      </c>
      <c r="BP633" s="50"/>
      <c r="BR633" s="146">
        <f t="array" ref="BR633">IFERROR(LARGE(IF(NF!$G$2:$G$3137='Mês atual'!A633,NF!$J$2:$J$3137),1),0)</f>
        <v>0</v>
      </c>
      <c r="BS633" s="142" t="str">
        <f>VLOOKUP(A633,NF!M:O,3,0)</f>
        <v>Limpeza</v>
      </c>
      <c r="BV633" s="74">
        <f t="shared" si="422"/>
        <v>0</v>
      </c>
      <c r="BW633" s="74">
        <f t="shared" si="423"/>
        <v>0</v>
      </c>
      <c r="BX633" s="74">
        <f t="shared" si="424"/>
        <v>0</v>
      </c>
      <c r="BY633" s="74">
        <f t="shared" si="425"/>
        <v>0</v>
      </c>
      <c r="BZ633" s="74">
        <f t="shared" si="426"/>
        <v>0</v>
      </c>
    </row>
    <row r="634" spans="1:78" x14ac:dyDescent="0.2">
      <c r="A634" s="108" t="s">
        <v>833</v>
      </c>
      <c r="B634" s="12"/>
      <c r="C634" s="9">
        <v>1</v>
      </c>
      <c r="D634" s="25"/>
      <c r="E634" s="10" t="str">
        <f t="shared" si="390"/>
        <v>MarçoSEMANA 1Vassoura Gari 40 cm</v>
      </c>
      <c r="F634" s="7">
        <f>SUMIF(NF!$A:$A,$E634,NF!$I:$I)</f>
        <v>0</v>
      </c>
      <c r="G634" s="74"/>
      <c r="H634" s="74"/>
      <c r="I634" s="74"/>
      <c r="J634" s="6"/>
      <c r="K634" s="6"/>
      <c r="L634" s="6"/>
      <c r="M634" s="6"/>
      <c r="N634" s="7">
        <f t="shared" si="427"/>
        <v>0</v>
      </c>
      <c r="O634" s="11">
        <f t="shared" si="395"/>
        <v>1</v>
      </c>
      <c r="P634" s="25"/>
      <c r="Q634" s="10" t="str">
        <f t="shared" si="391"/>
        <v>MarçoSEMANA 2Vassoura Gari 40 cm</v>
      </c>
      <c r="R634" s="7">
        <f>SUMIF(NF!$A:$A,$Q634,NF!$I:$I)</f>
        <v>0</v>
      </c>
      <c r="S634" s="6"/>
      <c r="T634" s="6"/>
      <c r="U634" s="6"/>
      <c r="V634" s="6"/>
      <c r="W634" s="6"/>
      <c r="X634" s="6"/>
      <c r="Y634" s="6"/>
      <c r="Z634" s="7">
        <f t="shared" si="428"/>
        <v>0</v>
      </c>
      <c r="AA634" s="11">
        <f t="shared" si="396"/>
        <v>1</v>
      </c>
      <c r="AB634" s="25"/>
      <c r="AC634" s="10" t="str">
        <f t="shared" si="392"/>
        <v>MarçoSEMANA 3Vassoura Gari 40 cm</v>
      </c>
      <c r="AD634" s="7">
        <f>SUMIF(NF!$A:$A,$AC634,NF!$I:$I)</f>
        <v>0</v>
      </c>
      <c r="AE634" s="6"/>
      <c r="AF634" s="6"/>
      <c r="AG634" s="6"/>
      <c r="AH634" s="6"/>
      <c r="AI634" s="6"/>
      <c r="AJ634" s="6"/>
      <c r="AK634" s="6"/>
      <c r="AL634" s="7">
        <f t="shared" si="429"/>
        <v>0</v>
      </c>
      <c r="AM634" s="11">
        <f t="shared" si="397"/>
        <v>1</v>
      </c>
      <c r="AN634" s="25"/>
      <c r="AO634" s="10" t="str">
        <f t="shared" si="393"/>
        <v>MarçoSEMANA 4Vassoura Gari 40 cm</v>
      </c>
      <c r="AP634" s="7">
        <f>SUMIF(NF!$A:$A,$AO634,NF!$I:$I)</f>
        <v>0</v>
      </c>
      <c r="AQ634" s="6"/>
      <c r="AR634" s="6"/>
      <c r="AS634" s="6"/>
      <c r="AT634" s="6"/>
      <c r="AU634" s="6"/>
      <c r="AV634" s="6"/>
      <c r="AW634" s="6"/>
      <c r="AX634" s="7">
        <f t="shared" si="430"/>
        <v>0</v>
      </c>
      <c r="AY634" s="11">
        <f t="shared" si="398"/>
        <v>1</v>
      </c>
      <c r="AZ634" s="25"/>
      <c r="BA634" s="10" t="str">
        <f t="shared" si="394"/>
        <v>MarçoSEMANA 5Vassoura Gari 40 cm</v>
      </c>
      <c r="BB634" s="7">
        <f>SUMIF(NF!$A:$A,$BA634,NF!$I:$I)</f>
        <v>0</v>
      </c>
      <c r="BC634" s="6"/>
      <c r="BD634" s="6"/>
      <c r="BE634" s="6"/>
      <c r="BF634" s="6"/>
      <c r="BG634" s="6"/>
      <c r="BH634" s="6"/>
      <c r="BI634" s="74"/>
      <c r="BJ634" s="74"/>
      <c r="BK634" s="7">
        <f t="shared" si="431"/>
        <v>0</v>
      </c>
      <c r="BL634" s="8">
        <f t="shared" si="399"/>
        <v>1</v>
      </c>
      <c r="BM634" s="51" t="str">
        <f>IFERROR(VLOOKUP(A634,NF!$M:$O,3,0),"")</f>
        <v>Limpeza</v>
      </c>
      <c r="BN634" s="7">
        <f t="shared" si="400"/>
        <v>0</v>
      </c>
      <c r="BO634" s="8">
        <f t="array" ref="BO634">IFERROR(LARGE(IF(NF!$G$2:$G$3137='Mês atual'!A634,NF!$J$2:$J$3137),1),0)*BN634</f>
        <v>0</v>
      </c>
      <c r="BP634" s="50"/>
      <c r="BR634" s="146">
        <f t="array" ref="BR634">IFERROR(LARGE(IF(NF!$G$2:$G$3137='Mês atual'!A634,NF!$J$2:$J$3137),1),0)</f>
        <v>0</v>
      </c>
      <c r="BS634" s="142" t="str">
        <f>VLOOKUP(A634,NF!M:O,3,0)</f>
        <v>Limpeza</v>
      </c>
      <c r="BV634" s="74">
        <f t="shared" si="422"/>
        <v>0</v>
      </c>
      <c r="BW634" s="74">
        <f t="shared" si="423"/>
        <v>0</v>
      </c>
      <c r="BX634" s="74">
        <f t="shared" si="424"/>
        <v>0</v>
      </c>
      <c r="BY634" s="74">
        <f t="shared" si="425"/>
        <v>0</v>
      </c>
      <c r="BZ634" s="74">
        <f t="shared" si="426"/>
        <v>0</v>
      </c>
    </row>
    <row r="635" spans="1:78" x14ac:dyDescent="0.2">
      <c r="A635" s="108" t="s">
        <v>834</v>
      </c>
      <c r="B635" s="12"/>
      <c r="C635" s="9">
        <v>3</v>
      </c>
      <c r="D635" s="25"/>
      <c r="E635" s="10" t="str">
        <f t="shared" si="390"/>
        <v>MarçoSEMANA 1Vassoura Nylon</v>
      </c>
      <c r="F635" s="7">
        <f>SUMIF(NF!$A:$A,$E635,NF!$I:$I)</f>
        <v>0</v>
      </c>
      <c r="G635" s="74"/>
      <c r="H635" s="74"/>
      <c r="I635" s="74"/>
      <c r="J635" s="6">
        <f>(1)</f>
        <v>1</v>
      </c>
      <c r="K635" s="6"/>
      <c r="L635" s="6"/>
      <c r="M635" s="6"/>
      <c r="N635" s="7">
        <f t="shared" si="427"/>
        <v>1</v>
      </c>
      <c r="O635" s="11">
        <f t="shared" si="395"/>
        <v>2</v>
      </c>
      <c r="P635" s="25"/>
      <c r="Q635" s="10" t="str">
        <f t="shared" si="391"/>
        <v>MarçoSEMANA 2Vassoura Nylon</v>
      </c>
      <c r="R635" s="7">
        <f>SUMIF(NF!$A:$A,$Q635,NF!$I:$I)</f>
        <v>0</v>
      </c>
      <c r="S635" s="6">
        <v>1</v>
      </c>
      <c r="T635" s="6"/>
      <c r="U635" s="6"/>
      <c r="V635" s="6"/>
      <c r="W635" s="6"/>
      <c r="X635" s="6"/>
      <c r="Y635" s="6"/>
      <c r="Z635" s="7">
        <f t="shared" si="428"/>
        <v>1</v>
      </c>
      <c r="AA635" s="11">
        <f t="shared" si="396"/>
        <v>1</v>
      </c>
      <c r="AB635" s="25"/>
      <c r="AC635" s="10" t="str">
        <f t="shared" si="392"/>
        <v>MarçoSEMANA 3Vassoura Nylon</v>
      </c>
      <c r="AD635" s="7">
        <f>SUMIF(NF!$A:$A,$AC635,NF!$I:$I)</f>
        <v>3</v>
      </c>
      <c r="AE635" s="6">
        <v>1</v>
      </c>
      <c r="AF635" s="6"/>
      <c r="AG635" s="6"/>
      <c r="AH635" s="6"/>
      <c r="AI635" s="6"/>
      <c r="AJ635" s="6"/>
      <c r="AK635" s="6"/>
      <c r="AL635" s="7">
        <f t="shared" si="429"/>
        <v>1</v>
      </c>
      <c r="AM635" s="11">
        <f t="shared" si="397"/>
        <v>3</v>
      </c>
      <c r="AN635" s="25"/>
      <c r="AO635" s="10" t="str">
        <f t="shared" si="393"/>
        <v>MarçoSEMANA 4Vassoura Nylon</v>
      </c>
      <c r="AP635" s="7">
        <f>SUMIF(NF!$A:$A,$AO635,NF!$I:$I)</f>
        <v>0</v>
      </c>
      <c r="AQ635" s="6"/>
      <c r="AR635" s="6"/>
      <c r="AS635" s="6"/>
      <c r="AT635" s="6"/>
      <c r="AU635" s="6"/>
      <c r="AV635" s="6"/>
      <c r="AW635" s="6"/>
      <c r="AX635" s="7">
        <f t="shared" si="430"/>
        <v>0</v>
      </c>
      <c r="AY635" s="11">
        <f t="shared" si="398"/>
        <v>3</v>
      </c>
      <c r="AZ635" s="25"/>
      <c r="BA635" s="10" t="str">
        <f t="shared" si="394"/>
        <v>MarçoSEMANA 5Vassoura Nylon</v>
      </c>
      <c r="BB635" s="7">
        <f>SUMIF(NF!$A:$A,$BA635,NF!$I:$I)</f>
        <v>0</v>
      </c>
      <c r="BC635" s="6"/>
      <c r="BD635" s="6"/>
      <c r="BE635" s="6"/>
      <c r="BF635" s="6"/>
      <c r="BG635" s="6"/>
      <c r="BH635" s="6"/>
      <c r="BI635" s="74"/>
      <c r="BJ635" s="74"/>
      <c r="BK635" s="7">
        <f t="shared" si="431"/>
        <v>0</v>
      </c>
      <c r="BL635" s="8">
        <f t="shared" si="399"/>
        <v>3</v>
      </c>
      <c r="BM635" s="51" t="str">
        <f>IFERROR(VLOOKUP(A635,NF!$M:$O,3,0),"")</f>
        <v>Limpeza</v>
      </c>
      <c r="BN635" s="7">
        <f t="shared" si="400"/>
        <v>3</v>
      </c>
      <c r="BO635" s="8">
        <f t="array" ref="BO635">IFERROR(LARGE(IF(NF!$G$2:$G$3137='Mês atual'!A635,NF!$J$2:$J$3137),1),0)*BN635</f>
        <v>35.549999999999997</v>
      </c>
      <c r="BP635" s="50"/>
      <c r="BR635" s="146">
        <f t="array" ref="BR635">IFERROR(LARGE(IF(NF!$G$2:$G$3137='Mês atual'!A635,NF!$J$2:$J$3137),1),0)</f>
        <v>11.85</v>
      </c>
      <c r="BS635" s="142" t="str">
        <f>VLOOKUP(A635,NF!M:O,3,0)</f>
        <v>Limpeza</v>
      </c>
      <c r="BV635" s="74">
        <f t="shared" si="422"/>
        <v>1</v>
      </c>
      <c r="BW635" s="74">
        <f t="shared" si="423"/>
        <v>1</v>
      </c>
      <c r="BX635" s="74">
        <f t="shared" si="424"/>
        <v>1</v>
      </c>
      <c r="BY635" s="74">
        <f t="shared" si="425"/>
        <v>0</v>
      </c>
      <c r="BZ635" s="74">
        <f t="shared" si="426"/>
        <v>0</v>
      </c>
    </row>
    <row r="636" spans="1:78" x14ac:dyDescent="0.2">
      <c r="A636" s="108" t="s">
        <v>1049</v>
      </c>
      <c r="B636" s="12"/>
      <c r="C636" s="9">
        <v>0</v>
      </c>
      <c r="D636" s="25"/>
      <c r="E636" s="10" t="str">
        <f t="shared" si="390"/>
        <v>MarçoSEMANA 1Vassoura Pelo 40cm</v>
      </c>
      <c r="F636" s="7">
        <f>SUMIF(NF!$A:$A,$E636,NF!$I:$I)</f>
        <v>0</v>
      </c>
      <c r="G636" s="74"/>
      <c r="H636" s="74"/>
      <c r="I636" s="74"/>
      <c r="J636" s="6"/>
      <c r="K636" s="6"/>
      <c r="L636" s="6"/>
      <c r="M636" s="6"/>
      <c r="N636" s="7">
        <f>SUM(G636:M636)</f>
        <v>0</v>
      </c>
      <c r="O636" s="11">
        <f>F636+C636-N636</f>
        <v>0</v>
      </c>
      <c r="P636" s="25"/>
      <c r="Q636" s="10" t="str">
        <f t="shared" si="391"/>
        <v>MarçoSEMANA 2Vassoura Pelo 40cm</v>
      </c>
      <c r="R636" s="7">
        <f>SUMIF(NF!$A:$A,$Q636,NF!$I:$I)</f>
        <v>0</v>
      </c>
      <c r="S636" s="6"/>
      <c r="T636" s="6"/>
      <c r="U636" s="6"/>
      <c r="V636" s="6"/>
      <c r="W636" s="6"/>
      <c r="X636" s="6"/>
      <c r="Y636" s="6"/>
      <c r="Z636" s="7">
        <f>SUM(S636:Y636)</f>
        <v>0</v>
      </c>
      <c r="AA636" s="11">
        <f>R636+O636-Z636</f>
        <v>0</v>
      </c>
      <c r="AB636" s="25"/>
      <c r="AC636" s="10" t="str">
        <f t="shared" si="392"/>
        <v>MarçoSEMANA 3Vassoura Pelo 40cm</v>
      </c>
      <c r="AD636" s="7">
        <f>SUMIF(NF!$A:$A,$AC636,NF!$I:$I)</f>
        <v>0</v>
      </c>
      <c r="AE636" s="6"/>
      <c r="AF636" s="6"/>
      <c r="AG636" s="6"/>
      <c r="AH636" s="6"/>
      <c r="AI636" s="6"/>
      <c r="AJ636" s="6"/>
      <c r="AK636" s="6"/>
      <c r="AL636" s="7">
        <f>SUM(AE636:AK636)</f>
        <v>0</v>
      </c>
      <c r="AM636" s="11">
        <f>AD636+AA636-AL636</f>
        <v>0</v>
      </c>
      <c r="AN636" s="25"/>
      <c r="AO636" s="10" t="str">
        <f t="shared" si="393"/>
        <v>MarçoSEMANA 4Vassoura Pelo 40cm</v>
      </c>
      <c r="AP636" s="7">
        <f>SUMIF(NF!$A:$A,$AO636,NF!$I:$I)</f>
        <v>0</v>
      </c>
      <c r="AQ636" s="6"/>
      <c r="AR636" s="6"/>
      <c r="AS636" s="6"/>
      <c r="AT636" s="6"/>
      <c r="AU636" s="6"/>
      <c r="AV636" s="6"/>
      <c r="AW636" s="6"/>
      <c r="AX636" s="7">
        <f>SUM(AQ636:AW636)</f>
        <v>0</v>
      </c>
      <c r="AY636" s="11">
        <f>AP636+AM636-AX636</f>
        <v>0</v>
      </c>
      <c r="AZ636" s="25"/>
      <c r="BA636" s="10" t="str">
        <f t="shared" si="394"/>
        <v>MarçoSEMANA 5Vassoura Pelo 40cm</v>
      </c>
      <c r="BB636" s="7">
        <f>SUMIF(NF!$A:$A,$BA636,NF!$I:$I)</f>
        <v>0</v>
      </c>
      <c r="BC636" s="6"/>
      <c r="BD636" s="6"/>
      <c r="BE636" s="6"/>
      <c r="BF636" s="6"/>
      <c r="BG636" s="6"/>
      <c r="BH636" s="6"/>
      <c r="BI636" s="74"/>
      <c r="BJ636" s="74"/>
      <c r="BK636" s="7">
        <f>SUM(BC636:BJ636)</f>
        <v>0</v>
      </c>
      <c r="BL636" s="8">
        <f>BB636+AY636-BK636</f>
        <v>0</v>
      </c>
      <c r="BM636" s="51" t="str">
        <f>IFERROR(VLOOKUP(A636,NF!$M:$O,3,0),"")</f>
        <v>Limpeza</v>
      </c>
      <c r="BN636" s="7">
        <f>SUM(N636,Z636,AL636,AX636,BK636)</f>
        <v>0</v>
      </c>
      <c r="BO636" s="8">
        <f t="array" ref="BO636">IFERROR(LARGE(IF(NF!$G$2:$G$3137='Mês atual'!A636,NF!$J$2:$J$3137),1),0)*BN636</f>
        <v>0</v>
      </c>
      <c r="BP636" s="50"/>
      <c r="BR636" s="146">
        <f t="array" ref="BR636">IFERROR(LARGE(IF(NF!$G$2:$G$3137='Mês atual'!A636,NF!$J$2:$J$3137),1),0)</f>
        <v>0</v>
      </c>
      <c r="BS636" s="142" t="str">
        <f>VLOOKUP(A636,NF!M:O,3,0)</f>
        <v>Limpeza</v>
      </c>
      <c r="BV636" s="74">
        <f>N636</f>
        <v>0</v>
      </c>
      <c r="BW636" s="74">
        <f>Z636</f>
        <v>0</v>
      </c>
      <c r="BX636" s="74">
        <f>AL636</f>
        <v>0</v>
      </c>
      <c r="BY636" s="74">
        <f>AX636</f>
        <v>0</v>
      </c>
      <c r="BZ636" s="74">
        <f>BK636</f>
        <v>0</v>
      </c>
    </row>
    <row r="637" spans="1:78" x14ac:dyDescent="0.2">
      <c r="A637" s="108" t="s">
        <v>835</v>
      </c>
      <c r="B637" s="12"/>
      <c r="C637" s="9">
        <v>0</v>
      </c>
      <c r="D637" s="25"/>
      <c r="E637" s="10" t="str">
        <f t="shared" si="390"/>
        <v>MarçoSEMANA 1Veja Mult-Uso</v>
      </c>
      <c r="F637" s="7">
        <f>SUMIF(NF!$A:$A,$E637,NF!$I:$I)</f>
        <v>0</v>
      </c>
      <c r="G637" s="74"/>
      <c r="H637" s="74"/>
      <c r="I637" s="74"/>
      <c r="J637" s="6"/>
      <c r="K637" s="6"/>
      <c r="L637" s="6"/>
      <c r="M637" s="6"/>
      <c r="N637" s="7">
        <f t="shared" si="427"/>
        <v>0</v>
      </c>
      <c r="O637" s="11">
        <f t="shared" si="395"/>
        <v>0</v>
      </c>
      <c r="P637" s="25"/>
      <c r="Q637" s="10" t="str">
        <f t="shared" si="391"/>
        <v>MarçoSEMANA 2Veja Mult-Uso</v>
      </c>
      <c r="R637" s="7">
        <f>SUMIF(NF!$A:$A,$Q637,NF!$I:$I)</f>
        <v>0</v>
      </c>
      <c r="S637" s="6"/>
      <c r="T637" s="6"/>
      <c r="U637" s="6"/>
      <c r="V637" s="6"/>
      <c r="W637" s="6"/>
      <c r="X637" s="6"/>
      <c r="Y637" s="6"/>
      <c r="Z637" s="7">
        <f t="shared" si="428"/>
        <v>0</v>
      </c>
      <c r="AA637" s="11">
        <f t="shared" si="396"/>
        <v>0</v>
      </c>
      <c r="AB637" s="25"/>
      <c r="AC637" s="10" t="str">
        <f t="shared" si="392"/>
        <v>MarçoSEMANA 3Veja Mult-Uso</v>
      </c>
      <c r="AD637" s="7">
        <f>SUMIF(NF!$A:$A,$AC637,NF!$I:$I)</f>
        <v>0</v>
      </c>
      <c r="AE637" s="6"/>
      <c r="AF637" s="6"/>
      <c r="AG637" s="6"/>
      <c r="AH637" s="6"/>
      <c r="AI637" s="6"/>
      <c r="AJ637" s="6"/>
      <c r="AK637" s="6"/>
      <c r="AL637" s="7">
        <f t="shared" si="429"/>
        <v>0</v>
      </c>
      <c r="AM637" s="11">
        <f t="shared" si="397"/>
        <v>0</v>
      </c>
      <c r="AN637" s="25"/>
      <c r="AO637" s="10" t="str">
        <f t="shared" si="393"/>
        <v>MarçoSEMANA 4Veja Mult-Uso</v>
      </c>
      <c r="AP637" s="7">
        <f>SUMIF(NF!$A:$A,$AO637,NF!$I:$I)</f>
        <v>0</v>
      </c>
      <c r="AQ637" s="6"/>
      <c r="AR637" s="6"/>
      <c r="AS637" s="6"/>
      <c r="AT637" s="6"/>
      <c r="AU637" s="6"/>
      <c r="AV637" s="6"/>
      <c r="AW637" s="6"/>
      <c r="AX637" s="7">
        <f t="shared" si="430"/>
        <v>0</v>
      </c>
      <c r="AY637" s="11">
        <f t="shared" si="398"/>
        <v>0</v>
      </c>
      <c r="AZ637" s="25"/>
      <c r="BA637" s="10" t="str">
        <f t="shared" si="394"/>
        <v>MarçoSEMANA 5Veja Mult-Uso</v>
      </c>
      <c r="BB637" s="7">
        <f>SUMIF(NF!$A:$A,$BA637,NF!$I:$I)</f>
        <v>0</v>
      </c>
      <c r="BC637" s="6"/>
      <c r="BD637" s="6"/>
      <c r="BE637" s="6"/>
      <c r="BF637" s="6"/>
      <c r="BG637" s="6"/>
      <c r="BH637" s="6"/>
      <c r="BI637" s="74"/>
      <c r="BJ637" s="74"/>
      <c r="BK637" s="7">
        <f t="shared" si="431"/>
        <v>0</v>
      </c>
      <c r="BL637" s="8">
        <f t="shared" si="399"/>
        <v>0</v>
      </c>
      <c r="BM637" s="51" t="str">
        <f>IFERROR(VLOOKUP(A637,NF!$M:$O,3,0),"")</f>
        <v>Limpeza</v>
      </c>
      <c r="BN637" s="7">
        <f t="shared" si="400"/>
        <v>0</v>
      </c>
      <c r="BO637" s="8">
        <f t="array" ref="BO637">IFERROR(LARGE(IF(NF!$G$2:$G$3137='Mês atual'!A637,NF!$J$2:$J$3137),1),0)*BN637</f>
        <v>0</v>
      </c>
      <c r="BP637" s="50"/>
      <c r="BR637" s="146">
        <f t="array" ref="BR637">IFERROR(LARGE(IF(NF!$G$2:$G$3137='Mês atual'!A637,NF!$J$2:$J$3137),1),0)</f>
        <v>0</v>
      </c>
      <c r="BS637" s="142" t="str">
        <f>VLOOKUP(A637,NF!M:O,3,0)</f>
        <v>Limpeza</v>
      </c>
      <c r="BV637" s="74">
        <f t="shared" si="422"/>
        <v>0</v>
      </c>
      <c r="BW637" s="74">
        <f t="shared" si="423"/>
        <v>0</v>
      </c>
      <c r="BX637" s="74">
        <f t="shared" si="424"/>
        <v>0</v>
      </c>
      <c r="BY637" s="74">
        <f t="shared" si="425"/>
        <v>0</v>
      </c>
      <c r="BZ637" s="74">
        <f t="shared" si="426"/>
        <v>0</v>
      </c>
    </row>
    <row r="638" spans="1:78" x14ac:dyDescent="0.2">
      <c r="A638" s="108" t="s">
        <v>836</v>
      </c>
      <c r="B638" s="12"/>
      <c r="C638" s="9">
        <v>0</v>
      </c>
      <c r="D638" s="25"/>
      <c r="E638" s="10" t="str">
        <f t="shared" si="390"/>
        <v>MarçoSEMANA 1Vercom Detergente Bb 5 Lt</v>
      </c>
      <c r="F638" s="7">
        <f>SUMIF(NF!$A:$A,$E638,NF!$I:$I)</f>
        <v>4</v>
      </c>
      <c r="G638" s="74"/>
      <c r="H638" s="74"/>
      <c r="I638" s="74"/>
      <c r="J638" s="6"/>
      <c r="K638" s="6"/>
      <c r="L638" s="6"/>
      <c r="M638" s="6"/>
      <c r="N638" s="7">
        <f t="shared" si="427"/>
        <v>0</v>
      </c>
      <c r="O638" s="11">
        <f t="shared" si="395"/>
        <v>4</v>
      </c>
      <c r="P638" s="25"/>
      <c r="Q638" s="10" t="str">
        <f t="shared" si="391"/>
        <v>MarçoSEMANA 2Vercom Detergente Bb 5 Lt</v>
      </c>
      <c r="R638" s="7">
        <f>SUMIF(NF!$A:$A,$Q638,NF!$I:$I)</f>
        <v>2</v>
      </c>
      <c r="S638" s="6">
        <v>1</v>
      </c>
      <c r="T638" s="6"/>
      <c r="U638" s="6"/>
      <c r="V638" s="6"/>
      <c r="W638" s="6"/>
      <c r="X638" s="6">
        <v>1</v>
      </c>
      <c r="Y638" s="6"/>
      <c r="Z638" s="7">
        <f t="shared" si="428"/>
        <v>2</v>
      </c>
      <c r="AA638" s="11">
        <f t="shared" si="396"/>
        <v>4</v>
      </c>
      <c r="AB638" s="25"/>
      <c r="AC638" s="10" t="str">
        <f t="shared" si="392"/>
        <v>MarçoSEMANA 3Vercom Detergente Bb 5 Lt</v>
      </c>
      <c r="AD638" s="7">
        <f>SUMIF(NF!$A:$A,$AC638,NF!$I:$I)</f>
        <v>0</v>
      </c>
      <c r="AE638" s="6"/>
      <c r="AF638" s="6"/>
      <c r="AG638" s="6"/>
      <c r="AH638" s="6">
        <v>1</v>
      </c>
      <c r="AI638" s="6"/>
      <c r="AJ638" s="6"/>
      <c r="AK638" s="6"/>
      <c r="AL638" s="7">
        <f t="shared" si="429"/>
        <v>1</v>
      </c>
      <c r="AM638" s="11">
        <f t="shared" si="397"/>
        <v>3</v>
      </c>
      <c r="AN638" s="25"/>
      <c r="AO638" s="10" t="str">
        <f t="shared" si="393"/>
        <v>MarçoSEMANA 4Vercom Detergente Bb 5 Lt</v>
      </c>
      <c r="AP638" s="7">
        <f>SUMIF(NF!$A:$A,$AO638,NF!$I:$I)</f>
        <v>2</v>
      </c>
      <c r="AQ638" s="6"/>
      <c r="AR638" s="6">
        <v>1</v>
      </c>
      <c r="AS638" s="6"/>
      <c r="AT638" s="6"/>
      <c r="AU638" s="6"/>
      <c r="AV638" s="6">
        <v>1</v>
      </c>
      <c r="AW638" s="6"/>
      <c r="AX638" s="7">
        <f t="shared" si="430"/>
        <v>2</v>
      </c>
      <c r="AY638" s="11">
        <f t="shared" si="398"/>
        <v>3</v>
      </c>
      <c r="AZ638" s="25"/>
      <c r="BA638" s="10" t="str">
        <f t="shared" si="394"/>
        <v>MarçoSEMANA 5Vercom Detergente Bb 5 Lt</v>
      </c>
      <c r="BB638" s="7">
        <f>SUMIF(NF!$A:$A,$BA638,NF!$I:$I)</f>
        <v>0</v>
      </c>
      <c r="BC638" s="6"/>
      <c r="BD638" s="6"/>
      <c r="BE638" s="6">
        <v>1</v>
      </c>
      <c r="BF638" s="6"/>
      <c r="BG638" s="6"/>
      <c r="BH638" s="6"/>
      <c r="BI638" s="74"/>
      <c r="BJ638" s="74"/>
      <c r="BK638" s="7">
        <f t="shared" si="431"/>
        <v>1</v>
      </c>
      <c r="BL638" s="8">
        <f t="shared" si="399"/>
        <v>2</v>
      </c>
      <c r="BM638" s="51" t="str">
        <f>IFERROR(VLOOKUP(A638,NF!$M:$O,3,0),"")</f>
        <v>Limpeza</v>
      </c>
      <c r="BN638" s="7">
        <f t="shared" si="400"/>
        <v>6</v>
      </c>
      <c r="BO638" s="8">
        <f t="array" ref="BO638">IFERROR(LARGE(IF(NF!$G$2:$G$3137='Mês atual'!A638,NF!$J$2:$J$3137),1),0)*BN638</f>
        <v>1002.48</v>
      </c>
      <c r="BP638" s="50"/>
      <c r="BR638" s="146">
        <f t="array" ref="BR638">IFERROR(LARGE(IF(NF!$G$2:$G$3137='Mês atual'!A638,NF!$J$2:$J$3137),1),0)</f>
        <v>167.08</v>
      </c>
      <c r="BS638" s="142" t="str">
        <f>VLOOKUP(A638,NF!M:O,3,0)</f>
        <v>Limpeza</v>
      </c>
      <c r="BV638" s="74">
        <f t="shared" si="422"/>
        <v>0</v>
      </c>
      <c r="BW638" s="74">
        <f t="shared" si="423"/>
        <v>2</v>
      </c>
      <c r="BX638" s="74">
        <f t="shared" si="424"/>
        <v>1</v>
      </c>
      <c r="BY638" s="74">
        <f t="shared" si="425"/>
        <v>2</v>
      </c>
      <c r="BZ638" s="74">
        <f t="shared" si="426"/>
        <v>1</v>
      </c>
    </row>
    <row r="639" spans="1:78" ht="15.95" thickBot="1" x14ac:dyDescent="0.25">
      <c r="A639" s="108" t="s">
        <v>870</v>
      </c>
      <c r="B639" s="12"/>
      <c r="C639" s="9">
        <v>0</v>
      </c>
      <c r="D639" s="25"/>
      <c r="E639" s="10" t="str">
        <f t="shared" si="390"/>
        <v>MarçoSEMANA 1Zix 40</v>
      </c>
      <c r="F639" s="7">
        <f>SUMIF(NF!$A:$A,$E639,NF!$I:$I)</f>
        <v>0</v>
      </c>
      <c r="G639" s="74"/>
      <c r="H639" s="74"/>
      <c r="I639" s="74"/>
      <c r="J639" s="6"/>
      <c r="K639" s="6"/>
      <c r="L639" s="6"/>
      <c r="M639" s="6"/>
      <c r="N639" s="7">
        <f t="shared" si="427"/>
        <v>0</v>
      </c>
      <c r="O639" s="11">
        <f t="shared" si="395"/>
        <v>0</v>
      </c>
      <c r="P639" s="25"/>
      <c r="Q639" s="10" t="str">
        <f t="shared" si="391"/>
        <v>MarçoSEMANA 2Zix 40</v>
      </c>
      <c r="R639" s="7">
        <f>SUMIF(NF!$A:$A,$Q639,NF!$I:$I)</f>
        <v>0</v>
      </c>
      <c r="S639" s="6"/>
      <c r="T639" s="6"/>
      <c r="U639" s="6"/>
      <c r="V639" s="6"/>
      <c r="W639" s="6"/>
      <c r="X639" s="6"/>
      <c r="Y639" s="6"/>
      <c r="Z639" s="7">
        <f t="shared" si="428"/>
        <v>0</v>
      </c>
      <c r="AA639" s="11">
        <f t="shared" si="396"/>
        <v>0</v>
      </c>
      <c r="AB639" s="25"/>
      <c r="AC639" s="10" t="str">
        <f t="shared" si="392"/>
        <v>MarçoSEMANA 3Zix 40</v>
      </c>
      <c r="AD639" s="7">
        <f>SUMIF(NF!$A:$A,$AC639,NF!$I:$I)</f>
        <v>0</v>
      </c>
      <c r="AE639" s="6"/>
      <c r="AF639" s="6"/>
      <c r="AG639" s="6"/>
      <c r="AH639" s="6"/>
      <c r="AI639" s="6"/>
      <c r="AJ639" s="6"/>
      <c r="AK639" s="6"/>
      <c r="AL639" s="7">
        <f t="shared" si="429"/>
        <v>0</v>
      </c>
      <c r="AM639" s="11">
        <f t="shared" si="397"/>
        <v>0</v>
      </c>
      <c r="AN639" s="25"/>
      <c r="AO639" s="10" t="str">
        <f t="shared" si="393"/>
        <v>MarçoSEMANA 4Zix 40</v>
      </c>
      <c r="AP639" s="7">
        <f>SUMIF(NF!$A:$A,$AO639,NF!$I:$I)</f>
        <v>0</v>
      </c>
      <c r="AQ639" s="6"/>
      <c r="AR639" s="6"/>
      <c r="AS639" s="6"/>
      <c r="AT639" s="6"/>
      <c r="AU639" s="6"/>
      <c r="AV639" s="6" t="s">
        <v>1157</v>
      </c>
      <c r="AW639" s="6"/>
      <c r="AX639" s="7">
        <f t="shared" si="430"/>
        <v>0</v>
      </c>
      <c r="AY639" s="11">
        <f t="shared" si="398"/>
        <v>0</v>
      </c>
      <c r="AZ639" s="25"/>
      <c r="BA639" s="10" t="str">
        <f t="shared" si="394"/>
        <v>MarçoSEMANA 5Zix 40</v>
      </c>
      <c r="BB639" s="7">
        <f>SUMIF(NF!$A:$A,$BA639,NF!$I:$I)</f>
        <v>0</v>
      </c>
      <c r="BC639" s="6"/>
      <c r="BD639" s="6"/>
      <c r="BE639" s="6"/>
      <c r="BF639" s="6"/>
      <c r="BG639" s="6"/>
      <c r="BH639" s="6"/>
      <c r="BI639" s="74"/>
      <c r="BJ639" s="74"/>
      <c r="BK639" s="7">
        <f t="shared" si="431"/>
        <v>0</v>
      </c>
      <c r="BL639" s="8">
        <f t="shared" si="399"/>
        <v>0</v>
      </c>
      <c r="BM639" s="51" t="str">
        <f>IFERROR(VLOOKUP(A639,NF!$M:$O,3,0),"")</f>
        <v>Limpeza</v>
      </c>
      <c r="BN639" s="7">
        <f t="shared" si="400"/>
        <v>0</v>
      </c>
      <c r="BO639" s="8">
        <f t="array" ref="BO639">IFERROR(LARGE(IF(NF!$G$2:$G$3137='Mês atual'!A639,NF!$J$2:$J$3137),1),0)*BN639</f>
        <v>0</v>
      </c>
      <c r="BP639" s="50"/>
      <c r="BR639" s="146">
        <f t="array" ref="BR639">IFERROR(LARGE(IF(NF!$G$2:$G$3137='Mês atual'!A639,NF!$J$2:$J$3137),1),0)</f>
        <v>0</v>
      </c>
      <c r="BS639" s="142" t="str">
        <f>VLOOKUP(A639,NF!M:O,3,0)</f>
        <v>Limpeza</v>
      </c>
      <c r="BV639" s="74">
        <f t="shared" si="422"/>
        <v>0</v>
      </c>
      <c r="BW639" s="74">
        <f t="shared" si="423"/>
        <v>0</v>
      </c>
      <c r="BX639" s="74">
        <f t="shared" si="424"/>
        <v>0</v>
      </c>
      <c r="BY639" s="74">
        <f t="shared" si="425"/>
        <v>0</v>
      </c>
      <c r="BZ639" s="74">
        <f t="shared" si="426"/>
        <v>0</v>
      </c>
    </row>
    <row r="640" spans="1:78" s="16" customFormat="1" ht="30" customHeight="1" thickBot="1" x14ac:dyDescent="0.25">
      <c r="A640" s="139" t="s">
        <v>924</v>
      </c>
      <c r="B640" s="130"/>
      <c r="C640" s="131"/>
      <c r="D640" s="132"/>
      <c r="E640" s="133"/>
      <c r="F640" s="134"/>
      <c r="G640" s="135"/>
      <c r="H640" s="135"/>
      <c r="I640" s="135"/>
      <c r="J640" s="133"/>
      <c r="K640" s="133"/>
      <c r="L640" s="133"/>
      <c r="M640" s="133"/>
      <c r="N640" s="134"/>
      <c r="O640" s="134"/>
      <c r="P640" s="132"/>
      <c r="Q640" s="133"/>
      <c r="R640" s="134"/>
      <c r="S640" s="133"/>
      <c r="T640" s="133"/>
      <c r="U640" s="133"/>
      <c r="V640" s="133"/>
      <c r="W640" s="133"/>
      <c r="X640" s="133"/>
      <c r="Y640" s="133"/>
      <c r="Z640" s="134"/>
      <c r="AA640" s="134"/>
      <c r="AB640" s="132"/>
      <c r="AC640" s="133"/>
      <c r="AD640" s="134"/>
      <c r="AE640" s="133"/>
      <c r="AF640" s="133"/>
      <c r="AG640" s="133"/>
      <c r="AH640" s="133"/>
      <c r="AI640" s="133"/>
      <c r="AJ640" s="133"/>
      <c r="AK640" s="133"/>
      <c r="AL640" s="134"/>
      <c r="AM640" s="134"/>
      <c r="AN640" s="132"/>
      <c r="AO640" s="133"/>
      <c r="AP640" s="134"/>
      <c r="AQ640" s="133"/>
      <c r="AR640" s="133"/>
      <c r="AS640" s="133"/>
      <c r="AT640" s="133"/>
      <c r="AU640" s="133"/>
      <c r="AV640" s="133"/>
      <c r="AW640" s="133"/>
      <c r="AX640" s="134"/>
      <c r="AY640" s="134"/>
      <c r="AZ640" s="132"/>
      <c r="BA640" s="133"/>
      <c r="BB640" s="134"/>
      <c r="BC640" s="133"/>
      <c r="BD640" s="133"/>
      <c r="BE640" s="133"/>
      <c r="BF640" s="133"/>
      <c r="BG640" s="133"/>
      <c r="BH640" s="133"/>
      <c r="BI640" s="135"/>
      <c r="BJ640" s="135"/>
      <c r="BK640" s="134"/>
      <c r="BL640" s="134"/>
      <c r="BM640" s="136"/>
      <c r="BN640" s="137"/>
      <c r="BO640" s="137"/>
      <c r="BP640" s="138"/>
      <c r="BQ640" s="144"/>
      <c r="BR640" s="144"/>
      <c r="BS640" s="144"/>
      <c r="BT640" s="145"/>
      <c r="BU640" s="145"/>
      <c r="BV640" s="154"/>
      <c r="BW640" s="154"/>
      <c r="BX640" s="154"/>
      <c r="BY640" s="154"/>
      <c r="BZ640" s="154"/>
    </row>
    <row r="641" spans="1:78" x14ac:dyDescent="0.2">
      <c r="A641" s="108" t="s">
        <v>66</v>
      </c>
      <c r="B641" s="12"/>
      <c r="C641" s="9">
        <v>0</v>
      </c>
      <c r="D641" s="25"/>
      <c r="E641" s="10" t="str">
        <f t="shared" ref="E641:E711" si="432">CONCATENATE($C$2,$F$1,$A641)</f>
        <v>MarçoSEMANA 1Abacaxi Cristalizado</v>
      </c>
      <c r="F641" s="7">
        <f>SUMIF(NF!$A:$A,$E641,NF!$I:$I)</f>
        <v>0</v>
      </c>
      <c r="G641" s="74"/>
      <c r="H641" s="74"/>
      <c r="I641" s="74"/>
      <c r="J641" s="6"/>
      <c r="K641" s="6"/>
      <c r="L641" s="6"/>
      <c r="M641" s="6"/>
      <c r="N641" s="7">
        <f t="shared" ref="N641:N668" si="433">SUM(G641:M641)</f>
        <v>0</v>
      </c>
      <c r="O641" s="11">
        <f t="shared" ref="O641:O880" si="434">F641+C641-N641</f>
        <v>0</v>
      </c>
      <c r="P641" s="25"/>
      <c r="Q641" s="10" t="str">
        <f t="shared" ref="Q641:Q711" si="435">CONCATENATE($C$2,$R$1,$A641)</f>
        <v>MarçoSEMANA 2Abacaxi Cristalizado</v>
      </c>
      <c r="R641" s="7">
        <f>SUMIF(NF!$A:$A,$Q641,NF!$I:$I)</f>
        <v>0</v>
      </c>
      <c r="S641" s="6"/>
      <c r="T641" s="6"/>
      <c r="U641" s="6"/>
      <c r="V641" s="6"/>
      <c r="W641" s="6"/>
      <c r="X641" s="6"/>
      <c r="Y641" s="6"/>
      <c r="Z641" s="7">
        <f t="shared" ref="Z641:Z668" si="436">SUM(S641:Y641)</f>
        <v>0</v>
      </c>
      <c r="AA641" s="11">
        <f t="shared" ref="AA641:AA880" si="437">R641+O641-Z641</f>
        <v>0</v>
      </c>
      <c r="AB641" s="25"/>
      <c r="AC641" s="10" t="str">
        <f t="shared" ref="AC641:AC711" si="438">CONCATENATE($C$2,$AD$1,$A641)</f>
        <v>MarçoSEMANA 3Abacaxi Cristalizado</v>
      </c>
      <c r="AD641" s="7">
        <f>SUMIF(NF!$A:$A,$AC641,NF!$I:$I)</f>
        <v>0</v>
      </c>
      <c r="AE641" s="6"/>
      <c r="AF641" s="6"/>
      <c r="AG641" s="6"/>
      <c r="AH641" s="6"/>
      <c r="AI641" s="6"/>
      <c r="AJ641" s="6"/>
      <c r="AK641" s="6"/>
      <c r="AL641" s="7">
        <f t="shared" ref="AL641:AL668" si="439">SUM(AE641:AK641)</f>
        <v>0</v>
      </c>
      <c r="AM641" s="11">
        <f t="shared" ref="AM641:AM880" si="440">AD641+AA641-AL641</f>
        <v>0</v>
      </c>
      <c r="AN641" s="25"/>
      <c r="AO641" s="10" t="str">
        <f t="shared" ref="AO641:AO711" si="441">CONCATENATE($C$2,$AP$1,$A641)</f>
        <v>MarçoSEMANA 4Abacaxi Cristalizado</v>
      </c>
      <c r="AP641" s="7">
        <f>SUMIF(NF!$A:$A,$AO641,NF!$I:$I)</f>
        <v>0.37</v>
      </c>
      <c r="AQ641" s="6"/>
      <c r="AR641" s="6">
        <v>0.37</v>
      </c>
      <c r="AS641" s="6"/>
      <c r="AT641" s="6"/>
      <c r="AU641" s="6"/>
      <c r="AV641" s="6"/>
      <c r="AW641" s="6"/>
      <c r="AX641" s="7">
        <f t="shared" ref="AX641:AX668" si="442">SUM(AQ641:AW641)</f>
        <v>0.37</v>
      </c>
      <c r="AY641" s="11">
        <f t="shared" ref="AY641:AY880" si="443">AP641+AM641-AX641</f>
        <v>0</v>
      </c>
      <c r="AZ641" s="25"/>
      <c r="BA641" s="10" t="str">
        <f t="shared" ref="BA641:BA711" si="444">CONCATENATE($C$2,$BB$1,$A641)</f>
        <v>MarçoSEMANA 5Abacaxi Cristalizado</v>
      </c>
      <c r="BB641" s="7">
        <f>SUMIF(NF!$A:$A,$BA641,NF!$I:$I)</f>
        <v>0</v>
      </c>
      <c r="BC641" s="6"/>
      <c r="BD641" s="6"/>
      <c r="BE641" s="6"/>
      <c r="BF641" s="6"/>
      <c r="BG641" s="6"/>
      <c r="BH641" s="6"/>
      <c r="BI641" s="74"/>
      <c r="BJ641" s="74"/>
      <c r="BK641" s="7">
        <f t="shared" ref="BK641:BK668" si="445">SUM(BC641:BJ641)</f>
        <v>0</v>
      </c>
      <c r="BL641" s="8">
        <f t="shared" ref="BL641:BL880" si="446">BB641+AY641-BK641</f>
        <v>0</v>
      </c>
      <c r="BM641" s="51" t="str">
        <f>IFERROR(VLOOKUP(A641,NF!$M:$O,3,0),"")</f>
        <v>Mercado</v>
      </c>
      <c r="BN641" s="7">
        <f t="shared" ref="BN641:BN880" si="447">SUM(N641,Z641,AL641,AX641,BK641)</f>
        <v>0.37</v>
      </c>
      <c r="BO641" s="8">
        <f t="array" ref="BO641">IFERROR(LARGE(IF(NF!$G$2:$G$3137='Mês atual'!A641,NF!$J$2:$J$3137),1),0)*BN641</f>
        <v>12.189983</v>
      </c>
      <c r="BP641" s="50"/>
      <c r="BR641" s="146">
        <f t="array" ref="BR641">IFERROR(LARGE(IF(NF!$G$2:$G$3137='Mês atual'!A641,NF!$J$2:$J$3137),1),0)</f>
        <v>32.945900000000002</v>
      </c>
      <c r="BS641" s="142" t="str">
        <f>VLOOKUP(A641,NF!M:O,3,0)</f>
        <v>Mercado</v>
      </c>
      <c r="BV641" s="74">
        <f t="shared" si="422"/>
        <v>0</v>
      </c>
      <c r="BW641" s="74">
        <f t="shared" si="423"/>
        <v>0</v>
      </c>
      <c r="BX641" s="74">
        <f t="shared" si="424"/>
        <v>0</v>
      </c>
      <c r="BY641" s="74">
        <f t="shared" si="425"/>
        <v>0.37</v>
      </c>
      <c r="BZ641" s="74">
        <f t="shared" si="426"/>
        <v>0</v>
      </c>
    </row>
    <row r="642" spans="1:78" x14ac:dyDescent="0.2">
      <c r="A642" s="108" t="s">
        <v>67</v>
      </c>
      <c r="B642" s="12"/>
      <c r="C642" s="9">
        <v>0</v>
      </c>
      <c r="D642" s="25"/>
      <c r="E642" s="10" t="str">
        <f t="shared" si="432"/>
        <v>MarçoSEMANA 1Abacaxi em Calda Lata</v>
      </c>
      <c r="F642" s="7">
        <f>SUMIF(NF!$A:$A,$E642,NF!$I:$I)</f>
        <v>0</v>
      </c>
      <c r="G642" s="74"/>
      <c r="H642" s="74"/>
      <c r="I642" s="74"/>
      <c r="J642" s="6"/>
      <c r="K642" s="6"/>
      <c r="L642" s="6"/>
      <c r="M642" s="6"/>
      <c r="N642" s="7">
        <f t="shared" si="433"/>
        <v>0</v>
      </c>
      <c r="O642" s="11">
        <f t="shared" si="434"/>
        <v>0</v>
      </c>
      <c r="P642" s="25"/>
      <c r="Q642" s="10" t="str">
        <f t="shared" si="435"/>
        <v>MarçoSEMANA 2Abacaxi em Calda Lata</v>
      </c>
      <c r="R642" s="7">
        <f>SUMIF(NF!$A:$A,$Q642,NF!$I:$I)</f>
        <v>0</v>
      </c>
      <c r="S642" s="6"/>
      <c r="T642" s="6"/>
      <c r="U642" s="6"/>
      <c r="V642" s="6"/>
      <c r="W642" s="6"/>
      <c r="X642" s="6"/>
      <c r="Y642" s="6"/>
      <c r="Z642" s="7">
        <f t="shared" si="436"/>
        <v>0</v>
      </c>
      <c r="AA642" s="11">
        <f t="shared" si="437"/>
        <v>0</v>
      </c>
      <c r="AB642" s="25"/>
      <c r="AC642" s="10" t="str">
        <f t="shared" si="438"/>
        <v>MarçoSEMANA 3Abacaxi em Calda Lata</v>
      </c>
      <c r="AD642" s="7">
        <f>SUMIF(NF!$A:$A,$AC642,NF!$I:$I)</f>
        <v>0</v>
      </c>
      <c r="AE642" s="6"/>
      <c r="AF642" s="6"/>
      <c r="AG642" s="6"/>
      <c r="AH642" s="6"/>
      <c r="AI642" s="6"/>
      <c r="AJ642" s="6"/>
      <c r="AK642" s="6"/>
      <c r="AL642" s="7">
        <f t="shared" si="439"/>
        <v>0</v>
      </c>
      <c r="AM642" s="11">
        <f t="shared" si="440"/>
        <v>0</v>
      </c>
      <c r="AN642" s="25"/>
      <c r="AO642" s="10" t="str">
        <f t="shared" si="441"/>
        <v>MarçoSEMANA 4Abacaxi em Calda Lata</v>
      </c>
      <c r="AP642" s="7">
        <f>SUMIF(NF!$A:$A,$AO642,NF!$I:$I)</f>
        <v>0</v>
      </c>
      <c r="AQ642" s="6"/>
      <c r="AR642" s="6"/>
      <c r="AS642" s="6"/>
      <c r="AT642" s="6"/>
      <c r="AU642" s="6"/>
      <c r="AV642" s="6"/>
      <c r="AW642" s="6"/>
      <c r="AX642" s="7">
        <f t="shared" si="442"/>
        <v>0</v>
      </c>
      <c r="AY642" s="11">
        <f t="shared" si="443"/>
        <v>0</v>
      </c>
      <c r="AZ642" s="25"/>
      <c r="BA642" s="10" t="str">
        <f t="shared" si="444"/>
        <v>MarçoSEMANA 5Abacaxi em Calda Lata</v>
      </c>
      <c r="BB642" s="7">
        <f>SUMIF(NF!$A:$A,$BA642,NF!$I:$I)</f>
        <v>0</v>
      </c>
      <c r="BC642" s="6"/>
      <c r="BD642" s="6"/>
      <c r="BE642" s="6"/>
      <c r="BF642" s="6"/>
      <c r="BG642" s="6"/>
      <c r="BH642" s="6"/>
      <c r="BI642" s="74"/>
      <c r="BJ642" s="74"/>
      <c r="BK642" s="7">
        <f t="shared" si="445"/>
        <v>0</v>
      </c>
      <c r="BL642" s="8">
        <f t="shared" si="446"/>
        <v>0</v>
      </c>
      <c r="BM642" s="51" t="str">
        <f>IFERROR(VLOOKUP(A642,NF!$M:$O,3,0),"")</f>
        <v>Mercado</v>
      </c>
      <c r="BN642" s="7">
        <f t="shared" si="447"/>
        <v>0</v>
      </c>
      <c r="BO642" s="8">
        <f t="array" ref="BO642">IFERROR(LARGE(IF(NF!$G$2:$G$3137='Mês atual'!A642,NF!$J$2:$J$3137),1),0)*BN642</f>
        <v>0</v>
      </c>
      <c r="BP642" s="50"/>
      <c r="BR642" s="146">
        <f t="array" ref="BR642">IFERROR(LARGE(IF(NF!$G$2:$G$3137='Mês atual'!A642,NF!$J$2:$J$3137),1),0)</f>
        <v>0</v>
      </c>
      <c r="BS642" s="142" t="str">
        <f>VLOOKUP(A642,NF!M:O,3,0)</f>
        <v>Mercado</v>
      </c>
      <c r="BV642" s="74">
        <f t="shared" si="422"/>
        <v>0</v>
      </c>
      <c r="BW642" s="74">
        <f t="shared" si="423"/>
        <v>0</v>
      </c>
      <c r="BX642" s="74">
        <f t="shared" si="424"/>
        <v>0</v>
      </c>
      <c r="BY642" s="74">
        <f t="shared" si="425"/>
        <v>0</v>
      </c>
      <c r="BZ642" s="74">
        <f t="shared" si="426"/>
        <v>0</v>
      </c>
    </row>
    <row r="643" spans="1:78" x14ac:dyDescent="0.25">
      <c r="A643" s="108" t="s">
        <v>74</v>
      </c>
      <c r="B643" s="12"/>
      <c r="C643" s="9">
        <v>0.3</v>
      </c>
      <c r="D643" s="25"/>
      <c r="E643" s="10" t="str">
        <f t="shared" si="432"/>
        <v>MarçoSEMANA 1Açafrão</v>
      </c>
      <c r="F643" s="7">
        <f>SUMIF(NF!$A:$A,$E643,NF!$I:$I)</f>
        <v>0</v>
      </c>
      <c r="G643" s="74"/>
      <c r="H643" s="74"/>
      <c r="I643" s="74"/>
      <c r="J643" s="6"/>
      <c r="K643" s="6"/>
      <c r="L643" s="6"/>
      <c r="M643" s="6"/>
      <c r="N643" s="7">
        <f t="shared" si="433"/>
        <v>0</v>
      </c>
      <c r="O643" s="11">
        <f t="shared" si="434"/>
        <v>0.3</v>
      </c>
      <c r="P643" s="25"/>
      <c r="Q643" s="10" t="str">
        <f t="shared" si="435"/>
        <v>MarçoSEMANA 2Açafrão</v>
      </c>
      <c r="R643" s="7">
        <f>SUMIF(NF!$A:$A,$Q643,NF!$I:$I)</f>
        <v>0</v>
      </c>
      <c r="S643" s="6"/>
      <c r="T643" s="6"/>
      <c r="U643" s="6"/>
      <c r="V643" s="6"/>
      <c r="W643" s="6"/>
      <c r="X643" s="6"/>
      <c r="Y643" s="6"/>
      <c r="Z643" s="7">
        <f t="shared" si="436"/>
        <v>0</v>
      </c>
      <c r="AA643" s="11">
        <f t="shared" si="437"/>
        <v>0.3</v>
      </c>
      <c r="AB643" s="25"/>
      <c r="AC643" s="10" t="str">
        <f t="shared" si="438"/>
        <v>MarçoSEMANA 3Açafrão</v>
      </c>
      <c r="AD643" s="7">
        <f>SUMIF(NF!$A:$A,$AC643,NF!$I:$I)</f>
        <v>0</v>
      </c>
      <c r="AE643" s="6"/>
      <c r="AF643" s="6"/>
      <c r="AG643" s="6">
        <v>0.3</v>
      </c>
      <c r="AH643" s="6"/>
      <c r="AI643" s="6"/>
      <c r="AJ643" s="6"/>
      <c r="AK643" s="6"/>
      <c r="AL643" s="7">
        <f t="shared" si="439"/>
        <v>0.3</v>
      </c>
      <c r="AM643" s="11">
        <f t="shared" si="440"/>
        <v>0</v>
      </c>
      <c r="AN643" s="25"/>
      <c r="AO643" s="10" t="str">
        <f t="shared" si="441"/>
        <v>MarçoSEMANA 4Açafrão</v>
      </c>
      <c r="AP643" s="7">
        <f>SUMIF(NF!$A:$A,$AO643,NF!$I:$I)</f>
        <v>0.3</v>
      </c>
      <c r="AQ643" s="6"/>
      <c r="AR643" s="6"/>
      <c r="AS643" s="6"/>
      <c r="AT643" s="6"/>
      <c r="AU643" s="6"/>
      <c r="AV643" s="6"/>
      <c r="AW643" s="6"/>
      <c r="AX643" s="7">
        <f t="shared" si="442"/>
        <v>0</v>
      </c>
      <c r="AY643" s="11">
        <f t="shared" si="443"/>
        <v>0.3</v>
      </c>
      <c r="AZ643" s="25"/>
      <c r="BA643" s="10" t="str">
        <f t="shared" si="444"/>
        <v>MarçoSEMANA 5Açafrão</v>
      </c>
      <c r="BB643" s="7">
        <f>SUMIF(NF!$A:$A,$BA643,NF!$I:$I)</f>
        <v>0</v>
      </c>
      <c r="BC643" s="6"/>
      <c r="BD643" s="6"/>
      <c r="BE643" s="6"/>
      <c r="BF643" s="6"/>
      <c r="BG643" s="6"/>
      <c r="BH643" s="6"/>
      <c r="BI643" s="74"/>
      <c r="BJ643" s="74"/>
      <c r="BK643" s="7">
        <f t="shared" si="445"/>
        <v>0</v>
      </c>
      <c r="BL643" s="8">
        <f t="shared" si="446"/>
        <v>0.3</v>
      </c>
      <c r="BM643" s="51" t="str">
        <f>IFERROR(VLOOKUP(A643,NF!$M:$O,3,0),"")</f>
        <v>Mercado</v>
      </c>
      <c r="BN643" s="7">
        <f t="shared" si="447"/>
        <v>0.3</v>
      </c>
      <c r="BO643" s="8">
        <f t="array" ref="BO643">IFERROR(LARGE(IF(NF!$G$2:$G$3137='Mês atual'!A643,NF!$J$2:$J$3137),1),0)*BN643</f>
        <v>3.4499999999999997</v>
      </c>
      <c r="BP643" s="50"/>
      <c r="BR643" s="146">
        <f t="array" ref="BR643">IFERROR(LARGE(IF(NF!$G$2:$G$3137='Mês atual'!A643,NF!$J$2:$J$3137),1),0)</f>
        <v>11.5</v>
      </c>
      <c r="BS643" s="142" t="str">
        <f>VLOOKUP(A643,NF!M:O,3,0)</f>
        <v>Mercado</v>
      </c>
      <c r="BV643" s="74">
        <f t="shared" si="422"/>
        <v>0</v>
      </c>
      <c r="BW643" s="74">
        <f t="shared" si="423"/>
        <v>0</v>
      </c>
      <c r="BX643" s="74">
        <f t="shared" si="424"/>
        <v>0.3</v>
      </c>
      <c r="BY643" s="74">
        <f t="shared" si="425"/>
        <v>0</v>
      </c>
      <c r="BZ643" s="74">
        <f t="shared" si="426"/>
        <v>0</v>
      </c>
    </row>
    <row r="644" spans="1:78" x14ac:dyDescent="0.25">
      <c r="A644" s="108" t="s">
        <v>77</v>
      </c>
      <c r="B644" s="12"/>
      <c r="C644" s="9">
        <v>1</v>
      </c>
      <c r="D644" s="25"/>
      <c r="E644" s="10" t="str">
        <f t="shared" si="432"/>
        <v>MarçoSEMANA 1Açucar Mascavo</v>
      </c>
      <c r="F644" s="7">
        <f>SUMIF(NF!$A:$A,$E644,NF!$I:$I)</f>
        <v>0</v>
      </c>
      <c r="G644" s="74"/>
      <c r="H644" s="74"/>
      <c r="I644" s="74"/>
      <c r="J644" s="6"/>
      <c r="K644" s="6"/>
      <c r="L644" s="6"/>
      <c r="M644" s="6"/>
      <c r="N644" s="7">
        <f t="shared" si="433"/>
        <v>0</v>
      </c>
      <c r="O644" s="11">
        <f t="shared" si="434"/>
        <v>1</v>
      </c>
      <c r="P644" s="25"/>
      <c r="Q644" s="10" t="str">
        <f t="shared" si="435"/>
        <v>MarçoSEMANA 2Açucar Mascavo</v>
      </c>
      <c r="R644" s="7">
        <f>SUMIF(NF!$A:$A,$Q644,NF!$I:$I)</f>
        <v>0</v>
      </c>
      <c r="S644" s="6"/>
      <c r="T644" s="6"/>
      <c r="U644" s="6"/>
      <c r="V644" s="6"/>
      <c r="W644" s="6"/>
      <c r="X644" s="6"/>
      <c r="Y644" s="6"/>
      <c r="Z644" s="7">
        <f t="shared" si="436"/>
        <v>0</v>
      </c>
      <c r="AA644" s="11">
        <f t="shared" si="437"/>
        <v>1</v>
      </c>
      <c r="AB644" s="25"/>
      <c r="AC644" s="10" t="str">
        <f t="shared" si="438"/>
        <v>MarçoSEMANA 3Açucar Mascavo</v>
      </c>
      <c r="AD644" s="7">
        <f>SUMIF(NF!$A:$A,$AC644,NF!$I:$I)</f>
        <v>0</v>
      </c>
      <c r="AE644" s="6"/>
      <c r="AF644" s="6"/>
      <c r="AG644" s="6"/>
      <c r="AH644" s="6"/>
      <c r="AI644" s="6"/>
      <c r="AJ644" s="6"/>
      <c r="AK644" s="6"/>
      <c r="AL644" s="7">
        <f t="shared" si="439"/>
        <v>0</v>
      </c>
      <c r="AM644" s="11">
        <f t="shared" si="440"/>
        <v>1</v>
      </c>
      <c r="AN644" s="25"/>
      <c r="AO644" s="10" t="str">
        <f t="shared" si="441"/>
        <v>MarçoSEMANA 4Açucar Mascavo</v>
      </c>
      <c r="AP644" s="7">
        <f>SUMIF(NF!$A:$A,$AO644,NF!$I:$I)</f>
        <v>0</v>
      </c>
      <c r="AQ644" s="6"/>
      <c r="AR644" s="6"/>
      <c r="AS644" s="6"/>
      <c r="AT644" s="6"/>
      <c r="AU644" s="6"/>
      <c r="AV644" s="6"/>
      <c r="AW644" s="6"/>
      <c r="AX644" s="7">
        <f t="shared" si="442"/>
        <v>0</v>
      </c>
      <c r="AY644" s="11">
        <f t="shared" si="443"/>
        <v>1</v>
      </c>
      <c r="AZ644" s="25"/>
      <c r="BA644" s="10" t="str">
        <f t="shared" si="444"/>
        <v>MarçoSEMANA 5Açucar Mascavo</v>
      </c>
      <c r="BB644" s="7">
        <f>SUMIF(NF!$A:$A,$BA644,NF!$I:$I)</f>
        <v>0</v>
      </c>
      <c r="BC644" s="6"/>
      <c r="BD644" s="6"/>
      <c r="BE644" s="6"/>
      <c r="BF644" s="6"/>
      <c r="BG644" s="6"/>
      <c r="BH644" s="6"/>
      <c r="BI644" s="74"/>
      <c r="BJ644" s="74"/>
      <c r="BK644" s="7">
        <f t="shared" si="445"/>
        <v>0</v>
      </c>
      <c r="BL644" s="8">
        <f t="shared" si="446"/>
        <v>1</v>
      </c>
      <c r="BM644" s="51" t="str">
        <f>IFERROR(VLOOKUP(A644,NF!$M:$O,3,0),"")</f>
        <v>Mercado</v>
      </c>
      <c r="BN644" s="7">
        <f t="shared" si="447"/>
        <v>0</v>
      </c>
      <c r="BO644" s="8">
        <f t="array" ref="BO644">IFERROR(LARGE(IF(NF!$G$2:$G$3137='Mês atual'!A644,NF!$J$2:$J$3137),1),0)*BN644</f>
        <v>0</v>
      </c>
      <c r="BP644" s="50"/>
      <c r="BR644" s="146">
        <f t="array" ref="BR644">IFERROR(LARGE(IF(NF!$G$2:$G$3137='Mês atual'!A644,NF!$J$2:$J$3137),1),0)</f>
        <v>0</v>
      </c>
      <c r="BS644" s="142" t="str">
        <f>VLOOKUP(A644,NF!M:O,3,0)</f>
        <v>Mercado</v>
      </c>
      <c r="BV644" s="74">
        <f t="shared" si="422"/>
        <v>0</v>
      </c>
      <c r="BW644" s="74">
        <f t="shared" si="423"/>
        <v>0</v>
      </c>
      <c r="BX644" s="74">
        <f t="shared" si="424"/>
        <v>0</v>
      </c>
      <c r="BY644" s="74">
        <f t="shared" si="425"/>
        <v>0</v>
      </c>
      <c r="BZ644" s="74">
        <f t="shared" si="426"/>
        <v>0</v>
      </c>
    </row>
    <row r="645" spans="1:78" x14ac:dyDescent="0.25">
      <c r="A645" s="108" t="s">
        <v>78</v>
      </c>
      <c r="B645" s="12"/>
      <c r="C645" s="9">
        <v>4</v>
      </c>
      <c r="D645" s="25"/>
      <c r="E645" s="10" t="str">
        <f t="shared" si="432"/>
        <v>MarçoSEMANA 1Açucar Organico Native Cx1000</v>
      </c>
      <c r="F645" s="7">
        <f>SUMIF(NF!$A:$A,$E645,NF!$I:$I)</f>
        <v>0</v>
      </c>
      <c r="G645" s="74"/>
      <c r="H645" s="74"/>
      <c r="I645" s="74"/>
      <c r="J645" s="6"/>
      <c r="K645" s="6"/>
      <c r="L645" s="6"/>
      <c r="M645" s="6"/>
      <c r="N645" s="7">
        <f t="shared" si="433"/>
        <v>0</v>
      </c>
      <c r="O645" s="11">
        <f t="shared" si="434"/>
        <v>4</v>
      </c>
      <c r="P645" s="25"/>
      <c r="Q645" s="10" t="str">
        <f t="shared" si="435"/>
        <v>MarçoSEMANA 2Açucar Organico Native Cx1000</v>
      </c>
      <c r="R645" s="7">
        <f>SUMIF(NF!$A:$A,$Q645,NF!$I:$I)</f>
        <v>0</v>
      </c>
      <c r="S645" s="6"/>
      <c r="T645" s="6"/>
      <c r="U645" s="6"/>
      <c r="V645" s="6"/>
      <c r="W645" s="6"/>
      <c r="X645" s="6"/>
      <c r="Y645" s="6"/>
      <c r="Z645" s="7">
        <f t="shared" si="436"/>
        <v>0</v>
      </c>
      <c r="AA645" s="11">
        <f t="shared" si="437"/>
        <v>4</v>
      </c>
      <c r="AB645" s="25"/>
      <c r="AC645" s="10" t="str">
        <f t="shared" si="438"/>
        <v>MarçoSEMANA 3Açucar Organico Native Cx1000</v>
      </c>
      <c r="AD645" s="7">
        <f>SUMIF(NF!$A:$A,$AC645,NF!$I:$I)</f>
        <v>0</v>
      </c>
      <c r="AE645" s="6"/>
      <c r="AF645" s="6"/>
      <c r="AG645" s="6"/>
      <c r="AH645" s="6"/>
      <c r="AI645" s="6"/>
      <c r="AJ645" s="6"/>
      <c r="AK645" s="6"/>
      <c r="AL645" s="7">
        <f t="shared" si="439"/>
        <v>0</v>
      </c>
      <c r="AM645" s="11">
        <f t="shared" si="440"/>
        <v>4</v>
      </c>
      <c r="AN645" s="25"/>
      <c r="AO645" s="10" t="str">
        <f t="shared" si="441"/>
        <v>MarçoSEMANA 4Açucar Organico Native Cx1000</v>
      </c>
      <c r="AP645" s="7">
        <f>SUMIF(NF!$A:$A,$AO645,NF!$I:$I)</f>
        <v>0</v>
      </c>
      <c r="AQ645" s="6"/>
      <c r="AR645" s="6"/>
      <c r="AS645" s="6"/>
      <c r="AT645" s="6"/>
      <c r="AU645" s="6"/>
      <c r="AV645" s="6"/>
      <c r="AW645" s="6"/>
      <c r="AX645" s="7">
        <f t="shared" si="442"/>
        <v>0</v>
      </c>
      <c r="AY645" s="11">
        <f t="shared" si="443"/>
        <v>4</v>
      </c>
      <c r="AZ645" s="25"/>
      <c r="BA645" s="10" t="str">
        <f t="shared" si="444"/>
        <v>MarçoSEMANA 5Açucar Organico Native Cx1000</v>
      </c>
      <c r="BB645" s="7">
        <f>SUMIF(NF!$A:$A,$BA645,NF!$I:$I)</f>
        <v>0</v>
      </c>
      <c r="BC645" s="6"/>
      <c r="BD645" s="6"/>
      <c r="BE645" s="6"/>
      <c r="BF645" s="6"/>
      <c r="BG645" s="6"/>
      <c r="BH645" s="6"/>
      <c r="BI645" s="74"/>
      <c r="BJ645" s="74"/>
      <c r="BK645" s="7">
        <f t="shared" si="445"/>
        <v>0</v>
      </c>
      <c r="BL645" s="8">
        <f t="shared" si="446"/>
        <v>4</v>
      </c>
      <c r="BM645" s="51" t="str">
        <f>IFERROR(VLOOKUP(A645,NF!$M:$O,3,0),"")</f>
        <v>Mercado</v>
      </c>
      <c r="BN645" s="7">
        <f t="shared" si="447"/>
        <v>0</v>
      </c>
      <c r="BO645" s="8">
        <f t="array" ref="BO645">IFERROR(LARGE(IF(NF!$G$2:$G$3137='Mês atual'!A645,NF!$J$2:$J$3137),1),0)*BN645</f>
        <v>0</v>
      </c>
      <c r="BP645" s="50"/>
      <c r="BR645" s="146">
        <f t="array" ref="BR645">IFERROR(LARGE(IF(NF!$G$2:$G$3137='Mês atual'!A645,NF!$J$2:$J$3137),1),0)</f>
        <v>0</v>
      </c>
      <c r="BS645" s="142" t="str">
        <f>VLOOKUP(A645,NF!M:O,3,0)</f>
        <v>Mercado</v>
      </c>
      <c r="BV645" s="74">
        <f t="shared" si="422"/>
        <v>0</v>
      </c>
      <c r="BW645" s="74">
        <f t="shared" si="423"/>
        <v>0</v>
      </c>
      <c r="BX645" s="74">
        <f t="shared" si="424"/>
        <v>0</v>
      </c>
      <c r="BY645" s="74">
        <f t="shared" si="425"/>
        <v>0</v>
      </c>
      <c r="BZ645" s="74">
        <f t="shared" si="426"/>
        <v>0</v>
      </c>
    </row>
    <row r="646" spans="1:78" x14ac:dyDescent="0.25">
      <c r="A646" s="108" t="s">
        <v>79</v>
      </c>
      <c r="B646" s="12"/>
      <c r="C646" s="9">
        <v>11</v>
      </c>
      <c r="D646" s="25"/>
      <c r="E646" s="10" t="str">
        <f t="shared" si="432"/>
        <v>MarçoSEMANA 1Açucar Refinado</v>
      </c>
      <c r="F646" s="7">
        <f>SUMIF(NF!$A:$A,$E646,NF!$I:$I)</f>
        <v>38</v>
      </c>
      <c r="G646" s="74"/>
      <c r="H646" s="74"/>
      <c r="I646" s="74"/>
      <c r="J646" s="6"/>
      <c r="K646" s="6">
        <v>3</v>
      </c>
      <c r="L646" s="6"/>
      <c r="M646" s="6">
        <v>5</v>
      </c>
      <c r="N646" s="7">
        <f t="shared" si="433"/>
        <v>8</v>
      </c>
      <c r="O646" s="11">
        <f t="shared" si="434"/>
        <v>41</v>
      </c>
      <c r="P646" s="25"/>
      <c r="Q646" s="10" t="str">
        <f t="shared" si="435"/>
        <v>MarçoSEMANA 2Açucar Refinado</v>
      </c>
      <c r="R646" s="7">
        <f>SUMIF(NF!$A:$A,$Q646,NF!$I:$I)</f>
        <v>0</v>
      </c>
      <c r="S646" s="6"/>
      <c r="T646" s="6">
        <v>3</v>
      </c>
      <c r="U646" s="6">
        <f>2+4</f>
        <v>6</v>
      </c>
      <c r="V646" s="6">
        <v>2</v>
      </c>
      <c r="W646" s="6">
        <v>2</v>
      </c>
      <c r="X646" s="6">
        <v>4</v>
      </c>
      <c r="Y646" s="6">
        <v>3</v>
      </c>
      <c r="Z646" s="7">
        <f t="shared" si="436"/>
        <v>20</v>
      </c>
      <c r="AA646" s="11">
        <f t="shared" si="437"/>
        <v>21</v>
      </c>
      <c r="AB646" s="25"/>
      <c r="AC646" s="10" t="str">
        <f t="shared" si="438"/>
        <v>MarçoSEMANA 3Açucar Refinado</v>
      </c>
      <c r="AD646" s="7">
        <f>SUMIF(NF!$A:$A,$AC646,NF!$I:$I)</f>
        <v>24</v>
      </c>
      <c r="AE646" s="6">
        <v>1</v>
      </c>
      <c r="AF646" s="6">
        <v>6</v>
      </c>
      <c r="AG646" s="6">
        <f>3+3</f>
        <v>6</v>
      </c>
      <c r="AH646" s="6"/>
      <c r="AI646" s="6"/>
      <c r="AJ646" s="6">
        <v>6</v>
      </c>
      <c r="AK646" s="6">
        <v>4</v>
      </c>
      <c r="AL646" s="7">
        <f t="shared" si="439"/>
        <v>23</v>
      </c>
      <c r="AM646" s="11">
        <f t="shared" si="440"/>
        <v>22</v>
      </c>
      <c r="AN646" s="25"/>
      <c r="AO646" s="10" t="str">
        <f t="shared" si="441"/>
        <v>MarçoSEMANA 4Açucar Refinado</v>
      </c>
      <c r="AP646" s="7">
        <f>SUMIF(NF!$A:$A,$AO646,NF!$I:$I)</f>
        <v>18</v>
      </c>
      <c r="AQ646" s="6">
        <v>2</v>
      </c>
      <c r="AR646" s="6">
        <v>4</v>
      </c>
      <c r="AS646" s="6">
        <v>3</v>
      </c>
      <c r="AT646" s="6">
        <v>1</v>
      </c>
      <c r="AU646" s="6">
        <f>5+2</f>
        <v>7</v>
      </c>
      <c r="AV646" s="6">
        <v>1</v>
      </c>
      <c r="AW646" s="6">
        <v>5</v>
      </c>
      <c r="AX646" s="7">
        <f t="shared" si="442"/>
        <v>23</v>
      </c>
      <c r="AY646" s="11">
        <f t="shared" si="443"/>
        <v>17</v>
      </c>
      <c r="AZ646" s="25"/>
      <c r="BA646" s="10" t="str">
        <f t="shared" si="444"/>
        <v>MarçoSEMANA 5Açucar Refinado</v>
      </c>
      <c r="BB646" s="7">
        <f>SUMIF(NF!$A:$A,$BA646,NF!$I:$I)</f>
        <v>20</v>
      </c>
      <c r="BC646" s="6"/>
      <c r="BD646" s="6"/>
      <c r="BE646" s="6">
        <v>4</v>
      </c>
      <c r="BF646" s="6">
        <v>2</v>
      </c>
      <c r="BG646" s="6">
        <v>2</v>
      </c>
      <c r="BH646" s="6">
        <v>3</v>
      </c>
      <c r="BI646" s="74"/>
      <c r="BJ646" s="74"/>
      <c r="BK646" s="7">
        <f t="shared" si="445"/>
        <v>11</v>
      </c>
      <c r="BL646" s="8">
        <f t="shared" si="446"/>
        <v>26</v>
      </c>
      <c r="BM646" s="51" t="str">
        <f>IFERROR(VLOOKUP(A646,NF!$M:$O,3,0),"")</f>
        <v>Mercado</v>
      </c>
      <c r="BN646" s="7">
        <f t="shared" si="447"/>
        <v>85</v>
      </c>
      <c r="BO646" s="8">
        <f t="array" ref="BO646">IFERROR(LARGE(IF(NF!$G$2:$G$3137='Mês atual'!A646,NF!$J$2:$J$3137),1),0)*BN646</f>
        <v>211.65</v>
      </c>
      <c r="BP646" s="50"/>
      <c r="BR646" s="146">
        <f t="array" ref="BR646">IFERROR(LARGE(IF(NF!$G$2:$G$3137='Mês atual'!A646,NF!$J$2:$J$3137),1),0)</f>
        <v>2.4900000000000002</v>
      </c>
      <c r="BS646" s="142" t="str">
        <f>VLOOKUP(A646,NF!M:O,3,0)</f>
        <v>Mercado</v>
      </c>
      <c r="BV646" s="74">
        <f t="shared" si="422"/>
        <v>8</v>
      </c>
      <c r="BW646" s="74">
        <f t="shared" si="423"/>
        <v>20</v>
      </c>
      <c r="BX646" s="74">
        <f t="shared" si="424"/>
        <v>23</v>
      </c>
      <c r="BY646" s="74">
        <f t="shared" si="425"/>
        <v>23</v>
      </c>
      <c r="BZ646" s="74">
        <f t="shared" si="426"/>
        <v>11</v>
      </c>
    </row>
    <row r="647" spans="1:78" x14ac:dyDescent="0.25">
      <c r="A647" s="108" t="s">
        <v>1021</v>
      </c>
      <c r="B647" s="12"/>
      <c r="C647" s="9">
        <v>0</v>
      </c>
      <c r="D647" s="25"/>
      <c r="E647" s="10" t="str">
        <f t="shared" si="432"/>
        <v>MarçoSEMANA 1Açucar União Glaçucar</v>
      </c>
      <c r="F647" s="7">
        <f>SUMIF(NF!$A:$A,$E647,NF!$I:$I)</f>
        <v>0</v>
      </c>
      <c r="G647" s="74"/>
      <c r="H647" s="74"/>
      <c r="I647" s="74"/>
      <c r="J647" s="6"/>
      <c r="K647" s="6"/>
      <c r="L647" s="6"/>
      <c r="M647" s="6"/>
      <c r="N647" s="7">
        <f>SUM(G647:M647)</f>
        <v>0</v>
      </c>
      <c r="O647" s="11">
        <f>F647+C647-N647</f>
        <v>0</v>
      </c>
      <c r="P647" s="25"/>
      <c r="Q647" s="10" t="str">
        <f t="shared" si="435"/>
        <v>MarçoSEMANA 2Açucar União Glaçucar</v>
      </c>
      <c r="R647" s="7">
        <f>SUMIF(NF!$A:$A,$Q647,NF!$I:$I)</f>
        <v>0</v>
      </c>
      <c r="S647" s="6"/>
      <c r="T647" s="6"/>
      <c r="U647" s="6"/>
      <c r="V647" s="6"/>
      <c r="W647" s="6"/>
      <c r="X647" s="6"/>
      <c r="Y647" s="6"/>
      <c r="Z647" s="7">
        <f>SUM(S647:Y647)</f>
        <v>0</v>
      </c>
      <c r="AA647" s="11">
        <f>R647+O647-Z647</f>
        <v>0</v>
      </c>
      <c r="AB647" s="25"/>
      <c r="AC647" s="10" t="str">
        <f t="shared" si="438"/>
        <v>MarçoSEMANA 3Açucar União Glaçucar</v>
      </c>
      <c r="AD647" s="7">
        <f>SUMIF(NF!$A:$A,$AC647,NF!$I:$I)</f>
        <v>0</v>
      </c>
      <c r="AE647" s="6"/>
      <c r="AF647" s="6"/>
      <c r="AG647" s="6"/>
      <c r="AH647" s="6"/>
      <c r="AI647" s="6"/>
      <c r="AJ647" s="6"/>
      <c r="AK647" s="6"/>
      <c r="AL647" s="7">
        <f>SUM(AE647:AK647)</f>
        <v>0</v>
      </c>
      <c r="AM647" s="11">
        <f>AD647+AA647-AL647</f>
        <v>0</v>
      </c>
      <c r="AN647" s="25"/>
      <c r="AO647" s="10" t="str">
        <f t="shared" si="441"/>
        <v>MarçoSEMANA 4Açucar União Glaçucar</v>
      </c>
      <c r="AP647" s="7">
        <f>SUMIF(NF!$A:$A,$AO647,NF!$I:$I)</f>
        <v>0</v>
      </c>
      <c r="AQ647" s="6"/>
      <c r="AR647" s="6"/>
      <c r="AS647" s="6"/>
      <c r="AT647" s="6"/>
      <c r="AU647" s="6"/>
      <c r="AV647" s="6"/>
      <c r="AW647" s="6"/>
      <c r="AX647" s="7">
        <f>SUM(AQ647:AW647)</f>
        <v>0</v>
      </c>
      <c r="AY647" s="11">
        <f>AP647+AM647-AX647</f>
        <v>0</v>
      </c>
      <c r="AZ647" s="25"/>
      <c r="BA647" s="10" t="str">
        <f t="shared" si="444"/>
        <v>MarçoSEMANA 5Açucar União Glaçucar</v>
      </c>
      <c r="BB647" s="7">
        <f>SUMIF(NF!$A:$A,$BA647,NF!$I:$I)</f>
        <v>0</v>
      </c>
      <c r="BC647" s="6"/>
      <c r="BD647" s="6"/>
      <c r="BE647" s="6"/>
      <c r="BF647" s="6"/>
      <c r="BG647" s="6"/>
      <c r="BH647" s="6"/>
      <c r="BI647" s="74"/>
      <c r="BJ647" s="74"/>
      <c r="BK647" s="7">
        <f>SUM(BC647:BJ647)</f>
        <v>0</v>
      </c>
      <c r="BL647" s="8">
        <f>BB647+AY647-BK647</f>
        <v>0</v>
      </c>
      <c r="BM647" s="51" t="str">
        <f>IFERROR(VLOOKUP(A647,NF!$M:$O,3,0),"")</f>
        <v>Mercado</v>
      </c>
      <c r="BN647" s="7">
        <f>SUM(N647,Z647,AL647,AX647,BK647)</f>
        <v>0</v>
      </c>
      <c r="BO647" s="8">
        <f t="array" ref="BO647">IFERROR(LARGE(IF(NF!$G$2:$G$3137='Mês atual'!A647,NF!$J$2:$J$3137),1),0)*BN647</f>
        <v>0</v>
      </c>
      <c r="BP647" s="50"/>
      <c r="BR647" s="146">
        <f t="array" ref="BR647">IFERROR(LARGE(IF(NF!$G$2:$G$3137='Mês atual'!A647,NF!$J$2:$J$3137),1),0)</f>
        <v>0</v>
      </c>
      <c r="BS647" s="142" t="str">
        <f>VLOOKUP(A647,NF!M:O,3,0)</f>
        <v>Mercado</v>
      </c>
      <c r="BV647" s="74">
        <f t="shared" si="422"/>
        <v>0</v>
      </c>
      <c r="BW647" s="74">
        <f t="shared" si="423"/>
        <v>0</v>
      </c>
      <c r="BX647" s="74">
        <f t="shared" si="424"/>
        <v>0</v>
      </c>
      <c r="BY647" s="74">
        <f t="shared" si="425"/>
        <v>0</v>
      </c>
      <c r="BZ647" s="74">
        <f t="shared" si="426"/>
        <v>0</v>
      </c>
    </row>
    <row r="648" spans="1:78" x14ac:dyDescent="0.25">
      <c r="A648" s="108" t="s">
        <v>81</v>
      </c>
      <c r="B648" s="12"/>
      <c r="C648" s="9">
        <v>1</v>
      </c>
      <c r="D648" s="25"/>
      <c r="E648" s="10" t="str">
        <f t="shared" si="432"/>
        <v>MarçoSEMANA 1Açucar União Sache Cx 400</v>
      </c>
      <c r="F648" s="7">
        <f>SUMIF(NF!$A:$A,$E648,NF!$I:$I)</f>
        <v>0</v>
      </c>
      <c r="G648" s="74"/>
      <c r="H648" s="74"/>
      <c r="I648" s="74"/>
      <c r="J648" s="6"/>
      <c r="K648" s="6"/>
      <c r="L648" s="6"/>
      <c r="M648" s="6"/>
      <c r="N648" s="7">
        <f t="shared" si="433"/>
        <v>0</v>
      </c>
      <c r="O648" s="11">
        <f t="shared" si="434"/>
        <v>1</v>
      </c>
      <c r="P648" s="25"/>
      <c r="Q648" s="10" t="str">
        <f t="shared" si="435"/>
        <v>MarçoSEMANA 2Açucar União Sache Cx 400</v>
      </c>
      <c r="R648" s="7">
        <f>SUMIF(NF!$A:$A,$Q648,NF!$I:$I)</f>
        <v>0</v>
      </c>
      <c r="S648" s="6"/>
      <c r="T648" s="6"/>
      <c r="U648" s="6"/>
      <c r="V648" s="6"/>
      <c r="W648" s="6"/>
      <c r="X648" s="6">
        <v>1</v>
      </c>
      <c r="Y648" s="6"/>
      <c r="Z648" s="7">
        <f t="shared" si="436"/>
        <v>1</v>
      </c>
      <c r="AA648" s="11">
        <f t="shared" si="437"/>
        <v>0</v>
      </c>
      <c r="AB648" s="25"/>
      <c r="AC648" s="10" t="str">
        <f t="shared" si="438"/>
        <v>MarçoSEMANA 3Açucar União Sache Cx 400</v>
      </c>
      <c r="AD648" s="7">
        <f>SUMIF(NF!$A:$A,$AC648,NF!$I:$I)</f>
        <v>1</v>
      </c>
      <c r="AE648" s="6"/>
      <c r="AF648" s="6"/>
      <c r="AG648" s="6"/>
      <c r="AH648" s="6"/>
      <c r="AI648" s="6"/>
      <c r="AJ648" s="6"/>
      <c r="AK648" s="6"/>
      <c r="AL648" s="7">
        <f t="shared" si="439"/>
        <v>0</v>
      </c>
      <c r="AM648" s="11">
        <f t="shared" si="440"/>
        <v>1</v>
      </c>
      <c r="AN648" s="25"/>
      <c r="AO648" s="10" t="str">
        <f t="shared" si="441"/>
        <v>MarçoSEMANA 4Açucar União Sache Cx 400</v>
      </c>
      <c r="AP648" s="7">
        <f>SUMIF(NF!$A:$A,$AO648,NF!$I:$I)</f>
        <v>0</v>
      </c>
      <c r="AQ648" s="6"/>
      <c r="AR648" s="6"/>
      <c r="AS648" s="6"/>
      <c r="AT648" s="6"/>
      <c r="AU648" s="6"/>
      <c r="AV648" s="6"/>
      <c r="AW648" s="6"/>
      <c r="AX648" s="7">
        <f t="shared" si="442"/>
        <v>0</v>
      </c>
      <c r="AY648" s="11">
        <f t="shared" si="443"/>
        <v>1</v>
      </c>
      <c r="AZ648" s="25"/>
      <c r="BA648" s="10" t="str">
        <f t="shared" si="444"/>
        <v>MarçoSEMANA 5Açucar União Sache Cx 400</v>
      </c>
      <c r="BB648" s="7">
        <f>SUMIF(NF!$A:$A,$BA648,NF!$I:$I)</f>
        <v>0</v>
      </c>
      <c r="BC648" s="6"/>
      <c r="BD648" s="6"/>
      <c r="BE648" s="6">
        <v>1</v>
      </c>
      <c r="BF648" s="6"/>
      <c r="BG648" s="6"/>
      <c r="BH648" s="6"/>
      <c r="BI648" s="74"/>
      <c r="BJ648" s="74"/>
      <c r="BK648" s="7">
        <f t="shared" si="445"/>
        <v>1</v>
      </c>
      <c r="BL648" s="8">
        <f t="shared" si="446"/>
        <v>0</v>
      </c>
      <c r="BM648" s="51" t="str">
        <f>IFERROR(VLOOKUP(A648,NF!$M:$O,3,0),"")</f>
        <v>Mercado</v>
      </c>
      <c r="BN648" s="7">
        <f t="shared" si="447"/>
        <v>2</v>
      </c>
      <c r="BO648" s="8">
        <f t="array" ref="BO648">IFERROR(LARGE(IF(NF!$G$2:$G$3137='Mês atual'!A648,NF!$J$2:$J$3137),1),0)*BN648</f>
        <v>27.34</v>
      </c>
      <c r="BP648" s="50"/>
      <c r="BR648" s="146">
        <f t="array" ref="BR648">IFERROR(LARGE(IF(NF!$G$2:$G$3137='Mês atual'!A648,NF!$J$2:$J$3137),1),0)</f>
        <v>13.67</v>
      </c>
      <c r="BS648" s="142" t="str">
        <f>VLOOKUP(A648,NF!M:O,3,0)</f>
        <v>Mercado</v>
      </c>
      <c r="BV648" s="74">
        <f t="shared" si="422"/>
        <v>0</v>
      </c>
      <c r="BW648" s="74">
        <f t="shared" si="423"/>
        <v>1</v>
      </c>
      <c r="BX648" s="74">
        <f t="shared" si="424"/>
        <v>0</v>
      </c>
      <c r="BY648" s="74">
        <f t="shared" si="425"/>
        <v>0</v>
      </c>
      <c r="BZ648" s="74">
        <f t="shared" si="426"/>
        <v>1</v>
      </c>
    </row>
    <row r="649" spans="1:78" x14ac:dyDescent="0.25">
      <c r="A649" s="108" t="s">
        <v>82</v>
      </c>
      <c r="B649" s="12"/>
      <c r="C649" s="9">
        <v>3</v>
      </c>
      <c r="D649" s="25"/>
      <c r="E649" s="10" t="str">
        <f t="shared" si="432"/>
        <v>MarçoSEMANA 1Adoçante Linea Stevia Cx 500</v>
      </c>
      <c r="F649" s="7">
        <f>SUMIF(NF!$A:$A,$E649,NF!$I:$I)</f>
        <v>0</v>
      </c>
      <c r="G649" s="74"/>
      <c r="H649" s="74"/>
      <c r="I649" s="74"/>
      <c r="J649" s="6"/>
      <c r="K649" s="6"/>
      <c r="L649" s="6"/>
      <c r="M649" s="6"/>
      <c r="N649" s="7">
        <f t="shared" si="433"/>
        <v>0</v>
      </c>
      <c r="O649" s="11">
        <f t="shared" si="434"/>
        <v>3</v>
      </c>
      <c r="P649" s="25"/>
      <c r="Q649" s="10" t="str">
        <f t="shared" si="435"/>
        <v>MarçoSEMANA 2Adoçante Linea Stevia Cx 500</v>
      </c>
      <c r="R649" s="7">
        <f>SUMIF(NF!$A:$A,$Q649,NF!$I:$I)</f>
        <v>0</v>
      </c>
      <c r="S649" s="6"/>
      <c r="T649" s="6"/>
      <c r="U649" s="6"/>
      <c r="V649" s="6"/>
      <c r="W649" s="6"/>
      <c r="X649" s="6"/>
      <c r="Y649" s="6"/>
      <c r="Z649" s="7">
        <f t="shared" si="436"/>
        <v>0</v>
      </c>
      <c r="AA649" s="11">
        <f t="shared" si="437"/>
        <v>3</v>
      </c>
      <c r="AB649" s="25"/>
      <c r="AC649" s="10" t="str">
        <f t="shared" si="438"/>
        <v>MarçoSEMANA 3Adoçante Linea Stevia Cx 500</v>
      </c>
      <c r="AD649" s="7">
        <f>SUMIF(NF!$A:$A,$AC649,NF!$I:$I)</f>
        <v>0</v>
      </c>
      <c r="AE649" s="6"/>
      <c r="AF649" s="6"/>
      <c r="AG649" s="6"/>
      <c r="AH649" s="6"/>
      <c r="AI649" s="6"/>
      <c r="AJ649" s="6"/>
      <c r="AK649" s="6"/>
      <c r="AL649" s="7">
        <f t="shared" si="439"/>
        <v>0</v>
      </c>
      <c r="AM649" s="11">
        <f t="shared" si="440"/>
        <v>3</v>
      </c>
      <c r="AN649" s="25"/>
      <c r="AO649" s="10" t="str">
        <f t="shared" si="441"/>
        <v>MarçoSEMANA 4Adoçante Linea Stevia Cx 500</v>
      </c>
      <c r="AP649" s="7">
        <f>SUMIF(NF!$A:$A,$AO649,NF!$I:$I)</f>
        <v>0</v>
      </c>
      <c r="AQ649" s="6"/>
      <c r="AR649" s="6"/>
      <c r="AS649" s="6"/>
      <c r="AT649" s="6"/>
      <c r="AU649" s="6"/>
      <c r="AV649" s="6"/>
      <c r="AW649" s="6"/>
      <c r="AX649" s="7">
        <f t="shared" si="442"/>
        <v>0</v>
      </c>
      <c r="AY649" s="11">
        <f t="shared" si="443"/>
        <v>3</v>
      </c>
      <c r="AZ649" s="25"/>
      <c r="BA649" s="10" t="str">
        <f t="shared" si="444"/>
        <v>MarçoSEMANA 5Adoçante Linea Stevia Cx 500</v>
      </c>
      <c r="BB649" s="7">
        <f>SUMIF(NF!$A:$A,$BA649,NF!$I:$I)</f>
        <v>0</v>
      </c>
      <c r="BC649" s="6"/>
      <c r="BD649" s="6"/>
      <c r="BE649" s="6"/>
      <c r="BF649" s="6"/>
      <c r="BG649" s="6"/>
      <c r="BH649" s="6"/>
      <c r="BI649" s="74"/>
      <c r="BJ649" s="74"/>
      <c r="BK649" s="7">
        <f t="shared" si="445"/>
        <v>0</v>
      </c>
      <c r="BL649" s="8">
        <f t="shared" si="446"/>
        <v>3</v>
      </c>
      <c r="BM649" s="51" t="str">
        <f>IFERROR(VLOOKUP(A649,NF!$M:$O,3,0),"")</f>
        <v>Mercado</v>
      </c>
      <c r="BN649" s="7">
        <f t="shared" si="447"/>
        <v>0</v>
      </c>
      <c r="BO649" s="8">
        <f t="array" ref="BO649">IFERROR(LARGE(IF(NF!$G$2:$G$3137='Mês atual'!A649,NF!$J$2:$J$3137),1),0)*BN649</f>
        <v>0</v>
      </c>
      <c r="BP649" s="50"/>
      <c r="BR649" s="146">
        <f t="array" ref="BR649">IFERROR(LARGE(IF(NF!$G$2:$G$3137='Mês atual'!A649,NF!$J$2:$J$3137),1),0)</f>
        <v>0</v>
      </c>
      <c r="BS649" s="142" t="str">
        <f>VLOOKUP(A649,NF!M:O,3,0)</f>
        <v>Mercado</v>
      </c>
      <c r="BV649" s="74">
        <f t="shared" si="422"/>
        <v>0</v>
      </c>
      <c r="BW649" s="74">
        <f t="shared" si="423"/>
        <v>0</v>
      </c>
      <c r="BX649" s="74">
        <f t="shared" si="424"/>
        <v>0</v>
      </c>
      <c r="BY649" s="74">
        <f t="shared" si="425"/>
        <v>0</v>
      </c>
      <c r="BZ649" s="74">
        <f t="shared" si="426"/>
        <v>0</v>
      </c>
    </row>
    <row r="650" spans="1:78" x14ac:dyDescent="0.25">
      <c r="A650" s="108" t="s">
        <v>83</v>
      </c>
      <c r="B650" s="12"/>
      <c r="C650" s="9">
        <v>1</v>
      </c>
      <c r="D650" s="25"/>
      <c r="E650" s="10" t="str">
        <f t="shared" si="432"/>
        <v>MarçoSEMANA 1Adoçante Linea Suclarose Cx 1000</v>
      </c>
      <c r="F650" s="7">
        <f>SUMIF(NF!$A:$A,$E650,NF!$I:$I)</f>
        <v>0</v>
      </c>
      <c r="G650" s="74"/>
      <c r="H650" s="74"/>
      <c r="I650" s="74"/>
      <c r="J650" s="6"/>
      <c r="K650" s="6"/>
      <c r="L650" s="6"/>
      <c r="M650" s="6"/>
      <c r="N650" s="7">
        <f t="shared" si="433"/>
        <v>0</v>
      </c>
      <c r="O650" s="11">
        <f t="shared" si="434"/>
        <v>1</v>
      </c>
      <c r="P650" s="25"/>
      <c r="Q650" s="10" t="str">
        <f t="shared" si="435"/>
        <v>MarçoSEMANA 2Adoçante Linea Suclarose Cx 1000</v>
      </c>
      <c r="R650" s="7">
        <f>SUMIF(NF!$A:$A,$Q650,NF!$I:$I)</f>
        <v>0</v>
      </c>
      <c r="S650" s="6">
        <v>1</v>
      </c>
      <c r="T650" s="6"/>
      <c r="U650" s="6"/>
      <c r="V650" s="6"/>
      <c r="W650" s="6"/>
      <c r="X650" s="6"/>
      <c r="Y650" s="6"/>
      <c r="Z650" s="7">
        <f t="shared" si="436"/>
        <v>1</v>
      </c>
      <c r="AA650" s="11">
        <f t="shared" si="437"/>
        <v>0</v>
      </c>
      <c r="AB650" s="25"/>
      <c r="AC650" s="10" t="str">
        <f t="shared" si="438"/>
        <v>MarçoSEMANA 3Adoçante Linea Suclarose Cx 1000</v>
      </c>
      <c r="AD650" s="7">
        <f>SUMIF(NF!$A:$A,$AC650,NF!$I:$I)</f>
        <v>1</v>
      </c>
      <c r="AE650" s="6"/>
      <c r="AF650" s="6"/>
      <c r="AG650" s="6"/>
      <c r="AH650" s="6"/>
      <c r="AI650" s="6"/>
      <c r="AJ650" s="6"/>
      <c r="AK650" s="6"/>
      <c r="AL650" s="7">
        <f t="shared" si="439"/>
        <v>0</v>
      </c>
      <c r="AM650" s="11">
        <f t="shared" si="440"/>
        <v>1</v>
      </c>
      <c r="AN650" s="25"/>
      <c r="AO650" s="10" t="str">
        <f t="shared" si="441"/>
        <v>MarçoSEMANA 4Adoçante Linea Suclarose Cx 1000</v>
      </c>
      <c r="AP650" s="7">
        <f>SUMIF(NF!$A:$A,$AO650,NF!$I:$I)</f>
        <v>0</v>
      </c>
      <c r="AQ650" s="6"/>
      <c r="AR650" s="6"/>
      <c r="AS650" s="6"/>
      <c r="AT650" s="6"/>
      <c r="AU650" s="6"/>
      <c r="AV650" s="6"/>
      <c r="AW650" s="6">
        <v>1</v>
      </c>
      <c r="AX650" s="7">
        <f t="shared" si="442"/>
        <v>1</v>
      </c>
      <c r="AY650" s="11">
        <f t="shared" si="443"/>
        <v>0</v>
      </c>
      <c r="AZ650" s="25"/>
      <c r="BA650" s="10" t="str">
        <f t="shared" si="444"/>
        <v>MarçoSEMANA 5Adoçante Linea Suclarose Cx 1000</v>
      </c>
      <c r="BB650" s="7">
        <f>SUMIF(NF!$A:$A,$BA650,NF!$I:$I)</f>
        <v>0</v>
      </c>
      <c r="BC650" s="6"/>
      <c r="BD650" s="6"/>
      <c r="BE650" s="6"/>
      <c r="BF650" s="6"/>
      <c r="BG650" s="6"/>
      <c r="BH650" s="6"/>
      <c r="BI650" s="74"/>
      <c r="BJ650" s="74"/>
      <c r="BK650" s="7">
        <f t="shared" si="445"/>
        <v>0</v>
      </c>
      <c r="BL650" s="8">
        <f t="shared" si="446"/>
        <v>0</v>
      </c>
      <c r="BM650" s="51" t="str">
        <f>IFERROR(VLOOKUP(A650,NF!$M:$O,3,0),"")</f>
        <v>Mercado</v>
      </c>
      <c r="BN650" s="7">
        <f t="shared" si="447"/>
        <v>2</v>
      </c>
      <c r="BO650" s="8">
        <f t="array" ref="BO650">IFERROR(LARGE(IF(NF!$G$2:$G$3137='Mês atual'!A650,NF!$J$2:$J$3137),1),0)*BN650</f>
        <v>96</v>
      </c>
      <c r="BP650" s="50"/>
      <c r="BR650" s="146">
        <f t="array" ref="BR650">IFERROR(LARGE(IF(NF!$G$2:$G$3137='Mês atual'!A650,NF!$J$2:$J$3137),1),0)</f>
        <v>48</v>
      </c>
      <c r="BS650" s="142" t="str">
        <f>VLOOKUP(A650,NF!M:O,3,0)</f>
        <v>Mercado</v>
      </c>
      <c r="BV650" s="74">
        <f t="shared" si="422"/>
        <v>0</v>
      </c>
      <c r="BW650" s="74">
        <f t="shared" si="423"/>
        <v>1</v>
      </c>
      <c r="BX650" s="74">
        <f t="shared" si="424"/>
        <v>0</v>
      </c>
      <c r="BY650" s="74">
        <f t="shared" si="425"/>
        <v>1</v>
      </c>
      <c r="BZ650" s="74">
        <f t="shared" si="426"/>
        <v>0</v>
      </c>
    </row>
    <row r="651" spans="1:78" x14ac:dyDescent="0.2">
      <c r="A651" s="108" t="s">
        <v>97</v>
      </c>
      <c r="B651" s="12"/>
      <c r="C651" s="9"/>
      <c r="D651" s="25"/>
      <c r="E651" s="10" t="str">
        <f t="shared" si="432"/>
        <v>MarçoSEMANA 1Alcachofra cong. 400G</v>
      </c>
      <c r="F651" s="7">
        <f>SUMIF(NF!$A:$A,$E651,NF!$I:$I)</f>
        <v>0</v>
      </c>
      <c r="G651" s="74"/>
      <c r="H651" s="74"/>
      <c r="I651" s="74"/>
      <c r="J651" s="6"/>
      <c r="K651" s="6"/>
      <c r="L651" s="6"/>
      <c r="M651" s="6"/>
      <c r="N651" s="7">
        <f t="shared" si="433"/>
        <v>0</v>
      </c>
      <c r="O651" s="11">
        <f t="shared" si="434"/>
        <v>0</v>
      </c>
      <c r="P651" s="25"/>
      <c r="Q651" s="10" t="str">
        <f t="shared" si="435"/>
        <v>MarçoSEMANA 2Alcachofra cong. 400G</v>
      </c>
      <c r="R651" s="7">
        <f>SUMIF(NF!$A:$A,$Q651,NF!$I:$I)</f>
        <v>0</v>
      </c>
      <c r="S651" s="6"/>
      <c r="T651" s="6"/>
      <c r="U651" s="6"/>
      <c r="V651" s="6"/>
      <c r="W651" s="6"/>
      <c r="X651" s="6"/>
      <c r="Y651" s="6"/>
      <c r="Z651" s="7">
        <f t="shared" si="436"/>
        <v>0</v>
      </c>
      <c r="AA651" s="11">
        <f t="shared" si="437"/>
        <v>0</v>
      </c>
      <c r="AB651" s="25"/>
      <c r="AC651" s="10" t="str">
        <f t="shared" si="438"/>
        <v>MarçoSEMANA 3Alcachofra cong. 400G</v>
      </c>
      <c r="AD651" s="7">
        <f>SUMIF(NF!$A:$A,$AC651,NF!$I:$I)</f>
        <v>0</v>
      </c>
      <c r="AE651" s="6"/>
      <c r="AF651" s="6"/>
      <c r="AG651" s="6"/>
      <c r="AH651" s="6"/>
      <c r="AI651" s="6"/>
      <c r="AJ651" s="6"/>
      <c r="AK651" s="6"/>
      <c r="AL651" s="7">
        <f t="shared" si="439"/>
        <v>0</v>
      </c>
      <c r="AM651" s="11">
        <f t="shared" si="440"/>
        <v>0</v>
      </c>
      <c r="AN651" s="25"/>
      <c r="AO651" s="10" t="str">
        <f t="shared" si="441"/>
        <v>MarçoSEMANA 4Alcachofra cong. 400G</v>
      </c>
      <c r="AP651" s="7">
        <f>SUMIF(NF!$A:$A,$AO651,NF!$I:$I)</f>
        <v>0</v>
      </c>
      <c r="AQ651" s="6"/>
      <c r="AR651" s="6"/>
      <c r="AS651" s="6"/>
      <c r="AT651" s="6"/>
      <c r="AU651" s="6"/>
      <c r="AV651" s="6"/>
      <c r="AW651" s="6"/>
      <c r="AX651" s="7">
        <f t="shared" si="442"/>
        <v>0</v>
      </c>
      <c r="AY651" s="11">
        <f t="shared" si="443"/>
        <v>0</v>
      </c>
      <c r="AZ651" s="25"/>
      <c r="BA651" s="10" t="str">
        <f t="shared" si="444"/>
        <v>MarçoSEMANA 5Alcachofra cong. 400G</v>
      </c>
      <c r="BB651" s="7">
        <f>SUMIF(NF!$A:$A,$BA651,NF!$I:$I)</f>
        <v>0</v>
      </c>
      <c r="BC651" s="6"/>
      <c r="BD651" s="6"/>
      <c r="BE651" s="6"/>
      <c r="BF651" s="6"/>
      <c r="BG651" s="6"/>
      <c r="BH651" s="6"/>
      <c r="BI651" s="74"/>
      <c r="BJ651" s="74"/>
      <c r="BK651" s="7">
        <f t="shared" si="445"/>
        <v>0</v>
      </c>
      <c r="BL651" s="8">
        <f t="shared" si="446"/>
        <v>0</v>
      </c>
      <c r="BM651" s="51" t="str">
        <f>IFERROR(VLOOKUP(A651,NF!$M:$O,3,0),"")</f>
        <v>Mercado</v>
      </c>
      <c r="BN651" s="7">
        <f t="shared" si="447"/>
        <v>0</v>
      </c>
      <c r="BO651" s="8">
        <f t="array" ref="BO651">IFERROR(LARGE(IF(NF!$G$2:$G$3137='Mês atual'!A651,NF!$J$2:$J$3137),1),0)*BN651</f>
        <v>0</v>
      </c>
      <c r="BP651" s="50"/>
      <c r="BR651" s="146">
        <f t="array" ref="BR651">IFERROR(LARGE(IF(NF!$G$2:$G$3137='Mês atual'!A651,NF!$J$2:$J$3137),1),0)</f>
        <v>0</v>
      </c>
      <c r="BS651" s="142" t="str">
        <f>VLOOKUP(A651,NF!M:O,3,0)</f>
        <v>Mercado</v>
      </c>
      <c r="BV651" s="74">
        <f t="shared" si="422"/>
        <v>0</v>
      </c>
      <c r="BW651" s="74">
        <f t="shared" si="423"/>
        <v>0</v>
      </c>
      <c r="BX651" s="74">
        <f t="shared" si="424"/>
        <v>0</v>
      </c>
      <c r="BY651" s="74">
        <f t="shared" si="425"/>
        <v>0</v>
      </c>
      <c r="BZ651" s="74">
        <f t="shared" si="426"/>
        <v>0</v>
      </c>
    </row>
    <row r="652" spans="1:78" x14ac:dyDescent="0.2">
      <c r="A652" s="108" t="s">
        <v>98</v>
      </c>
      <c r="B652" s="12"/>
      <c r="C652" s="9">
        <v>2</v>
      </c>
      <c r="D652" s="25"/>
      <c r="E652" s="10" t="str">
        <f t="shared" si="432"/>
        <v>MarçoSEMANA 1Alcaparras BD 2KG</v>
      </c>
      <c r="F652" s="7">
        <f>SUMIF(NF!$A:$A,$E652,NF!$I:$I)</f>
        <v>0</v>
      </c>
      <c r="G652" s="74"/>
      <c r="H652" s="74"/>
      <c r="I652" s="74"/>
      <c r="J652" s="6"/>
      <c r="K652" s="6"/>
      <c r="L652" s="6"/>
      <c r="M652" s="6"/>
      <c r="N652" s="7">
        <f t="shared" si="433"/>
        <v>0</v>
      </c>
      <c r="O652" s="11">
        <f t="shared" si="434"/>
        <v>2</v>
      </c>
      <c r="P652" s="25"/>
      <c r="Q652" s="10" t="str">
        <f t="shared" si="435"/>
        <v>MarçoSEMANA 2Alcaparras BD 2KG</v>
      </c>
      <c r="R652" s="7">
        <f>SUMIF(NF!$A:$A,$Q652,NF!$I:$I)</f>
        <v>0</v>
      </c>
      <c r="S652" s="6"/>
      <c r="T652" s="6"/>
      <c r="U652" s="6">
        <v>1</v>
      </c>
      <c r="V652" s="6"/>
      <c r="W652" s="6"/>
      <c r="X652" s="6"/>
      <c r="Y652" s="6"/>
      <c r="Z652" s="7">
        <f t="shared" si="436"/>
        <v>1</v>
      </c>
      <c r="AA652" s="11">
        <f t="shared" si="437"/>
        <v>1</v>
      </c>
      <c r="AB652" s="25"/>
      <c r="AC652" s="10" t="str">
        <f t="shared" si="438"/>
        <v>MarçoSEMANA 3Alcaparras BD 2KG</v>
      </c>
      <c r="AD652" s="7">
        <f>SUMIF(NF!$A:$A,$AC652,NF!$I:$I)</f>
        <v>0</v>
      </c>
      <c r="AE652" s="6"/>
      <c r="AF652" s="6"/>
      <c r="AG652" s="6"/>
      <c r="AH652" s="6"/>
      <c r="AI652" s="6"/>
      <c r="AJ652" s="6"/>
      <c r="AK652" s="6"/>
      <c r="AL652" s="7">
        <f t="shared" si="439"/>
        <v>0</v>
      </c>
      <c r="AM652" s="11">
        <f t="shared" si="440"/>
        <v>1</v>
      </c>
      <c r="AN652" s="25"/>
      <c r="AO652" s="10" t="str">
        <f t="shared" si="441"/>
        <v>MarçoSEMANA 4Alcaparras BD 2KG</v>
      </c>
      <c r="AP652" s="7">
        <f>SUMIF(NF!$A:$A,$AO652,NF!$I:$I)</f>
        <v>0</v>
      </c>
      <c r="AQ652" s="6"/>
      <c r="AR652" s="6"/>
      <c r="AS652" s="6"/>
      <c r="AT652" s="6"/>
      <c r="AU652" s="6"/>
      <c r="AV652" s="6"/>
      <c r="AW652" s="6"/>
      <c r="AX652" s="7">
        <f t="shared" si="442"/>
        <v>0</v>
      </c>
      <c r="AY652" s="11">
        <f t="shared" si="443"/>
        <v>1</v>
      </c>
      <c r="AZ652" s="25"/>
      <c r="BA652" s="10" t="str">
        <f t="shared" si="444"/>
        <v>MarçoSEMANA 5Alcaparras BD 2KG</v>
      </c>
      <c r="BB652" s="7">
        <f>SUMIF(NF!$A:$A,$BA652,NF!$I:$I)</f>
        <v>0</v>
      </c>
      <c r="BC652" s="6"/>
      <c r="BD652" s="6"/>
      <c r="BE652" s="6"/>
      <c r="BF652" s="6"/>
      <c r="BG652" s="6"/>
      <c r="BH652" s="6"/>
      <c r="BI652" s="74"/>
      <c r="BJ652" s="74"/>
      <c r="BK652" s="7">
        <f t="shared" si="445"/>
        <v>0</v>
      </c>
      <c r="BL652" s="8">
        <f t="shared" si="446"/>
        <v>1</v>
      </c>
      <c r="BM652" s="51" t="str">
        <f>IFERROR(VLOOKUP(A652,NF!$M:$O,3,0),"")</f>
        <v>Mercado</v>
      </c>
      <c r="BN652" s="7">
        <f t="shared" si="447"/>
        <v>1</v>
      </c>
      <c r="BO652" s="8">
        <f t="array" ref="BO652">IFERROR(LARGE(IF(NF!$G$2:$G$3137='Mês atual'!A652,NF!$J$2:$J$3137),1),0)*BN652</f>
        <v>0</v>
      </c>
      <c r="BP652" s="50"/>
      <c r="BR652" s="146">
        <f t="array" ref="BR652">IFERROR(LARGE(IF(NF!$G$2:$G$3137='Mês atual'!A652,NF!$J$2:$J$3137),1),0)</f>
        <v>0</v>
      </c>
      <c r="BS652" s="142" t="str">
        <f>VLOOKUP(A652,NF!M:O,3,0)</f>
        <v>Mercado</v>
      </c>
      <c r="BV652" s="74">
        <f t="shared" si="422"/>
        <v>0</v>
      </c>
      <c r="BW652" s="74">
        <f t="shared" si="423"/>
        <v>1</v>
      </c>
      <c r="BX652" s="74">
        <f t="shared" si="424"/>
        <v>0</v>
      </c>
      <c r="BY652" s="74">
        <f t="shared" si="425"/>
        <v>0</v>
      </c>
      <c r="BZ652" s="74">
        <f t="shared" si="426"/>
        <v>0</v>
      </c>
    </row>
    <row r="653" spans="1:78" x14ac:dyDescent="0.2">
      <c r="A653" s="108" t="s">
        <v>115</v>
      </c>
      <c r="B653" s="12"/>
      <c r="C653" s="9">
        <v>0</v>
      </c>
      <c r="D653" s="25"/>
      <c r="E653" s="10" t="str">
        <f t="shared" si="432"/>
        <v>MarçoSEMANA 1Aliche</v>
      </c>
      <c r="F653" s="7">
        <f>SUMIF(NF!$A:$A,$E653,NF!$I:$I)</f>
        <v>0.32600000000000001</v>
      </c>
      <c r="G653" s="74"/>
      <c r="H653" s="74"/>
      <c r="I653" s="74"/>
      <c r="J653" s="6"/>
      <c r="K653" s="6">
        <v>0.32600000000000001</v>
      </c>
      <c r="L653" s="6"/>
      <c r="M653" s="6"/>
      <c r="N653" s="7">
        <f t="shared" si="433"/>
        <v>0.32600000000000001</v>
      </c>
      <c r="O653" s="11">
        <f t="shared" si="434"/>
        <v>0</v>
      </c>
      <c r="P653" s="25"/>
      <c r="Q653" s="10" t="str">
        <f t="shared" si="435"/>
        <v>MarçoSEMANA 2Aliche</v>
      </c>
      <c r="R653" s="7">
        <f>SUMIF(NF!$A:$A,$Q653,NF!$I:$I)</f>
        <v>0</v>
      </c>
      <c r="S653" s="6"/>
      <c r="T653" s="6"/>
      <c r="U653" s="6"/>
      <c r="V653" s="6"/>
      <c r="W653" s="6"/>
      <c r="X653" s="6"/>
      <c r="Y653" s="6"/>
      <c r="Z653" s="7">
        <f t="shared" si="436"/>
        <v>0</v>
      </c>
      <c r="AA653" s="11">
        <f t="shared" si="437"/>
        <v>0</v>
      </c>
      <c r="AB653" s="25"/>
      <c r="AC653" s="10" t="str">
        <f t="shared" si="438"/>
        <v>MarçoSEMANA 3Aliche</v>
      </c>
      <c r="AD653" s="7">
        <f>SUMIF(NF!$A:$A,$AC653,NF!$I:$I)</f>
        <v>0</v>
      </c>
      <c r="AE653" s="6"/>
      <c r="AF653" s="6"/>
      <c r="AG653" s="6"/>
      <c r="AH653" s="6"/>
      <c r="AI653" s="6"/>
      <c r="AJ653" s="6"/>
      <c r="AK653" s="6"/>
      <c r="AL653" s="7">
        <f t="shared" si="439"/>
        <v>0</v>
      </c>
      <c r="AM653" s="11">
        <f t="shared" si="440"/>
        <v>0</v>
      </c>
      <c r="AN653" s="25"/>
      <c r="AO653" s="10" t="str">
        <f t="shared" si="441"/>
        <v>MarçoSEMANA 4Aliche</v>
      </c>
      <c r="AP653" s="7">
        <f>SUMIF(NF!$A:$A,$AO653,NF!$I:$I)</f>
        <v>0</v>
      </c>
      <c r="AQ653" s="6"/>
      <c r="AR653" s="6"/>
      <c r="AS653" s="6"/>
      <c r="AT653" s="6"/>
      <c r="AU653" s="6"/>
      <c r="AV653" s="6"/>
      <c r="AW653" s="6"/>
      <c r="AX653" s="7">
        <f t="shared" si="442"/>
        <v>0</v>
      </c>
      <c r="AY653" s="11">
        <f t="shared" si="443"/>
        <v>0</v>
      </c>
      <c r="AZ653" s="25"/>
      <c r="BA653" s="10" t="str">
        <f t="shared" si="444"/>
        <v>MarçoSEMANA 5Aliche</v>
      </c>
      <c r="BB653" s="7">
        <f>SUMIF(NF!$A:$A,$BA653,NF!$I:$I)</f>
        <v>0</v>
      </c>
      <c r="BC653" s="6"/>
      <c r="BD653" s="6"/>
      <c r="BE653" s="6"/>
      <c r="BF653" s="6"/>
      <c r="BG653" s="6"/>
      <c r="BH653" s="6"/>
      <c r="BI653" s="74"/>
      <c r="BJ653" s="74"/>
      <c r="BK653" s="7">
        <f t="shared" si="445"/>
        <v>0</v>
      </c>
      <c r="BL653" s="8">
        <f t="shared" si="446"/>
        <v>0</v>
      </c>
      <c r="BM653" s="51" t="str">
        <f>IFERROR(VLOOKUP(A653,NF!$M:$O,3,0),"")</f>
        <v>Mercado</v>
      </c>
      <c r="BN653" s="7">
        <f t="shared" si="447"/>
        <v>0.32600000000000001</v>
      </c>
      <c r="BO653" s="8">
        <f t="array" ref="BO653">IFERROR(LARGE(IF(NF!$G$2:$G$3137='Mês atual'!A653,NF!$J$2:$J$3137),1),0)*BN653</f>
        <v>16.110007200000002</v>
      </c>
      <c r="BP653" s="50"/>
      <c r="BR653" s="146">
        <f t="array" ref="BR653">IFERROR(LARGE(IF(NF!$G$2:$G$3137='Mês atual'!A653,NF!$J$2:$J$3137),1),0)</f>
        <v>49.417200000000001</v>
      </c>
      <c r="BS653" s="142" t="str">
        <f>VLOOKUP(A653,NF!M:O,3,0)</f>
        <v>Mercado</v>
      </c>
      <c r="BV653" s="74">
        <f t="shared" si="422"/>
        <v>0.32600000000000001</v>
      </c>
      <c r="BW653" s="74">
        <f t="shared" si="423"/>
        <v>0</v>
      </c>
      <c r="BX653" s="74">
        <f t="shared" si="424"/>
        <v>0</v>
      </c>
      <c r="BY653" s="74">
        <f t="shared" si="425"/>
        <v>0</v>
      </c>
      <c r="BZ653" s="74">
        <f t="shared" si="426"/>
        <v>0</v>
      </c>
    </row>
    <row r="654" spans="1:78" x14ac:dyDescent="0.25">
      <c r="A654" s="108" t="s">
        <v>116</v>
      </c>
      <c r="B654" s="12"/>
      <c r="C654" s="9">
        <v>0</v>
      </c>
      <c r="D654" s="25"/>
      <c r="E654" s="10" t="str">
        <f t="shared" si="432"/>
        <v>MarçoSEMANA 1Ameixa sem Caroço</v>
      </c>
      <c r="F654" s="7">
        <f>SUMIF(NF!$A:$A,$E654,NF!$I:$I)</f>
        <v>1</v>
      </c>
      <c r="G654" s="74"/>
      <c r="H654" s="74"/>
      <c r="I654" s="74"/>
      <c r="J654" s="6"/>
      <c r="K654" s="6"/>
      <c r="L654" s="6"/>
      <c r="M654" s="6"/>
      <c r="N654" s="7">
        <f t="shared" si="433"/>
        <v>0</v>
      </c>
      <c r="O654" s="11">
        <f t="shared" si="434"/>
        <v>1</v>
      </c>
      <c r="P654" s="25"/>
      <c r="Q654" s="10" t="str">
        <f t="shared" si="435"/>
        <v>MarçoSEMANA 2Ameixa sem Caroço</v>
      </c>
      <c r="R654" s="7">
        <f>SUMIF(NF!$A:$A,$Q654,NF!$I:$I)</f>
        <v>0</v>
      </c>
      <c r="S654" s="6"/>
      <c r="T654" s="6"/>
      <c r="U654" s="6"/>
      <c r="V654" s="6"/>
      <c r="W654" s="6"/>
      <c r="X654" s="6"/>
      <c r="Y654" s="6"/>
      <c r="Z654" s="7">
        <f t="shared" si="436"/>
        <v>0</v>
      </c>
      <c r="AA654" s="11">
        <f t="shared" si="437"/>
        <v>1</v>
      </c>
      <c r="AB654" s="25"/>
      <c r="AC654" s="10" t="str">
        <f t="shared" si="438"/>
        <v>MarçoSEMANA 3Ameixa sem Caroço</v>
      </c>
      <c r="AD654" s="7">
        <f>SUMIF(NF!$A:$A,$AC654,NF!$I:$I)</f>
        <v>0</v>
      </c>
      <c r="AE654" s="6"/>
      <c r="AF654" s="6">
        <v>1</v>
      </c>
      <c r="AG654" s="6"/>
      <c r="AH654" s="6"/>
      <c r="AI654" s="6"/>
      <c r="AJ654" s="6"/>
      <c r="AK654" s="6"/>
      <c r="AL654" s="7">
        <f t="shared" si="439"/>
        <v>1</v>
      </c>
      <c r="AM654" s="11">
        <f t="shared" si="440"/>
        <v>0</v>
      </c>
      <c r="AN654" s="25"/>
      <c r="AO654" s="10" t="str">
        <f t="shared" si="441"/>
        <v>MarçoSEMANA 4Ameixa sem Caroço</v>
      </c>
      <c r="AP654" s="7">
        <f>SUMIF(NF!$A:$A,$AO654,NF!$I:$I)</f>
        <v>1</v>
      </c>
      <c r="AQ654" s="6"/>
      <c r="AR654" s="6"/>
      <c r="AS654" s="6"/>
      <c r="AT654" s="6"/>
      <c r="AU654" s="6"/>
      <c r="AV654" s="6"/>
      <c r="AW654" s="6"/>
      <c r="AX654" s="7">
        <f t="shared" si="442"/>
        <v>0</v>
      </c>
      <c r="AY654" s="11">
        <f t="shared" si="443"/>
        <v>1</v>
      </c>
      <c r="AZ654" s="25"/>
      <c r="BA654" s="10" t="str">
        <f t="shared" si="444"/>
        <v>MarçoSEMANA 5Ameixa sem Caroço</v>
      </c>
      <c r="BB654" s="7">
        <f>SUMIF(NF!$A:$A,$BA654,NF!$I:$I)</f>
        <v>0</v>
      </c>
      <c r="BC654" s="6"/>
      <c r="BD654" s="6"/>
      <c r="BE654" s="6"/>
      <c r="BF654" s="6"/>
      <c r="BG654" s="6"/>
      <c r="BH654" s="6"/>
      <c r="BI654" s="74"/>
      <c r="BJ654" s="74"/>
      <c r="BK654" s="7">
        <f t="shared" si="445"/>
        <v>0</v>
      </c>
      <c r="BL654" s="8">
        <f t="shared" si="446"/>
        <v>1</v>
      </c>
      <c r="BM654" s="51" t="str">
        <f>IFERROR(VLOOKUP(A654,NF!$M:$O,3,0),"")</f>
        <v>Mercado</v>
      </c>
      <c r="BN654" s="7">
        <f t="shared" si="447"/>
        <v>1</v>
      </c>
      <c r="BO654" s="8">
        <f t="array" ref="BO654">IFERROR(LARGE(IF(NF!$G$2:$G$3137='Mês atual'!A654,NF!$J$2:$J$3137),1),0)*BN654</f>
        <v>17.899999999999999</v>
      </c>
      <c r="BP654" s="50"/>
      <c r="BR654" s="146">
        <f t="array" ref="BR654">IFERROR(LARGE(IF(NF!$G$2:$G$3137='Mês atual'!A654,NF!$J$2:$J$3137),1),0)</f>
        <v>17.899999999999999</v>
      </c>
      <c r="BS654" s="142" t="str">
        <f>VLOOKUP(A654,NF!M:O,3,0)</f>
        <v>Mercado</v>
      </c>
      <c r="BV654" s="74">
        <f t="shared" si="422"/>
        <v>0</v>
      </c>
      <c r="BW654" s="74">
        <f t="shared" si="423"/>
        <v>0</v>
      </c>
      <c r="BX654" s="74">
        <f t="shared" si="424"/>
        <v>1</v>
      </c>
      <c r="BY654" s="74">
        <f t="shared" si="425"/>
        <v>0</v>
      </c>
      <c r="BZ654" s="74">
        <f t="shared" si="426"/>
        <v>0</v>
      </c>
    </row>
    <row r="655" spans="1:78" x14ac:dyDescent="0.2">
      <c r="A655" s="108" t="s">
        <v>117</v>
      </c>
      <c r="B655" s="12"/>
      <c r="C655" s="9">
        <v>0</v>
      </c>
      <c r="D655" s="25"/>
      <c r="E655" s="10" t="str">
        <f t="shared" si="432"/>
        <v>MarçoSEMANA 1Amendoa Fatiada</v>
      </c>
      <c r="F655" s="7">
        <f>SUMIF(NF!$A:$A,$E655,NF!$I:$I)</f>
        <v>0</v>
      </c>
      <c r="G655" s="74"/>
      <c r="H655" s="74"/>
      <c r="I655" s="74"/>
      <c r="J655" s="6"/>
      <c r="K655" s="6"/>
      <c r="L655" s="6"/>
      <c r="M655" s="6"/>
      <c r="N655" s="7">
        <f t="shared" si="433"/>
        <v>0</v>
      </c>
      <c r="O655" s="11">
        <f t="shared" si="434"/>
        <v>0</v>
      </c>
      <c r="P655" s="25"/>
      <c r="Q655" s="10" t="str">
        <f t="shared" si="435"/>
        <v>MarçoSEMANA 2Amendoa Fatiada</v>
      </c>
      <c r="R655" s="7">
        <f>SUMIF(NF!$A:$A,$Q655,NF!$I:$I)</f>
        <v>0.504</v>
      </c>
      <c r="S655" s="6"/>
      <c r="T655" s="6"/>
      <c r="U655" s="6"/>
      <c r="V655" s="6"/>
      <c r="W655" s="6"/>
      <c r="X655" s="6"/>
      <c r="Y655" s="6">
        <v>0.5</v>
      </c>
      <c r="Z655" s="7">
        <f t="shared" si="436"/>
        <v>0.5</v>
      </c>
      <c r="AA655" s="11">
        <f t="shared" si="437"/>
        <v>4.0000000000000036E-3</v>
      </c>
      <c r="AB655" s="25"/>
      <c r="AC655" s="10" t="str">
        <f t="shared" si="438"/>
        <v>MarçoSEMANA 3Amendoa Fatiada</v>
      </c>
      <c r="AD655" s="7">
        <f>SUMIF(NF!$A:$A,$AC655,NF!$I:$I)</f>
        <v>0</v>
      </c>
      <c r="AE655" s="6"/>
      <c r="AF655" s="6"/>
      <c r="AG655" s="6"/>
      <c r="AH655" s="6"/>
      <c r="AI655" s="6"/>
      <c r="AJ655" s="6"/>
      <c r="AK655" s="6"/>
      <c r="AL655" s="7">
        <f t="shared" si="439"/>
        <v>0</v>
      </c>
      <c r="AM655" s="11">
        <f t="shared" si="440"/>
        <v>4.0000000000000036E-3</v>
      </c>
      <c r="AN655" s="25"/>
      <c r="AO655" s="10" t="str">
        <f t="shared" si="441"/>
        <v>MarçoSEMANA 4Amendoa Fatiada</v>
      </c>
      <c r="AP655" s="7">
        <f>SUMIF(NF!$A:$A,$AO655,NF!$I:$I)</f>
        <v>0.60199999999999998</v>
      </c>
      <c r="AQ655" s="6"/>
      <c r="AR655" s="6"/>
      <c r="AS655" s="6"/>
      <c r="AT655" s="6"/>
      <c r="AU655" s="6"/>
      <c r="AV655" s="6"/>
      <c r="AW655" s="6"/>
      <c r="AX655" s="7">
        <f t="shared" si="442"/>
        <v>0</v>
      </c>
      <c r="AY655" s="11">
        <f t="shared" si="443"/>
        <v>0.60599999999999998</v>
      </c>
      <c r="AZ655" s="25"/>
      <c r="BA655" s="10" t="str">
        <f t="shared" si="444"/>
        <v>MarçoSEMANA 5Amendoa Fatiada</v>
      </c>
      <c r="BB655" s="7">
        <f>SUMIF(NF!$A:$A,$BA655,NF!$I:$I)</f>
        <v>0</v>
      </c>
      <c r="BC655" s="6"/>
      <c r="BD655" s="6"/>
      <c r="BE655" s="6"/>
      <c r="BF655" s="6"/>
      <c r="BG655" s="6">
        <v>0.3</v>
      </c>
      <c r="BH655" s="6"/>
      <c r="BI655" s="74"/>
      <c r="BJ655" s="74"/>
      <c r="BK655" s="7">
        <f t="shared" si="445"/>
        <v>0.3</v>
      </c>
      <c r="BL655" s="8">
        <f t="shared" si="446"/>
        <v>0.30599999999999999</v>
      </c>
      <c r="BM655" s="51" t="str">
        <f>IFERROR(VLOOKUP(A655,NF!$M:$O,3,0),"")</f>
        <v>Mercado</v>
      </c>
      <c r="BN655" s="7">
        <f t="shared" si="447"/>
        <v>0.8</v>
      </c>
      <c r="BO655" s="8">
        <f t="array" ref="BO655">IFERROR(LARGE(IF(NF!$G$2:$G$3137='Mês atual'!A655,NF!$J$2:$J$3137),1),0)*BN655</f>
        <v>56.52384</v>
      </c>
      <c r="BP655" s="50"/>
      <c r="BR655" s="146">
        <f t="array" ref="BR655">IFERROR(LARGE(IF(NF!$G$2:$G$3137='Mês atual'!A655,NF!$J$2:$J$3137),1),0)</f>
        <v>70.654799999999994</v>
      </c>
      <c r="BS655" s="142" t="str">
        <f>VLOOKUP(A655,NF!M:O,3,0)</f>
        <v>Mercado</v>
      </c>
      <c r="BV655" s="74">
        <f t="shared" si="422"/>
        <v>0</v>
      </c>
      <c r="BW655" s="74">
        <f t="shared" si="423"/>
        <v>0.5</v>
      </c>
      <c r="BX655" s="74">
        <f t="shared" si="424"/>
        <v>0</v>
      </c>
      <c r="BY655" s="74">
        <f t="shared" si="425"/>
        <v>0</v>
      </c>
      <c r="BZ655" s="74">
        <f t="shared" si="426"/>
        <v>0.3</v>
      </c>
    </row>
    <row r="656" spans="1:78" x14ac:dyDescent="0.2">
      <c r="A656" s="108" t="s">
        <v>118</v>
      </c>
      <c r="B656" s="12"/>
      <c r="C656" s="9">
        <v>0</v>
      </c>
      <c r="D656" s="25"/>
      <c r="E656" s="10" t="str">
        <f t="shared" si="432"/>
        <v>MarçoSEMANA 1Amendoa Inteira</v>
      </c>
      <c r="F656" s="7">
        <f>SUMIF(NF!$A:$A,$E656,NF!$I:$I)</f>
        <v>0</v>
      </c>
      <c r="G656" s="74"/>
      <c r="H656" s="74"/>
      <c r="I656" s="74"/>
      <c r="J656" s="6"/>
      <c r="K656" s="6"/>
      <c r="L656" s="6"/>
      <c r="M656" s="6"/>
      <c r="N656" s="7">
        <f t="shared" si="433"/>
        <v>0</v>
      </c>
      <c r="O656" s="11">
        <f t="shared" si="434"/>
        <v>0</v>
      </c>
      <c r="P656" s="25"/>
      <c r="Q656" s="10" t="str">
        <f t="shared" si="435"/>
        <v>MarçoSEMANA 2Amendoa Inteira</v>
      </c>
      <c r="R656" s="7">
        <f>SUMIF(NF!$A:$A,$Q656,NF!$I:$I)</f>
        <v>0</v>
      </c>
      <c r="S656" s="6"/>
      <c r="T656" s="6"/>
      <c r="U656" s="6"/>
      <c r="V656" s="6"/>
      <c r="W656" s="6"/>
      <c r="X656" s="6"/>
      <c r="Y656" s="6"/>
      <c r="Z656" s="7">
        <f t="shared" si="436"/>
        <v>0</v>
      </c>
      <c r="AA656" s="11">
        <f t="shared" si="437"/>
        <v>0</v>
      </c>
      <c r="AB656" s="25"/>
      <c r="AC656" s="10" t="str">
        <f t="shared" si="438"/>
        <v>MarçoSEMANA 3Amendoa Inteira</v>
      </c>
      <c r="AD656" s="7">
        <f>SUMIF(NF!$A:$A,$AC656,NF!$I:$I)</f>
        <v>0</v>
      </c>
      <c r="AE656" s="6"/>
      <c r="AF656" s="6"/>
      <c r="AG656" s="6"/>
      <c r="AH656" s="6"/>
      <c r="AI656" s="6"/>
      <c r="AJ656" s="6"/>
      <c r="AK656" s="6"/>
      <c r="AL656" s="7">
        <f t="shared" si="439"/>
        <v>0</v>
      </c>
      <c r="AM656" s="11">
        <f t="shared" si="440"/>
        <v>0</v>
      </c>
      <c r="AN656" s="25"/>
      <c r="AO656" s="10" t="str">
        <f t="shared" si="441"/>
        <v>MarçoSEMANA 4Amendoa Inteira</v>
      </c>
      <c r="AP656" s="7">
        <f>SUMIF(NF!$A:$A,$AO656,NF!$I:$I)</f>
        <v>0</v>
      </c>
      <c r="AQ656" s="6"/>
      <c r="AR656" s="6"/>
      <c r="AS656" s="6"/>
      <c r="AT656" s="6"/>
      <c r="AU656" s="6"/>
      <c r="AV656" s="6"/>
      <c r="AW656" s="6"/>
      <c r="AX656" s="7">
        <f t="shared" si="442"/>
        <v>0</v>
      </c>
      <c r="AY656" s="11">
        <f t="shared" si="443"/>
        <v>0</v>
      </c>
      <c r="AZ656" s="25"/>
      <c r="BA656" s="10" t="str">
        <f t="shared" si="444"/>
        <v>MarçoSEMANA 5Amendoa Inteira</v>
      </c>
      <c r="BB656" s="7">
        <f>SUMIF(NF!$A:$A,$BA656,NF!$I:$I)</f>
        <v>0</v>
      </c>
      <c r="BC656" s="6"/>
      <c r="BD656" s="6"/>
      <c r="BE656" s="6"/>
      <c r="BF656" s="6"/>
      <c r="BG656" s="6"/>
      <c r="BH656" s="6"/>
      <c r="BI656" s="74"/>
      <c r="BJ656" s="74"/>
      <c r="BK656" s="7">
        <f t="shared" si="445"/>
        <v>0</v>
      </c>
      <c r="BL656" s="8">
        <f t="shared" si="446"/>
        <v>0</v>
      </c>
      <c r="BM656" s="51" t="str">
        <f>IFERROR(VLOOKUP(A656,NF!$M:$O,3,0),"")</f>
        <v>Mercado</v>
      </c>
      <c r="BN656" s="7">
        <f t="shared" si="447"/>
        <v>0</v>
      </c>
      <c r="BO656" s="8">
        <f t="array" ref="BO656">IFERROR(LARGE(IF(NF!$G$2:$G$3137='Mês atual'!A656,NF!$J$2:$J$3137),1),0)*BN656</f>
        <v>0</v>
      </c>
      <c r="BP656" s="50"/>
      <c r="BR656" s="146">
        <f t="array" ref="BR656">IFERROR(LARGE(IF(NF!$G$2:$G$3137='Mês atual'!A656,NF!$J$2:$J$3137),1),0)</f>
        <v>0</v>
      </c>
      <c r="BS656" s="142" t="str">
        <f>VLOOKUP(A656,NF!M:O,3,0)</f>
        <v>Mercado</v>
      </c>
      <c r="BV656" s="74">
        <f t="shared" si="422"/>
        <v>0</v>
      </c>
      <c r="BW656" s="74">
        <f t="shared" si="423"/>
        <v>0</v>
      </c>
      <c r="BX656" s="74">
        <f t="shared" si="424"/>
        <v>0</v>
      </c>
      <c r="BY656" s="74">
        <f t="shared" si="425"/>
        <v>0</v>
      </c>
      <c r="BZ656" s="74">
        <f t="shared" si="426"/>
        <v>0</v>
      </c>
    </row>
    <row r="657" spans="1:78" x14ac:dyDescent="0.2">
      <c r="A657" s="108" t="s">
        <v>119</v>
      </c>
      <c r="B657" s="12"/>
      <c r="C657" s="9">
        <v>1</v>
      </c>
      <c r="D657" s="25"/>
      <c r="E657" s="10" t="str">
        <f t="shared" si="432"/>
        <v>MarçoSEMANA 1Amendoim Torrado</v>
      </c>
      <c r="F657" s="7">
        <f>SUMIF(NF!$A:$A,$E657,NF!$I:$I)</f>
        <v>0</v>
      </c>
      <c r="G657" s="74"/>
      <c r="H657" s="74"/>
      <c r="I657" s="74"/>
      <c r="J657" s="6"/>
      <c r="K657" s="6"/>
      <c r="L657" s="6"/>
      <c r="M657" s="6"/>
      <c r="N657" s="7">
        <f t="shared" si="433"/>
        <v>0</v>
      </c>
      <c r="O657" s="11">
        <f t="shared" si="434"/>
        <v>1</v>
      </c>
      <c r="P657" s="25"/>
      <c r="Q657" s="10" t="str">
        <f t="shared" si="435"/>
        <v>MarçoSEMANA 2Amendoim Torrado</v>
      </c>
      <c r="R657" s="7">
        <f>SUMIF(NF!$A:$A,$Q657,NF!$I:$I)</f>
        <v>1</v>
      </c>
      <c r="S657" s="6"/>
      <c r="T657" s="6">
        <v>1</v>
      </c>
      <c r="U657" s="6"/>
      <c r="V657" s="6"/>
      <c r="W657" s="6"/>
      <c r="X657" s="6"/>
      <c r="Y657" s="6"/>
      <c r="Z657" s="7">
        <f t="shared" si="436"/>
        <v>1</v>
      </c>
      <c r="AA657" s="11">
        <f t="shared" si="437"/>
        <v>1</v>
      </c>
      <c r="AB657" s="25"/>
      <c r="AC657" s="10" t="str">
        <f t="shared" si="438"/>
        <v>MarçoSEMANA 3Amendoim Torrado</v>
      </c>
      <c r="AD657" s="7">
        <f>SUMIF(NF!$A:$A,$AC657,NF!$I:$I)</f>
        <v>0</v>
      </c>
      <c r="AE657" s="6"/>
      <c r="AF657" s="6"/>
      <c r="AG657" s="6">
        <v>1</v>
      </c>
      <c r="AH657" s="6"/>
      <c r="AI657" s="6"/>
      <c r="AJ657" s="6"/>
      <c r="AK657" s="6"/>
      <c r="AL657" s="7">
        <f t="shared" si="439"/>
        <v>1</v>
      </c>
      <c r="AM657" s="11">
        <f t="shared" si="440"/>
        <v>0</v>
      </c>
      <c r="AN657" s="25"/>
      <c r="AO657" s="10" t="str">
        <f t="shared" si="441"/>
        <v>MarçoSEMANA 4Amendoim Torrado</v>
      </c>
      <c r="AP657" s="7">
        <f>SUMIF(NF!$A:$A,$AO657,NF!$I:$I)</f>
        <v>1</v>
      </c>
      <c r="AQ657" s="6"/>
      <c r="AR657" s="6"/>
      <c r="AS657" s="6"/>
      <c r="AT657" s="6"/>
      <c r="AU657" s="6"/>
      <c r="AV657" s="6"/>
      <c r="AW657" s="6"/>
      <c r="AX657" s="7">
        <f t="shared" si="442"/>
        <v>0</v>
      </c>
      <c r="AY657" s="11">
        <f t="shared" si="443"/>
        <v>1</v>
      </c>
      <c r="AZ657" s="25"/>
      <c r="BA657" s="10" t="str">
        <f t="shared" si="444"/>
        <v>MarçoSEMANA 5Amendoim Torrado</v>
      </c>
      <c r="BB657" s="7">
        <f>SUMIF(NF!$A:$A,$BA657,NF!$I:$I)</f>
        <v>0</v>
      </c>
      <c r="BC657" s="6"/>
      <c r="BD657" s="6"/>
      <c r="BE657" s="6"/>
      <c r="BF657" s="6"/>
      <c r="BG657" s="6"/>
      <c r="BH657" s="6"/>
      <c r="BI657" s="74"/>
      <c r="BJ657" s="74"/>
      <c r="BK657" s="7">
        <f t="shared" si="445"/>
        <v>0</v>
      </c>
      <c r="BL657" s="8">
        <f t="shared" si="446"/>
        <v>1</v>
      </c>
      <c r="BM657" s="51" t="str">
        <f>IFERROR(VLOOKUP(A657,NF!$M:$O,3,0),"")</f>
        <v>Mercado</v>
      </c>
      <c r="BN657" s="7">
        <f t="shared" si="447"/>
        <v>2</v>
      </c>
      <c r="BO657" s="8">
        <f t="array" ref="BO657">IFERROR(LARGE(IF(NF!$G$2:$G$3137='Mês atual'!A657,NF!$J$2:$J$3137),1),0)*BN657</f>
        <v>29</v>
      </c>
      <c r="BP657" s="50"/>
      <c r="BR657" s="146">
        <f t="array" ref="BR657">IFERROR(LARGE(IF(NF!$G$2:$G$3137='Mês atual'!A657,NF!$J$2:$J$3137),1),0)</f>
        <v>14.5</v>
      </c>
      <c r="BS657" s="142" t="str">
        <f>VLOOKUP(A657,NF!M:O,3,0)</f>
        <v>Mercado</v>
      </c>
      <c r="BV657" s="74">
        <f t="shared" si="422"/>
        <v>0</v>
      </c>
      <c r="BW657" s="74">
        <f t="shared" si="423"/>
        <v>1</v>
      </c>
      <c r="BX657" s="74">
        <f t="shared" si="424"/>
        <v>1</v>
      </c>
      <c r="BY657" s="74">
        <f t="shared" si="425"/>
        <v>0</v>
      </c>
      <c r="BZ657" s="74">
        <f t="shared" si="426"/>
        <v>0</v>
      </c>
    </row>
    <row r="658" spans="1:78" x14ac:dyDescent="0.2">
      <c r="A658" s="108" t="s">
        <v>124</v>
      </c>
      <c r="B658" s="12"/>
      <c r="C658" s="9">
        <v>0</v>
      </c>
      <c r="D658" s="25"/>
      <c r="E658" s="10" t="str">
        <f t="shared" si="432"/>
        <v>MarçoSEMANA 1Aniz Estrelado</v>
      </c>
      <c r="F658" s="7">
        <f>SUMIF(NF!$A:$A,$E658,NF!$I:$I)</f>
        <v>0</v>
      </c>
      <c r="G658" s="74"/>
      <c r="H658" s="74"/>
      <c r="I658" s="74"/>
      <c r="J658" s="6"/>
      <c r="K658" s="6"/>
      <c r="L658" s="6"/>
      <c r="M658" s="6"/>
      <c r="N658" s="7">
        <f t="shared" si="433"/>
        <v>0</v>
      </c>
      <c r="O658" s="11">
        <f t="shared" si="434"/>
        <v>0</v>
      </c>
      <c r="P658" s="25"/>
      <c r="Q658" s="10" t="str">
        <f t="shared" si="435"/>
        <v>MarçoSEMANA 2Aniz Estrelado</v>
      </c>
      <c r="R658" s="7">
        <f>SUMIF(NF!$A:$A,$Q658,NF!$I:$I)</f>
        <v>0</v>
      </c>
      <c r="S658" s="6"/>
      <c r="T658" s="6"/>
      <c r="U658" s="6"/>
      <c r="V658" s="6"/>
      <c r="W658" s="6"/>
      <c r="X658" s="6"/>
      <c r="Y658" s="6"/>
      <c r="Z658" s="7">
        <f t="shared" si="436"/>
        <v>0</v>
      </c>
      <c r="AA658" s="11">
        <f t="shared" si="437"/>
        <v>0</v>
      </c>
      <c r="AB658" s="25"/>
      <c r="AC658" s="10" t="str">
        <f t="shared" si="438"/>
        <v>MarçoSEMANA 3Aniz Estrelado</v>
      </c>
      <c r="AD658" s="7">
        <f>SUMIF(NF!$A:$A,$AC658,NF!$I:$I)</f>
        <v>0</v>
      </c>
      <c r="AE658" s="6"/>
      <c r="AF658" s="6"/>
      <c r="AG658" s="6"/>
      <c r="AH658" s="6"/>
      <c r="AI658" s="6"/>
      <c r="AJ658" s="6"/>
      <c r="AK658" s="6"/>
      <c r="AL658" s="7">
        <f t="shared" si="439"/>
        <v>0</v>
      </c>
      <c r="AM658" s="11">
        <f t="shared" si="440"/>
        <v>0</v>
      </c>
      <c r="AN658" s="25"/>
      <c r="AO658" s="10" t="str">
        <f t="shared" si="441"/>
        <v>MarçoSEMANA 4Aniz Estrelado</v>
      </c>
      <c r="AP658" s="7">
        <f>SUMIF(NF!$A:$A,$AO658,NF!$I:$I)</f>
        <v>0</v>
      </c>
      <c r="AQ658" s="6"/>
      <c r="AR658" s="6"/>
      <c r="AS658" s="6"/>
      <c r="AT658" s="6"/>
      <c r="AU658" s="6"/>
      <c r="AV658" s="6"/>
      <c r="AW658" s="6"/>
      <c r="AX658" s="7">
        <f t="shared" si="442"/>
        <v>0</v>
      </c>
      <c r="AY658" s="11">
        <f t="shared" si="443"/>
        <v>0</v>
      </c>
      <c r="AZ658" s="25"/>
      <c r="BA658" s="10" t="str">
        <f t="shared" si="444"/>
        <v>MarçoSEMANA 5Aniz Estrelado</v>
      </c>
      <c r="BB658" s="7">
        <f>SUMIF(NF!$A:$A,$BA658,NF!$I:$I)</f>
        <v>0</v>
      </c>
      <c r="BC658" s="6"/>
      <c r="BD658" s="6"/>
      <c r="BE658" s="6"/>
      <c r="BF658" s="6"/>
      <c r="BG658" s="6"/>
      <c r="BH658" s="6"/>
      <c r="BI658" s="74"/>
      <c r="BJ658" s="74"/>
      <c r="BK658" s="7">
        <f t="shared" si="445"/>
        <v>0</v>
      </c>
      <c r="BL658" s="8">
        <f t="shared" si="446"/>
        <v>0</v>
      </c>
      <c r="BM658" s="51" t="str">
        <f>IFERROR(VLOOKUP(A658,NF!$M:$O,3,0),"")</f>
        <v>Mercado</v>
      </c>
      <c r="BN658" s="7">
        <f t="shared" si="447"/>
        <v>0</v>
      </c>
      <c r="BO658" s="8">
        <f t="array" ref="BO658">IFERROR(LARGE(IF(NF!$G$2:$G$3137='Mês atual'!A658,NF!$J$2:$J$3137),1),0)*BN658</f>
        <v>0</v>
      </c>
      <c r="BP658" s="50"/>
      <c r="BR658" s="146">
        <f t="array" ref="BR658">IFERROR(LARGE(IF(NF!$G$2:$G$3137='Mês atual'!A658,NF!$J$2:$J$3137),1),0)</f>
        <v>0</v>
      </c>
      <c r="BS658" s="142" t="str">
        <f>VLOOKUP(A658,NF!M:O,3,0)</f>
        <v>Mercado</v>
      </c>
      <c r="BV658" s="74">
        <f t="shared" si="422"/>
        <v>0</v>
      </c>
      <c r="BW658" s="74">
        <f t="shared" si="423"/>
        <v>0</v>
      </c>
      <c r="BX658" s="74">
        <f t="shared" si="424"/>
        <v>0</v>
      </c>
      <c r="BY658" s="74">
        <f t="shared" si="425"/>
        <v>0</v>
      </c>
      <c r="BZ658" s="74">
        <f t="shared" si="426"/>
        <v>0</v>
      </c>
    </row>
    <row r="659" spans="1:78" x14ac:dyDescent="0.2">
      <c r="A659" s="108" t="s">
        <v>1052</v>
      </c>
      <c r="B659" s="12"/>
      <c r="C659" s="9">
        <v>0</v>
      </c>
      <c r="D659" s="25"/>
      <c r="E659" s="10" t="str">
        <f t="shared" si="432"/>
        <v>MarçoSEMANA 1Aroma de Baunilha 30ml</v>
      </c>
      <c r="F659" s="7">
        <f>SUMIF(NF!$A:$A,$E659,NF!$I:$I)</f>
        <v>0</v>
      </c>
      <c r="G659" s="74"/>
      <c r="H659" s="74"/>
      <c r="I659" s="74"/>
      <c r="J659" s="6"/>
      <c r="K659" s="6"/>
      <c r="L659" s="6"/>
      <c r="M659" s="6"/>
      <c r="N659" s="7">
        <f>SUM(G659:M659)</f>
        <v>0</v>
      </c>
      <c r="O659" s="11">
        <f>F659+C659-N659</f>
        <v>0</v>
      </c>
      <c r="P659" s="25"/>
      <c r="Q659" s="10" t="str">
        <f t="shared" si="435"/>
        <v>MarçoSEMANA 2Aroma de Baunilha 30ml</v>
      </c>
      <c r="R659" s="7">
        <f>SUMIF(NF!$A:$A,$Q659,NF!$I:$I)</f>
        <v>0</v>
      </c>
      <c r="S659" s="6"/>
      <c r="T659" s="6"/>
      <c r="U659" s="6"/>
      <c r="V659" s="6"/>
      <c r="W659" s="6"/>
      <c r="X659" s="6"/>
      <c r="Y659" s="6"/>
      <c r="Z659" s="7">
        <f>SUM(S659:Y659)</f>
        <v>0</v>
      </c>
      <c r="AA659" s="11">
        <f>R659+O659-Z659</f>
        <v>0</v>
      </c>
      <c r="AB659" s="25"/>
      <c r="AC659" s="10" t="str">
        <f t="shared" si="438"/>
        <v>MarçoSEMANA 3Aroma de Baunilha 30ml</v>
      </c>
      <c r="AD659" s="7">
        <f>SUMIF(NF!$A:$A,$AC659,NF!$I:$I)</f>
        <v>0</v>
      </c>
      <c r="AE659" s="6"/>
      <c r="AF659" s="6"/>
      <c r="AG659" s="6"/>
      <c r="AH659" s="6"/>
      <c r="AI659" s="6"/>
      <c r="AJ659" s="6"/>
      <c r="AK659" s="6"/>
      <c r="AL659" s="7">
        <f>SUM(AE659:AK659)</f>
        <v>0</v>
      </c>
      <c r="AM659" s="11">
        <f>AD659+AA659-AL659</f>
        <v>0</v>
      </c>
      <c r="AN659" s="25"/>
      <c r="AO659" s="10" t="str">
        <f t="shared" si="441"/>
        <v>MarçoSEMANA 4Aroma de Baunilha 30ml</v>
      </c>
      <c r="AP659" s="7">
        <f>SUMIF(NF!$A:$A,$AO659,NF!$I:$I)</f>
        <v>0</v>
      </c>
      <c r="AQ659" s="6"/>
      <c r="AR659" s="6"/>
      <c r="AS659" s="6"/>
      <c r="AT659" s="6"/>
      <c r="AU659" s="6"/>
      <c r="AV659" s="6"/>
      <c r="AW659" s="6"/>
      <c r="AX659" s="7">
        <f>SUM(AQ659:AW659)</f>
        <v>0</v>
      </c>
      <c r="AY659" s="11">
        <f>AP659+AM659-AX659</f>
        <v>0</v>
      </c>
      <c r="AZ659" s="25"/>
      <c r="BA659" s="10" t="str">
        <f t="shared" si="444"/>
        <v>MarçoSEMANA 5Aroma de Baunilha 30ml</v>
      </c>
      <c r="BB659" s="7">
        <f>SUMIF(NF!$A:$A,$BA659,NF!$I:$I)</f>
        <v>1</v>
      </c>
      <c r="BC659" s="6"/>
      <c r="BD659" s="6"/>
      <c r="BE659" s="6"/>
      <c r="BF659" s="6"/>
      <c r="BG659" s="6"/>
      <c r="BH659" s="6"/>
      <c r="BI659" s="74"/>
      <c r="BJ659" s="74"/>
      <c r="BK659" s="7">
        <f>SUM(BC659:BJ659)</f>
        <v>0</v>
      </c>
      <c r="BL659" s="8">
        <f>BB659+AY659-BK659</f>
        <v>1</v>
      </c>
      <c r="BM659" s="51" t="str">
        <f>IFERROR(VLOOKUP(A659,NF!$M:$O,3,0),"")</f>
        <v>Mercado</v>
      </c>
      <c r="BN659" s="7">
        <f>SUM(N659,Z659,AL659,AX659,BK659)</f>
        <v>0</v>
      </c>
      <c r="BO659" s="8">
        <f t="array" ref="BO659">IFERROR(LARGE(IF(NF!$G$2:$G$3137='Mês atual'!A659,NF!$J$2:$J$3137),1),0)*BN659</f>
        <v>0</v>
      </c>
      <c r="BP659" s="50"/>
      <c r="BR659" s="146">
        <f t="array" ref="BR659">IFERROR(LARGE(IF(NF!$G$2:$G$3137='Mês atual'!A659,NF!$J$2:$J$3137),1),0)</f>
        <v>7.8</v>
      </c>
      <c r="BS659" s="142" t="str">
        <f>VLOOKUP(A659,NF!M:O,3,0)</f>
        <v>Mercado</v>
      </c>
      <c r="BV659" s="74">
        <f>N659</f>
        <v>0</v>
      </c>
      <c r="BW659" s="74">
        <f>Z659</f>
        <v>0</v>
      </c>
      <c r="BX659" s="74">
        <f>AL659</f>
        <v>0</v>
      </c>
      <c r="BY659" s="74">
        <f>AX659</f>
        <v>0</v>
      </c>
      <c r="BZ659" s="74">
        <f>BK659</f>
        <v>0</v>
      </c>
    </row>
    <row r="660" spans="1:78" x14ac:dyDescent="0.2">
      <c r="A660" s="108" t="s">
        <v>126</v>
      </c>
      <c r="B660" s="12"/>
      <c r="C660" s="9">
        <v>15</v>
      </c>
      <c r="D660" s="25"/>
      <c r="E660" s="10" t="str">
        <f t="shared" si="432"/>
        <v>MarçoSEMANA 1Arroz Branco</v>
      </c>
      <c r="F660" s="7">
        <f>SUMIF(NF!$A:$A,$E660,NF!$I:$I)</f>
        <v>60</v>
      </c>
      <c r="G660" s="74"/>
      <c r="H660" s="74"/>
      <c r="I660" s="74"/>
      <c r="J660" s="6">
        <v>5</v>
      </c>
      <c r="K660" s="6">
        <v>5</v>
      </c>
      <c r="L660" s="6">
        <v>5</v>
      </c>
      <c r="M660" s="6">
        <v>5</v>
      </c>
      <c r="N660" s="7">
        <f t="shared" si="433"/>
        <v>20</v>
      </c>
      <c r="O660" s="11">
        <f t="shared" si="434"/>
        <v>55</v>
      </c>
      <c r="P660" s="25"/>
      <c r="Q660" s="10" t="str">
        <f t="shared" si="435"/>
        <v>MarçoSEMANA 2Arroz Branco</v>
      </c>
      <c r="R660" s="7">
        <f>SUMIF(NF!$A:$A,$Q660,NF!$I:$I)</f>
        <v>30</v>
      </c>
      <c r="S660" s="6">
        <v>5</v>
      </c>
      <c r="T660" s="6">
        <v>5</v>
      </c>
      <c r="U660" s="6">
        <v>5</v>
      </c>
      <c r="V660" s="6">
        <v>5</v>
      </c>
      <c r="W660" s="6">
        <v>5</v>
      </c>
      <c r="X660" s="6">
        <v>5</v>
      </c>
      <c r="Y660" s="6">
        <v>5</v>
      </c>
      <c r="Z660" s="7">
        <f t="shared" si="436"/>
        <v>35</v>
      </c>
      <c r="AA660" s="11">
        <f t="shared" si="437"/>
        <v>50</v>
      </c>
      <c r="AB660" s="25"/>
      <c r="AC660" s="10" t="str">
        <f t="shared" si="438"/>
        <v>MarçoSEMANA 3Arroz Branco</v>
      </c>
      <c r="AD660" s="7">
        <f>SUMIF(NF!$A:$A,$AC660,NF!$I:$I)</f>
        <v>10</v>
      </c>
      <c r="AE660" s="6">
        <v>5</v>
      </c>
      <c r="AF660" s="6">
        <v>5</v>
      </c>
      <c r="AG660" s="6">
        <v>5</v>
      </c>
      <c r="AH660" s="6">
        <v>5</v>
      </c>
      <c r="AI660" s="6">
        <v>5</v>
      </c>
      <c r="AJ660" s="6">
        <v>5</v>
      </c>
      <c r="AK660" s="6">
        <v>5</v>
      </c>
      <c r="AL660" s="7">
        <f t="shared" si="439"/>
        <v>35</v>
      </c>
      <c r="AM660" s="11">
        <f t="shared" si="440"/>
        <v>25</v>
      </c>
      <c r="AN660" s="25"/>
      <c r="AO660" s="10" t="str">
        <f t="shared" si="441"/>
        <v>MarçoSEMANA 4Arroz Branco</v>
      </c>
      <c r="AP660" s="7">
        <f>SUMIF(NF!$A:$A,$AO660,NF!$I:$I)</f>
        <v>35</v>
      </c>
      <c r="AQ660" s="6">
        <v>5</v>
      </c>
      <c r="AR660" s="6">
        <v>5</v>
      </c>
      <c r="AS660" s="6">
        <v>8</v>
      </c>
      <c r="AT660" s="6">
        <v>5</v>
      </c>
      <c r="AU660" s="6">
        <v>5</v>
      </c>
      <c r="AV660" s="6">
        <v>5</v>
      </c>
      <c r="AW660" s="6">
        <v>5</v>
      </c>
      <c r="AX660" s="7">
        <f t="shared" si="442"/>
        <v>38</v>
      </c>
      <c r="AY660" s="11">
        <f t="shared" si="443"/>
        <v>22</v>
      </c>
      <c r="AZ660" s="25"/>
      <c r="BA660" s="10" t="str">
        <f t="shared" si="444"/>
        <v>MarçoSEMANA 5Arroz Branco</v>
      </c>
      <c r="BB660" s="7">
        <f>SUMIF(NF!$A:$A,$BA660,NF!$I:$I)</f>
        <v>25</v>
      </c>
      <c r="BC660" s="6">
        <v>5</v>
      </c>
      <c r="BD660" s="6">
        <v>5</v>
      </c>
      <c r="BE660" s="6">
        <v>5</v>
      </c>
      <c r="BF660" s="6">
        <v>5</v>
      </c>
      <c r="BG660" s="6">
        <v>5</v>
      </c>
      <c r="BH660" s="6">
        <v>5</v>
      </c>
      <c r="BI660" s="74"/>
      <c r="BJ660" s="74"/>
      <c r="BK660" s="7">
        <f t="shared" si="445"/>
        <v>30</v>
      </c>
      <c r="BL660" s="8">
        <f t="shared" si="446"/>
        <v>17</v>
      </c>
      <c r="BM660" s="51" t="str">
        <f>IFERROR(VLOOKUP(A660,NF!$M:$O,3,0),"")</f>
        <v>Mercado</v>
      </c>
      <c r="BN660" s="7">
        <f t="shared" si="447"/>
        <v>158</v>
      </c>
      <c r="BO660" s="8">
        <f t="array" ref="BO660">IFERROR(LARGE(IF(NF!$G$2:$G$3137='Mês atual'!A660,NF!$J$2:$J$3137),1),0)*BN660</f>
        <v>549.68200000000002</v>
      </c>
      <c r="BP660" s="50"/>
      <c r="BR660" s="146">
        <f t="array" ref="BR660">IFERROR(LARGE(IF(NF!$G$2:$G$3137='Mês atual'!A660,NF!$J$2:$J$3137),1),0)</f>
        <v>3.4790000000000001</v>
      </c>
      <c r="BS660" s="142" t="str">
        <f>VLOOKUP(A660,NF!M:O,3,0)</f>
        <v>Mercado</v>
      </c>
      <c r="BV660" s="74">
        <f t="shared" si="422"/>
        <v>20</v>
      </c>
      <c r="BW660" s="74">
        <f t="shared" si="423"/>
        <v>35</v>
      </c>
      <c r="BX660" s="74">
        <f t="shared" si="424"/>
        <v>35</v>
      </c>
      <c r="BY660" s="74">
        <f t="shared" si="425"/>
        <v>38</v>
      </c>
      <c r="BZ660" s="74">
        <f t="shared" si="426"/>
        <v>30</v>
      </c>
    </row>
    <row r="661" spans="1:78" x14ac:dyDescent="0.2">
      <c r="A661" s="108" t="s">
        <v>127</v>
      </c>
      <c r="B661" s="12"/>
      <c r="C661" s="9">
        <v>8</v>
      </c>
      <c r="D661" s="25"/>
      <c r="E661" s="10" t="str">
        <f t="shared" si="432"/>
        <v>MarçoSEMANA 1Arroz Integral Curto</v>
      </c>
      <c r="F661" s="7">
        <f>SUMIF(NF!$A:$A,$E661,NF!$I:$I)</f>
        <v>30.172000000000001</v>
      </c>
      <c r="G661" s="74"/>
      <c r="H661" s="74"/>
      <c r="I661" s="74"/>
      <c r="J661" s="6">
        <f>3*1.008</f>
        <v>3.024</v>
      </c>
      <c r="K661" s="6">
        <f>3*1.008</f>
        <v>3.024</v>
      </c>
      <c r="L661" s="6">
        <f>2*1.008</f>
        <v>2.016</v>
      </c>
      <c r="M661" s="6">
        <f>5*1.006</f>
        <v>5.03</v>
      </c>
      <c r="N661" s="7">
        <f t="shared" si="433"/>
        <v>13.094000000000001</v>
      </c>
      <c r="O661" s="11">
        <f t="shared" si="434"/>
        <v>25.077999999999996</v>
      </c>
      <c r="P661" s="25"/>
      <c r="Q661" s="10" t="str">
        <f t="shared" si="435"/>
        <v>MarçoSEMANA 2Arroz Integral Curto</v>
      </c>
      <c r="R661" s="7">
        <f>SUMIF(NF!$A:$A,$Q661,NF!$I:$I)</f>
        <v>15.098000000000001</v>
      </c>
      <c r="S661" s="6">
        <f>5*1.006</f>
        <v>5.03</v>
      </c>
      <c r="T661" s="6">
        <f>3*1.006</f>
        <v>3.0179999999999998</v>
      </c>
      <c r="U661" s="6">
        <f>3*1.006</f>
        <v>3.0179999999999998</v>
      </c>
      <c r="V661" s="6">
        <f>3*1.006</f>
        <v>3.0179999999999998</v>
      </c>
      <c r="W661" s="6">
        <f>4*1.006</f>
        <v>4.024</v>
      </c>
      <c r="X661" s="6">
        <f>5*1.006</f>
        <v>5.03</v>
      </c>
      <c r="Y661" s="6"/>
      <c r="Z661" s="7">
        <f t="shared" si="436"/>
        <v>23.138000000000002</v>
      </c>
      <c r="AA661" s="11">
        <f t="shared" si="437"/>
        <v>17.037999999999993</v>
      </c>
      <c r="AB661" s="25"/>
      <c r="AC661" s="10" t="str">
        <f t="shared" si="438"/>
        <v>MarçoSEMANA 3Arroz Integral Curto</v>
      </c>
      <c r="AD661" s="7">
        <f>SUMIF(NF!$A:$A,$AC661,NF!$I:$I)</f>
        <v>30</v>
      </c>
      <c r="AE661" s="6">
        <f>7*1.006</f>
        <v>7.0419999999999998</v>
      </c>
      <c r="AF661" s="6">
        <v>4</v>
      </c>
      <c r="AG661" s="6"/>
      <c r="AH661" s="6">
        <v>2</v>
      </c>
      <c r="AI661" s="6">
        <v>4</v>
      </c>
      <c r="AJ661" s="6">
        <v>2</v>
      </c>
      <c r="AK661" s="6">
        <v>3</v>
      </c>
      <c r="AL661" s="7">
        <f t="shared" si="439"/>
        <v>22.042000000000002</v>
      </c>
      <c r="AM661" s="11">
        <f t="shared" si="440"/>
        <v>24.995999999999995</v>
      </c>
      <c r="AN661" s="25"/>
      <c r="AO661" s="10" t="str">
        <f t="shared" si="441"/>
        <v>MarçoSEMANA 4Arroz Integral Curto</v>
      </c>
      <c r="AP661" s="7">
        <f>SUMIF(NF!$A:$A,$AO661,NF!$I:$I)</f>
        <v>30</v>
      </c>
      <c r="AQ661" s="6">
        <v>6</v>
      </c>
      <c r="AR661" s="6">
        <v>5</v>
      </c>
      <c r="AS661" s="6">
        <v>2</v>
      </c>
      <c r="AT661" s="6">
        <v>5</v>
      </c>
      <c r="AU661" s="6">
        <v>3</v>
      </c>
      <c r="AV661" s="6"/>
      <c r="AW661" s="6">
        <v>4</v>
      </c>
      <c r="AX661" s="7">
        <f t="shared" si="442"/>
        <v>25</v>
      </c>
      <c r="AY661" s="11">
        <f t="shared" si="443"/>
        <v>29.995999999999995</v>
      </c>
      <c r="AZ661" s="25"/>
      <c r="BA661" s="10" t="str">
        <f t="shared" si="444"/>
        <v>MarçoSEMANA 5Arroz Integral Curto</v>
      </c>
      <c r="BB661" s="7">
        <f>SUMIF(NF!$A:$A,$BA661,NF!$I:$I)</f>
        <v>0</v>
      </c>
      <c r="BC661" s="6">
        <v>3</v>
      </c>
      <c r="BD661" s="6">
        <v>4</v>
      </c>
      <c r="BE661" s="6">
        <v>3</v>
      </c>
      <c r="BF661" s="6">
        <v>5</v>
      </c>
      <c r="BG661" s="6">
        <v>3</v>
      </c>
      <c r="BH661" s="6">
        <v>2</v>
      </c>
      <c r="BI661" s="74"/>
      <c r="BJ661" s="74"/>
      <c r="BK661" s="7">
        <f t="shared" si="445"/>
        <v>20</v>
      </c>
      <c r="BL661" s="8">
        <f t="shared" si="446"/>
        <v>9.9959999999999951</v>
      </c>
      <c r="BM661" s="51" t="str">
        <f>IFERROR(VLOOKUP(A661,NF!$M:$O,3,0),"")</f>
        <v>Mercado</v>
      </c>
      <c r="BN661" s="7">
        <f t="shared" si="447"/>
        <v>103.274</v>
      </c>
      <c r="BO661" s="8">
        <f t="array" ref="BO661">IFERROR(LARGE(IF(NF!$G$2:$G$3137='Mês atual'!A661,NF!$J$2:$J$3137),1),0)*BN661</f>
        <v>929.46600000000001</v>
      </c>
      <c r="BP661" s="50"/>
      <c r="BR661" s="146">
        <f t="array" ref="BR661">IFERROR(LARGE(IF(NF!$G$2:$G$3137='Mês atual'!A661,NF!$J$2:$J$3137),1),0)</f>
        <v>9</v>
      </c>
      <c r="BS661" s="142" t="str">
        <f>VLOOKUP(A661,NF!M:O,3,0)</f>
        <v>Mercado</v>
      </c>
      <c r="BV661" s="74">
        <f t="shared" si="422"/>
        <v>13.094000000000001</v>
      </c>
      <c r="BW661" s="74">
        <f t="shared" si="423"/>
        <v>23.138000000000002</v>
      </c>
      <c r="BX661" s="74">
        <f t="shared" si="424"/>
        <v>22.042000000000002</v>
      </c>
      <c r="BY661" s="74">
        <f t="shared" si="425"/>
        <v>25</v>
      </c>
      <c r="BZ661" s="74">
        <f t="shared" si="426"/>
        <v>20</v>
      </c>
    </row>
    <row r="662" spans="1:78" x14ac:dyDescent="0.25">
      <c r="A662" s="108" t="s">
        <v>893</v>
      </c>
      <c r="B662" s="12"/>
      <c r="C662" s="9">
        <v>0</v>
      </c>
      <c r="D662" s="25"/>
      <c r="E662" s="10" t="str">
        <f t="shared" si="432"/>
        <v>MarçoSEMANA 1Arroz Japonês (cozinha)</v>
      </c>
      <c r="F662" s="7">
        <f>SUMIF(NF!$A:$A,$E662,NF!$I:$I)</f>
        <v>0</v>
      </c>
      <c r="G662" s="74"/>
      <c r="H662" s="74"/>
      <c r="I662" s="74"/>
      <c r="J662" s="6"/>
      <c r="K662" s="6"/>
      <c r="L662" s="6"/>
      <c r="M662" s="6"/>
      <c r="N662" s="7">
        <f t="shared" si="433"/>
        <v>0</v>
      </c>
      <c r="O662" s="11">
        <f t="shared" si="434"/>
        <v>0</v>
      </c>
      <c r="P662" s="25"/>
      <c r="Q662" s="10" t="str">
        <f t="shared" si="435"/>
        <v>MarçoSEMANA 2Arroz Japonês (cozinha)</v>
      </c>
      <c r="R662" s="7">
        <f>SUMIF(NF!$A:$A,$Q662,NF!$I:$I)</f>
        <v>0</v>
      </c>
      <c r="S662" s="6"/>
      <c r="T662" s="6"/>
      <c r="U662" s="6"/>
      <c r="V662" s="6"/>
      <c r="W662" s="6"/>
      <c r="X662" s="6"/>
      <c r="Y662" s="6"/>
      <c r="Z662" s="7">
        <f t="shared" si="436"/>
        <v>0</v>
      </c>
      <c r="AA662" s="11">
        <f t="shared" si="437"/>
        <v>0</v>
      </c>
      <c r="AB662" s="25"/>
      <c r="AC662" s="10" t="str">
        <f t="shared" si="438"/>
        <v>MarçoSEMANA 3Arroz Japonês (cozinha)</v>
      </c>
      <c r="AD662" s="7">
        <f>SUMIF(NF!$A:$A,$AC662,NF!$I:$I)</f>
        <v>0</v>
      </c>
      <c r="AE662" s="6"/>
      <c r="AF662" s="6"/>
      <c r="AG662" s="6"/>
      <c r="AH662" s="6"/>
      <c r="AI662" s="6"/>
      <c r="AJ662" s="6"/>
      <c r="AK662" s="6"/>
      <c r="AL662" s="7">
        <f t="shared" si="439"/>
        <v>0</v>
      </c>
      <c r="AM662" s="11">
        <f t="shared" si="440"/>
        <v>0</v>
      </c>
      <c r="AN662" s="25"/>
      <c r="AO662" s="10" t="str">
        <f t="shared" si="441"/>
        <v>MarçoSEMANA 4Arroz Japonês (cozinha)</v>
      </c>
      <c r="AP662" s="7">
        <f>SUMIF(NF!$A:$A,$AO662,NF!$I:$I)</f>
        <v>0</v>
      </c>
      <c r="AQ662" s="6"/>
      <c r="AR662" s="6"/>
      <c r="AS662" s="6"/>
      <c r="AT662" s="6"/>
      <c r="AU662" s="6"/>
      <c r="AV662" s="6"/>
      <c r="AW662" s="6"/>
      <c r="AX662" s="7">
        <f t="shared" si="442"/>
        <v>0</v>
      </c>
      <c r="AY662" s="11">
        <f t="shared" si="443"/>
        <v>0</v>
      </c>
      <c r="AZ662" s="25"/>
      <c r="BA662" s="10" t="str">
        <f t="shared" si="444"/>
        <v>MarçoSEMANA 5Arroz Japonês (cozinha)</v>
      </c>
      <c r="BB662" s="7">
        <f>SUMIF(NF!$A:$A,$BA662,NF!$I:$I)</f>
        <v>0</v>
      </c>
      <c r="BC662" s="6"/>
      <c r="BD662" s="6"/>
      <c r="BE662" s="6"/>
      <c r="BF662" s="6"/>
      <c r="BG662" s="6"/>
      <c r="BH662" s="6"/>
      <c r="BI662" s="74"/>
      <c r="BJ662" s="74"/>
      <c r="BK662" s="7">
        <f t="shared" si="445"/>
        <v>0</v>
      </c>
      <c r="BL662" s="8">
        <f t="shared" si="446"/>
        <v>0</v>
      </c>
      <c r="BM662" s="51" t="str">
        <f>IFERROR(VLOOKUP(A662,NF!$M:$O,3,0),"")</f>
        <v>Mercado</v>
      </c>
      <c r="BN662" s="7">
        <f t="shared" si="447"/>
        <v>0</v>
      </c>
      <c r="BO662" s="8">
        <f t="array" ref="BO662">IFERROR(LARGE(IF(NF!$G$2:$G$3137='Mês atual'!A662,NF!$J$2:$J$3137),1),0)*BN662</f>
        <v>0</v>
      </c>
      <c r="BP662" s="50"/>
      <c r="BR662" s="146">
        <f t="array" ref="BR662">IFERROR(LARGE(IF(NF!$G$2:$G$3137='Mês atual'!A662,NF!$J$2:$J$3137),1),0)</f>
        <v>0</v>
      </c>
      <c r="BS662" s="142" t="str">
        <f>VLOOKUP(A662,NF!M:O,3,0)</f>
        <v>Mercado</v>
      </c>
      <c r="BV662" s="74">
        <f t="shared" si="422"/>
        <v>0</v>
      </c>
      <c r="BW662" s="74">
        <f t="shared" si="423"/>
        <v>0</v>
      </c>
      <c r="BX662" s="74">
        <f t="shared" si="424"/>
        <v>0</v>
      </c>
      <c r="BY662" s="74">
        <f t="shared" si="425"/>
        <v>0</v>
      </c>
      <c r="BZ662" s="74">
        <f t="shared" si="426"/>
        <v>0</v>
      </c>
    </row>
    <row r="663" spans="1:78" x14ac:dyDescent="0.2">
      <c r="A663" s="108" t="s">
        <v>128</v>
      </c>
      <c r="B663" s="12"/>
      <c r="C663" s="9">
        <v>0</v>
      </c>
      <c r="D663" s="25"/>
      <c r="E663" s="10" t="str">
        <f t="shared" si="432"/>
        <v>MarçoSEMANA 1Arroz Selvagem</v>
      </c>
      <c r="F663" s="7">
        <f>SUMIF(NF!$A:$A,$E663,NF!$I:$I)</f>
        <v>0</v>
      </c>
      <c r="G663" s="74"/>
      <c r="H663" s="74"/>
      <c r="I663" s="74"/>
      <c r="J663" s="6"/>
      <c r="K663" s="6"/>
      <c r="L663" s="6"/>
      <c r="M663" s="6"/>
      <c r="N663" s="7">
        <f t="shared" si="433"/>
        <v>0</v>
      </c>
      <c r="O663" s="11">
        <f t="shared" si="434"/>
        <v>0</v>
      </c>
      <c r="P663" s="25"/>
      <c r="Q663" s="10" t="str">
        <f t="shared" si="435"/>
        <v>MarçoSEMANA 2Arroz Selvagem</v>
      </c>
      <c r="R663" s="7">
        <f>SUMIF(NF!$A:$A,$Q663,NF!$I:$I)</f>
        <v>0</v>
      </c>
      <c r="S663" s="6"/>
      <c r="T663" s="6"/>
      <c r="U663" s="6"/>
      <c r="V663" s="6"/>
      <c r="W663" s="6"/>
      <c r="X663" s="6"/>
      <c r="Y663" s="6"/>
      <c r="Z663" s="7">
        <f t="shared" si="436"/>
        <v>0</v>
      </c>
      <c r="AA663" s="11">
        <f t="shared" si="437"/>
        <v>0</v>
      </c>
      <c r="AB663" s="25"/>
      <c r="AC663" s="10" t="str">
        <f t="shared" si="438"/>
        <v>MarçoSEMANA 3Arroz Selvagem</v>
      </c>
      <c r="AD663" s="7">
        <f>SUMIF(NF!$A:$A,$AC663,NF!$I:$I)</f>
        <v>0</v>
      </c>
      <c r="AE663" s="6"/>
      <c r="AF663" s="6"/>
      <c r="AG663" s="6"/>
      <c r="AH663" s="6"/>
      <c r="AI663" s="6"/>
      <c r="AJ663" s="6"/>
      <c r="AK663" s="6"/>
      <c r="AL663" s="7">
        <f t="shared" si="439"/>
        <v>0</v>
      </c>
      <c r="AM663" s="11">
        <f t="shared" si="440"/>
        <v>0</v>
      </c>
      <c r="AN663" s="25"/>
      <c r="AO663" s="10" t="str">
        <f t="shared" si="441"/>
        <v>MarçoSEMANA 4Arroz Selvagem</v>
      </c>
      <c r="AP663" s="7">
        <f>SUMIF(NF!$A:$A,$AO663,NF!$I:$I)</f>
        <v>0</v>
      </c>
      <c r="AQ663" s="6"/>
      <c r="AR663" s="6"/>
      <c r="AS663" s="6"/>
      <c r="AT663" s="6"/>
      <c r="AU663" s="6"/>
      <c r="AV663" s="6"/>
      <c r="AW663" s="6"/>
      <c r="AX663" s="7">
        <f t="shared" si="442"/>
        <v>0</v>
      </c>
      <c r="AY663" s="11">
        <f t="shared" si="443"/>
        <v>0</v>
      </c>
      <c r="AZ663" s="25"/>
      <c r="BA663" s="10" t="str">
        <f t="shared" si="444"/>
        <v>MarçoSEMANA 5Arroz Selvagem</v>
      </c>
      <c r="BB663" s="7">
        <f>SUMIF(NF!$A:$A,$BA663,NF!$I:$I)</f>
        <v>0</v>
      </c>
      <c r="BC663" s="6"/>
      <c r="BD663" s="6"/>
      <c r="BE663" s="6"/>
      <c r="BF663" s="6"/>
      <c r="BG663" s="6"/>
      <c r="BH663" s="6"/>
      <c r="BI663" s="74"/>
      <c r="BJ663" s="74"/>
      <c r="BK663" s="7">
        <f t="shared" si="445"/>
        <v>0</v>
      </c>
      <c r="BL663" s="8">
        <f t="shared" si="446"/>
        <v>0</v>
      </c>
      <c r="BM663" s="51" t="str">
        <f>IFERROR(VLOOKUP(A663,NF!$M:$O,3,0),"")</f>
        <v>Mercado</v>
      </c>
      <c r="BN663" s="7">
        <f t="shared" si="447"/>
        <v>0</v>
      </c>
      <c r="BO663" s="8">
        <f t="array" ref="BO663">IFERROR(LARGE(IF(NF!$G$2:$G$3137='Mês atual'!A663,NF!$J$2:$J$3137),1),0)*BN663</f>
        <v>0</v>
      </c>
      <c r="BP663" s="50"/>
      <c r="BR663" s="146">
        <f t="array" ref="BR663">IFERROR(LARGE(IF(NF!$G$2:$G$3137='Mês atual'!A663,NF!$J$2:$J$3137),1),0)</f>
        <v>0</v>
      </c>
      <c r="BS663" s="142" t="str">
        <f>VLOOKUP(A663,NF!M:O,3,0)</f>
        <v>Mercado</v>
      </c>
      <c r="BV663" s="74">
        <f t="shared" si="422"/>
        <v>0</v>
      </c>
      <c r="BW663" s="74">
        <f t="shared" si="423"/>
        <v>0</v>
      </c>
      <c r="BX663" s="74">
        <f t="shared" si="424"/>
        <v>0</v>
      </c>
      <c r="BY663" s="74">
        <f t="shared" si="425"/>
        <v>0</v>
      </c>
      <c r="BZ663" s="74">
        <f t="shared" si="426"/>
        <v>0</v>
      </c>
    </row>
    <row r="664" spans="1:78" x14ac:dyDescent="0.2">
      <c r="A664" s="108" t="s">
        <v>129</v>
      </c>
      <c r="B664" s="12"/>
      <c r="C664" s="9"/>
      <c r="D664" s="25"/>
      <c r="E664" s="10" t="str">
        <f t="shared" si="432"/>
        <v>MarçoSEMANA 1Aspargos cong. 1 Kg</v>
      </c>
      <c r="F664" s="7">
        <f>SUMIF(NF!$A:$A,$E664,NF!$I:$I)</f>
        <v>0</v>
      </c>
      <c r="G664" s="74"/>
      <c r="H664" s="74"/>
      <c r="I664" s="74"/>
      <c r="J664" s="6"/>
      <c r="K664" s="6"/>
      <c r="L664" s="6"/>
      <c r="M664" s="6"/>
      <c r="N664" s="7">
        <f t="shared" si="433"/>
        <v>0</v>
      </c>
      <c r="O664" s="11">
        <f t="shared" si="434"/>
        <v>0</v>
      </c>
      <c r="P664" s="25"/>
      <c r="Q664" s="10" t="str">
        <f t="shared" si="435"/>
        <v>MarçoSEMANA 2Aspargos cong. 1 Kg</v>
      </c>
      <c r="R664" s="7">
        <f>SUMIF(NF!$A:$A,$Q664,NF!$I:$I)</f>
        <v>0</v>
      </c>
      <c r="S664" s="6"/>
      <c r="T664" s="6"/>
      <c r="U664" s="6"/>
      <c r="V664" s="6"/>
      <c r="W664" s="6"/>
      <c r="X664" s="6"/>
      <c r="Y664" s="6"/>
      <c r="Z664" s="7">
        <f t="shared" si="436"/>
        <v>0</v>
      </c>
      <c r="AA664" s="11">
        <f t="shared" si="437"/>
        <v>0</v>
      </c>
      <c r="AB664" s="25"/>
      <c r="AC664" s="10" t="str">
        <f t="shared" si="438"/>
        <v>MarçoSEMANA 3Aspargos cong. 1 Kg</v>
      </c>
      <c r="AD664" s="7">
        <f>SUMIF(NF!$A:$A,$AC664,NF!$I:$I)</f>
        <v>0</v>
      </c>
      <c r="AE664" s="6"/>
      <c r="AF664" s="6"/>
      <c r="AG664" s="6"/>
      <c r="AH664" s="6"/>
      <c r="AI664" s="6"/>
      <c r="AJ664" s="6"/>
      <c r="AK664" s="6"/>
      <c r="AL664" s="7">
        <f t="shared" si="439"/>
        <v>0</v>
      </c>
      <c r="AM664" s="11">
        <f t="shared" si="440"/>
        <v>0</v>
      </c>
      <c r="AN664" s="25"/>
      <c r="AO664" s="10" t="str">
        <f t="shared" si="441"/>
        <v>MarçoSEMANA 4Aspargos cong. 1 Kg</v>
      </c>
      <c r="AP664" s="7">
        <f>SUMIF(NF!$A:$A,$AO664,NF!$I:$I)</f>
        <v>0</v>
      </c>
      <c r="AQ664" s="6"/>
      <c r="AR664" s="6"/>
      <c r="AS664" s="6"/>
      <c r="AT664" s="6"/>
      <c r="AU664" s="6"/>
      <c r="AV664" s="6"/>
      <c r="AW664" s="6"/>
      <c r="AX664" s="7">
        <f t="shared" si="442"/>
        <v>0</v>
      </c>
      <c r="AY664" s="11">
        <f t="shared" si="443"/>
        <v>0</v>
      </c>
      <c r="AZ664" s="25"/>
      <c r="BA664" s="10" t="str">
        <f t="shared" si="444"/>
        <v>MarçoSEMANA 5Aspargos cong. 1 Kg</v>
      </c>
      <c r="BB664" s="7">
        <f>SUMIF(NF!$A:$A,$BA664,NF!$I:$I)</f>
        <v>0</v>
      </c>
      <c r="BC664" s="6"/>
      <c r="BD664" s="6"/>
      <c r="BE664" s="6"/>
      <c r="BF664" s="6"/>
      <c r="BG664" s="6"/>
      <c r="BH664" s="6"/>
      <c r="BI664" s="74"/>
      <c r="BJ664" s="74"/>
      <c r="BK664" s="7">
        <f t="shared" si="445"/>
        <v>0</v>
      </c>
      <c r="BL664" s="8">
        <f t="shared" si="446"/>
        <v>0</v>
      </c>
      <c r="BM664" s="51" t="str">
        <f>IFERROR(VLOOKUP(A664,NF!$M:$O,3,0),"")</f>
        <v>Mercado</v>
      </c>
      <c r="BN664" s="7">
        <f t="shared" si="447"/>
        <v>0</v>
      </c>
      <c r="BO664" s="8">
        <f t="array" ref="BO664">IFERROR(LARGE(IF(NF!$G$2:$G$3137='Mês atual'!A664,NF!$J$2:$J$3137),1),0)*BN664</f>
        <v>0</v>
      </c>
      <c r="BP664" s="50"/>
      <c r="BR664" s="146">
        <f t="array" ref="BR664">IFERROR(LARGE(IF(NF!$G$2:$G$3137='Mês atual'!A664,NF!$J$2:$J$3137),1),0)</f>
        <v>0</v>
      </c>
      <c r="BS664" s="142" t="str">
        <f>VLOOKUP(A664,NF!M:O,3,0)</f>
        <v>Mercado</v>
      </c>
      <c r="BV664" s="74">
        <f t="shared" si="422"/>
        <v>0</v>
      </c>
      <c r="BW664" s="74">
        <f t="shared" si="423"/>
        <v>0</v>
      </c>
      <c r="BX664" s="74">
        <f t="shared" si="424"/>
        <v>0</v>
      </c>
      <c r="BY664" s="74">
        <f t="shared" si="425"/>
        <v>0</v>
      </c>
      <c r="BZ664" s="74">
        <f t="shared" si="426"/>
        <v>0</v>
      </c>
    </row>
    <row r="665" spans="1:78" x14ac:dyDescent="0.2">
      <c r="A665" s="108" t="s">
        <v>131</v>
      </c>
      <c r="B665" s="12"/>
      <c r="C665" s="9">
        <v>0</v>
      </c>
      <c r="D665" s="25"/>
      <c r="E665" s="10" t="str">
        <f t="shared" si="432"/>
        <v>MarçoSEMANA 1Aspargos lata</v>
      </c>
      <c r="F665" s="7">
        <f>SUMIF(NF!$A:$A,$E665,NF!$I:$I)</f>
        <v>0</v>
      </c>
      <c r="G665" s="74"/>
      <c r="H665" s="74"/>
      <c r="I665" s="74"/>
      <c r="J665" s="6"/>
      <c r="K665" s="6"/>
      <c r="L665" s="6"/>
      <c r="M665" s="6"/>
      <c r="N665" s="7">
        <f t="shared" si="433"/>
        <v>0</v>
      </c>
      <c r="O665" s="11">
        <f t="shared" si="434"/>
        <v>0</v>
      </c>
      <c r="P665" s="25"/>
      <c r="Q665" s="10" t="str">
        <f t="shared" si="435"/>
        <v>MarçoSEMANA 2Aspargos lata</v>
      </c>
      <c r="R665" s="7">
        <f>SUMIF(NF!$A:$A,$Q665,NF!$I:$I)</f>
        <v>0</v>
      </c>
      <c r="S665" s="6"/>
      <c r="T665" s="6"/>
      <c r="U665" s="6"/>
      <c r="V665" s="6"/>
      <c r="W665" s="6"/>
      <c r="X665" s="6"/>
      <c r="Y665" s="6"/>
      <c r="Z665" s="7">
        <f t="shared" si="436"/>
        <v>0</v>
      </c>
      <c r="AA665" s="11">
        <f t="shared" si="437"/>
        <v>0</v>
      </c>
      <c r="AB665" s="25"/>
      <c r="AC665" s="10" t="str">
        <f t="shared" si="438"/>
        <v>MarçoSEMANA 3Aspargos lata</v>
      </c>
      <c r="AD665" s="7">
        <f>SUMIF(NF!$A:$A,$AC665,NF!$I:$I)</f>
        <v>0</v>
      </c>
      <c r="AE665" s="6"/>
      <c r="AF665" s="6"/>
      <c r="AG665" s="6"/>
      <c r="AH665" s="6"/>
      <c r="AI665" s="6"/>
      <c r="AJ665" s="6"/>
      <c r="AK665" s="6"/>
      <c r="AL665" s="7">
        <f t="shared" si="439"/>
        <v>0</v>
      </c>
      <c r="AM665" s="11">
        <f t="shared" si="440"/>
        <v>0</v>
      </c>
      <c r="AN665" s="25"/>
      <c r="AO665" s="10" t="str">
        <f t="shared" si="441"/>
        <v>MarçoSEMANA 4Aspargos lata</v>
      </c>
      <c r="AP665" s="7">
        <f>SUMIF(NF!$A:$A,$AO665,NF!$I:$I)</f>
        <v>0</v>
      </c>
      <c r="AQ665" s="6"/>
      <c r="AR665" s="6"/>
      <c r="AS665" s="6"/>
      <c r="AT665" s="6"/>
      <c r="AU665" s="6"/>
      <c r="AV665" s="6"/>
      <c r="AW665" s="6"/>
      <c r="AX665" s="7">
        <f t="shared" si="442"/>
        <v>0</v>
      </c>
      <c r="AY665" s="11">
        <f t="shared" si="443"/>
        <v>0</v>
      </c>
      <c r="AZ665" s="25"/>
      <c r="BA665" s="10" t="str">
        <f t="shared" si="444"/>
        <v>MarçoSEMANA 5Aspargos lata</v>
      </c>
      <c r="BB665" s="7">
        <f>SUMIF(NF!$A:$A,$BA665,NF!$I:$I)</f>
        <v>0</v>
      </c>
      <c r="BC665" s="6"/>
      <c r="BD665" s="6"/>
      <c r="BE665" s="6"/>
      <c r="BF665" s="6"/>
      <c r="BG665" s="6"/>
      <c r="BH665" s="6"/>
      <c r="BI665" s="74"/>
      <c r="BJ665" s="74"/>
      <c r="BK665" s="7">
        <f t="shared" si="445"/>
        <v>0</v>
      </c>
      <c r="BL665" s="8">
        <f t="shared" si="446"/>
        <v>0</v>
      </c>
      <c r="BM665" s="51" t="str">
        <f>IFERROR(VLOOKUP(A665,NF!$M:$O,3,0),"")</f>
        <v>Mercado</v>
      </c>
      <c r="BN665" s="7">
        <f t="shared" si="447"/>
        <v>0</v>
      </c>
      <c r="BO665" s="8">
        <f t="array" ref="BO665">IFERROR(LARGE(IF(NF!$G$2:$G$3137='Mês atual'!A665,NF!$J$2:$J$3137),1),0)*BN665</f>
        <v>0</v>
      </c>
      <c r="BP665" s="50"/>
      <c r="BR665" s="146">
        <f t="array" ref="BR665">IFERROR(LARGE(IF(NF!$G$2:$G$3137='Mês atual'!A665,NF!$J$2:$J$3137),1),0)</f>
        <v>0</v>
      </c>
      <c r="BS665" s="142" t="str">
        <f>VLOOKUP(A665,NF!M:O,3,0)</f>
        <v>Mercado</v>
      </c>
      <c r="BV665" s="74">
        <f t="shared" si="422"/>
        <v>0</v>
      </c>
      <c r="BW665" s="74">
        <f t="shared" si="423"/>
        <v>0</v>
      </c>
      <c r="BX665" s="74">
        <f t="shared" si="424"/>
        <v>0</v>
      </c>
      <c r="BY665" s="74">
        <f t="shared" si="425"/>
        <v>0</v>
      </c>
      <c r="BZ665" s="74">
        <f t="shared" si="426"/>
        <v>0</v>
      </c>
    </row>
    <row r="666" spans="1:78" x14ac:dyDescent="0.2">
      <c r="A666" s="108" t="s">
        <v>132</v>
      </c>
      <c r="B666" s="12"/>
      <c r="C666" s="9">
        <v>2</v>
      </c>
      <c r="D666" s="25"/>
      <c r="E666" s="10" t="str">
        <f t="shared" si="432"/>
        <v>MarçoSEMANA 1Aveia Quaker Flocos cx 200g</v>
      </c>
      <c r="F666" s="7">
        <f>SUMIF(NF!$A:$A,$E666,NF!$I:$I)</f>
        <v>0</v>
      </c>
      <c r="G666" s="74"/>
      <c r="H666" s="74"/>
      <c r="I666" s="74"/>
      <c r="J666" s="6">
        <v>2</v>
      </c>
      <c r="K666" s="6"/>
      <c r="L666" s="6"/>
      <c r="M666" s="6"/>
      <c r="N666" s="7">
        <f t="shared" si="433"/>
        <v>2</v>
      </c>
      <c r="O666" s="11">
        <f t="shared" si="434"/>
        <v>0</v>
      </c>
      <c r="P666" s="25"/>
      <c r="Q666" s="10" t="str">
        <f t="shared" si="435"/>
        <v>MarçoSEMANA 2Aveia Quaker Flocos cx 200g</v>
      </c>
      <c r="R666" s="7">
        <f>SUMIF(NF!$A:$A,$Q666,NF!$I:$I)</f>
        <v>2</v>
      </c>
      <c r="S666" s="6"/>
      <c r="T666" s="6"/>
      <c r="U666" s="6"/>
      <c r="V666" s="6"/>
      <c r="W666" s="6"/>
      <c r="X666" s="6"/>
      <c r="Y666" s="6">
        <v>2</v>
      </c>
      <c r="Z666" s="7">
        <f t="shared" si="436"/>
        <v>2</v>
      </c>
      <c r="AA666" s="11">
        <f t="shared" si="437"/>
        <v>0</v>
      </c>
      <c r="AB666" s="25"/>
      <c r="AC666" s="10" t="str">
        <f t="shared" si="438"/>
        <v>MarçoSEMANA 3Aveia Quaker Flocos cx 200g</v>
      </c>
      <c r="AD666" s="7">
        <f>SUMIF(NF!$A:$A,$AC666,NF!$I:$I)</f>
        <v>1</v>
      </c>
      <c r="AE666" s="6"/>
      <c r="AF666" s="6"/>
      <c r="AG666" s="6">
        <v>1</v>
      </c>
      <c r="AH666" s="6"/>
      <c r="AI666" s="6"/>
      <c r="AJ666" s="6"/>
      <c r="AK666" s="6"/>
      <c r="AL666" s="7">
        <f t="shared" si="439"/>
        <v>1</v>
      </c>
      <c r="AM666" s="11">
        <f t="shared" si="440"/>
        <v>0</v>
      </c>
      <c r="AN666" s="25"/>
      <c r="AO666" s="10" t="str">
        <f t="shared" si="441"/>
        <v>MarçoSEMANA 4Aveia Quaker Flocos cx 200g</v>
      </c>
      <c r="AP666" s="7">
        <f>SUMIF(NF!$A:$A,$AO666,NF!$I:$I)</f>
        <v>0</v>
      </c>
      <c r="AQ666" s="6"/>
      <c r="AR666" s="6"/>
      <c r="AS666" s="6"/>
      <c r="AT666" s="6"/>
      <c r="AU666" s="6"/>
      <c r="AV666" s="6"/>
      <c r="AW666" s="6"/>
      <c r="AX666" s="7">
        <f t="shared" si="442"/>
        <v>0</v>
      </c>
      <c r="AY666" s="11">
        <f t="shared" si="443"/>
        <v>0</v>
      </c>
      <c r="AZ666" s="25"/>
      <c r="BA666" s="10" t="str">
        <f t="shared" si="444"/>
        <v>MarçoSEMANA 5Aveia Quaker Flocos cx 200g</v>
      </c>
      <c r="BB666" s="7">
        <f>SUMIF(NF!$A:$A,$BA666,NF!$I:$I)</f>
        <v>0</v>
      </c>
      <c r="BC666" s="6"/>
      <c r="BD666" s="6"/>
      <c r="BE666" s="6"/>
      <c r="BF666" s="6"/>
      <c r="BG666" s="6"/>
      <c r="BH666" s="6"/>
      <c r="BI666" s="74"/>
      <c r="BJ666" s="74"/>
      <c r="BK666" s="7">
        <f t="shared" si="445"/>
        <v>0</v>
      </c>
      <c r="BL666" s="8">
        <f t="shared" si="446"/>
        <v>0</v>
      </c>
      <c r="BM666" s="51" t="str">
        <f>IFERROR(VLOOKUP(A666,NF!$M:$O,3,0),"")</f>
        <v>Mercado</v>
      </c>
      <c r="BN666" s="7">
        <f t="shared" si="447"/>
        <v>5</v>
      </c>
      <c r="BO666" s="8">
        <f t="array" ref="BO666">IFERROR(LARGE(IF(NF!$G$2:$G$3137='Mês atual'!A666,NF!$J$2:$J$3137),1),0)*BN666</f>
        <v>19.899999999999999</v>
      </c>
      <c r="BP666" s="50"/>
      <c r="BR666" s="146">
        <f t="array" ref="BR666">IFERROR(LARGE(IF(NF!$G$2:$G$3137='Mês atual'!A666,NF!$J$2:$J$3137),1),0)</f>
        <v>3.98</v>
      </c>
      <c r="BS666" s="142" t="str">
        <f>VLOOKUP(A666,NF!M:O,3,0)</f>
        <v>Mercado</v>
      </c>
      <c r="BV666" s="74">
        <f t="shared" si="422"/>
        <v>2</v>
      </c>
      <c r="BW666" s="74">
        <f t="shared" si="423"/>
        <v>2</v>
      </c>
      <c r="BX666" s="74">
        <f t="shared" si="424"/>
        <v>1</v>
      </c>
      <c r="BY666" s="74">
        <f t="shared" si="425"/>
        <v>0</v>
      </c>
      <c r="BZ666" s="74">
        <f t="shared" si="426"/>
        <v>0</v>
      </c>
    </row>
    <row r="667" spans="1:78" x14ac:dyDescent="0.25">
      <c r="A667" s="108" t="s">
        <v>133</v>
      </c>
      <c r="B667" s="12"/>
      <c r="C667" s="9">
        <v>0</v>
      </c>
      <c r="D667" s="25"/>
      <c r="E667" s="10" t="str">
        <f t="shared" si="432"/>
        <v>MarçoSEMANA 1Avelã</v>
      </c>
      <c r="F667" s="7">
        <f>SUMIF(NF!$A:$A,$E667,NF!$I:$I)</f>
        <v>0</v>
      </c>
      <c r="G667" s="74"/>
      <c r="H667" s="74"/>
      <c r="I667" s="74"/>
      <c r="J667" s="6"/>
      <c r="K667" s="6"/>
      <c r="L667" s="6"/>
      <c r="M667" s="6"/>
      <c r="N667" s="7">
        <f t="shared" si="433"/>
        <v>0</v>
      </c>
      <c r="O667" s="11">
        <f t="shared" si="434"/>
        <v>0</v>
      </c>
      <c r="P667" s="25"/>
      <c r="Q667" s="10" t="str">
        <f t="shared" si="435"/>
        <v>MarçoSEMANA 2Avelã</v>
      </c>
      <c r="R667" s="7">
        <f>SUMIF(NF!$A:$A,$Q667,NF!$I:$I)</f>
        <v>0</v>
      </c>
      <c r="S667" s="6"/>
      <c r="T667" s="6"/>
      <c r="U667" s="6"/>
      <c r="V667" s="6"/>
      <c r="W667" s="6"/>
      <c r="X667" s="6"/>
      <c r="Y667" s="6"/>
      <c r="Z667" s="7">
        <f t="shared" si="436"/>
        <v>0</v>
      </c>
      <c r="AA667" s="11">
        <f t="shared" si="437"/>
        <v>0</v>
      </c>
      <c r="AB667" s="25"/>
      <c r="AC667" s="10" t="str">
        <f t="shared" si="438"/>
        <v>MarçoSEMANA 3Avelã</v>
      </c>
      <c r="AD667" s="7">
        <f>SUMIF(NF!$A:$A,$AC667,NF!$I:$I)</f>
        <v>0</v>
      </c>
      <c r="AE667" s="6"/>
      <c r="AF667" s="6"/>
      <c r="AG667" s="6"/>
      <c r="AH667" s="6"/>
      <c r="AI667" s="6"/>
      <c r="AJ667" s="6"/>
      <c r="AK667" s="6"/>
      <c r="AL667" s="7">
        <f t="shared" si="439"/>
        <v>0</v>
      </c>
      <c r="AM667" s="11">
        <f t="shared" si="440"/>
        <v>0</v>
      </c>
      <c r="AN667" s="25"/>
      <c r="AO667" s="10" t="str">
        <f t="shared" si="441"/>
        <v>MarçoSEMANA 4Avelã</v>
      </c>
      <c r="AP667" s="7">
        <f>SUMIF(NF!$A:$A,$AO667,NF!$I:$I)</f>
        <v>0</v>
      </c>
      <c r="AQ667" s="6"/>
      <c r="AR667" s="6"/>
      <c r="AS667" s="6"/>
      <c r="AT667" s="6"/>
      <c r="AU667" s="6"/>
      <c r="AV667" s="6"/>
      <c r="AW667" s="6"/>
      <c r="AX667" s="7">
        <f t="shared" si="442"/>
        <v>0</v>
      </c>
      <c r="AY667" s="11">
        <f t="shared" si="443"/>
        <v>0</v>
      </c>
      <c r="AZ667" s="25"/>
      <c r="BA667" s="10" t="str">
        <f t="shared" si="444"/>
        <v>MarçoSEMANA 5Avelã</v>
      </c>
      <c r="BB667" s="7">
        <f>SUMIF(NF!$A:$A,$BA667,NF!$I:$I)</f>
        <v>0</v>
      </c>
      <c r="BC667" s="6"/>
      <c r="BD667" s="6"/>
      <c r="BE667" s="6"/>
      <c r="BF667" s="6"/>
      <c r="BG667" s="6"/>
      <c r="BH667" s="6"/>
      <c r="BI667" s="74"/>
      <c r="BJ667" s="74"/>
      <c r="BK667" s="7">
        <f t="shared" si="445"/>
        <v>0</v>
      </c>
      <c r="BL667" s="8">
        <f t="shared" si="446"/>
        <v>0</v>
      </c>
      <c r="BM667" s="51" t="str">
        <f>IFERROR(VLOOKUP(A667,NF!$M:$O,3,0),"")</f>
        <v>Mercado</v>
      </c>
      <c r="BN667" s="7">
        <f t="shared" si="447"/>
        <v>0</v>
      </c>
      <c r="BO667" s="8">
        <f t="array" ref="BO667">IFERROR(LARGE(IF(NF!$G$2:$G$3137='Mês atual'!A667,NF!$J$2:$J$3137),1),0)*BN667</f>
        <v>0</v>
      </c>
      <c r="BP667" s="50"/>
      <c r="BR667" s="146">
        <f t="array" ref="BR667">IFERROR(LARGE(IF(NF!$G$2:$G$3137='Mês atual'!A667,NF!$J$2:$J$3137),1),0)</f>
        <v>0</v>
      </c>
      <c r="BS667" s="142" t="str">
        <f>VLOOKUP(A667,NF!M:O,3,0)</f>
        <v>Mercado</v>
      </c>
      <c r="BV667" s="74">
        <f t="shared" si="422"/>
        <v>0</v>
      </c>
      <c r="BW667" s="74">
        <f t="shared" si="423"/>
        <v>0</v>
      </c>
      <c r="BX667" s="74">
        <f t="shared" si="424"/>
        <v>0</v>
      </c>
      <c r="BY667" s="74">
        <f t="shared" si="425"/>
        <v>0</v>
      </c>
      <c r="BZ667" s="74">
        <f t="shared" si="426"/>
        <v>0</v>
      </c>
    </row>
    <row r="668" spans="1:78" x14ac:dyDescent="0.2">
      <c r="A668" s="108" t="s">
        <v>151</v>
      </c>
      <c r="B668" s="12"/>
      <c r="C668" s="9">
        <v>11</v>
      </c>
      <c r="D668" s="25"/>
      <c r="E668" s="10" t="str">
        <f t="shared" si="432"/>
        <v>MarçoSEMANA 1Azeite Deleyda 500 ml</v>
      </c>
      <c r="F668" s="7">
        <f>SUMIF(NF!$A:$A,$E668,NF!$I:$I)</f>
        <v>36</v>
      </c>
      <c r="G668" s="74"/>
      <c r="H668" s="74"/>
      <c r="I668" s="74"/>
      <c r="J668" s="6"/>
      <c r="K668" s="6">
        <v>2</v>
      </c>
      <c r="L668" s="6">
        <v>3</v>
      </c>
      <c r="M668" s="6"/>
      <c r="N668" s="7">
        <f t="shared" si="433"/>
        <v>5</v>
      </c>
      <c r="O668" s="11">
        <f t="shared" si="434"/>
        <v>42</v>
      </c>
      <c r="P668" s="25"/>
      <c r="Q668" s="10" t="str">
        <f t="shared" si="435"/>
        <v>MarçoSEMANA 2Azeite Deleyda 500 ml</v>
      </c>
      <c r="R668" s="7">
        <f>SUMIF(NF!$A:$A,$Q668,NF!$I:$I)</f>
        <v>0</v>
      </c>
      <c r="S668" s="6">
        <v>1</v>
      </c>
      <c r="T668" s="6">
        <v>1</v>
      </c>
      <c r="U668" s="6">
        <v>2</v>
      </c>
      <c r="V668" s="6"/>
      <c r="W668" s="6">
        <v>2</v>
      </c>
      <c r="X668" s="6">
        <v>3</v>
      </c>
      <c r="Y668" s="6"/>
      <c r="Z668" s="7">
        <f t="shared" si="436"/>
        <v>9</v>
      </c>
      <c r="AA668" s="11">
        <f t="shared" si="437"/>
        <v>33</v>
      </c>
      <c r="AB668" s="25"/>
      <c r="AC668" s="10" t="str">
        <f t="shared" si="438"/>
        <v>MarçoSEMANA 3Azeite Deleyda 500 ml</v>
      </c>
      <c r="AD668" s="7">
        <f>SUMIF(NF!$A:$A,$AC668,NF!$I:$I)</f>
        <v>0</v>
      </c>
      <c r="AE668" s="6">
        <v>2</v>
      </c>
      <c r="AF668" s="6"/>
      <c r="AG668" s="6">
        <v>1</v>
      </c>
      <c r="AH668" s="6">
        <v>2</v>
      </c>
      <c r="AI668" s="6"/>
      <c r="AJ668" s="6">
        <v>2</v>
      </c>
      <c r="AK668" s="6">
        <v>3</v>
      </c>
      <c r="AL668" s="7">
        <f t="shared" si="439"/>
        <v>10</v>
      </c>
      <c r="AM668" s="11">
        <f t="shared" si="440"/>
        <v>23</v>
      </c>
      <c r="AN668" s="25"/>
      <c r="AO668" s="10" t="str">
        <f t="shared" si="441"/>
        <v>MarçoSEMANA 4Azeite Deleyda 500 ml</v>
      </c>
      <c r="AP668" s="7">
        <f>SUMIF(NF!$A:$A,$AO668,NF!$I:$I)</f>
        <v>0</v>
      </c>
      <c r="AQ668" s="6">
        <v>2</v>
      </c>
      <c r="AR668" s="6"/>
      <c r="AS668" s="6">
        <v>1</v>
      </c>
      <c r="AT668" s="6">
        <v>1</v>
      </c>
      <c r="AU668" s="6"/>
      <c r="AV668" s="6">
        <v>1</v>
      </c>
      <c r="AW668" s="6">
        <v>2</v>
      </c>
      <c r="AX668" s="7">
        <f t="shared" si="442"/>
        <v>7</v>
      </c>
      <c r="AY668" s="11">
        <f t="shared" si="443"/>
        <v>16</v>
      </c>
      <c r="AZ668" s="25"/>
      <c r="BA668" s="10" t="str">
        <f t="shared" si="444"/>
        <v>MarçoSEMANA 5Azeite Deleyda 500 ml</v>
      </c>
      <c r="BB668" s="7">
        <f>SUMIF(NF!$A:$A,$BA668,NF!$I:$I)</f>
        <v>0</v>
      </c>
      <c r="BC668" s="6">
        <v>2</v>
      </c>
      <c r="BD668" s="6"/>
      <c r="BE668" s="6">
        <v>2</v>
      </c>
      <c r="BF668" s="6">
        <v>2</v>
      </c>
      <c r="BG668" s="6">
        <v>1</v>
      </c>
      <c r="BH668" s="6"/>
      <c r="BI668" s="74"/>
      <c r="BJ668" s="74"/>
      <c r="BK668" s="7">
        <f t="shared" si="445"/>
        <v>7</v>
      </c>
      <c r="BL668" s="8">
        <f t="shared" si="446"/>
        <v>9</v>
      </c>
      <c r="BM668" s="51" t="str">
        <f>IFERROR(VLOOKUP(A668,NF!$M:$O,3,0),"")</f>
        <v>Mercado</v>
      </c>
      <c r="BN668" s="7">
        <f t="shared" si="447"/>
        <v>38</v>
      </c>
      <c r="BO668" s="8">
        <f t="array" ref="BO668">IFERROR(LARGE(IF(NF!$G$2:$G$3137='Mês atual'!A668,NF!$J$2:$J$3137),1),0)*BN668</f>
        <v>886.90944444444438</v>
      </c>
      <c r="BP668" s="50"/>
      <c r="BR668" s="146">
        <f t="array" ref="BR668">IFERROR(LARGE(IF(NF!$G$2:$G$3137='Mês atual'!A668,NF!$J$2:$J$3137),1),0)</f>
        <v>23.339722222222221</v>
      </c>
      <c r="BS668" s="142" t="str">
        <f>VLOOKUP(A668,NF!M:O,3,0)</f>
        <v>Mercado</v>
      </c>
      <c r="BV668" s="74">
        <f t="shared" si="422"/>
        <v>5</v>
      </c>
      <c r="BW668" s="74">
        <f t="shared" si="423"/>
        <v>9</v>
      </c>
      <c r="BX668" s="74">
        <f t="shared" si="424"/>
        <v>10</v>
      </c>
      <c r="BY668" s="74">
        <f t="shared" si="425"/>
        <v>7</v>
      </c>
      <c r="BZ668" s="74">
        <f t="shared" si="426"/>
        <v>7</v>
      </c>
    </row>
    <row r="669" spans="1:78" x14ac:dyDescent="0.2">
      <c r="A669" s="108" t="s">
        <v>152</v>
      </c>
      <c r="B669" s="12"/>
      <c r="C669" s="9">
        <v>7</v>
      </c>
      <c r="D669" s="25"/>
      <c r="E669" s="10" t="str">
        <f t="shared" si="432"/>
        <v>MarçoSEMANA 1Azeite Dende</v>
      </c>
      <c r="F669" s="7">
        <f>SUMIF(NF!$A:$A,$E669,NF!$I:$I)</f>
        <v>0</v>
      </c>
      <c r="G669" s="74"/>
      <c r="H669" s="74"/>
      <c r="I669" s="74"/>
      <c r="J669" s="6"/>
      <c r="K669" s="6"/>
      <c r="L669" s="6"/>
      <c r="M669" s="6"/>
      <c r="N669" s="7">
        <f t="shared" ref="N669:N687" si="448">SUM(G669:M669)</f>
        <v>0</v>
      </c>
      <c r="O669" s="11">
        <f t="shared" si="434"/>
        <v>7</v>
      </c>
      <c r="P669" s="25"/>
      <c r="Q669" s="10" t="str">
        <f t="shared" si="435"/>
        <v>MarçoSEMANA 2Azeite Dende</v>
      </c>
      <c r="R669" s="7">
        <f>SUMIF(NF!$A:$A,$Q669,NF!$I:$I)</f>
        <v>0</v>
      </c>
      <c r="S669" s="6"/>
      <c r="T669" s="6"/>
      <c r="U669" s="6"/>
      <c r="V669" s="6"/>
      <c r="W669" s="6"/>
      <c r="X669" s="6">
        <v>1</v>
      </c>
      <c r="Y669" s="6">
        <v>2</v>
      </c>
      <c r="Z669" s="7">
        <f t="shared" ref="Z669:Z687" si="449">SUM(S669:Y669)</f>
        <v>3</v>
      </c>
      <c r="AA669" s="11">
        <f t="shared" si="437"/>
        <v>4</v>
      </c>
      <c r="AB669" s="25"/>
      <c r="AC669" s="10" t="str">
        <f t="shared" si="438"/>
        <v>MarçoSEMANA 3Azeite Dende</v>
      </c>
      <c r="AD669" s="7">
        <f>SUMIF(NF!$A:$A,$AC669,NF!$I:$I)</f>
        <v>3</v>
      </c>
      <c r="AE669" s="6"/>
      <c r="AF669" s="6"/>
      <c r="AG669" s="6">
        <v>2</v>
      </c>
      <c r="AH669" s="6"/>
      <c r="AI669" s="6"/>
      <c r="AJ669" s="6"/>
      <c r="AK669" s="6"/>
      <c r="AL669" s="7">
        <f t="shared" ref="AL669:AL687" si="450">SUM(AE669:AK669)</f>
        <v>2</v>
      </c>
      <c r="AM669" s="11">
        <f t="shared" si="440"/>
        <v>5</v>
      </c>
      <c r="AN669" s="25"/>
      <c r="AO669" s="10" t="str">
        <f t="shared" si="441"/>
        <v>MarçoSEMANA 4Azeite Dende</v>
      </c>
      <c r="AP669" s="7">
        <f>SUMIF(NF!$A:$A,$AO669,NF!$I:$I)</f>
        <v>1</v>
      </c>
      <c r="AQ669" s="6">
        <v>1</v>
      </c>
      <c r="AR669" s="6"/>
      <c r="AS669" s="6">
        <v>1</v>
      </c>
      <c r="AT669" s="6"/>
      <c r="AU669" s="6"/>
      <c r="AV669" s="6"/>
      <c r="AW669" s="6"/>
      <c r="AX669" s="7">
        <f t="shared" ref="AX669:AX687" si="451">SUM(AQ669:AW669)</f>
        <v>2</v>
      </c>
      <c r="AY669" s="11">
        <f t="shared" si="443"/>
        <v>4</v>
      </c>
      <c r="AZ669" s="25"/>
      <c r="BA669" s="10" t="str">
        <f t="shared" si="444"/>
        <v>MarçoSEMANA 5Azeite Dende</v>
      </c>
      <c r="BB669" s="7">
        <f>SUMIF(NF!$A:$A,$BA669,NF!$I:$I)</f>
        <v>0</v>
      </c>
      <c r="BC669" s="6"/>
      <c r="BD669" s="6"/>
      <c r="BE669" s="6"/>
      <c r="BF669" s="6">
        <v>1</v>
      </c>
      <c r="BG669" s="6">
        <v>2</v>
      </c>
      <c r="BH669" s="6"/>
      <c r="BI669" s="74"/>
      <c r="BJ669" s="74"/>
      <c r="BK669" s="7">
        <f t="shared" ref="BK669:BK687" si="452">SUM(BC669:BJ669)</f>
        <v>3</v>
      </c>
      <c r="BL669" s="8">
        <f t="shared" si="446"/>
        <v>1</v>
      </c>
      <c r="BM669" s="51" t="str">
        <f>IFERROR(VLOOKUP(A669,NF!$M:$O,3,0),"")</f>
        <v>Mercado</v>
      </c>
      <c r="BN669" s="7">
        <f t="shared" si="447"/>
        <v>10</v>
      </c>
      <c r="BO669" s="8">
        <f t="array" ref="BO669">IFERROR(LARGE(IF(NF!$G$2:$G$3137='Mês atual'!A669,NF!$J$2:$J$3137),1),0)*BN669</f>
        <v>118.80000000000001</v>
      </c>
      <c r="BP669" s="50"/>
      <c r="BR669" s="146">
        <f t="array" ref="BR669">IFERROR(LARGE(IF(NF!$G$2:$G$3137='Mês atual'!A669,NF!$J$2:$J$3137),1),0)</f>
        <v>11.88</v>
      </c>
      <c r="BS669" s="142" t="str">
        <f>VLOOKUP(A669,NF!M:O,3,0)</f>
        <v>Mercado</v>
      </c>
      <c r="BV669" s="74">
        <f t="shared" si="422"/>
        <v>0</v>
      </c>
      <c r="BW669" s="74">
        <f t="shared" si="423"/>
        <v>3</v>
      </c>
      <c r="BX669" s="74">
        <f t="shared" si="424"/>
        <v>2</v>
      </c>
      <c r="BY669" s="74">
        <f t="shared" si="425"/>
        <v>2</v>
      </c>
      <c r="BZ669" s="74">
        <f t="shared" si="426"/>
        <v>3</v>
      </c>
    </row>
    <row r="670" spans="1:78" x14ac:dyDescent="0.2">
      <c r="A670" s="108" t="s">
        <v>153</v>
      </c>
      <c r="B670" s="12"/>
      <c r="C670" s="9">
        <v>3</v>
      </c>
      <c r="D670" s="25"/>
      <c r="E670" s="10" t="str">
        <f t="shared" si="432"/>
        <v>MarçoSEMANA 1Azeite Extra Virgem (Santiago) 500 ml</v>
      </c>
      <c r="F670" s="7">
        <f>SUMIF(NF!$A:$A,$E670,NF!$I:$I)</f>
        <v>0</v>
      </c>
      <c r="G670" s="74"/>
      <c r="H670" s="74"/>
      <c r="I670" s="74"/>
      <c r="J670" s="6"/>
      <c r="K670" s="6">
        <v>1</v>
      </c>
      <c r="L670" s="6"/>
      <c r="M670" s="6"/>
      <c r="N670" s="7">
        <f t="shared" si="448"/>
        <v>1</v>
      </c>
      <c r="O670" s="11">
        <f t="shared" si="434"/>
        <v>2</v>
      </c>
      <c r="P670" s="25"/>
      <c r="Q670" s="10" t="str">
        <f t="shared" si="435"/>
        <v>MarçoSEMANA 2Azeite Extra Virgem (Santiago) 500 ml</v>
      </c>
      <c r="R670" s="7">
        <f>SUMIF(NF!$A:$A,$Q670,NF!$I:$I)</f>
        <v>4</v>
      </c>
      <c r="S670" s="6">
        <v>1</v>
      </c>
      <c r="T670" s="6">
        <v>1</v>
      </c>
      <c r="U670" s="6"/>
      <c r="V670" s="6"/>
      <c r="W670" s="6"/>
      <c r="X670" s="6">
        <v>1</v>
      </c>
      <c r="Y670" s="6"/>
      <c r="Z670" s="7">
        <f t="shared" si="449"/>
        <v>3</v>
      </c>
      <c r="AA670" s="11">
        <f t="shared" si="437"/>
        <v>3</v>
      </c>
      <c r="AB670" s="25"/>
      <c r="AC670" s="10" t="str">
        <f t="shared" si="438"/>
        <v>MarçoSEMANA 3Azeite Extra Virgem (Santiago) 500 ml</v>
      </c>
      <c r="AD670" s="7">
        <f>SUMIF(NF!$A:$A,$AC670,NF!$I:$I)</f>
        <v>3</v>
      </c>
      <c r="AE670" s="6"/>
      <c r="AF670" s="6">
        <v>1</v>
      </c>
      <c r="AG670" s="6"/>
      <c r="AH670" s="6"/>
      <c r="AI670" s="6"/>
      <c r="AJ670" s="6"/>
      <c r="AK670" s="6">
        <v>1</v>
      </c>
      <c r="AL670" s="7">
        <f t="shared" si="450"/>
        <v>2</v>
      </c>
      <c r="AM670" s="11">
        <f t="shared" si="440"/>
        <v>4</v>
      </c>
      <c r="AN670" s="25"/>
      <c r="AO670" s="10" t="str">
        <f t="shared" si="441"/>
        <v>MarçoSEMANA 4Azeite Extra Virgem (Santiago) 500 ml</v>
      </c>
      <c r="AP670" s="7">
        <f>SUMIF(NF!$A:$A,$AO670,NF!$I:$I)</f>
        <v>0</v>
      </c>
      <c r="AQ670" s="6"/>
      <c r="AR670" s="6"/>
      <c r="AS670" s="6">
        <v>1</v>
      </c>
      <c r="AT670" s="6"/>
      <c r="AU670" s="6"/>
      <c r="AV670" s="6"/>
      <c r="AW670" s="6"/>
      <c r="AX670" s="7">
        <f t="shared" si="451"/>
        <v>1</v>
      </c>
      <c r="AY670" s="11">
        <f t="shared" si="443"/>
        <v>3</v>
      </c>
      <c r="AZ670" s="25"/>
      <c r="BA670" s="10" t="str">
        <f t="shared" si="444"/>
        <v>MarçoSEMANA 5Azeite Extra Virgem (Santiago) 500 ml</v>
      </c>
      <c r="BB670" s="7">
        <f>SUMIF(NF!$A:$A,$BA670,NF!$I:$I)</f>
        <v>2</v>
      </c>
      <c r="BC670" s="6">
        <v>1</v>
      </c>
      <c r="BD670" s="6"/>
      <c r="BE670" s="6"/>
      <c r="BF670" s="6">
        <v>1</v>
      </c>
      <c r="BG670" s="6"/>
      <c r="BH670" s="6"/>
      <c r="BI670" s="74"/>
      <c r="BJ670" s="74"/>
      <c r="BK670" s="7">
        <f t="shared" si="452"/>
        <v>2</v>
      </c>
      <c r="BL670" s="8">
        <f t="shared" si="446"/>
        <v>3</v>
      </c>
      <c r="BM670" s="51" t="str">
        <f>IFERROR(VLOOKUP(A670,NF!$M:$O,3,0),"")</f>
        <v>Mercado</v>
      </c>
      <c r="BN670" s="7">
        <f t="shared" si="447"/>
        <v>9</v>
      </c>
      <c r="BO670" s="8">
        <f t="array" ref="BO670">IFERROR(LARGE(IF(NF!$G$2:$G$3137='Mês atual'!A670,NF!$J$2:$J$3137),1),0)*BN670</f>
        <v>1309.95</v>
      </c>
      <c r="BP670" s="50"/>
      <c r="BR670" s="146">
        <f t="array" ref="BR670">IFERROR(LARGE(IF(NF!$G$2:$G$3137='Mês atual'!A670,NF!$J$2:$J$3137),1),0)</f>
        <v>145.55000000000001</v>
      </c>
      <c r="BS670" s="142" t="str">
        <f>VLOOKUP(A670,NF!M:O,3,0)</f>
        <v>Mercado</v>
      </c>
      <c r="BV670" s="74">
        <f t="shared" si="422"/>
        <v>1</v>
      </c>
      <c r="BW670" s="74">
        <f t="shared" si="423"/>
        <v>3</v>
      </c>
      <c r="BX670" s="74">
        <f t="shared" si="424"/>
        <v>2</v>
      </c>
      <c r="BY670" s="74">
        <f t="shared" si="425"/>
        <v>1</v>
      </c>
      <c r="BZ670" s="74">
        <f t="shared" si="426"/>
        <v>2</v>
      </c>
    </row>
    <row r="671" spans="1:78" x14ac:dyDescent="0.2">
      <c r="A671" s="108" t="s">
        <v>154</v>
      </c>
      <c r="B671" s="12"/>
      <c r="C671" s="9">
        <v>0</v>
      </c>
      <c r="D671" s="25"/>
      <c r="E671" s="10" t="str">
        <f t="shared" si="432"/>
        <v>MarçoSEMANA 1Azeitona Azapa bd</v>
      </c>
      <c r="F671" s="7">
        <f>SUMIF(NF!$A:$A,$E671,NF!$I:$I)</f>
        <v>1</v>
      </c>
      <c r="G671" s="74"/>
      <c r="H671" s="74"/>
      <c r="I671" s="74"/>
      <c r="J671" s="6"/>
      <c r="K671" s="6"/>
      <c r="L671" s="6"/>
      <c r="M671" s="6"/>
      <c r="N671" s="7">
        <f t="shared" si="448"/>
        <v>0</v>
      </c>
      <c r="O671" s="11">
        <f t="shared" si="434"/>
        <v>1</v>
      </c>
      <c r="P671" s="25"/>
      <c r="Q671" s="10" t="str">
        <f t="shared" si="435"/>
        <v>MarçoSEMANA 2Azeitona Azapa bd</v>
      </c>
      <c r="R671" s="7">
        <f>SUMIF(NF!$A:$A,$Q671,NF!$I:$I)</f>
        <v>0</v>
      </c>
      <c r="S671" s="6"/>
      <c r="T671" s="6"/>
      <c r="U671" s="6"/>
      <c r="V671" s="6"/>
      <c r="W671" s="6"/>
      <c r="X671" s="6"/>
      <c r="Y671" s="6"/>
      <c r="Z671" s="7">
        <f t="shared" si="449"/>
        <v>0</v>
      </c>
      <c r="AA671" s="11">
        <f t="shared" si="437"/>
        <v>1</v>
      </c>
      <c r="AB671" s="25"/>
      <c r="AC671" s="10" t="str">
        <f t="shared" si="438"/>
        <v>MarçoSEMANA 3Azeitona Azapa bd</v>
      </c>
      <c r="AD671" s="7">
        <f>SUMIF(NF!$A:$A,$AC671,NF!$I:$I)</f>
        <v>0</v>
      </c>
      <c r="AE671" s="6"/>
      <c r="AF671" s="6"/>
      <c r="AG671" s="6"/>
      <c r="AH671" s="6"/>
      <c r="AI671" s="6"/>
      <c r="AJ671" s="6"/>
      <c r="AK671" s="6"/>
      <c r="AL671" s="7">
        <f t="shared" si="450"/>
        <v>0</v>
      </c>
      <c r="AM671" s="11">
        <f t="shared" si="440"/>
        <v>1</v>
      </c>
      <c r="AN671" s="25"/>
      <c r="AO671" s="10" t="str">
        <f t="shared" si="441"/>
        <v>MarçoSEMANA 4Azeitona Azapa bd</v>
      </c>
      <c r="AP671" s="7">
        <f>SUMIF(NF!$A:$A,$AO671,NF!$I:$I)</f>
        <v>0</v>
      </c>
      <c r="AQ671" s="6"/>
      <c r="AR671" s="6"/>
      <c r="AS671" s="6"/>
      <c r="AT671" s="6"/>
      <c r="AU671" s="6"/>
      <c r="AV671" s="6"/>
      <c r="AW671" s="6"/>
      <c r="AX671" s="7">
        <f t="shared" si="451"/>
        <v>0</v>
      </c>
      <c r="AY671" s="11">
        <f t="shared" si="443"/>
        <v>1</v>
      </c>
      <c r="AZ671" s="25"/>
      <c r="BA671" s="10" t="str">
        <f t="shared" si="444"/>
        <v>MarçoSEMANA 5Azeitona Azapa bd</v>
      </c>
      <c r="BB671" s="7">
        <f>SUMIF(NF!$A:$A,$BA671,NF!$I:$I)</f>
        <v>0</v>
      </c>
      <c r="BC671" s="6"/>
      <c r="BD671" s="6">
        <v>1</v>
      </c>
      <c r="BE671" s="6"/>
      <c r="BF671" s="6"/>
      <c r="BG671" s="6"/>
      <c r="BH671" s="6"/>
      <c r="BI671" s="74"/>
      <c r="BJ671" s="74"/>
      <c r="BK671" s="7">
        <f t="shared" si="452"/>
        <v>1</v>
      </c>
      <c r="BL671" s="8">
        <f t="shared" si="446"/>
        <v>0</v>
      </c>
      <c r="BM671" s="51" t="str">
        <f>IFERROR(VLOOKUP(A671,NF!$M:$O,3,0),"")</f>
        <v>Mercado</v>
      </c>
      <c r="BN671" s="7">
        <f t="shared" si="447"/>
        <v>1</v>
      </c>
      <c r="BO671" s="8">
        <f t="array" ref="BO671">IFERROR(LARGE(IF(NF!$G$2:$G$3137='Mês atual'!A671,NF!$J$2:$J$3137),1),0)*BN671</f>
        <v>43.6</v>
      </c>
      <c r="BP671" s="50"/>
      <c r="BR671" s="146">
        <f t="array" ref="BR671">IFERROR(LARGE(IF(NF!$G$2:$G$3137='Mês atual'!A671,NF!$J$2:$J$3137),1),0)</f>
        <v>43.6</v>
      </c>
      <c r="BS671" s="142" t="str">
        <f>VLOOKUP(A671,NF!M:O,3,0)</f>
        <v>Mercado</v>
      </c>
      <c r="BV671" s="74">
        <f t="shared" si="422"/>
        <v>0</v>
      </c>
      <c r="BW671" s="74">
        <f t="shared" si="423"/>
        <v>0</v>
      </c>
      <c r="BX671" s="74">
        <f t="shared" si="424"/>
        <v>0</v>
      </c>
      <c r="BY671" s="74">
        <f t="shared" si="425"/>
        <v>0</v>
      </c>
      <c r="BZ671" s="74">
        <f t="shared" si="426"/>
        <v>1</v>
      </c>
    </row>
    <row r="672" spans="1:78" x14ac:dyDescent="0.2">
      <c r="A672" s="108" t="s">
        <v>155</v>
      </c>
      <c r="B672" s="12"/>
      <c r="C672" s="9">
        <v>0</v>
      </c>
      <c r="D672" s="25"/>
      <c r="E672" s="10" t="str">
        <f t="shared" si="432"/>
        <v>MarçoSEMANA 1Azeitona preta Bd 3,200 kg</v>
      </c>
      <c r="F672" s="7">
        <f>SUMIF(NF!$A:$A,$E672,NF!$I:$I)</f>
        <v>0</v>
      </c>
      <c r="G672" s="74"/>
      <c r="H672" s="74"/>
      <c r="I672" s="74"/>
      <c r="J672" s="6"/>
      <c r="K672" s="6"/>
      <c r="L672" s="6"/>
      <c r="M672" s="6"/>
      <c r="N672" s="7">
        <f t="shared" si="448"/>
        <v>0</v>
      </c>
      <c r="O672" s="11">
        <f t="shared" si="434"/>
        <v>0</v>
      </c>
      <c r="P672" s="25"/>
      <c r="Q672" s="10" t="str">
        <f t="shared" si="435"/>
        <v>MarçoSEMANA 2Azeitona preta Bd 3,200 kg</v>
      </c>
      <c r="R672" s="7">
        <f>SUMIF(NF!$A:$A,$Q672,NF!$I:$I)</f>
        <v>0</v>
      </c>
      <c r="S672" s="6"/>
      <c r="T672" s="6"/>
      <c r="U672" s="6"/>
      <c r="V672" s="6"/>
      <c r="W672" s="6"/>
      <c r="X672" s="6"/>
      <c r="Y672" s="6"/>
      <c r="Z672" s="7">
        <f t="shared" si="449"/>
        <v>0</v>
      </c>
      <c r="AA672" s="11">
        <f t="shared" si="437"/>
        <v>0</v>
      </c>
      <c r="AB672" s="25"/>
      <c r="AC672" s="10" t="str">
        <f t="shared" si="438"/>
        <v>MarçoSEMANA 3Azeitona preta Bd 3,200 kg</v>
      </c>
      <c r="AD672" s="7">
        <f>SUMIF(NF!$A:$A,$AC672,NF!$I:$I)</f>
        <v>0</v>
      </c>
      <c r="AE672" s="6"/>
      <c r="AF672" s="6"/>
      <c r="AG672" s="6"/>
      <c r="AH672" s="6"/>
      <c r="AI672" s="6"/>
      <c r="AJ672" s="6"/>
      <c r="AK672" s="6"/>
      <c r="AL672" s="7">
        <f t="shared" si="450"/>
        <v>0</v>
      </c>
      <c r="AM672" s="11">
        <f t="shared" si="440"/>
        <v>0</v>
      </c>
      <c r="AN672" s="25"/>
      <c r="AO672" s="10" t="str">
        <f t="shared" si="441"/>
        <v>MarçoSEMANA 4Azeitona preta Bd 3,200 kg</v>
      </c>
      <c r="AP672" s="7">
        <f>SUMIF(NF!$A:$A,$AO672,NF!$I:$I)</f>
        <v>0</v>
      </c>
      <c r="AQ672" s="6"/>
      <c r="AR672" s="6"/>
      <c r="AS672" s="6"/>
      <c r="AT672" s="6"/>
      <c r="AU672" s="6"/>
      <c r="AV672" s="6"/>
      <c r="AW672" s="6"/>
      <c r="AX672" s="7">
        <f t="shared" si="451"/>
        <v>0</v>
      </c>
      <c r="AY672" s="11">
        <f t="shared" si="443"/>
        <v>0</v>
      </c>
      <c r="AZ672" s="25"/>
      <c r="BA672" s="10" t="str">
        <f t="shared" si="444"/>
        <v>MarçoSEMANA 5Azeitona preta Bd 3,200 kg</v>
      </c>
      <c r="BB672" s="7">
        <f>SUMIF(NF!$A:$A,$BA672,NF!$I:$I)</f>
        <v>0</v>
      </c>
      <c r="BC672" s="6"/>
      <c r="BD672" s="6"/>
      <c r="BE672" s="6"/>
      <c r="BF672" s="6"/>
      <c r="BG672" s="6"/>
      <c r="BH672" s="6"/>
      <c r="BI672" s="74"/>
      <c r="BJ672" s="74"/>
      <c r="BK672" s="7">
        <f t="shared" si="452"/>
        <v>0</v>
      </c>
      <c r="BL672" s="8">
        <f t="shared" si="446"/>
        <v>0</v>
      </c>
      <c r="BM672" s="51" t="str">
        <f>IFERROR(VLOOKUP(A672,NF!$M:$O,3,0),"")</f>
        <v>Mercado</v>
      </c>
      <c r="BN672" s="7">
        <f t="shared" si="447"/>
        <v>0</v>
      </c>
      <c r="BO672" s="8">
        <f t="array" ref="BO672">IFERROR(LARGE(IF(NF!$G$2:$G$3137='Mês atual'!A672,NF!$J$2:$J$3137),1),0)*BN672</f>
        <v>0</v>
      </c>
      <c r="BP672" s="50"/>
      <c r="BR672" s="146">
        <f t="array" ref="BR672">IFERROR(LARGE(IF(NF!$G$2:$G$3137='Mês atual'!A672,NF!$J$2:$J$3137),1),0)</f>
        <v>0</v>
      </c>
      <c r="BS672" s="142" t="str">
        <f>VLOOKUP(A672,NF!M:O,3,0)</f>
        <v>Mercado</v>
      </c>
      <c r="BV672" s="74">
        <f t="shared" si="422"/>
        <v>0</v>
      </c>
      <c r="BW672" s="74">
        <f t="shared" si="423"/>
        <v>0</v>
      </c>
      <c r="BX672" s="74">
        <f t="shared" si="424"/>
        <v>0</v>
      </c>
      <c r="BY672" s="74">
        <f t="shared" si="425"/>
        <v>0</v>
      </c>
      <c r="BZ672" s="74">
        <f t="shared" si="426"/>
        <v>0</v>
      </c>
    </row>
    <row r="673" spans="1:78" x14ac:dyDescent="0.2">
      <c r="A673" s="108" t="s">
        <v>156</v>
      </c>
      <c r="B673" s="12"/>
      <c r="C673" s="9">
        <v>0</v>
      </c>
      <c r="D673" s="25"/>
      <c r="E673" s="10" t="str">
        <f t="shared" si="432"/>
        <v>MarçoSEMANA 1Azeitona Preta Fatiada Bd 3 kg</v>
      </c>
      <c r="F673" s="7">
        <f>SUMIF(NF!$A:$A,$E673,NF!$I:$I)</f>
        <v>0</v>
      </c>
      <c r="G673" s="74"/>
      <c r="H673" s="74"/>
      <c r="I673" s="74"/>
      <c r="J673" s="6"/>
      <c r="K673" s="6"/>
      <c r="L673" s="6"/>
      <c r="M673" s="6"/>
      <c r="N673" s="7">
        <f t="shared" si="448"/>
        <v>0</v>
      </c>
      <c r="O673" s="11">
        <f t="shared" si="434"/>
        <v>0</v>
      </c>
      <c r="P673" s="25"/>
      <c r="Q673" s="10" t="str">
        <f t="shared" si="435"/>
        <v>MarçoSEMANA 2Azeitona Preta Fatiada Bd 3 kg</v>
      </c>
      <c r="R673" s="7">
        <f>SUMIF(NF!$A:$A,$Q673,NF!$I:$I)</f>
        <v>0</v>
      </c>
      <c r="S673" s="6"/>
      <c r="T673" s="6"/>
      <c r="U673" s="6"/>
      <c r="V673" s="6"/>
      <c r="W673" s="6"/>
      <c r="X673" s="6"/>
      <c r="Y673" s="6"/>
      <c r="Z673" s="7">
        <f t="shared" si="449"/>
        <v>0</v>
      </c>
      <c r="AA673" s="11">
        <f t="shared" si="437"/>
        <v>0</v>
      </c>
      <c r="AB673" s="25"/>
      <c r="AC673" s="10" t="str">
        <f t="shared" si="438"/>
        <v>MarçoSEMANA 3Azeitona Preta Fatiada Bd 3 kg</v>
      </c>
      <c r="AD673" s="7">
        <f>SUMIF(NF!$A:$A,$AC673,NF!$I:$I)</f>
        <v>0</v>
      </c>
      <c r="AE673" s="6"/>
      <c r="AF673" s="6"/>
      <c r="AG673" s="6"/>
      <c r="AH673" s="6"/>
      <c r="AI673" s="6"/>
      <c r="AJ673" s="6"/>
      <c r="AK673" s="6"/>
      <c r="AL673" s="7">
        <f t="shared" si="450"/>
        <v>0</v>
      </c>
      <c r="AM673" s="11">
        <f t="shared" si="440"/>
        <v>0</v>
      </c>
      <c r="AN673" s="25"/>
      <c r="AO673" s="10" t="str">
        <f t="shared" si="441"/>
        <v>MarçoSEMANA 4Azeitona Preta Fatiada Bd 3 kg</v>
      </c>
      <c r="AP673" s="7">
        <f>SUMIF(NF!$A:$A,$AO673,NF!$I:$I)</f>
        <v>0</v>
      </c>
      <c r="AQ673" s="6"/>
      <c r="AR673" s="6"/>
      <c r="AS673" s="6"/>
      <c r="AT673" s="6"/>
      <c r="AU673" s="6"/>
      <c r="AV673" s="6"/>
      <c r="AW673" s="6"/>
      <c r="AX673" s="7">
        <f t="shared" si="451"/>
        <v>0</v>
      </c>
      <c r="AY673" s="11">
        <f t="shared" si="443"/>
        <v>0</v>
      </c>
      <c r="AZ673" s="25"/>
      <c r="BA673" s="10" t="str">
        <f t="shared" si="444"/>
        <v>MarçoSEMANA 5Azeitona Preta Fatiada Bd 3 kg</v>
      </c>
      <c r="BB673" s="7">
        <f>SUMIF(NF!$A:$A,$BA673,NF!$I:$I)</f>
        <v>0</v>
      </c>
      <c r="BC673" s="6"/>
      <c r="BD673" s="6"/>
      <c r="BE673" s="6"/>
      <c r="BF673" s="6"/>
      <c r="BG673" s="6"/>
      <c r="BH673" s="6"/>
      <c r="BI673" s="74"/>
      <c r="BJ673" s="74"/>
      <c r="BK673" s="7">
        <f t="shared" si="452"/>
        <v>0</v>
      </c>
      <c r="BL673" s="8">
        <f t="shared" si="446"/>
        <v>0</v>
      </c>
      <c r="BM673" s="51" t="str">
        <f>IFERROR(VLOOKUP(A673,NF!$M:$O,3,0),"")</f>
        <v>Mercado</v>
      </c>
      <c r="BN673" s="7">
        <f t="shared" si="447"/>
        <v>0</v>
      </c>
      <c r="BO673" s="8">
        <f t="array" ref="BO673">IFERROR(LARGE(IF(NF!$G$2:$G$3137='Mês atual'!A673,NF!$J$2:$J$3137),1),0)*BN673</f>
        <v>0</v>
      </c>
      <c r="BP673" s="50"/>
      <c r="BR673" s="146">
        <f t="array" ref="BR673">IFERROR(LARGE(IF(NF!$G$2:$G$3137='Mês atual'!A673,NF!$J$2:$J$3137),1),0)</f>
        <v>0</v>
      </c>
      <c r="BS673" s="142" t="str">
        <f>VLOOKUP(A673,NF!M:O,3,0)</f>
        <v>Mercado</v>
      </c>
      <c r="BV673" s="74">
        <f t="shared" si="422"/>
        <v>0</v>
      </c>
      <c r="BW673" s="74">
        <f t="shared" si="423"/>
        <v>0</v>
      </c>
      <c r="BX673" s="74">
        <f t="shared" si="424"/>
        <v>0</v>
      </c>
      <c r="BY673" s="74">
        <f t="shared" si="425"/>
        <v>0</v>
      </c>
      <c r="BZ673" s="74">
        <f t="shared" si="426"/>
        <v>0</v>
      </c>
    </row>
    <row r="674" spans="1:78" x14ac:dyDescent="0.25">
      <c r="A674" s="108" t="s">
        <v>157</v>
      </c>
      <c r="B674" s="12"/>
      <c r="C674" s="9">
        <v>0</v>
      </c>
      <c r="D674" s="25"/>
      <c r="E674" s="10" t="str">
        <f t="shared" si="432"/>
        <v>MarçoSEMANA 1Azeitona Verde c/ Caroço Bd 2 kg</v>
      </c>
      <c r="F674" s="7">
        <f>SUMIF(NF!$A:$A,$E674,NF!$I:$I)</f>
        <v>0</v>
      </c>
      <c r="G674" s="74"/>
      <c r="H674" s="74"/>
      <c r="I674" s="74"/>
      <c r="J674" s="6"/>
      <c r="K674" s="6"/>
      <c r="L674" s="6"/>
      <c r="M674" s="6"/>
      <c r="N674" s="7">
        <f t="shared" si="448"/>
        <v>0</v>
      </c>
      <c r="O674" s="11">
        <f t="shared" si="434"/>
        <v>0</v>
      </c>
      <c r="P674" s="25"/>
      <c r="Q674" s="10" t="str">
        <f t="shared" si="435"/>
        <v>MarçoSEMANA 2Azeitona Verde c/ Caroço Bd 2 kg</v>
      </c>
      <c r="R674" s="7">
        <f>SUMIF(NF!$A:$A,$Q674,NF!$I:$I)</f>
        <v>0</v>
      </c>
      <c r="S674" s="6"/>
      <c r="T674" s="6"/>
      <c r="U674" s="6"/>
      <c r="V674" s="6"/>
      <c r="W674" s="6"/>
      <c r="X674" s="6"/>
      <c r="Y674" s="6"/>
      <c r="Z674" s="7">
        <f t="shared" si="449"/>
        <v>0</v>
      </c>
      <c r="AA674" s="11">
        <f t="shared" si="437"/>
        <v>0</v>
      </c>
      <c r="AB674" s="25"/>
      <c r="AC674" s="10" t="str">
        <f t="shared" si="438"/>
        <v>MarçoSEMANA 3Azeitona Verde c/ Caroço Bd 2 kg</v>
      </c>
      <c r="AD674" s="7">
        <f>SUMIF(NF!$A:$A,$AC674,NF!$I:$I)</f>
        <v>0</v>
      </c>
      <c r="AE674" s="6"/>
      <c r="AF674" s="6"/>
      <c r="AG674" s="6"/>
      <c r="AH674" s="6"/>
      <c r="AI674" s="6"/>
      <c r="AJ674" s="6"/>
      <c r="AK674" s="6"/>
      <c r="AL674" s="7">
        <f t="shared" si="450"/>
        <v>0</v>
      </c>
      <c r="AM674" s="11">
        <f t="shared" si="440"/>
        <v>0</v>
      </c>
      <c r="AN674" s="25"/>
      <c r="AO674" s="10" t="str">
        <f t="shared" si="441"/>
        <v>MarçoSEMANA 4Azeitona Verde c/ Caroço Bd 2 kg</v>
      </c>
      <c r="AP674" s="7">
        <f>SUMIF(NF!$A:$A,$AO674,NF!$I:$I)</f>
        <v>0</v>
      </c>
      <c r="AQ674" s="6"/>
      <c r="AR674" s="6"/>
      <c r="AS674" s="6"/>
      <c r="AT674" s="6"/>
      <c r="AU674" s="6"/>
      <c r="AV674" s="6"/>
      <c r="AW674" s="6"/>
      <c r="AX674" s="7">
        <f t="shared" si="451"/>
        <v>0</v>
      </c>
      <c r="AY674" s="11">
        <f t="shared" si="443"/>
        <v>0</v>
      </c>
      <c r="AZ674" s="25"/>
      <c r="BA674" s="10" t="str">
        <f t="shared" si="444"/>
        <v>MarçoSEMANA 5Azeitona Verde c/ Caroço Bd 2 kg</v>
      </c>
      <c r="BB674" s="7">
        <f>SUMIF(NF!$A:$A,$BA674,NF!$I:$I)</f>
        <v>0</v>
      </c>
      <c r="BC674" s="6"/>
      <c r="BD674" s="6"/>
      <c r="BE674" s="6"/>
      <c r="BF674" s="6"/>
      <c r="BG674" s="6"/>
      <c r="BH674" s="6"/>
      <c r="BI674" s="74"/>
      <c r="BJ674" s="74"/>
      <c r="BK674" s="7">
        <f t="shared" si="452"/>
        <v>0</v>
      </c>
      <c r="BL674" s="8">
        <f t="shared" si="446"/>
        <v>0</v>
      </c>
      <c r="BM674" s="51" t="str">
        <f>IFERROR(VLOOKUP(A674,NF!$M:$O,3,0),"")</f>
        <v>Mercado</v>
      </c>
      <c r="BN674" s="7">
        <f t="shared" si="447"/>
        <v>0</v>
      </c>
      <c r="BO674" s="8">
        <f t="array" ref="BO674">IFERROR(LARGE(IF(NF!$G$2:$G$3137='Mês atual'!A674,NF!$J$2:$J$3137),1),0)*BN674</f>
        <v>0</v>
      </c>
      <c r="BP674" s="50"/>
      <c r="BR674" s="146">
        <f t="array" ref="BR674">IFERROR(LARGE(IF(NF!$G$2:$G$3137='Mês atual'!A674,NF!$J$2:$J$3137),1),0)</f>
        <v>0</v>
      </c>
      <c r="BS674" s="142" t="str">
        <f>VLOOKUP(A674,NF!M:O,3,0)</f>
        <v>Mercado</v>
      </c>
      <c r="BV674" s="74">
        <f t="shared" si="422"/>
        <v>0</v>
      </c>
      <c r="BW674" s="74">
        <f t="shared" si="423"/>
        <v>0</v>
      </c>
      <c r="BX674" s="74">
        <f t="shared" si="424"/>
        <v>0</v>
      </c>
      <c r="BY674" s="74">
        <f t="shared" si="425"/>
        <v>0</v>
      </c>
      <c r="BZ674" s="74">
        <f t="shared" si="426"/>
        <v>0</v>
      </c>
    </row>
    <row r="675" spans="1:78" x14ac:dyDescent="0.2">
      <c r="A675" s="108" t="s">
        <v>158</v>
      </c>
      <c r="B675" s="12"/>
      <c r="C675" s="9">
        <v>1</v>
      </c>
      <c r="D675" s="25"/>
      <c r="E675" s="10" t="str">
        <f t="shared" si="432"/>
        <v>MarçoSEMANA 1Azeitona Verde Fatiada Bd 2 kg</v>
      </c>
      <c r="F675" s="7">
        <f>SUMIF(NF!$A:$A,$E675,NF!$I:$I)</f>
        <v>1</v>
      </c>
      <c r="G675" s="74"/>
      <c r="H675" s="74"/>
      <c r="I675" s="74"/>
      <c r="J675" s="6">
        <v>1</v>
      </c>
      <c r="K675" s="6"/>
      <c r="L675" s="6"/>
      <c r="M675" s="6"/>
      <c r="N675" s="7">
        <f t="shared" si="448"/>
        <v>1</v>
      </c>
      <c r="O675" s="11">
        <f t="shared" si="434"/>
        <v>1</v>
      </c>
      <c r="P675" s="25"/>
      <c r="Q675" s="10" t="str">
        <f t="shared" si="435"/>
        <v>MarçoSEMANA 2Azeitona Verde Fatiada Bd 2 kg</v>
      </c>
      <c r="R675" s="7">
        <f>SUMIF(NF!$A:$A,$Q675,NF!$I:$I)</f>
        <v>1</v>
      </c>
      <c r="S675" s="6"/>
      <c r="T675" s="6"/>
      <c r="U675" s="6">
        <v>1</v>
      </c>
      <c r="V675" s="6"/>
      <c r="W675" s="6"/>
      <c r="X675" s="6"/>
      <c r="Y675" s="6">
        <v>1</v>
      </c>
      <c r="Z675" s="7">
        <f t="shared" si="449"/>
        <v>2</v>
      </c>
      <c r="AA675" s="11">
        <f t="shared" si="437"/>
        <v>0</v>
      </c>
      <c r="AB675" s="25"/>
      <c r="AC675" s="10" t="str">
        <f t="shared" si="438"/>
        <v>MarçoSEMANA 3Azeitona Verde Fatiada Bd 2 kg</v>
      </c>
      <c r="AD675" s="7">
        <f>SUMIF(NF!$A:$A,$AC675,NF!$I:$I)</f>
        <v>2</v>
      </c>
      <c r="AE675" s="6"/>
      <c r="AF675" s="6"/>
      <c r="AG675" s="6"/>
      <c r="AH675" s="6"/>
      <c r="AI675" s="6"/>
      <c r="AJ675" s="6"/>
      <c r="AK675" s="6"/>
      <c r="AL675" s="7">
        <f t="shared" si="450"/>
        <v>0</v>
      </c>
      <c r="AM675" s="11">
        <f t="shared" si="440"/>
        <v>2</v>
      </c>
      <c r="AN675" s="25"/>
      <c r="AO675" s="10" t="str">
        <f t="shared" si="441"/>
        <v>MarçoSEMANA 4Azeitona Verde Fatiada Bd 2 kg</v>
      </c>
      <c r="AP675" s="7">
        <f>SUMIF(NF!$A:$A,$AO675,NF!$I:$I)</f>
        <v>0</v>
      </c>
      <c r="AQ675" s="6"/>
      <c r="AR675" s="6"/>
      <c r="AS675" s="6"/>
      <c r="AT675" s="6">
        <v>1</v>
      </c>
      <c r="AU675" s="6"/>
      <c r="AV675" s="6"/>
      <c r="AW675" s="6"/>
      <c r="AX675" s="7">
        <f t="shared" si="451"/>
        <v>1</v>
      </c>
      <c r="AY675" s="11">
        <f t="shared" si="443"/>
        <v>1</v>
      </c>
      <c r="AZ675" s="25"/>
      <c r="BA675" s="10" t="str">
        <f t="shared" si="444"/>
        <v>MarçoSEMANA 5Azeitona Verde Fatiada Bd 2 kg</v>
      </c>
      <c r="BB675" s="7">
        <f>SUMIF(NF!$A:$A,$BA675,NF!$I:$I)</f>
        <v>1</v>
      </c>
      <c r="BC675" s="6">
        <v>1</v>
      </c>
      <c r="BD675" s="6"/>
      <c r="BE675" s="6"/>
      <c r="BF675" s="6"/>
      <c r="BG675" s="6">
        <v>1</v>
      </c>
      <c r="BH675" s="6"/>
      <c r="BI675" s="74"/>
      <c r="BJ675" s="74"/>
      <c r="BK675" s="7">
        <f t="shared" si="452"/>
        <v>2</v>
      </c>
      <c r="BL675" s="8">
        <f t="shared" si="446"/>
        <v>0</v>
      </c>
      <c r="BM675" s="51" t="str">
        <f>IFERROR(VLOOKUP(A675,NF!$M:$O,3,0),"")</f>
        <v>Mercado</v>
      </c>
      <c r="BN675" s="7">
        <f t="shared" si="447"/>
        <v>6</v>
      </c>
      <c r="BO675" s="8">
        <f t="array" ref="BO675">IFERROR(LARGE(IF(NF!$G$2:$G$3137='Mês atual'!A675,NF!$J$2:$J$3137),1),0)*BN675</f>
        <v>149.88</v>
      </c>
      <c r="BP675" s="50"/>
      <c r="BR675" s="146">
        <f t="array" ref="BR675">IFERROR(LARGE(IF(NF!$G$2:$G$3137='Mês atual'!A675,NF!$J$2:$J$3137),1),0)</f>
        <v>24.98</v>
      </c>
      <c r="BS675" s="142" t="str">
        <f>VLOOKUP(A675,NF!M:O,3,0)</f>
        <v>Mercado</v>
      </c>
      <c r="BV675" s="74">
        <f t="shared" si="422"/>
        <v>1</v>
      </c>
      <c r="BW675" s="74">
        <f t="shared" si="423"/>
        <v>2</v>
      </c>
      <c r="BX675" s="74">
        <f t="shared" si="424"/>
        <v>0</v>
      </c>
      <c r="BY675" s="74">
        <f t="shared" si="425"/>
        <v>1</v>
      </c>
      <c r="BZ675" s="74">
        <f t="shared" si="426"/>
        <v>2</v>
      </c>
    </row>
    <row r="676" spans="1:78" x14ac:dyDescent="0.25">
      <c r="A676" s="108" t="s">
        <v>1038</v>
      </c>
      <c r="B676" s="12"/>
      <c r="C676" s="9">
        <v>0</v>
      </c>
      <c r="D676" s="25"/>
      <c r="E676" s="10" t="str">
        <f t="shared" si="432"/>
        <v>MarçoSEMANA 1Banete Pec Pão (cozinha)</v>
      </c>
      <c r="F676" s="7">
        <f>SUMIF(NF!$A:$A,$E676,NF!$I:$I)</f>
        <v>0</v>
      </c>
      <c r="G676" s="74"/>
      <c r="H676" s="74"/>
      <c r="I676" s="74"/>
      <c r="J676" s="6"/>
      <c r="K676" s="6"/>
      <c r="L676" s="6"/>
      <c r="M676" s="6"/>
      <c r="N676" s="7">
        <f>SUM(G676:M676)</f>
        <v>0</v>
      </c>
      <c r="O676" s="11">
        <f>F676+C676-N676</f>
        <v>0</v>
      </c>
      <c r="P676" s="25"/>
      <c r="Q676" s="10" t="str">
        <f t="shared" si="435"/>
        <v>MarçoSEMANA 2Banete Pec Pão (cozinha)</v>
      </c>
      <c r="R676" s="7">
        <f>SUMIF(NF!$A:$A,$Q676,NF!$I:$I)</f>
        <v>0</v>
      </c>
      <c r="S676" s="6"/>
      <c r="T676" s="6"/>
      <c r="U676" s="6"/>
      <c r="V676" s="6"/>
      <c r="W676" s="6"/>
      <c r="X676" s="6"/>
      <c r="Y676" s="6"/>
      <c r="Z676" s="7">
        <f>SUM(S676:Y676)</f>
        <v>0</v>
      </c>
      <c r="AA676" s="11">
        <f>R676+O676-Z676</f>
        <v>0</v>
      </c>
      <c r="AB676" s="25"/>
      <c r="AC676" s="10" t="str">
        <f t="shared" si="438"/>
        <v>MarçoSEMANA 3Banete Pec Pão (cozinha)</v>
      </c>
      <c r="AD676" s="7">
        <f>SUMIF(NF!$A:$A,$AC676,NF!$I:$I)</f>
        <v>0</v>
      </c>
      <c r="AE676" s="6"/>
      <c r="AF676" s="6"/>
      <c r="AG676" s="6"/>
      <c r="AH676" s="6"/>
      <c r="AI676" s="6"/>
      <c r="AJ676" s="6"/>
      <c r="AK676" s="6"/>
      <c r="AL676" s="7">
        <f>SUM(AE676:AK676)</f>
        <v>0</v>
      </c>
      <c r="AM676" s="11">
        <f>AD676+AA676-AL676</f>
        <v>0</v>
      </c>
      <c r="AN676" s="25"/>
      <c r="AO676" s="10" t="str">
        <f t="shared" si="441"/>
        <v>MarçoSEMANA 4Banete Pec Pão (cozinha)</v>
      </c>
      <c r="AP676" s="7">
        <f>SUMIF(NF!$A:$A,$AO676,NF!$I:$I)</f>
        <v>0</v>
      </c>
      <c r="AQ676" s="6"/>
      <c r="AR676" s="6"/>
      <c r="AS676" s="6"/>
      <c r="AT676" s="6"/>
      <c r="AU676" s="6"/>
      <c r="AV676" s="6"/>
      <c r="AW676" s="6"/>
      <c r="AX676" s="7">
        <f>SUM(AQ676:AW676)</f>
        <v>0</v>
      </c>
      <c r="AY676" s="11">
        <f>AP676+AM676-AX676</f>
        <v>0</v>
      </c>
      <c r="AZ676" s="25"/>
      <c r="BA676" s="10" t="str">
        <f t="shared" si="444"/>
        <v>MarçoSEMANA 5Banete Pec Pão (cozinha)</v>
      </c>
      <c r="BB676" s="7">
        <f>SUMIF(NF!$A:$A,$BA676,NF!$I:$I)</f>
        <v>0</v>
      </c>
      <c r="BC676" s="6"/>
      <c r="BD676" s="6"/>
      <c r="BE676" s="6"/>
      <c r="BF676" s="6"/>
      <c r="BG676" s="6"/>
      <c r="BH676" s="6"/>
      <c r="BI676" s="74"/>
      <c r="BJ676" s="74"/>
      <c r="BK676" s="7">
        <f>SUM(BC676:BJ676)</f>
        <v>0</v>
      </c>
      <c r="BL676" s="8">
        <f>BB676+AY676-BK676</f>
        <v>0</v>
      </c>
      <c r="BM676" s="51" t="str">
        <f>IFERROR(VLOOKUP(A676,NF!$M:$O,3,0),"")</f>
        <v>Mercado</v>
      </c>
      <c r="BN676" s="7">
        <f>SUM(N676,Z676,AL676,AX676,BK676)</f>
        <v>0</v>
      </c>
      <c r="BO676" s="8">
        <f t="array" ref="BO676">IFERROR(LARGE(IF(NF!$G$2:$G$3137='Mês atual'!A676,NF!$J$2:$J$3137),1),0)*BN676</f>
        <v>0</v>
      </c>
      <c r="BP676" s="50"/>
      <c r="BR676" s="146">
        <f t="array" ref="BR676">IFERROR(LARGE(IF(NF!$G$2:$G$3137='Mês atual'!A676,NF!$J$2:$J$3137),1),0)</f>
        <v>0</v>
      </c>
      <c r="BS676" s="142" t="str">
        <f>VLOOKUP(A676,NF!M:O,3,0)</f>
        <v>Mercado</v>
      </c>
      <c r="BV676" s="74">
        <f t="shared" si="422"/>
        <v>0</v>
      </c>
      <c r="BW676" s="74">
        <f t="shared" si="423"/>
        <v>0</v>
      </c>
      <c r="BX676" s="74">
        <f t="shared" si="424"/>
        <v>0</v>
      </c>
      <c r="BY676" s="74">
        <f t="shared" si="425"/>
        <v>0</v>
      </c>
      <c r="BZ676" s="74">
        <f t="shared" si="426"/>
        <v>0</v>
      </c>
    </row>
    <row r="677" spans="1:78" x14ac:dyDescent="0.2">
      <c r="A677" s="108" t="s">
        <v>168</v>
      </c>
      <c r="B677" s="12"/>
      <c r="C677" s="9">
        <v>0</v>
      </c>
      <c r="D677" s="25"/>
      <c r="E677" s="10" t="str">
        <f t="shared" si="432"/>
        <v>MarçoSEMANA 1Barra de Chocolate Nestle Classic</v>
      </c>
      <c r="F677" s="7">
        <f>SUMIF(NF!$A:$A,$E677,NF!$I:$I)</f>
        <v>0</v>
      </c>
      <c r="G677" s="74"/>
      <c r="H677" s="74"/>
      <c r="I677" s="74"/>
      <c r="J677" s="6"/>
      <c r="K677" s="6"/>
      <c r="L677" s="6"/>
      <c r="M677" s="6"/>
      <c r="N677" s="7">
        <f t="shared" si="448"/>
        <v>0</v>
      </c>
      <c r="O677" s="11">
        <f t="shared" si="434"/>
        <v>0</v>
      </c>
      <c r="P677" s="25"/>
      <c r="Q677" s="10" t="str">
        <f t="shared" si="435"/>
        <v>MarçoSEMANA 2Barra de Chocolate Nestle Classic</v>
      </c>
      <c r="R677" s="7">
        <f>SUMIF(NF!$A:$A,$Q677,NF!$I:$I)</f>
        <v>0</v>
      </c>
      <c r="S677" s="6"/>
      <c r="T677" s="6"/>
      <c r="U677" s="6"/>
      <c r="V677" s="6"/>
      <c r="W677" s="6"/>
      <c r="X677" s="6"/>
      <c r="Y677" s="6"/>
      <c r="Z677" s="7">
        <f t="shared" si="449"/>
        <v>0</v>
      </c>
      <c r="AA677" s="11">
        <f t="shared" si="437"/>
        <v>0</v>
      </c>
      <c r="AB677" s="25"/>
      <c r="AC677" s="10" t="str">
        <f t="shared" si="438"/>
        <v>MarçoSEMANA 3Barra de Chocolate Nestle Classic</v>
      </c>
      <c r="AD677" s="7">
        <f>SUMIF(NF!$A:$A,$AC677,NF!$I:$I)</f>
        <v>0</v>
      </c>
      <c r="AE677" s="6"/>
      <c r="AF677" s="6"/>
      <c r="AG677" s="6"/>
      <c r="AH677" s="6"/>
      <c r="AI677" s="6"/>
      <c r="AJ677" s="6"/>
      <c r="AK677" s="6"/>
      <c r="AL677" s="7">
        <f t="shared" si="450"/>
        <v>0</v>
      </c>
      <c r="AM677" s="11">
        <f t="shared" si="440"/>
        <v>0</v>
      </c>
      <c r="AN677" s="25"/>
      <c r="AO677" s="10" t="str">
        <f t="shared" si="441"/>
        <v>MarçoSEMANA 4Barra de Chocolate Nestle Classic</v>
      </c>
      <c r="AP677" s="7">
        <f>SUMIF(NF!$A:$A,$AO677,NF!$I:$I)</f>
        <v>0</v>
      </c>
      <c r="AQ677" s="6"/>
      <c r="AR677" s="6"/>
      <c r="AS677" s="6"/>
      <c r="AT677" s="6"/>
      <c r="AU677" s="6"/>
      <c r="AV677" s="6"/>
      <c r="AW677" s="6"/>
      <c r="AX677" s="7">
        <f t="shared" si="451"/>
        <v>0</v>
      </c>
      <c r="AY677" s="11">
        <f t="shared" si="443"/>
        <v>0</v>
      </c>
      <c r="AZ677" s="25"/>
      <c r="BA677" s="10" t="str">
        <f t="shared" si="444"/>
        <v>MarçoSEMANA 5Barra de Chocolate Nestle Classic</v>
      </c>
      <c r="BB677" s="7">
        <f>SUMIF(NF!$A:$A,$BA677,NF!$I:$I)</f>
        <v>0</v>
      </c>
      <c r="BC677" s="6"/>
      <c r="BD677" s="6"/>
      <c r="BE677" s="6"/>
      <c r="BF677" s="6"/>
      <c r="BG677" s="6"/>
      <c r="BH677" s="6"/>
      <c r="BI677" s="74"/>
      <c r="BJ677" s="74"/>
      <c r="BK677" s="7">
        <f t="shared" si="452"/>
        <v>0</v>
      </c>
      <c r="BL677" s="8">
        <f t="shared" si="446"/>
        <v>0</v>
      </c>
      <c r="BM677" s="51" t="str">
        <f>IFERROR(VLOOKUP(A677,NF!$M:$O,3,0),"")</f>
        <v>Mercado</v>
      </c>
      <c r="BN677" s="7">
        <f t="shared" si="447"/>
        <v>0</v>
      </c>
      <c r="BO677" s="8">
        <f t="array" ref="BO677">IFERROR(LARGE(IF(NF!$G$2:$G$3137='Mês atual'!A677,NF!$J$2:$J$3137),1),0)*BN677</f>
        <v>0</v>
      </c>
      <c r="BP677" s="50"/>
      <c r="BR677" s="146">
        <f t="array" ref="BR677">IFERROR(LARGE(IF(NF!$G$2:$G$3137='Mês atual'!A677,NF!$J$2:$J$3137),1),0)</f>
        <v>0</v>
      </c>
      <c r="BS677" s="142" t="str">
        <f>VLOOKUP(A677,NF!M:O,3,0)</f>
        <v>Mercado</v>
      </c>
      <c r="BV677" s="74">
        <f t="shared" si="422"/>
        <v>0</v>
      </c>
      <c r="BW677" s="74">
        <f t="shared" si="423"/>
        <v>0</v>
      </c>
      <c r="BX677" s="74">
        <f t="shared" si="424"/>
        <v>0</v>
      </c>
      <c r="BY677" s="74">
        <f t="shared" si="425"/>
        <v>0</v>
      </c>
      <c r="BZ677" s="74">
        <f t="shared" si="426"/>
        <v>0</v>
      </c>
    </row>
    <row r="678" spans="1:78" x14ac:dyDescent="0.2">
      <c r="A678" s="108" t="s">
        <v>173</v>
      </c>
      <c r="B678" s="12"/>
      <c r="C678" s="9">
        <v>0</v>
      </c>
      <c r="D678" s="25"/>
      <c r="E678" s="10" t="str">
        <f t="shared" si="432"/>
        <v>MarçoSEMANA 1Batata Noisete</v>
      </c>
      <c r="F678" s="7">
        <f>SUMIF(NF!$A:$A,$E678,NF!$I:$I)</f>
        <v>0</v>
      </c>
      <c r="G678" s="74"/>
      <c r="H678" s="74"/>
      <c r="I678" s="74"/>
      <c r="J678" s="6"/>
      <c r="K678" s="6"/>
      <c r="L678" s="6"/>
      <c r="M678" s="6"/>
      <c r="N678" s="7">
        <f t="shared" si="448"/>
        <v>0</v>
      </c>
      <c r="O678" s="11">
        <f t="shared" si="434"/>
        <v>0</v>
      </c>
      <c r="P678" s="25"/>
      <c r="Q678" s="10" t="str">
        <f t="shared" si="435"/>
        <v>MarçoSEMANA 2Batata Noisete</v>
      </c>
      <c r="R678" s="7">
        <f>SUMIF(NF!$A:$A,$Q678,NF!$I:$I)</f>
        <v>0</v>
      </c>
      <c r="S678" s="6"/>
      <c r="T678" s="6"/>
      <c r="U678" s="6"/>
      <c r="V678" s="6"/>
      <c r="W678" s="6"/>
      <c r="X678" s="6"/>
      <c r="Y678" s="6"/>
      <c r="Z678" s="7">
        <f t="shared" si="449"/>
        <v>0</v>
      </c>
      <c r="AA678" s="11">
        <f t="shared" si="437"/>
        <v>0</v>
      </c>
      <c r="AB678" s="25"/>
      <c r="AC678" s="10" t="str">
        <f t="shared" si="438"/>
        <v>MarçoSEMANA 3Batata Noisete</v>
      </c>
      <c r="AD678" s="7">
        <f>SUMIF(NF!$A:$A,$AC678,NF!$I:$I)</f>
        <v>0</v>
      </c>
      <c r="AE678" s="6"/>
      <c r="AF678" s="6"/>
      <c r="AG678" s="6"/>
      <c r="AH678" s="6"/>
      <c r="AI678" s="6"/>
      <c r="AJ678" s="6"/>
      <c r="AK678" s="6"/>
      <c r="AL678" s="7">
        <f t="shared" si="450"/>
        <v>0</v>
      </c>
      <c r="AM678" s="11">
        <f t="shared" si="440"/>
        <v>0</v>
      </c>
      <c r="AN678" s="25"/>
      <c r="AO678" s="10" t="str">
        <f t="shared" si="441"/>
        <v>MarçoSEMANA 4Batata Noisete</v>
      </c>
      <c r="AP678" s="7">
        <f>SUMIF(NF!$A:$A,$AO678,NF!$I:$I)</f>
        <v>0</v>
      </c>
      <c r="AQ678" s="6"/>
      <c r="AR678" s="6"/>
      <c r="AS678" s="6"/>
      <c r="AT678" s="6"/>
      <c r="AU678" s="6"/>
      <c r="AV678" s="6"/>
      <c r="AW678" s="6"/>
      <c r="AX678" s="7">
        <f t="shared" si="451"/>
        <v>0</v>
      </c>
      <c r="AY678" s="11">
        <f t="shared" si="443"/>
        <v>0</v>
      </c>
      <c r="AZ678" s="25"/>
      <c r="BA678" s="10" t="str">
        <f t="shared" si="444"/>
        <v>MarçoSEMANA 5Batata Noisete</v>
      </c>
      <c r="BB678" s="7">
        <f>SUMIF(NF!$A:$A,$BA678,NF!$I:$I)</f>
        <v>0</v>
      </c>
      <c r="BC678" s="6"/>
      <c r="BD678" s="6"/>
      <c r="BE678" s="6"/>
      <c r="BF678" s="6"/>
      <c r="BG678" s="6"/>
      <c r="BH678" s="6"/>
      <c r="BI678" s="74"/>
      <c r="BJ678" s="74"/>
      <c r="BK678" s="7">
        <f t="shared" si="452"/>
        <v>0</v>
      </c>
      <c r="BL678" s="8">
        <f t="shared" si="446"/>
        <v>0</v>
      </c>
      <c r="BM678" s="51" t="str">
        <f>IFERROR(VLOOKUP(A678,NF!$M:$O,3,0),"")</f>
        <v>Mercado</v>
      </c>
      <c r="BN678" s="7">
        <f t="shared" si="447"/>
        <v>0</v>
      </c>
      <c r="BO678" s="8">
        <f t="array" ref="BO678">IFERROR(LARGE(IF(NF!$G$2:$G$3137='Mês atual'!A678,NF!$J$2:$J$3137),1),0)*BN678</f>
        <v>0</v>
      </c>
      <c r="BP678" s="50"/>
      <c r="BR678" s="146">
        <f t="array" ref="BR678">IFERROR(LARGE(IF(NF!$G$2:$G$3137='Mês atual'!A678,NF!$J$2:$J$3137),1),0)</f>
        <v>0</v>
      </c>
      <c r="BS678" s="142" t="str">
        <f>VLOOKUP(A678,NF!M:O,3,0)</f>
        <v>Mercado</v>
      </c>
      <c r="BV678" s="74">
        <f t="shared" si="422"/>
        <v>0</v>
      </c>
      <c r="BW678" s="74">
        <f t="shared" si="423"/>
        <v>0</v>
      </c>
      <c r="BX678" s="74">
        <f t="shared" si="424"/>
        <v>0</v>
      </c>
      <c r="BY678" s="74">
        <f t="shared" si="425"/>
        <v>0</v>
      </c>
      <c r="BZ678" s="74">
        <f t="shared" si="426"/>
        <v>0</v>
      </c>
    </row>
    <row r="679" spans="1:78" x14ac:dyDescent="0.2">
      <c r="A679" s="108" t="s">
        <v>174</v>
      </c>
      <c r="B679" s="12"/>
      <c r="C679" s="9">
        <v>1</v>
      </c>
      <c r="D679" s="25"/>
      <c r="E679" s="10" t="str">
        <f t="shared" si="432"/>
        <v>MarçoSEMANA 1Batata Palha 140 g</v>
      </c>
      <c r="F679" s="7">
        <f>SUMIF(NF!$A:$A,$E679,NF!$I:$I)</f>
        <v>5</v>
      </c>
      <c r="G679" s="74"/>
      <c r="H679" s="74"/>
      <c r="I679" s="74"/>
      <c r="J679" s="6">
        <v>1</v>
      </c>
      <c r="K679" s="6">
        <v>1</v>
      </c>
      <c r="L679" s="6"/>
      <c r="M679" s="6"/>
      <c r="N679" s="7">
        <f t="shared" si="448"/>
        <v>2</v>
      </c>
      <c r="O679" s="11">
        <f t="shared" si="434"/>
        <v>4</v>
      </c>
      <c r="P679" s="25"/>
      <c r="Q679" s="10" t="str">
        <f t="shared" si="435"/>
        <v>MarçoSEMANA 2Batata Palha 140 g</v>
      </c>
      <c r="R679" s="7">
        <f>SUMIF(NF!$A:$A,$Q679,NF!$I:$I)</f>
        <v>4</v>
      </c>
      <c r="S679" s="6">
        <v>1</v>
      </c>
      <c r="T679" s="6">
        <v>1</v>
      </c>
      <c r="U679" s="6"/>
      <c r="V679" s="6">
        <v>2</v>
      </c>
      <c r="W679" s="6"/>
      <c r="X679" s="6"/>
      <c r="Y679" s="6"/>
      <c r="Z679" s="7">
        <f t="shared" si="449"/>
        <v>4</v>
      </c>
      <c r="AA679" s="11">
        <f t="shared" si="437"/>
        <v>4</v>
      </c>
      <c r="AB679" s="25"/>
      <c r="AC679" s="10" t="str">
        <f t="shared" si="438"/>
        <v>MarçoSEMANA 3Batata Palha 140 g</v>
      </c>
      <c r="AD679" s="7">
        <f>SUMIF(NF!$A:$A,$AC679,NF!$I:$I)</f>
        <v>3</v>
      </c>
      <c r="AE679" s="6">
        <v>1</v>
      </c>
      <c r="AF679" s="6"/>
      <c r="AG679" s="6">
        <v>1</v>
      </c>
      <c r="AH679" s="6"/>
      <c r="AI679" s="6"/>
      <c r="AJ679" s="6">
        <v>3</v>
      </c>
      <c r="AK679" s="6"/>
      <c r="AL679" s="7">
        <f t="shared" si="450"/>
        <v>5</v>
      </c>
      <c r="AM679" s="11">
        <f t="shared" si="440"/>
        <v>2</v>
      </c>
      <c r="AN679" s="25"/>
      <c r="AO679" s="10" t="str">
        <f t="shared" si="441"/>
        <v>MarçoSEMANA 4Batata Palha 140 g</v>
      </c>
      <c r="AP679" s="7">
        <f>SUMIF(NF!$A:$A,$AO679,NF!$I:$I)</f>
        <v>5</v>
      </c>
      <c r="AQ679" s="6">
        <v>1</v>
      </c>
      <c r="AR679" s="6"/>
      <c r="AS679" s="6">
        <v>2</v>
      </c>
      <c r="AT679" s="6"/>
      <c r="AU679" s="6">
        <v>1</v>
      </c>
      <c r="AV679" s="6"/>
      <c r="AW679" s="6">
        <v>2</v>
      </c>
      <c r="AX679" s="7">
        <f t="shared" si="451"/>
        <v>6</v>
      </c>
      <c r="AY679" s="11">
        <f t="shared" si="443"/>
        <v>1</v>
      </c>
      <c r="AZ679" s="25"/>
      <c r="BA679" s="10" t="str">
        <f t="shared" si="444"/>
        <v>MarçoSEMANA 5Batata Palha 140 g</v>
      </c>
      <c r="BB679" s="7">
        <f>SUMIF(NF!$A:$A,$BA679,NF!$I:$I)</f>
        <v>4</v>
      </c>
      <c r="BC679" s="6"/>
      <c r="BD679" s="6"/>
      <c r="BE679" s="6"/>
      <c r="BF679" s="6">
        <v>1</v>
      </c>
      <c r="BG679" s="6">
        <v>2</v>
      </c>
      <c r="BH679" s="6"/>
      <c r="BI679" s="74"/>
      <c r="BJ679" s="74"/>
      <c r="BK679" s="7">
        <f t="shared" si="452"/>
        <v>3</v>
      </c>
      <c r="BL679" s="8">
        <f t="shared" si="446"/>
        <v>2</v>
      </c>
      <c r="BM679" s="51" t="str">
        <f>IFERROR(VLOOKUP(A679,NF!$M:$O,3,0),"")</f>
        <v>Mercado</v>
      </c>
      <c r="BN679" s="7">
        <f t="shared" si="447"/>
        <v>20</v>
      </c>
      <c r="BO679" s="8">
        <f t="array" ref="BO679">IFERROR(LARGE(IF(NF!$G$2:$G$3137='Mês atual'!A679,NF!$J$2:$J$3137),1),0)*BN679</f>
        <v>150</v>
      </c>
      <c r="BP679" s="50"/>
      <c r="BR679" s="146">
        <f t="array" ref="BR679">IFERROR(LARGE(IF(NF!$G$2:$G$3137='Mês atual'!A679,NF!$J$2:$J$3137),1),0)</f>
        <v>7.5</v>
      </c>
      <c r="BS679" s="142" t="str">
        <f>VLOOKUP(A679,NF!M:O,3,0)</f>
        <v>Mercado</v>
      </c>
      <c r="BV679" s="74">
        <f t="shared" si="422"/>
        <v>2</v>
      </c>
      <c r="BW679" s="74">
        <f t="shared" si="423"/>
        <v>4</v>
      </c>
      <c r="BX679" s="74">
        <f t="shared" si="424"/>
        <v>5</v>
      </c>
      <c r="BY679" s="74">
        <f t="shared" si="425"/>
        <v>6</v>
      </c>
      <c r="BZ679" s="74">
        <f t="shared" si="426"/>
        <v>3</v>
      </c>
    </row>
    <row r="680" spans="1:78" x14ac:dyDescent="0.2">
      <c r="A680" s="108" t="s">
        <v>902</v>
      </c>
      <c r="B680" s="12"/>
      <c r="C680" s="9">
        <v>0</v>
      </c>
      <c r="D680" s="25"/>
      <c r="E680" s="10" t="str">
        <f t="shared" si="432"/>
        <v>MarçoSEMANA 1Batata Palha 80 g</v>
      </c>
      <c r="F680" s="7">
        <f>SUMIF(NF!$A:$A,$E680,NF!$I:$I)</f>
        <v>0</v>
      </c>
      <c r="G680" s="74"/>
      <c r="H680" s="74"/>
      <c r="I680" s="74"/>
      <c r="J680" s="6"/>
      <c r="K680" s="6"/>
      <c r="L680" s="6"/>
      <c r="M680" s="6"/>
      <c r="N680" s="7">
        <f t="shared" si="448"/>
        <v>0</v>
      </c>
      <c r="O680" s="11">
        <f t="shared" si="434"/>
        <v>0</v>
      </c>
      <c r="P680" s="25"/>
      <c r="Q680" s="10" t="str">
        <f t="shared" si="435"/>
        <v>MarçoSEMANA 2Batata Palha 80 g</v>
      </c>
      <c r="R680" s="7">
        <f>SUMIF(NF!$A:$A,$Q680,NF!$I:$I)</f>
        <v>0</v>
      </c>
      <c r="S680" s="6"/>
      <c r="T680" s="6"/>
      <c r="U680" s="6"/>
      <c r="V680" s="6"/>
      <c r="W680" s="6"/>
      <c r="X680" s="6"/>
      <c r="Y680" s="6"/>
      <c r="Z680" s="7">
        <f t="shared" si="449"/>
        <v>0</v>
      </c>
      <c r="AA680" s="11">
        <f t="shared" si="437"/>
        <v>0</v>
      </c>
      <c r="AB680" s="25"/>
      <c r="AC680" s="10" t="str">
        <f t="shared" si="438"/>
        <v>MarçoSEMANA 3Batata Palha 80 g</v>
      </c>
      <c r="AD680" s="7">
        <f>SUMIF(NF!$A:$A,$AC680,NF!$I:$I)</f>
        <v>0</v>
      </c>
      <c r="AE680" s="6"/>
      <c r="AF680" s="6"/>
      <c r="AG680" s="6"/>
      <c r="AH680" s="6"/>
      <c r="AI680" s="6"/>
      <c r="AJ680" s="6"/>
      <c r="AK680" s="6"/>
      <c r="AL680" s="7">
        <f t="shared" si="450"/>
        <v>0</v>
      </c>
      <c r="AM680" s="11">
        <f t="shared" si="440"/>
        <v>0</v>
      </c>
      <c r="AN680" s="25"/>
      <c r="AO680" s="10" t="str">
        <f t="shared" si="441"/>
        <v>MarçoSEMANA 4Batata Palha 80 g</v>
      </c>
      <c r="AP680" s="7">
        <f>SUMIF(NF!$A:$A,$AO680,NF!$I:$I)</f>
        <v>0</v>
      </c>
      <c r="AQ680" s="6"/>
      <c r="AR680" s="6"/>
      <c r="AS680" s="6"/>
      <c r="AT680" s="6"/>
      <c r="AU680" s="6"/>
      <c r="AV680" s="6"/>
      <c r="AW680" s="6"/>
      <c r="AX680" s="7">
        <f t="shared" si="451"/>
        <v>0</v>
      </c>
      <c r="AY680" s="11">
        <f t="shared" si="443"/>
        <v>0</v>
      </c>
      <c r="AZ680" s="25"/>
      <c r="BA680" s="10" t="str">
        <f t="shared" si="444"/>
        <v>MarçoSEMANA 5Batata Palha 80 g</v>
      </c>
      <c r="BB680" s="7">
        <f>SUMIF(NF!$A:$A,$BA680,NF!$I:$I)</f>
        <v>0</v>
      </c>
      <c r="BC680" s="6"/>
      <c r="BD680" s="6"/>
      <c r="BE680" s="6"/>
      <c r="BF680" s="6"/>
      <c r="BG680" s="6"/>
      <c r="BH680" s="6"/>
      <c r="BI680" s="74"/>
      <c r="BJ680" s="74"/>
      <c r="BK680" s="7">
        <f t="shared" si="452"/>
        <v>0</v>
      </c>
      <c r="BL680" s="8">
        <f t="shared" si="446"/>
        <v>0</v>
      </c>
      <c r="BM680" s="51" t="str">
        <f>IFERROR(VLOOKUP(A680,NF!$M:$O,3,0),"")</f>
        <v>Mercado</v>
      </c>
      <c r="BN680" s="7">
        <f t="shared" si="447"/>
        <v>0</v>
      </c>
      <c r="BO680" s="8">
        <f t="array" ref="BO680">IFERROR(LARGE(IF(NF!$G$2:$G$3137='Mês atual'!A680,NF!$J$2:$J$3137),1),0)*BN680</f>
        <v>0</v>
      </c>
      <c r="BP680" s="50"/>
      <c r="BR680" s="146">
        <f t="array" ref="BR680">IFERROR(LARGE(IF(NF!$G$2:$G$3137='Mês atual'!A680,NF!$J$2:$J$3137),1),0)</f>
        <v>0</v>
      </c>
      <c r="BS680" s="142" t="str">
        <f>VLOOKUP(A680,NF!M:O,3,0)</f>
        <v>Mercado</v>
      </c>
      <c r="BV680" s="74">
        <f t="shared" si="422"/>
        <v>0</v>
      </c>
      <c r="BW680" s="74">
        <f t="shared" si="423"/>
        <v>0</v>
      </c>
      <c r="BX680" s="74">
        <f t="shared" si="424"/>
        <v>0</v>
      </c>
      <c r="BY680" s="74">
        <f t="shared" si="425"/>
        <v>0</v>
      </c>
      <c r="BZ680" s="74">
        <f t="shared" si="426"/>
        <v>0</v>
      </c>
    </row>
    <row r="681" spans="1:78" x14ac:dyDescent="0.2">
      <c r="A681" s="108" t="s">
        <v>175</v>
      </c>
      <c r="B681" s="12"/>
      <c r="C681" s="9">
        <v>10</v>
      </c>
      <c r="D681" s="25"/>
      <c r="E681" s="10" t="str">
        <f t="shared" si="432"/>
        <v>MarçoSEMANA 1Batata Palito 9M</v>
      </c>
      <c r="F681" s="7">
        <f>SUMIF(NF!$A:$A,$E681,NF!$I:$I)</f>
        <v>25</v>
      </c>
      <c r="G681" s="74"/>
      <c r="H681" s="74"/>
      <c r="I681" s="74"/>
      <c r="J681" s="6">
        <v>2.5</v>
      </c>
      <c r="K681" s="6">
        <v>2.5</v>
      </c>
      <c r="L681" s="6">
        <v>2.5</v>
      </c>
      <c r="M681" s="6">
        <v>5</v>
      </c>
      <c r="N681" s="7">
        <f t="shared" si="448"/>
        <v>12.5</v>
      </c>
      <c r="O681" s="11">
        <f t="shared" si="434"/>
        <v>22.5</v>
      </c>
      <c r="P681" s="25"/>
      <c r="Q681" s="10" t="str">
        <f t="shared" si="435"/>
        <v>MarçoSEMANA 2Batata Palito 9M</v>
      </c>
      <c r="R681" s="7">
        <f>SUMIF(NF!$A:$A,$Q681,NF!$I:$I)</f>
        <v>0</v>
      </c>
      <c r="S681" s="6"/>
      <c r="T681" s="6"/>
      <c r="U681" s="6">
        <v>2.5</v>
      </c>
      <c r="V681" s="6">
        <v>2.5</v>
      </c>
      <c r="W681" s="6">
        <v>2.5</v>
      </c>
      <c r="X681" s="6">
        <v>5</v>
      </c>
      <c r="Y681" s="6">
        <v>5</v>
      </c>
      <c r="Z681" s="7">
        <f t="shared" si="449"/>
        <v>17.5</v>
      </c>
      <c r="AA681" s="11">
        <f t="shared" si="437"/>
        <v>5</v>
      </c>
      <c r="AB681" s="25"/>
      <c r="AC681" s="10" t="str">
        <f t="shared" si="438"/>
        <v>MarçoSEMANA 3Batata Palito 9M</v>
      </c>
      <c r="AD681" s="7">
        <f>SUMIF(NF!$A:$A,$AC681,NF!$I:$I)</f>
        <v>25</v>
      </c>
      <c r="AE681" s="6">
        <v>2.5</v>
      </c>
      <c r="AF681" s="6"/>
      <c r="AG681" s="6">
        <v>2.5</v>
      </c>
      <c r="AH681" s="6">
        <v>2.5</v>
      </c>
      <c r="AI681" s="6"/>
      <c r="AJ681" s="6">
        <v>2.5</v>
      </c>
      <c r="AK681" s="6">
        <v>2.5</v>
      </c>
      <c r="AL681" s="7">
        <f t="shared" si="450"/>
        <v>12.5</v>
      </c>
      <c r="AM681" s="11">
        <f t="shared" si="440"/>
        <v>17.5</v>
      </c>
      <c r="AN681" s="25"/>
      <c r="AO681" s="10" t="str">
        <f t="shared" si="441"/>
        <v>MarçoSEMANA 4Batata Palito 9M</v>
      </c>
      <c r="AP681" s="7">
        <f>SUMIF(NF!$A:$A,$AO681,NF!$I:$I)</f>
        <v>25</v>
      </c>
      <c r="AQ681" s="6">
        <v>2.5</v>
      </c>
      <c r="AR681" s="6">
        <v>2.5</v>
      </c>
      <c r="AS681" s="6">
        <v>2.5</v>
      </c>
      <c r="AT681" s="6">
        <v>2.5</v>
      </c>
      <c r="AU681" s="6"/>
      <c r="AV681" s="6">
        <v>2.5</v>
      </c>
      <c r="AW681" s="6">
        <v>5</v>
      </c>
      <c r="AX681" s="7">
        <f t="shared" si="451"/>
        <v>17.5</v>
      </c>
      <c r="AY681" s="11">
        <f t="shared" si="443"/>
        <v>25</v>
      </c>
      <c r="AZ681" s="25"/>
      <c r="BA681" s="10" t="str">
        <f t="shared" si="444"/>
        <v>MarçoSEMANA 5Batata Palito 9M</v>
      </c>
      <c r="BB681" s="7">
        <f>SUMIF(NF!$A:$A,$BA681,NF!$I:$I)</f>
        <v>12.5</v>
      </c>
      <c r="BC681" s="6"/>
      <c r="BD681" s="6">
        <v>2.5</v>
      </c>
      <c r="BE681" s="6">
        <v>2.5</v>
      </c>
      <c r="BF681" s="6"/>
      <c r="BG681" s="6">
        <v>2.5</v>
      </c>
      <c r="BH681" s="6">
        <v>2.5</v>
      </c>
      <c r="BI681" s="74"/>
      <c r="BJ681" s="74"/>
      <c r="BK681" s="7">
        <f t="shared" si="452"/>
        <v>10</v>
      </c>
      <c r="BL681" s="8">
        <f t="shared" si="446"/>
        <v>27.5</v>
      </c>
      <c r="BM681" s="51" t="str">
        <f>IFERROR(VLOOKUP(A681,NF!$M:$O,3,0),"")</f>
        <v>Mercado</v>
      </c>
      <c r="BN681" s="7">
        <f t="shared" si="447"/>
        <v>70</v>
      </c>
      <c r="BO681" s="8">
        <f t="array" ref="BO681">IFERROR(LARGE(IF(NF!$G$2:$G$3137='Mês atual'!A681,NF!$J$2:$J$3137),1),0)*BN681</f>
        <v>470.4</v>
      </c>
      <c r="BP681" s="50"/>
      <c r="BR681" s="146">
        <f t="array" ref="BR681">IFERROR(LARGE(IF(NF!$G$2:$G$3137='Mês atual'!A681,NF!$J$2:$J$3137),1),0)</f>
        <v>6.72</v>
      </c>
      <c r="BS681" s="142" t="str">
        <f>VLOOKUP(A681,NF!M:O,3,0)</f>
        <v>Mercado</v>
      </c>
      <c r="BV681" s="74">
        <f t="shared" si="422"/>
        <v>12.5</v>
      </c>
      <c r="BW681" s="74">
        <f t="shared" si="423"/>
        <v>17.5</v>
      </c>
      <c r="BX681" s="74">
        <f t="shared" si="424"/>
        <v>12.5</v>
      </c>
      <c r="BY681" s="74">
        <f t="shared" si="425"/>
        <v>17.5</v>
      </c>
      <c r="BZ681" s="74">
        <f t="shared" si="426"/>
        <v>10</v>
      </c>
    </row>
    <row r="682" spans="1:78" x14ac:dyDescent="0.2">
      <c r="A682" s="108" t="s">
        <v>176</v>
      </c>
      <c r="B682" s="12"/>
      <c r="C682" s="9">
        <v>0</v>
      </c>
      <c r="D682" s="25"/>
      <c r="E682" s="10" t="str">
        <f t="shared" si="432"/>
        <v>MarçoSEMANA 1Batata Smiles</v>
      </c>
      <c r="F682" s="7">
        <f>SUMIF(NF!$A:$A,$E682,NF!$I:$I)</f>
        <v>0</v>
      </c>
      <c r="G682" s="74"/>
      <c r="H682" s="74"/>
      <c r="I682" s="74"/>
      <c r="J682" s="6"/>
      <c r="K682" s="6"/>
      <c r="L682" s="6"/>
      <c r="M682" s="6"/>
      <c r="N682" s="7">
        <f t="shared" si="448"/>
        <v>0</v>
      </c>
      <c r="O682" s="11">
        <f t="shared" si="434"/>
        <v>0</v>
      </c>
      <c r="P682" s="25"/>
      <c r="Q682" s="10" t="str">
        <f t="shared" si="435"/>
        <v>MarçoSEMANA 2Batata Smiles</v>
      </c>
      <c r="R682" s="7">
        <f>SUMIF(NF!$A:$A,$Q682,NF!$I:$I)</f>
        <v>0</v>
      </c>
      <c r="S682" s="6"/>
      <c r="T682" s="6"/>
      <c r="U682" s="6"/>
      <c r="V682" s="6"/>
      <c r="W682" s="6"/>
      <c r="X682" s="6"/>
      <c r="Y682" s="6"/>
      <c r="Z682" s="7">
        <f t="shared" si="449"/>
        <v>0</v>
      </c>
      <c r="AA682" s="11">
        <f t="shared" si="437"/>
        <v>0</v>
      </c>
      <c r="AB682" s="25"/>
      <c r="AC682" s="10" t="str">
        <f t="shared" si="438"/>
        <v>MarçoSEMANA 3Batata Smiles</v>
      </c>
      <c r="AD682" s="7">
        <f>SUMIF(NF!$A:$A,$AC682,NF!$I:$I)</f>
        <v>0</v>
      </c>
      <c r="AE682" s="6"/>
      <c r="AF682" s="6"/>
      <c r="AG682" s="6"/>
      <c r="AH682" s="6"/>
      <c r="AI682" s="6"/>
      <c r="AJ682" s="6"/>
      <c r="AK682" s="6"/>
      <c r="AL682" s="7">
        <f t="shared" si="450"/>
        <v>0</v>
      </c>
      <c r="AM682" s="11">
        <f t="shared" si="440"/>
        <v>0</v>
      </c>
      <c r="AN682" s="25"/>
      <c r="AO682" s="10" t="str">
        <f t="shared" si="441"/>
        <v>MarçoSEMANA 4Batata Smiles</v>
      </c>
      <c r="AP682" s="7">
        <f>SUMIF(NF!$A:$A,$AO682,NF!$I:$I)</f>
        <v>0</v>
      </c>
      <c r="AQ682" s="6"/>
      <c r="AR682" s="6"/>
      <c r="AS682" s="6"/>
      <c r="AT682" s="6"/>
      <c r="AU682" s="6"/>
      <c r="AV682" s="6"/>
      <c r="AW682" s="6"/>
      <c r="AX682" s="7">
        <f t="shared" si="451"/>
        <v>0</v>
      </c>
      <c r="AY682" s="11">
        <f t="shared" si="443"/>
        <v>0</v>
      </c>
      <c r="AZ682" s="25"/>
      <c r="BA682" s="10" t="str">
        <f t="shared" si="444"/>
        <v>MarçoSEMANA 5Batata Smiles</v>
      </c>
      <c r="BB682" s="7">
        <f>SUMIF(NF!$A:$A,$BA682,NF!$I:$I)</f>
        <v>0</v>
      </c>
      <c r="BC682" s="6"/>
      <c r="BD682" s="6"/>
      <c r="BE682" s="6"/>
      <c r="BF682" s="6"/>
      <c r="BG682" s="6"/>
      <c r="BH682" s="6"/>
      <c r="BI682" s="74"/>
      <c r="BJ682" s="74"/>
      <c r="BK682" s="7">
        <f t="shared" si="452"/>
        <v>0</v>
      </c>
      <c r="BL682" s="8">
        <f t="shared" si="446"/>
        <v>0</v>
      </c>
      <c r="BM682" s="51" t="str">
        <f>IFERROR(VLOOKUP(A682,NF!$M:$O,3,0),"")</f>
        <v>Mercado</v>
      </c>
      <c r="BN682" s="7">
        <f t="shared" si="447"/>
        <v>0</v>
      </c>
      <c r="BO682" s="8">
        <f t="array" ref="BO682">IFERROR(LARGE(IF(NF!$G$2:$G$3137='Mês atual'!A682,NF!$J$2:$J$3137),1),0)*BN682</f>
        <v>0</v>
      </c>
      <c r="BP682" s="50"/>
      <c r="BR682" s="146">
        <f t="array" ref="BR682">IFERROR(LARGE(IF(NF!$G$2:$G$3137='Mês atual'!A682,NF!$J$2:$J$3137),1),0)</f>
        <v>0</v>
      </c>
      <c r="BS682" s="142" t="str">
        <f>VLOOKUP(A682,NF!M:O,3,0)</f>
        <v>Mercado</v>
      </c>
      <c r="BV682" s="74">
        <f t="shared" si="422"/>
        <v>0</v>
      </c>
      <c r="BW682" s="74">
        <f t="shared" si="423"/>
        <v>0</v>
      </c>
      <c r="BX682" s="74">
        <f t="shared" si="424"/>
        <v>0</v>
      </c>
      <c r="BY682" s="74">
        <f t="shared" si="425"/>
        <v>0</v>
      </c>
      <c r="BZ682" s="74">
        <f t="shared" si="426"/>
        <v>0</v>
      </c>
    </row>
    <row r="683" spans="1:78" x14ac:dyDescent="0.25">
      <c r="A683" s="108" t="s">
        <v>183</v>
      </c>
      <c r="B683" s="12"/>
      <c r="C683" s="9">
        <f>11-1-1-1</f>
        <v>8</v>
      </c>
      <c r="D683" s="25"/>
      <c r="E683" s="10" t="str">
        <f t="shared" si="432"/>
        <v xml:space="preserve">MarçoSEMANA 1Biscoito de Milho Café </v>
      </c>
      <c r="F683" s="7">
        <f>SUMIF(NF!$A:$A,$E683,NF!$I:$I)</f>
        <v>0</v>
      </c>
      <c r="G683" s="74"/>
      <c r="H683" s="74"/>
      <c r="I683" s="74"/>
      <c r="J683" s="6">
        <v>1</v>
      </c>
      <c r="K683" s="6">
        <v>0.66400000000000003</v>
      </c>
      <c r="L683" s="6">
        <v>1</v>
      </c>
      <c r="M683" s="6">
        <f>0.832</f>
        <v>0.83199999999999996</v>
      </c>
      <c r="N683" s="7">
        <f t="shared" si="448"/>
        <v>3.496</v>
      </c>
      <c r="O683" s="11">
        <f t="shared" si="434"/>
        <v>4.5039999999999996</v>
      </c>
      <c r="P683" s="25"/>
      <c r="Q683" s="10" t="str">
        <f t="shared" si="435"/>
        <v xml:space="preserve">MarçoSEMANA 2Biscoito de Milho Café </v>
      </c>
      <c r="R683" s="7">
        <f>SUMIF(NF!$A:$A,$Q683,NF!$I:$I)</f>
        <v>8.1</v>
      </c>
      <c r="S683" s="6">
        <v>1</v>
      </c>
      <c r="T683" s="6">
        <v>0.85399999999999998</v>
      </c>
      <c r="U683" s="6">
        <v>1</v>
      </c>
      <c r="V683" s="6">
        <v>1</v>
      </c>
      <c r="W683" s="6">
        <f>1-0.2</f>
        <v>0.8</v>
      </c>
      <c r="X683" s="6">
        <v>1</v>
      </c>
      <c r="Y683" s="6">
        <v>1</v>
      </c>
      <c r="Z683" s="7">
        <f t="shared" si="449"/>
        <v>6.6539999999999999</v>
      </c>
      <c r="AA683" s="11">
        <f t="shared" si="437"/>
        <v>5.9499999999999993</v>
      </c>
      <c r="AB683" s="25"/>
      <c r="AC683" s="10" t="str">
        <f t="shared" si="438"/>
        <v xml:space="preserve">MarçoSEMANA 3Biscoito de Milho Café </v>
      </c>
      <c r="AD683" s="7">
        <f>SUMIF(NF!$A:$A,$AC683,NF!$I:$I)</f>
        <v>7.9740000000000002</v>
      </c>
      <c r="AE683" s="6">
        <v>1</v>
      </c>
      <c r="AF683" s="6">
        <f>1-0.2</f>
        <v>0.8</v>
      </c>
      <c r="AG683" s="6">
        <v>0.57499999999999996</v>
      </c>
      <c r="AH683" s="6">
        <v>1</v>
      </c>
      <c r="AI683" s="6">
        <v>1</v>
      </c>
      <c r="AJ683" s="6">
        <f>0.5</f>
        <v>0.5</v>
      </c>
      <c r="AK683" s="6">
        <f>0.5</f>
        <v>0.5</v>
      </c>
      <c r="AL683" s="7">
        <f t="shared" si="450"/>
        <v>5.375</v>
      </c>
      <c r="AM683" s="11">
        <f t="shared" si="440"/>
        <v>8.5489999999999995</v>
      </c>
      <c r="AN683" s="25"/>
      <c r="AO683" s="10" t="str">
        <f t="shared" si="441"/>
        <v xml:space="preserve">MarçoSEMANA 4Biscoito de Milho Café </v>
      </c>
      <c r="AP683" s="7">
        <f>SUMIF(NF!$A:$A,$AO683,NF!$I:$I)</f>
        <v>9.6000000000000014</v>
      </c>
      <c r="AQ683" s="6">
        <v>1</v>
      </c>
      <c r="AR683" s="6">
        <f>1-0.2</f>
        <v>0.8</v>
      </c>
      <c r="AS683" s="6">
        <v>1</v>
      </c>
      <c r="AT683" s="6">
        <v>0.5</v>
      </c>
      <c r="AU683" s="6">
        <v>0.58799999999999997</v>
      </c>
      <c r="AV683" s="6">
        <v>1</v>
      </c>
      <c r="AW683" s="6">
        <v>1</v>
      </c>
      <c r="AX683" s="7">
        <f t="shared" si="451"/>
        <v>5.8879999999999999</v>
      </c>
      <c r="AY683" s="11">
        <f t="shared" si="443"/>
        <v>12.261000000000001</v>
      </c>
      <c r="AZ683" s="25"/>
      <c r="BA683" s="10" t="str">
        <f t="shared" si="444"/>
        <v xml:space="preserve">MarçoSEMANA 5Biscoito de Milho Café </v>
      </c>
      <c r="BB683" s="7">
        <f>SUMIF(NF!$A:$A,$BA683,NF!$I:$I)</f>
        <v>0</v>
      </c>
      <c r="BC683" s="6">
        <v>1</v>
      </c>
      <c r="BD683" s="6">
        <v>1</v>
      </c>
      <c r="BE683" s="6">
        <v>1</v>
      </c>
      <c r="BF683" s="6"/>
      <c r="BG683" s="6">
        <f>1+0.028</f>
        <v>1.028</v>
      </c>
      <c r="BH683" s="6">
        <v>1</v>
      </c>
      <c r="BI683" s="74"/>
      <c r="BJ683" s="74"/>
      <c r="BK683" s="7">
        <f t="shared" si="452"/>
        <v>5.0280000000000005</v>
      </c>
      <c r="BL683" s="8">
        <f t="shared" si="446"/>
        <v>7.2330000000000005</v>
      </c>
      <c r="BM683" s="51" t="str">
        <f>IFERROR(VLOOKUP(A683,NF!$M:$O,3,0),"")</f>
        <v>Mercado</v>
      </c>
      <c r="BN683" s="7">
        <f t="shared" si="447"/>
        <v>26.441000000000003</v>
      </c>
      <c r="BO683" s="8">
        <f t="array" ref="BO683">IFERROR(LARGE(IF(NF!$G$2:$G$3137='Mês atual'!A683,NF!$J$2:$J$3137),1),0)*BN683</f>
        <v>586.85799500000007</v>
      </c>
      <c r="BP683" s="50"/>
      <c r="BR683" s="146">
        <f t="array" ref="BR683">IFERROR(LARGE(IF(NF!$G$2:$G$3137='Mês atual'!A683,NF!$J$2:$J$3137),1),0)</f>
        <v>22.195</v>
      </c>
      <c r="BS683" s="142" t="str">
        <f>VLOOKUP(A683,NF!M:O,3,0)</f>
        <v>Mercado</v>
      </c>
      <c r="BV683" s="74">
        <f t="shared" si="422"/>
        <v>3.496</v>
      </c>
      <c r="BW683" s="74">
        <f t="shared" si="423"/>
        <v>6.6539999999999999</v>
      </c>
      <c r="BX683" s="74">
        <f t="shared" si="424"/>
        <v>5.375</v>
      </c>
      <c r="BY683" s="74">
        <f t="shared" si="425"/>
        <v>5.8879999999999999</v>
      </c>
      <c r="BZ683" s="74">
        <f t="shared" si="426"/>
        <v>5.0280000000000005</v>
      </c>
    </row>
    <row r="684" spans="1:78" x14ac:dyDescent="0.25">
      <c r="A684" s="108" t="s">
        <v>195</v>
      </c>
      <c r="B684" s="12"/>
      <c r="C684" s="9"/>
      <c r="D684" s="25"/>
      <c r="E684" s="10" t="str">
        <f t="shared" si="432"/>
        <v>MarçoSEMANA 1Brócolis Congelado</v>
      </c>
      <c r="F684" s="7">
        <f>SUMIF(NF!$A:$A,$E684,NF!$I:$I)</f>
        <v>0</v>
      </c>
      <c r="G684" s="74"/>
      <c r="H684" s="74"/>
      <c r="I684" s="74"/>
      <c r="J684" s="6"/>
      <c r="K684" s="6"/>
      <c r="L684" s="6"/>
      <c r="M684" s="6"/>
      <c r="N684" s="7">
        <f t="shared" si="448"/>
        <v>0</v>
      </c>
      <c r="O684" s="11">
        <f t="shared" si="434"/>
        <v>0</v>
      </c>
      <c r="P684" s="25"/>
      <c r="Q684" s="10" t="str">
        <f t="shared" si="435"/>
        <v>MarçoSEMANA 2Brócolis Congelado</v>
      </c>
      <c r="R684" s="7">
        <f>SUMIF(NF!$A:$A,$Q684,NF!$I:$I)</f>
        <v>0</v>
      </c>
      <c r="S684" s="6"/>
      <c r="T684" s="6"/>
      <c r="U684" s="6"/>
      <c r="V684" s="6"/>
      <c r="W684" s="6"/>
      <c r="X684" s="6"/>
      <c r="Y684" s="6"/>
      <c r="Z684" s="7">
        <f t="shared" si="449"/>
        <v>0</v>
      </c>
      <c r="AA684" s="11">
        <f t="shared" si="437"/>
        <v>0</v>
      </c>
      <c r="AB684" s="25"/>
      <c r="AC684" s="10" t="str">
        <f t="shared" si="438"/>
        <v>MarçoSEMANA 3Brócolis Congelado</v>
      </c>
      <c r="AD684" s="7">
        <f>SUMIF(NF!$A:$A,$AC684,NF!$I:$I)</f>
        <v>0</v>
      </c>
      <c r="AE684" s="6"/>
      <c r="AF684" s="6"/>
      <c r="AG684" s="6"/>
      <c r="AH684" s="6"/>
      <c r="AI684" s="6"/>
      <c r="AJ684" s="6"/>
      <c r="AK684" s="6"/>
      <c r="AL684" s="7">
        <f t="shared" si="450"/>
        <v>0</v>
      </c>
      <c r="AM684" s="11">
        <f t="shared" si="440"/>
        <v>0</v>
      </c>
      <c r="AN684" s="25"/>
      <c r="AO684" s="10" t="str">
        <f t="shared" si="441"/>
        <v>MarçoSEMANA 4Brócolis Congelado</v>
      </c>
      <c r="AP684" s="7">
        <f>SUMIF(NF!$A:$A,$AO684,NF!$I:$I)</f>
        <v>0</v>
      </c>
      <c r="AQ684" s="6"/>
      <c r="AR684" s="6"/>
      <c r="AS684" s="6"/>
      <c r="AT684" s="6"/>
      <c r="AU684" s="6"/>
      <c r="AV684" s="6"/>
      <c r="AW684" s="6"/>
      <c r="AX684" s="7">
        <f t="shared" si="451"/>
        <v>0</v>
      </c>
      <c r="AY684" s="11">
        <f t="shared" si="443"/>
        <v>0</v>
      </c>
      <c r="AZ684" s="25"/>
      <c r="BA684" s="10" t="str">
        <f t="shared" si="444"/>
        <v>MarçoSEMANA 5Brócolis Congelado</v>
      </c>
      <c r="BB684" s="7">
        <f>SUMIF(NF!$A:$A,$BA684,NF!$I:$I)</f>
        <v>0</v>
      </c>
      <c r="BC684" s="6"/>
      <c r="BD684" s="6"/>
      <c r="BE684" s="6"/>
      <c r="BF684" s="6"/>
      <c r="BG684" s="6"/>
      <c r="BH684" s="6"/>
      <c r="BI684" s="74"/>
      <c r="BJ684" s="74"/>
      <c r="BK684" s="7">
        <f t="shared" si="452"/>
        <v>0</v>
      </c>
      <c r="BL684" s="8">
        <f t="shared" si="446"/>
        <v>0</v>
      </c>
      <c r="BM684" s="51" t="str">
        <f>IFERROR(VLOOKUP(A684,NF!$M:$O,3,0),"")</f>
        <v>Mercado</v>
      </c>
      <c r="BN684" s="7">
        <f t="shared" si="447"/>
        <v>0</v>
      </c>
      <c r="BO684" s="8">
        <f t="array" ref="BO684">IFERROR(LARGE(IF(NF!$G$2:$G$3137='Mês atual'!A684,NF!$J$2:$J$3137),1),0)*BN684</f>
        <v>0</v>
      </c>
      <c r="BP684" s="50"/>
      <c r="BR684" s="146">
        <f t="array" ref="BR684">IFERROR(LARGE(IF(NF!$G$2:$G$3137='Mês atual'!A684,NF!$J$2:$J$3137),1),0)</f>
        <v>0</v>
      </c>
      <c r="BS684" s="142" t="str">
        <f>VLOOKUP(A684,NF!M:O,3,0)</f>
        <v>Mercado</v>
      </c>
      <c r="BV684" s="74">
        <f t="shared" si="422"/>
        <v>0</v>
      </c>
      <c r="BW684" s="74">
        <f t="shared" si="423"/>
        <v>0</v>
      </c>
      <c r="BX684" s="74">
        <f t="shared" si="424"/>
        <v>0</v>
      </c>
      <c r="BY684" s="74">
        <f t="shared" si="425"/>
        <v>0</v>
      </c>
      <c r="BZ684" s="74">
        <f t="shared" si="426"/>
        <v>0</v>
      </c>
    </row>
    <row r="685" spans="1:78" x14ac:dyDescent="0.25">
      <c r="A685" s="108" t="s">
        <v>1028</v>
      </c>
      <c r="B685" s="12"/>
      <c r="C685" s="9">
        <v>5</v>
      </c>
      <c r="D685" s="25"/>
      <c r="E685" s="10" t="str">
        <f t="shared" si="432"/>
        <v xml:space="preserve">MarçoSEMANA 1Café em Grão </v>
      </c>
      <c r="F685" s="7">
        <f>SUMIF(NF!$A:$A,$E685,NF!$I:$I)</f>
        <v>3</v>
      </c>
      <c r="G685" s="74"/>
      <c r="H685" s="74"/>
      <c r="I685" s="74"/>
      <c r="J685" s="6">
        <v>1</v>
      </c>
      <c r="K685" s="6">
        <v>1</v>
      </c>
      <c r="L685" s="6">
        <v>2</v>
      </c>
      <c r="M685" s="6"/>
      <c r="N685" s="7">
        <f t="shared" si="448"/>
        <v>4</v>
      </c>
      <c r="O685" s="11">
        <f t="shared" si="434"/>
        <v>4</v>
      </c>
      <c r="P685" s="25"/>
      <c r="Q685" s="10" t="str">
        <f t="shared" si="435"/>
        <v xml:space="preserve">MarçoSEMANA 2Café em Grão </v>
      </c>
      <c r="R685" s="7">
        <f>SUMIF(NF!$A:$A,$Q685,NF!$I:$I)</f>
        <v>24</v>
      </c>
      <c r="S685" s="6">
        <v>1</v>
      </c>
      <c r="T685" s="6">
        <v>1</v>
      </c>
      <c r="U685" s="6">
        <v>1</v>
      </c>
      <c r="V685" s="6"/>
      <c r="W685" s="6">
        <v>1</v>
      </c>
      <c r="X685" s="6">
        <v>2</v>
      </c>
      <c r="Y685" s="6">
        <v>1</v>
      </c>
      <c r="Z685" s="7">
        <f t="shared" si="449"/>
        <v>7</v>
      </c>
      <c r="AA685" s="11">
        <f t="shared" si="437"/>
        <v>21</v>
      </c>
      <c r="AB685" s="25"/>
      <c r="AC685" s="10" t="str">
        <f t="shared" si="438"/>
        <v xml:space="preserve">MarçoSEMANA 3Café em Grão </v>
      </c>
      <c r="AD685" s="7">
        <f>SUMIF(NF!$A:$A,$AC685,NF!$I:$I)</f>
        <v>0</v>
      </c>
      <c r="AE685" s="6">
        <v>1</v>
      </c>
      <c r="AF685" s="6">
        <v>1</v>
      </c>
      <c r="AG685" s="6">
        <v>1</v>
      </c>
      <c r="AH685" s="6">
        <v>1</v>
      </c>
      <c r="AI685" s="6">
        <v>1</v>
      </c>
      <c r="AJ685" s="6">
        <v>1</v>
      </c>
      <c r="AK685" s="6">
        <v>1</v>
      </c>
      <c r="AL685" s="7">
        <f t="shared" si="450"/>
        <v>7</v>
      </c>
      <c r="AM685" s="11">
        <f t="shared" si="440"/>
        <v>14</v>
      </c>
      <c r="AN685" s="25"/>
      <c r="AO685" s="10" t="str">
        <f t="shared" si="441"/>
        <v xml:space="preserve">MarçoSEMANA 4Café em Grão </v>
      </c>
      <c r="AP685" s="7">
        <f>SUMIF(NF!$A:$A,$AO685,NF!$I:$I)</f>
        <v>24</v>
      </c>
      <c r="AQ685" s="6">
        <v>1</v>
      </c>
      <c r="AR685" s="6">
        <v>1</v>
      </c>
      <c r="AS685" s="6">
        <v>1</v>
      </c>
      <c r="AT685" s="6">
        <v>1</v>
      </c>
      <c r="AU685" s="6">
        <v>1</v>
      </c>
      <c r="AV685" s="6">
        <v>1</v>
      </c>
      <c r="AW685" s="6">
        <v>1</v>
      </c>
      <c r="AX685" s="7">
        <f t="shared" si="451"/>
        <v>7</v>
      </c>
      <c r="AY685" s="11">
        <f t="shared" si="443"/>
        <v>31</v>
      </c>
      <c r="AZ685" s="25"/>
      <c r="BA685" s="10" t="str">
        <f t="shared" si="444"/>
        <v xml:space="preserve">MarçoSEMANA 5Café em Grão </v>
      </c>
      <c r="BB685" s="7">
        <f>SUMIF(NF!$A:$A,$BA685,NF!$I:$I)</f>
        <v>3</v>
      </c>
      <c r="BC685" s="6">
        <v>2</v>
      </c>
      <c r="BD685" s="6">
        <v>1</v>
      </c>
      <c r="BE685" s="6">
        <v>1</v>
      </c>
      <c r="BF685" s="6"/>
      <c r="BG685" s="6">
        <v>1</v>
      </c>
      <c r="BH685" s="6">
        <v>1</v>
      </c>
      <c r="BI685" s="74"/>
      <c r="BJ685" s="74"/>
      <c r="BK685" s="7">
        <f t="shared" si="452"/>
        <v>6</v>
      </c>
      <c r="BL685" s="8">
        <f t="shared" si="446"/>
        <v>28</v>
      </c>
      <c r="BM685" s="51" t="str">
        <f>IFERROR(VLOOKUP(A685,NF!$M:$O,3,0),"")</f>
        <v>Mercado</v>
      </c>
      <c r="BN685" s="7">
        <f t="shared" si="447"/>
        <v>31</v>
      </c>
      <c r="BO685" s="8">
        <f t="array" ref="BO685">IFERROR(LARGE(IF(NF!$G$2:$G$3137='Mês atual'!A685,NF!$J$2:$J$3137),1),0)*BN685</f>
        <v>1509.04125</v>
      </c>
      <c r="BP685" s="50"/>
      <c r="BR685" s="146">
        <f t="array" ref="BR685">IFERROR(LARGE(IF(NF!$G$2:$G$3137='Mês atual'!A685,NF!$J$2:$J$3137),1),0)</f>
        <v>48.678750000000001</v>
      </c>
      <c r="BS685" s="142" t="str">
        <f>VLOOKUP(A685,NF!M:O,3,0)</f>
        <v>Mercado</v>
      </c>
      <c r="BV685" s="74">
        <f t="shared" si="422"/>
        <v>4</v>
      </c>
      <c r="BW685" s="74">
        <f t="shared" si="423"/>
        <v>7</v>
      </c>
      <c r="BX685" s="74">
        <f t="shared" si="424"/>
        <v>7</v>
      </c>
      <c r="BY685" s="74">
        <f t="shared" si="425"/>
        <v>7</v>
      </c>
      <c r="BZ685" s="74">
        <f t="shared" si="426"/>
        <v>6</v>
      </c>
    </row>
    <row r="686" spans="1:78" x14ac:dyDescent="0.25">
      <c r="A686" s="108" t="s">
        <v>198</v>
      </c>
      <c r="B686" s="12"/>
      <c r="C686" s="9">
        <v>3.5</v>
      </c>
      <c r="D686" s="25"/>
      <c r="E686" s="10" t="str">
        <f t="shared" si="432"/>
        <v>MarçoSEMANA 1Café Moído 1 Kg</v>
      </c>
      <c r="F686" s="7">
        <f>SUMIF(NF!$A:$A,$E686,NF!$I:$I)</f>
        <v>0</v>
      </c>
      <c r="G686" s="74"/>
      <c r="H686" s="74"/>
      <c r="I686" s="74"/>
      <c r="J686" s="6"/>
      <c r="K686" s="6">
        <v>0.5</v>
      </c>
      <c r="L686" s="6"/>
      <c r="M686" s="6">
        <v>0.5</v>
      </c>
      <c r="N686" s="7">
        <f t="shared" si="448"/>
        <v>1</v>
      </c>
      <c r="O686" s="11">
        <f t="shared" si="434"/>
        <v>2.5</v>
      </c>
      <c r="P686" s="25"/>
      <c r="Q686" s="10" t="str">
        <f t="shared" si="435"/>
        <v>MarçoSEMANA 2Café Moído 1 Kg</v>
      </c>
      <c r="R686" s="7">
        <f>SUMIF(NF!$A:$A,$Q686,NF!$I:$I)</f>
        <v>5</v>
      </c>
      <c r="S686" s="6"/>
      <c r="T686" s="6">
        <v>0.5</v>
      </c>
      <c r="U686" s="6"/>
      <c r="V686" s="6">
        <v>0.5</v>
      </c>
      <c r="W686" s="6"/>
      <c r="X686" s="6">
        <v>0.5</v>
      </c>
      <c r="Y686" s="6"/>
      <c r="Z686" s="7">
        <f t="shared" si="449"/>
        <v>1.5</v>
      </c>
      <c r="AA686" s="11">
        <f t="shared" si="437"/>
        <v>6</v>
      </c>
      <c r="AB686" s="25"/>
      <c r="AC686" s="10" t="str">
        <f t="shared" si="438"/>
        <v>MarçoSEMANA 3Café Moído 1 Kg</v>
      </c>
      <c r="AD686" s="7">
        <f>SUMIF(NF!$A:$A,$AC686,NF!$I:$I)</f>
        <v>0</v>
      </c>
      <c r="AE686" s="6">
        <v>0.5</v>
      </c>
      <c r="AF686" s="6"/>
      <c r="AG686" s="6">
        <v>0.5</v>
      </c>
      <c r="AH686" s="6"/>
      <c r="AI686" s="6">
        <v>0.5</v>
      </c>
      <c r="AJ686" s="6"/>
      <c r="AK686" s="6">
        <v>0.5</v>
      </c>
      <c r="AL686" s="7">
        <f t="shared" si="450"/>
        <v>2</v>
      </c>
      <c r="AM686" s="11">
        <f t="shared" si="440"/>
        <v>4</v>
      </c>
      <c r="AN686" s="25"/>
      <c r="AO686" s="10" t="str">
        <f t="shared" si="441"/>
        <v>MarçoSEMANA 4Café Moído 1 Kg</v>
      </c>
      <c r="AP686" s="7">
        <f>SUMIF(NF!$A:$A,$AO686,NF!$I:$I)</f>
        <v>0</v>
      </c>
      <c r="AQ686" s="6"/>
      <c r="AR686" s="6">
        <v>0.5</v>
      </c>
      <c r="AS686" s="6"/>
      <c r="AT686" s="6">
        <v>0.5</v>
      </c>
      <c r="AU686" s="6"/>
      <c r="AV686" s="6">
        <v>0.5</v>
      </c>
      <c r="AW686" s="6"/>
      <c r="AX686" s="7">
        <f t="shared" si="451"/>
        <v>1.5</v>
      </c>
      <c r="AY686" s="11">
        <f t="shared" si="443"/>
        <v>2.5</v>
      </c>
      <c r="AZ686" s="25"/>
      <c r="BA686" s="10" t="str">
        <f t="shared" si="444"/>
        <v>MarçoSEMANA 5Café Moído 1 Kg</v>
      </c>
      <c r="BB686" s="7">
        <f>SUMIF(NF!$A:$A,$BA686,NF!$I:$I)</f>
        <v>0</v>
      </c>
      <c r="BC686" s="6">
        <v>0.5</v>
      </c>
      <c r="BD686" s="6"/>
      <c r="BE686" s="6">
        <v>0.5</v>
      </c>
      <c r="BF686" s="6"/>
      <c r="BG686" s="6">
        <v>0.5</v>
      </c>
      <c r="BH686" s="6" t="s">
        <v>1286</v>
      </c>
      <c r="BI686" s="74"/>
      <c r="BJ686" s="74"/>
      <c r="BK686" s="7">
        <f t="shared" si="452"/>
        <v>1.5</v>
      </c>
      <c r="BL686" s="8">
        <f t="shared" si="446"/>
        <v>1</v>
      </c>
      <c r="BM686" s="51" t="str">
        <f>IFERROR(VLOOKUP(A686,NF!$M:$O,3,0),"")</f>
        <v>Mercado</v>
      </c>
      <c r="BN686" s="7">
        <f t="shared" si="447"/>
        <v>7.5</v>
      </c>
      <c r="BO686" s="8">
        <f t="array" ref="BO686">IFERROR(LARGE(IF(NF!$G$2:$G$3137='Mês atual'!A686,NF!$J$2:$J$3137),1),0)*BN686</f>
        <v>114.3</v>
      </c>
      <c r="BP686" s="50"/>
      <c r="BR686" s="146">
        <f t="array" ref="BR686">IFERROR(LARGE(IF(NF!$G$2:$G$3137='Mês atual'!A686,NF!$J$2:$J$3137),1),0)</f>
        <v>15.24</v>
      </c>
      <c r="BS686" s="142" t="str">
        <f>VLOOKUP(A686,NF!M:O,3,0)</f>
        <v>Mercado</v>
      </c>
      <c r="BV686" s="74">
        <f t="shared" si="422"/>
        <v>1</v>
      </c>
      <c r="BW686" s="74">
        <f t="shared" si="423"/>
        <v>1.5</v>
      </c>
      <c r="BX686" s="74">
        <f t="shared" si="424"/>
        <v>2</v>
      </c>
      <c r="BY686" s="74">
        <f t="shared" si="425"/>
        <v>1.5</v>
      </c>
      <c r="BZ686" s="74">
        <f t="shared" si="426"/>
        <v>1.5</v>
      </c>
    </row>
    <row r="687" spans="1:78" x14ac:dyDescent="0.25">
      <c r="A687" s="108" t="s">
        <v>199</v>
      </c>
      <c r="B687" s="12"/>
      <c r="C687" s="9">
        <v>22</v>
      </c>
      <c r="D687" s="25"/>
      <c r="E687" s="10" t="str">
        <f t="shared" si="432"/>
        <v>MarçoSEMANA 1Café Spress Desc.</v>
      </c>
      <c r="F687" s="7">
        <f>SUMIF(NF!$A:$A,$E687,NF!$I:$I)</f>
        <v>0</v>
      </c>
      <c r="G687" s="74"/>
      <c r="H687" s="74"/>
      <c r="I687" s="74"/>
      <c r="J687" s="6"/>
      <c r="K687" s="6">
        <v>6</v>
      </c>
      <c r="L687" s="6"/>
      <c r="M687" s="6"/>
      <c r="N687" s="7">
        <f t="shared" si="448"/>
        <v>6</v>
      </c>
      <c r="O687" s="11">
        <f t="shared" si="434"/>
        <v>16</v>
      </c>
      <c r="P687" s="25"/>
      <c r="Q687" s="10" t="str">
        <f t="shared" si="435"/>
        <v>MarçoSEMANA 2Café Spress Desc.</v>
      </c>
      <c r="R687" s="7">
        <f>SUMIF(NF!$A:$A,$Q687,NF!$I:$I)</f>
        <v>0</v>
      </c>
      <c r="S687" s="6"/>
      <c r="T687" s="6"/>
      <c r="U687" s="6">
        <v>6</v>
      </c>
      <c r="V687" s="6"/>
      <c r="W687" s="6"/>
      <c r="X687" s="6">
        <v>6</v>
      </c>
      <c r="Y687" s="6"/>
      <c r="Z687" s="7">
        <f t="shared" si="449"/>
        <v>12</v>
      </c>
      <c r="AA687" s="11">
        <f t="shared" si="437"/>
        <v>4</v>
      </c>
      <c r="AB687" s="25"/>
      <c r="AC687" s="10" t="str">
        <f t="shared" si="438"/>
        <v>MarçoSEMANA 3Café Spress Desc.</v>
      </c>
      <c r="AD687" s="7">
        <f>SUMIF(NF!$A:$A,$AC687,NF!$I:$I)</f>
        <v>0</v>
      </c>
      <c r="AE687" s="6"/>
      <c r="AF687" s="6"/>
      <c r="AG687" s="6"/>
      <c r="AH687" s="6"/>
      <c r="AI687" s="6">
        <v>4</v>
      </c>
      <c r="AJ687" s="6"/>
      <c r="AK687" s="6"/>
      <c r="AL687" s="7">
        <f t="shared" si="450"/>
        <v>4</v>
      </c>
      <c r="AM687" s="11">
        <f t="shared" si="440"/>
        <v>0</v>
      </c>
      <c r="AN687" s="25"/>
      <c r="AO687" s="10" t="str">
        <f t="shared" si="441"/>
        <v>MarçoSEMANA 4Café Spress Desc.</v>
      </c>
      <c r="AP687" s="7">
        <f>SUMIF(NF!$A:$A,$AO687,NF!$I:$I)</f>
        <v>0</v>
      </c>
      <c r="AQ687" s="6"/>
      <c r="AR687" s="6"/>
      <c r="AS687" s="6"/>
      <c r="AT687" s="6"/>
      <c r="AU687" s="6"/>
      <c r="AV687" s="6"/>
      <c r="AW687" s="6"/>
      <c r="AX687" s="7">
        <f t="shared" si="451"/>
        <v>0</v>
      </c>
      <c r="AY687" s="11">
        <f t="shared" si="443"/>
        <v>0</v>
      </c>
      <c r="AZ687" s="25"/>
      <c r="BA687" s="10" t="str">
        <f t="shared" si="444"/>
        <v>MarçoSEMANA 5Café Spress Desc.</v>
      </c>
      <c r="BB687" s="7">
        <f>SUMIF(NF!$A:$A,$BA687,NF!$I:$I)</f>
        <v>0</v>
      </c>
      <c r="BC687" s="6"/>
      <c r="BD687" s="6"/>
      <c r="BE687" s="6"/>
      <c r="BF687" s="6"/>
      <c r="BG687" s="6"/>
      <c r="BH687" s="6"/>
      <c r="BI687" s="74"/>
      <c r="BJ687" s="74"/>
      <c r="BK687" s="7">
        <f t="shared" si="452"/>
        <v>0</v>
      </c>
      <c r="BL687" s="8">
        <f t="shared" si="446"/>
        <v>0</v>
      </c>
      <c r="BM687" s="51" t="str">
        <f>IFERROR(VLOOKUP(A687,NF!$M:$O,3,0),"")</f>
        <v>Mercado</v>
      </c>
      <c r="BN687" s="7">
        <f t="shared" si="447"/>
        <v>22</v>
      </c>
      <c r="BO687" s="8">
        <f t="array" ref="BO687">IFERROR(LARGE(IF(NF!$G$2:$G$3137='Mês atual'!A687,NF!$J$2:$J$3137),1),0)*BN687</f>
        <v>0</v>
      </c>
      <c r="BP687" s="50"/>
      <c r="BR687" s="146">
        <f t="array" ref="BR687">IFERROR(LARGE(IF(NF!$G$2:$G$3137='Mês atual'!A687,NF!$J$2:$J$3137),1),0)</f>
        <v>0</v>
      </c>
      <c r="BS687" s="142" t="str">
        <f>VLOOKUP(A687,NF!M:O,3,0)</f>
        <v>Mercado</v>
      </c>
      <c r="BV687" s="74">
        <f t="shared" si="422"/>
        <v>6</v>
      </c>
      <c r="BW687" s="74">
        <f t="shared" si="423"/>
        <v>12</v>
      </c>
      <c r="BX687" s="74">
        <f t="shared" si="424"/>
        <v>4</v>
      </c>
      <c r="BY687" s="74">
        <f t="shared" si="425"/>
        <v>0</v>
      </c>
      <c r="BZ687" s="74">
        <f t="shared" si="426"/>
        <v>0</v>
      </c>
    </row>
    <row r="688" spans="1:78" x14ac:dyDescent="0.25">
      <c r="A688" s="108" t="s">
        <v>961</v>
      </c>
      <c r="B688" s="12"/>
      <c r="C688" s="9">
        <v>0</v>
      </c>
      <c r="D688" s="25"/>
      <c r="E688" s="10" t="str">
        <f t="shared" si="432"/>
        <v>MarçoSEMANA 1Calda de Agave Azul Orgânico 330g</v>
      </c>
      <c r="F688" s="7">
        <f>SUMIF(NF!$A:$A,$E688,NF!$I:$I)</f>
        <v>0</v>
      </c>
      <c r="G688" s="74"/>
      <c r="H688" s="74"/>
      <c r="I688" s="74"/>
      <c r="J688" s="6"/>
      <c r="K688" s="6"/>
      <c r="L688" s="6"/>
      <c r="M688" s="6"/>
      <c r="N688" s="7">
        <f>SUM(G688:M688)</f>
        <v>0</v>
      </c>
      <c r="O688" s="11">
        <f t="shared" si="434"/>
        <v>0</v>
      </c>
      <c r="P688" s="25"/>
      <c r="Q688" s="10" t="str">
        <f t="shared" si="435"/>
        <v>MarçoSEMANA 2Calda de Agave Azul Orgânico 330g</v>
      </c>
      <c r="R688" s="7">
        <f>SUMIF(NF!$A:$A,$Q688,NF!$I:$I)</f>
        <v>0</v>
      </c>
      <c r="S688" s="6"/>
      <c r="T688" s="6"/>
      <c r="U688" s="6"/>
      <c r="V688" s="6"/>
      <c r="W688" s="6"/>
      <c r="X688" s="6"/>
      <c r="Y688" s="6"/>
      <c r="Z688" s="7">
        <f>SUM(S688:Y688)</f>
        <v>0</v>
      </c>
      <c r="AA688" s="11">
        <f t="shared" si="437"/>
        <v>0</v>
      </c>
      <c r="AB688" s="25"/>
      <c r="AC688" s="10" t="str">
        <f t="shared" si="438"/>
        <v>MarçoSEMANA 3Calda de Agave Azul Orgânico 330g</v>
      </c>
      <c r="AD688" s="7">
        <f>SUMIF(NF!$A:$A,$AC688,NF!$I:$I)</f>
        <v>0</v>
      </c>
      <c r="AE688" s="6"/>
      <c r="AF688" s="6"/>
      <c r="AG688" s="6"/>
      <c r="AH688" s="6"/>
      <c r="AI688" s="6"/>
      <c r="AJ688" s="6"/>
      <c r="AK688" s="6"/>
      <c r="AL688" s="7">
        <f>SUM(AE688:AK688)</f>
        <v>0</v>
      </c>
      <c r="AM688" s="11">
        <f t="shared" si="440"/>
        <v>0</v>
      </c>
      <c r="AN688" s="25"/>
      <c r="AO688" s="10" t="str">
        <f t="shared" si="441"/>
        <v>MarçoSEMANA 4Calda de Agave Azul Orgânico 330g</v>
      </c>
      <c r="AP688" s="7">
        <f>SUMIF(NF!$A:$A,$AO688,NF!$I:$I)</f>
        <v>0</v>
      </c>
      <c r="AQ688" s="6"/>
      <c r="AR688" s="6"/>
      <c r="AS688" s="6"/>
      <c r="AT688" s="6"/>
      <c r="AU688" s="6"/>
      <c r="AV688" s="6"/>
      <c r="AW688" s="6"/>
      <c r="AX688" s="7">
        <f>SUM(AQ688:AW688)</f>
        <v>0</v>
      </c>
      <c r="AY688" s="11">
        <f t="shared" si="443"/>
        <v>0</v>
      </c>
      <c r="AZ688" s="25"/>
      <c r="BA688" s="10" t="str">
        <f t="shared" si="444"/>
        <v>MarçoSEMANA 5Calda de Agave Azul Orgânico 330g</v>
      </c>
      <c r="BB688" s="7">
        <f>SUMIF(NF!$A:$A,$BA688,NF!$I:$I)</f>
        <v>0</v>
      </c>
      <c r="BC688" s="6"/>
      <c r="BD688" s="6"/>
      <c r="BE688" s="6"/>
      <c r="BF688" s="6"/>
      <c r="BG688" s="6"/>
      <c r="BH688" s="6"/>
      <c r="BI688" s="74"/>
      <c r="BJ688" s="74"/>
      <c r="BK688" s="7">
        <f>SUM(BC688:BJ688)</f>
        <v>0</v>
      </c>
      <c r="BL688" s="8">
        <f t="shared" si="446"/>
        <v>0</v>
      </c>
      <c r="BM688" s="51" t="str">
        <f>IFERROR(VLOOKUP(A688,NF!$M:$O,3,0),"")</f>
        <v>Mercado</v>
      </c>
      <c r="BN688" s="7">
        <f t="shared" si="447"/>
        <v>0</v>
      </c>
      <c r="BO688" s="8">
        <f t="array" ref="BO688">IFERROR(LARGE(IF(NF!$G$2:$G$3137='Mês atual'!A688,NF!$J$2:$J$3137),1),0)*BN688</f>
        <v>0</v>
      </c>
      <c r="BP688" s="50"/>
      <c r="BR688" s="146">
        <f t="array" ref="BR688">IFERROR(LARGE(IF(NF!$G$2:$G$3137='Mês atual'!A688,NF!$J$2:$J$3137),1),0)</f>
        <v>0</v>
      </c>
      <c r="BS688" s="142" t="str">
        <f>VLOOKUP(A688,NF!M:O,3,0)</f>
        <v>Mercado</v>
      </c>
      <c r="BV688" s="74">
        <f t="shared" ref="BV688:BV747" si="453">N688</f>
        <v>0</v>
      </c>
      <c r="BW688" s="74">
        <f t="shared" ref="BW688:BW747" si="454">Z688</f>
        <v>0</v>
      </c>
      <c r="BX688" s="74">
        <f t="shared" ref="BX688:BX747" si="455">AL688</f>
        <v>0</v>
      </c>
      <c r="BY688" s="74">
        <f t="shared" ref="BY688:BY747" si="456">AX688</f>
        <v>0</v>
      </c>
      <c r="BZ688" s="74">
        <f t="shared" ref="BZ688:BZ747" si="457">BK688</f>
        <v>0</v>
      </c>
    </row>
    <row r="689" spans="1:78" x14ac:dyDescent="0.2">
      <c r="A689" s="108" t="s">
        <v>200</v>
      </c>
      <c r="B689" s="12"/>
      <c r="C689" s="9">
        <v>0</v>
      </c>
      <c r="D689" s="25"/>
      <c r="E689" s="10" t="str">
        <f t="shared" si="432"/>
        <v>MarçoSEMANA 1Caldo de Cana</v>
      </c>
      <c r="F689" s="7">
        <f>SUMIF(NF!$A:$A,$E689,NF!$I:$I)</f>
        <v>0</v>
      </c>
      <c r="G689" s="74"/>
      <c r="H689" s="74"/>
      <c r="I689" s="74"/>
      <c r="J689" s="6"/>
      <c r="K689" s="6"/>
      <c r="L689" s="6"/>
      <c r="M689" s="6"/>
      <c r="N689" s="7">
        <f t="shared" ref="N689:N708" si="458">SUM(G689:M689)</f>
        <v>0</v>
      </c>
      <c r="O689" s="11">
        <f t="shared" si="434"/>
        <v>0</v>
      </c>
      <c r="P689" s="25"/>
      <c r="Q689" s="10" t="str">
        <f t="shared" si="435"/>
        <v>MarçoSEMANA 2Caldo de Cana</v>
      </c>
      <c r="R689" s="7">
        <f>SUMIF(NF!$A:$A,$Q689,NF!$I:$I)</f>
        <v>0</v>
      </c>
      <c r="S689" s="6"/>
      <c r="T689" s="6"/>
      <c r="U689" s="6"/>
      <c r="V689" s="6"/>
      <c r="W689" s="6"/>
      <c r="X689" s="6"/>
      <c r="Y689" s="6"/>
      <c r="Z689" s="7">
        <f t="shared" ref="Z689:Z708" si="459">SUM(S689:Y689)</f>
        <v>0</v>
      </c>
      <c r="AA689" s="11">
        <f t="shared" si="437"/>
        <v>0</v>
      </c>
      <c r="AB689" s="25"/>
      <c r="AC689" s="10" t="str">
        <f t="shared" si="438"/>
        <v>MarçoSEMANA 3Caldo de Cana</v>
      </c>
      <c r="AD689" s="7">
        <f>SUMIF(NF!$A:$A,$AC689,NF!$I:$I)</f>
        <v>0</v>
      </c>
      <c r="AE689" s="6"/>
      <c r="AF689" s="6"/>
      <c r="AG689" s="6"/>
      <c r="AH689" s="6"/>
      <c r="AI689" s="6"/>
      <c r="AJ689" s="6"/>
      <c r="AK689" s="6"/>
      <c r="AL689" s="7">
        <f t="shared" ref="AL689:AL708" si="460">SUM(AE689:AK689)</f>
        <v>0</v>
      </c>
      <c r="AM689" s="11">
        <f t="shared" si="440"/>
        <v>0</v>
      </c>
      <c r="AN689" s="25"/>
      <c r="AO689" s="10" t="str">
        <f t="shared" si="441"/>
        <v>MarçoSEMANA 4Caldo de Cana</v>
      </c>
      <c r="AP689" s="7">
        <f>SUMIF(NF!$A:$A,$AO689,NF!$I:$I)</f>
        <v>0</v>
      </c>
      <c r="AQ689" s="6"/>
      <c r="AR689" s="6"/>
      <c r="AS689" s="6"/>
      <c r="AT689" s="6"/>
      <c r="AU689" s="6"/>
      <c r="AV689" s="6"/>
      <c r="AW689" s="6"/>
      <c r="AX689" s="7">
        <f t="shared" ref="AX689:AX708" si="461">SUM(AQ689:AW689)</f>
        <v>0</v>
      </c>
      <c r="AY689" s="11">
        <f t="shared" si="443"/>
        <v>0</v>
      </c>
      <c r="AZ689" s="25"/>
      <c r="BA689" s="10" t="str">
        <f t="shared" si="444"/>
        <v>MarçoSEMANA 5Caldo de Cana</v>
      </c>
      <c r="BB689" s="7">
        <f>SUMIF(NF!$A:$A,$BA689,NF!$I:$I)</f>
        <v>0</v>
      </c>
      <c r="BC689" s="6"/>
      <c r="BD689" s="6"/>
      <c r="BE689" s="6"/>
      <c r="BF689" s="6"/>
      <c r="BG689" s="6"/>
      <c r="BH689" s="6"/>
      <c r="BI689" s="74"/>
      <c r="BJ689" s="74"/>
      <c r="BK689" s="7">
        <f t="shared" ref="BK689:BK708" si="462">SUM(BC689:BJ689)</f>
        <v>0</v>
      </c>
      <c r="BL689" s="8">
        <f t="shared" si="446"/>
        <v>0</v>
      </c>
      <c r="BM689" s="51" t="str">
        <f>IFERROR(VLOOKUP(A689,NF!$M:$O,3,0),"")</f>
        <v>Mercado</v>
      </c>
      <c r="BN689" s="7">
        <f t="shared" si="447"/>
        <v>0</v>
      </c>
      <c r="BO689" s="8">
        <f t="array" ref="BO689">IFERROR(LARGE(IF(NF!$G$2:$G$3137='Mês atual'!A689,NF!$J$2:$J$3137),1),0)*BN689</f>
        <v>0</v>
      </c>
      <c r="BP689" s="50"/>
      <c r="BR689" s="146">
        <f t="array" ref="BR689">IFERROR(LARGE(IF(NF!$G$2:$G$3137='Mês atual'!A689,NF!$J$2:$J$3137),1),0)</f>
        <v>0</v>
      </c>
      <c r="BS689" s="142" t="str">
        <f>VLOOKUP(A689,NF!M:O,3,0)</f>
        <v>Mercado</v>
      </c>
      <c r="BV689" s="74">
        <f t="shared" si="453"/>
        <v>0</v>
      </c>
      <c r="BW689" s="74">
        <f t="shared" si="454"/>
        <v>0</v>
      </c>
      <c r="BX689" s="74">
        <f t="shared" si="455"/>
        <v>0</v>
      </c>
      <c r="BY689" s="74">
        <f t="shared" si="456"/>
        <v>0</v>
      </c>
      <c r="BZ689" s="74">
        <f t="shared" si="457"/>
        <v>0</v>
      </c>
    </row>
    <row r="690" spans="1:78" x14ac:dyDescent="0.2">
      <c r="A690" s="108" t="s">
        <v>201</v>
      </c>
      <c r="B690" s="12"/>
      <c r="C690" s="9">
        <v>0</v>
      </c>
      <c r="D690" s="25"/>
      <c r="E690" s="10" t="str">
        <f t="shared" si="432"/>
        <v>MarçoSEMANA 1Caldo de Carne</v>
      </c>
      <c r="F690" s="7">
        <f>SUMIF(NF!$A:$A,$E690,NF!$I:$I)</f>
        <v>0</v>
      </c>
      <c r="G690" s="74"/>
      <c r="H690" s="74"/>
      <c r="I690" s="74"/>
      <c r="J690" s="6"/>
      <c r="K690" s="6"/>
      <c r="L690" s="6"/>
      <c r="M690" s="6"/>
      <c r="N690" s="7">
        <f t="shared" si="458"/>
        <v>0</v>
      </c>
      <c r="O690" s="11">
        <f t="shared" si="434"/>
        <v>0</v>
      </c>
      <c r="P690" s="25"/>
      <c r="Q690" s="10" t="str">
        <f t="shared" si="435"/>
        <v>MarçoSEMANA 2Caldo de Carne</v>
      </c>
      <c r="R690" s="7">
        <f>SUMIF(NF!$A:$A,$Q690,NF!$I:$I)</f>
        <v>0</v>
      </c>
      <c r="S690" s="6"/>
      <c r="T690" s="6"/>
      <c r="U690" s="6"/>
      <c r="V690" s="6"/>
      <c r="W690" s="6"/>
      <c r="X690" s="6"/>
      <c r="Y690" s="6"/>
      <c r="Z690" s="7">
        <f t="shared" si="459"/>
        <v>0</v>
      </c>
      <c r="AA690" s="11">
        <f t="shared" si="437"/>
        <v>0</v>
      </c>
      <c r="AB690" s="25"/>
      <c r="AC690" s="10" t="str">
        <f t="shared" si="438"/>
        <v>MarçoSEMANA 3Caldo de Carne</v>
      </c>
      <c r="AD690" s="7">
        <f>SUMIF(NF!$A:$A,$AC690,NF!$I:$I)</f>
        <v>0</v>
      </c>
      <c r="AE690" s="6"/>
      <c r="AF690" s="6"/>
      <c r="AG690" s="6"/>
      <c r="AH690" s="6"/>
      <c r="AI690" s="6"/>
      <c r="AJ690" s="6"/>
      <c r="AK690" s="6"/>
      <c r="AL690" s="7">
        <f t="shared" si="460"/>
        <v>0</v>
      </c>
      <c r="AM690" s="11">
        <f t="shared" si="440"/>
        <v>0</v>
      </c>
      <c r="AN690" s="25"/>
      <c r="AO690" s="10" t="str">
        <f t="shared" si="441"/>
        <v>MarçoSEMANA 4Caldo de Carne</v>
      </c>
      <c r="AP690" s="7">
        <f>SUMIF(NF!$A:$A,$AO690,NF!$I:$I)</f>
        <v>0</v>
      </c>
      <c r="AQ690" s="6"/>
      <c r="AR690" s="6"/>
      <c r="AS690" s="6"/>
      <c r="AT690" s="6"/>
      <c r="AU690" s="6"/>
      <c r="AV690" s="6"/>
      <c r="AW690" s="6"/>
      <c r="AX690" s="7">
        <f t="shared" si="461"/>
        <v>0</v>
      </c>
      <c r="AY690" s="11">
        <f t="shared" si="443"/>
        <v>0</v>
      </c>
      <c r="AZ690" s="25"/>
      <c r="BA690" s="10" t="str">
        <f t="shared" si="444"/>
        <v>MarçoSEMANA 5Caldo de Carne</v>
      </c>
      <c r="BB690" s="7">
        <f>SUMIF(NF!$A:$A,$BA690,NF!$I:$I)</f>
        <v>0</v>
      </c>
      <c r="BC690" s="6"/>
      <c r="BD690" s="6"/>
      <c r="BE690" s="6"/>
      <c r="BF690" s="6"/>
      <c r="BG690" s="6"/>
      <c r="BH690" s="6"/>
      <c r="BI690" s="74"/>
      <c r="BJ690" s="74"/>
      <c r="BK690" s="7">
        <f t="shared" si="462"/>
        <v>0</v>
      </c>
      <c r="BL690" s="8">
        <f t="shared" si="446"/>
        <v>0</v>
      </c>
      <c r="BM690" s="51" t="str">
        <f>IFERROR(VLOOKUP(A690,NF!$M:$O,3,0),"")</f>
        <v>Mercado</v>
      </c>
      <c r="BN690" s="7">
        <f t="shared" si="447"/>
        <v>0</v>
      </c>
      <c r="BO690" s="8">
        <f t="array" ref="BO690">IFERROR(LARGE(IF(NF!$G$2:$G$3137='Mês atual'!A690,NF!$J$2:$J$3137),1),0)*BN690</f>
        <v>0</v>
      </c>
      <c r="BP690" s="50"/>
      <c r="BR690" s="146">
        <f t="array" ref="BR690">IFERROR(LARGE(IF(NF!$G$2:$G$3137='Mês atual'!A690,NF!$J$2:$J$3137),1),0)</f>
        <v>0</v>
      </c>
      <c r="BS690" s="142" t="str">
        <f>VLOOKUP(A690,NF!M:O,3,0)</f>
        <v>Mercado</v>
      </c>
      <c r="BV690" s="74">
        <f t="shared" si="453"/>
        <v>0</v>
      </c>
      <c r="BW690" s="74">
        <f t="shared" si="454"/>
        <v>0</v>
      </c>
      <c r="BX690" s="74">
        <f t="shared" si="455"/>
        <v>0</v>
      </c>
      <c r="BY690" s="74">
        <f t="shared" si="456"/>
        <v>0</v>
      </c>
      <c r="BZ690" s="74">
        <f t="shared" si="457"/>
        <v>0</v>
      </c>
    </row>
    <row r="691" spans="1:78" x14ac:dyDescent="0.2">
      <c r="A691" s="108" t="s">
        <v>202</v>
      </c>
      <c r="B691" s="12"/>
      <c r="C691" s="9">
        <v>0</v>
      </c>
      <c r="D691" s="25"/>
      <c r="E691" s="10" t="str">
        <f t="shared" si="432"/>
        <v>MarçoSEMANA 1Caldo de Galinha</v>
      </c>
      <c r="F691" s="7">
        <f>SUMIF(NF!$A:$A,$E691,NF!$I:$I)</f>
        <v>0</v>
      </c>
      <c r="G691" s="74"/>
      <c r="H691" s="74"/>
      <c r="I691" s="74"/>
      <c r="J691" s="6"/>
      <c r="K691" s="6"/>
      <c r="L691" s="6"/>
      <c r="M691" s="6"/>
      <c r="N691" s="7">
        <f t="shared" si="458"/>
        <v>0</v>
      </c>
      <c r="O691" s="11">
        <f t="shared" si="434"/>
        <v>0</v>
      </c>
      <c r="P691" s="25"/>
      <c r="Q691" s="10" t="str">
        <f t="shared" si="435"/>
        <v>MarçoSEMANA 2Caldo de Galinha</v>
      </c>
      <c r="R691" s="7">
        <f>SUMIF(NF!$A:$A,$Q691,NF!$I:$I)</f>
        <v>0</v>
      </c>
      <c r="S691" s="6"/>
      <c r="T691" s="6"/>
      <c r="U691" s="6"/>
      <c r="V691" s="6"/>
      <c r="W691" s="6"/>
      <c r="X691" s="6"/>
      <c r="Y691" s="6"/>
      <c r="Z691" s="7">
        <f t="shared" si="459"/>
        <v>0</v>
      </c>
      <c r="AA691" s="11">
        <f t="shared" si="437"/>
        <v>0</v>
      </c>
      <c r="AB691" s="25"/>
      <c r="AC691" s="10" t="str">
        <f t="shared" si="438"/>
        <v>MarçoSEMANA 3Caldo de Galinha</v>
      </c>
      <c r="AD691" s="7">
        <f>SUMIF(NF!$A:$A,$AC691,NF!$I:$I)</f>
        <v>0</v>
      </c>
      <c r="AE691" s="6"/>
      <c r="AF691" s="6"/>
      <c r="AG691" s="6"/>
      <c r="AH691" s="6"/>
      <c r="AI691" s="6"/>
      <c r="AJ691" s="6"/>
      <c r="AK691" s="6"/>
      <c r="AL691" s="7">
        <f t="shared" si="460"/>
        <v>0</v>
      </c>
      <c r="AM691" s="11">
        <f t="shared" si="440"/>
        <v>0</v>
      </c>
      <c r="AN691" s="25"/>
      <c r="AO691" s="10" t="str">
        <f t="shared" si="441"/>
        <v>MarçoSEMANA 4Caldo de Galinha</v>
      </c>
      <c r="AP691" s="7">
        <f>SUMIF(NF!$A:$A,$AO691,NF!$I:$I)</f>
        <v>0</v>
      </c>
      <c r="AQ691" s="6"/>
      <c r="AR691" s="6"/>
      <c r="AS691" s="6"/>
      <c r="AT691" s="6"/>
      <c r="AU691" s="6"/>
      <c r="AV691" s="6"/>
      <c r="AW691" s="6"/>
      <c r="AX691" s="7">
        <f t="shared" si="461"/>
        <v>0</v>
      </c>
      <c r="AY691" s="11">
        <f t="shared" si="443"/>
        <v>0</v>
      </c>
      <c r="AZ691" s="25"/>
      <c r="BA691" s="10" t="str">
        <f t="shared" si="444"/>
        <v>MarçoSEMANA 5Caldo de Galinha</v>
      </c>
      <c r="BB691" s="7">
        <f>SUMIF(NF!$A:$A,$BA691,NF!$I:$I)</f>
        <v>0</v>
      </c>
      <c r="BC691" s="6"/>
      <c r="BD691" s="6"/>
      <c r="BE691" s="6"/>
      <c r="BF691" s="6"/>
      <c r="BG691" s="6"/>
      <c r="BH691" s="6"/>
      <c r="BI691" s="74"/>
      <c r="BJ691" s="74"/>
      <c r="BK691" s="7">
        <f t="shared" si="462"/>
        <v>0</v>
      </c>
      <c r="BL691" s="8">
        <f t="shared" si="446"/>
        <v>0</v>
      </c>
      <c r="BM691" s="51" t="str">
        <f>IFERROR(VLOOKUP(A691,NF!$M:$O,3,0),"")</f>
        <v>Mercado</v>
      </c>
      <c r="BN691" s="7">
        <f t="shared" si="447"/>
        <v>0</v>
      </c>
      <c r="BO691" s="8">
        <f t="array" ref="BO691">IFERROR(LARGE(IF(NF!$G$2:$G$3137='Mês atual'!A691,NF!$J$2:$J$3137),1),0)*BN691</f>
        <v>0</v>
      </c>
      <c r="BP691" s="50"/>
      <c r="BR691" s="146">
        <f t="array" ref="BR691">IFERROR(LARGE(IF(NF!$G$2:$G$3137='Mês atual'!A691,NF!$J$2:$J$3137),1),0)</f>
        <v>0</v>
      </c>
      <c r="BS691" s="142" t="str">
        <f>VLOOKUP(A691,NF!M:O,3,0)</f>
        <v>Mercado</v>
      </c>
      <c r="BV691" s="74">
        <f t="shared" si="453"/>
        <v>0</v>
      </c>
      <c r="BW691" s="74">
        <f t="shared" si="454"/>
        <v>0</v>
      </c>
      <c r="BX691" s="74">
        <f t="shared" si="455"/>
        <v>0</v>
      </c>
      <c r="BY691" s="74">
        <f t="shared" si="456"/>
        <v>0</v>
      </c>
      <c r="BZ691" s="74">
        <f t="shared" si="457"/>
        <v>0</v>
      </c>
    </row>
    <row r="692" spans="1:78" x14ac:dyDescent="0.2">
      <c r="A692" s="108" t="s">
        <v>203</v>
      </c>
      <c r="B692" s="12"/>
      <c r="C692" s="9">
        <v>0.5</v>
      </c>
      <c r="D692" s="25"/>
      <c r="E692" s="10" t="str">
        <f t="shared" si="432"/>
        <v>MarçoSEMANA 1Canela</v>
      </c>
      <c r="F692" s="7">
        <f>SUMIF(NF!$A:$A,$E692,NF!$I:$I)</f>
        <v>0</v>
      </c>
      <c r="G692" s="74"/>
      <c r="H692" s="74"/>
      <c r="I692" s="74"/>
      <c r="J692" s="6"/>
      <c r="K692" s="6"/>
      <c r="L692" s="6"/>
      <c r="M692" s="6"/>
      <c r="N692" s="7">
        <f t="shared" si="458"/>
        <v>0</v>
      </c>
      <c r="O692" s="11">
        <f t="shared" si="434"/>
        <v>0.5</v>
      </c>
      <c r="P692" s="25"/>
      <c r="Q692" s="10" t="str">
        <f t="shared" si="435"/>
        <v>MarçoSEMANA 2Canela</v>
      </c>
      <c r="R692" s="7">
        <f>SUMIF(NF!$A:$A,$Q692,NF!$I:$I)</f>
        <v>0</v>
      </c>
      <c r="S692" s="6"/>
      <c r="T692" s="6"/>
      <c r="U692" s="6"/>
      <c r="V692" s="6"/>
      <c r="W692" s="6"/>
      <c r="X692" s="6"/>
      <c r="Y692" s="6"/>
      <c r="Z692" s="7">
        <f t="shared" si="459"/>
        <v>0</v>
      </c>
      <c r="AA692" s="11">
        <f t="shared" si="437"/>
        <v>0.5</v>
      </c>
      <c r="AB692" s="25"/>
      <c r="AC692" s="10" t="str">
        <f t="shared" si="438"/>
        <v>MarçoSEMANA 3Canela</v>
      </c>
      <c r="AD692" s="7">
        <f>SUMIF(NF!$A:$A,$AC692,NF!$I:$I)</f>
        <v>0</v>
      </c>
      <c r="AE692" s="6"/>
      <c r="AF692" s="6"/>
      <c r="AG692" s="6"/>
      <c r="AH692" s="6"/>
      <c r="AI692" s="6"/>
      <c r="AJ692" s="6"/>
      <c r="AK692" s="6"/>
      <c r="AL692" s="7">
        <f t="shared" si="460"/>
        <v>0</v>
      </c>
      <c r="AM692" s="11">
        <f t="shared" si="440"/>
        <v>0.5</v>
      </c>
      <c r="AN692" s="25"/>
      <c r="AO692" s="10" t="str">
        <f t="shared" si="441"/>
        <v>MarçoSEMANA 4Canela</v>
      </c>
      <c r="AP692" s="7">
        <f>SUMIF(NF!$A:$A,$AO692,NF!$I:$I)</f>
        <v>0</v>
      </c>
      <c r="AQ692" s="6"/>
      <c r="AR692" s="6"/>
      <c r="AS692" s="6"/>
      <c r="AT692" s="6"/>
      <c r="AU692" s="6"/>
      <c r="AV692" s="6"/>
      <c r="AW692" s="6"/>
      <c r="AX692" s="7">
        <f t="shared" si="461"/>
        <v>0</v>
      </c>
      <c r="AY692" s="11">
        <f t="shared" si="443"/>
        <v>0.5</v>
      </c>
      <c r="AZ692" s="25"/>
      <c r="BA692" s="10" t="str">
        <f t="shared" si="444"/>
        <v>MarçoSEMANA 5Canela</v>
      </c>
      <c r="BB692" s="7">
        <f>SUMIF(NF!$A:$A,$BA692,NF!$I:$I)</f>
        <v>0</v>
      </c>
      <c r="BC692" s="6"/>
      <c r="BD692" s="6"/>
      <c r="BE692" s="6"/>
      <c r="BF692" s="6"/>
      <c r="BG692" s="6"/>
      <c r="BH692" s="6"/>
      <c r="BI692" s="74"/>
      <c r="BJ692" s="74"/>
      <c r="BK692" s="7">
        <f t="shared" si="462"/>
        <v>0</v>
      </c>
      <c r="BL692" s="8">
        <f t="shared" si="446"/>
        <v>0.5</v>
      </c>
      <c r="BM692" s="51" t="str">
        <f>IFERROR(VLOOKUP(A692,NF!$M:$O,3,0),"")</f>
        <v>Mercado</v>
      </c>
      <c r="BN692" s="7">
        <f t="shared" si="447"/>
        <v>0</v>
      </c>
      <c r="BO692" s="8">
        <f t="array" ref="BO692">IFERROR(LARGE(IF(NF!$G$2:$G$3137='Mês atual'!A692,NF!$J$2:$J$3137),1),0)*BN692</f>
        <v>0</v>
      </c>
      <c r="BP692" s="50"/>
      <c r="BR692" s="146">
        <f t="array" ref="BR692">IFERROR(LARGE(IF(NF!$G$2:$G$3137='Mês atual'!A692,NF!$J$2:$J$3137),1),0)</f>
        <v>0</v>
      </c>
      <c r="BS692" s="142" t="str">
        <f>VLOOKUP(A692,NF!M:O,3,0)</f>
        <v>Mercado</v>
      </c>
      <c r="BV692" s="74">
        <f t="shared" si="453"/>
        <v>0</v>
      </c>
      <c r="BW692" s="74">
        <f t="shared" si="454"/>
        <v>0</v>
      </c>
      <c r="BX692" s="74">
        <f t="shared" si="455"/>
        <v>0</v>
      </c>
      <c r="BY692" s="74">
        <f t="shared" si="456"/>
        <v>0</v>
      </c>
      <c r="BZ692" s="74">
        <f t="shared" si="457"/>
        <v>0</v>
      </c>
    </row>
    <row r="693" spans="1:78" x14ac:dyDescent="0.2">
      <c r="A693" s="108" t="s">
        <v>204</v>
      </c>
      <c r="B693" s="12"/>
      <c r="C693" s="9">
        <v>0</v>
      </c>
      <c r="D693" s="25"/>
      <c r="E693" s="10" t="str">
        <f t="shared" si="432"/>
        <v>MarçoSEMANA 1Canelonni Misto</v>
      </c>
      <c r="F693" s="7">
        <f>SUMIF(NF!$A:$A,$E693,NF!$I:$I)</f>
        <v>0</v>
      </c>
      <c r="G693" s="74"/>
      <c r="H693" s="74"/>
      <c r="I693" s="74"/>
      <c r="J693" s="6"/>
      <c r="K693" s="6"/>
      <c r="L693" s="6"/>
      <c r="M693" s="6"/>
      <c r="N693" s="7">
        <f t="shared" si="458"/>
        <v>0</v>
      </c>
      <c r="O693" s="11">
        <f t="shared" si="434"/>
        <v>0</v>
      </c>
      <c r="P693" s="25"/>
      <c r="Q693" s="10" t="str">
        <f t="shared" si="435"/>
        <v>MarçoSEMANA 2Canelonni Misto</v>
      </c>
      <c r="R693" s="7">
        <f>SUMIF(NF!$A:$A,$Q693,NF!$I:$I)</f>
        <v>0</v>
      </c>
      <c r="S693" s="6"/>
      <c r="T693" s="6"/>
      <c r="U693" s="6"/>
      <c r="V693" s="6"/>
      <c r="W693" s="6"/>
      <c r="X693" s="6"/>
      <c r="Y693" s="6"/>
      <c r="Z693" s="7">
        <f t="shared" si="459"/>
        <v>0</v>
      </c>
      <c r="AA693" s="11">
        <f t="shared" si="437"/>
        <v>0</v>
      </c>
      <c r="AB693" s="25"/>
      <c r="AC693" s="10" t="str">
        <f t="shared" si="438"/>
        <v>MarçoSEMANA 3Canelonni Misto</v>
      </c>
      <c r="AD693" s="7">
        <f>SUMIF(NF!$A:$A,$AC693,NF!$I:$I)</f>
        <v>0</v>
      </c>
      <c r="AE693" s="6"/>
      <c r="AF693" s="6"/>
      <c r="AG693" s="6"/>
      <c r="AH693" s="6"/>
      <c r="AI693" s="6"/>
      <c r="AJ693" s="6"/>
      <c r="AK693" s="6"/>
      <c r="AL693" s="7">
        <f t="shared" si="460"/>
        <v>0</v>
      </c>
      <c r="AM693" s="11">
        <f t="shared" si="440"/>
        <v>0</v>
      </c>
      <c r="AN693" s="25"/>
      <c r="AO693" s="10" t="str">
        <f t="shared" si="441"/>
        <v>MarçoSEMANA 4Canelonni Misto</v>
      </c>
      <c r="AP693" s="7">
        <f>SUMIF(NF!$A:$A,$AO693,NF!$I:$I)</f>
        <v>0</v>
      </c>
      <c r="AQ693" s="6"/>
      <c r="AR693" s="6"/>
      <c r="AS693" s="6"/>
      <c r="AT693" s="6"/>
      <c r="AU693" s="6"/>
      <c r="AV693" s="6"/>
      <c r="AW693" s="6"/>
      <c r="AX693" s="7">
        <f t="shared" si="461"/>
        <v>0</v>
      </c>
      <c r="AY693" s="11">
        <f t="shared" si="443"/>
        <v>0</v>
      </c>
      <c r="AZ693" s="25"/>
      <c r="BA693" s="10" t="str">
        <f t="shared" si="444"/>
        <v>MarçoSEMANA 5Canelonni Misto</v>
      </c>
      <c r="BB693" s="7">
        <f>SUMIF(NF!$A:$A,$BA693,NF!$I:$I)</f>
        <v>0</v>
      </c>
      <c r="BC693" s="6"/>
      <c r="BD693" s="6"/>
      <c r="BE693" s="6"/>
      <c r="BF693" s="6"/>
      <c r="BG693" s="6"/>
      <c r="BH693" s="6"/>
      <c r="BI693" s="74"/>
      <c r="BJ693" s="74"/>
      <c r="BK693" s="7">
        <f t="shared" si="462"/>
        <v>0</v>
      </c>
      <c r="BL693" s="8">
        <f t="shared" si="446"/>
        <v>0</v>
      </c>
      <c r="BM693" s="51" t="str">
        <f>IFERROR(VLOOKUP(A693,NF!$M:$O,3,0),"")</f>
        <v>Mercado</v>
      </c>
      <c r="BN693" s="7">
        <f t="shared" si="447"/>
        <v>0</v>
      </c>
      <c r="BO693" s="8">
        <f t="array" ref="BO693">IFERROR(LARGE(IF(NF!$G$2:$G$3137='Mês atual'!A693,NF!$J$2:$J$3137),1),0)*BN693</f>
        <v>0</v>
      </c>
      <c r="BP693" s="50"/>
      <c r="BR693" s="146">
        <f t="array" ref="BR693">IFERROR(LARGE(IF(NF!$G$2:$G$3137='Mês atual'!A693,NF!$J$2:$J$3137),1),0)</f>
        <v>0</v>
      </c>
      <c r="BS693" s="142" t="str">
        <f>VLOOKUP(A693,NF!M:O,3,0)</f>
        <v>Mercado</v>
      </c>
      <c r="BV693" s="74">
        <f t="shared" si="453"/>
        <v>0</v>
      </c>
      <c r="BW693" s="74">
        <f t="shared" si="454"/>
        <v>0</v>
      </c>
      <c r="BX693" s="74">
        <f t="shared" si="455"/>
        <v>0</v>
      </c>
      <c r="BY693" s="74">
        <f t="shared" si="456"/>
        <v>0</v>
      </c>
      <c r="BZ693" s="74">
        <f t="shared" si="457"/>
        <v>0</v>
      </c>
    </row>
    <row r="694" spans="1:78" x14ac:dyDescent="0.2">
      <c r="A694" s="108" t="s">
        <v>208</v>
      </c>
      <c r="B694" s="12"/>
      <c r="C694" s="9">
        <v>0</v>
      </c>
      <c r="D694" s="25"/>
      <c r="E694" s="10" t="str">
        <f t="shared" si="432"/>
        <v>MarçoSEMANA 1Canjica de Milho</v>
      </c>
      <c r="F694" s="7">
        <f>SUMIF(NF!$A:$A,$E694,NF!$I:$I)</f>
        <v>0</v>
      </c>
      <c r="G694" s="74"/>
      <c r="H694" s="74"/>
      <c r="I694" s="74"/>
      <c r="J694" s="6"/>
      <c r="K694" s="6"/>
      <c r="L694" s="6"/>
      <c r="M694" s="6"/>
      <c r="N694" s="7">
        <f t="shared" si="458"/>
        <v>0</v>
      </c>
      <c r="O694" s="11">
        <f t="shared" si="434"/>
        <v>0</v>
      </c>
      <c r="P694" s="25"/>
      <c r="Q694" s="10" t="str">
        <f t="shared" si="435"/>
        <v>MarçoSEMANA 2Canjica de Milho</v>
      </c>
      <c r="R694" s="7">
        <f>SUMIF(NF!$A:$A,$Q694,NF!$I:$I)</f>
        <v>0</v>
      </c>
      <c r="S694" s="6"/>
      <c r="T694" s="6"/>
      <c r="U694" s="6"/>
      <c r="V694" s="6"/>
      <c r="W694" s="6"/>
      <c r="X694" s="6"/>
      <c r="Y694" s="6"/>
      <c r="Z694" s="7">
        <f t="shared" si="459"/>
        <v>0</v>
      </c>
      <c r="AA694" s="11">
        <f t="shared" si="437"/>
        <v>0</v>
      </c>
      <c r="AB694" s="25"/>
      <c r="AC694" s="10" t="str">
        <f t="shared" si="438"/>
        <v>MarçoSEMANA 3Canjica de Milho</v>
      </c>
      <c r="AD694" s="7">
        <f>SUMIF(NF!$A:$A,$AC694,NF!$I:$I)</f>
        <v>0</v>
      </c>
      <c r="AE694" s="6"/>
      <c r="AF694" s="6"/>
      <c r="AG694" s="6"/>
      <c r="AH694" s="6"/>
      <c r="AI694" s="6"/>
      <c r="AJ694" s="6"/>
      <c r="AK694" s="6"/>
      <c r="AL694" s="7">
        <f t="shared" si="460"/>
        <v>0</v>
      </c>
      <c r="AM694" s="11">
        <f t="shared" si="440"/>
        <v>0</v>
      </c>
      <c r="AN694" s="25"/>
      <c r="AO694" s="10" t="str">
        <f t="shared" si="441"/>
        <v>MarçoSEMANA 4Canjica de Milho</v>
      </c>
      <c r="AP694" s="7">
        <f>SUMIF(NF!$A:$A,$AO694,NF!$I:$I)</f>
        <v>0</v>
      </c>
      <c r="AQ694" s="6"/>
      <c r="AR694" s="6"/>
      <c r="AS694" s="6"/>
      <c r="AT694" s="6"/>
      <c r="AU694" s="6"/>
      <c r="AV694" s="6"/>
      <c r="AW694" s="6"/>
      <c r="AX694" s="7">
        <f t="shared" si="461"/>
        <v>0</v>
      </c>
      <c r="AY694" s="11">
        <f t="shared" si="443"/>
        <v>0</v>
      </c>
      <c r="AZ694" s="25"/>
      <c r="BA694" s="10" t="str">
        <f t="shared" si="444"/>
        <v>MarçoSEMANA 5Canjica de Milho</v>
      </c>
      <c r="BB694" s="7">
        <f>SUMIF(NF!$A:$A,$BA694,NF!$I:$I)</f>
        <v>0</v>
      </c>
      <c r="BC694" s="6"/>
      <c r="BD694" s="6"/>
      <c r="BE694" s="6"/>
      <c r="BF694" s="6"/>
      <c r="BG694" s="6"/>
      <c r="BH694" s="6"/>
      <c r="BI694" s="74"/>
      <c r="BJ694" s="74"/>
      <c r="BK694" s="7">
        <f t="shared" si="462"/>
        <v>0</v>
      </c>
      <c r="BL694" s="8">
        <f t="shared" si="446"/>
        <v>0</v>
      </c>
      <c r="BM694" s="51" t="str">
        <f>IFERROR(VLOOKUP(A694,NF!$M:$O,3,0),"")</f>
        <v>Mercado</v>
      </c>
      <c r="BN694" s="7">
        <f t="shared" si="447"/>
        <v>0</v>
      </c>
      <c r="BO694" s="8">
        <f t="array" ref="BO694">IFERROR(LARGE(IF(NF!$G$2:$G$3137='Mês atual'!A694,NF!$J$2:$J$3137),1),0)*BN694</f>
        <v>0</v>
      </c>
      <c r="BP694" s="50"/>
      <c r="BR694" s="146">
        <f t="array" ref="BR694">IFERROR(LARGE(IF(NF!$G$2:$G$3137='Mês atual'!A694,NF!$J$2:$J$3137),1),0)</f>
        <v>0</v>
      </c>
      <c r="BS694" s="142" t="str">
        <f>VLOOKUP(A694,NF!M:O,3,0)</f>
        <v>Mercado</v>
      </c>
      <c r="BV694" s="74">
        <f t="shared" si="453"/>
        <v>0</v>
      </c>
      <c r="BW694" s="74">
        <f t="shared" si="454"/>
        <v>0</v>
      </c>
      <c r="BX694" s="74">
        <f t="shared" si="455"/>
        <v>0</v>
      </c>
      <c r="BY694" s="74">
        <f t="shared" si="456"/>
        <v>0</v>
      </c>
      <c r="BZ694" s="74">
        <f t="shared" si="457"/>
        <v>0</v>
      </c>
    </row>
    <row r="695" spans="1:78" x14ac:dyDescent="0.2">
      <c r="A695" s="108" t="s">
        <v>210</v>
      </c>
      <c r="B695" s="12"/>
      <c r="C695" s="9">
        <v>0</v>
      </c>
      <c r="D695" s="25"/>
      <c r="E695" s="10" t="str">
        <f t="shared" si="432"/>
        <v>MarçoSEMANA 1Capeletti</v>
      </c>
      <c r="F695" s="7">
        <f>SUMIF(NF!$A:$A,$E695,NF!$I:$I)</f>
        <v>0</v>
      </c>
      <c r="G695" s="74"/>
      <c r="H695" s="74"/>
      <c r="I695" s="74"/>
      <c r="J695" s="6"/>
      <c r="K695" s="6"/>
      <c r="L695" s="6"/>
      <c r="M695" s="6"/>
      <c r="N695" s="7">
        <f t="shared" si="458"/>
        <v>0</v>
      </c>
      <c r="O695" s="11">
        <f t="shared" si="434"/>
        <v>0</v>
      </c>
      <c r="P695" s="25"/>
      <c r="Q695" s="10" t="str">
        <f t="shared" si="435"/>
        <v>MarçoSEMANA 2Capeletti</v>
      </c>
      <c r="R695" s="7">
        <f>SUMIF(NF!$A:$A,$Q695,NF!$I:$I)</f>
        <v>0</v>
      </c>
      <c r="S695" s="6"/>
      <c r="T695" s="6"/>
      <c r="U695" s="6"/>
      <c r="V695" s="6"/>
      <c r="W695" s="6"/>
      <c r="X695" s="6"/>
      <c r="Y695" s="6"/>
      <c r="Z695" s="7">
        <f t="shared" si="459"/>
        <v>0</v>
      </c>
      <c r="AA695" s="11">
        <f t="shared" si="437"/>
        <v>0</v>
      </c>
      <c r="AB695" s="25"/>
      <c r="AC695" s="10" t="str">
        <f t="shared" si="438"/>
        <v>MarçoSEMANA 3Capeletti</v>
      </c>
      <c r="AD695" s="7">
        <f>SUMIF(NF!$A:$A,$AC695,NF!$I:$I)</f>
        <v>0</v>
      </c>
      <c r="AE695" s="6"/>
      <c r="AF695" s="6"/>
      <c r="AG695" s="6"/>
      <c r="AH695" s="6"/>
      <c r="AI695" s="6"/>
      <c r="AJ695" s="6"/>
      <c r="AK695" s="6"/>
      <c r="AL695" s="7">
        <f t="shared" si="460"/>
        <v>0</v>
      </c>
      <c r="AM695" s="11">
        <f t="shared" si="440"/>
        <v>0</v>
      </c>
      <c r="AN695" s="25"/>
      <c r="AO695" s="10" t="str">
        <f t="shared" si="441"/>
        <v>MarçoSEMANA 4Capeletti</v>
      </c>
      <c r="AP695" s="7">
        <f>SUMIF(NF!$A:$A,$AO695,NF!$I:$I)</f>
        <v>0</v>
      </c>
      <c r="AQ695" s="6"/>
      <c r="AR695" s="6"/>
      <c r="AS695" s="6"/>
      <c r="AT695" s="6"/>
      <c r="AU695" s="6"/>
      <c r="AV695" s="6"/>
      <c r="AW695" s="6"/>
      <c r="AX695" s="7">
        <f t="shared" si="461"/>
        <v>0</v>
      </c>
      <c r="AY695" s="11">
        <f t="shared" si="443"/>
        <v>0</v>
      </c>
      <c r="AZ695" s="25"/>
      <c r="BA695" s="10" t="str">
        <f t="shared" si="444"/>
        <v>MarçoSEMANA 5Capeletti</v>
      </c>
      <c r="BB695" s="7">
        <f>SUMIF(NF!$A:$A,$BA695,NF!$I:$I)</f>
        <v>0</v>
      </c>
      <c r="BC695" s="6"/>
      <c r="BD695" s="6"/>
      <c r="BE695" s="6"/>
      <c r="BF695" s="6"/>
      <c r="BG695" s="6"/>
      <c r="BH695" s="6"/>
      <c r="BI695" s="74"/>
      <c r="BJ695" s="74"/>
      <c r="BK695" s="7">
        <f t="shared" si="462"/>
        <v>0</v>
      </c>
      <c r="BL695" s="8">
        <f t="shared" si="446"/>
        <v>0</v>
      </c>
      <c r="BM695" s="51" t="str">
        <f>IFERROR(VLOOKUP(A695,NF!$M:$O,3,0),"")</f>
        <v>Mercado</v>
      </c>
      <c r="BN695" s="7">
        <f t="shared" si="447"/>
        <v>0</v>
      </c>
      <c r="BO695" s="8">
        <f t="array" ref="BO695">IFERROR(LARGE(IF(NF!$G$2:$G$3137='Mês atual'!A695,NF!$J$2:$J$3137),1),0)*BN695</f>
        <v>0</v>
      </c>
      <c r="BP695" s="50"/>
      <c r="BR695" s="146">
        <f t="array" ref="BR695">IFERROR(LARGE(IF(NF!$G$2:$G$3137='Mês atual'!A695,NF!$J$2:$J$3137),1),0)</f>
        <v>0</v>
      </c>
      <c r="BS695" s="142" t="str">
        <f>VLOOKUP(A695,NF!M:O,3,0)</f>
        <v>Mercado</v>
      </c>
      <c r="BV695" s="74">
        <f t="shared" si="453"/>
        <v>0</v>
      </c>
      <c r="BW695" s="74">
        <f t="shared" si="454"/>
        <v>0</v>
      </c>
      <c r="BX695" s="74">
        <f t="shared" si="455"/>
        <v>0</v>
      </c>
      <c r="BY695" s="74">
        <f t="shared" si="456"/>
        <v>0</v>
      </c>
      <c r="BZ695" s="74">
        <f t="shared" si="457"/>
        <v>0</v>
      </c>
    </row>
    <row r="696" spans="1:78" x14ac:dyDescent="0.2">
      <c r="A696" s="108" t="s">
        <v>214</v>
      </c>
      <c r="B696" s="12"/>
      <c r="C696" s="9">
        <v>0</v>
      </c>
      <c r="D696" s="25"/>
      <c r="E696" s="10" t="str">
        <f t="shared" si="432"/>
        <v>MarçoSEMANA 1Cardomomo Semente</v>
      </c>
      <c r="F696" s="7">
        <f>SUMIF(NF!$A:$A,$E696,NF!$I:$I)</f>
        <v>0</v>
      </c>
      <c r="G696" s="74"/>
      <c r="H696" s="74"/>
      <c r="I696" s="74"/>
      <c r="J696" s="6"/>
      <c r="K696" s="6"/>
      <c r="L696" s="6"/>
      <c r="M696" s="6"/>
      <c r="N696" s="7">
        <f t="shared" si="458"/>
        <v>0</v>
      </c>
      <c r="O696" s="11">
        <f t="shared" si="434"/>
        <v>0</v>
      </c>
      <c r="P696" s="25"/>
      <c r="Q696" s="10" t="str">
        <f t="shared" si="435"/>
        <v>MarçoSEMANA 2Cardomomo Semente</v>
      </c>
      <c r="R696" s="7">
        <f>SUMIF(NF!$A:$A,$Q696,NF!$I:$I)</f>
        <v>0</v>
      </c>
      <c r="S696" s="6"/>
      <c r="T696" s="6"/>
      <c r="U696" s="6"/>
      <c r="V696" s="6"/>
      <c r="W696" s="6"/>
      <c r="X696" s="6"/>
      <c r="Y696" s="6"/>
      <c r="Z696" s="7">
        <f t="shared" si="459"/>
        <v>0</v>
      </c>
      <c r="AA696" s="11">
        <f t="shared" si="437"/>
        <v>0</v>
      </c>
      <c r="AB696" s="25"/>
      <c r="AC696" s="10" t="str">
        <f t="shared" si="438"/>
        <v>MarçoSEMANA 3Cardomomo Semente</v>
      </c>
      <c r="AD696" s="7">
        <f>SUMIF(NF!$A:$A,$AC696,NF!$I:$I)</f>
        <v>0</v>
      </c>
      <c r="AE696" s="6"/>
      <c r="AF696" s="6"/>
      <c r="AG696" s="6"/>
      <c r="AH696" s="6"/>
      <c r="AI696" s="6"/>
      <c r="AJ696" s="6"/>
      <c r="AK696" s="6"/>
      <c r="AL696" s="7">
        <f t="shared" si="460"/>
        <v>0</v>
      </c>
      <c r="AM696" s="11">
        <f t="shared" si="440"/>
        <v>0</v>
      </c>
      <c r="AN696" s="25"/>
      <c r="AO696" s="10" t="str">
        <f t="shared" si="441"/>
        <v>MarçoSEMANA 4Cardomomo Semente</v>
      </c>
      <c r="AP696" s="7">
        <f>SUMIF(NF!$A:$A,$AO696,NF!$I:$I)</f>
        <v>0</v>
      </c>
      <c r="AQ696" s="6"/>
      <c r="AR696" s="6"/>
      <c r="AS696" s="6"/>
      <c r="AT696" s="6"/>
      <c r="AU696" s="6"/>
      <c r="AV696" s="6"/>
      <c r="AW696" s="6"/>
      <c r="AX696" s="7">
        <f t="shared" si="461"/>
        <v>0</v>
      </c>
      <c r="AY696" s="11">
        <f t="shared" si="443"/>
        <v>0</v>
      </c>
      <c r="AZ696" s="25"/>
      <c r="BA696" s="10" t="str">
        <f t="shared" si="444"/>
        <v>MarçoSEMANA 5Cardomomo Semente</v>
      </c>
      <c r="BB696" s="7">
        <f>SUMIF(NF!$A:$A,$BA696,NF!$I:$I)</f>
        <v>0</v>
      </c>
      <c r="BC696" s="6"/>
      <c r="BD696" s="6"/>
      <c r="BE696" s="6"/>
      <c r="BF696" s="6"/>
      <c r="BG696" s="6"/>
      <c r="BH696" s="6"/>
      <c r="BI696" s="74"/>
      <c r="BJ696" s="74"/>
      <c r="BK696" s="7">
        <f t="shared" si="462"/>
        <v>0</v>
      </c>
      <c r="BL696" s="8">
        <f t="shared" si="446"/>
        <v>0</v>
      </c>
      <c r="BM696" s="51" t="str">
        <f>IFERROR(VLOOKUP(A696,NF!$M:$O,3,0),"")</f>
        <v>Mercado</v>
      </c>
      <c r="BN696" s="7">
        <f t="shared" si="447"/>
        <v>0</v>
      </c>
      <c r="BO696" s="8">
        <f t="array" ref="BO696">IFERROR(LARGE(IF(NF!$G$2:$G$3137='Mês atual'!A696,NF!$J$2:$J$3137),1),0)*BN696</f>
        <v>0</v>
      </c>
      <c r="BP696" s="50"/>
      <c r="BR696" s="146">
        <f t="array" ref="BR696">IFERROR(LARGE(IF(NF!$G$2:$G$3137='Mês atual'!A696,NF!$J$2:$J$3137),1),0)</f>
        <v>0</v>
      </c>
      <c r="BS696" s="142" t="str">
        <f>VLOOKUP(A696,NF!M:O,3,0)</f>
        <v>Mercado</v>
      </c>
      <c r="BV696" s="74">
        <f t="shared" si="453"/>
        <v>0</v>
      </c>
      <c r="BW696" s="74">
        <f t="shared" si="454"/>
        <v>0</v>
      </c>
      <c r="BX696" s="74">
        <f t="shared" si="455"/>
        <v>0</v>
      </c>
      <c r="BY696" s="74">
        <f t="shared" si="456"/>
        <v>0</v>
      </c>
      <c r="BZ696" s="74">
        <f t="shared" si="457"/>
        <v>0</v>
      </c>
    </row>
    <row r="697" spans="1:78" x14ac:dyDescent="0.2">
      <c r="A697" s="108" t="s">
        <v>1023</v>
      </c>
      <c r="B697" s="12"/>
      <c r="C697" s="9">
        <v>0</v>
      </c>
      <c r="D697" s="25"/>
      <c r="E697" s="10" t="str">
        <f t="shared" si="432"/>
        <v>MarçoSEMANA 1Castanha de Caju Crua</v>
      </c>
      <c r="F697" s="7">
        <f>SUMIF(NF!$A:$A,$E697,NF!$I:$I)</f>
        <v>0</v>
      </c>
      <c r="G697" s="74"/>
      <c r="H697" s="74"/>
      <c r="I697" s="74"/>
      <c r="J697" s="6"/>
      <c r="K697" s="6"/>
      <c r="L697" s="6"/>
      <c r="M697" s="6"/>
      <c r="N697" s="7">
        <f>SUM(G697:M697)</f>
        <v>0</v>
      </c>
      <c r="O697" s="11">
        <f>F697+C697-N697</f>
        <v>0</v>
      </c>
      <c r="P697" s="25"/>
      <c r="Q697" s="10" t="str">
        <f t="shared" si="435"/>
        <v>MarçoSEMANA 2Castanha de Caju Crua</v>
      </c>
      <c r="R697" s="7">
        <f>SUMIF(NF!$A:$A,$Q697,NF!$I:$I)</f>
        <v>0</v>
      </c>
      <c r="S697" s="6"/>
      <c r="T697" s="6"/>
      <c r="U697" s="6"/>
      <c r="V697" s="6"/>
      <c r="W697" s="6"/>
      <c r="X697" s="6"/>
      <c r="Y697" s="6"/>
      <c r="Z697" s="7">
        <f>SUM(S697:Y697)</f>
        <v>0</v>
      </c>
      <c r="AA697" s="11">
        <f>R697+O697-Z697</f>
        <v>0</v>
      </c>
      <c r="AB697" s="25"/>
      <c r="AC697" s="10" t="str">
        <f t="shared" si="438"/>
        <v>MarçoSEMANA 3Castanha de Caju Crua</v>
      </c>
      <c r="AD697" s="7">
        <f>SUMIF(NF!$A:$A,$AC697,NF!$I:$I)</f>
        <v>0</v>
      </c>
      <c r="AE697" s="6"/>
      <c r="AF697" s="6"/>
      <c r="AG697" s="6"/>
      <c r="AH697" s="6"/>
      <c r="AI697" s="6"/>
      <c r="AJ697" s="6"/>
      <c r="AK697" s="6"/>
      <c r="AL697" s="7">
        <f>SUM(AE697:AK697)</f>
        <v>0</v>
      </c>
      <c r="AM697" s="11">
        <f>AD697+AA697-AL697</f>
        <v>0</v>
      </c>
      <c r="AN697" s="25"/>
      <c r="AO697" s="10" t="str">
        <f t="shared" si="441"/>
        <v>MarçoSEMANA 4Castanha de Caju Crua</v>
      </c>
      <c r="AP697" s="7">
        <f>SUMIF(NF!$A:$A,$AO697,NF!$I:$I)</f>
        <v>0</v>
      </c>
      <c r="AQ697" s="6"/>
      <c r="AR697" s="6"/>
      <c r="AS697" s="6"/>
      <c r="AT697" s="6"/>
      <c r="AU697" s="6"/>
      <c r="AV697" s="6"/>
      <c r="AW697" s="6"/>
      <c r="AX697" s="7">
        <f>SUM(AQ697:AW697)</f>
        <v>0</v>
      </c>
      <c r="AY697" s="11">
        <f>AP697+AM697-AX697</f>
        <v>0</v>
      </c>
      <c r="AZ697" s="25"/>
      <c r="BA697" s="10" t="str">
        <f t="shared" si="444"/>
        <v>MarçoSEMANA 5Castanha de Caju Crua</v>
      </c>
      <c r="BB697" s="7">
        <f>SUMIF(NF!$A:$A,$BA697,NF!$I:$I)</f>
        <v>0</v>
      </c>
      <c r="BC697" s="6"/>
      <c r="BD697" s="6"/>
      <c r="BE697" s="6"/>
      <c r="BF697" s="6"/>
      <c r="BG697" s="6"/>
      <c r="BH697" s="6"/>
      <c r="BI697" s="74"/>
      <c r="BJ697" s="74"/>
      <c r="BK697" s="7">
        <f>SUM(BC697:BJ697)</f>
        <v>0</v>
      </c>
      <c r="BL697" s="8">
        <f>BB697+AY697-BK697</f>
        <v>0</v>
      </c>
      <c r="BM697" s="51" t="str">
        <f>IFERROR(VLOOKUP(A697,NF!$M:$O,3,0),"")</f>
        <v>Mercado</v>
      </c>
      <c r="BN697" s="7">
        <f>SUM(N697,Z697,AL697,AX697,BK697)</f>
        <v>0</v>
      </c>
      <c r="BO697" s="8">
        <f t="array" ref="BO697">IFERROR(LARGE(IF(NF!$G$2:$G$3137='Mês atual'!A697,NF!$J$2:$J$3137),1),0)*BN697</f>
        <v>0</v>
      </c>
      <c r="BP697" s="50"/>
      <c r="BR697" s="146">
        <f t="array" ref="BR697">IFERROR(LARGE(IF(NF!$G$2:$G$3137='Mês atual'!A697,NF!$J$2:$J$3137),1),0)</f>
        <v>0</v>
      </c>
      <c r="BS697" s="142" t="str">
        <f>VLOOKUP(A697,NF!M:O,3,0)</f>
        <v>Mercado</v>
      </c>
      <c r="BV697" s="74">
        <f t="shared" si="453"/>
        <v>0</v>
      </c>
      <c r="BW697" s="74">
        <f t="shared" si="454"/>
        <v>0</v>
      </c>
      <c r="BX697" s="74">
        <f t="shared" si="455"/>
        <v>0</v>
      </c>
      <c r="BY697" s="74">
        <f t="shared" si="456"/>
        <v>0</v>
      </c>
      <c r="BZ697" s="74">
        <f t="shared" si="457"/>
        <v>0</v>
      </c>
    </row>
    <row r="698" spans="1:78" x14ac:dyDescent="0.2">
      <c r="A698" s="108" t="s">
        <v>238</v>
      </c>
      <c r="B698" s="12"/>
      <c r="C698" s="9">
        <v>1</v>
      </c>
      <c r="D698" s="25"/>
      <c r="E698" s="10" t="str">
        <f t="shared" si="432"/>
        <v>MarçoSEMANA 1Castanha de Caju Picada</v>
      </c>
      <c r="F698" s="7">
        <f>SUMIF(NF!$A:$A,$E698,NF!$I:$I)</f>
        <v>1</v>
      </c>
      <c r="G698" s="74"/>
      <c r="H698" s="74"/>
      <c r="I698" s="74"/>
      <c r="J698" s="6"/>
      <c r="K698" s="6"/>
      <c r="L698" s="6"/>
      <c r="M698" s="6"/>
      <c r="N698" s="7">
        <f t="shared" si="458"/>
        <v>0</v>
      </c>
      <c r="O698" s="11">
        <f t="shared" si="434"/>
        <v>2</v>
      </c>
      <c r="P698" s="25"/>
      <c r="Q698" s="10" t="str">
        <f t="shared" si="435"/>
        <v>MarçoSEMANA 2Castanha de Caju Picada</v>
      </c>
      <c r="R698" s="7">
        <f>SUMIF(NF!$A:$A,$Q698,NF!$I:$I)</f>
        <v>1</v>
      </c>
      <c r="S698" s="6">
        <v>1</v>
      </c>
      <c r="T698" s="6"/>
      <c r="U698" s="6"/>
      <c r="V698" s="6"/>
      <c r="W698" s="6"/>
      <c r="X698" s="6"/>
      <c r="Y698" s="6"/>
      <c r="Z698" s="7">
        <f t="shared" si="459"/>
        <v>1</v>
      </c>
      <c r="AA698" s="11">
        <f t="shared" si="437"/>
        <v>2</v>
      </c>
      <c r="AB698" s="25"/>
      <c r="AC698" s="10" t="str">
        <f t="shared" si="438"/>
        <v>MarçoSEMANA 3Castanha de Caju Picada</v>
      </c>
      <c r="AD698" s="7">
        <f>SUMIF(NF!$A:$A,$AC698,NF!$I:$I)</f>
        <v>0</v>
      </c>
      <c r="AE698" s="6"/>
      <c r="AF698" s="6"/>
      <c r="AG698" s="6"/>
      <c r="AH698" s="6">
        <v>1</v>
      </c>
      <c r="AI698" s="6"/>
      <c r="AJ698" s="6"/>
      <c r="AK698" s="6">
        <v>1</v>
      </c>
      <c r="AL698" s="7">
        <f t="shared" si="460"/>
        <v>2</v>
      </c>
      <c r="AM698" s="11">
        <f t="shared" si="440"/>
        <v>0</v>
      </c>
      <c r="AN698" s="25"/>
      <c r="AO698" s="10" t="str">
        <f t="shared" si="441"/>
        <v>MarçoSEMANA 4Castanha de Caju Picada</v>
      </c>
      <c r="AP698" s="7">
        <f>SUMIF(NF!$A:$A,$AO698,NF!$I:$I)</f>
        <v>2</v>
      </c>
      <c r="AQ698" s="6"/>
      <c r="AR698" s="6">
        <v>1</v>
      </c>
      <c r="AS698" s="6"/>
      <c r="AT698" s="6"/>
      <c r="AU698" s="6"/>
      <c r="AV698" s="6"/>
      <c r="AW698" s="6"/>
      <c r="AX698" s="7">
        <f t="shared" si="461"/>
        <v>1</v>
      </c>
      <c r="AY698" s="11">
        <f t="shared" si="443"/>
        <v>1</v>
      </c>
      <c r="AZ698" s="25"/>
      <c r="BA698" s="10" t="str">
        <f t="shared" si="444"/>
        <v>MarçoSEMANA 5Castanha de Caju Picada</v>
      </c>
      <c r="BB698" s="7">
        <f>SUMIF(NF!$A:$A,$BA698,NF!$I:$I)</f>
        <v>1</v>
      </c>
      <c r="BC698" s="6"/>
      <c r="BD698" s="6">
        <v>1</v>
      </c>
      <c r="BE698" s="6"/>
      <c r="BF698" s="6"/>
      <c r="BG698" s="6"/>
      <c r="BH698" s="6"/>
      <c r="BI698" s="74"/>
      <c r="BJ698" s="74"/>
      <c r="BK698" s="7">
        <f t="shared" si="462"/>
        <v>1</v>
      </c>
      <c r="BL698" s="8">
        <f t="shared" si="446"/>
        <v>1</v>
      </c>
      <c r="BM698" s="51" t="str">
        <f>IFERROR(VLOOKUP(A698,NF!$M:$O,3,0),"")</f>
        <v>Mercado</v>
      </c>
      <c r="BN698" s="7">
        <f t="shared" si="447"/>
        <v>5</v>
      </c>
      <c r="BO698" s="8">
        <f t="array" ref="BO698">IFERROR(LARGE(IF(NF!$G$2:$G$3137='Mês atual'!A698,NF!$J$2:$J$3137),1),0)*BN698</f>
        <v>274.5</v>
      </c>
      <c r="BP698" s="50"/>
      <c r="BR698" s="146">
        <f t="array" ref="BR698">IFERROR(LARGE(IF(NF!$G$2:$G$3137='Mês atual'!A698,NF!$J$2:$J$3137),1),0)</f>
        <v>54.9</v>
      </c>
      <c r="BS698" s="142" t="str">
        <f>VLOOKUP(A698,NF!M:O,3,0)</f>
        <v>Mercado</v>
      </c>
      <c r="BV698" s="74">
        <f t="shared" si="453"/>
        <v>0</v>
      </c>
      <c r="BW698" s="74">
        <f t="shared" si="454"/>
        <v>1</v>
      </c>
      <c r="BX698" s="74">
        <f t="shared" si="455"/>
        <v>2</v>
      </c>
      <c r="BY698" s="74">
        <f t="shared" si="456"/>
        <v>1</v>
      </c>
      <c r="BZ698" s="74">
        <f t="shared" si="457"/>
        <v>1</v>
      </c>
    </row>
    <row r="699" spans="1:78" x14ac:dyDescent="0.25">
      <c r="A699" s="108" t="s">
        <v>239</v>
      </c>
      <c r="B699" s="12"/>
      <c r="C699" s="9">
        <v>0</v>
      </c>
      <c r="D699" s="25"/>
      <c r="E699" s="10" t="str">
        <f t="shared" si="432"/>
        <v>MarçoSEMANA 1Castanha do Pará</v>
      </c>
      <c r="F699" s="7">
        <f>SUMIF(NF!$A:$A,$E699,NF!$I:$I)</f>
        <v>0</v>
      </c>
      <c r="G699" s="74"/>
      <c r="H699" s="74"/>
      <c r="I699" s="74"/>
      <c r="J699" s="6"/>
      <c r="K699" s="6"/>
      <c r="L699" s="6"/>
      <c r="M699" s="6"/>
      <c r="N699" s="7">
        <f t="shared" si="458"/>
        <v>0</v>
      </c>
      <c r="O699" s="11">
        <f t="shared" si="434"/>
        <v>0</v>
      </c>
      <c r="P699" s="25"/>
      <c r="Q699" s="10" t="str">
        <f t="shared" si="435"/>
        <v>MarçoSEMANA 2Castanha do Pará</v>
      </c>
      <c r="R699" s="7">
        <f>SUMIF(NF!$A:$A,$Q699,NF!$I:$I)</f>
        <v>0</v>
      </c>
      <c r="S699" s="6"/>
      <c r="T699" s="6"/>
      <c r="U699" s="6"/>
      <c r="V699" s="6"/>
      <c r="W699" s="6"/>
      <c r="X699" s="6"/>
      <c r="Y699" s="6"/>
      <c r="Z699" s="7">
        <f t="shared" si="459"/>
        <v>0</v>
      </c>
      <c r="AA699" s="11">
        <f t="shared" si="437"/>
        <v>0</v>
      </c>
      <c r="AB699" s="25"/>
      <c r="AC699" s="10" t="str">
        <f t="shared" si="438"/>
        <v>MarçoSEMANA 3Castanha do Pará</v>
      </c>
      <c r="AD699" s="7">
        <f>SUMIF(NF!$A:$A,$AC699,NF!$I:$I)</f>
        <v>0</v>
      </c>
      <c r="AE699" s="6"/>
      <c r="AF699" s="6"/>
      <c r="AG699" s="6"/>
      <c r="AH699" s="6"/>
      <c r="AI699" s="6"/>
      <c r="AJ699" s="6"/>
      <c r="AK699" s="6"/>
      <c r="AL699" s="7">
        <f t="shared" si="460"/>
        <v>0</v>
      </c>
      <c r="AM699" s="11">
        <f t="shared" si="440"/>
        <v>0</v>
      </c>
      <c r="AN699" s="25"/>
      <c r="AO699" s="10" t="str">
        <f t="shared" si="441"/>
        <v>MarçoSEMANA 4Castanha do Pará</v>
      </c>
      <c r="AP699" s="7">
        <f>SUMIF(NF!$A:$A,$AO699,NF!$I:$I)</f>
        <v>0</v>
      </c>
      <c r="AQ699" s="6"/>
      <c r="AR699" s="6"/>
      <c r="AS699" s="6"/>
      <c r="AT699" s="6"/>
      <c r="AU699" s="6"/>
      <c r="AV699" s="6"/>
      <c r="AW699" s="6"/>
      <c r="AX699" s="7">
        <f t="shared" si="461"/>
        <v>0</v>
      </c>
      <c r="AY699" s="11">
        <f t="shared" si="443"/>
        <v>0</v>
      </c>
      <c r="AZ699" s="25"/>
      <c r="BA699" s="10" t="str">
        <f t="shared" si="444"/>
        <v>MarçoSEMANA 5Castanha do Pará</v>
      </c>
      <c r="BB699" s="7">
        <f>SUMIF(NF!$A:$A,$BA699,NF!$I:$I)</f>
        <v>0</v>
      </c>
      <c r="BC699" s="6"/>
      <c r="BD699" s="6"/>
      <c r="BE699" s="6"/>
      <c r="BF699" s="6"/>
      <c r="BG699" s="6"/>
      <c r="BH699" s="6"/>
      <c r="BI699" s="74"/>
      <c r="BJ699" s="74"/>
      <c r="BK699" s="7">
        <f t="shared" si="462"/>
        <v>0</v>
      </c>
      <c r="BL699" s="8">
        <f t="shared" si="446"/>
        <v>0</v>
      </c>
      <c r="BM699" s="51" t="str">
        <f>IFERROR(VLOOKUP(A699,NF!$M:$O,3,0),"")</f>
        <v>Mercado</v>
      </c>
      <c r="BN699" s="7">
        <f t="shared" si="447"/>
        <v>0</v>
      </c>
      <c r="BO699" s="8">
        <f t="array" ref="BO699">IFERROR(LARGE(IF(NF!$G$2:$G$3137='Mês atual'!A699,NF!$J$2:$J$3137),1),0)*BN699</f>
        <v>0</v>
      </c>
      <c r="BP699" s="50"/>
      <c r="BR699" s="146">
        <f t="array" ref="BR699">IFERROR(LARGE(IF(NF!$G$2:$G$3137='Mês atual'!A699,NF!$J$2:$J$3137),1),0)</f>
        <v>0</v>
      </c>
      <c r="BS699" s="142" t="str">
        <f>VLOOKUP(A699,NF!M:O,3,0)</f>
        <v>Mercado</v>
      </c>
      <c r="BV699" s="74">
        <f t="shared" si="453"/>
        <v>0</v>
      </c>
      <c r="BW699" s="74">
        <f t="shared" si="454"/>
        <v>0</v>
      </c>
      <c r="BX699" s="74">
        <f t="shared" si="455"/>
        <v>0</v>
      </c>
      <c r="BY699" s="74">
        <f t="shared" si="456"/>
        <v>0</v>
      </c>
      <c r="BZ699" s="74">
        <f t="shared" si="457"/>
        <v>0</v>
      </c>
    </row>
    <row r="700" spans="1:78" x14ac:dyDescent="0.2">
      <c r="A700" s="108" t="s">
        <v>240</v>
      </c>
      <c r="B700" s="12"/>
      <c r="C700" s="9">
        <v>1</v>
      </c>
      <c r="D700" s="25"/>
      <c r="E700" s="10" t="str">
        <f t="shared" si="432"/>
        <v>MarçoSEMANA 1Catchup 3,6 Kg</v>
      </c>
      <c r="F700" s="7">
        <f>SUMIF(NF!$A:$A,$E700,NF!$I:$I)</f>
        <v>1</v>
      </c>
      <c r="G700" s="74"/>
      <c r="H700" s="74"/>
      <c r="I700" s="74"/>
      <c r="J700" s="6"/>
      <c r="K700" s="6"/>
      <c r="L700" s="6"/>
      <c r="M700" s="6"/>
      <c r="N700" s="7">
        <f t="shared" si="458"/>
        <v>0</v>
      </c>
      <c r="O700" s="11">
        <f t="shared" si="434"/>
        <v>2</v>
      </c>
      <c r="P700" s="25"/>
      <c r="Q700" s="10" t="str">
        <f t="shared" si="435"/>
        <v>MarçoSEMANA 2Catchup 3,6 Kg</v>
      </c>
      <c r="R700" s="7">
        <f>SUMIF(NF!$A:$A,$Q700,NF!$I:$I)</f>
        <v>0</v>
      </c>
      <c r="S700" s="6"/>
      <c r="T700" s="6"/>
      <c r="U700" s="6">
        <v>1</v>
      </c>
      <c r="V700" s="6"/>
      <c r="W700" s="6"/>
      <c r="X700" s="6"/>
      <c r="Y700" s="6"/>
      <c r="Z700" s="7">
        <f t="shared" si="459"/>
        <v>1</v>
      </c>
      <c r="AA700" s="11">
        <f t="shared" si="437"/>
        <v>1</v>
      </c>
      <c r="AB700" s="25"/>
      <c r="AC700" s="10" t="str">
        <f t="shared" si="438"/>
        <v>MarçoSEMANA 3Catchup 3,6 Kg</v>
      </c>
      <c r="AD700" s="7">
        <f>SUMIF(NF!$A:$A,$AC700,NF!$I:$I)</f>
        <v>1</v>
      </c>
      <c r="AE700" s="6"/>
      <c r="AF700" s="6"/>
      <c r="AG700" s="6">
        <v>1</v>
      </c>
      <c r="AH700" s="6"/>
      <c r="AI700" s="6"/>
      <c r="AJ700" s="6"/>
      <c r="AK700" s="6"/>
      <c r="AL700" s="7">
        <f t="shared" si="460"/>
        <v>1</v>
      </c>
      <c r="AM700" s="11">
        <f t="shared" si="440"/>
        <v>1</v>
      </c>
      <c r="AN700" s="25"/>
      <c r="AO700" s="10" t="str">
        <f t="shared" si="441"/>
        <v>MarçoSEMANA 4Catchup 3,6 Kg</v>
      </c>
      <c r="AP700" s="7">
        <f>SUMIF(NF!$A:$A,$AO700,NF!$I:$I)</f>
        <v>2</v>
      </c>
      <c r="AQ700" s="6">
        <v>1</v>
      </c>
      <c r="AR700" s="6"/>
      <c r="AS700" s="6"/>
      <c r="AT700" s="6"/>
      <c r="AU700" s="6"/>
      <c r="AV700" s="6"/>
      <c r="AW700" s="6"/>
      <c r="AX700" s="7">
        <f t="shared" si="461"/>
        <v>1</v>
      </c>
      <c r="AY700" s="11">
        <f t="shared" si="443"/>
        <v>2</v>
      </c>
      <c r="AZ700" s="25"/>
      <c r="BA700" s="10" t="str">
        <f t="shared" si="444"/>
        <v>MarçoSEMANA 5Catchup 3,6 Kg</v>
      </c>
      <c r="BB700" s="7">
        <f>SUMIF(NF!$A:$A,$BA700,NF!$I:$I)</f>
        <v>0</v>
      </c>
      <c r="BC700" s="6"/>
      <c r="BD700" s="6"/>
      <c r="BE700" s="6"/>
      <c r="BF700" s="6"/>
      <c r="BG700" s="6"/>
      <c r="BH700" s="6"/>
      <c r="BI700" s="74"/>
      <c r="BJ700" s="74"/>
      <c r="BK700" s="7">
        <f t="shared" si="462"/>
        <v>0</v>
      </c>
      <c r="BL700" s="8">
        <f t="shared" si="446"/>
        <v>2</v>
      </c>
      <c r="BM700" s="51" t="str">
        <f>IFERROR(VLOOKUP(A700,NF!$M:$O,3,0),"")</f>
        <v>Mercado</v>
      </c>
      <c r="BN700" s="7">
        <f t="shared" si="447"/>
        <v>3</v>
      </c>
      <c r="BO700" s="8">
        <f t="array" ref="BO700">IFERROR(LARGE(IF(NF!$G$2:$G$3137='Mês atual'!A700,NF!$J$2:$J$3137),1),0)*BN700</f>
        <v>44.849999999999994</v>
      </c>
      <c r="BP700" s="50"/>
      <c r="BR700" s="146">
        <f t="array" ref="BR700">IFERROR(LARGE(IF(NF!$G$2:$G$3137='Mês atual'!A700,NF!$J$2:$J$3137),1),0)</f>
        <v>14.95</v>
      </c>
      <c r="BS700" s="142" t="str">
        <f>VLOOKUP(A700,NF!M:O,3,0)</f>
        <v>Mercado</v>
      </c>
      <c r="BV700" s="74">
        <f t="shared" si="453"/>
        <v>0</v>
      </c>
      <c r="BW700" s="74">
        <f t="shared" si="454"/>
        <v>1</v>
      </c>
      <c r="BX700" s="74">
        <f t="shared" si="455"/>
        <v>1</v>
      </c>
      <c r="BY700" s="74">
        <f t="shared" si="456"/>
        <v>1</v>
      </c>
      <c r="BZ700" s="74">
        <f t="shared" si="457"/>
        <v>0</v>
      </c>
    </row>
    <row r="701" spans="1:78" x14ac:dyDescent="0.2">
      <c r="A701" s="108" t="s">
        <v>245</v>
      </c>
      <c r="B701" s="12"/>
      <c r="C701" s="9">
        <v>0</v>
      </c>
      <c r="D701" s="25"/>
      <c r="E701" s="10" t="str">
        <f t="shared" si="432"/>
        <v>MarçoSEMANA 1Cebolete em conserva</v>
      </c>
      <c r="F701" s="7">
        <f>SUMIF(NF!$A:$A,$E701,NF!$I:$I)</f>
        <v>0</v>
      </c>
      <c r="G701" s="74"/>
      <c r="H701" s="74"/>
      <c r="I701" s="74"/>
      <c r="J701" s="6"/>
      <c r="K701" s="6"/>
      <c r="L701" s="6"/>
      <c r="M701" s="6"/>
      <c r="N701" s="7">
        <f t="shared" si="458"/>
        <v>0</v>
      </c>
      <c r="O701" s="11">
        <f t="shared" si="434"/>
        <v>0</v>
      </c>
      <c r="P701" s="25"/>
      <c r="Q701" s="10" t="str">
        <f t="shared" si="435"/>
        <v>MarçoSEMANA 2Cebolete em conserva</v>
      </c>
      <c r="R701" s="7">
        <f>SUMIF(NF!$A:$A,$Q701,NF!$I:$I)</f>
        <v>0</v>
      </c>
      <c r="S701" s="6"/>
      <c r="T701" s="6"/>
      <c r="U701" s="6"/>
      <c r="V701" s="6"/>
      <c r="W701" s="6"/>
      <c r="X701" s="6"/>
      <c r="Y701" s="6"/>
      <c r="Z701" s="7">
        <f t="shared" si="459"/>
        <v>0</v>
      </c>
      <c r="AA701" s="11">
        <f t="shared" si="437"/>
        <v>0</v>
      </c>
      <c r="AB701" s="25"/>
      <c r="AC701" s="10" t="str">
        <f t="shared" si="438"/>
        <v>MarçoSEMANA 3Cebolete em conserva</v>
      </c>
      <c r="AD701" s="7">
        <f>SUMIF(NF!$A:$A,$AC701,NF!$I:$I)</f>
        <v>0</v>
      </c>
      <c r="AE701" s="6"/>
      <c r="AF701" s="6"/>
      <c r="AG701" s="6"/>
      <c r="AH701" s="6"/>
      <c r="AI701" s="6"/>
      <c r="AJ701" s="6"/>
      <c r="AK701" s="6"/>
      <c r="AL701" s="7">
        <f t="shared" si="460"/>
        <v>0</v>
      </c>
      <c r="AM701" s="11">
        <f t="shared" si="440"/>
        <v>0</v>
      </c>
      <c r="AN701" s="25"/>
      <c r="AO701" s="10" t="str">
        <f t="shared" si="441"/>
        <v>MarçoSEMANA 4Cebolete em conserva</v>
      </c>
      <c r="AP701" s="7">
        <f>SUMIF(NF!$A:$A,$AO701,NF!$I:$I)</f>
        <v>0</v>
      </c>
      <c r="AQ701" s="6"/>
      <c r="AR701" s="6"/>
      <c r="AS701" s="6"/>
      <c r="AT701" s="6"/>
      <c r="AU701" s="6"/>
      <c r="AV701" s="6"/>
      <c r="AW701" s="6"/>
      <c r="AX701" s="7">
        <f t="shared" si="461"/>
        <v>0</v>
      </c>
      <c r="AY701" s="11">
        <f t="shared" si="443"/>
        <v>0</v>
      </c>
      <c r="AZ701" s="25"/>
      <c r="BA701" s="10" t="str">
        <f t="shared" si="444"/>
        <v>MarçoSEMANA 5Cebolete em conserva</v>
      </c>
      <c r="BB701" s="7">
        <f>SUMIF(NF!$A:$A,$BA701,NF!$I:$I)</f>
        <v>0</v>
      </c>
      <c r="BC701" s="6"/>
      <c r="BD701" s="6"/>
      <c r="BE701" s="6"/>
      <c r="BF701" s="6"/>
      <c r="BG701" s="6"/>
      <c r="BH701" s="6"/>
      <c r="BI701" s="74"/>
      <c r="BJ701" s="74"/>
      <c r="BK701" s="7">
        <f t="shared" si="462"/>
        <v>0</v>
      </c>
      <c r="BL701" s="8">
        <f t="shared" si="446"/>
        <v>0</v>
      </c>
      <c r="BM701" s="51" t="str">
        <f>IFERROR(VLOOKUP(A701,NF!$M:$O,3,0),"")</f>
        <v>Mercado</v>
      </c>
      <c r="BN701" s="7">
        <f t="shared" si="447"/>
        <v>0</v>
      </c>
      <c r="BO701" s="8">
        <f t="array" ref="BO701">IFERROR(LARGE(IF(NF!$G$2:$G$3137='Mês atual'!A701,NF!$J$2:$J$3137),1),0)*BN701</f>
        <v>0</v>
      </c>
      <c r="BP701" s="50"/>
      <c r="BR701" s="146">
        <f t="array" ref="BR701">IFERROR(LARGE(IF(NF!$G$2:$G$3137='Mês atual'!A701,NF!$J$2:$J$3137),1),0)</f>
        <v>0</v>
      </c>
      <c r="BS701" s="142" t="str">
        <f>VLOOKUP(A701,NF!M:O,3,0)</f>
        <v>Mercado</v>
      </c>
      <c r="BV701" s="74">
        <f t="shared" si="453"/>
        <v>0</v>
      </c>
      <c r="BW701" s="74">
        <f t="shared" si="454"/>
        <v>0</v>
      </c>
      <c r="BX701" s="74">
        <f t="shared" si="455"/>
        <v>0</v>
      </c>
      <c r="BY701" s="74">
        <f t="shared" si="456"/>
        <v>0</v>
      </c>
      <c r="BZ701" s="74">
        <f t="shared" si="457"/>
        <v>0</v>
      </c>
    </row>
    <row r="702" spans="1:78" x14ac:dyDescent="0.2">
      <c r="A702" s="108" t="s">
        <v>251</v>
      </c>
      <c r="B702" s="12"/>
      <c r="C702" s="9">
        <v>0</v>
      </c>
      <c r="D702" s="25"/>
      <c r="E702" s="10" t="str">
        <f t="shared" si="432"/>
        <v>MarçoSEMANA 1Cenoura Baby</v>
      </c>
      <c r="F702" s="7">
        <f>SUMIF(NF!$A:$A,$E702,NF!$I:$I)</f>
        <v>0</v>
      </c>
      <c r="G702" s="74"/>
      <c r="H702" s="74"/>
      <c r="I702" s="74"/>
      <c r="J702" s="6"/>
      <c r="K702" s="6"/>
      <c r="L702" s="6"/>
      <c r="M702" s="6"/>
      <c r="N702" s="7">
        <f t="shared" si="458"/>
        <v>0</v>
      </c>
      <c r="O702" s="11">
        <f t="shared" si="434"/>
        <v>0</v>
      </c>
      <c r="P702" s="25"/>
      <c r="Q702" s="10" t="str">
        <f t="shared" si="435"/>
        <v>MarçoSEMANA 2Cenoura Baby</v>
      </c>
      <c r="R702" s="7">
        <f>SUMIF(NF!$A:$A,$Q702,NF!$I:$I)</f>
        <v>0</v>
      </c>
      <c r="S702" s="6"/>
      <c r="T702" s="6"/>
      <c r="U702" s="6"/>
      <c r="V702" s="6"/>
      <c r="W702" s="6"/>
      <c r="X702" s="6"/>
      <c r="Y702" s="6"/>
      <c r="Z702" s="7">
        <f t="shared" si="459"/>
        <v>0</v>
      </c>
      <c r="AA702" s="11">
        <f t="shared" si="437"/>
        <v>0</v>
      </c>
      <c r="AB702" s="25"/>
      <c r="AC702" s="10" t="str">
        <f t="shared" si="438"/>
        <v>MarçoSEMANA 3Cenoura Baby</v>
      </c>
      <c r="AD702" s="7">
        <f>SUMIF(NF!$A:$A,$AC702,NF!$I:$I)</f>
        <v>0</v>
      </c>
      <c r="AE702" s="6"/>
      <c r="AF702" s="6"/>
      <c r="AG702" s="6"/>
      <c r="AH702" s="6"/>
      <c r="AI702" s="6"/>
      <c r="AJ702" s="6"/>
      <c r="AK702" s="6"/>
      <c r="AL702" s="7">
        <f t="shared" si="460"/>
        <v>0</v>
      </c>
      <c r="AM702" s="11">
        <f t="shared" si="440"/>
        <v>0</v>
      </c>
      <c r="AN702" s="25"/>
      <c r="AO702" s="10" t="str">
        <f t="shared" si="441"/>
        <v>MarçoSEMANA 4Cenoura Baby</v>
      </c>
      <c r="AP702" s="7">
        <f>SUMIF(NF!$A:$A,$AO702,NF!$I:$I)</f>
        <v>0</v>
      </c>
      <c r="AQ702" s="6"/>
      <c r="AR702" s="6"/>
      <c r="AS702" s="6"/>
      <c r="AT702" s="6"/>
      <c r="AU702" s="6"/>
      <c r="AV702" s="6"/>
      <c r="AW702" s="6"/>
      <c r="AX702" s="7">
        <f t="shared" si="461"/>
        <v>0</v>
      </c>
      <c r="AY702" s="11">
        <f t="shared" si="443"/>
        <v>0</v>
      </c>
      <c r="AZ702" s="25"/>
      <c r="BA702" s="10" t="str">
        <f t="shared" si="444"/>
        <v>MarçoSEMANA 5Cenoura Baby</v>
      </c>
      <c r="BB702" s="7">
        <f>SUMIF(NF!$A:$A,$BA702,NF!$I:$I)</f>
        <v>0</v>
      </c>
      <c r="BC702" s="6"/>
      <c r="BD702" s="6"/>
      <c r="BE702" s="6"/>
      <c r="BF702" s="6"/>
      <c r="BG702" s="6"/>
      <c r="BH702" s="6"/>
      <c r="BI702" s="74"/>
      <c r="BJ702" s="74"/>
      <c r="BK702" s="7">
        <f t="shared" si="462"/>
        <v>0</v>
      </c>
      <c r="BL702" s="8">
        <f t="shared" si="446"/>
        <v>0</v>
      </c>
      <c r="BM702" s="51" t="str">
        <f>IFERROR(VLOOKUP(A702,NF!$M:$O,3,0),"")</f>
        <v>Mercado</v>
      </c>
      <c r="BN702" s="7">
        <f t="shared" si="447"/>
        <v>0</v>
      </c>
      <c r="BO702" s="8">
        <f t="array" ref="BO702">IFERROR(LARGE(IF(NF!$G$2:$G$3137='Mês atual'!A702,NF!$J$2:$J$3137),1),0)*BN702</f>
        <v>0</v>
      </c>
      <c r="BP702" s="50"/>
      <c r="BR702" s="146">
        <f t="array" ref="BR702">IFERROR(LARGE(IF(NF!$G$2:$G$3137='Mês atual'!A702,NF!$J$2:$J$3137),1),0)</f>
        <v>0</v>
      </c>
      <c r="BS702" s="142" t="str">
        <f>VLOOKUP(A702,NF!M:O,3,0)</f>
        <v>Mercado</v>
      </c>
      <c r="BV702" s="74">
        <f t="shared" si="453"/>
        <v>0</v>
      </c>
      <c r="BW702" s="74">
        <f t="shared" si="454"/>
        <v>0</v>
      </c>
      <c r="BX702" s="74">
        <f t="shared" si="455"/>
        <v>0</v>
      </c>
      <c r="BY702" s="74">
        <f t="shared" si="456"/>
        <v>0</v>
      </c>
      <c r="BZ702" s="74">
        <f t="shared" si="457"/>
        <v>0</v>
      </c>
    </row>
    <row r="703" spans="1:78" x14ac:dyDescent="0.2">
      <c r="A703" s="108" t="s">
        <v>253</v>
      </c>
      <c r="B703" s="12"/>
      <c r="C703" s="9">
        <v>0</v>
      </c>
      <c r="D703" s="25"/>
      <c r="E703" s="10" t="str">
        <f t="shared" si="432"/>
        <v>MarçoSEMANA 1Cereja Conserva</v>
      </c>
      <c r="F703" s="7">
        <f>SUMIF(NF!$A:$A,$E703,NF!$I:$I)</f>
        <v>0</v>
      </c>
      <c r="G703" s="74"/>
      <c r="H703" s="74"/>
      <c r="I703" s="74"/>
      <c r="J703" s="6"/>
      <c r="K703" s="6"/>
      <c r="L703" s="6"/>
      <c r="M703" s="6"/>
      <c r="N703" s="7">
        <f t="shared" si="458"/>
        <v>0</v>
      </c>
      <c r="O703" s="11">
        <f t="shared" si="434"/>
        <v>0</v>
      </c>
      <c r="P703" s="25"/>
      <c r="Q703" s="10" t="str">
        <f t="shared" si="435"/>
        <v>MarçoSEMANA 2Cereja Conserva</v>
      </c>
      <c r="R703" s="7">
        <f>SUMIF(NF!$A:$A,$Q703,NF!$I:$I)</f>
        <v>0</v>
      </c>
      <c r="S703" s="6"/>
      <c r="T703" s="6"/>
      <c r="U703" s="6"/>
      <c r="V703" s="6"/>
      <c r="W703" s="6"/>
      <c r="X703" s="6"/>
      <c r="Y703" s="6"/>
      <c r="Z703" s="7">
        <f t="shared" si="459"/>
        <v>0</v>
      </c>
      <c r="AA703" s="11">
        <f t="shared" si="437"/>
        <v>0</v>
      </c>
      <c r="AB703" s="25"/>
      <c r="AC703" s="10" t="str">
        <f t="shared" si="438"/>
        <v>MarçoSEMANA 3Cereja Conserva</v>
      </c>
      <c r="AD703" s="7">
        <f>SUMIF(NF!$A:$A,$AC703,NF!$I:$I)</f>
        <v>0</v>
      </c>
      <c r="AE703" s="6"/>
      <c r="AF703" s="6"/>
      <c r="AG703" s="6"/>
      <c r="AH703" s="6"/>
      <c r="AI703" s="6"/>
      <c r="AJ703" s="6"/>
      <c r="AK703" s="6"/>
      <c r="AL703" s="7">
        <f t="shared" si="460"/>
        <v>0</v>
      </c>
      <c r="AM703" s="11">
        <f t="shared" si="440"/>
        <v>0</v>
      </c>
      <c r="AN703" s="25"/>
      <c r="AO703" s="10" t="str">
        <f t="shared" si="441"/>
        <v>MarçoSEMANA 4Cereja Conserva</v>
      </c>
      <c r="AP703" s="7">
        <f>SUMIF(NF!$A:$A,$AO703,NF!$I:$I)</f>
        <v>0</v>
      </c>
      <c r="AQ703" s="6"/>
      <c r="AR703" s="6"/>
      <c r="AS703" s="6"/>
      <c r="AT703" s="6"/>
      <c r="AU703" s="6"/>
      <c r="AV703" s="6"/>
      <c r="AW703" s="6"/>
      <c r="AX703" s="7">
        <f t="shared" si="461"/>
        <v>0</v>
      </c>
      <c r="AY703" s="11">
        <f t="shared" si="443"/>
        <v>0</v>
      </c>
      <c r="AZ703" s="25"/>
      <c r="BA703" s="10" t="str">
        <f t="shared" si="444"/>
        <v>MarçoSEMANA 5Cereja Conserva</v>
      </c>
      <c r="BB703" s="7">
        <f>SUMIF(NF!$A:$A,$BA703,NF!$I:$I)</f>
        <v>0</v>
      </c>
      <c r="BC703" s="6"/>
      <c r="BD703" s="6"/>
      <c r="BE703" s="6"/>
      <c r="BF703" s="6"/>
      <c r="BG703" s="6"/>
      <c r="BH703" s="6"/>
      <c r="BI703" s="74"/>
      <c r="BJ703" s="74"/>
      <c r="BK703" s="7">
        <f t="shared" si="462"/>
        <v>0</v>
      </c>
      <c r="BL703" s="8">
        <f t="shared" si="446"/>
        <v>0</v>
      </c>
      <c r="BM703" s="51" t="str">
        <f>IFERROR(VLOOKUP(A703,NF!$M:$O,3,0),"")</f>
        <v>Mercado</v>
      </c>
      <c r="BN703" s="7">
        <f t="shared" si="447"/>
        <v>0</v>
      </c>
      <c r="BO703" s="8">
        <f t="array" ref="BO703">IFERROR(LARGE(IF(NF!$G$2:$G$3137='Mês atual'!A703,NF!$J$2:$J$3137),1),0)*BN703</f>
        <v>0</v>
      </c>
      <c r="BP703" s="50"/>
      <c r="BR703" s="146">
        <f t="array" ref="BR703">IFERROR(LARGE(IF(NF!$G$2:$G$3137='Mês atual'!A703,NF!$J$2:$J$3137),1),0)</f>
        <v>0</v>
      </c>
      <c r="BS703" s="142" t="str">
        <f>VLOOKUP(A703,NF!M:O,3,0)</f>
        <v>Mercado</v>
      </c>
      <c r="BV703" s="74">
        <f t="shared" si="453"/>
        <v>0</v>
      </c>
      <c r="BW703" s="74">
        <f t="shared" si="454"/>
        <v>0</v>
      </c>
      <c r="BX703" s="74">
        <f t="shared" si="455"/>
        <v>0</v>
      </c>
      <c r="BY703" s="74">
        <f t="shared" si="456"/>
        <v>0</v>
      </c>
      <c r="BZ703" s="74">
        <f t="shared" si="457"/>
        <v>0</v>
      </c>
    </row>
    <row r="704" spans="1:78" x14ac:dyDescent="0.2">
      <c r="A704" s="108" t="s">
        <v>269</v>
      </c>
      <c r="B704" s="12"/>
      <c r="C704" s="9">
        <v>1</v>
      </c>
      <c r="D704" s="25"/>
      <c r="E704" s="10" t="str">
        <f t="shared" si="432"/>
        <v>MarçoSEMANA 1Cevadinha</v>
      </c>
      <c r="F704" s="7">
        <f>SUMIF(NF!$A:$A,$E704,NF!$I:$I)</f>
        <v>2</v>
      </c>
      <c r="G704" s="74"/>
      <c r="H704" s="74"/>
      <c r="I704" s="74"/>
      <c r="J704" s="6"/>
      <c r="K704" s="6"/>
      <c r="L704" s="6"/>
      <c r="M704" s="6">
        <v>1</v>
      </c>
      <c r="N704" s="7">
        <f t="shared" si="458"/>
        <v>1</v>
      </c>
      <c r="O704" s="11">
        <f t="shared" si="434"/>
        <v>2</v>
      </c>
      <c r="P704" s="25"/>
      <c r="Q704" s="10" t="str">
        <f t="shared" si="435"/>
        <v>MarçoSEMANA 2Cevadinha</v>
      </c>
      <c r="R704" s="7">
        <f>SUMIF(NF!$A:$A,$Q704,NF!$I:$I)</f>
        <v>2</v>
      </c>
      <c r="S704" s="6">
        <v>2</v>
      </c>
      <c r="T704" s="6"/>
      <c r="U704" s="6"/>
      <c r="V704" s="6"/>
      <c r="W704" s="6"/>
      <c r="X704" s="6"/>
      <c r="Y704" s="6"/>
      <c r="Z704" s="7">
        <f t="shared" si="459"/>
        <v>2</v>
      </c>
      <c r="AA704" s="11">
        <f t="shared" si="437"/>
        <v>2</v>
      </c>
      <c r="AB704" s="25"/>
      <c r="AC704" s="10" t="str">
        <f t="shared" si="438"/>
        <v>MarçoSEMANA 3Cevadinha</v>
      </c>
      <c r="AD704" s="7">
        <f>SUMIF(NF!$A:$A,$AC704,NF!$I:$I)</f>
        <v>2</v>
      </c>
      <c r="AE704" s="6"/>
      <c r="AF704" s="6"/>
      <c r="AG704" s="6">
        <v>1</v>
      </c>
      <c r="AH704" s="6"/>
      <c r="AI704" s="6"/>
      <c r="AJ704" s="6"/>
      <c r="AK704" s="6"/>
      <c r="AL704" s="7">
        <f t="shared" si="460"/>
        <v>1</v>
      </c>
      <c r="AM704" s="11">
        <f t="shared" si="440"/>
        <v>3</v>
      </c>
      <c r="AN704" s="25"/>
      <c r="AO704" s="10" t="str">
        <f t="shared" si="441"/>
        <v>MarçoSEMANA 4Cevadinha</v>
      </c>
      <c r="AP704" s="7">
        <f>SUMIF(NF!$A:$A,$AO704,NF!$I:$I)</f>
        <v>1</v>
      </c>
      <c r="AQ704" s="6">
        <v>2</v>
      </c>
      <c r="AR704" s="6"/>
      <c r="AS704" s="6"/>
      <c r="AT704" s="6"/>
      <c r="AU704" s="6"/>
      <c r="AV704" s="6"/>
      <c r="AW704" s="6"/>
      <c r="AX704" s="7">
        <f t="shared" si="461"/>
        <v>2</v>
      </c>
      <c r="AY704" s="11">
        <f t="shared" si="443"/>
        <v>2</v>
      </c>
      <c r="AZ704" s="25"/>
      <c r="BA704" s="10" t="str">
        <f t="shared" si="444"/>
        <v>MarçoSEMANA 5Cevadinha</v>
      </c>
      <c r="BB704" s="7">
        <f>SUMIF(NF!$A:$A,$BA704,NF!$I:$I)</f>
        <v>0</v>
      </c>
      <c r="BC704" s="6"/>
      <c r="BD704" s="6"/>
      <c r="BE704" s="6"/>
      <c r="BF704" s="6"/>
      <c r="BG704" s="6"/>
      <c r="BH704" s="6"/>
      <c r="BI704" s="74"/>
      <c r="BJ704" s="74"/>
      <c r="BK704" s="7">
        <f t="shared" si="462"/>
        <v>0</v>
      </c>
      <c r="BL704" s="8">
        <f t="shared" si="446"/>
        <v>2</v>
      </c>
      <c r="BM704" s="51" t="str">
        <f>IFERROR(VLOOKUP(A704,NF!$M:$O,3,0),"")</f>
        <v>Mercado</v>
      </c>
      <c r="BN704" s="7">
        <f t="shared" si="447"/>
        <v>6</v>
      </c>
      <c r="BO704" s="8">
        <f t="array" ref="BO704">IFERROR(LARGE(IF(NF!$G$2:$G$3137='Mês atual'!A704,NF!$J$2:$J$3137),1),0)*BN704</f>
        <v>35.400000000000006</v>
      </c>
      <c r="BP704" s="50"/>
      <c r="BR704" s="146">
        <f t="array" ref="BR704">IFERROR(LARGE(IF(NF!$G$2:$G$3137='Mês atual'!A704,NF!$J$2:$J$3137),1),0)</f>
        <v>5.9</v>
      </c>
      <c r="BS704" s="142" t="str">
        <f>VLOOKUP(A704,NF!M:O,3,0)</f>
        <v>Mercado</v>
      </c>
      <c r="BV704" s="74">
        <f t="shared" si="453"/>
        <v>1</v>
      </c>
      <c r="BW704" s="74">
        <f t="shared" si="454"/>
        <v>2</v>
      </c>
      <c r="BX704" s="74">
        <f t="shared" si="455"/>
        <v>1</v>
      </c>
      <c r="BY704" s="74">
        <f t="shared" si="456"/>
        <v>2</v>
      </c>
      <c r="BZ704" s="74">
        <f t="shared" si="457"/>
        <v>0</v>
      </c>
    </row>
    <row r="705" spans="1:78" x14ac:dyDescent="0.25">
      <c r="A705" s="108" t="s">
        <v>270</v>
      </c>
      <c r="B705" s="12"/>
      <c r="C705" s="9">
        <v>0</v>
      </c>
      <c r="D705" s="25"/>
      <c r="E705" s="10" t="str">
        <f t="shared" si="432"/>
        <v>MarçoSEMANA 1Chá diversos sache</v>
      </c>
      <c r="F705" s="7">
        <f>SUMIF(NF!$A:$A,$E705,NF!$I:$I)</f>
        <v>0</v>
      </c>
      <c r="G705" s="74"/>
      <c r="H705" s="74"/>
      <c r="I705" s="74"/>
      <c r="J705" s="6"/>
      <c r="K705" s="6"/>
      <c r="L705" s="6"/>
      <c r="M705" s="6"/>
      <c r="N705" s="7">
        <f t="shared" si="458"/>
        <v>0</v>
      </c>
      <c r="O705" s="11">
        <f t="shared" si="434"/>
        <v>0</v>
      </c>
      <c r="P705" s="25"/>
      <c r="Q705" s="10" t="str">
        <f t="shared" si="435"/>
        <v>MarçoSEMANA 2Chá diversos sache</v>
      </c>
      <c r="R705" s="7">
        <f>SUMIF(NF!$A:$A,$Q705,NF!$I:$I)</f>
        <v>0</v>
      </c>
      <c r="S705" s="6"/>
      <c r="T705" s="6"/>
      <c r="U705" s="6"/>
      <c r="V705" s="6"/>
      <c r="W705" s="6"/>
      <c r="X705" s="6"/>
      <c r="Y705" s="6"/>
      <c r="Z705" s="7">
        <f t="shared" si="459"/>
        <v>0</v>
      </c>
      <c r="AA705" s="11">
        <f t="shared" si="437"/>
        <v>0</v>
      </c>
      <c r="AB705" s="25"/>
      <c r="AC705" s="10" t="str">
        <f t="shared" si="438"/>
        <v>MarçoSEMANA 3Chá diversos sache</v>
      </c>
      <c r="AD705" s="7">
        <f>SUMIF(NF!$A:$A,$AC705,NF!$I:$I)</f>
        <v>0</v>
      </c>
      <c r="AE705" s="6"/>
      <c r="AF705" s="6"/>
      <c r="AG705" s="6"/>
      <c r="AH705" s="6"/>
      <c r="AI705" s="6"/>
      <c r="AJ705" s="6"/>
      <c r="AK705" s="6"/>
      <c r="AL705" s="7">
        <f t="shared" si="460"/>
        <v>0</v>
      </c>
      <c r="AM705" s="11">
        <f t="shared" si="440"/>
        <v>0</v>
      </c>
      <c r="AN705" s="25"/>
      <c r="AO705" s="10" t="str">
        <f t="shared" si="441"/>
        <v>MarçoSEMANA 4Chá diversos sache</v>
      </c>
      <c r="AP705" s="7">
        <f>SUMIF(NF!$A:$A,$AO705,NF!$I:$I)</f>
        <v>2</v>
      </c>
      <c r="AQ705" s="6"/>
      <c r="AR705" s="6">
        <v>2</v>
      </c>
      <c r="AS705" s="6"/>
      <c r="AT705" s="6"/>
      <c r="AU705" s="6"/>
      <c r="AV705" s="6"/>
      <c r="AW705" s="6"/>
      <c r="AX705" s="7">
        <f t="shared" si="461"/>
        <v>2</v>
      </c>
      <c r="AY705" s="11">
        <f t="shared" si="443"/>
        <v>0</v>
      </c>
      <c r="AZ705" s="25"/>
      <c r="BA705" s="10" t="str">
        <f t="shared" si="444"/>
        <v>MarçoSEMANA 5Chá diversos sache</v>
      </c>
      <c r="BB705" s="7">
        <f>SUMIF(NF!$A:$A,$BA705,NF!$I:$I)</f>
        <v>0</v>
      </c>
      <c r="BC705" s="6"/>
      <c r="BD705" s="6"/>
      <c r="BE705" s="6"/>
      <c r="BF705" s="6"/>
      <c r="BG705" s="6"/>
      <c r="BH705" s="6"/>
      <c r="BI705" s="74"/>
      <c r="BJ705" s="74"/>
      <c r="BK705" s="7">
        <f t="shared" si="462"/>
        <v>0</v>
      </c>
      <c r="BL705" s="8">
        <f t="shared" si="446"/>
        <v>0</v>
      </c>
      <c r="BM705" s="51" t="str">
        <f>IFERROR(VLOOKUP(A705,NF!$M:$O,3,0),"")</f>
        <v>Mercado</v>
      </c>
      <c r="BN705" s="7">
        <f t="shared" si="447"/>
        <v>2</v>
      </c>
      <c r="BO705" s="8">
        <f t="array" ref="BO705">IFERROR(LARGE(IF(NF!$G$2:$G$3137='Mês atual'!A705,NF!$J$2:$J$3137),1),0)*BN705</f>
        <v>11.96</v>
      </c>
      <c r="BP705" s="50"/>
      <c r="BR705" s="146">
        <f t="array" ref="BR705">IFERROR(LARGE(IF(NF!$G$2:$G$3137='Mês atual'!A705,NF!$J$2:$J$3137),1),0)</f>
        <v>5.98</v>
      </c>
      <c r="BS705" s="142" t="str">
        <f>VLOOKUP(A705,NF!M:O,3,0)</f>
        <v>Mercado</v>
      </c>
      <c r="BV705" s="74">
        <f t="shared" si="453"/>
        <v>0</v>
      </c>
      <c r="BW705" s="74">
        <f t="shared" si="454"/>
        <v>0</v>
      </c>
      <c r="BX705" s="74">
        <f t="shared" si="455"/>
        <v>0</v>
      </c>
      <c r="BY705" s="74">
        <f t="shared" si="456"/>
        <v>2</v>
      </c>
      <c r="BZ705" s="74">
        <f t="shared" si="457"/>
        <v>0</v>
      </c>
    </row>
    <row r="706" spans="1:78" x14ac:dyDescent="0.25">
      <c r="A706" s="108" t="s">
        <v>271</v>
      </c>
      <c r="B706" s="12"/>
      <c r="C706" s="9">
        <v>1</v>
      </c>
      <c r="D706" s="25"/>
      <c r="E706" s="10" t="str">
        <f t="shared" si="432"/>
        <v>MarçoSEMANA 1Chá verde 200gr</v>
      </c>
      <c r="F706" s="7">
        <f>SUMIF(NF!$A:$A,$E706,NF!$I:$I)</f>
        <v>1</v>
      </c>
      <c r="G706" s="74"/>
      <c r="H706" s="74"/>
      <c r="I706" s="74"/>
      <c r="J706" s="6"/>
      <c r="K706" s="6"/>
      <c r="L706" s="6"/>
      <c r="M706" s="6">
        <v>1</v>
      </c>
      <c r="N706" s="7">
        <f t="shared" si="458"/>
        <v>1</v>
      </c>
      <c r="O706" s="11">
        <f t="shared" si="434"/>
        <v>1</v>
      </c>
      <c r="P706" s="25"/>
      <c r="Q706" s="10" t="str">
        <f t="shared" si="435"/>
        <v>MarçoSEMANA 2Chá verde 200gr</v>
      </c>
      <c r="R706" s="7">
        <f>SUMIF(NF!$A:$A,$Q706,NF!$I:$I)</f>
        <v>1</v>
      </c>
      <c r="S706" s="6"/>
      <c r="T706" s="6"/>
      <c r="U706" s="6"/>
      <c r="V706" s="6"/>
      <c r="W706" s="6"/>
      <c r="X706" s="6"/>
      <c r="Y706" s="6"/>
      <c r="Z706" s="7">
        <f t="shared" si="459"/>
        <v>0</v>
      </c>
      <c r="AA706" s="11">
        <f t="shared" si="437"/>
        <v>2</v>
      </c>
      <c r="AB706" s="25"/>
      <c r="AC706" s="10" t="str">
        <f t="shared" si="438"/>
        <v>MarçoSEMANA 3Chá verde 200gr</v>
      </c>
      <c r="AD706" s="7">
        <f>SUMIF(NF!$A:$A,$AC706,NF!$I:$I)</f>
        <v>0</v>
      </c>
      <c r="AE706" s="6"/>
      <c r="AF706" s="6"/>
      <c r="AG706" s="6">
        <v>1</v>
      </c>
      <c r="AH706" s="6"/>
      <c r="AI706" s="6"/>
      <c r="AJ706" s="6"/>
      <c r="AK706" s="6"/>
      <c r="AL706" s="7">
        <f t="shared" si="460"/>
        <v>1</v>
      </c>
      <c r="AM706" s="11">
        <f t="shared" si="440"/>
        <v>1</v>
      </c>
      <c r="AN706" s="25"/>
      <c r="AO706" s="10" t="str">
        <f t="shared" si="441"/>
        <v>MarçoSEMANA 4Chá verde 200gr</v>
      </c>
      <c r="AP706" s="7">
        <f>SUMIF(NF!$A:$A,$AO706,NF!$I:$I)</f>
        <v>1</v>
      </c>
      <c r="AQ706" s="6"/>
      <c r="AR706" s="6"/>
      <c r="AS706" s="6"/>
      <c r="AT706" s="6"/>
      <c r="AU706" s="6"/>
      <c r="AV706" s="6"/>
      <c r="AW706" s="6"/>
      <c r="AX706" s="7">
        <f t="shared" si="461"/>
        <v>0</v>
      </c>
      <c r="AY706" s="11">
        <f t="shared" si="443"/>
        <v>2</v>
      </c>
      <c r="AZ706" s="25"/>
      <c r="BA706" s="10" t="str">
        <f t="shared" si="444"/>
        <v>MarçoSEMANA 5Chá verde 200gr</v>
      </c>
      <c r="BB706" s="7">
        <f>SUMIF(NF!$A:$A,$BA706,NF!$I:$I)</f>
        <v>0</v>
      </c>
      <c r="BC706" s="6"/>
      <c r="BD706" s="6"/>
      <c r="BE706" s="6">
        <v>1</v>
      </c>
      <c r="BF706" s="6"/>
      <c r="BG706" s="6"/>
      <c r="BH706" s="6"/>
      <c r="BI706" s="74"/>
      <c r="BJ706" s="74"/>
      <c r="BK706" s="7">
        <f t="shared" si="462"/>
        <v>1</v>
      </c>
      <c r="BL706" s="8">
        <f t="shared" si="446"/>
        <v>1</v>
      </c>
      <c r="BM706" s="51" t="str">
        <f>IFERROR(VLOOKUP(A706,NF!$M:$O,3,0),"")</f>
        <v>Mercado</v>
      </c>
      <c r="BN706" s="7">
        <f t="shared" si="447"/>
        <v>3</v>
      </c>
      <c r="BO706" s="8">
        <f t="array" ref="BO706">IFERROR(LARGE(IF(NF!$G$2:$G$3137='Mês atual'!A706,NF!$J$2:$J$3137),1),0)*BN706</f>
        <v>44.04</v>
      </c>
      <c r="BP706" s="50"/>
      <c r="BR706" s="146">
        <f t="array" ref="BR706">IFERROR(LARGE(IF(NF!$G$2:$G$3137='Mês atual'!A706,NF!$J$2:$J$3137),1),0)</f>
        <v>14.68</v>
      </c>
      <c r="BS706" s="142" t="str">
        <f>VLOOKUP(A706,NF!M:O,3,0)</f>
        <v>Mercado</v>
      </c>
      <c r="BV706" s="74">
        <f t="shared" si="453"/>
        <v>1</v>
      </c>
      <c r="BW706" s="74">
        <f t="shared" si="454"/>
        <v>0</v>
      </c>
      <c r="BX706" s="74">
        <f t="shared" si="455"/>
        <v>1</v>
      </c>
      <c r="BY706" s="74">
        <f t="shared" si="456"/>
        <v>0</v>
      </c>
      <c r="BZ706" s="74">
        <f t="shared" si="457"/>
        <v>1</v>
      </c>
    </row>
    <row r="707" spans="1:78" x14ac:dyDescent="0.25">
      <c r="A707" s="108" t="s">
        <v>272</v>
      </c>
      <c r="B707" s="12"/>
      <c r="C707" s="9">
        <v>0</v>
      </c>
      <c r="D707" s="25"/>
      <c r="E707" s="10" t="str">
        <f t="shared" si="432"/>
        <v>MarçoSEMANA 1Chia em Grão</v>
      </c>
      <c r="F707" s="7">
        <f>SUMIF(NF!$A:$A,$E707,NF!$I:$I)</f>
        <v>1</v>
      </c>
      <c r="G707" s="74"/>
      <c r="H707" s="74"/>
      <c r="I707" s="74"/>
      <c r="J707" s="6"/>
      <c r="K707" s="6"/>
      <c r="L707" s="6"/>
      <c r="M707" s="6"/>
      <c r="N707" s="7">
        <f t="shared" si="458"/>
        <v>0</v>
      </c>
      <c r="O707" s="11">
        <f t="shared" si="434"/>
        <v>1</v>
      </c>
      <c r="P707" s="25"/>
      <c r="Q707" s="10" t="str">
        <f t="shared" si="435"/>
        <v>MarçoSEMANA 2Chia em Grão</v>
      </c>
      <c r="R707" s="7">
        <f>SUMIF(NF!$A:$A,$Q707,NF!$I:$I)</f>
        <v>0</v>
      </c>
      <c r="S707" s="6"/>
      <c r="T707" s="6"/>
      <c r="U707" s="6"/>
      <c r="V707" s="6"/>
      <c r="W707" s="6"/>
      <c r="X707" s="6"/>
      <c r="Y707" s="6"/>
      <c r="Z707" s="7">
        <f t="shared" si="459"/>
        <v>0</v>
      </c>
      <c r="AA707" s="11">
        <f t="shared" si="437"/>
        <v>1</v>
      </c>
      <c r="AB707" s="25"/>
      <c r="AC707" s="10" t="str">
        <f t="shared" si="438"/>
        <v>MarçoSEMANA 3Chia em Grão</v>
      </c>
      <c r="AD707" s="7">
        <f>SUMIF(NF!$A:$A,$AC707,NF!$I:$I)</f>
        <v>0</v>
      </c>
      <c r="AE707" s="6"/>
      <c r="AF707" s="6"/>
      <c r="AG707" s="6"/>
      <c r="AH707" s="6"/>
      <c r="AI707" s="6"/>
      <c r="AJ707" s="6"/>
      <c r="AK707" s="6"/>
      <c r="AL707" s="7">
        <f t="shared" si="460"/>
        <v>0</v>
      </c>
      <c r="AM707" s="11">
        <f t="shared" si="440"/>
        <v>1</v>
      </c>
      <c r="AN707" s="25"/>
      <c r="AO707" s="10" t="str">
        <f t="shared" si="441"/>
        <v>MarçoSEMANA 4Chia em Grão</v>
      </c>
      <c r="AP707" s="7">
        <f>SUMIF(NF!$A:$A,$AO707,NF!$I:$I)</f>
        <v>0</v>
      </c>
      <c r="AQ707" s="6"/>
      <c r="AR707" s="6"/>
      <c r="AS707" s="6"/>
      <c r="AT707" s="6"/>
      <c r="AU707" s="6"/>
      <c r="AV707" s="6"/>
      <c r="AW707" s="6"/>
      <c r="AX707" s="7">
        <f t="shared" si="461"/>
        <v>0</v>
      </c>
      <c r="AY707" s="11">
        <f t="shared" si="443"/>
        <v>1</v>
      </c>
      <c r="AZ707" s="25"/>
      <c r="BA707" s="10" t="str">
        <f t="shared" si="444"/>
        <v>MarçoSEMANA 5Chia em Grão</v>
      </c>
      <c r="BB707" s="7">
        <f>SUMIF(NF!$A:$A,$BA707,NF!$I:$I)</f>
        <v>0</v>
      </c>
      <c r="BC707" s="6"/>
      <c r="BD707" s="6">
        <v>1</v>
      </c>
      <c r="BE707" s="6"/>
      <c r="BF707" s="6"/>
      <c r="BG707" s="6"/>
      <c r="BH707" s="6"/>
      <c r="BI707" s="74"/>
      <c r="BJ707" s="74"/>
      <c r="BK707" s="7">
        <f t="shared" si="462"/>
        <v>1</v>
      </c>
      <c r="BL707" s="8">
        <f t="shared" si="446"/>
        <v>0</v>
      </c>
      <c r="BM707" s="51" t="str">
        <f>IFERROR(VLOOKUP(A707,NF!$M:$O,3,0),"")</f>
        <v>Mercado</v>
      </c>
      <c r="BN707" s="7">
        <f t="shared" si="447"/>
        <v>1</v>
      </c>
      <c r="BO707" s="8">
        <f t="array" ref="BO707">IFERROR(LARGE(IF(NF!$G$2:$G$3137='Mês atual'!A707,NF!$J$2:$J$3137),1),0)*BN707</f>
        <v>13.14</v>
      </c>
      <c r="BP707" s="50"/>
      <c r="BR707" s="146">
        <f t="array" ref="BR707">IFERROR(LARGE(IF(NF!$G$2:$G$3137='Mês atual'!A707,NF!$J$2:$J$3137),1),0)</f>
        <v>13.14</v>
      </c>
      <c r="BS707" s="142" t="str">
        <f>VLOOKUP(A707,NF!M:O,3,0)</f>
        <v>Mercado</v>
      </c>
      <c r="BV707" s="74">
        <f t="shared" si="453"/>
        <v>0</v>
      </c>
      <c r="BW707" s="74">
        <f t="shared" si="454"/>
        <v>0</v>
      </c>
      <c r="BX707" s="74">
        <f t="shared" si="455"/>
        <v>0</v>
      </c>
      <c r="BY707" s="74">
        <f t="shared" si="456"/>
        <v>0</v>
      </c>
      <c r="BZ707" s="74">
        <f t="shared" si="457"/>
        <v>1</v>
      </c>
    </row>
    <row r="708" spans="1:78" x14ac:dyDescent="0.2">
      <c r="A708" s="108" t="s">
        <v>277</v>
      </c>
      <c r="B708" s="12"/>
      <c r="C708" s="9">
        <v>0.2</v>
      </c>
      <c r="D708" s="25"/>
      <c r="E708" s="10" t="str">
        <f t="shared" si="432"/>
        <v>MarçoSEMANA 1Chimichurri</v>
      </c>
      <c r="F708" s="7">
        <f>SUMIF(NF!$A:$A,$E708,NF!$I:$I)</f>
        <v>0</v>
      </c>
      <c r="G708" s="74"/>
      <c r="H708" s="74"/>
      <c r="I708" s="74"/>
      <c r="J708" s="6"/>
      <c r="K708" s="6"/>
      <c r="L708" s="6"/>
      <c r="M708" s="6"/>
      <c r="N708" s="7">
        <f t="shared" si="458"/>
        <v>0</v>
      </c>
      <c r="O708" s="11">
        <f t="shared" si="434"/>
        <v>0.2</v>
      </c>
      <c r="P708" s="25"/>
      <c r="Q708" s="10" t="str">
        <f t="shared" si="435"/>
        <v>MarçoSEMANA 2Chimichurri</v>
      </c>
      <c r="R708" s="7">
        <f>SUMIF(NF!$A:$A,$Q708,NF!$I:$I)</f>
        <v>0</v>
      </c>
      <c r="S708" s="6"/>
      <c r="T708" s="6"/>
      <c r="U708" s="6"/>
      <c r="V708" s="6"/>
      <c r="W708" s="6"/>
      <c r="X708" s="6"/>
      <c r="Y708" s="6"/>
      <c r="Z708" s="7">
        <f t="shared" si="459"/>
        <v>0</v>
      </c>
      <c r="AA708" s="11">
        <f t="shared" si="437"/>
        <v>0.2</v>
      </c>
      <c r="AB708" s="25"/>
      <c r="AC708" s="10" t="str">
        <f t="shared" si="438"/>
        <v>MarçoSEMANA 3Chimichurri</v>
      </c>
      <c r="AD708" s="7">
        <f>SUMIF(NF!$A:$A,$AC708,NF!$I:$I)</f>
        <v>0</v>
      </c>
      <c r="AE708" s="6"/>
      <c r="AF708" s="6"/>
      <c r="AG708" s="6"/>
      <c r="AH708" s="6">
        <v>0.2</v>
      </c>
      <c r="AI708" s="6"/>
      <c r="AJ708" s="6"/>
      <c r="AK708" s="6"/>
      <c r="AL708" s="7">
        <f t="shared" si="460"/>
        <v>0.2</v>
      </c>
      <c r="AM708" s="11">
        <f t="shared" si="440"/>
        <v>0</v>
      </c>
      <c r="AN708" s="25"/>
      <c r="AO708" s="10" t="str">
        <f t="shared" si="441"/>
        <v>MarçoSEMANA 4Chimichurri</v>
      </c>
      <c r="AP708" s="7">
        <f>SUMIF(NF!$A:$A,$AO708,NF!$I:$I)</f>
        <v>0.2</v>
      </c>
      <c r="AQ708" s="6"/>
      <c r="AR708" s="6"/>
      <c r="AS708" s="6"/>
      <c r="AT708" s="6"/>
      <c r="AU708" s="6"/>
      <c r="AV708" s="6"/>
      <c r="AW708" s="6"/>
      <c r="AX708" s="7">
        <f t="shared" si="461"/>
        <v>0</v>
      </c>
      <c r="AY708" s="11">
        <f t="shared" si="443"/>
        <v>0.2</v>
      </c>
      <c r="AZ708" s="25"/>
      <c r="BA708" s="10" t="str">
        <f t="shared" si="444"/>
        <v>MarçoSEMANA 5Chimichurri</v>
      </c>
      <c r="BB708" s="7">
        <f>SUMIF(NF!$A:$A,$BA708,NF!$I:$I)</f>
        <v>0</v>
      </c>
      <c r="BC708" s="6"/>
      <c r="BD708" s="6"/>
      <c r="BE708" s="6"/>
      <c r="BF708" s="6"/>
      <c r="BG708" s="6"/>
      <c r="BH708" s="6"/>
      <c r="BI708" s="74"/>
      <c r="BJ708" s="74"/>
      <c r="BK708" s="7">
        <f t="shared" si="462"/>
        <v>0</v>
      </c>
      <c r="BL708" s="8">
        <f t="shared" si="446"/>
        <v>0.2</v>
      </c>
      <c r="BM708" s="51" t="str">
        <f>IFERROR(VLOOKUP(A708,NF!$M:$O,3,0),"")</f>
        <v>Mercado</v>
      </c>
      <c r="BN708" s="7">
        <f t="shared" si="447"/>
        <v>0.2</v>
      </c>
      <c r="BO708" s="8">
        <f t="array" ref="BO708">IFERROR(LARGE(IF(NF!$G$2:$G$3137='Mês atual'!A708,NF!$J$2:$J$3137),1),0)*BN708</f>
        <v>5.2</v>
      </c>
      <c r="BP708" s="50"/>
      <c r="BR708" s="146">
        <f t="array" ref="BR708">IFERROR(LARGE(IF(NF!$G$2:$G$3137='Mês atual'!A708,NF!$J$2:$J$3137),1),0)</f>
        <v>26</v>
      </c>
      <c r="BS708" s="142" t="str">
        <f>VLOOKUP(A708,NF!M:O,3,0)</f>
        <v>Mercado</v>
      </c>
      <c r="BV708" s="74">
        <f t="shared" si="453"/>
        <v>0</v>
      </c>
      <c r="BW708" s="74">
        <f t="shared" si="454"/>
        <v>0</v>
      </c>
      <c r="BX708" s="74">
        <f t="shared" si="455"/>
        <v>0.2</v>
      </c>
      <c r="BY708" s="74">
        <f t="shared" si="456"/>
        <v>0</v>
      </c>
      <c r="BZ708" s="74">
        <f t="shared" si="457"/>
        <v>0</v>
      </c>
    </row>
    <row r="709" spans="1:78" x14ac:dyDescent="0.25">
      <c r="A709" s="108" t="s">
        <v>930</v>
      </c>
      <c r="B709" s="12"/>
      <c r="C709" s="9">
        <v>0</v>
      </c>
      <c r="D709" s="25"/>
      <c r="E709" s="10" t="str">
        <f t="shared" si="432"/>
        <v>MarçoSEMANA 1Chocolate em Pó Solúvel 200g</v>
      </c>
      <c r="F709" s="7">
        <f>SUMIF(NF!$A:$A,$E709,NF!$I:$I)</f>
        <v>0</v>
      </c>
      <c r="G709" s="74"/>
      <c r="H709" s="74"/>
      <c r="I709" s="74"/>
      <c r="J709" s="6"/>
      <c r="K709" s="6"/>
      <c r="L709" s="6"/>
      <c r="M709" s="6"/>
      <c r="N709" s="7">
        <f>SUM(G709:M709)</f>
        <v>0</v>
      </c>
      <c r="O709" s="11">
        <f t="shared" si="434"/>
        <v>0</v>
      </c>
      <c r="P709" s="25"/>
      <c r="Q709" s="10" t="str">
        <f t="shared" si="435"/>
        <v>MarçoSEMANA 2Chocolate em Pó Solúvel 200g</v>
      </c>
      <c r="R709" s="7">
        <f>SUMIF(NF!$A:$A,$Q709,NF!$I:$I)</f>
        <v>0</v>
      </c>
      <c r="S709" s="6"/>
      <c r="T709" s="6"/>
      <c r="U709" s="6"/>
      <c r="V709" s="6"/>
      <c r="W709" s="6"/>
      <c r="X709" s="6"/>
      <c r="Y709" s="6"/>
      <c r="Z709" s="7">
        <f>SUM(S709:Y709)</f>
        <v>0</v>
      </c>
      <c r="AA709" s="11">
        <f t="shared" si="437"/>
        <v>0</v>
      </c>
      <c r="AB709" s="25"/>
      <c r="AC709" s="10" t="str">
        <f t="shared" si="438"/>
        <v>MarçoSEMANA 3Chocolate em Pó Solúvel 200g</v>
      </c>
      <c r="AD709" s="7">
        <f>SUMIF(NF!$A:$A,$AC709,NF!$I:$I)</f>
        <v>0</v>
      </c>
      <c r="AE709" s="6"/>
      <c r="AF709" s="6"/>
      <c r="AG709" s="6"/>
      <c r="AH709" s="6"/>
      <c r="AI709" s="6"/>
      <c r="AJ709" s="6"/>
      <c r="AK709" s="6"/>
      <c r="AL709" s="7">
        <f>SUM(AE709:AK709)</f>
        <v>0</v>
      </c>
      <c r="AM709" s="11">
        <f t="shared" si="440"/>
        <v>0</v>
      </c>
      <c r="AN709" s="25"/>
      <c r="AO709" s="10" t="str">
        <f t="shared" si="441"/>
        <v>MarçoSEMANA 4Chocolate em Pó Solúvel 200g</v>
      </c>
      <c r="AP709" s="7">
        <f>SUMIF(NF!$A:$A,$AO709,NF!$I:$I)</f>
        <v>0</v>
      </c>
      <c r="AQ709" s="6"/>
      <c r="AR709" s="6"/>
      <c r="AS709" s="6"/>
      <c r="AT709" s="6"/>
      <c r="AU709" s="6"/>
      <c r="AV709" s="6"/>
      <c r="AW709" s="6"/>
      <c r="AX709" s="7">
        <f>SUM(AQ709:AW709)</f>
        <v>0</v>
      </c>
      <c r="AY709" s="11">
        <f t="shared" si="443"/>
        <v>0</v>
      </c>
      <c r="AZ709" s="25"/>
      <c r="BA709" s="10" t="str">
        <f t="shared" si="444"/>
        <v>MarçoSEMANA 5Chocolate em Pó Solúvel 200g</v>
      </c>
      <c r="BB709" s="7">
        <f>SUMIF(NF!$A:$A,$BA709,NF!$I:$I)</f>
        <v>0</v>
      </c>
      <c r="BC709" s="6"/>
      <c r="BD709" s="6"/>
      <c r="BE709" s="6"/>
      <c r="BF709" s="6"/>
      <c r="BG709" s="6"/>
      <c r="BH709" s="6"/>
      <c r="BI709" s="74"/>
      <c r="BJ709" s="74"/>
      <c r="BK709" s="7">
        <f>SUM(BC709:BJ709)</f>
        <v>0</v>
      </c>
      <c r="BL709" s="8">
        <f t="shared" si="446"/>
        <v>0</v>
      </c>
      <c r="BM709" s="51" t="str">
        <f>IFERROR(VLOOKUP(A709,NF!$M:$O,3,0),"")</f>
        <v>Mercado</v>
      </c>
      <c r="BN709" s="7">
        <f t="shared" si="447"/>
        <v>0</v>
      </c>
      <c r="BO709" s="8">
        <f t="array" ref="BO709">IFERROR(LARGE(IF(NF!$G$2:$G$3137='Mês atual'!A709,NF!$J$2:$J$3137),1),0)*BN709</f>
        <v>0</v>
      </c>
      <c r="BP709" s="50"/>
      <c r="BR709" s="146">
        <f t="array" ref="BR709">IFERROR(LARGE(IF(NF!$G$2:$G$3137='Mês atual'!A709,NF!$J$2:$J$3137),1),0)</f>
        <v>0</v>
      </c>
      <c r="BS709" s="142" t="str">
        <f>VLOOKUP(A709,NF!M:O,3,0)</f>
        <v>Mercado</v>
      </c>
      <c r="BV709" s="74">
        <f t="shared" si="453"/>
        <v>0</v>
      </c>
      <c r="BW709" s="74">
        <f t="shared" si="454"/>
        <v>0</v>
      </c>
      <c r="BX709" s="74">
        <f t="shared" si="455"/>
        <v>0</v>
      </c>
      <c r="BY709" s="74">
        <f t="shared" si="456"/>
        <v>0</v>
      </c>
      <c r="BZ709" s="74">
        <f t="shared" si="457"/>
        <v>0</v>
      </c>
    </row>
    <row r="710" spans="1:78" x14ac:dyDescent="0.2">
      <c r="A710" s="108" t="s">
        <v>279</v>
      </c>
      <c r="B710" s="12"/>
      <c r="C710" s="9">
        <v>1</v>
      </c>
      <c r="D710" s="25"/>
      <c r="E710" s="10" t="str">
        <f t="shared" si="432"/>
        <v>MarçoSEMANA 1Chocolate Granulado 1,01 Kg</v>
      </c>
      <c r="F710" s="7">
        <f>SUMIF(NF!$A:$A,$E710,NF!$I:$I)</f>
        <v>0</v>
      </c>
      <c r="G710" s="74"/>
      <c r="H710" s="74"/>
      <c r="I710" s="74"/>
      <c r="J710" s="6"/>
      <c r="K710" s="6"/>
      <c r="L710" s="6"/>
      <c r="M710" s="6"/>
      <c r="N710" s="7">
        <f t="shared" ref="N710:N717" si="463">SUM(G710:M710)</f>
        <v>0</v>
      </c>
      <c r="O710" s="11">
        <f t="shared" si="434"/>
        <v>1</v>
      </c>
      <c r="P710" s="25"/>
      <c r="Q710" s="10" t="str">
        <f t="shared" si="435"/>
        <v>MarçoSEMANA 2Chocolate Granulado 1,01 Kg</v>
      </c>
      <c r="R710" s="7">
        <f>SUMIF(NF!$A:$A,$Q710,NF!$I:$I)</f>
        <v>0</v>
      </c>
      <c r="S710" s="6"/>
      <c r="T710" s="6"/>
      <c r="U710" s="6"/>
      <c r="V710" s="6"/>
      <c r="W710" s="6"/>
      <c r="X710" s="6"/>
      <c r="Y710" s="6">
        <v>1</v>
      </c>
      <c r="Z710" s="7">
        <f t="shared" ref="Z710:Z717" si="464">SUM(S710:Y710)</f>
        <v>1</v>
      </c>
      <c r="AA710" s="11">
        <f t="shared" si="437"/>
        <v>0</v>
      </c>
      <c r="AB710" s="25"/>
      <c r="AC710" s="10" t="str">
        <f t="shared" si="438"/>
        <v>MarçoSEMANA 3Chocolate Granulado 1,01 Kg</v>
      </c>
      <c r="AD710" s="7">
        <f>SUMIF(NF!$A:$A,$AC710,NF!$I:$I)</f>
        <v>1</v>
      </c>
      <c r="AE710" s="6"/>
      <c r="AF710" s="6"/>
      <c r="AG710" s="6"/>
      <c r="AH710" s="6"/>
      <c r="AI710" s="6"/>
      <c r="AJ710" s="6"/>
      <c r="AK710" s="6"/>
      <c r="AL710" s="7">
        <f t="shared" ref="AL710:AL717" si="465">SUM(AE710:AK710)</f>
        <v>0</v>
      </c>
      <c r="AM710" s="11">
        <f t="shared" si="440"/>
        <v>1</v>
      </c>
      <c r="AN710" s="25"/>
      <c r="AO710" s="10" t="str">
        <f t="shared" si="441"/>
        <v>MarçoSEMANA 4Chocolate Granulado 1,01 Kg</v>
      </c>
      <c r="AP710" s="7">
        <f>SUMIF(NF!$A:$A,$AO710,NF!$I:$I)</f>
        <v>0</v>
      </c>
      <c r="AQ710" s="6"/>
      <c r="AR710" s="6"/>
      <c r="AS710" s="6"/>
      <c r="AT710" s="6"/>
      <c r="AU710" s="6"/>
      <c r="AV710" s="6"/>
      <c r="AW710" s="6"/>
      <c r="AX710" s="7">
        <f t="shared" ref="AX710:AX717" si="466">SUM(AQ710:AW710)</f>
        <v>0</v>
      </c>
      <c r="AY710" s="11">
        <f t="shared" si="443"/>
        <v>1</v>
      </c>
      <c r="AZ710" s="25"/>
      <c r="BA710" s="10" t="str">
        <f t="shared" si="444"/>
        <v>MarçoSEMANA 5Chocolate Granulado 1,01 Kg</v>
      </c>
      <c r="BB710" s="7">
        <f>SUMIF(NF!$A:$A,$BA710,NF!$I:$I)</f>
        <v>0</v>
      </c>
      <c r="BC710" s="6"/>
      <c r="BD710" s="6"/>
      <c r="BE710" s="6"/>
      <c r="BF710" s="6"/>
      <c r="BG710" s="6"/>
      <c r="BH710" s="6"/>
      <c r="BI710" s="74"/>
      <c r="BJ710" s="74"/>
      <c r="BK710" s="7">
        <f t="shared" ref="BK710:BK717" si="467">SUM(BC710:BJ710)</f>
        <v>0</v>
      </c>
      <c r="BL710" s="8">
        <f t="shared" si="446"/>
        <v>1</v>
      </c>
      <c r="BM710" s="51" t="str">
        <f>IFERROR(VLOOKUP(A710,NF!$M:$O,3,0),"")</f>
        <v>Mercado</v>
      </c>
      <c r="BN710" s="7">
        <f t="shared" si="447"/>
        <v>1</v>
      </c>
      <c r="BO710" s="8">
        <f t="array" ref="BO710">IFERROR(LARGE(IF(NF!$G$2:$G$3137='Mês atual'!A710,NF!$J$2:$J$3137),1),0)*BN710</f>
        <v>9.5</v>
      </c>
      <c r="BP710" s="50"/>
      <c r="BR710" s="146">
        <f t="array" ref="BR710">IFERROR(LARGE(IF(NF!$G$2:$G$3137='Mês atual'!A710,NF!$J$2:$J$3137),1),0)</f>
        <v>9.5</v>
      </c>
      <c r="BS710" s="142" t="str">
        <f>VLOOKUP(A710,NF!M:O,3,0)</f>
        <v>Mercado</v>
      </c>
      <c r="BV710" s="74">
        <f t="shared" si="453"/>
        <v>0</v>
      </c>
      <c r="BW710" s="74">
        <f t="shared" si="454"/>
        <v>1</v>
      </c>
      <c r="BX710" s="74">
        <f t="shared" si="455"/>
        <v>0</v>
      </c>
      <c r="BY710" s="74">
        <f t="shared" si="456"/>
        <v>0</v>
      </c>
      <c r="BZ710" s="74">
        <f t="shared" si="457"/>
        <v>0</v>
      </c>
    </row>
    <row r="711" spans="1:78" x14ac:dyDescent="0.2">
      <c r="A711" s="108" t="s">
        <v>282</v>
      </c>
      <c r="B711" s="12"/>
      <c r="C711" s="9">
        <v>0</v>
      </c>
      <c r="D711" s="25"/>
      <c r="E711" s="10" t="str">
        <f t="shared" si="432"/>
        <v>MarçoSEMANA 1Clara de Ovo</v>
      </c>
      <c r="F711" s="7">
        <f>SUMIF(NF!$A:$A,$E711,NF!$I:$I)</f>
        <v>14.72</v>
      </c>
      <c r="G711" s="74"/>
      <c r="H711" s="74"/>
      <c r="I711" s="74"/>
      <c r="J711" s="6"/>
      <c r="K711" s="6"/>
      <c r="L711" s="6"/>
      <c r="M711" s="6">
        <v>7.72</v>
      </c>
      <c r="N711" s="7">
        <f t="shared" si="463"/>
        <v>7.72</v>
      </c>
      <c r="O711" s="11">
        <f t="shared" si="434"/>
        <v>7.0000000000000009</v>
      </c>
      <c r="P711" s="25"/>
      <c r="Q711" s="10" t="str">
        <f t="shared" si="435"/>
        <v>MarçoSEMANA 2Clara de Ovo</v>
      </c>
      <c r="R711" s="7">
        <f>SUMIF(NF!$A:$A,$Q711,NF!$I:$I)</f>
        <v>0</v>
      </c>
      <c r="S711" s="6">
        <v>7</v>
      </c>
      <c r="T711" s="6"/>
      <c r="U711" s="6"/>
      <c r="V711" s="6"/>
      <c r="W711" s="6"/>
      <c r="X711" s="6"/>
      <c r="Y711" s="6"/>
      <c r="Z711" s="7">
        <f t="shared" si="464"/>
        <v>7</v>
      </c>
      <c r="AA711" s="11">
        <f t="shared" si="437"/>
        <v>0</v>
      </c>
      <c r="AB711" s="25"/>
      <c r="AC711" s="10" t="str">
        <f t="shared" si="438"/>
        <v>MarçoSEMANA 3Clara de Ovo</v>
      </c>
      <c r="AD711" s="7">
        <f>SUMIF(NF!$A:$A,$AC711,NF!$I:$I)</f>
        <v>0</v>
      </c>
      <c r="AE711" s="6"/>
      <c r="AF711" s="6"/>
      <c r="AG711" s="6"/>
      <c r="AH711" s="6"/>
      <c r="AI711" s="6"/>
      <c r="AJ711" s="6"/>
      <c r="AK711" s="6"/>
      <c r="AL711" s="7">
        <f t="shared" si="465"/>
        <v>0</v>
      </c>
      <c r="AM711" s="11">
        <f t="shared" si="440"/>
        <v>0</v>
      </c>
      <c r="AN711" s="25"/>
      <c r="AO711" s="10" t="str">
        <f t="shared" si="441"/>
        <v>MarçoSEMANA 4Clara de Ovo</v>
      </c>
      <c r="AP711" s="7">
        <f>SUMIF(NF!$A:$A,$AO711,NF!$I:$I)</f>
        <v>14.5</v>
      </c>
      <c r="AQ711" s="6"/>
      <c r="AR711" s="6"/>
      <c r="AS711" s="6"/>
      <c r="AT711" s="6"/>
      <c r="AU711" s="6"/>
      <c r="AV711" s="6"/>
      <c r="AW711" s="6"/>
      <c r="AX711" s="7">
        <f t="shared" si="466"/>
        <v>0</v>
      </c>
      <c r="AY711" s="11">
        <f t="shared" si="443"/>
        <v>14.5</v>
      </c>
      <c r="AZ711" s="25"/>
      <c r="BA711" s="10" t="str">
        <f t="shared" si="444"/>
        <v>MarçoSEMANA 5Clara de Ovo</v>
      </c>
      <c r="BB711" s="7">
        <f>SUMIF(NF!$A:$A,$BA711,NF!$I:$I)</f>
        <v>6.3</v>
      </c>
      <c r="BC711" s="6">
        <v>7.25</v>
      </c>
      <c r="BD711" s="6"/>
      <c r="BE711" s="6"/>
      <c r="BF711" s="6"/>
      <c r="BG711" s="6"/>
      <c r="BH711" s="6"/>
      <c r="BI711" s="74"/>
      <c r="BJ711" s="74"/>
      <c r="BK711" s="7">
        <f t="shared" si="467"/>
        <v>7.25</v>
      </c>
      <c r="BL711" s="8">
        <f t="shared" si="446"/>
        <v>13.55</v>
      </c>
      <c r="BM711" s="51" t="str">
        <f>IFERROR(VLOOKUP(A711,NF!$M:$O,3,0),"")</f>
        <v>Mercado</v>
      </c>
      <c r="BN711" s="7">
        <f t="shared" si="447"/>
        <v>21.97</v>
      </c>
      <c r="BO711" s="8">
        <f t="array" ref="BO711">IFERROR(LARGE(IF(NF!$G$2:$G$3137='Mês atual'!A711,NF!$J$2:$J$3137),1),0)*BN711</f>
        <v>261.54761904761904</v>
      </c>
      <c r="BP711" s="50"/>
      <c r="BR711" s="146">
        <f t="array" ref="BR711">IFERROR(LARGE(IF(NF!$G$2:$G$3137='Mês atual'!A711,NF!$J$2:$J$3137),1),0)</f>
        <v>11.904761904761905</v>
      </c>
      <c r="BS711" s="142" t="str">
        <f>VLOOKUP(A711,NF!M:O,3,0)</f>
        <v>Mercado</v>
      </c>
      <c r="BV711" s="74">
        <f t="shared" si="453"/>
        <v>7.72</v>
      </c>
      <c r="BW711" s="74">
        <f t="shared" si="454"/>
        <v>7</v>
      </c>
      <c r="BX711" s="74">
        <f t="shared" si="455"/>
        <v>0</v>
      </c>
      <c r="BY711" s="74">
        <f t="shared" si="456"/>
        <v>0</v>
      </c>
      <c r="BZ711" s="74">
        <f t="shared" si="457"/>
        <v>7.25</v>
      </c>
    </row>
    <row r="712" spans="1:78" x14ac:dyDescent="0.2">
      <c r="A712" s="108" t="s">
        <v>291</v>
      </c>
      <c r="B712" s="12"/>
      <c r="C712" s="9">
        <v>0</v>
      </c>
      <c r="D712" s="25"/>
      <c r="E712" s="10" t="str">
        <f t="shared" ref="E712:E776" si="468">CONCATENATE($C$2,$F$1,$A712)</f>
        <v>MarçoSEMANA 1Cogumelo Fatiado Bd 2 Kg</v>
      </c>
      <c r="F712" s="7">
        <f>SUMIF(NF!$A:$A,$E712,NF!$I:$I)</f>
        <v>2</v>
      </c>
      <c r="G712" s="74"/>
      <c r="H712" s="74"/>
      <c r="I712" s="74"/>
      <c r="J712" s="6">
        <v>1</v>
      </c>
      <c r="K712" s="6"/>
      <c r="L712" s="6"/>
      <c r="M712" s="6"/>
      <c r="N712" s="7">
        <f t="shared" si="463"/>
        <v>1</v>
      </c>
      <c r="O712" s="11">
        <f t="shared" si="434"/>
        <v>1</v>
      </c>
      <c r="P712" s="25"/>
      <c r="Q712" s="10" t="str">
        <f t="shared" ref="Q712:Q776" si="469">CONCATENATE($C$2,$R$1,$A712)</f>
        <v>MarçoSEMANA 2Cogumelo Fatiado Bd 2 Kg</v>
      </c>
      <c r="R712" s="7">
        <f>SUMIF(NF!$A:$A,$Q712,NF!$I:$I)</f>
        <v>0</v>
      </c>
      <c r="S712" s="6"/>
      <c r="T712" s="6"/>
      <c r="U712" s="6"/>
      <c r="V712" s="6"/>
      <c r="W712" s="6"/>
      <c r="X712" s="6"/>
      <c r="Y712" s="6"/>
      <c r="Z712" s="7">
        <f t="shared" si="464"/>
        <v>0</v>
      </c>
      <c r="AA712" s="11">
        <f t="shared" si="437"/>
        <v>1</v>
      </c>
      <c r="AB712" s="25"/>
      <c r="AC712" s="10" t="str">
        <f t="shared" ref="AC712:AC776" si="470">CONCATENATE($C$2,$AD$1,$A712)</f>
        <v>MarçoSEMANA 3Cogumelo Fatiado Bd 2 Kg</v>
      </c>
      <c r="AD712" s="7">
        <f>SUMIF(NF!$A:$A,$AC712,NF!$I:$I)</f>
        <v>1</v>
      </c>
      <c r="AE712" s="6"/>
      <c r="AF712" s="6"/>
      <c r="AG712" s="6">
        <v>1</v>
      </c>
      <c r="AH712" s="6"/>
      <c r="AI712" s="6"/>
      <c r="AJ712" s="6"/>
      <c r="AK712" s="6"/>
      <c r="AL712" s="7">
        <f t="shared" si="465"/>
        <v>1</v>
      </c>
      <c r="AM712" s="11">
        <f t="shared" si="440"/>
        <v>1</v>
      </c>
      <c r="AN712" s="25"/>
      <c r="AO712" s="10" t="str">
        <f t="shared" ref="AO712:AO776" si="471">CONCATENATE($C$2,$AP$1,$A712)</f>
        <v>MarçoSEMANA 4Cogumelo Fatiado Bd 2 Kg</v>
      </c>
      <c r="AP712" s="7">
        <f>SUMIF(NF!$A:$A,$AO712,NF!$I:$I)</f>
        <v>0</v>
      </c>
      <c r="AQ712" s="6"/>
      <c r="AR712" s="6"/>
      <c r="AS712" s="6"/>
      <c r="AT712" s="6"/>
      <c r="AU712" s="6"/>
      <c r="AV712" s="6">
        <v>1</v>
      </c>
      <c r="AW712" s="6"/>
      <c r="AX712" s="7">
        <f t="shared" si="466"/>
        <v>1</v>
      </c>
      <c r="AY712" s="11">
        <f t="shared" si="443"/>
        <v>0</v>
      </c>
      <c r="AZ712" s="25"/>
      <c r="BA712" s="10" t="str">
        <f t="shared" ref="BA712:BA776" si="472">CONCATENATE($C$2,$BB$1,$A712)</f>
        <v>MarçoSEMANA 5Cogumelo Fatiado Bd 2 Kg</v>
      </c>
      <c r="BB712" s="7">
        <f>SUMIF(NF!$A:$A,$BA712,NF!$I:$I)</f>
        <v>1</v>
      </c>
      <c r="BC712" s="6"/>
      <c r="BD712" s="6"/>
      <c r="BE712" s="6"/>
      <c r="BF712" s="6"/>
      <c r="BG712" s="6"/>
      <c r="BH712" s="6"/>
      <c r="BI712" s="74"/>
      <c r="BJ712" s="74"/>
      <c r="BK712" s="7">
        <f t="shared" si="467"/>
        <v>0</v>
      </c>
      <c r="BL712" s="8">
        <f t="shared" si="446"/>
        <v>1</v>
      </c>
      <c r="BM712" s="51" t="str">
        <f>IFERROR(VLOOKUP(A712,NF!$M:$O,3,0),"")</f>
        <v>Mercado</v>
      </c>
      <c r="BN712" s="7">
        <f t="shared" si="447"/>
        <v>3</v>
      </c>
      <c r="BO712" s="8">
        <f t="array" ref="BO712">IFERROR(LARGE(IF(NF!$G$2:$G$3137='Mês atual'!A712,NF!$J$2:$J$3137),1),0)*BN712</f>
        <v>111</v>
      </c>
      <c r="BP712" s="50"/>
      <c r="BR712" s="146">
        <f t="array" ref="BR712">IFERROR(LARGE(IF(NF!$G$2:$G$3137='Mês atual'!A712,NF!$J$2:$J$3137),1),0)</f>
        <v>37</v>
      </c>
      <c r="BS712" s="142" t="str">
        <f>VLOOKUP(A712,NF!M:O,3,0)</f>
        <v>Mercado</v>
      </c>
      <c r="BV712" s="74">
        <f t="shared" si="453"/>
        <v>1</v>
      </c>
      <c r="BW712" s="74">
        <f t="shared" si="454"/>
        <v>0</v>
      </c>
      <c r="BX712" s="74">
        <f t="shared" si="455"/>
        <v>1</v>
      </c>
      <c r="BY712" s="74">
        <f t="shared" si="456"/>
        <v>1</v>
      </c>
      <c r="BZ712" s="74">
        <f t="shared" si="457"/>
        <v>0</v>
      </c>
    </row>
    <row r="713" spans="1:78" x14ac:dyDescent="0.2">
      <c r="A713" s="108" t="s">
        <v>292</v>
      </c>
      <c r="B713" s="12"/>
      <c r="C713" s="9">
        <v>0.5</v>
      </c>
      <c r="D713" s="25"/>
      <c r="E713" s="10" t="str">
        <f t="shared" si="468"/>
        <v>MarçoSEMANA 1Cogumelo Paris</v>
      </c>
      <c r="F713" s="7">
        <f>SUMIF(NF!$A:$A,$E713,NF!$I:$I)</f>
        <v>5</v>
      </c>
      <c r="G713" s="74"/>
      <c r="H713" s="74"/>
      <c r="I713" s="74"/>
      <c r="J713" s="6"/>
      <c r="K713" s="6"/>
      <c r="L713" s="6"/>
      <c r="M713" s="6">
        <v>0.5</v>
      </c>
      <c r="N713" s="7">
        <f t="shared" si="463"/>
        <v>0.5</v>
      </c>
      <c r="O713" s="11">
        <f t="shared" si="434"/>
        <v>5</v>
      </c>
      <c r="P713" s="25"/>
      <c r="Q713" s="10" t="str">
        <f t="shared" si="469"/>
        <v>MarçoSEMANA 2Cogumelo Paris</v>
      </c>
      <c r="R713" s="7">
        <f>SUMIF(NF!$A:$A,$Q713,NF!$I:$I)</f>
        <v>0</v>
      </c>
      <c r="S713" s="6"/>
      <c r="T713" s="6">
        <v>1.5</v>
      </c>
      <c r="U713" s="6">
        <v>2</v>
      </c>
      <c r="V713" s="6"/>
      <c r="W713" s="6">
        <v>1.5</v>
      </c>
      <c r="X713" s="6"/>
      <c r="Y713" s="6"/>
      <c r="Z713" s="7">
        <f t="shared" si="464"/>
        <v>5</v>
      </c>
      <c r="AA713" s="11">
        <f t="shared" si="437"/>
        <v>0</v>
      </c>
      <c r="AB713" s="25"/>
      <c r="AC713" s="10" t="str">
        <f t="shared" si="470"/>
        <v>MarçoSEMANA 3Cogumelo Paris</v>
      </c>
      <c r="AD713" s="7">
        <f>SUMIF(NF!$A:$A,$AC713,NF!$I:$I)</f>
        <v>6</v>
      </c>
      <c r="AE713" s="6"/>
      <c r="AF713" s="6"/>
      <c r="AG713" s="6">
        <v>1</v>
      </c>
      <c r="AH713" s="6"/>
      <c r="AI713" s="6">
        <v>1</v>
      </c>
      <c r="AJ713" s="6"/>
      <c r="AK713" s="6">
        <v>1</v>
      </c>
      <c r="AL713" s="7">
        <f t="shared" si="465"/>
        <v>3</v>
      </c>
      <c r="AM713" s="11">
        <f t="shared" si="440"/>
        <v>3</v>
      </c>
      <c r="AN713" s="25"/>
      <c r="AO713" s="10" t="str">
        <f t="shared" si="471"/>
        <v>MarçoSEMANA 4Cogumelo Paris</v>
      </c>
      <c r="AP713" s="7">
        <f>SUMIF(NF!$A:$A,$AO713,NF!$I:$I)</f>
        <v>5</v>
      </c>
      <c r="AQ713" s="6">
        <v>1.5</v>
      </c>
      <c r="AR713" s="6">
        <v>1</v>
      </c>
      <c r="AS713" s="6">
        <v>0.5</v>
      </c>
      <c r="AT713" s="6">
        <v>0.5</v>
      </c>
      <c r="AU713" s="6"/>
      <c r="AV713" s="6">
        <v>0.5</v>
      </c>
      <c r="AW713" s="6">
        <v>1</v>
      </c>
      <c r="AX713" s="7">
        <f t="shared" si="466"/>
        <v>5</v>
      </c>
      <c r="AY713" s="11">
        <f t="shared" si="443"/>
        <v>3</v>
      </c>
      <c r="AZ713" s="25"/>
      <c r="BA713" s="10" t="str">
        <f t="shared" si="472"/>
        <v>MarçoSEMANA 5Cogumelo Paris</v>
      </c>
      <c r="BB713" s="7">
        <f>SUMIF(NF!$A:$A,$BA713,NF!$I:$I)</f>
        <v>5</v>
      </c>
      <c r="BC713" s="6">
        <v>1</v>
      </c>
      <c r="BD713" s="6">
        <v>0.5</v>
      </c>
      <c r="BE713" s="6">
        <v>1</v>
      </c>
      <c r="BF713" s="6"/>
      <c r="BG713" s="6">
        <v>0.5</v>
      </c>
      <c r="BH713" s="6"/>
      <c r="BI713" s="74"/>
      <c r="BJ713" s="74"/>
      <c r="BK713" s="7">
        <f t="shared" si="467"/>
        <v>3</v>
      </c>
      <c r="BL713" s="8">
        <f t="shared" si="446"/>
        <v>5</v>
      </c>
      <c r="BM713" s="51" t="str">
        <f>IFERROR(VLOOKUP(A713,NF!$M:$O,3,0),"")</f>
        <v>Mercado</v>
      </c>
      <c r="BN713" s="7">
        <f t="shared" si="447"/>
        <v>16.5</v>
      </c>
      <c r="BO713" s="8">
        <f t="array" ref="BO713">IFERROR(LARGE(IF(NF!$G$2:$G$3137='Mês atual'!A713,NF!$J$2:$J$3137),1),0)*BN713</f>
        <v>593.34</v>
      </c>
      <c r="BP713" s="50"/>
      <c r="BR713" s="146">
        <f t="array" ref="BR713">IFERROR(LARGE(IF(NF!$G$2:$G$3137='Mês atual'!A713,NF!$J$2:$J$3137),1),0)</f>
        <v>35.96</v>
      </c>
      <c r="BS713" s="142" t="str">
        <f>VLOOKUP(A713,NF!M:O,3,0)</f>
        <v>Mercado</v>
      </c>
      <c r="BV713" s="74">
        <f t="shared" si="453"/>
        <v>0.5</v>
      </c>
      <c r="BW713" s="74">
        <f t="shared" si="454"/>
        <v>5</v>
      </c>
      <c r="BX713" s="74">
        <f t="shared" si="455"/>
        <v>3</v>
      </c>
      <c r="BY713" s="74">
        <f t="shared" si="456"/>
        <v>5</v>
      </c>
      <c r="BZ713" s="74">
        <f t="shared" si="457"/>
        <v>3</v>
      </c>
    </row>
    <row r="714" spans="1:78" x14ac:dyDescent="0.2">
      <c r="A714" s="108" t="s">
        <v>293</v>
      </c>
      <c r="B714" s="12"/>
      <c r="C714" s="9">
        <v>0</v>
      </c>
      <c r="D714" s="25"/>
      <c r="E714" s="10" t="str">
        <f t="shared" si="468"/>
        <v>MarçoSEMANA 1Cogumelo Portobello</v>
      </c>
      <c r="F714" s="7">
        <f>SUMIF(NF!$A:$A,$E714,NF!$I:$I)</f>
        <v>0</v>
      </c>
      <c r="G714" s="74"/>
      <c r="H714" s="74"/>
      <c r="I714" s="74"/>
      <c r="J714" s="6"/>
      <c r="K714" s="6"/>
      <c r="L714" s="6"/>
      <c r="M714" s="6"/>
      <c r="N714" s="7">
        <f t="shared" si="463"/>
        <v>0</v>
      </c>
      <c r="O714" s="11">
        <f t="shared" si="434"/>
        <v>0</v>
      </c>
      <c r="P714" s="25"/>
      <c r="Q714" s="10" t="str">
        <f t="shared" si="469"/>
        <v>MarçoSEMANA 2Cogumelo Portobello</v>
      </c>
      <c r="R714" s="7">
        <f>SUMIF(NF!$A:$A,$Q714,NF!$I:$I)</f>
        <v>0</v>
      </c>
      <c r="S714" s="6"/>
      <c r="T714" s="6"/>
      <c r="U714" s="6"/>
      <c r="V714" s="6"/>
      <c r="W714" s="6"/>
      <c r="X714" s="6"/>
      <c r="Y714" s="6"/>
      <c r="Z714" s="7">
        <f t="shared" si="464"/>
        <v>0</v>
      </c>
      <c r="AA714" s="11">
        <f t="shared" si="437"/>
        <v>0</v>
      </c>
      <c r="AB714" s="25"/>
      <c r="AC714" s="10" t="str">
        <f t="shared" si="470"/>
        <v>MarçoSEMANA 3Cogumelo Portobello</v>
      </c>
      <c r="AD714" s="7">
        <f>SUMIF(NF!$A:$A,$AC714,NF!$I:$I)</f>
        <v>0</v>
      </c>
      <c r="AE714" s="6"/>
      <c r="AF714" s="6"/>
      <c r="AG714" s="6"/>
      <c r="AH714" s="6"/>
      <c r="AI714" s="6"/>
      <c r="AJ714" s="6"/>
      <c r="AK714" s="6"/>
      <c r="AL714" s="7">
        <f t="shared" si="465"/>
        <v>0</v>
      </c>
      <c r="AM714" s="11">
        <f t="shared" si="440"/>
        <v>0</v>
      </c>
      <c r="AN714" s="25"/>
      <c r="AO714" s="10" t="str">
        <f t="shared" si="471"/>
        <v>MarçoSEMANA 4Cogumelo Portobello</v>
      </c>
      <c r="AP714" s="7">
        <f>SUMIF(NF!$A:$A,$AO714,NF!$I:$I)</f>
        <v>0</v>
      </c>
      <c r="AQ714" s="6"/>
      <c r="AR714" s="6"/>
      <c r="AS714" s="6"/>
      <c r="AT714" s="6"/>
      <c r="AU714" s="6"/>
      <c r="AV714" s="6"/>
      <c r="AW714" s="6"/>
      <c r="AX714" s="7">
        <f t="shared" si="466"/>
        <v>0</v>
      </c>
      <c r="AY714" s="11">
        <f t="shared" si="443"/>
        <v>0</v>
      </c>
      <c r="AZ714" s="25"/>
      <c r="BA714" s="10" t="str">
        <f t="shared" si="472"/>
        <v>MarçoSEMANA 5Cogumelo Portobello</v>
      </c>
      <c r="BB714" s="7">
        <f>SUMIF(NF!$A:$A,$BA714,NF!$I:$I)</f>
        <v>0</v>
      </c>
      <c r="BC714" s="6"/>
      <c r="BD714" s="6"/>
      <c r="BE714" s="6"/>
      <c r="BF714" s="6"/>
      <c r="BG714" s="6"/>
      <c r="BH714" s="6"/>
      <c r="BI714" s="74"/>
      <c r="BJ714" s="74"/>
      <c r="BK714" s="7">
        <f t="shared" si="467"/>
        <v>0</v>
      </c>
      <c r="BL714" s="8">
        <f t="shared" si="446"/>
        <v>0</v>
      </c>
      <c r="BM714" s="51" t="str">
        <f>IFERROR(VLOOKUP(A714,NF!$M:$O,3,0),"")</f>
        <v>Mercado</v>
      </c>
      <c r="BN714" s="7">
        <f t="shared" si="447"/>
        <v>0</v>
      </c>
      <c r="BO714" s="8">
        <f t="array" ref="BO714">IFERROR(LARGE(IF(NF!$G$2:$G$3137='Mês atual'!A714,NF!$J$2:$J$3137),1),0)*BN714</f>
        <v>0</v>
      </c>
      <c r="BP714" s="50"/>
      <c r="BR714" s="146">
        <f t="array" ref="BR714">IFERROR(LARGE(IF(NF!$G$2:$G$3137='Mês atual'!A714,NF!$J$2:$J$3137),1),0)</f>
        <v>0</v>
      </c>
      <c r="BS714" s="142" t="str">
        <f>VLOOKUP(A714,NF!M:O,3,0)</f>
        <v>Mercado</v>
      </c>
      <c r="BV714" s="74">
        <f t="shared" si="453"/>
        <v>0</v>
      </c>
      <c r="BW714" s="74">
        <f t="shared" si="454"/>
        <v>0</v>
      </c>
      <c r="BX714" s="74">
        <f t="shared" si="455"/>
        <v>0</v>
      </c>
      <c r="BY714" s="74">
        <f t="shared" si="456"/>
        <v>0</v>
      </c>
      <c r="BZ714" s="74">
        <f t="shared" si="457"/>
        <v>0</v>
      </c>
    </row>
    <row r="715" spans="1:78" x14ac:dyDescent="0.2">
      <c r="A715" s="108" t="s">
        <v>295</v>
      </c>
      <c r="B715" s="12"/>
      <c r="C715" s="9">
        <v>0.3</v>
      </c>
      <c r="D715" s="25"/>
      <c r="E715" s="10" t="str">
        <f t="shared" si="468"/>
        <v>MarçoSEMANA 1Coloral</v>
      </c>
      <c r="F715" s="7">
        <f>SUMIF(NF!$A:$A,$E715,NF!$I:$I)</f>
        <v>0.3</v>
      </c>
      <c r="G715" s="74"/>
      <c r="H715" s="74"/>
      <c r="I715" s="74"/>
      <c r="J715" s="6">
        <v>0.3</v>
      </c>
      <c r="K715" s="6"/>
      <c r="L715" s="6"/>
      <c r="M715" s="6"/>
      <c r="N715" s="7">
        <f t="shared" si="463"/>
        <v>0.3</v>
      </c>
      <c r="O715" s="11">
        <f t="shared" si="434"/>
        <v>0.3</v>
      </c>
      <c r="P715" s="25"/>
      <c r="Q715" s="10" t="str">
        <f t="shared" si="469"/>
        <v>MarçoSEMANA 2Coloral</v>
      </c>
      <c r="R715" s="7">
        <f>SUMIF(NF!$A:$A,$Q715,NF!$I:$I)</f>
        <v>0.3</v>
      </c>
      <c r="S715" s="6"/>
      <c r="T715" s="6"/>
      <c r="U715" s="6">
        <v>0.3</v>
      </c>
      <c r="V715" s="6"/>
      <c r="W715" s="6"/>
      <c r="X715" s="6">
        <v>0.3</v>
      </c>
      <c r="Y715" s="6"/>
      <c r="Z715" s="7">
        <f t="shared" si="464"/>
        <v>0.6</v>
      </c>
      <c r="AA715" s="11">
        <f t="shared" si="437"/>
        <v>0</v>
      </c>
      <c r="AB715" s="25"/>
      <c r="AC715" s="10" t="str">
        <f t="shared" si="470"/>
        <v>MarçoSEMANA 3Coloral</v>
      </c>
      <c r="AD715" s="7">
        <f>SUMIF(NF!$A:$A,$AC715,NF!$I:$I)</f>
        <v>0.6</v>
      </c>
      <c r="AE715" s="6"/>
      <c r="AF715" s="6"/>
      <c r="AG715" s="6"/>
      <c r="AH715" s="6"/>
      <c r="AI715" s="6"/>
      <c r="AJ715" s="6">
        <v>0.3</v>
      </c>
      <c r="AK715" s="6"/>
      <c r="AL715" s="7">
        <f t="shared" si="465"/>
        <v>0.3</v>
      </c>
      <c r="AM715" s="11">
        <f t="shared" si="440"/>
        <v>0.3</v>
      </c>
      <c r="AN715" s="25"/>
      <c r="AO715" s="10" t="str">
        <f t="shared" si="471"/>
        <v>MarçoSEMANA 4Coloral</v>
      </c>
      <c r="AP715" s="7">
        <f>SUMIF(NF!$A:$A,$AO715,NF!$I:$I)</f>
        <v>0.3</v>
      </c>
      <c r="AQ715" s="6"/>
      <c r="AR715" s="6">
        <v>0.3</v>
      </c>
      <c r="AS715" s="6"/>
      <c r="AT715" s="6"/>
      <c r="AU715" s="6"/>
      <c r="AV715" s="6"/>
      <c r="AW715" s="6">
        <v>0.3</v>
      </c>
      <c r="AX715" s="7">
        <f t="shared" si="466"/>
        <v>0.6</v>
      </c>
      <c r="AY715" s="11">
        <f t="shared" si="443"/>
        <v>0</v>
      </c>
      <c r="AZ715" s="25"/>
      <c r="BA715" s="10" t="str">
        <f t="shared" si="472"/>
        <v>MarçoSEMANA 5Coloral</v>
      </c>
      <c r="BB715" s="7">
        <f>SUMIF(NF!$A:$A,$BA715,NF!$I:$I)</f>
        <v>0.3</v>
      </c>
      <c r="BC715" s="6"/>
      <c r="BD715" s="6"/>
      <c r="BE715" s="6"/>
      <c r="BF715" s="6"/>
      <c r="BG715" s="6"/>
      <c r="BH715" s="6"/>
      <c r="BI715" s="74"/>
      <c r="BJ715" s="74"/>
      <c r="BK715" s="7">
        <f t="shared" si="467"/>
        <v>0</v>
      </c>
      <c r="BL715" s="8">
        <f t="shared" si="446"/>
        <v>0.3</v>
      </c>
      <c r="BM715" s="51" t="str">
        <f>IFERROR(VLOOKUP(A715,NF!$M:$O,3,0),"")</f>
        <v>Mercado</v>
      </c>
      <c r="BN715" s="7">
        <f t="shared" si="447"/>
        <v>1.7999999999999998</v>
      </c>
      <c r="BO715" s="8">
        <f t="array" ref="BO715">IFERROR(LARGE(IF(NF!$G$2:$G$3137='Mês atual'!A715,NF!$J$2:$J$3137),1),0)*BN715</f>
        <v>9.8999999999999986</v>
      </c>
      <c r="BP715" s="50"/>
      <c r="BR715" s="146">
        <f t="array" ref="BR715">IFERROR(LARGE(IF(NF!$G$2:$G$3137='Mês atual'!A715,NF!$J$2:$J$3137),1),0)</f>
        <v>5.5</v>
      </c>
      <c r="BS715" s="142" t="str">
        <f>VLOOKUP(A715,NF!M:O,3,0)</f>
        <v>Mercado</v>
      </c>
      <c r="BV715" s="74">
        <f t="shared" si="453"/>
        <v>0.3</v>
      </c>
      <c r="BW715" s="74">
        <f t="shared" si="454"/>
        <v>0.6</v>
      </c>
      <c r="BX715" s="74">
        <f t="shared" si="455"/>
        <v>0.3</v>
      </c>
      <c r="BY715" s="74">
        <f t="shared" si="456"/>
        <v>0.6</v>
      </c>
      <c r="BZ715" s="74">
        <f t="shared" si="457"/>
        <v>0</v>
      </c>
    </row>
    <row r="716" spans="1:78" x14ac:dyDescent="0.2">
      <c r="A716" s="108" t="s">
        <v>296</v>
      </c>
      <c r="B716" s="12"/>
      <c r="C716" s="9">
        <v>0</v>
      </c>
      <c r="D716" s="25"/>
      <c r="E716" s="10" t="str">
        <f t="shared" si="468"/>
        <v>MarçoSEMANA 1Conchile de Frango Fresco</v>
      </c>
      <c r="F716" s="7">
        <f>SUMIF(NF!$A:$A,$E716,NF!$I:$I)</f>
        <v>0</v>
      </c>
      <c r="G716" s="74"/>
      <c r="H716" s="74"/>
      <c r="I716" s="74"/>
      <c r="J716" s="6"/>
      <c r="K716" s="6"/>
      <c r="L716" s="6"/>
      <c r="M716" s="6"/>
      <c r="N716" s="7">
        <f t="shared" si="463"/>
        <v>0</v>
      </c>
      <c r="O716" s="11">
        <f t="shared" si="434"/>
        <v>0</v>
      </c>
      <c r="P716" s="25"/>
      <c r="Q716" s="10" t="str">
        <f t="shared" si="469"/>
        <v>MarçoSEMANA 2Conchile de Frango Fresco</v>
      </c>
      <c r="R716" s="7">
        <f>SUMIF(NF!$A:$A,$Q716,NF!$I:$I)</f>
        <v>0</v>
      </c>
      <c r="S716" s="6"/>
      <c r="T716" s="6"/>
      <c r="U716" s="6"/>
      <c r="V716" s="6"/>
      <c r="W716" s="6"/>
      <c r="X716" s="6"/>
      <c r="Y716" s="6"/>
      <c r="Z716" s="7">
        <f t="shared" si="464"/>
        <v>0</v>
      </c>
      <c r="AA716" s="11">
        <f t="shared" si="437"/>
        <v>0</v>
      </c>
      <c r="AB716" s="25"/>
      <c r="AC716" s="10" t="str">
        <f t="shared" si="470"/>
        <v>MarçoSEMANA 3Conchile de Frango Fresco</v>
      </c>
      <c r="AD716" s="7">
        <f>SUMIF(NF!$A:$A,$AC716,NF!$I:$I)</f>
        <v>0</v>
      </c>
      <c r="AE716" s="6"/>
      <c r="AF716" s="6"/>
      <c r="AG716" s="6"/>
      <c r="AH716" s="6"/>
      <c r="AI716" s="6"/>
      <c r="AJ716" s="6"/>
      <c r="AK716" s="6"/>
      <c r="AL716" s="7">
        <f t="shared" si="465"/>
        <v>0</v>
      </c>
      <c r="AM716" s="11">
        <f t="shared" si="440"/>
        <v>0</v>
      </c>
      <c r="AN716" s="25"/>
      <c r="AO716" s="10" t="str">
        <f t="shared" si="471"/>
        <v>MarçoSEMANA 4Conchile de Frango Fresco</v>
      </c>
      <c r="AP716" s="7">
        <f>SUMIF(NF!$A:$A,$AO716,NF!$I:$I)</f>
        <v>0</v>
      </c>
      <c r="AQ716" s="6"/>
      <c r="AR716" s="6"/>
      <c r="AS716" s="6"/>
      <c r="AT716" s="6"/>
      <c r="AU716" s="6"/>
      <c r="AV716" s="6"/>
      <c r="AW716" s="6"/>
      <c r="AX716" s="7">
        <f t="shared" si="466"/>
        <v>0</v>
      </c>
      <c r="AY716" s="11">
        <f t="shared" si="443"/>
        <v>0</v>
      </c>
      <c r="AZ716" s="25"/>
      <c r="BA716" s="10" t="str">
        <f t="shared" si="472"/>
        <v>MarçoSEMANA 5Conchile de Frango Fresco</v>
      </c>
      <c r="BB716" s="7">
        <f>SUMIF(NF!$A:$A,$BA716,NF!$I:$I)</f>
        <v>0</v>
      </c>
      <c r="BC716" s="6"/>
      <c r="BD716" s="6"/>
      <c r="BE716" s="6"/>
      <c r="BF716" s="6"/>
      <c r="BG716" s="6"/>
      <c r="BH716" s="6"/>
      <c r="BI716" s="74"/>
      <c r="BJ716" s="74"/>
      <c r="BK716" s="7">
        <f t="shared" si="467"/>
        <v>0</v>
      </c>
      <c r="BL716" s="8">
        <f t="shared" si="446"/>
        <v>0</v>
      </c>
      <c r="BM716" s="51" t="str">
        <f>IFERROR(VLOOKUP(A716,NF!$M:$O,3,0),"")</f>
        <v>Mercado</v>
      </c>
      <c r="BN716" s="7">
        <f t="shared" si="447"/>
        <v>0</v>
      </c>
      <c r="BO716" s="8">
        <f t="array" ref="BO716">IFERROR(LARGE(IF(NF!$G$2:$G$3137='Mês atual'!A716,NF!$J$2:$J$3137),1),0)*BN716</f>
        <v>0</v>
      </c>
      <c r="BP716" s="50"/>
      <c r="BR716" s="146">
        <f t="array" ref="BR716">IFERROR(LARGE(IF(NF!$G$2:$G$3137='Mês atual'!A716,NF!$J$2:$J$3137),1),0)</f>
        <v>0</v>
      </c>
      <c r="BS716" s="142" t="str">
        <f>VLOOKUP(A716,NF!M:O,3,0)</f>
        <v>Mercado</v>
      </c>
      <c r="BV716" s="74">
        <f t="shared" si="453"/>
        <v>0</v>
      </c>
      <c r="BW716" s="74">
        <f t="shared" si="454"/>
        <v>0</v>
      </c>
      <c r="BX716" s="74">
        <f t="shared" si="455"/>
        <v>0</v>
      </c>
      <c r="BY716" s="74">
        <f t="shared" si="456"/>
        <v>0</v>
      </c>
      <c r="BZ716" s="74">
        <f t="shared" si="457"/>
        <v>0</v>
      </c>
    </row>
    <row r="717" spans="1:78" x14ac:dyDescent="0.2">
      <c r="A717" s="108" t="s">
        <v>309</v>
      </c>
      <c r="B717" s="12"/>
      <c r="C717" s="9">
        <v>0</v>
      </c>
      <c r="D717" s="25"/>
      <c r="E717" s="10" t="str">
        <f t="shared" si="468"/>
        <v>MarçoSEMANA 1Cranberry</v>
      </c>
      <c r="F717" s="7">
        <f>SUMIF(NF!$A:$A,$E717,NF!$I:$I)</f>
        <v>0</v>
      </c>
      <c r="G717" s="74"/>
      <c r="H717" s="74"/>
      <c r="I717" s="74"/>
      <c r="J717" s="6"/>
      <c r="K717" s="6"/>
      <c r="L717" s="6"/>
      <c r="M717" s="6"/>
      <c r="N717" s="7">
        <f t="shared" si="463"/>
        <v>0</v>
      </c>
      <c r="O717" s="11">
        <f t="shared" si="434"/>
        <v>0</v>
      </c>
      <c r="P717" s="25"/>
      <c r="Q717" s="10" t="str">
        <f t="shared" si="469"/>
        <v>MarçoSEMANA 2Cranberry</v>
      </c>
      <c r="R717" s="7">
        <f>SUMIF(NF!$A:$A,$Q717,NF!$I:$I)</f>
        <v>0</v>
      </c>
      <c r="S717" s="6"/>
      <c r="T717" s="6"/>
      <c r="U717" s="6"/>
      <c r="V717" s="6"/>
      <c r="W717" s="6"/>
      <c r="X717" s="6"/>
      <c r="Y717" s="6"/>
      <c r="Z717" s="7">
        <f t="shared" si="464"/>
        <v>0</v>
      </c>
      <c r="AA717" s="11">
        <f t="shared" si="437"/>
        <v>0</v>
      </c>
      <c r="AB717" s="25"/>
      <c r="AC717" s="10" t="str">
        <f t="shared" si="470"/>
        <v>MarçoSEMANA 3Cranberry</v>
      </c>
      <c r="AD717" s="7">
        <f>SUMIF(NF!$A:$A,$AC717,NF!$I:$I)</f>
        <v>0</v>
      </c>
      <c r="AE717" s="6"/>
      <c r="AF717" s="6"/>
      <c r="AG717" s="6"/>
      <c r="AH717" s="6"/>
      <c r="AI717" s="6"/>
      <c r="AJ717" s="6"/>
      <c r="AK717" s="6"/>
      <c r="AL717" s="7">
        <f t="shared" si="465"/>
        <v>0</v>
      </c>
      <c r="AM717" s="11">
        <f t="shared" si="440"/>
        <v>0</v>
      </c>
      <c r="AN717" s="25"/>
      <c r="AO717" s="10" t="str">
        <f t="shared" si="471"/>
        <v>MarçoSEMANA 4Cranberry</v>
      </c>
      <c r="AP717" s="7">
        <f>SUMIF(NF!$A:$A,$AO717,NF!$I:$I)</f>
        <v>0</v>
      </c>
      <c r="AQ717" s="6"/>
      <c r="AR717" s="6"/>
      <c r="AS717" s="6"/>
      <c r="AT717" s="6"/>
      <c r="AU717" s="6"/>
      <c r="AV717" s="6"/>
      <c r="AW717" s="6"/>
      <c r="AX717" s="7">
        <f t="shared" si="466"/>
        <v>0</v>
      </c>
      <c r="AY717" s="11">
        <f t="shared" si="443"/>
        <v>0</v>
      </c>
      <c r="AZ717" s="25"/>
      <c r="BA717" s="10" t="str">
        <f t="shared" si="472"/>
        <v>MarçoSEMANA 5Cranberry</v>
      </c>
      <c r="BB717" s="7">
        <f>SUMIF(NF!$A:$A,$BA717,NF!$I:$I)</f>
        <v>0</v>
      </c>
      <c r="BC717" s="6"/>
      <c r="BD717" s="6"/>
      <c r="BE717" s="6"/>
      <c r="BF717" s="6"/>
      <c r="BG717" s="6"/>
      <c r="BH717" s="6"/>
      <c r="BI717" s="74"/>
      <c r="BJ717" s="74"/>
      <c r="BK717" s="7">
        <f t="shared" si="467"/>
        <v>0</v>
      </c>
      <c r="BL717" s="8">
        <f t="shared" si="446"/>
        <v>0</v>
      </c>
      <c r="BM717" s="51" t="str">
        <f>IFERROR(VLOOKUP(A717,NF!$M:$O,3,0),"")</f>
        <v>Mercado</v>
      </c>
      <c r="BN717" s="7">
        <f t="shared" si="447"/>
        <v>0</v>
      </c>
      <c r="BO717" s="8">
        <f t="array" ref="BO717">IFERROR(LARGE(IF(NF!$G$2:$G$3137='Mês atual'!A717,NF!$J$2:$J$3137),1),0)*BN717</f>
        <v>0</v>
      </c>
      <c r="BP717" s="50"/>
      <c r="BR717" s="146">
        <f t="array" ref="BR717">IFERROR(LARGE(IF(NF!$G$2:$G$3137='Mês atual'!A717,NF!$J$2:$J$3137),1),0)</f>
        <v>0</v>
      </c>
      <c r="BS717" s="142" t="str">
        <f>VLOOKUP(A717,NF!M:O,3,0)</f>
        <v>Mercado</v>
      </c>
      <c r="BV717" s="74">
        <f t="shared" si="453"/>
        <v>0</v>
      </c>
      <c r="BW717" s="74">
        <f t="shared" si="454"/>
        <v>0</v>
      </c>
      <c r="BX717" s="74">
        <f t="shared" si="455"/>
        <v>0</v>
      </c>
      <c r="BY717" s="74">
        <f t="shared" si="456"/>
        <v>0</v>
      </c>
      <c r="BZ717" s="74">
        <f t="shared" si="457"/>
        <v>0</v>
      </c>
    </row>
    <row r="718" spans="1:78" x14ac:dyDescent="0.2">
      <c r="A718" s="108" t="s">
        <v>962</v>
      </c>
      <c r="B718" s="12"/>
      <c r="C718" s="9">
        <v>0.3</v>
      </c>
      <c r="D718" s="25"/>
      <c r="E718" s="10" t="str">
        <f t="shared" si="468"/>
        <v>MarçoSEMANA 1Cravo em Flor</v>
      </c>
      <c r="F718" s="7">
        <f>SUMIF(NF!$A:$A,$E718,NF!$I:$I)</f>
        <v>0</v>
      </c>
      <c r="G718" s="74"/>
      <c r="H718" s="74"/>
      <c r="I718" s="74"/>
      <c r="J718" s="6"/>
      <c r="K718" s="6"/>
      <c r="L718" s="6"/>
      <c r="M718" s="6"/>
      <c r="N718" s="7">
        <f>SUM(G718:M718)</f>
        <v>0</v>
      </c>
      <c r="O718" s="11">
        <f t="shared" si="434"/>
        <v>0.3</v>
      </c>
      <c r="P718" s="25"/>
      <c r="Q718" s="10" t="str">
        <f t="shared" si="469"/>
        <v>MarçoSEMANA 2Cravo em Flor</v>
      </c>
      <c r="R718" s="7">
        <f>SUMIF(NF!$A:$A,$Q718,NF!$I:$I)</f>
        <v>0</v>
      </c>
      <c r="S718" s="6"/>
      <c r="T718" s="6"/>
      <c r="U718" s="6"/>
      <c r="V718" s="6"/>
      <c r="W718" s="6"/>
      <c r="X718" s="6"/>
      <c r="Y718" s="6"/>
      <c r="Z718" s="7">
        <f>SUM(S718:Y718)</f>
        <v>0</v>
      </c>
      <c r="AA718" s="11">
        <f t="shared" si="437"/>
        <v>0.3</v>
      </c>
      <c r="AB718" s="25"/>
      <c r="AC718" s="10" t="str">
        <f t="shared" si="470"/>
        <v>MarçoSEMANA 3Cravo em Flor</v>
      </c>
      <c r="AD718" s="7">
        <f>SUMIF(NF!$A:$A,$AC718,NF!$I:$I)</f>
        <v>0</v>
      </c>
      <c r="AE718" s="6"/>
      <c r="AF718" s="6"/>
      <c r="AG718" s="6"/>
      <c r="AH718" s="6"/>
      <c r="AI718" s="6"/>
      <c r="AJ718" s="6"/>
      <c r="AK718" s="6"/>
      <c r="AL718" s="7">
        <f>SUM(AE718:AK718)</f>
        <v>0</v>
      </c>
      <c r="AM718" s="11">
        <f t="shared" si="440"/>
        <v>0.3</v>
      </c>
      <c r="AN718" s="25"/>
      <c r="AO718" s="10" t="str">
        <f t="shared" si="471"/>
        <v>MarçoSEMANA 4Cravo em Flor</v>
      </c>
      <c r="AP718" s="7">
        <f>SUMIF(NF!$A:$A,$AO718,NF!$I:$I)</f>
        <v>0</v>
      </c>
      <c r="AQ718" s="6"/>
      <c r="AR718" s="6"/>
      <c r="AS718" s="6"/>
      <c r="AT718" s="6"/>
      <c r="AU718" s="6"/>
      <c r="AV718" s="6"/>
      <c r="AW718" s="6"/>
      <c r="AX718" s="7">
        <f>SUM(AQ718:AW718)</f>
        <v>0</v>
      </c>
      <c r="AY718" s="11">
        <f t="shared" si="443"/>
        <v>0.3</v>
      </c>
      <c r="AZ718" s="25"/>
      <c r="BA718" s="10" t="str">
        <f t="shared" si="472"/>
        <v>MarçoSEMANA 5Cravo em Flor</v>
      </c>
      <c r="BB718" s="7">
        <f>SUMIF(NF!$A:$A,$BA718,NF!$I:$I)</f>
        <v>0</v>
      </c>
      <c r="BC718" s="6"/>
      <c r="BD718" s="6"/>
      <c r="BE718" s="6"/>
      <c r="BF718" s="6"/>
      <c r="BG718" s="6"/>
      <c r="BH718" s="6"/>
      <c r="BI718" s="74"/>
      <c r="BJ718" s="74"/>
      <c r="BK718" s="7">
        <f>SUM(BC718:BJ718)</f>
        <v>0</v>
      </c>
      <c r="BL718" s="8">
        <f t="shared" si="446"/>
        <v>0.3</v>
      </c>
      <c r="BM718" s="51" t="str">
        <f>IFERROR(VLOOKUP(A718,NF!$M:$O,3,0),"")</f>
        <v>Mercado</v>
      </c>
      <c r="BN718" s="7">
        <f t="shared" si="447"/>
        <v>0</v>
      </c>
      <c r="BO718" s="8">
        <f t="array" ref="BO718">IFERROR(LARGE(IF(NF!$G$2:$G$3137='Mês atual'!A718,NF!$J$2:$J$3137),1),0)*BN718</f>
        <v>0</v>
      </c>
      <c r="BP718" s="50"/>
      <c r="BR718" s="146">
        <f t="array" ref="BR718">IFERROR(LARGE(IF(NF!$G$2:$G$3137='Mês atual'!A718,NF!$J$2:$J$3137),1),0)</f>
        <v>0</v>
      </c>
      <c r="BS718" s="142" t="str">
        <f>VLOOKUP(A718,NF!M:O,3,0)</f>
        <v>Mercado</v>
      </c>
      <c r="BV718" s="74">
        <f t="shared" si="453"/>
        <v>0</v>
      </c>
      <c r="BW718" s="74">
        <f t="shared" si="454"/>
        <v>0</v>
      </c>
      <c r="BX718" s="74">
        <f t="shared" si="455"/>
        <v>0</v>
      </c>
      <c r="BY718" s="74">
        <f t="shared" si="456"/>
        <v>0</v>
      </c>
      <c r="BZ718" s="74">
        <f t="shared" si="457"/>
        <v>0</v>
      </c>
    </row>
    <row r="719" spans="1:78" x14ac:dyDescent="0.2">
      <c r="A719" s="108" t="s">
        <v>312</v>
      </c>
      <c r="B719" s="12"/>
      <c r="C719" s="9">
        <v>0</v>
      </c>
      <c r="D719" s="25"/>
      <c r="E719" s="10" t="str">
        <f t="shared" si="468"/>
        <v>MarçoSEMANA 1Creme de Cebola</v>
      </c>
      <c r="F719" s="7">
        <f>SUMIF(NF!$A:$A,$E719,NF!$I:$I)</f>
        <v>0</v>
      </c>
      <c r="G719" s="74"/>
      <c r="H719" s="74"/>
      <c r="I719" s="74"/>
      <c r="J719" s="6"/>
      <c r="K719" s="6"/>
      <c r="L719" s="6"/>
      <c r="M719" s="6"/>
      <c r="N719" s="7">
        <f t="shared" ref="N719:N724" si="473">SUM(G719:M719)</f>
        <v>0</v>
      </c>
      <c r="O719" s="11">
        <f t="shared" si="434"/>
        <v>0</v>
      </c>
      <c r="P719" s="25"/>
      <c r="Q719" s="10" t="str">
        <f t="shared" si="469"/>
        <v>MarçoSEMANA 2Creme de Cebola</v>
      </c>
      <c r="R719" s="7">
        <f>SUMIF(NF!$A:$A,$Q719,NF!$I:$I)</f>
        <v>0</v>
      </c>
      <c r="S719" s="6"/>
      <c r="T719" s="6"/>
      <c r="U719" s="6"/>
      <c r="V719" s="6"/>
      <c r="W719" s="6"/>
      <c r="X719" s="6"/>
      <c r="Y719" s="6"/>
      <c r="Z719" s="7">
        <f t="shared" ref="Z719:Z724" si="474">SUM(S719:Y719)</f>
        <v>0</v>
      </c>
      <c r="AA719" s="11">
        <f t="shared" si="437"/>
        <v>0</v>
      </c>
      <c r="AB719" s="25"/>
      <c r="AC719" s="10" t="str">
        <f t="shared" si="470"/>
        <v>MarçoSEMANA 3Creme de Cebola</v>
      </c>
      <c r="AD719" s="7">
        <f>SUMIF(NF!$A:$A,$AC719,NF!$I:$I)</f>
        <v>0</v>
      </c>
      <c r="AE719" s="6"/>
      <c r="AF719" s="6"/>
      <c r="AG719" s="6"/>
      <c r="AH719" s="6"/>
      <c r="AI719" s="6"/>
      <c r="AJ719" s="6"/>
      <c r="AK719" s="6"/>
      <c r="AL719" s="7">
        <f t="shared" ref="AL719:AL724" si="475">SUM(AE719:AK719)</f>
        <v>0</v>
      </c>
      <c r="AM719" s="11">
        <f t="shared" si="440"/>
        <v>0</v>
      </c>
      <c r="AN719" s="25"/>
      <c r="AO719" s="10" t="str">
        <f t="shared" si="471"/>
        <v>MarçoSEMANA 4Creme de Cebola</v>
      </c>
      <c r="AP719" s="7">
        <f>SUMIF(NF!$A:$A,$AO719,NF!$I:$I)</f>
        <v>0</v>
      </c>
      <c r="AQ719" s="6" t="s">
        <v>1286</v>
      </c>
      <c r="AR719" s="6"/>
      <c r="AS719" s="6"/>
      <c r="AT719" s="6"/>
      <c r="AU719" s="6"/>
      <c r="AV719" s="6"/>
      <c r="AW719" s="6"/>
      <c r="AX719" s="7">
        <f t="shared" ref="AX719:AX724" si="476">SUM(AQ719:AW719)</f>
        <v>0</v>
      </c>
      <c r="AY719" s="11">
        <f t="shared" si="443"/>
        <v>0</v>
      </c>
      <c r="AZ719" s="25"/>
      <c r="BA719" s="10" t="str">
        <f t="shared" si="472"/>
        <v>MarçoSEMANA 5Creme de Cebola</v>
      </c>
      <c r="BB719" s="7">
        <f>SUMIF(NF!$A:$A,$BA719,NF!$I:$I)</f>
        <v>0</v>
      </c>
      <c r="BC719" s="6"/>
      <c r="BD719" s="6"/>
      <c r="BE719" s="6"/>
      <c r="BF719" s="6"/>
      <c r="BG719" s="6"/>
      <c r="BH719" s="6"/>
      <c r="BI719" s="74"/>
      <c r="BJ719" s="74"/>
      <c r="BK719" s="7">
        <f t="shared" ref="BK719:BK724" si="477">SUM(BC719:BJ719)</f>
        <v>0</v>
      </c>
      <c r="BL719" s="8">
        <f t="shared" si="446"/>
        <v>0</v>
      </c>
      <c r="BM719" s="51" t="str">
        <f>IFERROR(VLOOKUP(A719,NF!$M:$O,3,0),"")</f>
        <v>Mercado</v>
      </c>
      <c r="BN719" s="7">
        <f t="shared" si="447"/>
        <v>0</v>
      </c>
      <c r="BO719" s="8">
        <f t="array" ref="BO719">IFERROR(LARGE(IF(NF!$G$2:$G$3137='Mês atual'!A719,NF!$J$2:$J$3137),1),0)*BN719</f>
        <v>0</v>
      </c>
      <c r="BP719" s="50"/>
      <c r="BR719" s="146">
        <f t="array" ref="BR719">IFERROR(LARGE(IF(NF!$G$2:$G$3137='Mês atual'!A719,NF!$J$2:$J$3137),1),0)</f>
        <v>0</v>
      </c>
      <c r="BS719" s="142" t="str">
        <f>VLOOKUP(A719,NF!M:O,3,0)</f>
        <v>Mercado</v>
      </c>
      <c r="BV719" s="74">
        <f t="shared" si="453"/>
        <v>0</v>
      </c>
      <c r="BW719" s="74">
        <f t="shared" si="454"/>
        <v>0</v>
      </c>
      <c r="BX719" s="74">
        <f t="shared" si="455"/>
        <v>0</v>
      </c>
      <c r="BY719" s="74">
        <f t="shared" si="456"/>
        <v>0</v>
      </c>
      <c r="BZ719" s="74">
        <f t="shared" si="457"/>
        <v>0</v>
      </c>
    </row>
    <row r="720" spans="1:78" x14ac:dyDescent="0.2">
      <c r="A720" s="108" t="s">
        <v>317</v>
      </c>
      <c r="B720" s="12"/>
      <c r="C720" s="9">
        <v>0.3</v>
      </c>
      <c r="D720" s="25"/>
      <c r="E720" s="10" t="str">
        <f t="shared" si="468"/>
        <v>MarçoSEMANA 1Curry</v>
      </c>
      <c r="F720" s="7">
        <f>SUMIF(NF!$A:$A,$E720,NF!$I:$I)</f>
        <v>0</v>
      </c>
      <c r="G720" s="74"/>
      <c r="H720" s="74"/>
      <c r="I720" s="74"/>
      <c r="J720" s="6"/>
      <c r="K720" s="6"/>
      <c r="L720" s="6"/>
      <c r="M720" s="6"/>
      <c r="N720" s="7">
        <f t="shared" si="473"/>
        <v>0</v>
      </c>
      <c r="O720" s="11">
        <f t="shared" si="434"/>
        <v>0.3</v>
      </c>
      <c r="P720" s="25"/>
      <c r="Q720" s="10" t="str">
        <f t="shared" si="469"/>
        <v>MarçoSEMANA 2Curry</v>
      </c>
      <c r="R720" s="7">
        <f>SUMIF(NF!$A:$A,$Q720,NF!$I:$I)</f>
        <v>0</v>
      </c>
      <c r="S720" s="6"/>
      <c r="T720" s="6"/>
      <c r="U720" s="6"/>
      <c r="V720" s="6"/>
      <c r="W720" s="6"/>
      <c r="X720" s="6"/>
      <c r="Y720" s="6"/>
      <c r="Z720" s="7">
        <f t="shared" si="474"/>
        <v>0</v>
      </c>
      <c r="AA720" s="11">
        <f t="shared" si="437"/>
        <v>0.3</v>
      </c>
      <c r="AB720" s="25"/>
      <c r="AC720" s="10" t="str">
        <f t="shared" si="470"/>
        <v>MarçoSEMANA 3Curry</v>
      </c>
      <c r="AD720" s="7">
        <f>SUMIF(NF!$A:$A,$AC720,NF!$I:$I)</f>
        <v>0</v>
      </c>
      <c r="AE720" s="6"/>
      <c r="AF720" s="6"/>
      <c r="AG720" s="6"/>
      <c r="AH720" s="6"/>
      <c r="AI720" s="6"/>
      <c r="AJ720" s="6"/>
      <c r="AK720" s="6"/>
      <c r="AL720" s="7">
        <f t="shared" si="475"/>
        <v>0</v>
      </c>
      <c r="AM720" s="11">
        <f t="shared" si="440"/>
        <v>0.3</v>
      </c>
      <c r="AN720" s="25"/>
      <c r="AO720" s="10" t="str">
        <f t="shared" si="471"/>
        <v>MarçoSEMANA 4Curry</v>
      </c>
      <c r="AP720" s="7">
        <f>SUMIF(NF!$A:$A,$AO720,NF!$I:$I)</f>
        <v>0</v>
      </c>
      <c r="AQ720" s="6"/>
      <c r="AR720" s="6"/>
      <c r="AS720" s="6"/>
      <c r="AT720" s="6"/>
      <c r="AU720" s="6"/>
      <c r="AV720" s="6"/>
      <c r="AW720" s="6"/>
      <c r="AX720" s="7">
        <f t="shared" si="476"/>
        <v>0</v>
      </c>
      <c r="AY720" s="11">
        <f t="shared" si="443"/>
        <v>0.3</v>
      </c>
      <c r="AZ720" s="25"/>
      <c r="BA720" s="10" t="str">
        <f t="shared" si="472"/>
        <v>MarçoSEMANA 5Curry</v>
      </c>
      <c r="BB720" s="7">
        <f>SUMIF(NF!$A:$A,$BA720,NF!$I:$I)</f>
        <v>0.3</v>
      </c>
      <c r="BC720" s="6"/>
      <c r="BD720" s="6">
        <v>0.3</v>
      </c>
      <c r="BE720" s="6"/>
      <c r="BF720" s="6"/>
      <c r="BG720" s="6"/>
      <c r="BH720" s="6"/>
      <c r="BI720" s="74"/>
      <c r="BJ720" s="74"/>
      <c r="BK720" s="7">
        <f t="shared" si="477"/>
        <v>0.3</v>
      </c>
      <c r="BL720" s="8">
        <f t="shared" si="446"/>
        <v>0.3</v>
      </c>
      <c r="BM720" s="51" t="str">
        <f>IFERROR(VLOOKUP(A720,NF!$M:$O,3,0),"")</f>
        <v>Mercado</v>
      </c>
      <c r="BN720" s="7">
        <f t="shared" si="447"/>
        <v>0.3</v>
      </c>
      <c r="BO720" s="8">
        <f t="array" ref="BO720">IFERROR(LARGE(IF(NF!$G$2:$G$3137='Mês atual'!A720,NF!$J$2:$J$3137),1),0)*BN720</f>
        <v>2.85</v>
      </c>
      <c r="BP720" s="50"/>
      <c r="BR720" s="146">
        <f t="array" ref="BR720">IFERROR(LARGE(IF(NF!$G$2:$G$3137='Mês atual'!A720,NF!$J$2:$J$3137),1),0)</f>
        <v>9.5</v>
      </c>
      <c r="BS720" s="142" t="str">
        <f>VLOOKUP(A720,NF!M:O,3,0)</f>
        <v>Mercado</v>
      </c>
      <c r="BV720" s="74">
        <f t="shared" si="453"/>
        <v>0</v>
      </c>
      <c r="BW720" s="74">
        <f t="shared" si="454"/>
        <v>0</v>
      </c>
      <c r="BX720" s="74">
        <f t="shared" si="455"/>
        <v>0</v>
      </c>
      <c r="BY720" s="74">
        <f t="shared" si="456"/>
        <v>0</v>
      </c>
      <c r="BZ720" s="74">
        <f t="shared" si="457"/>
        <v>0.3</v>
      </c>
    </row>
    <row r="721" spans="1:78" x14ac:dyDescent="0.2">
      <c r="A721" s="108" t="s">
        <v>318</v>
      </c>
      <c r="B721" s="12"/>
      <c r="C721" s="9">
        <v>6</v>
      </c>
      <c r="D721" s="25"/>
      <c r="E721" s="10" t="str">
        <f t="shared" si="468"/>
        <v>MarçoSEMANA 1Cuscus</v>
      </c>
      <c r="F721" s="7">
        <f>SUMIF(NF!$A:$A,$E721,NF!$I:$I)</f>
        <v>1</v>
      </c>
      <c r="G721" s="74"/>
      <c r="H721" s="74"/>
      <c r="I721" s="74"/>
      <c r="J721" s="6"/>
      <c r="K721" s="6"/>
      <c r="L721" s="6"/>
      <c r="M721" s="6"/>
      <c r="N721" s="7">
        <f t="shared" si="473"/>
        <v>0</v>
      </c>
      <c r="O721" s="11">
        <f t="shared" si="434"/>
        <v>7</v>
      </c>
      <c r="P721" s="25"/>
      <c r="Q721" s="10" t="str">
        <f t="shared" si="469"/>
        <v>MarçoSEMANA 2Cuscus</v>
      </c>
      <c r="R721" s="7">
        <f>SUMIF(NF!$A:$A,$Q721,NF!$I:$I)</f>
        <v>0</v>
      </c>
      <c r="S721" s="6"/>
      <c r="T721" s="6"/>
      <c r="U721" s="6"/>
      <c r="V721" s="6"/>
      <c r="W721" s="6"/>
      <c r="X721" s="6">
        <v>1</v>
      </c>
      <c r="Y721" s="6"/>
      <c r="Z721" s="7">
        <f t="shared" si="474"/>
        <v>1</v>
      </c>
      <c r="AA721" s="11">
        <f t="shared" si="437"/>
        <v>6</v>
      </c>
      <c r="AB721" s="25"/>
      <c r="AC721" s="10" t="str">
        <f t="shared" si="470"/>
        <v>MarçoSEMANA 3Cuscus</v>
      </c>
      <c r="AD721" s="7">
        <f>SUMIF(NF!$A:$A,$AC721,NF!$I:$I)</f>
        <v>3</v>
      </c>
      <c r="AE721" s="6">
        <v>2</v>
      </c>
      <c r="AF721" s="6"/>
      <c r="AG721" s="6"/>
      <c r="AH721" s="6">
        <v>3</v>
      </c>
      <c r="AI721" s="6"/>
      <c r="AJ721" s="6"/>
      <c r="AK721" s="6">
        <v>2</v>
      </c>
      <c r="AL721" s="7">
        <f t="shared" si="475"/>
        <v>7</v>
      </c>
      <c r="AM721" s="11">
        <f t="shared" si="440"/>
        <v>2</v>
      </c>
      <c r="AN721" s="25"/>
      <c r="AO721" s="10" t="str">
        <f t="shared" si="471"/>
        <v>MarçoSEMANA 4Cuscus</v>
      </c>
      <c r="AP721" s="7">
        <f>SUMIF(NF!$A:$A,$AO721,NF!$I:$I)</f>
        <v>5</v>
      </c>
      <c r="AQ721" s="6"/>
      <c r="AR721" s="6"/>
      <c r="AS721" s="6"/>
      <c r="AT721" s="6"/>
      <c r="AU721" s="6"/>
      <c r="AV721" s="6"/>
      <c r="AW721" s="6">
        <v>2</v>
      </c>
      <c r="AX721" s="7">
        <f t="shared" si="476"/>
        <v>2</v>
      </c>
      <c r="AY721" s="11">
        <f t="shared" si="443"/>
        <v>5</v>
      </c>
      <c r="AZ721" s="25"/>
      <c r="BA721" s="10" t="str">
        <f t="shared" si="472"/>
        <v>MarçoSEMANA 5Cuscus</v>
      </c>
      <c r="BB721" s="7">
        <f>SUMIF(NF!$A:$A,$BA721,NF!$I:$I)</f>
        <v>0</v>
      </c>
      <c r="BC721" s="6"/>
      <c r="BD721" s="6"/>
      <c r="BE721" s="6"/>
      <c r="BF721" s="6"/>
      <c r="BG721" s="6"/>
      <c r="BH721" s="6"/>
      <c r="BI721" s="74"/>
      <c r="BJ721" s="74"/>
      <c r="BK721" s="7">
        <f t="shared" si="477"/>
        <v>0</v>
      </c>
      <c r="BL721" s="8">
        <f t="shared" si="446"/>
        <v>5</v>
      </c>
      <c r="BM721" s="51" t="str">
        <f>IFERROR(VLOOKUP(A721,NF!$M:$O,3,0),"")</f>
        <v>Mercado</v>
      </c>
      <c r="BN721" s="7">
        <f t="shared" si="447"/>
        <v>10</v>
      </c>
      <c r="BO721" s="8">
        <f t="array" ref="BO721">IFERROR(LARGE(IF(NF!$G$2:$G$3137='Mês atual'!A721,NF!$J$2:$J$3137),1),0)*BN721</f>
        <v>269</v>
      </c>
      <c r="BP721" s="50"/>
      <c r="BR721" s="146">
        <f t="array" ref="BR721">IFERROR(LARGE(IF(NF!$G$2:$G$3137='Mês atual'!A721,NF!$J$2:$J$3137),1),0)</f>
        <v>26.9</v>
      </c>
      <c r="BS721" s="142" t="str">
        <f>VLOOKUP(A721,NF!M:O,3,0)</f>
        <v>Mercado</v>
      </c>
      <c r="BV721" s="74">
        <f t="shared" si="453"/>
        <v>0</v>
      </c>
      <c r="BW721" s="74">
        <f t="shared" si="454"/>
        <v>1</v>
      </c>
      <c r="BX721" s="74">
        <f t="shared" si="455"/>
        <v>7</v>
      </c>
      <c r="BY721" s="74">
        <f t="shared" si="456"/>
        <v>2</v>
      </c>
      <c r="BZ721" s="74">
        <f t="shared" si="457"/>
        <v>0</v>
      </c>
    </row>
    <row r="722" spans="1:78" x14ac:dyDescent="0.2">
      <c r="A722" s="108" t="s">
        <v>319</v>
      </c>
      <c r="B722" s="12"/>
      <c r="C722" s="9">
        <v>0</v>
      </c>
      <c r="D722" s="25"/>
      <c r="E722" s="10" t="str">
        <f t="shared" si="468"/>
        <v>MarçoSEMANA 1Damasco Seco</v>
      </c>
      <c r="F722" s="7">
        <f>SUMIF(NF!$A:$A,$E722,NF!$I:$I)</f>
        <v>1</v>
      </c>
      <c r="G722" s="74"/>
      <c r="H722" s="74"/>
      <c r="I722" s="74"/>
      <c r="J722" s="6"/>
      <c r="K722" s="6"/>
      <c r="L722" s="6"/>
      <c r="M722" s="6"/>
      <c r="N722" s="7">
        <f t="shared" si="473"/>
        <v>0</v>
      </c>
      <c r="O722" s="11">
        <f t="shared" si="434"/>
        <v>1</v>
      </c>
      <c r="P722" s="25"/>
      <c r="Q722" s="10" t="str">
        <f t="shared" si="469"/>
        <v>MarçoSEMANA 2Damasco Seco</v>
      </c>
      <c r="R722" s="7">
        <f>SUMIF(NF!$A:$A,$Q722,NF!$I:$I)</f>
        <v>0</v>
      </c>
      <c r="S722" s="6"/>
      <c r="T722" s="6"/>
      <c r="U722" s="6"/>
      <c r="V722" s="6"/>
      <c r="W722" s="6"/>
      <c r="X722" s="6"/>
      <c r="Y722" s="6"/>
      <c r="Z722" s="7">
        <f t="shared" si="474"/>
        <v>0</v>
      </c>
      <c r="AA722" s="11">
        <f t="shared" si="437"/>
        <v>1</v>
      </c>
      <c r="AB722" s="25"/>
      <c r="AC722" s="10" t="str">
        <f t="shared" si="470"/>
        <v>MarçoSEMANA 3Damasco Seco</v>
      </c>
      <c r="AD722" s="7">
        <f>SUMIF(NF!$A:$A,$AC722,NF!$I:$I)</f>
        <v>0</v>
      </c>
      <c r="AE722" s="6"/>
      <c r="AF722" s="6"/>
      <c r="AG722" s="6"/>
      <c r="AH722" s="6">
        <v>1</v>
      </c>
      <c r="AI722" s="6"/>
      <c r="AJ722" s="6"/>
      <c r="AK722" s="6"/>
      <c r="AL722" s="7">
        <f t="shared" si="475"/>
        <v>1</v>
      </c>
      <c r="AM722" s="11">
        <f t="shared" si="440"/>
        <v>0</v>
      </c>
      <c r="AN722" s="25"/>
      <c r="AO722" s="10" t="str">
        <f t="shared" si="471"/>
        <v>MarçoSEMANA 4Damasco Seco</v>
      </c>
      <c r="AP722" s="7">
        <f>SUMIF(NF!$A:$A,$AO722,NF!$I:$I)</f>
        <v>1</v>
      </c>
      <c r="AQ722" s="6"/>
      <c r="AR722" s="6"/>
      <c r="AS722" s="6"/>
      <c r="AT722" s="6"/>
      <c r="AU722" s="6"/>
      <c r="AV722" s="6"/>
      <c r="AW722" s="6"/>
      <c r="AX722" s="7">
        <f t="shared" si="476"/>
        <v>0</v>
      </c>
      <c r="AY722" s="11">
        <f t="shared" si="443"/>
        <v>1</v>
      </c>
      <c r="AZ722" s="25"/>
      <c r="BA722" s="10" t="str">
        <f t="shared" si="472"/>
        <v>MarçoSEMANA 5Damasco Seco</v>
      </c>
      <c r="BB722" s="7">
        <f>SUMIF(NF!$A:$A,$BA722,NF!$I:$I)</f>
        <v>0</v>
      </c>
      <c r="BC722" s="6"/>
      <c r="BD722" s="6"/>
      <c r="BE722" s="6"/>
      <c r="BF722" s="6"/>
      <c r="BG722" s="6"/>
      <c r="BH722" s="6"/>
      <c r="BI722" s="74"/>
      <c r="BJ722" s="74"/>
      <c r="BK722" s="7">
        <f t="shared" si="477"/>
        <v>0</v>
      </c>
      <c r="BL722" s="8">
        <f t="shared" si="446"/>
        <v>1</v>
      </c>
      <c r="BM722" s="51" t="str">
        <f>IFERROR(VLOOKUP(A722,NF!$M:$O,3,0),"")</f>
        <v>Mercado</v>
      </c>
      <c r="BN722" s="7">
        <f t="shared" si="447"/>
        <v>1</v>
      </c>
      <c r="BO722" s="8">
        <f t="array" ref="BO722">IFERROR(LARGE(IF(NF!$G$2:$G$3137='Mês atual'!A722,NF!$J$2:$J$3137),1),0)*BN722</f>
        <v>26.9</v>
      </c>
      <c r="BP722" s="50"/>
      <c r="BR722" s="146">
        <f t="array" ref="BR722">IFERROR(LARGE(IF(NF!$G$2:$G$3137='Mês atual'!A722,NF!$J$2:$J$3137),1),0)</f>
        <v>26.9</v>
      </c>
      <c r="BS722" s="142" t="str">
        <f>VLOOKUP(A722,NF!M:O,3,0)</f>
        <v>Mercado</v>
      </c>
      <c r="BV722" s="74">
        <f t="shared" si="453"/>
        <v>0</v>
      </c>
      <c r="BW722" s="74">
        <f t="shared" si="454"/>
        <v>0</v>
      </c>
      <c r="BX722" s="74">
        <f t="shared" si="455"/>
        <v>1</v>
      </c>
      <c r="BY722" s="74">
        <f t="shared" si="456"/>
        <v>0</v>
      </c>
      <c r="BZ722" s="74">
        <f t="shared" si="457"/>
        <v>0</v>
      </c>
    </row>
    <row r="723" spans="1:78" x14ac:dyDescent="0.2">
      <c r="A723" s="108" t="s">
        <v>329</v>
      </c>
      <c r="B723" s="12"/>
      <c r="C723" s="9">
        <v>7.5</v>
      </c>
      <c r="D723" s="25"/>
      <c r="E723" s="10" t="str">
        <f t="shared" si="468"/>
        <v>MarçoSEMANA 1Ervilha congelada</v>
      </c>
      <c r="F723" s="7">
        <f>SUMIF(NF!$A:$A,$E723,NF!$I:$I)</f>
        <v>0</v>
      </c>
      <c r="G723" s="74"/>
      <c r="H723" s="74"/>
      <c r="I723" s="74"/>
      <c r="J723" s="6">
        <v>2.5</v>
      </c>
      <c r="K723" s="6"/>
      <c r="L723" s="6"/>
      <c r="M723" s="6"/>
      <c r="N723" s="7">
        <f t="shared" si="473"/>
        <v>2.5</v>
      </c>
      <c r="O723" s="11">
        <f t="shared" si="434"/>
        <v>5</v>
      </c>
      <c r="P723" s="25"/>
      <c r="Q723" s="10" t="str">
        <f t="shared" si="469"/>
        <v>MarçoSEMANA 2Ervilha congelada</v>
      </c>
      <c r="R723" s="7">
        <f>SUMIF(NF!$A:$A,$Q723,NF!$I:$I)</f>
        <v>0</v>
      </c>
      <c r="S723" s="6"/>
      <c r="T723" s="6">
        <v>2.5</v>
      </c>
      <c r="U723" s="6"/>
      <c r="V723" s="6"/>
      <c r="W723" s="6"/>
      <c r="X723" s="6"/>
      <c r="Y723" s="6"/>
      <c r="Z723" s="7">
        <f t="shared" si="474"/>
        <v>2.5</v>
      </c>
      <c r="AA723" s="11">
        <f t="shared" si="437"/>
        <v>2.5</v>
      </c>
      <c r="AB723" s="25"/>
      <c r="AC723" s="10" t="str">
        <f t="shared" si="470"/>
        <v>MarçoSEMANA 3Ervilha congelada</v>
      </c>
      <c r="AD723" s="7">
        <f>SUMIF(NF!$A:$A,$AC723,NF!$I:$I)</f>
        <v>12</v>
      </c>
      <c r="AE723" s="6"/>
      <c r="AF723" s="6"/>
      <c r="AG723" s="6"/>
      <c r="AH723" s="6">
        <v>2.5</v>
      </c>
      <c r="AI723" s="6"/>
      <c r="AJ723" s="6"/>
      <c r="AK723" s="6"/>
      <c r="AL723" s="7">
        <f t="shared" si="475"/>
        <v>2.5</v>
      </c>
      <c r="AM723" s="11">
        <f t="shared" si="440"/>
        <v>12</v>
      </c>
      <c r="AN723" s="25"/>
      <c r="AO723" s="10" t="str">
        <f t="shared" si="471"/>
        <v>MarçoSEMANA 4Ervilha congelada</v>
      </c>
      <c r="AP723" s="7">
        <f>SUMIF(NF!$A:$A,$AO723,NF!$I:$I)</f>
        <v>0</v>
      </c>
      <c r="AQ723" s="6"/>
      <c r="AR723" s="6"/>
      <c r="AS723" s="6">
        <v>2</v>
      </c>
      <c r="AT723" s="6"/>
      <c r="AU723" s="6"/>
      <c r="AV723" s="6"/>
      <c r="AW723" s="6"/>
      <c r="AX723" s="7">
        <f t="shared" si="476"/>
        <v>2</v>
      </c>
      <c r="AY723" s="11">
        <f t="shared" si="443"/>
        <v>10</v>
      </c>
      <c r="AZ723" s="25"/>
      <c r="BA723" s="10" t="str">
        <f t="shared" si="472"/>
        <v>MarçoSEMANA 5Ervilha congelada</v>
      </c>
      <c r="BB723" s="7">
        <f>SUMIF(NF!$A:$A,$BA723,NF!$I:$I)</f>
        <v>0</v>
      </c>
      <c r="BC723" s="6">
        <v>2</v>
      </c>
      <c r="BD723" s="6"/>
      <c r="BE723" s="6">
        <v>2</v>
      </c>
      <c r="BF723" s="6"/>
      <c r="BG723" s="6"/>
      <c r="BH723" s="6"/>
      <c r="BI723" s="74"/>
      <c r="BJ723" s="74"/>
      <c r="BK723" s="7">
        <f t="shared" si="477"/>
        <v>4</v>
      </c>
      <c r="BL723" s="8">
        <f t="shared" si="446"/>
        <v>6</v>
      </c>
      <c r="BM723" s="51" t="str">
        <f>IFERROR(VLOOKUP(A723,NF!$M:$O,3,0),"")</f>
        <v>Mercado</v>
      </c>
      <c r="BN723" s="7">
        <f t="shared" si="447"/>
        <v>13.5</v>
      </c>
      <c r="BO723" s="8">
        <f t="array" ref="BO723">IFERROR(LARGE(IF(NF!$G$2:$G$3137='Mês atual'!A723,NF!$J$2:$J$3137),1),0)*BN723</f>
        <v>124.13250000000001</v>
      </c>
      <c r="BP723" s="50"/>
      <c r="BR723" s="146">
        <f t="array" ref="BR723">IFERROR(LARGE(IF(NF!$G$2:$G$3137='Mês atual'!A723,NF!$J$2:$J$3137),1),0)</f>
        <v>9.1950000000000003</v>
      </c>
      <c r="BS723" s="142" t="str">
        <f>VLOOKUP(A723,NF!M:O,3,0)</f>
        <v>Mercado</v>
      </c>
      <c r="BV723" s="74">
        <f t="shared" si="453"/>
        <v>2.5</v>
      </c>
      <c r="BW723" s="74">
        <f t="shared" si="454"/>
        <v>2.5</v>
      </c>
      <c r="BX723" s="74">
        <f t="shared" si="455"/>
        <v>2.5</v>
      </c>
      <c r="BY723" s="74">
        <f t="shared" si="456"/>
        <v>2</v>
      </c>
      <c r="BZ723" s="74">
        <f t="shared" si="457"/>
        <v>4</v>
      </c>
    </row>
    <row r="724" spans="1:78" x14ac:dyDescent="0.2">
      <c r="A724" s="108" t="s">
        <v>330</v>
      </c>
      <c r="B724" s="12"/>
      <c r="C724" s="9">
        <v>0</v>
      </c>
      <c r="D724" s="25"/>
      <c r="E724" s="10" t="str">
        <f t="shared" si="468"/>
        <v>MarçoSEMANA 1Ervilha lata</v>
      </c>
      <c r="F724" s="7">
        <f>SUMIF(NF!$A:$A,$E724,NF!$I:$I)</f>
        <v>0</v>
      </c>
      <c r="G724" s="74"/>
      <c r="H724" s="74"/>
      <c r="I724" s="74"/>
      <c r="J724" s="6"/>
      <c r="K724" s="6"/>
      <c r="L724" s="6"/>
      <c r="M724" s="6"/>
      <c r="N724" s="7">
        <f t="shared" si="473"/>
        <v>0</v>
      </c>
      <c r="O724" s="11">
        <f t="shared" si="434"/>
        <v>0</v>
      </c>
      <c r="P724" s="25"/>
      <c r="Q724" s="10" t="str">
        <f t="shared" si="469"/>
        <v>MarçoSEMANA 2Ervilha lata</v>
      </c>
      <c r="R724" s="7">
        <f>SUMIF(NF!$A:$A,$Q724,NF!$I:$I)</f>
        <v>0</v>
      </c>
      <c r="S724" s="6"/>
      <c r="T724" s="6"/>
      <c r="U724" s="6"/>
      <c r="V724" s="6"/>
      <c r="W724" s="6"/>
      <c r="X724" s="6"/>
      <c r="Y724" s="6"/>
      <c r="Z724" s="7">
        <f t="shared" si="474"/>
        <v>0</v>
      </c>
      <c r="AA724" s="11">
        <f t="shared" si="437"/>
        <v>0</v>
      </c>
      <c r="AB724" s="25"/>
      <c r="AC724" s="10" t="str">
        <f t="shared" si="470"/>
        <v>MarçoSEMANA 3Ervilha lata</v>
      </c>
      <c r="AD724" s="7">
        <f>SUMIF(NF!$A:$A,$AC724,NF!$I:$I)</f>
        <v>0</v>
      </c>
      <c r="AE724" s="6"/>
      <c r="AF724" s="6"/>
      <c r="AG724" s="6"/>
      <c r="AH724" s="6"/>
      <c r="AI724" s="6"/>
      <c r="AJ724" s="6"/>
      <c r="AK724" s="6"/>
      <c r="AL724" s="7">
        <f t="shared" si="475"/>
        <v>0</v>
      </c>
      <c r="AM724" s="11">
        <f t="shared" si="440"/>
        <v>0</v>
      </c>
      <c r="AN724" s="25"/>
      <c r="AO724" s="10" t="str">
        <f t="shared" si="471"/>
        <v>MarçoSEMANA 4Ervilha lata</v>
      </c>
      <c r="AP724" s="7">
        <f>SUMIF(NF!$A:$A,$AO724,NF!$I:$I)</f>
        <v>0</v>
      </c>
      <c r="AQ724" s="6"/>
      <c r="AR724" s="6"/>
      <c r="AS724" s="6"/>
      <c r="AT724" s="6"/>
      <c r="AU724" s="6"/>
      <c r="AV724" s="6"/>
      <c r="AW724" s="6"/>
      <c r="AX724" s="7">
        <f t="shared" si="476"/>
        <v>0</v>
      </c>
      <c r="AY724" s="11">
        <f t="shared" si="443"/>
        <v>0</v>
      </c>
      <c r="AZ724" s="25"/>
      <c r="BA724" s="10" t="str">
        <f t="shared" si="472"/>
        <v>MarçoSEMANA 5Ervilha lata</v>
      </c>
      <c r="BB724" s="7">
        <f>SUMIF(NF!$A:$A,$BA724,NF!$I:$I)</f>
        <v>0</v>
      </c>
      <c r="BC724" s="6"/>
      <c r="BD724" s="6"/>
      <c r="BE724" s="6"/>
      <c r="BF724" s="6"/>
      <c r="BG724" s="6"/>
      <c r="BH724" s="6"/>
      <c r="BI724" s="74"/>
      <c r="BJ724" s="74"/>
      <c r="BK724" s="7">
        <f t="shared" si="477"/>
        <v>0</v>
      </c>
      <c r="BL724" s="8">
        <f t="shared" si="446"/>
        <v>0</v>
      </c>
      <c r="BM724" s="51" t="str">
        <f>IFERROR(VLOOKUP(A724,NF!$M:$O,3,0),"")</f>
        <v>Mercado</v>
      </c>
      <c r="BN724" s="7">
        <f t="shared" si="447"/>
        <v>0</v>
      </c>
      <c r="BO724" s="8">
        <f t="array" ref="BO724">IFERROR(LARGE(IF(NF!$G$2:$G$3137='Mês atual'!A724,NF!$J$2:$J$3137),1),0)*BN724</f>
        <v>0</v>
      </c>
      <c r="BP724" s="50"/>
      <c r="BR724" s="146">
        <f t="array" ref="BR724">IFERROR(LARGE(IF(NF!$G$2:$G$3137='Mês atual'!A724,NF!$J$2:$J$3137),1),0)</f>
        <v>0</v>
      </c>
      <c r="BS724" s="142" t="str">
        <f>VLOOKUP(A724,NF!M:O,3,0)</f>
        <v>Mercado</v>
      </c>
      <c r="BV724" s="74">
        <f t="shared" si="453"/>
        <v>0</v>
      </c>
      <c r="BW724" s="74">
        <f t="shared" si="454"/>
        <v>0</v>
      </c>
      <c r="BX724" s="74">
        <f t="shared" si="455"/>
        <v>0</v>
      </c>
      <c r="BY724" s="74">
        <f t="shared" si="456"/>
        <v>0</v>
      </c>
      <c r="BZ724" s="74">
        <f t="shared" si="457"/>
        <v>0</v>
      </c>
    </row>
    <row r="725" spans="1:78" x14ac:dyDescent="0.2">
      <c r="A725" s="108" t="s">
        <v>341</v>
      </c>
      <c r="B725" s="12"/>
      <c r="C725" s="9">
        <v>2</v>
      </c>
      <c r="D725" s="25"/>
      <c r="E725" s="10" t="str">
        <f t="shared" si="468"/>
        <v>MarçoSEMANA 1Farinha de Mandioca</v>
      </c>
      <c r="F725" s="7">
        <f>SUMIF(NF!$A:$A,$E725,NF!$I:$I)</f>
        <v>40</v>
      </c>
      <c r="G725" s="74"/>
      <c r="H725" s="74"/>
      <c r="I725" s="74"/>
      <c r="J725" s="6">
        <v>4</v>
      </c>
      <c r="K725" s="6">
        <v>6</v>
      </c>
      <c r="L725" s="6">
        <v>2</v>
      </c>
      <c r="M725" s="6">
        <v>2</v>
      </c>
      <c r="N725" s="7">
        <f>SUM(G725:M725)</f>
        <v>14</v>
      </c>
      <c r="O725" s="11">
        <f t="shared" si="434"/>
        <v>28</v>
      </c>
      <c r="P725" s="25"/>
      <c r="Q725" s="10" t="str">
        <f t="shared" si="469"/>
        <v>MarçoSEMANA 2Farinha de Mandioca</v>
      </c>
      <c r="R725" s="7">
        <f>SUMIF(NF!$A:$A,$Q725,NF!$I:$I)</f>
        <v>20</v>
      </c>
      <c r="S725" s="6">
        <v>4</v>
      </c>
      <c r="T725" s="6">
        <v>1</v>
      </c>
      <c r="U725" s="6">
        <v>3</v>
      </c>
      <c r="V725" s="6">
        <v>2</v>
      </c>
      <c r="W725" s="6">
        <v>5</v>
      </c>
      <c r="X725" s="6">
        <v>3</v>
      </c>
      <c r="Y725" s="6">
        <v>3</v>
      </c>
      <c r="Z725" s="7">
        <f>SUM(S725:Y725)</f>
        <v>21</v>
      </c>
      <c r="AA725" s="11">
        <f t="shared" si="437"/>
        <v>27</v>
      </c>
      <c r="AB725" s="25"/>
      <c r="AC725" s="10" t="str">
        <f t="shared" si="470"/>
        <v>MarçoSEMANA 3Farinha de Mandioca</v>
      </c>
      <c r="AD725" s="7">
        <f>SUMIF(NF!$A:$A,$AC725,NF!$I:$I)</f>
        <v>21</v>
      </c>
      <c r="AE725" s="6">
        <v>4</v>
      </c>
      <c r="AF725" s="6">
        <v>2</v>
      </c>
      <c r="AG725" s="6">
        <v>3</v>
      </c>
      <c r="AH725" s="6">
        <v>3</v>
      </c>
      <c r="AI725" s="6">
        <v>5</v>
      </c>
      <c r="AJ725" s="6">
        <v>2</v>
      </c>
      <c r="AK725" s="6">
        <v>2</v>
      </c>
      <c r="AL725" s="7">
        <f>SUM(AE725:AK725)</f>
        <v>21</v>
      </c>
      <c r="AM725" s="11">
        <f t="shared" si="440"/>
        <v>27</v>
      </c>
      <c r="AN725" s="25"/>
      <c r="AO725" s="10" t="str">
        <f t="shared" si="471"/>
        <v>MarçoSEMANA 4Farinha de Mandioca</v>
      </c>
      <c r="AP725" s="7">
        <f>SUMIF(NF!$A:$A,$AO725,NF!$I:$I)</f>
        <v>20</v>
      </c>
      <c r="AQ725" s="6">
        <v>3</v>
      </c>
      <c r="AR725" s="6">
        <v>3</v>
      </c>
      <c r="AS725" s="6">
        <v>3</v>
      </c>
      <c r="AT725" s="6"/>
      <c r="AU725" s="6">
        <v>4</v>
      </c>
      <c r="AV725" s="6">
        <f>3+1</f>
        <v>4</v>
      </c>
      <c r="AW725" s="6">
        <v>4</v>
      </c>
      <c r="AX725" s="7">
        <f>SUM(AQ725:AW725)</f>
        <v>21</v>
      </c>
      <c r="AY725" s="11">
        <f t="shared" si="443"/>
        <v>26</v>
      </c>
      <c r="AZ725" s="25"/>
      <c r="BA725" s="10" t="str">
        <f t="shared" si="472"/>
        <v>MarçoSEMANA 5Farinha de Mandioca</v>
      </c>
      <c r="BB725" s="7">
        <f>SUMIF(NF!$A:$A,$BA725,NF!$I:$I)</f>
        <v>0</v>
      </c>
      <c r="BC725" s="6">
        <v>1</v>
      </c>
      <c r="BD725" s="6">
        <v>3</v>
      </c>
      <c r="BE725" s="6">
        <v>3</v>
      </c>
      <c r="BF725" s="6">
        <v>3</v>
      </c>
      <c r="BG725" s="6">
        <v>3</v>
      </c>
      <c r="BH725" s="6">
        <v>2</v>
      </c>
      <c r="BI725" s="74"/>
      <c r="BJ725" s="74"/>
      <c r="BK725" s="7">
        <f>SUM(BC725:BJ725)</f>
        <v>15</v>
      </c>
      <c r="BL725" s="8">
        <f t="shared" si="446"/>
        <v>11</v>
      </c>
      <c r="BM725" s="51" t="str">
        <f>IFERROR(VLOOKUP(A725,NF!$M:$O,3,0),"")</f>
        <v>Mercado</v>
      </c>
      <c r="BN725" s="7">
        <f t="shared" si="447"/>
        <v>92</v>
      </c>
      <c r="BO725" s="8">
        <f t="array" ref="BO725">IFERROR(LARGE(IF(NF!$G$2:$G$3137='Mês atual'!A725,NF!$J$2:$J$3137),1),0)*BN725</f>
        <v>482.30999999999995</v>
      </c>
      <c r="BP725" s="50"/>
      <c r="BR725" s="146">
        <f t="array" ref="BR725">IFERROR(LARGE(IF(NF!$G$2:$G$3137='Mês atual'!A725,NF!$J$2:$J$3137),1),0)</f>
        <v>5.2424999999999997</v>
      </c>
      <c r="BS725" s="142" t="str">
        <f>VLOOKUP(A725,NF!M:O,3,0)</f>
        <v>Mercado</v>
      </c>
      <c r="BV725" s="74">
        <f t="shared" si="453"/>
        <v>14</v>
      </c>
      <c r="BW725" s="74">
        <f t="shared" si="454"/>
        <v>21</v>
      </c>
      <c r="BX725" s="74">
        <f t="shared" si="455"/>
        <v>21</v>
      </c>
      <c r="BY725" s="74">
        <f t="shared" si="456"/>
        <v>21</v>
      </c>
      <c r="BZ725" s="74">
        <f t="shared" si="457"/>
        <v>15</v>
      </c>
    </row>
    <row r="726" spans="1:78" x14ac:dyDescent="0.2">
      <c r="A726" s="108" t="s">
        <v>342</v>
      </c>
      <c r="B726" s="12"/>
      <c r="C726" s="9">
        <v>10</v>
      </c>
      <c r="D726" s="25"/>
      <c r="E726" s="10" t="str">
        <f t="shared" si="468"/>
        <v>MarçoSEMANA 1Farinha de Rosca</v>
      </c>
      <c r="F726" s="7">
        <f>SUMIF(NF!$A:$A,$E726,NF!$I:$I)</f>
        <v>0</v>
      </c>
      <c r="G726" s="74"/>
      <c r="H726" s="74"/>
      <c r="I726" s="74"/>
      <c r="J726" s="6"/>
      <c r="K726" s="6"/>
      <c r="L726" s="6"/>
      <c r="M726" s="6"/>
      <c r="N726" s="7">
        <f>SUM(G726:M726)</f>
        <v>0</v>
      </c>
      <c r="O726" s="11">
        <f t="shared" si="434"/>
        <v>10</v>
      </c>
      <c r="P726" s="25"/>
      <c r="Q726" s="10" t="str">
        <f t="shared" si="469"/>
        <v>MarçoSEMANA 2Farinha de Rosca</v>
      </c>
      <c r="R726" s="7">
        <f>SUMIF(NF!$A:$A,$Q726,NF!$I:$I)</f>
        <v>0</v>
      </c>
      <c r="S726" s="6"/>
      <c r="T726" s="6"/>
      <c r="U726" s="6"/>
      <c r="V726" s="6">
        <v>10</v>
      </c>
      <c r="W726" s="6"/>
      <c r="X726" s="6"/>
      <c r="Y726" s="6"/>
      <c r="Z726" s="7">
        <f>SUM(S726:Y726)</f>
        <v>10</v>
      </c>
      <c r="AA726" s="11">
        <f t="shared" si="437"/>
        <v>0</v>
      </c>
      <c r="AB726" s="25"/>
      <c r="AC726" s="10" t="str">
        <f t="shared" si="470"/>
        <v>MarçoSEMANA 3Farinha de Rosca</v>
      </c>
      <c r="AD726" s="7">
        <f>SUMIF(NF!$A:$A,$AC726,NF!$I:$I)</f>
        <v>0</v>
      </c>
      <c r="AE726" s="6"/>
      <c r="AF726" s="6"/>
      <c r="AG726" s="6"/>
      <c r="AH726" s="6"/>
      <c r="AI726" s="6"/>
      <c r="AJ726" s="6"/>
      <c r="AK726" s="6"/>
      <c r="AL726" s="7">
        <f>SUM(AE726:AK726)</f>
        <v>0</v>
      </c>
      <c r="AM726" s="11">
        <f t="shared" si="440"/>
        <v>0</v>
      </c>
      <c r="AN726" s="25"/>
      <c r="AO726" s="10" t="str">
        <f t="shared" si="471"/>
        <v>MarçoSEMANA 4Farinha de Rosca</v>
      </c>
      <c r="AP726" s="7">
        <f>SUMIF(NF!$A:$A,$AO726,NF!$I:$I)</f>
        <v>10</v>
      </c>
      <c r="AQ726" s="6"/>
      <c r="AR726" s="6"/>
      <c r="AS726" s="6"/>
      <c r="AT726" s="6"/>
      <c r="AU726" s="6"/>
      <c r="AV726" s="6"/>
      <c r="AW726" s="6"/>
      <c r="AX726" s="7">
        <f>SUM(AQ726:AW726)</f>
        <v>0</v>
      </c>
      <c r="AY726" s="11">
        <f t="shared" si="443"/>
        <v>10</v>
      </c>
      <c r="AZ726" s="25"/>
      <c r="BA726" s="10" t="str">
        <f t="shared" si="472"/>
        <v>MarçoSEMANA 5Farinha de Rosca</v>
      </c>
      <c r="BB726" s="7">
        <f>SUMIF(NF!$A:$A,$BA726,NF!$I:$I)</f>
        <v>0</v>
      </c>
      <c r="BC726" s="6"/>
      <c r="BD726" s="6"/>
      <c r="BE726" s="6"/>
      <c r="BF726" s="6"/>
      <c r="BG726" s="6"/>
      <c r="BH726" s="6"/>
      <c r="BI726" s="74"/>
      <c r="BJ726" s="74"/>
      <c r="BK726" s="7">
        <f>SUM(BC726:BJ726)</f>
        <v>0</v>
      </c>
      <c r="BL726" s="8">
        <f t="shared" si="446"/>
        <v>10</v>
      </c>
      <c r="BM726" s="51" t="str">
        <f>IFERROR(VLOOKUP(A726,NF!$M:$O,3,0),"")</f>
        <v>Mercado</v>
      </c>
      <c r="BN726" s="7">
        <f t="shared" si="447"/>
        <v>10</v>
      </c>
      <c r="BO726" s="8">
        <f t="array" ref="BO726">IFERROR(LARGE(IF(NF!$G$2:$G$3137='Mês atual'!A726,NF!$J$2:$J$3137),1),0)*BN726</f>
        <v>90</v>
      </c>
      <c r="BP726" s="50"/>
      <c r="BR726" s="146">
        <f t="array" ref="BR726">IFERROR(LARGE(IF(NF!$G$2:$G$3137='Mês atual'!A726,NF!$J$2:$J$3137),1),0)</f>
        <v>9</v>
      </c>
      <c r="BS726" s="142" t="str">
        <f>VLOOKUP(A726,NF!M:O,3,0)</f>
        <v>Mercado</v>
      </c>
      <c r="BV726" s="74">
        <f t="shared" si="453"/>
        <v>0</v>
      </c>
      <c r="BW726" s="74">
        <f t="shared" si="454"/>
        <v>10</v>
      </c>
      <c r="BX726" s="74">
        <f t="shared" si="455"/>
        <v>0</v>
      </c>
      <c r="BY726" s="74">
        <f t="shared" si="456"/>
        <v>0</v>
      </c>
      <c r="BZ726" s="74">
        <f t="shared" si="457"/>
        <v>0</v>
      </c>
    </row>
    <row r="727" spans="1:78" x14ac:dyDescent="0.2">
      <c r="A727" s="108" t="s">
        <v>343</v>
      </c>
      <c r="B727" s="12"/>
      <c r="C727" s="9">
        <v>0</v>
      </c>
      <c r="D727" s="25"/>
      <c r="E727" s="10" t="str">
        <f t="shared" si="468"/>
        <v>MarçoSEMANA 1Farinha de Trigo</v>
      </c>
      <c r="F727" s="7">
        <f>SUMIF(NF!$A:$A,$E727,NF!$I:$I)</f>
        <v>50</v>
      </c>
      <c r="G727" s="74"/>
      <c r="H727" s="74"/>
      <c r="I727" s="74"/>
      <c r="J727" s="6">
        <v>10</v>
      </c>
      <c r="K727" s="6"/>
      <c r="L727" s="6"/>
      <c r="M727" s="6">
        <v>10</v>
      </c>
      <c r="N727" s="7">
        <f t="shared" ref="N727:N737" si="478">SUM(G727:M727)</f>
        <v>20</v>
      </c>
      <c r="O727" s="11">
        <f t="shared" si="434"/>
        <v>30</v>
      </c>
      <c r="P727" s="25"/>
      <c r="Q727" s="10" t="str">
        <f t="shared" si="469"/>
        <v>MarçoSEMANA 2Farinha de Trigo</v>
      </c>
      <c r="R727" s="7">
        <f>SUMIF(NF!$A:$A,$Q727,NF!$I:$I)</f>
        <v>10</v>
      </c>
      <c r="S727" s="6"/>
      <c r="T727" s="6"/>
      <c r="U727" s="6">
        <v>10</v>
      </c>
      <c r="V727" s="6"/>
      <c r="W727" s="6">
        <v>10</v>
      </c>
      <c r="X727" s="6"/>
      <c r="Y727" s="6">
        <v>10</v>
      </c>
      <c r="Z727" s="7">
        <f>SUM(S727:Y727)</f>
        <v>30</v>
      </c>
      <c r="AA727" s="11">
        <f t="shared" si="437"/>
        <v>10</v>
      </c>
      <c r="AB727" s="25"/>
      <c r="AC727" s="10" t="str">
        <f t="shared" si="470"/>
        <v>MarçoSEMANA 3Farinha de Trigo</v>
      </c>
      <c r="AD727" s="7">
        <f>SUMIF(NF!$A:$A,$AC727,NF!$I:$I)</f>
        <v>40</v>
      </c>
      <c r="AE727" s="6"/>
      <c r="AF727" s="6">
        <v>10</v>
      </c>
      <c r="AG727" s="6"/>
      <c r="AH727" s="6">
        <v>10</v>
      </c>
      <c r="AI727" s="6"/>
      <c r="AJ727" s="6">
        <v>10</v>
      </c>
      <c r="AK727" s="6"/>
      <c r="AL727" s="7">
        <f>SUM(AE727:AK727)</f>
        <v>30</v>
      </c>
      <c r="AM727" s="11">
        <f t="shared" si="440"/>
        <v>20</v>
      </c>
      <c r="AN727" s="25"/>
      <c r="AO727" s="10" t="str">
        <f t="shared" si="471"/>
        <v>MarçoSEMANA 4Farinha de Trigo</v>
      </c>
      <c r="AP727" s="7">
        <f>SUMIF(NF!$A:$A,$AO727,NF!$I:$I)</f>
        <v>30</v>
      </c>
      <c r="AQ727" s="6">
        <v>10</v>
      </c>
      <c r="AR727" s="6"/>
      <c r="AS727" s="6"/>
      <c r="AT727" s="6">
        <v>10</v>
      </c>
      <c r="AU727" s="6"/>
      <c r="AV727" s="6">
        <v>10</v>
      </c>
      <c r="AW727" s="6">
        <v>10</v>
      </c>
      <c r="AX727" s="7">
        <f>SUM(AQ727:AW727)</f>
        <v>40</v>
      </c>
      <c r="AY727" s="11">
        <f t="shared" si="443"/>
        <v>10</v>
      </c>
      <c r="AZ727" s="25"/>
      <c r="BA727" s="10" t="str">
        <f t="shared" si="472"/>
        <v>MarçoSEMANA 5Farinha de Trigo</v>
      </c>
      <c r="BB727" s="7">
        <f>SUMIF(NF!$A:$A,$BA727,NF!$I:$I)</f>
        <v>20</v>
      </c>
      <c r="BC727" s="6"/>
      <c r="BD727" s="6"/>
      <c r="BE727" s="6">
        <v>10</v>
      </c>
      <c r="BF727" s="6"/>
      <c r="BG727" s="6">
        <v>10</v>
      </c>
      <c r="BH727" s="6"/>
      <c r="BI727" s="74"/>
      <c r="BJ727" s="74"/>
      <c r="BK727" s="7">
        <f>SUM(BC727:BJ727)</f>
        <v>20</v>
      </c>
      <c r="BL727" s="8">
        <f t="shared" si="446"/>
        <v>10</v>
      </c>
      <c r="BM727" s="51" t="str">
        <f>IFERROR(VLOOKUP(A727,NF!$M:$O,3,0),"")</f>
        <v>Mercado</v>
      </c>
      <c r="BN727" s="7">
        <f t="shared" si="447"/>
        <v>140</v>
      </c>
      <c r="BO727" s="8">
        <f t="array" ref="BO727">IFERROR(LARGE(IF(NF!$G$2:$G$3137='Mês atual'!A727,NF!$J$2:$J$3137),1),0)*BN727</f>
        <v>246.4</v>
      </c>
      <c r="BP727" s="50"/>
      <c r="BR727" s="146">
        <f t="array" ref="BR727">IFERROR(LARGE(IF(NF!$G$2:$G$3137='Mês atual'!A727,NF!$J$2:$J$3137),1),0)</f>
        <v>1.76</v>
      </c>
      <c r="BS727" s="142" t="str">
        <f>VLOOKUP(A727,NF!M:O,3,0)</f>
        <v>Mercado</v>
      </c>
      <c r="BV727" s="74">
        <f t="shared" si="453"/>
        <v>20</v>
      </c>
      <c r="BW727" s="74">
        <f t="shared" si="454"/>
        <v>30</v>
      </c>
      <c r="BX727" s="74">
        <f t="shared" si="455"/>
        <v>30</v>
      </c>
      <c r="BY727" s="74">
        <f t="shared" si="456"/>
        <v>40</v>
      </c>
      <c r="BZ727" s="74">
        <f t="shared" si="457"/>
        <v>20</v>
      </c>
    </row>
    <row r="728" spans="1:78" x14ac:dyDescent="0.2">
      <c r="A728" s="108" t="s">
        <v>344</v>
      </c>
      <c r="B728" s="12"/>
      <c r="C728" s="9">
        <v>0</v>
      </c>
      <c r="D728" s="25"/>
      <c r="E728" s="10" t="str">
        <f t="shared" si="468"/>
        <v>MarçoSEMANA 1Farinha de Trigo Semoli</v>
      </c>
      <c r="F728" s="7">
        <f>SUMIF(NF!$A:$A,$E728,NF!$I:$I)</f>
        <v>0</v>
      </c>
      <c r="G728" s="74"/>
      <c r="H728" s="74"/>
      <c r="I728" s="74"/>
      <c r="J728" s="6"/>
      <c r="K728" s="6"/>
      <c r="L728" s="6"/>
      <c r="M728" s="6"/>
      <c r="N728" s="7">
        <f t="shared" si="478"/>
        <v>0</v>
      </c>
      <c r="O728" s="11">
        <f t="shared" si="434"/>
        <v>0</v>
      </c>
      <c r="P728" s="25"/>
      <c r="Q728" s="10" t="str">
        <f t="shared" si="469"/>
        <v>MarçoSEMANA 2Farinha de Trigo Semoli</v>
      </c>
      <c r="R728" s="7">
        <f>SUMIF(NF!$A:$A,$Q728,NF!$I:$I)</f>
        <v>0</v>
      </c>
      <c r="S728" s="6"/>
      <c r="T728" s="6"/>
      <c r="U728" s="6"/>
      <c r="V728" s="6"/>
      <c r="W728" s="6"/>
      <c r="X728" s="6"/>
      <c r="Y728" s="6"/>
      <c r="Z728" s="7">
        <f>SUM(S728:Y728)</f>
        <v>0</v>
      </c>
      <c r="AA728" s="11">
        <f t="shared" si="437"/>
        <v>0</v>
      </c>
      <c r="AB728" s="25"/>
      <c r="AC728" s="10" t="str">
        <f t="shared" si="470"/>
        <v>MarçoSEMANA 3Farinha de Trigo Semoli</v>
      </c>
      <c r="AD728" s="7">
        <f>SUMIF(NF!$A:$A,$AC728,NF!$I:$I)</f>
        <v>0</v>
      </c>
      <c r="AE728" s="6"/>
      <c r="AF728" s="6"/>
      <c r="AG728" s="6"/>
      <c r="AH728" s="6"/>
      <c r="AI728" s="6"/>
      <c r="AJ728" s="6"/>
      <c r="AK728" s="6"/>
      <c r="AL728" s="7">
        <f>SUM(AE728:AK728)</f>
        <v>0</v>
      </c>
      <c r="AM728" s="11">
        <f t="shared" si="440"/>
        <v>0</v>
      </c>
      <c r="AN728" s="25"/>
      <c r="AO728" s="10" t="str">
        <f t="shared" si="471"/>
        <v>MarçoSEMANA 4Farinha de Trigo Semoli</v>
      </c>
      <c r="AP728" s="7">
        <f>SUMIF(NF!$A:$A,$AO728,NF!$I:$I)</f>
        <v>0</v>
      </c>
      <c r="AQ728" s="6"/>
      <c r="AR728" s="6"/>
      <c r="AS728" s="6"/>
      <c r="AT728" s="6"/>
      <c r="AU728" s="6"/>
      <c r="AV728" s="6"/>
      <c r="AW728" s="6"/>
      <c r="AX728" s="7">
        <f>SUM(AQ728:AW728)</f>
        <v>0</v>
      </c>
      <c r="AY728" s="11">
        <f t="shared" si="443"/>
        <v>0</v>
      </c>
      <c r="AZ728" s="25"/>
      <c r="BA728" s="10" t="str">
        <f t="shared" si="472"/>
        <v>MarçoSEMANA 5Farinha de Trigo Semoli</v>
      </c>
      <c r="BB728" s="7">
        <f>SUMIF(NF!$A:$A,$BA728,NF!$I:$I)</f>
        <v>0</v>
      </c>
      <c r="BC728" s="6"/>
      <c r="BD728" s="6"/>
      <c r="BE728" s="6"/>
      <c r="BF728" s="6"/>
      <c r="BG728" s="6"/>
      <c r="BH728" s="6"/>
      <c r="BI728" s="74"/>
      <c r="BJ728" s="74"/>
      <c r="BK728" s="7">
        <f>SUM(BC728:BJ728)</f>
        <v>0</v>
      </c>
      <c r="BL728" s="8">
        <f t="shared" si="446"/>
        <v>0</v>
      </c>
      <c r="BM728" s="51" t="str">
        <f>IFERROR(VLOOKUP(A728,NF!$M:$O,3,0),"")</f>
        <v>Mercado</v>
      </c>
      <c r="BN728" s="7">
        <f t="shared" si="447"/>
        <v>0</v>
      </c>
      <c r="BO728" s="8">
        <f t="array" ref="BO728">IFERROR(LARGE(IF(NF!$G$2:$G$3137='Mês atual'!A728,NF!$J$2:$J$3137),1),0)*BN728</f>
        <v>0</v>
      </c>
      <c r="BP728" s="50"/>
      <c r="BR728" s="146">
        <f t="array" ref="BR728">IFERROR(LARGE(IF(NF!$G$2:$G$3137='Mês atual'!A728,NF!$J$2:$J$3137),1),0)</f>
        <v>0</v>
      </c>
      <c r="BS728" s="142" t="str">
        <f>VLOOKUP(A728,NF!M:O,3,0)</f>
        <v>Mercado</v>
      </c>
      <c r="BV728" s="74">
        <f t="shared" si="453"/>
        <v>0</v>
      </c>
      <c r="BW728" s="74">
        <f t="shared" si="454"/>
        <v>0</v>
      </c>
      <c r="BX728" s="74">
        <f t="shared" si="455"/>
        <v>0</v>
      </c>
      <c r="BY728" s="74">
        <f t="shared" si="456"/>
        <v>0</v>
      </c>
      <c r="BZ728" s="74">
        <f t="shared" si="457"/>
        <v>0</v>
      </c>
    </row>
    <row r="729" spans="1:78" x14ac:dyDescent="0.2">
      <c r="A729" s="108" t="s">
        <v>345</v>
      </c>
      <c r="B729" s="12"/>
      <c r="C729" s="9">
        <v>0</v>
      </c>
      <c r="D729" s="25"/>
      <c r="E729" s="10" t="str">
        <f t="shared" si="468"/>
        <v>MarçoSEMANA 1Farinha Panco</v>
      </c>
      <c r="F729" s="7">
        <f>SUMIF(NF!$A:$A,$E729,NF!$I:$I)</f>
        <v>9</v>
      </c>
      <c r="G729" s="74"/>
      <c r="H729" s="74"/>
      <c r="I729" s="74"/>
      <c r="J729" s="6"/>
      <c r="K729" s="6"/>
      <c r="L729" s="6">
        <v>2</v>
      </c>
      <c r="M729" s="6"/>
      <c r="N729" s="7">
        <f t="shared" si="478"/>
        <v>2</v>
      </c>
      <c r="O729" s="11">
        <f t="shared" si="434"/>
        <v>7</v>
      </c>
      <c r="P729" s="25"/>
      <c r="Q729" s="10" t="str">
        <f t="shared" si="469"/>
        <v>MarçoSEMANA 2Farinha Panco</v>
      </c>
      <c r="R729" s="7">
        <f>SUMIF(NF!$A:$A,$Q729,NF!$I:$I)</f>
        <v>4</v>
      </c>
      <c r="S729" s="6"/>
      <c r="T729" s="6"/>
      <c r="U729" s="6">
        <f>3+1</f>
        <v>4</v>
      </c>
      <c r="V729" s="6"/>
      <c r="W729" s="6">
        <v>3</v>
      </c>
      <c r="X729" s="6"/>
      <c r="Y729" s="6"/>
      <c r="Z729" s="7">
        <f t="shared" ref="Z729:Z737" si="479">SUM(S729:Y729)</f>
        <v>7</v>
      </c>
      <c r="AA729" s="11">
        <f t="shared" si="437"/>
        <v>4</v>
      </c>
      <c r="AB729" s="25"/>
      <c r="AC729" s="10" t="str">
        <f t="shared" si="470"/>
        <v>MarçoSEMANA 3Farinha Panco</v>
      </c>
      <c r="AD729" s="7">
        <f>SUMIF(NF!$A:$A,$AC729,NF!$I:$I)</f>
        <v>9</v>
      </c>
      <c r="AE729" s="6">
        <v>3</v>
      </c>
      <c r="AF729" s="6"/>
      <c r="AG729" s="6"/>
      <c r="AH729" s="6"/>
      <c r="AI729" s="6">
        <v>3</v>
      </c>
      <c r="AJ729" s="6"/>
      <c r="AK729" s="6">
        <v>1</v>
      </c>
      <c r="AL729" s="7">
        <f t="shared" ref="AL729:AL737" si="480">SUM(AE729:AK729)</f>
        <v>7</v>
      </c>
      <c r="AM729" s="11">
        <f t="shared" si="440"/>
        <v>6</v>
      </c>
      <c r="AN729" s="25"/>
      <c r="AO729" s="10" t="str">
        <f t="shared" si="471"/>
        <v>MarçoSEMANA 4Farinha Panco</v>
      </c>
      <c r="AP729" s="7">
        <f>SUMIF(NF!$A:$A,$AO729,NF!$I:$I)</f>
        <v>5</v>
      </c>
      <c r="AQ729" s="6"/>
      <c r="AR729" s="6">
        <v>2</v>
      </c>
      <c r="AS729" s="6"/>
      <c r="AT729" s="6"/>
      <c r="AU729" s="6"/>
      <c r="AV729" s="6">
        <v>2</v>
      </c>
      <c r="AW729" s="6"/>
      <c r="AX729" s="7">
        <f t="shared" ref="AX729:AX737" si="481">SUM(AQ729:AW729)</f>
        <v>4</v>
      </c>
      <c r="AY729" s="11">
        <f t="shared" si="443"/>
        <v>7</v>
      </c>
      <c r="AZ729" s="25"/>
      <c r="BA729" s="10" t="str">
        <f t="shared" si="472"/>
        <v>MarçoSEMANA 5Farinha Panco</v>
      </c>
      <c r="BB729" s="7">
        <f>SUMIF(NF!$A:$A,$BA729,NF!$I:$I)</f>
        <v>0</v>
      </c>
      <c r="BC729" s="6">
        <v>2</v>
      </c>
      <c r="BD729" s="6"/>
      <c r="BE729" s="6"/>
      <c r="BF729" s="6"/>
      <c r="BG729" s="6"/>
      <c r="BH729" s="6"/>
      <c r="BI729" s="74"/>
      <c r="BJ729" s="74"/>
      <c r="BK729" s="7">
        <f t="shared" ref="BK729:BK737" si="482">SUM(BC729:BJ729)</f>
        <v>2</v>
      </c>
      <c r="BL729" s="8">
        <f t="shared" si="446"/>
        <v>5</v>
      </c>
      <c r="BM729" s="51" t="str">
        <f>IFERROR(VLOOKUP(A729,NF!$M:$O,3,0),"")</f>
        <v>Mercado</v>
      </c>
      <c r="BN729" s="7">
        <f t="shared" si="447"/>
        <v>22</v>
      </c>
      <c r="BO729" s="8">
        <f t="array" ref="BO729">IFERROR(LARGE(IF(NF!$G$2:$G$3137='Mês atual'!A729,NF!$J$2:$J$3137),1),0)*BN729</f>
        <v>389.4</v>
      </c>
      <c r="BP729" s="50"/>
      <c r="BR729" s="146">
        <f t="array" ref="BR729">IFERROR(LARGE(IF(NF!$G$2:$G$3137='Mês atual'!A729,NF!$J$2:$J$3137),1),0)</f>
        <v>17.7</v>
      </c>
      <c r="BS729" s="142" t="str">
        <f>VLOOKUP(A729,NF!M:O,3,0)</f>
        <v>Mercado</v>
      </c>
      <c r="BV729" s="74">
        <f t="shared" si="453"/>
        <v>2</v>
      </c>
      <c r="BW729" s="74">
        <f t="shared" si="454"/>
        <v>7</v>
      </c>
      <c r="BX729" s="74">
        <f t="shared" si="455"/>
        <v>7</v>
      </c>
      <c r="BY729" s="74">
        <f t="shared" si="456"/>
        <v>4</v>
      </c>
      <c r="BZ729" s="74">
        <f t="shared" si="457"/>
        <v>2</v>
      </c>
    </row>
    <row r="730" spans="1:78" x14ac:dyDescent="0.2">
      <c r="A730" s="108" t="s">
        <v>346</v>
      </c>
      <c r="B730" s="12"/>
      <c r="C730" s="9">
        <v>0</v>
      </c>
      <c r="D730" s="25"/>
      <c r="E730" s="10" t="str">
        <f t="shared" si="468"/>
        <v>MarçoSEMANA 1Favas</v>
      </c>
      <c r="F730" s="7">
        <f>SUMIF(NF!$A:$A,$E730,NF!$I:$I)</f>
        <v>0</v>
      </c>
      <c r="G730" s="74"/>
      <c r="H730" s="74"/>
      <c r="I730" s="74"/>
      <c r="J730" s="6"/>
      <c r="K730" s="6"/>
      <c r="L730" s="6"/>
      <c r="M730" s="6"/>
      <c r="N730" s="7">
        <f t="shared" si="478"/>
        <v>0</v>
      </c>
      <c r="O730" s="11">
        <f t="shared" si="434"/>
        <v>0</v>
      </c>
      <c r="P730" s="25"/>
      <c r="Q730" s="10" t="str">
        <f t="shared" si="469"/>
        <v>MarçoSEMANA 2Favas</v>
      </c>
      <c r="R730" s="7">
        <f>SUMIF(NF!$A:$A,$Q730,NF!$I:$I)</f>
        <v>0</v>
      </c>
      <c r="S730" s="6"/>
      <c r="T730" s="6"/>
      <c r="U730" s="6"/>
      <c r="V730" s="6"/>
      <c r="W730" s="6"/>
      <c r="X730" s="6"/>
      <c r="Y730" s="6"/>
      <c r="Z730" s="7">
        <f t="shared" si="479"/>
        <v>0</v>
      </c>
      <c r="AA730" s="11">
        <f t="shared" si="437"/>
        <v>0</v>
      </c>
      <c r="AB730" s="25"/>
      <c r="AC730" s="10" t="str">
        <f t="shared" si="470"/>
        <v>MarçoSEMANA 3Favas</v>
      </c>
      <c r="AD730" s="7">
        <f>SUMIF(NF!$A:$A,$AC730,NF!$I:$I)</f>
        <v>0</v>
      </c>
      <c r="AE730" s="6"/>
      <c r="AF730" s="6"/>
      <c r="AG730" s="6"/>
      <c r="AH730" s="6"/>
      <c r="AI730" s="6"/>
      <c r="AJ730" s="6"/>
      <c r="AK730" s="6"/>
      <c r="AL730" s="7">
        <f t="shared" si="480"/>
        <v>0</v>
      </c>
      <c r="AM730" s="11">
        <f t="shared" si="440"/>
        <v>0</v>
      </c>
      <c r="AN730" s="25"/>
      <c r="AO730" s="10" t="str">
        <f t="shared" si="471"/>
        <v>MarçoSEMANA 4Favas</v>
      </c>
      <c r="AP730" s="7">
        <f>SUMIF(NF!$A:$A,$AO730,NF!$I:$I)</f>
        <v>0</v>
      </c>
      <c r="AQ730" s="6"/>
      <c r="AR730" s="6"/>
      <c r="AS730" s="6"/>
      <c r="AT730" s="6"/>
      <c r="AU730" s="6"/>
      <c r="AV730" s="6"/>
      <c r="AW730" s="6"/>
      <c r="AX730" s="7">
        <f t="shared" si="481"/>
        <v>0</v>
      </c>
      <c r="AY730" s="11">
        <f t="shared" si="443"/>
        <v>0</v>
      </c>
      <c r="AZ730" s="25"/>
      <c r="BA730" s="10" t="str">
        <f t="shared" si="472"/>
        <v>MarçoSEMANA 5Favas</v>
      </c>
      <c r="BB730" s="7">
        <f>SUMIF(NF!$A:$A,$BA730,NF!$I:$I)</f>
        <v>0</v>
      </c>
      <c r="BC730" s="6"/>
      <c r="BD730" s="6"/>
      <c r="BE730" s="6"/>
      <c r="BF730" s="6"/>
      <c r="BG730" s="6"/>
      <c r="BH730" s="6"/>
      <c r="BI730" s="74"/>
      <c r="BJ730" s="74"/>
      <c r="BK730" s="7">
        <f t="shared" si="482"/>
        <v>0</v>
      </c>
      <c r="BL730" s="8">
        <f t="shared" si="446"/>
        <v>0</v>
      </c>
      <c r="BM730" s="51" t="str">
        <f>IFERROR(VLOOKUP(A730,NF!$M:$O,3,0),"")</f>
        <v>Mercado</v>
      </c>
      <c r="BN730" s="7">
        <f t="shared" si="447"/>
        <v>0</v>
      </c>
      <c r="BO730" s="8">
        <f t="array" ref="BO730">IFERROR(LARGE(IF(NF!$G$2:$G$3137='Mês atual'!A730,NF!$J$2:$J$3137),1),0)*BN730</f>
        <v>0</v>
      </c>
      <c r="BP730" s="50"/>
      <c r="BR730" s="146">
        <f t="array" ref="BR730">IFERROR(LARGE(IF(NF!$G$2:$G$3137='Mês atual'!A730,NF!$J$2:$J$3137),1),0)</f>
        <v>0</v>
      </c>
      <c r="BS730" s="142" t="str">
        <f>VLOOKUP(A730,NF!M:O,3,0)</f>
        <v>Mercado</v>
      </c>
      <c r="BV730" s="74">
        <f t="shared" si="453"/>
        <v>0</v>
      </c>
      <c r="BW730" s="74">
        <f t="shared" si="454"/>
        <v>0</v>
      </c>
      <c r="BX730" s="74">
        <f t="shared" si="455"/>
        <v>0</v>
      </c>
      <c r="BY730" s="74">
        <f t="shared" si="456"/>
        <v>0</v>
      </c>
      <c r="BZ730" s="74">
        <f t="shared" si="457"/>
        <v>0</v>
      </c>
    </row>
    <row r="731" spans="1:78" x14ac:dyDescent="0.25">
      <c r="A731" s="108" t="s">
        <v>347</v>
      </c>
      <c r="B731" s="12"/>
      <c r="C731" s="9">
        <v>2</v>
      </c>
      <c r="D731" s="25"/>
      <c r="E731" s="10" t="str">
        <f t="shared" si="468"/>
        <v>MarçoSEMANA 1Feijão Azuki</v>
      </c>
      <c r="F731" s="7">
        <f>SUMIF(NF!$A:$A,$E731,NF!$I:$I)</f>
        <v>1</v>
      </c>
      <c r="G731" s="74"/>
      <c r="H731" s="74"/>
      <c r="I731" s="74"/>
      <c r="J731" s="6"/>
      <c r="K731" s="6"/>
      <c r="L731" s="6">
        <v>0.5</v>
      </c>
      <c r="M731" s="6"/>
      <c r="N731" s="7">
        <f t="shared" si="478"/>
        <v>0.5</v>
      </c>
      <c r="O731" s="11">
        <f t="shared" si="434"/>
        <v>2.5</v>
      </c>
      <c r="P731" s="25"/>
      <c r="Q731" s="10" t="str">
        <f t="shared" si="469"/>
        <v>MarçoSEMANA 2Feijão Azuki</v>
      </c>
      <c r="R731" s="7">
        <f>SUMIF(NF!$A:$A,$Q731,NF!$I:$I)</f>
        <v>2</v>
      </c>
      <c r="S731" s="6"/>
      <c r="T731" s="6"/>
      <c r="U731" s="6"/>
      <c r="V731" s="6"/>
      <c r="W731" s="6"/>
      <c r="X731" s="6"/>
      <c r="Y731" s="6">
        <v>1</v>
      </c>
      <c r="Z731" s="7">
        <f t="shared" si="479"/>
        <v>1</v>
      </c>
      <c r="AA731" s="11">
        <f t="shared" si="437"/>
        <v>3.5</v>
      </c>
      <c r="AB731" s="25"/>
      <c r="AC731" s="10" t="str">
        <f t="shared" si="470"/>
        <v>MarçoSEMANA 3Feijão Azuki</v>
      </c>
      <c r="AD731" s="7">
        <f>SUMIF(NF!$A:$A,$AC731,NF!$I:$I)</f>
        <v>0</v>
      </c>
      <c r="AE731" s="6"/>
      <c r="AF731" s="6"/>
      <c r="AG731" s="6"/>
      <c r="AH731" s="6"/>
      <c r="AI731" s="6">
        <v>1</v>
      </c>
      <c r="AJ731" s="6"/>
      <c r="AK731" s="6"/>
      <c r="AL731" s="7">
        <f t="shared" si="480"/>
        <v>1</v>
      </c>
      <c r="AM731" s="11">
        <f t="shared" si="440"/>
        <v>2.5</v>
      </c>
      <c r="AN731" s="25"/>
      <c r="AO731" s="10" t="str">
        <f t="shared" si="471"/>
        <v>MarçoSEMANA 4Feijão Azuki</v>
      </c>
      <c r="AP731" s="7">
        <f>SUMIF(NF!$A:$A,$AO731,NF!$I:$I)</f>
        <v>0</v>
      </c>
      <c r="AQ731" s="6"/>
      <c r="AR731" s="6"/>
      <c r="AS731" s="6"/>
      <c r="AT731" s="6"/>
      <c r="AU731" s="6"/>
      <c r="AV731" s="6"/>
      <c r="AW731" s="6"/>
      <c r="AX731" s="7">
        <f t="shared" si="481"/>
        <v>0</v>
      </c>
      <c r="AY731" s="11">
        <f t="shared" si="443"/>
        <v>2.5</v>
      </c>
      <c r="AZ731" s="25"/>
      <c r="BA731" s="10" t="str">
        <f t="shared" si="472"/>
        <v>MarçoSEMANA 5Feijão Azuki</v>
      </c>
      <c r="BB731" s="7">
        <f>SUMIF(NF!$A:$A,$BA731,NF!$I:$I)</f>
        <v>0</v>
      </c>
      <c r="BC731" s="6"/>
      <c r="BD731" s="6">
        <v>1</v>
      </c>
      <c r="BE731" s="6"/>
      <c r="BF731" s="6"/>
      <c r="BG731" s="6"/>
      <c r="BH731" s="6"/>
      <c r="BI731" s="74"/>
      <c r="BJ731" s="74"/>
      <c r="BK731" s="7">
        <f t="shared" si="482"/>
        <v>1</v>
      </c>
      <c r="BL731" s="8">
        <f t="shared" si="446"/>
        <v>1.5</v>
      </c>
      <c r="BM731" s="51" t="str">
        <f>IFERROR(VLOOKUP(A731,NF!$M:$O,3,0),"")</f>
        <v>Mercado</v>
      </c>
      <c r="BN731" s="7">
        <f t="shared" si="447"/>
        <v>3.5</v>
      </c>
      <c r="BO731" s="8">
        <f t="array" ref="BO731">IFERROR(LARGE(IF(NF!$G$2:$G$3137='Mês atual'!A731,NF!$J$2:$J$3137),1),0)*BN731</f>
        <v>35</v>
      </c>
      <c r="BP731" s="50"/>
      <c r="BR731" s="146">
        <f t="array" ref="BR731">IFERROR(LARGE(IF(NF!$G$2:$G$3137='Mês atual'!A731,NF!$J$2:$J$3137),1),0)</f>
        <v>10</v>
      </c>
      <c r="BS731" s="142" t="str">
        <f>VLOOKUP(A731,NF!M:O,3,0)</f>
        <v>Mercado</v>
      </c>
      <c r="BV731" s="74">
        <f t="shared" si="453"/>
        <v>0.5</v>
      </c>
      <c r="BW731" s="74">
        <f t="shared" si="454"/>
        <v>1</v>
      </c>
      <c r="BX731" s="74">
        <f t="shared" si="455"/>
        <v>1</v>
      </c>
      <c r="BY731" s="74">
        <f t="shared" si="456"/>
        <v>0</v>
      </c>
      <c r="BZ731" s="74">
        <f t="shared" si="457"/>
        <v>1</v>
      </c>
    </row>
    <row r="732" spans="1:78" x14ac:dyDescent="0.25">
      <c r="A732" s="108" t="s">
        <v>348</v>
      </c>
      <c r="B732" s="12"/>
      <c r="C732" s="9">
        <v>4</v>
      </c>
      <c r="D732" s="25"/>
      <c r="E732" s="10" t="str">
        <f t="shared" si="468"/>
        <v>MarçoSEMANA 1Feijão Branco</v>
      </c>
      <c r="F732" s="7">
        <f>SUMIF(NF!$A:$A,$E732,NF!$I:$I)</f>
        <v>0</v>
      </c>
      <c r="G732" s="74"/>
      <c r="H732" s="74"/>
      <c r="I732" s="74"/>
      <c r="J732" s="6"/>
      <c r="K732" s="6"/>
      <c r="L732" s="6"/>
      <c r="M732" s="6"/>
      <c r="N732" s="7">
        <f t="shared" si="478"/>
        <v>0</v>
      </c>
      <c r="O732" s="11">
        <f t="shared" si="434"/>
        <v>4</v>
      </c>
      <c r="P732" s="25"/>
      <c r="Q732" s="10" t="str">
        <f t="shared" si="469"/>
        <v>MarçoSEMANA 2Feijão Branco</v>
      </c>
      <c r="R732" s="7">
        <f>SUMIF(NF!$A:$A,$Q732,NF!$I:$I)</f>
        <v>0</v>
      </c>
      <c r="S732" s="6"/>
      <c r="T732" s="6"/>
      <c r="U732" s="6"/>
      <c r="V732" s="6"/>
      <c r="W732" s="6"/>
      <c r="X732" s="6">
        <v>1</v>
      </c>
      <c r="Y732" s="6"/>
      <c r="Z732" s="7">
        <f t="shared" si="479"/>
        <v>1</v>
      </c>
      <c r="AA732" s="11">
        <f t="shared" si="437"/>
        <v>3</v>
      </c>
      <c r="AB732" s="25"/>
      <c r="AC732" s="10" t="str">
        <f t="shared" si="470"/>
        <v>MarçoSEMANA 3Feijão Branco</v>
      </c>
      <c r="AD732" s="7">
        <f>SUMIF(NF!$A:$A,$AC732,NF!$I:$I)</f>
        <v>0</v>
      </c>
      <c r="AE732" s="6"/>
      <c r="AF732" s="6"/>
      <c r="AG732" s="6"/>
      <c r="AH732" s="6"/>
      <c r="AI732" s="6"/>
      <c r="AJ732" s="6"/>
      <c r="AK732" s="6"/>
      <c r="AL732" s="7">
        <f t="shared" si="480"/>
        <v>0</v>
      </c>
      <c r="AM732" s="11">
        <f t="shared" si="440"/>
        <v>3</v>
      </c>
      <c r="AN732" s="25"/>
      <c r="AO732" s="10" t="str">
        <f t="shared" si="471"/>
        <v>MarçoSEMANA 4Feijão Branco</v>
      </c>
      <c r="AP732" s="7">
        <f>SUMIF(NF!$A:$A,$AO732,NF!$I:$I)</f>
        <v>0</v>
      </c>
      <c r="AQ732" s="6"/>
      <c r="AR732" s="6"/>
      <c r="AS732" s="6"/>
      <c r="AT732" s="6"/>
      <c r="AU732" s="6"/>
      <c r="AV732" s="6"/>
      <c r="AW732" s="6"/>
      <c r="AX732" s="7">
        <f t="shared" si="481"/>
        <v>0</v>
      </c>
      <c r="AY732" s="11">
        <f t="shared" si="443"/>
        <v>3</v>
      </c>
      <c r="AZ732" s="25"/>
      <c r="BA732" s="10" t="str">
        <f t="shared" si="472"/>
        <v>MarçoSEMANA 5Feijão Branco</v>
      </c>
      <c r="BB732" s="7">
        <f>SUMIF(NF!$A:$A,$BA732,NF!$I:$I)</f>
        <v>0</v>
      </c>
      <c r="BC732" s="6"/>
      <c r="BD732" s="6"/>
      <c r="BE732" s="6">
        <v>0.5</v>
      </c>
      <c r="BF732" s="6">
        <v>2.5</v>
      </c>
      <c r="BG732" s="6"/>
      <c r="BH732" s="6"/>
      <c r="BI732" s="74"/>
      <c r="BJ732" s="74"/>
      <c r="BK732" s="7">
        <f t="shared" si="482"/>
        <v>3</v>
      </c>
      <c r="BL732" s="8">
        <f t="shared" si="446"/>
        <v>0</v>
      </c>
      <c r="BM732" s="51" t="str">
        <f>IFERROR(VLOOKUP(A732,NF!$M:$O,3,0),"")</f>
        <v>Mercado</v>
      </c>
      <c r="BN732" s="7">
        <f t="shared" si="447"/>
        <v>4</v>
      </c>
      <c r="BO732" s="8">
        <f t="array" ref="BO732">IFERROR(LARGE(IF(NF!$G$2:$G$3137='Mês atual'!A732,NF!$J$2:$J$3137),1),0)*BN732</f>
        <v>0</v>
      </c>
      <c r="BP732" s="50"/>
      <c r="BR732" s="146">
        <f t="array" ref="BR732">IFERROR(LARGE(IF(NF!$G$2:$G$3137='Mês atual'!A732,NF!$J$2:$J$3137),1),0)</f>
        <v>0</v>
      </c>
      <c r="BS732" s="142" t="str">
        <f>VLOOKUP(A732,NF!M:O,3,0)</f>
        <v>Mercado</v>
      </c>
      <c r="BV732" s="74">
        <f t="shared" si="453"/>
        <v>0</v>
      </c>
      <c r="BW732" s="74">
        <f t="shared" si="454"/>
        <v>1</v>
      </c>
      <c r="BX732" s="74">
        <f t="shared" si="455"/>
        <v>0</v>
      </c>
      <c r="BY732" s="74">
        <f t="shared" si="456"/>
        <v>0</v>
      </c>
      <c r="BZ732" s="74">
        <f t="shared" si="457"/>
        <v>3</v>
      </c>
    </row>
    <row r="733" spans="1:78" x14ac:dyDescent="0.25">
      <c r="A733" s="108" t="s">
        <v>349</v>
      </c>
      <c r="B733" s="12"/>
      <c r="C733" s="9">
        <v>2.5</v>
      </c>
      <c r="D733" s="25"/>
      <c r="E733" s="10" t="str">
        <f t="shared" si="468"/>
        <v>MarçoSEMANA 1Feijão de Soja</v>
      </c>
      <c r="F733" s="7">
        <f>SUMIF(NF!$A:$A,$E733,NF!$I:$I)</f>
        <v>2</v>
      </c>
      <c r="G733" s="74"/>
      <c r="H733" s="74"/>
      <c r="I733" s="74"/>
      <c r="J733" s="6">
        <v>1.5</v>
      </c>
      <c r="K733" s="6"/>
      <c r="L733" s="6"/>
      <c r="M733" s="6"/>
      <c r="N733" s="7">
        <f t="shared" si="478"/>
        <v>1.5</v>
      </c>
      <c r="O733" s="11">
        <f t="shared" si="434"/>
        <v>3</v>
      </c>
      <c r="P733" s="25"/>
      <c r="Q733" s="10" t="str">
        <f t="shared" si="469"/>
        <v>MarçoSEMANA 2Feijão de Soja</v>
      </c>
      <c r="R733" s="7">
        <f>SUMIF(NF!$A:$A,$Q733,NF!$I:$I)</f>
        <v>1</v>
      </c>
      <c r="S733" s="6"/>
      <c r="T733" s="6"/>
      <c r="U733" s="6"/>
      <c r="V733" s="6"/>
      <c r="W733" s="6">
        <v>1</v>
      </c>
      <c r="X733" s="6"/>
      <c r="Y733" s="6"/>
      <c r="Z733" s="7">
        <f t="shared" si="479"/>
        <v>1</v>
      </c>
      <c r="AA733" s="11">
        <f t="shared" si="437"/>
        <v>3</v>
      </c>
      <c r="AB733" s="25"/>
      <c r="AC733" s="10" t="str">
        <f t="shared" si="470"/>
        <v>MarçoSEMANA 3Feijão de Soja</v>
      </c>
      <c r="AD733" s="7">
        <f>SUMIF(NF!$A:$A,$AC733,NF!$I:$I)</f>
        <v>0</v>
      </c>
      <c r="AE733" s="6"/>
      <c r="AF733" s="6"/>
      <c r="AG733" s="6"/>
      <c r="AH733" s="6"/>
      <c r="AI733" s="6"/>
      <c r="AJ733" s="6"/>
      <c r="AK733" s="6"/>
      <c r="AL733" s="7">
        <f t="shared" si="480"/>
        <v>0</v>
      </c>
      <c r="AM733" s="11">
        <f t="shared" si="440"/>
        <v>3</v>
      </c>
      <c r="AN733" s="25"/>
      <c r="AO733" s="10" t="str">
        <f t="shared" si="471"/>
        <v>MarçoSEMANA 4Feijão de Soja</v>
      </c>
      <c r="AP733" s="7">
        <f>SUMIF(NF!$A:$A,$AO733,NF!$I:$I)</f>
        <v>0</v>
      </c>
      <c r="AQ733" s="6"/>
      <c r="AR733" s="6"/>
      <c r="AS733" s="6"/>
      <c r="AT733" s="6"/>
      <c r="AU733" s="6"/>
      <c r="AV733" s="6"/>
      <c r="AW733" s="6"/>
      <c r="AX733" s="7">
        <f t="shared" si="481"/>
        <v>0</v>
      </c>
      <c r="AY733" s="11">
        <f t="shared" si="443"/>
        <v>3</v>
      </c>
      <c r="AZ733" s="25"/>
      <c r="BA733" s="10" t="str">
        <f t="shared" si="472"/>
        <v>MarçoSEMANA 5Feijão de Soja</v>
      </c>
      <c r="BB733" s="7">
        <f>SUMIF(NF!$A:$A,$BA733,NF!$I:$I)</f>
        <v>0</v>
      </c>
      <c r="BC733" s="6">
        <v>1</v>
      </c>
      <c r="BD733" s="6"/>
      <c r="BE733" s="6"/>
      <c r="BF733" s="6"/>
      <c r="BG733" s="6"/>
      <c r="BH733" s="6">
        <v>0.5</v>
      </c>
      <c r="BI733" s="74"/>
      <c r="BJ733" s="74"/>
      <c r="BK733" s="7">
        <f t="shared" si="482"/>
        <v>1.5</v>
      </c>
      <c r="BL733" s="8">
        <f t="shared" si="446"/>
        <v>1.5</v>
      </c>
      <c r="BM733" s="51" t="str">
        <f>IFERROR(VLOOKUP(A733,NF!$M:$O,3,0),"")</f>
        <v>Mercado</v>
      </c>
      <c r="BN733" s="7">
        <f t="shared" si="447"/>
        <v>4</v>
      </c>
      <c r="BO733" s="8">
        <f t="array" ref="BO733">IFERROR(LARGE(IF(NF!$G$2:$G$3137='Mês atual'!A733,NF!$J$2:$J$3137),1),0)*BN733</f>
        <v>18</v>
      </c>
      <c r="BP733" s="50"/>
      <c r="BR733" s="146">
        <f t="array" ref="BR733">IFERROR(LARGE(IF(NF!$G$2:$G$3137='Mês atual'!A733,NF!$J$2:$J$3137),1),0)</f>
        <v>4.5</v>
      </c>
      <c r="BS733" s="142" t="str">
        <f>VLOOKUP(A733,NF!M:O,3,0)</f>
        <v>Mercado</v>
      </c>
      <c r="BV733" s="74">
        <f t="shared" si="453"/>
        <v>1.5</v>
      </c>
      <c r="BW733" s="74">
        <f t="shared" si="454"/>
        <v>1</v>
      </c>
      <c r="BX733" s="74">
        <f t="shared" si="455"/>
        <v>0</v>
      </c>
      <c r="BY733" s="74">
        <f t="shared" si="456"/>
        <v>0</v>
      </c>
      <c r="BZ733" s="74">
        <f t="shared" si="457"/>
        <v>1.5</v>
      </c>
    </row>
    <row r="734" spans="1:78" x14ac:dyDescent="0.25">
      <c r="A734" s="108" t="s">
        <v>350</v>
      </c>
      <c r="B734" s="12"/>
      <c r="C734" s="9">
        <v>2</v>
      </c>
      <c r="D734" s="25"/>
      <c r="E734" s="10" t="str">
        <f t="shared" si="468"/>
        <v>MarçoSEMANA 1Feijão Fradinho</v>
      </c>
      <c r="F734" s="7">
        <f>SUMIF(NF!$A:$A,$E734,NF!$I:$I)</f>
        <v>5</v>
      </c>
      <c r="G734" s="74"/>
      <c r="H734" s="74"/>
      <c r="I734" s="74"/>
      <c r="J734" s="6"/>
      <c r="K734" s="6"/>
      <c r="L734" s="6"/>
      <c r="M734" s="6"/>
      <c r="N734" s="7">
        <f t="shared" si="478"/>
        <v>0</v>
      </c>
      <c r="O734" s="11">
        <f t="shared" si="434"/>
        <v>7</v>
      </c>
      <c r="P734" s="25"/>
      <c r="Q734" s="10" t="str">
        <f t="shared" si="469"/>
        <v>MarçoSEMANA 2Feijão Fradinho</v>
      </c>
      <c r="R734" s="7">
        <f>SUMIF(NF!$A:$A,$Q734,NF!$I:$I)</f>
        <v>10</v>
      </c>
      <c r="S734" s="6"/>
      <c r="T734" s="6">
        <v>1.5</v>
      </c>
      <c r="U734" s="6"/>
      <c r="V734" s="6"/>
      <c r="W734" s="6"/>
      <c r="X734" s="6"/>
      <c r="Y734" s="6">
        <v>4</v>
      </c>
      <c r="Z734" s="7">
        <f t="shared" si="479"/>
        <v>5.5</v>
      </c>
      <c r="AA734" s="11">
        <f t="shared" si="437"/>
        <v>11.5</v>
      </c>
      <c r="AB734" s="25"/>
      <c r="AC734" s="10" t="str">
        <f t="shared" si="470"/>
        <v>MarçoSEMANA 3Feijão Fradinho</v>
      </c>
      <c r="AD734" s="7">
        <f>SUMIF(NF!$A:$A,$AC734,NF!$I:$I)</f>
        <v>0</v>
      </c>
      <c r="AE734" s="6"/>
      <c r="AF734" s="6"/>
      <c r="AG734" s="6"/>
      <c r="AH734" s="6"/>
      <c r="AI734" s="6">
        <v>0.5</v>
      </c>
      <c r="AJ734" s="6"/>
      <c r="AK734" s="6"/>
      <c r="AL734" s="7">
        <f t="shared" si="480"/>
        <v>0.5</v>
      </c>
      <c r="AM734" s="11">
        <f t="shared" si="440"/>
        <v>11</v>
      </c>
      <c r="AN734" s="25"/>
      <c r="AO734" s="10" t="str">
        <f t="shared" si="471"/>
        <v>MarçoSEMANA 4Feijão Fradinho</v>
      </c>
      <c r="AP734" s="7">
        <f>SUMIF(NF!$A:$A,$AO734,NF!$I:$I)</f>
        <v>0</v>
      </c>
      <c r="AQ734" s="6"/>
      <c r="AR734" s="6"/>
      <c r="AS734" s="6"/>
      <c r="AT734" s="6"/>
      <c r="AU734" s="6">
        <v>1</v>
      </c>
      <c r="AV734" s="6"/>
      <c r="AW734" s="6"/>
      <c r="AX734" s="7">
        <f t="shared" si="481"/>
        <v>1</v>
      </c>
      <c r="AY734" s="11">
        <f t="shared" si="443"/>
        <v>10</v>
      </c>
      <c r="AZ734" s="25"/>
      <c r="BA734" s="10" t="str">
        <f t="shared" si="472"/>
        <v>MarçoSEMANA 5Feijão Fradinho</v>
      </c>
      <c r="BB734" s="7">
        <f>SUMIF(NF!$A:$A,$BA734,NF!$I:$I)</f>
        <v>0</v>
      </c>
      <c r="BC734" s="6">
        <v>1.5</v>
      </c>
      <c r="BD734" s="6"/>
      <c r="BE734" s="6">
        <v>1.5</v>
      </c>
      <c r="BF734" s="6"/>
      <c r="BG734" s="6"/>
      <c r="BH734" s="6"/>
      <c r="BI734" s="74"/>
      <c r="BJ734" s="74"/>
      <c r="BK734" s="7">
        <f t="shared" si="482"/>
        <v>3</v>
      </c>
      <c r="BL734" s="8">
        <f t="shared" si="446"/>
        <v>7</v>
      </c>
      <c r="BM734" s="51" t="str">
        <f>IFERROR(VLOOKUP(A734,NF!$M:$O,3,0),"")</f>
        <v>Mercado</v>
      </c>
      <c r="BN734" s="7">
        <f t="shared" si="447"/>
        <v>10</v>
      </c>
      <c r="BO734" s="8">
        <f t="array" ref="BO734">IFERROR(LARGE(IF(NF!$G$2:$G$3137='Mês atual'!A734,NF!$J$2:$J$3137),1),0)*BN734</f>
        <v>37</v>
      </c>
      <c r="BP734" s="50"/>
      <c r="BR734" s="146">
        <f t="array" ref="BR734">IFERROR(LARGE(IF(NF!$G$2:$G$3137='Mês atual'!A734,NF!$J$2:$J$3137),1),0)</f>
        <v>3.7</v>
      </c>
      <c r="BS734" s="142" t="str">
        <f>VLOOKUP(A734,NF!M:O,3,0)</f>
        <v>Mercado</v>
      </c>
      <c r="BV734" s="74">
        <f t="shared" si="453"/>
        <v>0</v>
      </c>
      <c r="BW734" s="74">
        <f t="shared" si="454"/>
        <v>5.5</v>
      </c>
      <c r="BX734" s="74">
        <f t="shared" si="455"/>
        <v>0.5</v>
      </c>
      <c r="BY734" s="74">
        <f t="shared" si="456"/>
        <v>1</v>
      </c>
      <c r="BZ734" s="74">
        <f t="shared" si="457"/>
        <v>3</v>
      </c>
    </row>
    <row r="735" spans="1:78" x14ac:dyDescent="0.25">
      <c r="A735" s="108" t="s">
        <v>351</v>
      </c>
      <c r="B735" s="12"/>
      <c r="C735" s="9">
        <v>2</v>
      </c>
      <c r="D735" s="25"/>
      <c r="E735" s="10" t="str">
        <f t="shared" si="468"/>
        <v>MarçoSEMANA 1Feijão Mulatinho</v>
      </c>
      <c r="F735" s="7">
        <f>SUMIF(NF!$A:$A,$E735,NF!$I:$I)</f>
        <v>20</v>
      </c>
      <c r="G735" s="74"/>
      <c r="H735" s="74"/>
      <c r="I735" s="74"/>
      <c r="J735" s="6">
        <v>2</v>
      </c>
      <c r="K735" s="6"/>
      <c r="L735" s="6"/>
      <c r="M735" s="6">
        <v>5</v>
      </c>
      <c r="N735" s="7">
        <f t="shared" si="478"/>
        <v>7</v>
      </c>
      <c r="O735" s="11">
        <f t="shared" si="434"/>
        <v>15</v>
      </c>
      <c r="P735" s="25"/>
      <c r="Q735" s="10" t="str">
        <f t="shared" si="469"/>
        <v>MarçoSEMANA 2Feijão Mulatinho</v>
      </c>
      <c r="R735" s="7">
        <f>SUMIF(NF!$A:$A,$Q735,NF!$I:$I)</f>
        <v>5</v>
      </c>
      <c r="S735" s="6"/>
      <c r="T735" s="6"/>
      <c r="U735" s="6">
        <v>4</v>
      </c>
      <c r="V735" s="6"/>
      <c r="W735" s="6"/>
      <c r="X735" s="6"/>
      <c r="Y735" s="6">
        <v>4</v>
      </c>
      <c r="Z735" s="7">
        <f t="shared" si="479"/>
        <v>8</v>
      </c>
      <c r="AA735" s="11">
        <f t="shared" si="437"/>
        <v>12</v>
      </c>
      <c r="AB735" s="25"/>
      <c r="AC735" s="10" t="str">
        <f t="shared" si="470"/>
        <v>MarçoSEMANA 3Feijão Mulatinho</v>
      </c>
      <c r="AD735" s="7">
        <f>SUMIF(NF!$A:$A,$AC735,NF!$I:$I)</f>
        <v>5</v>
      </c>
      <c r="AE735" s="6"/>
      <c r="AF735" s="6"/>
      <c r="AG735" s="6">
        <v>4</v>
      </c>
      <c r="AH735" s="6"/>
      <c r="AI735" s="6"/>
      <c r="AJ735" s="6"/>
      <c r="AK735" s="6">
        <v>5</v>
      </c>
      <c r="AL735" s="7">
        <f t="shared" si="480"/>
        <v>9</v>
      </c>
      <c r="AM735" s="11">
        <f t="shared" si="440"/>
        <v>8</v>
      </c>
      <c r="AN735" s="25"/>
      <c r="AO735" s="10" t="str">
        <f t="shared" si="471"/>
        <v>MarçoSEMANA 4Feijão Mulatinho</v>
      </c>
      <c r="AP735" s="7">
        <f>SUMIF(NF!$A:$A,$AO735,NF!$I:$I)</f>
        <v>5</v>
      </c>
      <c r="AQ735" s="6"/>
      <c r="AR735" s="6"/>
      <c r="AS735" s="6">
        <v>4</v>
      </c>
      <c r="AT735" s="6"/>
      <c r="AU735" s="6"/>
      <c r="AV735" s="6"/>
      <c r="AW735" s="6">
        <v>1.5</v>
      </c>
      <c r="AX735" s="7">
        <f t="shared" si="481"/>
        <v>5.5</v>
      </c>
      <c r="AY735" s="11">
        <f t="shared" si="443"/>
        <v>7.5</v>
      </c>
      <c r="AZ735" s="25"/>
      <c r="BA735" s="10" t="str">
        <f t="shared" si="472"/>
        <v>MarçoSEMANA 5Feijão Mulatinho</v>
      </c>
      <c r="BB735" s="7">
        <f>SUMIF(NF!$A:$A,$BA735,NF!$I:$I)</f>
        <v>5</v>
      </c>
      <c r="BC735" s="6"/>
      <c r="BD735" s="6"/>
      <c r="BE735" s="6">
        <v>4</v>
      </c>
      <c r="BF735" s="6"/>
      <c r="BG735" s="6"/>
      <c r="BH735" s="6">
        <v>1</v>
      </c>
      <c r="BI735" s="74"/>
      <c r="BJ735" s="74"/>
      <c r="BK735" s="7">
        <f t="shared" si="482"/>
        <v>5</v>
      </c>
      <c r="BL735" s="8">
        <f t="shared" si="446"/>
        <v>7.5</v>
      </c>
      <c r="BM735" s="51" t="str">
        <f>IFERROR(VLOOKUP(A735,NF!$M:$O,3,0),"")</f>
        <v>Mercado</v>
      </c>
      <c r="BN735" s="7">
        <f t="shared" si="447"/>
        <v>34.5</v>
      </c>
      <c r="BO735" s="8">
        <f t="array" ref="BO735">IFERROR(LARGE(IF(NF!$G$2:$G$3137='Mês atual'!A735,NF!$J$2:$J$3137),1),0)*BN735</f>
        <v>334.65</v>
      </c>
      <c r="BP735" s="50"/>
      <c r="BR735" s="146">
        <f t="array" ref="BR735">IFERROR(LARGE(IF(NF!$G$2:$G$3137='Mês atual'!A735,NF!$J$2:$J$3137),1),0)</f>
        <v>9.6999999999999993</v>
      </c>
      <c r="BS735" s="142" t="str">
        <f>VLOOKUP(A735,NF!M:O,3,0)</f>
        <v>Mercado</v>
      </c>
      <c r="BV735" s="74">
        <f t="shared" si="453"/>
        <v>7</v>
      </c>
      <c r="BW735" s="74">
        <f t="shared" si="454"/>
        <v>8</v>
      </c>
      <c r="BX735" s="74">
        <f t="shared" si="455"/>
        <v>9</v>
      </c>
      <c r="BY735" s="74">
        <f t="shared" si="456"/>
        <v>5.5</v>
      </c>
      <c r="BZ735" s="74">
        <f t="shared" si="457"/>
        <v>5</v>
      </c>
    </row>
    <row r="736" spans="1:78" x14ac:dyDescent="0.25">
      <c r="A736" s="108" t="s">
        <v>352</v>
      </c>
      <c r="B736" s="12"/>
      <c r="C736" s="9">
        <v>22</v>
      </c>
      <c r="D736" s="25"/>
      <c r="E736" s="10" t="str">
        <f t="shared" si="468"/>
        <v>MarçoSEMANA 1Feijão Preto</v>
      </c>
      <c r="F736" s="7">
        <f>SUMIF(NF!$A:$A,$E736,NF!$I:$I)</f>
        <v>40</v>
      </c>
      <c r="G736" s="74"/>
      <c r="H736" s="74"/>
      <c r="I736" s="74"/>
      <c r="J736" s="6">
        <v>4</v>
      </c>
      <c r="K736" s="6">
        <v>8</v>
      </c>
      <c r="L736" s="6">
        <v>5</v>
      </c>
      <c r="M736" s="6"/>
      <c r="N736" s="7">
        <f t="shared" si="478"/>
        <v>17</v>
      </c>
      <c r="O736" s="11">
        <f t="shared" si="434"/>
        <v>45</v>
      </c>
      <c r="P736" s="25"/>
      <c r="Q736" s="10" t="str">
        <f t="shared" si="469"/>
        <v>MarçoSEMANA 2Feijão Preto</v>
      </c>
      <c r="R736" s="7">
        <f>SUMIF(NF!$A:$A,$Q736,NF!$I:$I)</f>
        <v>10</v>
      </c>
      <c r="S736" s="6">
        <v>5</v>
      </c>
      <c r="T736" s="6">
        <v>4</v>
      </c>
      <c r="U736" s="6"/>
      <c r="V736" s="6">
        <v>4</v>
      </c>
      <c r="W736" s="6">
        <v>9</v>
      </c>
      <c r="X736" s="6">
        <v>5</v>
      </c>
      <c r="Y736" s="6"/>
      <c r="Z736" s="7">
        <f t="shared" si="479"/>
        <v>27</v>
      </c>
      <c r="AA736" s="11">
        <f t="shared" si="437"/>
        <v>28</v>
      </c>
      <c r="AB736" s="25"/>
      <c r="AC736" s="10" t="str">
        <f t="shared" si="470"/>
        <v>MarçoSEMANA 3Feijão Preto</v>
      </c>
      <c r="AD736" s="7">
        <f>SUMIF(NF!$A:$A,$AC736,NF!$I:$I)</f>
        <v>20</v>
      </c>
      <c r="AE736" s="6">
        <v>4</v>
      </c>
      <c r="AF736" s="6">
        <v>4</v>
      </c>
      <c r="AG736" s="6"/>
      <c r="AH736" s="6">
        <v>4</v>
      </c>
      <c r="AI736" s="6">
        <v>7</v>
      </c>
      <c r="AJ736" s="6">
        <v>5</v>
      </c>
      <c r="AK736" s="6"/>
      <c r="AL736" s="7">
        <f t="shared" si="480"/>
        <v>24</v>
      </c>
      <c r="AM736" s="11">
        <f t="shared" si="440"/>
        <v>24</v>
      </c>
      <c r="AN736" s="25"/>
      <c r="AO736" s="10" t="str">
        <f t="shared" si="471"/>
        <v>MarçoSEMANA 4Feijão Preto</v>
      </c>
      <c r="AP736" s="7">
        <f>SUMIF(NF!$A:$A,$AO736,NF!$I:$I)</f>
        <v>30</v>
      </c>
      <c r="AQ736" s="6">
        <v>5</v>
      </c>
      <c r="AR736" s="6">
        <v>5</v>
      </c>
      <c r="AS736" s="6"/>
      <c r="AT736" s="6">
        <v>2</v>
      </c>
      <c r="AU736" s="6">
        <v>7</v>
      </c>
      <c r="AV736" s="6">
        <v>5</v>
      </c>
      <c r="AW736" s="6">
        <v>1</v>
      </c>
      <c r="AX736" s="7">
        <f t="shared" si="481"/>
        <v>25</v>
      </c>
      <c r="AY736" s="11">
        <f t="shared" si="443"/>
        <v>29</v>
      </c>
      <c r="AZ736" s="25"/>
      <c r="BA736" s="10" t="str">
        <f t="shared" si="472"/>
        <v>MarçoSEMANA 5Feijão Preto</v>
      </c>
      <c r="BB736" s="7">
        <f>SUMIF(NF!$A:$A,$BA736,NF!$I:$I)</f>
        <v>10</v>
      </c>
      <c r="BC736" s="6">
        <v>5</v>
      </c>
      <c r="BD736" s="6">
        <v>4</v>
      </c>
      <c r="BE736" s="6"/>
      <c r="BF736" s="6">
        <v>4</v>
      </c>
      <c r="BG736" s="6"/>
      <c r="BH736" s="6">
        <v>9</v>
      </c>
      <c r="BI736" s="74"/>
      <c r="BJ736" s="74"/>
      <c r="BK736" s="7">
        <f t="shared" si="482"/>
        <v>22</v>
      </c>
      <c r="BL736" s="8">
        <f t="shared" si="446"/>
        <v>17</v>
      </c>
      <c r="BM736" s="51" t="str">
        <f>IFERROR(VLOOKUP(A736,NF!$M:$O,3,0),"")</f>
        <v>Mercado</v>
      </c>
      <c r="BN736" s="7">
        <f t="shared" si="447"/>
        <v>115</v>
      </c>
      <c r="BO736" s="8">
        <f t="array" ref="BO736">IFERROR(LARGE(IF(NF!$G$2:$G$3137='Mês atual'!A736,NF!$J$2:$J$3137),1),0)*BN736</f>
        <v>512.9</v>
      </c>
      <c r="BP736" s="50"/>
      <c r="BR736" s="146">
        <f t="array" ref="BR736">IFERROR(LARGE(IF(NF!$G$2:$G$3137='Mês atual'!A736,NF!$J$2:$J$3137),1),0)</f>
        <v>4.46</v>
      </c>
      <c r="BS736" s="142" t="str">
        <f>VLOOKUP(A736,NF!M:O,3,0)</f>
        <v>Mercado</v>
      </c>
      <c r="BV736" s="74">
        <f t="shared" si="453"/>
        <v>17</v>
      </c>
      <c r="BW736" s="74">
        <f t="shared" si="454"/>
        <v>27</v>
      </c>
      <c r="BX736" s="74">
        <f t="shared" si="455"/>
        <v>24</v>
      </c>
      <c r="BY736" s="74">
        <f t="shared" si="456"/>
        <v>25</v>
      </c>
      <c r="BZ736" s="74">
        <f t="shared" si="457"/>
        <v>22</v>
      </c>
    </row>
    <row r="737" spans="1:78" x14ac:dyDescent="0.25">
      <c r="A737" s="108" t="s">
        <v>353</v>
      </c>
      <c r="B737" s="12"/>
      <c r="C737" s="9">
        <v>0</v>
      </c>
      <c r="D737" s="25"/>
      <c r="E737" s="10" t="str">
        <f t="shared" si="468"/>
        <v>MarçoSEMANA 1Fermento em Pó Royal 100 g</v>
      </c>
      <c r="F737" s="7">
        <f>SUMIF(NF!$A:$A,$E737,NF!$I:$I)</f>
        <v>0</v>
      </c>
      <c r="G737" s="74"/>
      <c r="H737" s="74"/>
      <c r="I737" s="74"/>
      <c r="J737" s="6"/>
      <c r="K737" s="6"/>
      <c r="L737" s="6"/>
      <c r="M737" s="6"/>
      <c r="N737" s="7">
        <f t="shared" si="478"/>
        <v>0</v>
      </c>
      <c r="O737" s="11">
        <f t="shared" si="434"/>
        <v>0</v>
      </c>
      <c r="P737" s="25"/>
      <c r="Q737" s="10" t="str">
        <f t="shared" si="469"/>
        <v>MarçoSEMANA 2Fermento em Pó Royal 100 g</v>
      </c>
      <c r="R737" s="7">
        <f>SUMIF(NF!$A:$A,$Q737,NF!$I:$I)</f>
        <v>0</v>
      </c>
      <c r="S737" s="6"/>
      <c r="T737" s="6"/>
      <c r="U737" s="6"/>
      <c r="V737" s="6"/>
      <c r="W737" s="6"/>
      <c r="X737" s="6"/>
      <c r="Y737" s="6"/>
      <c r="Z737" s="7">
        <f t="shared" si="479"/>
        <v>0</v>
      </c>
      <c r="AA737" s="11">
        <f t="shared" si="437"/>
        <v>0</v>
      </c>
      <c r="AB737" s="25"/>
      <c r="AC737" s="10" t="str">
        <f t="shared" si="470"/>
        <v>MarçoSEMANA 3Fermento em Pó Royal 100 g</v>
      </c>
      <c r="AD737" s="7">
        <f>SUMIF(NF!$A:$A,$AC737,NF!$I:$I)</f>
        <v>0</v>
      </c>
      <c r="AE737" s="6"/>
      <c r="AF737" s="6"/>
      <c r="AG737" s="6"/>
      <c r="AH737" s="6"/>
      <c r="AI737" s="6"/>
      <c r="AJ737" s="6"/>
      <c r="AK737" s="6"/>
      <c r="AL737" s="7">
        <f t="shared" si="480"/>
        <v>0</v>
      </c>
      <c r="AM737" s="11">
        <f t="shared" si="440"/>
        <v>0</v>
      </c>
      <c r="AN737" s="25"/>
      <c r="AO737" s="10" t="str">
        <f t="shared" si="471"/>
        <v>MarçoSEMANA 4Fermento em Pó Royal 100 g</v>
      </c>
      <c r="AP737" s="7">
        <f>SUMIF(NF!$A:$A,$AO737,NF!$I:$I)</f>
        <v>0</v>
      </c>
      <c r="AQ737" s="6"/>
      <c r="AR737" s="6"/>
      <c r="AS737" s="6"/>
      <c r="AT737" s="6"/>
      <c r="AU737" s="6"/>
      <c r="AV737" s="6"/>
      <c r="AW737" s="6"/>
      <c r="AX737" s="7">
        <f t="shared" si="481"/>
        <v>0</v>
      </c>
      <c r="AY737" s="11">
        <f t="shared" si="443"/>
        <v>0</v>
      </c>
      <c r="AZ737" s="25"/>
      <c r="BA737" s="10" t="str">
        <f t="shared" si="472"/>
        <v>MarçoSEMANA 5Fermento em Pó Royal 100 g</v>
      </c>
      <c r="BB737" s="7">
        <f>SUMIF(NF!$A:$A,$BA737,NF!$I:$I)</f>
        <v>0</v>
      </c>
      <c r="BC737" s="6"/>
      <c r="BD737" s="6"/>
      <c r="BE737" s="6"/>
      <c r="BF737" s="6"/>
      <c r="BG737" s="6"/>
      <c r="BH737" s="6"/>
      <c r="BI737" s="74"/>
      <c r="BJ737" s="74"/>
      <c r="BK737" s="7">
        <f t="shared" si="482"/>
        <v>0</v>
      </c>
      <c r="BL737" s="8">
        <f t="shared" si="446"/>
        <v>0</v>
      </c>
      <c r="BM737" s="51" t="str">
        <f>IFERROR(VLOOKUP(A737,NF!$M:$O,3,0),"")</f>
        <v>Mercado</v>
      </c>
      <c r="BN737" s="7">
        <f t="shared" si="447"/>
        <v>0</v>
      </c>
      <c r="BO737" s="8">
        <f t="array" ref="BO737">IFERROR(LARGE(IF(NF!$G$2:$G$3137='Mês atual'!A737,NF!$J$2:$J$3137),1),0)*BN737</f>
        <v>0</v>
      </c>
      <c r="BP737" s="50"/>
      <c r="BR737" s="146">
        <f t="array" ref="BR737">IFERROR(LARGE(IF(NF!$G$2:$G$3137='Mês atual'!A737,NF!$J$2:$J$3137),1),0)</f>
        <v>0</v>
      </c>
      <c r="BS737" s="142" t="str">
        <f>VLOOKUP(A737,NF!M:O,3,0)</f>
        <v>Mercado</v>
      </c>
      <c r="BV737" s="74">
        <f t="shared" si="453"/>
        <v>0</v>
      </c>
      <c r="BW737" s="74">
        <f t="shared" si="454"/>
        <v>0</v>
      </c>
      <c r="BX737" s="74">
        <f t="shared" si="455"/>
        <v>0</v>
      </c>
      <c r="BY737" s="74">
        <f t="shared" si="456"/>
        <v>0</v>
      </c>
      <c r="BZ737" s="74">
        <f t="shared" si="457"/>
        <v>0</v>
      </c>
    </row>
    <row r="738" spans="1:78" x14ac:dyDescent="0.25">
      <c r="A738" s="108" t="s">
        <v>354</v>
      </c>
      <c r="B738" s="12"/>
      <c r="C738" s="9">
        <v>9</v>
      </c>
      <c r="D738" s="25"/>
      <c r="E738" s="10" t="str">
        <f t="shared" si="468"/>
        <v>MarçoSEMANA 1Fermento em Pó Royal 250 g</v>
      </c>
      <c r="F738" s="7">
        <f>SUMIF(NF!$A:$A,$E738,NF!$I:$I)</f>
        <v>0</v>
      </c>
      <c r="G738" s="74"/>
      <c r="H738" s="74"/>
      <c r="I738" s="74"/>
      <c r="J738" s="6"/>
      <c r="K738" s="6"/>
      <c r="L738" s="6"/>
      <c r="M738" s="6">
        <v>1</v>
      </c>
      <c r="N738" s="7">
        <f>SUM(G738:M738)</f>
        <v>1</v>
      </c>
      <c r="O738" s="11">
        <f t="shared" si="434"/>
        <v>8</v>
      </c>
      <c r="P738" s="25"/>
      <c r="Q738" s="10" t="str">
        <f t="shared" si="469"/>
        <v>MarçoSEMANA 2Fermento em Pó Royal 250 g</v>
      </c>
      <c r="R738" s="7">
        <f>SUMIF(NF!$A:$A,$Q738,NF!$I:$I)</f>
        <v>0</v>
      </c>
      <c r="S738" s="6"/>
      <c r="T738" s="6"/>
      <c r="U738" s="6"/>
      <c r="V738" s="6"/>
      <c r="W738" s="6"/>
      <c r="X738" s="6"/>
      <c r="Y738" s="6"/>
      <c r="Z738" s="7">
        <f>SUM(S738:Y738)</f>
        <v>0</v>
      </c>
      <c r="AA738" s="11">
        <f t="shared" si="437"/>
        <v>8</v>
      </c>
      <c r="AB738" s="25"/>
      <c r="AC738" s="10" t="str">
        <f t="shared" si="470"/>
        <v>MarçoSEMANA 3Fermento em Pó Royal 250 g</v>
      </c>
      <c r="AD738" s="7">
        <f>SUMIF(NF!$A:$A,$AC738,NF!$I:$I)</f>
        <v>0</v>
      </c>
      <c r="AE738" s="6"/>
      <c r="AF738" s="6"/>
      <c r="AG738" s="6"/>
      <c r="AH738" s="6"/>
      <c r="AI738" s="6">
        <v>1</v>
      </c>
      <c r="AJ738" s="6"/>
      <c r="AK738" s="6"/>
      <c r="AL738" s="7">
        <f>SUM(AE738:AK738)</f>
        <v>1</v>
      </c>
      <c r="AM738" s="11">
        <f t="shared" si="440"/>
        <v>7</v>
      </c>
      <c r="AN738" s="25"/>
      <c r="AO738" s="10" t="str">
        <f t="shared" si="471"/>
        <v>MarçoSEMANA 4Fermento em Pó Royal 250 g</v>
      </c>
      <c r="AP738" s="7">
        <f>SUMIF(NF!$A:$A,$AO738,NF!$I:$I)</f>
        <v>0</v>
      </c>
      <c r="AQ738" s="6"/>
      <c r="AR738" s="6"/>
      <c r="AS738" s="6"/>
      <c r="AT738" s="6">
        <v>1</v>
      </c>
      <c r="AU738" s="6"/>
      <c r="AV738" s="6"/>
      <c r="AW738" s="6"/>
      <c r="AX738" s="7">
        <f>SUM(AQ738:AW738)</f>
        <v>1</v>
      </c>
      <c r="AY738" s="11">
        <f t="shared" si="443"/>
        <v>6</v>
      </c>
      <c r="AZ738" s="25"/>
      <c r="BA738" s="10" t="str">
        <f t="shared" si="472"/>
        <v>MarçoSEMANA 5Fermento em Pó Royal 250 g</v>
      </c>
      <c r="BB738" s="7">
        <f>SUMIF(NF!$A:$A,$BA738,NF!$I:$I)</f>
        <v>0</v>
      </c>
      <c r="BC738" s="6"/>
      <c r="BD738" s="6">
        <v>1</v>
      </c>
      <c r="BE738" s="6"/>
      <c r="BF738" s="6"/>
      <c r="BG738" s="6"/>
      <c r="BH738" s="6"/>
      <c r="BI738" s="74"/>
      <c r="BJ738" s="74"/>
      <c r="BK738" s="7">
        <f>SUM(BC738:BJ738)</f>
        <v>1</v>
      </c>
      <c r="BL738" s="8">
        <f t="shared" si="446"/>
        <v>5</v>
      </c>
      <c r="BM738" s="51" t="str">
        <f>IFERROR(VLOOKUP(A738,NF!$M:$O,3,0),"")</f>
        <v>Mercado</v>
      </c>
      <c r="BN738" s="7">
        <f t="shared" si="447"/>
        <v>4</v>
      </c>
      <c r="BO738" s="8">
        <f t="array" ref="BO738">IFERROR(LARGE(IF(NF!$G$2:$G$3137='Mês atual'!A738,NF!$J$2:$J$3137),1),0)*BN738</f>
        <v>0</v>
      </c>
      <c r="BP738" s="50"/>
      <c r="BR738" s="146">
        <f t="array" ref="BR738">IFERROR(LARGE(IF(NF!$G$2:$G$3137='Mês atual'!A738,NF!$J$2:$J$3137),1),0)</f>
        <v>0</v>
      </c>
      <c r="BS738" s="142" t="str">
        <f>VLOOKUP(A738,NF!M:O,3,0)</f>
        <v>Mercado</v>
      </c>
      <c r="BV738" s="74">
        <f t="shared" si="453"/>
        <v>1</v>
      </c>
      <c r="BW738" s="74">
        <f t="shared" si="454"/>
        <v>0</v>
      </c>
      <c r="BX738" s="74">
        <f t="shared" si="455"/>
        <v>1</v>
      </c>
      <c r="BY738" s="74">
        <f t="shared" si="456"/>
        <v>1</v>
      </c>
      <c r="BZ738" s="74">
        <f t="shared" si="457"/>
        <v>1</v>
      </c>
    </row>
    <row r="739" spans="1:78" x14ac:dyDescent="0.2">
      <c r="A739" s="108" t="s">
        <v>356</v>
      </c>
      <c r="B739" s="12"/>
      <c r="C739" s="9">
        <v>0</v>
      </c>
      <c r="D739" s="25"/>
      <c r="E739" s="10" t="str">
        <f t="shared" si="468"/>
        <v>MarçoSEMANA 1Figo em Calda</v>
      </c>
      <c r="F739" s="7">
        <f>SUMIF(NF!$A:$A,$E739,NF!$I:$I)</f>
        <v>0</v>
      </c>
      <c r="G739" s="74"/>
      <c r="H739" s="74"/>
      <c r="I739" s="74"/>
      <c r="J739" s="6"/>
      <c r="K739" s="6"/>
      <c r="L739" s="6"/>
      <c r="M739" s="6"/>
      <c r="N739" s="7">
        <f t="shared" ref="N739:N751" si="483">SUM(G739:M739)</f>
        <v>0</v>
      </c>
      <c r="O739" s="11">
        <f t="shared" si="434"/>
        <v>0</v>
      </c>
      <c r="P739" s="25"/>
      <c r="Q739" s="10" t="str">
        <f t="shared" si="469"/>
        <v>MarçoSEMANA 2Figo em Calda</v>
      </c>
      <c r="R739" s="7">
        <f>SUMIF(NF!$A:$A,$Q739,NF!$I:$I)</f>
        <v>0</v>
      </c>
      <c r="S739" s="6"/>
      <c r="T739" s="6"/>
      <c r="U739" s="6"/>
      <c r="V739" s="6"/>
      <c r="W739" s="6"/>
      <c r="X739" s="6"/>
      <c r="Y739" s="6"/>
      <c r="Z739" s="7">
        <f t="shared" ref="Z739:Z751" si="484">SUM(S739:Y739)</f>
        <v>0</v>
      </c>
      <c r="AA739" s="11">
        <f t="shared" si="437"/>
        <v>0</v>
      </c>
      <c r="AB739" s="25"/>
      <c r="AC739" s="10" t="str">
        <f t="shared" si="470"/>
        <v>MarçoSEMANA 3Figo em Calda</v>
      </c>
      <c r="AD739" s="7">
        <f>SUMIF(NF!$A:$A,$AC739,NF!$I:$I)</f>
        <v>0</v>
      </c>
      <c r="AE739" s="6"/>
      <c r="AF739" s="6"/>
      <c r="AG739" s="6"/>
      <c r="AH739" s="6"/>
      <c r="AI739" s="6"/>
      <c r="AJ739" s="6"/>
      <c r="AK739" s="6"/>
      <c r="AL739" s="7">
        <f t="shared" ref="AL739:AL751" si="485">SUM(AE739:AK739)</f>
        <v>0</v>
      </c>
      <c r="AM739" s="11">
        <f t="shared" si="440"/>
        <v>0</v>
      </c>
      <c r="AN739" s="25"/>
      <c r="AO739" s="10" t="str">
        <f t="shared" si="471"/>
        <v>MarçoSEMANA 4Figo em Calda</v>
      </c>
      <c r="AP739" s="7">
        <f>SUMIF(NF!$A:$A,$AO739,NF!$I:$I)</f>
        <v>0</v>
      </c>
      <c r="AQ739" s="6"/>
      <c r="AR739" s="6"/>
      <c r="AS739" s="6"/>
      <c r="AT739" s="6"/>
      <c r="AU739" s="6"/>
      <c r="AV739" s="6"/>
      <c r="AW739" s="6"/>
      <c r="AX739" s="7">
        <f t="shared" ref="AX739:AX751" si="486">SUM(AQ739:AW739)</f>
        <v>0</v>
      </c>
      <c r="AY739" s="11">
        <f t="shared" si="443"/>
        <v>0</v>
      </c>
      <c r="AZ739" s="25"/>
      <c r="BA739" s="10" t="str">
        <f t="shared" si="472"/>
        <v>MarçoSEMANA 5Figo em Calda</v>
      </c>
      <c r="BB739" s="7">
        <f>SUMIF(NF!$A:$A,$BA739,NF!$I:$I)</f>
        <v>0</v>
      </c>
      <c r="BC739" s="6"/>
      <c r="BD739" s="6"/>
      <c r="BE739" s="6"/>
      <c r="BF739" s="6"/>
      <c r="BG739" s="6"/>
      <c r="BH739" s="6"/>
      <c r="BI739" s="74"/>
      <c r="BJ739" s="74"/>
      <c r="BK739" s="7">
        <f t="shared" ref="BK739:BK751" si="487">SUM(BC739:BJ739)</f>
        <v>0</v>
      </c>
      <c r="BL739" s="8">
        <f t="shared" si="446"/>
        <v>0</v>
      </c>
      <c r="BM739" s="51" t="str">
        <f>IFERROR(VLOOKUP(A739,NF!$M:$O,3,0),"")</f>
        <v>Mercado</v>
      </c>
      <c r="BN739" s="7">
        <f t="shared" si="447"/>
        <v>0</v>
      </c>
      <c r="BO739" s="8">
        <f t="array" ref="BO739">IFERROR(LARGE(IF(NF!$G$2:$G$3137='Mês atual'!A739,NF!$J$2:$J$3137),1),0)*BN739</f>
        <v>0</v>
      </c>
      <c r="BP739" s="50"/>
      <c r="BR739" s="146">
        <f t="array" ref="BR739">IFERROR(LARGE(IF(NF!$G$2:$G$3137='Mês atual'!A739,NF!$J$2:$J$3137),1),0)</f>
        <v>0</v>
      </c>
      <c r="BS739" s="142" t="str">
        <f>VLOOKUP(A739,NF!M:O,3,0)</f>
        <v>Mercado</v>
      </c>
      <c r="BV739" s="74">
        <f t="shared" si="453"/>
        <v>0</v>
      </c>
      <c r="BW739" s="74">
        <f t="shared" si="454"/>
        <v>0</v>
      </c>
      <c r="BX739" s="74">
        <f t="shared" si="455"/>
        <v>0</v>
      </c>
      <c r="BY739" s="74">
        <f t="shared" si="456"/>
        <v>0</v>
      </c>
      <c r="BZ739" s="74">
        <f t="shared" si="457"/>
        <v>0</v>
      </c>
    </row>
    <row r="740" spans="1:78" x14ac:dyDescent="0.2">
      <c r="A740" s="108" t="s">
        <v>358</v>
      </c>
      <c r="B740" s="12"/>
      <c r="C740" s="9">
        <v>0</v>
      </c>
      <c r="D740" s="25"/>
      <c r="E740" s="10" t="str">
        <f t="shared" si="468"/>
        <v>MarçoSEMANA 1Figo Seco</v>
      </c>
      <c r="F740" s="7">
        <f>SUMIF(NF!$A:$A,$E740,NF!$I:$I)</f>
        <v>0</v>
      </c>
      <c r="G740" s="74"/>
      <c r="H740" s="74"/>
      <c r="I740" s="74"/>
      <c r="J740" s="6"/>
      <c r="K740" s="6"/>
      <c r="L740" s="6"/>
      <c r="M740" s="6"/>
      <c r="N740" s="7">
        <f t="shared" si="483"/>
        <v>0</v>
      </c>
      <c r="O740" s="11">
        <f t="shared" si="434"/>
        <v>0</v>
      </c>
      <c r="P740" s="25"/>
      <c r="Q740" s="10" t="str">
        <f t="shared" si="469"/>
        <v>MarçoSEMANA 2Figo Seco</v>
      </c>
      <c r="R740" s="7">
        <f>SUMIF(NF!$A:$A,$Q740,NF!$I:$I)</f>
        <v>0</v>
      </c>
      <c r="S740" s="6"/>
      <c r="T740" s="6"/>
      <c r="U740" s="6"/>
      <c r="V740" s="6"/>
      <c r="W740" s="6"/>
      <c r="X740" s="6"/>
      <c r="Y740" s="6"/>
      <c r="Z740" s="7">
        <f t="shared" si="484"/>
        <v>0</v>
      </c>
      <c r="AA740" s="11">
        <f t="shared" si="437"/>
        <v>0</v>
      </c>
      <c r="AB740" s="25"/>
      <c r="AC740" s="10" t="str">
        <f t="shared" si="470"/>
        <v>MarçoSEMANA 3Figo Seco</v>
      </c>
      <c r="AD740" s="7">
        <f>SUMIF(NF!$A:$A,$AC740,NF!$I:$I)</f>
        <v>0</v>
      </c>
      <c r="AE740" s="6"/>
      <c r="AF740" s="6"/>
      <c r="AG740" s="6"/>
      <c r="AH740" s="6"/>
      <c r="AI740" s="6"/>
      <c r="AJ740" s="6"/>
      <c r="AK740" s="6"/>
      <c r="AL740" s="7">
        <f t="shared" si="485"/>
        <v>0</v>
      </c>
      <c r="AM740" s="11">
        <f t="shared" si="440"/>
        <v>0</v>
      </c>
      <c r="AN740" s="25"/>
      <c r="AO740" s="10" t="str">
        <f t="shared" si="471"/>
        <v>MarçoSEMANA 4Figo Seco</v>
      </c>
      <c r="AP740" s="7">
        <f>SUMIF(NF!$A:$A,$AO740,NF!$I:$I)</f>
        <v>0</v>
      </c>
      <c r="AQ740" s="6"/>
      <c r="AR740" s="6"/>
      <c r="AS740" s="6"/>
      <c r="AT740" s="6"/>
      <c r="AU740" s="6"/>
      <c r="AV740" s="6"/>
      <c r="AW740" s="6"/>
      <c r="AX740" s="7">
        <f t="shared" si="486"/>
        <v>0</v>
      </c>
      <c r="AY740" s="11">
        <f t="shared" si="443"/>
        <v>0</v>
      </c>
      <c r="AZ740" s="25"/>
      <c r="BA740" s="10" t="str">
        <f t="shared" si="472"/>
        <v>MarçoSEMANA 5Figo Seco</v>
      </c>
      <c r="BB740" s="7">
        <f>SUMIF(NF!$A:$A,$BA740,NF!$I:$I)</f>
        <v>0</v>
      </c>
      <c r="BC740" s="6"/>
      <c r="BD740" s="6"/>
      <c r="BE740" s="6"/>
      <c r="BF740" s="6"/>
      <c r="BG740" s="6"/>
      <c r="BH740" s="6"/>
      <c r="BI740" s="74"/>
      <c r="BJ740" s="74"/>
      <c r="BK740" s="7">
        <f t="shared" si="487"/>
        <v>0</v>
      </c>
      <c r="BL740" s="8">
        <f t="shared" si="446"/>
        <v>0</v>
      </c>
      <c r="BM740" s="51" t="str">
        <f>IFERROR(VLOOKUP(A740,NF!$M:$O,3,0),"")</f>
        <v>Mercado</v>
      </c>
      <c r="BN740" s="7">
        <f t="shared" si="447"/>
        <v>0</v>
      </c>
      <c r="BO740" s="8">
        <f t="array" ref="BO740">IFERROR(LARGE(IF(NF!$G$2:$G$3137='Mês atual'!A740,NF!$J$2:$J$3137),1),0)*BN740</f>
        <v>0</v>
      </c>
      <c r="BP740" s="50"/>
      <c r="BR740" s="146">
        <f t="array" ref="BR740">IFERROR(LARGE(IF(NF!$G$2:$G$3137='Mês atual'!A740,NF!$J$2:$J$3137),1),0)</f>
        <v>0</v>
      </c>
      <c r="BS740" s="142" t="str">
        <f>VLOOKUP(A740,NF!M:O,3,0)</f>
        <v>Mercado</v>
      </c>
      <c r="BV740" s="74">
        <f t="shared" si="453"/>
        <v>0</v>
      </c>
      <c r="BW740" s="74">
        <f t="shared" si="454"/>
        <v>0</v>
      </c>
      <c r="BX740" s="74">
        <f t="shared" si="455"/>
        <v>0</v>
      </c>
      <c r="BY740" s="74">
        <f t="shared" si="456"/>
        <v>0</v>
      </c>
      <c r="BZ740" s="74">
        <f t="shared" si="457"/>
        <v>0</v>
      </c>
    </row>
    <row r="741" spans="1:78" x14ac:dyDescent="0.2">
      <c r="A741" s="108" t="s">
        <v>892</v>
      </c>
      <c r="B741" s="12"/>
      <c r="C741" s="9">
        <v>0.5</v>
      </c>
      <c r="D741" s="25"/>
      <c r="E741" s="10" t="str">
        <f t="shared" si="468"/>
        <v>MarçoSEMANA 1Flocos de Arroz (cozinha)</v>
      </c>
      <c r="F741" s="7">
        <f>SUMIF(NF!$A:$A,$E741,NF!$I:$I)</f>
        <v>0</v>
      </c>
      <c r="G741" s="74"/>
      <c r="H741" s="74"/>
      <c r="I741" s="74"/>
      <c r="J741" s="6"/>
      <c r="K741" s="6"/>
      <c r="L741" s="6"/>
      <c r="M741" s="6"/>
      <c r="N741" s="7">
        <f t="shared" si="483"/>
        <v>0</v>
      </c>
      <c r="O741" s="11">
        <f t="shared" si="434"/>
        <v>0.5</v>
      </c>
      <c r="P741" s="25"/>
      <c r="Q741" s="10" t="str">
        <f t="shared" si="469"/>
        <v>MarçoSEMANA 2Flocos de Arroz (cozinha)</v>
      </c>
      <c r="R741" s="7">
        <f>SUMIF(NF!$A:$A,$Q741,NF!$I:$I)</f>
        <v>1.01</v>
      </c>
      <c r="S741" s="6"/>
      <c r="T741" s="6">
        <v>0.5</v>
      </c>
      <c r="U741" s="6"/>
      <c r="V741" s="6"/>
      <c r="W741" s="6"/>
      <c r="X741" s="6"/>
      <c r="Y741" s="6"/>
      <c r="Z741" s="7">
        <f t="shared" si="484"/>
        <v>0.5</v>
      </c>
      <c r="AA741" s="11">
        <f t="shared" si="437"/>
        <v>1.01</v>
      </c>
      <c r="AB741" s="25"/>
      <c r="AC741" s="10" t="str">
        <f t="shared" si="470"/>
        <v>MarçoSEMANA 3Flocos de Arroz (cozinha)</v>
      </c>
      <c r="AD741" s="7">
        <f>SUMIF(NF!$A:$A,$AC741,NF!$I:$I)</f>
        <v>0</v>
      </c>
      <c r="AE741" s="6"/>
      <c r="AF741" s="6"/>
      <c r="AG741" s="6"/>
      <c r="AH741" s="6"/>
      <c r="AI741" s="6"/>
      <c r="AJ741" s="6"/>
      <c r="AK741" s="6"/>
      <c r="AL741" s="7">
        <f t="shared" si="485"/>
        <v>0</v>
      </c>
      <c r="AM741" s="11">
        <f t="shared" si="440"/>
        <v>1.01</v>
      </c>
      <c r="AN741" s="25"/>
      <c r="AO741" s="10" t="str">
        <f t="shared" si="471"/>
        <v>MarçoSEMANA 4Flocos de Arroz (cozinha)</v>
      </c>
      <c r="AP741" s="7">
        <f>SUMIF(NF!$A:$A,$AO741,NF!$I:$I)</f>
        <v>0</v>
      </c>
      <c r="AQ741" s="6"/>
      <c r="AR741" s="6"/>
      <c r="AS741" s="6"/>
      <c r="AT741" s="6"/>
      <c r="AU741" s="6"/>
      <c r="AV741" s="6"/>
      <c r="AW741" s="6"/>
      <c r="AX741" s="7">
        <f t="shared" si="486"/>
        <v>0</v>
      </c>
      <c r="AY741" s="11">
        <f t="shared" si="443"/>
        <v>1.01</v>
      </c>
      <c r="AZ741" s="25"/>
      <c r="BA741" s="10" t="str">
        <f t="shared" si="472"/>
        <v>MarçoSEMANA 5Flocos de Arroz (cozinha)</v>
      </c>
      <c r="BB741" s="7">
        <f>SUMIF(NF!$A:$A,$BA741,NF!$I:$I)</f>
        <v>0</v>
      </c>
      <c r="BC741" s="6"/>
      <c r="BD741" s="6">
        <v>1.01</v>
      </c>
      <c r="BE741" s="6"/>
      <c r="BF741" s="6"/>
      <c r="BG741" s="6"/>
      <c r="BH741" s="6"/>
      <c r="BI741" s="74"/>
      <c r="BJ741" s="74"/>
      <c r="BK741" s="7">
        <f t="shared" si="487"/>
        <v>1.01</v>
      </c>
      <c r="BL741" s="8">
        <f t="shared" si="446"/>
        <v>0</v>
      </c>
      <c r="BM741" s="51" t="str">
        <f>IFERROR(VLOOKUP(A741,NF!$M:$O,3,0),"")</f>
        <v>Mercado</v>
      </c>
      <c r="BN741" s="7">
        <f t="shared" si="447"/>
        <v>1.51</v>
      </c>
      <c r="BO741" s="8">
        <f t="array" ref="BO741">IFERROR(LARGE(IF(NF!$G$2:$G$3137='Mês atual'!A741,NF!$J$2:$J$3137),1),0)*BN741</f>
        <v>20.362500999999998</v>
      </c>
      <c r="BP741" s="50"/>
      <c r="BR741" s="146">
        <f t="array" ref="BR741">IFERROR(LARGE(IF(NF!$G$2:$G$3137='Mês atual'!A741,NF!$J$2:$J$3137),1),0)</f>
        <v>13.485099999999999</v>
      </c>
      <c r="BS741" s="142" t="str">
        <f>VLOOKUP(A741,NF!M:O,3,0)</f>
        <v>Mercado</v>
      </c>
      <c r="BV741" s="74">
        <f t="shared" si="453"/>
        <v>0</v>
      </c>
      <c r="BW741" s="74">
        <f t="shared" si="454"/>
        <v>0.5</v>
      </c>
      <c r="BX741" s="74">
        <f t="shared" si="455"/>
        <v>0</v>
      </c>
      <c r="BY741" s="74">
        <f t="shared" si="456"/>
        <v>0</v>
      </c>
      <c r="BZ741" s="74">
        <f t="shared" si="457"/>
        <v>1.01</v>
      </c>
    </row>
    <row r="742" spans="1:78" x14ac:dyDescent="0.2">
      <c r="A742" s="108" t="s">
        <v>364</v>
      </c>
      <c r="B742" s="12"/>
      <c r="C742" s="9">
        <v>0</v>
      </c>
      <c r="D742" s="25"/>
      <c r="E742" s="10" t="str">
        <f t="shared" si="468"/>
        <v>MarçoSEMANA 1Flocos de Milho</v>
      </c>
      <c r="F742" s="7">
        <f>SUMIF(NF!$A:$A,$E742,NF!$I:$I)</f>
        <v>0</v>
      </c>
      <c r="G742" s="74"/>
      <c r="H742" s="74"/>
      <c r="I742" s="74"/>
      <c r="J742" s="6"/>
      <c r="K742" s="6"/>
      <c r="L742" s="6"/>
      <c r="M742" s="6"/>
      <c r="N742" s="7">
        <f t="shared" si="483"/>
        <v>0</v>
      </c>
      <c r="O742" s="11">
        <f t="shared" si="434"/>
        <v>0</v>
      </c>
      <c r="P742" s="25"/>
      <c r="Q742" s="10" t="str">
        <f t="shared" si="469"/>
        <v>MarçoSEMANA 2Flocos de Milho</v>
      </c>
      <c r="R742" s="7">
        <f>SUMIF(NF!$A:$A,$Q742,NF!$I:$I)</f>
        <v>0</v>
      </c>
      <c r="S742" s="6"/>
      <c r="T742" s="6"/>
      <c r="U742" s="6"/>
      <c r="V742" s="6"/>
      <c r="W742" s="6"/>
      <c r="X742" s="6"/>
      <c r="Y742" s="6"/>
      <c r="Z742" s="7">
        <f t="shared" si="484"/>
        <v>0</v>
      </c>
      <c r="AA742" s="11">
        <f t="shared" si="437"/>
        <v>0</v>
      </c>
      <c r="AB742" s="25"/>
      <c r="AC742" s="10" t="str">
        <f t="shared" si="470"/>
        <v>MarçoSEMANA 3Flocos de Milho</v>
      </c>
      <c r="AD742" s="7">
        <f>SUMIF(NF!$A:$A,$AC742,NF!$I:$I)</f>
        <v>0</v>
      </c>
      <c r="AE742" s="6"/>
      <c r="AF742" s="6"/>
      <c r="AG742" s="6"/>
      <c r="AH742" s="6"/>
      <c r="AI742" s="6"/>
      <c r="AJ742" s="6"/>
      <c r="AK742" s="6"/>
      <c r="AL742" s="7">
        <f t="shared" si="485"/>
        <v>0</v>
      </c>
      <c r="AM742" s="11">
        <f t="shared" si="440"/>
        <v>0</v>
      </c>
      <c r="AN742" s="25"/>
      <c r="AO742" s="10" t="str">
        <f t="shared" si="471"/>
        <v>MarçoSEMANA 4Flocos de Milho</v>
      </c>
      <c r="AP742" s="7">
        <f>SUMIF(NF!$A:$A,$AO742,NF!$I:$I)</f>
        <v>0</v>
      </c>
      <c r="AQ742" s="6"/>
      <c r="AR742" s="6"/>
      <c r="AS742" s="6"/>
      <c r="AT742" s="6"/>
      <c r="AU742" s="6"/>
      <c r="AV742" s="6"/>
      <c r="AW742" s="6"/>
      <c r="AX742" s="7">
        <f t="shared" si="486"/>
        <v>0</v>
      </c>
      <c r="AY742" s="11">
        <f t="shared" si="443"/>
        <v>0</v>
      </c>
      <c r="AZ742" s="25"/>
      <c r="BA742" s="10" t="str">
        <f t="shared" si="472"/>
        <v>MarçoSEMANA 5Flocos de Milho</v>
      </c>
      <c r="BB742" s="7">
        <f>SUMIF(NF!$A:$A,$BA742,NF!$I:$I)</f>
        <v>0</v>
      </c>
      <c r="BC742" s="6"/>
      <c r="BD742" s="6"/>
      <c r="BE742" s="6"/>
      <c r="BF742" s="6"/>
      <c r="BG742" s="6"/>
      <c r="BH742" s="6"/>
      <c r="BI742" s="74"/>
      <c r="BJ742" s="74"/>
      <c r="BK742" s="7">
        <f t="shared" si="487"/>
        <v>0</v>
      </c>
      <c r="BL742" s="8">
        <f t="shared" si="446"/>
        <v>0</v>
      </c>
      <c r="BM742" s="51" t="str">
        <f>IFERROR(VLOOKUP(A742,NF!$M:$O,3,0),"")</f>
        <v>Mercado</v>
      </c>
      <c r="BN742" s="7">
        <f t="shared" si="447"/>
        <v>0</v>
      </c>
      <c r="BO742" s="8">
        <f t="array" ref="BO742">IFERROR(LARGE(IF(NF!$G$2:$G$3137='Mês atual'!A742,NF!$J$2:$J$3137),1),0)*BN742</f>
        <v>0</v>
      </c>
      <c r="BP742" s="50"/>
      <c r="BR742" s="146">
        <f t="array" ref="BR742">IFERROR(LARGE(IF(NF!$G$2:$G$3137='Mês atual'!A742,NF!$J$2:$J$3137),1),0)</f>
        <v>0</v>
      </c>
      <c r="BS742" s="142" t="str">
        <f>VLOOKUP(A742,NF!M:O,3,0)</f>
        <v>Mercado</v>
      </c>
      <c r="BV742" s="74">
        <f t="shared" si="453"/>
        <v>0</v>
      </c>
      <c r="BW742" s="74">
        <f t="shared" si="454"/>
        <v>0</v>
      </c>
      <c r="BX742" s="74">
        <f t="shared" si="455"/>
        <v>0</v>
      </c>
      <c r="BY742" s="74">
        <f t="shared" si="456"/>
        <v>0</v>
      </c>
      <c r="BZ742" s="74">
        <f t="shared" si="457"/>
        <v>0</v>
      </c>
    </row>
    <row r="743" spans="1:78" x14ac:dyDescent="0.2">
      <c r="A743" s="108" t="s">
        <v>1039</v>
      </c>
      <c r="B743" s="12"/>
      <c r="C743" s="9">
        <v>0</v>
      </c>
      <c r="D743" s="25"/>
      <c r="E743" s="10" t="str">
        <f t="shared" si="468"/>
        <v>MarçoSEMANA 1Folha de Alga 50F (cozinha)</v>
      </c>
      <c r="F743" s="7">
        <f>SUMIF(NF!$A:$A,$E743,NF!$I:$I)</f>
        <v>1</v>
      </c>
      <c r="G743" s="74"/>
      <c r="H743" s="74"/>
      <c r="I743" s="74"/>
      <c r="J743" s="6"/>
      <c r="K743" s="6"/>
      <c r="L743" s="6"/>
      <c r="M743" s="6"/>
      <c r="N743" s="7">
        <f>SUM(G743:M743)</f>
        <v>0</v>
      </c>
      <c r="O743" s="11">
        <f>F743+C743-N743</f>
        <v>1</v>
      </c>
      <c r="P743" s="25"/>
      <c r="Q743" s="10" t="str">
        <f t="shared" si="469"/>
        <v>MarçoSEMANA 2Folha de Alga 50F (cozinha)</v>
      </c>
      <c r="R743" s="7">
        <f>SUMIF(NF!$A:$A,$Q743,NF!$I:$I)</f>
        <v>0</v>
      </c>
      <c r="S743" s="6"/>
      <c r="T743" s="6">
        <v>1</v>
      </c>
      <c r="U743" s="6"/>
      <c r="V743" s="6"/>
      <c r="W743" s="6"/>
      <c r="X743" s="6"/>
      <c r="Y743" s="6"/>
      <c r="Z743" s="7">
        <f>SUM(S743:Y743)</f>
        <v>1</v>
      </c>
      <c r="AA743" s="11">
        <f>R743+O743-Z743</f>
        <v>0</v>
      </c>
      <c r="AB743" s="25"/>
      <c r="AC743" s="10" t="str">
        <f t="shared" si="470"/>
        <v>MarçoSEMANA 3Folha de Alga 50F (cozinha)</v>
      </c>
      <c r="AD743" s="7">
        <f>SUMIF(NF!$A:$A,$AC743,NF!$I:$I)</f>
        <v>1</v>
      </c>
      <c r="AE743" s="6"/>
      <c r="AF743" s="6"/>
      <c r="AG743" s="6"/>
      <c r="AH743" s="6"/>
      <c r="AI743" s="6"/>
      <c r="AJ743" s="6"/>
      <c r="AK743" s="6"/>
      <c r="AL743" s="7">
        <f>SUM(AE743:AK743)</f>
        <v>0</v>
      </c>
      <c r="AM743" s="11">
        <f>AD743+AA743-AL743</f>
        <v>1</v>
      </c>
      <c r="AN743" s="25"/>
      <c r="AO743" s="10" t="str">
        <f t="shared" si="471"/>
        <v>MarçoSEMANA 4Folha de Alga 50F (cozinha)</v>
      </c>
      <c r="AP743" s="7">
        <f>SUMIF(NF!$A:$A,$AO743,NF!$I:$I)</f>
        <v>0</v>
      </c>
      <c r="AQ743" s="6"/>
      <c r="AR743" s="6"/>
      <c r="AS743" s="6"/>
      <c r="AT743" s="6"/>
      <c r="AU743" s="6"/>
      <c r="AV743" s="6"/>
      <c r="AW743" s="6"/>
      <c r="AX743" s="7">
        <f>SUM(AQ743:AW743)</f>
        <v>0</v>
      </c>
      <c r="AY743" s="11">
        <f>AP743+AM743-AX743</f>
        <v>1</v>
      </c>
      <c r="AZ743" s="25"/>
      <c r="BA743" s="10" t="str">
        <f t="shared" si="472"/>
        <v>MarçoSEMANA 5Folha de Alga 50F (cozinha)</v>
      </c>
      <c r="BB743" s="7">
        <f>SUMIF(NF!$A:$A,$BA743,NF!$I:$I)</f>
        <v>0</v>
      </c>
      <c r="BC743" s="6"/>
      <c r="BD743" s="6">
        <v>1</v>
      </c>
      <c r="BE743" s="6"/>
      <c r="BF743" s="6"/>
      <c r="BG743" s="6"/>
      <c r="BH743" s="6"/>
      <c r="BI743" s="74"/>
      <c r="BJ743" s="74"/>
      <c r="BK743" s="7">
        <f>SUM(BC743:BJ743)</f>
        <v>1</v>
      </c>
      <c r="BL743" s="8">
        <f>BB743+AY743-BK743</f>
        <v>0</v>
      </c>
      <c r="BM743" s="51" t="str">
        <f>IFERROR(VLOOKUP(A743,NF!$M:$O,3,0),"")</f>
        <v>Mercado</v>
      </c>
      <c r="BN743" s="7">
        <f>SUM(N743,Z743,AL743,AX743,BK743)</f>
        <v>2</v>
      </c>
      <c r="BO743" s="8">
        <f t="array" ref="BO743">IFERROR(LARGE(IF(NF!$G$2:$G$3137='Mês atual'!A743,NF!$J$2:$J$3137),1),0)*BN743</f>
        <v>58</v>
      </c>
      <c r="BP743" s="50"/>
      <c r="BR743" s="146">
        <f t="array" ref="BR743">IFERROR(LARGE(IF(NF!$G$2:$G$3137='Mês atual'!A743,NF!$J$2:$J$3137),1),0)</f>
        <v>29</v>
      </c>
      <c r="BS743" s="142" t="str">
        <f>VLOOKUP(A743,NF!M:O,3,0)</f>
        <v>Mercado</v>
      </c>
      <c r="BV743" s="74">
        <f t="shared" si="453"/>
        <v>0</v>
      </c>
      <c r="BW743" s="74">
        <f t="shared" si="454"/>
        <v>1</v>
      </c>
      <c r="BX743" s="74">
        <f t="shared" si="455"/>
        <v>0</v>
      </c>
      <c r="BY743" s="74">
        <f t="shared" si="456"/>
        <v>0</v>
      </c>
      <c r="BZ743" s="74">
        <f t="shared" si="457"/>
        <v>1</v>
      </c>
    </row>
    <row r="744" spans="1:78" x14ac:dyDescent="0.2">
      <c r="A744" s="108" t="s">
        <v>372</v>
      </c>
      <c r="B744" s="12"/>
      <c r="C744" s="9">
        <v>0</v>
      </c>
      <c r="D744" s="25"/>
      <c r="E744" s="10" t="str">
        <f t="shared" si="468"/>
        <v>MarçoSEMANA 1Frutas Cristalizadas</v>
      </c>
      <c r="F744" s="7">
        <f>SUMIF(NF!$A:$A,$E744,NF!$I:$I)</f>
        <v>0</v>
      </c>
      <c r="G744" s="74"/>
      <c r="H744" s="74"/>
      <c r="I744" s="74"/>
      <c r="J744" s="6"/>
      <c r="K744" s="6"/>
      <c r="L744" s="6"/>
      <c r="M744" s="6"/>
      <c r="N744" s="7">
        <f t="shared" si="483"/>
        <v>0</v>
      </c>
      <c r="O744" s="11">
        <f t="shared" si="434"/>
        <v>0</v>
      </c>
      <c r="P744" s="25"/>
      <c r="Q744" s="10" t="str">
        <f t="shared" si="469"/>
        <v>MarçoSEMANA 2Frutas Cristalizadas</v>
      </c>
      <c r="R744" s="7">
        <f>SUMIF(NF!$A:$A,$Q744,NF!$I:$I)</f>
        <v>0</v>
      </c>
      <c r="S744" s="6"/>
      <c r="T744" s="6"/>
      <c r="U744" s="6"/>
      <c r="V744" s="6"/>
      <c r="W744" s="6"/>
      <c r="X744" s="6"/>
      <c r="Y744" s="6"/>
      <c r="Z744" s="7">
        <f t="shared" si="484"/>
        <v>0</v>
      </c>
      <c r="AA744" s="11">
        <f t="shared" si="437"/>
        <v>0</v>
      </c>
      <c r="AB744" s="25"/>
      <c r="AC744" s="10" t="str">
        <f t="shared" si="470"/>
        <v>MarçoSEMANA 3Frutas Cristalizadas</v>
      </c>
      <c r="AD744" s="7">
        <f>SUMIF(NF!$A:$A,$AC744,NF!$I:$I)</f>
        <v>0</v>
      </c>
      <c r="AE744" s="6"/>
      <c r="AF744" s="6"/>
      <c r="AG744" s="6"/>
      <c r="AH744" s="6"/>
      <c r="AI744" s="6"/>
      <c r="AJ744" s="6"/>
      <c r="AK744" s="6"/>
      <c r="AL744" s="7">
        <f t="shared" si="485"/>
        <v>0</v>
      </c>
      <c r="AM744" s="11">
        <f t="shared" si="440"/>
        <v>0</v>
      </c>
      <c r="AN744" s="25"/>
      <c r="AO744" s="10" t="str">
        <f t="shared" si="471"/>
        <v>MarçoSEMANA 4Frutas Cristalizadas</v>
      </c>
      <c r="AP744" s="7">
        <f>SUMIF(NF!$A:$A,$AO744,NF!$I:$I)</f>
        <v>0</v>
      </c>
      <c r="AQ744" s="6"/>
      <c r="AR744" s="6"/>
      <c r="AS744" s="6"/>
      <c r="AT744" s="6"/>
      <c r="AU744" s="6"/>
      <c r="AV744" s="6"/>
      <c r="AW744" s="6"/>
      <c r="AX744" s="7">
        <f t="shared" si="486"/>
        <v>0</v>
      </c>
      <c r="AY744" s="11">
        <f t="shared" si="443"/>
        <v>0</v>
      </c>
      <c r="AZ744" s="25"/>
      <c r="BA744" s="10" t="str">
        <f t="shared" si="472"/>
        <v>MarçoSEMANA 5Frutas Cristalizadas</v>
      </c>
      <c r="BB744" s="7">
        <f>SUMIF(NF!$A:$A,$BA744,NF!$I:$I)</f>
        <v>0</v>
      </c>
      <c r="BC744" s="6"/>
      <c r="BD744" s="6"/>
      <c r="BE744" s="6"/>
      <c r="BF744" s="6"/>
      <c r="BG744" s="6"/>
      <c r="BH744" s="6"/>
      <c r="BI744" s="74"/>
      <c r="BJ744" s="74"/>
      <c r="BK744" s="7">
        <f t="shared" si="487"/>
        <v>0</v>
      </c>
      <c r="BL744" s="8">
        <f t="shared" si="446"/>
        <v>0</v>
      </c>
      <c r="BM744" s="51" t="str">
        <f>IFERROR(VLOOKUP(A744,NF!$M:$O,3,0),"")</f>
        <v>Mercado</v>
      </c>
      <c r="BN744" s="7">
        <f t="shared" si="447"/>
        <v>0</v>
      </c>
      <c r="BO744" s="8">
        <f t="array" ref="BO744">IFERROR(LARGE(IF(NF!$G$2:$G$3137='Mês atual'!A744,NF!$J$2:$J$3137),1),0)*BN744</f>
        <v>0</v>
      </c>
      <c r="BP744" s="50"/>
      <c r="BR744" s="146">
        <f t="array" ref="BR744">IFERROR(LARGE(IF(NF!$G$2:$G$3137='Mês atual'!A744,NF!$J$2:$J$3137),1),0)</f>
        <v>0</v>
      </c>
      <c r="BS744" s="142" t="str">
        <f>VLOOKUP(A744,NF!M:O,3,0)</f>
        <v>Mercado</v>
      </c>
      <c r="BV744" s="74">
        <f t="shared" si="453"/>
        <v>0</v>
      </c>
      <c r="BW744" s="74">
        <f t="shared" si="454"/>
        <v>0</v>
      </c>
      <c r="BX744" s="74">
        <f t="shared" si="455"/>
        <v>0</v>
      </c>
      <c r="BY744" s="74">
        <f t="shared" si="456"/>
        <v>0</v>
      </c>
      <c r="BZ744" s="74">
        <f t="shared" si="457"/>
        <v>0</v>
      </c>
    </row>
    <row r="745" spans="1:78" x14ac:dyDescent="0.25">
      <c r="A745" s="108" t="s">
        <v>373</v>
      </c>
      <c r="B745" s="12"/>
      <c r="C745" s="9">
        <v>3</v>
      </c>
      <c r="D745" s="25"/>
      <c r="E745" s="10" t="str">
        <f t="shared" si="468"/>
        <v xml:space="preserve">MarçoSEMANA 1Fubá de Milho </v>
      </c>
      <c r="F745" s="7">
        <f>SUMIF(NF!$A:$A,$E745,NF!$I:$I)</f>
        <v>2</v>
      </c>
      <c r="G745" s="74"/>
      <c r="H745" s="74"/>
      <c r="I745" s="74"/>
      <c r="J745" s="6"/>
      <c r="K745" s="6">
        <v>2</v>
      </c>
      <c r="L745" s="6"/>
      <c r="M745" s="6"/>
      <c r="N745" s="7">
        <f t="shared" si="483"/>
        <v>2</v>
      </c>
      <c r="O745" s="11">
        <f t="shared" si="434"/>
        <v>3</v>
      </c>
      <c r="P745" s="25"/>
      <c r="Q745" s="10" t="str">
        <f t="shared" si="469"/>
        <v xml:space="preserve">MarçoSEMANA 2Fubá de Milho </v>
      </c>
      <c r="R745" s="7">
        <f>SUMIF(NF!$A:$A,$Q745,NF!$I:$I)</f>
        <v>3</v>
      </c>
      <c r="S745" s="6"/>
      <c r="T745" s="6"/>
      <c r="U745" s="6"/>
      <c r="V745" s="6"/>
      <c r="W745" s="6">
        <v>1</v>
      </c>
      <c r="X745" s="6"/>
      <c r="Y745" s="6"/>
      <c r="Z745" s="7">
        <f t="shared" si="484"/>
        <v>1</v>
      </c>
      <c r="AA745" s="11">
        <f t="shared" si="437"/>
        <v>5</v>
      </c>
      <c r="AB745" s="25"/>
      <c r="AC745" s="10" t="str">
        <f t="shared" si="470"/>
        <v xml:space="preserve">MarçoSEMANA 3Fubá de Milho </v>
      </c>
      <c r="AD745" s="7">
        <f>SUMIF(NF!$A:$A,$AC745,NF!$I:$I)</f>
        <v>1</v>
      </c>
      <c r="AE745" s="6"/>
      <c r="AF745" s="6"/>
      <c r="AG745" s="6"/>
      <c r="AH745" s="6">
        <v>2</v>
      </c>
      <c r="AI745" s="6"/>
      <c r="AJ745" s="6"/>
      <c r="AK745" s="6"/>
      <c r="AL745" s="7">
        <f t="shared" si="485"/>
        <v>2</v>
      </c>
      <c r="AM745" s="11">
        <f t="shared" si="440"/>
        <v>4</v>
      </c>
      <c r="AN745" s="25"/>
      <c r="AO745" s="10" t="str">
        <f t="shared" si="471"/>
        <v xml:space="preserve">MarçoSEMANA 4Fubá de Milho </v>
      </c>
      <c r="AP745" s="7">
        <f>SUMIF(NF!$A:$A,$AO745,NF!$I:$I)</f>
        <v>1</v>
      </c>
      <c r="AQ745" s="6"/>
      <c r="AR745" s="6"/>
      <c r="AS745" s="6"/>
      <c r="AT745" s="6"/>
      <c r="AU745" s="6"/>
      <c r="AV745" s="6">
        <v>1</v>
      </c>
      <c r="AW745" s="6"/>
      <c r="AX745" s="7">
        <f t="shared" si="486"/>
        <v>1</v>
      </c>
      <c r="AY745" s="11">
        <f t="shared" si="443"/>
        <v>4</v>
      </c>
      <c r="AZ745" s="25"/>
      <c r="BA745" s="10" t="str">
        <f t="shared" si="472"/>
        <v xml:space="preserve">MarçoSEMANA 5Fubá de Milho </v>
      </c>
      <c r="BB745" s="7">
        <f>SUMIF(NF!$A:$A,$BA745,NF!$I:$I)</f>
        <v>0</v>
      </c>
      <c r="BC745" s="6"/>
      <c r="BD745" s="6"/>
      <c r="BE745" s="6"/>
      <c r="BF745" s="6"/>
      <c r="BG745" s="6"/>
      <c r="BH745" s="6"/>
      <c r="BI745" s="74"/>
      <c r="BJ745" s="74"/>
      <c r="BK745" s="7">
        <f t="shared" si="487"/>
        <v>0</v>
      </c>
      <c r="BL745" s="8">
        <f t="shared" si="446"/>
        <v>4</v>
      </c>
      <c r="BM745" s="51" t="str">
        <f>IFERROR(VLOOKUP(A745,NF!$M:$O,3,0),"")</f>
        <v>Mercado</v>
      </c>
      <c r="BN745" s="7">
        <f t="shared" si="447"/>
        <v>6</v>
      </c>
      <c r="BO745" s="8">
        <f t="array" ref="BO745">IFERROR(LARGE(IF(NF!$G$2:$G$3137='Mês atual'!A745,NF!$J$2:$J$3137),1),0)*BN745</f>
        <v>10.620000000000001</v>
      </c>
      <c r="BP745" s="50"/>
      <c r="BR745" s="146">
        <f t="array" ref="BR745">IFERROR(LARGE(IF(NF!$G$2:$G$3137='Mês atual'!A745,NF!$J$2:$J$3137),1),0)</f>
        <v>1.77</v>
      </c>
      <c r="BS745" s="142" t="str">
        <f>VLOOKUP(A745,NF!M:O,3,0)</f>
        <v>Mercado</v>
      </c>
      <c r="BV745" s="74">
        <f t="shared" si="453"/>
        <v>2</v>
      </c>
      <c r="BW745" s="74">
        <f t="shared" si="454"/>
        <v>1</v>
      </c>
      <c r="BX745" s="74">
        <f t="shared" si="455"/>
        <v>2</v>
      </c>
      <c r="BY745" s="74">
        <f t="shared" si="456"/>
        <v>1</v>
      </c>
      <c r="BZ745" s="74">
        <f t="shared" si="457"/>
        <v>0</v>
      </c>
    </row>
    <row r="746" spans="1:78" x14ac:dyDescent="0.2">
      <c r="A746" s="108" t="s">
        <v>375</v>
      </c>
      <c r="B746" s="12"/>
      <c r="C746" s="9">
        <v>0</v>
      </c>
      <c r="D746" s="25"/>
      <c r="E746" s="10" t="str">
        <f t="shared" si="468"/>
        <v>MarçoSEMANA 1Fundo de Alcachofra</v>
      </c>
      <c r="F746" s="7">
        <f>SUMIF(NF!$A:$A,$E746,NF!$I:$I)</f>
        <v>0</v>
      </c>
      <c r="G746" s="74"/>
      <c r="H746" s="74"/>
      <c r="I746" s="74"/>
      <c r="J746" s="6"/>
      <c r="K746" s="6"/>
      <c r="L746" s="6"/>
      <c r="M746" s="6"/>
      <c r="N746" s="7">
        <f>SUM(G746:M746)</f>
        <v>0</v>
      </c>
      <c r="O746" s="11">
        <f t="shared" si="434"/>
        <v>0</v>
      </c>
      <c r="P746" s="25"/>
      <c r="Q746" s="10" t="str">
        <f t="shared" si="469"/>
        <v>MarçoSEMANA 2Fundo de Alcachofra</v>
      </c>
      <c r="R746" s="7">
        <f>SUMIF(NF!$A:$A,$Q746,NF!$I:$I)</f>
        <v>0</v>
      </c>
      <c r="S746" s="6"/>
      <c r="T746" s="6"/>
      <c r="U746" s="6"/>
      <c r="V746" s="6"/>
      <c r="W746" s="6"/>
      <c r="X746" s="6"/>
      <c r="Y746" s="6"/>
      <c r="Z746" s="7">
        <f>SUM(S746:Y746)</f>
        <v>0</v>
      </c>
      <c r="AA746" s="11">
        <f t="shared" si="437"/>
        <v>0</v>
      </c>
      <c r="AB746" s="25"/>
      <c r="AC746" s="10" t="str">
        <f t="shared" si="470"/>
        <v>MarçoSEMANA 3Fundo de Alcachofra</v>
      </c>
      <c r="AD746" s="7">
        <f>SUMIF(NF!$A:$A,$AC746,NF!$I:$I)</f>
        <v>12.8</v>
      </c>
      <c r="AE746" s="6"/>
      <c r="AF746" s="6"/>
      <c r="AG746" s="6"/>
      <c r="AH746" s="6"/>
      <c r="AI746" s="6"/>
      <c r="AJ746" s="6"/>
      <c r="AK746" s="6"/>
      <c r="AL746" s="7">
        <f>SUM(AE746:AK746)</f>
        <v>0</v>
      </c>
      <c r="AM746" s="11">
        <f t="shared" si="440"/>
        <v>12.8</v>
      </c>
      <c r="AN746" s="25"/>
      <c r="AO746" s="10" t="str">
        <f t="shared" si="471"/>
        <v>MarçoSEMANA 4Fundo de Alcachofra</v>
      </c>
      <c r="AP746" s="7">
        <f>SUMIF(NF!$A:$A,$AO746,NF!$I:$I)</f>
        <v>0</v>
      </c>
      <c r="AQ746" s="6"/>
      <c r="AR746" s="6">
        <v>1.2</v>
      </c>
      <c r="AS746" s="6"/>
      <c r="AT746" s="6"/>
      <c r="AU746" s="6"/>
      <c r="AV746" s="6"/>
      <c r="AW746" s="6">
        <f>0.8+0.4</f>
        <v>1.2000000000000002</v>
      </c>
      <c r="AX746" s="7">
        <f>SUM(AQ746:AW746)</f>
        <v>2.4000000000000004</v>
      </c>
      <c r="AY746" s="11">
        <f t="shared" si="443"/>
        <v>10.4</v>
      </c>
      <c r="AZ746" s="25"/>
      <c r="BA746" s="10" t="str">
        <f t="shared" si="472"/>
        <v>MarçoSEMANA 5Fundo de Alcachofra</v>
      </c>
      <c r="BB746" s="7">
        <f>SUMIF(NF!$A:$A,$BA746,NF!$I:$I)</f>
        <v>0</v>
      </c>
      <c r="BC746" s="6"/>
      <c r="BD746" s="6"/>
      <c r="BE746" s="6"/>
      <c r="BF746" s="6"/>
      <c r="BG746" s="6"/>
      <c r="BH746" s="6">
        <v>1.6</v>
      </c>
      <c r="BI746" s="74"/>
      <c r="BJ746" s="74"/>
      <c r="BK746" s="7">
        <f>SUM(BC746:BJ746)</f>
        <v>1.6</v>
      </c>
      <c r="BL746" s="8">
        <f t="shared" si="446"/>
        <v>8.8000000000000007</v>
      </c>
      <c r="BM746" s="51" t="str">
        <f>IFERROR(VLOOKUP(A746,NF!$M:$O,3,0),"")</f>
        <v>Mercado</v>
      </c>
      <c r="BN746" s="7">
        <f t="shared" si="447"/>
        <v>4</v>
      </c>
      <c r="BO746" s="8">
        <f t="array" ref="BO746">IFERROR(LARGE(IF(NF!$G$2:$G$3137='Mês atual'!A746,NF!$J$2:$J$3137),1),0)*BN746</f>
        <v>89.362499999999983</v>
      </c>
      <c r="BP746" s="50"/>
      <c r="BR746" s="146">
        <f t="array" ref="BR746">IFERROR(LARGE(IF(NF!$G$2:$G$3137='Mês atual'!A746,NF!$J$2:$J$3137),1),0)</f>
        <v>22.340624999999996</v>
      </c>
      <c r="BS746" s="142" t="str">
        <f>VLOOKUP(A746,NF!M:O,3,0)</f>
        <v>Mercado</v>
      </c>
      <c r="BV746" s="74">
        <f t="shared" si="453"/>
        <v>0</v>
      </c>
      <c r="BW746" s="74">
        <f t="shared" si="454"/>
        <v>0</v>
      </c>
      <c r="BX746" s="74">
        <f t="shared" si="455"/>
        <v>0</v>
      </c>
      <c r="BY746" s="74">
        <f t="shared" si="456"/>
        <v>2.4000000000000004</v>
      </c>
      <c r="BZ746" s="74">
        <f t="shared" si="457"/>
        <v>1.6</v>
      </c>
    </row>
    <row r="747" spans="1:78" x14ac:dyDescent="0.2">
      <c r="A747" s="108" t="s">
        <v>376</v>
      </c>
      <c r="B747" s="12"/>
      <c r="C747" s="9">
        <v>0.5</v>
      </c>
      <c r="D747" s="25"/>
      <c r="E747" s="10" t="str">
        <f t="shared" si="468"/>
        <v>MarçoSEMANA 1Funghi Seco</v>
      </c>
      <c r="F747" s="7">
        <f>SUMIF(NF!$A:$A,$E747,NF!$I:$I)</f>
        <v>0</v>
      </c>
      <c r="G747" s="74"/>
      <c r="H747" s="74"/>
      <c r="I747" s="74"/>
      <c r="J747" s="6"/>
      <c r="K747" s="6"/>
      <c r="L747" s="6"/>
      <c r="M747" s="6">
        <v>0.5</v>
      </c>
      <c r="N747" s="7">
        <f t="shared" si="483"/>
        <v>0.5</v>
      </c>
      <c r="O747" s="11">
        <f t="shared" si="434"/>
        <v>0</v>
      </c>
      <c r="P747" s="25"/>
      <c r="Q747" s="10" t="str">
        <f t="shared" si="469"/>
        <v>MarçoSEMANA 2Funghi Seco</v>
      </c>
      <c r="R747" s="7">
        <f>SUMIF(NF!$A:$A,$Q747,NF!$I:$I)</f>
        <v>0.5</v>
      </c>
      <c r="S747" s="6"/>
      <c r="T747" s="6"/>
      <c r="U747" s="6"/>
      <c r="V747" s="6"/>
      <c r="W747" s="6"/>
      <c r="X747" s="6"/>
      <c r="Y747" s="6"/>
      <c r="Z747" s="7">
        <f t="shared" si="484"/>
        <v>0</v>
      </c>
      <c r="AA747" s="11">
        <f t="shared" si="437"/>
        <v>0.5</v>
      </c>
      <c r="AB747" s="25"/>
      <c r="AC747" s="10" t="str">
        <f t="shared" si="470"/>
        <v>MarçoSEMANA 3Funghi Seco</v>
      </c>
      <c r="AD747" s="7">
        <f>SUMIF(NF!$A:$A,$AC747,NF!$I:$I)</f>
        <v>0</v>
      </c>
      <c r="AE747" s="6">
        <v>0.5</v>
      </c>
      <c r="AF747" s="6"/>
      <c r="AG747" s="6"/>
      <c r="AH747" s="6"/>
      <c r="AI747" s="6"/>
      <c r="AJ747" s="6"/>
      <c r="AK747" s="6"/>
      <c r="AL747" s="7">
        <f t="shared" si="485"/>
        <v>0.5</v>
      </c>
      <c r="AM747" s="11">
        <f t="shared" si="440"/>
        <v>0</v>
      </c>
      <c r="AN747" s="25"/>
      <c r="AO747" s="10" t="str">
        <f t="shared" si="471"/>
        <v>MarçoSEMANA 4Funghi Seco</v>
      </c>
      <c r="AP747" s="7">
        <f>SUMIF(NF!$A:$A,$AO747,NF!$I:$I)</f>
        <v>0.60799999999999998</v>
      </c>
      <c r="AQ747" s="6"/>
      <c r="AR747" s="6"/>
      <c r="AS747" s="6"/>
      <c r="AT747" s="6"/>
      <c r="AU747" s="6"/>
      <c r="AV747" s="6"/>
      <c r="AW747" s="6">
        <v>0.60799999999999998</v>
      </c>
      <c r="AX747" s="7">
        <f t="shared" si="486"/>
        <v>0.60799999999999998</v>
      </c>
      <c r="AY747" s="11">
        <f t="shared" si="443"/>
        <v>0</v>
      </c>
      <c r="AZ747" s="25"/>
      <c r="BA747" s="10" t="str">
        <f t="shared" si="472"/>
        <v>MarçoSEMANA 5Funghi Seco</v>
      </c>
      <c r="BB747" s="7">
        <f>SUMIF(NF!$A:$A,$BA747,NF!$I:$I)</f>
        <v>0</v>
      </c>
      <c r="BC747" s="6"/>
      <c r="BD747" s="6"/>
      <c r="BE747" s="6"/>
      <c r="BF747" s="6"/>
      <c r="BG747" s="6"/>
      <c r="BH747" s="6"/>
      <c r="BI747" s="74"/>
      <c r="BJ747" s="74"/>
      <c r="BK747" s="7">
        <f t="shared" si="487"/>
        <v>0</v>
      </c>
      <c r="BL747" s="8">
        <f t="shared" si="446"/>
        <v>0</v>
      </c>
      <c r="BM747" s="51" t="str">
        <f>IFERROR(VLOOKUP(A747,NF!$M:$O,3,0),"")</f>
        <v>Mercado</v>
      </c>
      <c r="BN747" s="7">
        <f t="shared" si="447"/>
        <v>1.6080000000000001</v>
      </c>
      <c r="BO747" s="8">
        <f t="array" ref="BO747">IFERROR(LARGE(IF(NF!$G$2:$G$3137='Mês atual'!A747,NF!$J$2:$J$3137),1),0)*BN747</f>
        <v>128.35056</v>
      </c>
      <c r="BP747" s="50"/>
      <c r="BR747" s="146">
        <f t="array" ref="BR747">IFERROR(LARGE(IF(NF!$G$2:$G$3137='Mês atual'!A747,NF!$J$2:$J$3137),1),0)</f>
        <v>79.819999999999993</v>
      </c>
      <c r="BS747" s="142" t="str">
        <f>VLOOKUP(A747,NF!M:O,3,0)</f>
        <v>Mercado</v>
      </c>
      <c r="BV747" s="74">
        <f t="shared" si="453"/>
        <v>0.5</v>
      </c>
      <c r="BW747" s="74">
        <f t="shared" si="454"/>
        <v>0</v>
      </c>
      <c r="BX747" s="74">
        <f t="shared" si="455"/>
        <v>0.5</v>
      </c>
      <c r="BY747" s="74">
        <f t="shared" si="456"/>
        <v>0.60799999999999998</v>
      </c>
      <c r="BZ747" s="74">
        <f t="shared" si="457"/>
        <v>0</v>
      </c>
    </row>
    <row r="748" spans="1:78" x14ac:dyDescent="0.25">
      <c r="A748" s="108" t="s">
        <v>379</v>
      </c>
      <c r="B748" s="12"/>
      <c r="C748" s="9">
        <v>0</v>
      </c>
      <c r="D748" s="25"/>
      <c r="E748" s="10" t="str">
        <f t="shared" si="468"/>
        <v>MarçoSEMANA 1Gás Capsula p/ Chantilly</v>
      </c>
      <c r="F748" s="7">
        <f>SUMIF(NF!$A:$A,$E748,NF!$I:$I)</f>
        <v>0</v>
      </c>
      <c r="G748" s="74"/>
      <c r="H748" s="74"/>
      <c r="I748" s="74"/>
      <c r="J748" s="6"/>
      <c r="K748" s="6"/>
      <c r="L748" s="6"/>
      <c r="M748" s="6"/>
      <c r="N748" s="7">
        <f t="shared" si="483"/>
        <v>0</v>
      </c>
      <c r="O748" s="11">
        <f t="shared" si="434"/>
        <v>0</v>
      </c>
      <c r="P748" s="25"/>
      <c r="Q748" s="10" t="str">
        <f t="shared" si="469"/>
        <v>MarçoSEMANA 2Gás Capsula p/ Chantilly</v>
      </c>
      <c r="R748" s="7">
        <f>SUMIF(NF!$A:$A,$Q748,NF!$I:$I)</f>
        <v>0</v>
      </c>
      <c r="S748" s="6"/>
      <c r="T748" s="6"/>
      <c r="U748" s="6"/>
      <c r="V748" s="6"/>
      <c r="W748" s="6"/>
      <c r="X748" s="6"/>
      <c r="Y748" s="6"/>
      <c r="Z748" s="7">
        <f t="shared" si="484"/>
        <v>0</v>
      </c>
      <c r="AA748" s="11">
        <f t="shared" si="437"/>
        <v>0</v>
      </c>
      <c r="AB748" s="25"/>
      <c r="AC748" s="10" t="str">
        <f t="shared" si="470"/>
        <v>MarçoSEMANA 3Gás Capsula p/ Chantilly</v>
      </c>
      <c r="AD748" s="7">
        <f>SUMIF(NF!$A:$A,$AC748,NF!$I:$I)</f>
        <v>0</v>
      </c>
      <c r="AE748" s="6"/>
      <c r="AF748" s="6"/>
      <c r="AG748" s="6"/>
      <c r="AH748" s="6"/>
      <c r="AI748" s="6"/>
      <c r="AJ748" s="6"/>
      <c r="AK748" s="6"/>
      <c r="AL748" s="7">
        <f t="shared" si="485"/>
        <v>0</v>
      </c>
      <c r="AM748" s="11">
        <f t="shared" si="440"/>
        <v>0</v>
      </c>
      <c r="AN748" s="25"/>
      <c r="AO748" s="10" t="str">
        <f t="shared" si="471"/>
        <v>MarçoSEMANA 4Gás Capsula p/ Chantilly</v>
      </c>
      <c r="AP748" s="7">
        <f>SUMIF(NF!$A:$A,$AO748,NF!$I:$I)</f>
        <v>0</v>
      </c>
      <c r="AQ748" s="6"/>
      <c r="AR748" s="6"/>
      <c r="AS748" s="6"/>
      <c r="AT748" s="6"/>
      <c r="AU748" s="6"/>
      <c r="AV748" s="6"/>
      <c r="AW748" s="6"/>
      <c r="AX748" s="7">
        <f t="shared" si="486"/>
        <v>0</v>
      </c>
      <c r="AY748" s="11">
        <f t="shared" si="443"/>
        <v>0</v>
      </c>
      <c r="AZ748" s="25"/>
      <c r="BA748" s="10" t="str">
        <f t="shared" si="472"/>
        <v>MarçoSEMANA 5Gás Capsula p/ Chantilly</v>
      </c>
      <c r="BB748" s="7">
        <f>SUMIF(NF!$A:$A,$BA748,NF!$I:$I)</f>
        <v>0</v>
      </c>
      <c r="BC748" s="6"/>
      <c r="BD748" s="6"/>
      <c r="BE748" s="6"/>
      <c r="BF748" s="6"/>
      <c r="BG748" s="6"/>
      <c r="BH748" s="6"/>
      <c r="BI748" s="74"/>
      <c r="BJ748" s="74"/>
      <c r="BK748" s="7">
        <f t="shared" si="487"/>
        <v>0</v>
      </c>
      <c r="BL748" s="8">
        <f t="shared" si="446"/>
        <v>0</v>
      </c>
      <c r="BM748" s="51" t="str">
        <f>IFERROR(VLOOKUP(A748,NF!$M:$O,3,0),"")</f>
        <v>Mercado</v>
      </c>
      <c r="BN748" s="7">
        <f t="shared" si="447"/>
        <v>0</v>
      </c>
      <c r="BO748" s="8">
        <f t="array" ref="BO748">IFERROR(LARGE(IF(NF!$G$2:$G$3137='Mês atual'!A748,NF!$J$2:$J$3137),1),0)*BN748</f>
        <v>0</v>
      </c>
      <c r="BP748" s="50"/>
      <c r="BR748" s="146">
        <f t="array" ref="BR748">IFERROR(LARGE(IF(NF!$G$2:$G$3137='Mês atual'!A748,NF!$J$2:$J$3137),1),0)</f>
        <v>0</v>
      </c>
      <c r="BS748" s="142" t="str">
        <f>VLOOKUP(A748,NF!M:O,3,0)</f>
        <v>Mercado</v>
      </c>
      <c r="BV748" s="74">
        <f t="shared" ref="BV748:BV813" si="488">N748</f>
        <v>0</v>
      </c>
      <c r="BW748" s="74">
        <f t="shared" ref="BW748:BW813" si="489">Z748</f>
        <v>0</v>
      </c>
      <c r="BX748" s="74">
        <f t="shared" ref="BX748:BX813" si="490">AL748</f>
        <v>0</v>
      </c>
      <c r="BY748" s="74">
        <f t="shared" ref="BY748:BY813" si="491">AX748</f>
        <v>0</v>
      </c>
      <c r="BZ748" s="74">
        <f t="shared" ref="BZ748:BZ813" si="492">BK748</f>
        <v>0</v>
      </c>
    </row>
    <row r="749" spans="1:78" x14ac:dyDescent="0.25">
      <c r="A749" s="108" t="s">
        <v>380</v>
      </c>
      <c r="B749" s="12"/>
      <c r="C749" s="9">
        <v>2</v>
      </c>
      <c r="D749" s="25"/>
      <c r="E749" s="10" t="str">
        <f t="shared" si="468"/>
        <v>MarçoSEMANA 1Gelatina em pó s/ sabor (incolor)</v>
      </c>
      <c r="F749" s="7">
        <f>SUMIF(NF!$A:$A,$E749,NF!$I:$I)</f>
        <v>0</v>
      </c>
      <c r="G749" s="74"/>
      <c r="H749" s="74"/>
      <c r="I749" s="74"/>
      <c r="J749" s="6"/>
      <c r="K749" s="6"/>
      <c r="L749" s="6"/>
      <c r="M749" s="6"/>
      <c r="N749" s="7">
        <f t="shared" si="483"/>
        <v>0</v>
      </c>
      <c r="O749" s="11">
        <f t="shared" si="434"/>
        <v>2</v>
      </c>
      <c r="P749" s="25"/>
      <c r="Q749" s="10" t="str">
        <f t="shared" si="469"/>
        <v>MarçoSEMANA 2Gelatina em pó s/ sabor (incolor)</v>
      </c>
      <c r="R749" s="7">
        <f>SUMIF(NF!$A:$A,$Q749,NF!$I:$I)</f>
        <v>0</v>
      </c>
      <c r="S749" s="6"/>
      <c r="T749" s="6"/>
      <c r="U749" s="6"/>
      <c r="V749" s="6"/>
      <c r="W749" s="6"/>
      <c r="X749" s="6"/>
      <c r="Y749" s="6"/>
      <c r="Z749" s="7">
        <f t="shared" si="484"/>
        <v>0</v>
      </c>
      <c r="AA749" s="11">
        <f t="shared" si="437"/>
        <v>2</v>
      </c>
      <c r="AB749" s="25"/>
      <c r="AC749" s="10" t="str">
        <f t="shared" si="470"/>
        <v>MarçoSEMANA 3Gelatina em pó s/ sabor (incolor)</v>
      </c>
      <c r="AD749" s="7">
        <f>SUMIF(NF!$A:$A,$AC749,NF!$I:$I)</f>
        <v>2</v>
      </c>
      <c r="AE749" s="6"/>
      <c r="AF749" s="6">
        <v>2</v>
      </c>
      <c r="AG749" s="6"/>
      <c r="AH749" s="6"/>
      <c r="AI749" s="6"/>
      <c r="AJ749" s="6"/>
      <c r="AK749" s="6"/>
      <c r="AL749" s="7">
        <f t="shared" si="485"/>
        <v>2</v>
      </c>
      <c r="AM749" s="11">
        <f t="shared" si="440"/>
        <v>2</v>
      </c>
      <c r="AN749" s="25"/>
      <c r="AO749" s="10" t="str">
        <f t="shared" si="471"/>
        <v>MarçoSEMANA 4Gelatina em pó s/ sabor (incolor)</v>
      </c>
      <c r="AP749" s="7">
        <f>SUMIF(NF!$A:$A,$AO749,NF!$I:$I)</f>
        <v>0</v>
      </c>
      <c r="AQ749" s="6"/>
      <c r="AR749" s="6"/>
      <c r="AS749" s="6"/>
      <c r="AT749" s="6"/>
      <c r="AU749" s="6"/>
      <c r="AV749" s="6"/>
      <c r="AW749" s="6"/>
      <c r="AX749" s="7">
        <f t="shared" si="486"/>
        <v>0</v>
      </c>
      <c r="AY749" s="11">
        <f t="shared" si="443"/>
        <v>2</v>
      </c>
      <c r="AZ749" s="25"/>
      <c r="BA749" s="10" t="str">
        <f t="shared" si="472"/>
        <v>MarçoSEMANA 5Gelatina em pó s/ sabor (incolor)</v>
      </c>
      <c r="BB749" s="7">
        <f>SUMIF(NF!$A:$A,$BA749,NF!$I:$I)</f>
        <v>0</v>
      </c>
      <c r="BC749" s="6"/>
      <c r="BD749" s="6"/>
      <c r="BE749" s="6"/>
      <c r="BF749" s="6"/>
      <c r="BG749" s="6"/>
      <c r="BH749" s="6"/>
      <c r="BI749" s="74"/>
      <c r="BJ749" s="74"/>
      <c r="BK749" s="7">
        <f t="shared" si="487"/>
        <v>0</v>
      </c>
      <c r="BL749" s="8">
        <f t="shared" si="446"/>
        <v>2</v>
      </c>
      <c r="BM749" s="51" t="str">
        <f>IFERROR(VLOOKUP(A749,NF!$M:$O,3,0),"")</f>
        <v>Mercado</v>
      </c>
      <c r="BN749" s="7">
        <f t="shared" si="447"/>
        <v>2</v>
      </c>
      <c r="BO749" s="8">
        <f t="array" ref="BO749">IFERROR(LARGE(IF(NF!$G$2:$G$3137='Mês atual'!A749,NF!$J$2:$J$3137),1),0)*BN749</f>
        <v>11.6</v>
      </c>
      <c r="BP749" s="50"/>
      <c r="BR749" s="146">
        <f t="array" ref="BR749">IFERROR(LARGE(IF(NF!$G$2:$G$3137='Mês atual'!A749,NF!$J$2:$J$3137),1),0)</f>
        <v>5.8</v>
      </c>
      <c r="BS749" s="142" t="str">
        <f>VLOOKUP(A749,NF!M:O,3,0)</f>
        <v>Mercado</v>
      </c>
      <c r="BV749" s="74">
        <f t="shared" si="488"/>
        <v>0</v>
      </c>
      <c r="BW749" s="74">
        <f t="shared" si="489"/>
        <v>0</v>
      </c>
      <c r="BX749" s="74">
        <f t="shared" si="490"/>
        <v>2</v>
      </c>
      <c r="BY749" s="74">
        <f t="shared" si="491"/>
        <v>0</v>
      </c>
      <c r="BZ749" s="74">
        <f t="shared" si="492"/>
        <v>0</v>
      </c>
    </row>
    <row r="750" spans="1:78" x14ac:dyDescent="0.25">
      <c r="A750" s="108" t="s">
        <v>381</v>
      </c>
      <c r="B750" s="12"/>
      <c r="C750" s="9">
        <v>0</v>
      </c>
      <c r="D750" s="25"/>
      <c r="E750" s="10" t="str">
        <f t="shared" si="468"/>
        <v>MarçoSEMANA 1Gelatina Morango c/ Açucar Orgânico</v>
      </c>
      <c r="F750" s="7">
        <f>SUMIF(NF!$A:$A,$E750,NF!$I:$I)</f>
        <v>0</v>
      </c>
      <c r="G750" s="74"/>
      <c r="H750" s="74"/>
      <c r="I750" s="74"/>
      <c r="J750" s="6"/>
      <c r="K750" s="6"/>
      <c r="L750" s="6"/>
      <c r="M750" s="6"/>
      <c r="N750" s="7">
        <f t="shared" si="483"/>
        <v>0</v>
      </c>
      <c r="O750" s="11">
        <f t="shared" si="434"/>
        <v>0</v>
      </c>
      <c r="P750" s="25"/>
      <c r="Q750" s="10" t="str">
        <f t="shared" si="469"/>
        <v>MarçoSEMANA 2Gelatina Morango c/ Açucar Orgânico</v>
      </c>
      <c r="R750" s="7">
        <f>SUMIF(NF!$A:$A,$Q750,NF!$I:$I)</f>
        <v>0</v>
      </c>
      <c r="S750" s="6"/>
      <c r="T750" s="6"/>
      <c r="U750" s="6"/>
      <c r="V750" s="6"/>
      <c r="W750" s="6"/>
      <c r="X750" s="6"/>
      <c r="Y750" s="6"/>
      <c r="Z750" s="7">
        <f t="shared" si="484"/>
        <v>0</v>
      </c>
      <c r="AA750" s="11">
        <f t="shared" si="437"/>
        <v>0</v>
      </c>
      <c r="AB750" s="25"/>
      <c r="AC750" s="10" t="str">
        <f t="shared" si="470"/>
        <v>MarçoSEMANA 3Gelatina Morango c/ Açucar Orgânico</v>
      </c>
      <c r="AD750" s="7">
        <f>SUMIF(NF!$A:$A,$AC750,NF!$I:$I)</f>
        <v>0</v>
      </c>
      <c r="AE750" s="6"/>
      <c r="AF750" s="6"/>
      <c r="AG750" s="6"/>
      <c r="AH750" s="6"/>
      <c r="AI750" s="6"/>
      <c r="AJ750" s="6"/>
      <c r="AK750" s="6"/>
      <c r="AL750" s="7">
        <f t="shared" si="485"/>
        <v>0</v>
      </c>
      <c r="AM750" s="11">
        <f t="shared" si="440"/>
        <v>0</v>
      </c>
      <c r="AN750" s="25"/>
      <c r="AO750" s="10" t="str">
        <f t="shared" si="471"/>
        <v>MarçoSEMANA 4Gelatina Morango c/ Açucar Orgânico</v>
      </c>
      <c r="AP750" s="7">
        <f>SUMIF(NF!$A:$A,$AO750,NF!$I:$I)</f>
        <v>0</v>
      </c>
      <c r="AQ750" s="6"/>
      <c r="AR750" s="6"/>
      <c r="AS750" s="6"/>
      <c r="AT750" s="6"/>
      <c r="AU750" s="6"/>
      <c r="AV750" s="6"/>
      <c r="AW750" s="6"/>
      <c r="AX750" s="7">
        <f t="shared" si="486"/>
        <v>0</v>
      </c>
      <c r="AY750" s="11">
        <f t="shared" si="443"/>
        <v>0</v>
      </c>
      <c r="AZ750" s="25"/>
      <c r="BA750" s="10" t="str">
        <f t="shared" si="472"/>
        <v>MarçoSEMANA 5Gelatina Morango c/ Açucar Orgânico</v>
      </c>
      <c r="BB750" s="7">
        <f>SUMIF(NF!$A:$A,$BA750,NF!$I:$I)</f>
        <v>0</v>
      </c>
      <c r="BC750" s="6"/>
      <c r="BD750" s="6"/>
      <c r="BE750" s="6"/>
      <c r="BF750" s="6"/>
      <c r="BG750" s="6"/>
      <c r="BH750" s="6"/>
      <c r="BI750" s="74"/>
      <c r="BJ750" s="74"/>
      <c r="BK750" s="7">
        <f t="shared" si="487"/>
        <v>0</v>
      </c>
      <c r="BL750" s="8">
        <f t="shared" si="446"/>
        <v>0</v>
      </c>
      <c r="BM750" s="51" t="str">
        <f>IFERROR(VLOOKUP(A750,NF!$M:$O,3,0),"")</f>
        <v>Mercado</v>
      </c>
      <c r="BN750" s="7">
        <f t="shared" si="447"/>
        <v>0</v>
      </c>
      <c r="BO750" s="8">
        <f t="array" ref="BO750">IFERROR(LARGE(IF(NF!$G$2:$G$3137='Mês atual'!A750,NF!$J$2:$J$3137),1),0)*BN750</f>
        <v>0</v>
      </c>
      <c r="BP750" s="50"/>
      <c r="BR750" s="146">
        <f t="array" ref="BR750">IFERROR(LARGE(IF(NF!$G$2:$G$3137='Mês atual'!A750,NF!$J$2:$J$3137),1),0)</f>
        <v>0</v>
      </c>
      <c r="BS750" s="142" t="str">
        <f>VLOOKUP(A750,NF!M:O,3,0)</f>
        <v>Mercado</v>
      </c>
      <c r="BV750" s="74">
        <f t="shared" si="488"/>
        <v>0</v>
      </c>
      <c r="BW750" s="74">
        <f t="shared" si="489"/>
        <v>0</v>
      </c>
      <c r="BX750" s="74">
        <f t="shared" si="490"/>
        <v>0</v>
      </c>
      <c r="BY750" s="74">
        <f t="shared" si="491"/>
        <v>0</v>
      </c>
      <c r="BZ750" s="74">
        <f t="shared" si="492"/>
        <v>0</v>
      </c>
    </row>
    <row r="751" spans="1:78" x14ac:dyDescent="0.2">
      <c r="A751" s="108" t="s">
        <v>382</v>
      </c>
      <c r="B751" s="12"/>
      <c r="C751" s="9">
        <v>81</v>
      </c>
      <c r="D751" s="25"/>
      <c r="E751" s="10" t="str">
        <f t="shared" si="468"/>
        <v>MarçoSEMANA 1Gelatina Morango Stevia Plus Zero 10 g</v>
      </c>
      <c r="F751" s="7">
        <f>SUMIF(NF!$A:$A,$E751,NF!$I:$I)</f>
        <v>0</v>
      </c>
      <c r="G751" s="74"/>
      <c r="H751" s="74"/>
      <c r="I751" s="74"/>
      <c r="J751" s="6"/>
      <c r="K751" s="6"/>
      <c r="L751" s="6">
        <v>5</v>
      </c>
      <c r="M751" s="6">
        <v>2</v>
      </c>
      <c r="N751" s="7">
        <f t="shared" si="483"/>
        <v>7</v>
      </c>
      <c r="O751" s="11">
        <f t="shared" si="434"/>
        <v>74</v>
      </c>
      <c r="P751" s="25"/>
      <c r="Q751" s="10" t="str">
        <f t="shared" si="469"/>
        <v>MarçoSEMANA 2Gelatina Morango Stevia Plus Zero 10 g</v>
      </c>
      <c r="R751" s="7">
        <f>SUMIF(NF!$A:$A,$Q751,NF!$I:$I)</f>
        <v>0</v>
      </c>
      <c r="S751" s="6"/>
      <c r="T751" s="6"/>
      <c r="U751" s="6">
        <v>5</v>
      </c>
      <c r="V751" s="6"/>
      <c r="W751" s="6">
        <v>2</v>
      </c>
      <c r="X751" s="6">
        <v>5</v>
      </c>
      <c r="Y751" s="6">
        <v>2</v>
      </c>
      <c r="Z751" s="7">
        <f t="shared" si="484"/>
        <v>14</v>
      </c>
      <c r="AA751" s="11">
        <f t="shared" si="437"/>
        <v>60</v>
      </c>
      <c r="AB751" s="25"/>
      <c r="AC751" s="10" t="str">
        <f t="shared" si="470"/>
        <v>MarçoSEMANA 3Gelatina Morango Stevia Plus Zero 10 g</v>
      </c>
      <c r="AD751" s="7">
        <f>SUMIF(NF!$A:$A,$AC751,NF!$I:$I)</f>
        <v>0</v>
      </c>
      <c r="AE751" s="6">
        <v>7</v>
      </c>
      <c r="AF751" s="6"/>
      <c r="AG751" s="6"/>
      <c r="AH751" s="6">
        <v>5</v>
      </c>
      <c r="AI751" s="6"/>
      <c r="AJ751" s="6">
        <v>5</v>
      </c>
      <c r="AK751" s="6">
        <v>2</v>
      </c>
      <c r="AL751" s="7">
        <f t="shared" si="485"/>
        <v>19</v>
      </c>
      <c r="AM751" s="11">
        <f t="shared" si="440"/>
        <v>41</v>
      </c>
      <c r="AN751" s="25"/>
      <c r="AO751" s="10" t="str">
        <f t="shared" si="471"/>
        <v>MarçoSEMANA 4Gelatina Morango Stevia Plus Zero 10 g</v>
      </c>
      <c r="AP751" s="7">
        <f>SUMIF(NF!$A:$A,$AO751,NF!$I:$I)</f>
        <v>144</v>
      </c>
      <c r="AQ751" s="6">
        <v>7</v>
      </c>
      <c r="AR751" s="6"/>
      <c r="AS751" s="6"/>
      <c r="AT751" s="6"/>
      <c r="AU751" s="6"/>
      <c r="AV751" s="6">
        <v>5</v>
      </c>
      <c r="AW751" s="6">
        <v>2</v>
      </c>
      <c r="AX751" s="7">
        <f t="shared" si="486"/>
        <v>14</v>
      </c>
      <c r="AY751" s="11">
        <f t="shared" si="443"/>
        <v>171</v>
      </c>
      <c r="AZ751" s="25"/>
      <c r="BA751" s="10" t="str">
        <f t="shared" si="472"/>
        <v>MarçoSEMANA 5Gelatina Morango Stevia Plus Zero 10 g</v>
      </c>
      <c r="BB751" s="7">
        <f>SUMIF(NF!$A:$A,$BA751,NF!$I:$I)</f>
        <v>0</v>
      </c>
      <c r="BC751" s="6">
        <v>5</v>
      </c>
      <c r="BD751" s="6">
        <v>2</v>
      </c>
      <c r="BE751" s="6"/>
      <c r="BF751" s="6">
        <v>2</v>
      </c>
      <c r="BG751" s="6"/>
      <c r="BH751" s="6">
        <v>7</v>
      </c>
      <c r="BI751" s="74"/>
      <c r="BJ751" s="74"/>
      <c r="BK751" s="7">
        <f t="shared" si="487"/>
        <v>16</v>
      </c>
      <c r="BL751" s="8">
        <f t="shared" si="446"/>
        <v>155</v>
      </c>
      <c r="BM751" s="51" t="str">
        <f>IFERROR(VLOOKUP(A751,NF!$M:$O,3,0),"")</f>
        <v>Mercado</v>
      </c>
      <c r="BN751" s="7">
        <f t="shared" si="447"/>
        <v>70</v>
      </c>
      <c r="BO751" s="8">
        <f t="array" ref="BO751">IFERROR(LARGE(IF(NF!$G$2:$G$3137='Mês atual'!A751,NF!$J$2:$J$3137),1),0)*BN751</f>
        <v>115.5</v>
      </c>
      <c r="BP751" s="50"/>
      <c r="BR751" s="146">
        <f t="array" ref="BR751">IFERROR(LARGE(IF(NF!$G$2:$G$3137='Mês atual'!A751,NF!$J$2:$J$3137),1),0)</f>
        <v>1.65</v>
      </c>
      <c r="BS751" s="142" t="str">
        <f>VLOOKUP(A751,NF!M:O,3,0)</f>
        <v>Mercado</v>
      </c>
      <c r="BV751" s="74">
        <f t="shared" si="488"/>
        <v>7</v>
      </c>
      <c r="BW751" s="74">
        <f t="shared" si="489"/>
        <v>14</v>
      </c>
      <c r="BX751" s="74">
        <f t="shared" si="490"/>
        <v>19</v>
      </c>
      <c r="BY751" s="74">
        <f t="shared" si="491"/>
        <v>14</v>
      </c>
      <c r="BZ751" s="74">
        <f t="shared" si="492"/>
        <v>16</v>
      </c>
    </row>
    <row r="752" spans="1:78" x14ac:dyDescent="0.25">
      <c r="A752" s="108" t="s">
        <v>876</v>
      </c>
      <c r="B752" s="12"/>
      <c r="C752" s="9">
        <v>1</v>
      </c>
      <c r="D752" s="25"/>
      <c r="E752" s="10" t="str">
        <f t="shared" si="468"/>
        <v>MarçoSEMANA 1Geléia de Hortelã</v>
      </c>
      <c r="F752" s="7">
        <f>SUMIF(NF!$A:$A,$E752,NF!$I:$I)</f>
        <v>0</v>
      </c>
      <c r="G752" s="74"/>
      <c r="H752" s="74"/>
      <c r="I752" s="74"/>
      <c r="J752" s="6"/>
      <c r="K752" s="6"/>
      <c r="L752" s="6"/>
      <c r="M752" s="6"/>
      <c r="N752" s="7">
        <f t="shared" ref="N752:N760" si="493">SUM(G752:M752)</f>
        <v>0</v>
      </c>
      <c r="O752" s="11">
        <f t="shared" si="434"/>
        <v>1</v>
      </c>
      <c r="P752" s="25"/>
      <c r="Q752" s="10" t="str">
        <f t="shared" si="469"/>
        <v>MarçoSEMANA 2Geléia de Hortelã</v>
      </c>
      <c r="R752" s="7">
        <f>SUMIF(NF!$A:$A,$Q752,NF!$I:$I)</f>
        <v>2</v>
      </c>
      <c r="S752" s="6"/>
      <c r="T752" s="6"/>
      <c r="U752" s="6">
        <v>2</v>
      </c>
      <c r="V752" s="6">
        <v>1</v>
      </c>
      <c r="W752" s="6"/>
      <c r="X752" s="6"/>
      <c r="Y752" s="6"/>
      <c r="Z752" s="7">
        <f t="shared" ref="Z752:Z760" si="494">SUM(S752:Y752)</f>
        <v>3</v>
      </c>
      <c r="AA752" s="11">
        <f t="shared" si="437"/>
        <v>0</v>
      </c>
      <c r="AB752" s="25"/>
      <c r="AC752" s="10" t="str">
        <f t="shared" si="470"/>
        <v>MarçoSEMANA 3Geléia de Hortelã</v>
      </c>
      <c r="AD752" s="7">
        <f>SUMIF(NF!$A:$A,$AC752,NF!$I:$I)</f>
        <v>0</v>
      </c>
      <c r="AE752" s="6"/>
      <c r="AF752" s="6"/>
      <c r="AG752" s="6"/>
      <c r="AH752" s="6"/>
      <c r="AI752" s="6"/>
      <c r="AJ752" s="6"/>
      <c r="AK752" s="6"/>
      <c r="AL752" s="7">
        <f t="shared" ref="AL752:AL760" si="495">SUM(AE752:AK752)</f>
        <v>0</v>
      </c>
      <c r="AM752" s="11">
        <f t="shared" si="440"/>
        <v>0</v>
      </c>
      <c r="AN752" s="25"/>
      <c r="AO752" s="10" t="str">
        <f t="shared" si="471"/>
        <v>MarçoSEMANA 4Geléia de Hortelã</v>
      </c>
      <c r="AP752" s="7">
        <f>SUMIF(NF!$A:$A,$AO752,NF!$I:$I)</f>
        <v>0</v>
      </c>
      <c r="AQ752" s="6"/>
      <c r="AR752" s="6"/>
      <c r="AS752" s="6"/>
      <c r="AT752" s="6"/>
      <c r="AU752" s="6"/>
      <c r="AV752" s="6"/>
      <c r="AW752" s="6"/>
      <c r="AX752" s="7">
        <f t="shared" ref="AX752:AX760" si="496">SUM(AQ752:AW752)</f>
        <v>0</v>
      </c>
      <c r="AY752" s="11">
        <f t="shared" si="443"/>
        <v>0</v>
      </c>
      <c r="AZ752" s="25"/>
      <c r="BA752" s="10" t="str">
        <f t="shared" si="472"/>
        <v>MarçoSEMANA 5Geléia de Hortelã</v>
      </c>
      <c r="BB752" s="7">
        <f>SUMIF(NF!$A:$A,$BA752,NF!$I:$I)</f>
        <v>0</v>
      </c>
      <c r="BC752" s="6"/>
      <c r="BD752" s="6"/>
      <c r="BE752" s="6"/>
      <c r="BF752" s="6"/>
      <c r="BG752" s="6"/>
      <c r="BH752" s="6"/>
      <c r="BI752" s="74"/>
      <c r="BJ752" s="74"/>
      <c r="BK752" s="7">
        <f t="shared" ref="BK752:BK760" si="497">SUM(BC752:BJ752)</f>
        <v>0</v>
      </c>
      <c r="BL752" s="8">
        <f t="shared" si="446"/>
        <v>0</v>
      </c>
      <c r="BM752" s="51" t="str">
        <f>IFERROR(VLOOKUP(A752,NF!$M:$O,3,0),"")</f>
        <v>Mercado</v>
      </c>
      <c r="BN752" s="7">
        <f t="shared" si="447"/>
        <v>3</v>
      </c>
      <c r="BO752" s="8">
        <f t="array" ref="BO752">IFERROR(LARGE(IF(NF!$G$2:$G$3137='Mês atual'!A752,NF!$J$2:$J$3137),1),0)*BN752</f>
        <v>40.5</v>
      </c>
      <c r="BP752" s="50"/>
      <c r="BR752" s="146">
        <f t="array" ref="BR752">IFERROR(LARGE(IF(NF!$G$2:$G$3137='Mês atual'!A752,NF!$J$2:$J$3137),1),0)</f>
        <v>13.5</v>
      </c>
      <c r="BS752" s="142" t="str">
        <f>VLOOKUP(A752,NF!M:O,3,0)</f>
        <v>Mercado</v>
      </c>
      <c r="BV752" s="74">
        <f t="shared" si="488"/>
        <v>0</v>
      </c>
      <c r="BW752" s="74">
        <f t="shared" si="489"/>
        <v>3</v>
      </c>
      <c r="BX752" s="74">
        <f t="shared" si="490"/>
        <v>0</v>
      </c>
      <c r="BY752" s="74">
        <f t="shared" si="491"/>
        <v>0</v>
      </c>
      <c r="BZ752" s="74">
        <f t="shared" si="492"/>
        <v>0</v>
      </c>
    </row>
    <row r="753" spans="1:78" x14ac:dyDescent="0.2">
      <c r="A753" s="108" t="s">
        <v>383</v>
      </c>
      <c r="B753" s="12"/>
      <c r="C753" s="9">
        <v>0</v>
      </c>
      <c r="D753" s="25"/>
      <c r="E753" s="10" t="str">
        <f t="shared" si="468"/>
        <v>MarçoSEMANA 1Gelo em Cubo</v>
      </c>
      <c r="F753" s="7">
        <f>SUMIF(NF!$A:$A,$E753,NF!$I:$I)</f>
        <v>14</v>
      </c>
      <c r="G753" s="74"/>
      <c r="H753" s="74"/>
      <c r="I753" s="74"/>
      <c r="J753" s="6">
        <v>3</v>
      </c>
      <c r="K753" s="6">
        <v>4</v>
      </c>
      <c r="L753" s="6">
        <v>3</v>
      </c>
      <c r="M753" s="6">
        <v>4</v>
      </c>
      <c r="N753" s="7">
        <f t="shared" si="493"/>
        <v>14</v>
      </c>
      <c r="O753" s="11">
        <f t="shared" si="434"/>
        <v>0</v>
      </c>
      <c r="P753" s="25"/>
      <c r="Q753" s="10" t="str">
        <f t="shared" si="469"/>
        <v>MarçoSEMANA 2Gelo em Cubo</v>
      </c>
      <c r="R753" s="7">
        <f>SUMIF(NF!$A:$A,$Q753,NF!$I:$I)</f>
        <v>20</v>
      </c>
      <c r="S753" s="6">
        <v>4</v>
      </c>
      <c r="T753" s="6">
        <v>3</v>
      </c>
      <c r="U753" s="6">
        <v>2</v>
      </c>
      <c r="V753" s="6">
        <v>3</v>
      </c>
      <c r="W753" s="6">
        <v>2</v>
      </c>
      <c r="X753" s="6">
        <v>3</v>
      </c>
      <c r="Y753" s="6">
        <v>3</v>
      </c>
      <c r="Z753" s="7">
        <f t="shared" si="494"/>
        <v>20</v>
      </c>
      <c r="AA753" s="11">
        <f t="shared" si="437"/>
        <v>0</v>
      </c>
      <c r="AB753" s="25"/>
      <c r="AC753" s="10" t="str">
        <f t="shared" si="470"/>
        <v>MarçoSEMANA 3Gelo em Cubo</v>
      </c>
      <c r="AD753" s="7">
        <f>SUMIF(NF!$A:$A,$AC753,NF!$I:$I)</f>
        <v>23</v>
      </c>
      <c r="AE753" s="6">
        <v>5</v>
      </c>
      <c r="AF753" s="6">
        <v>3</v>
      </c>
      <c r="AG753" s="6">
        <v>3</v>
      </c>
      <c r="AH753" s="6">
        <v>2</v>
      </c>
      <c r="AI753" s="6">
        <v>3</v>
      </c>
      <c r="AJ753" s="6">
        <v>4</v>
      </c>
      <c r="AK753" s="6">
        <v>3</v>
      </c>
      <c r="AL753" s="7">
        <f t="shared" si="495"/>
        <v>23</v>
      </c>
      <c r="AM753" s="11">
        <f t="shared" si="440"/>
        <v>0</v>
      </c>
      <c r="AN753" s="25"/>
      <c r="AO753" s="10" t="str">
        <f t="shared" si="471"/>
        <v>MarçoSEMANA 4Gelo em Cubo</v>
      </c>
      <c r="AP753" s="7">
        <f>SUMIF(NF!$A:$A,$AO753,NF!$I:$I)</f>
        <v>22</v>
      </c>
      <c r="AQ753" s="6">
        <v>4</v>
      </c>
      <c r="AR753" s="6">
        <v>2</v>
      </c>
      <c r="AS753" s="6">
        <v>3</v>
      </c>
      <c r="AT753" s="6">
        <v>2</v>
      </c>
      <c r="AU753" s="6">
        <v>3</v>
      </c>
      <c r="AV753" s="6">
        <v>4</v>
      </c>
      <c r="AW753" s="6">
        <v>4</v>
      </c>
      <c r="AX753" s="7">
        <f t="shared" si="496"/>
        <v>22</v>
      </c>
      <c r="AY753" s="11">
        <f t="shared" si="443"/>
        <v>0</v>
      </c>
      <c r="AZ753" s="25"/>
      <c r="BA753" s="10" t="str">
        <f t="shared" si="472"/>
        <v>MarçoSEMANA 5Gelo em Cubo</v>
      </c>
      <c r="BB753" s="7">
        <f>SUMIF(NF!$A:$A,$BA753,NF!$I:$I)</f>
        <v>21</v>
      </c>
      <c r="BC753" s="6">
        <v>4</v>
      </c>
      <c r="BD753" s="6">
        <v>3</v>
      </c>
      <c r="BE753" s="6">
        <v>3</v>
      </c>
      <c r="BF753" s="6">
        <v>5</v>
      </c>
      <c r="BG753" s="6">
        <v>3</v>
      </c>
      <c r="BH753" s="6">
        <v>3</v>
      </c>
      <c r="BI753" s="74"/>
      <c r="BJ753" s="74"/>
      <c r="BK753" s="7">
        <f t="shared" si="497"/>
        <v>21</v>
      </c>
      <c r="BL753" s="8">
        <f t="shared" si="446"/>
        <v>0</v>
      </c>
      <c r="BM753" s="51" t="str">
        <f>IFERROR(VLOOKUP(A753,NF!$M:$O,3,0),"")</f>
        <v>Mercado</v>
      </c>
      <c r="BN753" s="7">
        <f t="shared" si="447"/>
        <v>100</v>
      </c>
      <c r="BO753" s="8">
        <f t="array" ref="BO753">IFERROR(LARGE(IF(NF!$G$2:$G$3137='Mês atual'!A753,NF!$J$2:$J$3137),1),0)*BN753</f>
        <v>750</v>
      </c>
      <c r="BP753" s="50"/>
      <c r="BR753" s="146">
        <f t="array" ref="BR753">IFERROR(LARGE(IF(NF!$G$2:$G$3137='Mês atual'!A753,NF!$J$2:$J$3137),1),0)</f>
        <v>7.5</v>
      </c>
      <c r="BS753" s="142" t="str">
        <f>VLOOKUP(A753,NF!M:O,3,0)</f>
        <v>Mercado</v>
      </c>
      <c r="BV753" s="74">
        <f t="shared" si="488"/>
        <v>14</v>
      </c>
      <c r="BW753" s="74">
        <f t="shared" si="489"/>
        <v>20</v>
      </c>
      <c r="BX753" s="74">
        <f t="shared" si="490"/>
        <v>23</v>
      </c>
      <c r="BY753" s="74">
        <f t="shared" si="491"/>
        <v>22</v>
      </c>
      <c r="BZ753" s="74">
        <f t="shared" si="492"/>
        <v>21</v>
      </c>
    </row>
    <row r="754" spans="1:78" x14ac:dyDescent="0.2">
      <c r="A754" s="108" t="s">
        <v>384</v>
      </c>
      <c r="B754" s="12"/>
      <c r="C754" s="9">
        <v>0</v>
      </c>
      <c r="D754" s="25"/>
      <c r="E754" s="10" t="str">
        <f t="shared" si="468"/>
        <v>MarçoSEMANA 1Gelo em Escamas</v>
      </c>
      <c r="F754" s="7">
        <f>SUMIF(NF!$A:$A,$E754,NF!$I:$I)</f>
        <v>6</v>
      </c>
      <c r="G754" s="74"/>
      <c r="H754" s="74"/>
      <c r="I754" s="74"/>
      <c r="J754" s="6">
        <v>2</v>
      </c>
      <c r="K754" s="6">
        <v>2</v>
      </c>
      <c r="L754" s="6">
        <v>1</v>
      </c>
      <c r="M754" s="6">
        <v>1</v>
      </c>
      <c r="N754" s="7">
        <f t="shared" si="493"/>
        <v>6</v>
      </c>
      <c r="O754" s="11">
        <f t="shared" si="434"/>
        <v>0</v>
      </c>
      <c r="P754" s="25"/>
      <c r="Q754" s="10" t="str">
        <f t="shared" si="469"/>
        <v>MarçoSEMANA 2Gelo em Escamas</v>
      </c>
      <c r="R754" s="7">
        <f>SUMIF(NF!$A:$A,$Q754,NF!$I:$I)</f>
        <v>12</v>
      </c>
      <c r="S754" s="6">
        <v>2</v>
      </c>
      <c r="T754" s="6">
        <v>1</v>
      </c>
      <c r="U754" s="6">
        <v>2</v>
      </c>
      <c r="V754" s="6">
        <v>2</v>
      </c>
      <c r="W754" s="6">
        <v>2</v>
      </c>
      <c r="X754" s="6">
        <v>2</v>
      </c>
      <c r="Y754" s="6">
        <v>1</v>
      </c>
      <c r="Z754" s="7">
        <f t="shared" si="494"/>
        <v>12</v>
      </c>
      <c r="AA754" s="11">
        <f t="shared" si="437"/>
        <v>0</v>
      </c>
      <c r="AB754" s="25"/>
      <c r="AC754" s="10" t="str">
        <f t="shared" si="470"/>
        <v>MarçoSEMANA 3Gelo em Escamas</v>
      </c>
      <c r="AD754" s="7">
        <f>SUMIF(NF!$A:$A,$AC754,NF!$I:$I)</f>
        <v>9</v>
      </c>
      <c r="AE754" s="6">
        <v>1</v>
      </c>
      <c r="AF754" s="6"/>
      <c r="AG754" s="6">
        <v>2</v>
      </c>
      <c r="AH754" s="6">
        <v>1</v>
      </c>
      <c r="AI754" s="6">
        <v>2</v>
      </c>
      <c r="AJ754" s="6">
        <v>2</v>
      </c>
      <c r="AK754" s="6">
        <v>1</v>
      </c>
      <c r="AL754" s="7">
        <f t="shared" si="495"/>
        <v>9</v>
      </c>
      <c r="AM754" s="11">
        <f t="shared" si="440"/>
        <v>0</v>
      </c>
      <c r="AN754" s="25"/>
      <c r="AO754" s="10" t="str">
        <f t="shared" si="471"/>
        <v>MarçoSEMANA 4Gelo em Escamas</v>
      </c>
      <c r="AP754" s="7">
        <f>SUMIF(NF!$A:$A,$AO754,NF!$I:$I)</f>
        <v>10</v>
      </c>
      <c r="AQ754" s="6">
        <v>1</v>
      </c>
      <c r="AR754" s="6">
        <v>1</v>
      </c>
      <c r="AS754" s="6">
        <v>2</v>
      </c>
      <c r="AT754" s="6">
        <v>1</v>
      </c>
      <c r="AU754" s="6">
        <v>2</v>
      </c>
      <c r="AV754" s="6">
        <v>2</v>
      </c>
      <c r="AW754" s="6">
        <v>1</v>
      </c>
      <c r="AX754" s="7">
        <f t="shared" si="496"/>
        <v>10</v>
      </c>
      <c r="AY754" s="11">
        <f t="shared" si="443"/>
        <v>0</v>
      </c>
      <c r="AZ754" s="25"/>
      <c r="BA754" s="10" t="str">
        <f t="shared" si="472"/>
        <v>MarçoSEMANA 5Gelo em Escamas</v>
      </c>
      <c r="BB754" s="7">
        <f>SUMIF(NF!$A:$A,$BA754,NF!$I:$I)</f>
        <v>11</v>
      </c>
      <c r="BC754" s="6">
        <v>2</v>
      </c>
      <c r="BD754" s="6">
        <v>1</v>
      </c>
      <c r="BE754" s="6">
        <v>2</v>
      </c>
      <c r="BF754" s="6">
        <v>2</v>
      </c>
      <c r="BG754" s="6">
        <v>2</v>
      </c>
      <c r="BH754" s="6">
        <v>2</v>
      </c>
      <c r="BI754" s="74"/>
      <c r="BJ754" s="74"/>
      <c r="BK754" s="7">
        <f t="shared" si="497"/>
        <v>11</v>
      </c>
      <c r="BL754" s="8">
        <f t="shared" si="446"/>
        <v>0</v>
      </c>
      <c r="BM754" s="51" t="str">
        <f>IFERROR(VLOOKUP(A754,NF!$M:$O,3,0),"")</f>
        <v>Mercado</v>
      </c>
      <c r="BN754" s="7">
        <f t="shared" si="447"/>
        <v>48</v>
      </c>
      <c r="BO754" s="8">
        <f t="array" ref="BO754">IFERROR(LARGE(IF(NF!$G$2:$G$3137='Mês atual'!A754,NF!$J$2:$J$3137),1),0)*BN754</f>
        <v>360</v>
      </c>
      <c r="BP754" s="50"/>
      <c r="BR754" s="146">
        <f t="array" ref="BR754">IFERROR(LARGE(IF(NF!$G$2:$G$3137='Mês atual'!A754,NF!$J$2:$J$3137),1),0)</f>
        <v>7.5</v>
      </c>
      <c r="BS754" s="142" t="str">
        <f>VLOOKUP(A754,NF!M:O,3,0)</f>
        <v>Mercado</v>
      </c>
      <c r="BV754" s="74">
        <f t="shared" si="488"/>
        <v>6</v>
      </c>
      <c r="BW754" s="74">
        <f t="shared" si="489"/>
        <v>12</v>
      </c>
      <c r="BX754" s="74">
        <f t="shared" si="490"/>
        <v>9</v>
      </c>
      <c r="BY754" s="74">
        <f t="shared" si="491"/>
        <v>10</v>
      </c>
      <c r="BZ754" s="74">
        <f t="shared" si="492"/>
        <v>11</v>
      </c>
    </row>
    <row r="755" spans="1:78" x14ac:dyDescent="0.2">
      <c r="A755" s="108" t="s">
        <v>387</v>
      </c>
      <c r="B755" s="12"/>
      <c r="C755" s="9">
        <f>2-1</f>
        <v>1</v>
      </c>
      <c r="D755" s="25"/>
      <c r="E755" s="10" t="str">
        <f t="shared" si="468"/>
        <v>MarçoSEMANA 1Gergelim Branco</v>
      </c>
      <c r="F755" s="7">
        <f>SUMIF(NF!$A:$A,$E755,NF!$I:$I)</f>
        <v>0</v>
      </c>
      <c r="G755" s="74"/>
      <c r="H755" s="74"/>
      <c r="I755" s="74"/>
      <c r="J755" s="6"/>
      <c r="K755" s="6"/>
      <c r="L755" s="6"/>
      <c r="M755" s="6"/>
      <c r="N755" s="7">
        <f t="shared" si="493"/>
        <v>0</v>
      </c>
      <c r="O755" s="11">
        <f t="shared" si="434"/>
        <v>1</v>
      </c>
      <c r="P755" s="25"/>
      <c r="Q755" s="10" t="str">
        <f t="shared" si="469"/>
        <v>MarçoSEMANA 2Gergelim Branco</v>
      </c>
      <c r="R755" s="7">
        <f>SUMIF(NF!$A:$A,$Q755,NF!$I:$I)</f>
        <v>1</v>
      </c>
      <c r="S755" s="6">
        <v>1</v>
      </c>
      <c r="T755" s="6"/>
      <c r="U755" s="6"/>
      <c r="V755" s="6"/>
      <c r="W755" s="6"/>
      <c r="X755" s="6"/>
      <c r="Y755" s="6"/>
      <c r="Z755" s="7">
        <f t="shared" si="494"/>
        <v>1</v>
      </c>
      <c r="AA755" s="11">
        <f t="shared" si="437"/>
        <v>1</v>
      </c>
      <c r="AB755" s="25"/>
      <c r="AC755" s="10" t="str">
        <f t="shared" si="470"/>
        <v>MarçoSEMANA 3Gergelim Branco</v>
      </c>
      <c r="AD755" s="7">
        <f>SUMIF(NF!$A:$A,$AC755,NF!$I:$I)</f>
        <v>0</v>
      </c>
      <c r="AE755" s="6"/>
      <c r="AF755" s="6"/>
      <c r="AG755" s="6"/>
      <c r="AH755" s="6"/>
      <c r="AI755" s="6">
        <v>1</v>
      </c>
      <c r="AJ755" s="6"/>
      <c r="AK755" s="6"/>
      <c r="AL755" s="7">
        <f t="shared" si="495"/>
        <v>1</v>
      </c>
      <c r="AM755" s="11">
        <f t="shared" si="440"/>
        <v>0</v>
      </c>
      <c r="AN755" s="25"/>
      <c r="AO755" s="10" t="str">
        <f t="shared" si="471"/>
        <v>MarçoSEMANA 4Gergelim Branco</v>
      </c>
      <c r="AP755" s="7">
        <f>SUMIF(NF!$A:$A,$AO755,NF!$I:$I)</f>
        <v>2</v>
      </c>
      <c r="AQ755" s="6"/>
      <c r="AR755" s="6"/>
      <c r="AS755" s="6"/>
      <c r="AT755" s="6"/>
      <c r="AU755" s="6"/>
      <c r="AV755" s="6"/>
      <c r="AW755" s="6"/>
      <c r="AX755" s="7">
        <f t="shared" si="496"/>
        <v>0</v>
      </c>
      <c r="AY755" s="11">
        <f t="shared" si="443"/>
        <v>2</v>
      </c>
      <c r="AZ755" s="25"/>
      <c r="BA755" s="10" t="str">
        <f t="shared" si="472"/>
        <v>MarçoSEMANA 5Gergelim Branco</v>
      </c>
      <c r="BB755" s="7">
        <f>SUMIF(NF!$A:$A,$BA755,NF!$I:$I)</f>
        <v>0</v>
      </c>
      <c r="BC755" s="6"/>
      <c r="BD755" s="6"/>
      <c r="BE755" s="6">
        <v>1</v>
      </c>
      <c r="BF755" s="6"/>
      <c r="BG755" s="6"/>
      <c r="BH755" s="6"/>
      <c r="BI755" s="74"/>
      <c r="BJ755" s="74"/>
      <c r="BK755" s="7">
        <f t="shared" si="497"/>
        <v>1</v>
      </c>
      <c r="BL755" s="8">
        <f t="shared" si="446"/>
        <v>1</v>
      </c>
      <c r="BM755" s="51" t="str">
        <f>IFERROR(VLOOKUP(A755,NF!$M:$O,3,0),"")</f>
        <v>Mercado</v>
      </c>
      <c r="BN755" s="7">
        <f t="shared" si="447"/>
        <v>3</v>
      </c>
      <c r="BO755" s="8">
        <f t="array" ref="BO755">IFERROR(LARGE(IF(NF!$G$2:$G$3137='Mês atual'!A755,NF!$J$2:$J$3137),1),0)*BN755</f>
        <v>33.75</v>
      </c>
      <c r="BP755" s="50"/>
      <c r="BR755" s="146">
        <f t="array" ref="BR755">IFERROR(LARGE(IF(NF!$G$2:$G$3137='Mês atual'!A755,NF!$J$2:$J$3137),1),0)</f>
        <v>11.25</v>
      </c>
      <c r="BS755" s="142" t="str">
        <f>VLOOKUP(A755,NF!M:O,3,0)</f>
        <v>Mercado</v>
      </c>
      <c r="BV755" s="74">
        <f t="shared" si="488"/>
        <v>0</v>
      </c>
      <c r="BW755" s="74">
        <f t="shared" si="489"/>
        <v>1</v>
      </c>
      <c r="BX755" s="74">
        <f t="shared" si="490"/>
        <v>1</v>
      </c>
      <c r="BY755" s="74">
        <f t="shared" si="491"/>
        <v>0</v>
      </c>
      <c r="BZ755" s="74">
        <f t="shared" si="492"/>
        <v>1</v>
      </c>
    </row>
    <row r="756" spans="1:78" x14ac:dyDescent="0.2">
      <c r="A756" s="108" t="s">
        <v>389</v>
      </c>
      <c r="B756" s="12"/>
      <c r="C756" s="9">
        <v>0</v>
      </c>
      <c r="D756" s="25"/>
      <c r="E756" s="10" t="str">
        <f t="shared" si="468"/>
        <v>MarçoSEMANA 1Gergelim Preto</v>
      </c>
      <c r="F756" s="7">
        <f>SUMIF(NF!$A:$A,$E756,NF!$I:$I)</f>
        <v>2</v>
      </c>
      <c r="G756" s="74"/>
      <c r="H756" s="74"/>
      <c r="I756" s="74"/>
      <c r="J756" s="6"/>
      <c r="K756" s="6"/>
      <c r="L756" s="6"/>
      <c r="M756" s="6"/>
      <c r="N756" s="7">
        <f t="shared" si="493"/>
        <v>0</v>
      </c>
      <c r="O756" s="11">
        <f t="shared" si="434"/>
        <v>2</v>
      </c>
      <c r="P756" s="25"/>
      <c r="Q756" s="10" t="str">
        <f t="shared" si="469"/>
        <v>MarçoSEMANA 2Gergelim Preto</v>
      </c>
      <c r="R756" s="7">
        <f>SUMIF(NF!$A:$A,$Q756,NF!$I:$I)</f>
        <v>0</v>
      </c>
      <c r="S756" s="6"/>
      <c r="T756" s="6"/>
      <c r="U756" s="6"/>
      <c r="V756" s="6"/>
      <c r="W756" s="6"/>
      <c r="X756" s="6"/>
      <c r="Y756" s="6"/>
      <c r="Z756" s="7">
        <f t="shared" si="494"/>
        <v>0</v>
      </c>
      <c r="AA756" s="11">
        <f t="shared" si="437"/>
        <v>2</v>
      </c>
      <c r="AB756" s="25"/>
      <c r="AC756" s="10" t="str">
        <f t="shared" si="470"/>
        <v>MarçoSEMANA 3Gergelim Preto</v>
      </c>
      <c r="AD756" s="7">
        <f>SUMIF(NF!$A:$A,$AC756,NF!$I:$I)</f>
        <v>0</v>
      </c>
      <c r="AE756" s="6"/>
      <c r="AF756" s="6"/>
      <c r="AG756" s="6"/>
      <c r="AH756" s="6"/>
      <c r="AI756" s="6">
        <v>1</v>
      </c>
      <c r="AJ756" s="6"/>
      <c r="AK756" s="6"/>
      <c r="AL756" s="7">
        <f t="shared" si="495"/>
        <v>1</v>
      </c>
      <c r="AM756" s="11">
        <f t="shared" si="440"/>
        <v>1</v>
      </c>
      <c r="AN756" s="25"/>
      <c r="AO756" s="10" t="str">
        <f t="shared" si="471"/>
        <v>MarçoSEMANA 4Gergelim Preto</v>
      </c>
      <c r="AP756" s="7">
        <f>SUMIF(NF!$A:$A,$AO756,NF!$I:$I)</f>
        <v>0</v>
      </c>
      <c r="AQ756" s="6"/>
      <c r="AR756" s="6"/>
      <c r="AS756" s="6"/>
      <c r="AT756" s="6"/>
      <c r="AU756" s="6"/>
      <c r="AV756" s="6"/>
      <c r="AW756" s="6"/>
      <c r="AX756" s="7">
        <f t="shared" si="496"/>
        <v>0</v>
      </c>
      <c r="AY756" s="11">
        <f t="shared" si="443"/>
        <v>1</v>
      </c>
      <c r="AZ756" s="25"/>
      <c r="BA756" s="10" t="str">
        <f t="shared" si="472"/>
        <v>MarçoSEMANA 5Gergelim Preto</v>
      </c>
      <c r="BB756" s="7">
        <f>SUMIF(NF!$A:$A,$BA756,NF!$I:$I)</f>
        <v>0</v>
      </c>
      <c r="BC756" s="6"/>
      <c r="BD756" s="6"/>
      <c r="BE756" s="6"/>
      <c r="BF756" s="6"/>
      <c r="BG756" s="6"/>
      <c r="BH756" s="6"/>
      <c r="BI756" s="74"/>
      <c r="BJ756" s="74"/>
      <c r="BK756" s="7">
        <f t="shared" si="497"/>
        <v>0</v>
      </c>
      <c r="BL756" s="8">
        <f t="shared" si="446"/>
        <v>1</v>
      </c>
      <c r="BM756" s="51" t="str">
        <f>IFERROR(VLOOKUP(A756,NF!$M:$O,3,0),"")</f>
        <v>Mercado</v>
      </c>
      <c r="BN756" s="7">
        <f t="shared" si="447"/>
        <v>1</v>
      </c>
      <c r="BO756" s="8">
        <f t="array" ref="BO756">IFERROR(LARGE(IF(NF!$G$2:$G$3137='Mês atual'!A756,NF!$J$2:$J$3137),1),0)*BN756</f>
        <v>18.38</v>
      </c>
      <c r="BP756" s="50"/>
      <c r="BR756" s="146">
        <f t="array" ref="BR756">IFERROR(LARGE(IF(NF!$G$2:$G$3137='Mês atual'!A756,NF!$J$2:$J$3137),1),0)</f>
        <v>18.38</v>
      </c>
      <c r="BS756" s="142" t="str">
        <f>VLOOKUP(A756,NF!M:O,3,0)</f>
        <v>Mercado</v>
      </c>
      <c r="BV756" s="74">
        <f t="shared" si="488"/>
        <v>0</v>
      </c>
      <c r="BW756" s="74">
        <f t="shared" si="489"/>
        <v>0</v>
      </c>
      <c r="BX756" s="74">
        <f t="shared" si="490"/>
        <v>1</v>
      </c>
      <c r="BY756" s="74">
        <f t="shared" si="491"/>
        <v>0</v>
      </c>
      <c r="BZ756" s="74">
        <f t="shared" si="492"/>
        <v>0</v>
      </c>
    </row>
    <row r="757" spans="1:78" x14ac:dyDescent="0.2">
      <c r="A757" s="108" t="s">
        <v>1024</v>
      </c>
      <c r="B757" s="12"/>
      <c r="C757" s="9">
        <v>0</v>
      </c>
      <c r="D757" s="25"/>
      <c r="E757" s="10" t="str">
        <f t="shared" si="468"/>
        <v>MarçoSEMANA 1Girassol s/ Casca</v>
      </c>
      <c r="F757" s="7">
        <f>SUMIF(NF!$A:$A,$E757,NF!$I:$I)</f>
        <v>0</v>
      </c>
      <c r="G757" s="74"/>
      <c r="H757" s="74"/>
      <c r="I757" s="74"/>
      <c r="J757" s="6"/>
      <c r="K757" s="6"/>
      <c r="L757" s="6"/>
      <c r="M757" s="6"/>
      <c r="N757" s="7">
        <f>SUM(G757:M757)</f>
        <v>0</v>
      </c>
      <c r="O757" s="11">
        <f t="shared" si="434"/>
        <v>0</v>
      </c>
      <c r="P757" s="25"/>
      <c r="Q757" s="10" t="str">
        <f t="shared" si="469"/>
        <v>MarçoSEMANA 2Girassol s/ Casca</v>
      </c>
      <c r="R757" s="7">
        <f>SUMIF(NF!$A:$A,$Q757,NF!$I:$I)</f>
        <v>0</v>
      </c>
      <c r="S757" s="6"/>
      <c r="T757" s="6"/>
      <c r="U757" s="6"/>
      <c r="V757" s="6"/>
      <c r="W757" s="6"/>
      <c r="X757" s="6"/>
      <c r="Y757" s="6"/>
      <c r="Z757" s="7">
        <f>SUM(S757:Y757)</f>
        <v>0</v>
      </c>
      <c r="AA757" s="11">
        <f t="shared" si="437"/>
        <v>0</v>
      </c>
      <c r="AB757" s="25"/>
      <c r="AC757" s="10" t="str">
        <f t="shared" si="470"/>
        <v>MarçoSEMANA 3Girassol s/ Casca</v>
      </c>
      <c r="AD757" s="7">
        <f>SUMIF(NF!$A:$A,$AC757,NF!$I:$I)</f>
        <v>0</v>
      </c>
      <c r="AE757" s="6"/>
      <c r="AF757" s="6"/>
      <c r="AG757" s="6"/>
      <c r="AH757" s="6"/>
      <c r="AI757" s="6"/>
      <c r="AJ757" s="6"/>
      <c r="AK757" s="6"/>
      <c r="AL757" s="7">
        <f>SUM(AE757:AK757)</f>
        <v>0</v>
      </c>
      <c r="AM757" s="11">
        <f t="shared" si="440"/>
        <v>0</v>
      </c>
      <c r="AN757" s="25"/>
      <c r="AO757" s="10" t="str">
        <f t="shared" si="471"/>
        <v>MarçoSEMANA 4Girassol s/ Casca</v>
      </c>
      <c r="AP757" s="7">
        <f>SUMIF(NF!$A:$A,$AO757,NF!$I:$I)</f>
        <v>0</v>
      </c>
      <c r="AQ757" s="6"/>
      <c r="AR757" s="6"/>
      <c r="AS757" s="6"/>
      <c r="AT757" s="6"/>
      <c r="AU757" s="6"/>
      <c r="AV757" s="6"/>
      <c r="AW757" s="6"/>
      <c r="AX757" s="7">
        <f>SUM(AQ757:AW757)</f>
        <v>0</v>
      </c>
      <c r="AY757" s="11">
        <f t="shared" si="443"/>
        <v>0</v>
      </c>
      <c r="AZ757" s="25"/>
      <c r="BA757" s="10" t="str">
        <f t="shared" si="472"/>
        <v>MarçoSEMANA 5Girassol s/ Casca</v>
      </c>
      <c r="BB757" s="7">
        <f>SUMIF(NF!$A:$A,$BA757,NF!$I:$I)</f>
        <v>1.012</v>
      </c>
      <c r="BC757" s="6"/>
      <c r="BD757" s="6"/>
      <c r="BE757" s="6"/>
      <c r="BF757" s="6">
        <v>0.4</v>
      </c>
      <c r="BG757" s="6"/>
      <c r="BH757" s="6"/>
      <c r="BI757" s="74"/>
      <c r="BJ757" s="74"/>
      <c r="BK757" s="7">
        <f>SUM(BC757:BJ757)</f>
        <v>0.4</v>
      </c>
      <c r="BL757" s="8">
        <f t="shared" si="446"/>
        <v>0.61199999999999999</v>
      </c>
      <c r="BM757" s="51" t="str">
        <f>IFERROR(VLOOKUP(A757,NF!$M:$O,3,0),"")</f>
        <v>Mercado</v>
      </c>
      <c r="BN757" s="7">
        <f t="shared" si="447"/>
        <v>0.4</v>
      </c>
      <c r="BO757" s="8">
        <f t="array" ref="BO757">IFERROR(LARGE(IF(NF!$G$2:$G$3137='Mês atual'!A757,NF!$J$2:$J$3137),1),0)*BN757</f>
        <v>7.8400000000000007</v>
      </c>
      <c r="BP757" s="50"/>
      <c r="BR757" s="146">
        <f t="array" ref="BR757">IFERROR(LARGE(IF(NF!$G$2:$G$3137='Mês atual'!A757,NF!$J$2:$J$3137),1),0)</f>
        <v>19.600000000000001</v>
      </c>
      <c r="BS757" s="142" t="str">
        <f>VLOOKUP(A757,NF!M:O,3,0)</f>
        <v>Mercado</v>
      </c>
      <c r="BV757" s="74">
        <f t="shared" si="488"/>
        <v>0</v>
      </c>
      <c r="BW757" s="74">
        <f t="shared" si="489"/>
        <v>0</v>
      </c>
      <c r="BX757" s="74">
        <f t="shared" si="490"/>
        <v>0</v>
      </c>
      <c r="BY757" s="74">
        <f t="shared" si="491"/>
        <v>0</v>
      </c>
      <c r="BZ757" s="74">
        <f t="shared" si="492"/>
        <v>0.4</v>
      </c>
    </row>
    <row r="758" spans="1:78" x14ac:dyDescent="0.2">
      <c r="A758" s="108" t="s">
        <v>996</v>
      </c>
      <c r="B758" s="12"/>
      <c r="C758" s="9">
        <v>1</v>
      </c>
      <c r="D758" s="25"/>
      <c r="E758" s="10" t="str">
        <f t="shared" si="468"/>
        <v>MarçoSEMANA 1Goiaba em Calda</v>
      </c>
      <c r="F758" s="7">
        <f>SUMIF(NF!$A:$A,$E758,NF!$I:$I)</f>
        <v>0</v>
      </c>
      <c r="G758" s="74"/>
      <c r="H758" s="74"/>
      <c r="I758" s="74"/>
      <c r="J758" s="6"/>
      <c r="K758" s="6"/>
      <c r="L758" s="6"/>
      <c r="M758" s="6"/>
      <c r="N758" s="7">
        <f>SUM(G758:M758)</f>
        <v>0</v>
      </c>
      <c r="O758" s="11">
        <f>F758+C758-N758</f>
        <v>1</v>
      </c>
      <c r="P758" s="25"/>
      <c r="Q758" s="10" t="str">
        <f t="shared" si="469"/>
        <v>MarçoSEMANA 2Goiaba em Calda</v>
      </c>
      <c r="R758" s="7">
        <f>SUMIF(NF!$A:$A,$Q758,NF!$I:$I)</f>
        <v>0</v>
      </c>
      <c r="S758" s="6"/>
      <c r="T758" s="6">
        <v>1</v>
      </c>
      <c r="U758" s="6"/>
      <c r="V758" s="6"/>
      <c r="W758" s="6"/>
      <c r="X758" s="6"/>
      <c r="Y758" s="6"/>
      <c r="Z758" s="7">
        <f>SUM(S758:Y758)</f>
        <v>1</v>
      </c>
      <c r="AA758" s="11">
        <f>R758+O758-Z758</f>
        <v>0</v>
      </c>
      <c r="AB758" s="25"/>
      <c r="AC758" s="10" t="str">
        <f t="shared" si="470"/>
        <v>MarçoSEMANA 3Goiaba em Calda</v>
      </c>
      <c r="AD758" s="7">
        <f>SUMIF(NF!$A:$A,$AC758,NF!$I:$I)</f>
        <v>0</v>
      </c>
      <c r="AE758" s="6"/>
      <c r="AF758" s="6"/>
      <c r="AG758" s="6"/>
      <c r="AH758" s="6"/>
      <c r="AI758" s="6"/>
      <c r="AJ758" s="6"/>
      <c r="AK758" s="6"/>
      <c r="AL758" s="7">
        <f>SUM(AE758:AK758)</f>
        <v>0</v>
      </c>
      <c r="AM758" s="11">
        <f>AD758+AA758-AL758</f>
        <v>0</v>
      </c>
      <c r="AN758" s="25"/>
      <c r="AO758" s="10" t="str">
        <f t="shared" si="471"/>
        <v>MarçoSEMANA 4Goiaba em Calda</v>
      </c>
      <c r="AP758" s="7">
        <f>SUMIF(NF!$A:$A,$AO758,NF!$I:$I)</f>
        <v>0</v>
      </c>
      <c r="AQ758" s="6"/>
      <c r="AR758" s="6"/>
      <c r="AS758" s="6"/>
      <c r="AT758" s="6"/>
      <c r="AU758" s="6"/>
      <c r="AV758" s="6"/>
      <c r="AW758" s="6"/>
      <c r="AX758" s="7">
        <f>SUM(AQ758:AW758)</f>
        <v>0</v>
      </c>
      <c r="AY758" s="11">
        <f>AP758+AM758-AX758</f>
        <v>0</v>
      </c>
      <c r="AZ758" s="25"/>
      <c r="BA758" s="10" t="str">
        <f t="shared" si="472"/>
        <v>MarçoSEMANA 5Goiaba em Calda</v>
      </c>
      <c r="BB758" s="7">
        <f>SUMIF(NF!$A:$A,$BA758,NF!$I:$I)</f>
        <v>0</v>
      </c>
      <c r="BC758" s="6"/>
      <c r="BD758" s="6"/>
      <c r="BE758" s="6"/>
      <c r="BF758" s="6"/>
      <c r="BG758" s="6"/>
      <c r="BH758" s="6"/>
      <c r="BI758" s="74"/>
      <c r="BJ758" s="74"/>
      <c r="BK758" s="7">
        <f>SUM(BC758:BJ758)</f>
        <v>0</v>
      </c>
      <c r="BL758" s="8">
        <f>BB758+AY758-BK758</f>
        <v>0</v>
      </c>
      <c r="BM758" s="51" t="str">
        <f>IFERROR(VLOOKUP(A758,NF!$M:$O,3,0),"")</f>
        <v>Mercado</v>
      </c>
      <c r="BN758" s="7">
        <f>SUM(N758,Z758,AL758,AX758,BK758)</f>
        <v>1</v>
      </c>
      <c r="BO758" s="8">
        <f t="array" ref="BO758">IFERROR(LARGE(IF(NF!$G$2:$G$3137='Mês atual'!A758,NF!$J$2:$J$3137),1),0)*BN758</f>
        <v>0</v>
      </c>
      <c r="BP758" s="50"/>
      <c r="BR758" s="146">
        <f t="array" ref="BR758">IFERROR(LARGE(IF(NF!$G$2:$G$3137='Mês atual'!A758,NF!$J$2:$J$3137),1),0)</f>
        <v>0</v>
      </c>
      <c r="BS758" s="142" t="str">
        <f>VLOOKUP(A758,NF!M:O,3,0)</f>
        <v>Mercado</v>
      </c>
      <c r="BV758" s="74">
        <f t="shared" si="488"/>
        <v>0</v>
      </c>
      <c r="BW758" s="74">
        <f t="shared" si="489"/>
        <v>1</v>
      </c>
      <c r="BX758" s="74">
        <f t="shared" si="490"/>
        <v>0</v>
      </c>
      <c r="BY758" s="74">
        <f t="shared" si="491"/>
        <v>0</v>
      </c>
      <c r="BZ758" s="74">
        <f t="shared" si="492"/>
        <v>0</v>
      </c>
    </row>
    <row r="759" spans="1:78" x14ac:dyDescent="0.2">
      <c r="A759" s="108" t="s">
        <v>392</v>
      </c>
      <c r="B759" s="12"/>
      <c r="C759" s="9">
        <v>1</v>
      </c>
      <c r="D759" s="25"/>
      <c r="E759" s="10" t="str">
        <f t="shared" si="468"/>
        <v>MarçoSEMANA 1Goiabada</v>
      </c>
      <c r="F759" s="7">
        <f>SUMIF(NF!$A:$A,$E759,NF!$I:$I)</f>
        <v>0</v>
      </c>
      <c r="G759" s="74"/>
      <c r="H759" s="74"/>
      <c r="I759" s="74"/>
      <c r="J759" s="6"/>
      <c r="K759" s="6"/>
      <c r="L759" s="6"/>
      <c r="M759" s="6"/>
      <c r="N759" s="7">
        <f t="shared" si="493"/>
        <v>0</v>
      </c>
      <c r="O759" s="11">
        <f t="shared" si="434"/>
        <v>1</v>
      </c>
      <c r="P759" s="25"/>
      <c r="Q759" s="10" t="str">
        <f t="shared" si="469"/>
        <v>MarçoSEMANA 2Goiabada</v>
      </c>
      <c r="R759" s="7">
        <f>SUMIF(NF!$A:$A,$Q759,NF!$I:$I)</f>
        <v>0</v>
      </c>
      <c r="S759" s="6"/>
      <c r="T759" s="6"/>
      <c r="U759" s="6"/>
      <c r="V759" s="6"/>
      <c r="W759" s="6"/>
      <c r="X759" s="6"/>
      <c r="Y759" s="6"/>
      <c r="Z759" s="7">
        <f t="shared" si="494"/>
        <v>0</v>
      </c>
      <c r="AA759" s="11">
        <f t="shared" si="437"/>
        <v>1</v>
      </c>
      <c r="AB759" s="25"/>
      <c r="AC759" s="10" t="str">
        <f t="shared" si="470"/>
        <v>MarçoSEMANA 3Goiabada</v>
      </c>
      <c r="AD759" s="7">
        <f>SUMIF(NF!$A:$A,$AC759,NF!$I:$I)</f>
        <v>0</v>
      </c>
      <c r="AE759" s="6"/>
      <c r="AF759" s="6"/>
      <c r="AG759" s="6"/>
      <c r="AH759" s="6"/>
      <c r="AI759" s="6"/>
      <c r="AJ759" s="6"/>
      <c r="AK759" s="6"/>
      <c r="AL759" s="7">
        <f t="shared" si="495"/>
        <v>0</v>
      </c>
      <c r="AM759" s="11">
        <f t="shared" si="440"/>
        <v>1</v>
      </c>
      <c r="AN759" s="25"/>
      <c r="AO759" s="10" t="str">
        <f t="shared" si="471"/>
        <v>MarçoSEMANA 4Goiabada</v>
      </c>
      <c r="AP759" s="7">
        <f>SUMIF(NF!$A:$A,$AO759,NF!$I:$I)</f>
        <v>0</v>
      </c>
      <c r="AQ759" s="6"/>
      <c r="AR759" s="6"/>
      <c r="AS759" s="6"/>
      <c r="AT759" s="6">
        <v>1</v>
      </c>
      <c r="AU759" s="6"/>
      <c r="AV759" s="6"/>
      <c r="AW759" s="6"/>
      <c r="AX759" s="7">
        <f t="shared" si="496"/>
        <v>1</v>
      </c>
      <c r="AY759" s="11">
        <f t="shared" si="443"/>
        <v>0</v>
      </c>
      <c r="AZ759" s="25"/>
      <c r="BA759" s="10" t="str">
        <f t="shared" si="472"/>
        <v>MarçoSEMANA 5Goiabada</v>
      </c>
      <c r="BB759" s="7">
        <f>SUMIF(NF!$A:$A,$BA759,NF!$I:$I)</f>
        <v>1</v>
      </c>
      <c r="BC759" s="6"/>
      <c r="BD759" s="6"/>
      <c r="BE759" s="6"/>
      <c r="BF759" s="6"/>
      <c r="BG759" s="6"/>
      <c r="BH759" s="6"/>
      <c r="BI759" s="74"/>
      <c r="BJ759" s="74"/>
      <c r="BK759" s="7">
        <f t="shared" si="497"/>
        <v>0</v>
      </c>
      <c r="BL759" s="8">
        <f t="shared" si="446"/>
        <v>1</v>
      </c>
      <c r="BM759" s="51" t="str">
        <f>IFERROR(VLOOKUP(A759,NF!$M:$O,3,0),"")</f>
        <v>Mercado</v>
      </c>
      <c r="BN759" s="7">
        <f t="shared" si="447"/>
        <v>1</v>
      </c>
      <c r="BO759" s="8">
        <f t="array" ref="BO759">IFERROR(LARGE(IF(NF!$G$2:$G$3137='Mês atual'!A759,NF!$J$2:$J$3137),1),0)*BN759</f>
        <v>7.98</v>
      </c>
      <c r="BP759" s="50"/>
      <c r="BR759" s="146">
        <f t="array" ref="BR759">IFERROR(LARGE(IF(NF!$G$2:$G$3137='Mês atual'!A759,NF!$J$2:$J$3137),1),0)</f>
        <v>7.98</v>
      </c>
      <c r="BS759" s="142" t="str">
        <f>VLOOKUP(A759,NF!M:O,3,0)</f>
        <v>Mercado</v>
      </c>
      <c r="BV759" s="74">
        <f t="shared" si="488"/>
        <v>0</v>
      </c>
      <c r="BW759" s="74">
        <f t="shared" si="489"/>
        <v>0</v>
      </c>
      <c r="BX759" s="74">
        <f t="shared" si="490"/>
        <v>0</v>
      </c>
      <c r="BY759" s="74">
        <f t="shared" si="491"/>
        <v>1</v>
      </c>
      <c r="BZ759" s="74">
        <f t="shared" si="492"/>
        <v>0</v>
      </c>
    </row>
    <row r="760" spans="1:78" x14ac:dyDescent="0.2">
      <c r="A760" s="108" t="s">
        <v>393</v>
      </c>
      <c r="B760" s="12"/>
      <c r="C760" s="9">
        <v>0</v>
      </c>
      <c r="D760" s="25"/>
      <c r="E760" s="10" t="str">
        <f t="shared" si="468"/>
        <v>MarçoSEMANA 1Goma de Tapioca</v>
      </c>
      <c r="F760" s="7">
        <f>SUMIF(NF!$A:$A,$E760,NF!$I:$I)</f>
        <v>0</v>
      </c>
      <c r="G760" s="74"/>
      <c r="H760" s="74"/>
      <c r="I760" s="74"/>
      <c r="J760" s="6"/>
      <c r="K760" s="6"/>
      <c r="L760" s="6"/>
      <c r="M760" s="6"/>
      <c r="N760" s="7">
        <f t="shared" si="493"/>
        <v>0</v>
      </c>
      <c r="O760" s="11">
        <f t="shared" si="434"/>
        <v>0</v>
      </c>
      <c r="P760" s="25"/>
      <c r="Q760" s="10" t="str">
        <f t="shared" si="469"/>
        <v>MarçoSEMANA 2Goma de Tapioca</v>
      </c>
      <c r="R760" s="7">
        <f>SUMIF(NF!$A:$A,$Q760,NF!$I:$I)</f>
        <v>0</v>
      </c>
      <c r="S760" s="6"/>
      <c r="T760" s="6"/>
      <c r="U760" s="6"/>
      <c r="V760" s="6"/>
      <c r="W760" s="6"/>
      <c r="X760" s="6"/>
      <c r="Y760" s="6"/>
      <c r="Z760" s="7">
        <f t="shared" si="494"/>
        <v>0</v>
      </c>
      <c r="AA760" s="11">
        <f t="shared" si="437"/>
        <v>0</v>
      </c>
      <c r="AB760" s="25"/>
      <c r="AC760" s="10" t="str">
        <f t="shared" si="470"/>
        <v>MarçoSEMANA 3Goma de Tapioca</v>
      </c>
      <c r="AD760" s="7">
        <f>SUMIF(NF!$A:$A,$AC760,NF!$I:$I)</f>
        <v>0</v>
      </c>
      <c r="AE760" s="6"/>
      <c r="AF760" s="6"/>
      <c r="AG760" s="6"/>
      <c r="AH760" s="6"/>
      <c r="AI760" s="6"/>
      <c r="AJ760" s="6"/>
      <c r="AK760" s="6"/>
      <c r="AL760" s="7">
        <f t="shared" si="495"/>
        <v>0</v>
      </c>
      <c r="AM760" s="11">
        <f t="shared" si="440"/>
        <v>0</v>
      </c>
      <c r="AN760" s="25"/>
      <c r="AO760" s="10" t="str">
        <f t="shared" si="471"/>
        <v>MarçoSEMANA 4Goma de Tapioca</v>
      </c>
      <c r="AP760" s="7">
        <f>SUMIF(NF!$A:$A,$AO760,NF!$I:$I)</f>
        <v>0</v>
      </c>
      <c r="AQ760" s="6"/>
      <c r="AR760" s="6"/>
      <c r="AS760" s="6"/>
      <c r="AT760" s="6"/>
      <c r="AU760" s="6"/>
      <c r="AV760" s="6"/>
      <c r="AW760" s="6"/>
      <c r="AX760" s="7">
        <f t="shared" si="496"/>
        <v>0</v>
      </c>
      <c r="AY760" s="11">
        <f t="shared" si="443"/>
        <v>0</v>
      </c>
      <c r="AZ760" s="25"/>
      <c r="BA760" s="10" t="str">
        <f t="shared" si="472"/>
        <v>MarçoSEMANA 5Goma de Tapioca</v>
      </c>
      <c r="BB760" s="7">
        <f>SUMIF(NF!$A:$A,$BA760,NF!$I:$I)</f>
        <v>0</v>
      </c>
      <c r="BC760" s="6"/>
      <c r="BD760" s="6"/>
      <c r="BE760" s="6"/>
      <c r="BF760" s="6"/>
      <c r="BG760" s="6"/>
      <c r="BH760" s="6"/>
      <c r="BI760" s="74"/>
      <c r="BJ760" s="74"/>
      <c r="BK760" s="7">
        <f t="shared" si="497"/>
        <v>0</v>
      </c>
      <c r="BL760" s="8">
        <f t="shared" si="446"/>
        <v>0</v>
      </c>
      <c r="BM760" s="51" t="str">
        <f>IFERROR(VLOOKUP(A760,NF!$M:$O,3,0),"")</f>
        <v>Mercado</v>
      </c>
      <c r="BN760" s="7">
        <f t="shared" si="447"/>
        <v>0</v>
      </c>
      <c r="BO760" s="8">
        <f t="array" ref="BO760">IFERROR(LARGE(IF(NF!$G$2:$G$3137='Mês atual'!A760,NF!$J$2:$J$3137),1),0)*BN760</f>
        <v>0</v>
      </c>
      <c r="BP760" s="50"/>
      <c r="BR760" s="146">
        <f t="array" ref="BR760">IFERROR(LARGE(IF(NF!$G$2:$G$3137='Mês atual'!A760,NF!$J$2:$J$3137),1),0)</f>
        <v>0</v>
      </c>
      <c r="BS760" s="142" t="str">
        <f>VLOOKUP(A760,NF!M:O,3,0)</f>
        <v>Mercado</v>
      </c>
      <c r="BV760" s="74">
        <f t="shared" si="488"/>
        <v>0</v>
      </c>
      <c r="BW760" s="74">
        <f t="shared" si="489"/>
        <v>0</v>
      </c>
      <c r="BX760" s="74">
        <f t="shared" si="490"/>
        <v>0</v>
      </c>
      <c r="BY760" s="74">
        <f t="shared" si="491"/>
        <v>0</v>
      </c>
      <c r="BZ760" s="74">
        <f t="shared" si="492"/>
        <v>0</v>
      </c>
    </row>
    <row r="761" spans="1:78" x14ac:dyDescent="0.2">
      <c r="A761" s="108" t="s">
        <v>963</v>
      </c>
      <c r="B761" s="12"/>
      <c r="C761" s="9">
        <v>0</v>
      </c>
      <c r="D761" s="25"/>
      <c r="E761" s="10" t="str">
        <f t="shared" si="468"/>
        <v>MarçoSEMANA 1Granola</v>
      </c>
      <c r="F761" s="7">
        <f>SUMIF(NF!$A:$A,$E761,NF!$I:$I)</f>
        <v>0</v>
      </c>
      <c r="G761" s="74"/>
      <c r="H761" s="74"/>
      <c r="I761" s="74"/>
      <c r="J761" s="6"/>
      <c r="K761" s="6"/>
      <c r="L761" s="6"/>
      <c r="M761" s="6"/>
      <c r="N761" s="7">
        <f>SUM(G761:M761)</f>
        <v>0</v>
      </c>
      <c r="O761" s="11">
        <f t="shared" si="434"/>
        <v>0</v>
      </c>
      <c r="P761" s="25"/>
      <c r="Q761" s="10" t="str">
        <f t="shared" si="469"/>
        <v>MarçoSEMANA 2Granola</v>
      </c>
      <c r="R761" s="7">
        <f>SUMIF(NF!$A:$A,$Q761,NF!$I:$I)</f>
        <v>0</v>
      </c>
      <c r="S761" s="6"/>
      <c r="T761" s="6"/>
      <c r="U761" s="6"/>
      <c r="V761" s="6"/>
      <c r="W761" s="6"/>
      <c r="X761" s="6"/>
      <c r="Y761" s="6"/>
      <c r="Z761" s="7">
        <f>SUM(S761:Y761)</f>
        <v>0</v>
      </c>
      <c r="AA761" s="11">
        <f t="shared" si="437"/>
        <v>0</v>
      </c>
      <c r="AB761" s="25"/>
      <c r="AC761" s="10" t="str">
        <f t="shared" si="470"/>
        <v>MarçoSEMANA 3Granola</v>
      </c>
      <c r="AD761" s="7">
        <f>SUMIF(NF!$A:$A,$AC761,NF!$I:$I)</f>
        <v>0</v>
      </c>
      <c r="AE761" s="6"/>
      <c r="AF761" s="6"/>
      <c r="AG761" s="6"/>
      <c r="AH761" s="6"/>
      <c r="AI761" s="6"/>
      <c r="AJ761" s="6"/>
      <c r="AK761" s="6"/>
      <c r="AL761" s="7">
        <f>SUM(AE761:AK761)</f>
        <v>0</v>
      </c>
      <c r="AM761" s="11">
        <f t="shared" si="440"/>
        <v>0</v>
      </c>
      <c r="AN761" s="25"/>
      <c r="AO761" s="10" t="str">
        <f t="shared" si="471"/>
        <v>MarçoSEMANA 4Granola</v>
      </c>
      <c r="AP761" s="7">
        <f>SUMIF(NF!$A:$A,$AO761,NF!$I:$I)</f>
        <v>0</v>
      </c>
      <c r="AQ761" s="6"/>
      <c r="AR761" s="6"/>
      <c r="AS761" s="6"/>
      <c r="AT761" s="6"/>
      <c r="AU761" s="6"/>
      <c r="AV761" s="6"/>
      <c r="AW761" s="6"/>
      <c r="AX761" s="7">
        <f>SUM(AQ761:AW761)</f>
        <v>0</v>
      </c>
      <c r="AY761" s="11">
        <f t="shared" si="443"/>
        <v>0</v>
      </c>
      <c r="AZ761" s="25"/>
      <c r="BA761" s="10" t="str">
        <f t="shared" si="472"/>
        <v>MarçoSEMANA 5Granola</v>
      </c>
      <c r="BB761" s="7">
        <f>SUMIF(NF!$A:$A,$BA761,NF!$I:$I)</f>
        <v>0</v>
      </c>
      <c r="BC761" s="6"/>
      <c r="BD761" s="6"/>
      <c r="BE761" s="6"/>
      <c r="BF761" s="6"/>
      <c r="BG761" s="6"/>
      <c r="BH761" s="6"/>
      <c r="BI761" s="74"/>
      <c r="BJ761" s="74"/>
      <c r="BK761" s="7">
        <f>SUM(BC761:BJ761)</f>
        <v>0</v>
      </c>
      <c r="BL761" s="8">
        <f t="shared" si="446"/>
        <v>0</v>
      </c>
      <c r="BM761" s="51" t="str">
        <f>IFERROR(VLOOKUP(A761,NF!$M:$O,3,0),"")</f>
        <v>Mercado</v>
      </c>
      <c r="BN761" s="7">
        <f t="shared" si="447"/>
        <v>0</v>
      </c>
      <c r="BO761" s="8">
        <f t="array" ref="BO761">IFERROR(LARGE(IF(NF!$G$2:$G$3137='Mês atual'!A761,NF!$J$2:$J$3137),1),0)*BN761</f>
        <v>0</v>
      </c>
      <c r="BP761" s="50"/>
      <c r="BR761" s="146">
        <f t="array" ref="BR761">IFERROR(LARGE(IF(NF!$G$2:$G$3137='Mês atual'!A761,NF!$J$2:$J$3137),1),0)</f>
        <v>0</v>
      </c>
      <c r="BS761" s="142" t="str">
        <f>VLOOKUP(A761,NF!M:O,3,0)</f>
        <v>Mercado</v>
      </c>
      <c r="BV761" s="74">
        <f t="shared" si="488"/>
        <v>0</v>
      </c>
      <c r="BW761" s="74">
        <f t="shared" si="489"/>
        <v>0</v>
      </c>
      <c r="BX761" s="74">
        <f t="shared" si="490"/>
        <v>0</v>
      </c>
      <c r="BY761" s="74">
        <f t="shared" si="491"/>
        <v>0</v>
      </c>
      <c r="BZ761" s="74">
        <f t="shared" si="492"/>
        <v>0</v>
      </c>
    </row>
    <row r="762" spans="1:78" x14ac:dyDescent="0.25">
      <c r="A762" s="108" t="s">
        <v>396</v>
      </c>
      <c r="B762" s="12"/>
      <c r="C762" s="9">
        <v>6.5</v>
      </c>
      <c r="D762" s="25"/>
      <c r="E762" s="10" t="str">
        <f t="shared" si="468"/>
        <v>MarçoSEMANA 1Grão de Bico</v>
      </c>
      <c r="F762" s="7">
        <f>SUMIF(NF!$A:$A,$E762,NF!$I:$I)</f>
        <v>20</v>
      </c>
      <c r="G762" s="74"/>
      <c r="H762" s="74"/>
      <c r="I762" s="74"/>
      <c r="J762" s="6"/>
      <c r="K762" s="6">
        <v>3.5</v>
      </c>
      <c r="L762" s="6">
        <v>1</v>
      </c>
      <c r="M762" s="6">
        <v>2</v>
      </c>
      <c r="N762" s="7">
        <f t="shared" ref="N762:N807" si="498">SUM(G762:M762)</f>
        <v>6.5</v>
      </c>
      <c r="O762" s="11">
        <f t="shared" si="434"/>
        <v>20</v>
      </c>
      <c r="P762" s="25"/>
      <c r="Q762" s="10" t="str">
        <f t="shared" si="469"/>
        <v>MarçoSEMANA 2Grão de Bico</v>
      </c>
      <c r="R762" s="7">
        <f>SUMIF(NF!$A:$A,$Q762,NF!$I:$I)</f>
        <v>0</v>
      </c>
      <c r="S762" s="6">
        <v>1</v>
      </c>
      <c r="T762" s="6">
        <v>2</v>
      </c>
      <c r="U762" s="6"/>
      <c r="V762" s="6">
        <v>2.5</v>
      </c>
      <c r="W762" s="6">
        <v>1.5</v>
      </c>
      <c r="X762" s="6">
        <v>2</v>
      </c>
      <c r="Y762" s="6"/>
      <c r="Z762" s="7">
        <f t="shared" ref="Z762:Z805" si="499">SUM(S762:Y762)</f>
        <v>9</v>
      </c>
      <c r="AA762" s="11">
        <f t="shared" si="437"/>
        <v>11</v>
      </c>
      <c r="AB762" s="25"/>
      <c r="AC762" s="10" t="str">
        <f t="shared" si="470"/>
        <v>MarçoSEMANA 3Grão de Bico</v>
      </c>
      <c r="AD762" s="7">
        <f>SUMIF(NF!$A:$A,$AC762,NF!$I:$I)</f>
        <v>10</v>
      </c>
      <c r="AE762" s="6">
        <v>4</v>
      </c>
      <c r="AF762" s="6">
        <v>2.5</v>
      </c>
      <c r="AG762" s="6"/>
      <c r="AH762" s="6"/>
      <c r="AI762" s="6"/>
      <c r="AJ762" s="6">
        <v>2</v>
      </c>
      <c r="AK762" s="6">
        <v>1</v>
      </c>
      <c r="AL762" s="7">
        <f t="shared" ref="AL762:AL805" si="500">SUM(AE762:AK762)</f>
        <v>9.5</v>
      </c>
      <c r="AM762" s="11">
        <f t="shared" si="440"/>
        <v>11.5</v>
      </c>
      <c r="AN762" s="25"/>
      <c r="AO762" s="10" t="str">
        <f t="shared" si="471"/>
        <v>MarçoSEMANA 4Grão de Bico</v>
      </c>
      <c r="AP762" s="7">
        <f>SUMIF(NF!$A:$A,$AO762,NF!$I:$I)</f>
        <v>5</v>
      </c>
      <c r="AQ762" s="6"/>
      <c r="AR762" s="6">
        <v>1.5</v>
      </c>
      <c r="AS762" s="6"/>
      <c r="AT762" s="6">
        <v>3</v>
      </c>
      <c r="AU762" s="6">
        <v>2</v>
      </c>
      <c r="AV762" s="6">
        <f>1.5+0.5</f>
        <v>2</v>
      </c>
      <c r="AW762" s="6">
        <v>1.5</v>
      </c>
      <c r="AX762" s="7">
        <f t="shared" ref="AX762:AX805" si="501">SUM(AQ762:AW762)</f>
        <v>10</v>
      </c>
      <c r="AY762" s="11">
        <f t="shared" si="443"/>
        <v>6.5</v>
      </c>
      <c r="AZ762" s="25"/>
      <c r="BA762" s="10" t="str">
        <f t="shared" si="472"/>
        <v>MarçoSEMANA 5Grão de Bico</v>
      </c>
      <c r="BB762" s="7">
        <f>SUMIF(NF!$A:$A,$BA762,NF!$I:$I)</f>
        <v>10</v>
      </c>
      <c r="BC762" s="6">
        <v>1</v>
      </c>
      <c r="BD762" s="6">
        <v>2</v>
      </c>
      <c r="BE762" s="6"/>
      <c r="BF762" s="6"/>
      <c r="BG762" s="6"/>
      <c r="BH762" s="6">
        <v>2</v>
      </c>
      <c r="BI762" s="74"/>
      <c r="BJ762" s="74"/>
      <c r="BK762" s="7">
        <f t="shared" ref="BK762:BK805" si="502">SUM(BC762:BJ762)</f>
        <v>5</v>
      </c>
      <c r="BL762" s="8">
        <f t="shared" si="446"/>
        <v>11.5</v>
      </c>
      <c r="BM762" s="51" t="str">
        <f>IFERROR(VLOOKUP(A762,NF!$M:$O,3,0),"")</f>
        <v>Mercado</v>
      </c>
      <c r="BN762" s="7">
        <f t="shared" si="447"/>
        <v>40</v>
      </c>
      <c r="BO762" s="8">
        <f t="array" ref="BO762">IFERROR(LARGE(IF(NF!$G$2:$G$3137='Mês atual'!A762,NF!$J$2:$J$3137),1),0)*BN762</f>
        <v>693.6</v>
      </c>
      <c r="BP762" s="50"/>
      <c r="BR762" s="146">
        <f t="array" ref="BR762">IFERROR(LARGE(IF(NF!$G$2:$G$3137='Mês atual'!A762,NF!$J$2:$J$3137),1),0)</f>
        <v>17.34</v>
      </c>
      <c r="BS762" s="142" t="str">
        <f>VLOOKUP(A762,NF!M:O,3,0)</f>
        <v>Mercado</v>
      </c>
      <c r="BV762" s="74">
        <f t="shared" si="488"/>
        <v>6.5</v>
      </c>
      <c r="BW762" s="74">
        <f t="shared" si="489"/>
        <v>9</v>
      </c>
      <c r="BX762" s="74">
        <f t="shared" si="490"/>
        <v>9.5</v>
      </c>
      <c r="BY762" s="74">
        <f t="shared" si="491"/>
        <v>10</v>
      </c>
      <c r="BZ762" s="74">
        <f t="shared" si="492"/>
        <v>5</v>
      </c>
    </row>
    <row r="763" spans="1:78" x14ac:dyDescent="0.2">
      <c r="A763" s="108" t="s">
        <v>403</v>
      </c>
      <c r="B763" s="12"/>
      <c r="C763" s="9">
        <f>25*6</f>
        <v>150</v>
      </c>
      <c r="D763" s="25"/>
      <c r="E763" s="10" t="str">
        <f t="shared" si="468"/>
        <v>MarçoSEMANA 1Hondashi 6 saches</v>
      </c>
      <c r="F763" s="7">
        <f>SUMIF(NF!$A:$A,$E763,NF!$I:$I)</f>
        <v>0</v>
      </c>
      <c r="G763" s="74"/>
      <c r="H763" s="74"/>
      <c r="I763" s="74"/>
      <c r="J763" s="6"/>
      <c r="K763" s="6"/>
      <c r="L763" s="6"/>
      <c r="M763" s="6">
        <v>6</v>
      </c>
      <c r="N763" s="7">
        <f t="shared" si="498"/>
        <v>6</v>
      </c>
      <c r="O763" s="11">
        <f t="shared" si="434"/>
        <v>144</v>
      </c>
      <c r="P763" s="25"/>
      <c r="Q763" s="10" t="str">
        <f t="shared" si="469"/>
        <v>MarçoSEMANA 2Hondashi 6 saches</v>
      </c>
      <c r="R763" s="7">
        <f>SUMIF(NF!$A:$A,$Q763,NF!$I:$I)</f>
        <v>0</v>
      </c>
      <c r="S763" s="6">
        <v>6</v>
      </c>
      <c r="T763" s="6"/>
      <c r="U763" s="6"/>
      <c r="V763" s="6">
        <v>6</v>
      </c>
      <c r="W763" s="6">
        <v>6</v>
      </c>
      <c r="X763" s="6"/>
      <c r="Y763" s="6">
        <v>6</v>
      </c>
      <c r="Z763" s="7">
        <f t="shared" si="499"/>
        <v>24</v>
      </c>
      <c r="AA763" s="11">
        <f t="shared" si="437"/>
        <v>120</v>
      </c>
      <c r="AB763" s="25"/>
      <c r="AC763" s="10" t="str">
        <f t="shared" si="470"/>
        <v>MarçoSEMANA 3Hondashi 6 saches</v>
      </c>
      <c r="AD763" s="7">
        <f>SUMIF(NF!$A:$A,$AC763,NF!$I:$I)</f>
        <v>0</v>
      </c>
      <c r="AE763" s="6"/>
      <c r="AF763" s="6"/>
      <c r="AG763" s="6">
        <v>6</v>
      </c>
      <c r="AH763" s="6"/>
      <c r="AI763" s="6">
        <v>6</v>
      </c>
      <c r="AJ763" s="6">
        <v>6</v>
      </c>
      <c r="AK763" s="6"/>
      <c r="AL763" s="7">
        <f t="shared" si="500"/>
        <v>18</v>
      </c>
      <c r="AM763" s="11">
        <f t="shared" si="440"/>
        <v>102</v>
      </c>
      <c r="AN763" s="25"/>
      <c r="AO763" s="10" t="str">
        <f t="shared" si="471"/>
        <v>MarçoSEMANA 4Hondashi 6 saches</v>
      </c>
      <c r="AP763" s="7">
        <f>SUMIF(NF!$A:$A,$AO763,NF!$I:$I)</f>
        <v>0</v>
      </c>
      <c r="AQ763" s="6">
        <v>6</v>
      </c>
      <c r="AR763" s="6"/>
      <c r="AS763" s="6">
        <v>6</v>
      </c>
      <c r="AT763" s="6">
        <v>6</v>
      </c>
      <c r="AU763" s="6"/>
      <c r="AV763" s="6"/>
      <c r="AW763" s="6">
        <v>6</v>
      </c>
      <c r="AX763" s="7">
        <f t="shared" si="501"/>
        <v>24</v>
      </c>
      <c r="AY763" s="11">
        <f t="shared" si="443"/>
        <v>78</v>
      </c>
      <c r="AZ763" s="25"/>
      <c r="BA763" s="10" t="str">
        <f t="shared" si="472"/>
        <v>MarçoSEMANA 5Hondashi 6 saches</v>
      </c>
      <c r="BB763" s="7">
        <f>SUMIF(NF!$A:$A,$BA763,NF!$I:$I)</f>
        <v>288</v>
      </c>
      <c r="BC763" s="6">
        <v>6</v>
      </c>
      <c r="BD763" s="6">
        <v>6</v>
      </c>
      <c r="BE763" s="6"/>
      <c r="BF763" s="6">
        <v>6</v>
      </c>
      <c r="BG763" s="6">
        <v>6</v>
      </c>
      <c r="BH763" s="6"/>
      <c r="BI763" s="74"/>
      <c r="BJ763" s="74"/>
      <c r="BK763" s="7">
        <f t="shared" si="502"/>
        <v>24</v>
      </c>
      <c r="BL763" s="8">
        <f t="shared" si="446"/>
        <v>342</v>
      </c>
      <c r="BM763" s="51" t="str">
        <f>IFERROR(VLOOKUP(A763,NF!$M:$O,3,0),"")</f>
        <v>Mercado</v>
      </c>
      <c r="BN763" s="7">
        <f t="shared" si="447"/>
        <v>96</v>
      </c>
      <c r="BO763" s="8">
        <f t="array" ref="BO763">IFERROR(LARGE(IF(NF!$G$2:$G$3137='Mês atual'!A763,NF!$J$2:$J$3137),1),0)*BN763</f>
        <v>154.24</v>
      </c>
      <c r="BP763" s="50"/>
      <c r="BR763" s="146">
        <f t="array" ref="BR763">IFERROR(LARGE(IF(NF!$G$2:$G$3137='Mês atual'!A763,NF!$J$2:$J$3137),1),0)</f>
        <v>1.6066666666666667</v>
      </c>
      <c r="BS763" s="142" t="str">
        <f>VLOOKUP(A763,NF!M:O,3,0)</f>
        <v>Mercado</v>
      </c>
      <c r="BV763" s="74">
        <f t="shared" si="488"/>
        <v>6</v>
      </c>
      <c r="BW763" s="74">
        <f t="shared" si="489"/>
        <v>24</v>
      </c>
      <c r="BX763" s="74">
        <f t="shared" si="490"/>
        <v>18</v>
      </c>
      <c r="BY763" s="74">
        <f t="shared" si="491"/>
        <v>24</v>
      </c>
      <c r="BZ763" s="74">
        <f t="shared" si="492"/>
        <v>24</v>
      </c>
    </row>
    <row r="764" spans="1:78" x14ac:dyDescent="0.2">
      <c r="A764" s="108" t="s">
        <v>452</v>
      </c>
      <c r="B764" s="12"/>
      <c r="C764" s="9">
        <v>7</v>
      </c>
      <c r="D764" s="25"/>
      <c r="E764" s="10" t="str">
        <f t="shared" si="468"/>
        <v>MarçoSEMANA 1Karo Mel</v>
      </c>
      <c r="F764" s="7">
        <f>SUMIF(NF!$A:$A,$E764,NF!$I:$I)</f>
        <v>24</v>
      </c>
      <c r="G764" s="74"/>
      <c r="H764" s="74"/>
      <c r="I764" s="74"/>
      <c r="J764" s="6">
        <v>3</v>
      </c>
      <c r="K764" s="6">
        <v>4</v>
      </c>
      <c r="L764" s="6"/>
      <c r="M764" s="6"/>
      <c r="N764" s="7">
        <f t="shared" si="498"/>
        <v>7</v>
      </c>
      <c r="O764" s="11">
        <f t="shared" si="434"/>
        <v>24</v>
      </c>
      <c r="P764" s="25"/>
      <c r="Q764" s="10" t="str">
        <f t="shared" si="469"/>
        <v>MarçoSEMANA 2Karo Mel</v>
      </c>
      <c r="R764" s="7">
        <f>SUMIF(NF!$A:$A,$Q764,NF!$I:$I)</f>
        <v>0</v>
      </c>
      <c r="S764" s="6">
        <v>2</v>
      </c>
      <c r="T764" s="6"/>
      <c r="U764" s="6">
        <v>1</v>
      </c>
      <c r="V764" s="6">
        <v>1</v>
      </c>
      <c r="W764" s="6">
        <v>1</v>
      </c>
      <c r="X764" s="6"/>
      <c r="Y764" s="6">
        <v>3</v>
      </c>
      <c r="Z764" s="7">
        <f t="shared" si="499"/>
        <v>8</v>
      </c>
      <c r="AA764" s="11">
        <f t="shared" si="437"/>
        <v>16</v>
      </c>
      <c r="AB764" s="25"/>
      <c r="AC764" s="10" t="str">
        <f t="shared" si="470"/>
        <v>MarçoSEMANA 3Karo Mel</v>
      </c>
      <c r="AD764" s="7">
        <f>SUMIF(NF!$A:$A,$AC764,NF!$I:$I)</f>
        <v>12</v>
      </c>
      <c r="AE764" s="6"/>
      <c r="AF764" s="6">
        <v>3</v>
      </c>
      <c r="AG764" s="6"/>
      <c r="AH764" s="6">
        <v>3</v>
      </c>
      <c r="AI764" s="6"/>
      <c r="AJ764" s="6"/>
      <c r="AK764" s="6">
        <v>2</v>
      </c>
      <c r="AL764" s="7">
        <f t="shared" si="500"/>
        <v>8</v>
      </c>
      <c r="AM764" s="11">
        <f t="shared" si="440"/>
        <v>20</v>
      </c>
      <c r="AN764" s="25"/>
      <c r="AO764" s="10" t="str">
        <f t="shared" si="471"/>
        <v>MarçoSEMANA 4Karo Mel</v>
      </c>
      <c r="AP764" s="7">
        <f>SUMIF(NF!$A:$A,$AO764,NF!$I:$I)</f>
        <v>12</v>
      </c>
      <c r="AQ764" s="6">
        <v>2</v>
      </c>
      <c r="AR764" s="6">
        <v>2</v>
      </c>
      <c r="AS764" s="6">
        <v>5</v>
      </c>
      <c r="AT764" s="6">
        <v>1</v>
      </c>
      <c r="AU764" s="6">
        <v>3</v>
      </c>
      <c r="AV764" s="6">
        <v>3</v>
      </c>
      <c r="AW764" s="6"/>
      <c r="AX764" s="7">
        <f t="shared" si="501"/>
        <v>16</v>
      </c>
      <c r="AY764" s="11">
        <f t="shared" si="443"/>
        <v>16</v>
      </c>
      <c r="AZ764" s="25"/>
      <c r="BA764" s="10" t="str">
        <f t="shared" si="472"/>
        <v>MarçoSEMANA 5Karo Mel</v>
      </c>
      <c r="BB764" s="7">
        <f>SUMIF(NF!$A:$A,$BA764,NF!$I:$I)</f>
        <v>0</v>
      </c>
      <c r="BC764" s="6"/>
      <c r="BD764" s="6"/>
      <c r="BE764" s="6"/>
      <c r="BF764" s="6">
        <v>2</v>
      </c>
      <c r="BG764" s="6">
        <v>2</v>
      </c>
      <c r="BH764" s="6">
        <v>3</v>
      </c>
      <c r="BI764" s="74"/>
      <c r="BJ764" s="74"/>
      <c r="BK764" s="7">
        <f t="shared" si="502"/>
        <v>7</v>
      </c>
      <c r="BL764" s="8">
        <f t="shared" si="446"/>
        <v>9</v>
      </c>
      <c r="BM764" s="51" t="str">
        <f>IFERROR(VLOOKUP(A764,NF!$M:$O,3,0),"")</f>
        <v>Mercado</v>
      </c>
      <c r="BN764" s="7">
        <f t="shared" si="447"/>
        <v>46</v>
      </c>
      <c r="BO764" s="8">
        <f t="array" ref="BO764">IFERROR(LARGE(IF(NF!$G$2:$G$3137='Mês atual'!A764,NF!$J$2:$J$3137),1),0)*BN764</f>
        <v>292.09999999999997</v>
      </c>
      <c r="BP764" s="50"/>
      <c r="BR764" s="146">
        <f t="array" ref="BR764">IFERROR(LARGE(IF(NF!$G$2:$G$3137='Mês atual'!A764,NF!$J$2:$J$3137),1),0)</f>
        <v>6.35</v>
      </c>
      <c r="BS764" s="142" t="str">
        <f>VLOOKUP(A764,NF!M:O,3,0)</f>
        <v>Mercado</v>
      </c>
      <c r="BV764" s="74">
        <f t="shared" si="488"/>
        <v>7</v>
      </c>
      <c r="BW764" s="74">
        <f t="shared" si="489"/>
        <v>8</v>
      </c>
      <c r="BX764" s="74">
        <f t="shared" si="490"/>
        <v>8</v>
      </c>
      <c r="BY764" s="74">
        <f t="shared" si="491"/>
        <v>16</v>
      </c>
      <c r="BZ764" s="74">
        <f t="shared" si="492"/>
        <v>7</v>
      </c>
    </row>
    <row r="765" spans="1:78" x14ac:dyDescent="0.2">
      <c r="A765" s="108" t="s">
        <v>454</v>
      </c>
      <c r="B765" s="12"/>
      <c r="C765" s="9">
        <v>0</v>
      </c>
      <c r="D765" s="25"/>
      <c r="E765" s="10" t="str">
        <f t="shared" si="468"/>
        <v>MarçoSEMANA 1Kiwi Desidratado</v>
      </c>
      <c r="F765" s="7">
        <f>SUMIF(NF!$A:$A,$E765,NF!$I:$I)</f>
        <v>0</v>
      </c>
      <c r="G765" s="74"/>
      <c r="H765" s="74"/>
      <c r="I765" s="74"/>
      <c r="J765" s="6"/>
      <c r="K765" s="6"/>
      <c r="L765" s="6"/>
      <c r="M765" s="6"/>
      <c r="N765" s="7">
        <f t="shared" si="498"/>
        <v>0</v>
      </c>
      <c r="O765" s="11">
        <f t="shared" si="434"/>
        <v>0</v>
      </c>
      <c r="P765" s="25"/>
      <c r="Q765" s="10" t="str">
        <f t="shared" si="469"/>
        <v>MarçoSEMANA 2Kiwi Desidratado</v>
      </c>
      <c r="R765" s="7">
        <f>SUMIF(NF!$A:$A,$Q765,NF!$I:$I)</f>
        <v>0</v>
      </c>
      <c r="S765" s="6"/>
      <c r="T765" s="6"/>
      <c r="U765" s="6"/>
      <c r="V765" s="6"/>
      <c r="W765" s="6"/>
      <c r="X765" s="6"/>
      <c r="Y765" s="6"/>
      <c r="Z765" s="7">
        <f t="shared" si="499"/>
        <v>0</v>
      </c>
      <c r="AA765" s="11">
        <f t="shared" si="437"/>
        <v>0</v>
      </c>
      <c r="AB765" s="25"/>
      <c r="AC765" s="10" t="str">
        <f t="shared" si="470"/>
        <v>MarçoSEMANA 3Kiwi Desidratado</v>
      </c>
      <c r="AD765" s="7">
        <f>SUMIF(NF!$A:$A,$AC765,NF!$I:$I)</f>
        <v>0</v>
      </c>
      <c r="AE765" s="6"/>
      <c r="AF765" s="6"/>
      <c r="AG765" s="6"/>
      <c r="AH765" s="6"/>
      <c r="AI765" s="6"/>
      <c r="AJ765" s="6"/>
      <c r="AK765" s="6"/>
      <c r="AL765" s="7">
        <f t="shared" si="500"/>
        <v>0</v>
      </c>
      <c r="AM765" s="11">
        <f t="shared" si="440"/>
        <v>0</v>
      </c>
      <c r="AN765" s="25"/>
      <c r="AO765" s="10" t="str">
        <f t="shared" si="471"/>
        <v>MarçoSEMANA 4Kiwi Desidratado</v>
      </c>
      <c r="AP765" s="7">
        <f>SUMIF(NF!$A:$A,$AO765,NF!$I:$I)</f>
        <v>0.35199999999999998</v>
      </c>
      <c r="AQ765" s="6"/>
      <c r="AR765" s="6">
        <v>0.35199999999999998</v>
      </c>
      <c r="AS765" s="6"/>
      <c r="AT765" s="6"/>
      <c r="AU765" s="6"/>
      <c r="AV765" s="6"/>
      <c r="AW765" s="6"/>
      <c r="AX765" s="7">
        <f t="shared" si="501"/>
        <v>0.35199999999999998</v>
      </c>
      <c r="AY765" s="11">
        <f t="shared" si="443"/>
        <v>0</v>
      </c>
      <c r="AZ765" s="25"/>
      <c r="BA765" s="10" t="str">
        <f t="shared" si="472"/>
        <v>MarçoSEMANA 5Kiwi Desidratado</v>
      </c>
      <c r="BB765" s="7">
        <f>SUMIF(NF!$A:$A,$BA765,NF!$I:$I)</f>
        <v>0</v>
      </c>
      <c r="BC765" s="6"/>
      <c r="BD765" s="6"/>
      <c r="BE765" s="6"/>
      <c r="BF765" s="6"/>
      <c r="BG765" s="6"/>
      <c r="BH765" s="6"/>
      <c r="BI765" s="74"/>
      <c r="BJ765" s="74"/>
      <c r="BK765" s="7">
        <f t="shared" si="502"/>
        <v>0</v>
      </c>
      <c r="BL765" s="8">
        <f t="shared" si="446"/>
        <v>0</v>
      </c>
      <c r="BM765" s="51" t="str">
        <f>IFERROR(VLOOKUP(A765,NF!$M:$O,3,0),"")</f>
        <v>Mercado</v>
      </c>
      <c r="BN765" s="7">
        <f t="shared" si="447"/>
        <v>0.35199999999999998</v>
      </c>
      <c r="BO765" s="8">
        <f t="array" ref="BO765">IFERROR(LARGE(IF(NF!$G$2:$G$3137='Mês atual'!A765,NF!$J$2:$J$3137),1),0)*BN765</f>
        <v>15.810009599999999</v>
      </c>
      <c r="BP765" s="50"/>
      <c r="BR765" s="146">
        <f t="array" ref="BR765">IFERROR(LARGE(IF(NF!$G$2:$G$3137='Mês atual'!A765,NF!$J$2:$J$3137),1),0)</f>
        <v>44.9148</v>
      </c>
      <c r="BS765" s="142" t="str">
        <f>VLOOKUP(A765,NF!M:O,3,0)</f>
        <v>Mercado</v>
      </c>
      <c r="BV765" s="74">
        <f t="shared" si="488"/>
        <v>0</v>
      </c>
      <c r="BW765" s="74">
        <f t="shared" si="489"/>
        <v>0</v>
      </c>
      <c r="BX765" s="74">
        <f t="shared" si="490"/>
        <v>0</v>
      </c>
      <c r="BY765" s="74">
        <f t="shared" si="491"/>
        <v>0.35199999999999998</v>
      </c>
      <c r="BZ765" s="74">
        <f t="shared" si="492"/>
        <v>0</v>
      </c>
    </row>
    <row r="766" spans="1:78" x14ac:dyDescent="0.2">
      <c r="A766" s="108" t="s">
        <v>458</v>
      </c>
      <c r="B766" s="12"/>
      <c r="C766" s="9">
        <v>45</v>
      </c>
      <c r="D766" s="25"/>
      <c r="E766" s="10" t="str">
        <f t="shared" si="468"/>
        <v>MarçoSEMANA 1Leite Condensado 395 g</v>
      </c>
      <c r="F766" s="7">
        <f>SUMIF(NF!$A:$A,$E766,NF!$I:$I)</f>
        <v>0</v>
      </c>
      <c r="G766" s="74"/>
      <c r="H766" s="74"/>
      <c r="I766" s="74"/>
      <c r="J766" s="6"/>
      <c r="K766" s="6">
        <v>5</v>
      </c>
      <c r="L766" s="6">
        <v>3</v>
      </c>
      <c r="M766" s="6">
        <v>2</v>
      </c>
      <c r="N766" s="7">
        <f t="shared" si="498"/>
        <v>10</v>
      </c>
      <c r="O766" s="11">
        <f t="shared" si="434"/>
        <v>35</v>
      </c>
      <c r="P766" s="25"/>
      <c r="Q766" s="10" t="str">
        <f t="shared" si="469"/>
        <v>MarçoSEMANA 2Leite Condensado 395 g</v>
      </c>
      <c r="R766" s="7">
        <f>SUMIF(NF!$A:$A,$Q766,NF!$I:$I)</f>
        <v>0</v>
      </c>
      <c r="S766" s="6">
        <v>1</v>
      </c>
      <c r="T766" s="6">
        <v>1</v>
      </c>
      <c r="U766" s="6">
        <v>5</v>
      </c>
      <c r="V766" s="6">
        <v>2</v>
      </c>
      <c r="W766" s="6">
        <v>1</v>
      </c>
      <c r="X766" s="6">
        <v>7</v>
      </c>
      <c r="Y766" s="6">
        <v>4</v>
      </c>
      <c r="Z766" s="7">
        <f t="shared" si="499"/>
        <v>21</v>
      </c>
      <c r="AA766" s="11">
        <f t="shared" si="437"/>
        <v>14</v>
      </c>
      <c r="AB766" s="25"/>
      <c r="AC766" s="10" t="str">
        <f t="shared" si="470"/>
        <v>MarçoSEMANA 3Leite Condensado 395 g</v>
      </c>
      <c r="AD766" s="7">
        <f>SUMIF(NF!$A:$A,$AC766,NF!$I:$I)</f>
        <v>48</v>
      </c>
      <c r="AE766" s="6">
        <v>7</v>
      </c>
      <c r="AF766" s="6"/>
      <c r="AG766" s="6">
        <v>1</v>
      </c>
      <c r="AH766" s="6">
        <v>4</v>
      </c>
      <c r="AI766" s="6">
        <v>1</v>
      </c>
      <c r="AJ766" s="6">
        <v>4</v>
      </c>
      <c r="AK766" s="6"/>
      <c r="AL766" s="7">
        <f t="shared" si="500"/>
        <v>17</v>
      </c>
      <c r="AM766" s="11">
        <f t="shared" si="440"/>
        <v>45</v>
      </c>
      <c r="AN766" s="25"/>
      <c r="AO766" s="10" t="str">
        <f t="shared" si="471"/>
        <v>MarçoSEMANA 4Leite Condensado 395 g</v>
      </c>
      <c r="AP766" s="7">
        <f>SUMIF(NF!$A:$A,$AO766,NF!$I:$I)</f>
        <v>0</v>
      </c>
      <c r="AQ766" s="6">
        <v>5</v>
      </c>
      <c r="AR766" s="6"/>
      <c r="AS766" s="6">
        <v>3</v>
      </c>
      <c r="AT766" s="6">
        <v>1</v>
      </c>
      <c r="AU766" s="6">
        <v>2</v>
      </c>
      <c r="AV766" s="6">
        <v>5</v>
      </c>
      <c r="AW766" s="6">
        <v>2</v>
      </c>
      <c r="AX766" s="7">
        <f t="shared" si="501"/>
        <v>18</v>
      </c>
      <c r="AY766" s="11">
        <f t="shared" si="443"/>
        <v>27</v>
      </c>
      <c r="AZ766" s="25"/>
      <c r="BA766" s="10" t="str">
        <f t="shared" si="472"/>
        <v>MarçoSEMANA 5Leite Condensado 395 g</v>
      </c>
      <c r="BB766" s="7">
        <f>SUMIF(NF!$A:$A,$BA766,NF!$I:$I)</f>
        <v>0</v>
      </c>
      <c r="BC766" s="6">
        <v>1</v>
      </c>
      <c r="BD766" s="6">
        <v>3</v>
      </c>
      <c r="BE766" s="6"/>
      <c r="BF766" s="6">
        <v>2</v>
      </c>
      <c r="BG766" s="6"/>
      <c r="BH766" s="6">
        <v>6</v>
      </c>
      <c r="BI766" s="74"/>
      <c r="BJ766" s="74"/>
      <c r="BK766" s="7">
        <f t="shared" si="502"/>
        <v>12</v>
      </c>
      <c r="BL766" s="8">
        <f t="shared" si="446"/>
        <v>15</v>
      </c>
      <c r="BM766" s="51" t="str">
        <f>IFERROR(VLOOKUP(A766,NF!$M:$O,3,0),"")</f>
        <v>Mercado</v>
      </c>
      <c r="BN766" s="7">
        <f t="shared" si="447"/>
        <v>78</v>
      </c>
      <c r="BO766" s="8">
        <f t="array" ref="BO766">IFERROR(LARGE(IF(NF!$G$2:$G$3137='Mês atual'!A766,NF!$J$2:$J$3137),1),0)*BN766</f>
        <v>394.30624999999998</v>
      </c>
      <c r="BP766" s="50"/>
      <c r="BR766" s="146">
        <f t="array" ref="BR766">IFERROR(LARGE(IF(NF!$G$2:$G$3137='Mês atual'!A766,NF!$J$2:$J$3137),1),0)</f>
        <v>5.0552083333333329</v>
      </c>
      <c r="BS766" s="142" t="str">
        <f>VLOOKUP(A766,NF!M:O,3,0)</f>
        <v>Mercado</v>
      </c>
      <c r="BV766" s="74">
        <f t="shared" si="488"/>
        <v>10</v>
      </c>
      <c r="BW766" s="74">
        <f t="shared" si="489"/>
        <v>21</v>
      </c>
      <c r="BX766" s="74">
        <f t="shared" si="490"/>
        <v>17</v>
      </c>
      <c r="BY766" s="74">
        <f t="shared" si="491"/>
        <v>18</v>
      </c>
      <c r="BZ766" s="74">
        <f t="shared" si="492"/>
        <v>12</v>
      </c>
    </row>
    <row r="767" spans="1:78" x14ac:dyDescent="0.25">
      <c r="A767" s="108" t="s">
        <v>459</v>
      </c>
      <c r="B767" s="12"/>
      <c r="C767" s="9">
        <v>14</v>
      </c>
      <c r="D767" s="25"/>
      <c r="E767" s="10" t="str">
        <f t="shared" si="468"/>
        <v>MarçoSEMANA 1Leite de Côco</v>
      </c>
      <c r="F767" s="7">
        <f>SUMIF(NF!$A:$A,$E767,NF!$I:$I)</f>
        <v>12</v>
      </c>
      <c r="G767" s="74"/>
      <c r="H767" s="74"/>
      <c r="I767" s="74"/>
      <c r="J767" s="6">
        <v>1</v>
      </c>
      <c r="K767" s="6">
        <v>1</v>
      </c>
      <c r="L767" s="6"/>
      <c r="M767" s="6">
        <v>1</v>
      </c>
      <c r="N767" s="7">
        <f t="shared" si="498"/>
        <v>3</v>
      </c>
      <c r="O767" s="11">
        <f t="shared" si="434"/>
        <v>23</v>
      </c>
      <c r="P767" s="25"/>
      <c r="Q767" s="10" t="str">
        <f t="shared" si="469"/>
        <v>MarçoSEMANA 2Leite de Côco</v>
      </c>
      <c r="R767" s="7">
        <f>SUMIF(NF!$A:$A,$Q767,NF!$I:$I)</f>
        <v>0</v>
      </c>
      <c r="S767" s="6"/>
      <c r="T767" s="6">
        <v>1</v>
      </c>
      <c r="U767" s="6">
        <v>1</v>
      </c>
      <c r="V767" s="6"/>
      <c r="W767" s="6"/>
      <c r="X767" s="6">
        <v>2</v>
      </c>
      <c r="Y767" s="6">
        <v>8</v>
      </c>
      <c r="Z767" s="7">
        <f t="shared" si="499"/>
        <v>12</v>
      </c>
      <c r="AA767" s="11">
        <f t="shared" si="437"/>
        <v>11</v>
      </c>
      <c r="AB767" s="25"/>
      <c r="AC767" s="10" t="str">
        <f t="shared" si="470"/>
        <v>MarçoSEMANA 3Leite de Côco</v>
      </c>
      <c r="AD767" s="7">
        <f>SUMIF(NF!$A:$A,$AC767,NF!$I:$I)</f>
        <v>12</v>
      </c>
      <c r="AE767" s="6">
        <v>2</v>
      </c>
      <c r="AF767" s="6"/>
      <c r="AG767" s="6"/>
      <c r="AH767" s="6">
        <v>3</v>
      </c>
      <c r="AI767" s="6"/>
      <c r="AJ767" s="6">
        <v>3</v>
      </c>
      <c r="AK767" s="6"/>
      <c r="AL767" s="7">
        <f t="shared" si="500"/>
        <v>8</v>
      </c>
      <c r="AM767" s="11">
        <f t="shared" si="440"/>
        <v>15</v>
      </c>
      <c r="AN767" s="25"/>
      <c r="AO767" s="10" t="str">
        <f t="shared" si="471"/>
        <v>MarçoSEMANA 4Leite de Côco</v>
      </c>
      <c r="AP767" s="7">
        <f>SUMIF(NF!$A:$A,$AO767,NF!$I:$I)</f>
        <v>12</v>
      </c>
      <c r="AQ767" s="6">
        <v>2</v>
      </c>
      <c r="AR767" s="6"/>
      <c r="AS767" s="6">
        <v>4</v>
      </c>
      <c r="AT767" s="6">
        <v>3</v>
      </c>
      <c r="AU767" s="6"/>
      <c r="AV767" s="6">
        <v>1</v>
      </c>
      <c r="AW767" s="6">
        <v>3</v>
      </c>
      <c r="AX767" s="7">
        <f t="shared" si="501"/>
        <v>13</v>
      </c>
      <c r="AY767" s="11">
        <f t="shared" si="443"/>
        <v>14</v>
      </c>
      <c r="AZ767" s="25"/>
      <c r="BA767" s="10" t="str">
        <f t="shared" si="472"/>
        <v>MarçoSEMANA 5Leite de Côco</v>
      </c>
      <c r="BB767" s="7">
        <f>SUMIF(NF!$A:$A,$BA767,NF!$I:$I)</f>
        <v>0</v>
      </c>
      <c r="BC767" s="6">
        <v>4</v>
      </c>
      <c r="BD767" s="6"/>
      <c r="BE767" s="6"/>
      <c r="BF767" s="6">
        <v>1</v>
      </c>
      <c r="BG767" s="6"/>
      <c r="BH767" s="6">
        <v>1</v>
      </c>
      <c r="BI767" s="74"/>
      <c r="BJ767" s="74"/>
      <c r="BK767" s="7">
        <f t="shared" si="502"/>
        <v>6</v>
      </c>
      <c r="BL767" s="8">
        <f t="shared" si="446"/>
        <v>8</v>
      </c>
      <c r="BM767" s="51" t="str">
        <f>IFERROR(VLOOKUP(A767,NF!$M:$O,3,0),"")</f>
        <v>Mercado</v>
      </c>
      <c r="BN767" s="7">
        <f t="shared" si="447"/>
        <v>42</v>
      </c>
      <c r="BO767" s="8">
        <f t="array" ref="BO767">IFERROR(LARGE(IF(NF!$G$2:$G$3137='Mês atual'!A767,NF!$J$2:$J$3137),1),0)*BN767</f>
        <v>619.5</v>
      </c>
      <c r="BP767" s="50"/>
      <c r="BR767" s="146">
        <f t="array" ref="BR767">IFERROR(LARGE(IF(NF!$G$2:$G$3137='Mês atual'!A767,NF!$J$2:$J$3137),1),0)</f>
        <v>14.75</v>
      </c>
      <c r="BS767" s="142" t="str">
        <f>VLOOKUP(A767,NF!M:O,3,0)</f>
        <v>Mercado</v>
      </c>
      <c r="BV767" s="74">
        <f t="shared" si="488"/>
        <v>3</v>
      </c>
      <c r="BW767" s="74">
        <f t="shared" si="489"/>
        <v>12</v>
      </c>
      <c r="BX767" s="74">
        <f t="shared" si="490"/>
        <v>8</v>
      </c>
      <c r="BY767" s="74">
        <f t="shared" si="491"/>
        <v>13</v>
      </c>
      <c r="BZ767" s="74">
        <f t="shared" si="492"/>
        <v>6</v>
      </c>
    </row>
    <row r="768" spans="1:78" x14ac:dyDescent="0.2">
      <c r="A768" s="108" t="s">
        <v>460</v>
      </c>
      <c r="B768" s="12"/>
      <c r="C768" s="9">
        <v>24</v>
      </c>
      <c r="D768" s="25"/>
      <c r="E768" s="10" t="str">
        <f t="shared" si="468"/>
        <v>MarçoSEMANA 1Leite Integral</v>
      </c>
      <c r="F768" s="7">
        <f>SUMIF(NF!$A:$A,$E768,NF!$I:$I)</f>
        <v>120</v>
      </c>
      <c r="G768" s="74"/>
      <c r="H768" s="74"/>
      <c r="I768" s="74"/>
      <c r="J768" s="6">
        <v>12</v>
      </c>
      <c r="K768" s="6">
        <v>9</v>
      </c>
      <c r="L768" s="6"/>
      <c r="M768" s="6">
        <f>3+12</f>
        <v>15</v>
      </c>
      <c r="N768" s="7">
        <f t="shared" si="498"/>
        <v>36</v>
      </c>
      <c r="O768" s="11">
        <f t="shared" si="434"/>
        <v>108</v>
      </c>
      <c r="P768" s="25"/>
      <c r="Q768" s="10" t="str">
        <f t="shared" si="469"/>
        <v>MarçoSEMANA 2Leite Integral</v>
      </c>
      <c r="R768" s="7">
        <f>SUMIF(NF!$A:$A,$Q768,NF!$I:$I)</f>
        <v>36</v>
      </c>
      <c r="S768" s="6">
        <v>12</v>
      </c>
      <c r="T768" s="6">
        <v>12</v>
      </c>
      <c r="U768" s="6">
        <v>12</v>
      </c>
      <c r="V768" s="6">
        <v>12</v>
      </c>
      <c r="W768" s="6">
        <v>12</v>
      </c>
      <c r="X768" s="6">
        <v>12</v>
      </c>
      <c r="Y768" s="6">
        <v>12</v>
      </c>
      <c r="Z768" s="7">
        <f t="shared" si="499"/>
        <v>84</v>
      </c>
      <c r="AA768" s="11">
        <f t="shared" si="437"/>
        <v>60</v>
      </c>
      <c r="AB768" s="25"/>
      <c r="AC768" s="10" t="str">
        <f t="shared" si="470"/>
        <v>MarçoSEMANA 3Leite Integral</v>
      </c>
      <c r="AD768" s="7">
        <f>SUMIF(NF!$A:$A,$AC768,NF!$I:$I)</f>
        <v>84</v>
      </c>
      <c r="AE768" s="6">
        <v>12</v>
      </c>
      <c r="AF768" s="6">
        <v>12</v>
      </c>
      <c r="AG768" s="6">
        <v>12</v>
      </c>
      <c r="AH768" s="6">
        <v>12</v>
      </c>
      <c r="AI768" s="6">
        <v>12</v>
      </c>
      <c r="AJ768" s="6">
        <v>12</v>
      </c>
      <c r="AK768" s="6">
        <v>12</v>
      </c>
      <c r="AL768" s="7">
        <f t="shared" si="500"/>
        <v>84</v>
      </c>
      <c r="AM768" s="11">
        <f t="shared" si="440"/>
        <v>60</v>
      </c>
      <c r="AN768" s="25"/>
      <c r="AO768" s="10" t="str">
        <f t="shared" si="471"/>
        <v>MarçoSEMANA 4Leite Integral</v>
      </c>
      <c r="AP768" s="7">
        <f>SUMIF(NF!$A:$A,$AO768,NF!$I:$I)</f>
        <v>72</v>
      </c>
      <c r="AQ768" s="6">
        <v>12</v>
      </c>
      <c r="AR768" s="6">
        <v>12</v>
      </c>
      <c r="AS768" s="6">
        <v>12</v>
      </c>
      <c r="AT768" s="6">
        <v>12</v>
      </c>
      <c r="AU768" s="6">
        <v>12</v>
      </c>
      <c r="AV768" s="6">
        <v>12</v>
      </c>
      <c r="AW768" s="6"/>
      <c r="AX768" s="7">
        <f t="shared" si="501"/>
        <v>72</v>
      </c>
      <c r="AY768" s="11">
        <f t="shared" si="443"/>
        <v>60</v>
      </c>
      <c r="AZ768" s="25"/>
      <c r="BA768" s="10" t="str">
        <f t="shared" si="472"/>
        <v>MarçoSEMANA 5Leite Integral</v>
      </c>
      <c r="BB768" s="7">
        <f>SUMIF(NF!$A:$A,$BA768,NF!$I:$I)</f>
        <v>36</v>
      </c>
      <c r="BC768" s="6">
        <v>12</v>
      </c>
      <c r="BD768" s="6">
        <v>2</v>
      </c>
      <c r="BE768" s="6">
        <v>10</v>
      </c>
      <c r="BF768" s="6">
        <v>12</v>
      </c>
      <c r="BG768" s="6">
        <f>1+11+7</f>
        <v>19</v>
      </c>
      <c r="BH768" s="6">
        <f>12+5</f>
        <v>17</v>
      </c>
      <c r="BI768" s="74"/>
      <c r="BJ768" s="74"/>
      <c r="BK768" s="7">
        <f t="shared" si="502"/>
        <v>72</v>
      </c>
      <c r="BL768" s="8">
        <f t="shared" si="446"/>
        <v>24</v>
      </c>
      <c r="BM768" s="51" t="str">
        <f>IFERROR(VLOOKUP(A768,NF!$M:$O,3,0),"")</f>
        <v>Mercado</v>
      </c>
      <c r="BN768" s="7">
        <f t="shared" si="447"/>
        <v>348</v>
      </c>
      <c r="BO768" s="8">
        <f t="array" ref="BO768">IFERROR(LARGE(IF(NF!$G$2:$G$3137='Mês atual'!A768,NF!$J$2:$J$3137),1),0)*BN768</f>
        <v>1154.49</v>
      </c>
      <c r="BP768" s="50"/>
      <c r="BR768" s="146">
        <f t="array" ref="BR768">IFERROR(LARGE(IF(NF!$G$2:$G$3137='Mês atual'!A768,NF!$J$2:$J$3137),1),0)</f>
        <v>3.3175000000000003</v>
      </c>
      <c r="BS768" s="142" t="str">
        <f>VLOOKUP(A768,NF!M:O,3,0)</f>
        <v>Mercado</v>
      </c>
      <c r="BV768" s="74">
        <f t="shared" si="488"/>
        <v>36</v>
      </c>
      <c r="BW768" s="74">
        <f t="shared" si="489"/>
        <v>84</v>
      </c>
      <c r="BX768" s="74">
        <f t="shared" si="490"/>
        <v>84</v>
      </c>
      <c r="BY768" s="74">
        <f t="shared" si="491"/>
        <v>72</v>
      </c>
      <c r="BZ768" s="74">
        <f t="shared" si="492"/>
        <v>72</v>
      </c>
    </row>
    <row r="769" spans="1:78" x14ac:dyDescent="0.2">
      <c r="A769" s="108" t="s">
        <v>461</v>
      </c>
      <c r="B769" s="12"/>
      <c r="C769" s="9">
        <v>5.5</v>
      </c>
      <c r="D769" s="25"/>
      <c r="E769" s="10" t="str">
        <f t="shared" si="468"/>
        <v>MarçoSEMANA 1Lentilha</v>
      </c>
      <c r="F769" s="7">
        <f>SUMIF(NF!$A:$A,$E769,NF!$I:$I)</f>
        <v>5</v>
      </c>
      <c r="G769" s="74"/>
      <c r="H769" s="74"/>
      <c r="I769" s="74"/>
      <c r="J769" s="6"/>
      <c r="K769" s="6"/>
      <c r="L769" s="6">
        <v>4.5</v>
      </c>
      <c r="M769" s="6"/>
      <c r="N769" s="7">
        <f t="shared" si="498"/>
        <v>4.5</v>
      </c>
      <c r="O769" s="11">
        <f t="shared" si="434"/>
        <v>6</v>
      </c>
      <c r="P769" s="25"/>
      <c r="Q769" s="10" t="str">
        <f t="shared" si="469"/>
        <v>MarçoSEMANA 2Lentilha</v>
      </c>
      <c r="R769" s="7">
        <f>SUMIF(NF!$A:$A,$Q769,NF!$I:$I)</f>
        <v>10</v>
      </c>
      <c r="S769" s="6"/>
      <c r="T769" s="6"/>
      <c r="U769" s="6">
        <v>2.5</v>
      </c>
      <c r="V769" s="6"/>
      <c r="W769" s="6"/>
      <c r="X769" s="6"/>
      <c r="Y769" s="6"/>
      <c r="Z769" s="7">
        <f t="shared" si="499"/>
        <v>2.5</v>
      </c>
      <c r="AA769" s="11">
        <f t="shared" si="437"/>
        <v>13.5</v>
      </c>
      <c r="AB769" s="25"/>
      <c r="AC769" s="10" t="str">
        <f t="shared" si="470"/>
        <v>MarçoSEMANA 3Lentilha</v>
      </c>
      <c r="AD769" s="7">
        <f>SUMIF(NF!$A:$A,$AC769,NF!$I:$I)</f>
        <v>0</v>
      </c>
      <c r="AE769" s="6">
        <v>2.5</v>
      </c>
      <c r="AF769" s="6"/>
      <c r="AG769" s="6"/>
      <c r="AH769" s="6"/>
      <c r="AI769" s="6">
        <v>3.5</v>
      </c>
      <c r="AJ769" s="6">
        <v>1</v>
      </c>
      <c r="AK769" s="6"/>
      <c r="AL769" s="7">
        <f t="shared" si="500"/>
        <v>7</v>
      </c>
      <c r="AM769" s="11">
        <f t="shared" si="440"/>
        <v>6.5</v>
      </c>
      <c r="AN769" s="25"/>
      <c r="AO769" s="10" t="str">
        <f t="shared" si="471"/>
        <v>MarçoSEMANA 4Lentilha</v>
      </c>
      <c r="AP769" s="7">
        <f>SUMIF(NF!$A:$A,$AO769,NF!$I:$I)</f>
        <v>10</v>
      </c>
      <c r="AQ769" s="6">
        <v>3.5</v>
      </c>
      <c r="AR769" s="6"/>
      <c r="AS769" s="6">
        <v>2</v>
      </c>
      <c r="AT769" s="6">
        <v>1</v>
      </c>
      <c r="AU769" s="6"/>
      <c r="AV769" s="6"/>
      <c r="AW769" s="6">
        <v>1.5</v>
      </c>
      <c r="AX769" s="7">
        <f t="shared" si="501"/>
        <v>8</v>
      </c>
      <c r="AY769" s="11">
        <f t="shared" si="443"/>
        <v>8.5</v>
      </c>
      <c r="AZ769" s="25"/>
      <c r="BA769" s="10" t="str">
        <f t="shared" si="472"/>
        <v>MarçoSEMANA 5Lentilha</v>
      </c>
      <c r="BB769" s="7">
        <f>SUMIF(NF!$A:$A,$BA769,NF!$I:$I)</f>
        <v>5</v>
      </c>
      <c r="BC769" s="6"/>
      <c r="BD769" s="6"/>
      <c r="BE769" s="6"/>
      <c r="BF769" s="6">
        <v>2</v>
      </c>
      <c r="BG769" s="6">
        <v>1.5</v>
      </c>
      <c r="BH769" s="6"/>
      <c r="BI769" s="74"/>
      <c r="BJ769" s="74"/>
      <c r="BK769" s="7">
        <f t="shared" si="502"/>
        <v>3.5</v>
      </c>
      <c r="BL769" s="8">
        <f t="shared" si="446"/>
        <v>10</v>
      </c>
      <c r="BM769" s="51" t="str">
        <f>IFERROR(VLOOKUP(A769,NF!$M:$O,3,0),"")</f>
        <v>Mercado</v>
      </c>
      <c r="BN769" s="7">
        <f t="shared" si="447"/>
        <v>25.5</v>
      </c>
      <c r="BO769" s="8">
        <f t="array" ref="BO769">IFERROR(LARGE(IF(NF!$G$2:$G$3137='Mês atual'!A769,NF!$J$2:$J$3137),1),0)*BN769</f>
        <v>265.2</v>
      </c>
      <c r="BP769" s="50"/>
      <c r="BR769" s="146">
        <f t="array" ref="BR769">IFERROR(LARGE(IF(NF!$G$2:$G$3137='Mês atual'!A769,NF!$J$2:$J$3137),1),0)</f>
        <v>10.4</v>
      </c>
      <c r="BS769" s="142" t="str">
        <f>VLOOKUP(A769,NF!M:O,3,0)</f>
        <v>Mercado</v>
      </c>
      <c r="BV769" s="74">
        <f t="shared" si="488"/>
        <v>4.5</v>
      </c>
      <c r="BW769" s="74">
        <f t="shared" si="489"/>
        <v>2.5</v>
      </c>
      <c r="BX769" s="74">
        <f t="shared" si="490"/>
        <v>7</v>
      </c>
      <c r="BY769" s="74">
        <f t="shared" si="491"/>
        <v>8</v>
      </c>
      <c r="BZ769" s="74">
        <f t="shared" si="492"/>
        <v>3.5</v>
      </c>
    </row>
    <row r="770" spans="1:78" x14ac:dyDescent="0.2">
      <c r="A770" s="108" t="s">
        <v>462</v>
      </c>
      <c r="B770" s="12"/>
      <c r="C770" s="9">
        <v>0</v>
      </c>
      <c r="D770" s="25"/>
      <c r="E770" s="10" t="str">
        <f t="shared" si="468"/>
        <v>MarçoSEMANA 1Lichia em Calda</v>
      </c>
      <c r="F770" s="7">
        <f>SUMIF(NF!$A:$A,$E770,NF!$I:$I)</f>
        <v>0</v>
      </c>
      <c r="G770" s="74"/>
      <c r="H770" s="74"/>
      <c r="I770" s="74"/>
      <c r="J770" s="6"/>
      <c r="K770" s="6"/>
      <c r="L770" s="6"/>
      <c r="M770" s="6"/>
      <c r="N770" s="7">
        <f t="shared" si="498"/>
        <v>0</v>
      </c>
      <c r="O770" s="11">
        <f t="shared" si="434"/>
        <v>0</v>
      </c>
      <c r="P770" s="25"/>
      <c r="Q770" s="10" t="str">
        <f t="shared" si="469"/>
        <v>MarçoSEMANA 2Lichia em Calda</v>
      </c>
      <c r="R770" s="7">
        <f>SUMIF(NF!$A:$A,$Q770,NF!$I:$I)</f>
        <v>0</v>
      </c>
      <c r="S770" s="6"/>
      <c r="T770" s="6"/>
      <c r="U770" s="6"/>
      <c r="V770" s="6"/>
      <c r="W770" s="6"/>
      <c r="X770" s="6"/>
      <c r="Y770" s="6"/>
      <c r="Z770" s="7">
        <f t="shared" si="499"/>
        <v>0</v>
      </c>
      <c r="AA770" s="11">
        <f t="shared" si="437"/>
        <v>0</v>
      </c>
      <c r="AB770" s="25"/>
      <c r="AC770" s="10" t="str">
        <f t="shared" si="470"/>
        <v>MarçoSEMANA 3Lichia em Calda</v>
      </c>
      <c r="AD770" s="7">
        <f>SUMIF(NF!$A:$A,$AC770,NF!$I:$I)</f>
        <v>0</v>
      </c>
      <c r="AE770" s="6"/>
      <c r="AF770" s="6"/>
      <c r="AG770" s="6"/>
      <c r="AH770" s="6"/>
      <c r="AI770" s="6"/>
      <c r="AJ770" s="6"/>
      <c r="AK770" s="6"/>
      <c r="AL770" s="7">
        <f t="shared" si="500"/>
        <v>0</v>
      </c>
      <c r="AM770" s="11">
        <f t="shared" si="440"/>
        <v>0</v>
      </c>
      <c r="AN770" s="25"/>
      <c r="AO770" s="10" t="str">
        <f t="shared" si="471"/>
        <v>MarçoSEMANA 4Lichia em Calda</v>
      </c>
      <c r="AP770" s="7">
        <f>SUMIF(NF!$A:$A,$AO770,NF!$I:$I)</f>
        <v>0</v>
      </c>
      <c r="AQ770" s="6"/>
      <c r="AR770" s="6"/>
      <c r="AS770" s="6"/>
      <c r="AT770" s="6"/>
      <c r="AU770" s="6"/>
      <c r="AV770" s="6"/>
      <c r="AW770" s="6"/>
      <c r="AX770" s="7">
        <f t="shared" si="501"/>
        <v>0</v>
      </c>
      <c r="AY770" s="11">
        <f t="shared" si="443"/>
        <v>0</v>
      </c>
      <c r="AZ770" s="25"/>
      <c r="BA770" s="10" t="str">
        <f t="shared" si="472"/>
        <v>MarçoSEMANA 5Lichia em Calda</v>
      </c>
      <c r="BB770" s="7">
        <f>SUMIF(NF!$A:$A,$BA770,NF!$I:$I)</f>
        <v>0</v>
      </c>
      <c r="BC770" s="6"/>
      <c r="BD770" s="6"/>
      <c r="BE770" s="6"/>
      <c r="BF770" s="6"/>
      <c r="BG770" s="6"/>
      <c r="BH770" s="6"/>
      <c r="BI770" s="74"/>
      <c r="BJ770" s="74"/>
      <c r="BK770" s="7">
        <f t="shared" si="502"/>
        <v>0</v>
      </c>
      <c r="BL770" s="8">
        <f t="shared" si="446"/>
        <v>0</v>
      </c>
      <c r="BM770" s="51" t="str">
        <f>IFERROR(VLOOKUP(A770,NF!$M:$O,3,0),"")</f>
        <v>Mercado</v>
      </c>
      <c r="BN770" s="7">
        <f t="shared" si="447"/>
        <v>0</v>
      </c>
      <c r="BO770" s="8">
        <f t="array" ref="BO770">IFERROR(LARGE(IF(NF!$G$2:$G$3137='Mês atual'!A770,NF!$J$2:$J$3137),1),0)*BN770</f>
        <v>0</v>
      </c>
      <c r="BP770" s="50"/>
      <c r="BR770" s="146">
        <f t="array" ref="BR770">IFERROR(LARGE(IF(NF!$G$2:$G$3137='Mês atual'!A770,NF!$J$2:$J$3137),1),0)</f>
        <v>0</v>
      </c>
      <c r="BS770" s="142" t="str">
        <f>VLOOKUP(A770,NF!M:O,3,0)</f>
        <v>Mercado</v>
      </c>
      <c r="BV770" s="74">
        <f t="shared" si="488"/>
        <v>0</v>
      </c>
      <c r="BW770" s="74">
        <f t="shared" si="489"/>
        <v>0</v>
      </c>
      <c r="BX770" s="74">
        <f t="shared" si="490"/>
        <v>0</v>
      </c>
      <c r="BY770" s="74">
        <f t="shared" si="491"/>
        <v>0</v>
      </c>
      <c r="BZ770" s="74">
        <f t="shared" si="492"/>
        <v>0</v>
      </c>
    </row>
    <row r="771" spans="1:78" x14ac:dyDescent="0.25">
      <c r="A771" s="108" t="s">
        <v>466</v>
      </c>
      <c r="B771" s="12"/>
      <c r="C771" s="9">
        <v>0</v>
      </c>
      <c r="D771" s="25"/>
      <c r="E771" s="10" t="str">
        <f t="shared" si="468"/>
        <v>MarçoSEMANA 1Linhaça</v>
      </c>
      <c r="F771" s="7">
        <f>SUMIF(NF!$A:$A,$E771,NF!$I:$I)</f>
        <v>0</v>
      </c>
      <c r="G771" s="74"/>
      <c r="H771" s="74"/>
      <c r="I771" s="74"/>
      <c r="J771" s="6"/>
      <c r="K771" s="6"/>
      <c r="L771" s="6"/>
      <c r="M771" s="6"/>
      <c r="N771" s="7">
        <f t="shared" si="498"/>
        <v>0</v>
      </c>
      <c r="O771" s="11">
        <f t="shared" si="434"/>
        <v>0</v>
      </c>
      <c r="P771" s="25"/>
      <c r="Q771" s="10" t="str">
        <f t="shared" si="469"/>
        <v>MarçoSEMANA 2Linhaça</v>
      </c>
      <c r="R771" s="7">
        <f>SUMIF(NF!$A:$A,$Q771,NF!$I:$I)</f>
        <v>0</v>
      </c>
      <c r="S771" s="6"/>
      <c r="T771" s="6"/>
      <c r="U771" s="6"/>
      <c r="V771" s="6"/>
      <c r="W771" s="6"/>
      <c r="X771" s="6"/>
      <c r="Y771" s="6"/>
      <c r="Z771" s="7">
        <f t="shared" si="499"/>
        <v>0</v>
      </c>
      <c r="AA771" s="11">
        <f t="shared" si="437"/>
        <v>0</v>
      </c>
      <c r="AB771" s="25"/>
      <c r="AC771" s="10" t="str">
        <f t="shared" si="470"/>
        <v>MarçoSEMANA 3Linhaça</v>
      </c>
      <c r="AD771" s="7">
        <f>SUMIF(NF!$A:$A,$AC771,NF!$I:$I)</f>
        <v>0</v>
      </c>
      <c r="AE771" s="6"/>
      <c r="AF771" s="6"/>
      <c r="AG771" s="6"/>
      <c r="AH771" s="6"/>
      <c r="AI771" s="6"/>
      <c r="AJ771" s="6"/>
      <c r="AK771" s="6"/>
      <c r="AL771" s="7">
        <f t="shared" si="500"/>
        <v>0</v>
      </c>
      <c r="AM771" s="11">
        <f t="shared" si="440"/>
        <v>0</v>
      </c>
      <c r="AN771" s="25"/>
      <c r="AO771" s="10" t="str">
        <f t="shared" si="471"/>
        <v>MarçoSEMANA 4Linhaça</v>
      </c>
      <c r="AP771" s="7">
        <f>SUMIF(NF!$A:$A,$AO771,NF!$I:$I)</f>
        <v>0</v>
      </c>
      <c r="AQ771" s="6"/>
      <c r="AR771" s="6"/>
      <c r="AS771" s="6"/>
      <c r="AT771" s="6"/>
      <c r="AU771" s="6"/>
      <c r="AV771" s="6"/>
      <c r="AW771" s="6"/>
      <c r="AX771" s="7">
        <f t="shared" si="501"/>
        <v>0</v>
      </c>
      <c r="AY771" s="11">
        <f t="shared" si="443"/>
        <v>0</v>
      </c>
      <c r="AZ771" s="25"/>
      <c r="BA771" s="10" t="str">
        <f t="shared" si="472"/>
        <v>MarçoSEMANA 5Linhaça</v>
      </c>
      <c r="BB771" s="7">
        <f>SUMIF(NF!$A:$A,$BA771,NF!$I:$I)</f>
        <v>0</v>
      </c>
      <c r="BC771" s="6"/>
      <c r="BD771" s="6"/>
      <c r="BE771" s="6"/>
      <c r="BF771" s="6"/>
      <c r="BG771" s="6"/>
      <c r="BH771" s="6"/>
      <c r="BI771" s="74"/>
      <c r="BJ771" s="74"/>
      <c r="BK771" s="7">
        <f t="shared" si="502"/>
        <v>0</v>
      </c>
      <c r="BL771" s="8">
        <f t="shared" si="446"/>
        <v>0</v>
      </c>
      <c r="BM771" s="51" t="str">
        <f>IFERROR(VLOOKUP(A771,NF!$M:$O,3,0),"")</f>
        <v>Mercado</v>
      </c>
      <c r="BN771" s="7">
        <f t="shared" si="447"/>
        <v>0</v>
      </c>
      <c r="BO771" s="8">
        <f t="array" ref="BO771">IFERROR(LARGE(IF(NF!$G$2:$G$3137='Mês atual'!A771,NF!$J$2:$J$3137),1),0)*BN771</f>
        <v>0</v>
      </c>
      <c r="BP771" s="50"/>
      <c r="BR771" s="146">
        <f t="array" ref="BR771">IFERROR(LARGE(IF(NF!$G$2:$G$3137='Mês atual'!A771,NF!$J$2:$J$3137),1),0)</f>
        <v>0</v>
      </c>
      <c r="BS771" s="142" t="str">
        <f>VLOOKUP(A771,NF!M:O,3,0)</f>
        <v>Mercado</v>
      </c>
      <c r="BV771" s="74">
        <f t="shared" si="488"/>
        <v>0</v>
      </c>
      <c r="BW771" s="74">
        <f t="shared" si="489"/>
        <v>0</v>
      </c>
      <c r="BX771" s="74">
        <f t="shared" si="490"/>
        <v>0</v>
      </c>
      <c r="BY771" s="74">
        <f t="shared" si="491"/>
        <v>0</v>
      </c>
      <c r="BZ771" s="74">
        <f t="shared" si="492"/>
        <v>0</v>
      </c>
    </row>
    <row r="772" spans="1:78" x14ac:dyDescent="0.25">
      <c r="A772" s="108" t="s">
        <v>467</v>
      </c>
      <c r="B772" s="12"/>
      <c r="C772" s="9">
        <v>0</v>
      </c>
      <c r="D772" s="25"/>
      <c r="E772" s="10" t="str">
        <f t="shared" si="468"/>
        <v>MarçoSEMANA 1Linhaça Dourada</v>
      </c>
      <c r="F772" s="7">
        <f>SUMIF(NF!$A:$A,$E772,NF!$I:$I)</f>
        <v>0</v>
      </c>
      <c r="G772" s="74"/>
      <c r="H772" s="74"/>
      <c r="I772" s="74"/>
      <c r="J772" s="6"/>
      <c r="K772" s="6"/>
      <c r="L772" s="6"/>
      <c r="M772" s="6"/>
      <c r="N772" s="7">
        <f t="shared" si="498"/>
        <v>0</v>
      </c>
      <c r="O772" s="11">
        <f t="shared" si="434"/>
        <v>0</v>
      </c>
      <c r="P772" s="25"/>
      <c r="Q772" s="10" t="str">
        <f t="shared" si="469"/>
        <v>MarçoSEMANA 2Linhaça Dourada</v>
      </c>
      <c r="R772" s="7">
        <f>SUMIF(NF!$A:$A,$Q772,NF!$I:$I)</f>
        <v>0</v>
      </c>
      <c r="S772" s="6"/>
      <c r="T772" s="6"/>
      <c r="U772" s="6"/>
      <c r="V772" s="6"/>
      <c r="W772" s="6"/>
      <c r="X772" s="6"/>
      <c r="Y772" s="6"/>
      <c r="Z772" s="7">
        <f t="shared" si="499"/>
        <v>0</v>
      </c>
      <c r="AA772" s="11">
        <f t="shared" si="437"/>
        <v>0</v>
      </c>
      <c r="AB772" s="25"/>
      <c r="AC772" s="10" t="str">
        <f t="shared" si="470"/>
        <v>MarçoSEMANA 3Linhaça Dourada</v>
      </c>
      <c r="AD772" s="7">
        <f>SUMIF(NF!$A:$A,$AC772,NF!$I:$I)</f>
        <v>0</v>
      </c>
      <c r="AE772" s="6"/>
      <c r="AF772" s="6"/>
      <c r="AG772" s="6"/>
      <c r="AH772" s="6"/>
      <c r="AI772" s="6"/>
      <c r="AJ772" s="6"/>
      <c r="AK772" s="6"/>
      <c r="AL772" s="7">
        <f t="shared" si="500"/>
        <v>0</v>
      </c>
      <c r="AM772" s="11">
        <f t="shared" si="440"/>
        <v>0</v>
      </c>
      <c r="AN772" s="25"/>
      <c r="AO772" s="10" t="str">
        <f t="shared" si="471"/>
        <v>MarçoSEMANA 4Linhaça Dourada</v>
      </c>
      <c r="AP772" s="7">
        <f>SUMIF(NF!$A:$A,$AO772,NF!$I:$I)</f>
        <v>0</v>
      </c>
      <c r="AQ772" s="6"/>
      <c r="AR772" s="6"/>
      <c r="AS772" s="6"/>
      <c r="AT772" s="6"/>
      <c r="AU772" s="6"/>
      <c r="AV772" s="6"/>
      <c r="AW772" s="6"/>
      <c r="AX772" s="7">
        <f t="shared" si="501"/>
        <v>0</v>
      </c>
      <c r="AY772" s="11">
        <f t="shared" si="443"/>
        <v>0</v>
      </c>
      <c r="AZ772" s="25"/>
      <c r="BA772" s="10" t="str">
        <f t="shared" si="472"/>
        <v>MarçoSEMANA 5Linhaça Dourada</v>
      </c>
      <c r="BB772" s="7">
        <f>SUMIF(NF!$A:$A,$BA772,NF!$I:$I)</f>
        <v>0</v>
      </c>
      <c r="BC772" s="6"/>
      <c r="BD772" s="6"/>
      <c r="BE772" s="6"/>
      <c r="BF772" s="6"/>
      <c r="BG772" s="6"/>
      <c r="BH772" s="6"/>
      <c r="BI772" s="74"/>
      <c r="BJ772" s="74"/>
      <c r="BK772" s="7">
        <f t="shared" si="502"/>
        <v>0</v>
      </c>
      <c r="BL772" s="8">
        <f t="shared" si="446"/>
        <v>0</v>
      </c>
      <c r="BM772" s="51" t="str">
        <f>IFERROR(VLOOKUP(A772,NF!$M:$O,3,0),"")</f>
        <v>Mercado</v>
      </c>
      <c r="BN772" s="7">
        <f t="shared" si="447"/>
        <v>0</v>
      </c>
      <c r="BO772" s="8">
        <f t="array" ref="BO772">IFERROR(LARGE(IF(NF!$G$2:$G$3137='Mês atual'!A772,NF!$J$2:$J$3137),1),0)*BN772</f>
        <v>0</v>
      </c>
      <c r="BP772" s="50"/>
      <c r="BR772" s="146">
        <f t="array" ref="BR772">IFERROR(LARGE(IF(NF!$G$2:$G$3137='Mês atual'!A772,NF!$J$2:$J$3137),1),0)</f>
        <v>0</v>
      </c>
      <c r="BS772" s="142" t="str">
        <f>VLOOKUP(A772,NF!M:O,3,0)</f>
        <v>Mercado</v>
      </c>
      <c r="BV772" s="74">
        <f t="shared" si="488"/>
        <v>0</v>
      </c>
      <c r="BW772" s="74">
        <f t="shared" si="489"/>
        <v>0</v>
      </c>
      <c r="BX772" s="74">
        <f t="shared" si="490"/>
        <v>0</v>
      </c>
      <c r="BY772" s="74">
        <f t="shared" si="491"/>
        <v>0</v>
      </c>
      <c r="BZ772" s="74">
        <f t="shared" si="492"/>
        <v>0</v>
      </c>
    </row>
    <row r="773" spans="1:78" x14ac:dyDescent="0.25">
      <c r="A773" s="108" t="s">
        <v>475</v>
      </c>
      <c r="B773" s="12"/>
      <c r="C773" s="9">
        <v>0</v>
      </c>
      <c r="D773" s="25"/>
      <c r="E773" s="10" t="str">
        <f t="shared" si="468"/>
        <v>MarçoSEMANA 1Maçã Desidratada</v>
      </c>
      <c r="F773" s="7">
        <f>SUMIF(NF!$A:$A,$E773,NF!$I:$I)</f>
        <v>0</v>
      </c>
      <c r="G773" s="74"/>
      <c r="H773" s="74"/>
      <c r="I773" s="74"/>
      <c r="J773" s="6"/>
      <c r="K773" s="6"/>
      <c r="L773" s="6"/>
      <c r="M773" s="6"/>
      <c r="N773" s="7">
        <f t="shared" si="498"/>
        <v>0</v>
      </c>
      <c r="O773" s="11">
        <f t="shared" si="434"/>
        <v>0</v>
      </c>
      <c r="P773" s="25"/>
      <c r="Q773" s="10" t="str">
        <f t="shared" si="469"/>
        <v>MarçoSEMANA 2Maçã Desidratada</v>
      </c>
      <c r="R773" s="7">
        <f>SUMIF(NF!$A:$A,$Q773,NF!$I:$I)</f>
        <v>0</v>
      </c>
      <c r="S773" s="6"/>
      <c r="T773" s="6"/>
      <c r="U773" s="6"/>
      <c r="V773" s="6"/>
      <c r="W773" s="6"/>
      <c r="X773" s="6"/>
      <c r="Y773" s="6"/>
      <c r="Z773" s="7">
        <f t="shared" si="499"/>
        <v>0</v>
      </c>
      <c r="AA773" s="11">
        <f t="shared" si="437"/>
        <v>0</v>
      </c>
      <c r="AB773" s="25"/>
      <c r="AC773" s="10" t="str">
        <f t="shared" si="470"/>
        <v>MarçoSEMANA 3Maçã Desidratada</v>
      </c>
      <c r="AD773" s="7">
        <f>SUMIF(NF!$A:$A,$AC773,NF!$I:$I)</f>
        <v>0</v>
      </c>
      <c r="AE773" s="6"/>
      <c r="AF773" s="6"/>
      <c r="AG773" s="6"/>
      <c r="AH773" s="6"/>
      <c r="AI773" s="6"/>
      <c r="AJ773" s="6"/>
      <c r="AK773" s="6"/>
      <c r="AL773" s="7">
        <f t="shared" si="500"/>
        <v>0</v>
      </c>
      <c r="AM773" s="11">
        <f t="shared" si="440"/>
        <v>0</v>
      </c>
      <c r="AN773" s="25"/>
      <c r="AO773" s="10" t="str">
        <f t="shared" si="471"/>
        <v>MarçoSEMANA 4Maçã Desidratada</v>
      </c>
      <c r="AP773" s="7">
        <f>SUMIF(NF!$A:$A,$AO773,NF!$I:$I)</f>
        <v>0.35599999999999998</v>
      </c>
      <c r="AQ773" s="6"/>
      <c r="AR773" s="6">
        <v>0.35599999999999998</v>
      </c>
      <c r="AS773" s="6"/>
      <c r="AT773" s="6"/>
      <c r="AU773" s="6"/>
      <c r="AV773" s="6"/>
      <c r="AW773" s="6"/>
      <c r="AX773" s="7">
        <f t="shared" si="501"/>
        <v>0.35599999999999998</v>
      </c>
      <c r="AY773" s="11">
        <f t="shared" si="443"/>
        <v>0</v>
      </c>
      <c r="AZ773" s="25"/>
      <c r="BA773" s="10" t="str">
        <f t="shared" si="472"/>
        <v>MarçoSEMANA 5Maçã Desidratada</v>
      </c>
      <c r="BB773" s="7">
        <f>SUMIF(NF!$A:$A,$BA773,NF!$I:$I)</f>
        <v>0</v>
      </c>
      <c r="BC773" s="6"/>
      <c r="BD773" s="6"/>
      <c r="BE773" s="6"/>
      <c r="BF773" s="6"/>
      <c r="BG773" s="6"/>
      <c r="BH773" s="6"/>
      <c r="BI773" s="74"/>
      <c r="BJ773" s="74"/>
      <c r="BK773" s="7">
        <f t="shared" si="502"/>
        <v>0</v>
      </c>
      <c r="BL773" s="8">
        <f t="shared" si="446"/>
        <v>0</v>
      </c>
      <c r="BM773" s="51" t="str">
        <f>IFERROR(VLOOKUP(A773,NF!$M:$O,3,0),"")</f>
        <v>Mercado</v>
      </c>
      <c r="BN773" s="7">
        <f t="shared" si="447"/>
        <v>0.35599999999999998</v>
      </c>
      <c r="BO773" s="8">
        <f t="array" ref="BO773">IFERROR(LARGE(IF(NF!$G$2:$G$3137='Mês atual'!A773,NF!$J$2:$J$3137),1),0)*BN773</f>
        <v>17.432251999999998</v>
      </c>
      <c r="BP773" s="50"/>
      <c r="BR773" s="146">
        <f t="array" ref="BR773">IFERROR(LARGE(IF(NF!$G$2:$G$3137='Mês atual'!A773,NF!$J$2:$J$3137),1),0)</f>
        <v>48.966999999999999</v>
      </c>
      <c r="BS773" s="142" t="str">
        <f>VLOOKUP(A773,NF!M:O,3,0)</f>
        <v>Mercado</v>
      </c>
      <c r="BV773" s="74">
        <f t="shared" si="488"/>
        <v>0</v>
      </c>
      <c r="BW773" s="74">
        <f t="shared" si="489"/>
        <v>0</v>
      </c>
      <c r="BX773" s="74">
        <f t="shared" si="490"/>
        <v>0</v>
      </c>
      <c r="BY773" s="74">
        <f t="shared" si="491"/>
        <v>0.35599999999999998</v>
      </c>
      <c r="BZ773" s="74">
        <f t="shared" si="492"/>
        <v>0</v>
      </c>
    </row>
    <row r="774" spans="1:78" x14ac:dyDescent="0.25">
      <c r="A774" s="108" t="s">
        <v>477</v>
      </c>
      <c r="B774" s="12"/>
      <c r="C774" s="9">
        <v>0</v>
      </c>
      <c r="D774" s="25"/>
      <c r="E774" s="10" t="str">
        <f t="shared" si="468"/>
        <v>MarçoSEMANA 1Macarrão Cabelo de Anjo</v>
      </c>
      <c r="F774" s="7">
        <f>SUMIF(NF!$A:$A,$E774,NF!$I:$I)</f>
        <v>0</v>
      </c>
      <c r="G774" s="74"/>
      <c r="H774" s="74"/>
      <c r="I774" s="74"/>
      <c r="J774" s="6"/>
      <c r="K774" s="6"/>
      <c r="L774" s="6"/>
      <c r="M774" s="6"/>
      <c r="N774" s="7">
        <f t="shared" si="498"/>
        <v>0</v>
      </c>
      <c r="O774" s="11">
        <f t="shared" si="434"/>
        <v>0</v>
      </c>
      <c r="P774" s="25"/>
      <c r="Q774" s="10" t="str">
        <f t="shared" si="469"/>
        <v>MarçoSEMANA 2Macarrão Cabelo de Anjo</v>
      </c>
      <c r="R774" s="7">
        <f>SUMIF(NF!$A:$A,$Q774,NF!$I:$I)</f>
        <v>0</v>
      </c>
      <c r="S774" s="6"/>
      <c r="T774" s="6"/>
      <c r="U774" s="6"/>
      <c r="V774" s="6"/>
      <c r="W774" s="6"/>
      <c r="X774" s="6"/>
      <c r="Y774" s="6"/>
      <c r="Z774" s="7">
        <f t="shared" si="499"/>
        <v>0</v>
      </c>
      <c r="AA774" s="11">
        <f t="shared" si="437"/>
        <v>0</v>
      </c>
      <c r="AB774" s="25"/>
      <c r="AC774" s="10" t="str">
        <f t="shared" si="470"/>
        <v>MarçoSEMANA 3Macarrão Cabelo de Anjo</v>
      </c>
      <c r="AD774" s="7">
        <f>SUMIF(NF!$A:$A,$AC774,NF!$I:$I)</f>
        <v>0</v>
      </c>
      <c r="AE774" s="6"/>
      <c r="AF774" s="6"/>
      <c r="AG774" s="6"/>
      <c r="AH774" s="6"/>
      <c r="AI774" s="6"/>
      <c r="AJ774" s="6"/>
      <c r="AK774" s="6"/>
      <c r="AL774" s="7">
        <f t="shared" si="500"/>
        <v>0</v>
      </c>
      <c r="AM774" s="11">
        <f t="shared" si="440"/>
        <v>0</v>
      </c>
      <c r="AN774" s="25"/>
      <c r="AO774" s="10" t="str">
        <f t="shared" si="471"/>
        <v>MarçoSEMANA 4Macarrão Cabelo de Anjo</v>
      </c>
      <c r="AP774" s="7">
        <f>SUMIF(NF!$A:$A,$AO774,NF!$I:$I)</f>
        <v>2</v>
      </c>
      <c r="AQ774" s="6"/>
      <c r="AR774" s="6">
        <v>2</v>
      </c>
      <c r="AS774" s="6"/>
      <c r="AT774" s="6"/>
      <c r="AU774" s="6"/>
      <c r="AV774" s="6"/>
      <c r="AW774" s="6"/>
      <c r="AX774" s="7">
        <f t="shared" si="501"/>
        <v>2</v>
      </c>
      <c r="AY774" s="11">
        <f t="shared" si="443"/>
        <v>0</v>
      </c>
      <c r="AZ774" s="25"/>
      <c r="BA774" s="10" t="str">
        <f t="shared" si="472"/>
        <v>MarçoSEMANA 5Macarrão Cabelo de Anjo</v>
      </c>
      <c r="BB774" s="7">
        <f>SUMIF(NF!$A:$A,$BA774,NF!$I:$I)</f>
        <v>0</v>
      </c>
      <c r="BC774" s="6"/>
      <c r="BD774" s="6"/>
      <c r="BE774" s="6"/>
      <c r="BF774" s="6"/>
      <c r="BG774" s="6"/>
      <c r="BH774" s="6"/>
      <c r="BI774" s="74"/>
      <c r="BJ774" s="74"/>
      <c r="BK774" s="7">
        <f t="shared" si="502"/>
        <v>0</v>
      </c>
      <c r="BL774" s="8">
        <f t="shared" si="446"/>
        <v>0</v>
      </c>
      <c r="BM774" s="51" t="str">
        <f>IFERROR(VLOOKUP(A774,NF!$M:$O,3,0),"")</f>
        <v>Mercado</v>
      </c>
      <c r="BN774" s="7">
        <f t="shared" si="447"/>
        <v>2</v>
      </c>
      <c r="BO774" s="8">
        <f t="array" ref="BO774">IFERROR(LARGE(IF(NF!$G$2:$G$3137='Mês atual'!A774,NF!$J$2:$J$3137),1),0)*BN774</f>
        <v>17</v>
      </c>
      <c r="BP774" s="50"/>
      <c r="BR774" s="146">
        <f t="array" ref="BR774">IFERROR(LARGE(IF(NF!$G$2:$G$3137='Mês atual'!A774,NF!$J$2:$J$3137),1),0)</f>
        <v>8.5</v>
      </c>
      <c r="BS774" s="142" t="str">
        <f>VLOOKUP(A774,NF!M:O,3,0)</f>
        <v>Mercado</v>
      </c>
      <c r="BV774" s="74">
        <f t="shared" si="488"/>
        <v>0</v>
      </c>
      <c r="BW774" s="74">
        <f t="shared" si="489"/>
        <v>0</v>
      </c>
      <c r="BX774" s="74">
        <f t="shared" si="490"/>
        <v>0</v>
      </c>
      <c r="BY774" s="74">
        <f t="shared" si="491"/>
        <v>2</v>
      </c>
      <c r="BZ774" s="74">
        <f t="shared" si="492"/>
        <v>0</v>
      </c>
    </row>
    <row r="775" spans="1:78" x14ac:dyDescent="0.25">
      <c r="A775" s="108" t="s">
        <v>478</v>
      </c>
      <c r="B775" s="12"/>
      <c r="C775" s="9">
        <v>0</v>
      </c>
      <c r="D775" s="25"/>
      <c r="E775" s="10" t="str">
        <f t="shared" si="468"/>
        <v>MarçoSEMANA 1Macarrão Celentani</v>
      </c>
      <c r="F775" s="7">
        <f>SUMIF(NF!$A:$A,$E775,NF!$I:$I)</f>
        <v>0</v>
      </c>
      <c r="G775" s="74"/>
      <c r="H775" s="74"/>
      <c r="I775" s="74"/>
      <c r="J775" s="6"/>
      <c r="K775" s="6"/>
      <c r="L775" s="6"/>
      <c r="M775" s="6"/>
      <c r="N775" s="7">
        <f t="shared" si="498"/>
        <v>0</v>
      </c>
      <c r="O775" s="11">
        <f t="shared" si="434"/>
        <v>0</v>
      </c>
      <c r="P775" s="25"/>
      <c r="Q775" s="10" t="str">
        <f t="shared" si="469"/>
        <v>MarçoSEMANA 2Macarrão Celentani</v>
      </c>
      <c r="R775" s="7">
        <f>SUMIF(NF!$A:$A,$Q775,NF!$I:$I)</f>
        <v>0</v>
      </c>
      <c r="S775" s="6"/>
      <c r="T775" s="6"/>
      <c r="U775" s="6"/>
      <c r="V775" s="6"/>
      <c r="W775" s="6"/>
      <c r="X775" s="6"/>
      <c r="Y775" s="6"/>
      <c r="Z775" s="7">
        <f t="shared" si="499"/>
        <v>0</v>
      </c>
      <c r="AA775" s="11">
        <f t="shared" si="437"/>
        <v>0</v>
      </c>
      <c r="AB775" s="25"/>
      <c r="AC775" s="10" t="str">
        <f t="shared" si="470"/>
        <v>MarçoSEMANA 3Macarrão Celentani</v>
      </c>
      <c r="AD775" s="7">
        <f>SUMIF(NF!$A:$A,$AC775,NF!$I:$I)</f>
        <v>0</v>
      </c>
      <c r="AE775" s="6"/>
      <c r="AF775" s="6"/>
      <c r="AG775" s="6"/>
      <c r="AH775" s="6"/>
      <c r="AI775" s="6"/>
      <c r="AJ775" s="6"/>
      <c r="AK775" s="6"/>
      <c r="AL775" s="7">
        <f t="shared" si="500"/>
        <v>0</v>
      </c>
      <c r="AM775" s="11">
        <f t="shared" si="440"/>
        <v>0</v>
      </c>
      <c r="AN775" s="25"/>
      <c r="AO775" s="10" t="str">
        <f t="shared" si="471"/>
        <v>MarçoSEMANA 4Macarrão Celentani</v>
      </c>
      <c r="AP775" s="7">
        <f>SUMIF(NF!$A:$A,$AO775,NF!$I:$I)</f>
        <v>0</v>
      </c>
      <c r="AQ775" s="6"/>
      <c r="AR775" s="6"/>
      <c r="AS775" s="6"/>
      <c r="AT775" s="6"/>
      <c r="AU775" s="6"/>
      <c r="AV775" s="6"/>
      <c r="AW775" s="6"/>
      <c r="AX775" s="7">
        <f t="shared" si="501"/>
        <v>0</v>
      </c>
      <c r="AY775" s="11">
        <f t="shared" si="443"/>
        <v>0</v>
      </c>
      <c r="AZ775" s="25"/>
      <c r="BA775" s="10" t="str">
        <f t="shared" si="472"/>
        <v>MarçoSEMANA 5Macarrão Celentani</v>
      </c>
      <c r="BB775" s="7">
        <f>SUMIF(NF!$A:$A,$BA775,NF!$I:$I)</f>
        <v>0</v>
      </c>
      <c r="BC775" s="6"/>
      <c r="BD775" s="6"/>
      <c r="BE775" s="6"/>
      <c r="BF775" s="6"/>
      <c r="BG775" s="6"/>
      <c r="BH775" s="6"/>
      <c r="BI775" s="74"/>
      <c r="BJ775" s="74"/>
      <c r="BK775" s="7">
        <f t="shared" si="502"/>
        <v>0</v>
      </c>
      <c r="BL775" s="8">
        <f t="shared" si="446"/>
        <v>0</v>
      </c>
      <c r="BM775" s="51" t="str">
        <f>IFERROR(VLOOKUP(A775,NF!$M:$O,3,0),"")</f>
        <v>Mercado</v>
      </c>
      <c r="BN775" s="7">
        <f t="shared" si="447"/>
        <v>0</v>
      </c>
      <c r="BO775" s="8">
        <f t="array" ref="BO775">IFERROR(LARGE(IF(NF!$G$2:$G$3137='Mês atual'!A775,NF!$J$2:$J$3137),1),0)*BN775</f>
        <v>0</v>
      </c>
      <c r="BP775" s="50"/>
      <c r="BR775" s="146">
        <f t="array" ref="BR775">IFERROR(LARGE(IF(NF!$G$2:$G$3137='Mês atual'!A775,NF!$J$2:$J$3137),1),0)</f>
        <v>0</v>
      </c>
      <c r="BS775" s="142" t="str">
        <f>VLOOKUP(A775,NF!M:O,3,0)</f>
        <v>Mercado</v>
      </c>
      <c r="BV775" s="74">
        <f t="shared" si="488"/>
        <v>0</v>
      </c>
      <c r="BW775" s="74">
        <f t="shared" si="489"/>
        <v>0</v>
      </c>
      <c r="BX775" s="74">
        <f t="shared" si="490"/>
        <v>0</v>
      </c>
      <c r="BY775" s="74">
        <f t="shared" si="491"/>
        <v>0</v>
      </c>
      <c r="BZ775" s="74">
        <f t="shared" si="492"/>
        <v>0</v>
      </c>
    </row>
    <row r="776" spans="1:78" x14ac:dyDescent="0.25">
      <c r="A776" s="108" t="s">
        <v>479</v>
      </c>
      <c r="B776" s="12"/>
      <c r="C776" s="9">
        <v>0</v>
      </c>
      <c r="D776" s="25"/>
      <c r="E776" s="10" t="str">
        <f t="shared" si="468"/>
        <v>MarçoSEMANA 1Macarrão Conchiglie Rigate</v>
      </c>
      <c r="F776" s="7">
        <f>SUMIF(NF!$A:$A,$E776,NF!$I:$I)</f>
        <v>0</v>
      </c>
      <c r="G776" s="74"/>
      <c r="H776" s="74"/>
      <c r="I776" s="74"/>
      <c r="J776" s="6"/>
      <c r="K776" s="6"/>
      <c r="L776" s="6"/>
      <c r="M776" s="6"/>
      <c r="N776" s="7">
        <f t="shared" si="498"/>
        <v>0</v>
      </c>
      <c r="O776" s="11">
        <f t="shared" si="434"/>
        <v>0</v>
      </c>
      <c r="P776" s="25"/>
      <c r="Q776" s="10" t="str">
        <f t="shared" si="469"/>
        <v>MarçoSEMANA 2Macarrão Conchiglie Rigate</v>
      </c>
      <c r="R776" s="7">
        <f>SUMIF(NF!$A:$A,$Q776,NF!$I:$I)</f>
        <v>0</v>
      </c>
      <c r="S776" s="6"/>
      <c r="T776" s="6"/>
      <c r="U776" s="6"/>
      <c r="V776" s="6"/>
      <c r="W776" s="6"/>
      <c r="X776" s="6"/>
      <c r="Y776" s="6"/>
      <c r="Z776" s="7">
        <f t="shared" si="499"/>
        <v>0</v>
      </c>
      <c r="AA776" s="11">
        <f t="shared" si="437"/>
        <v>0</v>
      </c>
      <c r="AB776" s="25"/>
      <c r="AC776" s="10" t="str">
        <f t="shared" si="470"/>
        <v>MarçoSEMANA 3Macarrão Conchiglie Rigate</v>
      </c>
      <c r="AD776" s="7">
        <f>SUMIF(NF!$A:$A,$AC776,NF!$I:$I)</f>
        <v>0</v>
      </c>
      <c r="AE776" s="6"/>
      <c r="AF776" s="6"/>
      <c r="AG776" s="6"/>
      <c r="AH776" s="6"/>
      <c r="AI776" s="6"/>
      <c r="AJ776" s="6"/>
      <c r="AK776" s="6"/>
      <c r="AL776" s="7">
        <f t="shared" si="500"/>
        <v>0</v>
      </c>
      <c r="AM776" s="11">
        <f t="shared" si="440"/>
        <v>0</v>
      </c>
      <c r="AN776" s="25"/>
      <c r="AO776" s="10" t="str">
        <f t="shared" si="471"/>
        <v>MarçoSEMANA 4Macarrão Conchiglie Rigate</v>
      </c>
      <c r="AP776" s="7">
        <f>SUMIF(NF!$A:$A,$AO776,NF!$I:$I)</f>
        <v>0</v>
      </c>
      <c r="AQ776" s="6"/>
      <c r="AR776" s="6"/>
      <c r="AS776" s="6"/>
      <c r="AT776" s="6"/>
      <c r="AU776" s="6"/>
      <c r="AV776" s="6"/>
      <c r="AW776" s="6"/>
      <c r="AX776" s="7">
        <f t="shared" si="501"/>
        <v>0</v>
      </c>
      <c r="AY776" s="11">
        <f t="shared" si="443"/>
        <v>0</v>
      </c>
      <c r="AZ776" s="25"/>
      <c r="BA776" s="10" t="str">
        <f t="shared" si="472"/>
        <v>MarçoSEMANA 5Macarrão Conchiglie Rigate</v>
      </c>
      <c r="BB776" s="7">
        <f>SUMIF(NF!$A:$A,$BA776,NF!$I:$I)</f>
        <v>0</v>
      </c>
      <c r="BC776" s="6"/>
      <c r="BD776" s="6"/>
      <c r="BE776" s="6"/>
      <c r="BF776" s="6"/>
      <c r="BG776" s="6"/>
      <c r="BH776" s="6"/>
      <c r="BI776" s="74"/>
      <c r="BJ776" s="74"/>
      <c r="BK776" s="7">
        <f t="shared" si="502"/>
        <v>0</v>
      </c>
      <c r="BL776" s="8">
        <f t="shared" si="446"/>
        <v>0</v>
      </c>
      <c r="BM776" s="51" t="str">
        <f>IFERROR(VLOOKUP(A776,NF!$M:$O,3,0),"")</f>
        <v>Mercado</v>
      </c>
      <c r="BN776" s="7">
        <f t="shared" si="447"/>
        <v>0</v>
      </c>
      <c r="BO776" s="8">
        <f t="array" ref="BO776">IFERROR(LARGE(IF(NF!$G$2:$G$3137='Mês atual'!A776,NF!$J$2:$J$3137),1),0)*BN776</f>
        <v>0</v>
      </c>
      <c r="BP776" s="50"/>
      <c r="BR776" s="146">
        <f t="array" ref="BR776">IFERROR(LARGE(IF(NF!$G$2:$G$3137='Mês atual'!A776,NF!$J$2:$J$3137),1),0)</f>
        <v>0</v>
      </c>
      <c r="BS776" s="142" t="str">
        <f>VLOOKUP(A776,NF!M:O,3,0)</f>
        <v>Mercado</v>
      </c>
      <c r="BV776" s="74">
        <f t="shared" si="488"/>
        <v>0</v>
      </c>
      <c r="BW776" s="74">
        <f t="shared" si="489"/>
        <v>0</v>
      </c>
      <c r="BX776" s="74">
        <f t="shared" si="490"/>
        <v>0</v>
      </c>
      <c r="BY776" s="74">
        <f t="shared" si="491"/>
        <v>0</v>
      </c>
      <c r="BZ776" s="74">
        <f t="shared" si="492"/>
        <v>0</v>
      </c>
    </row>
    <row r="777" spans="1:78" x14ac:dyDescent="0.25">
      <c r="A777" s="108" t="s">
        <v>480</v>
      </c>
      <c r="B777" s="12"/>
      <c r="C777" s="9">
        <v>7</v>
      </c>
      <c r="D777" s="25"/>
      <c r="E777" s="10" t="str">
        <f t="shared" ref="E777:E891" si="503">CONCATENATE($C$2,$F$1,$A777)</f>
        <v>MarçoSEMANA 1Macarrão de Feijão (Harusame) 200g</v>
      </c>
      <c r="F777" s="7">
        <f>SUMIF(NF!$A:$A,$E777,NF!$I:$I)</f>
        <v>3</v>
      </c>
      <c r="G777" s="74"/>
      <c r="H777" s="74"/>
      <c r="I777" s="74"/>
      <c r="J777" s="6"/>
      <c r="K777" s="6"/>
      <c r="L777" s="6"/>
      <c r="M777" s="6"/>
      <c r="N777" s="7">
        <f t="shared" si="498"/>
        <v>0</v>
      </c>
      <c r="O777" s="11">
        <f t="shared" si="434"/>
        <v>10</v>
      </c>
      <c r="P777" s="25"/>
      <c r="Q777" s="10" t="str">
        <f t="shared" ref="Q777:Q891" si="504">CONCATENATE($C$2,$R$1,$A777)</f>
        <v>MarçoSEMANA 2Macarrão de Feijão (Harusame) 200g</v>
      </c>
      <c r="R777" s="7">
        <f>SUMIF(NF!$A:$A,$Q777,NF!$I:$I)</f>
        <v>0</v>
      </c>
      <c r="S777" s="6"/>
      <c r="T777" s="6"/>
      <c r="U777" s="6"/>
      <c r="V777" s="6"/>
      <c r="W777" s="6"/>
      <c r="X777" s="6"/>
      <c r="Y777" s="6">
        <v>3</v>
      </c>
      <c r="Z777" s="7">
        <f t="shared" si="499"/>
        <v>3</v>
      </c>
      <c r="AA777" s="11">
        <f t="shared" si="437"/>
        <v>7</v>
      </c>
      <c r="AB777" s="25"/>
      <c r="AC777" s="10" t="str">
        <f t="shared" ref="AC777:AC891" si="505">CONCATENATE($C$2,$AD$1,$A777)</f>
        <v>MarçoSEMANA 3Macarrão de Feijão (Harusame) 200g</v>
      </c>
      <c r="AD777" s="7">
        <f>SUMIF(NF!$A:$A,$AC777,NF!$I:$I)</f>
        <v>3</v>
      </c>
      <c r="AE777" s="6"/>
      <c r="AF777" s="6"/>
      <c r="AG777" s="6">
        <v>2</v>
      </c>
      <c r="AH777" s="6"/>
      <c r="AI777" s="6"/>
      <c r="AJ777" s="6"/>
      <c r="AK777" s="6"/>
      <c r="AL777" s="7">
        <f t="shared" si="500"/>
        <v>2</v>
      </c>
      <c r="AM777" s="11">
        <f t="shared" si="440"/>
        <v>8</v>
      </c>
      <c r="AN777" s="25"/>
      <c r="AO777" s="10" t="str">
        <f t="shared" ref="AO777:AO891" si="506">CONCATENATE($C$2,$AP$1,$A777)</f>
        <v>MarçoSEMANA 4Macarrão de Feijão (Harusame) 200g</v>
      </c>
      <c r="AP777" s="7">
        <f>SUMIF(NF!$A:$A,$AO777,NF!$I:$I)</f>
        <v>0</v>
      </c>
      <c r="AQ777" s="6"/>
      <c r="AR777" s="6"/>
      <c r="AS777" s="6">
        <v>5</v>
      </c>
      <c r="AT777" s="6"/>
      <c r="AU777" s="6"/>
      <c r="AV777" s="6"/>
      <c r="AW777" s="6"/>
      <c r="AX777" s="7">
        <f t="shared" si="501"/>
        <v>5</v>
      </c>
      <c r="AY777" s="11">
        <f t="shared" si="443"/>
        <v>3</v>
      </c>
      <c r="AZ777" s="25"/>
      <c r="BA777" s="10" t="str">
        <f t="shared" ref="BA777:BA891" si="507">CONCATENATE($C$2,$BB$1,$A777)</f>
        <v>MarçoSEMANA 5Macarrão de Feijão (Harusame) 200g</v>
      </c>
      <c r="BB777" s="7">
        <f>SUMIF(NF!$A:$A,$BA777,NF!$I:$I)</f>
        <v>10</v>
      </c>
      <c r="BC777" s="6"/>
      <c r="BD777" s="6"/>
      <c r="BE777" s="6">
        <v>4</v>
      </c>
      <c r="BF777" s="6"/>
      <c r="BG777" s="6"/>
      <c r="BH777" s="6"/>
      <c r="BI777" s="74"/>
      <c r="BJ777" s="74"/>
      <c r="BK777" s="7">
        <f t="shared" si="502"/>
        <v>4</v>
      </c>
      <c r="BL777" s="8">
        <f t="shared" si="446"/>
        <v>9</v>
      </c>
      <c r="BM777" s="51" t="str">
        <f>IFERROR(VLOOKUP(A777,NF!$M:$O,3,0),"")</f>
        <v>Mercado</v>
      </c>
      <c r="BN777" s="7">
        <f t="shared" si="447"/>
        <v>14</v>
      </c>
      <c r="BO777" s="8">
        <f t="array" ref="BO777">IFERROR(LARGE(IF(NF!$G$2:$G$3137='Mês atual'!A777,NF!$J$2:$J$3137),1),0)*BN777</f>
        <v>161</v>
      </c>
      <c r="BP777" s="50"/>
      <c r="BR777" s="146">
        <f t="array" ref="BR777">IFERROR(LARGE(IF(NF!$G$2:$G$3137='Mês atual'!A777,NF!$J$2:$J$3137),1),0)</f>
        <v>11.5</v>
      </c>
      <c r="BS777" s="142" t="str">
        <f>VLOOKUP(A777,NF!M:O,3,0)</f>
        <v>Mercado</v>
      </c>
      <c r="BV777" s="74">
        <f t="shared" si="488"/>
        <v>0</v>
      </c>
      <c r="BW777" s="74">
        <f t="shared" si="489"/>
        <v>3</v>
      </c>
      <c r="BX777" s="74">
        <f t="shared" si="490"/>
        <v>2</v>
      </c>
      <c r="BY777" s="74">
        <f t="shared" si="491"/>
        <v>5</v>
      </c>
      <c r="BZ777" s="74">
        <f t="shared" si="492"/>
        <v>4</v>
      </c>
    </row>
    <row r="778" spans="1:78" x14ac:dyDescent="0.25">
      <c r="A778" s="108" t="s">
        <v>481</v>
      </c>
      <c r="B778" s="12"/>
      <c r="C778" s="9">
        <f>4*0.5</f>
        <v>2</v>
      </c>
      <c r="D778" s="25"/>
      <c r="E778" s="10" t="str">
        <f t="shared" si="503"/>
        <v>MarçoSEMANA 1Macarrão Espaghetti</v>
      </c>
      <c r="F778" s="7">
        <f>SUMIF(NF!$A:$A,$E778,NF!$I:$I)</f>
        <v>0</v>
      </c>
      <c r="G778" s="74"/>
      <c r="H778" s="74"/>
      <c r="I778" s="74"/>
      <c r="J778" s="6"/>
      <c r="K778" s="6"/>
      <c r="L778" s="6">
        <v>1</v>
      </c>
      <c r="M778" s="6"/>
      <c r="N778" s="7">
        <f t="shared" si="498"/>
        <v>1</v>
      </c>
      <c r="O778" s="11">
        <f t="shared" si="434"/>
        <v>1</v>
      </c>
      <c r="P778" s="25"/>
      <c r="Q778" s="10" t="str">
        <f t="shared" si="504"/>
        <v>MarçoSEMANA 2Macarrão Espaghetti</v>
      </c>
      <c r="R778" s="7">
        <f>SUMIF(NF!$A:$A,$Q778,NF!$I:$I)</f>
        <v>0</v>
      </c>
      <c r="S778" s="6"/>
      <c r="T778" s="6"/>
      <c r="U778" s="6"/>
      <c r="V778" s="6"/>
      <c r="W778" s="6"/>
      <c r="X778" s="6"/>
      <c r="Y778" s="6"/>
      <c r="Z778" s="7">
        <f t="shared" si="499"/>
        <v>0</v>
      </c>
      <c r="AA778" s="11">
        <f t="shared" si="437"/>
        <v>1</v>
      </c>
      <c r="AB778" s="25"/>
      <c r="AC778" s="10" t="str">
        <f t="shared" si="505"/>
        <v>MarçoSEMANA 3Macarrão Espaghetti</v>
      </c>
      <c r="AD778" s="7">
        <f>SUMIF(NF!$A:$A,$AC778,NF!$I:$I)</f>
        <v>12</v>
      </c>
      <c r="AE778" s="6"/>
      <c r="AF778" s="6"/>
      <c r="AG778" s="6"/>
      <c r="AH778" s="6"/>
      <c r="AI778" s="6"/>
      <c r="AJ778" s="6"/>
      <c r="AK778" s="6"/>
      <c r="AL778" s="7">
        <f t="shared" si="500"/>
        <v>0</v>
      </c>
      <c r="AM778" s="11">
        <f t="shared" si="440"/>
        <v>13</v>
      </c>
      <c r="AN778" s="25"/>
      <c r="AO778" s="10" t="str">
        <f t="shared" si="506"/>
        <v>MarçoSEMANA 4Macarrão Espaghetti</v>
      </c>
      <c r="AP778" s="7">
        <f>SUMIF(NF!$A:$A,$AO778,NF!$I:$I)</f>
        <v>0</v>
      </c>
      <c r="AQ778" s="6"/>
      <c r="AR778" s="6"/>
      <c r="AS778" s="6"/>
      <c r="AT778" s="6"/>
      <c r="AU778" s="6">
        <v>2</v>
      </c>
      <c r="AV778" s="6"/>
      <c r="AW778" s="6"/>
      <c r="AX778" s="7">
        <f t="shared" si="501"/>
        <v>2</v>
      </c>
      <c r="AY778" s="11">
        <f t="shared" si="443"/>
        <v>11</v>
      </c>
      <c r="AZ778" s="25"/>
      <c r="BA778" s="10" t="str">
        <f t="shared" si="507"/>
        <v>MarçoSEMANA 5Macarrão Espaghetti</v>
      </c>
      <c r="BB778" s="7">
        <f>SUMIF(NF!$A:$A,$BA778,NF!$I:$I)</f>
        <v>0</v>
      </c>
      <c r="BC778" s="6">
        <v>2</v>
      </c>
      <c r="BD778" s="6"/>
      <c r="BE778" s="6"/>
      <c r="BF778" s="6"/>
      <c r="BG778" s="6"/>
      <c r="BH778" s="6"/>
      <c r="BI778" s="74"/>
      <c r="BJ778" s="74"/>
      <c r="BK778" s="7">
        <f t="shared" si="502"/>
        <v>2</v>
      </c>
      <c r="BL778" s="8">
        <f t="shared" si="446"/>
        <v>9</v>
      </c>
      <c r="BM778" s="51" t="str">
        <f>IFERROR(VLOOKUP(A778,NF!$M:$O,3,0),"")</f>
        <v>Mercado</v>
      </c>
      <c r="BN778" s="7">
        <f t="shared" si="447"/>
        <v>5</v>
      </c>
      <c r="BO778" s="8">
        <f t="array" ref="BO778">IFERROR(LARGE(IF(NF!$G$2:$G$3137='Mês atual'!A778,NF!$J$2:$J$3137),1),0)*BN778</f>
        <v>37.1</v>
      </c>
      <c r="BP778" s="50"/>
      <c r="BR778" s="146">
        <f t="array" ref="BR778">IFERROR(LARGE(IF(NF!$G$2:$G$3137='Mês atual'!A778,NF!$J$2:$J$3137),1),0)</f>
        <v>7.4200000000000008</v>
      </c>
      <c r="BS778" s="142" t="str">
        <f>VLOOKUP(A778,NF!M:O,3,0)</f>
        <v>Mercado</v>
      </c>
      <c r="BV778" s="74">
        <f t="shared" si="488"/>
        <v>1</v>
      </c>
      <c r="BW778" s="74">
        <f t="shared" si="489"/>
        <v>0</v>
      </c>
      <c r="BX778" s="74">
        <f t="shared" si="490"/>
        <v>0</v>
      </c>
      <c r="BY778" s="74">
        <f t="shared" si="491"/>
        <v>2</v>
      </c>
      <c r="BZ778" s="74">
        <f t="shared" si="492"/>
        <v>2</v>
      </c>
    </row>
    <row r="779" spans="1:78" x14ac:dyDescent="0.25">
      <c r="A779" s="108" t="s">
        <v>482</v>
      </c>
      <c r="B779" s="12"/>
      <c r="C779" s="9">
        <v>0</v>
      </c>
      <c r="D779" s="25"/>
      <c r="E779" s="10" t="str">
        <f t="shared" si="503"/>
        <v>MarçoSEMANA 1Macarrão Espaghetti Nissim</v>
      </c>
      <c r="F779" s="7">
        <f>SUMIF(NF!$A:$A,$E779,NF!$I:$I)</f>
        <v>5</v>
      </c>
      <c r="G779" s="74"/>
      <c r="H779" s="74"/>
      <c r="I779" s="74"/>
      <c r="J779" s="6"/>
      <c r="K779" s="6"/>
      <c r="L779" s="6"/>
      <c r="M779" s="6"/>
      <c r="N779" s="7">
        <f t="shared" si="498"/>
        <v>0</v>
      </c>
      <c r="O779" s="11">
        <f t="shared" si="434"/>
        <v>5</v>
      </c>
      <c r="P779" s="25"/>
      <c r="Q779" s="10" t="str">
        <f t="shared" si="504"/>
        <v>MarçoSEMANA 2Macarrão Espaghetti Nissim</v>
      </c>
      <c r="R779" s="7">
        <f>SUMIF(NF!$A:$A,$Q779,NF!$I:$I)</f>
        <v>0</v>
      </c>
      <c r="S779" s="6"/>
      <c r="T779" s="6"/>
      <c r="U779" s="6">
        <v>2</v>
      </c>
      <c r="V779" s="6"/>
      <c r="W779" s="6"/>
      <c r="X779" s="6"/>
      <c r="Y779" s="6"/>
      <c r="Z779" s="7">
        <f t="shared" si="499"/>
        <v>2</v>
      </c>
      <c r="AA779" s="11">
        <f t="shared" si="437"/>
        <v>3</v>
      </c>
      <c r="AB779" s="25"/>
      <c r="AC779" s="10" t="str">
        <f t="shared" si="505"/>
        <v>MarçoSEMANA 3Macarrão Espaghetti Nissim</v>
      </c>
      <c r="AD779" s="7">
        <f>SUMIF(NF!$A:$A,$AC779,NF!$I:$I)</f>
        <v>3</v>
      </c>
      <c r="AE779" s="6"/>
      <c r="AF779" s="6"/>
      <c r="AG779" s="6">
        <v>1.5</v>
      </c>
      <c r="AH779" s="6"/>
      <c r="AI779" s="6"/>
      <c r="AJ779" s="6"/>
      <c r="AK779" s="6">
        <v>1.5</v>
      </c>
      <c r="AL779" s="7">
        <f t="shared" si="500"/>
        <v>3</v>
      </c>
      <c r="AM779" s="11">
        <f t="shared" si="440"/>
        <v>3</v>
      </c>
      <c r="AN779" s="25"/>
      <c r="AO779" s="10" t="str">
        <f t="shared" si="506"/>
        <v>MarçoSEMANA 4Macarrão Espaghetti Nissim</v>
      </c>
      <c r="AP779" s="7">
        <f>SUMIF(NF!$A:$A,$AO779,NF!$I:$I)</f>
        <v>2</v>
      </c>
      <c r="AQ779" s="6"/>
      <c r="AR779" s="6"/>
      <c r="AS779" s="6">
        <v>1.5</v>
      </c>
      <c r="AT779" s="6"/>
      <c r="AU779" s="6"/>
      <c r="AV779" s="6">
        <v>1</v>
      </c>
      <c r="AW779" s="6"/>
      <c r="AX779" s="7">
        <f t="shared" si="501"/>
        <v>2.5</v>
      </c>
      <c r="AY779" s="11">
        <f t="shared" si="443"/>
        <v>2.5</v>
      </c>
      <c r="AZ779" s="25"/>
      <c r="BA779" s="10" t="str">
        <f t="shared" si="507"/>
        <v>MarçoSEMANA 5Macarrão Espaghetti Nissim</v>
      </c>
      <c r="BB779" s="7">
        <f>SUMIF(NF!$A:$A,$BA779,NF!$I:$I)</f>
        <v>1</v>
      </c>
      <c r="BC779" s="6"/>
      <c r="BD779" s="6"/>
      <c r="BE779" s="6">
        <v>1.5</v>
      </c>
      <c r="BF779" s="6"/>
      <c r="BG779" s="6"/>
      <c r="BH779" s="6"/>
      <c r="BI779" s="74"/>
      <c r="BJ779" s="74"/>
      <c r="BK779" s="7">
        <f t="shared" si="502"/>
        <v>1.5</v>
      </c>
      <c r="BL779" s="8">
        <f t="shared" si="446"/>
        <v>2</v>
      </c>
      <c r="BM779" s="51" t="str">
        <f>IFERROR(VLOOKUP(A779,NF!$M:$O,3,0),"")</f>
        <v>Mercado</v>
      </c>
      <c r="BN779" s="7">
        <f t="shared" si="447"/>
        <v>9</v>
      </c>
      <c r="BO779" s="8">
        <f t="array" ref="BO779">IFERROR(LARGE(IF(NF!$G$2:$G$3137='Mês atual'!A779,NF!$J$2:$J$3137),1),0)*BN779</f>
        <v>92.16</v>
      </c>
      <c r="BP779" s="50"/>
      <c r="BR779" s="146">
        <f t="array" ref="BR779">IFERROR(LARGE(IF(NF!$G$2:$G$3137='Mês atual'!A779,NF!$J$2:$J$3137),1),0)</f>
        <v>10.24</v>
      </c>
      <c r="BS779" s="142" t="str">
        <f>VLOOKUP(A779,NF!M:O,3,0)</f>
        <v>Mercado</v>
      </c>
      <c r="BV779" s="74">
        <f t="shared" si="488"/>
        <v>0</v>
      </c>
      <c r="BW779" s="74">
        <f t="shared" si="489"/>
        <v>2</v>
      </c>
      <c r="BX779" s="74">
        <f t="shared" si="490"/>
        <v>3</v>
      </c>
      <c r="BY779" s="74">
        <f t="shared" si="491"/>
        <v>2.5</v>
      </c>
      <c r="BZ779" s="74">
        <f t="shared" si="492"/>
        <v>1.5</v>
      </c>
    </row>
    <row r="780" spans="1:78" x14ac:dyDescent="0.25">
      <c r="A780" s="108" t="s">
        <v>483</v>
      </c>
      <c r="B780" s="12"/>
      <c r="C780" s="9">
        <f>22*0.5</f>
        <v>11</v>
      </c>
      <c r="D780" s="25"/>
      <c r="E780" s="10" t="str">
        <f t="shared" si="503"/>
        <v>MarçoSEMANA 1Macarrão Farfalle</v>
      </c>
      <c r="F780" s="7">
        <f>SUMIF(NF!$A:$A,$E780,NF!$I:$I)</f>
        <v>0</v>
      </c>
      <c r="G780" s="74"/>
      <c r="H780" s="74"/>
      <c r="I780" s="74"/>
      <c r="J780" s="6"/>
      <c r="K780" s="6"/>
      <c r="L780" s="6"/>
      <c r="M780" s="6"/>
      <c r="N780" s="7">
        <f t="shared" si="498"/>
        <v>0</v>
      </c>
      <c r="O780" s="11">
        <f t="shared" si="434"/>
        <v>11</v>
      </c>
      <c r="P780" s="25"/>
      <c r="Q780" s="10" t="str">
        <f t="shared" si="504"/>
        <v>MarçoSEMANA 2Macarrão Farfalle</v>
      </c>
      <c r="R780" s="7">
        <f>SUMIF(NF!$A:$A,$Q780,NF!$I:$I)</f>
        <v>0</v>
      </c>
      <c r="S780" s="6">
        <v>1</v>
      </c>
      <c r="T780" s="6"/>
      <c r="U780" s="6"/>
      <c r="V780" s="6"/>
      <c r="W780" s="6">
        <v>1.5</v>
      </c>
      <c r="X780" s="6"/>
      <c r="Y780" s="6"/>
      <c r="Z780" s="7">
        <f t="shared" si="499"/>
        <v>2.5</v>
      </c>
      <c r="AA780" s="11">
        <f t="shared" si="437"/>
        <v>8.5</v>
      </c>
      <c r="AB780" s="25"/>
      <c r="AC780" s="10" t="str">
        <f t="shared" si="505"/>
        <v>MarçoSEMANA 3Macarrão Farfalle</v>
      </c>
      <c r="AD780" s="7">
        <f>SUMIF(NF!$A:$A,$AC780,NF!$I:$I)</f>
        <v>0</v>
      </c>
      <c r="AE780" s="6">
        <v>1.5</v>
      </c>
      <c r="AF780" s="6"/>
      <c r="AG780" s="6"/>
      <c r="AH780" s="6"/>
      <c r="AI780" s="6"/>
      <c r="AJ780" s="6"/>
      <c r="AK780" s="6"/>
      <c r="AL780" s="7">
        <f t="shared" si="500"/>
        <v>1.5</v>
      </c>
      <c r="AM780" s="11">
        <f t="shared" si="440"/>
        <v>7</v>
      </c>
      <c r="AN780" s="25"/>
      <c r="AO780" s="10" t="str">
        <f t="shared" si="506"/>
        <v>MarçoSEMANA 4Macarrão Farfalle</v>
      </c>
      <c r="AP780" s="7">
        <f>SUMIF(NF!$A:$A,$AO780,NF!$I:$I)</f>
        <v>0</v>
      </c>
      <c r="AQ780" s="6"/>
      <c r="AR780" s="6">
        <v>1</v>
      </c>
      <c r="AS780" s="6"/>
      <c r="AT780" s="6"/>
      <c r="AU780" s="6"/>
      <c r="AV780" s="6"/>
      <c r="AW780" s="6">
        <v>0.5</v>
      </c>
      <c r="AX780" s="7">
        <f t="shared" si="501"/>
        <v>1.5</v>
      </c>
      <c r="AY780" s="11">
        <f t="shared" si="443"/>
        <v>5.5</v>
      </c>
      <c r="AZ780" s="25"/>
      <c r="BA780" s="10" t="str">
        <f t="shared" si="507"/>
        <v>MarçoSEMANA 5Macarrão Farfalle</v>
      </c>
      <c r="BB780" s="7">
        <f>SUMIF(NF!$A:$A,$BA780,NF!$I:$I)</f>
        <v>0</v>
      </c>
      <c r="BC780" s="6"/>
      <c r="BD780" s="6"/>
      <c r="BE780" s="6"/>
      <c r="BF780" s="6">
        <v>1</v>
      </c>
      <c r="BG780" s="6"/>
      <c r="BH780" s="6"/>
      <c r="BI780" s="74"/>
      <c r="BJ780" s="74"/>
      <c r="BK780" s="7">
        <f t="shared" si="502"/>
        <v>1</v>
      </c>
      <c r="BL780" s="8">
        <f t="shared" si="446"/>
        <v>4.5</v>
      </c>
      <c r="BM780" s="51" t="str">
        <f>IFERROR(VLOOKUP(A780,NF!$M:$O,3,0),"")</f>
        <v>Mercado</v>
      </c>
      <c r="BN780" s="7">
        <f t="shared" si="447"/>
        <v>6.5</v>
      </c>
      <c r="BO780" s="8">
        <f t="array" ref="BO780">IFERROR(LARGE(IF(NF!$G$2:$G$3137='Mês atual'!A780,NF!$J$2:$J$3137),1),0)*BN780</f>
        <v>0</v>
      </c>
      <c r="BP780" s="50"/>
      <c r="BR780" s="146">
        <f t="array" ref="BR780">IFERROR(LARGE(IF(NF!$G$2:$G$3137='Mês atual'!A780,NF!$J$2:$J$3137),1),0)</f>
        <v>0</v>
      </c>
      <c r="BS780" s="142" t="str">
        <f>VLOOKUP(A780,NF!M:O,3,0)</f>
        <v>Mercado</v>
      </c>
      <c r="BV780" s="74">
        <f t="shared" si="488"/>
        <v>0</v>
      </c>
      <c r="BW780" s="74">
        <f t="shared" si="489"/>
        <v>2.5</v>
      </c>
      <c r="BX780" s="74">
        <f t="shared" si="490"/>
        <v>1.5</v>
      </c>
      <c r="BY780" s="74">
        <f t="shared" si="491"/>
        <v>1.5</v>
      </c>
      <c r="BZ780" s="74">
        <f t="shared" si="492"/>
        <v>1</v>
      </c>
    </row>
    <row r="781" spans="1:78" x14ac:dyDescent="0.25">
      <c r="A781" s="108" t="s">
        <v>1066</v>
      </c>
      <c r="B781" s="12"/>
      <c r="C781" s="9">
        <v>0</v>
      </c>
      <c r="D781" s="25"/>
      <c r="E781" s="10" t="str">
        <f t="shared" si="503"/>
        <v>MarçoSEMANA 1Macarrão Fettuccine</v>
      </c>
      <c r="F781" s="7">
        <f>SUMIF(NF!$A:$A,$E781,NF!$I:$I)</f>
        <v>0</v>
      </c>
      <c r="G781" s="74"/>
      <c r="H781" s="74"/>
      <c r="I781" s="74"/>
      <c r="J781" s="6"/>
      <c r="K781" s="6"/>
      <c r="L781" s="6"/>
      <c r="M781" s="6"/>
      <c r="N781" s="7">
        <f>SUM(G781:M781)</f>
        <v>0</v>
      </c>
      <c r="O781" s="11">
        <f>F781+C781-N781</f>
        <v>0</v>
      </c>
      <c r="P781" s="25"/>
      <c r="Q781" s="10" t="str">
        <f t="shared" si="504"/>
        <v>MarçoSEMANA 2Macarrão Fettuccine</v>
      </c>
      <c r="R781" s="7">
        <f>SUMIF(NF!$A:$A,$Q781,NF!$I:$I)</f>
        <v>0</v>
      </c>
      <c r="S781" s="6"/>
      <c r="T781" s="6"/>
      <c r="U781" s="6"/>
      <c r="V781" s="6"/>
      <c r="W781" s="6"/>
      <c r="X781" s="6"/>
      <c r="Y781" s="6"/>
      <c r="Z781" s="7">
        <f>SUM(S781:Y781)</f>
        <v>0</v>
      </c>
      <c r="AA781" s="11">
        <f>R781+O781-Z781</f>
        <v>0</v>
      </c>
      <c r="AB781" s="25"/>
      <c r="AC781" s="10" t="str">
        <f t="shared" si="505"/>
        <v>MarçoSEMANA 3Macarrão Fettuccine</v>
      </c>
      <c r="AD781" s="7">
        <f>SUMIF(NF!$A:$A,$AC781,NF!$I:$I)</f>
        <v>0</v>
      </c>
      <c r="AE781" s="6"/>
      <c r="AF781" s="6"/>
      <c r="AG781" s="6"/>
      <c r="AH781" s="6"/>
      <c r="AI781" s="6"/>
      <c r="AJ781" s="6"/>
      <c r="AK781" s="6"/>
      <c r="AL781" s="7">
        <f>SUM(AE781:AK781)</f>
        <v>0</v>
      </c>
      <c r="AM781" s="11">
        <f>AD781+AA781-AL781</f>
        <v>0</v>
      </c>
      <c r="AN781" s="25"/>
      <c r="AO781" s="10" t="str">
        <f t="shared" si="506"/>
        <v>MarçoSEMANA 4Macarrão Fettuccine</v>
      </c>
      <c r="AP781" s="7">
        <f>SUMIF(NF!$A:$A,$AO781,NF!$I:$I)</f>
        <v>0</v>
      </c>
      <c r="AQ781" s="6"/>
      <c r="AR781" s="6"/>
      <c r="AS781" s="6"/>
      <c r="AT781" s="6"/>
      <c r="AU781" s="6"/>
      <c r="AV781" s="6"/>
      <c r="AW781" s="6"/>
      <c r="AX781" s="7">
        <f>SUM(AQ781:AW781)</f>
        <v>0</v>
      </c>
      <c r="AY781" s="11">
        <f>AP781+AM781-AX781</f>
        <v>0</v>
      </c>
      <c r="AZ781" s="25"/>
      <c r="BA781" s="10" t="str">
        <f t="shared" si="507"/>
        <v>MarçoSEMANA 5Macarrão Fettuccine</v>
      </c>
      <c r="BB781" s="7">
        <f>SUMIF(NF!$A:$A,$BA781,NF!$I:$I)</f>
        <v>0</v>
      </c>
      <c r="BC781" s="6"/>
      <c r="BD781" s="6"/>
      <c r="BE781" s="6"/>
      <c r="BF781" s="6"/>
      <c r="BG781" s="6"/>
      <c r="BH781" s="6"/>
      <c r="BI781" s="74"/>
      <c r="BJ781" s="74"/>
      <c r="BK781" s="7">
        <f>SUM(BC781:BJ781)</f>
        <v>0</v>
      </c>
      <c r="BL781" s="8">
        <f>BB781+AY781-BK781</f>
        <v>0</v>
      </c>
      <c r="BM781" s="51" t="str">
        <f>IFERROR(VLOOKUP(A781,NF!$M:$O,3,0),"")</f>
        <v>Mercado</v>
      </c>
      <c r="BN781" s="7">
        <f>SUM(N781,Z781,AL781,AX781,BK781)</f>
        <v>0</v>
      </c>
      <c r="BO781" s="8">
        <f t="array" ref="BO781">IFERROR(LARGE(IF(NF!$G$2:$G$3137='Mês atual'!A781,NF!$J$2:$J$3137),1),0)*BN781</f>
        <v>0</v>
      </c>
      <c r="BP781" s="50"/>
      <c r="BR781" s="146">
        <f t="array" ref="BR781">IFERROR(LARGE(IF(NF!$G$2:$G$3137='Mês atual'!A781,NF!$J$2:$J$3137),1),0)</f>
        <v>0</v>
      </c>
      <c r="BS781" s="142" t="str">
        <f>VLOOKUP(A781,NF!M:O,3,0)</f>
        <v>Mercado</v>
      </c>
      <c r="BV781" s="74">
        <f>N781</f>
        <v>0</v>
      </c>
      <c r="BW781" s="74">
        <f>Z781</f>
        <v>0</v>
      </c>
      <c r="BX781" s="74">
        <f>AL781</f>
        <v>0</v>
      </c>
      <c r="BY781" s="74">
        <f>AX781</f>
        <v>0</v>
      </c>
      <c r="BZ781" s="74">
        <f>BK781</f>
        <v>0</v>
      </c>
    </row>
    <row r="782" spans="1:78" x14ac:dyDescent="0.25">
      <c r="A782" s="108" t="s">
        <v>484</v>
      </c>
      <c r="B782" s="12"/>
      <c r="C782" s="9">
        <f>18*0.5</f>
        <v>9</v>
      </c>
      <c r="D782" s="25"/>
      <c r="E782" s="10" t="str">
        <f t="shared" si="503"/>
        <v>MarçoSEMANA 1Macarrão Fusili</v>
      </c>
      <c r="F782" s="7">
        <f>SUMIF(NF!$A:$A,$E782,NF!$I:$I)</f>
        <v>0</v>
      </c>
      <c r="G782" s="74"/>
      <c r="H782" s="74"/>
      <c r="I782" s="74"/>
      <c r="J782" s="6"/>
      <c r="K782" s="6"/>
      <c r="L782" s="6"/>
      <c r="M782" s="6">
        <v>1.5</v>
      </c>
      <c r="N782" s="7">
        <f t="shared" si="498"/>
        <v>1.5</v>
      </c>
      <c r="O782" s="11">
        <f t="shared" si="434"/>
        <v>7.5</v>
      </c>
      <c r="P782" s="25"/>
      <c r="Q782" s="10" t="str">
        <f t="shared" si="504"/>
        <v>MarçoSEMANA 2Macarrão Fusili</v>
      </c>
      <c r="R782" s="7">
        <f>SUMIF(NF!$A:$A,$Q782,NF!$I:$I)</f>
        <v>0</v>
      </c>
      <c r="S782" s="6"/>
      <c r="T782" s="6">
        <v>1.5</v>
      </c>
      <c r="U782" s="6"/>
      <c r="V782" s="6"/>
      <c r="W782" s="6"/>
      <c r="X782" s="6">
        <v>1.5</v>
      </c>
      <c r="Y782" s="6"/>
      <c r="Z782" s="7">
        <f t="shared" si="499"/>
        <v>3</v>
      </c>
      <c r="AA782" s="11">
        <f t="shared" si="437"/>
        <v>4.5</v>
      </c>
      <c r="AB782" s="25"/>
      <c r="AC782" s="10" t="str">
        <f t="shared" si="505"/>
        <v>MarçoSEMANA 3Macarrão Fusili</v>
      </c>
      <c r="AD782" s="7">
        <f>SUMIF(NF!$A:$A,$AC782,NF!$I:$I)</f>
        <v>12</v>
      </c>
      <c r="AE782" s="6"/>
      <c r="AF782" s="6"/>
      <c r="AG782" s="6"/>
      <c r="AH782" s="6">
        <v>2</v>
      </c>
      <c r="AI782" s="6"/>
      <c r="AJ782" s="6"/>
      <c r="AK782" s="6"/>
      <c r="AL782" s="7">
        <f t="shared" si="500"/>
        <v>2</v>
      </c>
      <c r="AM782" s="11">
        <f t="shared" si="440"/>
        <v>14.5</v>
      </c>
      <c r="AN782" s="25"/>
      <c r="AO782" s="10" t="str">
        <f t="shared" si="506"/>
        <v>MarçoSEMANA 4Macarrão Fusili</v>
      </c>
      <c r="AP782" s="7">
        <f>SUMIF(NF!$A:$A,$AO782,NF!$I:$I)</f>
        <v>0</v>
      </c>
      <c r="AQ782" s="6"/>
      <c r="AR782" s="6"/>
      <c r="AS782" s="6"/>
      <c r="AT782" s="6">
        <f>1.5+0.5</f>
        <v>2</v>
      </c>
      <c r="AU782" s="6"/>
      <c r="AV782" s="6"/>
      <c r="AW782" s="6"/>
      <c r="AX782" s="7">
        <f t="shared" si="501"/>
        <v>2</v>
      </c>
      <c r="AY782" s="11">
        <f t="shared" si="443"/>
        <v>12.5</v>
      </c>
      <c r="AZ782" s="25"/>
      <c r="BA782" s="10" t="str">
        <f t="shared" si="507"/>
        <v>MarçoSEMANA 5Macarrão Fusili</v>
      </c>
      <c r="BB782" s="7">
        <f>SUMIF(NF!$A:$A,$BA782,NF!$I:$I)</f>
        <v>0</v>
      </c>
      <c r="BC782" s="6"/>
      <c r="BD782" s="6"/>
      <c r="BE782" s="6"/>
      <c r="BF782" s="6"/>
      <c r="BG782" s="6"/>
      <c r="BH782" s="6">
        <v>0.5</v>
      </c>
      <c r="BI782" s="74"/>
      <c r="BJ782" s="74"/>
      <c r="BK782" s="7">
        <f t="shared" si="502"/>
        <v>0.5</v>
      </c>
      <c r="BL782" s="8">
        <f t="shared" si="446"/>
        <v>12</v>
      </c>
      <c r="BM782" s="51" t="str">
        <f>IFERROR(VLOOKUP(A782,NF!$M:$O,3,0),"")</f>
        <v>Mercado</v>
      </c>
      <c r="BN782" s="7">
        <f t="shared" si="447"/>
        <v>9</v>
      </c>
      <c r="BO782" s="8">
        <f t="array" ref="BO782">IFERROR(LARGE(IF(NF!$G$2:$G$3137='Mês atual'!A782,NF!$J$2:$J$3137),1),0)*BN782</f>
        <v>66.78</v>
      </c>
      <c r="BP782" s="50"/>
      <c r="BR782" s="146">
        <f t="array" ref="BR782">IFERROR(LARGE(IF(NF!$G$2:$G$3137='Mês atual'!A782,NF!$J$2:$J$3137),1),0)</f>
        <v>7.4200000000000008</v>
      </c>
      <c r="BS782" s="142" t="str">
        <f>VLOOKUP(A782,NF!M:O,3,0)</f>
        <v>Mercado</v>
      </c>
      <c r="BV782" s="74">
        <f t="shared" si="488"/>
        <v>1.5</v>
      </c>
      <c r="BW782" s="74">
        <f t="shared" si="489"/>
        <v>3</v>
      </c>
      <c r="BX782" s="74">
        <f t="shared" si="490"/>
        <v>2</v>
      </c>
      <c r="BY782" s="74">
        <f t="shared" si="491"/>
        <v>2</v>
      </c>
      <c r="BZ782" s="74">
        <f t="shared" si="492"/>
        <v>0.5</v>
      </c>
    </row>
    <row r="783" spans="1:78" x14ac:dyDescent="0.25">
      <c r="A783" s="108" t="s">
        <v>984</v>
      </c>
      <c r="B783" s="12"/>
      <c r="C783" s="9">
        <v>0</v>
      </c>
      <c r="D783" s="25"/>
      <c r="E783" s="10" t="str">
        <f t="shared" si="503"/>
        <v>MarçoSEMANA 1Macarrão Integrale Fusilli</v>
      </c>
      <c r="F783" s="7">
        <f>SUMIF(NF!$A:$A,$E783,NF!$I:$I)</f>
        <v>0</v>
      </c>
      <c r="G783" s="74"/>
      <c r="H783" s="74"/>
      <c r="I783" s="74"/>
      <c r="J783" s="6"/>
      <c r="K783" s="6"/>
      <c r="L783" s="6"/>
      <c r="M783" s="6"/>
      <c r="N783" s="7">
        <f t="shared" si="498"/>
        <v>0</v>
      </c>
      <c r="O783" s="11">
        <f t="shared" si="434"/>
        <v>0</v>
      </c>
      <c r="P783" s="25"/>
      <c r="Q783" s="10" t="str">
        <f t="shared" si="504"/>
        <v>MarçoSEMANA 2Macarrão Integrale Fusilli</v>
      </c>
      <c r="R783" s="7">
        <f>SUMIF(NF!$A:$A,$Q783,NF!$I:$I)</f>
        <v>0</v>
      </c>
      <c r="S783" s="6"/>
      <c r="T783" s="6"/>
      <c r="U783" s="6"/>
      <c r="V783" s="6"/>
      <c r="W783" s="6"/>
      <c r="X783" s="6"/>
      <c r="Y783" s="6"/>
      <c r="Z783" s="7">
        <f t="shared" si="499"/>
        <v>0</v>
      </c>
      <c r="AA783" s="11">
        <f t="shared" si="437"/>
        <v>0</v>
      </c>
      <c r="AB783" s="25"/>
      <c r="AC783" s="10" t="str">
        <f t="shared" si="505"/>
        <v>MarçoSEMANA 3Macarrão Integrale Fusilli</v>
      </c>
      <c r="AD783" s="7">
        <f>SUMIF(NF!$A:$A,$AC783,NF!$I:$I)</f>
        <v>0</v>
      </c>
      <c r="AE783" s="6"/>
      <c r="AF783" s="6"/>
      <c r="AG783" s="6"/>
      <c r="AH783" s="6"/>
      <c r="AI783" s="6"/>
      <c r="AJ783" s="6"/>
      <c r="AK783" s="6"/>
      <c r="AL783" s="7">
        <f t="shared" si="500"/>
        <v>0</v>
      </c>
      <c r="AM783" s="11">
        <f t="shared" si="440"/>
        <v>0</v>
      </c>
      <c r="AN783" s="25"/>
      <c r="AO783" s="10" t="str">
        <f t="shared" si="506"/>
        <v>MarçoSEMANA 4Macarrão Integrale Fusilli</v>
      </c>
      <c r="AP783" s="7">
        <f>SUMIF(NF!$A:$A,$AO783,NF!$I:$I)</f>
        <v>0</v>
      </c>
      <c r="AQ783" s="6"/>
      <c r="AR783" s="6"/>
      <c r="AS783" s="6"/>
      <c r="AT783" s="6"/>
      <c r="AU783" s="6"/>
      <c r="AV783" s="6"/>
      <c r="AW783" s="6"/>
      <c r="AX783" s="7">
        <f t="shared" si="501"/>
        <v>0</v>
      </c>
      <c r="AY783" s="11">
        <f t="shared" si="443"/>
        <v>0</v>
      </c>
      <c r="AZ783" s="25"/>
      <c r="BA783" s="10" t="str">
        <f t="shared" si="507"/>
        <v>MarçoSEMANA 5Macarrão Integrale Fusilli</v>
      </c>
      <c r="BB783" s="7">
        <f>SUMIF(NF!$A:$A,$BA783,NF!$I:$I)</f>
        <v>0</v>
      </c>
      <c r="BC783" s="6"/>
      <c r="BD783" s="6"/>
      <c r="BE783" s="6"/>
      <c r="BF783" s="6"/>
      <c r="BG783" s="6"/>
      <c r="BH783" s="6"/>
      <c r="BI783" s="74"/>
      <c r="BJ783" s="74"/>
      <c r="BK783" s="7">
        <f t="shared" si="502"/>
        <v>0</v>
      </c>
      <c r="BL783" s="8">
        <f t="shared" si="446"/>
        <v>0</v>
      </c>
      <c r="BM783" s="51" t="str">
        <f>IFERROR(VLOOKUP(A783,NF!$M:$O,3,0),"")</f>
        <v>Mercado</v>
      </c>
      <c r="BN783" s="7">
        <f t="shared" si="447"/>
        <v>0</v>
      </c>
      <c r="BO783" s="8">
        <f t="array" ref="BO783">IFERROR(LARGE(IF(NF!$G$2:$G$3137='Mês atual'!A783,NF!$J$2:$J$3137),1),0)*BN783</f>
        <v>0</v>
      </c>
      <c r="BP783" s="50"/>
      <c r="BR783" s="146">
        <f t="array" ref="BR783">IFERROR(LARGE(IF(NF!$G$2:$G$3137='Mês atual'!A783,NF!$J$2:$J$3137),1),0)</f>
        <v>0</v>
      </c>
      <c r="BS783" s="142" t="str">
        <f>VLOOKUP(A783,NF!M:O,3,0)</f>
        <v>Mercado</v>
      </c>
      <c r="BV783" s="74">
        <f t="shared" si="488"/>
        <v>0</v>
      </c>
      <c r="BW783" s="74">
        <f t="shared" si="489"/>
        <v>0</v>
      </c>
      <c r="BX783" s="74">
        <f t="shared" si="490"/>
        <v>0</v>
      </c>
      <c r="BY783" s="74">
        <f t="shared" si="491"/>
        <v>0</v>
      </c>
      <c r="BZ783" s="74">
        <f t="shared" si="492"/>
        <v>0</v>
      </c>
    </row>
    <row r="784" spans="1:78" x14ac:dyDescent="0.25">
      <c r="A784" s="108" t="s">
        <v>485</v>
      </c>
      <c r="B784" s="12"/>
      <c r="C784" s="9">
        <v>0</v>
      </c>
      <c r="D784" s="25"/>
      <c r="E784" s="10" t="str">
        <f t="shared" si="503"/>
        <v>MarçoSEMANA 1Macarrão Integrale Farfalle</v>
      </c>
      <c r="F784" s="7">
        <f>SUMIF(NF!$A:$A,$E784,NF!$I:$I)</f>
        <v>0</v>
      </c>
      <c r="G784" s="74"/>
      <c r="H784" s="74"/>
      <c r="I784" s="74"/>
      <c r="J784" s="6"/>
      <c r="K784" s="6"/>
      <c r="L784" s="6"/>
      <c r="M784" s="6"/>
      <c r="N784" s="7">
        <f t="shared" si="498"/>
        <v>0</v>
      </c>
      <c r="O784" s="11">
        <f t="shared" si="434"/>
        <v>0</v>
      </c>
      <c r="P784" s="25"/>
      <c r="Q784" s="10" t="str">
        <f t="shared" si="504"/>
        <v>MarçoSEMANA 2Macarrão Integrale Farfalle</v>
      </c>
      <c r="R784" s="7">
        <f>SUMIF(NF!$A:$A,$Q784,NF!$I:$I)</f>
        <v>0</v>
      </c>
      <c r="S784" s="6"/>
      <c r="T784" s="6"/>
      <c r="U784" s="6"/>
      <c r="V784" s="6"/>
      <c r="W784" s="6"/>
      <c r="X784" s="6"/>
      <c r="Y784" s="6"/>
      <c r="Z784" s="7">
        <f t="shared" si="499"/>
        <v>0</v>
      </c>
      <c r="AA784" s="11">
        <f t="shared" si="437"/>
        <v>0</v>
      </c>
      <c r="AB784" s="25"/>
      <c r="AC784" s="10" t="str">
        <f t="shared" si="505"/>
        <v>MarçoSEMANA 3Macarrão Integrale Farfalle</v>
      </c>
      <c r="AD784" s="7">
        <f>SUMIF(NF!$A:$A,$AC784,NF!$I:$I)</f>
        <v>0</v>
      </c>
      <c r="AE784" s="6"/>
      <c r="AF784" s="6"/>
      <c r="AG784" s="6"/>
      <c r="AH784" s="6"/>
      <c r="AI784" s="6"/>
      <c r="AJ784" s="6"/>
      <c r="AK784" s="6"/>
      <c r="AL784" s="7">
        <f t="shared" si="500"/>
        <v>0</v>
      </c>
      <c r="AM784" s="11">
        <f t="shared" si="440"/>
        <v>0</v>
      </c>
      <c r="AN784" s="25"/>
      <c r="AO784" s="10" t="str">
        <f t="shared" si="506"/>
        <v>MarçoSEMANA 4Macarrão Integrale Farfalle</v>
      </c>
      <c r="AP784" s="7">
        <f>SUMIF(NF!$A:$A,$AO784,NF!$I:$I)</f>
        <v>0</v>
      </c>
      <c r="AQ784" s="6"/>
      <c r="AR784" s="6"/>
      <c r="AS784" s="6"/>
      <c r="AT784" s="6"/>
      <c r="AU784" s="6"/>
      <c r="AV784" s="6"/>
      <c r="AW784" s="6"/>
      <c r="AX784" s="7">
        <f t="shared" si="501"/>
        <v>0</v>
      </c>
      <c r="AY784" s="11">
        <f t="shared" si="443"/>
        <v>0</v>
      </c>
      <c r="AZ784" s="25"/>
      <c r="BA784" s="10" t="str">
        <f t="shared" si="507"/>
        <v>MarçoSEMANA 5Macarrão Integrale Farfalle</v>
      </c>
      <c r="BB784" s="7">
        <f>SUMIF(NF!$A:$A,$BA784,NF!$I:$I)</f>
        <v>0</v>
      </c>
      <c r="BC784" s="6"/>
      <c r="BD784" s="6"/>
      <c r="BE784" s="6"/>
      <c r="BF784" s="6"/>
      <c r="BG784" s="6"/>
      <c r="BH784" s="6"/>
      <c r="BI784" s="74"/>
      <c r="BJ784" s="74"/>
      <c r="BK784" s="7">
        <f t="shared" si="502"/>
        <v>0</v>
      </c>
      <c r="BL784" s="8">
        <f t="shared" si="446"/>
        <v>0</v>
      </c>
      <c r="BM784" s="51" t="str">
        <f>IFERROR(VLOOKUP(A784,NF!$M:$O,3,0),"")</f>
        <v>Mercado</v>
      </c>
      <c r="BN784" s="7">
        <f t="shared" si="447"/>
        <v>0</v>
      </c>
      <c r="BO784" s="8">
        <f t="array" ref="BO784">IFERROR(LARGE(IF(NF!$G$2:$G$3137='Mês atual'!A784,NF!$J$2:$J$3137),1),0)*BN784</f>
        <v>0</v>
      </c>
      <c r="BP784" s="50"/>
      <c r="BR784" s="146">
        <f t="array" ref="BR784">IFERROR(LARGE(IF(NF!$G$2:$G$3137='Mês atual'!A784,NF!$J$2:$J$3137),1),0)</f>
        <v>0</v>
      </c>
      <c r="BS784" s="142" t="str">
        <f>VLOOKUP(A784,NF!M:O,3,0)</f>
        <v>Mercado</v>
      </c>
      <c r="BV784" s="74">
        <f t="shared" si="488"/>
        <v>0</v>
      </c>
      <c r="BW784" s="74">
        <f t="shared" si="489"/>
        <v>0</v>
      </c>
      <c r="BX784" s="74">
        <f t="shared" si="490"/>
        <v>0</v>
      </c>
      <c r="BY784" s="74">
        <f t="shared" si="491"/>
        <v>0</v>
      </c>
      <c r="BZ784" s="74">
        <f t="shared" si="492"/>
        <v>0</v>
      </c>
    </row>
    <row r="785" spans="1:78" x14ac:dyDescent="0.25">
      <c r="A785" s="108" t="s">
        <v>486</v>
      </c>
      <c r="B785" s="12"/>
      <c r="C785" s="9">
        <v>0</v>
      </c>
      <c r="D785" s="25"/>
      <c r="E785" s="10" t="str">
        <f t="shared" si="503"/>
        <v>MarçoSEMANA 1Macarrão Integrale Penne</v>
      </c>
      <c r="F785" s="7">
        <f>SUMIF(NF!$A:$A,$E785,NF!$I:$I)</f>
        <v>0</v>
      </c>
      <c r="G785" s="74"/>
      <c r="H785" s="74"/>
      <c r="I785" s="74"/>
      <c r="J785" s="6"/>
      <c r="K785" s="6"/>
      <c r="L785" s="6"/>
      <c r="M785" s="6"/>
      <c r="N785" s="7">
        <f t="shared" si="498"/>
        <v>0</v>
      </c>
      <c r="O785" s="11">
        <f t="shared" si="434"/>
        <v>0</v>
      </c>
      <c r="P785" s="25"/>
      <c r="Q785" s="10" t="str">
        <f t="shared" si="504"/>
        <v>MarçoSEMANA 2Macarrão Integrale Penne</v>
      </c>
      <c r="R785" s="7">
        <f>SUMIF(NF!$A:$A,$Q785,NF!$I:$I)</f>
        <v>0</v>
      </c>
      <c r="S785" s="6"/>
      <c r="T785" s="6"/>
      <c r="U785" s="6"/>
      <c r="V785" s="6"/>
      <c r="W785" s="6"/>
      <c r="X785" s="6"/>
      <c r="Y785" s="6"/>
      <c r="Z785" s="7">
        <f t="shared" si="499"/>
        <v>0</v>
      </c>
      <c r="AA785" s="11">
        <f t="shared" si="437"/>
        <v>0</v>
      </c>
      <c r="AB785" s="25"/>
      <c r="AC785" s="10" t="str">
        <f t="shared" si="505"/>
        <v>MarçoSEMANA 3Macarrão Integrale Penne</v>
      </c>
      <c r="AD785" s="7">
        <f>SUMIF(NF!$A:$A,$AC785,NF!$I:$I)</f>
        <v>0</v>
      </c>
      <c r="AE785" s="6"/>
      <c r="AF785" s="6"/>
      <c r="AG785" s="6"/>
      <c r="AH785" s="6"/>
      <c r="AI785" s="6"/>
      <c r="AJ785" s="6"/>
      <c r="AK785" s="6"/>
      <c r="AL785" s="7">
        <f t="shared" si="500"/>
        <v>0</v>
      </c>
      <c r="AM785" s="11">
        <f t="shared" si="440"/>
        <v>0</v>
      </c>
      <c r="AN785" s="25"/>
      <c r="AO785" s="10" t="str">
        <f t="shared" si="506"/>
        <v>MarçoSEMANA 4Macarrão Integrale Penne</v>
      </c>
      <c r="AP785" s="7">
        <f>SUMIF(NF!$A:$A,$AO785,NF!$I:$I)</f>
        <v>0</v>
      </c>
      <c r="AQ785" s="6"/>
      <c r="AR785" s="6"/>
      <c r="AS785" s="6"/>
      <c r="AT785" s="6"/>
      <c r="AU785" s="6"/>
      <c r="AV785" s="6"/>
      <c r="AW785" s="6"/>
      <c r="AX785" s="7">
        <f t="shared" si="501"/>
        <v>0</v>
      </c>
      <c r="AY785" s="11">
        <f t="shared" si="443"/>
        <v>0</v>
      </c>
      <c r="AZ785" s="25"/>
      <c r="BA785" s="10" t="str">
        <f t="shared" si="507"/>
        <v>MarçoSEMANA 5Macarrão Integrale Penne</v>
      </c>
      <c r="BB785" s="7">
        <f>SUMIF(NF!$A:$A,$BA785,NF!$I:$I)</f>
        <v>0</v>
      </c>
      <c r="BC785" s="6"/>
      <c r="BD785" s="6"/>
      <c r="BE785" s="6"/>
      <c r="BF785" s="6"/>
      <c r="BG785" s="6"/>
      <c r="BH785" s="6"/>
      <c r="BI785" s="74"/>
      <c r="BJ785" s="74"/>
      <c r="BK785" s="7">
        <f t="shared" si="502"/>
        <v>0</v>
      </c>
      <c r="BL785" s="8">
        <f t="shared" si="446"/>
        <v>0</v>
      </c>
      <c r="BM785" s="51" t="str">
        <f>IFERROR(VLOOKUP(A785,NF!$M:$O,3,0),"")</f>
        <v>Mercado</v>
      </c>
      <c r="BN785" s="7">
        <f t="shared" si="447"/>
        <v>0</v>
      </c>
      <c r="BO785" s="8">
        <f t="array" ref="BO785">IFERROR(LARGE(IF(NF!$G$2:$G$3137='Mês atual'!A785,NF!$J$2:$J$3137),1),0)*BN785</f>
        <v>0</v>
      </c>
      <c r="BP785" s="50"/>
      <c r="BR785" s="146">
        <f t="array" ref="BR785">IFERROR(LARGE(IF(NF!$G$2:$G$3137='Mês atual'!A785,NF!$J$2:$J$3137),1),0)</f>
        <v>0</v>
      </c>
      <c r="BS785" s="142" t="str">
        <f>VLOOKUP(A785,NF!M:O,3,0)</f>
        <v>Mercado</v>
      </c>
      <c r="BV785" s="74">
        <f t="shared" si="488"/>
        <v>0</v>
      </c>
      <c r="BW785" s="74">
        <f t="shared" si="489"/>
        <v>0</v>
      </c>
      <c r="BX785" s="74">
        <f t="shared" si="490"/>
        <v>0</v>
      </c>
      <c r="BY785" s="74">
        <f t="shared" si="491"/>
        <v>0</v>
      </c>
      <c r="BZ785" s="74">
        <f t="shared" si="492"/>
        <v>0</v>
      </c>
    </row>
    <row r="786" spans="1:78" x14ac:dyDescent="0.25">
      <c r="A786" s="108" t="s">
        <v>487</v>
      </c>
      <c r="B786" s="12"/>
      <c r="C786" s="9">
        <v>0</v>
      </c>
      <c r="D786" s="25"/>
      <c r="E786" s="10" t="str">
        <f t="shared" si="503"/>
        <v>MarçoSEMANA 1Macarrão Linguine</v>
      </c>
      <c r="F786" s="7">
        <f>SUMIF(NF!$A:$A,$E786,NF!$I:$I)</f>
        <v>0</v>
      </c>
      <c r="G786" s="74"/>
      <c r="H786" s="74"/>
      <c r="I786" s="74"/>
      <c r="J786" s="6"/>
      <c r="K786" s="6"/>
      <c r="L786" s="6"/>
      <c r="M786" s="6"/>
      <c r="N786" s="7">
        <f t="shared" si="498"/>
        <v>0</v>
      </c>
      <c r="O786" s="11">
        <f t="shared" si="434"/>
        <v>0</v>
      </c>
      <c r="P786" s="25"/>
      <c r="Q786" s="10" t="str">
        <f t="shared" si="504"/>
        <v>MarçoSEMANA 2Macarrão Linguine</v>
      </c>
      <c r="R786" s="7">
        <f>SUMIF(NF!$A:$A,$Q786,NF!$I:$I)</f>
        <v>0</v>
      </c>
      <c r="S786" s="6"/>
      <c r="T786" s="6"/>
      <c r="U786" s="6"/>
      <c r="V786" s="6"/>
      <c r="W786" s="6"/>
      <c r="X786" s="6"/>
      <c r="Y786" s="6"/>
      <c r="Z786" s="7">
        <f t="shared" si="499"/>
        <v>0</v>
      </c>
      <c r="AA786" s="11">
        <f t="shared" si="437"/>
        <v>0</v>
      </c>
      <c r="AB786" s="25"/>
      <c r="AC786" s="10" t="str">
        <f t="shared" si="505"/>
        <v>MarçoSEMANA 3Macarrão Linguine</v>
      </c>
      <c r="AD786" s="7">
        <f>SUMIF(NF!$A:$A,$AC786,NF!$I:$I)</f>
        <v>12</v>
      </c>
      <c r="AE786" s="6"/>
      <c r="AF786" s="6"/>
      <c r="AG786" s="6"/>
      <c r="AH786" s="6"/>
      <c r="AI786" s="6"/>
      <c r="AJ786" s="6"/>
      <c r="AK786" s="6"/>
      <c r="AL786" s="7">
        <f t="shared" si="500"/>
        <v>0</v>
      </c>
      <c r="AM786" s="11">
        <f t="shared" si="440"/>
        <v>12</v>
      </c>
      <c r="AN786" s="25"/>
      <c r="AO786" s="10" t="str">
        <f t="shared" si="506"/>
        <v>MarçoSEMANA 4Macarrão Linguine</v>
      </c>
      <c r="AP786" s="7">
        <f>SUMIF(NF!$A:$A,$AO786,NF!$I:$I)</f>
        <v>0</v>
      </c>
      <c r="AQ786" s="6"/>
      <c r="AR786" s="6"/>
      <c r="AS786" s="6"/>
      <c r="AT786" s="6"/>
      <c r="AU786" s="6"/>
      <c r="AV786" s="6"/>
      <c r="AW786" s="6"/>
      <c r="AX786" s="7">
        <f t="shared" si="501"/>
        <v>0</v>
      </c>
      <c r="AY786" s="11">
        <f t="shared" si="443"/>
        <v>12</v>
      </c>
      <c r="AZ786" s="25"/>
      <c r="BA786" s="10" t="str">
        <f t="shared" si="507"/>
        <v>MarçoSEMANA 5Macarrão Linguine</v>
      </c>
      <c r="BB786" s="7">
        <f>SUMIF(NF!$A:$A,$BA786,NF!$I:$I)</f>
        <v>0</v>
      </c>
      <c r="BC786" s="6"/>
      <c r="BD786" s="6"/>
      <c r="BE786" s="6"/>
      <c r="BF786" s="6"/>
      <c r="BG786" s="6"/>
      <c r="BH786" s="6"/>
      <c r="BI786" s="74"/>
      <c r="BJ786" s="74"/>
      <c r="BK786" s="7">
        <f t="shared" si="502"/>
        <v>0</v>
      </c>
      <c r="BL786" s="8">
        <f t="shared" si="446"/>
        <v>12</v>
      </c>
      <c r="BM786" s="51" t="str">
        <f>IFERROR(VLOOKUP(A786,NF!$M:$O,3,0),"")</f>
        <v>Mercado</v>
      </c>
      <c r="BN786" s="7">
        <f t="shared" si="447"/>
        <v>0</v>
      </c>
      <c r="BO786" s="8">
        <f t="array" ref="BO786">IFERROR(LARGE(IF(NF!$G$2:$G$3137='Mês atual'!A786,NF!$J$2:$J$3137),1),0)*BN786</f>
        <v>0</v>
      </c>
      <c r="BP786" s="50"/>
      <c r="BR786" s="146">
        <f t="array" ref="BR786">IFERROR(LARGE(IF(NF!$G$2:$G$3137='Mês atual'!A786,NF!$J$2:$J$3137),1),0)</f>
        <v>7.4200000000000008</v>
      </c>
      <c r="BS786" s="142" t="str">
        <f>VLOOKUP(A786,NF!M:O,3,0)</f>
        <v>Mercado</v>
      </c>
      <c r="BV786" s="74">
        <f t="shared" si="488"/>
        <v>0</v>
      </c>
      <c r="BW786" s="74">
        <f t="shared" si="489"/>
        <v>0</v>
      </c>
      <c r="BX786" s="74">
        <f t="shared" si="490"/>
        <v>0</v>
      </c>
      <c r="BY786" s="74">
        <f t="shared" si="491"/>
        <v>0</v>
      </c>
      <c r="BZ786" s="74">
        <f t="shared" si="492"/>
        <v>0</v>
      </c>
    </row>
    <row r="787" spans="1:78" x14ac:dyDescent="0.25">
      <c r="A787" s="108" t="s">
        <v>488</v>
      </c>
      <c r="B787" s="12"/>
      <c r="C787" s="9">
        <f>3*0.2</f>
        <v>0.60000000000000009</v>
      </c>
      <c r="D787" s="25"/>
      <c r="E787" s="10" t="str">
        <f t="shared" si="503"/>
        <v>MarçoSEMANA 1Macarrão Pappardelle</v>
      </c>
      <c r="F787" s="7">
        <f>SUMIF(NF!$A:$A,$E787,NF!$I:$I)</f>
        <v>0</v>
      </c>
      <c r="G787" s="74"/>
      <c r="H787" s="74"/>
      <c r="I787" s="74"/>
      <c r="J787" s="6"/>
      <c r="K787" s="6"/>
      <c r="L787" s="6"/>
      <c r="M787" s="6"/>
      <c r="N787" s="7">
        <f t="shared" si="498"/>
        <v>0</v>
      </c>
      <c r="O787" s="11">
        <f t="shared" si="434"/>
        <v>0.60000000000000009</v>
      </c>
      <c r="P787" s="25"/>
      <c r="Q787" s="10" t="str">
        <f t="shared" si="504"/>
        <v>MarçoSEMANA 2Macarrão Pappardelle</v>
      </c>
      <c r="R787" s="7">
        <f>SUMIF(NF!$A:$A,$Q787,NF!$I:$I)</f>
        <v>0</v>
      </c>
      <c r="S787" s="6"/>
      <c r="T787" s="6"/>
      <c r="U787" s="6"/>
      <c r="V787" s="6"/>
      <c r="W787" s="6"/>
      <c r="X787" s="6"/>
      <c r="Y787" s="6"/>
      <c r="Z787" s="7">
        <f t="shared" si="499"/>
        <v>0</v>
      </c>
      <c r="AA787" s="11">
        <f t="shared" si="437"/>
        <v>0.60000000000000009</v>
      </c>
      <c r="AB787" s="25"/>
      <c r="AC787" s="10" t="str">
        <f t="shared" si="505"/>
        <v>MarçoSEMANA 3Macarrão Pappardelle</v>
      </c>
      <c r="AD787" s="7">
        <f>SUMIF(NF!$A:$A,$AC787,NF!$I:$I)</f>
        <v>0</v>
      </c>
      <c r="AE787" s="6"/>
      <c r="AF787" s="6"/>
      <c r="AG787" s="6"/>
      <c r="AH787" s="6"/>
      <c r="AI787" s="6"/>
      <c r="AJ787" s="6"/>
      <c r="AK787" s="6"/>
      <c r="AL787" s="7">
        <f t="shared" si="500"/>
        <v>0</v>
      </c>
      <c r="AM787" s="11">
        <f t="shared" si="440"/>
        <v>0.60000000000000009</v>
      </c>
      <c r="AN787" s="25"/>
      <c r="AO787" s="10" t="str">
        <f t="shared" si="506"/>
        <v>MarçoSEMANA 4Macarrão Pappardelle</v>
      </c>
      <c r="AP787" s="7">
        <f>SUMIF(NF!$A:$A,$AO787,NF!$I:$I)</f>
        <v>0</v>
      </c>
      <c r="AQ787" s="6"/>
      <c r="AR787" s="6"/>
      <c r="AS787" s="6"/>
      <c r="AT787" s="6"/>
      <c r="AU787" s="6"/>
      <c r="AV787" s="6"/>
      <c r="AW787" s="6"/>
      <c r="AX787" s="7">
        <f t="shared" si="501"/>
        <v>0</v>
      </c>
      <c r="AY787" s="11">
        <f t="shared" si="443"/>
        <v>0.60000000000000009</v>
      </c>
      <c r="AZ787" s="25"/>
      <c r="BA787" s="10" t="str">
        <f t="shared" si="507"/>
        <v>MarçoSEMANA 5Macarrão Pappardelle</v>
      </c>
      <c r="BB787" s="7">
        <f>SUMIF(NF!$A:$A,$BA787,NF!$I:$I)</f>
        <v>0</v>
      </c>
      <c r="BC787" s="6"/>
      <c r="BD787" s="6"/>
      <c r="BE787" s="6"/>
      <c r="BF787" s="6"/>
      <c r="BG787" s="6"/>
      <c r="BH787" s="6"/>
      <c r="BI787" s="74"/>
      <c r="BJ787" s="74"/>
      <c r="BK787" s="7">
        <f t="shared" si="502"/>
        <v>0</v>
      </c>
      <c r="BL787" s="8">
        <f t="shared" si="446"/>
        <v>0.60000000000000009</v>
      </c>
      <c r="BM787" s="51" t="str">
        <f>IFERROR(VLOOKUP(A787,NF!$M:$O,3,0),"")</f>
        <v>Mercado</v>
      </c>
      <c r="BN787" s="7">
        <f t="shared" si="447"/>
        <v>0</v>
      </c>
      <c r="BO787" s="8">
        <f t="array" ref="BO787">IFERROR(LARGE(IF(NF!$G$2:$G$3137='Mês atual'!A787,NF!$J$2:$J$3137),1),0)*BN787</f>
        <v>0</v>
      </c>
      <c r="BP787" s="50"/>
      <c r="BR787" s="146">
        <f t="array" ref="BR787">IFERROR(LARGE(IF(NF!$G$2:$G$3137='Mês atual'!A787,NF!$J$2:$J$3137),1),0)</f>
        <v>0</v>
      </c>
      <c r="BS787" s="142" t="str">
        <f>VLOOKUP(A787,NF!M:O,3,0)</f>
        <v>Mercado</v>
      </c>
      <c r="BV787" s="74">
        <f t="shared" si="488"/>
        <v>0</v>
      </c>
      <c r="BW787" s="74">
        <f t="shared" si="489"/>
        <v>0</v>
      </c>
      <c r="BX787" s="74">
        <f t="shared" si="490"/>
        <v>0</v>
      </c>
      <c r="BY787" s="74">
        <f t="shared" si="491"/>
        <v>0</v>
      </c>
      <c r="BZ787" s="74">
        <f t="shared" si="492"/>
        <v>0</v>
      </c>
    </row>
    <row r="788" spans="1:78" x14ac:dyDescent="0.25">
      <c r="A788" s="108" t="s">
        <v>489</v>
      </c>
      <c r="B788" s="12"/>
      <c r="C788" s="9">
        <f>31*0.5</f>
        <v>15.5</v>
      </c>
      <c r="D788" s="25"/>
      <c r="E788" s="10" t="str">
        <f t="shared" si="503"/>
        <v>MarçoSEMANA 1Macarrão Penne</v>
      </c>
      <c r="F788" s="7">
        <f>SUMIF(NF!$A:$A,$E788,NF!$I:$I)</f>
        <v>0</v>
      </c>
      <c r="G788" s="74"/>
      <c r="H788" s="74"/>
      <c r="I788" s="74"/>
      <c r="J788" s="6"/>
      <c r="K788" s="6">
        <v>2</v>
      </c>
      <c r="L788" s="6"/>
      <c r="M788" s="6"/>
      <c r="N788" s="7">
        <f t="shared" si="498"/>
        <v>2</v>
      </c>
      <c r="O788" s="11">
        <f t="shared" si="434"/>
        <v>13.5</v>
      </c>
      <c r="P788" s="25"/>
      <c r="Q788" s="10" t="str">
        <f t="shared" si="504"/>
        <v>MarçoSEMANA 2Macarrão Penne</v>
      </c>
      <c r="R788" s="7">
        <f>SUMIF(NF!$A:$A,$Q788,NF!$I:$I)</f>
        <v>0</v>
      </c>
      <c r="S788" s="6">
        <v>1.5</v>
      </c>
      <c r="T788" s="6"/>
      <c r="U788" s="6"/>
      <c r="V788" s="6">
        <v>2</v>
      </c>
      <c r="W788" s="6"/>
      <c r="X788" s="6"/>
      <c r="Y788" s="6"/>
      <c r="Z788" s="7">
        <f t="shared" si="499"/>
        <v>3.5</v>
      </c>
      <c r="AA788" s="11">
        <f t="shared" si="437"/>
        <v>10</v>
      </c>
      <c r="AB788" s="25"/>
      <c r="AC788" s="10" t="str">
        <f t="shared" si="505"/>
        <v>MarçoSEMANA 3Macarrão Penne</v>
      </c>
      <c r="AD788" s="7">
        <f>SUMIF(NF!$A:$A,$AC788,NF!$I:$I)</f>
        <v>0</v>
      </c>
      <c r="AE788" s="6"/>
      <c r="AF788" s="6">
        <v>2</v>
      </c>
      <c r="AG788" s="6"/>
      <c r="AH788" s="6"/>
      <c r="AI788" s="6"/>
      <c r="AJ788" s="6">
        <v>1.5</v>
      </c>
      <c r="AK788" s="6"/>
      <c r="AL788" s="7">
        <f t="shared" si="500"/>
        <v>3.5</v>
      </c>
      <c r="AM788" s="11">
        <f t="shared" si="440"/>
        <v>6.5</v>
      </c>
      <c r="AN788" s="25"/>
      <c r="AO788" s="10" t="str">
        <f t="shared" si="506"/>
        <v>MarçoSEMANA 4Macarrão Penne</v>
      </c>
      <c r="AP788" s="7">
        <f>SUMIF(NF!$A:$A,$AO788,NF!$I:$I)</f>
        <v>0</v>
      </c>
      <c r="AQ788" s="6">
        <v>1.5</v>
      </c>
      <c r="AR788" s="6"/>
      <c r="AS788" s="6"/>
      <c r="AT788" s="6"/>
      <c r="AU788" s="6"/>
      <c r="AV788" s="6"/>
      <c r="AW788" s="6"/>
      <c r="AX788" s="7">
        <f t="shared" si="501"/>
        <v>1.5</v>
      </c>
      <c r="AY788" s="11">
        <f t="shared" si="443"/>
        <v>5</v>
      </c>
      <c r="AZ788" s="25"/>
      <c r="BA788" s="10" t="str">
        <f t="shared" si="507"/>
        <v>MarçoSEMANA 5Macarrão Penne</v>
      </c>
      <c r="BB788" s="7">
        <f>SUMIF(NF!$A:$A,$BA788,NF!$I:$I)</f>
        <v>0</v>
      </c>
      <c r="BC788" s="6"/>
      <c r="BD788" s="6"/>
      <c r="BE788" s="6"/>
      <c r="BF788" s="6"/>
      <c r="BG788" s="6">
        <v>1</v>
      </c>
      <c r="BH788" s="6"/>
      <c r="BI788" s="74"/>
      <c r="BJ788" s="74"/>
      <c r="BK788" s="7">
        <f t="shared" si="502"/>
        <v>1</v>
      </c>
      <c r="BL788" s="8">
        <f t="shared" si="446"/>
        <v>4</v>
      </c>
      <c r="BM788" s="51" t="str">
        <f>IFERROR(VLOOKUP(A788,NF!$M:$O,3,0),"")</f>
        <v>Mercado</v>
      </c>
      <c r="BN788" s="7">
        <f t="shared" si="447"/>
        <v>11.5</v>
      </c>
      <c r="BO788" s="8">
        <f t="array" ref="BO788">IFERROR(LARGE(IF(NF!$G$2:$G$3137='Mês atual'!A788,NF!$J$2:$J$3137),1),0)*BN788</f>
        <v>0</v>
      </c>
      <c r="BP788" s="50"/>
      <c r="BR788" s="146">
        <f t="array" ref="BR788">IFERROR(LARGE(IF(NF!$G$2:$G$3137='Mês atual'!A788,NF!$J$2:$J$3137),1),0)</f>
        <v>0</v>
      </c>
      <c r="BS788" s="142" t="str">
        <f>VLOOKUP(A788,NF!M:O,3,0)</f>
        <v>Mercado</v>
      </c>
      <c r="BV788" s="74">
        <f t="shared" si="488"/>
        <v>2</v>
      </c>
      <c r="BW788" s="74">
        <f t="shared" si="489"/>
        <v>3.5</v>
      </c>
      <c r="BX788" s="74">
        <f t="shared" si="490"/>
        <v>3.5</v>
      </c>
      <c r="BY788" s="74">
        <f t="shared" si="491"/>
        <v>1.5</v>
      </c>
      <c r="BZ788" s="74">
        <f t="shared" si="492"/>
        <v>1</v>
      </c>
    </row>
    <row r="789" spans="1:78" x14ac:dyDescent="0.25">
      <c r="A789" s="108" t="s">
        <v>1076</v>
      </c>
      <c r="B789" s="12"/>
      <c r="C789" s="9">
        <f>22*0.5</f>
        <v>11</v>
      </c>
      <c r="D789" s="25"/>
      <c r="E789" s="10" t="str">
        <f t="shared" si="503"/>
        <v>MarçoSEMANA 1Macarrão Pennette</v>
      </c>
      <c r="F789" s="7">
        <f>SUMIF(NF!$A:$A,$E789,NF!$I:$I)</f>
        <v>0</v>
      </c>
      <c r="G789" s="74"/>
      <c r="H789" s="74"/>
      <c r="I789" s="74"/>
      <c r="J789" s="6"/>
      <c r="K789" s="6"/>
      <c r="L789" s="6"/>
      <c r="M789" s="6"/>
      <c r="N789" s="7">
        <f t="shared" ref="N789" si="508">SUM(G789:M789)</f>
        <v>0</v>
      </c>
      <c r="O789" s="11">
        <f t="shared" ref="O789" si="509">F789+C789-N789</f>
        <v>11</v>
      </c>
      <c r="P789" s="25"/>
      <c r="Q789" s="10" t="str">
        <f t="shared" si="504"/>
        <v>MarçoSEMANA 2Macarrão Pennette</v>
      </c>
      <c r="R789" s="7">
        <f>SUMIF(NF!$A:$A,$Q789,NF!$I:$I)</f>
        <v>0</v>
      </c>
      <c r="S789" s="6"/>
      <c r="T789" s="6">
        <v>1</v>
      </c>
      <c r="U789" s="6"/>
      <c r="V789" s="6"/>
      <c r="W789" s="6"/>
      <c r="X789" s="6"/>
      <c r="Y789" s="6"/>
      <c r="Z789" s="7">
        <f t="shared" ref="Z789" si="510">SUM(S789:Y789)</f>
        <v>1</v>
      </c>
      <c r="AA789" s="11">
        <f t="shared" ref="AA789" si="511">R789+O789-Z789</f>
        <v>10</v>
      </c>
      <c r="AB789" s="25"/>
      <c r="AC789" s="10" t="str">
        <f t="shared" si="505"/>
        <v>MarçoSEMANA 3Macarrão Pennette</v>
      </c>
      <c r="AD789" s="7">
        <f>SUMIF(NF!$A:$A,$AC789,NF!$I:$I)</f>
        <v>0</v>
      </c>
      <c r="AE789" s="6">
        <v>1</v>
      </c>
      <c r="AF789" s="6"/>
      <c r="AG789" s="6"/>
      <c r="AH789" s="6"/>
      <c r="AI789" s="6"/>
      <c r="AJ789" s="6"/>
      <c r="AK789" s="6"/>
      <c r="AL789" s="7">
        <f t="shared" ref="AL789" si="512">SUM(AE789:AK789)</f>
        <v>1</v>
      </c>
      <c r="AM789" s="11">
        <f t="shared" ref="AM789" si="513">AD789+AA789-AL789</f>
        <v>9</v>
      </c>
      <c r="AN789" s="25"/>
      <c r="AO789" s="10" t="str">
        <f t="shared" si="506"/>
        <v>MarçoSEMANA 4Macarrão Pennette</v>
      </c>
      <c r="AP789" s="7">
        <f>SUMIF(NF!$A:$A,$AO789,NF!$I:$I)</f>
        <v>0</v>
      </c>
      <c r="AQ789" s="6"/>
      <c r="AR789" s="6"/>
      <c r="AS789" s="6"/>
      <c r="AT789" s="6"/>
      <c r="AU789" s="6">
        <v>1</v>
      </c>
      <c r="AV789" s="6"/>
      <c r="AW789" s="6"/>
      <c r="AX789" s="7">
        <f t="shared" ref="AX789" si="514">SUM(AQ789:AW789)</f>
        <v>1</v>
      </c>
      <c r="AY789" s="11">
        <f t="shared" ref="AY789" si="515">AP789+AM789-AX789</f>
        <v>8</v>
      </c>
      <c r="AZ789" s="25"/>
      <c r="BA789" s="10" t="str">
        <f t="shared" si="507"/>
        <v>MarçoSEMANA 5Macarrão Pennette</v>
      </c>
      <c r="BB789" s="7">
        <f>SUMIF(NF!$A:$A,$BA789,NF!$I:$I)</f>
        <v>0</v>
      </c>
      <c r="BC789" s="6">
        <v>1.5</v>
      </c>
      <c r="BD789" s="6"/>
      <c r="BE789" s="6"/>
      <c r="BF789" s="6"/>
      <c r="BG789" s="6"/>
      <c r="BH789" s="6"/>
      <c r="BI789" s="74"/>
      <c r="BJ789" s="74"/>
      <c r="BK789" s="7">
        <f t="shared" ref="BK789" si="516">SUM(BC789:BJ789)</f>
        <v>1.5</v>
      </c>
      <c r="BL789" s="8">
        <f t="shared" ref="BL789" si="517">BB789+AY789-BK789</f>
        <v>6.5</v>
      </c>
      <c r="BM789" s="51" t="str">
        <f>IFERROR(VLOOKUP(A789,NF!$M:$O,3,0),"")</f>
        <v>Mercado</v>
      </c>
      <c r="BN789" s="7">
        <f t="shared" ref="BN789" si="518">SUM(N789,Z789,AL789,AX789,BK789)</f>
        <v>4.5</v>
      </c>
      <c r="BO789" s="8">
        <f t="array" ref="BO789">IFERROR(LARGE(IF(NF!$G$2:$G$3137='Mês atual'!A789,NF!$J$2:$J$3137),1),0)*BN789</f>
        <v>0</v>
      </c>
      <c r="BP789" s="50"/>
      <c r="BR789" s="146">
        <f t="array" ref="BR789">IFERROR(LARGE(IF(NF!$G$2:$G$3137='Mês atual'!A789,NF!$J$2:$J$3137),1),0)</f>
        <v>0</v>
      </c>
      <c r="BS789" s="142" t="str">
        <f>VLOOKUP(A789,NF!M:O,3,0)</f>
        <v>Mercado</v>
      </c>
      <c r="BV789" s="74">
        <f t="shared" ref="BV789" si="519">N789</f>
        <v>0</v>
      </c>
      <c r="BW789" s="74">
        <f t="shared" ref="BW789" si="520">Z789</f>
        <v>1</v>
      </c>
      <c r="BX789" s="74">
        <f t="shared" ref="BX789" si="521">AL789</f>
        <v>1</v>
      </c>
      <c r="BY789" s="74">
        <f t="shared" ref="BY789" si="522">AX789</f>
        <v>1</v>
      </c>
      <c r="BZ789" s="74">
        <f t="shared" ref="BZ789" si="523">BK789</f>
        <v>1.5</v>
      </c>
    </row>
    <row r="790" spans="1:78" x14ac:dyDescent="0.25">
      <c r="A790" s="108" t="s">
        <v>490</v>
      </c>
      <c r="B790" s="12"/>
      <c r="C790" s="9">
        <v>0.5</v>
      </c>
      <c r="D790" s="25"/>
      <c r="E790" s="10" t="str">
        <f t="shared" si="503"/>
        <v>MarçoSEMANA 1Macarrão Talharim</v>
      </c>
      <c r="F790" s="7">
        <f>SUMIF(NF!$A:$A,$E790,NF!$I:$I)</f>
        <v>0</v>
      </c>
      <c r="G790" s="74"/>
      <c r="H790" s="74"/>
      <c r="I790" s="74"/>
      <c r="J790" s="6"/>
      <c r="K790" s="6"/>
      <c r="L790" s="6"/>
      <c r="M790" s="6"/>
      <c r="N790" s="7">
        <f t="shared" si="498"/>
        <v>0</v>
      </c>
      <c r="O790" s="11">
        <f t="shared" si="434"/>
        <v>0.5</v>
      </c>
      <c r="P790" s="25"/>
      <c r="Q790" s="10" t="str">
        <f t="shared" si="504"/>
        <v>MarçoSEMANA 2Macarrão Talharim</v>
      </c>
      <c r="R790" s="7">
        <f>SUMIF(NF!$A:$A,$Q790,NF!$I:$I)</f>
        <v>0</v>
      </c>
      <c r="S790" s="6"/>
      <c r="T790" s="6"/>
      <c r="U790" s="6"/>
      <c r="V790" s="6"/>
      <c r="W790" s="6"/>
      <c r="X790" s="6"/>
      <c r="Y790" s="6"/>
      <c r="Z790" s="7">
        <f t="shared" si="499"/>
        <v>0</v>
      </c>
      <c r="AA790" s="11">
        <f t="shared" si="437"/>
        <v>0.5</v>
      </c>
      <c r="AB790" s="25"/>
      <c r="AC790" s="10" t="str">
        <f t="shared" si="505"/>
        <v>MarçoSEMANA 3Macarrão Talharim</v>
      </c>
      <c r="AD790" s="7">
        <f>SUMIF(NF!$A:$A,$AC790,NF!$I:$I)</f>
        <v>4</v>
      </c>
      <c r="AE790" s="6"/>
      <c r="AF790" s="6"/>
      <c r="AG790" s="6"/>
      <c r="AH790" s="6"/>
      <c r="AI790" s="6"/>
      <c r="AJ790" s="6"/>
      <c r="AK790" s="6"/>
      <c r="AL790" s="7">
        <f t="shared" si="500"/>
        <v>0</v>
      </c>
      <c r="AM790" s="11">
        <f t="shared" si="440"/>
        <v>4.5</v>
      </c>
      <c r="AN790" s="25"/>
      <c r="AO790" s="10" t="str">
        <f t="shared" si="506"/>
        <v>MarçoSEMANA 4Macarrão Talharim</v>
      </c>
      <c r="AP790" s="7">
        <f>SUMIF(NF!$A:$A,$AO790,NF!$I:$I)</f>
        <v>0</v>
      </c>
      <c r="AQ790" s="6"/>
      <c r="AR790" s="6"/>
      <c r="AS790" s="6"/>
      <c r="AT790" s="6"/>
      <c r="AU790" s="6"/>
      <c r="AV790" s="6"/>
      <c r="AW790" s="6"/>
      <c r="AX790" s="7">
        <f t="shared" si="501"/>
        <v>0</v>
      </c>
      <c r="AY790" s="11">
        <f t="shared" si="443"/>
        <v>4.5</v>
      </c>
      <c r="AZ790" s="25"/>
      <c r="BA790" s="10" t="str">
        <f t="shared" si="507"/>
        <v>MarçoSEMANA 5Macarrão Talharim</v>
      </c>
      <c r="BB790" s="7">
        <f>SUMIF(NF!$A:$A,$BA790,NF!$I:$I)</f>
        <v>0</v>
      </c>
      <c r="BC790" s="6"/>
      <c r="BD790" s="6"/>
      <c r="BE790" s="6"/>
      <c r="BF790" s="6"/>
      <c r="BG790" s="6"/>
      <c r="BH790" s="6"/>
      <c r="BI790" s="74"/>
      <c r="BJ790" s="74"/>
      <c r="BK790" s="7">
        <f t="shared" si="502"/>
        <v>0</v>
      </c>
      <c r="BL790" s="8">
        <f t="shared" si="446"/>
        <v>4.5</v>
      </c>
      <c r="BM790" s="51" t="str">
        <f>IFERROR(VLOOKUP(A790,NF!$M:$O,3,0),"")</f>
        <v>Mercado</v>
      </c>
      <c r="BN790" s="7">
        <f t="shared" si="447"/>
        <v>0</v>
      </c>
      <c r="BO790" s="8">
        <f t="array" ref="BO790">IFERROR(LARGE(IF(NF!$G$2:$G$3137='Mês atual'!A790,NF!$J$2:$J$3137),1),0)*BN790</f>
        <v>0</v>
      </c>
      <c r="BP790" s="50"/>
      <c r="BR790" s="146">
        <f t="array" ref="BR790">IFERROR(LARGE(IF(NF!$G$2:$G$3137='Mês atual'!A790,NF!$J$2:$J$3137),1),0)</f>
        <v>9.24</v>
      </c>
      <c r="BS790" s="142" t="str">
        <f>VLOOKUP(A790,NF!M:O,3,0)</f>
        <v>Mercado</v>
      </c>
      <c r="BV790" s="74">
        <f t="shared" si="488"/>
        <v>0</v>
      </c>
      <c r="BW790" s="74">
        <f t="shared" si="489"/>
        <v>0</v>
      </c>
      <c r="BX790" s="74">
        <f t="shared" si="490"/>
        <v>0</v>
      </c>
      <c r="BY790" s="74">
        <f t="shared" si="491"/>
        <v>0</v>
      </c>
      <c r="BZ790" s="74">
        <f t="shared" si="492"/>
        <v>0</v>
      </c>
    </row>
    <row r="791" spans="1:78" x14ac:dyDescent="0.2">
      <c r="A791" s="108" t="s">
        <v>491</v>
      </c>
      <c r="B791" s="12"/>
      <c r="C791" s="9">
        <v>2</v>
      </c>
      <c r="D791" s="25"/>
      <c r="E791" s="10" t="str">
        <f t="shared" si="503"/>
        <v>MarçoSEMANA 1Maionese Hellmanns Bd 3 Kg</v>
      </c>
      <c r="F791" s="7">
        <f>SUMIF(NF!$A:$A,$E791,NF!$I:$I)</f>
        <v>6</v>
      </c>
      <c r="G791" s="74"/>
      <c r="H791" s="74"/>
      <c r="I791" s="74"/>
      <c r="J791" s="6">
        <v>1</v>
      </c>
      <c r="K791" s="6">
        <v>1</v>
      </c>
      <c r="L791" s="6">
        <v>1</v>
      </c>
      <c r="M791" s="6"/>
      <c r="N791" s="7">
        <f t="shared" si="498"/>
        <v>3</v>
      </c>
      <c r="O791" s="11">
        <f t="shared" si="434"/>
        <v>5</v>
      </c>
      <c r="P791" s="25"/>
      <c r="Q791" s="10" t="str">
        <f t="shared" si="504"/>
        <v>MarçoSEMANA 2Maionese Hellmanns Bd 3 Kg</v>
      </c>
      <c r="R791" s="7">
        <f>SUMIF(NF!$A:$A,$Q791,NF!$I:$I)</f>
        <v>6</v>
      </c>
      <c r="S791" s="6">
        <v>1</v>
      </c>
      <c r="T791" s="6"/>
      <c r="U791" s="6">
        <v>1</v>
      </c>
      <c r="V791" s="6">
        <v>1</v>
      </c>
      <c r="W791" s="6"/>
      <c r="X791" s="6"/>
      <c r="Y791" s="6">
        <v>1</v>
      </c>
      <c r="Z791" s="7">
        <f t="shared" si="499"/>
        <v>4</v>
      </c>
      <c r="AA791" s="11">
        <f t="shared" si="437"/>
        <v>7</v>
      </c>
      <c r="AB791" s="25"/>
      <c r="AC791" s="10" t="str">
        <f t="shared" si="505"/>
        <v>MarçoSEMANA 3Maionese Hellmanns Bd 3 Kg</v>
      </c>
      <c r="AD791" s="7">
        <f>SUMIF(NF!$A:$A,$AC791,NF!$I:$I)</f>
        <v>0</v>
      </c>
      <c r="AE791" s="6"/>
      <c r="AF791" s="6">
        <v>1</v>
      </c>
      <c r="AG791" s="6"/>
      <c r="AH791" s="6">
        <v>1</v>
      </c>
      <c r="AI791" s="6">
        <v>1</v>
      </c>
      <c r="AJ791" s="6"/>
      <c r="AK791" s="6">
        <v>1</v>
      </c>
      <c r="AL791" s="7">
        <f t="shared" si="500"/>
        <v>4</v>
      </c>
      <c r="AM791" s="11">
        <f t="shared" si="440"/>
        <v>3</v>
      </c>
      <c r="AN791" s="25"/>
      <c r="AO791" s="10" t="str">
        <f t="shared" si="506"/>
        <v>MarçoSEMANA 4Maionese Hellmanns Bd 3 Kg</v>
      </c>
      <c r="AP791" s="7">
        <f>SUMIF(NF!$A:$A,$AO791,NF!$I:$I)</f>
        <v>6</v>
      </c>
      <c r="AQ791" s="6">
        <v>1</v>
      </c>
      <c r="AR791" s="6">
        <v>1</v>
      </c>
      <c r="AS791" s="6"/>
      <c r="AT791" s="6"/>
      <c r="AU791" s="6"/>
      <c r="AV791" s="6">
        <v>1</v>
      </c>
      <c r="AW791" s="6"/>
      <c r="AX791" s="7">
        <f t="shared" si="501"/>
        <v>3</v>
      </c>
      <c r="AY791" s="11">
        <f t="shared" si="443"/>
        <v>6</v>
      </c>
      <c r="AZ791" s="25"/>
      <c r="BA791" s="10" t="str">
        <f t="shared" si="507"/>
        <v>MarçoSEMANA 5Maionese Hellmanns Bd 3 Kg</v>
      </c>
      <c r="BB791" s="7">
        <f>SUMIF(NF!$A:$A,$BA791,NF!$I:$I)</f>
        <v>0</v>
      </c>
      <c r="BC791" s="6">
        <v>1</v>
      </c>
      <c r="BD791" s="6"/>
      <c r="BE791" s="6">
        <v>1</v>
      </c>
      <c r="BF791" s="6"/>
      <c r="BG791" s="6">
        <v>1</v>
      </c>
      <c r="BH791" s="6"/>
      <c r="BI791" s="74"/>
      <c r="BJ791" s="74"/>
      <c r="BK791" s="7">
        <f t="shared" si="502"/>
        <v>3</v>
      </c>
      <c r="BL791" s="8">
        <f t="shared" si="446"/>
        <v>3</v>
      </c>
      <c r="BM791" s="51" t="str">
        <f>IFERROR(VLOOKUP(A791,NF!$M:$O,3,0),"")</f>
        <v>Mercado</v>
      </c>
      <c r="BN791" s="7">
        <f t="shared" si="447"/>
        <v>17</v>
      </c>
      <c r="BO791" s="8">
        <f t="array" ref="BO791">IFERROR(LARGE(IF(NF!$G$2:$G$3137='Mês atual'!A791,NF!$J$2:$J$3137),1),0)*BN791</f>
        <v>399.67</v>
      </c>
      <c r="BP791" s="50"/>
      <c r="BR791" s="146">
        <f t="array" ref="BR791">IFERROR(LARGE(IF(NF!$G$2:$G$3137='Mês atual'!A791,NF!$J$2:$J$3137),1),0)</f>
        <v>23.51</v>
      </c>
      <c r="BS791" s="142" t="str">
        <f>VLOOKUP(A791,NF!M:O,3,0)</f>
        <v>Mercado</v>
      </c>
      <c r="BV791" s="74">
        <f t="shared" si="488"/>
        <v>3</v>
      </c>
      <c r="BW791" s="74">
        <f t="shared" si="489"/>
        <v>4</v>
      </c>
      <c r="BX791" s="74">
        <f t="shared" si="490"/>
        <v>4</v>
      </c>
      <c r="BY791" s="74">
        <f t="shared" si="491"/>
        <v>3</v>
      </c>
      <c r="BZ791" s="74">
        <f t="shared" si="492"/>
        <v>3</v>
      </c>
    </row>
    <row r="792" spans="1:78" x14ac:dyDescent="0.2">
      <c r="A792" s="108" t="s">
        <v>492</v>
      </c>
      <c r="B792" s="12"/>
      <c r="C792" s="9">
        <v>4</v>
      </c>
      <c r="D792" s="25"/>
      <c r="E792" s="10" t="str">
        <f t="shared" si="503"/>
        <v>MarçoSEMANA 1Maisena Amido de Milho 1 Kg</v>
      </c>
      <c r="F792" s="7">
        <f>SUMIF(NF!$A:$A,$E792,NF!$I:$I)</f>
        <v>10</v>
      </c>
      <c r="G792" s="74"/>
      <c r="H792" s="74"/>
      <c r="I792" s="74"/>
      <c r="J792" s="6">
        <v>2</v>
      </c>
      <c r="K792" s="6">
        <v>1</v>
      </c>
      <c r="L792" s="6">
        <v>1</v>
      </c>
      <c r="M792" s="6"/>
      <c r="N792" s="7">
        <f t="shared" si="498"/>
        <v>4</v>
      </c>
      <c r="O792" s="11">
        <f t="shared" si="434"/>
        <v>10</v>
      </c>
      <c r="P792" s="25"/>
      <c r="Q792" s="10" t="str">
        <f t="shared" si="504"/>
        <v>MarçoSEMANA 2Maisena Amido de Milho 1 Kg</v>
      </c>
      <c r="R792" s="7">
        <f>SUMIF(NF!$A:$A,$Q792,NF!$I:$I)</f>
        <v>1</v>
      </c>
      <c r="S792" s="6"/>
      <c r="T792" s="6">
        <v>1</v>
      </c>
      <c r="U792" s="6">
        <v>1</v>
      </c>
      <c r="V792" s="6"/>
      <c r="W792" s="6">
        <v>2</v>
      </c>
      <c r="X792" s="6"/>
      <c r="Y792" s="6"/>
      <c r="Z792" s="7">
        <f t="shared" si="499"/>
        <v>4</v>
      </c>
      <c r="AA792" s="11">
        <f t="shared" si="437"/>
        <v>7</v>
      </c>
      <c r="AB792" s="25"/>
      <c r="AC792" s="10" t="str">
        <f t="shared" si="505"/>
        <v>MarçoSEMANA 3Maisena Amido de Milho 1 Kg</v>
      </c>
      <c r="AD792" s="7">
        <f>SUMIF(NF!$A:$A,$AC792,NF!$I:$I)</f>
        <v>5</v>
      </c>
      <c r="AE792" s="6">
        <v>1</v>
      </c>
      <c r="AF792" s="6"/>
      <c r="AG792" s="6">
        <v>1</v>
      </c>
      <c r="AH792" s="6">
        <v>1</v>
      </c>
      <c r="AI792" s="6">
        <v>1</v>
      </c>
      <c r="AJ792" s="6">
        <v>1</v>
      </c>
      <c r="AK792" s="6">
        <v>1</v>
      </c>
      <c r="AL792" s="7">
        <f t="shared" si="500"/>
        <v>6</v>
      </c>
      <c r="AM792" s="11">
        <f t="shared" si="440"/>
        <v>6</v>
      </c>
      <c r="AN792" s="25"/>
      <c r="AO792" s="10" t="str">
        <f t="shared" si="506"/>
        <v>MarçoSEMANA 4Maisena Amido de Milho 1 Kg</v>
      </c>
      <c r="AP792" s="7">
        <f>SUMIF(NF!$A:$A,$AO792,NF!$I:$I)</f>
        <v>5</v>
      </c>
      <c r="AQ792" s="6"/>
      <c r="AR792" s="6">
        <v>1</v>
      </c>
      <c r="AS792" s="6">
        <v>1</v>
      </c>
      <c r="AT792" s="6">
        <v>1</v>
      </c>
      <c r="AU792" s="6"/>
      <c r="AV792" s="6">
        <v>1</v>
      </c>
      <c r="AW792" s="6">
        <v>1</v>
      </c>
      <c r="AX792" s="7">
        <f t="shared" si="501"/>
        <v>5</v>
      </c>
      <c r="AY792" s="11">
        <f t="shared" si="443"/>
        <v>6</v>
      </c>
      <c r="AZ792" s="25"/>
      <c r="BA792" s="10" t="str">
        <f t="shared" si="507"/>
        <v>MarçoSEMANA 5Maisena Amido de Milho 1 Kg</v>
      </c>
      <c r="BB792" s="7">
        <f>SUMIF(NF!$A:$A,$BA792,NF!$I:$I)</f>
        <v>3</v>
      </c>
      <c r="BC792" s="6">
        <v>1</v>
      </c>
      <c r="BD792" s="6">
        <v>1</v>
      </c>
      <c r="BE792" s="6">
        <v>1</v>
      </c>
      <c r="BF792" s="6"/>
      <c r="BG792" s="6">
        <v>1</v>
      </c>
      <c r="BH792" s="6">
        <v>1</v>
      </c>
      <c r="BI792" s="74"/>
      <c r="BJ792" s="74"/>
      <c r="BK792" s="7">
        <f t="shared" si="502"/>
        <v>5</v>
      </c>
      <c r="BL792" s="8">
        <f t="shared" si="446"/>
        <v>4</v>
      </c>
      <c r="BM792" s="51" t="str">
        <f>IFERROR(VLOOKUP(A792,NF!$M:$O,3,0),"")</f>
        <v>Mercado</v>
      </c>
      <c r="BN792" s="7">
        <f t="shared" si="447"/>
        <v>24</v>
      </c>
      <c r="BO792" s="8">
        <f t="array" ref="BO792">IFERROR(LARGE(IF(NF!$G$2:$G$3137='Mês atual'!A792,NF!$J$2:$J$3137),1),0)*BN792</f>
        <v>79.199999999999989</v>
      </c>
      <c r="BP792" s="50"/>
      <c r="BR792" s="146">
        <f t="array" ref="BR792">IFERROR(LARGE(IF(NF!$G$2:$G$3137='Mês atual'!A792,NF!$J$2:$J$3137),1),0)</f>
        <v>3.3</v>
      </c>
      <c r="BS792" s="142" t="str">
        <f>VLOOKUP(A792,NF!M:O,3,0)</f>
        <v>Mercado</v>
      </c>
      <c r="BV792" s="74">
        <f t="shared" si="488"/>
        <v>4</v>
      </c>
      <c r="BW792" s="74">
        <f t="shared" si="489"/>
        <v>4</v>
      </c>
      <c r="BX792" s="74">
        <f t="shared" si="490"/>
        <v>6</v>
      </c>
      <c r="BY792" s="74">
        <f t="shared" si="491"/>
        <v>5</v>
      </c>
      <c r="BZ792" s="74">
        <f t="shared" si="492"/>
        <v>5</v>
      </c>
    </row>
    <row r="793" spans="1:78" x14ac:dyDescent="0.2">
      <c r="A793" s="108" t="s">
        <v>502</v>
      </c>
      <c r="B793" s="12"/>
      <c r="C793" s="9">
        <v>1</v>
      </c>
      <c r="D793" s="25"/>
      <c r="E793" s="10" t="str">
        <f t="shared" si="503"/>
        <v>MarçoSEMANA 1Manteiga de Garrafa</v>
      </c>
      <c r="F793" s="7">
        <f>SUMIF(NF!$A:$A,$E793,NF!$I:$I)</f>
        <v>0</v>
      </c>
      <c r="G793" s="74"/>
      <c r="H793" s="74"/>
      <c r="I793" s="74"/>
      <c r="J793" s="6"/>
      <c r="K793" s="6"/>
      <c r="L793" s="6"/>
      <c r="M793" s="6"/>
      <c r="N793" s="7">
        <f t="shared" si="498"/>
        <v>0</v>
      </c>
      <c r="O793" s="11">
        <f t="shared" si="434"/>
        <v>1</v>
      </c>
      <c r="P793" s="25"/>
      <c r="Q793" s="10" t="str">
        <f t="shared" si="504"/>
        <v>MarçoSEMANA 2Manteiga de Garrafa</v>
      </c>
      <c r="R793" s="7">
        <f>SUMIF(NF!$A:$A,$Q793,NF!$I:$I)</f>
        <v>0</v>
      </c>
      <c r="S793" s="6"/>
      <c r="T793" s="6"/>
      <c r="U793" s="6"/>
      <c r="V793" s="6"/>
      <c r="W793" s="6"/>
      <c r="X793" s="6"/>
      <c r="Y793" s="6"/>
      <c r="Z793" s="7">
        <f t="shared" si="499"/>
        <v>0</v>
      </c>
      <c r="AA793" s="11">
        <f t="shared" si="437"/>
        <v>1</v>
      </c>
      <c r="AB793" s="25"/>
      <c r="AC793" s="10" t="str">
        <f t="shared" si="505"/>
        <v>MarçoSEMANA 3Manteiga de Garrafa</v>
      </c>
      <c r="AD793" s="7">
        <f>SUMIF(NF!$A:$A,$AC793,NF!$I:$I)</f>
        <v>0</v>
      </c>
      <c r="AE793" s="6"/>
      <c r="AF793" s="6"/>
      <c r="AG793" s="6"/>
      <c r="AH793" s="6"/>
      <c r="AI793" s="6"/>
      <c r="AJ793" s="6"/>
      <c r="AK793" s="6"/>
      <c r="AL793" s="7">
        <f t="shared" si="500"/>
        <v>0</v>
      </c>
      <c r="AM793" s="11">
        <f t="shared" si="440"/>
        <v>1</v>
      </c>
      <c r="AN793" s="25"/>
      <c r="AO793" s="10" t="str">
        <f t="shared" si="506"/>
        <v>MarçoSEMANA 4Manteiga de Garrafa</v>
      </c>
      <c r="AP793" s="7">
        <f>SUMIF(NF!$A:$A,$AO793,NF!$I:$I)</f>
        <v>0</v>
      </c>
      <c r="AQ793" s="6"/>
      <c r="AR793" s="6"/>
      <c r="AS793" s="6"/>
      <c r="AT793" s="6"/>
      <c r="AU793" s="6"/>
      <c r="AV793" s="6"/>
      <c r="AW793" s="6"/>
      <c r="AX793" s="7">
        <f t="shared" si="501"/>
        <v>0</v>
      </c>
      <c r="AY793" s="11">
        <f t="shared" si="443"/>
        <v>1</v>
      </c>
      <c r="AZ793" s="25"/>
      <c r="BA793" s="10" t="str">
        <f t="shared" si="507"/>
        <v>MarçoSEMANA 5Manteiga de Garrafa</v>
      </c>
      <c r="BB793" s="7">
        <f>SUMIF(NF!$A:$A,$BA793,NF!$I:$I)</f>
        <v>0</v>
      </c>
      <c r="BC793" s="6"/>
      <c r="BD793" s="6"/>
      <c r="BE793" s="6"/>
      <c r="BF793" s="6">
        <v>1</v>
      </c>
      <c r="BG793" s="6"/>
      <c r="BH793" s="6"/>
      <c r="BI793" s="74"/>
      <c r="BJ793" s="74"/>
      <c r="BK793" s="7">
        <f t="shared" si="502"/>
        <v>1</v>
      </c>
      <c r="BL793" s="8">
        <f t="shared" si="446"/>
        <v>0</v>
      </c>
      <c r="BM793" s="51" t="str">
        <f>IFERROR(VLOOKUP(A793,NF!$M:$O,3,0),"")</f>
        <v>Mercado</v>
      </c>
      <c r="BN793" s="7">
        <f t="shared" si="447"/>
        <v>1</v>
      </c>
      <c r="BO793" s="8">
        <f t="array" ref="BO793">IFERROR(LARGE(IF(NF!$G$2:$G$3137='Mês atual'!A793,NF!$J$2:$J$3137),1),0)*BN793</f>
        <v>0</v>
      </c>
      <c r="BP793" s="50"/>
      <c r="BR793" s="146">
        <f t="array" ref="BR793">IFERROR(LARGE(IF(NF!$G$2:$G$3137='Mês atual'!A793,NF!$J$2:$J$3137),1),0)</f>
        <v>0</v>
      </c>
      <c r="BS793" s="142" t="str">
        <f>VLOOKUP(A793,NF!M:O,3,0)</f>
        <v>Mercado</v>
      </c>
      <c r="BV793" s="74">
        <f t="shared" si="488"/>
        <v>0</v>
      </c>
      <c r="BW793" s="74">
        <f t="shared" si="489"/>
        <v>0</v>
      </c>
      <c r="BX793" s="74">
        <f t="shared" si="490"/>
        <v>0</v>
      </c>
      <c r="BY793" s="74">
        <f t="shared" si="491"/>
        <v>0</v>
      </c>
      <c r="BZ793" s="74">
        <f t="shared" si="492"/>
        <v>1</v>
      </c>
    </row>
    <row r="794" spans="1:78" x14ac:dyDescent="0.2">
      <c r="A794" s="108" t="s">
        <v>504</v>
      </c>
      <c r="B794" s="12"/>
      <c r="C794" s="9">
        <v>1</v>
      </c>
      <c r="D794" s="25"/>
      <c r="E794" s="10" t="str">
        <f t="shared" si="503"/>
        <v>MarçoSEMANA 1Margarina Bd 15 Kg</v>
      </c>
      <c r="F794" s="7">
        <f>SUMIF(NF!$A:$A,$E794,NF!$I:$I)</f>
        <v>1</v>
      </c>
      <c r="G794" s="74"/>
      <c r="H794" s="74"/>
      <c r="I794" s="74"/>
      <c r="J794" s="6"/>
      <c r="K794" s="6"/>
      <c r="L794" s="6"/>
      <c r="M794" s="6">
        <v>1</v>
      </c>
      <c r="N794" s="7">
        <f t="shared" si="498"/>
        <v>1</v>
      </c>
      <c r="O794" s="11">
        <f t="shared" si="434"/>
        <v>1</v>
      </c>
      <c r="P794" s="25"/>
      <c r="Q794" s="10" t="str">
        <f t="shared" si="504"/>
        <v>MarçoSEMANA 2Margarina Bd 15 Kg</v>
      </c>
      <c r="R794" s="7">
        <f>SUMIF(NF!$A:$A,$Q794,NF!$I:$I)</f>
        <v>1</v>
      </c>
      <c r="S794" s="6"/>
      <c r="T794" s="6"/>
      <c r="U794" s="6"/>
      <c r="V794" s="6"/>
      <c r="W794" s="6"/>
      <c r="X794" s="6">
        <v>1</v>
      </c>
      <c r="Y794" s="6"/>
      <c r="Z794" s="7">
        <f t="shared" si="499"/>
        <v>1</v>
      </c>
      <c r="AA794" s="11">
        <f t="shared" si="437"/>
        <v>1</v>
      </c>
      <c r="AB794" s="25"/>
      <c r="AC794" s="10" t="str">
        <f t="shared" si="505"/>
        <v>MarçoSEMANA 3Margarina Bd 15 Kg</v>
      </c>
      <c r="AD794" s="7">
        <f>SUMIF(NF!$A:$A,$AC794,NF!$I:$I)</f>
        <v>1</v>
      </c>
      <c r="AE794" s="6"/>
      <c r="AF794" s="6"/>
      <c r="AG794" s="6">
        <v>1</v>
      </c>
      <c r="AH794" s="6"/>
      <c r="AI794" s="6"/>
      <c r="AJ794" s="6"/>
      <c r="AK794" s="6"/>
      <c r="AL794" s="7">
        <f t="shared" si="500"/>
        <v>1</v>
      </c>
      <c r="AM794" s="11">
        <f t="shared" si="440"/>
        <v>1</v>
      </c>
      <c r="AN794" s="25"/>
      <c r="AO794" s="10" t="str">
        <f t="shared" si="506"/>
        <v>MarçoSEMANA 4Margarina Bd 15 Kg</v>
      </c>
      <c r="AP794" s="7">
        <f>SUMIF(NF!$A:$A,$AO794,NF!$I:$I)</f>
        <v>2</v>
      </c>
      <c r="AQ794" s="6"/>
      <c r="AR794" s="6">
        <v>1</v>
      </c>
      <c r="AS794" s="6"/>
      <c r="AT794" s="6"/>
      <c r="AU794" s="6"/>
      <c r="AV794" s="6"/>
      <c r="AW794" s="6"/>
      <c r="AX794" s="7">
        <f t="shared" si="501"/>
        <v>1</v>
      </c>
      <c r="AY794" s="11">
        <f t="shared" si="443"/>
        <v>2</v>
      </c>
      <c r="AZ794" s="25"/>
      <c r="BA794" s="10" t="str">
        <f t="shared" si="507"/>
        <v>MarçoSEMANA 5Margarina Bd 15 Kg</v>
      </c>
      <c r="BB794" s="7">
        <f>SUMIF(NF!$A:$A,$BA794,NF!$I:$I)</f>
        <v>0</v>
      </c>
      <c r="BC794" s="6">
        <v>1</v>
      </c>
      <c r="BD794" s="6"/>
      <c r="BE794" s="6"/>
      <c r="BF794" s="6"/>
      <c r="BG794" s="6"/>
      <c r="BH794" s="6"/>
      <c r="BI794" s="74"/>
      <c r="BJ794" s="74"/>
      <c r="BK794" s="7">
        <f t="shared" si="502"/>
        <v>1</v>
      </c>
      <c r="BL794" s="8">
        <f t="shared" si="446"/>
        <v>1</v>
      </c>
      <c r="BM794" s="51" t="str">
        <f>IFERROR(VLOOKUP(A794,NF!$M:$O,3,0),"")</f>
        <v>Mercado</v>
      </c>
      <c r="BN794" s="7">
        <f t="shared" si="447"/>
        <v>5</v>
      </c>
      <c r="BO794" s="8">
        <f t="array" ref="BO794">IFERROR(LARGE(IF(NF!$G$2:$G$3137='Mês atual'!A794,NF!$J$2:$J$3137),1),0)*BN794</f>
        <v>386.55</v>
      </c>
      <c r="BP794" s="50"/>
      <c r="BR794" s="146">
        <f t="array" ref="BR794">IFERROR(LARGE(IF(NF!$G$2:$G$3137='Mês atual'!A794,NF!$J$2:$J$3137),1),0)</f>
        <v>77.31</v>
      </c>
      <c r="BS794" s="142" t="str">
        <f>VLOOKUP(A794,NF!M:O,3,0)</f>
        <v>Mercado</v>
      </c>
      <c r="BV794" s="74">
        <f t="shared" si="488"/>
        <v>1</v>
      </c>
      <c r="BW794" s="74">
        <f t="shared" si="489"/>
        <v>1</v>
      </c>
      <c r="BX794" s="74">
        <f t="shared" si="490"/>
        <v>1</v>
      </c>
      <c r="BY794" s="74">
        <f t="shared" si="491"/>
        <v>1</v>
      </c>
      <c r="BZ794" s="74">
        <f t="shared" si="492"/>
        <v>1</v>
      </c>
    </row>
    <row r="795" spans="1:78" x14ac:dyDescent="0.2">
      <c r="A795" s="108" t="s">
        <v>505</v>
      </c>
      <c r="B795" s="12"/>
      <c r="C795" s="9">
        <v>0</v>
      </c>
      <c r="D795" s="25"/>
      <c r="E795" s="10" t="str">
        <f t="shared" si="503"/>
        <v>MarçoSEMANA 1Margarina Qualy 500 g</v>
      </c>
      <c r="F795" s="7">
        <f>SUMIF(NF!$A:$A,$E795,NF!$I:$I)</f>
        <v>6</v>
      </c>
      <c r="G795" s="74"/>
      <c r="H795" s="74"/>
      <c r="I795" s="74"/>
      <c r="J795" s="6"/>
      <c r="K795" s="6"/>
      <c r="L795" s="6">
        <v>0.5</v>
      </c>
      <c r="M795" s="6"/>
      <c r="N795" s="7">
        <f t="shared" si="498"/>
        <v>0.5</v>
      </c>
      <c r="O795" s="11">
        <f t="shared" si="434"/>
        <v>5.5</v>
      </c>
      <c r="P795" s="25"/>
      <c r="Q795" s="10" t="str">
        <f t="shared" si="504"/>
        <v>MarçoSEMANA 2Margarina Qualy 500 g</v>
      </c>
      <c r="R795" s="7">
        <f>SUMIF(NF!$A:$A,$Q795,NF!$I:$I)</f>
        <v>0</v>
      </c>
      <c r="S795" s="6"/>
      <c r="T795" s="6">
        <v>1</v>
      </c>
      <c r="U795" s="6"/>
      <c r="V795" s="6"/>
      <c r="W795" s="6">
        <v>0.5</v>
      </c>
      <c r="X795" s="6"/>
      <c r="Y795" s="6"/>
      <c r="Z795" s="7">
        <f t="shared" si="499"/>
        <v>1.5</v>
      </c>
      <c r="AA795" s="11">
        <f t="shared" si="437"/>
        <v>4</v>
      </c>
      <c r="AB795" s="25"/>
      <c r="AC795" s="10" t="str">
        <f t="shared" si="505"/>
        <v>MarçoSEMANA 3Margarina Qualy 500 g</v>
      </c>
      <c r="AD795" s="7">
        <f>SUMIF(NF!$A:$A,$AC795,NF!$I:$I)</f>
        <v>0</v>
      </c>
      <c r="AE795" s="6"/>
      <c r="AF795" s="6"/>
      <c r="AG795" s="6">
        <v>0.5</v>
      </c>
      <c r="AH795" s="6"/>
      <c r="AI795" s="6">
        <v>1</v>
      </c>
      <c r="AJ795" s="6"/>
      <c r="AK795" s="6">
        <v>0.5</v>
      </c>
      <c r="AL795" s="7">
        <f t="shared" si="500"/>
        <v>2</v>
      </c>
      <c r="AM795" s="11">
        <f t="shared" si="440"/>
        <v>2</v>
      </c>
      <c r="AN795" s="25"/>
      <c r="AO795" s="10" t="str">
        <f t="shared" si="506"/>
        <v>MarçoSEMANA 4Margarina Qualy 500 g</v>
      </c>
      <c r="AP795" s="7">
        <f>SUMIF(NF!$A:$A,$AO795,NF!$I:$I)</f>
        <v>6</v>
      </c>
      <c r="AQ795" s="6"/>
      <c r="AR795" s="6"/>
      <c r="AS795" s="6"/>
      <c r="AT795" s="6">
        <v>1</v>
      </c>
      <c r="AU795" s="6"/>
      <c r="AV795" s="6">
        <v>0.5</v>
      </c>
      <c r="AW795" s="6"/>
      <c r="AX795" s="7">
        <f t="shared" si="501"/>
        <v>1.5</v>
      </c>
      <c r="AY795" s="11">
        <f t="shared" si="443"/>
        <v>6.5</v>
      </c>
      <c r="AZ795" s="25"/>
      <c r="BA795" s="10" t="str">
        <f t="shared" si="507"/>
        <v>MarçoSEMANA 5Margarina Qualy 500 g</v>
      </c>
      <c r="BB795" s="7">
        <f>SUMIF(NF!$A:$A,$BA795,NF!$I:$I)</f>
        <v>0</v>
      </c>
      <c r="BC795" s="6">
        <v>0.5</v>
      </c>
      <c r="BD795" s="6"/>
      <c r="BE795" s="6">
        <v>1</v>
      </c>
      <c r="BF795" s="6"/>
      <c r="BG795" s="6"/>
      <c r="BH795" s="6">
        <v>1</v>
      </c>
      <c r="BI795" s="74"/>
      <c r="BJ795" s="74"/>
      <c r="BK795" s="7">
        <f t="shared" si="502"/>
        <v>2.5</v>
      </c>
      <c r="BL795" s="8">
        <f t="shared" si="446"/>
        <v>4</v>
      </c>
      <c r="BM795" s="51" t="str">
        <f>IFERROR(VLOOKUP(A795,NF!$M:$O,3,0),"")</f>
        <v>Mercado</v>
      </c>
      <c r="BN795" s="7">
        <f t="shared" si="447"/>
        <v>8</v>
      </c>
      <c r="BO795" s="8">
        <f t="array" ref="BO795">IFERROR(LARGE(IF(NF!$G$2:$G$3137='Mês atual'!A795,NF!$J$2:$J$3137),1),0)*BN795</f>
        <v>65.36</v>
      </c>
      <c r="BP795" s="50"/>
      <c r="BR795" s="146">
        <f t="array" ref="BR795">IFERROR(LARGE(IF(NF!$G$2:$G$3137='Mês atual'!A795,NF!$J$2:$J$3137),1),0)</f>
        <v>8.17</v>
      </c>
      <c r="BS795" s="142" t="str">
        <f>VLOOKUP(A795,NF!M:O,3,0)</f>
        <v>Mercado</v>
      </c>
      <c r="BV795" s="74">
        <f t="shared" si="488"/>
        <v>0.5</v>
      </c>
      <c r="BW795" s="74">
        <f t="shared" si="489"/>
        <v>1.5</v>
      </c>
      <c r="BX795" s="74">
        <f t="shared" si="490"/>
        <v>2</v>
      </c>
      <c r="BY795" s="74">
        <f t="shared" si="491"/>
        <v>1.5</v>
      </c>
      <c r="BZ795" s="74">
        <f t="shared" si="492"/>
        <v>2.5</v>
      </c>
    </row>
    <row r="796" spans="1:78" x14ac:dyDescent="0.2">
      <c r="A796" s="108" t="s">
        <v>506</v>
      </c>
      <c r="B796" s="12"/>
      <c r="C796" s="9">
        <f>6*12</f>
        <v>72</v>
      </c>
      <c r="D796" s="25"/>
      <c r="E796" s="10" t="str">
        <f t="shared" si="503"/>
        <v>MarçoSEMANA 1Massa de Harumaki</v>
      </c>
      <c r="F796" s="7">
        <f>SUMIF(NF!$A:$A,$E796,NF!$I:$I)</f>
        <v>180</v>
      </c>
      <c r="G796" s="74"/>
      <c r="H796" s="74"/>
      <c r="I796" s="74"/>
      <c r="J796" s="6"/>
      <c r="K796" s="6"/>
      <c r="L796" s="6">
        <f>3*12</f>
        <v>36</v>
      </c>
      <c r="M796" s="6"/>
      <c r="N796" s="7">
        <f t="shared" si="498"/>
        <v>36</v>
      </c>
      <c r="O796" s="11">
        <f t="shared" si="434"/>
        <v>216</v>
      </c>
      <c r="P796" s="25"/>
      <c r="Q796" s="10" t="str">
        <f t="shared" si="504"/>
        <v>MarçoSEMANA 2Massa de Harumaki</v>
      </c>
      <c r="R796" s="7">
        <f>SUMIF(NF!$A:$A,$Q796,NF!$I:$I)</f>
        <v>0</v>
      </c>
      <c r="S796" s="6"/>
      <c r="T796" s="6"/>
      <c r="U796" s="6">
        <v>216</v>
      </c>
      <c r="V796" s="6"/>
      <c r="W796" s="6"/>
      <c r="X796" s="6"/>
      <c r="Y796" s="6"/>
      <c r="Z796" s="7">
        <f t="shared" si="499"/>
        <v>216</v>
      </c>
      <c r="AA796" s="11">
        <f t="shared" si="437"/>
        <v>0</v>
      </c>
      <c r="AB796" s="25"/>
      <c r="AC796" s="10" t="str">
        <f t="shared" si="505"/>
        <v>MarçoSEMANA 3Massa de Harumaki</v>
      </c>
      <c r="AD796" s="7">
        <f>SUMIF(NF!$A:$A,$AC796,NF!$I:$I)</f>
        <v>0</v>
      </c>
      <c r="AE796" s="6"/>
      <c r="AF796" s="6"/>
      <c r="AG796" s="6"/>
      <c r="AH796" s="6"/>
      <c r="AI796" s="6"/>
      <c r="AJ796" s="6"/>
      <c r="AK796" s="6"/>
      <c r="AL796" s="7">
        <f t="shared" si="500"/>
        <v>0</v>
      </c>
      <c r="AM796" s="11">
        <f t="shared" si="440"/>
        <v>0</v>
      </c>
      <c r="AN796" s="25"/>
      <c r="AO796" s="10" t="str">
        <f t="shared" si="506"/>
        <v>MarçoSEMANA 4Massa de Harumaki</v>
      </c>
      <c r="AP796" s="7">
        <f>SUMIF(NF!$A:$A,$AO796,NF!$I:$I)</f>
        <v>228</v>
      </c>
      <c r="AQ796" s="6"/>
      <c r="AR796" s="6"/>
      <c r="AS796" s="6">
        <v>156</v>
      </c>
      <c r="AT796" s="6"/>
      <c r="AU796" s="6"/>
      <c r="AV796" s="6"/>
      <c r="AW796" s="6"/>
      <c r="AX796" s="7">
        <f t="shared" si="501"/>
        <v>156</v>
      </c>
      <c r="AY796" s="11">
        <f t="shared" si="443"/>
        <v>72</v>
      </c>
      <c r="AZ796" s="25"/>
      <c r="BA796" s="10" t="str">
        <f t="shared" si="507"/>
        <v>MarçoSEMANA 5Massa de Harumaki</v>
      </c>
      <c r="BB796" s="7">
        <f>SUMIF(NF!$A:$A,$BA796,NF!$I:$I)</f>
        <v>180</v>
      </c>
      <c r="BC796" s="6"/>
      <c r="BD796" s="6"/>
      <c r="BE796" s="6"/>
      <c r="BF796" s="6"/>
      <c r="BG796" s="6"/>
      <c r="BH796" s="6"/>
      <c r="BI796" s="74"/>
      <c r="BJ796" s="74"/>
      <c r="BK796" s="7">
        <f t="shared" si="502"/>
        <v>0</v>
      </c>
      <c r="BL796" s="8">
        <f t="shared" si="446"/>
        <v>252</v>
      </c>
      <c r="BM796" s="51" t="str">
        <f>IFERROR(VLOOKUP(A796,NF!$M:$O,3,0),"")</f>
        <v>Mercado</v>
      </c>
      <c r="BN796" s="7">
        <f t="shared" si="447"/>
        <v>408</v>
      </c>
      <c r="BO796" s="8">
        <f t="array" ref="BO796">IFERROR(LARGE(IF(NF!$G$2:$G$3137='Mês atual'!A796,NF!$J$2:$J$3137),1),0)*BN796</f>
        <v>234.94000000000003</v>
      </c>
      <c r="BP796" s="50"/>
      <c r="BR796" s="146">
        <f t="array" ref="BR796">IFERROR(LARGE(IF(NF!$G$2:$G$3137='Mês atual'!A796,NF!$J$2:$J$3137),1),0)</f>
        <v>0.57583333333333342</v>
      </c>
      <c r="BS796" s="142" t="str">
        <f>VLOOKUP(A796,NF!M:O,3,0)</f>
        <v>Mercado</v>
      </c>
      <c r="BV796" s="74">
        <f t="shared" si="488"/>
        <v>36</v>
      </c>
      <c r="BW796" s="74">
        <f t="shared" si="489"/>
        <v>216</v>
      </c>
      <c r="BX796" s="74">
        <f t="shared" si="490"/>
        <v>0</v>
      </c>
      <c r="BY796" s="74">
        <f t="shared" si="491"/>
        <v>156</v>
      </c>
      <c r="BZ796" s="74">
        <f t="shared" si="492"/>
        <v>0</v>
      </c>
    </row>
    <row r="797" spans="1:78" x14ac:dyDescent="0.2">
      <c r="A797" s="108" t="s">
        <v>507</v>
      </c>
      <c r="B797" s="12"/>
      <c r="C797" s="9">
        <v>33.54</v>
      </c>
      <c r="D797" s="25"/>
      <c r="E797" s="10" t="str">
        <f t="shared" si="503"/>
        <v>MarçoSEMANA 1Massa de Pastel</v>
      </c>
      <c r="F797" s="7">
        <f>SUMIF(NF!$A:$A,$E797,NF!$I:$I)</f>
        <v>0</v>
      </c>
      <c r="G797" s="74"/>
      <c r="H797" s="74"/>
      <c r="I797" s="74"/>
      <c r="J797" s="6">
        <f>8.255+1.84</f>
        <v>10.095000000000001</v>
      </c>
      <c r="K797" s="6">
        <v>7.415</v>
      </c>
      <c r="L797" s="6"/>
      <c r="M797" s="6">
        <v>7.14</v>
      </c>
      <c r="N797" s="7">
        <f t="shared" si="498"/>
        <v>24.650000000000002</v>
      </c>
      <c r="O797" s="11">
        <f t="shared" si="434"/>
        <v>8.889999999999997</v>
      </c>
      <c r="P797" s="25"/>
      <c r="Q797" s="10" t="str">
        <f t="shared" si="504"/>
        <v>MarçoSEMANA 2Massa de Pastel</v>
      </c>
      <c r="R797" s="7">
        <f>SUMIF(NF!$A:$A,$Q797,NF!$I:$I)</f>
        <v>28.16</v>
      </c>
      <c r="S797" s="6">
        <v>8.4</v>
      </c>
      <c r="T797" s="6">
        <v>4.6580000000000004</v>
      </c>
      <c r="U797" s="6"/>
      <c r="V797" s="6">
        <v>8.35</v>
      </c>
      <c r="W797" s="6">
        <v>4.76</v>
      </c>
      <c r="X797" s="6"/>
      <c r="Y797" s="6">
        <v>7.4349999999999996</v>
      </c>
      <c r="Z797" s="7">
        <f t="shared" si="499"/>
        <v>33.603000000000002</v>
      </c>
      <c r="AA797" s="11">
        <f t="shared" si="437"/>
        <v>3.4469999999999956</v>
      </c>
      <c r="AB797" s="25"/>
      <c r="AC797" s="10" t="str">
        <f t="shared" si="505"/>
        <v>MarçoSEMANA 3Massa de Pastel</v>
      </c>
      <c r="AD797" s="7">
        <f>SUMIF(NF!$A:$A,$AC797,NF!$I:$I)</f>
        <v>32.700000000000003</v>
      </c>
      <c r="AE797" s="6">
        <v>7.4139999999999997</v>
      </c>
      <c r="AF797" s="6"/>
      <c r="AG797" s="6"/>
      <c r="AH797" s="6">
        <v>7.4050000000000002</v>
      </c>
      <c r="AI797" s="6">
        <v>7.4</v>
      </c>
      <c r="AJ797" s="6"/>
      <c r="AK797" s="6">
        <v>3.58</v>
      </c>
      <c r="AL797" s="7">
        <f t="shared" si="500"/>
        <v>25.798999999999999</v>
      </c>
      <c r="AM797" s="11">
        <f t="shared" si="440"/>
        <v>10.347999999999999</v>
      </c>
      <c r="AN797" s="25"/>
      <c r="AO797" s="10" t="str">
        <f t="shared" si="506"/>
        <v>MarçoSEMANA 4Massa de Pastel</v>
      </c>
      <c r="AP797" s="7">
        <f>SUMIF(NF!$A:$A,$AO797,NF!$I:$I)</f>
        <v>28.06</v>
      </c>
      <c r="AQ797" s="6">
        <v>6.57</v>
      </c>
      <c r="AR797" s="6"/>
      <c r="AS797" s="6"/>
      <c r="AT797" s="6">
        <v>7.4749999999999996</v>
      </c>
      <c r="AU797" s="6">
        <v>7.4550000000000001</v>
      </c>
      <c r="AV797" s="6"/>
      <c r="AW797" s="6">
        <v>7.4649999999999999</v>
      </c>
      <c r="AX797" s="7">
        <f t="shared" si="501"/>
        <v>28.965</v>
      </c>
      <c r="AY797" s="11">
        <f t="shared" si="443"/>
        <v>9.4430000000000014</v>
      </c>
      <c r="AZ797" s="25"/>
      <c r="BA797" s="10" t="str">
        <f t="shared" si="507"/>
        <v>MarçoSEMANA 5Massa de Pastel</v>
      </c>
      <c r="BB797" s="7">
        <f>SUMIF(NF!$A:$A,$BA797,NF!$I:$I)</f>
        <v>27.92</v>
      </c>
      <c r="BC797" s="6">
        <v>6.5449999999999999</v>
      </c>
      <c r="BD797" s="6"/>
      <c r="BE797" s="6"/>
      <c r="BF797" s="6">
        <f>6.7+1.854-0.9</f>
        <v>7.6539999999999999</v>
      </c>
      <c r="BG797" s="6">
        <v>5.5460000000000003</v>
      </c>
      <c r="BH797" s="6"/>
      <c r="BI797" s="74"/>
      <c r="BJ797" s="74"/>
      <c r="BK797" s="7">
        <f t="shared" si="502"/>
        <v>19.745000000000001</v>
      </c>
      <c r="BL797" s="8">
        <f t="shared" si="446"/>
        <v>17.617999999999999</v>
      </c>
      <c r="BM797" s="51" t="str">
        <f>IFERROR(VLOOKUP(A797,NF!$M:$O,3,0),"")</f>
        <v>Mercado</v>
      </c>
      <c r="BN797" s="7">
        <f t="shared" si="447"/>
        <v>132.762</v>
      </c>
      <c r="BO797" s="8">
        <f t="array" ref="BO797">IFERROR(LARGE(IF(NF!$G$2:$G$3137='Mês atual'!A797,NF!$J$2:$J$3137),1),0)*BN797</f>
        <v>998.56805157593112</v>
      </c>
      <c r="BP797" s="50"/>
      <c r="BR797" s="146">
        <f t="array" ref="BR797">IFERROR(LARGE(IF(NF!$G$2:$G$3137='Mês atual'!A797,NF!$J$2:$J$3137),1),0)</f>
        <v>7.5214899713467043</v>
      </c>
      <c r="BS797" s="142" t="str">
        <f>VLOOKUP(A797,NF!M:O,3,0)</f>
        <v>Mercado</v>
      </c>
      <c r="BV797" s="74">
        <f t="shared" si="488"/>
        <v>24.650000000000002</v>
      </c>
      <c r="BW797" s="74">
        <f t="shared" si="489"/>
        <v>33.603000000000002</v>
      </c>
      <c r="BX797" s="74">
        <f t="shared" si="490"/>
        <v>25.798999999999999</v>
      </c>
      <c r="BY797" s="74">
        <f t="shared" si="491"/>
        <v>28.965</v>
      </c>
      <c r="BZ797" s="74">
        <f t="shared" si="492"/>
        <v>19.745000000000001</v>
      </c>
    </row>
    <row r="798" spans="1:78" x14ac:dyDescent="0.2">
      <c r="A798" s="108" t="s">
        <v>508</v>
      </c>
      <c r="B798" s="12"/>
      <c r="C798" s="9">
        <v>0</v>
      </c>
      <c r="D798" s="25"/>
      <c r="E798" s="10" t="str">
        <f t="shared" si="503"/>
        <v>MarçoSEMANA 1Massa Paglia e Fieno</v>
      </c>
      <c r="F798" s="7">
        <f>SUMIF(NF!$A:$A,$E798,NF!$I:$I)</f>
        <v>0</v>
      </c>
      <c r="G798" s="74"/>
      <c r="H798" s="74"/>
      <c r="I798" s="74"/>
      <c r="J798" s="6"/>
      <c r="K798" s="6"/>
      <c r="L798" s="6"/>
      <c r="M798" s="6"/>
      <c r="N798" s="7">
        <f t="shared" si="498"/>
        <v>0</v>
      </c>
      <c r="O798" s="11">
        <f t="shared" si="434"/>
        <v>0</v>
      </c>
      <c r="P798" s="25"/>
      <c r="Q798" s="10" t="str">
        <f t="shared" si="504"/>
        <v>MarçoSEMANA 2Massa Paglia e Fieno</v>
      </c>
      <c r="R798" s="7">
        <f>SUMIF(NF!$A:$A,$Q798,NF!$I:$I)</f>
        <v>0</v>
      </c>
      <c r="S798" s="6"/>
      <c r="T798" s="6"/>
      <c r="U798" s="6"/>
      <c r="V798" s="6"/>
      <c r="W798" s="6"/>
      <c r="X798" s="6"/>
      <c r="Y798" s="6"/>
      <c r="Z798" s="7">
        <f t="shared" si="499"/>
        <v>0</v>
      </c>
      <c r="AA798" s="11">
        <f t="shared" si="437"/>
        <v>0</v>
      </c>
      <c r="AB798" s="25"/>
      <c r="AC798" s="10" t="str">
        <f t="shared" si="505"/>
        <v>MarçoSEMANA 3Massa Paglia e Fieno</v>
      </c>
      <c r="AD798" s="7">
        <f>SUMIF(NF!$A:$A,$AC798,NF!$I:$I)</f>
        <v>0</v>
      </c>
      <c r="AE798" s="6"/>
      <c r="AF798" s="6"/>
      <c r="AG798" s="6"/>
      <c r="AH798" s="6"/>
      <c r="AI798" s="6"/>
      <c r="AJ798" s="6"/>
      <c r="AK798" s="6"/>
      <c r="AL798" s="7">
        <f t="shared" si="500"/>
        <v>0</v>
      </c>
      <c r="AM798" s="11">
        <f t="shared" si="440"/>
        <v>0</v>
      </c>
      <c r="AN798" s="25"/>
      <c r="AO798" s="10" t="str">
        <f t="shared" si="506"/>
        <v>MarçoSEMANA 4Massa Paglia e Fieno</v>
      </c>
      <c r="AP798" s="7">
        <f>SUMIF(NF!$A:$A,$AO798,NF!$I:$I)</f>
        <v>0</v>
      </c>
      <c r="AQ798" s="6"/>
      <c r="AR798" s="6"/>
      <c r="AS798" s="6"/>
      <c r="AT798" s="6"/>
      <c r="AU798" s="6"/>
      <c r="AV798" s="6"/>
      <c r="AW798" s="6"/>
      <c r="AX798" s="7">
        <f t="shared" si="501"/>
        <v>0</v>
      </c>
      <c r="AY798" s="11">
        <f t="shared" si="443"/>
        <v>0</v>
      </c>
      <c r="AZ798" s="25"/>
      <c r="BA798" s="10" t="str">
        <f t="shared" si="507"/>
        <v>MarçoSEMANA 5Massa Paglia e Fieno</v>
      </c>
      <c r="BB798" s="7">
        <f>SUMIF(NF!$A:$A,$BA798,NF!$I:$I)</f>
        <v>0</v>
      </c>
      <c r="BC798" s="6"/>
      <c r="BD798" s="6"/>
      <c r="BE798" s="6"/>
      <c r="BF798" s="6"/>
      <c r="BG798" s="6"/>
      <c r="BH798" s="6"/>
      <c r="BI798" s="74"/>
      <c r="BJ798" s="74"/>
      <c r="BK798" s="7">
        <f t="shared" si="502"/>
        <v>0</v>
      </c>
      <c r="BL798" s="8">
        <f t="shared" si="446"/>
        <v>0</v>
      </c>
      <c r="BM798" s="51" t="str">
        <f>IFERROR(VLOOKUP(A798,NF!$M:$O,3,0),"")</f>
        <v>Mercado</v>
      </c>
      <c r="BN798" s="7">
        <f t="shared" si="447"/>
        <v>0</v>
      </c>
      <c r="BO798" s="8">
        <f t="array" ref="BO798">IFERROR(LARGE(IF(NF!$G$2:$G$3137='Mês atual'!A798,NF!$J$2:$J$3137),1),0)*BN798</f>
        <v>0</v>
      </c>
      <c r="BP798" s="50"/>
      <c r="BR798" s="146">
        <f t="array" ref="BR798">IFERROR(LARGE(IF(NF!$G$2:$G$3137='Mês atual'!A798,NF!$J$2:$J$3137),1),0)</f>
        <v>0</v>
      </c>
      <c r="BS798" s="142" t="str">
        <f>VLOOKUP(A798,NF!M:O,3,0)</f>
        <v>Mercado</v>
      </c>
      <c r="BV798" s="74">
        <f t="shared" si="488"/>
        <v>0</v>
      </c>
      <c r="BW798" s="74">
        <f t="shared" si="489"/>
        <v>0</v>
      </c>
      <c r="BX798" s="74">
        <f t="shared" si="490"/>
        <v>0</v>
      </c>
      <c r="BY798" s="74">
        <f t="shared" si="491"/>
        <v>0</v>
      </c>
      <c r="BZ798" s="74">
        <f t="shared" si="492"/>
        <v>0</v>
      </c>
    </row>
    <row r="799" spans="1:78" x14ac:dyDescent="0.2">
      <c r="A799" s="108" t="s">
        <v>509</v>
      </c>
      <c r="B799" s="12"/>
      <c r="C799" s="9">
        <v>0</v>
      </c>
      <c r="D799" s="25"/>
      <c r="E799" s="10" t="str">
        <f t="shared" si="503"/>
        <v>MarçoSEMANA 1Massa para Lasanha</v>
      </c>
      <c r="F799" s="7">
        <f>SUMIF(NF!$A:$A,$E799,NF!$I:$I)</f>
        <v>0</v>
      </c>
      <c r="G799" s="74"/>
      <c r="H799" s="74"/>
      <c r="I799" s="74"/>
      <c r="J799" s="6"/>
      <c r="K799" s="6"/>
      <c r="L799" s="6"/>
      <c r="M799" s="6"/>
      <c r="N799" s="7">
        <f t="shared" si="498"/>
        <v>0</v>
      </c>
      <c r="O799" s="11">
        <f t="shared" si="434"/>
        <v>0</v>
      </c>
      <c r="P799" s="25"/>
      <c r="Q799" s="10" t="str">
        <f t="shared" si="504"/>
        <v>MarçoSEMANA 2Massa para Lasanha</v>
      </c>
      <c r="R799" s="7">
        <f>SUMIF(NF!$A:$A,$Q799,NF!$I:$I)</f>
        <v>14.9</v>
      </c>
      <c r="S799" s="6"/>
      <c r="T799" s="6"/>
      <c r="U799" s="6"/>
      <c r="V799" s="6"/>
      <c r="W799" s="6"/>
      <c r="X799" s="6"/>
      <c r="Y799" s="6">
        <v>2</v>
      </c>
      <c r="Z799" s="7">
        <f t="shared" si="499"/>
        <v>2</v>
      </c>
      <c r="AA799" s="11">
        <f t="shared" si="437"/>
        <v>12.9</v>
      </c>
      <c r="AB799" s="25"/>
      <c r="AC799" s="10" t="str">
        <f t="shared" si="505"/>
        <v>MarçoSEMANA 3Massa para Lasanha</v>
      </c>
      <c r="AD799" s="7">
        <f>SUMIF(NF!$A:$A,$AC799,NF!$I:$I)</f>
        <v>0</v>
      </c>
      <c r="AE799" s="6"/>
      <c r="AF799" s="6"/>
      <c r="AG799" s="6"/>
      <c r="AH799" s="6"/>
      <c r="AI799" s="6">
        <v>3.32</v>
      </c>
      <c r="AJ799" s="6"/>
      <c r="AK799" s="6"/>
      <c r="AL799" s="7">
        <f t="shared" si="500"/>
        <v>3.32</v>
      </c>
      <c r="AM799" s="11">
        <f t="shared" si="440"/>
        <v>9.58</v>
      </c>
      <c r="AN799" s="25"/>
      <c r="AO799" s="10" t="str">
        <f t="shared" si="506"/>
        <v>MarçoSEMANA 4Massa para Lasanha</v>
      </c>
      <c r="AP799" s="7">
        <f>SUMIF(NF!$A:$A,$AO799,NF!$I:$I)</f>
        <v>0</v>
      </c>
      <c r="AQ799" s="6"/>
      <c r="AR799" s="6">
        <f>4.538-2</f>
        <v>2.5380000000000003</v>
      </c>
      <c r="AS799" s="6"/>
      <c r="AT799" s="6"/>
      <c r="AU799" s="6"/>
      <c r="AV799" s="6"/>
      <c r="AW799" s="6">
        <v>2.1</v>
      </c>
      <c r="AX799" s="7">
        <f t="shared" si="501"/>
        <v>4.6379999999999999</v>
      </c>
      <c r="AY799" s="11">
        <f t="shared" si="443"/>
        <v>4.9420000000000002</v>
      </c>
      <c r="AZ799" s="25"/>
      <c r="BA799" s="10" t="str">
        <f t="shared" si="507"/>
        <v>MarçoSEMANA 5Massa para Lasanha</v>
      </c>
      <c r="BB799" s="7">
        <f>SUMIF(NF!$A:$A,$BA799,NF!$I:$I)</f>
        <v>0</v>
      </c>
      <c r="BC799" s="6"/>
      <c r="BD799" s="6">
        <v>2.94</v>
      </c>
      <c r="BE799" s="6"/>
      <c r="BF799" s="6"/>
      <c r="BG799" s="6"/>
      <c r="BH799" s="6">
        <v>2</v>
      </c>
      <c r="BI799" s="74"/>
      <c r="BJ799" s="74"/>
      <c r="BK799" s="7">
        <f t="shared" si="502"/>
        <v>4.9399999999999995</v>
      </c>
      <c r="BL799" s="8">
        <f t="shared" si="446"/>
        <v>2.0000000000006679E-3</v>
      </c>
      <c r="BM799" s="51" t="str">
        <f>IFERROR(VLOOKUP(A799,NF!$M:$O,3,0),"")</f>
        <v>Mercado</v>
      </c>
      <c r="BN799" s="7">
        <f t="shared" si="447"/>
        <v>14.898</v>
      </c>
      <c r="BO799" s="8">
        <f t="array" ref="BO799">IFERROR(LARGE(IF(NF!$G$2:$G$3137='Mês atual'!A799,NF!$J$2:$J$3137),1),0)*BN799</f>
        <v>147.49020000000002</v>
      </c>
      <c r="BP799" s="50"/>
      <c r="BR799" s="146">
        <f t="array" ref="BR799">IFERROR(LARGE(IF(NF!$G$2:$G$3137='Mês atual'!A799,NF!$J$2:$J$3137),1),0)</f>
        <v>9.9</v>
      </c>
      <c r="BS799" s="142" t="str">
        <f>VLOOKUP(A799,NF!M:O,3,0)</f>
        <v>Mercado</v>
      </c>
      <c r="BV799" s="74">
        <f t="shared" si="488"/>
        <v>0</v>
      </c>
      <c r="BW799" s="74">
        <f t="shared" si="489"/>
        <v>2</v>
      </c>
      <c r="BX799" s="74">
        <f t="shared" si="490"/>
        <v>3.32</v>
      </c>
      <c r="BY799" s="74">
        <f t="shared" si="491"/>
        <v>4.6379999999999999</v>
      </c>
      <c r="BZ799" s="74">
        <f t="shared" si="492"/>
        <v>4.9399999999999995</v>
      </c>
    </row>
    <row r="800" spans="1:78" x14ac:dyDescent="0.25">
      <c r="A800" s="108" t="s">
        <v>515</v>
      </c>
      <c r="B800" s="12"/>
      <c r="C800" s="9">
        <v>0</v>
      </c>
      <c r="D800" s="25"/>
      <c r="E800" s="10" t="str">
        <f t="shared" si="503"/>
        <v>MarçoSEMANA 1Mel Orgânico</v>
      </c>
      <c r="F800" s="7">
        <f>SUMIF(NF!$A:$A,$E800,NF!$I:$I)</f>
        <v>0</v>
      </c>
      <c r="G800" s="74"/>
      <c r="H800" s="74"/>
      <c r="I800" s="74"/>
      <c r="J800" s="6"/>
      <c r="K800" s="6"/>
      <c r="L800" s="6"/>
      <c r="M800" s="6"/>
      <c r="N800" s="7">
        <f t="shared" si="498"/>
        <v>0</v>
      </c>
      <c r="O800" s="11">
        <f t="shared" si="434"/>
        <v>0</v>
      </c>
      <c r="P800" s="25"/>
      <c r="Q800" s="10" t="str">
        <f t="shared" si="504"/>
        <v>MarçoSEMANA 2Mel Orgânico</v>
      </c>
      <c r="R800" s="7">
        <f>SUMIF(NF!$A:$A,$Q800,NF!$I:$I)</f>
        <v>0</v>
      </c>
      <c r="S800" s="6"/>
      <c r="T800" s="6"/>
      <c r="U800" s="6"/>
      <c r="V800" s="6"/>
      <c r="W800" s="6"/>
      <c r="X800" s="6"/>
      <c r="Y800" s="6"/>
      <c r="Z800" s="7">
        <f t="shared" si="499"/>
        <v>0</v>
      </c>
      <c r="AA800" s="11">
        <f t="shared" si="437"/>
        <v>0</v>
      </c>
      <c r="AB800" s="25"/>
      <c r="AC800" s="10" t="str">
        <f t="shared" si="505"/>
        <v>MarçoSEMANA 3Mel Orgânico</v>
      </c>
      <c r="AD800" s="7">
        <f>SUMIF(NF!$A:$A,$AC800,NF!$I:$I)</f>
        <v>0</v>
      </c>
      <c r="AE800" s="6"/>
      <c r="AF800" s="6"/>
      <c r="AG800" s="6"/>
      <c r="AH800" s="6"/>
      <c r="AI800" s="6"/>
      <c r="AJ800" s="6"/>
      <c r="AK800" s="6"/>
      <c r="AL800" s="7">
        <f t="shared" si="500"/>
        <v>0</v>
      </c>
      <c r="AM800" s="11">
        <f t="shared" si="440"/>
        <v>0</v>
      </c>
      <c r="AN800" s="25"/>
      <c r="AO800" s="10" t="str">
        <f t="shared" si="506"/>
        <v>MarçoSEMANA 4Mel Orgânico</v>
      </c>
      <c r="AP800" s="7">
        <f>SUMIF(NF!$A:$A,$AO800,NF!$I:$I)</f>
        <v>0</v>
      </c>
      <c r="AQ800" s="6"/>
      <c r="AR800" s="6"/>
      <c r="AS800" s="6"/>
      <c r="AT800" s="6"/>
      <c r="AU800" s="6"/>
      <c r="AV800" s="6"/>
      <c r="AW800" s="6"/>
      <c r="AX800" s="7">
        <f t="shared" si="501"/>
        <v>0</v>
      </c>
      <c r="AY800" s="11">
        <f t="shared" si="443"/>
        <v>0</v>
      </c>
      <c r="AZ800" s="25"/>
      <c r="BA800" s="10" t="str">
        <f t="shared" si="507"/>
        <v>MarçoSEMANA 5Mel Orgânico</v>
      </c>
      <c r="BB800" s="7">
        <f>SUMIF(NF!$A:$A,$BA800,NF!$I:$I)</f>
        <v>0</v>
      </c>
      <c r="BC800" s="6"/>
      <c r="BD800" s="6"/>
      <c r="BE800" s="6"/>
      <c r="BF800" s="6"/>
      <c r="BG800" s="6"/>
      <c r="BH800" s="6"/>
      <c r="BI800" s="74"/>
      <c r="BJ800" s="74"/>
      <c r="BK800" s="7">
        <f t="shared" si="502"/>
        <v>0</v>
      </c>
      <c r="BL800" s="8">
        <f t="shared" si="446"/>
        <v>0</v>
      </c>
      <c r="BM800" s="51" t="str">
        <f>IFERROR(VLOOKUP(A800,NF!$M:$O,3,0),"")</f>
        <v>Mercado</v>
      </c>
      <c r="BN800" s="7">
        <f t="shared" si="447"/>
        <v>0</v>
      </c>
      <c r="BO800" s="8">
        <f t="array" ref="BO800">IFERROR(LARGE(IF(NF!$G$2:$G$3137='Mês atual'!A800,NF!$J$2:$J$3137),1),0)*BN800</f>
        <v>0</v>
      </c>
      <c r="BP800" s="50"/>
      <c r="BR800" s="146">
        <f t="array" ref="BR800">IFERROR(LARGE(IF(NF!$G$2:$G$3137='Mês atual'!A800,NF!$J$2:$J$3137),1),0)</f>
        <v>0</v>
      </c>
      <c r="BS800" s="142" t="str">
        <f>VLOOKUP(A800,NF!M:O,3,0)</f>
        <v>Mercado</v>
      </c>
      <c r="BV800" s="74">
        <f t="shared" si="488"/>
        <v>0</v>
      </c>
      <c r="BW800" s="74">
        <f t="shared" si="489"/>
        <v>0</v>
      </c>
      <c r="BX800" s="74">
        <f t="shared" si="490"/>
        <v>0</v>
      </c>
      <c r="BY800" s="74">
        <f t="shared" si="491"/>
        <v>0</v>
      </c>
      <c r="BZ800" s="74">
        <f t="shared" si="492"/>
        <v>0</v>
      </c>
    </row>
    <row r="801" spans="1:78" x14ac:dyDescent="0.2">
      <c r="A801" s="108" t="s">
        <v>521</v>
      </c>
      <c r="B801" s="12"/>
      <c r="C801" s="9">
        <v>1</v>
      </c>
      <c r="D801" s="25"/>
      <c r="E801" s="10" t="str">
        <f t="shared" si="503"/>
        <v>MarçoSEMANA 1Milho Mini Conserva lata 1,5 Kg</v>
      </c>
      <c r="F801" s="7">
        <f>SUMIF(NF!$A:$A,$E801,NF!$I:$I)</f>
        <v>0</v>
      </c>
      <c r="G801" s="74"/>
      <c r="H801" s="74"/>
      <c r="I801" s="74"/>
      <c r="J801" s="6"/>
      <c r="K801" s="6"/>
      <c r="L801" s="6"/>
      <c r="M801" s="6"/>
      <c r="N801" s="7">
        <f t="shared" si="498"/>
        <v>0</v>
      </c>
      <c r="O801" s="11">
        <f t="shared" si="434"/>
        <v>1</v>
      </c>
      <c r="P801" s="25"/>
      <c r="Q801" s="10" t="str">
        <f t="shared" si="504"/>
        <v>MarçoSEMANA 2Milho Mini Conserva lata 1,5 Kg</v>
      </c>
      <c r="R801" s="7">
        <f>SUMIF(NF!$A:$A,$Q801,NF!$I:$I)</f>
        <v>0</v>
      </c>
      <c r="S801" s="6"/>
      <c r="T801" s="6"/>
      <c r="U801" s="6"/>
      <c r="V801" s="6"/>
      <c r="W801" s="6"/>
      <c r="X801" s="6"/>
      <c r="Y801" s="6"/>
      <c r="Z801" s="7">
        <f t="shared" si="499"/>
        <v>0</v>
      </c>
      <c r="AA801" s="11">
        <f t="shared" si="437"/>
        <v>1</v>
      </c>
      <c r="AB801" s="25"/>
      <c r="AC801" s="10" t="str">
        <f t="shared" si="505"/>
        <v>MarçoSEMANA 3Milho Mini Conserva lata 1,5 Kg</v>
      </c>
      <c r="AD801" s="7">
        <f>SUMIF(NF!$A:$A,$AC801,NF!$I:$I)</f>
        <v>0</v>
      </c>
      <c r="AE801" s="6"/>
      <c r="AF801" s="6"/>
      <c r="AG801" s="6"/>
      <c r="AH801" s="6"/>
      <c r="AI801" s="6"/>
      <c r="AJ801" s="6"/>
      <c r="AK801" s="6"/>
      <c r="AL801" s="7">
        <f t="shared" si="500"/>
        <v>0</v>
      </c>
      <c r="AM801" s="11">
        <f t="shared" si="440"/>
        <v>1</v>
      </c>
      <c r="AN801" s="25"/>
      <c r="AO801" s="10" t="str">
        <f t="shared" si="506"/>
        <v>MarçoSEMANA 4Milho Mini Conserva lata 1,5 Kg</v>
      </c>
      <c r="AP801" s="7">
        <f>SUMIF(NF!$A:$A,$AO801,NF!$I:$I)</f>
        <v>1</v>
      </c>
      <c r="AQ801" s="6"/>
      <c r="AR801" s="6">
        <v>1</v>
      </c>
      <c r="AS801" s="6"/>
      <c r="AT801" s="6"/>
      <c r="AU801" s="6"/>
      <c r="AV801" s="6"/>
      <c r="AW801" s="6"/>
      <c r="AX801" s="7">
        <f t="shared" si="501"/>
        <v>1</v>
      </c>
      <c r="AY801" s="11">
        <f t="shared" si="443"/>
        <v>1</v>
      </c>
      <c r="AZ801" s="25"/>
      <c r="BA801" s="10" t="str">
        <f t="shared" si="507"/>
        <v>MarçoSEMANA 5Milho Mini Conserva lata 1,5 Kg</v>
      </c>
      <c r="BB801" s="7">
        <f>SUMIF(NF!$A:$A,$BA801,NF!$I:$I)</f>
        <v>0</v>
      </c>
      <c r="BC801" s="6"/>
      <c r="BD801" s="6"/>
      <c r="BE801" s="6"/>
      <c r="BF801" s="6"/>
      <c r="BG801" s="6"/>
      <c r="BH801" s="6"/>
      <c r="BI801" s="74"/>
      <c r="BJ801" s="74"/>
      <c r="BK801" s="7">
        <f t="shared" si="502"/>
        <v>0</v>
      </c>
      <c r="BL801" s="8">
        <f t="shared" si="446"/>
        <v>1</v>
      </c>
      <c r="BM801" s="51" t="str">
        <f>IFERROR(VLOOKUP(A801,NF!$M:$O,3,0),"")</f>
        <v>Mercado</v>
      </c>
      <c r="BN801" s="7">
        <f t="shared" si="447"/>
        <v>1</v>
      </c>
      <c r="BO801" s="8">
        <f t="array" ref="BO801">IFERROR(LARGE(IF(NF!$G$2:$G$3137='Mês atual'!A801,NF!$J$2:$J$3137),1),0)*BN801</f>
        <v>30.4</v>
      </c>
      <c r="BP801" s="50"/>
      <c r="BR801" s="146">
        <f t="array" ref="BR801">IFERROR(LARGE(IF(NF!$G$2:$G$3137='Mês atual'!A801,NF!$J$2:$J$3137),1),0)</f>
        <v>30.4</v>
      </c>
      <c r="BS801" s="142" t="str">
        <f>VLOOKUP(A801,NF!M:O,3,0)</f>
        <v>Mercado</v>
      </c>
      <c r="BV801" s="74">
        <f t="shared" si="488"/>
        <v>0</v>
      </c>
      <c r="BW801" s="74">
        <f t="shared" si="489"/>
        <v>0</v>
      </c>
      <c r="BX801" s="74">
        <f t="shared" si="490"/>
        <v>0</v>
      </c>
      <c r="BY801" s="74">
        <f t="shared" si="491"/>
        <v>1</v>
      </c>
      <c r="BZ801" s="74">
        <f t="shared" si="492"/>
        <v>0</v>
      </c>
    </row>
    <row r="802" spans="1:78" x14ac:dyDescent="0.2">
      <c r="A802" s="108" t="s">
        <v>522</v>
      </c>
      <c r="B802" s="12"/>
      <c r="C802" s="9">
        <v>7</v>
      </c>
      <c r="D802" s="25"/>
      <c r="E802" s="10" t="str">
        <f t="shared" si="503"/>
        <v>MarçoSEMANA 1Milho Verde 2 Kg</v>
      </c>
      <c r="F802" s="7">
        <f>SUMIF(NF!$A:$A,$E802,NF!$I:$I)</f>
        <v>0</v>
      </c>
      <c r="G802" s="74"/>
      <c r="H802" s="74"/>
      <c r="I802" s="74"/>
      <c r="J802" s="6"/>
      <c r="K802" s="6"/>
      <c r="L802" s="6"/>
      <c r="M802" s="6">
        <v>1</v>
      </c>
      <c r="N802" s="7">
        <f t="shared" si="498"/>
        <v>1</v>
      </c>
      <c r="O802" s="11">
        <f t="shared" si="434"/>
        <v>6</v>
      </c>
      <c r="P802" s="25"/>
      <c r="Q802" s="10" t="str">
        <f t="shared" si="504"/>
        <v>MarçoSEMANA 2Milho Verde 2 Kg</v>
      </c>
      <c r="R802" s="7">
        <f>SUMIF(NF!$A:$A,$Q802,NF!$I:$I)</f>
        <v>0</v>
      </c>
      <c r="S802" s="6">
        <v>2</v>
      </c>
      <c r="T802" s="6"/>
      <c r="U802" s="6"/>
      <c r="V802" s="6"/>
      <c r="W802" s="6"/>
      <c r="X802" s="6"/>
      <c r="Y802" s="6">
        <v>1</v>
      </c>
      <c r="Z802" s="7">
        <f t="shared" si="499"/>
        <v>3</v>
      </c>
      <c r="AA802" s="11">
        <f t="shared" si="437"/>
        <v>3</v>
      </c>
      <c r="AB802" s="25"/>
      <c r="AC802" s="10" t="str">
        <f t="shared" si="505"/>
        <v>MarçoSEMANA 3Milho Verde 2 Kg</v>
      </c>
      <c r="AD802" s="7">
        <f>SUMIF(NF!$A:$A,$AC802,NF!$I:$I)</f>
        <v>6</v>
      </c>
      <c r="AE802" s="6"/>
      <c r="AF802" s="6"/>
      <c r="AG802" s="6"/>
      <c r="AH802" s="6">
        <v>1</v>
      </c>
      <c r="AI802" s="6"/>
      <c r="AJ802" s="6">
        <v>1</v>
      </c>
      <c r="AK802" s="6"/>
      <c r="AL802" s="7">
        <f t="shared" si="500"/>
        <v>2</v>
      </c>
      <c r="AM802" s="11">
        <f t="shared" si="440"/>
        <v>7</v>
      </c>
      <c r="AN802" s="25"/>
      <c r="AO802" s="10" t="str">
        <f t="shared" si="506"/>
        <v>MarçoSEMANA 4Milho Verde 2 Kg</v>
      </c>
      <c r="AP802" s="7">
        <f>SUMIF(NF!$A:$A,$AO802,NF!$I:$I)</f>
        <v>6</v>
      </c>
      <c r="AQ802" s="6">
        <v>2</v>
      </c>
      <c r="AR802" s="6">
        <v>2</v>
      </c>
      <c r="AS802" s="6">
        <v>1</v>
      </c>
      <c r="AT802" s="6"/>
      <c r="AU802" s="6"/>
      <c r="AV802" s="6"/>
      <c r="AW802" s="6"/>
      <c r="AX802" s="7">
        <f t="shared" si="501"/>
        <v>5</v>
      </c>
      <c r="AY802" s="11">
        <f t="shared" si="443"/>
        <v>8</v>
      </c>
      <c r="AZ802" s="25"/>
      <c r="BA802" s="10" t="str">
        <f t="shared" si="507"/>
        <v>MarçoSEMANA 5Milho Verde 2 Kg</v>
      </c>
      <c r="BB802" s="7">
        <f>SUMIF(NF!$A:$A,$BA802,NF!$I:$I)</f>
        <v>0</v>
      </c>
      <c r="BC802" s="6">
        <v>1</v>
      </c>
      <c r="BD802" s="6"/>
      <c r="BE802" s="6"/>
      <c r="BF802" s="6"/>
      <c r="BG802" s="6">
        <v>1</v>
      </c>
      <c r="BH802" s="6"/>
      <c r="BI802" s="74"/>
      <c r="BJ802" s="74"/>
      <c r="BK802" s="7">
        <f t="shared" si="502"/>
        <v>2</v>
      </c>
      <c r="BL802" s="8">
        <f t="shared" si="446"/>
        <v>6</v>
      </c>
      <c r="BM802" s="51" t="str">
        <f>IFERROR(VLOOKUP(A802,NF!$M:$O,3,0),"")</f>
        <v>Mercado</v>
      </c>
      <c r="BN802" s="7">
        <f t="shared" si="447"/>
        <v>13</v>
      </c>
      <c r="BO802" s="8">
        <f t="array" ref="BO802">IFERROR(LARGE(IF(NF!$G$2:$G$3137='Mês atual'!A802,NF!$J$2:$J$3137),1),0)*BN802</f>
        <v>117.51999999999998</v>
      </c>
      <c r="BP802" s="50"/>
      <c r="BR802" s="146">
        <f t="array" ref="BR802">IFERROR(LARGE(IF(NF!$G$2:$G$3137='Mês atual'!A802,NF!$J$2:$J$3137),1),0)</f>
        <v>9.0399999999999991</v>
      </c>
      <c r="BS802" s="142" t="str">
        <f>VLOOKUP(A802,NF!M:O,3,0)</f>
        <v>Mercado</v>
      </c>
      <c r="BV802" s="74">
        <f t="shared" si="488"/>
        <v>1</v>
      </c>
      <c r="BW802" s="74">
        <f t="shared" si="489"/>
        <v>3</v>
      </c>
      <c r="BX802" s="74">
        <f t="shared" si="490"/>
        <v>2</v>
      </c>
      <c r="BY802" s="74">
        <f t="shared" si="491"/>
        <v>5</v>
      </c>
      <c r="BZ802" s="74">
        <f t="shared" si="492"/>
        <v>2</v>
      </c>
    </row>
    <row r="803" spans="1:78" x14ac:dyDescent="0.2">
      <c r="A803" s="108" t="s">
        <v>523</v>
      </c>
      <c r="B803" s="12"/>
      <c r="C803" s="9">
        <v>7</v>
      </c>
      <c r="D803" s="25"/>
      <c r="E803" s="10" t="str">
        <f t="shared" si="503"/>
        <v>MarçoSEMANA 1Misso Shiro</v>
      </c>
      <c r="F803" s="7">
        <f>SUMIF(NF!$A:$A,$E803,NF!$I:$I)</f>
        <v>12</v>
      </c>
      <c r="G803" s="74"/>
      <c r="H803" s="74"/>
      <c r="I803" s="74"/>
      <c r="J803" s="6"/>
      <c r="K803" s="6">
        <v>2</v>
      </c>
      <c r="L803" s="6"/>
      <c r="M803" s="6">
        <v>1</v>
      </c>
      <c r="N803" s="7">
        <f t="shared" si="498"/>
        <v>3</v>
      </c>
      <c r="O803" s="11">
        <f t="shared" si="434"/>
        <v>16</v>
      </c>
      <c r="P803" s="25"/>
      <c r="Q803" s="10" t="str">
        <f t="shared" si="504"/>
        <v>MarçoSEMANA 2Misso Shiro</v>
      </c>
      <c r="R803" s="7">
        <f>SUMIF(NF!$A:$A,$Q803,NF!$I:$I)</f>
        <v>0</v>
      </c>
      <c r="S803" s="6"/>
      <c r="T803" s="6"/>
      <c r="U803" s="6"/>
      <c r="V803" s="6">
        <v>2</v>
      </c>
      <c r="W803" s="6"/>
      <c r="X803" s="6">
        <v>1</v>
      </c>
      <c r="Y803" s="6"/>
      <c r="Z803" s="7">
        <f t="shared" si="499"/>
        <v>3</v>
      </c>
      <c r="AA803" s="11">
        <f t="shared" si="437"/>
        <v>13</v>
      </c>
      <c r="AB803" s="25"/>
      <c r="AC803" s="10" t="str">
        <f t="shared" si="505"/>
        <v>MarçoSEMANA 3Misso Shiro</v>
      </c>
      <c r="AD803" s="7">
        <f>SUMIF(NF!$A:$A,$AC803,NF!$I:$I)</f>
        <v>0</v>
      </c>
      <c r="AE803" s="6">
        <v>1</v>
      </c>
      <c r="AF803" s="6"/>
      <c r="AG803" s="6">
        <v>1</v>
      </c>
      <c r="AH803" s="6"/>
      <c r="AI803" s="6"/>
      <c r="AJ803" s="6">
        <v>1</v>
      </c>
      <c r="AK803" s="6"/>
      <c r="AL803" s="7">
        <f t="shared" si="500"/>
        <v>3</v>
      </c>
      <c r="AM803" s="11">
        <f t="shared" si="440"/>
        <v>10</v>
      </c>
      <c r="AN803" s="25"/>
      <c r="AO803" s="10" t="str">
        <f t="shared" si="506"/>
        <v>MarçoSEMANA 4Misso Shiro</v>
      </c>
      <c r="AP803" s="7">
        <f>SUMIF(NF!$A:$A,$AO803,NF!$I:$I)</f>
        <v>0</v>
      </c>
      <c r="AQ803" s="6">
        <v>1</v>
      </c>
      <c r="AR803" s="6"/>
      <c r="AS803" s="6"/>
      <c r="AT803" s="6"/>
      <c r="AU803" s="6"/>
      <c r="AV803" s="6">
        <v>1</v>
      </c>
      <c r="AW803" s="6">
        <v>1</v>
      </c>
      <c r="AX803" s="7">
        <f t="shared" si="501"/>
        <v>3</v>
      </c>
      <c r="AY803" s="11">
        <f t="shared" si="443"/>
        <v>7</v>
      </c>
      <c r="AZ803" s="25"/>
      <c r="BA803" s="10" t="str">
        <f t="shared" si="507"/>
        <v>MarçoSEMANA 5Misso Shiro</v>
      </c>
      <c r="BB803" s="7">
        <f>SUMIF(NF!$A:$A,$BA803,NF!$I:$I)</f>
        <v>0</v>
      </c>
      <c r="BC803" s="6"/>
      <c r="BD803" s="6">
        <v>1</v>
      </c>
      <c r="BE803" s="6"/>
      <c r="BF803" s="6">
        <v>1</v>
      </c>
      <c r="BG803" s="6"/>
      <c r="BH803" s="6"/>
      <c r="BI803" s="74"/>
      <c r="BJ803" s="74"/>
      <c r="BK803" s="7">
        <f t="shared" si="502"/>
        <v>2</v>
      </c>
      <c r="BL803" s="8">
        <f t="shared" si="446"/>
        <v>5</v>
      </c>
      <c r="BM803" s="51" t="str">
        <f>IFERROR(VLOOKUP(A803,NF!$M:$O,3,0),"")</f>
        <v>Mercado</v>
      </c>
      <c r="BN803" s="7">
        <f t="shared" si="447"/>
        <v>14</v>
      </c>
      <c r="BO803" s="8">
        <f t="array" ref="BO803">IFERROR(LARGE(IF(NF!$G$2:$G$3137='Mês atual'!A803,NF!$J$2:$J$3137),1),0)*BN803</f>
        <v>190.26000000000002</v>
      </c>
      <c r="BP803" s="50"/>
      <c r="BR803" s="146">
        <f t="array" ref="BR803">IFERROR(LARGE(IF(NF!$G$2:$G$3137='Mês atual'!A803,NF!$J$2:$J$3137),1),0)</f>
        <v>13.590000000000002</v>
      </c>
      <c r="BS803" s="142" t="str">
        <f>VLOOKUP(A803,NF!M:O,3,0)</f>
        <v>Mercado</v>
      </c>
      <c r="BV803" s="74">
        <f t="shared" si="488"/>
        <v>3</v>
      </c>
      <c r="BW803" s="74">
        <f t="shared" si="489"/>
        <v>3</v>
      </c>
      <c r="BX803" s="74">
        <f t="shared" si="490"/>
        <v>3</v>
      </c>
      <c r="BY803" s="74">
        <f t="shared" si="491"/>
        <v>3</v>
      </c>
      <c r="BZ803" s="74">
        <f t="shared" si="492"/>
        <v>2</v>
      </c>
    </row>
    <row r="804" spans="1:78" x14ac:dyDescent="0.2">
      <c r="A804" s="108" t="s">
        <v>525</v>
      </c>
      <c r="B804" s="12"/>
      <c r="C804" s="9">
        <v>3</v>
      </c>
      <c r="D804" s="25"/>
      <c r="E804" s="10" t="str">
        <f t="shared" si="503"/>
        <v>MarçoSEMANA 1Molho de Peixe</v>
      </c>
      <c r="F804" s="7">
        <f>SUMIF(NF!$A:$A,$E804,NF!$I:$I)</f>
        <v>0</v>
      </c>
      <c r="G804" s="74"/>
      <c r="H804" s="74"/>
      <c r="I804" s="74"/>
      <c r="J804" s="6"/>
      <c r="K804" s="6"/>
      <c r="L804" s="6"/>
      <c r="M804" s="6"/>
      <c r="N804" s="7">
        <f t="shared" si="498"/>
        <v>0</v>
      </c>
      <c r="O804" s="11">
        <f t="shared" si="434"/>
        <v>3</v>
      </c>
      <c r="P804" s="25"/>
      <c r="Q804" s="10" t="str">
        <f t="shared" si="504"/>
        <v>MarçoSEMANA 2Molho de Peixe</v>
      </c>
      <c r="R804" s="7">
        <f>SUMIF(NF!$A:$A,$Q804,NF!$I:$I)</f>
        <v>0</v>
      </c>
      <c r="S804" s="6"/>
      <c r="T804" s="6"/>
      <c r="U804" s="6"/>
      <c r="V804" s="6"/>
      <c r="W804" s="6"/>
      <c r="X804" s="6"/>
      <c r="Y804" s="6"/>
      <c r="Z804" s="7">
        <f t="shared" si="499"/>
        <v>0</v>
      </c>
      <c r="AA804" s="11">
        <f t="shared" si="437"/>
        <v>3</v>
      </c>
      <c r="AB804" s="25"/>
      <c r="AC804" s="10" t="str">
        <f t="shared" si="505"/>
        <v>MarçoSEMANA 3Molho de Peixe</v>
      </c>
      <c r="AD804" s="7">
        <f>SUMIF(NF!$A:$A,$AC804,NF!$I:$I)</f>
        <v>0</v>
      </c>
      <c r="AE804" s="6"/>
      <c r="AF804" s="6"/>
      <c r="AG804" s="6"/>
      <c r="AH804" s="6"/>
      <c r="AI804" s="6"/>
      <c r="AJ804" s="6"/>
      <c r="AK804" s="6"/>
      <c r="AL804" s="7">
        <f t="shared" si="500"/>
        <v>0</v>
      </c>
      <c r="AM804" s="11">
        <f t="shared" si="440"/>
        <v>3</v>
      </c>
      <c r="AN804" s="25"/>
      <c r="AO804" s="10" t="str">
        <f t="shared" si="506"/>
        <v>MarçoSEMANA 4Molho de Peixe</v>
      </c>
      <c r="AP804" s="7">
        <f>SUMIF(NF!$A:$A,$AO804,NF!$I:$I)</f>
        <v>0</v>
      </c>
      <c r="AQ804" s="6"/>
      <c r="AR804" s="6"/>
      <c r="AS804" s="6"/>
      <c r="AT804" s="6"/>
      <c r="AU804" s="6"/>
      <c r="AV804" s="6"/>
      <c r="AW804" s="6"/>
      <c r="AX804" s="7">
        <f t="shared" si="501"/>
        <v>0</v>
      </c>
      <c r="AY804" s="11">
        <f t="shared" si="443"/>
        <v>3</v>
      </c>
      <c r="AZ804" s="25"/>
      <c r="BA804" s="10" t="str">
        <f t="shared" si="507"/>
        <v>MarçoSEMANA 5Molho de Peixe</v>
      </c>
      <c r="BB804" s="7">
        <f>SUMIF(NF!$A:$A,$BA804,NF!$I:$I)</f>
        <v>0</v>
      </c>
      <c r="BC804" s="6">
        <v>1</v>
      </c>
      <c r="BD804" s="6"/>
      <c r="BE804" s="6"/>
      <c r="BF804" s="6"/>
      <c r="BG804" s="6"/>
      <c r="BH804" s="6"/>
      <c r="BI804" s="74"/>
      <c r="BJ804" s="74"/>
      <c r="BK804" s="7">
        <f t="shared" si="502"/>
        <v>1</v>
      </c>
      <c r="BL804" s="8">
        <f t="shared" si="446"/>
        <v>2</v>
      </c>
      <c r="BM804" s="51" t="str">
        <f>IFERROR(VLOOKUP(A804,NF!$M:$O,3,0),"")</f>
        <v>Mercado</v>
      </c>
      <c r="BN804" s="7">
        <f t="shared" si="447"/>
        <v>1</v>
      </c>
      <c r="BO804" s="8">
        <f t="array" ref="BO804">IFERROR(LARGE(IF(NF!$G$2:$G$3137='Mês atual'!A804,NF!$J$2:$J$3137),1),0)*BN804</f>
        <v>0</v>
      </c>
      <c r="BP804" s="50"/>
      <c r="BR804" s="146">
        <f t="array" ref="BR804">IFERROR(LARGE(IF(NF!$G$2:$G$3137='Mês atual'!A804,NF!$J$2:$J$3137),1),0)</f>
        <v>0</v>
      </c>
      <c r="BS804" s="142" t="str">
        <f>VLOOKUP(A804,NF!M:O,3,0)</f>
        <v>Mercado</v>
      </c>
      <c r="BV804" s="74">
        <f t="shared" si="488"/>
        <v>0</v>
      </c>
      <c r="BW804" s="74">
        <f t="shared" si="489"/>
        <v>0</v>
      </c>
      <c r="BX804" s="74">
        <f t="shared" si="490"/>
        <v>0</v>
      </c>
      <c r="BY804" s="74">
        <f t="shared" si="491"/>
        <v>0</v>
      </c>
      <c r="BZ804" s="74">
        <f t="shared" si="492"/>
        <v>1</v>
      </c>
    </row>
    <row r="805" spans="1:78" x14ac:dyDescent="0.2">
      <c r="A805" s="108" t="s">
        <v>526</v>
      </c>
      <c r="B805" s="12"/>
      <c r="C805" s="9">
        <v>0</v>
      </c>
      <c r="D805" s="25"/>
      <c r="E805" s="10" t="str">
        <f t="shared" si="503"/>
        <v>MarçoSEMANA 1Molho de Pimenta</v>
      </c>
      <c r="F805" s="7">
        <f>SUMIF(NF!$A:$A,$E805,NF!$I:$I)</f>
        <v>0</v>
      </c>
      <c r="G805" s="74"/>
      <c r="H805" s="74"/>
      <c r="I805" s="74"/>
      <c r="J805" s="6"/>
      <c r="K805" s="6"/>
      <c r="L805" s="6"/>
      <c r="M805" s="6"/>
      <c r="N805" s="7">
        <f t="shared" si="498"/>
        <v>0</v>
      </c>
      <c r="O805" s="11">
        <f t="shared" si="434"/>
        <v>0</v>
      </c>
      <c r="P805" s="25"/>
      <c r="Q805" s="10" t="str">
        <f t="shared" si="504"/>
        <v>MarçoSEMANA 2Molho de Pimenta</v>
      </c>
      <c r="R805" s="7">
        <f>SUMIF(NF!$A:$A,$Q805,NF!$I:$I)</f>
        <v>0</v>
      </c>
      <c r="S805" s="6"/>
      <c r="T805" s="6"/>
      <c r="U805" s="6"/>
      <c r="V805" s="6"/>
      <c r="W805" s="6"/>
      <c r="X805" s="6"/>
      <c r="Y805" s="6"/>
      <c r="Z805" s="7">
        <f t="shared" si="499"/>
        <v>0</v>
      </c>
      <c r="AA805" s="11">
        <f t="shared" si="437"/>
        <v>0</v>
      </c>
      <c r="AB805" s="25"/>
      <c r="AC805" s="10" t="str">
        <f t="shared" si="505"/>
        <v>MarçoSEMANA 3Molho de Pimenta</v>
      </c>
      <c r="AD805" s="7">
        <f>SUMIF(NF!$A:$A,$AC805,NF!$I:$I)</f>
        <v>0</v>
      </c>
      <c r="AE805" s="6"/>
      <c r="AF805" s="6"/>
      <c r="AG805" s="6"/>
      <c r="AH805" s="6"/>
      <c r="AI805" s="6"/>
      <c r="AJ805" s="6"/>
      <c r="AK805" s="6"/>
      <c r="AL805" s="7">
        <f t="shared" si="500"/>
        <v>0</v>
      </c>
      <c r="AM805" s="11">
        <f t="shared" si="440"/>
        <v>0</v>
      </c>
      <c r="AN805" s="25"/>
      <c r="AO805" s="10" t="str">
        <f t="shared" si="506"/>
        <v>MarçoSEMANA 4Molho de Pimenta</v>
      </c>
      <c r="AP805" s="7">
        <f>SUMIF(NF!$A:$A,$AO805,NF!$I:$I)</f>
        <v>0</v>
      </c>
      <c r="AQ805" s="6"/>
      <c r="AR805" s="6"/>
      <c r="AS805" s="6"/>
      <c r="AT805" s="6"/>
      <c r="AU805" s="6"/>
      <c r="AV805" s="6"/>
      <c r="AW805" s="6"/>
      <c r="AX805" s="7">
        <f t="shared" si="501"/>
        <v>0</v>
      </c>
      <c r="AY805" s="11">
        <f t="shared" si="443"/>
        <v>0</v>
      </c>
      <c r="AZ805" s="25"/>
      <c r="BA805" s="10" t="str">
        <f t="shared" si="507"/>
        <v>MarçoSEMANA 5Molho de Pimenta</v>
      </c>
      <c r="BB805" s="7">
        <f>SUMIF(NF!$A:$A,$BA805,NF!$I:$I)</f>
        <v>0</v>
      </c>
      <c r="BC805" s="6"/>
      <c r="BD805" s="6"/>
      <c r="BE805" s="6"/>
      <c r="BF805" s="6"/>
      <c r="BG805" s="6"/>
      <c r="BH805" s="6"/>
      <c r="BI805" s="74"/>
      <c r="BJ805" s="74"/>
      <c r="BK805" s="7">
        <f t="shared" si="502"/>
        <v>0</v>
      </c>
      <c r="BL805" s="8">
        <f t="shared" si="446"/>
        <v>0</v>
      </c>
      <c r="BM805" s="51" t="str">
        <f>IFERROR(VLOOKUP(A805,NF!$M:$O,3,0),"")</f>
        <v>Mercado</v>
      </c>
      <c r="BN805" s="7">
        <f t="shared" si="447"/>
        <v>0</v>
      </c>
      <c r="BO805" s="8">
        <f t="array" ref="BO805">IFERROR(LARGE(IF(NF!$G$2:$G$3137='Mês atual'!A805,NF!$J$2:$J$3137),1),0)*BN805</f>
        <v>0</v>
      </c>
      <c r="BP805" s="50"/>
      <c r="BR805" s="146">
        <f t="array" ref="BR805">IFERROR(LARGE(IF(NF!$G$2:$G$3137='Mês atual'!A805,NF!$J$2:$J$3137),1),0)</f>
        <v>0</v>
      </c>
      <c r="BS805" s="142" t="str">
        <f>VLOOKUP(A805,NF!M:O,3,0)</f>
        <v>Mercado</v>
      </c>
      <c r="BV805" s="74">
        <f t="shared" si="488"/>
        <v>0</v>
      </c>
      <c r="BW805" s="74">
        <f t="shared" si="489"/>
        <v>0</v>
      </c>
      <c r="BX805" s="74">
        <f t="shared" si="490"/>
        <v>0</v>
      </c>
      <c r="BY805" s="74">
        <f t="shared" si="491"/>
        <v>0</v>
      </c>
      <c r="BZ805" s="74">
        <f t="shared" si="492"/>
        <v>0</v>
      </c>
    </row>
    <row r="806" spans="1:78" x14ac:dyDescent="0.25">
      <c r="A806" s="108" t="s">
        <v>527</v>
      </c>
      <c r="B806" s="12"/>
      <c r="C806" s="9">
        <v>3</v>
      </c>
      <c r="D806" s="25"/>
      <c r="E806" s="10" t="str">
        <f t="shared" si="503"/>
        <v>MarçoSEMANA 1Molho Inglês 1 Lt</v>
      </c>
      <c r="F806" s="7">
        <f>SUMIF(NF!$A:$A,$E806,NF!$I:$I)</f>
        <v>0</v>
      </c>
      <c r="G806" s="74"/>
      <c r="H806" s="74"/>
      <c r="I806" s="74"/>
      <c r="J806" s="6"/>
      <c r="K806" s="6"/>
      <c r="L806" s="6"/>
      <c r="M806" s="6"/>
      <c r="N806" s="7">
        <f t="shared" si="498"/>
        <v>0</v>
      </c>
      <c r="O806" s="11">
        <f t="shared" si="434"/>
        <v>3</v>
      </c>
      <c r="P806" s="25"/>
      <c r="Q806" s="10" t="str">
        <f t="shared" si="504"/>
        <v>MarçoSEMANA 2Molho Inglês 1 Lt</v>
      </c>
      <c r="R806" s="7">
        <f>SUMIF(NF!$A:$A,$Q806,NF!$I:$I)</f>
        <v>0</v>
      </c>
      <c r="S806" s="6"/>
      <c r="T806" s="6"/>
      <c r="U806" s="6"/>
      <c r="V806" s="6"/>
      <c r="W806" s="6"/>
      <c r="X806" s="6"/>
      <c r="Y806" s="6"/>
      <c r="Z806" s="7">
        <f>SUM(S806:Y806)</f>
        <v>0</v>
      </c>
      <c r="AA806" s="11">
        <f t="shared" si="437"/>
        <v>3</v>
      </c>
      <c r="AB806" s="25"/>
      <c r="AC806" s="10" t="str">
        <f t="shared" si="505"/>
        <v>MarçoSEMANA 3Molho Inglês 1 Lt</v>
      </c>
      <c r="AD806" s="7">
        <f>SUMIF(NF!$A:$A,$AC806,NF!$I:$I)</f>
        <v>0</v>
      </c>
      <c r="AE806" s="6"/>
      <c r="AF806" s="6"/>
      <c r="AG806" s="6">
        <v>1</v>
      </c>
      <c r="AH806" s="6"/>
      <c r="AI806" s="6"/>
      <c r="AJ806" s="6"/>
      <c r="AK806" s="6"/>
      <c r="AL806" s="7">
        <f>SUM(AE806:AK806)</f>
        <v>1</v>
      </c>
      <c r="AM806" s="11">
        <f t="shared" si="440"/>
        <v>2</v>
      </c>
      <c r="AN806" s="25"/>
      <c r="AO806" s="10" t="str">
        <f t="shared" si="506"/>
        <v>MarçoSEMANA 4Molho Inglês 1 Lt</v>
      </c>
      <c r="AP806" s="7">
        <f>SUMIF(NF!$A:$A,$AO806,NF!$I:$I)</f>
        <v>1</v>
      </c>
      <c r="AQ806" s="6"/>
      <c r="AR806" s="6"/>
      <c r="AS806" s="6"/>
      <c r="AT806" s="6"/>
      <c r="AU806" s="6"/>
      <c r="AV806" s="6"/>
      <c r="AW806" s="6"/>
      <c r="AX806" s="7">
        <f>SUM(AQ806:AW806)</f>
        <v>0</v>
      </c>
      <c r="AY806" s="11">
        <f t="shared" si="443"/>
        <v>3</v>
      </c>
      <c r="AZ806" s="25"/>
      <c r="BA806" s="10" t="str">
        <f t="shared" si="507"/>
        <v>MarçoSEMANA 5Molho Inglês 1 Lt</v>
      </c>
      <c r="BB806" s="7">
        <f>SUMIF(NF!$A:$A,$BA806,NF!$I:$I)</f>
        <v>0</v>
      </c>
      <c r="BC806" s="6"/>
      <c r="BD806" s="6"/>
      <c r="BE806" s="6">
        <v>3</v>
      </c>
      <c r="BF806" s="6"/>
      <c r="BG806" s="6"/>
      <c r="BH806" s="6"/>
      <c r="BI806" s="74"/>
      <c r="BJ806" s="74"/>
      <c r="BK806" s="7">
        <f>SUM(BC806:BJ806)</f>
        <v>3</v>
      </c>
      <c r="BL806" s="8">
        <f t="shared" si="446"/>
        <v>0</v>
      </c>
      <c r="BM806" s="51" t="str">
        <f>IFERROR(VLOOKUP(A806,NF!$M:$O,3,0),"")</f>
        <v>Mercado</v>
      </c>
      <c r="BN806" s="7">
        <f t="shared" si="447"/>
        <v>4</v>
      </c>
      <c r="BO806" s="8">
        <f t="array" ref="BO806">IFERROR(LARGE(IF(NF!$G$2:$G$3137='Mês atual'!A806,NF!$J$2:$J$3137),1),0)*BN806</f>
        <v>18.399999999999999</v>
      </c>
      <c r="BP806" s="50"/>
      <c r="BR806" s="146">
        <f t="array" ref="BR806">IFERROR(LARGE(IF(NF!$G$2:$G$3137='Mês atual'!A806,NF!$J$2:$J$3137),1),0)</f>
        <v>4.5999999999999996</v>
      </c>
      <c r="BS806" s="142" t="str">
        <f>VLOOKUP(A806,NF!M:O,3,0)</f>
        <v>Mercado</v>
      </c>
      <c r="BV806" s="74">
        <f t="shared" si="488"/>
        <v>0</v>
      </c>
      <c r="BW806" s="74">
        <f t="shared" si="489"/>
        <v>0</v>
      </c>
      <c r="BX806" s="74">
        <f t="shared" si="490"/>
        <v>1</v>
      </c>
      <c r="BY806" s="74">
        <f t="shared" si="491"/>
        <v>0</v>
      </c>
      <c r="BZ806" s="74">
        <f t="shared" si="492"/>
        <v>3</v>
      </c>
    </row>
    <row r="807" spans="1:78" x14ac:dyDescent="0.25">
      <c r="A807" s="108" t="s">
        <v>528</v>
      </c>
      <c r="B807" s="12"/>
      <c r="C807" s="9">
        <v>0</v>
      </c>
      <c r="D807" s="25"/>
      <c r="E807" s="10" t="str">
        <f t="shared" si="503"/>
        <v>MarçoSEMANA 1Molho Inglês Bb 5 Lt</v>
      </c>
      <c r="F807" s="7">
        <f>SUMIF(NF!$A:$A,$E807,NF!$I:$I)</f>
        <v>0</v>
      </c>
      <c r="G807" s="74"/>
      <c r="H807" s="74"/>
      <c r="I807" s="74"/>
      <c r="J807" s="6"/>
      <c r="K807" s="6"/>
      <c r="L807" s="6"/>
      <c r="M807" s="6"/>
      <c r="N807" s="7">
        <f t="shared" si="498"/>
        <v>0</v>
      </c>
      <c r="O807" s="11">
        <f t="shared" si="434"/>
        <v>0</v>
      </c>
      <c r="P807" s="25"/>
      <c r="Q807" s="10" t="str">
        <f t="shared" si="504"/>
        <v>MarçoSEMANA 2Molho Inglês Bb 5 Lt</v>
      </c>
      <c r="R807" s="7">
        <f>SUMIF(NF!$A:$A,$Q807,NF!$I:$I)</f>
        <v>0</v>
      </c>
      <c r="S807" s="6"/>
      <c r="T807" s="6"/>
      <c r="U807" s="6"/>
      <c r="V807" s="6"/>
      <c r="W807" s="6"/>
      <c r="X807" s="6"/>
      <c r="Y807" s="6"/>
      <c r="Z807" s="7">
        <f>SUM(S807:Y807)</f>
        <v>0</v>
      </c>
      <c r="AA807" s="11">
        <f t="shared" si="437"/>
        <v>0</v>
      </c>
      <c r="AB807" s="25"/>
      <c r="AC807" s="10" t="str">
        <f t="shared" si="505"/>
        <v>MarçoSEMANA 3Molho Inglês Bb 5 Lt</v>
      </c>
      <c r="AD807" s="7">
        <f>SUMIF(NF!$A:$A,$AC807,NF!$I:$I)</f>
        <v>0</v>
      </c>
      <c r="AE807" s="6"/>
      <c r="AF807" s="6"/>
      <c r="AG807" s="6"/>
      <c r="AH807" s="6"/>
      <c r="AI807" s="6"/>
      <c r="AJ807" s="6"/>
      <c r="AK807" s="6"/>
      <c r="AL807" s="7">
        <f>SUM(AE807:AK807)</f>
        <v>0</v>
      </c>
      <c r="AM807" s="11">
        <f t="shared" si="440"/>
        <v>0</v>
      </c>
      <c r="AN807" s="25"/>
      <c r="AO807" s="10" t="str">
        <f t="shared" si="506"/>
        <v>MarçoSEMANA 4Molho Inglês Bb 5 Lt</v>
      </c>
      <c r="AP807" s="7">
        <f>SUMIF(NF!$A:$A,$AO807,NF!$I:$I)</f>
        <v>0</v>
      </c>
      <c r="AQ807" s="6"/>
      <c r="AR807" s="6"/>
      <c r="AS807" s="6"/>
      <c r="AT807" s="6"/>
      <c r="AU807" s="6"/>
      <c r="AV807" s="6"/>
      <c r="AW807" s="6"/>
      <c r="AX807" s="7">
        <f>SUM(AQ807:AW807)</f>
        <v>0</v>
      </c>
      <c r="AY807" s="11">
        <f t="shared" si="443"/>
        <v>0</v>
      </c>
      <c r="AZ807" s="25"/>
      <c r="BA807" s="10" t="str">
        <f t="shared" si="507"/>
        <v>MarçoSEMANA 5Molho Inglês Bb 5 Lt</v>
      </c>
      <c r="BB807" s="7">
        <f>SUMIF(NF!$A:$A,$BA807,NF!$I:$I)</f>
        <v>0</v>
      </c>
      <c r="BC807" s="6"/>
      <c r="BD807" s="6"/>
      <c r="BE807" s="6"/>
      <c r="BF807" s="6"/>
      <c r="BG807" s="6"/>
      <c r="BH807" s="6"/>
      <c r="BI807" s="74"/>
      <c r="BJ807" s="74"/>
      <c r="BK807" s="7">
        <f>SUM(BC807:BJ807)</f>
        <v>0</v>
      </c>
      <c r="BL807" s="8">
        <f t="shared" si="446"/>
        <v>0</v>
      </c>
      <c r="BM807" s="51" t="str">
        <f>IFERROR(VLOOKUP(A807,NF!$M:$O,3,0),"")</f>
        <v>Mercado</v>
      </c>
      <c r="BN807" s="7">
        <f t="shared" si="447"/>
        <v>0</v>
      </c>
      <c r="BO807" s="8">
        <f t="array" ref="BO807">IFERROR(LARGE(IF(NF!$G$2:$G$3137='Mês atual'!A807,NF!$J$2:$J$3137),1),0)*BN807</f>
        <v>0</v>
      </c>
      <c r="BP807" s="50"/>
      <c r="BR807" s="146">
        <f t="array" ref="BR807">IFERROR(LARGE(IF(NF!$G$2:$G$3137='Mês atual'!A807,NF!$J$2:$J$3137),1),0)</f>
        <v>0</v>
      </c>
      <c r="BS807" s="142" t="str">
        <f>VLOOKUP(A807,NF!M:O,3,0)</f>
        <v>Mercado</v>
      </c>
      <c r="BV807" s="74">
        <f t="shared" si="488"/>
        <v>0</v>
      </c>
      <c r="BW807" s="74">
        <f t="shared" si="489"/>
        <v>0</v>
      </c>
      <c r="BX807" s="74">
        <f t="shared" si="490"/>
        <v>0</v>
      </c>
      <c r="BY807" s="74">
        <f t="shared" si="491"/>
        <v>0</v>
      </c>
      <c r="BZ807" s="74">
        <f t="shared" si="492"/>
        <v>0</v>
      </c>
    </row>
    <row r="808" spans="1:78" x14ac:dyDescent="0.2">
      <c r="A808" s="108" t="s">
        <v>529</v>
      </c>
      <c r="B808" s="12"/>
      <c r="C808" s="9">
        <v>0</v>
      </c>
      <c r="D808" s="25"/>
      <c r="E808" s="10" t="str">
        <f t="shared" si="503"/>
        <v>MarçoSEMANA 1Molho Ostra</v>
      </c>
      <c r="F808" s="7">
        <f>SUMIF(NF!$A:$A,$E808,NF!$I:$I)</f>
        <v>1</v>
      </c>
      <c r="G808" s="74"/>
      <c r="H808" s="74"/>
      <c r="I808" s="74"/>
      <c r="J808" s="6"/>
      <c r="K808" s="6"/>
      <c r="L808" s="6"/>
      <c r="M808" s="6"/>
      <c r="N808" s="7">
        <f t="shared" ref="N808:N814" si="524">SUM(G808:M808)</f>
        <v>0</v>
      </c>
      <c r="O808" s="11">
        <f t="shared" si="434"/>
        <v>1</v>
      </c>
      <c r="P808" s="25"/>
      <c r="Q808" s="10" t="str">
        <f t="shared" si="504"/>
        <v>MarçoSEMANA 2Molho Ostra</v>
      </c>
      <c r="R808" s="7">
        <f>SUMIF(NF!$A:$A,$Q808,NF!$I:$I)</f>
        <v>0</v>
      </c>
      <c r="S808" s="6"/>
      <c r="T808" s="6"/>
      <c r="U808" s="6"/>
      <c r="V808" s="6"/>
      <c r="W808" s="6"/>
      <c r="X808" s="6"/>
      <c r="Y808" s="6"/>
      <c r="Z808" s="7">
        <f t="shared" ref="Z808:Z814" si="525">SUM(S808:Y808)</f>
        <v>0</v>
      </c>
      <c r="AA808" s="11">
        <f t="shared" si="437"/>
        <v>1</v>
      </c>
      <c r="AB808" s="25"/>
      <c r="AC808" s="10" t="str">
        <f t="shared" si="505"/>
        <v>MarçoSEMANA 3Molho Ostra</v>
      </c>
      <c r="AD808" s="7">
        <f>SUMIF(NF!$A:$A,$AC808,NF!$I:$I)</f>
        <v>0</v>
      </c>
      <c r="AE808" s="6"/>
      <c r="AF808" s="6"/>
      <c r="AG808" s="6"/>
      <c r="AH808" s="6"/>
      <c r="AI808" s="6"/>
      <c r="AJ808" s="6"/>
      <c r="AK808" s="6"/>
      <c r="AL808" s="7">
        <f t="shared" ref="AL808:AL814" si="526">SUM(AE808:AK808)</f>
        <v>0</v>
      </c>
      <c r="AM808" s="11">
        <f t="shared" si="440"/>
        <v>1</v>
      </c>
      <c r="AN808" s="25"/>
      <c r="AO808" s="10" t="str">
        <f t="shared" si="506"/>
        <v>MarçoSEMANA 4Molho Ostra</v>
      </c>
      <c r="AP808" s="7">
        <f>SUMIF(NF!$A:$A,$AO808,NF!$I:$I)</f>
        <v>0</v>
      </c>
      <c r="AQ808" s="6"/>
      <c r="AR808" s="6"/>
      <c r="AS808" s="6"/>
      <c r="AT808" s="6"/>
      <c r="AU808" s="6"/>
      <c r="AV808" s="6"/>
      <c r="AW808" s="6"/>
      <c r="AX808" s="7">
        <f t="shared" ref="AX808:AX814" si="527">SUM(AQ808:AW808)</f>
        <v>0</v>
      </c>
      <c r="AY808" s="11">
        <f t="shared" si="443"/>
        <v>1</v>
      </c>
      <c r="AZ808" s="25"/>
      <c r="BA808" s="10" t="str">
        <f t="shared" si="507"/>
        <v>MarçoSEMANA 5Molho Ostra</v>
      </c>
      <c r="BB808" s="7">
        <f>SUMIF(NF!$A:$A,$BA808,NF!$I:$I)</f>
        <v>0</v>
      </c>
      <c r="BC808" s="6"/>
      <c r="BD808" s="6"/>
      <c r="BE808" s="6"/>
      <c r="BF808" s="6"/>
      <c r="BG808" s="6"/>
      <c r="BH808" s="6"/>
      <c r="BI808" s="74"/>
      <c r="BJ808" s="74"/>
      <c r="BK808" s="7">
        <f t="shared" ref="BK808:BK814" si="528">SUM(BC808:BJ808)</f>
        <v>0</v>
      </c>
      <c r="BL808" s="8">
        <f t="shared" si="446"/>
        <v>1</v>
      </c>
      <c r="BM808" s="51" t="str">
        <f>IFERROR(VLOOKUP(A808,NF!$M:$O,3,0),"")</f>
        <v>Mercado</v>
      </c>
      <c r="BN808" s="7">
        <f t="shared" si="447"/>
        <v>0</v>
      </c>
      <c r="BO808" s="8">
        <f t="array" ref="BO808">IFERROR(LARGE(IF(NF!$G$2:$G$3137='Mês atual'!A808,NF!$J$2:$J$3137),1),0)*BN808</f>
        <v>0</v>
      </c>
      <c r="BP808" s="50"/>
      <c r="BR808" s="146">
        <f t="array" ref="BR808">IFERROR(LARGE(IF(NF!$G$2:$G$3137='Mês atual'!A808,NF!$J$2:$J$3137),1),0)</f>
        <v>14.5</v>
      </c>
      <c r="BS808" s="142" t="str">
        <f>VLOOKUP(A808,NF!M:O,3,0)</f>
        <v>Mercado</v>
      </c>
      <c r="BV808" s="74">
        <f t="shared" si="488"/>
        <v>0</v>
      </c>
      <c r="BW808" s="74">
        <f t="shared" si="489"/>
        <v>0</v>
      </c>
      <c r="BX808" s="74">
        <f t="shared" si="490"/>
        <v>0</v>
      </c>
      <c r="BY808" s="74">
        <f t="shared" si="491"/>
        <v>0</v>
      </c>
      <c r="BZ808" s="74">
        <f t="shared" si="492"/>
        <v>0</v>
      </c>
    </row>
    <row r="809" spans="1:78" x14ac:dyDescent="0.2">
      <c r="A809" s="108" t="s">
        <v>531</v>
      </c>
      <c r="B809" s="12"/>
      <c r="C809" s="9">
        <v>2</v>
      </c>
      <c r="D809" s="25"/>
      <c r="E809" s="10" t="str">
        <f t="shared" si="503"/>
        <v>MarçoSEMANA 1Mostarda Bb 3,3, Kg</v>
      </c>
      <c r="F809" s="7">
        <f>SUMIF(NF!$A:$A,$E809,NF!$I:$I)</f>
        <v>1</v>
      </c>
      <c r="G809" s="74"/>
      <c r="H809" s="74"/>
      <c r="I809" s="74"/>
      <c r="J809" s="6"/>
      <c r="K809" s="6"/>
      <c r="L809" s="6"/>
      <c r="M809" s="6">
        <v>1</v>
      </c>
      <c r="N809" s="7">
        <f t="shared" si="524"/>
        <v>1</v>
      </c>
      <c r="O809" s="11">
        <f t="shared" si="434"/>
        <v>2</v>
      </c>
      <c r="P809" s="25"/>
      <c r="Q809" s="10" t="str">
        <f t="shared" si="504"/>
        <v>MarçoSEMANA 2Mostarda Bb 3,3, Kg</v>
      </c>
      <c r="R809" s="7">
        <f>SUMIF(NF!$A:$A,$Q809,NF!$I:$I)</f>
        <v>1</v>
      </c>
      <c r="S809" s="6"/>
      <c r="T809" s="6"/>
      <c r="U809" s="6"/>
      <c r="V809" s="6"/>
      <c r="W809" s="6"/>
      <c r="X809" s="6"/>
      <c r="Y809" s="6">
        <v>1</v>
      </c>
      <c r="Z809" s="7">
        <f t="shared" si="525"/>
        <v>1</v>
      </c>
      <c r="AA809" s="11">
        <f t="shared" si="437"/>
        <v>2</v>
      </c>
      <c r="AB809" s="25"/>
      <c r="AC809" s="10" t="str">
        <f t="shared" si="505"/>
        <v>MarçoSEMANA 3Mostarda Bb 3,3, Kg</v>
      </c>
      <c r="AD809" s="7">
        <f>SUMIF(NF!$A:$A,$AC809,NF!$I:$I)</f>
        <v>1</v>
      </c>
      <c r="AE809" s="6"/>
      <c r="AF809" s="6"/>
      <c r="AG809" s="6"/>
      <c r="AH809" s="6"/>
      <c r="AI809" s="6">
        <v>1</v>
      </c>
      <c r="AJ809" s="6"/>
      <c r="AK809" s="6"/>
      <c r="AL809" s="7">
        <f t="shared" si="526"/>
        <v>1</v>
      </c>
      <c r="AM809" s="11">
        <f t="shared" si="440"/>
        <v>2</v>
      </c>
      <c r="AN809" s="25"/>
      <c r="AO809" s="10" t="str">
        <f t="shared" si="506"/>
        <v>MarçoSEMANA 4Mostarda Bb 3,3, Kg</v>
      </c>
      <c r="AP809" s="7">
        <f>SUMIF(NF!$A:$A,$AO809,NF!$I:$I)</f>
        <v>2</v>
      </c>
      <c r="AQ809" s="6"/>
      <c r="AR809" s="6">
        <v>1</v>
      </c>
      <c r="AS809" s="6"/>
      <c r="AT809" s="6"/>
      <c r="AU809" s="6"/>
      <c r="AV809" s="6"/>
      <c r="AW809" s="6"/>
      <c r="AX809" s="7">
        <f t="shared" si="527"/>
        <v>1</v>
      </c>
      <c r="AY809" s="11">
        <f t="shared" si="443"/>
        <v>3</v>
      </c>
      <c r="AZ809" s="25"/>
      <c r="BA809" s="10" t="str">
        <f t="shared" si="507"/>
        <v>MarçoSEMANA 5Mostarda Bb 3,3, Kg</v>
      </c>
      <c r="BB809" s="7">
        <f>SUMIF(NF!$A:$A,$BA809,NF!$I:$I)</f>
        <v>0</v>
      </c>
      <c r="BC809" s="6"/>
      <c r="BD809" s="6"/>
      <c r="BE809" s="6"/>
      <c r="BF809" s="6">
        <v>1</v>
      </c>
      <c r="BG809" s="6"/>
      <c r="BH809" s="6"/>
      <c r="BI809" s="74"/>
      <c r="BJ809" s="74"/>
      <c r="BK809" s="7">
        <f t="shared" si="528"/>
        <v>1</v>
      </c>
      <c r="BL809" s="8">
        <f t="shared" si="446"/>
        <v>2</v>
      </c>
      <c r="BM809" s="51" t="str">
        <f>IFERROR(VLOOKUP(A809,NF!$M:$O,3,0),"")</f>
        <v>Mercado</v>
      </c>
      <c r="BN809" s="7">
        <f t="shared" si="447"/>
        <v>5</v>
      </c>
      <c r="BO809" s="8">
        <f t="array" ref="BO809">IFERROR(LARGE(IF(NF!$G$2:$G$3137='Mês atual'!A809,NF!$J$2:$J$3137),1),0)*BN809</f>
        <v>65.55</v>
      </c>
      <c r="BP809" s="50"/>
      <c r="BR809" s="146">
        <f t="array" ref="BR809">IFERROR(LARGE(IF(NF!$G$2:$G$3137='Mês atual'!A809,NF!$J$2:$J$3137),1),0)</f>
        <v>13.11</v>
      </c>
      <c r="BS809" s="142" t="str">
        <f>VLOOKUP(A809,NF!M:O,3,0)</f>
        <v>Mercado</v>
      </c>
      <c r="BV809" s="74">
        <f t="shared" si="488"/>
        <v>1</v>
      </c>
      <c r="BW809" s="74">
        <f t="shared" si="489"/>
        <v>1</v>
      </c>
      <c r="BX809" s="74">
        <f t="shared" si="490"/>
        <v>1</v>
      </c>
      <c r="BY809" s="74">
        <f t="shared" si="491"/>
        <v>1</v>
      </c>
      <c r="BZ809" s="74">
        <f t="shared" si="492"/>
        <v>1</v>
      </c>
    </row>
    <row r="810" spans="1:78" x14ac:dyDescent="0.25">
      <c r="A810" s="108" t="s">
        <v>532</v>
      </c>
      <c r="B810" s="12"/>
      <c r="C810" s="9">
        <v>0</v>
      </c>
      <c r="D810" s="25"/>
      <c r="E810" s="10" t="str">
        <f t="shared" si="503"/>
        <v>MarçoSEMANA 1Mostarda Dijom em Grão</v>
      </c>
      <c r="F810" s="7">
        <f>SUMIF(NF!$A:$A,$E810,NF!$I:$I)</f>
        <v>0</v>
      </c>
      <c r="G810" s="74"/>
      <c r="H810" s="74"/>
      <c r="I810" s="74"/>
      <c r="J810" s="6"/>
      <c r="K810" s="6"/>
      <c r="L810" s="6"/>
      <c r="M810" s="6"/>
      <c r="N810" s="7">
        <f t="shared" si="524"/>
        <v>0</v>
      </c>
      <c r="O810" s="11">
        <f t="shared" si="434"/>
        <v>0</v>
      </c>
      <c r="P810" s="25"/>
      <c r="Q810" s="10" t="str">
        <f t="shared" si="504"/>
        <v>MarçoSEMANA 2Mostarda Dijom em Grão</v>
      </c>
      <c r="R810" s="7">
        <f>SUMIF(NF!$A:$A,$Q810,NF!$I:$I)</f>
        <v>1</v>
      </c>
      <c r="S810" s="6"/>
      <c r="T810" s="6"/>
      <c r="U810" s="6"/>
      <c r="V810" s="6"/>
      <c r="W810" s="6">
        <v>1</v>
      </c>
      <c r="X810" s="6"/>
      <c r="Y810" s="6"/>
      <c r="Z810" s="7">
        <f t="shared" si="525"/>
        <v>1</v>
      </c>
      <c r="AA810" s="11">
        <f t="shared" si="437"/>
        <v>0</v>
      </c>
      <c r="AB810" s="25"/>
      <c r="AC810" s="10" t="str">
        <f t="shared" si="505"/>
        <v>MarçoSEMANA 3Mostarda Dijom em Grão</v>
      </c>
      <c r="AD810" s="7">
        <f>SUMIF(NF!$A:$A,$AC810,NF!$I:$I)</f>
        <v>1</v>
      </c>
      <c r="AE810" s="6"/>
      <c r="AF810" s="6"/>
      <c r="AG810" s="6"/>
      <c r="AH810" s="6"/>
      <c r="AI810" s="6"/>
      <c r="AJ810" s="6"/>
      <c r="AK810" s="6">
        <v>1</v>
      </c>
      <c r="AL810" s="7">
        <f t="shared" si="526"/>
        <v>1</v>
      </c>
      <c r="AM810" s="11">
        <f t="shared" si="440"/>
        <v>0</v>
      </c>
      <c r="AN810" s="25"/>
      <c r="AO810" s="10" t="str">
        <f t="shared" si="506"/>
        <v>MarçoSEMANA 4Mostarda Dijom em Grão</v>
      </c>
      <c r="AP810" s="7">
        <f>SUMIF(NF!$A:$A,$AO810,NF!$I:$I)</f>
        <v>1</v>
      </c>
      <c r="AQ810" s="6"/>
      <c r="AR810" s="6"/>
      <c r="AS810" s="6"/>
      <c r="AT810" s="6"/>
      <c r="AU810" s="6"/>
      <c r="AV810" s="6"/>
      <c r="AW810" s="6"/>
      <c r="AX810" s="7">
        <f t="shared" si="527"/>
        <v>0</v>
      </c>
      <c r="AY810" s="11">
        <f t="shared" si="443"/>
        <v>1</v>
      </c>
      <c r="AZ810" s="25"/>
      <c r="BA810" s="10" t="str">
        <f t="shared" si="507"/>
        <v>MarçoSEMANA 5Mostarda Dijom em Grão</v>
      </c>
      <c r="BB810" s="7">
        <f>SUMIF(NF!$A:$A,$BA810,NF!$I:$I)</f>
        <v>1</v>
      </c>
      <c r="BC810" s="6">
        <v>1</v>
      </c>
      <c r="BD810" s="6"/>
      <c r="BE810" s="6"/>
      <c r="BF810" s="6"/>
      <c r="BG810" s="6"/>
      <c r="BH810" s="6"/>
      <c r="BI810" s="74"/>
      <c r="BJ810" s="74"/>
      <c r="BK810" s="7">
        <f t="shared" si="528"/>
        <v>1</v>
      </c>
      <c r="BL810" s="8">
        <f t="shared" si="446"/>
        <v>1</v>
      </c>
      <c r="BM810" s="51" t="str">
        <f>IFERROR(VLOOKUP(A810,NF!$M:$O,3,0),"")</f>
        <v>Mercado</v>
      </c>
      <c r="BN810" s="7">
        <f t="shared" si="447"/>
        <v>3</v>
      </c>
      <c r="BO810" s="8">
        <f t="array" ref="BO810">IFERROR(LARGE(IF(NF!$G$2:$G$3137='Mês atual'!A810,NF!$J$2:$J$3137),1),0)*BN810</f>
        <v>67.5</v>
      </c>
      <c r="BP810" s="50"/>
      <c r="BR810" s="146">
        <f t="array" ref="BR810">IFERROR(LARGE(IF(NF!$G$2:$G$3137='Mês atual'!A810,NF!$J$2:$J$3137),1),0)</f>
        <v>22.5</v>
      </c>
      <c r="BS810" s="142" t="str">
        <f>VLOOKUP(A810,NF!M:O,3,0)</f>
        <v>Mercado</v>
      </c>
      <c r="BV810" s="74">
        <f t="shared" si="488"/>
        <v>0</v>
      </c>
      <c r="BW810" s="74">
        <f t="shared" si="489"/>
        <v>1</v>
      </c>
      <c r="BX810" s="74">
        <f t="shared" si="490"/>
        <v>1</v>
      </c>
      <c r="BY810" s="74">
        <f t="shared" si="491"/>
        <v>0</v>
      </c>
      <c r="BZ810" s="74">
        <f t="shared" si="492"/>
        <v>1</v>
      </c>
    </row>
    <row r="811" spans="1:78" x14ac:dyDescent="0.2">
      <c r="A811" s="108" t="s">
        <v>533</v>
      </c>
      <c r="B811" s="12"/>
      <c r="C811" s="9">
        <v>0</v>
      </c>
      <c r="D811" s="25"/>
      <c r="E811" s="10" t="str">
        <f t="shared" si="503"/>
        <v>MarçoSEMANA 1Mostarda Escura Hemmer 200 g</v>
      </c>
      <c r="F811" s="7">
        <f>SUMIF(NF!$A:$A,$E811,NF!$I:$I)</f>
        <v>0</v>
      </c>
      <c r="G811" s="74"/>
      <c r="H811" s="74"/>
      <c r="I811" s="74"/>
      <c r="J811" s="6"/>
      <c r="K811" s="6"/>
      <c r="L811" s="6"/>
      <c r="M811" s="6"/>
      <c r="N811" s="7">
        <f t="shared" si="524"/>
        <v>0</v>
      </c>
      <c r="O811" s="11">
        <f t="shared" si="434"/>
        <v>0</v>
      </c>
      <c r="P811" s="25"/>
      <c r="Q811" s="10" t="str">
        <f t="shared" si="504"/>
        <v>MarçoSEMANA 2Mostarda Escura Hemmer 200 g</v>
      </c>
      <c r="R811" s="7">
        <f>SUMIF(NF!$A:$A,$Q811,NF!$I:$I)</f>
        <v>2</v>
      </c>
      <c r="S811" s="6"/>
      <c r="T811" s="6"/>
      <c r="U811" s="6"/>
      <c r="V811" s="6">
        <v>1</v>
      </c>
      <c r="W811" s="6"/>
      <c r="X811" s="6"/>
      <c r="Y811" s="6"/>
      <c r="Z811" s="7">
        <f t="shared" si="525"/>
        <v>1</v>
      </c>
      <c r="AA811" s="11">
        <f t="shared" si="437"/>
        <v>1</v>
      </c>
      <c r="AB811" s="25"/>
      <c r="AC811" s="10" t="str">
        <f t="shared" si="505"/>
        <v>MarçoSEMANA 3Mostarda Escura Hemmer 200 g</v>
      </c>
      <c r="AD811" s="7">
        <f>SUMIF(NF!$A:$A,$AC811,NF!$I:$I)</f>
        <v>0</v>
      </c>
      <c r="AE811" s="6"/>
      <c r="AF811" s="6"/>
      <c r="AG811" s="6"/>
      <c r="AH811" s="6"/>
      <c r="AI811" s="6"/>
      <c r="AJ811" s="6"/>
      <c r="AK811" s="6"/>
      <c r="AL811" s="7">
        <f t="shared" si="526"/>
        <v>0</v>
      </c>
      <c r="AM811" s="11">
        <f t="shared" si="440"/>
        <v>1</v>
      </c>
      <c r="AN811" s="25"/>
      <c r="AO811" s="10" t="str">
        <f t="shared" si="506"/>
        <v>MarçoSEMANA 4Mostarda Escura Hemmer 200 g</v>
      </c>
      <c r="AP811" s="7">
        <f>SUMIF(NF!$A:$A,$AO811,NF!$I:$I)</f>
        <v>0</v>
      </c>
      <c r="AQ811" s="6"/>
      <c r="AR811" s="6"/>
      <c r="AS811" s="6"/>
      <c r="AT811" s="6"/>
      <c r="AU811" s="6"/>
      <c r="AV811" s="6"/>
      <c r="AW811" s="6"/>
      <c r="AX811" s="7">
        <f t="shared" si="527"/>
        <v>0</v>
      </c>
      <c r="AY811" s="11">
        <f t="shared" si="443"/>
        <v>1</v>
      </c>
      <c r="AZ811" s="25"/>
      <c r="BA811" s="10" t="str">
        <f t="shared" si="507"/>
        <v>MarçoSEMANA 5Mostarda Escura Hemmer 200 g</v>
      </c>
      <c r="BB811" s="7">
        <f>SUMIF(NF!$A:$A,$BA811,NF!$I:$I)</f>
        <v>0</v>
      </c>
      <c r="BC811" s="6"/>
      <c r="BD811" s="6"/>
      <c r="BE811" s="6"/>
      <c r="BF811" s="6"/>
      <c r="BG811" s="6"/>
      <c r="BH811" s="6"/>
      <c r="BI811" s="74"/>
      <c r="BJ811" s="74"/>
      <c r="BK811" s="7">
        <f t="shared" si="528"/>
        <v>0</v>
      </c>
      <c r="BL811" s="8">
        <f t="shared" si="446"/>
        <v>1</v>
      </c>
      <c r="BM811" s="51" t="str">
        <f>IFERROR(VLOOKUP(A811,NF!$M:$O,3,0),"")</f>
        <v>Mercado</v>
      </c>
      <c r="BN811" s="7">
        <f t="shared" si="447"/>
        <v>1</v>
      </c>
      <c r="BO811" s="8">
        <f t="array" ref="BO811">IFERROR(LARGE(IF(NF!$G$2:$G$3137='Mês atual'!A811,NF!$J$2:$J$3137),1),0)*BN811</f>
        <v>5.98</v>
      </c>
      <c r="BP811" s="50"/>
      <c r="BR811" s="146">
        <f t="array" ref="BR811">IFERROR(LARGE(IF(NF!$G$2:$G$3137='Mês atual'!A811,NF!$J$2:$J$3137),1),0)</f>
        <v>5.98</v>
      </c>
      <c r="BS811" s="142" t="str">
        <f>VLOOKUP(A811,NF!M:O,3,0)</f>
        <v>Mercado</v>
      </c>
      <c r="BV811" s="74">
        <f t="shared" si="488"/>
        <v>0</v>
      </c>
      <c r="BW811" s="74">
        <f t="shared" si="489"/>
        <v>1</v>
      </c>
      <c r="BX811" s="74">
        <f t="shared" si="490"/>
        <v>0</v>
      </c>
      <c r="BY811" s="74">
        <f t="shared" si="491"/>
        <v>0</v>
      </c>
      <c r="BZ811" s="74">
        <f t="shared" si="492"/>
        <v>0</v>
      </c>
    </row>
    <row r="812" spans="1:78" x14ac:dyDescent="0.2">
      <c r="A812" s="108" t="s">
        <v>537</v>
      </c>
      <c r="B812" s="12"/>
      <c r="C812" s="9">
        <v>1</v>
      </c>
      <c r="D812" s="25"/>
      <c r="E812" s="10" t="str">
        <f t="shared" si="503"/>
        <v>MarçoSEMANA 1Nescau (Nestle)</v>
      </c>
      <c r="F812" s="7">
        <f>SUMIF(NF!$A:$A,$E812,NF!$I:$I)</f>
        <v>1</v>
      </c>
      <c r="G812" s="74"/>
      <c r="H812" s="74"/>
      <c r="I812" s="74"/>
      <c r="J812" s="6"/>
      <c r="K812" s="6"/>
      <c r="L812" s="6"/>
      <c r="M812" s="6"/>
      <c r="N812" s="7">
        <f t="shared" si="524"/>
        <v>0</v>
      </c>
      <c r="O812" s="11">
        <f t="shared" si="434"/>
        <v>2</v>
      </c>
      <c r="P812" s="25"/>
      <c r="Q812" s="10" t="str">
        <f t="shared" si="504"/>
        <v>MarçoSEMANA 2Nescau (Nestle)</v>
      </c>
      <c r="R812" s="7">
        <f>SUMIF(NF!$A:$A,$Q812,NF!$I:$I)</f>
        <v>2</v>
      </c>
      <c r="S812" s="6">
        <v>1</v>
      </c>
      <c r="T812" s="6"/>
      <c r="U812" s="6"/>
      <c r="V812" s="6"/>
      <c r="W812" s="6"/>
      <c r="X812" s="6">
        <v>1</v>
      </c>
      <c r="Y812" s="6"/>
      <c r="Z812" s="7">
        <f t="shared" si="525"/>
        <v>2</v>
      </c>
      <c r="AA812" s="11">
        <f t="shared" si="437"/>
        <v>2</v>
      </c>
      <c r="AB812" s="25"/>
      <c r="AC812" s="10" t="str">
        <f t="shared" si="505"/>
        <v>MarçoSEMANA 3Nescau (Nestle)</v>
      </c>
      <c r="AD812" s="7">
        <f>SUMIF(NF!$A:$A,$AC812,NF!$I:$I)</f>
        <v>2</v>
      </c>
      <c r="AE812" s="6">
        <v>1</v>
      </c>
      <c r="AF812" s="6"/>
      <c r="AG812" s="6"/>
      <c r="AH812" s="6">
        <v>1</v>
      </c>
      <c r="AI812" s="6"/>
      <c r="AJ812" s="6"/>
      <c r="AK812" s="6"/>
      <c r="AL812" s="7">
        <f t="shared" si="526"/>
        <v>2</v>
      </c>
      <c r="AM812" s="11">
        <f t="shared" si="440"/>
        <v>2</v>
      </c>
      <c r="AN812" s="25"/>
      <c r="AO812" s="10" t="str">
        <f t="shared" si="506"/>
        <v>MarçoSEMANA 4Nescau (Nestle)</v>
      </c>
      <c r="AP812" s="7">
        <f>SUMIF(NF!$A:$A,$AO812,NF!$I:$I)</f>
        <v>2</v>
      </c>
      <c r="AQ812" s="6"/>
      <c r="AR812" s="6"/>
      <c r="AS812" s="6"/>
      <c r="AT812" s="6"/>
      <c r="AU812" s="6">
        <v>2</v>
      </c>
      <c r="AV812" s="6"/>
      <c r="AW812" s="6"/>
      <c r="AX812" s="7">
        <f t="shared" si="527"/>
        <v>2</v>
      </c>
      <c r="AY812" s="11">
        <f t="shared" si="443"/>
        <v>2</v>
      </c>
      <c r="AZ812" s="25"/>
      <c r="BA812" s="10" t="str">
        <f t="shared" si="507"/>
        <v>MarçoSEMANA 5Nescau (Nestle)</v>
      </c>
      <c r="BB812" s="7">
        <f>SUMIF(NF!$A:$A,$BA812,NF!$I:$I)</f>
        <v>0</v>
      </c>
      <c r="BC812" s="6"/>
      <c r="BD812" s="6"/>
      <c r="BE812" s="6"/>
      <c r="BF812" s="6"/>
      <c r="BG812" s="6"/>
      <c r="BH812" s="6"/>
      <c r="BI812" s="74"/>
      <c r="BJ812" s="74"/>
      <c r="BK812" s="7">
        <f t="shared" si="528"/>
        <v>0</v>
      </c>
      <c r="BL812" s="8">
        <f t="shared" si="446"/>
        <v>2</v>
      </c>
      <c r="BM812" s="51" t="str">
        <f>IFERROR(VLOOKUP(A812,NF!$M:$O,3,0),"")</f>
        <v>Mercado</v>
      </c>
      <c r="BN812" s="7">
        <f t="shared" si="447"/>
        <v>6</v>
      </c>
      <c r="BO812" s="8">
        <f t="array" ref="BO812">IFERROR(LARGE(IF(NF!$G$2:$G$3137='Mês atual'!A812,NF!$J$2:$J$3137),1),0)*BN812</f>
        <v>125.63999999999999</v>
      </c>
      <c r="BP812" s="50"/>
      <c r="BR812" s="146">
        <f t="array" ref="BR812">IFERROR(LARGE(IF(NF!$G$2:$G$3137='Mês atual'!A812,NF!$J$2:$J$3137),1),0)</f>
        <v>20.939999999999998</v>
      </c>
      <c r="BS812" s="142" t="str">
        <f>VLOOKUP(A812,NF!M:O,3,0)</f>
        <v>Mercado</v>
      </c>
      <c r="BV812" s="74">
        <f t="shared" si="488"/>
        <v>0</v>
      </c>
      <c r="BW812" s="74">
        <f t="shared" si="489"/>
        <v>2</v>
      </c>
      <c r="BX812" s="74">
        <f t="shared" si="490"/>
        <v>2</v>
      </c>
      <c r="BY812" s="74">
        <f t="shared" si="491"/>
        <v>2</v>
      </c>
      <c r="BZ812" s="74">
        <f t="shared" si="492"/>
        <v>0</v>
      </c>
    </row>
    <row r="813" spans="1:78" x14ac:dyDescent="0.2">
      <c r="A813" s="108" t="s">
        <v>539</v>
      </c>
      <c r="B813" s="12"/>
      <c r="C813" s="9">
        <v>0</v>
      </c>
      <c r="D813" s="25"/>
      <c r="E813" s="10" t="str">
        <f t="shared" si="503"/>
        <v>MarçoSEMANA 1Nozes sem casca</v>
      </c>
      <c r="F813" s="7">
        <f>SUMIF(NF!$A:$A,$E813,NF!$I:$I)</f>
        <v>1</v>
      </c>
      <c r="G813" s="74"/>
      <c r="H813" s="74"/>
      <c r="I813" s="74"/>
      <c r="J813" s="6"/>
      <c r="K813" s="6">
        <v>1</v>
      </c>
      <c r="L813" s="6"/>
      <c r="M813" s="6"/>
      <c r="N813" s="7">
        <f t="shared" si="524"/>
        <v>1</v>
      </c>
      <c r="O813" s="11">
        <f t="shared" si="434"/>
        <v>0</v>
      </c>
      <c r="P813" s="25"/>
      <c r="Q813" s="10" t="str">
        <f t="shared" si="504"/>
        <v>MarçoSEMANA 2Nozes sem casca</v>
      </c>
      <c r="R813" s="7">
        <f>SUMIF(NF!$A:$A,$Q813,NF!$I:$I)</f>
        <v>1</v>
      </c>
      <c r="S813" s="6"/>
      <c r="T813" s="6"/>
      <c r="U813" s="6"/>
      <c r="V813" s="6"/>
      <c r="W813" s="6"/>
      <c r="X813" s="6"/>
      <c r="Y813" s="6"/>
      <c r="Z813" s="7">
        <f t="shared" si="525"/>
        <v>0</v>
      </c>
      <c r="AA813" s="11">
        <f t="shared" si="437"/>
        <v>1</v>
      </c>
      <c r="AB813" s="25"/>
      <c r="AC813" s="10" t="str">
        <f t="shared" si="505"/>
        <v>MarçoSEMANA 3Nozes sem casca</v>
      </c>
      <c r="AD813" s="7">
        <f>SUMIF(NF!$A:$A,$AC813,NF!$I:$I)</f>
        <v>1</v>
      </c>
      <c r="AE813" s="6"/>
      <c r="AF813" s="6"/>
      <c r="AG813" s="6">
        <v>1</v>
      </c>
      <c r="AH813" s="6"/>
      <c r="AI813" s="6"/>
      <c r="AJ813" s="6"/>
      <c r="AK813" s="6">
        <v>1</v>
      </c>
      <c r="AL813" s="7">
        <f t="shared" si="526"/>
        <v>2</v>
      </c>
      <c r="AM813" s="11">
        <f t="shared" si="440"/>
        <v>0</v>
      </c>
      <c r="AN813" s="25"/>
      <c r="AO813" s="10" t="str">
        <f t="shared" si="506"/>
        <v>MarçoSEMANA 4Nozes sem casca</v>
      </c>
      <c r="AP813" s="7">
        <f>SUMIF(NF!$A:$A,$AO813,NF!$I:$I)</f>
        <v>1</v>
      </c>
      <c r="AQ813" s="6"/>
      <c r="AR813" s="6">
        <v>1</v>
      </c>
      <c r="AS813" s="6"/>
      <c r="AT813" s="6"/>
      <c r="AU813" s="6"/>
      <c r="AV813" s="6"/>
      <c r="AW813" s="6"/>
      <c r="AX813" s="7">
        <f t="shared" si="527"/>
        <v>1</v>
      </c>
      <c r="AY813" s="11">
        <f t="shared" si="443"/>
        <v>0</v>
      </c>
      <c r="AZ813" s="25"/>
      <c r="BA813" s="10" t="str">
        <f t="shared" si="507"/>
        <v>MarçoSEMANA 5Nozes sem casca</v>
      </c>
      <c r="BB813" s="7">
        <f>SUMIF(NF!$A:$A,$BA813,NF!$I:$I)</f>
        <v>1</v>
      </c>
      <c r="BC813" s="6"/>
      <c r="BD813" s="6"/>
      <c r="BE813" s="6"/>
      <c r="BF813" s="6"/>
      <c r="BG813" s="6"/>
      <c r="BH813" s="6"/>
      <c r="BI813" s="74"/>
      <c r="BJ813" s="74"/>
      <c r="BK813" s="7">
        <f t="shared" si="528"/>
        <v>0</v>
      </c>
      <c r="BL813" s="8">
        <f t="shared" si="446"/>
        <v>1</v>
      </c>
      <c r="BM813" s="51" t="str">
        <f>IFERROR(VLOOKUP(A813,NF!$M:$O,3,0),"")</f>
        <v>Mercado</v>
      </c>
      <c r="BN813" s="7">
        <f t="shared" si="447"/>
        <v>4</v>
      </c>
      <c r="BO813" s="8">
        <f t="array" ref="BO813">IFERROR(LARGE(IF(NF!$G$2:$G$3137='Mês atual'!A813,NF!$J$2:$J$3137),1),0)*BN813</f>
        <v>279.60000000000002</v>
      </c>
      <c r="BP813" s="50"/>
      <c r="BR813" s="146">
        <f t="array" ref="BR813">IFERROR(LARGE(IF(NF!$G$2:$G$3137='Mês atual'!A813,NF!$J$2:$J$3137),1),0)</f>
        <v>69.900000000000006</v>
      </c>
      <c r="BS813" s="142" t="str">
        <f>VLOOKUP(A813,NF!M:O,3,0)</f>
        <v>Mercado</v>
      </c>
      <c r="BV813" s="74">
        <f t="shared" si="488"/>
        <v>1</v>
      </c>
      <c r="BW813" s="74">
        <f t="shared" si="489"/>
        <v>0</v>
      </c>
      <c r="BX813" s="74">
        <f t="shared" si="490"/>
        <v>2</v>
      </c>
      <c r="BY813" s="74">
        <f t="shared" si="491"/>
        <v>1</v>
      </c>
      <c r="BZ813" s="74">
        <f t="shared" si="492"/>
        <v>0</v>
      </c>
    </row>
    <row r="814" spans="1:78" x14ac:dyDescent="0.25">
      <c r="A814" s="108" t="s">
        <v>541</v>
      </c>
      <c r="B814" s="12"/>
      <c r="C814" s="9">
        <v>12</v>
      </c>
      <c r="D814" s="25"/>
      <c r="E814" s="10" t="str">
        <f t="shared" si="503"/>
        <v>MarçoSEMANA 1Óleo Composto 500ml</v>
      </c>
      <c r="F814" s="7">
        <f>SUMIF(NF!$A:$A,$E814,NF!$I:$I)</f>
        <v>8</v>
      </c>
      <c r="G814" s="74"/>
      <c r="H814" s="74"/>
      <c r="I814" s="74"/>
      <c r="J814" s="6">
        <v>5</v>
      </c>
      <c r="K814" s="6">
        <v>5</v>
      </c>
      <c r="L814" s="6">
        <v>4</v>
      </c>
      <c r="M814" s="6">
        <v>5</v>
      </c>
      <c r="N814" s="7">
        <f t="shared" si="524"/>
        <v>19</v>
      </c>
      <c r="O814" s="11">
        <f t="shared" si="434"/>
        <v>1</v>
      </c>
      <c r="P814" s="25"/>
      <c r="Q814" s="10" t="str">
        <f t="shared" si="504"/>
        <v>MarçoSEMANA 2Óleo Composto 500ml</v>
      </c>
      <c r="R814" s="7">
        <f>SUMIF(NF!$A:$A,$Q814,NF!$I:$I)</f>
        <v>48</v>
      </c>
      <c r="S814" s="6">
        <v>3</v>
      </c>
      <c r="T814" s="6">
        <v>3</v>
      </c>
      <c r="U814" s="6">
        <v>3</v>
      </c>
      <c r="V814" s="6">
        <v>3</v>
      </c>
      <c r="W814" s="6">
        <v>3</v>
      </c>
      <c r="X814" s="6">
        <v>5</v>
      </c>
      <c r="Y814" s="6">
        <v>3</v>
      </c>
      <c r="Z814" s="7">
        <f t="shared" si="525"/>
        <v>23</v>
      </c>
      <c r="AA814" s="11">
        <f t="shared" si="437"/>
        <v>26</v>
      </c>
      <c r="AB814" s="25"/>
      <c r="AC814" s="10" t="str">
        <f t="shared" si="505"/>
        <v>MarçoSEMANA 3Óleo Composto 500ml</v>
      </c>
      <c r="AD814" s="7">
        <f>SUMIF(NF!$A:$A,$AC814,NF!$I:$I)</f>
        <v>24</v>
      </c>
      <c r="AE814" s="6">
        <v>3</v>
      </c>
      <c r="AF814" s="6">
        <v>6</v>
      </c>
      <c r="AG814" s="6">
        <v>3</v>
      </c>
      <c r="AH814" s="6">
        <v>5</v>
      </c>
      <c r="AI814" s="6">
        <v>4</v>
      </c>
      <c r="AJ814" s="6">
        <v>4</v>
      </c>
      <c r="AK814" s="6">
        <v>3</v>
      </c>
      <c r="AL814" s="7">
        <f t="shared" si="526"/>
        <v>28</v>
      </c>
      <c r="AM814" s="11">
        <f t="shared" si="440"/>
        <v>22</v>
      </c>
      <c r="AN814" s="25"/>
      <c r="AO814" s="10" t="str">
        <f t="shared" si="506"/>
        <v>MarçoSEMANA 4Óleo Composto 500ml</v>
      </c>
      <c r="AP814" s="7">
        <f>SUMIF(NF!$A:$A,$AO814,NF!$I:$I)</f>
        <v>24</v>
      </c>
      <c r="AQ814" s="6">
        <v>3</v>
      </c>
      <c r="AR814" s="6">
        <v>3</v>
      </c>
      <c r="AS814" s="6">
        <v>3</v>
      </c>
      <c r="AT814" s="6">
        <v>3</v>
      </c>
      <c r="AU814" s="6">
        <f>5+1+2</f>
        <v>8</v>
      </c>
      <c r="AV814" s="6">
        <v>2</v>
      </c>
      <c r="AW814" s="6">
        <v>3</v>
      </c>
      <c r="AX814" s="7">
        <f t="shared" si="527"/>
        <v>25</v>
      </c>
      <c r="AY814" s="11">
        <f t="shared" si="443"/>
        <v>21</v>
      </c>
      <c r="AZ814" s="25"/>
      <c r="BA814" s="10" t="str">
        <f t="shared" si="507"/>
        <v>MarçoSEMANA 5Óleo Composto 500ml</v>
      </c>
      <c r="BB814" s="7">
        <f>SUMIF(NF!$A:$A,$BA814,NF!$I:$I)</f>
        <v>12</v>
      </c>
      <c r="BC814" s="6">
        <v>3</v>
      </c>
      <c r="BD814" s="6">
        <v>3</v>
      </c>
      <c r="BE814" s="6">
        <v>3</v>
      </c>
      <c r="BF814" s="6">
        <v>3</v>
      </c>
      <c r="BG814" s="6">
        <v>4</v>
      </c>
      <c r="BH814" s="6">
        <v>3</v>
      </c>
      <c r="BI814" s="74"/>
      <c r="BJ814" s="74"/>
      <c r="BK814" s="7">
        <f t="shared" si="528"/>
        <v>19</v>
      </c>
      <c r="BL814" s="8">
        <f t="shared" si="446"/>
        <v>14</v>
      </c>
      <c r="BM814" s="51" t="str">
        <f>IFERROR(VLOOKUP(A814,NF!$M:$O,3,0),"")</f>
        <v>Mercado</v>
      </c>
      <c r="BN814" s="7">
        <f t="shared" si="447"/>
        <v>114</v>
      </c>
      <c r="BO814" s="8">
        <f t="array" ref="BO814">IFERROR(LARGE(IF(NF!$G$2:$G$3137='Mês atual'!A814,NF!$J$2:$J$3137),1),0)*BN814</f>
        <v>644.1</v>
      </c>
      <c r="BP814" s="50"/>
      <c r="BR814" s="146">
        <f t="array" ref="BR814">IFERROR(LARGE(IF(NF!$G$2:$G$3137='Mês atual'!A814,NF!$J$2:$J$3137),1),0)</f>
        <v>5.65</v>
      </c>
      <c r="BS814" s="142" t="str">
        <f>VLOOKUP(A814,NF!M:O,3,0)</f>
        <v>Mercado</v>
      </c>
      <c r="BV814" s="74">
        <f t="shared" ref="BV814:BV859" si="529">N814</f>
        <v>19</v>
      </c>
      <c r="BW814" s="74">
        <f t="shared" ref="BW814:BW859" si="530">Z814</f>
        <v>23</v>
      </c>
      <c r="BX814" s="74">
        <f t="shared" ref="BX814:BX859" si="531">AL814</f>
        <v>28</v>
      </c>
      <c r="BY814" s="74">
        <f t="shared" ref="BY814:BY859" si="532">AX814</f>
        <v>25</v>
      </c>
      <c r="BZ814" s="74">
        <f t="shared" ref="BZ814:BZ859" si="533">BK814</f>
        <v>19</v>
      </c>
    </row>
    <row r="815" spans="1:78" x14ac:dyDescent="0.25">
      <c r="A815" s="108" t="s">
        <v>542</v>
      </c>
      <c r="B815" s="12"/>
      <c r="C815" s="9">
        <v>0</v>
      </c>
      <c r="D815" s="25"/>
      <c r="E815" s="10" t="str">
        <f t="shared" si="503"/>
        <v>MarçoSEMANA 1Óleo de Côco Orgânico 200ml</v>
      </c>
      <c r="F815" s="7">
        <f>SUMIF(NF!$A:$A,$E815,NF!$I:$I)</f>
        <v>0</v>
      </c>
      <c r="G815" s="74"/>
      <c r="H815" s="74"/>
      <c r="I815" s="74"/>
      <c r="J815" s="6"/>
      <c r="K815" s="6"/>
      <c r="L815" s="6"/>
      <c r="M815" s="6"/>
      <c r="N815" s="7">
        <f>SUM(G815:M815)</f>
        <v>0</v>
      </c>
      <c r="O815" s="11">
        <f t="shared" si="434"/>
        <v>0</v>
      </c>
      <c r="P815" s="25"/>
      <c r="Q815" s="10" t="str">
        <f t="shared" si="504"/>
        <v>MarçoSEMANA 2Óleo de Côco Orgânico 200ml</v>
      </c>
      <c r="R815" s="7">
        <f>SUMIF(NF!$A:$A,$Q815,NF!$I:$I)</f>
        <v>0</v>
      </c>
      <c r="S815" s="6"/>
      <c r="T815" s="6"/>
      <c r="U815" s="6"/>
      <c r="V815" s="6"/>
      <c r="W815" s="6"/>
      <c r="X815" s="6"/>
      <c r="Y815" s="6"/>
      <c r="Z815" s="7">
        <f>SUM(S815:Y815)</f>
        <v>0</v>
      </c>
      <c r="AA815" s="11">
        <f t="shared" si="437"/>
        <v>0</v>
      </c>
      <c r="AB815" s="25"/>
      <c r="AC815" s="10" t="str">
        <f t="shared" si="505"/>
        <v>MarçoSEMANA 3Óleo de Côco Orgânico 200ml</v>
      </c>
      <c r="AD815" s="7">
        <f>SUMIF(NF!$A:$A,$AC815,NF!$I:$I)</f>
        <v>0</v>
      </c>
      <c r="AE815" s="6"/>
      <c r="AF815" s="6"/>
      <c r="AG815" s="6"/>
      <c r="AH815" s="6"/>
      <c r="AI815" s="6"/>
      <c r="AJ815" s="6"/>
      <c r="AK815" s="6"/>
      <c r="AL815" s="7">
        <f>SUM(AE815:AK815)</f>
        <v>0</v>
      </c>
      <c r="AM815" s="11">
        <f t="shared" si="440"/>
        <v>0</v>
      </c>
      <c r="AN815" s="25"/>
      <c r="AO815" s="10" t="str">
        <f t="shared" si="506"/>
        <v>MarçoSEMANA 4Óleo de Côco Orgânico 200ml</v>
      </c>
      <c r="AP815" s="7">
        <f>SUMIF(NF!$A:$A,$AO815,NF!$I:$I)</f>
        <v>0</v>
      </c>
      <c r="AQ815" s="6"/>
      <c r="AR815" s="6"/>
      <c r="AS815" s="6"/>
      <c r="AT815" s="6"/>
      <c r="AU815" s="6"/>
      <c r="AV815" s="6"/>
      <c r="AW815" s="6"/>
      <c r="AX815" s="7">
        <f>SUM(AQ815:AW815)</f>
        <v>0</v>
      </c>
      <c r="AY815" s="11">
        <f t="shared" si="443"/>
        <v>0</v>
      </c>
      <c r="AZ815" s="25"/>
      <c r="BA815" s="10" t="str">
        <f t="shared" si="507"/>
        <v>MarçoSEMANA 5Óleo de Côco Orgânico 200ml</v>
      </c>
      <c r="BB815" s="7">
        <f>SUMIF(NF!$A:$A,$BA815,NF!$I:$I)</f>
        <v>0</v>
      </c>
      <c r="BC815" s="6"/>
      <c r="BD815" s="6"/>
      <c r="BE815" s="6"/>
      <c r="BF815" s="6"/>
      <c r="BG815" s="6"/>
      <c r="BH815" s="6"/>
      <c r="BI815" s="74"/>
      <c r="BJ815" s="74"/>
      <c r="BK815" s="7">
        <f>SUM(BC815:BJ815)</f>
        <v>0</v>
      </c>
      <c r="BL815" s="8">
        <f t="shared" si="446"/>
        <v>0</v>
      </c>
      <c r="BM815" s="51" t="str">
        <f>IFERROR(VLOOKUP(A815,NF!$M:$O,3,0),"")</f>
        <v>Mercado</v>
      </c>
      <c r="BN815" s="7">
        <f t="shared" si="447"/>
        <v>0</v>
      </c>
      <c r="BO815" s="8">
        <f t="array" ref="BO815">IFERROR(LARGE(IF(NF!$G$2:$G$3137='Mês atual'!A815,NF!$J$2:$J$3137),1),0)*BN815</f>
        <v>0</v>
      </c>
      <c r="BP815" s="50"/>
      <c r="BR815" s="146">
        <f t="array" ref="BR815">IFERROR(LARGE(IF(NF!$G$2:$G$3137='Mês atual'!A815,NF!$J$2:$J$3137),1),0)</f>
        <v>0</v>
      </c>
      <c r="BS815" s="142" t="str">
        <f>VLOOKUP(A815,NF!M:O,3,0)</f>
        <v>Mercado</v>
      </c>
      <c r="BV815" s="74">
        <f t="shared" si="529"/>
        <v>0</v>
      </c>
      <c r="BW815" s="74">
        <f t="shared" si="530"/>
        <v>0</v>
      </c>
      <c r="BX815" s="74">
        <f t="shared" si="531"/>
        <v>0</v>
      </c>
      <c r="BY815" s="74">
        <f t="shared" si="532"/>
        <v>0</v>
      </c>
      <c r="BZ815" s="74">
        <f t="shared" si="533"/>
        <v>0</v>
      </c>
    </row>
    <row r="816" spans="1:78" x14ac:dyDescent="0.25">
      <c r="A816" s="108" t="s">
        <v>543</v>
      </c>
      <c r="B816" s="12"/>
      <c r="C816" s="9">
        <v>1</v>
      </c>
      <c r="D816" s="25"/>
      <c r="E816" s="10" t="str">
        <f t="shared" si="503"/>
        <v>MarçoSEMANA 1Óleo de Gergelim</v>
      </c>
      <c r="F816" s="7">
        <f>SUMIF(NF!$A:$A,$E816,NF!$I:$I)</f>
        <v>2</v>
      </c>
      <c r="G816" s="74"/>
      <c r="H816" s="74"/>
      <c r="I816" s="74"/>
      <c r="J816" s="6">
        <v>1</v>
      </c>
      <c r="K816" s="6"/>
      <c r="L816" s="6"/>
      <c r="M816" s="6"/>
      <c r="N816" s="7">
        <f t="shared" ref="N816:N840" si="534">SUM(G816:M816)</f>
        <v>1</v>
      </c>
      <c r="O816" s="11">
        <f t="shared" si="434"/>
        <v>2</v>
      </c>
      <c r="P816" s="25"/>
      <c r="Q816" s="10" t="str">
        <f t="shared" si="504"/>
        <v>MarçoSEMANA 2Óleo de Gergelim</v>
      </c>
      <c r="R816" s="7">
        <f>SUMIF(NF!$A:$A,$Q816,NF!$I:$I)</f>
        <v>1</v>
      </c>
      <c r="S816" s="6"/>
      <c r="T816" s="6"/>
      <c r="U816" s="6">
        <v>1</v>
      </c>
      <c r="V816" s="6"/>
      <c r="W816" s="6"/>
      <c r="X816" s="6"/>
      <c r="Y816" s="6"/>
      <c r="Z816" s="7">
        <f t="shared" ref="Z816:Z840" si="535">SUM(S816:Y816)</f>
        <v>1</v>
      </c>
      <c r="AA816" s="11">
        <f t="shared" si="437"/>
        <v>2</v>
      </c>
      <c r="AB816" s="25"/>
      <c r="AC816" s="10" t="str">
        <f t="shared" si="505"/>
        <v>MarçoSEMANA 3Óleo de Gergelim</v>
      </c>
      <c r="AD816" s="7">
        <f>SUMIF(NF!$A:$A,$AC816,NF!$I:$I)</f>
        <v>1</v>
      </c>
      <c r="AE816" s="6"/>
      <c r="AF816" s="6"/>
      <c r="AG816" s="6">
        <v>1</v>
      </c>
      <c r="AH816" s="6"/>
      <c r="AI816" s="6"/>
      <c r="AJ816" s="6"/>
      <c r="AK816" s="6"/>
      <c r="AL816" s="7">
        <f t="shared" ref="AL816:AL840" si="536">SUM(AE816:AK816)</f>
        <v>1</v>
      </c>
      <c r="AM816" s="11">
        <f t="shared" si="440"/>
        <v>2</v>
      </c>
      <c r="AN816" s="25"/>
      <c r="AO816" s="10" t="str">
        <f t="shared" si="506"/>
        <v>MarçoSEMANA 4Óleo de Gergelim</v>
      </c>
      <c r="AP816" s="7">
        <f>SUMIF(NF!$A:$A,$AO816,NF!$I:$I)</f>
        <v>1</v>
      </c>
      <c r="AQ816" s="6"/>
      <c r="AR816" s="6">
        <v>1</v>
      </c>
      <c r="AS816" s="6"/>
      <c r="AT816" s="6"/>
      <c r="AU816" s="6"/>
      <c r="AV816" s="6"/>
      <c r="AW816" s="6">
        <v>1</v>
      </c>
      <c r="AX816" s="7">
        <f t="shared" ref="AX816:AX840" si="537">SUM(AQ816:AW816)</f>
        <v>2</v>
      </c>
      <c r="AY816" s="11">
        <f t="shared" si="443"/>
        <v>1</v>
      </c>
      <c r="AZ816" s="25"/>
      <c r="BA816" s="10" t="str">
        <f t="shared" si="507"/>
        <v>MarçoSEMANA 5Óleo de Gergelim</v>
      </c>
      <c r="BB816" s="7">
        <f>SUMIF(NF!$A:$A,$BA816,NF!$I:$I)</f>
        <v>1</v>
      </c>
      <c r="BC816" s="6"/>
      <c r="BD816" s="6"/>
      <c r="BE816" s="6">
        <v>1</v>
      </c>
      <c r="BF816" s="6"/>
      <c r="BG816" s="6"/>
      <c r="BH816" s="6"/>
      <c r="BI816" s="74"/>
      <c r="BJ816" s="74"/>
      <c r="BK816" s="7">
        <f t="shared" ref="BK816:BK840" si="538">SUM(BC816:BJ816)</f>
        <v>1</v>
      </c>
      <c r="BL816" s="8">
        <f t="shared" si="446"/>
        <v>1</v>
      </c>
      <c r="BM816" s="51" t="str">
        <f>IFERROR(VLOOKUP(A816,NF!$M:$O,3,0),"")</f>
        <v>Mercado</v>
      </c>
      <c r="BN816" s="7">
        <f t="shared" si="447"/>
        <v>6</v>
      </c>
      <c r="BO816" s="8">
        <f t="array" ref="BO816">IFERROR(LARGE(IF(NF!$G$2:$G$3137='Mês atual'!A816,NF!$J$2:$J$3137),1),0)*BN816</f>
        <v>324</v>
      </c>
      <c r="BP816" s="50"/>
      <c r="BR816" s="146">
        <f t="array" ref="BR816">IFERROR(LARGE(IF(NF!$G$2:$G$3137='Mês atual'!A816,NF!$J$2:$J$3137),1),0)</f>
        <v>54</v>
      </c>
      <c r="BS816" s="142" t="str">
        <f>VLOOKUP(A816,NF!M:O,3,0)</f>
        <v>Mercado</v>
      </c>
      <c r="BV816" s="74">
        <f t="shared" si="529"/>
        <v>1</v>
      </c>
      <c r="BW816" s="74">
        <f t="shared" si="530"/>
        <v>1</v>
      </c>
      <c r="BX816" s="74">
        <f t="shared" si="531"/>
        <v>1</v>
      </c>
      <c r="BY816" s="74">
        <f t="shared" si="532"/>
        <v>2</v>
      </c>
      <c r="BZ816" s="74">
        <f t="shared" si="533"/>
        <v>1</v>
      </c>
    </row>
    <row r="817" spans="1:78" x14ac:dyDescent="0.25">
      <c r="A817" s="108" t="s">
        <v>544</v>
      </c>
      <c r="B817" s="12"/>
      <c r="C817" s="9">
        <v>2</v>
      </c>
      <c r="D817" s="25"/>
      <c r="E817" s="10" t="str">
        <f t="shared" si="503"/>
        <v>MarçoSEMANA 1Óleo de Soja 18 Lt</v>
      </c>
      <c r="F817" s="7">
        <f>SUMIF(NF!$A:$A,$E817,NF!$I:$I)</f>
        <v>1</v>
      </c>
      <c r="G817" s="74"/>
      <c r="H817" s="74"/>
      <c r="I817" s="74"/>
      <c r="J817" s="6">
        <v>1</v>
      </c>
      <c r="K817" s="6">
        <v>1</v>
      </c>
      <c r="L817" s="6"/>
      <c r="M817" s="6"/>
      <c r="N817" s="7">
        <f t="shared" si="534"/>
        <v>2</v>
      </c>
      <c r="O817" s="11">
        <f t="shared" si="434"/>
        <v>1</v>
      </c>
      <c r="P817" s="25"/>
      <c r="Q817" s="10" t="str">
        <f t="shared" si="504"/>
        <v>MarçoSEMANA 2Óleo de Soja 18 Lt</v>
      </c>
      <c r="R817" s="7">
        <f>SUMIF(NF!$A:$A,$Q817,NF!$I:$I)</f>
        <v>8</v>
      </c>
      <c r="S817" s="6">
        <v>1</v>
      </c>
      <c r="T817" s="6">
        <v>1</v>
      </c>
      <c r="U817" s="6">
        <v>1</v>
      </c>
      <c r="V817" s="6"/>
      <c r="W817" s="6">
        <v>1</v>
      </c>
      <c r="X817" s="6"/>
      <c r="Y817" s="6"/>
      <c r="Z817" s="7">
        <f t="shared" si="535"/>
        <v>4</v>
      </c>
      <c r="AA817" s="11">
        <f t="shared" si="437"/>
        <v>5</v>
      </c>
      <c r="AB817" s="25"/>
      <c r="AC817" s="10" t="str">
        <f t="shared" si="505"/>
        <v>MarçoSEMANA 3Óleo de Soja 18 Lt</v>
      </c>
      <c r="AD817" s="7">
        <f>SUMIF(NF!$A:$A,$AC817,NF!$I:$I)</f>
        <v>4</v>
      </c>
      <c r="AE817" s="6">
        <v>2</v>
      </c>
      <c r="AF817" s="6"/>
      <c r="AG817" s="6">
        <v>1</v>
      </c>
      <c r="AH817" s="6"/>
      <c r="AI817" s="6">
        <v>1</v>
      </c>
      <c r="AJ817" s="6">
        <v>1</v>
      </c>
      <c r="AK817" s="6">
        <v>1</v>
      </c>
      <c r="AL817" s="7">
        <f t="shared" si="536"/>
        <v>6</v>
      </c>
      <c r="AM817" s="11">
        <f t="shared" si="440"/>
        <v>3</v>
      </c>
      <c r="AN817" s="25"/>
      <c r="AO817" s="10" t="str">
        <f t="shared" si="506"/>
        <v>MarçoSEMANA 4Óleo de Soja 18 Lt</v>
      </c>
      <c r="AP817" s="7">
        <f>SUMIF(NF!$A:$A,$AO817,NF!$I:$I)</f>
        <v>5</v>
      </c>
      <c r="AQ817" s="6"/>
      <c r="AR817" s="6">
        <v>1</v>
      </c>
      <c r="AS817" s="6"/>
      <c r="AT817" s="6">
        <v>2</v>
      </c>
      <c r="AU817" s="6"/>
      <c r="AV817" s="6">
        <v>1</v>
      </c>
      <c r="AW817" s="6"/>
      <c r="AX817" s="7">
        <f t="shared" si="537"/>
        <v>4</v>
      </c>
      <c r="AY817" s="11">
        <f t="shared" si="443"/>
        <v>4</v>
      </c>
      <c r="AZ817" s="25"/>
      <c r="BA817" s="10" t="str">
        <f t="shared" si="507"/>
        <v>MarçoSEMANA 5Óleo de Soja 18 Lt</v>
      </c>
      <c r="BB817" s="7">
        <f>SUMIF(NF!$A:$A,$BA817,NF!$I:$I)</f>
        <v>3</v>
      </c>
      <c r="BC817" s="6"/>
      <c r="BD817" s="6">
        <v>2</v>
      </c>
      <c r="BE817" s="6"/>
      <c r="BF817" s="6">
        <v>1</v>
      </c>
      <c r="BG817" s="6"/>
      <c r="BH817" s="6">
        <v>2</v>
      </c>
      <c r="BI817" s="74"/>
      <c r="BJ817" s="74"/>
      <c r="BK817" s="7">
        <f t="shared" si="538"/>
        <v>5</v>
      </c>
      <c r="BL817" s="8">
        <f t="shared" si="446"/>
        <v>2</v>
      </c>
      <c r="BM817" s="51" t="str">
        <f>IFERROR(VLOOKUP(A817,NF!$M:$O,3,0),"")</f>
        <v>Mercado</v>
      </c>
      <c r="BN817" s="7">
        <f t="shared" si="447"/>
        <v>21</v>
      </c>
      <c r="BO817" s="8">
        <f t="array" ref="BO817">IFERROR(LARGE(IF(NF!$G$2:$G$3137='Mês atual'!A817,NF!$J$2:$J$3137),1),0)*BN817</f>
        <v>1312.5</v>
      </c>
      <c r="BP817" s="50"/>
      <c r="BR817" s="146">
        <f t="array" ref="BR817">IFERROR(LARGE(IF(NF!$G$2:$G$3137='Mês atual'!A817,NF!$J$2:$J$3137),1),0)</f>
        <v>62.5</v>
      </c>
      <c r="BS817" s="142" t="str">
        <f>VLOOKUP(A817,NF!M:O,3,0)</f>
        <v>Mercado</v>
      </c>
      <c r="BV817" s="74">
        <f t="shared" si="529"/>
        <v>2</v>
      </c>
      <c r="BW817" s="74">
        <f t="shared" si="530"/>
        <v>4</v>
      </c>
      <c r="BX817" s="74">
        <f t="shared" si="531"/>
        <v>6</v>
      </c>
      <c r="BY817" s="74">
        <f t="shared" si="532"/>
        <v>4</v>
      </c>
      <c r="BZ817" s="74">
        <f t="shared" si="533"/>
        <v>5</v>
      </c>
    </row>
    <row r="818" spans="1:78" x14ac:dyDescent="0.25">
      <c r="A818" s="108" t="s">
        <v>545</v>
      </c>
      <c r="B818" s="12"/>
      <c r="C818" s="9">
        <v>0</v>
      </c>
      <c r="D818" s="25"/>
      <c r="E818" s="10" t="str">
        <f t="shared" si="503"/>
        <v>MarçoSEMANA 1Óleo de Soja Pet</v>
      </c>
      <c r="F818" s="7">
        <f>SUMIF(NF!$A:$A,$E818,NF!$I:$I)</f>
        <v>0</v>
      </c>
      <c r="G818" s="74"/>
      <c r="H818" s="74"/>
      <c r="I818" s="74"/>
      <c r="J818" s="6"/>
      <c r="K818" s="6"/>
      <c r="L818" s="6"/>
      <c r="M818" s="6"/>
      <c r="N818" s="7">
        <f t="shared" si="534"/>
        <v>0</v>
      </c>
      <c r="O818" s="11">
        <f t="shared" si="434"/>
        <v>0</v>
      </c>
      <c r="P818" s="25"/>
      <c r="Q818" s="10" t="str">
        <f t="shared" si="504"/>
        <v>MarçoSEMANA 2Óleo de Soja Pet</v>
      </c>
      <c r="R818" s="7">
        <f>SUMIF(NF!$A:$A,$Q818,NF!$I:$I)</f>
        <v>0</v>
      </c>
      <c r="S818" s="6"/>
      <c r="T818" s="6"/>
      <c r="U818" s="6"/>
      <c r="V818" s="6"/>
      <c r="W818" s="6"/>
      <c r="X818" s="6"/>
      <c r="Y818" s="6"/>
      <c r="Z818" s="7">
        <f t="shared" si="535"/>
        <v>0</v>
      </c>
      <c r="AA818" s="11">
        <f t="shared" si="437"/>
        <v>0</v>
      </c>
      <c r="AB818" s="25"/>
      <c r="AC818" s="10" t="str">
        <f t="shared" si="505"/>
        <v>MarçoSEMANA 3Óleo de Soja Pet</v>
      </c>
      <c r="AD818" s="7">
        <f>SUMIF(NF!$A:$A,$AC818,NF!$I:$I)</f>
        <v>0</v>
      </c>
      <c r="AE818" s="6"/>
      <c r="AF818" s="6"/>
      <c r="AG818" s="6"/>
      <c r="AH818" s="6"/>
      <c r="AI818" s="6"/>
      <c r="AJ818" s="6"/>
      <c r="AK818" s="6"/>
      <c r="AL818" s="7">
        <f t="shared" si="536"/>
        <v>0</v>
      </c>
      <c r="AM818" s="11">
        <f t="shared" si="440"/>
        <v>0</v>
      </c>
      <c r="AN818" s="25"/>
      <c r="AO818" s="10" t="str">
        <f t="shared" si="506"/>
        <v>MarçoSEMANA 4Óleo de Soja Pet</v>
      </c>
      <c r="AP818" s="7">
        <f>SUMIF(NF!$A:$A,$AO818,NF!$I:$I)</f>
        <v>0</v>
      </c>
      <c r="AQ818" s="6"/>
      <c r="AR818" s="6"/>
      <c r="AS818" s="6"/>
      <c r="AT818" s="6"/>
      <c r="AU818" s="6"/>
      <c r="AV818" s="6"/>
      <c r="AW818" s="6"/>
      <c r="AX818" s="7">
        <f t="shared" si="537"/>
        <v>0</v>
      </c>
      <c r="AY818" s="11">
        <f t="shared" si="443"/>
        <v>0</v>
      </c>
      <c r="AZ818" s="25"/>
      <c r="BA818" s="10" t="str">
        <f t="shared" si="507"/>
        <v>MarçoSEMANA 5Óleo de Soja Pet</v>
      </c>
      <c r="BB818" s="7">
        <f>SUMIF(NF!$A:$A,$BA818,NF!$I:$I)</f>
        <v>0</v>
      </c>
      <c r="BC818" s="6"/>
      <c r="BD818" s="6"/>
      <c r="BE818" s="6"/>
      <c r="BF818" s="6"/>
      <c r="BG818" s="6"/>
      <c r="BH818" s="6"/>
      <c r="BI818" s="74"/>
      <c r="BJ818" s="74"/>
      <c r="BK818" s="7">
        <f t="shared" si="538"/>
        <v>0</v>
      </c>
      <c r="BL818" s="8">
        <f t="shared" si="446"/>
        <v>0</v>
      </c>
      <c r="BM818" s="51" t="str">
        <f>IFERROR(VLOOKUP(A818,NF!$M:$O,3,0),"")</f>
        <v>Mercado</v>
      </c>
      <c r="BN818" s="7">
        <f t="shared" si="447"/>
        <v>0</v>
      </c>
      <c r="BO818" s="8">
        <f t="array" ref="BO818">IFERROR(LARGE(IF(NF!$G$2:$G$3137='Mês atual'!A818,NF!$J$2:$J$3137),1),0)*BN818</f>
        <v>0</v>
      </c>
      <c r="BP818" s="50"/>
      <c r="BR818" s="146">
        <f t="array" ref="BR818">IFERROR(LARGE(IF(NF!$G$2:$G$3137='Mês atual'!A818,NF!$J$2:$J$3137),1),0)</f>
        <v>0</v>
      </c>
      <c r="BS818" s="142" t="str">
        <f>VLOOKUP(A818,NF!M:O,3,0)</f>
        <v>Mercado</v>
      </c>
      <c r="BV818" s="74">
        <f t="shared" si="529"/>
        <v>0</v>
      </c>
      <c r="BW818" s="74">
        <f t="shared" si="530"/>
        <v>0</v>
      </c>
      <c r="BX818" s="74">
        <f t="shared" si="531"/>
        <v>0</v>
      </c>
      <c r="BY818" s="74">
        <f t="shared" si="532"/>
        <v>0</v>
      </c>
      <c r="BZ818" s="74">
        <f t="shared" si="533"/>
        <v>0</v>
      </c>
    </row>
    <row r="819" spans="1:78" x14ac:dyDescent="0.25">
      <c r="A819" s="108" t="s">
        <v>546</v>
      </c>
      <c r="B819" s="12"/>
      <c r="C819" s="9">
        <v>0.2</v>
      </c>
      <c r="D819" s="25"/>
      <c r="E819" s="10" t="str">
        <f t="shared" si="503"/>
        <v>MarçoSEMANA 1Orégano Chileno</v>
      </c>
      <c r="F819" s="7">
        <f>SUMIF(NF!$A:$A,$E819,NF!$I:$I)</f>
        <v>0.2</v>
      </c>
      <c r="G819" s="74"/>
      <c r="H819" s="74"/>
      <c r="I819" s="74"/>
      <c r="J819" s="6"/>
      <c r="K819" s="6"/>
      <c r="L819" s="6">
        <v>0.2</v>
      </c>
      <c r="M819" s="6"/>
      <c r="N819" s="7">
        <f t="shared" si="534"/>
        <v>0.2</v>
      </c>
      <c r="O819" s="11">
        <f t="shared" si="434"/>
        <v>0.2</v>
      </c>
      <c r="P819" s="25"/>
      <c r="Q819" s="10" t="str">
        <f t="shared" si="504"/>
        <v>MarçoSEMANA 2Orégano Chileno</v>
      </c>
      <c r="R819" s="7">
        <f>SUMIF(NF!$A:$A,$Q819,NF!$I:$I)</f>
        <v>0.4</v>
      </c>
      <c r="S819" s="6">
        <v>0.2</v>
      </c>
      <c r="T819" s="6"/>
      <c r="U819" s="6"/>
      <c r="V819" s="6"/>
      <c r="W819" s="6"/>
      <c r="X819" s="6"/>
      <c r="Y819" s="6"/>
      <c r="Z819" s="7">
        <f t="shared" si="535"/>
        <v>0.2</v>
      </c>
      <c r="AA819" s="11">
        <f t="shared" si="437"/>
        <v>0.40000000000000008</v>
      </c>
      <c r="AB819" s="25"/>
      <c r="AC819" s="10" t="str">
        <f t="shared" si="505"/>
        <v>MarçoSEMANA 3Orégano Chileno</v>
      </c>
      <c r="AD819" s="7">
        <f>SUMIF(NF!$A:$A,$AC819,NF!$I:$I)</f>
        <v>0</v>
      </c>
      <c r="AE819" s="6"/>
      <c r="AF819" s="6"/>
      <c r="AG819" s="6"/>
      <c r="AH819" s="6"/>
      <c r="AI819" s="6"/>
      <c r="AJ819" s="6"/>
      <c r="AK819" s="6"/>
      <c r="AL819" s="7">
        <f t="shared" si="536"/>
        <v>0</v>
      </c>
      <c r="AM819" s="11">
        <f t="shared" si="440"/>
        <v>0.40000000000000008</v>
      </c>
      <c r="AN819" s="25"/>
      <c r="AO819" s="10" t="str">
        <f t="shared" si="506"/>
        <v>MarçoSEMANA 4Orégano Chileno</v>
      </c>
      <c r="AP819" s="7">
        <f>SUMIF(NF!$A:$A,$AO819,NF!$I:$I)</f>
        <v>0.2</v>
      </c>
      <c r="AQ819" s="6"/>
      <c r="AR819" s="6">
        <v>0.2</v>
      </c>
      <c r="AS819" s="6"/>
      <c r="AT819" s="6"/>
      <c r="AU819" s="6"/>
      <c r="AV819" s="6"/>
      <c r="AW819" s="6"/>
      <c r="AX819" s="7">
        <f t="shared" si="537"/>
        <v>0.2</v>
      </c>
      <c r="AY819" s="11">
        <f t="shared" si="443"/>
        <v>0.40000000000000008</v>
      </c>
      <c r="AZ819" s="25"/>
      <c r="BA819" s="10" t="str">
        <f t="shared" si="507"/>
        <v>MarçoSEMANA 5Orégano Chileno</v>
      </c>
      <c r="BB819" s="7">
        <f>SUMIF(NF!$A:$A,$BA819,NF!$I:$I)</f>
        <v>0</v>
      </c>
      <c r="BC819" s="6"/>
      <c r="BD819" s="6"/>
      <c r="BE819" s="6"/>
      <c r="BF819" s="6"/>
      <c r="BG819" s="6"/>
      <c r="BH819" s="6"/>
      <c r="BI819" s="74"/>
      <c r="BJ819" s="74"/>
      <c r="BK819" s="7">
        <f t="shared" si="538"/>
        <v>0</v>
      </c>
      <c r="BL819" s="8">
        <f t="shared" si="446"/>
        <v>0.40000000000000008</v>
      </c>
      <c r="BM819" s="51" t="str">
        <f>IFERROR(VLOOKUP(A819,NF!$M:$O,3,0),"")</f>
        <v>Mercado</v>
      </c>
      <c r="BN819" s="7">
        <f t="shared" si="447"/>
        <v>0.60000000000000009</v>
      </c>
      <c r="BO819" s="8">
        <f t="array" ref="BO819">IFERROR(LARGE(IF(NF!$G$2:$G$3137='Mês atual'!A819,NF!$J$2:$J$3137),1),0)*BN819</f>
        <v>31.530000000000005</v>
      </c>
      <c r="BP819" s="50"/>
      <c r="BR819" s="146">
        <f t="array" ref="BR819">IFERROR(LARGE(IF(NF!$G$2:$G$3137='Mês atual'!A819,NF!$J$2:$J$3137),1),0)</f>
        <v>52.55</v>
      </c>
      <c r="BS819" s="142" t="str">
        <f>VLOOKUP(A819,NF!M:O,3,0)</f>
        <v>Mercado</v>
      </c>
      <c r="BV819" s="74">
        <f t="shared" si="529"/>
        <v>0.2</v>
      </c>
      <c r="BW819" s="74">
        <f t="shared" si="530"/>
        <v>0.2</v>
      </c>
      <c r="BX819" s="74">
        <f t="shared" si="531"/>
        <v>0</v>
      </c>
      <c r="BY819" s="74">
        <f t="shared" si="532"/>
        <v>0.2</v>
      </c>
      <c r="BZ819" s="74">
        <f t="shared" si="533"/>
        <v>0</v>
      </c>
    </row>
    <row r="820" spans="1:78" x14ac:dyDescent="0.2">
      <c r="A820" s="108" t="s">
        <v>555</v>
      </c>
      <c r="B820" s="12"/>
      <c r="C820" s="9">
        <v>5</v>
      </c>
      <c r="D820" s="25"/>
      <c r="E820" s="10" t="str">
        <f t="shared" si="503"/>
        <v>MarçoSEMANA 1Palmito lata 500gr</v>
      </c>
      <c r="F820" s="7">
        <f>SUMIF(NF!$A:$A,$E820,NF!$I:$I)</f>
        <v>24</v>
      </c>
      <c r="G820" s="74"/>
      <c r="H820" s="74"/>
      <c r="I820" s="74"/>
      <c r="J820" s="6">
        <v>1</v>
      </c>
      <c r="K820" s="6">
        <v>5</v>
      </c>
      <c r="L820" s="6">
        <v>3</v>
      </c>
      <c r="M820" s="6">
        <v>9</v>
      </c>
      <c r="N820" s="7">
        <f t="shared" si="534"/>
        <v>18</v>
      </c>
      <c r="O820" s="11">
        <f t="shared" si="434"/>
        <v>11</v>
      </c>
      <c r="P820" s="25"/>
      <c r="Q820" s="10" t="str">
        <f t="shared" si="504"/>
        <v>MarçoSEMANA 2Palmito lata 500gr</v>
      </c>
      <c r="R820" s="7">
        <f>SUMIF(NF!$A:$A,$Q820,NF!$I:$I)</f>
        <v>24</v>
      </c>
      <c r="S820" s="6"/>
      <c r="T820" s="6"/>
      <c r="U820" s="6">
        <v>1</v>
      </c>
      <c r="V820" s="6">
        <v>3</v>
      </c>
      <c r="W820" s="6"/>
      <c r="X820" s="6">
        <v>1</v>
      </c>
      <c r="Y820" s="6">
        <v>2</v>
      </c>
      <c r="Z820" s="7">
        <f t="shared" si="535"/>
        <v>7</v>
      </c>
      <c r="AA820" s="11">
        <f t="shared" si="437"/>
        <v>28</v>
      </c>
      <c r="AB820" s="25"/>
      <c r="AC820" s="10" t="str">
        <f t="shared" si="505"/>
        <v>MarçoSEMANA 3Palmito lata 500gr</v>
      </c>
      <c r="AD820" s="7">
        <f>SUMIF(NF!$A:$A,$AC820,NF!$I:$I)</f>
        <v>0</v>
      </c>
      <c r="AE820" s="6">
        <v>6</v>
      </c>
      <c r="AF820" s="6">
        <v>2</v>
      </c>
      <c r="AG820" s="6"/>
      <c r="AH820" s="6">
        <v>5</v>
      </c>
      <c r="AI820" s="6"/>
      <c r="AJ820" s="6"/>
      <c r="AK820" s="6">
        <v>2</v>
      </c>
      <c r="AL820" s="7">
        <f t="shared" si="536"/>
        <v>15</v>
      </c>
      <c r="AM820" s="11">
        <f t="shared" si="440"/>
        <v>13</v>
      </c>
      <c r="AN820" s="25"/>
      <c r="AO820" s="10" t="str">
        <f t="shared" si="506"/>
        <v>MarçoSEMANA 4Palmito lata 500gr</v>
      </c>
      <c r="AP820" s="7">
        <f>SUMIF(NF!$A:$A,$AO820,NF!$I:$I)</f>
        <v>24</v>
      </c>
      <c r="AQ820" s="6">
        <v>13</v>
      </c>
      <c r="AR820" s="6"/>
      <c r="AS820" s="6"/>
      <c r="AT820" s="6"/>
      <c r="AU820" s="6"/>
      <c r="AV820" s="6"/>
      <c r="AW820" s="6">
        <v>2</v>
      </c>
      <c r="AX820" s="7">
        <f t="shared" si="537"/>
        <v>15</v>
      </c>
      <c r="AY820" s="11">
        <f t="shared" si="443"/>
        <v>22</v>
      </c>
      <c r="AZ820" s="25"/>
      <c r="BA820" s="10" t="str">
        <f t="shared" si="507"/>
        <v>MarçoSEMANA 5Palmito lata 500gr</v>
      </c>
      <c r="BB820" s="7">
        <f>SUMIF(NF!$A:$A,$BA820,NF!$I:$I)</f>
        <v>0</v>
      </c>
      <c r="BC820" s="6">
        <v>2</v>
      </c>
      <c r="BD820" s="6"/>
      <c r="BE820" s="6"/>
      <c r="BF820" s="6"/>
      <c r="BG820" s="6"/>
      <c r="BH820" s="6">
        <v>2</v>
      </c>
      <c r="BI820" s="74"/>
      <c r="BJ820" s="74"/>
      <c r="BK820" s="7">
        <f t="shared" si="538"/>
        <v>4</v>
      </c>
      <c r="BL820" s="8">
        <f t="shared" si="446"/>
        <v>18</v>
      </c>
      <c r="BM820" s="51" t="str">
        <f>IFERROR(VLOOKUP(A820,NF!$M:$O,3,0),"")</f>
        <v>Mercado</v>
      </c>
      <c r="BN820" s="7">
        <f t="shared" si="447"/>
        <v>59</v>
      </c>
      <c r="BO820" s="8">
        <f t="array" ref="BO820">IFERROR(LARGE(IF(NF!$G$2:$G$3137='Mês atual'!A820,NF!$J$2:$J$3137),1),0)*BN820</f>
        <v>1042.3333333333335</v>
      </c>
      <c r="BP820" s="50"/>
      <c r="BR820" s="146">
        <f t="array" ref="BR820">IFERROR(LARGE(IF(NF!$G$2:$G$3137='Mês atual'!A820,NF!$J$2:$J$3137),1),0)</f>
        <v>17.666666666666668</v>
      </c>
      <c r="BS820" s="142" t="str">
        <f>VLOOKUP(A820,NF!M:O,3,0)</f>
        <v>Mercado</v>
      </c>
      <c r="BV820" s="74">
        <f t="shared" si="529"/>
        <v>18</v>
      </c>
      <c r="BW820" s="74">
        <f t="shared" si="530"/>
        <v>7</v>
      </c>
      <c r="BX820" s="74">
        <f t="shared" si="531"/>
        <v>15</v>
      </c>
      <c r="BY820" s="74">
        <f t="shared" si="532"/>
        <v>15</v>
      </c>
      <c r="BZ820" s="74">
        <f t="shared" si="533"/>
        <v>4</v>
      </c>
    </row>
    <row r="821" spans="1:78" x14ac:dyDescent="0.2">
      <c r="A821" s="108" t="s">
        <v>557</v>
      </c>
      <c r="B821" s="12"/>
      <c r="C821" s="9">
        <v>0</v>
      </c>
      <c r="D821" s="25"/>
      <c r="E821" s="10" t="str">
        <f t="shared" si="503"/>
        <v>MarçoSEMANA 1Palmito Picado 1,8 Kg</v>
      </c>
      <c r="F821" s="7">
        <f>SUMIF(NF!$A:$A,$E821,NF!$I:$I)</f>
        <v>0</v>
      </c>
      <c r="G821" s="74"/>
      <c r="H821" s="74"/>
      <c r="I821" s="74"/>
      <c r="J821" s="6"/>
      <c r="K821" s="6"/>
      <c r="L821" s="6"/>
      <c r="M821" s="6"/>
      <c r="N821" s="7">
        <f t="shared" si="534"/>
        <v>0</v>
      </c>
      <c r="O821" s="11">
        <f t="shared" si="434"/>
        <v>0</v>
      </c>
      <c r="P821" s="25"/>
      <c r="Q821" s="10" t="str">
        <f t="shared" si="504"/>
        <v>MarçoSEMANA 2Palmito Picado 1,8 Kg</v>
      </c>
      <c r="R821" s="7">
        <f>SUMIF(NF!$A:$A,$Q821,NF!$I:$I)</f>
        <v>0</v>
      </c>
      <c r="S821" s="6"/>
      <c r="T821" s="6"/>
      <c r="U821" s="6"/>
      <c r="V821" s="6"/>
      <c r="W821" s="6"/>
      <c r="X821" s="6"/>
      <c r="Y821" s="6"/>
      <c r="Z821" s="7">
        <f t="shared" si="535"/>
        <v>0</v>
      </c>
      <c r="AA821" s="11">
        <f t="shared" si="437"/>
        <v>0</v>
      </c>
      <c r="AB821" s="25"/>
      <c r="AC821" s="10" t="str">
        <f t="shared" si="505"/>
        <v>MarçoSEMANA 3Palmito Picado 1,8 Kg</v>
      </c>
      <c r="AD821" s="7">
        <f>SUMIF(NF!$A:$A,$AC821,NF!$I:$I)</f>
        <v>0</v>
      </c>
      <c r="AE821" s="6"/>
      <c r="AF821" s="6"/>
      <c r="AG821" s="6"/>
      <c r="AH821" s="6"/>
      <c r="AI821" s="6"/>
      <c r="AJ821" s="6"/>
      <c r="AK821" s="6"/>
      <c r="AL821" s="7">
        <f t="shared" si="536"/>
        <v>0</v>
      </c>
      <c r="AM821" s="11">
        <f t="shared" si="440"/>
        <v>0</v>
      </c>
      <c r="AN821" s="25"/>
      <c r="AO821" s="10" t="str">
        <f t="shared" si="506"/>
        <v>MarçoSEMANA 4Palmito Picado 1,8 Kg</v>
      </c>
      <c r="AP821" s="7">
        <f>SUMIF(NF!$A:$A,$AO821,NF!$I:$I)</f>
        <v>0</v>
      </c>
      <c r="AQ821" s="6"/>
      <c r="AR821" s="6"/>
      <c r="AS821" s="6"/>
      <c r="AT821" s="6"/>
      <c r="AU821" s="6"/>
      <c r="AV821" s="6"/>
      <c r="AW821" s="6"/>
      <c r="AX821" s="7">
        <f t="shared" si="537"/>
        <v>0</v>
      </c>
      <c r="AY821" s="11">
        <f t="shared" si="443"/>
        <v>0</v>
      </c>
      <c r="AZ821" s="25"/>
      <c r="BA821" s="10" t="str">
        <f t="shared" si="507"/>
        <v>MarçoSEMANA 5Palmito Picado 1,8 Kg</v>
      </c>
      <c r="BB821" s="7">
        <f>SUMIF(NF!$A:$A,$BA821,NF!$I:$I)</f>
        <v>0</v>
      </c>
      <c r="BC821" s="6"/>
      <c r="BD821" s="6"/>
      <c r="BE821" s="6"/>
      <c r="BF821" s="6"/>
      <c r="BG821" s="6"/>
      <c r="BH821" s="6"/>
      <c r="BI821" s="74"/>
      <c r="BJ821" s="74"/>
      <c r="BK821" s="7">
        <f t="shared" si="538"/>
        <v>0</v>
      </c>
      <c r="BL821" s="8">
        <f t="shared" si="446"/>
        <v>0</v>
      </c>
      <c r="BM821" s="51" t="str">
        <f>IFERROR(VLOOKUP(A821,NF!$M:$O,3,0),"")</f>
        <v>Mercado</v>
      </c>
      <c r="BN821" s="7">
        <f t="shared" si="447"/>
        <v>0</v>
      </c>
      <c r="BO821" s="8">
        <f t="array" ref="BO821">IFERROR(LARGE(IF(NF!$G$2:$G$3137='Mês atual'!A821,NF!$J$2:$J$3137),1),0)*BN821</f>
        <v>0</v>
      </c>
      <c r="BP821" s="50"/>
      <c r="BR821" s="146">
        <f t="array" ref="BR821">IFERROR(LARGE(IF(NF!$G$2:$G$3137='Mês atual'!A821,NF!$J$2:$J$3137),1),0)</f>
        <v>0</v>
      </c>
      <c r="BS821" s="142" t="str">
        <f>VLOOKUP(A821,NF!M:O,3,0)</f>
        <v>Mercado</v>
      </c>
      <c r="BV821" s="74">
        <f t="shared" si="529"/>
        <v>0</v>
      </c>
      <c r="BW821" s="74">
        <f t="shared" si="530"/>
        <v>0</v>
      </c>
      <c r="BX821" s="74">
        <f t="shared" si="531"/>
        <v>0</v>
      </c>
      <c r="BY821" s="74">
        <f t="shared" si="532"/>
        <v>0</v>
      </c>
      <c r="BZ821" s="74">
        <f t="shared" si="533"/>
        <v>0</v>
      </c>
    </row>
    <row r="822" spans="1:78" x14ac:dyDescent="0.25">
      <c r="A822" s="108" t="s">
        <v>560</v>
      </c>
      <c r="B822" s="12"/>
      <c r="C822" s="9">
        <v>0</v>
      </c>
      <c r="D822" s="25"/>
      <c r="E822" s="10" t="str">
        <f t="shared" si="503"/>
        <v>MarçoSEMANA 1Pão Árabe</v>
      </c>
      <c r="F822" s="7">
        <f>SUMIF(NF!$A:$A,$E822,NF!$I:$I)</f>
        <v>6</v>
      </c>
      <c r="G822" s="74"/>
      <c r="H822" s="74"/>
      <c r="I822" s="74"/>
      <c r="J822" s="6"/>
      <c r="K822" s="6"/>
      <c r="L822" s="6">
        <v>2</v>
      </c>
      <c r="M822" s="6">
        <v>3</v>
      </c>
      <c r="N822" s="7">
        <f t="shared" si="534"/>
        <v>5</v>
      </c>
      <c r="O822" s="11">
        <f t="shared" si="434"/>
        <v>1</v>
      </c>
      <c r="P822" s="25"/>
      <c r="Q822" s="10" t="str">
        <f t="shared" si="504"/>
        <v>MarçoSEMANA 2Pão Árabe</v>
      </c>
      <c r="R822" s="7">
        <f>SUMIF(NF!$A:$A,$Q822,NF!$I:$I)</f>
        <v>13</v>
      </c>
      <c r="S822" s="6">
        <v>1</v>
      </c>
      <c r="T822" s="6">
        <v>2</v>
      </c>
      <c r="U822" s="6">
        <v>2</v>
      </c>
      <c r="V822" s="6">
        <v>2</v>
      </c>
      <c r="W822" s="6"/>
      <c r="X822" s="6">
        <v>1</v>
      </c>
      <c r="Y822" s="6">
        <v>2</v>
      </c>
      <c r="Z822" s="7">
        <f t="shared" si="535"/>
        <v>10</v>
      </c>
      <c r="AA822" s="11">
        <f t="shared" si="437"/>
        <v>4</v>
      </c>
      <c r="AB822" s="25"/>
      <c r="AC822" s="10" t="str">
        <f t="shared" si="505"/>
        <v>MarçoSEMANA 3Pão Árabe</v>
      </c>
      <c r="AD822" s="7">
        <f>SUMIF(NF!$A:$A,$AC822,NF!$I:$I)</f>
        <v>4</v>
      </c>
      <c r="AE822" s="6">
        <v>3</v>
      </c>
      <c r="AF822" s="6"/>
      <c r="AG822" s="6"/>
      <c r="AH822" s="6"/>
      <c r="AI822" s="6"/>
      <c r="AJ822" s="6">
        <v>2</v>
      </c>
      <c r="AK822" s="6">
        <v>2</v>
      </c>
      <c r="AL822" s="7">
        <f t="shared" si="536"/>
        <v>7</v>
      </c>
      <c r="AM822" s="11">
        <f t="shared" si="440"/>
        <v>1</v>
      </c>
      <c r="AN822" s="25"/>
      <c r="AO822" s="10" t="str">
        <f t="shared" si="506"/>
        <v>MarçoSEMANA 4Pão Árabe</v>
      </c>
      <c r="AP822" s="7">
        <f>SUMIF(NF!$A:$A,$AO822,NF!$I:$I)</f>
        <v>5</v>
      </c>
      <c r="AQ822" s="6"/>
      <c r="AR822" s="6">
        <v>1</v>
      </c>
      <c r="AS822" s="6"/>
      <c r="AT822" s="6"/>
      <c r="AU822" s="6"/>
      <c r="AV822" s="6">
        <v>2</v>
      </c>
      <c r="AW822" s="6">
        <v>2</v>
      </c>
      <c r="AX822" s="7">
        <f t="shared" si="537"/>
        <v>5</v>
      </c>
      <c r="AY822" s="11">
        <f t="shared" si="443"/>
        <v>1</v>
      </c>
      <c r="AZ822" s="25"/>
      <c r="BA822" s="10" t="str">
        <f t="shared" si="507"/>
        <v>MarçoSEMANA 5Pão Árabe</v>
      </c>
      <c r="BB822" s="7">
        <f>SUMIF(NF!$A:$A,$BA822,NF!$I:$I)</f>
        <v>9</v>
      </c>
      <c r="BC822" s="6">
        <v>1</v>
      </c>
      <c r="BD822" s="6">
        <v>2</v>
      </c>
      <c r="BE822" s="6">
        <v>1</v>
      </c>
      <c r="BF822" s="6"/>
      <c r="BG822" s="6"/>
      <c r="BH822" s="6">
        <v>2</v>
      </c>
      <c r="BI822" s="74"/>
      <c r="BJ822" s="74"/>
      <c r="BK822" s="7">
        <f t="shared" si="538"/>
        <v>6</v>
      </c>
      <c r="BL822" s="8">
        <f t="shared" si="446"/>
        <v>4</v>
      </c>
      <c r="BM822" s="51" t="str">
        <f>IFERROR(VLOOKUP(A822,NF!$M:$O,3,0),"")</f>
        <v>Mercado</v>
      </c>
      <c r="BN822" s="7">
        <f t="shared" si="447"/>
        <v>33</v>
      </c>
      <c r="BO822" s="8">
        <f t="array" ref="BO822">IFERROR(LARGE(IF(NF!$G$2:$G$3137='Mês atual'!A822,NF!$J$2:$J$3137),1),0)*BN822</f>
        <v>221.1</v>
      </c>
      <c r="BP822" s="50"/>
      <c r="BR822" s="146">
        <f t="array" ref="BR822">IFERROR(LARGE(IF(NF!$G$2:$G$3137='Mês atual'!A822,NF!$J$2:$J$3137),1),0)</f>
        <v>6.7</v>
      </c>
      <c r="BS822" s="142" t="str">
        <f>VLOOKUP(A822,NF!M:O,3,0)</f>
        <v>Mercado</v>
      </c>
      <c r="BV822" s="74">
        <f t="shared" si="529"/>
        <v>5</v>
      </c>
      <c r="BW822" s="74">
        <f t="shared" si="530"/>
        <v>10</v>
      </c>
      <c r="BX822" s="74">
        <f t="shared" si="531"/>
        <v>7</v>
      </c>
      <c r="BY822" s="74">
        <f t="shared" si="532"/>
        <v>5</v>
      </c>
      <c r="BZ822" s="74">
        <f t="shared" si="533"/>
        <v>6</v>
      </c>
    </row>
    <row r="823" spans="1:78" x14ac:dyDescent="0.25">
      <c r="A823" s="108" t="s">
        <v>561</v>
      </c>
      <c r="B823" s="12"/>
      <c r="C823" s="9">
        <v>0</v>
      </c>
      <c r="D823" s="25"/>
      <c r="E823" s="10" t="str">
        <f t="shared" si="503"/>
        <v>MarçoSEMANA 1Pão de Forma</v>
      </c>
      <c r="F823" s="7">
        <f>SUMIF(NF!$A:$A,$E823,NF!$I:$I)</f>
        <v>0</v>
      </c>
      <c r="G823" s="74"/>
      <c r="H823" s="74"/>
      <c r="I823" s="74"/>
      <c r="J823" s="6"/>
      <c r="K823" s="6"/>
      <c r="L823" s="6"/>
      <c r="M823" s="6"/>
      <c r="N823" s="7">
        <f t="shared" si="534"/>
        <v>0</v>
      </c>
      <c r="O823" s="11">
        <f t="shared" si="434"/>
        <v>0</v>
      </c>
      <c r="P823" s="25"/>
      <c r="Q823" s="10" t="str">
        <f t="shared" si="504"/>
        <v>MarçoSEMANA 2Pão de Forma</v>
      </c>
      <c r="R823" s="7">
        <f>SUMIF(NF!$A:$A,$Q823,NF!$I:$I)</f>
        <v>3</v>
      </c>
      <c r="S823" s="6"/>
      <c r="T823" s="6"/>
      <c r="U823" s="6"/>
      <c r="V823" s="6">
        <v>2</v>
      </c>
      <c r="W823" s="6"/>
      <c r="X823" s="6"/>
      <c r="Y823" s="6">
        <v>1</v>
      </c>
      <c r="Z823" s="7">
        <f t="shared" si="535"/>
        <v>3</v>
      </c>
      <c r="AA823" s="11">
        <f t="shared" si="437"/>
        <v>0</v>
      </c>
      <c r="AB823" s="25"/>
      <c r="AC823" s="10" t="str">
        <f t="shared" si="505"/>
        <v>MarçoSEMANA 3Pão de Forma</v>
      </c>
      <c r="AD823" s="7">
        <f>SUMIF(NF!$A:$A,$AC823,NF!$I:$I)</f>
        <v>0</v>
      </c>
      <c r="AE823" s="6"/>
      <c r="AF823" s="6"/>
      <c r="AG823" s="6"/>
      <c r="AH823" s="6"/>
      <c r="AI823" s="6"/>
      <c r="AJ823" s="6"/>
      <c r="AK823" s="6"/>
      <c r="AL823" s="7">
        <f t="shared" si="536"/>
        <v>0</v>
      </c>
      <c r="AM823" s="11">
        <f t="shared" si="440"/>
        <v>0</v>
      </c>
      <c r="AN823" s="25"/>
      <c r="AO823" s="10" t="str">
        <f t="shared" si="506"/>
        <v>MarçoSEMANA 4Pão de Forma</v>
      </c>
      <c r="AP823" s="7">
        <f>SUMIF(NF!$A:$A,$AO823,NF!$I:$I)</f>
        <v>0</v>
      </c>
      <c r="AQ823" s="6"/>
      <c r="AR823" s="6"/>
      <c r="AS823" s="6"/>
      <c r="AT823" s="6"/>
      <c r="AU823" s="6"/>
      <c r="AV823" s="6"/>
      <c r="AW823" s="6"/>
      <c r="AX823" s="7">
        <f t="shared" si="537"/>
        <v>0</v>
      </c>
      <c r="AY823" s="11">
        <f t="shared" si="443"/>
        <v>0</v>
      </c>
      <c r="AZ823" s="25"/>
      <c r="BA823" s="10" t="str">
        <f t="shared" si="507"/>
        <v>MarçoSEMANA 5Pão de Forma</v>
      </c>
      <c r="BB823" s="7">
        <f>SUMIF(NF!$A:$A,$BA823,NF!$I:$I)</f>
        <v>2</v>
      </c>
      <c r="BC823" s="6"/>
      <c r="BD823" s="6"/>
      <c r="BE823" s="6"/>
      <c r="BF823" s="6">
        <v>2</v>
      </c>
      <c r="BG823" s="6"/>
      <c r="BH823" s="6"/>
      <c r="BI823" s="74"/>
      <c r="BJ823" s="74"/>
      <c r="BK823" s="7">
        <f t="shared" si="538"/>
        <v>2</v>
      </c>
      <c r="BL823" s="8">
        <f t="shared" si="446"/>
        <v>0</v>
      </c>
      <c r="BM823" s="51" t="str">
        <f>IFERROR(VLOOKUP(A823,NF!$M:$O,3,0),"")</f>
        <v>Mercado</v>
      </c>
      <c r="BN823" s="7">
        <f t="shared" si="447"/>
        <v>5</v>
      </c>
      <c r="BO823" s="8">
        <f t="array" ref="BO823">IFERROR(LARGE(IF(NF!$G$2:$G$3137='Mês atual'!A823,NF!$J$2:$J$3137),1),0)*BN823</f>
        <v>32.950000000000003</v>
      </c>
      <c r="BP823" s="50"/>
      <c r="BR823" s="146">
        <f t="array" ref="BR823">IFERROR(LARGE(IF(NF!$G$2:$G$3137='Mês atual'!A823,NF!$J$2:$J$3137),1),0)</f>
        <v>6.59</v>
      </c>
      <c r="BS823" s="142" t="str">
        <f>VLOOKUP(A823,NF!M:O,3,0)</f>
        <v>Mercado</v>
      </c>
      <c r="BV823" s="74">
        <f t="shared" si="529"/>
        <v>0</v>
      </c>
      <c r="BW823" s="74">
        <f t="shared" si="530"/>
        <v>3</v>
      </c>
      <c r="BX823" s="74">
        <f t="shared" si="531"/>
        <v>0</v>
      </c>
      <c r="BY823" s="74">
        <f t="shared" si="532"/>
        <v>0</v>
      </c>
      <c r="BZ823" s="74">
        <f t="shared" si="533"/>
        <v>2</v>
      </c>
    </row>
    <row r="824" spans="1:78" x14ac:dyDescent="0.25">
      <c r="A824" s="108" t="s">
        <v>562</v>
      </c>
      <c r="B824" s="12"/>
      <c r="C824" s="9">
        <v>0</v>
      </c>
      <c r="D824" s="25"/>
      <c r="E824" s="10" t="str">
        <f t="shared" si="503"/>
        <v>MarçoSEMANA 1Pão de Mel</v>
      </c>
      <c r="F824" s="7">
        <f>SUMIF(NF!$A:$A,$E824,NF!$I:$I)</f>
        <v>0</v>
      </c>
      <c r="G824" s="74"/>
      <c r="H824" s="74"/>
      <c r="I824" s="74"/>
      <c r="J824" s="6"/>
      <c r="K824" s="6"/>
      <c r="L824" s="6"/>
      <c r="M824" s="6"/>
      <c r="N824" s="7">
        <f t="shared" si="534"/>
        <v>0</v>
      </c>
      <c r="O824" s="11">
        <f t="shared" si="434"/>
        <v>0</v>
      </c>
      <c r="P824" s="25"/>
      <c r="Q824" s="10" t="str">
        <f t="shared" si="504"/>
        <v>MarçoSEMANA 2Pão de Mel</v>
      </c>
      <c r="R824" s="7">
        <f>SUMIF(NF!$A:$A,$Q824,NF!$I:$I)</f>
        <v>0</v>
      </c>
      <c r="S824" s="6"/>
      <c r="T824" s="6"/>
      <c r="U824" s="6"/>
      <c r="V824" s="6"/>
      <c r="W824" s="6"/>
      <c r="X824" s="6"/>
      <c r="Y824" s="6"/>
      <c r="Z824" s="7">
        <f t="shared" si="535"/>
        <v>0</v>
      </c>
      <c r="AA824" s="11">
        <f t="shared" si="437"/>
        <v>0</v>
      </c>
      <c r="AB824" s="25"/>
      <c r="AC824" s="10" t="str">
        <f t="shared" si="505"/>
        <v>MarçoSEMANA 3Pão de Mel</v>
      </c>
      <c r="AD824" s="7">
        <f>SUMIF(NF!$A:$A,$AC824,NF!$I:$I)</f>
        <v>0</v>
      </c>
      <c r="AE824" s="6"/>
      <c r="AF824" s="6"/>
      <c r="AG824" s="6"/>
      <c r="AH824" s="6"/>
      <c r="AI824" s="6"/>
      <c r="AJ824" s="6"/>
      <c r="AK824" s="6"/>
      <c r="AL824" s="7">
        <f t="shared" si="536"/>
        <v>0</v>
      </c>
      <c r="AM824" s="11">
        <f t="shared" si="440"/>
        <v>0</v>
      </c>
      <c r="AN824" s="25"/>
      <c r="AO824" s="10" t="str">
        <f t="shared" si="506"/>
        <v>MarçoSEMANA 4Pão de Mel</v>
      </c>
      <c r="AP824" s="7">
        <f>SUMIF(NF!$A:$A,$AO824,NF!$I:$I)</f>
        <v>0</v>
      </c>
      <c r="AQ824" s="6"/>
      <c r="AR824" s="6"/>
      <c r="AS824" s="6"/>
      <c r="AT824" s="6"/>
      <c r="AU824" s="6"/>
      <c r="AV824" s="6"/>
      <c r="AW824" s="6"/>
      <c r="AX824" s="7">
        <f t="shared" si="537"/>
        <v>0</v>
      </c>
      <c r="AY824" s="11">
        <f t="shared" si="443"/>
        <v>0</v>
      </c>
      <c r="AZ824" s="25"/>
      <c r="BA824" s="10" t="str">
        <f t="shared" si="507"/>
        <v>MarçoSEMANA 5Pão de Mel</v>
      </c>
      <c r="BB824" s="7">
        <f>SUMIF(NF!$A:$A,$BA824,NF!$I:$I)</f>
        <v>0</v>
      </c>
      <c r="BC824" s="6"/>
      <c r="BD824" s="6"/>
      <c r="BE824" s="6"/>
      <c r="BF824" s="6"/>
      <c r="BG824" s="6"/>
      <c r="BH824" s="6"/>
      <c r="BI824" s="74"/>
      <c r="BJ824" s="74"/>
      <c r="BK824" s="7">
        <f t="shared" si="538"/>
        <v>0</v>
      </c>
      <c r="BL824" s="8">
        <f t="shared" si="446"/>
        <v>0</v>
      </c>
      <c r="BM824" s="51" t="str">
        <f>IFERROR(VLOOKUP(A824,NF!$M:$O,3,0),"")</f>
        <v>Mercado</v>
      </c>
      <c r="BN824" s="7">
        <f t="shared" si="447"/>
        <v>0</v>
      </c>
      <c r="BO824" s="8">
        <f t="array" ref="BO824">IFERROR(LARGE(IF(NF!$G$2:$G$3137='Mês atual'!A824,NF!$J$2:$J$3137),1),0)*BN824</f>
        <v>0</v>
      </c>
      <c r="BP824" s="50"/>
      <c r="BR824" s="146">
        <f t="array" ref="BR824">IFERROR(LARGE(IF(NF!$G$2:$G$3137='Mês atual'!A824,NF!$J$2:$J$3137),1),0)</f>
        <v>0</v>
      </c>
      <c r="BS824" s="142" t="str">
        <f>VLOOKUP(A824,NF!M:O,3,0)</f>
        <v>Mercado</v>
      </c>
      <c r="BV824" s="74">
        <f t="shared" si="529"/>
        <v>0</v>
      </c>
      <c r="BW824" s="74">
        <f t="shared" si="530"/>
        <v>0</v>
      </c>
      <c r="BX824" s="74">
        <f t="shared" si="531"/>
        <v>0</v>
      </c>
      <c r="BY824" s="74">
        <f t="shared" si="532"/>
        <v>0</v>
      </c>
      <c r="BZ824" s="74">
        <f t="shared" si="533"/>
        <v>0</v>
      </c>
    </row>
    <row r="825" spans="1:78" x14ac:dyDescent="0.25">
      <c r="A825" s="108" t="s">
        <v>563</v>
      </c>
      <c r="B825" s="12"/>
      <c r="C825" s="9">
        <v>0</v>
      </c>
      <c r="D825" s="25"/>
      <c r="E825" s="10" t="str">
        <f t="shared" si="503"/>
        <v>MarçoSEMANA 1Pão de Queijo</v>
      </c>
      <c r="F825" s="7">
        <f>SUMIF(NF!$A:$A,$E825,NF!$I:$I)</f>
        <v>0</v>
      </c>
      <c r="G825" s="74"/>
      <c r="H825" s="74"/>
      <c r="I825" s="74"/>
      <c r="J825" s="6"/>
      <c r="K825" s="6"/>
      <c r="L825" s="6"/>
      <c r="M825" s="6"/>
      <c r="N825" s="7">
        <f t="shared" si="534"/>
        <v>0</v>
      </c>
      <c r="O825" s="11">
        <f t="shared" si="434"/>
        <v>0</v>
      </c>
      <c r="P825" s="25"/>
      <c r="Q825" s="10" t="str">
        <f t="shared" si="504"/>
        <v>MarçoSEMANA 2Pão de Queijo</v>
      </c>
      <c r="R825" s="7">
        <f>SUMIF(NF!$A:$A,$Q825,NF!$I:$I)</f>
        <v>0</v>
      </c>
      <c r="S825" s="6"/>
      <c r="T825" s="6"/>
      <c r="U825" s="6"/>
      <c r="V825" s="6"/>
      <c r="W825" s="6"/>
      <c r="X825" s="6"/>
      <c r="Y825" s="6"/>
      <c r="Z825" s="7">
        <f t="shared" si="535"/>
        <v>0</v>
      </c>
      <c r="AA825" s="11">
        <f t="shared" si="437"/>
        <v>0</v>
      </c>
      <c r="AB825" s="25"/>
      <c r="AC825" s="10" t="str">
        <f t="shared" si="505"/>
        <v>MarçoSEMANA 3Pão de Queijo</v>
      </c>
      <c r="AD825" s="7">
        <f>SUMIF(NF!$A:$A,$AC825,NF!$I:$I)</f>
        <v>0</v>
      </c>
      <c r="AE825" s="6"/>
      <c r="AF825" s="6"/>
      <c r="AG825" s="6"/>
      <c r="AH825" s="6"/>
      <c r="AI825" s="6"/>
      <c r="AJ825" s="6"/>
      <c r="AK825" s="6"/>
      <c r="AL825" s="7">
        <f t="shared" si="536"/>
        <v>0</v>
      </c>
      <c r="AM825" s="11">
        <f t="shared" si="440"/>
        <v>0</v>
      </c>
      <c r="AN825" s="25"/>
      <c r="AO825" s="10" t="str">
        <f t="shared" si="506"/>
        <v>MarçoSEMANA 4Pão de Queijo</v>
      </c>
      <c r="AP825" s="7">
        <f>SUMIF(NF!$A:$A,$AO825,NF!$I:$I)</f>
        <v>0</v>
      </c>
      <c r="AQ825" s="6"/>
      <c r="AR825" s="6"/>
      <c r="AS825" s="6"/>
      <c r="AT825" s="6"/>
      <c r="AU825" s="6"/>
      <c r="AV825" s="6"/>
      <c r="AW825" s="6"/>
      <c r="AX825" s="7">
        <f t="shared" si="537"/>
        <v>0</v>
      </c>
      <c r="AY825" s="11">
        <f t="shared" si="443"/>
        <v>0</v>
      </c>
      <c r="AZ825" s="25"/>
      <c r="BA825" s="10" t="str">
        <f t="shared" si="507"/>
        <v>MarçoSEMANA 5Pão de Queijo</v>
      </c>
      <c r="BB825" s="7">
        <f>SUMIF(NF!$A:$A,$BA825,NF!$I:$I)</f>
        <v>0</v>
      </c>
      <c r="BC825" s="6"/>
      <c r="BD825" s="6"/>
      <c r="BE825" s="6"/>
      <c r="BF825" s="6"/>
      <c r="BG825" s="6"/>
      <c r="BH825" s="6"/>
      <c r="BI825" s="74"/>
      <c r="BJ825" s="74"/>
      <c r="BK825" s="7">
        <f t="shared" si="538"/>
        <v>0</v>
      </c>
      <c r="BL825" s="8">
        <f t="shared" si="446"/>
        <v>0</v>
      </c>
      <c r="BM825" s="51" t="str">
        <f>IFERROR(VLOOKUP(A825,NF!$M:$O,3,0),"")</f>
        <v>Mercado</v>
      </c>
      <c r="BN825" s="7">
        <f t="shared" si="447"/>
        <v>0</v>
      </c>
      <c r="BO825" s="8">
        <f t="array" ref="BO825">IFERROR(LARGE(IF(NF!$G$2:$G$3137='Mês atual'!A825,NF!$J$2:$J$3137),1),0)*BN825</f>
        <v>0</v>
      </c>
      <c r="BP825" s="50"/>
      <c r="BR825" s="146">
        <f t="array" ref="BR825">IFERROR(LARGE(IF(NF!$G$2:$G$3137='Mês atual'!A825,NF!$J$2:$J$3137),1),0)</f>
        <v>0</v>
      </c>
      <c r="BS825" s="142" t="str">
        <f>VLOOKUP(A825,NF!M:O,3,0)</f>
        <v>Mercado</v>
      </c>
      <c r="BV825" s="74">
        <f t="shared" si="529"/>
        <v>0</v>
      </c>
      <c r="BW825" s="74">
        <f t="shared" si="530"/>
        <v>0</v>
      </c>
      <c r="BX825" s="74">
        <f t="shared" si="531"/>
        <v>0</v>
      </c>
      <c r="BY825" s="74">
        <f t="shared" si="532"/>
        <v>0</v>
      </c>
      <c r="BZ825" s="74">
        <f t="shared" si="533"/>
        <v>0</v>
      </c>
    </row>
    <row r="826" spans="1:78" x14ac:dyDescent="0.25">
      <c r="A826" s="108" t="s">
        <v>564</v>
      </c>
      <c r="B826" s="12"/>
      <c r="C826" s="9">
        <v>0</v>
      </c>
      <c r="D826" s="25"/>
      <c r="E826" s="10" t="str">
        <f t="shared" si="503"/>
        <v>MarçoSEMANA 1Pão Francês</v>
      </c>
      <c r="F826" s="7">
        <f>SUMIF(NF!$A:$A,$E826,NF!$I:$I)</f>
        <v>0.33499999999999996</v>
      </c>
      <c r="G826" s="74"/>
      <c r="H826" s="74"/>
      <c r="I826" s="74"/>
      <c r="J826" s="6">
        <v>0.14499999999999999</v>
      </c>
      <c r="K826" s="6"/>
      <c r="L826" s="6"/>
      <c r="M826" s="6">
        <v>0.19</v>
      </c>
      <c r="N826" s="7">
        <f t="shared" si="534"/>
        <v>0.33499999999999996</v>
      </c>
      <c r="O826" s="11">
        <f t="shared" si="434"/>
        <v>0</v>
      </c>
      <c r="P826" s="25"/>
      <c r="Q826" s="10" t="str">
        <f t="shared" si="504"/>
        <v>MarçoSEMANA 2Pão Francês</v>
      </c>
      <c r="R826" s="7">
        <f>SUMIF(NF!$A:$A,$Q826,NF!$I:$I)</f>
        <v>0</v>
      </c>
      <c r="S826" s="6"/>
      <c r="T826" s="6"/>
      <c r="U826" s="6"/>
      <c r="V826" s="6"/>
      <c r="W826" s="6"/>
      <c r="X826" s="6"/>
      <c r="Y826" s="6"/>
      <c r="Z826" s="7">
        <f t="shared" si="535"/>
        <v>0</v>
      </c>
      <c r="AA826" s="11">
        <f t="shared" si="437"/>
        <v>0</v>
      </c>
      <c r="AB826" s="25"/>
      <c r="AC826" s="10" t="str">
        <f t="shared" si="505"/>
        <v>MarçoSEMANA 3Pão Francês</v>
      </c>
      <c r="AD826" s="7">
        <f>SUMIF(NF!$A:$A,$AC826,NF!$I:$I)</f>
        <v>0</v>
      </c>
      <c r="AE826" s="6"/>
      <c r="AF826" s="6"/>
      <c r="AG826" s="6"/>
      <c r="AH826" s="6"/>
      <c r="AI826" s="6"/>
      <c r="AJ826" s="6"/>
      <c r="AK826" s="6"/>
      <c r="AL826" s="7">
        <f t="shared" si="536"/>
        <v>0</v>
      </c>
      <c r="AM826" s="11">
        <f t="shared" si="440"/>
        <v>0</v>
      </c>
      <c r="AN826" s="25"/>
      <c r="AO826" s="10" t="str">
        <f t="shared" si="506"/>
        <v>MarçoSEMANA 4Pão Francês</v>
      </c>
      <c r="AP826" s="7">
        <f>SUMIF(NF!$A:$A,$AO826,NF!$I:$I)</f>
        <v>0.155</v>
      </c>
      <c r="AQ826" s="6"/>
      <c r="AR826" s="6"/>
      <c r="AS826" s="6"/>
      <c r="AT826" s="6"/>
      <c r="AU826" s="6">
        <v>0.155</v>
      </c>
      <c r="AV826" s="6"/>
      <c r="AW826" s="6"/>
      <c r="AX826" s="7">
        <f t="shared" si="537"/>
        <v>0.155</v>
      </c>
      <c r="AY826" s="11">
        <f t="shared" si="443"/>
        <v>0</v>
      </c>
      <c r="AZ826" s="25"/>
      <c r="BA826" s="10" t="str">
        <f t="shared" si="507"/>
        <v>MarçoSEMANA 5Pão Francês</v>
      </c>
      <c r="BB826" s="7">
        <f>SUMIF(NF!$A:$A,$BA826,NF!$I:$I)</f>
        <v>0.28500000000000003</v>
      </c>
      <c r="BC826" s="6"/>
      <c r="BD826" s="6">
        <v>0.14000000000000001</v>
      </c>
      <c r="BE826" s="6"/>
      <c r="BF826" s="6"/>
      <c r="BG826" s="6"/>
      <c r="BH826" s="6">
        <v>0.14499999999999999</v>
      </c>
      <c r="BI826" s="74"/>
      <c r="BJ826" s="74"/>
      <c r="BK826" s="7">
        <f t="shared" si="538"/>
        <v>0.28500000000000003</v>
      </c>
      <c r="BL826" s="8">
        <f t="shared" si="446"/>
        <v>0</v>
      </c>
      <c r="BM826" s="51" t="str">
        <f>IFERROR(VLOOKUP(A826,NF!$M:$O,3,0),"")</f>
        <v>Mercado</v>
      </c>
      <c r="BN826" s="7">
        <f t="shared" si="447"/>
        <v>0.77500000000000002</v>
      </c>
      <c r="BO826" s="8">
        <f t="array" ref="BO826">IFERROR(LARGE(IF(NF!$G$2:$G$3137='Mês atual'!A826,NF!$J$2:$J$3137),1),0)*BN826</f>
        <v>10.8345</v>
      </c>
      <c r="BP826" s="50"/>
      <c r="BR826" s="146">
        <f t="array" ref="BR826">IFERROR(LARGE(IF(NF!$G$2:$G$3137='Mês atual'!A826,NF!$J$2:$J$3137),1),0)</f>
        <v>13.98</v>
      </c>
      <c r="BS826" s="142" t="str">
        <f>VLOOKUP(A826,NF!M:O,3,0)</f>
        <v>Mercado</v>
      </c>
      <c r="BV826" s="74">
        <f t="shared" si="529"/>
        <v>0.33499999999999996</v>
      </c>
      <c r="BW826" s="74">
        <f t="shared" si="530"/>
        <v>0</v>
      </c>
      <c r="BX826" s="74">
        <f t="shared" si="531"/>
        <v>0</v>
      </c>
      <c r="BY826" s="74">
        <f t="shared" si="532"/>
        <v>0.155</v>
      </c>
      <c r="BZ826" s="74">
        <f t="shared" si="533"/>
        <v>0.28500000000000003</v>
      </c>
    </row>
    <row r="827" spans="1:78" x14ac:dyDescent="0.25">
      <c r="A827" s="108" t="s">
        <v>565</v>
      </c>
      <c r="B827" s="12"/>
      <c r="C827" s="9">
        <v>6</v>
      </c>
      <c r="D827" s="25"/>
      <c r="E827" s="10" t="str">
        <f t="shared" si="503"/>
        <v>MarçoSEMANA 1Pão Rabanada</v>
      </c>
      <c r="F827" s="7">
        <f>SUMIF(NF!$A:$A,$E827,NF!$I:$I)</f>
        <v>0</v>
      </c>
      <c r="G827" s="74"/>
      <c r="H827" s="74"/>
      <c r="I827" s="74"/>
      <c r="J827" s="6"/>
      <c r="K827" s="6">
        <v>1</v>
      </c>
      <c r="L827" s="6"/>
      <c r="M827" s="6">
        <v>1</v>
      </c>
      <c r="N827" s="7">
        <f t="shared" si="534"/>
        <v>2</v>
      </c>
      <c r="O827" s="11">
        <f t="shared" si="434"/>
        <v>4</v>
      </c>
      <c r="P827" s="25"/>
      <c r="Q827" s="10" t="str">
        <f t="shared" si="504"/>
        <v>MarçoSEMANA 2Pão Rabanada</v>
      </c>
      <c r="R827" s="7">
        <f>SUMIF(NF!$A:$A,$Q827,NF!$I:$I)</f>
        <v>10</v>
      </c>
      <c r="S827" s="6">
        <v>1</v>
      </c>
      <c r="T827" s="6"/>
      <c r="U827" s="6">
        <v>1</v>
      </c>
      <c r="V827" s="6"/>
      <c r="W827" s="6"/>
      <c r="X827" s="6">
        <v>1</v>
      </c>
      <c r="Y827" s="6">
        <v>1</v>
      </c>
      <c r="Z827" s="7">
        <f t="shared" si="535"/>
        <v>4</v>
      </c>
      <c r="AA827" s="11">
        <f t="shared" si="437"/>
        <v>10</v>
      </c>
      <c r="AB827" s="25"/>
      <c r="AC827" s="10" t="str">
        <f t="shared" si="505"/>
        <v>MarçoSEMANA 3Pão Rabanada</v>
      </c>
      <c r="AD827" s="7">
        <f>SUMIF(NF!$A:$A,$AC827,NF!$I:$I)</f>
        <v>0</v>
      </c>
      <c r="AE827" s="6">
        <v>1</v>
      </c>
      <c r="AF827" s="6"/>
      <c r="AG827" s="6">
        <v>1</v>
      </c>
      <c r="AH827" s="6"/>
      <c r="AI827" s="6">
        <v>1</v>
      </c>
      <c r="AJ827" s="6"/>
      <c r="AK827" s="6">
        <v>1</v>
      </c>
      <c r="AL827" s="7">
        <f t="shared" si="536"/>
        <v>4</v>
      </c>
      <c r="AM827" s="11">
        <f t="shared" si="440"/>
        <v>6</v>
      </c>
      <c r="AN827" s="25"/>
      <c r="AO827" s="10" t="str">
        <f t="shared" si="506"/>
        <v>MarçoSEMANA 4Pão Rabanada</v>
      </c>
      <c r="AP827" s="7">
        <f>SUMIF(NF!$A:$A,$AO827,NF!$I:$I)</f>
        <v>0</v>
      </c>
      <c r="AQ827" s="6">
        <v>1</v>
      </c>
      <c r="AR827" s="6"/>
      <c r="AS827" s="6">
        <v>1</v>
      </c>
      <c r="AT827" s="6">
        <v>1</v>
      </c>
      <c r="AU827" s="6">
        <v>1</v>
      </c>
      <c r="AV827" s="6"/>
      <c r="AW827" s="6">
        <v>1</v>
      </c>
      <c r="AX827" s="7">
        <f t="shared" si="537"/>
        <v>5</v>
      </c>
      <c r="AY827" s="11">
        <f t="shared" si="443"/>
        <v>1</v>
      </c>
      <c r="AZ827" s="25"/>
      <c r="BA827" s="10" t="str">
        <f t="shared" si="507"/>
        <v>MarçoSEMANA 5Pão Rabanada</v>
      </c>
      <c r="BB827" s="7">
        <f>SUMIF(NF!$A:$A,$BA827,NF!$I:$I)</f>
        <v>10</v>
      </c>
      <c r="BC827" s="6"/>
      <c r="BD827" s="6">
        <v>1</v>
      </c>
      <c r="BE827" s="6"/>
      <c r="BF827" s="6">
        <v>1</v>
      </c>
      <c r="BG827" s="6"/>
      <c r="BH827" s="6"/>
      <c r="BI827" s="74"/>
      <c r="BJ827" s="74"/>
      <c r="BK827" s="7">
        <f t="shared" si="538"/>
        <v>2</v>
      </c>
      <c r="BL827" s="8">
        <f t="shared" si="446"/>
        <v>9</v>
      </c>
      <c r="BM827" s="51" t="str">
        <f>IFERROR(VLOOKUP(A827,NF!$M:$O,3,0),"")</f>
        <v>Mercado</v>
      </c>
      <c r="BN827" s="7">
        <f t="shared" si="447"/>
        <v>17</v>
      </c>
      <c r="BO827" s="8">
        <f t="array" ref="BO827">IFERROR(LARGE(IF(NF!$G$2:$G$3137='Mês atual'!A827,NF!$J$2:$J$3137),1),0)*BN827</f>
        <v>92.293000000000006</v>
      </c>
      <c r="BP827" s="50"/>
      <c r="BR827" s="146">
        <f t="array" ref="BR827">IFERROR(LARGE(IF(NF!$G$2:$G$3137='Mês atual'!A827,NF!$J$2:$J$3137),1),0)</f>
        <v>5.4290000000000003</v>
      </c>
      <c r="BS827" s="142" t="str">
        <f>VLOOKUP(A827,NF!M:O,3,0)</f>
        <v>Mercado</v>
      </c>
      <c r="BV827" s="74">
        <f t="shared" si="529"/>
        <v>2</v>
      </c>
      <c r="BW827" s="74">
        <f t="shared" si="530"/>
        <v>4</v>
      </c>
      <c r="BX827" s="74">
        <f t="shared" si="531"/>
        <v>4</v>
      </c>
      <c r="BY827" s="74">
        <f t="shared" si="532"/>
        <v>5</v>
      </c>
      <c r="BZ827" s="74">
        <f t="shared" si="533"/>
        <v>2</v>
      </c>
    </row>
    <row r="828" spans="1:78" x14ac:dyDescent="0.2">
      <c r="A828" s="108" t="s">
        <v>572</v>
      </c>
      <c r="B828" s="12"/>
      <c r="C828" s="9">
        <v>0.3</v>
      </c>
      <c r="D828" s="25"/>
      <c r="E828" s="10" t="str">
        <f t="shared" si="503"/>
        <v>MarçoSEMANA 1Paprica doce</v>
      </c>
      <c r="F828" s="7">
        <f>SUMIF(NF!$A:$A,$E828,NF!$I:$I)</f>
        <v>0</v>
      </c>
      <c r="G828" s="74"/>
      <c r="H828" s="74"/>
      <c r="I828" s="74"/>
      <c r="J828" s="6"/>
      <c r="K828" s="6"/>
      <c r="L828" s="6"/>
      <c r="M828" s="6" t="s">
        <v>1157</v>
      </c>
      <c r="N828" s="7">
        <f t="shared" si="534"/>
        <v>0</v>
      </c>
      <c r="O828" s="11">
        <f t="shared" si="434"/>
        <v>0.3</v>
      </c>
      <c r="P828" s="25"/>
      <c r="Q828" s="10" t="str">
        <f t="shared" si="504"/>
        <v>MarçoSEMANA 2Paprica doce</v>
      </c>
      <c r="R828" s="7">
        <f>SUMIF(NF!$A:$A,$Q828,NF!$I:$I)</f>
        <v>0</v>
      </c>
      <c r="S828" s="6"/>
      <c r="T828" s="6"/>
      <c r="U828" s="6"/>
      <c r="V828" s="6"/>
      <c r="W828" s="6"/>
      <c r="X828" s="6"/>
      <c r="Y828" s="6"/>
      <c r="Z828" s="7">
        <f t="shared" si="535"/>
        <v>0</v>
      </c>
      <c r="AA828" s="11">
        <f t="shared" si="437"/>
        <v>0.3</v>
      </c>
      <c r="AB828" s="25"/>
      <c r="AC828" s="10" t="str">
        <f t="shared" si="505"/>
        <v>MarçoSEMANA 3Paprica doce</v>
      </c>
      <c r="AD828" s="7">
        <f>SUMIF(NF!$A:$A,$AC828,NF!$I:$I)</f>
        <v>0</v>
      </c>
      <c r="AE828" s="6"/>
      <c r="AF828" s="6"/>
      <c r="AG828" s="6"/>
      <c r="AH828" s="6"/>
      <c r="AI828" s="6"/>
      <c r="AJ828" s="6"/>
      <c r="AK828" s="6"/>
      <c r="AL828" s="7">
        <f t="shared" si="536"/>
        <v>0</v>
      </c>
      <c r="AM828" s="11">
        <f t="shared" si="440"/>
        <v>0.3</v>
      </c>
      <c r="AN828" s="25"/>
      <c r="AO828" s="10" t="str">
        <f t="shared" si="506"/>
        <v>MarçoSEMANA 4Paprica doce</v>
      </c>
      <c r="AP828" s="7">
        <f>SUMIF(NF!$A:$A,$AO828,NF!$I:$I)</f>
        <v>0.3</v>
      </c>
      <c r="AQ828" s="6"/>
      <c r="AR828" s="6"/>
      <c r="AS828" s="6"/>
      <c r="AT828" s="6"/>
      <c r="AU828" s="6"/>
      <c r="AV828" s="6"/>
      <c r="AW828" s="6"/>
      <c r="AX828" s="7">
        <f t="shared" si="537"/>
        <v>0</v>
      </c>
      <c r="AY828" s="11">
        <f t="shared" si="443"/>
        <v>0.6</v>
      </c>
      <c r="AZ828" s="25"/>
      <c r="BA828" s="10" t="str">
        <f t="shared" si="507"/>
        <v>MarçoSEMANA 5Paprica doce</v>
      </c>
      <c r="BB828" s="7">
        <f>SUMIF(NF!$A:$A,$BA828,NF!$I:$I)</f>
        <v>0</v>
      </c>
      <c r="BC828" s="6"/>
      <c r="BD828" s="6"/>
      <c r="BE828" s="6"/>
      <c r="BF828" s="6"/>
      <c r="BG828" s="6"/>
      <c r="BH828" s="6"/>
      <c r="BI828" s="74"/>
      <c r="BJ828" s="74"/>
      <c r="BK828" s="7">
        <f t="shared" si="538"/>
        <v>0</v>
      </c>
      <c r="BL828" s="8">
        <f t="shared" si="446"/>
        <v>0.6</v>
      </c>
      <c r="BM828" s="51" t="str">
        <f>IFERROR(VLOOKUP(A828,NF!$M:$O,3,0),"")</f>
        <v>Mercado</v>
      </c>
      <c r="BN828" s="7">
        <f t="shared" si="447"/>
        <v>0</v>
      </c>
      <c r="BO828" s="8">
        <f t="array" ref="BO828">IFERROR(LARGE(IF(NF!$G$2:$G$3137='Mês atual'!A828,NF!$J$2:$J$3137),1),0)*BN828</f>
        <v>0</v>
      </c>
      <c r="BP828" s="50"/>
      <c r="BR828" s="146">
        <f t="array" ref="BR828">IFERROR(LARGE(IF(NF!$G$2:$G$3137='Mês atual'!A828,NF!$J$2:$J$3137),1),0)</f>
        <v>10.9</v>
      </c>
      <c r="BS828" s="142" t="str">
        <f>VLOOKUP(A828,NF!M:O,3,0)</f>
        <v>Mercado</v>
      </c>
      <c r="BV828" s="74">
        <f t="shared" si="529"/>
        <v>0</v>
      </c>
      <c r="BW828" s="74">
        <f t="shared" si="530"/>
        <v>0</v>
      </c>
      <c r="BX828" s="74">
        <f t="shared" si="531"/>
        <v>0</v>
      </c>
      <c r="BY828" s="74">
        <f t="shared" si="532"/>
        <v>0</v>
      </c>
      <c r="BZ828" s="74">
        <f t="shared" si="533"/>
        <v>0</v>
      </c>
    </row>
    <row r="829" spans="1:78" x14ac:dyDescent="0.2">
      <c r="A829" s="108" t="s">
        <v>573</v>
      </c>
      <c r="B829" s="12"/>
      <c r="C829" s="9">
        <v>1</v>
      </c>
      <c r="D829" s="25"/>
      <c r="E829" s="10" t="str">
        <f t="shared" si="503"/>
        <v>MarçoSEMANA 1Passas Preta</v>
      </c>
      <c r="F829" s="7">
        <f>SUMIF(NF!$A:$A,$E829,NF!$I:$I)</f>
        <v>1</v>
      </c>
      <c r="G829" s="74"/>
      <c r="H829" s="74"/>
      <c r="I829" s="74"/>
      <c r="J829" s="6"/>
      <c r="K829" s="6">
        <v>1</v>
      </c>
      <c r="L829" s="6"/>
      <c r="M829" s="6"/>
      <c r="N829" s="7">
        <f t="shared" si="534"/>
        <v>1</v>
      </c>
      <c r="O829" s="11">
        <f t="shared" si="434"/>
        <v>1</v>
      </c>
      <c r="P829" s="25"/>
      <c r="Q829" s="10" t="str">
        <f t="shared" si="504"/>
        <v>MarçoSEMANA 2Passas Preta</v>
      </c>
      <c r="R829" s="7">
        <f>SUMIF(NF!$A:$A,$Q829,NF!$I:$I)</f>
        <v>1</v>
      </c>
      <c r="S829" s="6"/>
      <c r="T829" s="6"/>
      <c r="U829" s="6"/>
      <c r="V829" s="6"/>
      <c r="W829" s="6"/>
      <c r="X829" s="6">
        <v>1</v>
      </c>
      <c r="Y829" s="6"/>
      <c r="Z829" s="7">
        <f t="shared" si="535"/>
        <v>1</v>
      </c>
      <c r="AA829" s="11">
        <f t="shared" si="437"/>
        <v>1</v>
      </c>
      <c r="AB829" s="25"/>
      <c r="AC829" s="10" t="str">
        <f t="shared" si="505"/>
        <v>MarçoSEMANA 3Passas Preta</v>
      </c>
      <c r="AD829" s="7">
        <f>SUMIF(NF!$A:$A,$AC829,NF!$I:$I)</f>
        <v>1</v>
      </c>
      <c r="AE829" s="6"/>
      <c r="AF829" s="6"/>
      <c r="AG829" s="6"/>
      <c r="AH829" s="6"/>
      <c r="AI829" s="6"/>
      <c r="AJ829" s="6"/>
      <c r="AK829" s="6">
        <v>1</v>
      </c>
      <c r="AL829" s="7">
        <f t="shared" si="536"/>
        <v>1</v>
      </c>
      <c r="AM829" s="11">
        <f t="shared" si="440"/>
        <v>1</v>
      </c>
      <c r="AN829" s="25"/>
      <c r="AO829" s="10" t="str">
        <f t="shared" si="506"/>
        <v>MarçoSEMANA 4Passas Preta</v>
      </c>
      <c r="AP829" s="7">
        <f>SUMIF(NF!$A:$A,$AO829,NF!$I:$I)</f>
        <v>1</v>
      </c>
      <c r="AQ829" s="6"/>
      <c r="AR829" s="6"/>
      <c r="AS829" s="6"/>
      <c r="AT829" s="6">
        <v>1</v>
      </c>
      <c r="AU829" s="6"/>
      <c r="AV829" s="6"/>
      <c r="AW829" s="6"/>
      <c r="AX829" s="7">
        <f t="shared" si="537"/>
        <v>1</v>
      </c>
      <c r="AY829" s="11">
        <f t="shared" si="443"/>
        <v>1</v>
      </c>
      <c r="AZ829" s="25"/>
      <c r="BA829" s="10" t="str">
        <f t="shared" si="507"/>
        <v>MarçoSEMANA 5Passas Preta</v>
      </c>
      <c r="BB829" s="7">
        <f>SUMIF(NF!$A:$A,$BA829,NF!$I:$I)</f>
        <v>1</v>
      </c>
      <c r="BC829" s="6"/>
      <c r="BD829" s="6">
        <v>1</v>
      </c>
      <c r="BE829" s="6"/>
      <c r="BF829" s="6"/>
      <c r="BG829" s="6"/>
      <c r="BH829" s="6"/>
      <c r="BI829" s="74"/>
      <c r="BJ829" s="74"/>
      <c r="BK829" s="7">
        <f t="shared" si="538"/>
        <v>1</v>
      </c>
      <c r="BL829" s="8">
        <f t="shared" si="446"/>
        <v>1</v>
      </c>
      <c r="BM829" s="51" t="str">
        <f>IFERROR(VLOOKUP(A829,NF!$M:$O,3,0),"")</f>
        <v>Mercado</v>
      </c>
      <c r="BN829" s="7">
        <f t="shared" si="447"/>
        <v>5</v>
      </c>
      <c r="BO829" s="8">
        <f t="array" ref="BO829">IFERROR(LARGE(IF(NF!$G$2:$G$3137='Mês atual'!A829,NF!$J$2:$J$3137),1),0)*BN829</f>
        <v>74.5</v>
      </c>
      <c r="BP829" s="50"/>
      <c r="BR829" s="146">
        <f t="array" ref="BR829">IFERROR(LARGE(IF(NF!$G$2:$G$3137='Mês atual'!A829,NF!$J$2:$J$3137),1),0)</f>
        <v>14.9</v>
      </c>
      <c r="BS829" s="142" t="str">
        <f>VLOOKUP(A829,NF!M:O,3,0)</f>
        <v>Mercado</v>
      </c>
      <c r="BV829" s="74">
        <f t="shared" si="529"/>
        <v>1</v>
      </c>
      <c r="BW829" s="74">
        <f t="shared" si="530"/>
        <v>1</v>
      </c>
      <c r="BX829" s="74">
        <f t="shared" si="531"/>
        <v>1</v>
      </c>
      <c r="BY829" s="74">
        <f t="shared" si="532"/>
        <v>1</v>
      </c>
      <c r="BZ829" s="74">
        <f t="shared" si="533"/>
        <v>1</v>
      </c>
    </row>
    <row r="830" spans="1:78" x14ac:dyDescent="0.2">
      <c r="A830" s="108" t="s">
        <v>579</v>
      </c>
      <c r="B830" s="12"/>
      <c r="C830" s="9">
        <v>0</v>
      </c>
      <c r="D830" s="25"/>
      <c r="E830" s="10" t="str">
        <f t="shared" si="503"/>
        <v>MarçoSEMANA 1Pequi Fatiado</v>
      </c>
      <c r="F830" s="7">
        <f>SUMIF(NF!$A:$A,$E830,NF!$I:$I)</f>
        <v>0</v>
      </c>
      <c r="G830" s="74"/>
      <c r="H830" s="74"/>
      <c r="I830" s="74"/>
      <c r="J830" s="6"/>
      <c r="K830" s="6"/>
      <c r="L830" s="6"/>
      <c r="M830" s="6"/>
      <c r="N830" s="7">
        <f t="shared" si="534"/>
        <v>0</v>
      </c>
      <c r="O830" s="11">
        <f t="shared" si="434"/>
        <v>0</v>
      </c>
      <c r="P830" s="25"/>
      <c r="Q830" s="10" t="str">
        <f t="shared" si="504"/>
        <v>MarçoSEMANA 2Pequi Fatiado</v>
      </c>
      <c r="R830" s="7">
        <f>SUMIF(NF!$A:$A,$Q830,NF!$I:$I)</f>
        <v>1</v>
      </c>
      <c r="S830" s="6"/>
      <c r="T830" s="6"/>
      <c r="U830" s="6"/>
      <c r="V830" s="6"/>
      <c r="W830" s="6"/>
      <c r="X830" s="6"/>
      <c r="Y830" s="6"/>
      <c r="Z830" s="7">
        <f t="shared" si="535"/>
        <v>0</v>
      </c>
      <c r="AA830" s="11">
        <f t="shared" si="437"/>
        <v>1</v>
      </c>
      <c r="AB830" s="25"/>
      <c r="AC830" s="10" t="str">
        <f t="shared" si="505"/>
        <v>MarçoSEMANA 3Pequi Fatiado</v>
      </c>
      <c r="AD830" s="7">
        <f>SUMIF(NF!$A:$A,$AC830,NF!$I:$I)</f>
        <v>0</v>
      </c>
      <c r="AE830" s="6"/>
      <c r="AF830" s="6"/>
      <c r="AG830" s="6"/>
      <c r="AH830" s="6"/>
      <c r="AI830" s="6"/>
      <c r="AJ830" s="6"/>
      <c r="AK830" s="6"/>
      <c r="AL830" s="7">
        <f t="shared" si="536"/>
        <v>0</v>
      </c>
      <c r="AM830" s="11">
        <f t="shared" si="440"/>
        <v>1</v>
      </c>
      <c r="AN830" s="25"/>
      <c r="AO830" s="10" t="str">
        <f t="shared" si="506"/>
        <v>MarçoSEMANA 4Pequi Fatiado</v>
      </c>
      <c r="AP830" s="7">
        <f>SUMIF(NF!$A:$A,$AO830,NF!$I:$I)</f>
        <v>0</v>
      </c>
      <c r="AQ830" s="6"/>
      <c r="AR830" s="6"/>
      <c r="AS830" s="6"/>
      <c r="AT830" s="6"/>
      <c r="AU830" s="6"/>
      <c r="AV830" s="6"/>
      <c r="AW830" s="6"/>
      <c r="AX830" s="7">
        <f t="shared" si="537"/>
        <v>0</v>
      </c>
      <c r="AY830" s="11">
        <f t="shared" si="443"/>
        <v>1</v>
      </c>
      <c r="AZ830" s="25"/>
      <c r="BA830" s="10" t="str">
        <f t="shared" si="507"/>
        <v>MarçoSEMANA 5Pequi Fatiado</v>
      </c>
      <c r="BB830" s="7">
        <f>SUMIF(NF!$A:$A,$BA830,NF!$I:$I)</f>
        <v>0</v>
      </c>
      <c r="BC830" s="6"/>
      <c r="BD830" s="6"/>
      <c r="BE830" s="6"/>
      <c r="BF830" s="6"/>
      <c r="BG830" s="6"/>
      <c r="BH830" s="6"/>
      <c r="BI830" s="74"/>
      <c r="BJ830" s="74"/>
      <c r="BK830" s="7">
        <f t="shared" si="538"/>
        <v>0</v>
      </c>
      <c r="BL830" s="8">
        <f t="shared" si="446"/>
        <v>1</v>
      </c>
      <c r="BM830" s="51" t="str">
        <f>IFERROR(VLOOKUP(A830,NF!$M:$O,3,0),"")</f>
        <v>Mercado</v>
      </c>
      <c r="BN830" s="7">
        <f t="shared" si="447"/>
        <v>0</v>
      </c>
      <c r="BO830" s="8">
        <f t="array" ref="BO830">IFERROR(LARGE(IF(NF!$G$2:$G$3137='Mês atual'!A830,NF!$J$2:$J$3137),1),0)*BN830</f>
        <v>0</v>
      </c>
      <c r="BP830" s="50"/>
      <c r="BR830" s="146">
        <f t="array" ref="BR830">IFERROR(LARGE(IF(NF!$G$2:$G$3137='Mês atual'!A830,NF!$J$2:$J$3137),1),0)</f>
        <v>21.59</v>
      </c>
      <c r="BS830" s="142" t="str">
        <f>VLOOKUP(A830,NF!M:O,3,0)</f>
        <v>Mercado</v>
      </c>
      <c r="BV830" s="74">
        <f t="shared" si="529"/>
        <v>0</v>
      </c>
      <c r="BW830" s="74">
        <f t="shared" si="530"/>
        <v>0</v>
      </c>
      <c r="BX830" s="74">
        <f t="shared" si="531"/>
        <v>0</v>
      </c>
      <c r="BY830" s="74">
        <f t="shared" si="532"/>
        <v>0</v>
      </c>
      <c r="BZ830" s="74">
        <f t="shared" si="533"/>
        <v>0</v>
      </c>
    </row>
    <row r="831" spans="1:78" x14ac:dyDescent="0.2">
      <c r="A831" s="108" t="s">
        <v>581</v>
      </c>
      <c r="B831" s="12"/>
      <c r="C831" s="9">
        <v>0</v>
      </c>
      <c r="D831" s="25"/>
      <c r="E831" s="10" t="str">
        <f t="shared" si="503"/>
        <v>MarçoSEMANA 1Pera Seca</v>
      </c>
      <c r="F831" s="7">
        <f>SUMIF(NF!$A:$A,$E831,NF!$I:$I)</f>
        <v>0</v>
      </c>
      <c r="G831" s="74"/>
      <c r="H831" s="74"/>
      <c r="I831" s="74"/>
      <c r="J831" s="6"/>
      <c r="K831" s="6"/>
      <c r="L831" s="6"/>
      <c r="M831" s="6"/>
      <c r="N831" s="7">
        <f t="shared" si="534"/>
        <v>0</v>
      </c>
      <c r="O831" s="11">
        <f t="shared" si="434"/>
        <v>0</v>
      </c>
      <c r="P831" s="25"/>
      <c r="Q831" s="10" t="str">
        <f t="shared" si="504"/>
        <v>MarçoSEMANA 2Pera Seca</v>
      </c>
      <c r="R831" s="7">
        <f>SUMIF(NF!$A:$A,$Q831,NF!$I:$I)</f>
        <v>0</v>
      </c>
      <c r="S831" s="6"/>
      <c r="T831" s="6"/>
      <c r="U831" s="6"/>
      <c r="V831" s="6"/>
      <c r="W831" s="6"/>
      <c r="X831" s="6"/>
      <c r="Y831" s="6"/>
      <c r="Z831" s="7">
        <f t="shared" si="535"/>
        <v>0</v>
      </c>
      <c r="AA831" s="11">
        <f t="shared" si="437"/>
        <v>0</v>
      </c>
      <c r="AB831" s="25"/>
      <c r="AC831" s="10" t="str">
        <f t="shared" si="505"/>
        <v>MarçoSEMANA 3Pera Seca</v>
      </c>
      <c r="AD831" s="7">
        <f>SUMIF(NF!$A:$A,$AC831,NF!$I:$I)</f>
        <v>0</v>
      </c>
      <c r="AE831" s="6"/>
      <c r="AF831" s="6"/>
      <c r="AG831" s="6"/>
      <c r="AH831" s="6"/>
      <c r="AI831" s="6"/>
      <c r="AJ831" s="6"/>
      <c r="AK831" s="6"/>
      <c r="AL831" s="7">
        <f t="shared" si="536"/>
        <v>0</v>
      </c>
      <c r="AM831" s="11">
        <f t="shared" si="440"/>
        <v>0</v>
      </c>
      <c r="AN831" s="25"/>
      <c r="AO831" s="10" t="str">
        <f t="shared" si="506"/>
        <v>MarçoSEMANA 4Pera Seca</v>
      </c>
      <c r="AP831" s="7">
        <f>SUMIF(NF!$A:$A,$AO831,NF!$I:$I)</f>
        <v>0.36199999999999999</v>
      </c>
      <c r="AQ831" s="6"/>
      <c r="AR831" s="6">
        <v>0.36199999999999999</v>
      </c>
      <c r="AS831" s="6"/>
      <c r="AT831" s="6"/>
      <c r="AU831" s="6"/>
      <c r="AV831" s="6"/>
      <c r="AW831" s="6"/>
      <c r="AX831" s="7">
        <f t="shared" si="537"/>
        <v>0.36199999999999999</v>
      </c>
      <c r="AY831" s="11">
        <f t="shared" si="443"/>
        <v>0</v>
      </c>
      <c r="AZ831" s="25"/>
      <c r="BA831" s="10" t="str">
        <f t="shared" si="507"/>
        <v>MarçoSEMANA 5Pera Seca</v>
      </c>
      <c r="BB831" s="7">
        <f>SUMIF(NF!$A:$A,$BA831,NF!$I:$I)</f>
        <v>0</v>
      </c>
      <c r="BC831" s="6"/>
      <c r="BD831" s="6"/>
      <c r="BE831" s="6"/>
      <c r="BF831" s="6"/>
      <c r="BG831" s="6"/>
      <c r="BH831" s="6"/>
      <c r="BI831" s="74"/>
      <c r="BJ831" s="74"/>
      <c r="BK831" s="7">
        <f t="shared" si="538"/>
        <v>0</v>
      </c>
      <c r="BL831" s="8">
        <f t="shared" si="446"/>
        <v>0</v>
      </c>
      <c r="BM831" s="51" t="str">
        <f>IFERROR(VLOOKUP(A831,NF!$M:$O,3,0),"")</f>
        <v>Mercado</v>
      </c>
      <c r="BN831" s="7">
        <f t="shared" si="447"/>
        <v>0.36199999999999999</v>
      </c>
      <c r="BO831" s="8">
        <f t="array" ref="BO831">IFERROR(LARGE(IF(NF!$G$2:$G$3137='Mês atual'!A831,NF!$J$2:$J$3137),1),0)*BN831</f>
        <v>19.189982000000001</v>
      </c>
      <c r="BP831" s="50"/>
      <c r="BR831" s="146">
        <f t="array" ref="BR831">IFERROR(LARGE(IF(NF!$G$2:$G$3137='Mês atual'!A831,NF!$J$2:$J$3137),1),0)</f>
        <v>53.011000000000003</v>
      </c>
      <c r="BS831" s="142" t="str">
        <f>VLOOKUP(A831,NF!M:O,3,0)</f>
        <v>Mercado</v>
      </c>
      <c r="BV831" s="74">
        <f t="shared" si="529"/>
        <v>0</v>
      </c>
      <c r="BW831" s="74">
        <f t="shared" si="530"/>
        <v>0</v>
      </c>
      <c r="BX831" s="74">
        <f t="shared" si="531"/>
        <v>0</v>
      </c>
      <c r="BY831" s="74">
        <f t="shared" si="532"/>
        <v>0.36199999999999999</v>
      </c>
      <c r="BZ831" s="74">
        <f t="shared" si="533"/>
        <v>0</v>
      </c>
    </row>
    <row r="832" spans="1:78" x14ac:dyDescent="0.2">
      <c r="A832" s="108" t="s">
        <v>651</v>
      </c>
      <c r="B832" s="12"/>
      <c r="C832" s="9">
        <v>0</v>
      </c>
      <c r="D832" s="25"/>
      <c r="E832" s="10" t="str">
        <f t="shared" si="503"/>
        <v>MarçoSEMANA 1Pessego em Calda</v>
      </c>
      <c r="F832" s="7">
        <f>SUMIF(NF!$A:$A,$E832,NF!$I:$I)</f>
        <v>0</v>
      </c>
      <c r="G832" s="74"/>
      <c r="H832" s="74"/>
      <c r="I832" s="74"/>
      <c r="J832" s="6"/>
      <c r="K832" s="6"/>
      <c r="L832" s="6"/>
      <c r="M832" s="6"/>
      <c r="N832" s="7">
        <f t="shared" si="534"/>
        <v>0</v>
      </c>
      <c r="O832" s="11">
        <f t="shared" si="434"/>
        <v>0</v>
      </c>
      <c r="P832" s="25"/>
      <c r="Q832" s="10" t="str">
        <f t="shared" si="504"/>
        <v>MarçoSEMANA 2Pessego em Calda</v>
      </c>
      <c r="R832" s="7">
        <f>SUMIF(NF!$A:$A,$Q832,NF!$I:$I)</f>
        <v>0</v>
      </c>
      <c r="S832" s="6"/>
      <c r="T832" s="6"/>
      <c r="U832" s="6"/>
      <c r="V832" s="6"/>
      <c r="W832" s="6"/>
      <c r="X832" s="6"/>
      <c r="Y832" s="6"/>
      <c r="Z832" s="7">
        <f t="shared" si="535"/>
        <v>0</v>
      </c>
      <c r="AA832" s="11">
        <f t="shared" si="437"/>
        <v>0</v>
      </c>
      <c r="AB832" s="25"/>
      <c r="AC832" s="10" t="str">
        <f t="shared" si="505"/>
        <v>MarçoSEMANA 3Pessego em Calda</v>
      </c>
      <c r="AD832" s="7">
        <f>SUMIF(NF!$A:$A,$AC832,NF!$I:$I)</f>
        <v>0</v>
      </c>
      <c r="AE832" s="6"/>
      <c r="AF832" s="6"/>
      <c r="AG832" s="6"/>
      <c r="AH832" s="6"/>
      <c r="AI832" s="6"/>
      <c r="AJ832" s="6"/>
      <c r="AK832" s="6"/>
      <c r="AL832" s="7">
        <f t="shared" si="536"/>
        <v>0</v>
      </c>
      <c r="AM832" s="11">
        <f t="shared" si="440"/>
        <v>0</v>
      </c>
      <c r="AN832" s="25"/>
      <c r="AO832" s="10" t="str">
        <f t="shared" si="506"/>
        <v>MarçoSEMANA 4Pessego em Calda</v>
      </c>
      <c r="AP832" s="7">
        <f>SUMIF(NF!$A:$A,$AO832,NF!$I:$I)</f>
        <v>0</v>
      </c>
      <c r="AQ832" s="6"/>
      <c r="AR832" s="6"/>
      <c r="AS832" s="6"/>
      <c r="AT832" s="6"/>
      <c r="AU832" s="6"/>
      <c r="AV832" s="6"/>
      <c r="AW832" s="6"/>
      <c r="AX832" s="7">
        <f t="shared" si="537"/>
        <v>0</v>
      </c>
      <c r="AY832" s="11">
        <f t="shared" si="443"/>
        <v>0</v>
      </c>
      <c r="AZ832" s="25"/>
      <c r="BA832" s="10" t="str">
        <f t="shared" si="507"/>
        <v>MarçoSEMANA 5Pessego em Calda</v>
      </c>
      <c r="BB832" s="7">
        <f>SUMIF(NF!$A:$A,$BA832,NF!$I:$I)</f>
        <v>0</v>
      </c>
      <c r="BC832" s="6"/>
      <c r="BD832" s="6"/>
      <c r="BE832" s="6"/>
      <c r="BF832" s="6"/>
      <c r="BG832" s="6"/>
      <c r="BH832" s="6"/>
      <c r="BI832" s="74"/>
      <c r="BJ832" s="74"/>
      <c r="BK832" s="7">
        <f t="shared" si="538"/>
        <v>0</v>
      </c>
      <c r="BL832" s="8">
        <f t="shared" si="446"/>
        <v>0</v>
      </c>
      <c r="BM832" s="51" t="str">
        <f>IFERROR(VLOOKUP(A832,NF!$M:$O,3,0),"")</f>
        <v>Mercado</v>
      </c>
      <c r="BN832" s="7">
        <f t="shared" si="447"/>
        <v>0</v>
      </c>
      <c r="BO832" s="8">
        <f t="array" ref="BO832">IFERROR(LARGE(IF(NF!$G$2:$G$3137='Mês atual'!A832,NF!$J$2:$J$3137),1),0)*BN832</f>
        <v>0</v>
      </c>
      <c r="BP832" s="50"/>
      <c r="BR832" s="146">
        <f t="array" ref="BR832">IFERROR(LARGE(IF(NF!$G$2:$G$3137='Mês atual'!A832,NF!$J$2:$J$3137),1),0)</f>
        <v>0</v>
      </c>
      <c r="BS832" s="142" t="str">
        <f>VLOOKUP(A832,NF!M:O,3,0)</f>
        <v>Mercado</v>
      </c>
      <c r="BV832" s="74">
        <f t="shared" si="529"/>
        <v>0</v>
      </c>
      <c r="BW832" s="74">
        <f t="shared" si="530"/>
        <v>0</v>
      </c>
      <c r="BX832" s="74">
        <f t="shared" si="531"/>
        <v>0</v>
      </c>
      <c r="BY832" s="74">
        <f t="shared" si="532"/>
        <v>0</v>
      </c>
      <c r="BZ832" s="74">
        <f t="shared" si="533"/>
        <v>0</v>
      </c>
    </row>
    <row r="833" spans="1:78" x14ac:dyDescent="0.2">
      <c r="A833" s="108" t="s">
        <v>652</v>
      </c>
      <c r="B833" s="12"/>
      <c r="C833" s="9">
        <v>1</v>
      </c>
      <c r="D833" s="25"/>
      <c r="E833" s="10" t="str">
        <f t="shared" si="503"/>
        <v>MarçoSEMANA 1Picles</v>
      </c>
      <c r="F833" s="7">
        <f>SUMIF(NF!$A:$A,$E833,NF!$I:$I)</f>
        <v>0</v>
      </c>
      <c r="G833" s="74"/>
      <c r="H833" s="74"/>
      <c r="I833" s="74"/>
      <c r="J833" s="6"/>
      <c r="K833" s="6"/>
      <c r="L833" s="6"/>
      <c r="M833" s="6"/>
      <c r="N833" s="7">
        <f t="shared" si="534"/>
        <v>0</v>
      </c>
      <c r="O833" s="11">
        <f t="shared" si="434"/>
        <v>1</v>
      </c>
      <c r="P833" s="25"/>
      <c r="Q833" s="10" t="str">
        <f t="shared" si="504"/>
        <v>MarçoSEMANA 2Picles</v>
      </c>
      <c r="R833" s="7">
        <f>SUMIF(NF!$A:$A,$Q833,NF!$I:$I)</f>
        <v>0</v>
      </c>
      <c r="S833" s="6"/>
      <c r="T833" s="6"/>
      <c r="U833" s="6">
        <v>1</v>
      </c>
      <c r="V833" s="6"/>
      <c r="W833" s="6"/>
      <c r="X833" s="6"/>
      <c r="Y833" s="6"/>
      <c r="Z833" s="7">
        <f t="shared" si="535"/>
        <v>1</v>
      </c>
      <c r="AA833" s="11">
        <f t="shared" si="437"/>
        <v>0</v>
      </c>
      <c r="AB833" s="25"/>
      <c r="AC833" s="10" t="str">
        <f t="shared" si="505"/>
        <v>MarçoSEMANA 3Picles</v>
      </c>
      <c r="AD833" s="7">
        <f>SUMIF(NF!$A:$A,$AC833,NF!$I:$I)</f>
        <v>0</v>
      </c>
      <c r="AE833" s="6"/>
      <c r="AF833" s="6"/>
      <c r="AG833" s="6"/>
      <c r="AH833" s="6"/>
      <c r="AI833" s="6"/>
      <c r="AJ833" s="6"/>
      <c r="AK833" s="6"/>
      <c r="AL833" s="7">
        <f t="shared" si="536"/>
        <v>0</v>
      </c>
      <c r="AM833" s="11">
        <f t="shared" si="440"/>
        <v>0</v>
      </c>
      <c r="AN833" s="25"/>
      <c r="AO833" s="10" t="str">
        <f t="shared" si="506"/>
        <v>MarçoSEMANA 4Picles</v>
      </c>
      <c r="AP833" s="7">
        <f>SUMIF(NF!$A:$A,$AO833,NF!$I:$I)</f>
        <v>1</v>
      </c>
      <c r="AQ833" s="6"/>
      <c r="AR833" s="6"/>
      <c r="AS833" s="6"/>
      <c r="AT833" s="6"/>
      <c r="AU833" s="6"/>
      <c r="AV833" s="6"/>
      <c r="AW833" s="6"/>
      <c r="AX833" s="7">
        <f t="shared" si="537"/>
        <v>0</v>
      </c>
      <c r="AY833" s="11">
        <f t="shared" si="443"/>
        <v>1</v>
      </c>
      <c r="AZ833" s="25"/>
      <c r="BA833" s="10" t="str">
        <f t="shared" si="507"/>
        <v>MarçoSEMANA 5Picles</v>
      </c>
      <c r="BB833" s="7">
        <f>SUMIF(NF!$A:$A,$BA833,NF!$I:$I)</f>
        <v>0</v>
      </c>
      <c r="BC833" s="6"/>
      <c r="BD833" s="6"/>
      <c r="BE833" s="6"/>
      <c r="BF833" s="6"/>
      <c r="BG833" s="6"/>
      <c r="BH833" s="6"/>
      <c r="BI833" s="74"/>
      <c r="BJ833" s="74"/>
      <c r="BK833" s="7">
        <f t="shared" si="538"/>
        <v>0</v>
      </c>
      <c r="BL833" s="8">
        <f t="shared" si="446"/>
        <v>1</v>
      </c>
      <c r="BM833" s="51" t="str">
        <f>IFERROR(VLOOKUP(A833,NF!$M:$O,3,0),"")</f>
        <v>Mercado</v>
      </c>
      <c r="BN833" s="7">
        <f t="shared" si="447"/>
        <v>1</v>
      </c>
      <c r="BO833" s="8">
        <f t="array" ref="BO833">IFERROR(LARGE(IF(NF!$G$2:$G$3137='Mês atual'!A833,NF!$J$2:$J$3137),1),0)*BN833</f>
        <v>15.83</v>
      </c>
      <c r="BP833" s="50"/>
      <c r="BR833" s="146">
        <f t="array" ref="BR833">IFERROR(LARGE(IF(NF!$G$2:$G$3137='Mês atual'!A833,NF!$J$2:$J$3137),1),0)</f>
        <v>15.83</v>
      </c>
      <c r="BS833" s="142" t="str">
        <f>VLOOKUP(A833,NF!M:O,3,0)</f>
        <v>Mercado</v>
      </c>
      <c r="BV833" s="74">
        <f t="shared" si="529"/>
        <v>0</v>
      </c>
      <c r="BW833" s="74">
        <f t="shared" si="530"/>
        <v>1</v>
      </c>
      <c r="BX833" s="74">
        <f t="shared" si="531"/>
        <v>0</v>
      </c>
      <c r="BY833" s="74">
        <f t="shared" si="532"/>
        <v>0</v>
      </c>
      <c r="BZ833" s="74">
        <f t="shared" si="533"/>
        <v>0</v>
      </c>
    </row>
    <row r="834" spans="1:78" x14ac:dyDescent="0.2">
      <c r="A834" s="108" t="s">
        <v>654</v>
      </c>
      <c r="B834" s="12"/>
      <c r="C834" s="9">
        <v>0</v>
      </c>
      <c r="D834" s="25"/>
      <c r="E834" s="10" t="str">
        <f t="shared" si="503"/>
        <v>MarçoSEMANA 1Pimenta Calabresa</v>
      </c>
      <c r="F834" s="7">
        <f>SUMIF(NF!$A:$A,$E834,NF!$I:$I)</f>
        <v>0</v>
      </c>
      <c r="G834" s="74"/>
      <c r="H834" s="74"/>
      <c r="I834" s="74"/>
      <c r="J834" s="6"/>
      <c r="K834" s="6"/>
      <c r="L834" s="6"/>
      <c r="M834" s="6"/>
      <c r="N834" s="7">
        <f t="shared" si="534"/>
        <v>0</v>
      </c>
      <c r="O834" s="11">
        <f t="shared" si="434"/>
        <v>0</v>
      </c>
      <c r="P834" s="25"/>
      <c r="Q834" s="10" t="str">
        <f t="shared" si="504"/>
        <v>MarçoSEMANA 2Pimenta Calabresa</v>
      </c>
      <c r="R834" s="7">
        <f>SUMIF(NF!$A:$A,$Q834,NF!$I:$I)</f>
        <v>0</v>
      </c>
      <c r="S834" s="6"/>
      <c r="T834" s="6"/>
      <c r="U834" s="6"/>
      <c r="V834" s="6"/>
      <c r="W834" s="6"/>
      <c r="X834" s="6"/>
      <c r="Y834" s="6"/>
      <c r="Z834" s="7">
        <f t="shared" si="535"/>
        <v>0</v>
      </c>
      <c r="AA834" s="11">
        <f t="shared" si="437"/>
        <v>0</v>
      </c>
      <c r="AB834" s="25"/>
      <c r="AC834" s="10" t="str">
        <f t="shared" si="505"/>
        <v>MarçoSEMANA 3Pimenta Calabresa</v>
      </c>
      <c r="AD834" s="7">
        <f>SUMIF(NF!$A:$A,$AC834,NF!$I:$I)</f>
        <v>0</v>
      </c>
      <c r="AE834" s="6"/>
      <c r="AF834" s="6"/>
      <c r="AG834" s="6"/>
      <c r="AH834" s="6"/>
      <c r="AI834" s="6"/>
      <c r="AJ834" s="6"/>
      <c r="AK834" s="6"/>
      <c r="AL834" s="7">
        <f t="shared" si="536"/>
        <v>0</v>
      </c>
      <c r="AM834" s="11">
        <f t="shared" si="440"/>
        <v>0</v>
      </c>
      <c r="AN834" s="25"/>
      <c r="AO834" s="10" t="str">
        <f t="shared" si="506"/>
        <v>MarçoSEMANA 4Pimenta Calabresa</v>
      </c>
      <c r="AP834" s="7">
        <f>SUMIF(NF!$A:$A,$AO834,NF!$I:$I)</f>
        <v>0</v>
      </c>
      <c r="AQ834" s="6"/>
      <c r="AR834" s="6"/>
      <c r="AS834" s="6"/>
      <c r="AT834" s="6"/>
      <c r="AU834" s="6"/>
      <c r="AV834" s="6"/>
      <c r="AW834" s="6"/>
      <c r="AX834" s="7">
        <f t="shared" si="537"/>
        <v>0</v>
      </c>
      <c r="AY834" s="11">
        <f t="shared" si="443"/>
        <v>0</v>
      </c>
      <c r="AZ834" s="25"/>
      <c r="BA834" s="10" t="str">
        <f t="shared" si="507"/>
        <v>MarçoSEMANA 5Pimenta Calabresa</v>
      </c>
      <c r="BB834" s="7">
        <f>SUMIF(NF!$A:$A,$BA834,NF!$I:$I)</f>
        <v>0</v>
      </c>
      <c r="BC834" s="6"/>
      <c r="BD834" s="6"/>
      <c r="BE834" s="6"/>
      <c r="BF834" s="6"/>
      <c r="BG834" s="6"/>
      <c r="BH834" s="6"/>
      <c r="BI834" s="74"/>
      <c r="BJ834" s="74"/>
      <c r="BK834" s="7">
        <f t="shared" si="538"/>
        <v>0</v>
      </c>
      <c r="BL834" s="8">
        <f t="shared" si="446"/>
        <v>0</v>
      </c>
      <c r="BM834" s="51" t="str">
        <f>IFERROR(VLOOKUP(A834,NF!$M:$O,3,0),"")</f>
        <v>Mercado</v>
      </c>
      <c r="BN834" s="7">
        <f t="shared" si="447"/>
        <v>0</v>
      </c>
      <c r="BO834" s="8">
        <f t="array" ref="BO834">IFERROR(LARGE(IF(NF!$G$2:$G$3137='Mês atual'!A834,NF!$J$2:$J$3137),1),0)*BN834</f>
        <v>0</v>
      </c>
      <c r="BP834" s="50"/>
      <c r="BR834" s="146">
        <f t="array" ref="BR834">IFERROR(LARGE(IF(NF!$G$2:$G$3137='Mês atual'!A834,NF!$J$2:$J$3137),1),0)</f>
        <v>0</v>
      </c>
      <c r="BS834" s="142" t="str">
        <f>VLOOKUP(A834,NF!M:O,3,0)</f>
        <v>Mercado</v>
      </c>
      <c r="BV834" s="74">
        <f t="shared" si="529"/>
        <v>0</v>
      </c>
      <c r="BW834" s="74">
        <f t="shared" si="530"/>
        <v>0</v>
      </c>
      <c r="BX834" s="74">
        <f t="shared" si="531"/>
        <v>0</v>
      </c>
      <c r="BY834" s="74">
        <f t="shared" si="532"/>
        <v>0</v>
      </c>
      <c r="BZ834" s="74">
        <f t="shared" si="533"/>
        <v>0</v>
      </c>
    </row>
    <row r="835" spans="1:78" x14ac:dyDescent="0.25">
      <c r="A835" s="108" t="s">
        <v>1059</v>
      </c>
      <c r="B835" s="12"/>
      <c r="C835" s="9">
        <v>0</v>
      </c>
      <c r="D835" s="25"/>
      <c r="E835" s="10" t="str">
        <f t="shared" si="503"/>
        <v>MarçoSEMANA 1Pimenta do Reino em Grão</v>
      </c>
      <c r="F835" s="7">
        <f>SUMIF(NF!$A:$A,$E835,NF!$I:$I)</f>
        <v>0</v>
      </c>
      <c r="G835" s="74"/>
      <c r="H835" s="74"/>
      <c r="I835" s="74"/>
      <c r="J835" s="6"/>
      <c r="K835" s="6"/>
      <c r="L835" s="6"/>
      <c r="M835" s="6"/>
      <c r="N835" s="7">
        <f>SUM(G835:M835)</f>
        <v>0</v>
      </c>
      <c r="O835" s="11">
        <f>F835+C835-N835</f>
        <v>0</v>
      </c>
      <c r="P835" s="25"/>
      <c r="Q835" s="10" t="str">
        <f t="shared" si="504"/>
        <v>MarçoSEMANA 2Pimenta do Reino em Grão</v>
      </c>
      <c r="R835" s="7">
        <f>SUMIF(NF!$A:$A,$Q835,NF!$I:$I)</f>
        <v>0</v>
      </c>
      <c r="S835" s="6"/>
      <c r="T835" s="6"/>
      <c r="U835" s="6"/>
      <c r="V835" s="6"/>
      <c r="W835" s="6"/>
      <c r="X835" s="6"/>
      <c r="Y835" s="6"/>
      <c r="Z835" s="7">
        <f>SUM(S835:Y835)</f>
        <v>0</v>
      </c>
      <c r="AA835" s="11">
        <f>R835+O835-Z835</f>
        <v>0</v>
      </c>
      <c r="AB835" s="25"/>
      <c r="AC835" s="10" t="str">
        <f t="shared" si="505"/>
        <v>MarçoSEMANA 3Pimenta do Reino em Grão</v>
      </c>
      <c r="AD835" s="7">
        <f>SUMIF(NF!$A:$A,$AC835,NF!$I:$I)</f>
        <v>0</v>
      </c>
      <c r="AE835" s="6"/>
      <c r="AF835" s="6"/>
      <c r="AG835" s="6"/>
      <c r="AH835" s="6"/>
      <c r="AI835" s="6"/>
      <c r="AJ835" s="6"/>
      <c r="AK835" s="6"/>
      <c r="AL835" s="7">
        <f>SUM(AE835:AK835)</f>
        <v>0</v>
      </c>
      <c r="AM835" s="11">
        <f>AD835+AA835-AL835</f>
        <v>0</v>
      </c>
      <c r="AN835" s="25"/>
      <c r="AO835" s="10" t="str">
        <f t="shared" si="506"/>
        <v>MarçoSEMANA 4Pimenta do Reino em Grão</v>
      </c>
      <c r="AP835" s="7">
        <f>SUMIF(NF!$A:$A,$AO835,NF!$I:$I)</f>
        <v>0</v>
      </c>
      <c r="AQ835" s="6"/>
      <c r="AR835" s="6"/>
      <c r="AS835" s="6"/>
      <c r="AT835" s="6"/>
      <c r="AU835" s="6"/>
      <c r="AV835" s="6"/>
      <c r="AW835" s="6"/>
      <c r="AX835" s="7">
        <f>SUM(AQ835:AW835)</f>
        <v>0</v>
      </c>
      <c r="AY835" s="11">
        <f>AP835+AM835-AX835</f>
        <v>0</v>
      </c>
      <c r="AZ835" s="25"/>
      <c r="BA835" s="10" t="str">
        <f t="shared" si="507"/>
        <v>MarçoSEMANA 5Pimenta do Reino em Grão</v>
      </c>
      <c r="BB835" s="7">
        <f>SUMIF(NF!$A:$A,$BA835,NF!$I:$I)</f>
        <v>0</v>
      </c>
      <c r="BC835" s="6"/>
      <c r="BD835" s="6"/>
      <c r="BE835" s="6"/>
      <c r="BF835" s="6"/>
      <c r="BG835" s="6"/>
      <c r="BH835" s="6"/>
      <c r="BI835" s="74"/>
      <c r="BJ835" s="74"/>
      <c r="BK835" s="7">
        <f>SUM(BC835:BJ835)</f>
        <v>0</v>
      </c>
      <c r="BL835" s="8">
        <f>BB835+AY835-BK835</f>
        <v>0</v>
      </c>
      <c r="BM835" s="51" t="str">
        <f>IFERROR(VLOOKUP(A835,NF!$M:$O,3,0),"")</f>
        <v>Mercado</v>
      </c>
      <c r="BN835" s="7">
        <f>SUM(N835,Z835,AL835,AX835,BK835)</f>
        <v>0</v>
      </c>
      <c r="BO835" s="8">
        <f t="array" ref="BO835">IFERROR(LARGE(IF(NF!$G$2:$G$3137='Mês atual'!A835,NF!$J$2:$J$3137),1),0)*BN835</f>
        <v>0</v>
      </c>
      <c r="BP835" s="50"/>
      <c r="BR835" s="146">
        <f t="array" ref="BR835">IFERROR(LARGE(IF(NF!$G$2:$G$3137='Mês atual'!A835,NF!$J$2:$J$3137),1),0)</f>
        <v>0</v>
      </c>
      <c r="BS835" s="142" t="str">
        <f>VLOOKUP(A835,NF!M:O,3,0)</f>
        <v>Mercado</v>
      </c>
      <c r="BV835" s="74">
        <f>N835</f>
        <v>0</v>
      </c>
      <c r="BW835" s="74">
        <f>Z835</f>
        <v>0</v>
      </c>
      <c r="BX835" s="74">
        <f>AL835</f>
        <v>0</v>
      </c>
      <c r="BY835" s="74">
        <f>AX835</f>
        <v>0</v>
      </c>
      <c r="BZ835" s="74">
        <f>BK835</f>
        <v>0</v>
      </c>
    </row>
    <row r="836" spans="1:78" x14ac:dyDescent="0.25">
      <c r="A836" s="108" t="s">
        <v>657</v>
      </c>
      <c r="B836" s="12"/>
      <c r="C836" s="9">
        <v>0</v>
      </c>
      <c r="D836" s="25"/>
      <c r="E836" s="10" t="str">
        <f t="shared" si="503"/>
        <v>MarçoSEMANA 1Pimenta do Reino em Pó</v>
      </c>
      <c r="F836" s="7">
        <f>SUMIF(NF!$A:$A,$E836,NF!$I:$I)</f>
        <v>0</v>
      </c>
      <c r="G836" s="74"/>
      <c r="H836" s="74"/>
      <c r="I836" s="74"/>
      <c r="J836" s="6"/>
      <c r="K836" s="6"/>
      <c r="L836" s="6"/>
      <c r="M836" s="6"/>
      <c r="N836" s="7">
        <f t="shared" si="534"/>
        <v>0</v>
      </c>
      <c r="O836" s="11">
        <f t="shared" si="434"/>
        <v>0</v>
      </c>
      <c r="P836" s="25"/>
      <c r="Q836" s="10" t="str">
        <f t="shared" si="504"/>
        <v>MarçoSEMANA 2Pimenta do Reino em Pó</v>
      </c>
      <c r="R836" s="7">
        <f>SUMIF(NF!$A:$A,$Q836,NF!$I:$I)</f>
        <v>0</v>
      </c>
      <c r="S836" s="6"/>
      <c r="T836" s="6"/>
      <c r="U836" s="6"/>
      <c r="V836" s="6"/>
      <c r="W836" s="6"/>
      <c r="X836" s="6"/>
      <c r="Y836" s="6"/>
      <c r="Z836" s="7">
        <f t="shared" si="535"/>
        <v>0</v>
      </c>
      <c r="AA836" s="11">
        <f t="shared" si="437"/>
        <v>0</v>
      </c>
      <c r="AB836" s="25"/>
      <c r="AC836" s="10" t="str">
        <f t="shared" si="505"/>
        <v>MarçoSEMANA 3Pimenta do Reino em Pó</v>
      </c>
      <c r="AD836" s="7">
        <f>SUMIF(NF!$A:$A,$AC836,NF!$I:$I)</f>
        <v>0</v>
      </c>
      <c r="AE836" s="6"/>
      <c r="AF836" s="6"/>
      <c r="AG836" s="6"/>
      <c r="AH836" s="6"/>
      <c r="AI836" s="6"/>
      <c r="AJ836" s="6"/>
      <c r="AK836" s="6"/>
      <c r="AL836" s="7">
        <f t="shared" si="536"/>
        <v>0</v>
      </c>
      <c r="AM836" s="11">
        <f t="shared" si="440"/>
        <v>0</v>
      </c>
      <c r="AN836" s="25"/>
      <c r="AO836" s="10" t="str">
        <f t="shared" si="506"/>
        <v>MarçoSEMANA 4Pimenta do Reino em Pó</v>
      </c>
      <c r="AP836" s="7">
        <f>SUMIF(NF!$A:$A,$AO836,NF!$I:$I)</f>
        <v>0</v>
      </c>
      <c r="AQ836" s="6"/>
      <c r="AR836" s="6"/>
      <c r="AS836" s="6"/>
      <c r="AT836" s="6"/>
      <c r="AU836" s="6"/>
      <c r="AV836" s="6"/>
      <c r="AW836" s="6"/>
      <c r="AX836" s="7">
        <f t="shared" si="537"/>
        <v>0</v>
      </c>
      <c r="AY836" s="11">
        <f t="shared" si="443"/>
        <v>0</v>
      </c>
      <c r="AZ836" s="25"/>
      <c r="BA836" s="10" t="str">
        <f t="shared" si="507"/>
        <v>MarçoSEMANA 5Pimenta do Reino em Pó</v>
      </c>
      <c r="BB836" s="7">
        <f>SUMIF(NF!$A:$A,$BA836,NF!$I:$I)</f>
        <v>0</v>
      </c>
      <c r="BC836" s="6"/>
      <c r="BD836" s="6"/>
      <c r="BE836" s="6"/>
      <c r="BF836" s="6"/>
      <c r="BG836" s="6"/>
      <c r="BH836" s="6"/>
      <c r="BI836" s="74"/>
      <c r="BJ836" s="74"/>
      <c r="BK836" s="7">
        <f t="shared" si="538"/>
        <v>0</v>
      </c>
      <c r="BL836" s="8">
        <f t="shared" si="446"/>
        <v>0</v>
      </c>
      <c r="BM836" s="51" t="str">
        <f>IFERROR(VLOOKUP(A836,NF!$M:$O,3,0),"")</f>
        <v>Mercado</v>
      </c>
      <c r="BN836" s="7">
        <f t="shared" si="447"/>
        <v>0</v>
      </c>
      <c r="BO836" s="8">
        <f t="array" ref="BO836">IFERROR(LARGE(IF(NF!$G$2:$G$3137='Mês atual'!A836,NF!$J$2:$J$3137),1),0)*BN836</f>
        <v>0</v>
      </c>
      <c r="BP836" s="50"/>
      <c r="BR836" s="146">
        <f t="array" ref="BR836">IFERROR(LARGE(IF(NF!$G$2:$G$3137='Mês atual'!A836,NF!$J$2:$J$3137),1),0)</f>
        <v>0</v>
      </c>
      <c r="BS836" s="142" t="str">
        <f>VLOOKUP(A836,NF!M:O,3,0)</f>
        <v>Mercado</v>
      </c>
      <c r="BV836" s="74">
        <f t="shared" si="529"/>
        <v>0</v>
      </c>
      <c r="BW836" s="74">
        <f t="shared" si="530"/>
        <v>0</v>
      </c>
      <c r="BX836" s="74">
        <f t="shared" si="531"/>
        <v>0</v>
      </c>
      <c r="BY836" s="74">
        <f t="shared" si="532"/>
        <v>0</v>
      </c>
      <c r="BZ836" s="74">
        <f t="shared" si="533"/>
        <v>0</v>
      </c>
    </row>
    <row r="837" spans="1:78" x14ac:dyDescent="0.2">
      <c r="A837" s="108" t="s">
        <v>660</v>
      </c>
      <c r="B837" s="12"/>
      <c r="C837" s="9">
        <v>0</v>
      </c>
      <c r="D837" s="25"/>
      <c r="E837" s="10" t="str">
        <f t="shared" si="503"/>
        <v>MarçoSEMANA 1Pimenta rosa</v>
      </c>
      <c r="F837" s="7">
        <f>SUMIF(NF!$A:$A,$E837,NF!$I:$I)</f>
        <v>0</v>
      </c>
      <c r="G837" s="74"/>
      <c r="H837" s="74"/>
      <c r="I837" s="74"/>
      <c r="J837" s="6"/>
      <c r="K837" s="6"/>
      <c r="L837" s="6"/>
      <c r="M837" s="6"/>
      <c r="N837" s="7">
        <f t="shared" si="534"/>
        <v>0</v>
      </c>
      <c r="O837" s="11">
        <f t="shared" si="434"/>
        <v>0</v>
      </c>
      <c r="P837" s="25"/>
      <c r="Q837" s="10" t="str">
        <f t="shared" si="504"/>
        <v>MarçoSEMANA 2Pimenta rosa</v>
      </c>
      <c r="R837" s="7">
        <f>SUMIF(NF!$A:$A,$Q837,NF!$I:$I)</f>
        <v>0.2</v>
      </c>
      <c r="S837" s="6"/>
      <c r="T837" s="6"/>
      <c r="U837" s="6"/>
      <c r="V837" s="6"/>
      <c r="W837" s="6"/>
      <c r="X837" s="6"/>
      <c r="Y837" s="6"/>
      <c r="Z837" s="7">
        <f t="shared" si="535"/>
        <v>0</v>
      </c>
      <c r="AA837" s="11">
        <f t="shared" si="437"/>
        <v>0.2</v>
      </c>
      <c r="AB837" s="25"/>
      <c r="AC837" s="10" t="str">
        <f t="shared" si="505"/>
        <v>MarçoSEMANA 3Pimenta rosa</v>
      </c>
      <c r="AD837" s="7">
        <f>SUMIF(NF!$A:$A,$AC837,NF!$I:$I)</f>
        <v>0</v>
      </c>
      <c r="AE837" s="6"/>
      <c r="AF837" s="6"/>
      <c r="AG837" s="6"/>
      <c r="AH837" s="6"/>
      <c r="AI837" s="6"/>
      <c r="AJ837" s="6"/>
      <c r="AK837" s="6"/>
      <c r="AL837" s="7">
        <f t="shared" si="536"/>
        <v>0</v>
      </c>
      <c r="AM837" s="11">
        <f t="shared" si="440"/>
        <v>0.2</v>
      </c>
      <c r="AN837" s="25"/>
      <c r="AO837" s="10" t="str">
        <f t="shared" si="506"/>
        <v>MarçoSEMANA 4Pimenta rosa</v>
      </c>
      <c r="AP837" s="7">
        <f>SUMIF(NF!$A:$A,$AO837,NF!$I:$I)</f>
        <v>0</v>
      </c>
      <c r="AQ837" s="6"/>
      <c r="AR837" s="6"/>
      <c r="AS837" s="6"/>
      <c r="AT837" s="6"/>
      <c r="AU837" s="6"/>
      <c r="AV837" s="6"/>
      <c r="AW837" s="6"/>
      <c r="AX837" s="7">
        <f t="shared" si="537"/>
        <v>0</v>
      </c>
      <c r="AY837" s="11">
        <f t="shared" si="443"/>
        <v>0.2</v>
      </c>
      <c r="AZ837" s="25"/>
      <c r="BA837" s="10" t="str">
        <f t="shared" si="507"/>
        <v>MarçoSEMANA 5Pimenta rosa</v>
      </c>
      <c r="BB837" s="7">
        <f>SUMIF(NF!$A:$A,$BA837,NF!$I:$I)</f>
        <v>0</v>
      </c>
      <c r="BC837" s="6"/>
      <c r="BD837" s="6"/>
      <c r="BE837" s="6"/>
      <c r="BF837" s="6"/>
      <c r="BG837" s="6"/>
      <c r="BH837" s="6"/>
      <c r="BI837" s="74"/>
      <c r="BJ837" s="74"/>
      <c r="BK837" s="7">
        <f t="shared" si="538"/>
        <v>0</v>
      </c>
      <c r="BL837" s="8">
        <f t="shared" si="446"/>
        <v>0.2</v>
      </c>
      <c r="BM837" s="51" t="str">
        <f>IFERROR(VLOOKUP(A837,NF!$M:$O,3,0),"")</f>
        <v>Mercado</v>
      </c>
      <c r="BN837" s="7">
        <f t="shared" si="447"/>
        <v>0</v>
      </c>
      <c r="BO837" s="8">
        <f t="array" ref="BO837">IFERROR(LARGE(IF(NF!$G$2:$G$3137='Mês atual'!A837,NF!$J$2:$J$3137),1),0)*BN837</f>
        <v>0</v>
      </c>
      <c r="BP837" s="50"/>
      <c r="BR837" s="146">
        <f t="array" ref="BR837">IFERROR(LARGE(IF(NF!$G$2:$G$3137='Mês atual'!A837,NF!$J$2:$J$3137),1),0)</f>
        <v>70</v>
      </c>
      <c r="BS837" s="142" t="str">
        <f>VLOOKUP(A837,NF!M:O,3,0)</f>
        <v>Mercado</v>
      </c>
      <c r="BV837" s="74">
        <f t="shared" si="529"/>
        <v>0</v>
      </c>
      <c r="BW837" s="74">
        <f t="shared" si="530"/>
        <v>0</v>
      </c>
      <c r="BX837" s="74">
        <f t="shared" si="531"/>
        <v>0</v>
      </c>
      <c r="BY837" s="74">
        <f t="shared" si="532"/>
        <v>0</v>
      </c>
      <c r="BZ837" s="74">
        <f t="shared" si="533"/>
        <v>0</v>
      </c>
    </row>
    <row r="838" spans="1:78" x14ac:dyDescent="0.2">
      <c r="A838" s="108" t="s">
        <v>661</v>
      </c>
      <c r="B838" s="12"/>
      <c r="C838" s="9">
        <v>0</v>
      </c>
      <c r="D838" s="25"/>
      <c r="E838" s="10" t="str">
        <f t="shared" si="503"/>
        <v>MarçoSEMANA 1Pimenta Tabasco</v>
      </c>
      <c r="F838" s="7">
        <f>SUMIF(NF!$A:$A,$E838,NF!$I:$I)</f>
        <v>2</v>
      </c>
      <c r="G838" s="74"/>
      <c r="H838" s="74"/>
      <c r="I838" s="74"/>
      <c r="J838" s="6"/>
      <c r="K838" s="6"/>
      <c r="L838" s="6"/>
      <c r="M838" s="6"/>
      <c r="N838" s="7">
        <f t="shared" si="534"/>
        <v>0</v>
      </c>
      <c r="O838" s="11">
        <f t="shared" si="434"/>
        <v>2</v>
      </c>
      <c r="P838" s="25"/>
      <c r="Q838" s="10" t="str">
        <f t="shared" si="504"/>
        <v>MarçoSEMANA 2Pimenta Tabasco</v>
      </c>
      <c r="R838" s="7">
        <f>SUMIF(NF!$A:$A,$Q838,NF!$I:$I)</f>
        <v>1</v>
      </c>
      <c r="S838" s="6"/>
      <c r="T838" s="6"/>
      <c r="U838" s="6"/>
      <c r="V838" s="6"/>
      <c r="W838" s="6"/>
      <c r="X838" s="6">
        <v>1</v>
      </c>
      <c r="Y838" s="6"/>
      <c r="Z838" s="7">
        <f t="shared" si="535"/>
        <v>1</v>
      </c>
      <c r="AA838" s="11">
        <f t="shared" si="437"/>
        <v>2</v>
      </c>
      <c r="AB838" s="25"/>
      <c r="AC838" s="10" t="str">
        <f t="shared" si="505"/>
        <v>MarçoSEMANA 3Pimenta Tabasco</v>
      </c>
      <c r="AD838" s="7">
        <f>SUMIF(NF!$A:$A,$AC838,NF!$I:$I)</f>
        <v>1</v>
      </c>
      <c r="AE838" s="6"/>
      <c r="AF838" s="6"/>
      <c r="AG838" s="6"/>
      <c r="AH838" s="6"/>
      <c r="AI838" s="6"/>
      <c r="AJ838" s="6">
        <v>1</v>
      </c>
      <c r="AK838" s="6"/>
      <c r="AL838" s="7">
        <f t="shared" si="536"/>
        <v>1</v>
      </c>
      <c r="AM838" s="11">
        <f t="shared" si="440"/>
        <v>2</v>
      </c>
      <c r="AN838" s="25"/>
      <c r="AO838" s="10" t="str">
        <f t="shared" si="506"/>
        <v>MarçoSEMANA 4Pimenta Tabasco</v>
      </c>
      <c r="AP838" s="7">
        <f>SUMIF(NF!$A:$A,$AO838,NF!$I:$I)</f>
        <v>1</v>
      </c>
      <c r="AQ838" s="6"/>
      <c r="AR838" s="6"/>
      <c r="AS838" s="6"/>
      <c r="AT838" s="6"/>
      <c r="AU838" s="6"/>
      <c r="AV838" s="6">
        <v>1</v>
      </c>
      <c r="AW838" s="6"/>
      <c r="AX838" s="7">
        <f t="shared" si="537"/>
        <v>1</v>
      </c>
      <c r="AY838" s="11">
        <f t="shared" si="443"/>
        <v>2</v>
      </c>
      <c r="AZ838" s="25"/>
      <c r="BA838" s="10" t="str">
        <f t="shared" si="507"/>
        <v>MarçoSEMANA 5Pimenta Tabasco</v>
      </c>
      <c r="BB838" s="7">
        <f>SUMIF(NF!$A:$A,$BA838,NF!$I:$I)</f>
        <v>0</v>
      </c>
      <c r="BC838" s="6"/>
      <c r="BD838" s="6"/>
      <c r="BE838" s="6"/>
      <c r="BF838" s="6"/>
      <c r="BG838" s="6"/>
      <c r="BH838" s="6"/>
      <c r="BI838" s="74"/>
      <c r="BJ838" s="74"/>
      <c r="BK838" s="7">
        <f t="shared" si="538"/>
        <v>0</v>
      </c>
      <c r="BL838" s="8">
        <f t="shared" si="446"/>
        <v>2</v>
      </c>
      <c r="BM838" s="51" t="str">
        <f>IFERROR(VLOOKUP(A838,NF!$M:$O,3,0),"")</f>
        <v>Mercado</v>
      </c>
      <c r="BN838" s="7">
        <f t="shared" si="447"/>
        <v>3</v>
      </c>
      <c r="BO838" s="8">
        <f t="array" ref="BO838">IFERROR(LARGE(IF(NF!$G$2:$G$3137='Mês atual'!A838,NF!$J$2:$J$3137),1),0)*BN838</f>
        <v>48.69</v>
      </c>
      <c r="BP838" s="50"/>
      <c r="BR838" s="146">
        <f t="array" ref="BR838">IFERROR(LARGE(IF(NF!$G$2:$G$3137='Mês atual'!A838,NF!$J$2:$J$3137),1),0)</f>
        <v>16.23</v>
      </c>
      <c r="BS838" s="142" t="str">
        <f>VLOOKUP(A838,NF!M:O,3,0)</f>
        <v>Mercado</v>
      </c>
      <c r="BV838" s="74">
        <f t="shared" si="529"/>
        <v>0</v>
      </c>
      <c r="BW838" s="74">
        <f t="shared" si="530"/>
        <v>1</v>
      </c>
      <c r="BX838" s="74">
        <f t="shared" si="531"/>
        <v>1</v>
      </c>
      <c r="BY838" s="74">
        <f t="shared" si="532"/>
        <v>1</v>
      </c>
      <c r="BZ838" s="74">
        <f t="shared" si="533"/>
        <v>0</v>
      </c>
    </row>
    <row r="839" spans="1:78" x14ac:dyDescent="0.2">
      <c r="A839" s="108" t="s">
        <v>1000</v>
      </c>
      <c r="B839" s="12"/>
      <c r="C839" s="9">
        <v>0</v>
      </c>
      <c r="D839" s="25"/>
      <c r="E839" s="10" t="str">
        <f t="shared" si="503"/>
        <v>MarçoSEMANA 1Pimenta Verde em Conserva</v>
      </c>
      <c r="F839" s="7">
        <f>SUMIF(NF!$A:$A,$E839,NF!$I:$I)</f>
        <v>0</v>
      </c>
      <c r="G839" s="74"/>
      <c r="H839" s="74"/>
      <c r="I839" s="74"/>
      <c r="J839" s="6"/>
      <c r="K839" s="6"/>
      <c r="L839" s="6"/>
      <c r="M839" s="6"/>
      <c r="N839" s="7">
        <f>SUM(G839:M839)</f>
        <v>0</v>
      </c>
      <c r="O839" s="11">
        <f>F839+C839-N839</f>
        <v>0</v>
      </c>
      <c r="P839" s="25"/>
      <c r="Q839" s="10" t="str">
        <f t="shared" si="504"/>
        <v>MarçoSEMANA 2Pimenta Verde em Conserva</v>
      </c>
      <c r="R839" s="7">
        <f>SUMIF(NF!$A:$A,$Q839,NF!$I:$I)</f>
        <v>0</v>
      </c>
      <c r="S839" s="6"/>
      <c r="T839" s="6"/>
      <c r="U839" s="6"/>
      <c r="V839" s="6"/>
      <c r="W839" s="6"/>
      <c r="X839" s="6"/>
      <c r="Y839" s="6"/>
      <c r="Z839" s="7">
        <f>SUM(S839:Y839)</f>
        <v>0</v>
      </c>
      <c r="AA839" s="11">
        <f>R839+O839-Z839</f>
        <v>0</v>
      </c>
      <c r="AB839" s="25"/>
      <c r="AC839" s="10" t="str">
        <f t="shared" si="505"/>
        <v>MarçoSEMANA 3Pimenta Verde em Conserva</v>
      </c>
      <c r="AD839" s="7">
        <f>SUMIF(NF!$A:$A,$AC839,NF!$I:$I)</f>
        <v>0</v>
      </c>
      <c r="AE839" s="6"/>
      <c r="AF839" s="6"/>
      <c r="AG839" s="6"/>
      <c r="AH839" s="6"/>
      <c r="AI839" s="6"/>
      <c r="AJ839" s="6"/>
      <c r="AK839" s="6"/>
      <c r="AL839" s="7">
        <f>SUM(AE839:AK839)</f>
        <v>0</v>
      </c>
      <c r="AM839" s="11">
        <f>AD839+AA839-AL839</f>
        <v>0</v>
      </c>
      <c r="AN839" s="25"/>
      <c r="AO839" s="10" t="str">
        <f t="shared" si="506"/>
        <v>MarçoSEMANA 4Pimenta Verde em Conserva</v>
      </c>
      <c r="AP839" s="7">
        <f>SUMIF(NF!$A:$A,$AO839,NF!$I:$I)</f>
        <v>0</v>
      </c>
      <c r="AQ839" s="6"/>
      <c r="AR839" s="6"/>
      <c r="AS839" s="6"/>
      <c r="AT839" s="6"/>
      <c r="AU839" s="6"/>
      <c r="AV839" s="6"/>
      <c r="AW839" s="6"/>
      <c r="AX839" s="7">
        <f>SUM(AQ839:AW839)</f>
        <v>0</v>
      </c>
      <c r="AY839" s="11">
        <f>AP839+AM839-AX839</f>
        <v>0</v>
      </c>
      <c r="AZ839" s="25"/>
      <c r="BA839" s="10" t="str">
        <f t="shared" si="507"/>
        <v>MarçoSEMANA 5Pimenta Verde em Conserva</v>
      </c>
      <c r="BB839" s="7">
        <f>SUMIF(NF!$A:$A,$BA839,NF!$I:$I)</f>
        <v>0</v>
      </c>
      <c r="BC839" s="6"/>
      <c r="BD839" s="6"/>
      <c r="BE839" s="6"/>
      <c r="BF839" s="6"/>
      <c r="BG839" s="6"/>
      <c r="BH839" s="6"/>
      <c r="BI839" s="74"/>
      <c r="BJ839" s="74"/>
      <c r="BK839" s="7">
        <f>SUM(BC839:BJ839)</f>
        <v>0</v>
      </c>
      <c r="BL839" s="8">
        <f>BB839+AY839-BK839</f>
        <v>0</v>
      </c>
      <c r="BM839" s="51" t="str">
        <f>IFERROR(VLOOKUP(A839,NF!$M:$O,3,0),"")</f>
        <v>Mercado</v>
      </c>
      <c r="BN839" s="7">
        <f>SUM(N839,Z839,AL839,AX839,BK839)</f>
        <v>0</v>
      </c>
      <c r="BO839" s="8">
        <f t="array" ref="BO839">IFERROR(LARGE(IF(NF!$G$2:$G$3137='Mês atual'!A839,NF!$J$2:$J$3137),1),0)*BN839</f>
        <v>0</v>
      </c>
      <c r="BP839" s="50"/>
      <c r="BR839" s="146">
        <f t="array" ref="BR839">IFERROR(LARGE(IF(NF!$G$2:$G$3137='Mês atual'!A839,NF!$J$2:$J$3137),1),0)</f>
        <v>0</v>
      </c>
      <c r="BS839" s="142" t="str">
        <f>VLOOKUP(A839,NF!M:O,3,0)</f>
        <v>Mercado</v>
      </c>
      <c r="BV839" s="74">
        <f t="shared" si="529"/>
        <v>0</v>
      </c>
      <c r="BW839" s="74">
        <f t="shared" si="530"/>
        <v>0</v>
      </c>
      <c r="BX839" s="74">
        <f t="shared" si="531"/>
        <v>0</v>
      </c>
      <c r="BY839" s="74">
        <f t="shared" si="532"/>
        <v>0</v>
      </c>
      <c r="BZ839" s="74">
        <f t="shared" si="533"/>
        <v>0</v>
      </c>
    </row>
    <row r="840" spans="1:78" x14ac:dyDescent="0.2">
      <c r="A840" s="108" t="s">
        <v>667</v>
      </c>
      <c r="B840" s="12"/>
      <c r="C840" s="9">
        <v>0</v>
      </c>
      <c r="D840" s="25"/>
      <c r="E840" s="10" t="str">
        <f t="shared" si="503"/>
        <v>MarçoSEMANA 1Pistache</v>
      </c>
      <c r="F840" s="7">
        <f>SUMIF(NF!$A:$A,$E840,NF!$I:$I)</f>
        <v>0</v>
      </c>
      <c r="G840" s="74"/>
      <c r="H840" s="74"/>
      <c r="I840" s="74"/>
      <c r="J840" s="6"/>
      <c r="K840" s="6"/>
      <c r="L840" s="6"/>
      <c r="M840" s="6"/>
      <c r="N840" s="7">
        <f t="shared" si="534"/>
        <v>0</v>
      </c>
      <c r="O840" s="11">
        <f t="shared" si="434"/>
        <v>0</v>
      </c>
      <c r="P840" s="25"/>
      <c r="Q840" s="10" t="str">
        <f t="shared" si="504"/>
        <v>MarçoSEMANA 2Pistache</v>
      </c>
      <c r="R840" s="7">
        <f>SUMIF(NF!$A:$A,$Q840,NF!$I:$I)</f>
        <v>0</v>
      </c>
      <c r="S840" s="6"/>
      <c r="T840" s="6"/>
      <c r="U840" s="6"/>
      <c r="V840" s="6"/>
      <c r="W840" s="6"/>
      <c r="X840" s="6"/>
      <c r="Y840" s="6"/>
      <c r="Z840" s="7">
        <f t="shared" si="535"/>
        <v>0</v>
      </c>
      <c r="AA840" s="11">
        <f t="shared" si="437"/>
        <v>0</v>
      </c>
      <c r="AB840" s="25"/>
      <c r="AC840" s="10" t="str">
        <f t="shared" si="505"/>
        <v>MarçoSEMANA 3Pistache</v>
      </c>
      <c r="AD840" s="7">
        <f>SUMIF(NF!$A:$A,$AC840,NF!$I:$I)</f>
        <v>0</v>
      </c>
      <c r="AE840" s="6"/>
      <c r="AF840" s="6"/>
      <c r="AG840" s="6"/>
      <c r="AH840" s="6"/>
      <c r="AI840" s="6"/>
      <c r="AJ840" s="6"/>
      <c r="AK840" s="6"/>
      <c r="AL840" s="7">
        <f t="shared" si="536"/>
        <v>0</v>
      </c>
      <c r="AM840" s="11">
        <f t="shared" si="440"/>
        <v>0</v>
      </c>
      <c r="AN840" s="25"/>
      <c r="AO840" s="10" t="str">
        <f t="shared" si="506"/>
        <v>MarçoSEMANA 4Pistache</v>
      </c>
      <c r="AP840" s="7">
        <f>SUMIF(NF!$A:$A,$AO840,NF!$I:$I)</f>
        <v>0</v>
      </c>
      <c r="AQ840" s="6"/>
      <c r="AR840" s="6"/>
      <c r="AS840" s="6"/>
      <c r="AT840" s="6"/>
      <c r="AU840" s="6"/>
      <c r="AV840" s="6"/>
      <c r="AW840" s="6"/>
      <c r="AX840" s="7">
        <f t="shared" si="537"/>
        <v>0</v>
      </c>
      <c r="AY840" s="11">
        <f t="shared" si="443"/>
        <v>0</v>
      </c>
      <c r="AZ840" s="25"/>
      <c r="BA840" s="10" t="str">
        <f t="shared" si="507"/>
        <v>MarçoSEMANA 5Pistache</v>
      </c>
      <c r="BB840" s="7">
        <f>SUMIF(NF!$A:$A,$BA840,NF!$I:$I)</f>
        <v>0</v>
      </c>
      <c r="BC840" s="6"/>
      <c r="BD840" s="6"/>
      <c r="BE840" s="6"/>
      <c r="BF840" s="6"/>
      <c r="BG840" s="6"/>
      <c r="BH840" s="6"/>
      <c r="BI840" s="74"/>
      <c r="BJ840" s="74"/>
      <c r="BK840" s="7">
        <f t="shared" si="538"/>
        <v>0</v>
      </c>
      <c r="BL840" s="8">
        <f t="shared" si="446"/>
        <v>0</v>
      </c>
      <c r="BM840" s="51" t="str">
        <f>IFERROR(VLOOKUP(A840,NF!$M:$O,3,0),"")</f>
        <v>Mercado</v>
      </c>
      <c r="BN840" s="7">
        <f t="shared" si="447"/>
        <v>0</v>
      </c>
      <c r="BO840" s="8">
        <f t="array" ref="BO840">IFERROR(LARGE(IF(NF!$G$2:$G$3137='Mês atual'!A840,NF!$J$2:$J$3137),1),0)*BN840</f>
        <v>0</v>
      </c>
      <c r="BP840" s="50"/>
      <c r="BR840" s="146">
        <f t="array" ref="BR840">IFERROR(LARGE(IF(NF!$G$2:$G$3137='Mês atual'!A840,NF!$J$2:$J$3137),1),0)</f>
        <v>0</v>
      </c>
      <c r="BS840" s="142" t="str">
        <f>VLOOKUP(A840,NF!M:O,3,0)</f>
        <v>Mercado</v>
      </c>
      <c r="BV840" s="74">
        <f t="shared" si="529"/>
        <v>0</v>
      </c>
      <c r="BW840" s="74">
        <f t="shared" si="530"/>
        <v>0</v>
      </c>
      <c r="BX840" s="74">
        <f t="shared" si="531"/>
        <v>0</v>
      </c>
      <c r="BY840" s="74">
        <f t="shared" si="532"/>
        <v>0</v>
      </c>
      <c r="BZ840" s="74">
        <f t="shared" si="533"/>
        <v>0</v>
      </c>
    </row>
    <row r="841" spans="1:78" x14ac:dyDescent="0.2">
      <c r="A841" s="108" t="s">
        <v>1026</v>
      </c>
      <c r="B841" s="12"/>
      <c r="C841" s="9">
        <v>0</v>
      </c>
      <c r="D841" s="25"/>
      <c r="E841" s="10" t="str">
        <f t="shared" si="503"/>
        <v>MarçoSEMANA 1Proteina de Soja Escura</v>
      </c>
      <c r="F841" s="7">
        <f>SUMIF(NF!$A:$A,$E841,NF!$I:$I)</f>
        <v>0</v>
      </c>
      <c r="G841" s="74"/>
      <c r="H841" s="74"/>
      <c r="I841" s="74"/>
      <c r="J841" s="6"/>
      <c r="K841" s="6"/>
      <c r="L841" s="6"/>
      <c r="M841" s="6"/>
      <c r="N841" s="7">
        <f>SUM(G841:M841)</f>
        <v>0</v>
      </c>
      <c r="O841" s="11">
        <f>F841+C841-N841</f>
        <v>0</v>
      </c>
      <c r="P841" s="25"/>
      <c r="Q841" s="10" t="str">
        <f t="shared" si="504"/>
        <v>MarçoSEMANA 2Proteina de Soja Escura</v>
      </c>
      <c r="R841" s="7">
        <f>SUMIF(NF!$A:$A,$Q841,NF!$I:$I)</f>
        <v>0</v>
      </c>
      <c r="S841" s="6"/>
      <c r="T841" s="6"/>
      <c r="U841" s="6"/>
      <c r="V841" s="6"/>
      <c r="W841" s="6"/>
      <c r="X841" s="6"/>
      <c r="Y841" s="6"/>
      <c r="Z841" s="7">
        <f>SUM(S841:Y841)</f>
        <v>0</v>
      </c>
      <c r="AA841" s="11">
        <f>R841+O841-Z841</f>
        <v>0</v>
      </c>
      <c r="AB841" s="25"/>
      <c r="AC841" s="10" t="str">
        <f t="shared" si="505"/>
        <v>MarçoSEMANA 3Proteina de Soja Escura</v>
      </c>
      <c r="AD841" s="7">
        <f>SUMIF(NF!$A:$A,$AC841,NF!$I:$I)</f>
        <v>0</v>
      </c>
      <c r="AE841" s="6"/>
      <c r="AF841" s="6"/>
      <c r="AG841" s="6"/>
      <c r="AH841" s="6"/>
      <c r="AI841" s="6"/>
      <c r="AJ841" s="6"/>
      <c r="AK841" s="6"/>
      <c r="AL841" s="7">
        <f>SUM(AE841:AK841)</f>
        <v>0</v>
      </c>
      <c r="AM841" s="11">
        <f>AD841+AA841-AL841</f>
        <v>0</v>
      </c>
      <c r="AN841" s="25"/>
      <c r="AO841" s="10" t="str">
        <f t="shared" si="506"/>
        <v>MarçoSEMANA 4Proteina de Soja Escura</v>
      </c>
      <c r="AP841" s="7">
        <f>SUMIF(NF!$A:$A,$AO841,NF!$I:$I)</f>
        <v>0</v>
      </c>
      <c r="AQ841" s="6"/>
      <c r="AR841" s="6"/>
      <c r="AS841" s="6"/>
      <c r="AT841" s="6"/>
      <c r="AU841" s="6"/>
      <c r="AV841" s="6"/>
      <c r="AW841" s="6"/>
      <c r="AX841" s="7">
        <f>SUM(AQ841:AW841)</f>
        <v>0</v>
      </c>
      <c r="AY841" s="11">
        <f>AP841+AM841-AX841</f>
        <v>0</v>
      </c>
      <c r="AZ841" s="25"/>
      <c r="BA841" s="10" t="str">
        <f t="shared" si="507"/>
        <v>MarçoSEMANA 5Proteina de Soja Escura</v>
      </c>
      <c r="BB841" s="7">
        <f>SUMIF(NF!$A:$A,$BA841,NF!$I:$I)</f>
        <v>0</v>
      </c>
      <c r="BC841" s="6"/>
      <c r="BD841" s="6"/>
      <c r="BE841" s="6"/>
      <c r="BF841" s="6"/>
      <c r="BG841" s="6"/>
      <c r="BH841" s="6"/>
      <c r="BI841" s="74"/>
      <c r="BJ841" s="74"/>
      <c r="BK841" s="7">
        <f>SUM(BC841:BJ841)</f>
        <v>0</v>
      </c>
      <c r="BL841" s="8">
        <f>BB841+AY841-BK841</f>
        <v>0</v>
      </c>
      <c r="BM841" s="51" t="str">
        <f>IFERROR(VLOOKUP(A841,NF!$M:$O,3,0),"")</f>
        <v>Mercado</v>
      </c>
      <c r="BN841" s="7">
        <f>SUM(N841,Z841,AL841,AX841,BK841)</f>
        <v>0</v>
      </c>
      <c r="BO841" s="8">
        <f t="array" ref="BO841">IFERROR(LARGE(IF(NF!$G$2:$G$3137='Mês atual'!A841,NF!$J$2:$J$3137),1),0)*BN841</f>
        <v>0</v>
      </c>
      <c r="BP841" s="50"/>
      <c r="BR841" s="146">
        <f t="array" ref="BR841">IFERROR(LARGE(IF(NF!$G$2:$G$3137='Mês atual'!A841,NF!$J$2:$J$3137),1),0)</f>
        <v>0</v>
      </c>
      <c r="BS841" s="142" t="str">
        <f>VLOOKUP(A841,NF!M:O,3,0)</f>
        <v>Mercado</v>
      </c>
      <c r="BV841" s="74">
        <f t="shared" si="529"/>
        <v>0</v>
      </c>
      <c r="BW841" s="74">
        <f t="shared" si="530"/>
        <v>0</v>
      </c>
      <c r="BX841" s="74">
        <f t="shared" si="531"/>
        <v>0</v>
      </c>
      <c r="BY841" s="74">
        <f t="shared" si="532"/>
        <v>0</v>
      </c>
      <c r="BZ841" s="74">
        <f t="shared" si="533"/>
        <v>0</v>
      </c>
    </row>
    <row r="842" spans="1:78" x14ac:dyDescent="0.2">
      <c r="A842" s="108" t="s">
        <v>692</v>
      </c>
      <c r="B842" s="12"/>
      <c r="C842" s="9">
        <v>0</v>
      </c>
      <c r="D842" s="25"/>
      <c r="E842" s="10" t="str">
        <f t="shared" si="503"/>
        <v>MarçoSEMANA 1Quinoa</v>
      </c>
      <c r="F842" s="7">
        <f>SUMIF(NF!$A:$A,$E842,NF!$I:$I)</f>
        <v>2</v>
      </c>
      <c r="G842" s="74"/>
      <c r="H842" s="74"/>
      <c r="I842" s="74"/>
      <c r="J842" s="6"/>
      <c r="K842" s="6"/>
      <c r="L842" s="6"/>
      <c r="M842" s="6"/>
      <c r="N842" s="7">
        <f t="shared" ref="N842:N854" si="539">SUM(G842:M842)</f>
        <v>0</v>
      </c>
      <c r="O842" s="11">
        <f t="shared" si="434"/>
        <v>2</v>
      </c>
      <c r="P842" s="25"/>
      <c r="Q842" s="10" t="str">
        <f t="shared" si="504"/>
        <v>MarçoSEMANA 2Quinoa</v>
      </c>
      <c r="R842" s="7">
        <f>SUMIF(NF!$A:$A,$Q842,NF!$I:$I)</f>
        <v>1</v>
      </c>
      <c r="S842" s="6"/>
      <c r="T842" s="6"/>
      <c r="U842" s="6"/>
      <c r="V842" s="6"/>
      <c r="W842" s="6">
        <v>1</v>
      </c>
      <c r="X842" s="6"/>
      <c r="Y842" s="6">
        <v>1</v>
      </c>
      <c r="Z842" s="7">
        <f t="shared" ref="Z842:Z854" si="540">SUM(S842:Y842)</f>
        <v>2</v>
      </c>
      <c r="AA842" s="11">
        <f t="shared" si="437"/>
        <v>1</v>
      </c>
      <c r="AB842" s="25"/>
      <c r="AC842" s="10" t="str">
        <f t="shared" si="505"/>
        <v>MarçoSEMANA 3Quinoa</v>
      </c>
      <c r="AD842" s="7">
        <f>SUMIF(NF!$A:$A,$AC842,NF!$I:$I)</f>
        <v>1</v>
      </c>
      <c r="AE842" s="6"/>
      <c r="AF842" s="6"/>
      <c r="AG842" s="6"/>
      <c r="AH842" s="6"/>
      <c r="AI842" s="6"/>
      <c r="AJ842" s="6"/>
      <c r="AK842" s="6"/>
      <c r="AL842" s="7">
        <f t="shared" ref="AL842:AL854" si="541">SUM(AE842:AK842)</f>
        <v>0</v>
      </c>
      <c r="AM842" s="11">
        <f t="shared" si="440"/>
        <v>2</v>
      </c>
      <c r="AN842" s="25"/>
      <c r="AO842" s="10" t="str">
        <f t="shared" si="506"/>
        <v>MarçoSEMANA 4Quinoa</v>
      </c>
      <c r="AP842" s="7">
        <f>SUMIF(NF!$A:$A,$AO842,NF!$I:$I)</f>
        <v>0</v>
      </c>
      <c r="AQ842" s="6"/>
      <c r="AR842" s="6"/>
      <c r="AS842" s="6"/>
      <c r="AT842" s="6"/>
      <c r="AU842" s="6"/>
      <c r="AV842" s="6"/>
      <c r="AW842" s="6"/>
      <c r="AX842" s="7">
        <f t="shared" ref="AX842:AX854" si="542">SUM(AQ842:AW842)</f>
        <v>0</v>
      </c>
      <c r="AY842" s="11">
        <f t="shared" si="443"/>
        <v>2</v>
      </c>
      <c r="AZ842" s="25"/>
      <c r="BA842" s="10" t="str">
        <f t="shared" si="507"/>
        <v>MarçoSEMANA 5Quinoa</v>
      </c>
      <c r="BB842" s="7">
        <f>SUMIF(NF!$A:$A,$BA842,NF!$I:$I)</f>
        <v>2</v>
      </c>
      <c r="BC842" s="6"/>
      <c r="BD842" s="6">
        <v>2</v>
      </c>
      <c r="BE842" s="6"/>
      <c r="BF842" s="6"/>
      <c r="BG842" s="6"/>
      <c r="BH842" s="6"/>
      <c r="BI842" s="74"/>
      <c r="BJ842" s="74"/>
      <c r="BK842" s="7">
        <f t="shared" ref="BK842:BK854" si="543">SUM(BC842:BJ842)</f>
        <v>2</v>
      </c>
      <c r="BL842" s="8">
        <f t="shared" si="446"/>
        <v>2</v>
      </c>
      <c r="BM842" s="51" t="str">
        <f>IFERROR(VLOOKUP(A842,NF!$M:$O,3,0),"")</f>
        <v>Mercado</v>
      </c>
      <c r="BN842" s="7">
        <f t="shared" si="447"/>
        <v>4</v>
      </c>
      <c r="BO842" s="8">
        <f t="array" ref="BO842">IFERROR(LARGE(IF(NF!$G$2:$G$3137='Mês atual'!A842,NF!$J$2:$J$3137),1),0)*BN842</f>
        <v>107.6</v>
      </c>
      <c r="BP842" s="50"/>
      <c r="BR842" s="146">
        <f t="array" ref="BR842">IFERROR(LARGE(IF(NF!$G$2:$G$3137='Mês atual'!A842,NF!$J$2:$J$3137),1),0)</f>
        <v>26.9</v>
      </c>
      <c r="BS842" s="142" t="str">
        <f>VLOOKUP(A842,NF!M:O,3,0)</f>
        <v>Mercado</v>
      </c>
      <c r="BV842" s="74">
        <f t="shared" si="529"/>
        <v>0</v>
      </c>
      <c r="BW842" s="74">
        <f t="shared" si="530"/>
        <v>2</v>
      </c>
      <c r="BX842" s="74">
        <f t="shared" si="531"/>
        <v>0</v>
      </c>
      <c r="BY842" s="74">
        <f t="shared" si="532"/>
        <v>0</v>
      </c>
      <c r="BZ842" s="74">
        <f t="shared" si="533"/>
        <v>2</v>
      </c>
    </row>
    <row r="843" spans="1:78" x14ac:dyDescent="0.2">
      <c r="A843" s="108" t="s">
        <v>697</v>
      </c>
      <c r="B843" s="12"/>
      <c r="C843" s="9">
        <v>0</v>
      </c>
      <c r="D843" s="25"/>
      <c r="E843" s="10" t="str">
        <f t="shared" si="503"/>
        <v>MarçoSEMANA 1Raviole de Gorogonzola</v>
      </c>
      <c r="F843" s="7">
        <f>SUMIF(NF!$A:$A,$E843,NF!$I:$I)</f>
        <v>0</v>
      </c>
      <c r="G843" s="74"/>
      <c r="H843" s="74"/>
      <c r="I843" s="74"/>
      <c r="J843" s="6"/>
      <c r="K843" s="6"/>
      <c r="L843" s="6"/>
      <c r="M843" s="6"/>
      <c r="N843" s="7">
        <f t="shared" si="539"/>
        <v>0</v>
      </c>
      <c r="O843" s="11">
        <f t="shared" si="434"/>
        <v>0</v>
      </c>
      <c r="P843" s="25"/>
      <c r="Q843" s="10" t="str">
        <f t="shared" si="504"/>
        <v>MarçoSEMANA 2Raviole de Gorogonzola</v>
      </c>
      <c r="R843" s="7">
        <f>SUMIF(NF!$A:$A,$Q843,NF!$I:$I)</f>
        <v>0</v>
      </c>
      <c r="S843" s="6"/>
      <c r="T843" s="6"/>
      <c r="U843" s="6"/>
      <c r="V843" s="6"/>
      <c r="W843" s="6"/>
      <c r="X843" s="6"/>
      <c r="Y843" s="6"/>
      <c r="Z843" s="7">
        <f t="shared" si="540"/>
        <v>0</v>
      </c>
      <c r="AA843" s="11">
        <f t="shared" si="437"/>
        <v>0</v>
      </c>
      <c r="AB843" s="25"/>
      <c r="AC843" s="10" t="str">
        <f t="shared" si="505"/>
        <v>MarçoSEMANA 3Raviole de Gorogonzola</v>
      </c>
      <c r="AD843" s="7">
        <f>SUMIF(NF!$A:$A,$AC843,NF!$I:$I)</f>
        <v>0</v>
      </c>
      <c r="AE843" s="6"/>
      <c r="AF843" s="6"/>
      <c r="AG843" s="6"/>
      <c r="AH843" s="6"/>
      <c r="AI843" s="6"/>
      <c r="AJ843" s="6"/>
      <c r="AK843" s="6"/>
      <c r="AL843" s="7">
        <f t="shared" si="541"/>
        <v>0</v>
      </c>
      <c r="AM843" s="11">
        <f t="shared" si="440"/>
        <v>0</v>
      </c>
      <c r="AN843" s="25"/>
      <c r="AO843" s="10" t="str">
        <f t="shared" si="506"/>
        <v>MarçoSEMANA 4Raviole de Gorogonzola</v>
      </c>
      <c r="AP843" s="7">
        <f>SUMIF(NF!$A:$A,$AO843,NF!$I:$I)</f>
        <v>0</v>
      </c>
      <c r="AQ843" s="6"/>
      <c r="AR843" s="6"/>
      <c r="AS843" s="6"/>
      <c r="AT843" s="6"/>
      <c r="AU843" s="6"/>
      <c r="AV843" s="6"/>
      <c r="AW843" s="6"/>
      <c r="AX843" s="7">
        <f t="shared" si="542"/>
        <v>0</v>
      </c>
      <c r="AY843" s="11">
        <f t="shared" si="443"/>
        <v>0</v>
      </c>
      <c r="AZ843" s="25"/>
      <c r="BA843" s="10" t="str">
        <f t="shared" si="507"/>
        <v>MarçoSEMANA 5Raviole de Gorogonzola</v>
      </c>
      <c r="BB843" s="7">
        <f>SUMIF(NF!$A:$A,$BA843,NF!$I:$I)</f>
        <v>0</v>
      </c>
      <c r="BC843" s="6"/>
      <c r="BD843" s="6"/>
      <c r="BE843" s="6"/>
      <c r="BF843" s="6"/>
      <c r="BG843" s="6"/>
      <c r="BH843" s="6"/>
      <c r="BI843" s="74"/>
      <c r="BJ843" s="74"/>
      <c r="BK843" s="7">
        <f t="shared" si="543"/>
        <v>0</v>
      </c>
      <c r="BL843" s="8">
        <f t="shared" si="446"/>
        <v>0</v>
      </c>
      <c r="BM843" s="51" t="str">
        <f>IFERROR(VLOOKUP(A843,NF!$M:$O,3,0),"")</f>
        <v>Mercado</v>
      </c>
      <c r="BN843" s="7">
        <f t="shared" si="447"/>
        <v>0</v>
      </c>
      <c r="BO843" s="8">
        <f t="array" ref="BO843">IFERROR(LARGE(IF(NF!$G$2:$G$3137='Mês atual'!A843,NF!$J$2:$J$3137),1),0)*BN843</f>
        <v>0</v>
      </c>
      <c r="BP843" s="50"/>
      <c r="BR843" s="146">
        <f t="array" ref="BR843">IFERROR(LARGE(IF(NF!$G$2:$G$3137='Mês atual'!A843,NF!$J$2:$J$3137),1),0)</f>
        <v>0</v>
      </c>
      <c r="BS843" s="142" t="str">
        <f>VLOOKUP(A843,NF!M:O,3,0)</f>
        <v>Mercado</v>
      </c>
      <c r="BV843" s="74">
        <f t="shared" si="529"/>
        <v>0</v>
      </c>
      <c r="BW843" s="74">
        <f t="shared" si="530"/>
        <v>0</v>
      </c>
      <c r="BX843" s="74">
        <f t="shared" si="531"/>
        <v>0</v>
      </c>
      <c r="BY843" s="74">
        <f t="shared" si="532"/>
        <v>0</v>
      </c>
      <c r="BZ843" s="74">
        <f t="shared" si="533"/>
        <v>0</v>
      </c>
    </row>
    <row r="844" spans="1:78" x14ac:dyDescent="0.2">
      <c r="A844" s="108" t="s">
        <v>698</v>
      </c>
      <c r="B844" s="12"/>
      <c r="C844" s="9">
        <v>0</v>
      </c>
      <c r="D844" s="25"/>
      <c r="E844" s="10" t="str">
        <f t="shared" si="503"/>
        <v>MarçoSEMANA 1Raviole de Mussarela</v>
      </c>
      <c r="F844" s="7">
        <f>SUMIF(NF!$A:$A,$E844,NF!$I:$I)</f>
        <v>0</v>
      </c>
      <c r="G844" s="74"/>
      <c r="H844" s="74"/>
      <c r="I844" s="74"/>
      <c r="J844" s="6"/>
      <c r="K844" s="6"/>
      <c r="L844" s="6"/>
      <c r="M844" s="6"/>
      <c r="N844" s="7">
        <f t="shared" si="539"/>
        <v>0</v>
      </c>
      <c r="O844" s="11">
        <f t="shared" si="434"/>
        <v>0</v>
      </c>
      <c r="P844" s="25"/>
      <c r="Q844" s="10" t="str">
        <f t="shared" si="504"/>
        <v>MarçoSEMANA 2Raviole de Mussarela</v>
      </c>
      <c r="R844" s="7">
        <f>SUMIF(NF!$A:$A,$Q844,NF!$I:$I)</f>
        <v>0</v>
      </c>
      <c r="S844" s="6"/>
      <c r="T844" s="6"/>
      <c r="U844" s="6"/>
      <c r="V844" s="6"/>
      <c r="W844" s="6"/>
      <c r="X844" s="6"/>
      <c r="Y844" s="6"/>
      <c r="Z844" s="7">
        <f t="shared" si="540"/>
        <v>0</v>
      </c>
      <c r="AA844" s="11">
        <f t="shared" si="437"/>
        <v>0</v>
      </c>
      <c r="AB844" s="25"/>
      <c r="AC844" s="10" t="str">
        <f t="shared" si="505"/>
        <v>MarçoSEMANA 3Raviole de Mussarela</v>
      </c>
      <c r="AD844" s="7">
        <f>SUMIF(NF!$A:$A,$AC844,NF!$I:$I)</f>
        <v>0</v>
      </c>
      <c r="AE844" s="6"/>
      <c r="AF844" s="6"/>
      <c r="AG844" s="6"/>
      <c r="AH844" s="6"/>
      <c r="AI844" s="6"/>
      <c r="AJ844" s="6"/>
      <c r="AK844" s="6"/>
      <c r="AL844" s="7">
        <f t="shared" si="541"/>
        <v>0</v>
      </c>
      <c r="AM844" s="11">
        <f t="shared" si="440"/>
        <v>0</v>
      </c>
      <c r="AN844" s="25"/>
      <c r="AO844" s="10" t="str">
        <f t="shared" si="506"/>
        <v>MarçoSEMANA 4Raviole de Mussarela</v>
      </c>
      <c r="AP844" s="7">
        <f>SUMIF(NF!$A:$A,$AO844,NF!$I:$I)</f>
        <v>0</v>
      </c>
      <c r="AQ844" s="6"/>
      <c r="AR844" s="6"/>
      <c r="AS844" s="6"/>
      <c r="AT844" s="6"/>
      <c r="AU844" s="6"/>
      <c r="AV844" s="6"/>
      <c r="AW844" s="6"/>
      <c r="AX844" s="7">
        <f t="shared" si="542"/>
        <v>0</v>
      </c>
      <c r="AY844" s="11">
        <f t="shared" si="443"/>
        <v>0</v>
      </c>
      <c r="AZ844" s="25"/>
      <c r="BA844" s="10" t="str">
        <f t="shared" si="507"/>
        <v>MarçoSEMANA 5Raviole de Mussarela</v>
      </c>
      <c r="BB844" s="7">
        <f>SUMIF(NF!$A:$A,$BA844,NF!$I:$I)</f>
        <v>0</v>
      </c>
      <c r="BC844" s="6"/>
      <c r="BD844" s="6"/>
      <c r="BE844" s="6"/>
      <c r="BF844" s="6"/>
      <c r="BG844" s="6"/>
      <c r="BH844" s="6"/>
      <c r="BI844" s="74"/>
      <c r="BJ844" s="74"/>
      <c r="BK844" s="7">
        <f t="shared" si="543"/>
        <v>0</v>
      </c>
      <c r="BL844" s="8">
        <f t="shared" si="446"/>
        <v>0</v>
      </c>
      <c r="BM844" s="51" t="str">
        <f>IFERROR(VLOOKUP(A844,NF!$M:$O,3,0),"")</f>
        <v>Mercado</v>
      </c>
      <c r="BN844" s="7">
        <f t="shared" si="447"/>
        <v>0</v>
      </c>
      <c r="BO844" s="8">
        <f t="array" ref="BO844">IFERROR(LARGE(IF(NF!$G$2:$G$3137='Mês atual'!A844,NF!$J$2:$J$3137),1),0)*BN844</f>
        <v>0</v>
      </c>
      <c r="BP844" s="50"/>
      <c r="BR844" s="146">
        <f t="array" ref="BR844">IFERROR(LARGE(IF(NF!$G$2:$G$3137='Mês atual'!A844,NF!$J$2:$J$3137),1),0)</f>
        <v>0</v>
      </c>
      <c r="BS844" s="142" t="str">
        <f>VLOOKUP(A844,NF!M:O,3,0)</f>
        <v>Mercado</v>
      </c>
      <c r="BV844" s="74">
        <f t="shared" si="529"/>
        <v>0</v>
      </c>
      <c r="BW844" s="74">
        <f t="shared" si="530"/>
        <v>0</v>
      </c>
      <c r="BX844" s="74">
        <f t="shared" si="531"/>
        <v>0</v>
      </c>
      <c r="BY844" s="74">
        <f t="shared" si="532"/>
        <v>0</v>
      </c>
      <c r="BZ844" s="74">
        <f t="shared" si="533"/>
        <v>0</v>
      </c>
    </row>
    <row r="845" spans="1:78" x14ac:dyDescent="0.2">
      <c r="A845" s="108" t="s">
        <v>699</v>
      </c>
      <c r="B845" s="12"/>
      <c r="C845" s="9">
        <v>0</v>
      </c>
      <c r="D845" s="25"/>
      <c r="E845" s="10" t="str">
        <f t="shared" si="503"/>
        <v>MarçoSEMANA 1Raviole Variados</v>
      </c>
      <c r="F845" s="7">
        <f>SUMIF(NF!$A:$A,$E845,NF!$I:$I)</f>
        <v>0</v>
      </c>
      <c r="G845" s="74"/>
      <c r="H845" s="74"/>
      <c r="I845" s="74"/>
      <c r="J845" s="6"/>
      <c r="K845" s="6"/>
      <c r="L845" s="6"/>
      <c r="M845" s="6"/>
      <c r="N845" s="7">
        <f t="shared" si="539"/>
        <v>0</v>
      </c>
      <c r="O845" s="11">
        <f t="shared" si="434"/>
        <v>0</v>
      </c>
      <c r="P845" s="25"/>
      <c r="Q845" s="10" t="str">
        <f t="shared" si="504"/>
        <v>MarçoSEMANA 2Raviole Variados</v>
      </c>
      <c r="R845" s="7">
        <f>SUMIF(NF!$A:$A,$Q845,NF!$I:$I)</f>
        <v>0</v>
      </c>
      <c r="S845" s="6"/>
      <c r="T845" s="6"/>
      <c r="U845" s="6"/>
      <c r="V845" s="6"/>
      <c r="W845" s="6"/>
      <c r="X845" s="6"/>
      <c r="Y845" s="6"/>
      <c r="Z845" s="7">
        <f t="shared" si="540"/>
        <v>0</v>
      </c>
      <c r="AA845" s="11">
        <f t="shared" si="437"/>
        <v>0</v>
      </c>
      <c r="AB845" s="25"/>
      <c r="AC845" s="10" t="str">
        <f t="shared" si="505"/>
        <v>MarçoSEMANA 3Raviole Variados</v>
      </c>
      <c r="AD845" s="7">
        <f>SUMIF(NF!$A:$A,$AC845,NF!$I:$I)</f>
        <v>0</v>
      </c>
      <c r="AE845" s="6"/>
      <c r="AF845" s="6"/>
      <c r="AG845" s="6"/>
      <c r="AH845" s="6"/>
      <c r="AI845" s="6"/>
      <c r="AJ845" s="6"/>
      <c r="AK845" s="6"/>
      <c r="AL845" s="7">
        <f t="shared" si="541"/>
        <v>0</v>
      </c>
      <c r="AM845" s="11">
        <f t="shared" si="440"/>
        <v>0</v>
      </c>
      <c r="AN845" s="25"/>
      <c r="AO845" s="10" t="str">
        <f t="shared" si="506"/>
        <v>MarçoSEMANA 4Raviole Variados</v>
      </c>
      <c r="AP845" s="7">
        <f>SUMIF(NF!$A:$A,$AO845,NF!$I:$I)</f>
        <v>0</v>
      </c>
      <c r="AQ845" s="6"/>
      <c r="AR845" s="6"/>
      <c r="AS845" s="6"/>
      <c r="AT845" s="6"/>
      <c r="AU845" s="6"/>
      <c r="AV845" s="6"/>
      <c r="AW845" s="6"/>
      <c r="AX845" s="7">
        <f t="shared" si="542"/>
        <v>0</v>
      </c>
      <c r="AY845" s="11">
        <f t="shared" si="443"/>
        <v>0</v>
      </c>
      <c r="AZ845" s="25"/>
      <c r="BA845" s="10" t="str">
        <f t="shared" si="507"/>
        <v>MarçoSEMANA 5Raviole Variados</v>
      </c>
      <c r="BB845" s="7">
        <f>SUMIF(NF!$A:$A,$BA845,NF!$I:$I)</f>
        <v>0</v>
      </c>
      <c r="BC845" s="6"/>
      <c r="BD845" s="6"/>
      <c r="BE845" s="6"/>
      <c r="BF845" s="6"/>
      <c r="BG845" s="6"/>
      <c r="BH845" s="6"/>
      <c r="BI845" s="74"/>
      <c r="BJ845" s="74"/>
      <c r="BK845" s="7">
        <f t="shared" si="543"/>
        <v>0</v>
      </c>
      <c r="BL845" s="8">
        <f t="shared" si="446"/>
        <v>0</v>
      </c>
      <c r="BM845" s="51" t="str">
        <f>IFERROR(VLOOKUP(A845,NF!$M:$O,3,0),"")</f>
        <v>Mercado</v>
      </c>
      <c r="BN845" s="7">
        <f t="shared" si="447"/>
        <v>0</v>
      </c>
      <c r="BO845" s="8">
        <f t="array" ref="BO845">IFERROR(LARGE(IF(NF!$G$2:$G$3137='Mês atual'!A845,NF!$J$2:$J$3137),1),0)*BN845</f>
        <v>0</v>
      </c>
      <c r="BP845" s="50"/>
      <c r="BR845" s="146">
        <f t="array" ref="BR845">IFERROR(LARGE(IF(NF!$G$2:$G$3137='Mês atual'!A845,NF!$J$2:$J$3137),1),0)</f>
        <v>0</v>
      </c>
      <c r="BS845" s="142" t="str">
        <f>VLOOKUP(A845,NF!M:O,3,0)</f>
        <v>Mercado</v>
      </c>
      <c r="BV845" s="74">
        <f t="shared" si="529"/>
        <v>0</v>
      </c>
      <c r="BW845" s="74">
        <f t="shared" si="530"/>
        <v>0</v>
      </c>
      <c r="BX845" s="74">
        <f t="shared" si="531"/>
        <v>0</v>
      </c>
      <c r="BY845" s="74">
        <f t="shared" si="532"/>
        <v>0</v>
      </c>
      <c r="BZ845" s="74">
        <f t="shared" si="533"/>
        <v>0</v>
      </c>
    </row>
    <row r="846" spans="1:78" x14ac:dyDescent="0.2">
      <c r="A846" s="108" t="s">
        <v>703</v>
      </c>
      <c r="B846" s="12"/>
      <c r="C846" s="9">
        <v>0</v>
      </c>
      <c r="D846" s="25"/>
      <c r="E846" s="10" t="str">
        <f t="shared" si="503"/>
        <v>MarçoSEMANA 1Rolo de Massa Folhada 2,8 Kg</v>
      </c>
      <c r="F846" s="7">
        <f>SUMIF(NF!$A:$A,$E846,NF!$I:$I)</f>
        <v>0</v>
      </c>
      <c r="G846" s="74"/>
      <c r="H846" s="74"/>
      <c r="I846" s="74"/>
      <c r="J846" s="6"/>
      <c r="K846" s="6"/>
      <c r="L846" s="6"/>
      <c r="M846" s="6"/>
      <c r="N846" s="7">
        <f t="shared" si="539"/>
        <v>0</v>
      </c>
      <c r="O846" s="11">
        <f t="shared" si="434"/>
        <v>0</v>
      </c>
      <c r="P846" s="25"/>
      <c r="Q846" s="10" t="str">
        <f t="shared" si="504"/>
        <v>MarçoSEMANA 2Rolo de Massa Folhada 2,8 Kg</v>
      </c>
      <c r="R846" s="7">
        <f>SUMIF(NF!$A:$A,$Q846,NF!$I:$I)</f>
        <v>0</v>
      </c>
      <c r="S846" s="6"/>
      <c r="T846" s="6"/>
      <c r="U846" s="6"/>
      <c r="V846" s="6"/>
      <c r="W846" s="6"/>
      <c r="X846" s="6"/>
      <c r="Y846" s="6"/>
      <c r="Z846" s="7">
        <f t="shared" si="540"/>
        <v>0</v>
      </c>
      <c r="AA846" s="11">
        <f t="shared" si="437"/>
        <v>0</v>
      </c>
      <c r="AB846" s="25"/>
      <c r="AC846" s="10" t="str">
        <f t="shared" si="505"/>
        <v>MarçoSEMANA 3Rolo de Massa Folhada 2,8 Kg</v>
      </c>
      <c r="AD846" s="7">
        <f>SUMIF(NF!$A:$A,$AC846,NF!$I:$I)</f>
        <v>0</v>
      </c>
      <c r="AE846" s="6"/>
      <c r="AF846" s="6"/>
      <c r="AG846" s="6"/>
      <c r="AH846" s="6"/>
      <c r="AI846" s="6"/>
      <c r="AJ846" s="6"/>
      <c r="AK846" s="6"/>
      <c r="AL846" s="7">
        <f t="shared" si="541"/>
        <v>0</v>
      </c>
      <c r="AM846" s="11">
        <f t="shared" si="440"/>
        <v>0</v>
      </c>
      <c r="AN846" s="25"/>
      <c r="AO846" s="10" t="str">
        <f t="shared" si="506"/>
        <v>MarçoSEMANA 4Rolo de Massa Folhada 2,8 Kg</v>
      </c>
      <c r="AP846" s="7">
        <f>SUMIF(NF!$A:$A,$AO846,NF!$I:$I)</f>
        <v>0</v>
      </c>
      <c r="AQ846" s="6"/>
      <c r="AR846" s="6"/>
      <c r="AS846" s="6"/>
      <c r="AT846" s="6"/>
      <c r="AU846" s="6"/>
      <c r="AV846" s="6"/>
      <c r="AW846" s="6"/>
      <c r="AX846" s="7">
        <f t="shared" si="542"/>
        <v>0</v>
      </c>
      <c r="AY846" s="11">
        <f t="shared" si="443"/>
        <v>0</v>
      </c>
      <c r="AZ846" s="25"/>
      <c r="BA846" s="10" t="str">
        <f t="shared" si="507"/>
        <v>MarçoSEMANA 5Rolo de Massa Folhada 2,8 Kg</v>
      </c>
      <c r="BB846" s="7">
        <f>SUMIF(NF!$A:$A,$BA846,NF!$I:$I)</f>
        <v>0</v>
      </c>
      <c r="BC846" s="6"/>
      <c r="BD846" s="6"/>
      <c r="BE846" s="6"/>
      <c r="BF846" s="6"/>
      <c r="BG846" s="6"/>
      <c r="BH846" s="6"/>
      <c r="BI846" s="74"/>
      <c r="BJ846" s="74"/>
      <c r="BK846" s="7">
        <f t="shared" si="543"/>
        <v>0</v>
      </c>
      <c r="BL846" s="8">
        <f t="shared" si="446"/>
        <v>0</v>
      </c>
      <c r="BM846" s="51" t="str">
        <f>IFERROR(VLOOKUP(A846,NF!$M:$O,3,0),"")</f>
        <v>Mercado</v>
      </c>
      <c r="BN846" s="7">
        <f t="shared" si="447"/>
        <v>0</v>
      </c>
      <c r="BO846" s="8">
        <f t="array" ref="BO846">IFERROR(LARGE(IF(NF!$G$2:$G$3137='Mês atual'!A846,NF!$J$2:$J$3137),1),0)*BN846</f>
        <v>0</v>
      </c>
      <c r="BP846" s="50"/>
      <c r="BR846" s="146">
        <f t="array" ref="BR846">IFERROR(LARGE(IF(NF!$G$2:$G$3137='Mês atual'!A846,NF!$J$2:$J$3137),1),0)</f>
        <v>0</v>
      </c>
      <c r="BS846" s="142" t="str">
        <f>VLOOKUP(A846,NF!M:O,3,0)</f>
        <v>Mercado</v>
      </c>
      <c r="BV846" s="74">
        <f t="shared" si="529"/>
        <v>0</v>
      </c>
      <c r="BW846" s="74">
        <f t="shared" si="530"/>
        <v>0</v>
      </c>
      <c r="BX846" s="74">
        <f t="shared" si="531"/>
        <v>0</v>
      </c>
      <c r="BY846" s="74">
        <f t="shared" si="532"/>
        <v>0</v>
      </c>
      <c r="BZ846" s="74">
        <f t="shared" si="533"/>
        <v>0</v>
      </c>
    </row>
    <row r="847" spans="1:78" x14ac:dyDescent="0.2">
      <c r="A847" s="108" t="s">
        <v>704</v>
      </c>
      <c r="B847" s="12"/>
      <c r="C847" s="9">
        <v>0</v>
      </c>
      <c r="D847" s="25"/>
      <c r="E847" s="10" t="str">
        <f t="shared" si="503"/>
        <v>MarçoSEMANA 1Rondelli</v>
      </c>
      <c r="F847" s="7">
        <f>SUMIF(NF!$A:$A,$E847,NF!$I:$I)</f>
        <v>0</v>
      </c>
      <c r="G847" s="74"/>
      <c r="H847" s="74"/>
      <c r="I847" s="74"/>
      <c r="J847" s="6"/>
      <c r="K847" s="6"/>
      <c r="L847" s="6"/>
      <c r="M847" s="6"/>
      <c r="N847" s="7">
        <f t="shared" si="539"/>
        <v>0</v>
      </c>
      <c r="O847" s="11">
        <f t="shared" si="434"/>
        <v>0</v>
      </c>
      <c r="P847" s="25"/>
      <c r="Q847" s="10" t="str">
        <f t="shared" si="504"/>
        <v>MarçoSEMANA 2Rondelli</v>
      </c>
      <c r="R847" s="7">
        <f>SUMIF(NF!$A:$A,$Q847,NF!$I:$I)</f>
        <v>0</v>
      </c>
      <c r="S847" s="6"/>
      <c r="T847" s="6"/>
      <c r="U847" s="6"/>
      <c r="V847" s="6"/>
      <c r="W847" s="6"/>
      <c r="X847" s="6"/>
      <c r="Y847" s="6"/>
      <c r="Z847" s="7">
        <f t="shared" si="540"/>
        <v>0</v>
      </c>
      <c r="AA847" s="11">
        <f t="shared" si="437"/>
        <v>0</v>
      </c>
      <c r="AB847" s="25"/>
      <c r="AC847" s="10" t="str">
        <f t="shared" si="505"/>
        <v>MarçoSEMANA 3Rondelli</v>
      </c>
      <c r="AD847" s="7">
        <f>SUMIF(NF!$A:$A,$AC847,NF!$I:$I)</f>
        <v>0</v>
      </c>
      <c r="AE847" s="6"/>
      <c r="AF847" s="6"/>
      <c r="AG847" s="6"/>
      <c r="AH847" s="6"/>
      <c r="AI847" s="6"/>
      <c r="AJ847" s="6"/>
      <c r="AK847" s="6"/>
      <c r="AL847" s="7">
        <f t="shared" si="541"/>
        <v>0</v>
      </c>
      <c r="AM847" s="11">
        <f t="shared" si="440"/>
        <v>0</v>
      </c>
      <c r="AN847" s="25"/>
      <c r="AO847" s="10" t="str">
        <f t="shared" si="506"/>
        <v>MarçoSEMANA 4Rondelli</v>
      </c>
      <c r="AP847" s="7">
        <f>SUMIF(NF!$A:$A,$AO847,NF!$I:$I)</f>
        <v>0</v>
      </c>
      <c r="AQ847" s="6"/>
      <c r="AR847" s="6"/>
      <c r="AS847" s="6"/>
      <c r="AT847" s="6"/>
      <c r="AU847" s="6"/>
      <c r="AV847" s="6"/>
      <c r="AW847" s="6"/>
      <c r="AX847" s="7">
        <f t="shared" si="542"/>
        <v>0</v>
      </c>
      <c r="AY847" s="11">
        <f t="shared" si="443"/>
        <v>0</v>
      </c>
      <c r="AZ847" s="25"/>
      <c r="BA847" s="10" t="str">
        <f t="shared" si="507"/>
        <v>MarçoSEMANA 5Rondelli</v>
      </c>
      <c r="BB847" s="7">
        <f>SUMIF(NF!$A:$A,$BA847,NF!$I:$I)</f>
        <v>0</v>
      </c>
      <c r="BC847" s="6"/>
      <c r="BD847" s="6"/>
      <c r="BE847" s="6"/>
      <c r="BF847" s="6"/>
      <c r="BG847" s="6"/>
      <c r="BH847" s="6"/>
      <c r="BI847" s="74"/>
      <c r="BJ847" s="74"/>
      <c r="BK847" s="7">
        <f t="shared" si="543"/>
        <v>0</v>
      </c>
      <c r="BL847" s="8">
        <f t="shared" si="446"/>
        <v>0</v>
      </c>
      <c r="BM847" s="51" t="str">
        <f>IFERROR(VLOOKUP(A847,NF!$M:$O,3,0),"")</f>
        <v>Mercado</v>
      </c>
      <c r="BN847" s="7">
        <f t="shared" si="447"/>
        <v>0</v>
      </c>
      <c r="BO847" s="8">
        <f t="array" ref="BO847">IFERROR(LARGE(IF(NF!$G$2:$G$3137='Mês atual'!A847,NF!$J$2:$J$3137),1),0)*BN847</f>
        <v>0</v>
      </c>
      <c r="BP847" s="50"/>
      <c r="BR847" s="146">
        <f t="array" ref="BR847">IFERROR(LARGE(IF(NF!$G$2:$G$3137='Mês atual'!A847,NF!$J$2:$J$3137),1),0)</f>
        <v>0</v>
      </c>
      <c r="BS847" s="142" t="str">
        <f>VLOOKUP(A847,NF!M:O,3,0)</f>
        <v>Mercado</v>
      </c>
      <c r="BV847" s="74">
        <f t="shared" si="529"/>
        <v>0</v>
      </c>
      <c r="BW847" s="74">
        <f t="shared" si="530"/>
        <v>0</v>
      </c>
      <c r="BX847" s="74">
        <f t="shared" si="531"/>
        <v>0</v>
      </c>
      <c r="BY847" s="74">
        <f t="shared" si="532"/>
        <v>0</v>
      </c>
      <c r="BZ847" s="74">
        <f t="shared" si="533"/>
        <v>0</v>
      </c>
    </row>
    <row r="848" spans="1:78" x14ac:dyDescent="0.2">
      <c r="A848" s="108" t="s">
        <v>722</v>
      </c>
      <c r="B848" s="12"/>
      <c r="C848" s="9">
        <v>0</v>
      </c>
      <c r="D848" s="25"/>
      <c r="E848" s="10" t="str">
        <f t="shared" si="503"/>
        <v>MarçoSEMANA 1Sagu</v>
      </c>
      <c r="F848" s="7">
        <f>SUMIF(NF!$A:$A,$E848,NF!$I:$I)</f>
        <v>0</v>
      </c>
      <c r="G848" s="74"/>
      <c r="H848" s="74"/>
      <c r="I848" s="74"/>
      <c r="J848" s="6"/>
      <c r="K848" s="6"/>
      <c r="L848" s="6"/>
      <c r="M848" s="6"/>
      <c r="N848" s="7">
        <f t="shared" si="539"/>
        <v>0</v>
      </c>
      <c r="O848" s="11">
        <f t="shared" si="434"/>
        <v>0</v>
      </c>
      <c r="P848" s="25"/>
      <c r="Q848" s="10" t="str">
        <f t="shared" si="504"/>
        <v>MarçoSEMANA 2Sagu</v>
      </c>
      <c r="R848" s="7">
        <f>SUMIF(NF!$A:$A,$Q848,NF!$I:$I)</f>
        <v>0</v>
      </c>
      <c r="S848" s="6"/>
      <c r="T848" s="6"/>
      <c r="U848" s="6"/>
      <c r="V848" s="6"/>
      <c r="W848" s="6"/>
      <c r="X848" s="6"/>
      <c r="Y848" s="6"/>
      <c r="Z848" s="7">
        <f t="shared" si="540"/>
        <v>0</v>
      </c>
      <c r="AA848" s="11">
        <f t="shared" si="437"/>
        <v>0</v>
      </c>
      <c r="AB848" s="25"/>
      <c r="AC848" s="10" t="str">
        <f t="shared" si="505"/>
        <v>MarçoSEMANA 3Sagu</v>
      </c>
      <c r="AD848" s="7">
        <f>SUMIF(NF!$A:$A,$AC848,NF!$I:$I)</f>
        <v>0</v>
      </c>
      <c r="AE848" s="6"/>
      <c r="AF848" s="6"/>
      <c r="AG848" s="6"/>
      <c r="AH848" s="6"/>
      <c r="AI848" s="6"/>
      <c r="AJ848" s="6"/>
      <c r="AK848" s="6"/>
      <c r="AL848" s="7">
        <f t="shared" si="541"/>
        <v>0</v>
      </c>
      <c r="AM848" s="11">
        <f t="shared" si="440"/>
        <v>0</v>
      </c>
      <c r="AN848" s="25"/>
      <c r="AO848" s="10" t="str">
        <f t="shared" si="506"/>
        <v>MarçoSEMANA 4Sagu</v>
      </c>
      <c r="AP848" s="7">
        <f>SUMIF(NF!$A:$A,$AO848,NF!$I:$I)</f>
        <v>0</v>
      </c>
      <c r="AQ848" s="6"/>
      <c r="AR848" s="6"/>
      <c r="AS848" s="6"/>
      <c r="AT848" s="6"/>
      <c r="AU848" s="6"/>
      <c r="AV848" s="6"/>
      <c r="AW848" s="6"/>
      <c r="AX848" s="7">
        <f t="shared" si="542"/>
        <v>0</v>
      </c>
      <c r="AY848" s="11">
        <f t="shared" si="443"/>
        <v>0</v>
      </c>
      <c r="AZ848" s="25"/>
      <c r="BA848" s="10" t="str">
        <f t="shared" si="507"/>
        <v>MarçoSEMANA 5Sagu</v>
      </c>
      <c r="BB848" s="7">
        <f>SUMIF(NF!$A:$A,$BA848,NF!$I:$I)</f>
        <v>0</v>
      </c>
      <c r="BC848" s="6"/>
      <c r="BD848" s="6"/>
      <c r="BE848" s="6"/>
      <c r="BF848" s="6"/>
      <c r="BG848" s="6"/>
      <c r="BH848" s="6"/>
      <c r="BI848" s="74"/>
      <c r="BJ848" s="74"/>
      <c r="BK848" s="7">
        <f t="shared" si="543"/>
        <v>0</v>
      </c>
      <c r="BL848" s="8">
        <f t="shared" si="446"/>
        <v>0</v>
      </c>
      <c r="BM848" s="51" t="str">
        <f>IFERROR(VLOOKUP(A848,NF!$M:$O,3,0),"")</f>
        <v>Mercado</v>
      </c>
      <c r="BN848" s="7">
        <f t="shared" si="447"/>
        <v>0</v>
      </c>
      <c r="BO848" s="8">
        <f t="array" ref="BO848">IFERROR(LARGE(IF(NF!$G$2:$G$3137='Mês atual'!A848,NF!$J$2:$J$3137),1),0)*BN848</f>
        <v>0</v>
      </c>
      <c r="BP848" s="50"/>
      <c r="BR848" s="146">
        <f t="array" ref="BR848">IFERROR(LARGE(IF(NF!$G$2:$G$3137='Mês atual'!A848,NF!$J$2:$J$3137),1),0)</f>
        <v>0</v>
      </c>
      <c r="BS848" s="142" t="str">
        <f>VLOOKUP(A848,NF!M:O,3,0)</f>
        <v>Mercado</v>
      </c>
      <c r="BV848" s="74">
        <f t="shared" si="529"/>
        <v>0</v>
      </c>
      <c r="BW848" s="74">
        <f t="shared" si="530"/>
        <v>0</v>
      </c>
      <c r="BX848" s="74">
        <f t="shared" si="531"/>
        <v>0</v>
      </c>
      <c r="BY848" s="74">
        <f t="shared" si="532"/>
        <v>0</v>
      </c>
      <c r="BZ848" s="74">
        <f t="shared" si="533"/>
        <v>0</v>
      </c>
    </row>
    <row r="849" spans="1:78" x14ac:dyDescent="0.2">
      <c r="A849" s="108" t="s">
        <v>723</v>
      </c>
      <c r="B849" s="12"/>
      <c r="C849" s="9">
        <v>9</v>
      </c>
      <c r="D849" s="25"/>
      <c r="E849" s="10" t="str">
        <f t="shared" si="503"/>
        <v>MarçoSEMANA 1Sal Grosso</v>
      </c>
      <c r="F849" s="7">
        <f>SUMIF(NF!$A:$A,$E849,NF!$I:$I)</f>
        <v>0</v>
      </c>
      <c r="G849" s="74"/>
      <c r="H849" s="74"/>
      <c r="I849" s="74"/>
      <c r="J849" s="6"/>
      <c r="K849" s="6"/>
      <c r="L849" s="6"/>
      <c r="M849" s="6"/>
      <c r="N849" s="7">
        <f t="shared" si="539"/>
        <v>0</v>
      </c>
      <c r="O849" s="11">
        <f t="shared" si="434"/>
        <v>9</v>
      </c>
      <c r="P849" s="25"/>
      <c r="Q849" s="10" t="str">
        <f t="shared" si="504"/>
        <v>MarçoSEMANA 2Sal Grosso</v>
      </c>
      <c r="R849" s="7">
        <f>SUMIF(NF!$A:$A,$Q849,NF!$I:$I)</f>
        <v>0</v>
      </c>
      <c r="S849" s="6"/>
      <c r="T849" s="6"/>
      <c r="U849" s="6"/>
      <c r="V849" s="6"/>
      <c r="W849" s="6"/>
      <c r="X849" s="6">
        <v>2</v>
      </c>
      <c r="Y849" s="6"/>
      <c r="Z849" s="7">
        <f t="shared" si="540"/>
        <v>2</v>
      </c>
      <c r="AA849" s="11">
        <f t="shared" si="437"/>
        <v>7</v>
      </c>
      <c r="AB849" s="25"/>
      <c r="AC849" s="10" t="str">
        <f t="shared" si="505"/>
        <v>MarçoSEMANA 3Sal Grosso</v>
      </c>
      <c r="AD849" s="7">
        <f>SUMIF(NF!$A:$A,$AC849,NF!$I:$I)</f>
        <v>0</v>
      </c>
      <c r="AE849" s="6"/>
      <c r="AF849" s="6"/>
      <c r="AG849" s="6"/>
      <c r="AH849" s="6"/>
      <c r="AI849" s="6"/>
      <c r="AJ849" s="6"/>
      <c r="AK849" s="6"/>
      <c r="AL849" s="7">
        <f t="shared" si="541"/>
        <v>0</v>
      </c>
      <c r="AM849" s="11">
        <f t="shared" si="440"/>
        <v>7</v>
      </c>
      <c r="AN849" s="25"/>
      <c r="AO849" s="10" t="str">
        <f t="shared" si="506"/>
        <v>MarçoSEMANA 4Sal Grosso</v>
      </c>
      <c r="AP849" s="7">
        <f>SUMIF(NF!$A:$A,$AO849,NF!$I:$I)</f>
        <v>0</v>
      </c>
      <c r="AQ849" s="6"/>
      <c r="AR849" s="6"/>
      <c r="AS849" s="6"/>
      <c r="AT849" s="6"/>
      <c r="AU849" s="6"/>
      <c r="AV849" s="6"/>
      <c r="AW849" s="6"/>
      <c r="AX849" s="7">
        <f t="shared" si="542"/>
        <v>0</v>
      </c>
      <c r="AY849" s="11">
        <f t="shared" si="443"/>
        <v>7</v>
      </c>
      <c r="AZ849" s="25"/>
      <c r="BA849" s="10" t="str">
        <f t="shared" si="507"/>
        <v>MarçoSEMANA 5Sal Grosso</v>
      </c>
      <c r="BB849" s="7">
        <f>SUMIF(NF!$A:$A,$BA849,NF!$I:$I)</f>
        <v>0</v>
      </c>
      <c r="BC849" s="6"/>
      <c r="BD849" s="6"/>
      <c r="BE849" s="6"/>
      <c r="BF849" s="6"/>
      <c r="BG849" s="6"/>
      <c r="BH849" s="6">
        <v>2</v>
      </c>
      <c r="BI849" s="74"/>
      <c r="BJ849" s="74"/>
      <c r="BK849" s="7">
        <f t="shared" si="543"/>
        <v>2</v>
      </c>
      <c r="BL849" s="8">
        <f t="shared" si="446"/>
        <v>5</v>
      </c>
      <c r="BM849" s="51" t="str">
        <f>IFERROR(VLOOKUP(A849,NF!$M:$O,3,0),"")</f>
        <v>Mercado</v>
      </c>
      <c r="BN849" s="7">
        <f t="shared" si="447"/>
        <v>4</v>
      </c>
      <c r="BO849" s="8">
        <f t="array" ref="BO849">IFERROR(LARGE(IF(NF!$G$2:$G$3137='Mês atual'!A849,NF!$J$2:$J$3137),1),0)*BN849</f>
        <v>0</v>
      </c>
      <c r="BP849" s="50"/>
      <c r="BR849" s="146">
        <f t="array" ref="BR849">IFERROR(LARGE(IF(NF!$G$2:$G$3137='Mês atual'!A849,NF!$J$2:$J$3137),1),0)</f>
        <v>0</v>
      </c>
      <c r="BS849" s="142" t="str">
        <f>VLOOKUP(A849,NF!M:O,3,0)</f>
        <v>Mercado</v>
      </c>
      <c r="BV849" s="74">
        <f t="shared" si="529"/>
        <v>0</v>
      </c>
      <c r="BW849" s="74">
        <f t="shared" si="530"/>
        <v>2</v>
      </c>
      <c r="BX849" s="74">
        <f t="shared" si="531"/>
        <v>0</v>
      </c>
      <c r="BY849" s="74">
        <f t="shared" si="532"/>
        <v>0</v>
      </c>
      <c r="BZ849" s="74">
        <f t="shared" si="533"/>
        <v>2</v>
      </c>
    </row>
    <row r="850" spans="1:78" x14ac:dyDescent="0.2">
      <c r="A850" s="108" t="s">
        <v>912</v>
      </c>
      <c r="B850" s="12"/>
      <c r="C850" s="9">
        <v>0</v>
      </c>
      <c r="D850" s="25"/>
      <c r="E850" s="10" t="str">
        <f t="shared" si="503"/>
        <v>MarçoSEMANA 1Sal Himalaya</v>
      </c>
      <c r="F850" s="7">
        <f>SUMIF(NF!$A:$A,$E850,NF!$I:$I)</f>
        <v>0</v>
      </c>
      <c r="G850" s="74"/>
      <c r="H850" s="74"/>
      <c r="I850" s="74"/>
      <c r="J850" s="6"/>
      <c r="K850" s="6"/>
      <c r="L850" s="6"/>
      <c r="M850" s="6"/>
      <c r="N850" s="7">
        <f t="shared" si="539"/>
        <v>0</v>
      </c>
      <c r="O850" s="11">
        <f t="shared" si="434"/>
        <v>0</v>
      </c>
      <c r="P850" s="25"/>
      <c r="Q850" s="10" t="str">
        <f t="shared" si="504"/>
        <v>MarçoSEMANA 2Sal Himalaya</v>
      </c>
      <c r="R850" s="7">
        <f>SUMIF(NF!$A:$A,$Q850,NF!$I:$I)</f>
        <v>0</v>
      </c>
      <c r="S850" s="6"/>
      <c r="T850" s="6"/>
      <c r="U850" s="6"/>
      <c r="V850" s="6"/>
      <c r="W850" s="6"/>
      <c r="X850" s="6"/>
      <c r="Y850" s="6"/>
      <c r="Z850" s="7">
        <f t="shared" si="540"/>
        <v>0</v>
      </c>
      <c r="AA850" s="11">
        <f t="shared" si="437"/>
        <v>0</v>
      </c>
      <c r="AB850" s="25"/>
      <c r="AC850" s="10" t="str">
        <f t="shared" si="505"/>
        <v>MarçoSEMANA 3Sal Himalaya</v>
      </c>
      <c r="AD850" s="7">
        <f>SUMIF(NF!$A:$A,$AC850,NF!$I:$I)</f>
        <v>0</v>
      </c>
      <c r="AE850" s="6"/>
      <c r="AF850" s="6"/>
      <c r="AG850" s="6"/>
      <c r="AH850" s="6"/>
      <c r="AI850" s="6"/>
      <c r="AJ850" s="6"/>
      <c r="AK850" s="6"/>
      <c r="AL850" s="7">
        <f t="shared" si="541"/>
        <v>0</v>
      </c>
      <c r="AM850" s="11">
        <f t="shared" si="440"/>
        <v>0</v>
      </c>
      <c r="AN850" s="25"/>
      <c r="AO850" s="10" t="str">
        <f t="shared" si="506"/>
        <v>MarçoSEMANA 4Sal Himalaya</v>
      </c>
      <c r="AP850" s="7">
        <f>SUMIF(NF!$A:$A,$AO850,NF!$I:$I)</f>
        <v>0</v>
      </c>
      <c r="AQ850" s="6"/>
      <c r="AR850" s="6"/>
      <c r="AS850" s="6"/>
      <c r="AT850" s="6"/>
      <c r="AU850" s="6"/>
      <c r="AV850" s="6"/>
      <c r="AW850" s="6"/>
      <c r="AX850" s="7">
        <f t="shared" si="542"/>
        <v>0</v>
      </c>
      <c r="AY850" s="11">
        <f t="shared" si="443"/>
        <v>0</v>
      </c>
      <c r="AZ850" s="25"/>
      <c r="BA850" s="10" t="str">
        <f t="shared" si="507"/>
        <v>MarçoSEMANA 5Sal Himalaya</v>
      </c>
      <c r="BB850" s="7">
        <f>SUMIF(NF!$A:$A,$BA850,NF!$I:$I)</f>
        <v>0</v>
      </c>
      <c r="BC850" s="6"/>
      <c r="BD850" s="6"/>
      <c r="BE850" s="6"/>
      <c r="BF850" s="6"/>
      <c r="BG850" s="6"/>
      <c r="BH850" s="6"/>
      <c r="BI850" s="74"/>
      <c r="BJ850" s="74"/>
      <c r="BK850" s="7">
        <f t="shared" si="543"/>
        <v>0</v>
      </c>
      <c r="BL850" s="8">
        <f t="shared" si="446"/>
        <v>0</v>
      </c>
      <c r="BM850" s="51" t="str">
        <f>IFERROR(VLOOKUP(A850,NF!$M:$O,3,0),"")</f>
        <v>Mercado</v>
      </c>
      <c r="BN850" s="7">
        <f t="shared" si="447"/>
        <v>0</v>
      </c>
      <c r="BO850" s="8">
        <f t="array" ref="BO850">IFERROR(LARGE(IF(NF!$G$2:$G$3137='Mês atual'!A850,NF!$J$2:$J$3137),1),0)*BN850</f>
        <v>0</v>
      </c>
      <c r="BP850" s="50"/>
      <c r="BR850" s="146">
        <f t="array" ref="BR850">IFERROR(LARGE(IF(NF!$G$2:$G$3137='Mês atual'!A850,NF!$J$2:$J$3137),1),0)</f>
        <v>0</v>
      </c>
      <c r="BS850" s="142" t="str">
        <f>VLOOKUP(A850,NF!M:O,3,0)</f>
        <v>Mercado</v>
      </c>
      <c r="BV850" s="74">
        <f t="shared" si="529"/>
        <v>0</v>
      </c>
      <c r="BW850" s="74">
        <f t="shared" si="530"/>
        <v>0</v>
      </c>
      <c r="BX850" s="74">
        <f t="shared" si="531"/>
        <v>0</v>
      </c>
      <c r="BY850" s="74">
        <f t="shared" si="532"/>
        <v>0</v>
      </c>
      <c r="BZ850" s="74">
        <f t="shared" si="533"/>
        <v>0</v>
      </c>
    </row>
    <row r="851" spans="1:78" x14ac:dyDescent="0.2">
      <c r="A851" s="108" t="s">
        <v>724</v>
      </c>
      <c r="B851" s="12"/>
      <c r="C851" s="9">
        <v>0</v>
      </c>
      <c r="D851" s="25"/>
      <c r="E851" s="10" t="str">
        <f t="shared" si="503"/>
        <v>MarçoSEMANA 1Sal Refinado</v>
      </c>
      <c r="F851" s="7">
        <f>SUMIF(NF!$A:$A,$E851,NF!$I:$I)</f>
        <v>20</v>
      </c>
      <c r="G851" s="74"/>
      <c r="H851" s="74"/>
      <c r="I851" s="74"/>
      <c r="J851" s="6"/>
      <c r="K851" s="6">
        <v>2</v>
      </c>
      <c r="L851" s="6">
        <v>3</v>
      </c>
      <c r="M851" s="6"/>
      <c r="N851" s="7">
        <f t="shared" si="539"/>
        <v>5</v>
      </c>
      <c r="O851" s="11">
        <f t="shared" si="434"/>
        <v>15</v>
      </c>
      <c r="P851" s="25"/>
      <c r="Q851" s="10" t="str">
        <f t="shared" si="504"/>
        <v>MarçoSEMANA 2Sal Refinado</v>
      </c>
      <c r="R851" s="7">
        <f>SUMIF(NF!$A:$A,$Q851,NF!$I:$I)</f>
        <v>10</v>
      </c>
      <c r="S851" s="6"/>
      <c r="T851" s="6">
        <v>2</v>
      </c>
      <c r="U851" s="6">
        <v>4</v>
      </c>
      <c r="V851" s="6"/>
      <c r="W851" s="6"/>
      <c r="X851" s="6">
        <v>4</v>
      </c>
      <c r="Y851" s="6">
        <v>4</v>
      </c>
      <c r="Z851" s="7">
        <f t="shared" si="540"/>
        <v>14</v>
      </c>
      <c r="AA851" s="11">
        <f t="shared" si="437"/>
        <v>11</v>
      </c>
      <c r="AB851" s="25"/>
      <c r="AC851" s="10" t="str">
        <f t="shared" si="505"/>
        <v>MarçoSEMANA 3Sal Refinado</v>
      </c>
      <c r="AD851" s="7">
        <f>SUMIF(NF!$A:$A,$AC851,NF!$I:$I)</f>
        <v>10</v>
      </c>
      <c r="AE851" s="6"/>
      <c r="AF851" s="6"/>
      <c r="AG851" s="6">
        <v>4</v>
      </c>
      <c r="AH851" s="6"/>
      <c r="AI851" s="6">
        <v>2</v>
      </c>
      <c r="AJ851" s="6"/>
      <c r="AK851" s="6"/>
      <c r="AL851" s="7">
        <f t="shared" si="541"/>
        <v>6</v>
      </c>
      <c r="AM851" s="11">
        <f t="shared" si="440"/>
        <v>15</v>
      </c>
      <c r="AN851" s="25"/>
      <c r="AO851" s="10" t="str">
        <f t="shared" si="506"/>
        <v>MarçoSEMANA 4Sal Refinado</v>
      </c>
      <c r="AP851" s="7">
        <f>SUMIF(NF!$A:$A,$AO851,NF!$I:$I)</f>
        <v>10</v>
      </c>
      <c r="AQ851" s="6"/>
      <c r="AR851" s="6">
        <v>5</v>
      </c>
      <c r="AS851" s="6"/>
      <c r="AT851" s="6">
        <v>5</v>
      </c>
      <c r="AU851" s="6"/>
      <c r="AV851" s="6">
        <v>2</v>
      </c>
      <c r="AW851" s="6"/>
      <c r="AX851" s="7">
        <f t="shared" si="542"/>
        <v>12</v>
      </c>
      <c r="AY851" s="11">
        <f t="shared" si="443"/>
        <v>13</v>
      </c>
      <c r="AZ851" s="25"/>
      <c r="BA851" s="10" t="str">
        <f t="shared" si="507"/>
        <v>MarçoSEMANA 5Sal Refinado</v>
      </c>
      <c r="BB851" s="7">
        <f>SUMIF(NF!$A:$A,$BA851,NF!$I:$I)</f>
        <v>10</v>
      </c>
      <c r="BC851" s="6">
        <v>2</v>
      </c>
      <c r="BD851" s="6"/>
      <c r="BE851" s="6"/>
      <c r="BF851" s="6">
        <v>2</v>
      </c>
      <c r="BG851" s="6">
        <v>3</v>
      </c>
      <c r="BH851" s="6">
        <v>2</v>
      </c>
      <c r="BI851" s="74"/>
      <c r="BJ851" s="74"/>
      <c r="BK851" s="7">
        <f t="shared" si="543"/>
        <v>9</v>
      </c>
      <c r="BL851" s="8">
        <f t="shared" si="446"/>
        <v>14</v>
      </c>
      <c r="BM851" s="51" t="str">
        <f>IFERROR(VLOOKUP(A851,NF!$M:$O,3,0),"")</f>
        <v>Mercado</v>
      </c>
      <c r="BN851" s="7">
        <f t="shared" si="447"/>
        <v>46</v>
      </c>
      <c r="BO851" s="8">
        <f t="array" ref="BO851">IFERROR(LARGE(IF(NF!$G$2:$G$3137='Mês atual'!A851,NF!$J$2:$J$3137),1),0)*BN851</f>
        <v>68.08</v>
      </c>
      <c r="BP851" s="50"/>
      <c r="BR851" s="146">
        <f t="array" ref="BR851">IFERROR(LARGE(IF(NF!$G$2:$G$3137='Mês atual'!A851,NF!$J$2:$J$3137),1),0)</f>
        <v>1.48</v>
      </c>
      <c r="BS851" s="142" t="str">
        <f>VLOOKUP(A851,NF!M:O,3,0)</f>
        <v>Mercado</v>
      </c>
      <c r="BV851" s="74">
        <f t="shared" si="529"/>
        <v>5</v>
      </c>
      <c r="BW851" s="74">
        <f t="shared" si="530"/>
        <v>14</v>
      </c>
      <c r="BX851" s="74">
        <f t="shared" si="531"/>
        <v>6</v>
      </c>
      <c r="BY851" s="74">
        <f t="shared" si="532"/>
        <v>12</v>
      </c>
      <c r="BZ851" s="74">
        <f t="shared" si="533"/>
        <v>9</v>
      </c>
    </row>
    <row r="852" spans="1:78" x14ac:dyDescent="0.2">
      <c r="A852" s="108" t="s">
        <v>725</v>
      </c>
      <c r="B852" s="12"/>
      <c r="C852" s="9">
        <v>4</v>
      </c>
      <c r="D852" s="25"/>
      <c r="E852" s="10" t="str">
        <f t="shared" si="503"/>
        <v>MarçoSEMANA 1Sal Sache</v>
      </c>
      <c r="F852" s="7">
        <f>SUMIF(NF!$A:$A,$E852,NF!$I:$I)</f>
        <v>0</v>
      </c>
      <c r="G852" s="74"/>
      <c r="H852" s="74"/>
      <c r="I852" s="74"/>
      <c r="J852" s="6"/>
      <c r="K852" s="6"/>
      <c r="L852" s="6"/>
      <c r="M852" s="6"/>
      <c r="N852" s="7">
        <f t="shared" si="539"/>
        <v>0</v>
      </c>
      <c r="O852" s="11">
        <f t="shared" si="434"/>
        <v>4</v>
      </c>
      <c r="P852" s="25"/>
      <c r="Q852" s="10" t="str">
        <f t="shared" si="504"/>
        <v>MarçoSEMANA 2Sal Sache</v>
      </c>
      <c r="R852" s="7">
        <f>SUMIF(NF!$A:$A,$Q852,NF!$I:$I)</f>
        <v>0</v>
      </c>
      <c r="S852" s="6"/>
      <c r="T852" s="6"/>
      <c r="U852" s="6"/>
      <c r="V852" s="6"/>
      <c r="W852" s="6"/>
      <c r="X852" s="6"/>
      <c r="Y852" s="6"/>
      <c r="Z852" s="7">
        <f t="shared" si="540"/>
        <v>0</v>
      </c>
      <c r="AA852" s="11">
        <f t="shared" si="437"/>
        <v>4</v>
      </c>
      <c r="AB852" s="25"/>
      <c r="AC852" s="10" t="str">
        <f t="shared" si="505"/>
        <v>MarçoSEMANA 3Sal Sache</v>
      </c>
      <c r="AD852" s="7">
        <f>SUMIF(NF!$A:$A,$AC852,NF!$I:$I)</f>
        <v>0</v>
      </c>
      <c r="AE852" s="6">
        <v>1</v>
      </c>
      <c r="AF852" s="6"/>
      <c r="AG852" s="6"/>
      <c r="AH852" s="6"/>
      <c r="AI852" s="6"/>
      <c r="AJ852" s="6"/>
      <c r="AK852" s="6"/>
      <c r="AL852" s="7">
        <f t="shared" si="541"/>
        <v>1</v>
      </c>
      <c r="AM852" s="11">
        <f t="shared" si="440"/>
        <v>3</v>
      </c>
      <c r="AN852" s="25"/>
      <c r="AO852" s="10" t="str">
        <f t="shared" si="506"/>
        <v>MarçoSEMANA 4Sal Sache</v>
      </c>
      <c r="AP852" s="7">
        <f>SUMIF(NF!$A:$A,$AO852,NF!$I:$I)</f>
        <v>0</v>
      </c>
      <c r="AQ852" s="6"/>
      <c r="AR852" s="6"/>
      <c r="AS852" s="6"/>
      <c r="AT852" s="6"/>
      <c r="AU852" s="6"/>
      <c r="AV852" s="6"/>
      <c r="AW852" s="6"/>
      <c r="AX852" s="7">
        <f t="shared" si="542"/>
        <v>0</v>
      </c>
      <c r="AY852" s="11">
        <f t="shared" si="443"/>
        <v>3</v>
      </c>
      <c r="AZ852" s="25"/>
      <c r="BA852" s="10" t="str">
        <f t="shared" si="507"/>
        <v>MarçoSEMANA 5Sal Sache</v>
      </c>
      <c r="BB852" s="7">
        <f>SUMIF(NF!$A:$A,$BA852,NF!$I:$I)</f>
        <v>0</v>
      </c>
      <c r="BC852" s="6"/>
      <c r="BD852" s="6"/>
      <c r="BE852" s="6"/>
      <c r="BF852" s="6"/>
      <c r="BG852" s="6"/>
      <c r="BH852" s="6"/>
      <c r="BI852" s="74"/>
      <c r="BJ852" s="74"/>
      <c r="BK852" s="7">
        <f t="shared" si="543"/>
        <v>0</v>
      </c>
      <c r="BL852" s="8">
        <f t="shared" si="446"/>
        <v>3</v>
      </c>
      <c r="BM852" s="51" t="str">
        <f>IFERROR(VLOOKUP(A852,NF!$M:$O,3,0),"")</f>
        <v>Mercado</v>
      </c>
      <c r="BN852" s="7">
        <f t="shared" si="447"/>
        <v>1</v>
      </c>
      <c r="BO852" s="8">
        <f t="array" ref="BO852">IFERROR(LARGE(IF(NF!$G$2:$G$3137='Mês atual'!A852,NF!$J$2:$J$3137),1),0)*BN852</f>
        <v>0</v>
      </c>
      <c r="BP852" s="50"/>
      <c r="BR852" s="146">
        <f t="array" ref="BR852">IFERROR(LARGE(IF(NF!$G$2:$G$3137='Mês atual'!A852,NF!$J$2:$J$3137),1),0)</f>
        <v>0</v>
      </c>
      <c r="BS852" s="142" t="str">
        <f>VLOOKUP(A852,NF!M:O,3,0)</f>
        <v>Mercado</v>
      </c>
      <c r="BV852" s="74">
        <f t="shared" si="529"/>
        <v>0</v>
      </c>
      <c r="BW852" s="74">
        <f t="shared" si="530"/>
        <v>0</v>
      </c>
      <c r="BX852" s="74">
        <f t="shared" si="531"/>
        <v>1</v>
      </c>
      <c r="BY852" s="74">
        <f t="shared" si="532"/>
        <v>0</v>
      </c>
      <c r="BZ852" s="74">
        <f t="shared" si="533"/>
        <v>0</v>
      </c>
    </row>
    <row r="853" spans="1:78" x14ac:dyDescent="0.2">
      <c r="A853" s="108" t="s">
        <v>727</v>
      </c>
      <c r="B853" s="12"/>
      <c r="C853" s="9">
        <v>0</v>
      </c>
      <c r="D853" s="25"/>
      <c r="E853" s="10" t="str">
        <f t="shared" si="503"/>
        <v>MarçoSEMANA 1Salame Italiano</v>
      </c>
      <c r="F853" s="7">
        <f>SUMIF(NF!$A:$A,$E853,NF!$I:$I)</f>
        <v>0</v>
      </c>
      <c r="G853" s="74"/>
      <c r="H853" s="74"/>
      <c r="I853" s="74"/>
      <c r="J853" s="6"/>
      <c r="K853" s="6"/>
      <c r="L853" s="6"/>
      <c r="M853" s="6"/>
      <c r="N853" s="7">
        <f t="shared" si="539"/>
        <v>0</v>
      </c>
      <c r="O853" s="11">
        <f t="shared" si="434"/>
        <v>0</v>
      </c>
      <c r="P853" s="25"/>
      <c r="Q853" s="10" t="str">
        <f t="shared" si="504"/>
        <v>MarçoSEMANA 2Salame Italiano</v>
      </c>
      <c r="R853" s="7">
        <f>SUMIF(NF!$A:$A,$Q853,NF!$I:$I)</f>
        <v>0</v>
      </c>
      <c r="S853" s="6"/>
      <c r="T853" s="6"/>
      <c r="U853" s="6"/>
      <c r="V853" s="6"/>
      <c r="W853" s="6"/>
      <c r="X853" s="6"/>
      <c r="Y853" s="6"/>
      <c r="Z853" s="7">
        <f t="shared" si="540"/>
        <v>0</v>
      </c>
      <c r="AA853" s="11">
        <f t="shared" si="437"/>
        <v>0</v>
      </c>
      <c r="AB853" s="25"/>
      <c r="AC853" s="10" t="str">
        <f t="shared" si="505"/>
        <v>MarçoSEMANA 3Salame Italiano</v>
      </c>
      <c r="AD853" s="7">
        <f>SUMIF(NF!$A:$A,$AC853,NF!$I:$I)</f>
        <v>0</v>
      </c>
      <c r="AE853" s="6"/>
      <c r="AF853" s="6"/>
      <c r="AG853" s="6"/>
      <c r="AH853" s="6"/>
      <c r="AI853" s="6"/>
      <c r="AJ853" s="6"/>
      <c r="AK853" s="6"/>
      <c r="AL853" s="7">
        <f t="shared" si="541"/>
        <v>0</v>
      </c>
      <c r="AM853" s="11">
        <f t="shared" si="440"/>
        <v>0</v>
      </c>
      <c r="AN853" s="25"/>
      <c r="AO853" s="10" t="str">
        <f t="shared" si="506"/>
        <v>MarçoSEMANA 4Salame Italiano</v>
      </c>
      <c r="AP853" s="7">
        <f>SUMIF(NF!$A:$A,$AO853,NF!$I:$I)</f>
        <v>0</v>
      </c>
      <c r="AQ853" s="6"/>
      <c r="AR853" s="6"/>
      <c r="AS853" s="6"/>
      <c r="AT853" s="6"/>
      <c r="AU853" s="6"/>
      <c r="AV853" s="6"/>
      <c r="AW853" s="6"/>
      <c r="AX853" s="7">
        <f t="shared" si="542"/>
        <v>0</v>
      </c>
      <c r="AY853" s="11">
        <f t="shared" si="443"/>
        <v>0</v>
      </c>
      <c r="AZ853" s="25"/>
      <c r="BA853" s="10" t="str">
        <f t="shared" si="507"/>
        <v>MarçoSEMANA 5Salame Italiano</v>
      </c>
      <c r="BB853" s="7">
        <f>SUMIF(NF!$A:$A,$BA853,NF!$I:$I)</f>
        <v>0</v>
      </c>
      <c r="BC853" s="6"/>
      <c r="BD853" s="6"/>
      <c r="BE853" s="6"/>
      <c r="BF853" s="6"/>
      <c r="BG853" s="6"/>
      <c r="BH853" s="6"/>
      <c r="BI853" s="74"/>
      <c r="BJ853" s="74"/>
      <c r="BK853" s="7">
        <f t="shared" si="543"/>
        <v>0</v>
      </c>
      <c r="BL853" s="8">
        <f t="shared" si="446"/>
        <v>0</v>
      </c>
      <c r="BM853" s="51" t="str">
        <f>IFERROR(VLOOKUP(A853,NF!$M:$O,3,0),"")</f>
        <v>Mercado</v>
      </c>
      <c r="BN853" s="7">
        <f t="shared" si="447"/>
        <v>0</v>
      </c>
      <c r="BO853" s="8">
        <f t="array" ref="BO853">IFERROR(LARGE(IF(NF!$G$2:$G$3137='Mês atual'!A853,NF!$J$2:$J$3137),1),0)*BN853</f>
        <v>0</v>
      </c>
      <c r="BP853" s="50"/>
      <c r="BR853" s="146">
        <f t="array" ref="BR853">IFERROR(LARGE(IF(NF!$G$2:$G$3137='Mês atual'!A853,NF!$J$2:$J$3137),1),0)</f>
        <v>0</v>
      </c>
      <c r="BS853" s="142" t="str">
        <f>VLOOKUP(A853,NF!M:O,3,0)</f>
        <v>Mercado</v>
      </c>
      <c r="BV853" s="74">
        <f t="shared" si="529"/>
        <v>0</v>
      </c>
      <c r="BW853" s="74">
        <f t="shared" si="530"/>
        <v>0</v>
      </c>
      <c r="BX853" s="74">
        <f t="shared" si="531"/>
        <v>0</v>
      </c>
      <c r="BY853" s="74">
        <f t="shared" si="532"/>
        <v>0</v>
      </c>
      <c r="BZ853" s="74">
        <f t="shared" si="533"/>
        <v>0</v>
      </c>
    </row>
    <row r="854" spans="1:78" x14ac:dyDescent="0.2">
      <c r="A854" s="108" t="s">
        <v>734</v>
      </c>
      <c r="B854" s="12"/>
      <c r="C854" s="9">
        <v>0</v>
      </c>
      <c r="D854" s="25"/>
      <c r="E854" s="10" t="str">
        <f t="shared" si="503"/>
        <v>MarçoSEMANA 1Saque Azuma Mirim 500 ml</v>
      </c>
      <c r="F854" s="7">
        <f>SUMIF(NF!$A:$A,$E854,NF!$I:$I)</f>
        <v>0</v>
      </c>
      <c r="G854" s="74"/>
      <c r="H854" s="74"/>
      <c r="I854" s="74"/>
      <c r="J854" s="6"/>
      <c r="K854" s="6"/>
      <c r="L854" s="6"/>
      <c r="M854" s="6"/>
      <c r="N854" s="7">
        <f t="shared" si="539"/>
        <v>0</v>
      </c>
      <c r="O854" s="11">
        <f t="shared" si="434"/>
        <v>0</v>
      </c>
      <c r="P854" s="25"/>
      <c r="Q854" s="10" t="str">
        <f t="shared" si="504"/>
        <v>MarçoSEMANA 2Saque Azuma Mirim 500 ml</v>
      </c>
      <c r="R854" s="7">
        <f>SUMIF(NF!$A:$A,$Q854,NF!$I:$I)</f>
        <v>0</v>
      </c>
      <c r="S854" s="6"/>
      <c r="T854" s="6"/>
      <c r="U854" s="6"/>
      <c r="V854" s="6"/>
      <c r="W854" s="6"/>
      <c r="X854" s="6"/>
      <c r="Y854" s="6"/>
      <c r="Z854" s="7">
        <f t="shared" si="540"/>
        <v>0</v>
      </c>
      <c r="AA854" s="11">
        <f t="shared" si="437"/>
        <v>0</v>
      </c>
      <c r="AB854" s="25"/>
      <c r="AC854" s="10" t="str">
        <f t="shared" si="505"/>
        <v>MarçoSEMANA 3Saque Azuma Mirim 500 ml</v>
      </c>
      <c r="AD854" s="7">
        <f>SUMIF(NF!$A:$A,$AC854,NF!$I:$I)</f>
        <v>0</v>
      </c>
      <c r="AE854" s="6"/>
      <c r="AF854" s="6"/>
      <c r="AG854" s="6"/>
      <c r="AH854" s="6"/>
      <c r="AI854" s="6"/>
      <c r="AJ854" s="6"/>
      <c r="AK854" s="6"/>
      <c r="AL854" s="7">
        <f t="shared" si="541"/>
        <v>0</v>
      </c>
      <c r="AM854" s="11">
        <f t="shared" si="440"/>
        <v>0</v>
      </c>
      <c r="AN854" s="25"/>
      <c r="AO854" s="10" t="str">
        <f t="shared" si="506"/>
        <v>MarçoSEMANA 4Saque Azuma Mirim 500 ml</v>
      </c>
      <c r="AP854" s="7">
        <f>SUMIF(NF!$A:$A,$AO854,NF!$I:$I)</f>
        <v>0</v>
      </c>
      <c r="AQ854" s="6"/>
      <c r="AR854" s="6"/>
      <c r="AS854" s="6"/>
      <c r="AT854" s="6"/>
      <c r="AU854" s="6"/>
      <c r="AV854" s="6"/>
      <c r="AW854" s="6"/>
      <c r="AX854" s="7">
        <f t="shared" si="542"/>
        <v>0</v>
      </c>
      <c r="AY854" s="11">
        <f t="shared" si="443"/>
        <v>0</v>
      </c>
      <c r="AZ854" s="25"/>
      <c r="BA854" s="10" t="str">
        <f t="shared" si="507"/>
        <v>MarçoSEMANA 5Saque Azuma Mirim 500 ml</v>
      </c>
      <c r="BB854" s="7">
        <f>SUMIF(NF!$A:$A,$BA854,NF!$I:$I)</f>
        <v>0</v>
      </c>
      <c r="BC854" s="6"/>
      <c r="BD854" s="6"/>
      <c r="BE854" s="6"/>
      <c r="BF854" s="6"/>
      <c r="BG854" s="6"/>
      <c r="BH854" s="6"/>
      <c r="BI854" s="74"/>
      <c r="BJ854" s="74"/>
      <c r="BK854" s="7">
        <f t="shared" si="543"/>
        <v>0</v>
      </c>
      <c r="BL854" s="8">
        <f t="shared" si="446"/>
        <v>0</v>
      </c>
      <c r="BM854" s="51" t="str">
        <f>IFERROR(VLOOKUP(A854,NF!$M:$O,3,0),"")</f>
        <v>Mercado</v>
      </c>
      <c r="BN854" s="7">
        <f t="shared" si="447"/>
        <v>0</v>
      </c>
      <c r="BO854" s="8">
        <f t="array" ref="BO854">IFERROR(LARGE(IF(NF!$G$2:$G$3137='Mês atual'!A854,NF!$J$2:$J$3137),1),0)*BN854</f>
        <v>0</v>
      </c>
      <c r="BP854" s="50"/>
      <c r="BR854" s="146">
        <f t="array" ref="BR854">IFERROR(LARGE(IF(NF!$G$2:$G$3137='Mês atual'!A854,NF!$J$2:$J$3137),1),0)</f>
        <v>0</v>
      </c>
      <c r="BS854" s="142" t="str">
        <f>VLOOKUP(A854,NF!M:O,3,0)</f>
        <v>Mercado</v>
      </c>
      <c r="BV854" s="74">
        <f t="shared" si="529"/>
        <v>0</v>
      </c>
      <c r="BW854" s="74">
        <f t="shared" si="530"/>
        <v>0</v>
      </c>
      <c r="BX854" s="74">
        <f t="shared" si="531"/>
        <v>0</v>
      </c>
      <c r="BY854" s="74">
        <f t="shared" si="532"/>
        <v>0</v>
      </c>
      <c r="BZ854" s="74">
        <f t="shared" si="533"/>
        <v>0</v>
      </c>
    </row>
    <row r="855" spans="1:78" x14ac:dyDescent="0.2">
      <c r="A855" s="108" t="s">
        <v>736</v>
      </c>
      <c r="B855" s="12"/>
      <c r="C855" s="9">
        <v>0</v>
      </c>
      <c r="D855" s="25"/>
      <c r="E855" s="10" t="str">
        <f t="shared" si="503"/>
        <v>MarçoSEMANA 1Saque Azuma Mirim Bb 5 Lt</v>
      </c>
      <c r="F855" s="7">
        <f>SUMIF(NF!$A:$A,$E855,NF!$I:$I)</f>
        <v>0</v>
      </c>
      <c r="G855" s="74"/>
      <c r="H855" s="74"/>
      <c r="I855" s="74"/>
      <c r="J855" s="6"/>
      <c r="K855" s="6"/>
      <c r="L855" s="6"/>
      <c r="M855" s="6"/>
      <c r="N855" s="7">
        <f>SUM(G855:M855)</f>
        <v>0</v>
      </c>
      <c r="O855" s="11">
        <f t="shared" si="434"/>
        <v>0</v>
      </c>
      <c r="P855" s="25"/>
      <c r="Q855" s="10" t="str">
        <f t="shared" si="504"/>
        <v>MarçoSEMANA 2Saque Azuma Mirim Bb 5 Lt</v>
      </c>
      <c r="R855" s="7">
        <f>SUMIF(NF!$A:$A,$Q855,NF!$I:$I)</f>
        <v>0</v>
      </c>
      <c r="S855" s="6"/>
      <c r="T855" s="6"/>
      <c r="U855" s="6"/>
      <c r="V855" s="6"/>
      <c r="W855" s="6"/>
      <c r="X855" s="6"/>
      <c r="Y855" s="6"/>
      <c r="Z855" s="7">
        <f>SUM(S855:Y855)</f>
        <v>0</v>
      </c>
      <c r="AA855" s="11">
        <f t="shared" si="437"/>
        <v>0</v>
      </c>
      <c r="AB855" s="25"/>
      <c r="AC855" s="10" t="str">
        <f t="shared" si="505"/>
        <v>MarçoSEMANA 3Saque Azuma Mirim Bb 5 Lt</v>
      </c>
      <c r="AD855" s="7">
        <f>SUMIF(NF!$A:$A,$AC855,NF!$I:$I)</f>
        <v>0</v>
      </c>
      <c r="AE855" s="6"/>
      <c r="AF855" s="6"/>
      <c r="AG855" s="6"/>
      <c r="AH855" s="6"/>
      <c r="AI855" s="6"/>
      <c r="AJ855" s="6"/>
      <c r="AK855" s="6"/>
      <c r="AL855" s="7">
        <f>SUM(AE855:AK855)</f>
        <v>0</v>
      </c>
      <c r="AM855" s="11">
        <f t="shared" si="440"/>
        <v>0</v>
      </c>
      <c r="AN855" s="25"/>
      <c r="AO855" s="10" t="str">
        <f t="shared" si="506"/>
        <v>MarçoSEMANA 4Saque Azuma Mirim Bb 5 Lt</v>
      </c>
      <c r="AP855" s="7">
        <f>SUMIF(NF!$A:$A,$AO855,NF!$I:$I)</f>
        <v>0</v>
      </c>
      <c r="AQ855" s="6"/>
      <c r="AR855" s="6"/>
      <c r="AS855" s="6"/>
      <c r="AT855" s="6"/>
      <c r="AU855" s="6"/>
      <c r="AV855" s="6"/>
      <c r="AW855" s="6"/>
      <c r="AX855" s="7">
        <f>SUM(AQ855:AW855)</f>
        <v>0</v>
      </c>
      <c r="AY855" s="11">
        <f t="shared" si="443"/>
        <v>0</v>
      </c>
      <c r="AZ855" s="25"/>
      <c r="BA855" s="10" t="str">
        <f t="shared" si="507"/>
        <v>MarçoSEMANA 5Saque Azuma Mirim Bb 5 Lt</v>
      </c>
      <c r="BB855" s="7">
        <f>SUMIF(NF!$A:$A,$BA855,NF!$I:$I)</f>
        <v>0</v>
      </c>
      <c r="BC855" s="6"/>
      <c r="BD855" s="6"/>
      <c r="BE855" s="6"/>
      <c r="BF855" s="6"/>
      <c r="BG855" s="6"/>
      <c r="BH855" s="6"/>
      <c r="BI855" s="74"/>
      <c r="BJ855" s="74"/>
      <c r="BK855" s="7">
        <f>SUM(BC855:BJ855)</f>
        <v>0</v>
      </c>
      <c r="BL855" s="8">
        <f t="shared" si="446"/>
        <v>0</v>
      </c>
      <c r="BM855" s="51" t="str">
        <f>IFERROR(VLOOKUP(A855,NF!$M:$O,3,0),"")</f>
        <v>Mercado</v>
      </c>
      <c r="BN855" s="7">
        <f t="shared" si="447"/>
        <v>0</v>
      </c>
      <c r="BO855" s="8">
        <f t="array" ref="BO855">IFERROR(LARGE(IF(NF!$G$2:$G$3137='Mês atual'!A855,NF!$J$2:$J$3137),1),0)*BN855</f>
        <v>0</v>
      </c>
      <c r="BP855" s="50"/>
      <c r="BR855" s="146">
        <f t="array" ref="BR855">IFERROR(LARGE(IF(NF!$G$2:$G$3137='Mês atual'!A855,NF!$J$2:$J$3137),1),0)</f>
        <v>0</v>
      </c>
      <c r="BS855" s="142" t="str">
        <f>VLOOKUP(A855,NF!M:O,3,0)</f>
        <v>Mercado</v>
      </c>
      <c r="BV855" s="74">
        <f t="shared" si="529"/>
        <v>0</v>
      </c>
      <c r="BW855" s="74">
        <f t="shared" si="530"/>
        <v>0</v>
      </c>
      <c r="BX855" s="74">
        <f t="shared" si="531"/>
        <v>0</v>
      </c>
      <c r="BY855" s="74">
        <f t="shared" si="532"/>
        <v>0</v>
      </c>
      <c r="BZ855" s="74">
        <f t="shared" si="533"/>
        <v>0</v>
      </c>
    </row>
    <row r="856" spans="1:78" x14ac:dyDescent="0.2">
      <c r="A856" s="108" t="s">
        <v>1029</v>
      </c>
      <c r="B856" s="12"/>
      <c r="C856" s="9">
        <v>0</v>
      </c>
      <c r="D856" s="25"/>
      <c r="E856" s="10" t="str">
        <f t="shared" si="503"/>
        <v>MarçoSEMANA 1Shitake</v>
      </c>
      <c r="F856" s="7">
        <f>SUMIF(NF!$A:$A,$E856,NF!$I:$I)</f>
        <v>0</v>
      </c>
      <c r="G856" s="74"/>
      <c r="H856" s="74"/>
      <c r="I856" s="74"/>
      <c r="J856" s="6"/>
      <c r="K856" s="6"/>
      <c r="L856" s="6"/>
      <c r="M856" s="6"/>
      <c r="N856" s="7">
        <f>SUM(G856:M856)</f>
        <v>0</v>
      </c>
      <c r="O856" s="11">
        <f t="shared" si="434"/>
        <v>0</v>
      </c>
      <c r="P856" s="25"/>
      <c r="Q856" s="10" t="str">
        <f t="shared" si="504"/>
        <v>MarçoSEMANA 2Shitake</v>
      </c>
      <c r="R856" s="7">
        <f>SUMIF(NF!$A:$A,$Q856,NF!$I:$I)</f>
        <v>0</v>
      </c>
      <c r="S856" s="6"/>
      <c r="T856" s="6"/>
      <c r="U856" s="6"/>
      <c r="V856" s="6"/>
      <c r="W856" s="6"/>
      <c r="X856" s="6"/>
      <c r="Y856" s="6"/>
      <c r="Z856" s="7">
        <f>SUM(S856:Y856)</f>
        <v>0</v>
      </c>
      <c r="AA856" s="11">
        <f t="shared" si="437"/>
        <v>0</v>
      </c>
      <c r="AB856" s="25"/>
      <c r="AC856" s="10" t="str">
        <f t="shared" si="505"/>
        <v>MarçoSEMANA 3Shitake</v>
      </c>
      <c r="AD856" s="7">
        <f>SUMIF(NF!$A:$A,$AC856,NF!$I:$I)</f>
        <v>0</v>
      </c>
      <c r="AE856" s="6"/>
      <c r="AF856" s="6"/>
      <c r="AG856" s="6"/>
      <c r="AH856" s="6"/>
      <c r="AI856" s="6"/>
      <c r="AJ856" s="6"/>
      <c r="AK856" s="6"/>
      <c r="AL856" s="7">
        <f>SUM(AE856:AK856)</f>
        <v>0</v>
      </c>
      <c r="AM856" s="11">
        <f t="shared" si="440"/>
        <v>0</v>
      </c>
      <c r="AN856" s="25"/>
      <c r="AO856" s="10" t="str">
        <f t="shared" si="506"/>
        <v>MarçoSEMANA 4Shitake</v>
      </c>
      <c r="AP856" s="7">
        <f>SUMIF(NF!$A:$A,$AO856,NF!$I:$I)</f>
        <v>0</v>
      </c>
      <c r="AQ856" s="6"/>
      <c r="AR856" s="6"/>
      <c r="AS856" s="6"/>
      <c r="AT856" s="6"/>
      <c r="AU856" s="6"/>
      <c r="AV856" s="6"/>
      <c r="AW856" s="6"/>
      <c r="AX856" s="7">
        <f>SUM(AQ856:AW856)</f>
        <v>0</v>
      </c>
      <c r="AY856" s="11">
        <f t="shared" si="443"/>
        <v>0</v>
      </c>
      <c r="AZ856" s="25"/>
      <c r="BA856" s="10" t="str">
        <f t="shared" si="507"/>
        <v>MarçoSEMANA 5Shitake</v>
      </c>
      <c r="BB856" s="7">
        <f>SUMIF(NF!$A:$A,$BA856,NF!$I:$I)</f>
        <v>0</v>
      </c>
      <c r="BC856" s="6"/>
      <c r="BD856" s="6"/>
      <c r="BE856" s="6"/>
      <c r="BF856" s="6"/>
      <c r="BG856" s="6"/>
      <c r="BH856" s="6"/>
      <c r="BI856" s="74"/>
      <c r="BJ856" s="74"/>
      <c r="BK856" s="7">
        <f>SUM(BC856:BJ856)</f>
        <v>0</v>
      </c>
      <c r="BL856" s="8">
        <f t="shared" si="446"/>
        <v>0</v>
      </c>
      <c r="BM856" s="51" t="str">
        <f>IFERROR(VLOOKUP(A856,NF!$M:$O,3,0),"")</f>
        <v>Mercado</v>
      </c>
      <c r="BN856" s="7">
        <f t="shared" si="447"/>
        <v>0</v>
      </c>
      <c r="BO856" s="8">
        <f t="array" ref="BO856">IFERROR(LARGE(IF(NF!$G$2:$G$3137='Mês atual'!A856,NF!$J$2:$J$3137),1),0)*BN856</f>
        <v>0</v>
      </c>
      <c r="BP856" s="50"/>
      <c r="BR856" s="146">
        <f t="array" ref="BR856">IFERROR(LARGE(IF(NF!$G$2:$G$3137='Mês atual'!A856,NF!$J$2:$J$3137),1),0)</f>
        <v>0</v>
      </c>
      <c r="BS856" s="142" t="str">
        <f>VLOOKUP(A856,NF!M:O,3,0)</f>
        <v>Mercado</v>
      </c>
      <c r="BV856" s="74">
        <f t="shared" si="529"/>
        <v>0</v>
      </c>
      <c r="BW856" s="74">
        <f t="shared" si="530"/>
        <v>0</v>
      </c>
      <c r="BX856" s="74">
        <f t="shared" si="531"/>
        <v>0</v>
      </c>
      <c r="BY856" s="74">
        <f t="shared" si="532"/>
        <v>0</v>
      </c>
      <c r="BZ856" s="74">
        <f t="shared" si="533"/>
        <v>0</v>
      </c>
    </row>
    <row r="857" spans="1:78" x14ac:dyDescent="0.2">
      <c r="A857" s="108" t="s">
        <v>932</v>
      </c>
      <c r="B857" s="12"/>
      <c r="C857" s="9">
        <v>0</v>
      </c>
      <c r="D857" s="25"/>
      <c r="E857" s="10" t="str">
        <f t="shared" si="503"/>
        <v>MarçoSEMANA 1Shoyu Light 150 ml</v>
      </c>
      <c r="F857" s="7">
        <f>SUMIF(NF!$A:$A,$E857,NF!$I:$I)</f>
        <v>0</v>
      </c>
      <c r="G857" s="74"/>
      <c r="H857" s="74"/>
      <c r="I857" s="74"/>
      <c r="J857" s="6"/>
      <c r="K857" s="6"/>
      <c r="L857" s="6"/>
      <c r="M857" s="6"/>
      <c r="N857" s="7">
        <f>SUM(G857:M857)</f>
        <v>0</v>
      </c>
      <c r="O857" s="11">
        <f t="shared" si="434"/>
        <v>0</v>
      </c>
      <c r="P857" s="25"/>
      <c r="Q857" s="10" t="str">
        <f t="shared" si="504"/>
        <v>MarçoSEMANA 2Shoyu Light 150 ml</v>
      </c>
      <c r="R857" s="7">
        <f>SUMIF(NF!$A:$A,$Q857,NF!$I:$I)</f>
        <v>0</v>
      </c>
      <c r="S857" s="6"/>
      <c r="T857" s="6"/>
      <c r="U857" s="6"/>
      <c r="V857" s="6"/>
      <c r="W857" s="6"/>
      <c r="X857" s="6"/>
      <c r="Y857" s="6"/>
      <c r="Z857" s="7">
        <f>SUM(S857:Y857)</f>
        <v>0</v>
      </c>
      <c r="AA857" s="11">
        <f t="shared" si="437"/>
        <v>0</v>
      </c>
      <c r="AB857" s="25"/>
      <c r="AC857" s="10" t="str">
        <f t="shared" si="505"/>
        <v>MarçoSEMANA 3Shoyu Light 150 ml</v>
      </c>
      <c r="AD857" s="7">
        <f>SUMIF(NF!$A:$A,$AC857,NF!$I:$I)</f>
        <v>0</v>
      </c>
      <c r="AE857" s="6"/>
      <c r="AF857" s="6"/>
      <c r="AG857" s="6"/>
      <c r="AH857" s="6"/>
      <c r="AI857" s="6"/>
      <c r="AJ857" s="6"/>
      <c r="AK857" s="6"/>
      <c r="AL857" s="7">
        <f>SUM(AE857:AK857)</f>
        <v>0</v>
      </c>
      <c r="AM857" s="11">
        <f t="shared" si="440"/>
        <v>0</v>
      </c>
      <c r="AN857" s="25"/>
      <c r="AO857" s="10" t="str">
        <f t="shared" si="506"/>
        <v>MarçoSEMANA 4Shoyu Light 150 ml</v>
      </c>
      <c r="AP857" s="7">
        <f>SUMIF(NF!$A:$A,$AO857,NF!$I:$I)</f>
        <v>0</v>
      </c>
      <c r="AQ857" s="6"/>
      <c r="AR857" s="6"/>
      <c r="AS857" s="6"/>
      <c r="AT857" s="6"/>
      <c r="AU857" s="6"/>
      <c r="AV857" s="6"/>
      <c r="AW857" s="6"/>
      <c r="AX857" s="7">
        <f>SUM(AQ857:AW857)</f>
        <v>0</v>
      </c>
      <c r="AY857" s="11">
        <f t="shared" si="443"/>
        <v>0</v>
      </c>
      <c r="AZ857" s="25"/>
      <c r="BA857" s="10" t="str">
        <f t="shared" si="507"/>
        <v>MarçoSEMANA 5Shoyu Light 150 ml</v>
      </c>
      <c r="BB857" s="7">
        <f>SUMIF(NF!$A:$A,$BA857,NF!$I:$I)</f>
        <v>0</v>
      </c>
      <c r="BC857" s="6"/>
      <c r="BD857" s="6"/>
      <c r="BE857" s="6"/>
      <c r="BF857" s="6"/>
      <c r="BG857" s="6"/>
      <c r="BH857" s="6"/>
      <c r="BI857" s="74"/>
      <c r="BJ857" s="74"/>
      <c r="BK857" s="7">
        <f>SUM(BC857:BJ857)</f>
        <v>0</v>
      </c>
      <c r="BL857" s="8">
        <f t="shared" si="446"/>
        <v>0</v>
      </c>
      <c r="BM857" s="51" t="str">
        <f>IFERROR(VLOOKUP(A857,NF!$M:$O,3,0),"")</f>
        <v>Mercado</v>
      </c>
      <c r="BN857" s="7">
        <f t="shared" si="447"/>
        <v>0</v>
      </c>
      <c r="BO857" s="8">
        <f t="array" ref="BO857">IFERROR(LARGE(IF(NF!$G$2:$G$3137='Mês atual'!A857,NF!$J$2:$J$3137),1),0)*BN857</f>
        <v>0</v>
      </c>
      <c r="BP857" s="50"/>
      <c r="BR857" s="146">
        <f t="array" ref="BR857">IFERROR(LARGE(IF(NF!$G$2:$G$3137='Mês atual'!A857,NF!$J$2:$J$3137),1),0)</f>
        <v>0</v>
      </c>
      <c r="BS857" s="142" t="str">
        <f>VLOOKUP(A857,NF!M:O,3,0)</f>
        <v>Mercado</v>
      </c>
      <c r="BV857" s="74">
        <f t="shared" si="529"/>
        <v>0</v>
      </c>
      <c r="BW857" s="74">
        <f t="shared" si="530"/>
        <v>0</v>
      </c>
      <c r="BX857" s="74">
        <f t="shared" si="531"/>
        <v>0</v>
      </c>
      <c r="BY857" s="74">
        <f t="shared" si="532"/>
        <v>0</v>
      </c>
      <c r="BZ857" s="74">
        <f t="shared" si="533"/>
        <v>0</v>
      </c>
    </row>
    <row r="858" spans="1:78" x14ac:dyDescent="0.2">
      <c r="A858" s="108" t="s">
        <v>741</v>
      </c>
      <c r="B858" s="12"/>
      <c r="C858" s="9">
        <v>0</v>
      </c>
      <c r="D858" s="25"/>
      <c r="E858" s="10" t="str">
        <f t="shared" si="503"/>
        <v>MarçoSEMANA 1Shoyu Light Bb 5 Lt</v>
      </c>
      <c r="F858" s="7">
        <f>SUMIF(NF!$A:$A,$E858,NF!$I:$I)</f>
        <v>0</v>
      </c>
      <c r="G858" s="74"/>
      <c r="H858" s="74"/>
      <c r="I858" s="74"/>
      <c r="J858" s="6"/>
      <c r="K858" s="6"/>
      <c r="L858" s="6"/>
      <c r="M858" s="6"/>
      <c r="N858" s="7">
        <f t="shared" ref="N858:N891" si="544">SUM(G858:M858)</f>
        <v>0</v>
      </c>
      <c r="O858" s="11">
        <f t="shared" si="434"/>
        <v>0</v>
      </c>
      <c r="P858" s="25"/>
      <c r="Q858" s="10" t="str">
        <f t="shared" si="504"/>
        <v>MarçoSEMANA 2Shoyu Light Bb 5 Lt</v>
      </c>
      <c r="R858" s="7">
        <f>SUMIF(NF!$A:$A,$Q858,NF!$I:$I)</f>
        <v>1</v>
      </c>
      <c r="S858" s="6"/>
      <c r="T858" s="6"/>
      <c r="U858" s="6"/>
      <c r="V858" s="6"/>
      <c r="W858" s="6">
        <v>1</v>
      </c>
      <c r="X858" s="6"/>
      <c r="Y858" s="6"/>
      <c r="Z858" s="7">
        <f t="shared" ref="Z858:Z891" si="545">SUM(S858:Y858)</f>
        <v>1</v>
      </c>
      <c r="AA858" s="11">
        <f t="shared" si="437"/>
        <v>0</v>
      </c>
      <c r="AB858" s="25"/>
      <c r="AC858" s="10" t="str">
        <f t="shared" si="505"/>
        <v>MarçoSEMANA 3Shoyu Light Bb 5 Lt</v>
      </c>
      <c r="AD858" s="7">
        <f>SUMIF(NF!$A:$A,$AC858,NF!$I:$I)</f>
        <v>0</v>
      </c>
      <c r="AE858" s="6"/>
      <c r="AF858" s="6"/>
      <c r="AG858" s="6"/>
      <c r="AH858" s="6"/>
      <c r="AI858" s="6"/>
      <c r="AJ858" s="6"/>
      <c r="AK858" s="6"/>
      <c r="AL858" s="7">
        <f t="shared" ref="AL858:AL891" si="546">SUM(AE858:AK858)</f>
        <v>0</v>
      </c>
      <c r="AM858" s="11">
        <f t="shared" si="440"/>
        <v>0</v>
      </c>
      <c r="AN858" s="25"/>
      <c r="AO858" s="10" t="str">
        <f t="shared" si="506"/>
        <v>MarçoSEMANA 4Shoyu Light Bb 5 Lt</v>
      </c>
      <c r="AP858" s="7">
        <f>SUMIF(NF!$A:$A,$AO858,NF!$I:$I)</f>
        <v>3</v>
      </c>
      <c r="AQ858" s="6"/>
      <c r="AR858" s="6"/>
      <c r="AS858" s="6"/>
      <c r="AT858" s="6"/>
      <c r="AU858" s="6"/>
      <c r="AV858" s="6"/>
      <c r="AW858" s="6"/>
      <c r="AX858" s="7">
        <f t="shared" ref="AX858:AX891" si="547">SUM(AQ858:AW858)</f>
        <v>0</v>
      </c>
      <c r="AY858" s="11">
        <f t="shared" si="443"/>
        <v>3</v>
      </c>
      <c r="AZ858" s="25"/>
      <c r="BA858" s="10" t="str">
        <f t="shared" si="507"/>
        <v>MarçoSEMANA 5Shoyu Light Bb 5 Lt</v>
      </c>
      <c r="BB858" s="7">
        <f>SUMIF(NF!$A:$A,$BA858,NF!$I:$I)</f>
        <v>0</v>
      </c>
      <c r="BC858" s="6"/>
      <c r="BD858" s="6"/>
      <c r="BE858" s="6"/>
      <c r="BF858" s="6"/>
      <c r="BG858" s="6"/>
      <c r="BH858" s="6"/>
      <c r="BI858" s="74"/>
      <c r="BJ858" s="74"/>
      <c r="BK858" s="7">
        <f t="shared" ref="BK858:BK891" si="548">SUM(BC858:BJ858)</f>
        <v>0</v>
      </c>
      <c r="BL858" s="8">
        <f t="shared" si="446"/>
        <v>3</v>
      </c>
      <c r="BM858" s="51" t="str">
        <f>IFERROR(VLOOKUP(A858,NF!$M:$O,3,0),"")</f>
        <v>Mercado</v>
      </c>
      <c r="BN858" s="7">
        <f t="shared" si="447"/>
        <v>1</v>
      </c>
      <c r="BO858" s="8">
        <f t="array" ref="BO858">IFERROR(LARGE(IF(NF!$G$2:$G$3137='Mês atual'!A858,NF!$J$2:$J$3137),1),0)*BN858</f>
        <v>24.774999999999999</v>
      </c>
      <c r="BP858" s="50"/>
      <c r="BR858" s="146">
        <f t="array" ref="BR858">IFERROR(LARGE(IF(NF!$G$2:$G$3137='Mês atual'!A858,NF!$J$2:$J$3137),1),0)</f>
        <v>24.774999999999999</v>
      </c>
      <c r="BS858" s="142" t="str">
        <f>VLOOKUP(A858,NF!M:O,3,0)</f>
        <v>Mercado</v>
      </c>
      <c r="BV858" s="74">
        <f t="shared" si="529"/>
        <v>0</v>
      </c>
      <c r="BW858" s="74">
        <f t="shared" si="530"/>
        <v>1</v>
      </c>
      <c r="BX858" s="74">
        <f t="shared" si="531"/>
        <v>0</v>
      </c>
      <c r="BY858" s="74">
        <f t="shared" si="532"/>
        <v>0</v>
      </c>
      <c r="BZ858" s="74">
        <f t="shared" si="533"/>
        <v>0</v>
      </c>
    </row>
    <row r="859" spans="1:78" x14ac:dyDescent="0.2">
      <c r="A859" s="108" t="s">
        <v>743</v>
      </c>
      <c r="B859" s="12"/>
      <c r="C859" s="9">
        <v>0</v>
      </c>
      <c r="D859" s="25"/>
      <c r="E859" s="10" t="str">
        <f t="shared" si="503"/>
        <v>MarçoSEMANA 1Shoyu Premium (Mesa) Bb 5 Lt</v>
      </c>
      <c r="F859" s="7">
        <f>SUMIF(NF!$A:$A,$E859,NF!$I:$I)</f>
        <v>0</v>
      </c>
      <c r="G859" s="74"/>
      <c r="H859" s="74"/>
      <c r="I859" s="74"/>
      <c r="J859" s="6"/>
      <c r="K859" s="6"/>
      <c r="L859" s="6"/>
      <c r="M859" s="6"/>
      <c r="N859" s="7">
        <f t="shared" si="544"/>
        <v>0</v>
      </c>
      <c r="O859" s="11">
        <f t="shared" si="434"/>
        <v>0</v>
      </c>
      <c r="P859" s="25"/>
      <c r="Q859" s="10" t="str">
        <f t="shared" si="504"/>
        <v>MarçoSEMANA 2Shoyu Premium (Mesa) Bb 5 Lt</v>
      </c>
      <c r="R859" s="7">
        <f>SUMIF(NF!$A:$A,$Q859,NF!$I:$I)</f>
        <v>0</v>
      </c>
      <c r="S859" s="6"/>
      <c r="T859" s="6"/>
      <c r="U859" s="6"/>
      <c r="V859" s="6"/>
      <c r="W859" s="6"/>
      <c r="X859" s="6"/>
      <c r="Y859" s="6"/>
      <c r="Z859" s="7">
        <f t="shared" si="545"/>
        <v>0</v>
      </c>
      <c r="AA859" s="11">
        <f t="shared" si="437"/>
        <v>0</v>
      </c>
      <c r="AB859" s="25"/>
      <c r="AC859" s="10" t="str">
        <f t="shared" si="505"/>
        <v>MarçoSEMANA 3Shoyu Premium (Mesa) Bb 5 Lt</v>
      </c>
      <c r="AD859" s="7">
        <f>SUMIF(NF!$A:$A,$AC859,NF!$I:$I)</f>
        <v>1</v>
      </c>
      <c r="AE859" s="6"/>
      <c r="AF859" s="6"/>
      <c r="AG859" s="6"/>
      <c r="AH859" s="6"/>
      <c r="AI859" s="6"/>
      <c r="AJ859" s="6"/>
      <c r="AK859" s="6"/>
      <c r="AL859" s="7">
        <f t="shared" si="546"/>
        <v>0</v>
      </c>
      <c r="AM859" s="11">
        <f t="shared" si="440"/>
        <v>1</v>
      </c>
      <c r="AN859" s="25"/>
      <c r="AO859" s="10" t="str">
        <f t="shared" si="506"/>
        <v>MarçoSEMANA 4Shoyu Premium (Mesa) Bb 5 Lt</v>
      </c>
      <c r="AP859" s="7">
        <f>SUMIF(NF!$A:$A,$AO859,NF!$I:$I)</f>
        <v>0</v>
      </c>
      <c r="AQ859" s="6"/>
      <c r="AR859" s="6"/>
      <c r="AS859" s="6"/>
      <c r="AT859" s="6"/>
      <c r="AU859" s="6">
        <v>1</v>
      </c>
      <c r="AV859" s="6"/>
      <c r="AW859" s="6"/>
      <c r="AX859" s="7">
        <f t="shared" si="547"/>
        <v>1</v>
      </c>
      <c r="AY859" s="11">
        <f t="shared" si="443"/>
        <v>0</v>
      </c>
      <c r="AZ859" s="25"/>
      <c r="BA859" s="10" t="str">
        <f t="shared" si="507"/>
        <v>MarçoSEMANA 5Shoyu Premium (Mesa) Bb 5 Lt</v>
      </c>
      <c r="BB859" s="7">
        <f>SUMIF(NF!$A:$A,$BA859,NF!$I:$I)</f>
        <v>0</v>
      </c>
      <c r="BC859" s="6"/>
      <c r="BD859" s="6"/>
      <c r="BE859" s="6"/>
      <c r="BF859" s="6"/>
      <c r="BG859" s="6"/>
      <c r="BH859" s="6"/>
      <c r="BI859" s="74"/>
      <c r="BJ859" s="74"/>
      <c r="BK859" s="7">
        <f t="shared" si="548"/>
        <v>0</v>
      </c>
      <c r="BL859" s="8">
        <f t="shared" si="446"/>
        <v>0</v>
      </c>
      <c r="BM859" s="51" t="str">
        <f>IFERROR(VLOOKUP(A859,NF!$M:$O,3,0),"")</f>
        <v>Mercado</v>
      </c>
      <c r="BN859" s="7">
        <f t="shared" si="447"/>
        <v>1</v>
      </c>
      <c r="BO859" s="8">
        <f t="array" ref="BO859">IFERROR(LARGE(IF(NF!$G$2:$G$3137='Mês atual'!A859,NF!$J$2:$J$3137),1),0)*BN859</f>
        <v>55.49</v>
      </c>
      <c r="BP859" s="50"/>
      <c r="BR859" s="146">
        <f t="array" ref="BR859">IFERROR(LARGE(IF(NF!$G$2:$G$3137='Mês atual'!A859,NF!$J$2:$J$3137),1),0)</f>
        <v>55.49</v>
      </c>
      <c r="BS859" s="142" t="str">
        <f>VLOOKUP(A859,NF!M:O,3,0)</f>
        <v>Mercado</v>
      </c>
      <c r="BV859" s="74">
        <f t="shared" si="529"/>
        <v>0</v>
      </c>
      <c r="BW859" s="74">
        <f t="shared" si="530"/>
        <v>0</v>
      </c>
      <c r="BX859" s="74">
        <f t="shared" si="531"/>
        <v>0</v>
      </c>
      <c r="BY859" s="74">
        <f t="shared" si="532"/>
        <v>1</v>
      </c>
      <c r="BZ859" s="74">
        <f t="shared" si="533"/>
        <v>0</v>
      </c>
    </row>
    <row r="860" spans="1:78" x14ac:dyDescent="0.2">
      <c r="A860" s="108" t="s">
        <v>913</v>
      </c>
      <c r="B860" s="12"/>
      <c r="C860" s="9">
        <v>150</v>
      </c>
      <c r="D860" s="25"/>
      <c r="E860" s="10" t="str">
        <f t="shared" si="503"/>
        <v>MarçoSEMANA 1Shoyu Sache</v>
      </c>
      <c r="F860" s="7">
        <f>SUMIF(NF!$A:$A,$E860,NF!$I:$I)</f>
        <v>0</v>
      </c>
      <c r="G860" s="74"/>
      <c r="H860" s="74"/>
      <c r="I860" s="74"/>
      <c r="J860" s="6"/>
      <c r="K860" s="6"/>
      <c r="L860" s="6"/>
      <c r="M860" s="6"/>
      <c r="N860" s="7">
        <f t="shared" si="544"/>
        <v>0</v>
      </c>
      <c r="O860" s="11">
        <f t="shared" si="434"/>
        <v>150</v>
      </c>
      <c r="P860" s="25"/>
      <c r="Q860" s="10" t="str">
        <f t="shared" si="504"/>
        <v>MarçoSEMANA 2Shoyu Sache</v>
      </c>
      <c r="R860" s="7">
        <f>SUMIF(NF!$A:$A,$Q860,NF!$I:$I)</f>
        <v>0</v>
      </c>
      <c r="S860" s="6"/>
      <c r="T860" s="6"/>
      <c r="U860" s="6"/>
      <c r="V860" s="6"/>
      <c r="W860" s="6"/>
      <c r="X860" s="6"/>
      <c r="Y860" s="6"/>
      <c r="Z860" s="7">
        <f t="shared" si="545"/>
        <v>0</v>
      </c>
      <c r="AA860" s="11">
        <f t="shared" si="437"/>
        <v>150</v>
      </c>
      <c r="AB860" s="25"/>
      <c r="AC860" s="10" t="str">
        <f t="shared" si="505"/>
        <v>MarçoSEMANA 3Shoyu Sache</v>
      </c>
      <c r="AD860" s="7">
        <f>SUMIF(NF!$A:$A,$AC860,NF!$I:$I)</f>
        <v>0</v>
      </c>
      <c r="AE860" s="6"/>
      <c r="AF860" s="6"/>
      <c r="AG860" s="6"/>
      <c r="AH860" s="6"/>
      <c r="AI860" s="6"/>
      <c r="AJ860" s="6"/>
      <c r="AK860" s="6"/>
      <c r="AL860" s="7">
        <f t="shared" si="546"/>
        <v>0</v>
      </c>
      <c r="AM860" s="11">
        <f t="shared" si="440"/>
        <v>150</v>
      </c>
      <c r="AN860" s="25"/>
      <c r="AO860" s="10" t="str">
        <f t="shared" si="506"/>
        <v>MarçoSEMANA 4Shoyu Sache</v>
      </c>
      <c r="AP860" s="7">
        <f>SUMIF(NF!$A:$A,$AO860,NF!$I:$I)</f>
        <v>0</v>
      </c>
      <c r="AQ860" s="6"/>
      <c r="AR860" s="6"/>
      <c r="AS860" s="6"/>
      <c r="AT860" s="6"/>
      <c r="AU860" s="6"/>
      <c r="AV860" s="6"/>
      <c r="AW860" s="6"/>
      <c r="AX860" s="7">
        <f t="shared" si="547"/>
        <v>0</v>
      </c>
      <c r="AY860" s="11">
        <f t="shared" si="443"/>
        <v>150</v>
      </c>
      <c r="AZ860" s="25"/>
      <c r="BA860" s="10" t="str">
        <f t="shared" si="507"/>
        <v>MarçoSEMANA 5Shoyu Sache</v>
      </c>
      <c r="BB860" s="7">
        <f>SUMIF(NF!$A:$A,$BA860,NF!$I:$I)</f>
        <v>0</v>
      </c>
      <c r="BC860" s="6"/>
      <c r="BD860" s="6"/>
      <c r="BE860" s="6"/>
      <c r="BF860" s="6"/>
      <c r="BG860" s="6"/>
      <c r="BH860" s="6"/>
      <c r="BI860" s="74"/>
      <c r="BJ860" s="74"/>
      <c r="BK860" s="7">
        <f t="shared" si="548"/>
        <v>0</v>
      </c>
      <c r="BL860" s="8">
        <f t="shared" si="446"/>
        <v>150</v>
      </c>
      <c r="BM860" s="51" t="str">
        <f>IFERROR(VLOOKUP(A860,NF!$M:$O,3,0),"")</f>
        <v>Mercado</v>
      </c>
      <c r="BN860" s="7">
        <f t="shared" si="447"/>
        <v>0</v>
      </c>
      <c r="BO860" s="8">
        <f t="array" ref="BO860">IFERROR(LARGE(IF(NF!$G$2:$G$3137='Mês atual'!A860,NF!$J$2:$J$3137),1),0)*BN860</f>
        <v>0</v>
      </c>
      <c r="BP860" s="50"/>
      <c r="BR860" s="146">
        <f t="array" ref="BR860">IFERROR(LARGE(IF(NF!$G$2:$G$3137='Mês atual'!A860,NF!$J$2:$J$3137),1),0)</f>
        <v>0</v>
      </c>
      <c r="BS860" s="142" t="str">
        <f>VLOOKUP(A860,NF!M:O,3,0)</f>
        <v>Mercado</v>
      </c>
      <c r="BV860" s="74">
        <f t="shared" ref="BV860:BV925" si="549">N860</f>
        <v>0</v>
      </c>
      <c r="BW860" s="74">
        <f t="shared" ref="BW860:BW925" si="550">Z860</f>
        <v>0</v>
      </c>
      <c r="BX860" s="74">
        <f t="shared" ref="BX860:BX925" si="551">AL860</f>
        <v>0</v>
      </c>
      <c r="BY860" s="74">
        <f t="shared" ref="BY860:BY925" si="552">AX860</f>
        <v>0</v>
      </c>
      <c r="BZ860" s="74">
        <f t="shared" ref="BZ860:BZ925" si="553">BK860</f>
        <v>0</v>
      </c>
    </row>
    <row r="861" spans="1:78" x14ac:dyDescent="0.2">
      <c r="A861" s="108" t="s">
        <v>1067</v>
      </c>
      <c r="B861" s="12"/>
      <c r="C861" s="9">
        <v>250</v>
      </c>
      <c r="D861" s="25"/>
      <c r="E861" s="10" t="str">
        <f t="shared" si="503"/>
        <v>MarçoSEMANA 1Shoyu Sache Light (bisnaga)</v>
      </c>
      <c r="F861" s="7">
        <f>SUMIF(NF!$A:$A,$E861,NF!$I:$I)</f>
        <v>0</v>
      </c>
      <c r="G861" s="74"/>
      <c r="H861" s="74"/>
      <c r="I861" s="74"/>
      <c r="J861" s="6"/>
      <c r="K861" s="6"/>
      <c r="L861" s="6"/>
      <c r="M861" s="6"/>
      <c r="N861" s="7">
        <f>SUM(G861:M861)</f>
        <v>0</v>
      </c>
      <c r="O861" s="11">
        <f>F861+C861-N861</f>
        <v>250</v>
      </c>
      <c r="P861" s="25"/>
      <c r="Q861" s="10" t="str">
        <f t="shared" si="504"/>
        <v>MarçoSEMANA 2Shoyu Sache Light (bisnaga)</v>
      </c>
      <c r="R861" s="7">
        <f>SUMIF(NF!$A:$A,$Q861,NF!$I:$I)</f>
        <v>0</v>
      </c>
      <c r="S861" s="6"/>
      <c r="T861" s="6">
        <v>250</v>
      </c>
      <c r="U861" s="6"/>
      <c r="V861" s="6"/>
      <c r="W861" s="6"/>
      <c r="X861" s="6"/>
      <c r="Y861" s="6"/>
      <c r="Z861" s="7">
        <f>SUM(S861:Y861)</f>
        <v>250</v>
      </c>
      <c r="AA861" s="11">
        <f>R861+O861-Z861</f>
        <v>0</v>
      </c>
      <c r="AB861" s="25"/>
      <c r="AC861" s="10" t="str">
        <f t="shared" si="505"/>
        <v>MarçoSEMANA 3Shoyu Sache Light (bisnaga)</v>
      </c>
      <c r="AD861" s="7">
        <f>SUMIF(NF!$A:$A,$AC861,NF!$I:$I)</f>
        <v>1500</v>
      </c>
      <c r="AE861" s="6"/>
      <c r="AF861" s="6"/>
      <c r="AG861" s="6">
        <v>250</v>
      </c>
      <c r="AH861" s="6"/>
      <c r="AI861" s="6"/>
      <c r="AJ861" s="6"/>
      <c r="AK861" s="6"/>
      <c r="AL861" s="7">
        <f>SUM(AE861:AK861)</f>
        <v>250</v>
      </c>
      <c r="AM861" s="11">
        <f>AD861+AA861-AL861</f>
        <v>1250</v>
      </c>
      <c r="AN861" s="25"/>
      <c r="AO861" s="10" t="str">
        <f t="shared" si="506"/>
        <v>MarçoSEMANA 4Shoyu Sache Light (bisnaga)</v>
      </c>
      <c r="AP861" s="7">
        <f>SUMIF(NF!$A:$A,$AO861,NF!$I:$I)</f>
        <v>0</v>
      </c>
      <c r="AQ861" s="6">
        <v>250</v>
      </c>
      <c r="AR861" s="6"/>
      <c r="AS861" s="6"/>
      <c r="AT861" s="6"/>
      <c r="AU861" s="6"/>
      <c r="AV861" s="6"/>
      <c r="AW861" s="6"/>
      <c r="AX861" s="7">
        <f>SUM(AQ861:AW861)</f>
        <v>250</v>
      </c>
      <c r="AY861" s="11">
        <f>AP861+AM861-AX861</f>
        <v>1000</v>
      </c>
      <c r="AZ861" s="25"/>
      <c r="BA861" s="10" t="str">
        <f t="shared" si="507"/>
        <v>MarçoSEMANA 5Shoyu Sache Light (bisnaga)</v>
      </c>
      <c r="BB861" s="7">
        <f>SUMIF(NF!$A:$A,$BA861,NF!$I:$I)</f>
        <v>0</v>
      </c>
      <c r="BC861" s="6"/>
      <c r="BD861" s="6">
        <v>250</v>
      </c>
      <c r="BE861" s="6"/>
      <c r="BF861" s="6"/>
      <c r="BG861" s="6"/>
      <c r="BH861" s="6"/>
      <c r="BI861" s="74"/>
      <c r="BJ861" s="74"/>
      <c r="BK861" s="7">
        <f>SUM(BC861:BJ861)</f>
        <v>250</v>
      </c>
      <c r="BL861" s="8">
        <f>BB861+AY861-BK861</f>
        <v>750</v>
      </c>
      <c r="BM861" s="51" t="str">
        <f>IFERROR(VLOOKUP(A861,NF!$M:$O,3,0),"")</f>
        <v>Mercado</v>
      </c>
      <c r="BN861" s="7">
        <f>SUM(N861,Z861,AL861,AX861,BK861)</f>
        <v>1000</v>
      </c>
      <c r="BO861" s="8">
        <f t="array" ref="BO861">IFERROR(LARGE(IF(NF!$G$2:$G$3137='Mês atual'!A861,NF!$J$2:$J$3137),1),0)*BN861</f>
        <v>308</v>
      </c>
      <c r="BP861" s="50"/>
      <c r="BR861" s="146">
        <f t="array" ref="BR861">IFERROR(LARGE(IF(NF!$G$2:$G$3137='Mês atual'!A861,NF!$J$2:$J$3137),1),0)</f>
        <v>0.308</v>
      </c>
      <c r="BS861" s="142" t="str">
        <f>VLOOKUP(A861,NF!M:O,3,0)</f>
        <v>Mercado</v>
      </c>
      <c r="BV861" s="74">
        <f>N861</f>
        <v>0</v>
      </c>
      <c r="BW861" s="74">
        <f>Z861</f>
        <v>250</v>
      </c>
      <c r="BX861" s="74">
        <f>AL861</f>
        <v>250</v>
      </c>
      <c r="BY861" s="74">
        <f>AX861</f>
        <v>250</v>
      </c>
      <c r="BZ861" s="74">
        <f>BK861</f>
        <v>250</v>
      </c>
    </row>
    <row r="862" spans="1:78" x14ac:dyDescent="0.2">
      <c r="A862" s="108" t="s">
        <v>1060</v>
      </c>
      <c r="B862" s="12"/>
      <c r="C862" s="9">
        <f>2*250</f>
        <v>500</v>
      </c>
      <c r="D862" s="25"/>
      <c r="E862" s="10" t="str">
        <f t="shared" si="503"/>
        <v>MarçoSEMANA 1Shoyu Sache Premium (bisnaga)</v>
      </c>
      <c r="F862" s="7">
        <f>SUMIF(NF!$A:$A,$E862,NF!$I:$I)</f>
        <v>0</v>
      </c>
      <c r="G862" s="74"/>
      <c r="H862" s="74"/>
      <c r="I862" s="74"/>
      <c r="J862" s="6"/>
      <c r="K862" s="6"/>
      <c r="L862" s="6"/>
      <c r="M862" s="6"/>
      <c r="N862" s="7">
        <f>SUM(G862:M862)</f>
        <v>0</v>
      </c>
      <c r="O862" s="11">
        <f>F862+C862-N862</f>
        <v>500</v>
      </c>
      <c r="P862" s="25"/>
      <c r="Q862" s="10" t="str">
        <f t="shared" si="504"/>
        <v>MarçoSEMANA 2Shoyu Sache Premium (bisnaga)</v>
      </c>
      <c r="R862" s="7">
        <f>SUMIF(NF!$A:$A,$Q862,NF!$I:$I)</f>
        <v>0</v>
      </c>
      <c r="S862" s="6">
        <v>250</v>
      </c>
      <c r="T862" s="6"/>
      <c r="U862" s="6"/>
      <c r="V862" s="6"/>
      <c r="W862" s="6"/>
      <c r="X862" s="6"/>
      <c r="Y862" s="6"/>
      <c r="Z862" s="7">
        <f>SUM(S862:Y862)</f>
        <v>250</v>
      </c>
      <c r="AA862" s="11">
        <f>R862+O862-Z862</f>
        <v>250</v>
      </c>
      <c r="AB862" s="25"/>
      <c r="AC862" s="10" t="str">
        <f t="shared" si="505"/>
        <v>MarçoSEMANA 3Shoyu Sache Premium (bisnaga)</v>
      </c>
      <c r="AD862" s="7">
        <f>SUMIF(NF!$A:$A,$AC862,NF!$I:$I)</f>
        <v>750</v>
      </c>
      <c r="AE862" s="6"/>
      <c r="AF862" s="6"/>
      <c r="AG862" s="6">
        <v>250</v>
      </c>
      <c r="AH862" s="6"/>
      <c r="AI862" s="6"/>
      <c r="AJ862" s="6"/>
      <c r="AK862" s="6"/>
      <c r="AL862" s="7">
        <f>SUM(AE862:AK862)</f>
        <v>250</v>
      </c>
      <c r="AM862" s="11">
        <f>AD862+AA862-AL862</f>
        <v>750</v>
      </c>
      <c r="AN862" s="25"/>
      <c r="AO862" s="10" t="str">
        <f t="shared" si="506"/>
        <v>MarçoSEMANA 4Shoyu Sache Premium (bisnaga)</v>
      </c>
      <c r="AP862" s="7">
        <f>SUMIF(NF!$A:$A,$AO862,NF!$I:$I)</f>
        <v>0</v>
      </c>
      <c r="AQ862" s="6"/>
      <c r="AR862" s="6"/>
      <c r="AS862" s="6"/>
      <c r="AT862" s="6"/>
      <c r="AU862" s="6"/>
      <c r="AV862" s="6">
        <v>250</v>
      </c>
      <c r="AW862" s="6"/>
      <c r="AX862" s="7">
        <f>SUM(AQ862:AW862)</f>
        <v>250</v>
      </c>
      <c r="AY862" s="11">
        <f>AP862+AM862-AX862</f>
        <v>500</v>
      </c>
      <c r="AZ862" s="25"/>
      <c r="BA862" s="10" t="str">
        <f t="shared" si="507"/>
        <v>MarçoSEMANA 5Shoyu Sache Premium (bisnaga)</v>
      </c>
      <c r="BB862" s="7">
        <f>SUMIF(NF!$A:$A,$BA862,NF!$I:$I)</f>
        <v>0</v>
      </c>
      <c r="BC862" s="6"/>
      <c r="BD862" s="6"/>
      <c r="BE862" s="6"/>
      <c r="BF862" s="6"/>
      <c r="BG862" s="6"/>
      <c r="BH862" s="6"/>
      <c r="BI862" s="74"/>
      <c r="BJ862" s="74"/>
      <c r="BK862" s="7">
        <f>SUM(BC862:BJ862)</f>
        <v>0</v>
      </c>
      <c r="BL862" s="8">
        <f>BB862+AY862-BK862</f>
        <v>500</v>
      </c>
      <c r="BM862" s="51" t="str">
        <f>IFERROR(VLOOKUP(A862,NF!$M:$O,3,0),"")</f>
        <v>Mercado</v>
      </c>
      <c r="BN862" s="7">
        <f>SUM(N862,Z862,AL862,AX862,BK862)</f>
        <v>750</v>
      </c>
      <c r="BO862" s="8">
        <f t="array" ref="BO862">IFERROR(LARGE(IF(NF!$G$2:$G$3137='Mês atual'!A862,NF!$J$2:$J$3137),1),0)*BN862</f>
        <v>231</v>
      </c>
      <c r="BP862" s="50"/>
      <c r="BR862" s="146">
        <f t="array" ref="BR862">IFERROR(LARGE(IF(NF!$G$2:$G$3137='Mês atual'!A862,NF!$J$2:$J$3137),1),0)</f>
        <v>0.308</v>
      </c>
      <c r="BS862" s="142" t="str">
        <f>VLOOKUP(A862,NF!M:O,3,0)</f>
        <v>Mercado</v>
      </c>
      <c r="BV862" s="74">
        <f>N862</f>
        <v>0</v>
      </c>
      <c r="BW862" s="74">
        <f>Z862</f>
        <v>250</v>
      </c>
      <c r="BX862" s="74">
        <f>AL862</f>
        <v>250</v>
      </c>
      <c r="BY862" s="74">
        <f>AX862</f>
        <v>250</v>
      </c>
      <c r="BZ862" s="74">
        <f>BK862</f>
        <v>0</v>
      </c>
    </row>
    <row r="863" spans="1:78" x14ac:dyDescent="0.2">
      <c r="A863" s="108" t="s">
        <v>744</v>
      </c>
      <c r="B863" s="12"/>
      <c r="C863" s="9">
        <f>1-1</f>
        <v>0</v>
      </c>
      <c r="D863" s="25"/>
      <c r="E863" s="10" t="str">
        <f t="shared" si="503"/>
        <v>MarçoSEMANA 1Shoyu Tradicional (Cozinha) Bb 5 Lt</v>
      </c>
      <c r="F863" s="7">
        <f>SUMIF(NF!$A:$A,$E863,NF!$I:$I)</f>
        <v>1</v>
      </c>
      <c r="G863" s="74"/>
      <c r="H863" s="74"/>
      <c r="I863" s="74"/>
      <c r="J863" s="6">
        <v>1</v>
      </c>
      <c r="K863" s="6"/>
      <c r="L863" s="6"/>
      <c r="M863" s="6"/>
      <c r="N863" s="7">
        <f t="shared" si="544"/>
        <v>1</v>
      </c>
      <c r="O863" s="11">
        <f t="shared" si="434"/>
        <v>0</v>
      </c>
      <c r="P863" s="25"/>
      <c r="Q863" s="10" t="str">
        <f t="shared" si="504"/>
        <v>MarçoSEMANA 2Shoyu Tradicional (Cozinha) Bb 5 Lt</v>
      </c>
      <c r="R863" s="7">
        <f>SUMIF(NF!$A:$A,$Q863,NF!$I:$I)</f>
        <v>7</v>
      </c>
      <c r="S863" s="6"/>
      <c r="T863" s="6"/>
      <c r="U863" s="6"/>
      <c r="V863" s="6"/>
      <c r="W863" s="6"/>
      <c r="X863" s="6"/>
      <c r="Y863" s="6"/>
      <c r="Z863" s="7">
        <f t="shared" si="545"/>
        <v>0</v>
      </c>
      <c r="AA863" s="11">
        <f t="shared" si="437"/>
        <v>7</v>
      </c>
      <c r="AB863" s="25"/>
      <c r="AC863" s="10" t="str">
        <f t="shared" si="505"/>
        <v>MarçoSEMANA 3Shoyu Tradicional (Cozinha) Bb 5 Lt</v>
      </c>
      <c r="AD863" s="7">
        <f>SUMIF(NF!$A:$A,$AC863,NF!$I:$I)</f>
        <v>0</v>
      </c>
      <c r="AE863" s="6">
        <v>1</v>
      </c>
      <c r="AF863" s="6"/>
      <c r="AG863" s="6">
        <v>1</v>
      </c>
      <c r="AH863" s="6"/>
      <c r="AI863" s="6">
        <v>1</v>
      </c>
      <c r="AJ863" s="6"/>
      <c r="AK863" s="6"/>
      <c r="AL863" s="7">
        <f t="shared" si="546"/>
        <v>3</v>
      </c>
      <c r="AM863" s="11">
        <f t="shared" si="440"/>
        <v>4</v>
      </c>
      <c r="AN863" s="25"/>
      <c r="AO863" s="10" t="str">
        <f t="shared" si="506"/>
        <v>MarçoSEMANA 4Shoyu Tradicional (Cozinha) Bb 5 Lt</v>
      </c>
      <c r="AP863" s="7">
        <f>SUMIF(NF!$A:$A,$AO863,NF!$I:$I)</f>
        <v>2</v>
      </c>
      <c r="AQ863" s="6"/>
      <c r="AR863" s="6">
        <v>1</v>
      </c>
      <c r="AS863" s="6"/>
      <c r="AT863" s="6"/>
      <c r="AU863" s="6">
        <v>1</v>
      </c>
      <c r="AV863" s="6"/>
      <c r="AW863" s="6"/>
      <c r="AX863" s="7">
        <f t="shared" si="547"/>
        <v>2</v>
      </c>
      <c r="AY863" s="11">
        <f t="shared" si="443"/>
        <v>4</v>
      </c>
      <c r="AZ863" s="25"/>
      <c r="BA863" s="10" t="str">
        <f t="shared" si="507"/>
        <v>MarçoSEMANA 5Shoyu Tradicional (Cozinha) Bb 5 Lt</v>
      </c>
      <c r="BB863" s="7">
        <f>SUMIF(NF!$A:$A,$BA863,NF!$I:$I)</f>
        <v>0</v>
      </c>
      <c r="BC863" s="6"/>
      <c r="BD863" s="6"/>
      <c r="BE863" s="6">
        <v>1</v>
      </c>
      <c r="BF863" s="6"/>
      <c r="BG863" s="6"/>
      <c r="BH863" s="6"/>
      <c r="BI863" s="74"/>
      <c r="BJ863" s="74"/>
      <c r="BK863" s="7">
        <f t="shared" si="548"/>
        <v>1</v>
      </c>
      <c r="BL863" s="8">
        <f t="shared" si="446"/>
        <v>3</v>
      </c>
      <c r="BM863" s="51" t="str">
        <f>IFERROR(VLOOKUP(A863,NF!$M:$O,3,0),"")</f>
        <v>Mercado</v>
      </c>
      <c r="BN863" s="7">
        <f t="shared" si="447"/>
        <v>7</v>
      </c>
      <c r="BO863" s="8">
        <f t="array" ref="BO863">IFERROR(LARGE(IF(NF!$G$2:$G$3137='Mês atual'!A863,NF!$J$2:$J$3137),1),0)*BN863</f>
        <v>351.53999999999996</v>
      </c>
      <c r="BP863" s="50"/>
      <c r="BR863" s="146">
        <f t="array" ref="BR863">IFERROR(LARGE(IF(NF!$G$2:$G$3137='Mês atual'!A863,NF!$J$2:$J$3137),1),0)</f>
        <v>50.22</v>
      </c>
      <c r="BS863" s="142" t="str">
        <f>VLOOKUP(A863,NF!M:O,3,0)</f>
        <v>Mercado</v>
      </c>
      <c r="BV863" s="74">
        <f t="shared" si="549"/>
        <v>1</v>
      </c>
      <c r="BW863" s="74">
        <f t="shared" si="550"/>
        <v>0</v>
      </c>
      <c r="BX863" s="74">
        <f t="shared" si="551"/>
        <v>3</v>
      </c>
      <c r="BY863" s="74">
        <f t="shared" si="552"/>
        <v>2</v>
      </c>
      <c r="BZ863" s="74">
        <f t="shared" si="553"/>
        <v>1</v>
      </c>
    </row>
    <row r="864" spans="1:78" x14ac:dyDescent="0.2">
      <c r="A864" s="108" t="s">
        <v>748</v>
      </c>
      <c r="B864" s="12"/>
      <c r="C864" s="9">
        <v>0</v>
      </c>
      <c r="D864" s="25"/>
      <c r="E864" s="10" t="str">
        <f t="shared" si="503"/>
        <v>MarçoSEMANA 1Sorvete Vanilla (Italia)</v>
      </c>
      <c r="F864" s="7">
        <f>SUMIF(NF!$A:$A,$E864,NF!$I:$I)</f>
        <v>0</v>
      </c>
      <c r="G864" s="74"/>
      <c r="H864" s="74"/>
      <c r="I864" s="74"/>
      <c r="J864" s="6"/>
      <c r="K864" s="6"/>
      <c r="L864" s="6"/>
      <c r="M864" s="6"/>
      <c r="N864" s="7">
        <f t="shared" si="544"/>
        <v>0</v>
      </c>
      <c r="O864" s="11">
        <f t="shared" si="434"/>
        <v>0</v>
      </c>
      <c r="P864" s="25"/>
      <c r="Q864" s="10" t="str">
        <f t="shared" si="504"/>
        <v>MarçoSEMANA 2Sorvete Vanilla (Italia)</v>
      </c>
      <c r="R864" s="7">
        <f>SUMIF(NF!$A:$A,$Q864,NF!$I:$I)</f>
        <v>0</v>
      </c>
      <c r="S864" s="6"/>
      <c r="T864" s="6"/>
      <c r="U864" s="6"/>
      <c r="V864" s="6"/>
      <c r="W864" s="6"/>
      <c r="X864" s="6"/>
      <c r="Y864" s="6"/>
      <c r="Z864" s="7">
        <f t="shared" si="545"/>
        <v>0</v>
      </c>
      <c r="AA864" s="11">
        <f t="shared" si="437"/>
        <v>0</v>
      </c>
      <c r="AB864" s="25"/>
      <c r="AC864" s="10" t="str">
        <f t="shared" si="505"/>
        <v>MarçoSEMANA 3Sorvete Vanilla (Italia)</v>
      </c>
      <c r="AD864" s="7">
        <f>SUMIF(NF!$A:$A,$AC864,NF!$I:$I)</f>
        <v>0</v>
      </c>
      <c r="AE864" s="6"/>
      <c r="AF864" s="6"/>
      <c r="AG864" s="6"/>
      <c r="AH864" s="6"/>
      <c r="AI864" s="6"/>
      <c r="AJ864" s="6"/>
      <c r="AK864" s="6"/>
      <c r="AL864" s="7">
        <f t="shared" si="546"/>
        <v>0</v>
      </c>
      <c r="AM864" s="11">
        <f t="shared" si="440"/>
        <v>0</v>
      </c>
      <c r="AN864" s="25"/>
      <c r="AO864" s="10" t="str">
        <f t="shared" si="506"/>
        <v>MarçoSEMANA 4Sorvete Vanilla (Italia)</v>
      </c>
      <c r="AP864" s="7">
        <f>SUMIF(NF!$A:$A,$AO864,NF!$I:$I)</f>
        <v>0</v>
      </c>
      <c r="AQ864" s="6"/>
      <c r="AR864" s="6"/>
      <c r="AS864" s="6"/>
      <c r="AT864" s="6"/>
      <c r="AU864" s="6"/>
      <c r="AV864" s="6"/>
      <c r="AW864" s="6"/>
      <c r="AX864" s="7">
        <f t="shared" si="547"/>
        <v>0</v>
      </c>
      <c r="AY864" s="11">
        <f t="shared" si="443"/>
        <v>0</v>
      </c>
      <c r="AZ864" s="25"/>
      <c r="BA864" s="10" t="str">
        <f t="shared" si="507"/>
        <v>MarçoSEMANA 5Sorvete Vanilla (Italia)</v>
      </c>
      <c r="BB864" s="7">
        <f>SUMIF(NF!$A:$A,$BA864,NF!$I:$I)</f>
        <v>0</v>
      </c>
      <c r="BC864" s="6"/>
      <c r="BD864" s="6"/>
      <c r="BE864" s="6"/>
      <c r="BF864" s="6"/>
      <c r="BG864" s="6"/>
      <c r="BH864" s="6"/>
      <c r="BI864" s="74"/>
      <c r="BJ864" s="74"/>
      <c r="BK864" s="7">
        <f t="shared" si="548"/>
        <v>0</v>
      </c>
      <c r="BL864" s="8">
        <f t="shared" si="446"/>
        <v>0</v>
      </c>
      <c r="BM864" s="51" t="str">
        <f>IFERROR(VLOOKUP(A864,NF!$M:$O,3,0),"")</f>
        <v>Mercado</v>
      </c>
      <c r="BN864" s="7">
        <f t="shared" si="447"/>
        <v>0</v>
      </c>
      <c r="BO864" s="8">
        <f t="array" ref="BO864">IFERROR(LARGE(IF(NF!$G$2:$G$3137='Mês atual'!A864,NF!$J$2:$J$3137),1),0)*BN864</f>
        <v>0</v>
      </c>
      <c r="BP864" s="50"/>
      <c r="BR864" s="146">
        <f t="array" ref="BR864">IFERROR(LARGE(IF(NF!$G$2:$G$3137='Mês atual'!A864,NF!$J$2:$J$3137),1),0)</f>
        <v>0</v>
      </c>
      <c r="BS864" s="142" t="str">
        <f>VLOOKUP(A864,NF!M:O,3,0)</f>
        <v>Mercado</v>
      </c>
      <c r="BV864" s="74">
        <f t="shared" si="549"/>
        <v>0</v>
      </c>
      <c r="BW864" s="74">
        <f t="shared" si="550"/>
        <v>0</v>
      </c>
      <c r="BX864" s="74">
        <f t="shared" si="551"/>
        <v>0</v>
      </c>
      <c r="BY864" s="74">
        <f t="shared" si="552"/>
        <v>0</v>
      </c>
      <c r="BZ864" s="74">
        <f t="shared" si="553"/>
        <v>0</v>
      </c>
    </row>
    <row r="865" spans="1:78" x14ac:dyDescent="0.2">
      <c r="A865" s="108" t="s">
        <v>750</v>
      </c>
      <c r="B865" s="12"/>
      <c r="C865" s="9">
        <v>0</v>
      </c>
      <c r="D865" s="25"/>
      <c r="E865" s="10" t="str">
        <f t="shared" si="503"/>
        <v>MarçoSEMANA 1Suco de Caju</v>
      </c>
      <c r="F865" s="7">
        <f>SUMIF(NF!$A:$A,$E865,NF!$I:$I)</f>
        <v>0</v>
      </c>
      <c r="G865" s="74"/>
      <c r="H865" s="74"/>
      <c r="I865" s="74"/>
      <c r="J865" s="6"/>
      <c r="K865" s="6"/>
      <c r="L865" s="6"/>
      <c r="M865" s="6"/>
      <c r="N865" s="7">
        <f t="shared" si="544"/>
        <v>0</v>
      </c>
      <c r="O865" s="11">
        <f t="shared" si="434"/>
        <v>0</v>
      </c>
      <c r="P865" s="25"/>
      <c r="Q865" s="10" t="str">
        <f t="shared" si="504"/>
        <v>MarçoSEMANA 2Suco de Caju</v>
      </c>
      <c r="R865" s="7">
        <f>SUMIF(NF!$A:$A,$Q865,NF!$I:$I)</f>
        <v>0</v>
      </c>
      <c r="S865" s="6"/>
      <c r="T865" s="6"/>
      <c r="U865" s="6"/>
      <c r="V865" s="6"/>
      <c r="W865" s="6"/>
      <c r="X865" s="6"/>
      <c r="Y865" s="6"/>
      <c r="Z865" s="7">
        <f t="shared" si="545"/>
        <v>0</v>
      </c>
      <c r="AA865" s="11">
        <f t="shared" si="437"/>
        <v>0</v>
      </c>
      <c r="AB865" s="25"/>
      <c r="AC865" s="10" t="str">
        <f t="shared" si="505"/>
        <v>MarçoSEMANA 3Suco de Caju</v>
      </c>
      <c r="AD865" s="7">
        <f>SUMIF(NF!$A:$A,$AC865,NF!$I:$I)</f>
        <v>0</v>
      </c>
      <c r="AE865" s="6"/>
      <c r="AF865" s="6"/>
      <c r="AG865" s="6"/>
      <c r="AH865" s="6"/>
      <c r="AI865" s="6"/>
      <c r="AJ865" s="6"/>
      <c r="AK865" s="6"/>
      <c r="AL865" s="7">
        <f t="shared" si="546"/>
        <v>0</v>
      </c>
      <c r="AM865" s="11">
        <f t="shared" si="440"/>
        <v>0</v>
      </c>
      <c r="AN865" s="25"/>
      <c r="AO865" s="10" t="str">
        <f t="shared" si="506"/>
        <v>MarçoSEMANA 4Suco de Caju</v>
      </c>
      <c r="AP865" s="7">
        <f>SUMIF(NF!$A:$A,$AO865,NF!$I:$I)</f>
        <v>0</v>
      </c>
      <c r="AQ865" s="6"/>
      <c r="AR865" s="6"/>
      <c r="AS865" s="6"/>
      <c r="AT865" s="6"/>
      <c r="AU865" s="6"/>
      <c r="AV865" s="6"/>
      <c r="AW865" s="6"/>
      <c r="AX865" s="7">
        <f t="shared" si="547"/>
        <v>0</v>
      </c>
      <c r="AY865" s="11">
        <f t="shared" si="443"/>
        <v>0</v>
      </c>
      <c r="AZ865" s="25"/>
      <c r="BA865" s="10" t="str">
        <f t="shared" si="507"/>
        <v>MarçoSEMANA 5Suco de Caju</v>
      </c>
      <c r="BB865" s="7">
        <f>SUMIF(NF!$A:$A,$BA865,NF!$I:$I)</f>
        <v>0</v>
      </c>
      <c r="BC865" s="6"/>
      <c r="BD865" s="6"/>
      <c r="BE865" s="6"/>
      <c r="BF865" s="6"/>
      <c r="BG865" s="6"/>
      <c r="BH865" s="6"/>
      <c r="BI865" s="74"/>
      <c r="BJ865" s="74"/>
      <c r="BK865" s="7">
        <f t="shared" si="548"/>
        <v>0</v>
      </c>
      <c r="BL865" s="8">
        <f t="shared" si="446"/>
        <v>0</v>
      </c>
      <c r="BM865" s="51" t="str">
        <f>IFERROR(VLOOKUP(A865,NF!$M:$O,3,0),"")</f>
        <v>Mercado</v>
      </c>
      <c r="BN865" s="7">
        <f t="shared" si="447"/>
        <v>0</v>
      </c>
      <c r="BO865" s="8">
        <f t="array" ref="BO865">IFERROR(LARGE(IF(NF!$G$2:$G$3137='Mês atual'!A865,NF!$J$2:$J$3137),1),0)*BN865</f>
        <v>0</v>
      </c>
      <c r="BP865" s="50"/>
      <c r="BR865" s="146">
        <f t="array" ref="BR865">IFERROR(LARGE(IF(NF!$G$2:$G$3137='Mês atual'!A865,NF!$J$2:$J$3137),1),0)</f>
        <v>0</v>
      </c>
      <c r="BS865" s="142" t="str">
        <f>VLOOKUP(A865,NF!M:O,3,0)</f>
        <v>Mercado</v>
      </c>
      <c r="BV865" s="74">
        <f t="shared" si="549"/>
        <v>0</v>
      </c>
      <c r="BW865" s="74">
        <f t="shared" si="550"/>
        <v>0</v>
      </c>
      <c r="BX865" s="74">
        <f t="shared" si="551"/>
        <v>0</v>
      </c>
      <c r="BY865" s="74">
        <f t="shared" si="552"/>
        <v>0</v>
      </c>
      <c r="BZ865" s="74">
        <f t="shared" si="553"/>
        <v>0</v>
      </c>
    </row>
    <row r="866" spans="1:78" x14ac:dyDescent="0.2">
      <c r="A866" s="108" t="s">
        <v>751</v>
      </c>
      <c r="B866" s="12"/>
      <c r="C866" s="9">
        <v>0</v>
      </c>
      <c r="D866" s="25"/>
      <c r="E866" s="10" t="str">
        <f t="shared" si="503"/>
        <v>MarçoSEMANA 1Suco de Laranja</v>
      </c>
      <c r="F866" s="7">
        <f>SUMIF(NF!$A:$A,$E866,NF!$I:$I)</f>
        <v>0</v>
      </c>
      <c r="G866" s="74"/>
      <c r="H866" s="74"/>
      <c r="I866" s="74"/>
      <c r="J866" s="6"/>
      <c r="K866" s="6"/>
      <c r="L866" s="6"/>
      <c r="M866" s="6"/>
      <c r="N866" s="7">
        <f t="shared" si="544"/>
        <v>0</v>
      </c>
      <c r="O866" s="11">
        <f t="shared" si="434"/>
        <v>0</v>
      </c>
      <c r="P866" s="25"/>
      <c r="Q866" s="10" t="str">
        <f t="shared" si="504"/>
        <v>MarçoSEMANA 2Suco de Laranja</v>
      </c>
      <c r="R866" s="7">
        <f>SUMIF(NF!$A:$A,$Q866,NF!$I:$I)</f>
        <v>0</v>
      </c>
      <c r="S866" s="6"/>
      <c r="T866" s="6"/>
      <c r="U866" s="6"/>
      <c r="V866" s="6"/>
      <c r="W866" s="6"/>
      <c r="X866" s="6"/>
      <c r="Y866" s="6"/>
      <c r="Z866" s="7">
        <f t="shared" si="545"/>
        <v>0</v>
      </c>
      <c r="AA866" s="11">
        <f t="shared" si="437"/>
        <v>0</v>
      </c>
      <c r="AB866" s="25"/>
      <c r="AC866" s="10" t="str">
        <f t="shared" si="505"/>
        <v>MarçoSEMANA 3Suco de Laranja</v>
      </c>
      <c r="AD866" s="7">
        <f>SUMIF(NF!$A:$A,$AC866,NF!$I:$I)</f>
        <v>0</v>
      </c>
      <c r="AE866" s="6"/>
      <c r="AF866" s="6"/>
      <c r="AG866" s="6"/>
      <c r="AH866" s="6"/>
      <c r="AI866" s="6"/>
      <c r="AJ866" s="6"/>
      <c r="AK866" s="6"/>
      <c r="AL866" s="7">
        <f t="shared" si="546"/>
        <v>0</v>
      </c>
      <c r="AM866" s="11">
        <f t="shared" si="440"/>
        <v>0</v>
      </c>
      <c r="AN866" s="25"/>
      <c r="AO866" s="10" t="str">
        <f t="shared" si="506"/>
        <v>MarçoSEMANA 4Suco de Laranja</v>
      </c>
      <c r="AP866" s="7">
        <f>SUMIF(NF!$A:$A,$AO866,NF!$I:$I)</f>
        <v>0</v>
      </c>
      <c r="AQ866" s="6"/>
      <c r="AR866" s="6"/>
      <c r="AS866" s="6"/>
      <c r="AT866" s="6"/>
      <c r="AU866" s="6"/>
      <c r="AV866" s="6"/>
      <c r="AW866" s="6"/>
      <c r="AX866" s="7">
        <f t="shared" si="547"/>
        <v>0</v>
      </c>
      <c r="AY866" s="11">
        <f t="shared" si="443"/>
        <v>0</v>
      </c>
      <c r="AZ866" s="25"/>
      <c r="BA866" s="10" t="str">
        <f t="shared" si="507"/>
        <v>MarçoSEMANA 5Suco de Laranja</v>
      </c>
      <c r="BB866" s="7">
        <f>SUMIF(NF!$A:$A,$BA866,NF!$I:$I)</f>
        <v>0</v>
      </c>
      <c r="BC866" s="6"/>
      <c r="BD866" s="6"/>
      <c r="BE866" s="6"/>
      <c r="BF866" s="6"/>
      <c r="BG866" s="6"/>
      <c r="BH866" s="6"/>
      <c r="BI866" s="74"/>
      <c r="BJ866" s="74"/>
      <c r="BK866" s="7">
        <f t="shared" si="548"/>
        <v>0</v>
      </c>
      <c r="BL866" s="8">
        <f t="shared" si="446"/>
        <v>0</v>
      </c>
      <c r="BM866" s="51" t="str">
        <f>IFERROR(VLOOKUP(A866,NF!$M:$O,3,0),"")</f>
        <v>Mercado</v>
      </c>
      <c r="BN866" s="7">
        <f t="shared" si="447"/>
        <v>0</v>
      </c>
      <c r="BO866" s="8">
        <f t="array" ref="BO866">IFERROR(LARGE(IF(NF!$G$2:$G$3137='Mês atual'!A866,NF!$J$2:$J$3137),1),0)*BN866</f>
        <v>0</v>
      </c>
      <c r="BP866" s="50"/>
      <c r="BR866" s="146">
        <f t="array" ref="BR866">IFERROR(LARGE(IF(NF!$G$2:$G$3137='Mês atual'!A866,NF!$J$2:$J$3137),1),0)</f>
        <v>0</v>
      </c>
      <c r="BS866" s="142" t="str">
        <f>VLOOKUP(A866,NF!M:O,3,0)</f>
        <v>Mercado</v>
      </c>
      <c r="BV866" s="74">
        <f t="shared" si="549"/>
        <v>0</v>
      </c>
      <c r="BW866" s="74">
        <f t="shared" si="550"/>
        <v>0</v>
      </c>
      <c r="BX866" s="74">
        <f t="shared" si="551"/>
        <v>0</v>
      </c>
      <c r="BY866" s="74">
        <f t="shared" si="552"/>
        <v>0</v>
      </c>
      <c r="BZ866" s="74">
        <f t="shared" si="553"/>
        <v>0</v>
      </c>
    </row>
    <row r="867" spans="1:78" x14ac:dyDescent="0.25">
      <c r="A867" s="108" t="s">
        <v>752</v>
      </c>
      <c r="B867" s="12"/>
      <c r="C867" s="9">
        <v>1</v>
      </c>
      <c r="D867" s="25"/>
      <c r="E867" s="10" t="str">
        <f t="shared" si="503"/>
        <v>MarçoSEMANA 1Suco de Maracujá</v>
      </c>
      <c r="F867" s="7">
        <f>SUMIF(NF!$A:$A,$E867,NF!$I:$I)</f>
        <v>2</v>
      </c>
      <c r="G867" s="74"/>
      <c r="H867" s="74"/>
      <c r="I867" s="74"/>
      <c r="J867" s="6"/>
      <c r="K867" s="6">
        <v>1</v>
      </c>
      <c r="L867" s="6"/>
      <c r="M867" s="6"/>
      <c r="N867" s="7">
        <f t="shared" si="544"/>
        <v>1</v>
      </c>
      <c r="O867" s="11">
        <f t="shared" si="434"/>
        <v>2</v>
      </c>
      <c r="P867" s="25"/>
      <c r="Q867" s="10" t="str">
        <f t="shared" si="504"/>
        <v>MarçoSEMANA 2Suco de Maracujá</v>
      </c>
      <c r="R867" s="7">
        <f>SUMIF(NF!$A:$A,$Q867,NF!$I:$I)</f>
        <v>1</v>
      </c>
      <c r="S867" s="6"/>
      <c r="T867" s="6"/>
      <c r="U867" s="6">
        <v>1</v>
      </c>
      <c r="V867" s="6"/>
      <c r="W867" s="6"/>
      <c r="X867" s="6"/>
      <c r="Y867" s="6">
        <v>1</v>
      </c>
      <c r="Z867" s="7">
        <f t="shared" si="545"/>
        <v>2</v>
      </c>
      <c r="AA867" s="11">
        <f t="shared" si="437"/>
        <v>1</v>
      </c>
      <c r="AB867" s="25"/>
      <c r="AC867" s="10" t="str">
        <f t="shared" si="505"/>
        <v>MarçoSEMANA 3Suco de Maracujá</v>
      </c>
      <c r="AD867" s="7">
        <f>SUMIF(NF!$A:$A,$AC867,NF!$I:$I)</f>
        <v>2</v>
      </c>
      <c r="AE867" s="6"/>
      <c r="AF867" s="6"/>
      <c r="AG867" s="6">
        <v>1</v>
      </c>
      <c r="AH867" s="6"/>
      <c r="AI867" s="6"/>
      <c r="AJ867" s="6"/>
      <c r="AK867" s="6"/>
      <c r="AL867" s="7">
        <f t="shared" si="546"/>
        <v>1</v>
      </c>
      <c r="AM867" s="11">
        <f t="shared" si="440"/>
        <v>2</v>
      </c>
      <c r="AN867" s="25"/>
      <c r="AO867" s="10" t="str">
        <f t="shared" si="506"/>
        <v>MarçoSEMANA 4Suco de Maracujá</v>
      </c>
      <c r="AP867" s="7">
        <f>SUMIF(NF!$A:$A,$AO867,NF!$I:$I)</f>
        <v>3</v>
      </c>
      <c r="AQ867" s="6">
        <v>1</v>
      </c>
      <c r="AR867" s="6"/>
      <c r="AS867" s="6"/>
      <c r="AT867" s="6"/>
      <c r="AU867" s="6">
        <v>1</v>
      </c>
      <c r="AV867" s="6"/>
      <c r="AW867" s="6"/>
      <c r="AX867" s="7">
        <f t="shared" si="547"/>
        <v>2</v>
      </c>
      <c r="AY867" s="11">
        <f t="shared" si="443"/>
        <v>3</v>
      </c>
      <c r="AZ867" s="25"/>
      <c r="BA867" s="10" t="str">
        <f t="shared" si="507"/>
        <v>MarçoSEMANA 5Suco de Maracujá</v>
      </c>
      <c r="BB867" s="7">
        <f>SUMIF(NF!$A:$A,$BA867,NF!$I:$I)</f>
        <v>0</v>
      </c>
      <c r="BC867" s="6">
        <v>1</v>
      </c>
      <c r="BD867" s="6"/>
      <c r="BE867" s="6"/>
      <c r="BF867" s="6">
        <v>1</v>
      </c>
      <c r="BG867" s="6"/>
      <c r="BH867" s="6"/>
      <c r="BI867" s="74"/>
      <c r="BJ867" s="74"/>
      <c r="BK867" s="7">
        <f t="shared" si="548"/>
        <v>2</v>
      </c>
      <c r="BL867" s="8">
        <f t="shared" si="446"/>
        <v>1</v>
      </c>
      <c r="BM867" s="51" t="str">
        <f>IFERROR(VLOOKUP(A867,NF!$M:$O,3,0),"")</f>
        <v>Mercado</v>
      </c>
      <c r="BN867" s="7">
        <f t="shared" si="447"/>
        <v>8</v>
      </c>
      <c r="BO867" s="8">
        <f t="array" ref="BO867">IFERROR(LARGE(IF(NF!$G$2:$G$3137='Mês atual'!A867,NF!$J$2:$J$3137),1),0)*BN867</f>
        <v>70</v>
      </c>
      <c r="BP867" s="50"/>
      <c r="BR867" s="146">
        <f t="array" ref="BR867">IFERROR(LARGE(IF(NF!$G$2:$G$3137='Mês atual'!A867,NF!$J$2:$J$3137),1),0)</f>
        <v>8.75</v>
      </c>
      <c r="BS867" s="142" t="str">
        <f>VLOOKUP(A867,NF!M:O,3,0)</f>
        <v>Mercado</v>
      </c>
      <c r="BV867" s="74">
        <f t="shared" si="549"/>
        <v>1</v>
      </c>
      <c r="BW867" s="74">
        <f t="shared" si="550"/>
        <v>2</v>
      </c>
      <c r="BX867" s="74">
        <f t="shared" si="551"/>
        <v>1</v>
      </c>
      <c r="BY867" s="74">
        <f t="shared" si="552"/>
        <v>2</v>
      </c>
      <c r="BZ867" s="74">
        <f t="shared" si="553"/>
        <v>2</v>
      </c>
    </row>
    <row r="868" spans="1:78" x14ac:dyDescent="0.2">
      <c r="A868" s="108" t="s">
        <v>753</v>
      </c>
      <c r="B868" s="12"/>
      <c r="C868" s="9">
        <v>0</v>
      </c>
      <c r="D868" s="25"/>
      <c r="E868" s="10" t="str">
        <f t="shared" si="503"/>
        <v>MarçoSEMANA 1Suco Greenpeople</v>
      </c>
      <c r="F868" s="7">
        <f>SUMIF(NF!$A:$A,$E868,NF!$I:$I)</f>
        <v>0</v>
      </c>
      <c r="G868" s="74"/>
      <c r="H868" s="74"/>
      <c r="I868" s="74"/>
      <c r="J868" s="6"/>
      <c r="K868" s="6"/>
      <c r="L868" s="6"/>
      <c r="M868" s="6"/>
      <c r="N868" s="7">
        <f t="shared" si="544"/>
        <v>0</v>
      </c>
      <c r="O868" s="11">
        <f t="shared" si="434"/>
        <v>0</v>
      </c>
      <c r="P868" s="25"/>
      <c r="Q868" s="10" t="str">
        <f t="shared" si="504"/>
        <v>MarçoSEMANA 2Suco Greenpeople</v>
      </c>
      <c r="R868" s="7">
        <f>SUMIF(NF!$A:$A,$Q868,NF!$I:$I)</f>
        <v>0</v>
      </c>
      <c r="S868" s="6"/>
      <c r="T868" s="6"/>
      <c r="U868" s="6"/>
      <c r="V868" s="6"/>
      <c r="W868" s="6"/>
      <c r="X868" s="6"/>
      <c r="Y868" s="6"/>
      <c r="Z868" s="7">
        <f t="shared" si="545"/>
        <v>0</v>
      </c>
      <c r="AA868" s="11">
        <f t="shared" si="437"/>
        <v>0</v>
      </c>
      <c r="AB868" s="25"/>
      <c r="AC868" s="10" t="str">
        <f t="shared" si="505"/>
        <v>MarçoSEMANA 3Suco Greenpeople</v>
      </c>
      <c r="AD868" s="7">
        <f>SUMIF(NF!$A:$A,$AC868,NF!$I:$I)</f>
        <v>0</v>
      </c>
      <c r="AE868" s="6"/>
      <c r="AF868" s="6"/>
      <c r="AG868" s="6"/>
      <c r="AH868" s="6"/>
      <c r="AI868" s="6"/>
      <c r="AJ868" s="6"/>
      <c r="AK868" s="6"/>
      <c r="AL868" s="7">
        <f t="shared" si="546"/>
        <v>0</v>
      </c>
      <c r="AM868" s="11">
        <f t="shared" si="440"/>
        <v>0</v>
      </c>
      <c r="AN868" s="25"/>
      <c r="AO868" s="10" t="str">
        <f t="shared" si="506"/>
        <v>MarçoSEMANA 4Suco Greenpeople</v>
      </c>
      <c r="AP868" s="7">
        <f>SUMIF(NF!$A:$A,$AO868,NF!$I:$I)</f>
        <v>0</v>
      </c>
      <c r="AQ868" s="6"/>
      <c r="AR868" s="6"/>
      <c r="AS868" s="6"/>
      <c r="AT868" s="6"/>
      <c r="AU868" s="6"/>
      <c r="AV868" s="6"/>
      <c r="AW868" s="6"/>
      <c r="AX868" s="7">
        <f t="shared" si="547"/>
        <v>0</v>
      </c>
      <c r="AY868" s="11">
        <f t="shared" si="443"/>
        <v>0</v>
      </c>
      <c r="AZ868" s="25"/>
      <c r="BA868" s="10" t="str">
        <f t="shared" si="507"/>
        <v>MarçoSEMANA 5Suco Greenpeople</v>
      </c>
      <c r="BB868" s="7">
        <f>SUMIF(NF!$A:$A,$BA868,NF!$I:$I)</f>
        <v>0</v>
      </c>
      <c r="BC868" s="6"/>
      <c r="BD868" s="6"/>
      <c r="BE868" s="6"/>
      <c r="BF868" s="6"/>
      <c r="BG868" s="6"/>
      <c r="BH868" s="6"/>
      <c r="BI868" s="74"/>
      <c r="BJ868" s="74"/>
      <c r="BK868" s="7">
        <f t="shared" si="548"/>
        <v>0</v>
      </c>
      <c r="BL868" s="8">
        <f t="shared" si="446"/>
        <v>0</v>
      </c>
      <c r="BM868" s="51" t="str">
        <f>IFERROR(VLOOKUP(A868,NF!$M:$O,3,0),"")</f>
        <v>Mercado</v>
      </c>
      <c r="BN868" s="7">
        <f t="shared" si="447"/>
        <v>0</v>
      </c>
      <c r="BO868" s="8">
        <f t="array" ref="BO868">IFERROR(LARGE(IF(NF!$G$2:$G$3137='Mês atual'!A868,NF!$J$2:$J$3137),1),0)*BN868</f>
        <v>0</v>
      </c>
      <c r="BP868" s="50"/>
      <c r="BR868" s="146">
        <f t="array" ref="BR868">IFERROR(LARGE(IF(NF!$G$2:$G$3137='Mês atual'!A868,NF!$J$2:$J$3137),1),0)</f>
        <v>0</v>
      </c>
      <c r="BS868" s="142" t="str">
        <f>VLOOKUP(A868,NF!M:O,3,0)</f>
        <v>Mercado</v>
      </c>
      <c r="BV868" s="74">
        <f t="shared" si="549"/>
        <v>0</v>
      </c>
      <c r="BW868" s="74">
        <f t="shared" si="550"/>
        <v>0</v>
      </c>
      <c r="BX868" s="74">
        <f t="shared" si="551"/>
        <v>0</v>
      </c>
      <c r="BY868" s="74">
        <f t="shared" si="552"/>
        <v>0</v>
      </c>
      <c r="BZ868" s="74">
        <f t="shared" si="553"/>
        <v>0</v>
      </c>
    </row>
    <row r="869" spans="1:78" x14ac:dyDescent="0.2">
      <c r="A869" s="108" t="s">
        <v>778</v>
      </c>
      <c r="B869" s="12"/>
      <c r="C869" s="9">
        <v>1</v>
      </c>
      <c r="D869" s="25"/>
      <c r="E869" s="10" t="str">
        <f t="shared" si="503"/>
        <v>MarçoSEMANA 1Tahine Lata 500 gr</v>
      </c>
      <c r="F869" s="7">
        <f>SUMIF(NF!$A:$A,$E869,NF!$I:$I)</f>
        <v>2</v>
      </c>
      <c r="G869" s="74"/>
      <c r="H869" s="74"/>
      <c r="I869" s="74"/>
      <c r="J869" s="6"/>
      <c r="K869" s="6"/>
      <c r="L869" s="6"/>
      <c r="M869" s="6"/>
      <c r="N869" s="7">
        <f t="shared" si="544"/>
        <v>0</v>
      </c>
      <c r="O869" s="11">
        <f t="shared" si="434"/>
        <v>3</v>
      </c>
      <c r="P869" s="25"/>
      <c r="Q869" s="10" t="str">
        <f t="shared" si="504"/>
        <v>MarçoSEMANA 2Tahine Lata 500 gr</v>
      </c>
      <c r="R869" s="7">
        <f>SUMIF(NF!$A:$A,$Q869,NF!$I:$I)</f>
        <v>2</v>
      </c>
      <c r="S869" s="6"/>
      <c r="T869" s="6">
        <v>1</v>
      </c>
      <c r="U869" s="6"/>
      <c r="V869" s="6"/>
      <c r="W869" s="6"/>
      <c r="X869" s="6">
        <v>1</v>
      </c>
      <c r="Y869" s="6"/>
      <c r="Z869" s="7">
        <f t="shared" si="545"/>
        <v>2</v>
      </c>
      <c r="AA869" s="11">
        <f t="shared" si="437"/>
        <v>3</v>
      </c>
      <c r="AB869" s="25"/>
      <c r="AC869" s="10" t="str">
        <f t="shared" si="505"/>
        <v>MarçoSEMANA 3Tahine Lata 500 gr</v>
      </c>
      <c r="AD869" s="7">
        <f>SUMIF(NF!$A:$A,$AC869,NF!$I:$I)</f>
        <v>0</v>
      </c>
      <c r="AE869" s="6"/>
      <c r="AF869" s="6"/>
      <c r="AG869" s="6"/>
      <c r="AH869" s="6"/>
      <c r="AI869" s="6"/>
      <c r="AJ869" s="6">
        <v>1</v>
      </c>
      <c r="AK869" s="6"/>
      <c r="AL869" s="7">
        <f t="shared" si="546"/>
        <v>1</v>
      </c>
      <c r="AM869" s="11">
        <f t="shared" si="440"/>
        <v>2</v>
      </c>
      <c r="AN869" s="25"/>
      <c r="AO869" s="10" t="str">
        <f t="shared" si="506"/>
        <v>MarçoSEMANA 4Tahine Lata 500 gr</v>
      </c>
      <c r="AP869" s="7">
        <f>SUMIF(NF!$A:$A,$AO869,NF!$I:$I)</f>
        <v>1</v>
      </c>
      <c r="AQ869" s="6"/>
      <c r="AR869" s="6">
        <v>1</v>
      </c>
      <c r="AS869" s="6"/>
      <c r="AT869" s="6"/>
      <c r="AU869" s="6"/>
      <c r="AV869" s="6"/>
      <c r="AW869" s="6">
        <v>1</v>
      </c>
      <c r="AX869" s="7">
        <f t="shared" si="547"/>
        <v>2</v>
      </c>
      <c r="AY869" s="11">
        <f t="shared" si="443"/>
        <v>1</v>
      </c>
      <c r="AZ869" s="25"/>
      <c r="BA869" s="10" t="str">
        <f t="shared" si="507"/>
        <v>MarçoSEMANA 5Tahine Lata 500 gr</v>
      </c>
      <c r="BB869" s="7">
        <f>SUMIF(NF!$A:$A,$BA869,NF!$I:$I)</f>
        <v>1</v>
      </c>
      <c r="BC869" s="6"/>
      <c r="BD869" s="6"/>
      <c r="BE869" s="6"/>
      <c r="BF869" s="6"/>
      <c r="BG869" s="6"/>
      <c r="BH869" s="6"/>
      <c r="BI869" s="74"/>
      <c r="BJ869" s="74"/>
      <c r="BK869" s="7">
        <f t="shared" si="548"/>
        <v>0</v>
      </c>
      <c r="BL869" s="8">
        <f t="shared" si="446"/>
        <v>2</v>
      </c>
      <c r="BM869" s="51" t="str">
        <f>IFERROR(VLOOKUP(A869,NF!$M:$O,3,0),"")</f>
        <v>Mercado</v>
      </c>
      <c r="BN869" s="7">
        <f t="shared" si="447"/>
        <v>5</v>
      </c>
      <c r="BO869" s="8">
        <f t="array" ref="BO869">IFERROR(LARGE(IF(NF!$G$2:$G$3137='Mês atual'!A869,NF!$J$2:$J$3137),1),0)*BN869</f>
        <v>190</v>
      </c>
      <c r="BP869" s="50"/>
      <c r="BR869" s="146">
        <f t="array" ref="BR869">IFERROR(LARGE(IF(NF!$G$2:$G$3137='Mês atual'!A869,NF!$J$2:$J$3137),1),0)</f>
        <v>38</v>
      </c>
      <c r="BS869" s="142" t="str">
        <f>VLOOKUP(A869,NF!M:O,3,0)</f>
        <v>Mercado</v>
      </c>
      <c r="BV869" s="74">
        <f t="shared" si="549"/>
        <v>0</v>
      </c>
      <c r="BW869" s="74">
        <f t="shared" si="550"/>
        <v>2</v>
      </c>
      <c r="BX869" s="74">
        <f t="shared" si="551"/>
        <v>1</v>
      </c>
      <c r="BY869" s="74">
        <f t="shared" si="552"/>
        <v>2</v>
      </c>
      <c r="BZ869" s="74">
        <f t="shared" si="553"/>
        <v>0</v>
      </c>
    </row>
    <row r="870" spans="1:78" x14ac:dyDescent="0.2">
      <c r="A870" s="108" t="s">
        <v>779</v>
      </c>
      <c r="B870" s="12"/>
      <c r="C870" s="9">
        <v>1</v>
      </c>
      <c r="D870" s="25"/>
      <c r="E870" s="10" t="str">
        <f t="shared" si="503"/>
        <v>MarçoSEMANA 1Tamaras s/ Casca</v>
      </c>
      <c r="F870" s="7">
        <f>SUMIF(NF!$A:$A,$E870,NF!$I:$I)</f>
        <v>0</v>
      </c>
      <c r="G870" s="74"/>
      <c r="H870" s="74"/>
      <c r="I870" s="74"/>
      <c r="J870" s="6"/>
      <c r="K870" s="6"/>
      <c r="L870" s="6"/>
      <c r="M870" s="6"/>
      <c r="N870" s="7">
        <f t="shared" si="544"/>
        <v>0</v>
      </c>
      <c r="O870" s="11">
        <f t="shared" si="434"/>
        <v>1</v>
      </c>
      <c r="P870" s="25"/>
      <c r="Q870" s="10" t="str">
        <f t="shared" si="504"/>
        <v>MarçoSEMANA 2Tamaras s/ Casca</v>
      </c>
      <c r="R870" s="7">
        <f>SUMIF(NF!$A:$A,$Q870,NF!$I:$I)</f>
        <v>0</v>
      </c>
      <c r="S870" s="6"/>
      <c r="T870" s="6"/>
      <c r="U870" s="6"/>
      <c r="V870" s="6"/>
      <c r="W870" s="6"/>
      <c r="X870" s="6"/>
      <c r="Y870" s="6"/>
      <c r="Z870" s="7">
        <f t="shared" si="545"/>
        <v>0</v>
      </c>
      <c r="AA870" s="11">
        <f t="shared" si="437"/>
        <v>1</v>
      </c>
      <c r="AB870" s="25"/>
      <c r="AC870" s="10" t="str">
        <f t="shared" si="505"/>
        <v>MarçoSEMANA 3Tamaras s/ Casca</v>
      </c>
      <c r="AD870" s="7">
        <f>SUMIF(NF!$A:$A,$AC870,NF!$I:$I)</f>
        <v>0</v>
      </c>
      <c r="AE870" s="6"/>
      <c r="AF870" s="6"/>
      <c r="AG870" s="6"/>
      <c r="AH870" s="6"/>
      <c r="AI870" s="6"/>
      <c r="AJ870" s="6"/>
      <c r="AK870" s="6"/>
      <c r="AL870" s="7">
        <f t="shared" si="546"/>
        <v>0</v>
      </c>
      <c r="AM870" s="11">
        <f t="shared" si="440"/>
        <v>1</v>
      </c>
      <c r="AN870" s="25"/>
      <c r="AO870" s="10" t="str">
        <f t="shared" si="506"/>
        <v>MarçoSEMANA 4Tamaras s/ Casca</v>
      </c>
      <c r="AP870" s="7">
        <f>SUMIF(NF!$A:$A,$AO870,NF!$I:$I)</f>
        <v>0</v>
      </c>
      <c r="AQ870" s="6"/>
      <c r="AR870" s="6"/>
      <c r="AS870" s="6"/>
      <c r="AT870" s="6"/>
      <c r="AU870" s="6"/>
      <c r="AV870" s="6"/>
      <c r="AW870" s="6"/>
      <c r="AX870" s="7">
        <f t="shared" si="547"/>
        <v>0</v>
      </c>
      <c r="AY870" s="11">
        <f t="shared" si="443"/>
        <v>1</v>
      </c>
      <c r="AZ870" s="25"/>
      <c r="BA870" s="10" t="str">
        <f t="shared" si="507"/>
        <v>MarçoSEMANA 5Tamaras s/ Casca</v>
      </c>
      <c r="BB870" s="7">
        <f>SUMIF(NF!$A:$A,$BA870,NF!$I:$I)</f>
        <v>0</v>
      </c>
      <c r="BC870" s="6"/>
      <c r="BD870" s="6"/>
      <c r="BE870" s="6"/>
      <c r="BF870" s="6"/>
      <c r="BG870" s="6"/>
      <c r="BH870" s="6"/>
      <c r="BI870" s="74"/>
      <c r="BJ870" s="74"/>
      <c r="BK870" s="7">
        <f t="shared" si="548"/>
        <v>0</v>
      </c>
      <c r="BL870" s="8">
        <f t="shared" si="446"/>
        <v>1</v>
      </c>
      <c r="BM870" s="51" t="str">
        <f>IFERROR(VLOOKUP(A870,NF!$M:$O,3,0),"")</f>
        <v>Mercado</v>
      </c>
      <c r="BN870" s="7">
        <f t="shared" si="447"/>
        <v>0</v>
      </c>
      <c r="BO870" s="8">
        <f t="array" ref="BO870">IFERROR(LARGE(IF(NF!$G$2:$G$3137='Mês atual'!A870,NF!$J$2:$J$3137),1),0)*BN870</f>
        <v>0</v>
      </c>
      <c r="BP870" s="50"/>
      <c r="BR870" s="146">
        <f t="array" ref="BR870">IFERROR(LARGE(IF(NF!$G$2:$G$3137='Mês atual'!A870,NF!$J$2:$J$3137),1),0)</f>
        <v>0</v>
      </c>
      <c r="BS870" s="142" t="str">
        <f>VLOOKUP(A870,NF!M:O,3,0)</f>
        <v>Mercado</v>
      </c>
      <c r="BV870" s="74">
        <f t="shared" si="549"/>
        <v>0</v>
      </c>
      <c r="BW870" s="74">
        <f t="shared" si="550"/>
        <v>0</v>
      </c>
      <c r="BX870" s="74">
        <f t="shared" si="551"/>
        <v>0</v>
      </c>
      <c r="BY870" s="74">
        <f t="shared" si="552"/>
        <v>0</v>
      </c>
      <c r="BZ870" s="74">
        <f t="shared" si="553"/>
        <v>0</v>
      </c>
    </row>
    <row r="871" spans="1:78" x14ac:dyDescent="0.2">
      <c r="A871" s="108" t="s">
        <v>1022</v>
      </c>
      <c r="B871" s="12"/>
      <c r="C871" s="9">
        <v>0</v>
      </c>
      <c r="D871" s="25"/>
      <c r="E871" s="10" t="str">
        <f t="shared" si="503"/>
        <v>MarçoSEMANA 1Tapioca Fina</v>
      </c>
      <c r="F871" s="7">
        <f>SUMIF(NF!$A:$A,$E871,NF!$I:$I)</f>
        <v>6.0339999999999998</v>
      </c>
      <c r="G871" s="74"/>
      <c r="H871" s="74"/>
      <c r="I871" s="74"/>
      <c r="J871" s="6"/>
      <c r="K871" s="6"/>
      <c r="L871" s="6"/>
      <c r="M871" s="6"/>
      <c r="N871" s="7">
        <f>SUM(G871:M871)</f>
        <v>0</v>
      </c>
      <c r="O871" s="11">
        <f>F871+C871-N871</f>
        <v>6.0339999999999998</v>
      </c>
      <c r="P871" s="25"/>
      <c r="Q871" s="10" t="str">
        <f t="shared" si="504"/>
        <v>MarçoSEMANA 2Tapioca Fina</v>
      </c>
      <c r="R871" s="7">
        <f>SUMIF(NF!$A:$A,$Q871,NF!$I:$I)</f>
        <v>0</v>
      </c>
      <c r="S871" s="6"/>
      <c r="T871" s="6"/>
      <c r="U871" s="6">
        <v>3</v>
      </c>
      <c r="V871" s="6"/>
      <c r="W871" s="6"/>
      <c r="X871" s="6"/>
      <c r="Y871" s="6"/>
      <c r="Z871" s="7">
        <f>SUM(S871:Y871)</f>
        <v>3</v>
      </c>
      <c r="AA871" s="11">
        <f>R871+O871-Z871</f>
        <v>3.0339999999999998</v>
      </c>
      <c r="AB871" s="25"/>
      <c r="AC871" s="10" t="str">
        <f t="shared" si="505"/>
        <v>MarçoSEMANA 3Tapioca Fina</v>
      </c>
      <c r="AD871" s="7">
        <f>SUMIF(NF!$A:$A,$AC871,NF!$I:$I)</f>
        <v>0</v>
      </c>
      <c r="AE871" s="6"/>
      <c r="AF871" s="6"/>
      <c r="AG871" s="6"/>
      <c r="AH871" s="6"/>
      <c r="AI871" s="6">
        <v>3.03</v>
      </c>
      <c r="AJ871" s="6"/>
      <c r="AK871" s="6"/>
      <c r="AL871" s="7">
        <f>SUM(AE871:AK871)</f>
        <v>3.03</v>
      </c>
      <c r="AM871" s="11">
        <f>AD871+AA871-AL871</f>
        <v>4.0000000000000036E-3</v>
      </c>
      <c r="AN871" s="25"/>
      <c r="AO871" s="10" t="str">
        <f t="shared" si="506"/>
        <v>MarçoSEMANA 4Tapioca Fina</v>
      </c>
      <c r="AP871" s="7">
        <f>SUMIF(NF!$A:$A,$AO871,NF!$I:$I)</f>
        <v>6.0460000000000003</v>
      </c>
      <c r="AQ871" s="6"/>
      <c r="AR871" s="6"/>
      <c r="AS871" s="6"/>
      <c r="AT871" s="6"/>
      <c r="AU871" s="6"/>
      <c r="AV871" s="6"/>
      <c r="AW871" s="6"/>
      <c r="AX871" s="7">
        <f>SUM(AQ871:AW871)</f>
        <v>0</v>
      </c>
      <c r="AY871" s="11">
        <f>AP871+AM871-AX871</f>
        <v>6.0500000000000007</v>
      </c>
      <c r="AZ871" s="25"/>
      <c r="BA871" s="10" t="str">
        <f t="shared" si="507"/>
        <v>MarçoSEMANA 5Tapioca Fina</v>
      </c>
      <c r="BB871" s="7">
        <f>SUMIF(NF!$A:$A,$BA871,NF!$I:$I)</f>
        <v>0</v>
      </c>
      <c r="BC871" s="6"/>
      <c r="BD871" s="6"/>
      <c r="BE871" s="6">
        <v>3</v>
      </c>
      <c r="BF871" s="6"/>
      <c r="BG871" s="6"/>
      <c r="BH871" s="6"/>
      <c r="BI871" s="74"/>
      <c r="BJ871" s="74"/>
      <c r="BK871" s="7">
        <f>SUM(BC871:BJ871)</f>
        <v>3</v>
      </c>
      <c r="BL871" s="8">
        <f>BB871+AY871-BK871</f>
        <v>3.0500000000000007</v>
      </c>
      <c r="BM871" s="51" t="str">
        <f>IFERROR(VLOOKUP(A871,NF!$M:$O,3,0),"")</f>
        <v>Mercado</v>
      </c>
      <c r="BN871" s="7">
        <f>SUM(N871,Z871,AL871,AX871,BK871)</f>
        <v>9.0299999999999994</v>
      </c>
      <c r="BO871" s="8">
        <f t="array" ref="BO871">IFERROR(LARGE(IF(NF!$G$2:$G$3137='Mês atual'!A871,NF!$J$2:$J$3137),1),0)*BN871</f>
        <v>72.333009000000004</v>
      </c>
      <c r="BP871" s="50"/>
      <c r="BR871" s="146">
        <f t="array" ref="BR871">IFERROR(LARGE(IF(NF!$G$2:$G$3137='Mês atual'!A871,NF!$J$2:$J$3137),1),0)</f>
        <v>8.0103000000000009</v>
      </c>
      <c r="BS871" s="142" t="str">
        <f>VLOOKUP(A871,NF!M:O,3,0)</f>
        <v>Mercado</v>
      </c>
      <c r="BV871" s="74">
        <f t="shared" si="549"/>
        <v>0</v>
      </c>
      <c r="BW871" s="74">
        <f t="shared" si="550"/>
        <v>3</v>
      </c>
      <c r="BX871" s="74">
        <f t="shared" si="551"/>
        <v>3.03</v>
      </c>
      <c r="BY871" s="74">
        <f t="shared" si="552"/>
        <v>0</v>
      </c>
      <c r="BZ871" s="74">
        <f t="shared" si="553"/>
        <v>3</v>
      </c>
    </row>
    <row r="872" spans="1:78" x14ac:dyDescent="0.2">
      <c r="A872" s="108" t="s">
        <v>784</v>
      </c>
      <c r="B872" s="12"/>
      <c r="C872" s="9">
        <v>1</v>
      </c>
      <c r="D872" s="25"/>
      <c r="E872" s="10" t="str">
        <f t="shared" si="503"/>
        <v xml:space="preserve">MarçoSEMANA 1Tapioca Granulada </v>
      </c>
      <c r="F872" s="7">
        <f>SUMIF(NF!$A:$A,$E872,NF!$I:$I)</f>
        <v>1</v>
      </c>
      <c r="G872" s="74"/>
      <c r="H872" s="74"/>
      <c r="I872" s="74"/>
      <c r="J872" s="6"/>
      <c r="K872" s="6">
        <v>0.5</v>
      </c>
      <c r="L872" s="6"/>
      <c r="M872" s="6">
        <v>0.5</v>
      </c>
      <c r="N872" s="7">
        <f t="shared" si="544"/>
        <v>1</v>
      </c>
      <c r="O872" s="11">
        <f t="shared" si="434"/>
        <v>1</v>
      </c>
      <c r="P872" s="25"/>
      <c r="Q872" s="10" t="str">
        <f t="shared" si="504"/>
        <v xml:space="preserve">MarçoSEMANA 2Tapioca Granulada </v>
      </c>
      <c r="R872" s="7">
        <f>SUMIF(NF!$A:$A,$Q872,NF!$I:$I)</f>
        <v>1</v>
      </c>
      <c r="S872" s="6"/>
      <c r="T872" s="6"/>
      <c r="U872" s="6">
        <v>0.5</v>
      </c>
      <c r="V872" s="6"/>
      <c r="W872" s="6"/>
      <c r="X872" s="6">
        <v>0.5</v>
      </c>
      <c r="Y872" s="6">
        <v>0.5</v>
      </c>
      <c r="Z872" s="7">
        <f t="shared" si="545"/>
        <v>1.5</v>
      </c>
      <c r="AA872" s="11">
        <f t="shared" si="437"/>
        <v>0.5</v>
      </c>
      <c r="AB872" s="25"/>
      <c r="AC872" s="10" t="str">
        <f t="shared" si="505"/>
        <v xml:space="preserve">MarçoSEMANA 3Tapioca Granulada </v>
      </c>
      <c r="AD872" s="7">
        <f>SUMIF(NF!$A:$A,$AC872,NF!$I:$I)</f>
        <v>3</v>
      </c>
      <c r="AE872" s="6">
        <v>0.5</v>
      </c>
      <c r="AF872" s="6"/>
      <c r="AG872" s="6"/>
      <c r="AH872" s="6">
        <v>0.5</v>
      </c>
      <c r="AI872" s="6"/>
      <c r="AJ872" s="6">
        <v>0.5</v>
      </c>
      <c r="AK872" s="6"/>
      <c r="AL872" s="7">
        <f t="shared" si="546"/>
        <v>1.5</v>
      </c>
      <c r="AM872" s="11">
        <f t="shared" si="440"/>
        <v>2</v>
      </c>
      <c r="AN872" s="25"/>
      <c r="AO872" s="10" t="str">
        <f t="shared" si="506"/>
        <v xml:space="preserve">MarçoSEMANA 4Tapioca Granulada </v>
      </c>
      <c r="AP872" s="7">
        <f>SUMIF(NF!$A:$A,$AO872,NF!$I:$I)</f>
        <v>2</v>
      </c>
      <c r="AQ872" s="6">
        <v>0.5</v>
      </c>
      <c r="AR872" s="6"/>
      <c r="AS872" s="6"/>
      <c r="AT872" s="6">
        <v>0.5</v>
      </c>
      <c r="AU872" s="6"/>
      <c r="AV872" s="6">
        <v>0.5</v>
      </c>
      <c r="AW872" s="6"/>
      <c r="AX872" s="7">
        <f t="shared" si="547"/>
        <v>1.5</v>
      </c>
      <c r="AY872" s="11">
        <f t="shared" si="443"/>
        <v>2.5</v>
      </c>
      <c r="AZ872" s="25"/>
      <c r="BA872" s="10" t="str">
        <f t="shared" si="507"/>
        <v xml:space="preserve">MarçoSEMANA 5Tapioca Granulada </v>
      </c>
      <c r="BB872" s="7">
        <f>SUMIF(NF!$A:$A,$BA872,NF!$I:$I)</f>
        <v>3</v>
      </c>
      <c r="BC872" s="6">
        <v>0.5</v>
      </c>
      <c r="BD872" s="6"/>
      <c r="BE872" s="6"/>
      <c r="BF872" s="6">
        <v>0.5</v>
      </c>
      <c r="BG872" s="6"/>
      <c r="BH872" s="6">
        <v>0.5</v>
      </c>
      <c r="BI872" s="74"/>
      <c r="BJ872" s="74"/>
      <c r="BK872" s="7">
        <f t="shared" si="548"/>
        <v>1.5</v>
      </c>
      <c r="BL872" s="8">
        <f t="shared" si="446"/>
        <v>4</v>
      </c>
      <c r="BM872" s="51" t="str">
        <f>IFERROR(VLOOKUP(A872,NF!$M:$O,3,0),"")</f>
        <v>Mercado</v>
      </c>
      <c r="BN872" s="7">
        <f t="shared" si="447"/>
        <v>7</v>
      </c>
      <c r="BO872" s="8">
        <f t="array" ref="BO872">IFERROR(LARGE(IF(NF!$G$2:$G$3137='Mês atual'!A872,NF!$J$2:$J$3137),1),0)*BN872</f>
        <v>131.46</v>
      </c>
      <c r="BP872" s="50"/>
      <c r="BR872" s="146">
        <f t="array" ref="BR872">IFERROR(LARGE(IF(NF!$G$2:$G$3137='Mês atual'!A872,NF!$J$2:$J$3137),1),0)</f>
        <v>18.78</v>
      </c>
      <c r="BS872" s="142" t="str">
        <f>VLOOKUP(A872,NF!M:O,3,0)</f>
        <v>Mercado</v>
      </c>
      <c r="BV872" s="74">
        <f t="shared" si="549"/>
        <v>1</v>
      </c>
      <c r="BW872" s="74">
        <f t="shared" si="550"/>
        <v>1.5</v>
      </c>
      <c r="BX872" s="74">
        <f t="shared" si="551"/>
        <v>1.5</v>
      </c>
      <c r="BY872" s="74">
        <f t="shared" si="552"/>
        <v>1.5</v>
      </c>
      <c r="BZ872" s="74">
        <f t="shared" si="553"/>
        <v>1.5</v>
      </c>
    </row>
    <row r="873" spans="1:78" x14ac:dyDescent="0.2">
      <c r="A873" s="108" t="s">
        <v>916</v>
      </c>
      <c r="B873" s="12"/>
      <c r="C873" s="9">
        <v>0</v>
      </c>
      <c r="D873" s="25"/>
      <c r="E873" s="10" t="str">
        <f t="shared" si="503"/>
        <v>MarçoSEMANA 1Tempero p/ Sushi Bb 5 Lt  (Cozinha)</v>
      </c>
      <c r="F873" s="7">
        <f>SUMIF(NF!$A:$A,$E873,NF!$I:$I)</f>
        <v>0</v>
      </c>
      <c r="G873" s="74"/>
      <c r="H873" s="74"/>
      <c r="I873" s="74"/>
      <c r="J873" s="6"/>
      <c r="K873" s="6"/>
      <c r="L873" s="6"/>
      <c r="M873" s="6"/>
      <c r="N873" s="7">
        <f t="shared" si="544"/>
        <v>0</v>
      </c>
      <c r="O873" s="11">
        <f t="shared" si="434"/>
        <v>0</v>
      </c>
      <c r="P873" s="25"/>
      <c r="Q873" s="10" t="str">
        <f t="shared" si="504"/>
        <v>MarçoSEMANA 2Tempero p/ Sushi Bb 5 Lt  (Cozinha)</v>
      </c>
      <c r="R873" s="7">
        <f>SUMIF(NF!$A:$A,$Q873,NF!$I:$I)</f>
        <v>0</v>
      </c>
      <c r="S873" s="6"/>
      <c r="T873" s="6"/>
      <c r="U873" s="6"/>
      <c r="V873" s="6"/>
      <c r="W873" s="6"/>
      <c r="X873" s="6"/>
      <c r="Y873" s="6"/>
      <c r="Z873" s="7">
        <f t="shared" si="545"/>
        <v>0</v>
      </c>
      <c r="AA873" s="11">
        <f t="shared" si="437"/>
        <v>0</v>
      </c>
      <c r="AB873" s="25"/>
      <c r="AC873" s="10" t="str">
        <f t="shared" si="505"/>
        <v>MarçoSEMANA 3Tempero p/ Sushi Bb 5 Lt  (Cozinha)</v>
      </c>
      <c r="AD873" s="7">
        <f>SUMIF(NF!$A:$A,$AC873,NF!$I:$I)</f>
        <v>0</v>
      </c>
      <c r="AE873" s="6"/>
      <c r="AF873" s="6"/>
      <c r="AG873" s="6"/>
      <c r="AH873" s="6"/>
      <c r="AI873" s="6"/>
      <c r="AJ873" s="6"/>
      <c r="AK873" s="6"/>
      <c r="AL873" s="7">
        <f t="shared" si="546"/>
        <v>0</v>
      </c>
      <c r="AM873" s="11">
        <f t="shared" si="440"/>
        <v>0</v>
      </c>
      <c r="AN873" s="25"/>
      <c r="AO873" s="10" t="str">
        <f t="shared" si="506"/>
        <v>MarçoSEMANA 4Tempero p/ Sushi Bb 5 Lt  (Cozinha)</v>
      </c>
      <c r="AP873" s="7">
        <f>SUMIF(NF!$A:$A,$AO873,NF!$I:$I)</f>
        <v>0</v>
      </c>
      <c r="AQ873" s="6"/>
      <c r="AR873" s="6"/>
      <c r="AS873" s="6"/>
      <c r="AT873" s="6"/>
      <c r="AU873" s="6"/>
      <c r="AV873" s="6"/>
      <c r="AW873" s="6"/>
      <c r="AX873" s="7">
        <f t="shared" si="547"/>
        <v>0</v>
      </c>
      <c r="AY873" s="11">
        <f t="shared" si="443"/>
        <v>0</v>
      </c>
      <c r="AZ873" s="25"/>
      <c r="BA873" s="10" t="str">
        <f t="shared" si="507"/>
        <v>MarçoSEMANA 5Tempero p/ Sushi Bb 5 Lt  (Cozinha)</v>
      </c>
      <c r="BB873" s="7">
        <f>SUMIF(NF!$A:$A,$BA873,NF!$I:$I)</f>
        <v>0</v>
      </c>
      <c r="BC873" s="6"/>
      <c r="BD873" s="6"/>
      <c r="BE873" s="6"/>
      <c r="BF873" s="6"/>
      <c r="BG873" s="6"/>
      <c r="BH873" s="6"/>
      <c r="BI873" s="74"/>
      <c r="BJ873" s="74"/>
      <c r="BK873" s="7">
        <f t="shared" si="548"/>
        <v>0</v>
      </c>
      <c r="BL873" s="8">
        <f t="shared" si="446"/>
        <v>0</v>
      </c>
      <c r="BM873" s="51" t="str">
        <f>IFERROR(VLOOKUP(A873,NF!$M:$O,3,0),"")</f>
        <v>Mercado</v>
      </c>
      <c r="BN873" s="7">
        <f t="shared" si="447"/>
        <v>0</v>
      </c>
      <c r="BO873" s="8">
        <f t="array" ref="BO873">IFERROR(LARGE(IF(NF!$G$2:$G$3137='Mês atual'!A873,NF!$J$2:$J$3137),1),0)*BN873</f>
        <v>0</v>
      </c>
      <c r="BP873" s="50"/>
      <c r="BR873" s="146">
        <f t="array" ref="BR873">IFERROR(LARGE(IF(NF!$G$2:$G$3137='Mês atual'!A873,NF!$J$2:$J$3137),1),0)</f>
        <v>0</v>
      </c>
      <c r="BS873" s="142" t="str">
        <f>VLOOKUP(A873,NF!M:O,3,0)</f>
        <v>Mercado</v>
      </c>
      <c r="BV873" s="74">
        <f t="shared" si="549"/>
        <v>0</v>
      </c>
      <c r="BW873" s="74">
        <f t="shared" si="550"/>
        <v>0</v>
      </c>
      <c r="BX873" s="74">
        <f t="shared" si="551"/>
        <v>0</v>
      </c>
      <c r="BY873" s="74">
        <f t="shared" si="552"/>
        <v>0</v>
      </c>
      <c r="BZ873" s="74">
        <f t="shared" si="553"/>
        <v>0</v>
      </c>
    </row>
    <row r="874" spans="1:78" x14ac:dyDescent="0.2">
      <c r="A874" s="108" t="s">
        <v>793</v>
      </c>
      <c r="B874" s="12"/>
      <c r="C874" s="9">
        <v>0</v>
      </c>
      <c r="D874" s="25"/>
      <c r="E874" s="10" t="str">
        <f t="shared" si="503"/>
        <v>MarçoSEMANA 1Tomate Pelatti s/ Pele</v>
      </c>
      <c r="F874" s="7">
        <f>SUMIF(NF!$A:$A,$E874,NF!$I:$I)</f>
        <v>2</v>
      </c>
      <c r="G874" s="74"/>
      <c r="H874" s="74"/>
      <c r="I874" s="74"/>
      <c r="J874" s="6"/>
      <c r="K874" s="6"/>
      <c r="L874" s="6"/>
      <c r="M874" s="6"/>
      <c r="N874" s="7">
        <f t="shared" si="544"/>
        <v>0</v>
      </c>
      <c r="O874" s="11">
        <f t="shared" si="434"/>
        <v>2</v>
      </c>
      <c r="P874" s="25"/>
      <c r="Q874" s="10" t="str">
        <f t="shared" si="504"/>
        <v>MarçoSEMANA 2Tomate Pelatti s/ Pele</v>
      </c>
      <c r="R874" s="7">
        <f>SUMIF(NF!$A:$A,$Q874,NF!$I:$I)</f>
        <v>0</v>
      </c>
      <c r="S874" s="6"/>
      <c r="T874" s="6"/>
      <c r="U874" s="6"/>
      <c r="V874" s="6"/>
      <c r="W874" s="6"/>
      <c r="X874" s="6"/>
      <c r="Y874" s="6"/>
      <c r="Z874" s="7">
        <f t="shared" si="545"/>
        <v>0</v>
      </c>
      <c r="AA874" s="11">
        <f t="shared" si="437"/>
        <v>2</v>
      </c>
      <c r="AB874" s="25"/>
      <c r="AC874" s="10" t="str">
        <f t="shared" si="505"/>
        <v>MarçoSEMANA 3Tomate Pelatti s/ Pele</v>
      </c>
      <c r="AD874" s="7">
        <f>SUMIF(NF!$A:$A,$AC874,NF!$I:$I)</f>
        <v>0</v>
      </c>
      <c r="AE874" s="6"/>
      <c r="AF874" s="6"/>
      <c r="AG874" s="6"/>
      <c r="AH874" s="6"/>
      <c r="AI874" s="6"/>
      <c r="AJ874" s="6"/>
      <c r="AK874" s="6"/>
      <c r="AL874" s="7">
        <f t="shared" si="546"/>
        <v>0</v>
      </c>
      <c r="AM874" s="11">
        <f t="shared" si="440"/>
        <v>2</v>
      </c>
      <c r="AN874" s="25"/>
      <c r="AO874" s="10" t="str">
        <f t="shared" si="506"/>
        <v>MarçoSEMANA 4Tomate Pelatti s/ Pele</v>
      </c>
      <c r="AP874" s="7">
        <f>SUMIF(NF!$A:$A,$AO874,NF!$I:$I)</f>
        <v>0</v>
      </c>
      <c r="AQ874" s="6"/>
      <c r="AR874" s="6"/>
      <c r="AS874" s="6"/>
      <c r="AT874" s="6"/>
      <c r="AU874" s="6"/>
      <c r="AV874" s="6"/>
      <c r="AW874" s="6"/>
      <c r="AX874" s="7">
        <f t="shared" si="547"/>
        <v>0</v>
      </c>
      <c r="AY874" s="11">
        <f t="shared" si="443"/>
        <v>2</v>
      </c>
      <c r="AZ874" s="25"/>
      <c r="BA874" s="10" t="str">
        <f t="shared" si="507"/>
        <v>MarçoSEMANA 5Tomate Pelatti s/ Pele</v>
      </c>
      <c r="BB874" s="7">
        <f>SUMIF(NF!$A:$A,$BA874,NF!$I:$I)</f>
        <v>0</v>
      </c>
      <c r="BC874" s="6"/>
      <c r="BD874" s="6"/>
      <c r="BE874" s="6"/>
      <c r="BF874" s="6"/>
      <c r="BG874" s="6"/>
      <c r="BH874" s="6"/>
      <c r="BI874" s="74"/>
      <c r="BJ874" s="74"/>
      <c r="BK874" s="7">
        <f t="shared" si="548"/>
        <v>0</v>
      </c>
      <c r="BL874" s="8">
        <f t="shared" si="446"/>
        <v>2</v>
      </c>
      <c r="BM874" s="51" t="str">
        <f>IFERROR(VLOOKUP(A874,NF!$M:$O,3,0),"")</f>
        <v>Mercado</v>
      </c>
      <c r="BN874" s="7">
        <f t="shared" si="447"/>
        <v>0</v>
      </c>
      <c r="BO874" s="8">
        <f t="array" ref="BO874">IFERROR(LARGE(IF(NF!$G$2:$G$3137='Mês atual'!A874,NF!$J$2:$J$3137),1),0)*BN874</f>
        <v>0</v>
      </c>
      <c r="BP874" s="50"/>
      <c r="BR874" s="146">
        <f t="array" ref="BR874">IFERROR(LARGE(IF(NF!$G$2:$G$3137='Mês atual'!A874,NF!$J$2:$J$3137),1),0)</f>
        <v>15.5</v>
      </c>
      <c r="BS874" s="142" t="str">
        <f>VLOOKUP(A874,NF!M:O,3,0)</f>
        <v>Mercado</v>
      </c>
      <c r="BV874" s="74">
        <f t="shared" si="549"/>
        <v>0</v>
      </c>
      <c r="BW874" s="74">
        <f t="shared" si="550"/>
        <v>0</v>
      </c>
      <c r="BX874" s="74">
        <f t="shared" si="551"/>
        <v>0</v>
      </c>
      <c r="BY874" s="74">
        <f t="shared" si="552"/>
        <v>0</v>
      </c>
      <c r="BZ874" s="74">
        <f t="shared" si="553"/>
        <v>0</v>
      </c>
    </row>
    <row r="875" spans="1:78" x14ac:dyDescent="0.2">
      <c r="A875" s="108" t="s">
        <v>796</v>
      </c>
      <c r="B875" s="12"/>
      <c r="C875" s="9">
        <v>0</v>
      </c>
      <c r="D875" s="25"/>
      <c r="E875" s="10" t="str">
        <f t="shared" si="503"/>
        <v>MarçoSEMANA 1Tomate Seco Conserva Bd 3 Kg</v>
      </c>
      <c r="F875" s="7">
        <f>SUMIF(NF!$A:$A,$E875,NF!$I:$I)</f>
        <v>0</v>
      </c>
      <c r="G875" s="74"/>
      <c r="H875" s="74"/>
      <c r="I875" s="74"/>
      <c r="J875" s="6"/>
      <c r="K875" s="6"/>
      <c r="L875" s="6"/>
      <c r="M875" s="6"/>
      <c r="N875" s="7">
        <f t="shared" si="544"/>
        <v>0</v>
      </c>
      <c r="O875" s="11">
        <f t="shared" si="434"/>
        <v>0</v>
      </c>
      <c r="P875" s="25"/>
      <c r="Q875" s="10" t="str">
        <f t="shared" si="504"/>
        <v>MarçoSEMANA 2Tomate Seco Conserva Bd 3 Kg</v>
      </c>
      <c r="R875" s="7">
        <f>SUMIF(NF!$A:$A,$Q875,NF!$I:$I)</f>
        <v>0</v>
      </c>
      <c r="S875" s="6"/>
      <c r="T875" s="6"/>
      <c r="U875" s="6"/>
      <c r="V875" s="6"/>
      <c r="W875" s="6"/>
      <c r="X875" s="6"/>
      <c r="Y875" s="6"/>
      <c r="Z875" s="7">
        <f t="shared" si="545"/>
        <v>0</v>
      </c>
      <c r="AA875" s="11">
        <f t="shared" si="437"/>
        <v>0</v>
      </c>
      <c r="AB875" s="25"/>
      <c r="AC875" s="10" t="str">
        <f t="shared" si="505"/>
        <v>MarçoSEMANA 3Tomate Seco Conserva Bd 3 Kg</v>
      </c>
      <c r="AD875" s="7">
        <f>SUMIF(NF!$A:$A,$AC875,NF!$I:$I)</f>
        <v>0</v>
      </c>
      <c r="AE875" s="6"/>
      <c r="AF875" s="6"/>
      <c r="AG875" s="6"/>
      <c r="AH875" s="6"/>
      <c r="AI875" s="6"/>
      <c r="AJ875" s="6"/>
      <c r="AK875" s="6"/>
      <c r="AL875" s="7">
        <f t="shared" si="546"/>
        <v>0</v>
      </c>
      <c r="AM875" s="11">
        <f t="shared" si="440"/>
        <v>0</v>
      </c>
      <c r="AN875" s="25"/>
      <c r="AO875" s="10" t="str">
        <f t="shared" si="506"/>
        <v>MarçoSEMANA 4Tomate Seco Conserva Bd 3 Kg</v>
      </c>
      <c r="AP875" s="7">
        <f>SUMIF(NF!$A:$A,$AO875,NF!$I:$I)</f>
        <v>2</v>
      </c>
      <c r="AQ875" s="6"/>
      <c r="AR875" s="6"/>
      <c r="AS875" s="6"/>
      <c r="AT875" s="6">
        <v>1</v>
      </c>
      <c r="AU875" s="6"/>
      <c r="AV875" s="6">
        <v>1</v>
      </c>
      <c r="AW875" s="6"/>
      <c r="AX875" s="7">
        <f t="shared" si="547"/>
        <v>2</v>
      </c>
      <c r="AY875" s="11">
        <f t="shared" si="443"/>
        <v>0</v>
      </c>
      <c r="AZ875" s="25"/>
      <c r="BA875" s="10" t="str">
        <f t="shared" si="507"/>
        <v>MarçoSEMANA 5Tomate Seco Conserva Bd 3 Kg</v>
      </c>
      <c r="BB875" s="7">
        <f>SUMIF(NF!$A:$A,$BA875,NF!$I:$I)</f>
        <v>0</v>
      </c>
      <c r="BC875" s="6"/>
      <c r="BD875" s="6"/>
      <c r="BE875" s="6"/>
      <c r="BF875" s="6"/>
      <c r="BG875" s="6"/>
      <c r="BH875" s="6"/>
      <c r="BI875" s="74"/>
      <c r="BJ875" s="74"/>
      <c r="BK875" s="7">
        <f t="shared" si="548"/>
        <v>0</v>
      </c>
      <c r="BL875" s="8">
        <f t="shared" si="446"/>
        <v>0</v>
      </c>
      <c r="BM875" s="51" t="str">
        <f>IFERROR(VLOOKUP(A875,NF!$M:$O,3,0),"")</f>
        <v>Mercado</v>
      </c>
      <c r="BN875" s="7">
        <f t="shared" si="447"/>
        <v>2</v>
      </c>
      <c r="BO875" s="8">
        <f t="array" ref="BO875">IFERROR(LARGE(IF(NF!$G$2:$G$3137='Mês atual'!A875,NF!$J$2:$J$3137),1),0)*BN875</f>
        <v>156.19999999999999</v>
      </c>
      <c r="BP875" s="50"/>
      <c r="BR875" s="146">
        <f t="array" ref="BR875">IFERROR(LARGE(IF(NF!$G$2:$G$3137='Mês atual'!A875,NF!$J$2:$J$3137),1),0)</f>
        <v>78.099999999999994</v>
      </c>
      <c r="BS875" s="142" t="str">
        <f>VLOOKUP(A875,NF!M:O,3,0)</f>
        <v>Mercado</v>
      </c>
      <c r="BV875" s="74">
        <f t="shared" si="549"/>
        <v>0</v>
      </c>
      <c r="BW875" s="74">
        <f t="shared" si="550"/>
        <v>0</v>
      </c>
      <c r="BX875" s="74">
        <f t="shared" si="551"/>
        <v>0</v>
      </c>
      <c r="BY875" s="74">
        <f t="shared" si="552"/>
        <v>2</v>
      </c>
      <c r="BZ875" s="74">
        <f t="shared" si="553"/>
        <v>0</v>
      </c>
    </row>
    <row r="876" spans="1:78" x14ac:dyDescent="0.2">
      <c r="A876" s="108" t="s">
        <v>987</v>
      </c>
      <c r="B876" s="12"/>
      <c r="C876" s="9">
        <v>1</v>
      </c>
      <c r="D876" s="25"/>
      <c r="E876" s="10" t="str">
        <f t="shared" si="503"/>
        <v>MarçoSEMANA 1Tonkatsu Bb 5 Lt</v>
      </c>
      <c r="F876" s="7">
        <f>SUMIF(NF!$A:$A,$E876,NF!$I:$I)</f>
        <v>0</v>
      </c>
      <c r="G876" s="74"/>
      <c r="H876" s="74"/>
      <c r="I876" s="74"/>
      <c r="J876" s="6"/>
      <c r="K876" s="6"/>
      <c r="L876" s="6"/>
      <c r="M876" s="6"/>
      <c r="N876" s="7">
        <f t="shared" si="544"/>
        <v>0</v>
      </c>
      <c r="O876" s="11">
        <f t="shared" si="434"/>
        <v>1</v>
      </c>
      <c r="P876" s="25"/>
      <c r="Q876" s="10" t="str">
        <f t="shared" si="504"/>
        <v>MarçoSEMANA 2Tonkatsu Bb 5 Lt</v>
      </c>
      <c r="R876" s="7">
        <f>SUMIF(NF!$A:$A,$Q876,NF!$I:$I)</f>
        <v>0</v>
      </c>
      <c r="S876" s="6"/>
      <c r="T876" s="6"/>
      <c r="U876" s="6"/>
      <c r="V876" s="6"/>
      <c r="W876" s="6"/>
      <c r="X876" s="6"/>
      <c r="Y876" s="6"/>
      <c r="Z876" s="7">
        <f t="shared" si="545"/>
        <v>0</v>
      </c>
      <c r="AA876" s="11">
        <f t="shared" si="437"/>
        <v>1</v>
      </c>
      <c r="AB876" s="25"/>
      <c r="AC876" s="10" t="str">
        <f t="shared" si="505"/>
        <v>MarçoSEMANA 3Tonkatsu Bb 5 Lt</v>
      </c>
      <c r="AD876" s="7">
        <f>SUMIF(NF!$A:$A,$AC876,NF!$I:$I)</f>
        <v>0</v>
      </c>
      <c r="AE876" s="6"/>
      <c r="AF876" s="6"/>
      <c r="AG876" s="6">
        <v>1</v>
      </c>
      <c r="AH876" s="6"/>
      <c r="AI876" s="6"/>
      <c r="AJ876" s="6"/>
      <c r="AK876" s="6"/>
      <c r="AL876" s="7">
        <f t="shared" si="546"/>
        <v>1</v>
      </c>
      <c r="AM876" s="11">
        <f t="shared" si="440"/>
        <v>0</v>
      </c>
      <c r="AN876" s="25"/>
      <c r="AO876" s="10" t="str">
        <f t="shared" si="506"/>
        <v>MarçoSEMANA 4Tonkatsu Bb 5 Lt</v>
      </c>
      <c r="AP876" s="7">
        <f>SUMIF(NF!$A:$A,$AO876,NF!$I:$I)</f>
        <v>0</v>
      </c>
      <c r="AQ876" s="6"/>
      <c r="AR876" s="6"/>
      <c r="AS876" s="6"/>
      <c r="AT876" s="6"/>
      <c r="AU876" s="6"/>
      <c r="AV876" s="6"/>
      <c r="AW876" s="6"/>
      <c r="AX876" s="7">
        <f t="shared" si="547"/>
        <v>0</v>
      </c>
      <c r="AY876" s="11">
        <f t="shared" si="443"/>
        <v>0</v>
      </c>
      <c r="AZ876" s="25"/>
      <c r="BA876" s="10" t="str">
        <f t="shared" si="507"/>
        <v>MarçoSEMANA 5Tonkatsu Bb 5 Lt</v>
      </c>
      <c r="BB876" s="7">
        <f>SUMIF(NF!$A:$A,$BA876,NF!$I:$I)</f>
        <v>2</v>
      </c>
      <c r="BC876" s="6"/>
      <c r="BD876" s="6"/>
      <c r="BE876" s="6">
        <v>1</v>
      </c>
      <c r="BF876" s="6"/>
      <c r="BG876" s="6"/>
      <c r="BH876" s="6"/>
      <c r="BI876" s="74"/>
      <c r="BJ876" s="74"/>
      <c r="BK876" s="7">
        <f t="shared" si="548"/>
        <v>1</v>
      </c>
      <c r="BL876" s="8">
        <f t="shared" si="446"/>
        <v>1</v>
      </c>
      <c r="BM876" s="51" t="str">
        <f>IFERROR(VLOOKUP(A876,NF!$M:$O,3,0),"")</f>
        <v>Mercado</v>
      </c>
      <c r="BN876" s="7">
        <f t="shared" si="447"/>
        <v>2</v>
      </c>
      <c r="BO876" s="8">
        <f t="array" ref="BO876">IFERROR(LARGE(IF(NF!$G$2:$G$3137='Mês atual'!A876,NF!$J$2:$J$3137),1),0)*BN876</f>
        <v>80</v>
      </c>
      <c r="BP876" s="50"/>
      <c r="BR876" s="146">
        <f t="array" ref="BR876">IFERROR(LARGE(IF(NF!$G$2:$G$3137='Mês atual'!A876,NF!$J$2:$J$3137),1),0)</f>
        <v>40</v>
      </c>
      <c r="BS876" s="142" t="str">
        <f>VLOOKUP(A876,NF!M:O,3,0)</f>
        <v>Mercado</v>
      </c>
      <c r="BV876" s="74">
        <f t="shared" si="549"/>
        <v>0</v>
      </c>
      <c r="BW876" s="74">
        <f t="shared" si="550"/>
        <v>0</v>
      </c>
      <c r="BX876" s="74">
        <f t="shared" si="551"/>
        <v>1</v>
      </c>
      <c r="BY876" s="74">
        <f t="shared" si="552"/>
        <v>0</v>
      </c>
      <c r="BZ876" s="74">
        <f t="shared" si="553"/>
        <v>1</v>
      </c>
    </row>
    <row r="877" spans="1:78" x14ac:dyDescent="0.2">
      <c r="A877" s="108" t="s">
        <v>819</v>
      </c>
      <c r="B877" s="12"/>
      <c r="C877" s="9">
        <v>2</v>
      </c>
      <c r="D877" s="25"/>
      <c r="E877" s="10" t="str">
        <f t="shared" si="503"/>
        <v>MarçoSEMANA 1Tortinha Arosa  64 unid</v>
      </c>
      <c r="F877" s="7">
        <f>SUMIF(NF!$A:$A,$E877,NF!$I:$I)</f>
        <v>0</v>
      </c>
      <c r="G877" s="74"/>
      <c r="H877" s="74"/>
      <c r="I877" s="74"/>
      <c r="J877" s="6">
        <v>2</v>
      </c>
      <c r="K877" s="6"/>
      <c r="L877" s="6"/>
      <c r="M877" s="6"/>
      <c r="N877" s="7">
        <f t="shared" si="544"/>
        <v>2</v>
      </c>
      <c r="O877" s="11">
        <f t="shared" si="434"/>
        <v>0</v>
      </c>
      <c r="P877" s="25"/>
      <c r="Q877" s="10" t="str">
        <f t="shared" si="504"/>
        <v>MarçoSEMANA 2Tortinha Arosa  64 unid</v>
      </c>
      <c r="R877" s="7">
        <f>SUMIF(NF!$A:$A,$Q877,NF!$I:$I)</f>
        <v>3</v>
      </c>
      <c r="S877" s="6"/>
      <c r="T877" s="6"/>
      <c r="U877" s="6"/>
      <c r="V877" s="6"/>
      <c r="W877" s="6"/>
      <c r="X877" s="6"/>
      <c r="Y877" s="6"/>
      <c r="Z877" s="7">
        <f t="shared" si="545"/>
        <v>0</v>
      </c>
      <c r="AA877" s="11">
        <f t="shared" si="437"/>
        <v>3</v>
      </c>
      <c r="AB877" s="25"/>
      <c r="AC877" s="10" t="str">
        <f t="shared" si="505"/>
        <v>MarçoSEMANA 3Tortinha Arosa  64 unid</v>
      </c>
      <c r="AD877" s="7">
        <f>SUMIF(NF!$A:$A,$AC877,NF!$I:$I)</f>
        <v>0</v>
      </c>
      <c r="AE877" s="6"/>
      <c r="AF877" s="6"/>
      <c r="AG877" s="6"/>
      <c r="AH877" s="6"/>
      <c r="AI877" s="6"/>
      <c r="AJ877" s="6"/>
      <c r="AK877" s="6"/>
      <c r="AL877" s="7">
        <f t="shared" si="546"/>
        <v>0</v>
      </c>
      <c r="AM877" s="11">
        <f t="shared" si="440"/>
        <v>3</v>
      </c>
      <c r="AN877" s="25"/>
      <c r="AO877" s="10" t="str">
        <f t="shared" si="506"/>
        <v>MarçoSEMANA 4Tortinha Arosa  64 unid</v>
      </c>
      <c r="AP877" s="7">
        <f>SUMIF(NF!$A:$A,$AO877,NF!$I:$I)</f>
        <v>0</v>
      </c>
      <c r="AQ877" s="6">
        <v>2</v>
      </c>
      <c r="AR877" s="6"/>
      <c r="AS877" s="6"/>
      <c r="AT877" s="6"/>
      <c r="AU877" s="6">
        <v>1</v>
      </c>
      <c r="AV877" s="6"/>
      <c r="AW877" s="6"/>
      <c r="AX877" s="7">
        <f t="shared" si="547"/>
        <v>3</v>
      </c>
      <c r="AY877" s="11">
        <f t="shared" si="443"/>
        <v>0</v>
      </c>
      <c r="AZ877" s="25"/>
      <c r="BA877" s="10" t="str">
        <f t="shared" si="507"/>
        <v>MarçoSEMANA 5Tortinha Arosa  64 unid</v>
      </c>
      <c r="BB877" s="7">
        <f>SUMIF(NF!$A:$A,$BA877,NF!$I:$I)</f>
        <v>0</v>
      </c>
      <c r="BC877" s="6"/>
      <c r="BD877" s="6"/>
      <c r="BE877" s="6"/>
      <c r="BF877" s="6"/>
      <c r="BG877" s="6"/>
      <c r="BH877" s="6"/>
      <c r="BI877" s="74"/>
      <c r="BJ877" s="74"/>
      <c r="BK877" s="7">
        <f t="shared" si="548"/>
        <v>0</v>
      </c>
      <c r="BL877" s="8">
        <f t="shared" si="446"/>
        <v>0</v>
      </c>
      <c r="BM877" s="51" t="str">
        <f>IFERROR(VLOOKUP(A877,NF!$M:$O,3,0),"")</f>
        <v>Mercado</v>
      </c>
      <c r="BN877" s="7">
        <f t="shared" si="447"/>
        <v>5</v>
      </c>
      <c r="BO877" s="8">
        <f t="array" ref="BO877">IFERROR(LARGE(IF(NF!$G$2:$G$3137='Mês atual'!A877,NF!$J$2:$J$3137),1),0)*BN877</f>
        <v>170</v>
      </c>
      <c r="BP877" s="50"/>
      <c r="BR877" s="146">
        <f t="array" ref="BR877">IFERROR(LARGE(IF(NF!$G$2:$G$3137='Mês atual'!A877,NF!$J$2:$J$3137),1),0)</f>
        <v>34</v>
      </c>
      <c r="BS877" s="142" t="str">
        <f>VLOOKUP(A877,NF!M:O,3,0)</f>
        <v>Mercado</v>
      </c>
      <c r="BV877" s="74">
        <f t="shared" si="549"/>
        <v>2</v>
      </c>
      <c r="BW877" s="74">
        <f t="shared" si="550"/>
        <v>0</v>
      </c>
      <c r="BX877" s="74">
        <f t="shared" si="551"/>
        <v>0</v>
      </c>
      <c r="BY877" s="74">
        <f t="shared" si="552"/>
        <v>3</v>
      </c>
      <c r="BZ877" s="74">
        <f t="shared" si="553"/>
        <v>0</v>
      </c>
    </row>
    <row r="878" spans="1:78" x14ac:dyDescent="0.2">
      <c r="A878" s="108" t="s">
        <v>820</v>
      </c>
      <c r="B878" s="12"/>
      <c r="C878" s="9">
        <v>1</v>
      </c>
      <c r="D878" s="25"/>
      <c r="E878" s="10" t="str">
        <f t="shared" si="503"/>
        <v>MarçoSEMANA 1Tortinha Arosa  72 unid</v>
      </c>
      <c r="F878" s="7">
        <f>SUMIF(NF!$A:$A,$E878,NF!$I:$I)</f>
        <v>0</v>
      </c>
      <c r="G878" s="74"/>
      <c r="H878" s="74"/>
      <c r="I878" s="74"/>
      <c r="J878" s="6">
        <v>1</v>
      </c>
      <c r="K878" s="6"/>
      <c r="L878" s="6"/>
      <c r="M878" s="6"/>
      <c r="N878" s="7">
        <f t="shared" si="544"/>
        <v>1</v>
      </c>
      <c r="O878" s="11">
        <f t="shared" si="434"/>
        <v>0</v>
      </c>
      <c r="P878" s="25"/>
      <c r="Q878" s="10" t="str">
        <f t="shared" si="504"/>
        <v>MarçoSEMANA 2Tortinha Arosa  72 unid</v>
      </c>
      <c r="R878" s="7">
        <f>SUMIF(NF!$A:$A,$Q878,NF!$I:$I)</f>
        <v>3</v>
      </c>
      <c r="S878" s="6"/>
      <c r="T878" s="6"/>
      <c r="U878" s="6"/>
      <c r="V878" s="6"/>
      <c r="W878" s="6"/>
      <c r="X878" s="6"/>
      <c r="Y878" s="6"/>
      <c r="Z878" s="7">
        <f t="shared" si="545"/>
        <v>0</v>
      </c>
      <c r="AA878" s="11">
        <f t="shared" si="437"/>
        <v>3</v>
      </c>
      <c r="AB878" s="25"/>
      <c r="AC878" s="10" t="str">
        <f t="shared" si="505"/>
        <v>MarçoSEMANA 3Tortinha Arosa  72 unid</v>
      </c>
      <c r="AD878" s="7">
        <f>SUMIF(NF!$A:$A,$AC878,NF!$I:$I)</f>
        <v>0</v>
      </c>
      <c r="AE878" s="6"/>
      <c r="AF878" s="6"/>
      <c r="AG878" s="6"/>
      <c r="AH878" s="6"/>
      <c r="AI878" s="6"/>
      <c r="AJ878" s="6"/>
      <c r="AK878" s="6"/>
      <c r="AL878" s="7">
        <f t="shared" si="546"/>
        <v>0</v>
      </c>
      <c r="AM878" s="11">
        <f t="shared" si="440"/>
        <v>3</v>
      </c>
      <c r="AN878" s="25"/>
      <c r="AO878" s="10" t="str">
        <f t="shared" si="506"/>
        <v>MarçoSEMANA 4Tortinha Arosa  72 unid</v>
      </c>
      <c r="AP878" s="7">
        <f>SUMIF(NF!$A:$A,$AO878,NF!$I:$I)</f>
        <v>0</v>
      </c>
      <c r="AQ878" s="6">
        <v>1</v>
      </c>
      <c r="AR878" s="6"/>
      <c r="AS878" s="6"/>
      <c r="AT878" s="6"/>
      <c r="AU878" s="6">
        <v>2</v>
      </c>
      <c r="AV878" s="6"/>
      <c r="AW878" s="6"/>
      <c r="AX878" s="7">
        <f t="shared" si="547"/>
        <v>3</v>
      </c>
      <c r="AY878" s="11">
        <f t="shared" si="443"/>
        <v>0</v>
      </c>
      <c r="AZ878" s="25"/>
      <c r="BA878" s="10" t="str">
        <f t="shared" si="507"/>
        <v>MarçoSEMANA 5Tortinha Arosa  72 unid</v>
      </c>
      <c r="BB878" s="7">
        <f>SUMIF(NF!$A:$A,$BA878,NF!$I:$I)</f>
        <v>0</v>
      </c>
      <c r="BC878" s="6"/>
      <c r="BD878" s="6"/>
      <c r="BE878" s="6"/>
      <c r="BF878" s="6"/>
      <c r="BG878" s="6"/>
      <c r="BH878" s="6"/>
      <c r="BI878" s="74"/>
      <c r="BJ878" s="74"/>
      <c r="BK878" s="7">
        <f t="shared" si="548"/>
        <v>0</v>
      </c>
      <c r="BL878" s="8">
        <f t="shared" si="446"/>
        <v>0</v>
      </c>
      <c r="BM878" s="51" t="str">
        <f>IFERROR(VLOOKUP(A878,NF!$M:$O,3,0),"")</f>
        <v>Mercado</v>
      </c>
      <c r="BN878" s="7">
        <f t="shared" si="447"/>
        <v>4</v>
      </c>
      <c r="BO878" s="8">
        <f t="array" ref="BO878">IFERROR(LARGE(IF(NF!$G$2:$G$3137='Mês atual'!A878,NF!$J$2:$J$3137),1),0)*BN878</f>
        <v>136</v>
      </c>
      <c r="BP878" s="50"/>
      <c r="BR878" s="146">
        <f t="array" ref="BR878">IFERROR(LARGE(IF(NF!$G$2:$G$3137='Mês atual'!A878,NF!$J$2:$J$3137),1),0)</f>
        <v>34</v>
      </c>
      <c r="BS878" s="142" t="str">
        <f>VLOOKUP(A878,NF!M:O,3,0)</f>
        <v>Mercado</v>
      </c>
      <c r="BV878" s="74">
        <f t="shared" si="549"/>
        <v>1</v>
      </c>
      <c r="BW878" s="74">
        <f t="shared" si="550"/>
        <v>0</v>
      </c>
      <c r="BX878" s="74">
        <f t="shared" si="551"/>
        <v>0</v>
      </c>
      <c r="BY878" s="74">
        <f t="shared" si="552"/>
        <v>3</v>
      </c>
      <c r="BZ878" s="74">
        <f t="shared" si="553"/>
        <v>0</v>
      </c>
    </row>
    <row r="879" spans="1:78" x14ac:dyDescent="0.2">
      <c r="A879" s="108" t="s">
        <v>821</v>
      </c>
      <c r="B879" s="12"/>
      <c r="C879" s="9">
        <v>1</v>
      </c>
      <c r="D879" s="25"/>
      <c r="E879" s="10" t="str">
        <f t="shared" si="503"/>
        <v>MarçoSEMANA 1Tortinha Arosa  81 unid</v>
      </c>
      <c r="F879" s="7">
        <f>SUMIF(NF!$A:$A,$E879,NF!$I:$I)</f>
        <v>0</v>
      </c>
      <c r="G879" s="74"/>
      <c r="H879" s="74"/>
      <c r="I879" s="74"/>
      <c r="J879" s="6">
        <v>1</v>
      </c>
      <c r="K879" s="6"/>
      <c r="L879" s="6"/>
      <c r="M879" s="6"/>
      <c r="N879" s="7">
        <f t="shared" si="544"/>
        <v>1</v>
      </c>
      <c r="O879" s="11">
        <f t="shared" si="434"/>
        <v>0</v>
      </c>
      <c r="P879" s="25"/>
      <c r="Q879" s="10" t="str">
        <f t="shared" si="504"/>
        <v>MarçoSEMANA 2Tortinha Arosa  81 unid</v>
      </c>
      <c r="R879" s="7">
        <f>SUMIF(NF!$A:$A,$Q879,NF!$I:$I)</f>
        <v>3</v>
      </c>
      <c r="S879" s="6"/>
      <c r="T879" s="6"/>
      <c r="U879" s="6"/>
      <c r="V879" s="6"/>
      <c r="W879" s="6"/>
      <c r="X879" s="6"/>
      <c r="Y879" s="6"/>
      <c r="Z879" s="7">
        <f t="shared" si="545"/>
        <v>0</v>
      </c>
      <c r="AA879" s="11">
        <f t="shared" si="437"/>
        <v>3</v>
      </c>
      <c r="AB879" s="25"/>
      <c r="AC879" s="10" t="str">
        <f t="shared" si="505"/>
        <v>MarçoSEMANA 3Tortinha Arosa  81 unid</v>
      </c>
      <c r="AD879" s="7">
        <f>SUMIF(NF!$A:$A,$AC879,NF!$I:$I)</f>
        <v>0</v>
      </c>
      <c r="AE879" s="6"/>
      <c r="AF879" s="6"/>
      <c r="AG879" s="6"/>
      <c r="AH879" s="6"/>
      <c r="AI879" s="6"/>
      <c r="AJ879" s="6"/>
      <c r="AK879" s="6"/>
      <c r="AL879" s="7">
        <f t="shared" si="546"/>
        <v>0</v>
      </c>
      <c r="AM879" s="11">
        <f t="shared" si="440"/>
        <v>3</v>
      </c>
      <c r="AN879" s="25"/>
      <c r="AO879" s="10" t="str">
        <f t="shared" si="506"/>
        <v>MarçoSEMANA 4Tortinha Arosa  81 unid</v>
      </c>
      <c r="AP879" s="7">
        <f>SUMIF(NF!$A:$A,$AO879,NF!$I:$I)</f>
        <v>0</v>
      </c>
      <c r="AQ879" s="6">
        <v>2</v>
      </c>
      <c r="AR879" s="6"/>
      <c r="AS879" s="6"/>
      <c r="AT879" s="6"/>
      <c r="AU879" s="6">
        <v>1</v>
      </c>
      <c r="AV879" s="6"/>
      <c r="AW879" s="6"/>
      <c r="AX879" s="7">
        <f t="shared" si="547"/>
        <v>3</v>
      </c>
      <c r="AY879" s="11">
        <f t="shared" si="443"/>
        <v>0</v>
      </c>
      <c r="AZ879" s="25"/>
      <c r="BA879" s="10" t="str">
        <f t="shared" si="507"/>
        <v>MarçoSEMANA 5Tortinha Arosa  81 unid</v>
      </c>
      <c r="BB879" s="7">
        <f>SUMIF(NF!$A:$A,$BA879,NF!$I:$I)</f>
        <v>0</v>
      </c>
      <c r="BC879" s="6"/>
      <c r="BD879" s="6"/>
      <c r="BE879" s="6"/>
      <c r="BF879" s="6"/>
      <c r="BG879" s="6"/>
      <c r="BH879" s="6"/>
      <c r="BI879" s="74"/>
      <c r="BJ879" s="74"/>
      <c r="BK879" s="7">
        <f t="shared" si="548"/>
        <v>0</v>
      </c>
      <c r="BL879" s="8">
        <f t="shared" si="446"/>
        <v>0</v>
      </c>
      <c r="BM879" s="51" t="str">
        <f>IFERROR(VLOOKUP(A879,NF!$M:$O,3,0),"")</f>
        <v>Mercado</v>
      </c>
      <c r="BN879" s="7">
        <f t="shared" si="447"/>
        <v>4</v>
      </c>
      <c r="BO879" s="8">
        <f t="array" ref="BO879">IFERROR(LARGE(IF(NF!$G$2:$G$3137='Mês atual'!A879,NF!$J$2:$J$3137),1),0)*BN879</f>
        <v>124</v>
      </c>
      <c r="BP879" s="50"/>
      <c r="BR879" s="146">
        <f t="array" ref="BR879">IFERROR(LARGE(IF(NF!$G$2:$G$3137='Mês atual'!A879,NF!$J$2:$J$3137),1),0)</f>
        <v>31</v>
      </c>
      <c r="BS879" s="142" t="str">
        <f>VLOOKUP(A879,NF!M:O,3,0)</f>
        <v>Mercado</v>
      </c>
      <c r="BV879" s="74">
        <f t="shared" si="549"/>
        <v>1</v>
      </c>
      <c r="BW879" s="74">
        <f t="shared" si="550"/>
        <v>0</v>
      </c>
      <c r="BX879" s="74">
        <f t="shared" si="551"/>
        <v>0</v>
      </c>
      <c r="BY879" s="74">
        <f t="shared" si="552"/>
        <v>3</v>
      </c>
      <c r="BZ879" s="74">
        <f t="shared" si="553"/>
        <v>0</v>
      </c>
    </row>
    <row r="880" spans="1:78" x14ac:dyDescent="0.25">
      <c r="A880" s="108" t="s">
        <v>824</v>
      </c>
      <c r="B880" s="12"/>
      <c r="C880" s="9">
        <v>2</v>
      </c>
      <c r="D880" s="25"/>
      <c r="E880" s="10" t="str">
        <f t="shared" si="503"/>
        <v>MarçoSEMANA 1Trigo em Grão</v>
      </c>
      <c r="F880" s="7">
        <f>SUMIF(NF!$A:$A,$E880,NF!$I:$I)</f>
        <v>1</v>
      </c>
      <c r="G880" s="74"/>
      <c r="H880" s="74"/>
      <c r="I880" s="74"/>
      <c r="J880" s="6"/>
      <c r="K880" s="6"/>
      <c r="L880" s="6">
        <v>0.5</v>
      </c>
      <c r="M880" s="6"/>
      <c r="N880" s="7">
        <f t="shared" si="544"/>
        <v>0.5</v>
      </c>
      <c r="O880" s="11">
        <f t="shared" si="434"/>
        <v>2.5</v>
      </c>
      <c r="P880" s="25"/>
      <c r="Q880" s="10" t="str">
        <f t="shared" si="504"/>
        <v>MarçoSEMANA 2Trigo em Grão</v>
      </c>
      <c r="R880" s="7">
        <f>SUMIF(NF!$A:$A,$Q880,NF!$I:$I)</f>
        <v>0</v>
      </c>
      <c r="S880" s="6"/>
      <c r="T880" s="6"/>
      <c r="U880" s="6"/>
      <c r="V880" s="6"/>
      <c r="W880" s="6"/>
      <c r="X880" s="6"/>
      <c r="Y880" s="6"/>
      <c r="Z880" s="7">
        <f t="shared" si="545"/>
        <v>0</v>
      </c>
      <c r="AA880" s="11">
        <f t="shared" si="437"/>
        <v>2.5</v>
      </c>
      <c r="AB880" s="25"/>
      <c r="AC880" s="10" t="str">
        <f t="shared" si="505"/>
        <v>MarçoSEMANA 3Trigo em Grão</v>
      </c>
      <c r="AD880" s="7">
        <f>SUMIF(NF!$A:$A,$AC880,NF!$I:$I)</f>
        <v>0</v>
      </c>
      <c r="AE880" s="6"/>
      <c r="AF880" s="6"/>
      <c r="AG880" s="6">
        <v>1.5</v>
      </c>
      <c r="AH880" s="6"/>
      <c r="AI880" s="6">
        <v>1</v>
      </c>
      <c r="AJ880" s="6"/>
      <c r="AK880" s="6"/>
      <c r="AL880" s="7">
        <f t="shared" si="546"/>
        <v>2.5</v>
      </c>
      <c r="AM880" s="11">
        <f t="shared" si="440"/>
        <v>0</v>
      </c>
      <c r="AN880" s="25"/>
      <c r="AO880" s="10" t="str">
        <f t="shared" si="506"/>
        <v>MarçoSEMANA 4Trigo em Grão</v>
      </c>
      <c r="AP880" s="7">
        <f>SUMIF(NF!$A:$A,$AO880,NF!$I:$I)</f>
        <v>2</v>
      </c>
      <c r="AQ880" s="6"/>
      <c r="AR880" s="6"/>
      <c r="AS880" s="6"/>
      <c r="AT880" s="6"/>
      <c r="AU880" s="6"/>
      <c r="AV880" s="6"/>
      <c r="AW880" s="6"/>
      <c r="AX880" s="7">
        <f t="shared" si="547"/>
        <v>0</v>
      </c>
      <c r="AY880" s="11">
        <f t="shared" si="443"/>
        <v>2</v>
      </c>
      <c r="AZ880" s="25"/>
      <c r="BA880" s="10" t="str">
        <f t="shared" si="507"/>
        <v>MarçoSEMANA 5Trigo em Grão</v>
      </c>
      <c r="BB880" s="7">
        <f>SUMIF(NF!$A:$A,$BA880,NF!$I:$I)</f>
        <v>1</v>
      </c>
      <c r="BC880" s="6"/>
      <c r="BD880" s="6"/>
      <c r="BE880" s="6"/>
      <c r="BF880" s="6">
        <v>1</v>
      </c>
      <c r="BG880" s="6"/>
      <c r="BH880" s="6"/>
      <c r="BI880" s="74"/>
      <c r="BJ880" s="74"/>
      <c r="BK880" s="7">
        <f t="shared" si="548"/>
        <v>1</v>
      </c>
      <c r="BL880" s="8">
        <f t="shared" si="446"/>
        <v>2</v>
      </c>
      <c r="BM880" s="51" t="str">
        <f>IFERROR(VLOOKUP(A880,NF!$M:$O,3,0),"")</f>
        <v>Mercado</v>
      </c>
      <c r="BN880" s="7">
        <f t="shared" si="447"/>
        <v>4</v>
      </c>
      <c r="BO880" s="8">
        <f t="array" ref="BO880">IFERROR(LARGE(IF(NF!$G$2:$G$3137='Mês atual'!A880,NF!$J$2:$J$3137),1),0)*BN880</f>
        <v>15.6</v>
      </c>
      <c r="BP880" s="50"/>
      <c r="BR880" s="146">
        <f t="array" ref="BR880">IFERROR(LARGE(IF(NF!$G$2:$G$3137='Mês atual'!A880,NF!$J$2:$J$3137),1),0)</f>
        <v>3.9</v>
      </c>
      <c r="BS880" s="142" t="str">
        <f>VLOOKUP(A880,NF!M:O,3,0)</f>
        <v>Mercado</v>
      </c>
      <c r="BV880" s="74">
        <f t="shared" si="549"/>
        <v>0.5</v>
      </c>
      <c r="BW880" s="74">
        <f t="shared" si="550"/>
        <v>0</v>
      </c>
      <c r="BX880" s="74">
        <f t="shared" si="551"/>
        <v>2.5</v>
      </c>
      <c r="BY880" s="74">
        <f t="shared" si="552"/>
        <v>0</v>
      </c>
      <c r="BZ880" s="74">
        <f t="shared" si="553"/>
        <v>1</v>
      </c>
    </row>
    <row r="881" spans="1:78" x14ac:dyDescent="0.2">
      <c r="A881" s="108" t="s">
        <v>825</v>
      </c>
      <c r="B881" s="12"/>
      <c r="C881" s="9">
        <v>3</v>
      </c>
      <c r="D881" s="25"/>
      <c r="E881" s="10" t="str">
        <f t="shared" si="503"/>
        <v>MarçoSEMANA 1Trigo para Kibe</v>
      </c>
      <c r="F881" s="7">
        <f>SUMIF(NF!$A:$A,$E881,NF!$I:$I)</f>
        <v>10</v>
      </c>
      <c r="G881" s="74"/>
      <c r="H881" s="74"/>
      <c r="I881" s="74"/>
      <c r="J881" s="6"/>
      <c r="K881" s="6">
        <v>2.5</v>
      </c>
      <c r="L881" s="6"/>
      <c r="M881" s="6"/>
      <c r="N881" s="7">
        <f t="shared" si="544"/>
        <v>2.5</v>
      </c>
      <c r="O881" s="11">
        <f t="shared" ref="O881:O891" si="554">F881+C881-N881</f>
        <v>10.5</v>
      </c>
      <c r="P881" s="25"/>
      <c r="Q881" s="10" t="str">
        <f t="shared" si="504"/>
        <v>MarçoSEMANA 2Trigo para Kibe</v>
      </c>
      <c r="R881" s="7">
        <f>SUMIF(NF!$A:$A,$Q881,NF!$I:$I)</f>
        <v>0</v>
      </c>
      <c r="S881" s="6"/>
      <c r="T881" s="6"/>
      <c r="U881" s="6"/>
      <c r="V881" s="6"/>
      <c r="W881" s="6">
        <v>1.5</v>
      </c>
      <c r="X881" s="6"/>
      <c r="Y881" s="6">
        <v>0.5</v>
      </c>
      <c r="Z881" s="7">
        <f t="shared" si="545"/>
        <v>2</v>
      </c>
      <c r="AA881" s="11">
        <f t="shared" ref="AA881:AA891" si="555">R881+O881-Z881</f>
        <v>8.5</v>
      </c>
      <c r="AB881" s="25"/>
      <c r="AC881" s="10" t="str">
        <f t="shared" si="505"/>
        <v>MarçoSEMANA 3Trigo para Kibe</v>
      </c>
      <c r="AD881" s="7">
        <f>SUMIF(NF!$A:$A,$AC881,NF!$I:$I)</f>
        <v>0</v>
      </c>
      <c r="AE881" s="6"/>
      <c r="AF881" s="6">
        <v>1.5</v>
      </c>
      <c r="AG881" s="6">
        <v>1</v>
      </c>
      <c r="AH881" s="6"/>
      <c r="AI881" s="6"/>
      <c r="AJ881" s="6"/>
      <c r="AK881" s="6"/>
      <c r="AL881" s="7">
        <f t="shared" si="546"/>
        <v>2.5</v>
      </c>
      <c r="AM881" s="11">
        <f t="shared" ref="AM881:AM891" si="556">AD881+AA881-AL881</f>
        <v>6</v>
      </c>
      <c r="AN881" s="25"/>
      <c r="AO881" s="10" t="str">
        <f t="shared" si="506"/>
        <v>MarçoSEMANA 4Trigo para Kibe</v>
      </c>
      <c r="AP881" s="7">
        <f>SUMIF(NF!$A:$A,$AO881,NF!$I:$I)</f>
        <v>0</v>
      </c>
      <c r="AQ881" s="6"/>
      <c r="AR881" s="6"/>
      <c r="AS881" s="6"/>
      <c r="AT881" s="6"/>
      <c r="AU881" s="6"/>
      <c r="AV881" s="6"/>
      <c r="AW881" s="6"/>
      <c r="AX881" s="7">
        <f t="shared" si="547"/>
        <v>0</v>
      </c>
      <c r="AY881" s="11">
        <f t="shared" ref="AY881:AY891" si="557">AP881+AM881-AX881</f>
        <v>6</v>
      </c>
      <c r="AZ881" s="25"/>
      <c r="BA881" s="10" t="str">
        <f t="shared" si="507"/>
        <v>MarçoSEMANA 5Trigo para Kibe</v>
      </c>
      <c r="BB881" s="7">
        <f>SUMIF(NF!$A:$A,$BA881,NF!$I:$I)</f>
        <v>5</v>
      </c>
      <c r="BC881" s="6"/>
      <c r="BD881" s="6">
        <v>3.5</v>
      </c>
      <c r="BE881" s="6"/>
      <c r="BF881" s="6"/>
      <c r="BG881" s="6"/>
      <c r="BH881" s="6"/>
      <c r="BI881" s="74"/>
      <c r="BJ881" s="74"/>
      <c r="BK881" s="7">
        <f t="shared" si="548"/>
        <v>3.5</v>
      </c>
      <c r="BL881" s="8">
        <f t="shared" ref="BL881:BL891" si="558">BB881+AY881-BK881</f>
        <v>7.5</v>
      </c>
      <c r="BM881" s="51" t="str">
        <f>IFERROR(VLOOKUP(A881,NF!$M:$O,3,0),"")</f>
        <v>Mercado</v>
      </c>
      <c r="BN881" s="7">
        <f t="shared" ref="BN881:BN891" si="559">SUM(N881,Z881,AL881,AX881,BK881)</f>
        <v>10.5</v>
      </c>
      <c r="BO881" s="8">
        <f t="array" ref="BO881">IFERROR(LARGE(IF(NF!$G$2:$G$3137='Mês atual'!A881,NF!$J$2:$J$3137),1),0)*BN881</f>
        <v>47.145000000000003</v>
      </c>
      <c r="BP881" s="50"/>
      <c r="BR881" s="146">
        <f t="array" ref="BR881">IFERROR(LARGE(IF(NF!$G$2:$G$3137='Mês atual'!A881,NF!$J$2:$J$3137),1),0)</f>
        <v>4.49</v>
      </c>
      <c r="BS881" s="142" t="str">
        <f>VLOOKUP(A881,NF!M:O,3,0)</f>
        <v>Mercado</v>
      </c>
      <c r="BV881" s="74">
        <f t="shared" si="549"/>
        <v>2.5</v>
      </c>
      <c r="BW881" s="74">
        <f t="shared" si="550"/>
        <v>2</v>
      </c>
      <c r="BX881" s="74">
        <f t="shared" si="551"/>
        <v>2.5</v>
      </c>
      <c r="BY881" s="74">
        <f t="shared" si="552"/>
        <v>0</v>
      </c>
      <c r="BZ881" s="74">
        <f t="shared" si="553"/>
        <v>3.5</v>
      </c>
    </row>
    <row r="882" spans="1:78" x14ac:dyDescent="0.2">
      <c r="A882" s="108" t="s">
        <v>837</v>
      </c>
      <c r="B882" s="12"/>
      <c r="C882" s="9">
        <v>1</v>
      </c>
      <c r="D882" s="25"/>
      <c r="E882" s="10" t="str">
        <f t="shared" si="503"/>
        <v>MarçoSEMANA 1Vinagre Aceto Balsamico</v>
      </c>
      <c r="F882" s="7">
        <f>SUMIF(NF!$A:$A,$E882,NF!$I:$I)</f>
        <v>1</v>
      </c>
      <c r="G882" s="74"/>
      <c r="H882" s="74"/>
      <c r="I882" s="74"/>
      <c r="J882" s="6"/>
      <c r="K882" s="6"/>
      <c r="L882" s="6"/>
      <c r="M882" s="6"/>
      <c r="N882" s="7">
        <f t="shared" si="544"/>
        <v>0</v>
      </c>
      <c r="O882" s="11">
        <f t="shared" si="554"/>
        <v>2</v>
      </c>
      <c r="P882" s="25"/>
      <c r="Q882" s="10" t="str">
        <f t="shared" si="504"/>
        <v>MarçoSEMANA 2Vinagre Aceto Balsamico</v>
      </c>
      <c r="R882" s="7">
        <f>SUMIF(NF!$A:$A,$Q882,NF!$I:$I)</f>
        <v>0</v>
      </c>
      <c r="S882" s="6"/>
      <c r="T882" s="6"/>
      <c r="U882" s="6"/>
      <c r="V882" s="6"/>
      <c r="W882" s="6"/>
      <c r="X882" s="6"/>
      <c r="Y882" s="6"/>
      <c r="Z882" s="7">
        <f t="shared" si="545"/>
        <v>0</v>
      </c>
      <c r="AA882" s="11">
        <f t="shared" si="555"/>
        <v>2</v>
      </c>
      <c r="AB882" s="25"/>
      <c r="AC882" s="10" t="str">
        <f t="shared" si="505"/>
        <v>MarçoSEMANA 3Vinagre Aceto Balsamico</v>
      </c>
      <c r="AD882" s="7">
        <f>SUMIF(NF!$A:$A,$AC882,NF!$I:$I)</f>
        <v>0</v>
      </c>
      <c r="AE882" s="6"/>
      <c r="AF882" s="6"/>
      <c r="AG882" s="6"/>
      <c r="AH882" s="6">
        <v>1</v>
      </c>
      <c r="AI882" s="6"/>
      <c r="AJ882" s="6"/>
      <c r="AK882" s="6"/>
      <c r="AL882" s="7">
        <f t="shared" si="546"/>
        <v>1</v>
      </c>
      <c r="AM882" s="11">
        <f t="shared" si="556"/>
        <v>1</v>
      </c>
      <c r="AN882" s="25"/>
      <c r="AO882" s="10" t="str">
        <f t="shared" si="506"/>
        <v>MarçoSEMANA 4Vinagre Aceto Balsamico</v>
      </c>
      <c r="AP882" s="7">
        <f>SUMIF(NF!$A:$A,$AO882,NF!$I:$I)</f>
        <v>0</v>
      </c>
      <c r="AQ882" s="6"/>
      <c r="AR882" s="6"/>
      <c r="AS882" s="6"/>
      <c r="AT882" s="6"/>
      <c r="AU882" s="6"/>
      <c r="AV882" s="6"/>
      <c r="AW882" s="6"/>
      <c r="AX882" s="7">
        <f t="shared" si="547"/>
        <v>0</v>
      </c>
      <c r="AY882" s="11">
        <f t="shared" si="557"/>
        <v>1</v>
      </c>
      <c r="AZ882" s="25"/>
      <c r="BA882" s="10" t="str">
        <f t="shared" si="507"/>
        <v>MarçoSEMANA 5Vinagre Aceto Balsamico</v>
      </c>
      <c r="BB882" s="7">
        <f>SUMIF(NF!$A:$A,$BA882,NF!$I:$I)</f>
        <v>0</v>
      </c>
      <c r="BC882" s="6"/>
      <c r="BD882" s="6"/>
      <c r="BE882" s="6">
        <v>1</v>
      </c>
      <c r="BF882" s="6"/>
      <c r="BG882" s="6"/>
      <c r="BH882" s="6"/>
      <c r="BI882" s="74"/>
      <c r="BJ882" s="74"/>
      <c r="BK882" s="7">
        <f t="shared" si="548"/>
        <v>1</v>
      </c>
      <c r="BL882" s="8">
        <f t="shared" si="558"/>
        <v>0</v>
      </c>
      <c r="BM882" s="51" t="str">
        <f>IFERROR(VLOOKUP(A882,NF!$M:$O,3,0),"")</f>
        <v>Mercado</v>
      </c>
      <c r="BN882" s="7">
        <f t="shared" si="559"/>
        <v>2</v>
      </c>
      <c r="BO882" s="8">
        <f t="array" ref="BO882">IFERROR(LARGE(IF(NF!$G$2:$G$3137='Mês atual'!A882,NF!$J$2:$J$3137),1),0)*BN882</f>
        <v>17.96</v>
      </c>
      <c r="BP882" s="50"/>
      <c r="BR882" s="146">
        <f t="array" ref="BR882">IFERROR(LARGE(IF(NF!$G$2:$G$3137='Mês atual'!A882,NF!$J$2:$J$3137),1),0)</f>
        <v>8.98</v>
      </c>
      <c r="BS882" s="142" t="str">
        <f>VLOOKUP(A882,NF!M:O,3,0)</f>
        <v>Mercado</v>
      </c>
      <c r="BV882" s="74">
        <f t="shared" si="549"/>
        <v>0</v>
      </c>
      <c r="BW882" s="74">
        <f t="shared" si="550"/>
        <v>0</v>
      </c>
      <c r="BX882" s="74">
        <f t="shared" si="551"/>
        <v>1</v>
      </c>
      <c r="BY882" s="74">
        <f t="shared" si="552"/>
        <v>0</v>
      </c>
      <c r="BZ882" s="74">
        <f t="shared" si="553"/>
        <v>1</v>
      </c>
    </row>
    <row r="883" spans="1:78" x14ac:dyDescent="0.2">
      <c r="A883" s="108" t="s">
        <v>1025</v>
      </c>
      <c r="B883" s="12"/>
      <c r="C883" s="9">
        <v>16</v>
      </c>
      <c r="D883" s="25"/>
      <c r="E883" s="10" t="str">
        <f t="shared" si="503"/>
        <v>MarçoSEMANA 1Vinagre Balsamico Branco</v>
      </c>
      <c r="F883" s="7">
        <f>SUMIF(NF!$A:$A,$E883,NF!$I:$I)</f>
        <v>0</v>
      </c>
      <c r="G883" s="74"/>
      <c r="H883" s="74"/>
      <c r="I883" s="74"/>
      <c r="J883" s="6"/>
      <c r="K883" s="6"/>
      <c r="L883" s="6"/>
      <c r="M883" s="6"/>
      <c r="N883" s="7">
        <f>SUM(G883:M883)</f>
        <v>0</v>
      </c>
      <c r="O883" s="11">
        <f>F883+C883-N883</f>
        <v>16</v>
      </c>
      <c r="P883" s="25"/>
      <c r="Q883" s="10" t="str">
        <f t="shared" si="504"/>
        <v>MarçoSEMANA 2Vinagre Balsamico Branco</v>
      </c>
      <c r="R883" s="7">
        <f>SUMIF(NF!$A:$A,$Q883,NF!$I:$I)</f>
        <v>0</v>
      </c>
      <c r="S883" s="6"/>
      <c r="T883" s="6"/>
      <c r="U883" s="6"/>
      <c r="V883" s="6"/>
      <c r="W883" s="6"/>
      <c r="X883" s="6"/>
      <c r="Y883" s="6"/>
      <c r="Z883" s="7">
        <f>SUM(S883:Y883)</f>
        <v>0</v>
      </c>
      <c r="AA883" s="11">
        <f>R883+O883-Z883</f>
        <v>16</v>
      </c>
      <c r="AB883" s="25"/>
      <c r="AC883" s="10" t="str">
        <f t="shared" si="505"/>
        <v>MarçoSEMANA 3Vinagre Balsamico Branco</v>
      </c>
      <c r="AD883" s="7">
        <f>SUMIF(NF!$A:$A,$AC883,NF!$I:$I)</f>
        <v>0</v>
      </c>
      <c r="AE883" s="6">
        <v>1</v>
      </c>
      <c r="AF883" s="6"/>
      <c r="AG883" s="6"/>
      <c r="AH883" s="6"/>
      <c r="AI883" s="6"/>
      <c r="AJ883" s="6"/>
      <c r="AK883" s="6"/>
      <c r="AL883" s="7">
        <f>SUM(AE883:AK883)</f>
        <v>1</v>
      </c>
      <c r="AM883" s="11">
        <f>AD883+AA883-AL883</f>
        <v>15</v>
      </c>
      <c r="AN883" s="25"/>
      <c r="AO883" s="10" t="str">
        <f t="shared" si="506"/>
        <v>MarçoSEMANA 4Vinagre Balsamico Branco</v>
      </c>
      <c r="AP883" s="7">
        <f>SUMIF(NF!$A:$A,$AO883,NF!$I:$I)</f>
        <v>0</v>
      </c>
      <c r="AQ883" s="6"/>
      <c r="AR883" s="6"/>
      <c r="AS883" s="6"/>
      <c r="AT883" s="6"/>
      <c r="AU883" s="6"/>
      <c r="AV883" s="6">
        <v>1</v>
      </c>
      <c r="AW883" s="6"/>
      <c r="AX883" s="7">
        <f>SUM(AQ883:AW883)</f>
        <v>1</v>
      </c>
      <c r="AY883" s="11">
        <f>AP883+AM883-AX883</f>
        <v>14</v>
      </c>
      <c r="AZ883" s="25"/>
      <c r="BA883" s="10" t="str">
        <f t="shared" si="507"/>
        <v>MarçoSEMANA 5Vinagre Balsamico Branco</v>
      </c>
      <c r="BB883" s="7">
        <f>SUMIF(NF!$A:$A,$BA883,NF!$I:$I)</f>
        <v>0</v>
      </c>
      <c r="BC883" s="6"/>
      <c r="BD883" s="6"/>
      <c r="BE883" s="6"/>
      <c r="BF883" s="6"/>
      <c r="BG883" s="6"/>
      <c r="BH883" s="6"/>
      <c r="BI883" s="74"/>
      <c r="BJ883" s="74"/>
      <c r="BK883" s="7">
        <f>SUM(BC883:BJ883)</f>
        <v>0</v>
      </c>
      <c r="BL883" s="8">
        <f>BB883+AY883-BK883</f>
        <v>14</v>
      </c>
      <c r="BM883" s="51" t="str">
        <f>IFERROR(VLOOKUP(A883,NF!$M:$O,3,0),"")</f>
        <v>Mercado</v>
      </c>
      <c r="BN883" s="7">
        <f>SUM(N883,Z883,AL883,AX883,BK883)</f>
        <v>2</v>
      </c>
      <c r="BO883" s="8">
        <f t="array" ref="BO883">IFERROR(LARGE(IF(NF!$G$2:$G$3137='Mês atual'!A883,NF!$J$2:$J$3137),1),0)*BN883</f>
        <v>0</v>
      </c>
      <c r="BP883" s="50"/>
      <c r="BR883" s="146">
        <f t="array" ref="BR883">IFERROR(LARGE(IF(NF!$G$2:$G$3137='Mês atual'!A883,NF!$J$2:$J$3137),1),0)</f>
        <v>0</v>
      </c>
      <c r="BS883" s="142" t="str">
        <f>VLOOKUP(A883,NF!M:O,3,0)</f>
        <v>Mercado</v>
      </c>
      <c r="BV883" s="74">
        <f t="shared" si="549"/>
        <v>0</v>
      </c>
      <c r="BW883" s="74">
        <f t="shared" si="550"/>
        <v>0</v>
      </c>
      <c r="BX883" s="74">
        <f t="shared" si="551"/>
        <v>1</v>
      </c>
      <c r="BY883" s="74">
        <f t="shared" si="552"/>
        <v>1</v>
      </c>
      <c r="BZ883" s="74">
        <f t="shared" si="553"/>
        <v>0</v>
      </c>
    </row>
    <row r="884" spans="1:78" x14ac:dyDescent="0.2">
      <c r="A884" s="108" t="s">
        <v>894</v>
      </c>
      <c r="B884" s="12"/>
      <c r="C884" s="9">
        <v>0</v>
      </c>
      <c r="D884" s="25"/>
      <c r="E884" s="10" t="str">
        <f t="shared" si="503"/>
        <v>MarçoSEMANA 1Vinagre de Arroz (cozinha)</v>
      </c>
      <c r="F884" s="7">
        <f>SUMIF(NF!$A:$A,$E884,NF!$I:$I)</f>
        <v>7</v>
      </c>
      <c r="G884" s="74"/>
      <c r="H884" s="74"/>
      <c r="I884" s="74"/>
      <c r="J884" s="6"/>
      <c r="K884" s="6"/>
      <c r="L884" s="6"/>
      <c r="M884" s="6">
        <v>7</v>
      </c>
      <c r="N884" s="7">
        <f t="shared" si="544"/>
        <v>7</v>
      </c>
      <c r="O884" s="11">
        <f t="shared" si="554"/>
        <v>0</v>
      </c>
      <c r="P884" s="25"/>
      <c r="Q884" s="10" t="str">
        <f t="shared" si="504"/>
        <v>MarçoSEMANA 2Vinagre de Arroz (cozinha)</v>
      </c>
      <c r="R884" s="7">
        <f>SUMIF(NF!$A:$A,$Q884,NF!$I:$I)</f>
        <v>7</v>
      </c>
      <c r="S884" s="6"/>
      <c r="T884" s="6"/>
      <c r="U884" s="6"/>
      <c r="V884" s="6"/>
      <c r="W884" s="6"/>
      <c r="X884" s="6">
        <v>7</v>
      </c>
      <c r="Y884" s="6"/>
      <c r="Z884" s="7">
        <f t="shared" si="545"/>
        <v>7</v>
      </c>
      <c r="AA884" s="11">
        <f t="shared" si="555"/>
        <v>0</v>
      </c>
      <c r="AB884" s="25"/>
      <c r="AC884" s="10" t="str">
        <f t="shared" si="505"/>
        <v>MarçoSEMANA 3Vinagre de Arroz (cozinha)</v>
      </c>
      <c r="AD884" s="7">
        <f>SUMIF(NF!$A:$A,$AC884,NF!$I:$I)</f>
        <v>7</v>
      </c>
      <c r="AE884" s="6"/>
      <c r="AF884" s="6"/>
      <c r="AG884" s="6"/>
      <c r="AH884" s="6"/>
      <c r="AI884" s="6"/>
      <c r="AJ884" s="6"/>
      <c r="AK884" s="6">
        <v>7</v>
      </c>
      <c r="AL884" s="7">
        <f t="shared" si="546"/>
        <v>7</v>
      </c>
      <c r="AM884" s="11">
        <f t="shared" si="556"/>
        <v>0</v>
      </c>
      <c r="AN884" s="25"/>
      <c r="AO884" s="10" t="str">
        <f t="shared" si="506"/>
        <v>MarçoSEMANA 4Vinagre de Arroz (cozinha)</v>
      </c>
      <c r="AP884" s="7">
        <f>SUMIF(NF!$A:$A,$AO884,NF!$I:$I)</f>
        <v>7</v>
      </c>
      <c r="AQ884" s="6"/>
      <c r="AR884" s="6"/>
      <c r="AS884" s="6"/>
      <c r="AT884" s="6"/>
      <c r="AU884" s="6">
        <v>7</v>
      </c>
      <c r="AV884" s="6"/>
      <c r="AW884" s="6"/>
      <c r="AX884" s="7">
        <f t="shared" si="547"/>
        <v>7</v>
      </c>
      <c r="AY884" s="11">
        <f t="shared" si="557"/>
        <v>0</v>
      </c>
      <c r="AZ884" s="25"/>
      <c r="BA884" s="10" t="str">
        <f t="shared" si="507"/>
        <v>MarçoSEMANA 5Vinagre de Arroz (cozinha)</v>
      </c>
      <c r="BB884" s="7">
        <f>SUMIF(NF!$A:$A,$BA884,NF!$I:$I)</f>
        <v>0</v>
      </c>
      <c r="BC884" s="6"/>
      <c r="BD884" s="6"/>
      <c r="BE884" s="6"/>
      <c r="BF884" s="6"/>
      <c r="BG884" s="6"/>
      <c r="BH884" s="6"/>
      <c r="BI884" s="74"/>
      <c r="BJ884" s="74"/>
      <c r="BK884" s="7">
        <f t="shared" si="548"/>
        <v>0</v>
      </c>
      <c r="BL884" s="8">
        <f t="shared" si="558"/>
        <v>0</v>
      </c>
      <c r="BM884" s="51" t="str">
        <f>IFERROR(VLOOKUP(A884,NF!$M:$O,3,0),"")</f>
        <v>Mercado</v>
      </c>
      <c r="BN884" s="7">
        <f t="shared" si="559"/>
        <v>28</v>
      </c>
      <c r="BO884" s="8">
        <f t="array" ref="BO884">IFERROR(LARGE(IF(NF!$G$2:$G$3137='Mês atual'!A884,NF!$J$2:$J$3137),1),0)*BN884</f>
        <v>108.36</v>
      </c>
      <c r="BP884" s="50"/>
      <c r="BR884" s="146">
        <f t="array" ref="BR884">IFERROR(LARGE(IF(NF!$G$2:$G$3137='Mês atual'!A884,NF!$J$2:$J$3137),1),0)</f>
        <v>3.87</v>
      </c>
      <c r="BS884" s="142" t="str">
        <f>VLOOKUP(A884,NF!M:O,3,0)</f>
        <v>Mercado</v>
      </c>
      <c r="BV884" s="74">
        <f t="shared" si="549"/>
        <v>7</v>
      </c>
      <c r="BW884" s="74">
        <f t="shared" si="550"/>
        <v>7</v>
      </c>
      <c r="BX884" s="74">
        <f t="shared" si="551"/>
        <v>7</v>
      </c>
      <c r="BY884" s="74">
        <f t="shared" si="552"/>
        <v>7</v>
      </c>
      <c r="BZ884" s="74">
        <f t="shared" si="553"/>
        <v>0</v>
      </c>
    </row>
    <row r="885" spans="1:78" x14ac:dyDescent="0.2">
      <c r="A885" s="108" t="s">
        <v>840</v>
      </c>
      <c r="B885" s="12"/>
      <c r="C885" s="9">
        <v>7</v>
      </c>
      <c r="D885" s="25"/>
      <c r="E885" s="10" t="str">
        <f t="shared" si="503"/>
        <v>MarçoSEMANA 1Vinagre de Vinho Branco 750 ml</v>
      </c>
      <c r="F885" s="7">
        <f>SUMIF(NF!$A:$A,$E885,NF!$I:$I)</f>
        <v>0</v>
      </c>
      <c r="G885" s="74"/>
      <c r="H885" s="74"/>
      <c r="I885" s="74"/>
      <c r="J885" s="6">
        <v>1</v>
      </c>
      <c r="K885" s="6"/>
      <c r="L885" s="6"/>
      <c r="M885" s="6"/>
      <c r="N885" s="7">
        <f t="shared" si="544"/>
        <v>1</v>
      </c>
      <c r="O885" s="11">
        <f t="shared" si="554"/>
        <v>6</v>
      </c>
      <c r="P885" s="25"/>
      <c r="Q885" s="10" t="str">
        <f t="shared" si="504"/>
        <v>MarçoSEMANA 2Vinagre de Vinho Branco 750 ml</v>
      </c>
      <c r="R885" s="7">
        <f>SUMIF(NF!$A:$A,$Q885,NF!$I:$I)</f>
        <v>0</v>
      </c>
      <c r="S885" s="6"/>
      <c r="T885" s="6"/>
      <c r="U885" s="6"/>
      <c r="V885" s="6"/>
      <c r="W885" s="6"/>
      <c r="X885" s="6"/>
      <c r="Y885" s="6"/>
      <c r="Z885" s="7">
        <f t="shared" si="545"/>
        <v>0</v>
      </c>
      <c r="AA885" s="11">
        <f t="shared" si="555"/>
        <v>6</v>
      </c>
      <c r="AB885" s="25"/>
      <c r="AC885" s="10" t="str">
        <f t="shared" si="505"/>
        <v>MarçoSEMANA 3Vinagre de Vinho Branco 750 ml</v>
      </c>
      <c r="AD885" s="7">
        <f>SUMIF(NF!$A:$A,$AC885,NF!$I:$I)</f>
        <v>0</v>
      </c>
      <c r="AE885" s="6"/>
      <c r="AF885" s="6"/>
      <c r="AG885" s="6"/>
      <c r="AH885" s="6"/>
      <c r="AI885" s="6"/>
      <c r="AJ885" s="6"/>
      <c r="AK885" s="6"/>
      <c r="AL885" s="7">
        <f t="shared" si="546"/>
        <v>0</v>
      </c>
      <c r="AM885" s="11">
        <f t="shared" si="556"/>
        <v>6</v>
      </c>
      <c r="AN885" s="25"/>
      <c r="AO885" s="10" t="str">
        <f t="shared" si="506"/>
        <v>MarçoSEMANA 4Vinagre de Vinho Branco 750 ml</v>
      </c>
      <c r="AP885" s="7">
        <f>SUMIF(NF!$A:$A,$AO885,NF!$I:$I)</f>
        <v>0</v>
      </c>
      <c r="AQ885" s="6"/>
      <c r="AR885" s="6"/>
      <c r="AS885" s="6"/>
      <c r="AT885" s="6"/>
      <c r="AU885" s="6"/>
      <c r="AV885" s="6"/>
      <c r="AW885" s="6">
        <v>1</v>
      </c>
      <c r="AX885" s="7">
        <f t="shared" si="547"/>
        <v>1</v>
      </c>
      <c r="AY885" s="11">
        <f t="shared" si="557"/>
        <v>5</v>
      </c>
      <c r="AZ885" s="25"/>
      <c r="BA885" s="10" t="str">
        <f t="shared" si="507"/>
        <v>MarçoSEMANA 5Vinagre de Vinho Branco 750 ml</v>
      </c>
      <c r="BB885" s="7">
        <f>SUMIF(NF!$A:$A,$BA885,NF!$I:$I)</f>
        <v>0</v>
      </c>
      <c r="BC885" s="6"/>
      <c r="BD885" s="6"/>
      <c r="BE885" s="6"/>
      <c r="BF885" s="6"/>
      <c r="BG885" s="6"/>
      <c r="BH885" s="6"/>
      <c r="BI885" s="74"/>
      <c r="BJ885" s="74"/>
      <c r="BK885" s="7">
        <f t="shared" si="548"/>
        <v>0</v>
      </c>
      <c r="BL885" s="8">
        <f t="shared" si="558"/>
        <v>5</v>
      </c>
      <c r="BM885" s="51" t="str">
        <f>IFERROR(VLOOKUP(A885,NF!$M:$O,3,0),"")</f>
        <v>Mercado</v>
      </c>
      <c r="BN885" s="7">
        <f t="shared" si="559"/>
        <v>2</v>
      </c>
      <c r="BO885" s="8">
        <f t="array" ref="BO885">IFERROR(LARGE(IF(NF!$G$2:$G$3137='Mês atual'!A885,NF!$J$2:$J$3137),1),0)*BN885</f>
        <v>0</v>
      </c>
      <c r="BP885" s="50"/>
      <c r="BR885" s="146">
        <f t="array" ref="BR885">IFERROR(LARGE(IF(NF!$G$2:$G$3137='Mês atual'!A885,NF!$J$2:$J$3137),1),0)</f>
        <v>0</v>
      </c>
      <c r="BS885" s="142" t="str">
        <f>VLOOKUP(A885,NF!M:O,3,0)</f>
        <v>Mercado</v>
      </c>
      <c r="BV885" s="74">
        <f t="shared" si="549"/>
        <v>1</v>
      </c>
      <c r="BW885" s="74">
        <f t="shared" si="550"/>
        <v>0</v>
      </c>
      <c r="BX885" s="74">
        <f t="shared" si="551"/>
        <v>0</v>
      </c>
      <c r="BY885" s="74">
        <f t="shared" si="552"/>
        <v>1</v>
      </c>
      <c r="BZ885" s="74">
        <f t="shared" si="553"/>
        <v>0</v>
      </c>
    </row>
    <row r="886" spans="1:78" x14ac:dyDescent="0.2">
      <c r="A886" s="108" t="s">
        <v>841</v>
      </c>
      <c r="B886" s="12"/>
      <c r="C886" s="9">
        <v>0</v>
      </c>
      <c r="D886" s="25"/>
      <c r="E886" s="10" t="str">
        <f t="shared" si="503"/>
        <v>MarçoSEMANA 1Vinagre de Vinho Tinto 750 ml</v>
      </c>
      <c r="F886" s="7">
        <f>SUMIF(NF!$A:$A,$E886,NF!$I:$I)</f>
        <v>12</v>
      </c>
      <c r="G886" s="74"/>
      <c r="H886" s="74"/>
      <c r="I886" s="74"/>
      <c r="J886" s="6"/>
      <c r="K886" s="6">
        <v>1</v>
      </c>
      <c r="L886" s="6">
        <v>1</v>
      </c>
      <c r="M886" s="6"/>
      <c r="N886" s="7">
        <f t="shared" si="544"/>
        <v>2</v>
      </c>
      <c r="O886" s="11">
        <f t="shared" si="554"/>
        <v>10</v>
      </c>
      <c r="P886" s="25"/>
      <c r="Q886" s="10" t="str">
        <f t="shared" si="504"/>
        <v>MarçoSEMANA 2Vinagre de Vinho Tinto 750 ml</v>
      </c>
      <c r="R886" s="7">
        <f>SUMIF(NF!$A:$A,$Q886,NF!$I:$I)</f>
        <v>12</v>
      </c>
      <c r="S886" s="6">
        <v>1</v>
      </c>
      <c r="T886" s="6">
        <v>1</v>
      </c>
      <c r="U886" s="6">
        <v>2</v>
      </c>
      <c r="V886" s="6">
        <v>3</v>
      </c>
      <c r="W886" s="6">
        <v>1</v>
      </c>
      <c r="X886" s="6">
        <v>1</v>
      </c>
      <c r="Y886" s="6"/>
      <c r="Z886" s="7">
        <f t="shared" si="545"/>
        <v>9</v>
      </c>
      <c r="AA886" s="11">
        <f t="shared" si="555"/>
        <v>13</v>
      </c>
      <c r="AB886" s="25"/>
      <c r="AC886" s="10" t="str">
        <f t="shared" si="505"/>
        <v>MarçoSEMANA 3Vinagre de Vinho Tinto 750 ml</v>
      </c>
      <c r="AD886" s="7">
        <f>SUMIF(NF!$A:$A,$AC886,NF!$I:$I)</f>
        <v>0</v>
      </c>
      <c r="AE886" s="6">
        <v>1</v>
      </c>
      <c r="AF886" s="6">
        <v>1</v>
      </c>
      <c r="AG886" s="6">
        <v>1</v>
      </c>
      <c r="AH886" s="6">
        <v>1</v>
      </c>
      <c r="AI886" s="6">
        <v>1</v>
      </c>
      <c r="AJ886" s="6">
        <v>1</v>
      </c>
      <c r="AK886" s="6"/>
      <c r="AL886" s="7">
        <f t="shared" si="546"/>
        <v>6</v>
      </c>
      <c r="AM886" s="11">
        <f t="shared" si="556"/>
        <v>7</v>
      </c>
      <c r="AN886" s="25"/>
      <c r="AO886" s="10" t="str">
        <f t="shared" si="506"/>
        <v>MarçoSEMANA 4Vinagre de Vinho Tinto 750 ml</v>
      </c>
      <c r="AP886" s="7">
        <f>SUMIF(NF!$A:$A,$AO886,NF!$I:$I)</f>
        <v>12</v>
      </c>
      <c r="AQ886" s="6">
        <v>1</v>
      </c>
      <c r="AR886" s="6"/>
      <c r="AS886" s="6">
        <v>1</v>
      </c>
      <c r="AT886" s="6">
        <v>1</v>
      </c>
      <c r="AU886" s="6">
        <v>1</v>
      </c>
      <c r="AV886" s="6"/>
      <c r="AW886" s="6">
        <v>1</v>
      </c>
      <c r="AX886" s="7">
        <f t="shared" si="547"/>
        <v>5</v>
      </c>
      <c r="AY886" s="11">
        <f t="shared" si="557"/>
        <v>14</v>
      </c>
      <c r="AZ886" s="25"/>
      <c r="BA886" s="10" t="str">
        <f t="shared" si="507"/>
        <v>MarçoSEMANA 5Vinagre de Vinho Tinto 750 ml</v>
      </c>
      <c r="BB886" s="7">
        <f>SUMIF(NF!$A:$A,$BA886,NF!$I:$I)</f>
        <v>0</v>
      </c>
      <c r="BC886" s="6"/>
      <c r="BD886" s="6">
        <v>1</v>
      </c>
      <c r="BE886" s="6">
        <v>1</v>
      </c>
      <c r="BF886" s="6"/>
      <c r="BG886" s="6">
        <v>1</v>
      </c>
      <c r="BH886" s="6">
        <v>1</v>
      </c>
      <c r="BI886" s="74"/>
      <c r="BJ886" s="74"/>
      <c r="BK886" s="7">
        <f t="shared" si="548"/>
        <v>4</v>
      </c>
      <c r="BL886" s="8">
        <f t="shared" si="558"/>
        <v>10</v>
      </c>
      <c r="BM886" s="51" t="str">
        <f>IFERROR(VLOOKUP(A886,NF!$M:$O,3,0),"")</f>
        <v>Mercado</v>
      </c>
      <c r="BN886" s="7">
        <f t="shared" si="559"/>
        <v>26</v>
      </c>
      <c r="BO886" s="8">
        <f t="array" ref="BO886">IFERROR(LARGE(IF(NF!$G$2:$G$3137='Mês atual'!A886,NF!$J$2:$J$3137),1),0)*BN886</f>
        <v>72.475000000000009</v>
      </c>
      <c r="BP886" s="50"/>
      <c r="BR886" s="146">
        <f t="array" ref="BR886">IFERROR(LARGE(IF(NF!$G$2:$G$3137='Mês atual'!A886,NF!$J$2:$J$3137),1),0)</f>
        <v>2.7875000000000001</v>
      </c>
      <c r="BS886" s="142" t="str">
        <f>VLOOKUP(A886,NF!M:O,3,0)</f>
        <v>Mercado</v>
      </c>
      <c r="BV886" s="74">
        <f t="shared" si="549"/>
        <v>2</v>
      </c>
      <c r="BW886" s="74">
        <f t="shared" si="550"/>
        <v>9</v>
      </c>
      <c r="BX886" s="74">
        <f t="shared" si="551"/>
        <v>6</v>
      </c>
      <c r="BY886" s="74">
        <f t="shared" si="552"/>
        <v>5</v>
      </c>
      <c r="BZ886" s="74">
        <f t="shared" si="553"/>
        <v>4</v>
      </c>
    </row>
    <row r="887" spans="1:78" x14ac:dyDescent="0.2">
      <c r="A887" s="108" t="s">
        <v>842</v>
      </c>
      <c r="B887" s="12"/>
      <c r="C887" s="9">
        <v>1</v>
      </c>
      <c r="D887" s="25"/>
      <c r="E887" s="10" t="str">
        <f t="shared" si="503"/>
        <v>MarçoSEMANA 1Vinagrete de Ervas</v>
      </c>
      <c r="F887" s="7">
        <f>SUMIF(NF!$A:$A,$E887,NF!$I:$I)</f>
        <v>1</v>
      </c>
      <c r="G887" s="74"/>
      <c r="H887" s="74"/>
      <c r="I887" s="74"/>
      <c r="J887" s="6"/>
      <c r="K887" s="6"/>
      <c r="L887" s="6"/>
      <c r="M887" s="6"/>
      <c r="N887" s="7">
        <f t="shared" si="544"/>
        <v>0</v>
      </c>
      <c r="O887" s="11">
        <f t="shared" si="554"/>
        <v>2</v>
      </c>
      <c r="P887" s="25"/>
      <c r="Q887" s="10" t="str">
        <f t="shared" si="504"/>
        <v>MarçoSEMANA 2Vinagrete de Ervas</v>
      </c>
      <c r="R887" s="7">
        <f>SUMIF(NF!$A:$A,$Q887,NF!$I:$I)</f>
        <v>1.002</v>
      </c>
      <c r="S887" s="6">
        <v>1</v>
      </c>
      <c r="T887" s="6"/>
      <c r="U887" s="6"/>
      <c r="V887" s="6"/>
      <c r="W887" s="6"/>
      <c r="X887" s="6"/>
      <c r="Y887" s="6"/>
      <c r="Z887" s="7">
        <f t="shared" si="545"/>
        <v>1</v>
      </c>
      <c r="AA887" s="11">
        <f t="shared" si="555"/>
        <v>2.0019999999999998</v>
      </c>
      <c r="AB887" s="25"/>
      <c r="AC887" s="10" t="str">
        <f t="shared" si="505"/>
        <v>MarçoSEMANA 3Vinagrete de Ervas</v>
      </c>
      <c r="AD887" s="7">
        <f>SUMIF(NF!$A:$A,$AC887,NF!$I:$I)</f>
        <v>0</v>
      </c>
      <c r="AE887" s="6"/>
      <c r="AF887" s="6"/>
      <c r="AG887" s="6"/>
      <c r="AH887" s="6"/>
      <c r="AI887" s="6"/>
      <c r="AJ887" s="6"/>
      <c r="AK887" s="6"/>
      <c r="AL887" s="7">
        <f t="shared" si="546"/>
        <v>0</v>
      </c>
      <c r="AM887" s="11">
        <f t="shared" si="556"/>
        <v>2.0019999999999998</v>
      </c>
      <c r="AN887" s="25"/>
      <c r="AO887" s="10" t="str">
        <f t="shared" si="506"/>
        <v>MarçoSEMANA 4Vinagrete de Ervas</v>
      </c>
      <c r="AP887" s="7">
        <f>SUMIF(NF!$A:$A,$AO887,NF!$I:$I)</f>
        <v>0</v>
      </c>
      <c r="AQ887" s="6"/>
      <c r="AR887" s="6">
        <v>1</v>
      </c>
      <c r="AS887" s="6"/>
      <c r="AT887" s="6"/>
      <c r="AU887" s="6"/>
      <c r="AV887" s="6"/>
      <c r="AW887" s="6"/>
      <c r="AX887" s="7">
        <f t="shared" si="547"/>
        <v>1</v>
      </c>
      <c r="AY887" s="11">
        <f t="shared" si="557"/>
        <v>1.0019999999999998</v>
      </c>
      <c r="AZ887" s="25"/>
      <c r="BA887" s="10" t="str">
        <f t="shared" si="507"/>
        <v>MarçoSEMANA 5Vinagrete de Ervas</v>
      </c>
      <c r="BB887" s="7">
        <f>SUMIF(NF!$A:$A,$BA887,NF!$I:$I)</f>
        <v>0</v>
      </c>
      <c r="BC887" s="6"/>
      <c r="BD887" s="6"/>
      <c r="BE887" s="6"/>
      <c r="BF887" s="6"/>
      <c r="BG887" s="6"/>
      <c r="BH887" s="6"/>
      <c r="BI887" s="74"/>
      <c r="BJ887" s="74"/>
      <c r="BK887" s="7">
        <f t="shared" si="548"/>
        <v>0</v>
      </c>
      <c r="BL887" s="8">
        <f t="shared" si="558"/>
        <v>1.0019999999999998</v>
      </c>
      <c r="BM887" s="51" t="str">
        <f>IFERROR(VLOOKUP(A887,NF!$M:$O,3,0),"")</f>
        <v>Mercado</v>
      </c>
      <c r="BN887" s="7">
        <f t="shared" si="559"/>
        <v>2</v>
      </c>
      <c r="BO887" s="8">
        <f t="array" ref="BO887">IFERROR(LARGE(IF(NF!$G$2:$G$3137='Mês atual'!A887,NF!$J$2:$J$3137),1),0)*BN887</f>
        <v>86.407200000000003</v>
      </c>
      <c r="BP887" s="50"/>
      <c r="BR887" s="146">
        <f t="array" ref="BR887">IFERROR(LARGE(IF(NF!$G$2:$G$3137='Mês atual'!A887,NF!$J$2:$J$3137),1),0)</f>
        <v>43.203600000000002</v>
      </c>
      <c r="BS887" s="142" t="str">
        <f>VLOOKUP(A887,NF!M:O,3,0)</f>
        <v>Mercado</v>
      </c>
      <c r="BV887" s="74">
        <f t="shared" si="549"/>
        <v>0</v>
      </c>
      <c r="BW887" s="74">
        <f t="shared" si="550"/>
        <v>1</v>
      </c>
      <c r="BX887" s="74">
        <f t="shared" si="551"/>
        <v>0</v>
      </c>
      <c r="BY887" s="74">
        <f t="shared" si="552"/>
        <v>1</v>
      </c>
      <c r="BZ887" s="74">
        <f t="shared" si="553"/>
        <v>0</v>
      </c>
    </row>
    <row r="888" spans="1:78" x14ac:dyDescent="0.2">
      <c r="A888" s="108" t="s">
        <v>850</v>
      </c>
      <c r="B888" s="12"/>
      <c r="C888" s="9">
        <v>1</v>
      </c>
      <c r="D888" s="25"/>
      <c r="E888" s="10" t="str">
        <f t="shared" si="503"/>
        <v>MarçoSEMANA 1Vinho Branco Seco Gf 4,6 Lt</v>
      </c>
      <c r="F888" s="7">
        <f>SUMIF(NF!$A:$A,$E888,NF!$I:$I)</f>
        <v>1</v>
      </c>
      <c r="G888" s="74"/>
      <c r="H888" s="74"/>
      <c r="I888" s="74"/>
      <c r="J888" s="6"/>
      <c r="K888" s="6"/>
      <c r="L888" s="6"/>
      <c r="M888" s="6">
        <v>1</v>
      </c>
      <c r="N888" s="7">
        <f t="shared" si="544"/>
        <v>1</v>
      </c>
      <c r="O888" s="11">
        <f t="shared" si="554"/>
        <v>1</v>
      </c>
      <c r="P888" s="25"/>
      <c r="Q888" s="10" t="str">
        <f t="shared" si="504"/>
        <v>MarçoSEMANA 2Vinho Branco Seco Gf 4,6 Lt</v>
      </c>
      <c r="R888" s="7">
        <f>SUMIF(NF!$A:$A,$Q888,NF!$I:$I)</f>
        <v>0</v>
      </c>
      <c r="S888" s="6"/>
      <c r="T888" s="6"/>
      <c r="U888" s="6"/>
      <c r="V888" s="6"/>
      <c r="W888" s="6"/>
      <c r="X888" s="6"/>
      <c r="Y888" s="6"/>
      <c r="Z888" s="7">
        <f t="shared" si="545"/>
        <v>0</v>
      </c>
      <c r="AA888" s="11">
        <f t="shared" si="555"/>
        <v>1</v>
      </c>
      <c r="AB888" s="25"/>
      <c r="AC888" s="10" t="str">
        <f t="shared" si="505"/>
        <v>MarçoSEMANA 3Vinho Branco Seco Gf 4,6 Lt</v>
      </c>
      <c r="AD888" s="7">
        <f>SUMIF(NF!$A:$A,$AC888,NF!$I:$I)</f>
        <v>1</v>
      </c>
      <c r="AE888" s="6"/>
      <c r="AF888" s="6"/>
      <c r="AG888" s="6"/>
      <c r="AH888" s="6"/>
      <c r="AI888" s="6"/>
      <c r="AJ888" s="6"/>
      <c r="AK888" s="6"/>
      <c r="AL888" s="7">
        <f t="shared" si="546"/>
        <v>0</v>
      </c>
      <c r="AM888" s="11">
        <f t="shared" si="556"/>
        <v>2</v>
      </c>
      <c r="AN888" s="25"/>
      <c r="AO888" s="10" t="str">
        <f t="shared" si="506"/>
        <v>MarçoSEMANA 4Vinho Branco Seco Gf 4,6 Lt</v>
      </c>
      <c r="AP888" s="7">
        <f>SUMIF(NF!$A:$A,$AO888,NF!$I:$I)</f>
        <v>1</v>
      </c>
      <c r="AQ888" s="6">
        <v>1</v>
      </c>
      <c r="AR888" s="6"/>
      <c r="AS888" s="6"/>
      <c r="AT888" s="6"/>
      <c r="AU888" s="6"/>
      <c r="AV888" s="6"/>
      <c r="AW888" s="6"/>
      <c r="AX888" s="7">
        <f t="shared" si="547"/>
        <v>1</v>
      </c>
      <c r="AY888" s="11">
        <f t="shared" si="557"/>
        <v>2</v>
      </c>
      <c r="AZ888" s="25"/>
      <c r="BA888" s="10" t="str">
        <f t="shared" si="507"/>
        <v>MarçoSEMANA 5Vinho Branco Seco Gf 4,6 Lt</v>
      </c>
      <c r="BB888" s="7">
        <f>SUMIF(NF!$A:$A,$BA888,NF!$I:$I)</f>
        <v>0</v>
      </c>
      <c r="BC888" s="6"/>
      <c r="BD888" s="6"/>
      <c r="BE888" s="6">
        <v>1</v>
      </c>
      <c r="BF888" s="6"/>
      <c r="BG888" s="6"/>
      <c r="BH888" s="6"/>
      <c r="BI888" s="74"/>
      <c r="BJ888" s="74"/>
      <c r="BK888" s="7">
        <f t="shared" si="548"/>
        <v>1</v>
      </c>
      <c r="BL888" s="8">
        <f t="shared" si="558"/>
        <v>1</v>
      </c>
      <c r="BM888" s="51" t="str">
        <f>IFERROR(VLOOKUP(A888,NF!$M:$O,3,0),"")</f>
        <v>Mercado</v>
      </c>
      <c r="BN888" s="7">
        <f t="shared" si="559"/>
        <v>3</v>
      </c>
      <c r="BO888" s="8">
        <f t="array" ref="BO888">IFERROR(LARGE(IF(NF!$G$2:$G$3137='Mês atual'!A888,NF!$J$2:$J$3137),1),0)*BN888</f>
        <v>137.60999999999999</v>
      </c>
      <c r="BP888" s="50"/>
      <c r="BR888" s="146">
        <f t="array" ref="BR888">IFERROR(LARGE(IF(NF!$G$2:$G$3137='Mês atual'!A888,NF!$J$2:$J$3137),1),0)</f>
        <v>45.87</v>
      </c>
      <c r="BS888" s="142" t="str">
        <f>VLOOKUP(A888,NF!M:O,3,0)</f>
        <v>Mercado</v>
      </c>
      <c r="BV888" s="74">
        <f t="shared" si="549"/>
        <v>1</v>
      </c>
      <c r="BW888" s="74">
        <f t="shared" si="550"/>
        <v>0</v>
      </c>
      <c r="BX888" s="74">
        <f t="shared" si="551"/>
        <v>0</v>
      </c>
      <c r="BY888" s="74">
        <f t="shared" si="552"/>
        <v>1</v>
      </c>
      <c r="BZ888" s="74">
        <f t="shared" si="553"/>
        <v>1</v>
      </c>
    </row>
    <row r="889" spans="1:78" x14ac:dyDescent="0.2">
      <c r="A889" s="108" t="s">
        <v>865</v>
      </c>
      <c r="B889" s="12"/>
      <c r="C889" s="9">
        <v>1</v>
      </c>
      <c r="D889" s="25"/>
      <c r="E889" s="10" t="str">
        <f t="shared" si="503"/>
        <v>MarçoSEMANA 1Vinho Tinto Seco Gf 4,6 Lt</v>
      </c>
      <c r="F889" s="7">
        <f>SUMIF(NF!$A:$A,$E889,NF!$I:$I)</f>
        <v>1</v>
      </c>
      <c r="G889" s="74"/>
      <c r="H889" s="74"/>
      <c r="I889" s="74"/>
      <c r="J889" s="6"/>
      <c r="K889" s="6"/>
      <c r="L889" s="6"/>
      <c r="M889" s="6"/>
      <c r="N889" s="7">
        <f t="shared" si="544"/>
        <v>0</v>
      </c>
      <c r="O889" s="11">
        <f t="shared" si="554"/>
        <v>2</v>
      </c>
      <c r="P889" s="25"/>
      <c r="Q889" s="10" t="str">
        <f t="shared" si="504"/>
        <v>MarçoSEMANA 2Vinho Tinto Seco Gf 4,6 Lt</v>
      </c>
      <c r="R889" s="7">
        <f>SUMIF(NF!$A:$A,$Q889,NF!$I:$I)</f>
        <v>1</v>
      </c>
      <c r="S889" s="6"/>
      <c r="T889" s="6"/>
      <c r="U889" s="6">
        <v>1</v>
      </c>
      <c r="V889" s="6"/>
      <c r="W889" s="6"/>
      <c r="X889" s="6"/>
      <c r="Y889" s="6"/>
      <c r="Z889" s="7">
        <f t="shared" si="545"/>
        <v>1</v>
      </c>
      <c r="AA889" s="11">
        <f t="shared" si="555"/>
        <v>2</v>
      </c>
      <c r="AB889" s="25"/>
      <c r="AC889" s="10" t="str">
        <f t="shared" si="505"/>
        <v>MarçoSEMANA 3Vinho Tinto Seco Gf 4,6 Lt</v>
      </c>
      <c r="AD889" s="7">
        <f>SUMIF(NF!$A:$A,$AC889,NF!$I:$I)</f>
        <v>0</v>
      </c>
      <c r="AE889" s="6"/>
      <c r="AF889" s="6"/>
      <c r="AG889" s="6"/>
      <c r="AH889" s="6"/>
      <c r="AI889" s="6"/>
      <c r="AJ889" s="6"/>
      <c r="AK889" s="6"/>
      <c r="AL889" s="7">
        <f t="shared" si="546"/>
        <v>0</v>
      </c>
      <c r="AM889" s="11">
        <f t="shared" si="556"/>
        <v>2</v>
      </c>
      <c r="AN889" s="25"/>
      <c r="AO889" s="10" t="str">
        <f t="shared" si="506"/>
        <v>MarçoSEMANA 4Vinho Tinto Seco Gf 4,6 Lt</v>
      </c>
      <c r="AP889" s="7">
        <f>SUMIF(NF!$A:$A,$AO889,NF!$I:$I)</f>
        <v>1</v>
      </c>
      <c r="AQ889" s="6"/>
      <c r="AR889" s="6">
        <v>1</v>
      </c>
      <c r="AS889" s="6"/>
      <c r="AT889" s="6"/>
      <c r="AU889" s="6"/>
      <c r="AV889" s="6"/>
      <c r="AW889" s="6"/>
      <c r="AX889" s="7">
        <f t="shared" si="547"/>
        <v>1</v>
      </c>
      <c r="AY889" s="11">
        <f t="shared" si="557"/>
        <v>2</v>
      </c>
      <c r="AZ889" s="25"/>
      <c r="BA889" s="10" t="str">
        <f t="shared" si="507"/>
        <v>MarçoSEMANA 5Vinho Tinto Seco Gf 4,6 Lt</v>
      </c>
      <c r="BB889" s="7">
        <f>SUMIF(NF!$A:$A,$BA889,NF!$I:$I)</f>
        <v>0</v>
      </c>
      <c r="BC889" s="6"/>
      <c r="BD889" s="6"/>
      <c r="BE889" s="6">
        <v>1</v>
      </c>
      <c r="BF889" s="6"/>
      <c r="BG889" s="6"/>
      <c r="BH889" s="6"/>
      <c r="BI889" s="74"/>
      <c r="BJ889" s="74"/>
      <c r="BK889" s="7">
        <f t="shared" si="548"/>
        <v>1</v>
      </c>
      <c r="BL889" s="8">
        <f t="shared" si="558"/>
        <v>1</v>
      </c>
      <c r="BM889" s="51" t="str">
        <f>IFERROR(VLOOKUP(A889,NF!$M:$O,3,0),"")</f>
        <v>Mercado</v>
      </c>
      <c r="BN889" s="7">
        <f t="shared" si="559"/>
        <v>3</v>
      </c>
      <c r="BO889" s="8">
        <f t="array" ref="BO889">IFERROR(LARGE(IF(NF!$G$2:$G$3137='Mês atual'!A889,NF!$J$2:$J$3137),1),0)*BN889</f>
        <v>144</v>
      </c>
      <c r="BP889" s="50"/>
      <c r="BR889" s="146">
        <f t="array" ref="BR889">IFERROR(LARGE(IF(NF!$G$2:$G$3137='Mês atual'!A889,NF!$J$2:$J$3137),1),0)</f>
        <v>48</v>
      </c>
      <c r="BS889" s="142" t="str">
        <f>VLOOKUP(A889,NF!M:O,3,0)</f>
        <v>Mercado</v>
      </c>
      <c r="BV889" s="74">
        <f t="shared" si="549"/>
        <v>0</v>
      </c>
      <c r="BW889" s="74">
        <f t="shared" si="550"/>
        <v>1</v>
      </c>
      <c r="BX889" s="74">
        <f t="shared" si="551"/>
        <v>0</v>
      </c>
      <c r="BY889" s="74">
        <f t="shared" si="552"/>
        <v>1</v>
      </c>
      <c r="BZ889" s="74">
        <f t="shared" si="553"/>
        <v>1</v>
      </c>
    </row>
    <row r="890" spans="1:78" x14ac:dyDescent="0.2">
      <c r="A890" s="108" t="s">
        <v>868</v>
      </c>
      <c r="B890" s="12"/>
      <c r="C890" s="9">
        <v>1</v>
      </c>
      <c r="D890" s="25"/>
      <c r="E890" s="10" t="str">
        <f t="shared" si="503"/>
        <v>MarçoSEMANA 1Xarope de Groselha</v>
      </c>
      <c r="F890" s="7">
        <f>SUMIF(NF!$A:$A,$E890,NF!$I:$I)</f>
        <v>0</v>
      </c>
      <c r="G890" s="74"/>
      <c r="H890" s="74"/>
      <c r="I890" s="74"/>
      <c r="J890" s="6"/>
      <c r="K890" s="6"/>
      <c r="L890" s="6"/>
      <c r="M890" s="6"/>
      <c r="N890" s="7">
        <f t="shared" si="544"/>
        <v>0</v>
      </c>
      <c r="O890" s="11">
        <f t="shared" si="554"/>
        <v>1</v>
      </c>
      <c r="P890" s="25"/>
      <c r="Q890" s="10" t="str">
        <f t="shared" si="504"/>
        <v>MarçoSEMANA 2Xarope de Groselha</v>
      </c>
      <c r="R890" s="7">
        <f>SUMIF(NF!$A:$A,$Q890,NF!$I:$I)</f>
        <v>0</v>
      </c>
      <c r="S890" s="6"/>
      <c r="T890" s="6"/>
      <c r="U890" s="6"/>
      <c r="V890" s="6"/>
      <c r="W890" s="6"/>
      <c r="X890" s="6"/>
      <c r="Y890" s="6"/>
      <c r="Z890" s="7">
        <f t="shared" si="545"/>
        <v>0</v>
      </c>
      <c r="AA890" s="11">
        <f t="shared" si="555"/>
        <v>1</v>
      </c>
      <c r="AB890" s="25"/>
      <c r="AC890" s="10" t="str">
        <f t="shared" si="505"/>
        <v>MarçoSEMANA 3Xarope de Groselha</v>
      </c>
      <c r="AD890" s="7">
        <f>SUMIF(NF!$A:$A,$AC890,NF!$I:$I)</f>
        <v>0</v>
      </c>
      <c r="AE890" s="6"/>
      <c r="AF890" s="6"/>
      <c r="AG890" s="6"/>
      <c r="AH890" s="6"/>
      <c r="AI890" s="6"/>
      <c r="AJ890" s="6"/>
      <c r="AK890" s="6"/>
      <c r="AL890" s="7">
        <f t="shared" si="546"/>
        <v>0</v>
      </c>
      <c r="AM890" s="11">
        <f t="shared" si="556"/>
        <v>1</v>
      </c>
      <c r="AN890" s="25"/>
      <c r="AO890" s="10" t="str">
        <f t="shared" si="506"/>
        <v>MarçoSEMANA 4Xarope de Groselha</v>
      </c>
      <c r="AP890" s="7">
        <f>SUMIF(NF!$A:$A,$AO890,NF!$I:$I)</f>
        <v>0</v>
      </c>
      <c r="AQ890" s="6"/>
      <c r="AR890" s="6"/>
      <c r="AS890" s="6"/>
      <c r="AT890" s="6"/>
      <c r="AU890" s="6"/>
      <c r="AV890" s="6"/>
      <c r="AW890" s="6"/>
      <c r="AX890" s="7">
        <f t="shared" si="547"/>
        <v>0</v>
      </c>
      <c r="AY890" s="11">
        <f t="shared" si="557"/>
        <v>1</v>
      </c>
      <c r="AZ890" s="25"/>
      <c r="BA890" s="10" t="str">
        <f t="shared" si="507"/>
        <v>MarçoSEMANA 5Xarope de Groselha</v>
      </c>
      <c r="BB890" s="7">
        <f>SUMIF(NF!$A:$A,$BA890,NF!$I:$I)</f>
        <v>0</v>
      </c>
      <c r="BC890" s="6"/>
      <c r="BD890" s="6"/>
      <c r="BE890" s="6"/>
      <c r="BF890" s="6"/>
      <c r="BG890" s="6"/>
      <c r="BH890" s="6"/>
      <c r="BI890" s="74"/>
      <c r="BJ890" s="74"/>
      <c r="BK890" s="7">
        <f t="shared" si="548"/>
        <v>0</v>
      </c>
      <c r="BL890" s="8">
        <f t="shared" si="558"/>
        <v>1</v>
      </c>
      <c r="BM890" s="51" t="str">
        <f>IFERROR(VLOOKUP(A890,NF!$M:$O,3,0),"")</f>
        <v>Mercado</v>
      </c>
      <c r="BN890" s="7">
        <f t="shared" si="559"/>
        <v>0</v>
      </c>
      <c r="BO890" s="8">
        <f t="array" ref="BO890">IFERROR(LARGE(IF(NF!$G$2:$G$3137='Mês atual'!A890,NF!$J$2:$J$3137),1),0)*BN890</f>
        <v>0</v>
      </c>
      <c r="BP890" s="50"/>
      <c r="BR890" s="146">
        <f t="array" ref="BR890">IFERROR(LARGE(IF(NF!$G$2:$G$3137='Mês atual'!A890,NF!$J$2:$J$3137),1),0)</f>
        <v>0</v>
      </c>
      <c r="BS890" s="142" t="str">
        <f>VLOOKUP(A890,NF!M:O,3,0)</f>
        <v>Mercado</v>
      </c>
      <c r="BV890" s="74">
        <f t="shared" si="549"/>
        <v>0</v>
      </c>
      <c r="BW890" s="74">
        <f t="shared" si="550"/>
        <v>0</v>
      </c>
      <c r="BX890" s="74">
        <f t="shared" si="551"/>
        <v>0</v>
      </c>
      <c r="BY890" s="74">
        <f t="shared" si="552"/>
        <v>0</v>
      </c>
      <c r="BZ890" s="74">
        <f t="shared" si="553"/>
        <v>0</v>
      </c>
    </row>
    <row r="891" spans="1:78" ht="15.95" thickBot="1" x14ac:dyDescent="0.25">
      <c r="A891" s="108" t="s">
        <v>869</v>
      </c>
      <c r="B891" s="12"/>
      <c r="C891" s="9">
        <v>0</v>
      </c>
      <c r="D891" s="25"/>
      <c r="E891" s="10" t="str">
        <f t="shared" si="503"/>
        <v>MarçoSEMANA 1Yogurt de Pessego</v>
      </c>
      <c r="F891" s="7">
        <f>SUMIF(NF!$A:$A,$E891,NF!$I:$I)</f>
        <v>0</v>
      </c>
      <c r="G891" s="74"/>
      <c r="H891" s="74"/>
      <c r="I891" s="74"/>
      <c r="J891" s="6"/>
      <c r="K891" s="6"/>
      <c r="L891" s="6"/>
      <c r="M891" s="6"/>
      <c r="N891" s="7">
        <f t="shared" si="544"/>
        <v>0</v>
      </c>
      <c r="O891" s="11">
        <f t="shared" si="554"/>
        <v>0</v>
      </c>
      <c r="P891" s="25"/>
      <c r="Q891" s="10" t="str">
        <f t="shared" si="504"/>
        <v>MarçoSEMANA 2Yogurt de Pessego</v>
      </c>
      <c r="R891" s="7">
        <f>SUMIF(NF!$A:$A,$Q891,NF!$I:$I)</f>
        <v>1</v>
      </c>
      <c r="S891" s="6"/>
      <c r="T891" s="6"/>
      <c r="U891" s="6"/>
      <c r="V891" s="6"/>
      <c r="W891" s="6"/>
      <c r="X891" s="6">
        <v>1</v>
      </c>
      <c r="Y891" s="6"/>
      <c r="Z891" s="7">
        <f t="shared" si="545"/>
        <v>1</v>
      </c>
      <c r="AA891" s="11">
        <f t="shared" si="555"/>
        <v>0</v>
      </c>
      <c r="AB891" s="25"/>
      <c r="AC891" s="10" t="str">
        <f t="shared" si="505"/>
        <v>MarçoSEMANA 3Yogurt de Pessego</v>
      </c>
      <c r="AD891" s="7">
        <f>SUMIF(NF!$A:$A,$AC891,NF!$I:$I)</f>
        <v>0</v>
      </c>
      <c r="AE891" s="6"/>
      <c r="AF891" s="6"/>
      <c r="AG891" s="6"/>
      <c r="AH891" s="6"/>
      <c r="AI891" s="6"/>
      <c r="AJ891" s="6"/>
      <c r="AK891" s="6"/>
      <c r="AL891" s="7">
        <f t="shared" si="546"/>
        <v>0</v>
      </c>
      <c r="AM891" s="11">
        <f t="shared" si="556"/>
        <v>0</v>
      </c>
      <c r="AN891" s="25"/>
      <c r="AO891" s="10" t="str">
        <f t="shared" si="506"/>
        <v>MarçoSEMANA 4Yogurt de Pessego</v>
      </c>
      <c r="AP891" s="7">
        <f>SUMIF(NF!$A:$A,$AO891,NF!$I:$I)</f>
        <v>0</v>
      </c>
      <c r="AQ891" s="6"/>
      <c r="AR891" s="6"/>
      <c r="AS891" s="6"/>
      <c r="AT891" s="6"/>
      <c r="AU891" s="6"/>
      <c r="AV891" s="6"/>
      <c r="AW891" s="6"/>
      <c r="AX891" s="7">
        <f t="shared" si="547"/>
        <v>0</v>
      </c>
      <c r="AY891" s="11">
        <f t="shared" si="557"/>
        <v>0</v>
      </c>
      <c r="AZ891" s="25"/>
      <c r="BA891" s="10" t="str">
        <f t="shared" si="507"/>
        <v>MarçoSEMANA 5Yogurt de Pessego</v>
      </c>
      <c r="BB891" s="7">
        <f>SUMIF(NF!$A:$A,$BA891,NF!$I:$I)</f>
        <v>0</v>
      </c>
      <c r="BC891" s="6"/>
      <c r="BD891" s="6"/>
      <c r="BE891" s="6"/>
      <c r="BF891" s="6"/>
      <c r="BG891" s="6"/>
      <c r="BH891" s="6"/>
      <c r="BI891" s="74"/>
      <c r="BJ891" s="74"/>
      <c r="BK891" s="7">
        <f t="shared" si="548"/>
        <v>0</v>
      </c>
      <c r="BL891" s="8">
        <f t="shared" si="558"/>
        <v>0</v>
      </c>
      <c r="BM891" s="51" t="str">
        <f>IFERROR(VLOOKUP(A891,NF!$M:$O,3,0),"")</f>
        <v>Mercado</v>
      </c>
      <c r="BN891" s="7">
        <f t="shared" si="559"/>
        <v>1</v>
      </c>
      <c r="BO891" s="8">
        <f t="array" ref="BO891">IFERROR(LARGE(IF(NF!$G$2:$G$3137='Mês atual'!A891,NF!$J$2:$J$3137),1),0)*BN891</f>
        <v>7.98</v>
      </c>
      <c r="BP891" s="50"/>
      <c r="BR891" s="146">
        <f t="array" ref="BR891">IFERROR(LARGE(IF(NF!$G$2:$G$3137='Mês atual'!A891,NF!$J$2:$J$3137),1),0)</f>
        <v>7.98</v>
      </c>
      <c r="BS891" s="142" t="str">
        <f>VLOOKUP(A891,NF!M:O,3,0)</f>
        <v>Mercado</v>
      </c>
      <c r="BV891" s="74">
        <f t="shared" si="549"/>
        <v>0</v>
      </c>
      <c r="BW891" s="74">
        <f t="shared" si="550"/>
        <v>1</v>
      </c>
      <c r="BX891" s="74">
        <f t="shared" si="551"/>
        <v>0</v>
      </c>
      <c r="BY891" s="74">
        <f t="shared" si="552"/>
        <v>0</v>
      </c>
      <c r="BZ891" s="74">
        <f t="shared" si="553"/>
        <v>0</v>
      </c>
    </row>
    <row r="892" spans="1:78" s="16" customFormat="1" ht="30" customHeight="1" thickBot="1" x14ac:dyDescent="0.25">
      <c r="A892" s="139" t="s">
        <v>925</v>
      </c>
      <c r="B892" s="130"/>
      <c r="C892" s="131"/>
      <c r="D892" s="132"/>
      <c r="E892" s="133"/>
      <c r="F892" s="134"/>
      <c r="G892" s="135"/>
      <c r="H892" s="135"/>
      <c r="I892" s="135"/>
      <c r="J892" s="133"/>
      <c r="K892" s="133"/>
      <c r="L892" s="133"/>
      <c r="M892" s="133"/>
      <c r="N892" s="134"/>
      <c r="O892" s="134"/>
      <c r="P892" s="132"/>
      <c r="Q892" s="133"/>
      <c r="R892" s="134"/>
      <c r="S892" s="133"/>
      <c r="T892" s="133"/>
      <c r="U892" s="133"/>
      <c r="V892" s="133"/>
      <c r="W892" s="133"/>
      <c r="X892" s="133"/>
      <c r="Y892" s="133"/>
      <c r="Z892" s="134"/>
      <c r="AA892" s="134"/>
      <c r="AB892" s="132"/>
      <c r="AC892" s="133"/>
      <c r="AD892" s="134"/>
      <c r="AE892" s="133"/>
      <c r="AF892" s="133"/>
      <c r="AG892" s="133"/>
      <c r="AH892" s="133"/>
      <c r="AI892" s="133"/>
      <c r="AJ892" s="133"/>
      <c r="AK892" s="133"/>
      <c r="AL892" s="134"/>
      <c r="AM892" s="134"/>
      <c r="AN892" s="132"/>
      <c r="AO892" s="133"/>
      <c r="AP892" s="134"/>
      <c r="AQ892" s="133"/>
      <c r="AR892" s="133"/>
      <c r="AS892" s="133"/>
      <c r="AT892" s="133"/>
      <c r="AU892" s="133"/>
      <c r="AV892" s="133"/>
      <c r="AW892" s="133"/>
      <c r="AX892" s="134"/>
      <c r="AY892" s="134"/>
      <c r="AZ892" s="132"/>
      <c r="BA892" s="133"/>
      <c r="BB892" s="134"/>
      <c r="BC892" s="133"/>
      <c r="BD892" s="133"/>
      <c r="BE892" s="133"/>
      <c r="BF892" s="133"/>
      <c r="BG892" s="133"/>
      <c r="BH892" s="133"/>
      <c r="BI892" s="135"/>
      <c r="BJ892" s="135"/>
      <c r="BK892" s="134"/>
      <c r="BL892" s="134"/>
      <c r="BM892" s="136"/>
      <c r="BN892" s="137"/>
      <c r="BO892" s="137"/>
      <c r="BP892" s="138"/>
      <c r="BQ892" s="144"/>
      <c r="BR892" s="144"/>
      <c r="BS892" s="144"/>
      <c r="BT892" s="145"/>
      <c r="BU892" s="145"/>
      <c r="BV892" s="154"/>
      <c r="BW892" s="154"/>
      <c r="BX892" s="154"/>
      <c r="BY892" s="154"/>
      <c r="BZ892" s="154"/>
    </row>
    <row r="893" spans="1:78" x14ac:dyDescent="0.25">
      <c r="A893" s="108" t="s">
        <v>191</v>
      </c>
      <c r="B893" s="12"/>
      <c r="C893" s="9">
        <v>0</v>
      </c>
      <c r="D893" s="25"/>
      <c r="E893" s="10" t="str">
        <f t="shared" ref="E893:E915" si="560">CONCATENATE($C$2,$F$1,$A893)</f>
        <v>MarçoSEMANA 1Bolo Rústico</v>
      </c>
      <c r="F893" s="7">
        <f>SUMIF(NF!$A:$A,$E893,NF!$I:$I)</f>
        <v>0</v>
      </c>
      <c r="G893" s="74"/>
      <c r="H893" s="74"/>
      <c r="I893" s="74"/>
      <c r="J893" s="6"/>
      <c r="K893" s="6"/>
      <c r="L893" s="6"/>
      <c r="M893" s="6"/>
      <c r="N893" s="7">
        <f t="shared" ref="N893:N909" si="561">SUM(G893:M893)</f>
        <v>0</v>
      </c>
      <c r="O893" s="11">
        <f t="shared" ref="O893:O915" si="562">F893+C893-N893</f>
        <v>0</v>
      </c>
      <c r="P893" s="25"/>
      <c r="Q893" s="10" t="str">
        <f t="shared" ref="Q893:Q915" si="563">CONCATENATE($C$2,$R$1,$A893)</f>
        <v>MarçoSEMANA 2Bolo Rústico</v>
      </c>
      <c r="R893" s="7">
        <f>SUMIF(NF!$A:$A,$Q893,NF!$I:$I)</f>
        <v>0</v>
      </c>
      <c r="S893" s="6"/>
      <c r="T893" s="6"/>
      <c r="U893" s="6"/>
      <c r="V893" s="6"/>
      <c r="W893" s="6"/>
      <c r="X893" s="6"/>
      <c r="Y893" s="6"/>
      <c r="Z893" s="7">
        <f t="shared" ref="Z893:Z909" si="564">SUM(S893:Y893)</f>
        <v>0</v>
      </c>
      <c r="AA893" s="11">
        <f t="shared" ref="AA893:AA915" si="565">R893+O893-Z893</f>
        <v>0</v>
      </c>
      <c r="AB893" s="25"/>
      <c r="AC893" s="10" t="str">
        <f t="shared" ref="AC893:AC915" si="566">CONCATENATE($C$2,$AD$1,$A893)</f>
        <v>MarçoSEMANA 3Bolo Rústico</v>
      </c>
      <c r="AD893" s="7">
        <f>SUMIF(NF!$A:$A,$AC893,NF!$I:$I)</f>
        <v>0</v>
      </c>
      <c r="AE893" s="6"/>
      <c r="AF893" s="6"/>
      <c r="AG893" s="6"/>
      <c r="AH893" s="6"/>
      <c r="AI893" s="6"/>
      <c r="AJ893" s="6"/>
      <c r="AK893" s="6"/>
      <c r="AL893" s="7">
        <f t="shared" ref="AL893:AL909" si="567">SUM(AE893:AK893)</f>
        <v>0</v>
      </c>
      <c r="AM893" s="11">
        <f t="shared" ref="AM893:AM915" si="568">AD893+AA893-AL893</f>
        <v>0</v>
      </c>
      <c r="AN893" s="25"/>
      <c r="AO893" s="10" t="str">
        <f t="shared" ref="AO893:AO915" si="569">CONCATENATE($C$2,$AP$1,$A893)</f>
        <v>MarçoSEMANA 4Bolo Rústico</v>
      </c>
      <c r="AP893" s="7">
        <f>SUMIF(NF!$A:$A,$AO893,NF!$I:$I)</f>
        <v>0</v>
      </c>
      <c r="AQ893" s="6"/>
      <c r="AR893" s="6"/>
      <c r="AS893" s="6"/>
      <c r="AT893" s="6"/>
      <c r="AU893" s="6"/>
      <c r="AV893" s="6"/>
      <c r="AW893" s="6"/>
      <c r="AX893" s="7">
        <f t="shared" ref="AX893:AX909" si="570">SUM(AQ893:AW893)</f>
        <v>0</v>
      </c>
      <c r="AY893" s="11">
        <f t="shared" ref="AY893:AY915" si="571">AP893+AM893-AX893</f>
        <v>0</v>
      </c>
      <c r="AZ893" s="25"/>
      <c r="BA893" s="10" t="str">
        <f t="shared" ref="BA893:BA915" si="572">CONCATENATE($C$2,$BB$1,$A893)</f>
        <v>MarçoSEMANA 5Bolo Rústico</v>
      </c>
      <c r="BB893" s="7">
        <f>SUMIF(NF!$A:$A,$BA893,NF!$I:$I)</f>
        <v>0</v>
      </c>
      <c r="BC893" s="6"/>
      <c r="BD893" s="6"/>
      <c r="BE893" s="6"/>
      <c r="BF893" s="6"/>
      <c r="BG893" s="6"/>
      <c r="BH893" s="6"/>
      <c r="BI893" s="74"/>
      <c r="BJ893" s="74"/>
      <c r="BK893" s="7">
        <f t="shared" ref="BK893:BK909" si="573">SUM(BC893:BJ893)</f>
        <v>0</v>
      </c>
      <c r="BL893" s="8">
        <f t="shared" ref="BL893:BL915" si="574">BB893+AY893-BK893</f>
        <v>0</v>
      </c>
      <c r="BM893" s="51" t="str">
        <f>IFERROR(VLOOKUP(A893,NF!$M:$O,3,0),"")</f>
        <v>Sobremesa</v>
      </c>
      <c r="BN893" s="7">
        <f t="shared" ref="BN893:BN915" si="575">SUM(N893,Z893,AL893,AX893,BK893)</f>
        <v>0</v>
      </c>
      <c r="BO893" s="8">
        <f t="array" ref="BO893">IFERROR(LARGE(IF(NF!$G$2:$G$3137='Mês atual'!A893,NF!$J$2:$J$3137),1),0)*BN893</f>
        <v>0</v>
      </c>
      <c r="BP893" s="50"/>
      <c r="BR893" s="146">
        <f t="array" ref="BR893">IFERROR(LARGE(IF(NF!$G$2:$G$3137='Mês atual'!A893,NF!$J$2:$J$3137),1),0)</f>
        <v>0</v>
      </c>
      <c r="BS893" s="142" t="str">
        <f>VLOOKUP(A893,NF!M:O,3,0)</f>
        <v>Sobremesa</v>
      </c>
      <c r="BV893" s="74">
        <f t="shared" si="549"/>
        <v>0</v>
      </c>
      <c r="BW893" s="74">
        <f t="shared" si="550"/>
        <v>0</v>
      </c>
      <c r="BX893" s="74">
        <f t="shared" si="551"/>
        <v>0</v>
      </c>
      <c r="BY893" s="74">
        <f t="shared" si="552"/>
        <v>0</v>
      </c>
      <c r="BZ893" s="74">
        <f t="shared" si="553"/>
        <v>0</v>
      </c>
    </row>
    <row r="894" spans="1:78" x14ac:dyDescent="0.25">
      <c r="A894" s="108" t="s">
        <v>903</v>
      </c>
      <c r="B894" s="12"/>
      <c r="C894" s="9">
        <v>5</v>
      </c>
      <c r="D894" s="25"/>
      <c r="E894" s="10" t="str">
        <f t="shared" si="560"/>
        <v>MarçoSEMANA 1Geléia de Framboesa</v>
      </c>
      <c r="F894" s="7">
        <f>SUMIF(NF!$A:$A,$E894,NF!$I:$I)</f>
        <v>0</v>
      </c>
      <c r="G894" s="74"/>
      <c r="H894" s="74"/>
      <c r="I894" s="74"/>
      <c r="J894" s="6"/>
      <c r="K894" s="6"/>
      <c r="L894" s="6"/>
      <c r="M894" s="6"/>
      <c r="N894" s="7">
        <f>SUM(G894:M894)</f>
        <v>0</v>
      </c>
      <c r="O894" s="11">
        <f>F894+C894-N894</f>
        <v>5</v>
      </c>
      <c r="P894" s="25"/>
      <c r="Q894" s="10" t="str">
        <f t="shared" si="563"/>
        <v>MarçoSEMANA 2Geléia de Framboesa</v>
      </c>
      <c r="R894" s="7">
        <f>SUMIF(NF!$A:$A,$Q894,NF!$I:$I)</f>
        <v>0</v>
      </c>
      <c r="S894" s="6"/>
      <c r="T894" s="6"/>
      <c r="U894" s="6"/>
      <c r="V894" s="6"/>
      <c r="W894" s="6">
        <v>1</v>
      </c>
      <c r="X894" s="6"/>
      <c r="Y894" s="6"/>
      <c r="Z894" s="7">
        <f>SUM(S894:Y894)</f>
        <v>1</v>
      </c>
      <c r="AA894" s="11">
        <f>R894+O894-Z894</f>
        <v>4</v>
      </c>
      <c r="AB894" s="25"/>
      <c r="AC894" s="10" t="str">
        <f t="shared" si="566"/>
        <v>MarçoSEMANA 3Geléia de Framboesa</v>
      </c>
      <c r="AD894" s="7">
        <f>SUMIF(NF!$A:$A,$AC894,NF!$I:$I)</f>
        <v>2</v>
      </c>
      <c r="AE894" s="6"/>
      <c r="AF894" s="6"/>
      <c r="AG894" s="6"/>
      <c r="AH894" s="6"/>
      <c r="AI894" s="6"/>
      <c r="AJ894" s="6"/>
      <c r="AK894" s="6"/>
      <c r="AL894" s="7">
        <f>SUM(AE894:AK894)</f>
        <v>0</v>
      </c>
      <c r="AM894" s="11">
        <f>AD894+AA894-AL894</f>
        <v>6</v>
      </c>
      <c r="AN894" s="25"/>
      <c r="AO894" s="10" t="str">
        <f t="shared" si="569"/>
        <v>MarçoSEMANA 4Geléia de Framboesa</v>
      </c>
      <c r="AP894" s="7">
        <f>SUMIF(NF!$A:$A,$AO894,NF!$I:$I)</f>
        <v>0</v>
      </c>
      <c r="AQ894" s="6"/>
      <c r="AR894" s="6"/>
      <c r="AS894" s="6"/>
      <c r="AT894" s="6"/>
      <c r="AU894" s="6"/>
      <c r="AV894" s="6"/>
      <c r="AW894" s="6">
        <v>1</v>
      </c>
      <c r="AX894" s="7">
        <f>SUM(AQ894:AW894)</f>
        <v>1</v>
      </c>
      <c r="AY894" s="11">
        <f>AP894+AM894-AX894</f>
        <v>5</v>
      </c>
      <c r="AZ894" s="25"/>
      <c r="BA894" s="10" t="str">
        <f t="shared" si="572"/>
        <v>MarçoSEMANA 5Geléia de Framboesa</v>
      </c>
      <c r="BB894" s="7">
        <f>SUMIF(NF!$A:$A,$BA894,NF!$I:$I)</f>
        <v>0</v>
      </c>
      <c r="BC894" s="6"/>
      <c r="BD894" s="6"/>
      <c r="BE894" s="6"/>
      <c r="BF894" s="6"/>
      <c r="BG894" s="6"/>
      <c r="BH894" s="6"/>
      <c r="BI894" s="74"/>
      <c r="BJ894" s="74"/>
      <c r="BK894" s="7">
        <f>SUM(BC894:BJ894)</f>
        <v>0</v>
      </c>
      <c r="BL894" s="8">
        <f>BB894+AY894-BK894</f>
        <v>5</v>
      </c>
      <c r="BM894" s="51" t="str">
        <f>IFERROR(VLOOKUP(A894,NF!$M:$O,3,0),"")</f>
        <v>Sobremesa</v>
      </c>
      <c r="BN894" s="7">
        <f>SUM(N894,Z894,AL894,AX894,BK894)</f>
        <v>2</v>
      </c>
      <c r="BO894" s="8">
        <f t="array" ref="BO894">IFERROR(LARGE(IF(NF!$G$2:$G$3137='Mês atual'!A894,NF!$J$2:$J$3137),1),0)*BN894</f>
        <v>0</v>
      </c>
      <c r="BP894" s="50"/>
      <c r="BR894" s="146">
        <f t="array" ref="BR894">IFERROR(LARGE(IF(NF!$G$2:$G$3137='Mês atual'!A894,NF!$J$2:$J$3137),1),0)</f>
        <v>0</v>
      </c>
      <c r="BS894" s="142" t="str">
        <f>VLOOKUP(A894,NF!M:O,3,0)</f>
        <v>Sobremesa</v>
      </c>
      <c r="BV894" s="74">
        <f t="shared" si="549"/>
        <v>0</v>
      </c>
      <c r="BW894" s="74">
        <f t="shared" si="550"/>
        <v>1</v>
      </c>
      <c r="BX894" s="74">
        <f t="shared" si="551"/>
        <v>0</v>
      </c>
      <c r="BY894" s="74">
        <f t="shared" si="552"/>
        <v>1</v>
      </c>
      <c r="BZ894" s="74">
        <f t="shared" si="553"/>
        <v>0</v>
      </c>
    </row>
    <row r="895" spans="1:78" x14ac:dyDescent="0.25">
      <c r="A895" s="108" t="s">
        <v>690</v>
      </c>
      <c r="B895" s="12"/>
      <c r="C895" s="9">
        <v>12</v>
      </c>
      <c r="D895" s="25"/>
      <c r="E895" s="10" t="str">
        <f t="shared" si="560"/>
        <v>MarçoSEMANA 1Quindão com Damasco</v>
      </c>
      <c r="F895" s="7">
        <f>SUMIF(NF!$A:$A,$E895,NF!$I:$I)</f>
        <v>0</v>
      </c>
      <c r="G895" s="74"/>
      <c r="H895" s="74"/>
      <c r="I895" s="74"/>
      <c r="J895" s="6"/>
      <c r="K895" s="6">
        <v>1</v>
      </c>
      <c r="L895" s="6">
        <v>3</v>
      </c>
      <c r="M895" s="6">
        <v>2</v>
      </c>
      <c r="N895" s="7">
        <f t="shared" si="561"/>
        <v>6</v>
      </c>
      <c r="O895" s="11">
        <f t="shared" si="562"/>
        <v>6</v>
      </c>
      <c r="P895" s="25"/>
      <c r="Q895" s="10" t="str">
        <f t="shared" si="563"/>
        <v>MarçoSEMANA 2Quindão com Damasco</v>
      </c>
      <c r="R895" s="7">
        <f>SUMIF(NF!$A:$A,$Q895,NF!$I:$I)</f>
        <v>12</v>
      </c>
      <c r="S895" s="6"/>
      <c r="T895" s="6"/>
      <c r="U895" s="6">
        <v>3</v>
      </c>
      <c r="V895" s="6">
        <v>1</v>
      </c>
      <c r="W895" s="6">
        <v>1</v>
      </c>
      <c r="X895" s="6">
        <v>1</v>
      </c>
      <c r="Y895" s="6"/>
      <c r="Z895" s="7">
        <f t="shared" si="564"/>
        <v>6</v>
      </c>
      <c r="AA895" s="11">
        <f t="shared" si="565"/>
        <v>12</v>
      </c>
      <c r="AB895" s="25"/>
      <c r="AC895" s="10" t="str">
        <f t="shared" si="566"/>
        <v>MarçoSEMANA 3Quindão com Damasco</v>
      </c>
      <c r="AD895" s="7">
        <f>SUMIF(NF!$A:$A,$AC895,NF!$I:$I)</f>
        <v>0</v>
      </c>
      <c r="AE895" s="6">
        <v>1</v>
      </c>
      <c r="AF895" s="6"/>
      <c r="AG895" s="6"/>
      <c r="AH895" s="6"/>
      <c r="AI895" s="6">
        <v>1</v>
      </c>
      <c r="AJ895" s="6"/>
      <c r="AK895" s="6">
        <v>1</v>
      </c>
      <c r="AL895" s="7">
        <f t="shared" si="567"/>
        <v>3</v>
      </c>
      <c r="AM895" s="11">
        <f t="shared" si="568"/>
        <v>9</v>
      </c>
      <c r="AN895" s="25"/>
      <c r="AO895" s="10" t="str">
        <f t="shared" si="569"/>
        <v>MarçoSEMANA 4Quindão com Damasco</v>
      </c>
      <c r="AP895" s="7">
        <f>SUMIF(NF!$A:$A,$AO895,NF!$I:$I)</f>
        <v>12</v>
      </c>
      <c r="AQ895" s="6"/>
      <c r="AR895" s="6">
        <v>2</v>
      </c>
      <c r="AS895" s="6"/>
      <c r="AT895" s="6"/>
      <c r="AU895" s="6">
        <v>2</v>
      </c>
      <c r="AV895" s="6">
        <v>1</v>
      </c>
      <c r="AW895" s="6">
        <v>4</v>
      </c>
      <c r="AX895" s="7">
        <f t="shared" si="570"/>
        <v>9</v>
      </c>
      <c r="AY895" s="11">
        <f t="shared" si="571"/>
        <v>12</v>
      </c>
      <c r="AZ895" s="25"/>
      <c r="BA895" s="10" t="str">
        <f t="shared" si="572"/>
        <v>MarçoSEMANA 5Quindão com Damasco</v>
      </c>
      <c r="BB895" s="7">
        <f>SUMIF(NF!$A:$A,$BA895,NF!$I:$I)</f>
        <v>0</v>
      </c>
      <c r="BC895" s="6"/>
      <c r="BD895" s="6"/>
      <c r="BE895" s="6"/>
      <c r="BF895" s="6"/>
      <c r="BG895" s="6">
        <v>3</v>
      </c>
      <c r="BH895" s="6">
        <v>3</v>
      </c>
      <c r="BI895" s="74"/>
      <c r="BJ895" s="74"/>
      <c r="BK895" s="7">
        <f t="shared" si="573"/>
        <v>6</v>
      </c>
      <c r="BL895" s="8">
        <f t="shared" si="574"/>
        <v>6</v>
      </c>
      <c r="BM895" s="51" t="str">
        <f>IFERROR(VLOOKUP(A895,NF!$M:$O,3,0),"")</f>
        <v>Sobremesa</v>
      </c>
      <c r="BN895" s="7">
        <f t="shared" si="575"/>
        <v>30</v>
      </c>
      <c r="BO895" s="8">
        <f t="array" ref="BO895">IFERROR(LARGE(IF(NF!$G$2:$G$3137='Mês atual'!A895,NF!$J$2:$J$3137),1),0)*BN895</f>
        <v>172.5</v>
      </c>
      <c r="BP895" s="50"/>
      <c r="BR895" s="146">
        <f t="array" ref="BR895">IFERROR(LARGE(IF(NF!$G$2:$G$3137='Mês atual'!A895,NF!$J$2:$J$3137),1),0)</f>
        <v>5.75</v>
      </c>
      <c r="BS895" s="142" t="str">
        <f>VLOOKUP(A895,NF!M:O,3,0)</f>
        <v>Sobremesa</v>
      </c>
      <c r="BV895" s="74">
        <f t="shared" si="549"/>
        <v>6</v>
      </c>
      <c r="BW895" s="74">
        <f t="shared" si="550"/>
        <v>6</v>
      </c>
      <c r="BX895" s="74">
        <f t="shared" si="551"/>
        <v>3</v>
      </c>
      <c r="BY895" s="74">
        <f t="shared" si="552"/>
        <v>9</v>
      </c>
      <c r="BZ895" s="74">
        <f t="shared" si="553"/>
        <v>6</v>
      </c>
    </row>
    <row r="896" spans="1:78" x14ac:dyDescent="0.2">
      <c r="A896" s="108" t="s">
        <v>691</v>
      </c>
      <c r="B896" s="12"/>
      <c r="C896" s="9">
        <v>0</v>
      </c>
      <c r="D896" s="25"/>
      <c r="E896" s="10" t="str">
        <f t="shared" si="560"/>
        <v>MarçoSEMANA 1Quindim</v>
      </c>
      <c r="F896" s="7">
        <f>SUMIF(NF!$A:$A,$E896,NF!$I:$I)</f>
        <v>0</v>
      </c>
      <c r="G896" s="74"/>
      <c r="H896" s="74"/>
      <c r="I896" s="74"/>
      <c r="J896" s="6"/>
      <c r="K896" s="6"/>
      <c r="L896" s="6"/>
      <c r="M896" s="6"/>
      <c r="N896" s="7">
        <f t="shared" si="561"/>
        <v>0</v>
      </c>
      <c r="O896" s="11">
        <f t="shared" si="562"/>
        <v>0</v>
      </c>
      <c r="P896" s="25"/>
      <c r="Q896" s="10" t="str">
        <f t="shared" si="563"/>
        <v>MarçoSEMANA 2Quindim</v>
      </c>
      <c r="R896" s="7">
        <f>SUMIF(NF!$A:$A,$Q896,NF!$I:$I)</f>
        <v>0</v>
      </c>
      <c r="S896" s="6"/>
      <c r="T896" s="6"/>
      <c r="U896" s="6"/>
      <c r="V896" s="6"/>
      <c r="W896" s="6"/>
      <c r="X896" s="6"/>
      <c r="Y896" s="6"/>
      <c r="Z896" s="7">
        <f t="shared" si="564"/>
        <v>0</v>
      </c>
      <c r="AA896" s="11">
        <f t="shared" si="565"/>
        <v>0</v>
      </c>
      <c r="AB896" s="25"/>
      <c r="AC896" s="10" t="str">
        <f t="shared" si="566"/>
        <v>MarçoSEMANA 3Quindim</v>
      </c>
      <c r="AD896" s="7">
        <f>SUMIF(NF!$A:$A,$AC896,NF!$I:$I)</f>
        <v>0</v>
      </c>
      <c r="AE896" s="6"/>
      <c r="AF896" s="6"/>
      <c r="AG896" s="6"/>
      <c r="AH896" s="6"/>
      <c r="AI896" s="6"/>
      <c r="AJ896" s="6"/>
      <c r="AK896" s="6"/>
      <c r="AL896" s="7">
        <f t="shared" si="567"/>
        <v>0</v>
      </c>
      <c r="AM896" s="11">
        <f t="shared" si="568"/>
        <v>0</v>
      </c>
      <c r="AN896" s="25"/>
      <c r="AO896" s="10" t="str">
        <f t="shared" si="569"/>
        <v>MarçoSEMANA 4Quindim</v>
      </c>
      <c r="AP896" s="7">
        <f>SUMIF(NF!$A:$A,$AO896,NF!$I:$I)</f>
        <v>0</v>
      </c>
      <c r="AQ896" s="6"/>
      <c r="AR896" s="6"/>
      <c r="AS896" s="6"/>
      <c r="AT896" s="6"/>
      <c r="AU896" s="6"/>
      <c r="AV896" s="6"/>
      <c r="AW896" s="6"/>
      <c r="AX896" s="7">
        <f t="shared" si="570"/>
        <v>0</v>
      </c>
      <c r="AY896" s="11">
        <f t="shared" si="571"/>
        <v>0</v>
      </c>
      <c r="AZ896" s="25"/>
      <c r="BA896" s="10" t="str">
        <f t="shared" si="572"/>
        <v>MarçoSEMANA 5Quindim</v>
      </c>
      <c r="BB896" s="7">
        <f>SUMIF(NF!$A:$A,$BA896,NF!$I:$I)</f>
        <v>0</v>
      </c>
      <c r="BC896" s="6"/>
      <c r="BD896" s="6"/>
      <c r="BE896" s="6"/>
      <c r="BF896" s="6"/>
      <c r="BG896" s="6"/>
      <c r="BH896" s="6"/>
      <c r="BI896" s="74"/>
      <c r="BJ896" s="74"/>
      <c r="BK896" s="7">
        <f t="shared" si="573"/>
        <v>0</v>
      </c>
      <c r="BL896" s="8">
        <f t="shared" si="574"/>
        <v>0</v>
      </c>
      <c r="BM896" s="51" t="str">
        <f>IFERROR(VLOOKUP(A896,NF!$M:$O,3,0),"")</f>
        <v>Sobremesa</v>
      </c>
      <c r="BN896" s="7">
        <f t="shared" si="575"/>
        <v>0</v>
      </c>
      <c r="BO896" s="8">
        <f t="array" ref="BO896">IFERROR(LARGE(IF(NF!$G$2:$G$3137='Mês atual'!A896,NF!$J$2:$J$3137),1),0)*BN896</f>
        <v>0</v>
      </c>
      <c r="BP896" s="50"/>
      <c r="BR896" s="146">
        <f t="array" ref="BR896">IFERROR(LARGE(IF(NF!$G$2:$G$3137='Mês atual'!A896,NF!$J$2:$J$3137),1),0)</f>
        <v>0</v>
      </c>
      <c r="BS896" s="142" t="str">
        <f>VLOOKUP(A896,NF!M:O,3,0)</f>
        <v>Sobremesa</v>
      </c>
      <c r="BV896" s="74">
        <f t="shared" si="549"/>
        <v>0</v>
      </c>
      <c r="BW896" s="74">
        <f t="shared" si="550"/>
        <v>0</v>
      </c>
      <c r="BX896" s="74">
        <f t="shared" si="551"/>
        <v>0</v>
      </c>
      <c r="BY896" s="74">
        <f t="shared" si="552"/>
        <v>0</v>
      </c>
      <c r="BZ896" s="74">
        <f t="shared" si="553"/>
        <v>0</v>
      </c>
    </row>
    <row r="897" spans="1:78" x14ac:dyDescent="0.25">
      <c r="A897" s="108" t="s">
        <v>803</v>
      </c>
      <c r="B897" s="12"/>
      <c r="C897" s="9">
        <v>10</v>
      </c>
      <c r="D897" s="25"/>
      <c r="E897" s="10" t="str">
        <f t="shared" si="560"/>
        <v>MarçoSEMANA 1Torta Alemã</v>
      </c>
      <c r="F897" s="7">
        <f>SUMIF(NF!$A:$A,$E897,NF!$I:$I)</f>
        <v>12</v>
      </c>
      <c r="G897" s="74"/>
      <c r="H897" s="74"/>
      <c r="I897" s="74"/>
      <c r="J897" s="6">
        <v>2</v>
      </c>
      <c r="K897" s="6">
        <v>3</v>
      </c>
      <c r="L897" s="6">
        <v>8</v>
      </c>
      <c r="M897" s="6">
        <v>4</v>
      </c>
      <c r="N897" s="7">
        <f t="shared" si="561"/>
        <v>17</v>
      </c>
      <c r="O897" s="11">
        <f t="shared" si="562"/>
        <v>5</v>
      </c>
      <c r="P897" s="25"/>
      <c r="Q897" s="10" t="str">
        <f t="shared" si="563"/>
        <v>MarçoSEMANA 2Torta Alemã</v>
      </c>
      <c r="R897" s="7">
        <f>SUMIF(NF!$A:$A,$Q897,NF!$I:$I)</f>
        <v>24</v>
      </c>
      <c r="S897" s="6">
        <v>2</v>
      </c>
      <c r="T897" s="6"/>
      <c r="U897" s="6">
        <v>2</v>
      </c>
      <c r="V897" s="6">
        <v>1</v>
      </c>
      <c r="W897" s="6">
        <v>1</v>
      </c>
      <c r="X897" s="6">
        <v>3</v>
      </c>
      <c r="Y897" s="6">
        <v>6</v>
      </c>
      <c r="Z897" s="7">
        <f t="shared" si="564"/>
        <v>15</v>
      </c>
      <c r="AA897" s="11">
        <f t="shared" si="565"/>
        <v>14</v>
      </c>
      <c r="AB897" s="25"/>
      <c r="AC897" s="10" t="str">
        <f t="shared" si="566"/>
        <v>MarçoSEMANA 3Torta Alemã</v>
      </c>
      <c r="AD897" s="7">
        <f>SUMIF(NF!$A:$A,$AC897,NF!$I:$I)</f>
        <v>12</v>
      </c>
      <c r="AE897" s="6">
        <v>1</v>
      </c>
      <c r="AF897" s="6">
        <v>1</v>
      </c>
      <c r="AG897" s="6">
        <v>2</v>
      </c>
      <c r="AH897" s="6">
        <v>2</v>
      </c>
      <c r="AI897" s="6">
        <v>1</v>
      </c>
      <c r="AJ897" s="6">
        <v>2</v>
      </c>
      <c r="AK897" s="6">
        <v>6</v>
      </c>
      <c r="AL897" s="7">
        <f t="shared" si="567"/>
        <v>15</v>
      </c>
      <c r="AM897" s="11">
        <f t="shared" si="568"/>
        <v>11</v>
      </c>
      <c r="AN897" s="25"/>
      <c r="AO897" s="10" t="str">
        <f t="shared" si="569"/>
        <v>MarçoSEMANA 4Torta Alemã</v>
      </c>
      <c r="AP897" s="7">
        <f>SUMIF(NF!$A:$A,$AO897,NF!$I:$I)</f>
        <v>12</v>
      </c>
      <c r="AQ897" s="6">
        <v>1</v>
      </c>
      <c r="AR897" s="6"/>
      <c r="AS897" s="6">
        <v>1</v>
      </c>
      <c r="AT897" s="6">
        <v>1</v>
      </c>
      <c r="AU897" s="6">
        <v>1</v>
      </c>
      <c r="AV897" s="6">
        <v>4</v>
      </c>
      <c r="AW897" s="6">
        <v>3</v>
      </c>
      <c r="AX897" s="7">
        <f t="shared" si="570"/>
        <v>11</v>
      </c>
      <c r="AY897" s="11">
        <f t="shared" si="571"/>
        <v>12</v>
      </c>
      <c r="AZ897" s="25"/>
      <c r="BA897" s="10" t="str">
        <f t="shared" si="572"/>
        <v>MarçoSEMANA 5Torta Alemã</v>
      </c>
      <c r="BB897" s="7">
        <f>SUMIF(NF!$A:$A,$BA897,NF!$I:$I)</f>
        <v>0</v>
      </c>
      <c r="BC897" s="6"/>
      <c r="BD897" s="6"/>
      <c r="BE897" s="6">
        <v>4</v>
      </c>
      <c r="BF897" s="6">
        <v>3</v>
      </c>
      <c r="BG897" s="6">
        <v>2</v>
      </c>
      <c r="BH897" s="6">
        <v>3</v>
      </c>
      <c r="BI897" s="74"/>
      <c r="BJ897" s="74"/>
      <c r="BK897" s="7">
        <f t="shared" si="573"/>
        <v>12</v>
      </c>
      <c r="BL897" s="8">
        <f t="shared" si="574"/>
        <v>0</v>
      </c>
      <c r="BM897" s="51" t="str">
        <f>IFERROR(VLOOKUP(A897,NF!$M:$O,3,0),"")</f>
        <v>Sobremesa</v>
      </c>
      <c r="BN897" s="7">
        <f t="shared" si="575"/>
        <v>70</v>
      </c>
      <c r="BO897" s="8">
        <f t="array" ref="BO897">IFERROR(LARGE(IF(NF!$G$2:$G$3137='Mês atual'!A897,NF!$J$2:$J$3137),1),0)*BN897</f>
        <v>402.9666666666667</v>
      </c>
      <c r="BP897" s="50"/>
      <c r="BR897" s="146">
        <f t="array" ref="BR897">IFERROR(LARGE(IF(NF!$G$2:$G$3137='Mês atual'!A897,NF!$J$2:$J$3137),1),0)</f>
        <v>5.7566666666666668</v>
      </c>
      <c r="BS897" s="142" t="str">
        <f>VLOOKUP(A897,NF!M:O,3,0)</f>
        <v>Sobremesa</v>
      </c>
      <c r="BV897" s="74">
        <f t="shared" si="549"/>
        <v>17</v>
      </c>
      <c r="BW897" s="74">
        <f t="shared" si="550"/>
        <v>15</v>
      </c>
      <c r="BX897" s="74">
        <f t="shared" si="551"/>
        <v>15</v>
      </c>
      <c r="BY897" s="74">
        <f t="shared" si="552"/>
        <v>11</v>
      </c>
      <c r="BZ897" s="74">
        <f t="shared" si="553"/>
        <v>12</v>
      </c>
    </row>
    <row r="898" spans="1:78" x14ac:dyDescent="0.2">
      <c r="A898" s="108" t="s">
        <v>804</v>
      </c>
      <c r="B898" s="12"/>
      <c r="C898" s="9">
        <v>11</v>
      </c>
      <c r="D898" s="25"/>
      <c r="E898" s="10" t="str">
        <f t="shared" si="560"/>
        <v>MarçoSEMANA 1Torta Banana Crock</v>
      </c>
      <c r="F898" s="7">
        <f>SUMIF(NF!$A:$A,$E898,NF!$I:$I)</f>
        <v>0</v>
      </c>
      <c r="G898" s="74"/>
      <c r="H898" s="74"/>
      <c r="I898" s="74"/>
      <c r="J898" s="6"/>
      <c r="K898" s="6"/>
      <c r="L898" s="6">
        <v>1</v>
      </c>
      <c r="M898" s="6">
        <v>8</v>
      </c>
      <c r="N898" s="7">
        <f t="shared" si="561"/>
        <v>9</v>
      </c>
      <c r="O898" s="11">
        <f t="shared" si="562"/>
        <v>2</v>
      </c>
      <c r="P898" s="25"/>
      <c r="Q898" s="10" t="str">
        <f t="shared" si="563"/>
        <v>MarçoSEMANA 2Torta Banana Crock</v>
      </c>
      <c r="R898" s="7">
        <f>SUMIF(NF!$A:$A,$Q898,NF!$I:$I)</f>
        <v>12</v>
      </c>
      <c r="S898" s="6">
        <v>1</v>
      </c>
      <c r="T898" s="6">
        <v>1</v>
      </c>
      <c r="U898" s="6">
        <v>1</v>
      </c>
      <c r="V898" s="6">
        <v>3</v>
      </c>
      <c r="W898" s="6">
        <v>2</v>
      </c>
      <c r="X898" s="6">
        <v>4</v>
      </c>
      <c r="Y898" s="6">
        <v>2</v>
      </c>
      <c r="Z898" s="7">
        <f t="shared" si="564"/>
        <v>14</v>
      </c>
      <c r="AA898" s="11">
        <f t="shared" si="565"/>
        <v>0</v>
      </c>
      <c r="AB898" s="25"/>
      <c r="AC898" s="10" t="str">
        <f t="shared" si="566"/>
        <v>MarçoSEMANA 3Torta Banana Crock</v>
      </c>
      <c r="AD898" s="7">
        <f>SUMIF(NF!$A:$A,$AC898,NF!$I:$I)</f>
        <v>24</v>
      </c>
      <c r="AE898" s="6"/>
      <c r="AF898" s="6"/>
      <c r="AG898" s="6">
        <v>3</v>
      </c>
      <c r="AH898" s="6"/>
      <c r="AI898" s="6"/>
      <c r="AJ898" s="6">
        <v>6</v>
      </c>
      <c r="AK898" s="6">
        <v>4</v>
      </c>
      <c r="AL898" s="7">
        <f t="shared" si="567"/>
        <v>13</v>
      </c>
      <c r="AM898" s="11">
        <f t="shared" si="568"/>
        <v>11</v>
      </c>
      <c r="AN898" s="25"/>
      <c r="AO898" s="10" t="str">
        <f t="shared" si="569"/>
        <v>MarçoSEMANA 4Torta Banana Crock</v>
      </c>
      <c r="AP898" s="7">
        <f>SUMIF(NF!$A:$A,$AO898,NF!$I:$I)</f>
        <v>24</v>
      </c>
      <c r="AQ898" s="6">
        <v>2</v>
      </c>
      <c r="AR898" s="6">
        <v>2</v>
      </c>
      <c r="AS898" s="6">
        <v>4</v>
      </c>
      <c r="AT898" s="6"/>
      <c r="AU898" s="6">
        <v>13</v>
      </c>
      <c r="AV898" s="6">
        <v>7</v>
      </c>
      <c r="AW898" s="6">
        <v>3</v>
      </c>
      <c r="AX898" s="7">
        <f t="shared" si="570"/>
        <v>31</v>
      </c>
      <c r="AY898" s="11">
        <f t="shared" si="571"/>
        <v>4</v>
      </c>
      <c r="AZ898" s="25"/>
      <c r="BA898" s="10" t="str">
        <f t="shared" si="572"/>
        <v>MarçoSEMANA 5Torta Banana Crock</v>
      </c>
      <c r="BB898" s="7">
        <f>SUMIF(NF!$A:$A,$BA898,NF!$I:$I)</f>
        <v>12</v>
      </c>
      <c r="BC898" s="6">
        <v>2</v>
      </c>
      <c r="BD898" s="6">
        <v>1</v>
      </c>
      <c r="BE898" s="6">
        <v>1</v>
      </c>
      <c r="BF898" s="6">
        <v>1</v>
      </c>
      <c r="BG898" s="6">
        <v>1</v>
      </c>
      <c r="BH898" s="6">
        <v>4</v>
      </c>
      <c r="BI898" s="74"/>
      <c r="BJ898" s="74"/>
      <c r="BK898" s="7">
        <f t="shared" si="573"/>
        <v>10</v>
      </c>
      <c r="BL898" s="8">
        <f t="shared" si="574"/>
        <v>6</v>
      </c>
      <c r="BM898" s="51" t="str">
        <f>IFERROR(VLOOKUP(A898,NF!$M:$O,3,0),"")</f>
        <v>Sobremesa</v>
      </c>
      <c r="BN898" s="7">
        <f t="shared" si="575"/>
        <v>77</v>
      </c>
      <c r="BO898" s="8">
        <f t="array" ref="BO898">IFERROR(LARGE(IF(NF!$G$2:$G$3137='Mês atual'!A898,NF!$J$2:$J$3137),1),0)*BN898</f>
        <v>456.93083333333328</v>
      </c>
      <c r="BP898" s="50"/>
      <c r="BR898" s="146">
        <f t="array" ref="BR898">IFERROR(LARGE(IF(NF!$G$2:$G$3137='Mês atual'!A898,NF!$J$2:$J$3137),1),0)</f>
        <v>5.9341666666666661</v>
      </c>
      <c r="BS898" s="142" t="str">
        <f>VLOOKUP(A898,NF!M:O,3,0)</f>
        <v>Sobremesa</v>
      </c>
      <c r="BV898" s="74">
        <f t="shared" si="549"/>
        <v>9</v>
      </c>
      <c r="BW898" s="74">
        <f t="shared" si="550"/>
        <v>14</v>
      </c>
      <c r="BX898" s="74">
        <f t="shared" si="551"/>
        <v>13</v>
      </c>
      <c r="BY898" s="74">
        <f t="shared" si="552"/>
        <v>31</v>
      </c>
      <c r="BZ898" s="74">
        <f t="shared" si="553"/>
        <v>10</v>
      </c>
    </row>
    <row r="899" spans="1:78" x14ac:dyDescent="0.2">
      <c r="A899" s="108" t="s">
        <v>805</v>
      </c>
      <c r="B899" s="12"/>
      <c r="C899" s="9">
        <v>0</v>
      </c>
      <c r="D899" s="25"/>
      <c r="E899" s="10" t="str">
        <f t="shared" si="560"/>
        <v>MarçoSEMANA 1Torta Banana Integral</v>
      </c>
      <c r="F899" s="7">
        <f>SUMIF(NF!$A:$A,$E899,NF!$I:$I)</f>
        <v>0</v>
      </c>
      <c r="G899" s="74"/>
      <c r="H899" s="74"/>
      <c r="I899" s="74"/>
      <c r="J899" s="6"/>
      <c r="K899" s="6"/>
      <c r="L899" s="6"/>
      <c r="M899" s="6"/>
      <c r="N899" s="7">
        <f t="shared" si="561"/>
        <v>0</v>
      </c>
      <c r="O899" s="11">
        <f t="shared" si="562"/>
        <v>0</v>
      </c>
      <c r="P899" s="25"/>
      <c r="Q899" s="10" t="str">
        <f t="shared" si="563"/>
        <v>MarçoSEMANA 2Torta Banana Integral</v>
      </c>
      <c r="R899" s="7">
        <f>SUMIF(NF!$A:$A,$Q899,NF!$I:$I)</f>
        <v>0</v>
      </c>
      <c r="S899" s="6"/>
      <c r="T899" s="6"/>
      <c r="U899" s="6"/>
      <c r="V899" s="6"/>
      <c r="W899" s="6"/>
      <c r="X899" s="6"/>
      <c r="Y899" s="6"/>
      <c r="Z899" s="7">
        <f t="shared" si="564"/>
        <v>0</v>
      </c>
      <c r="AA899" s="11">
        <f t="shared" si="565"/>
        <v>0</v>
      </c>
      <c r="AB899" s="25"/>
      <c r="AC899" s="10" t="str">
        <f t="shared" si="566"/>
        <v>MarçoSEMANA 3Torta Banana Integral</v>
      </c>
      <c r="AD899" s="7">
        <f>SUMIF(NF!$A:$A,$AC899,NF!$I:$I)</f>
        <v>0</v>
      </c>
      <c r="AE899" s="6"/>
      <c r="AF899" s="6"/>
      <c r="AG899" s="6"/>
      <c r="AH899" s="6"/>
      <c r="AI899" s="6"/>
      <c r="AJ899" s="6"/>
      <c r="AK899" s="6"/>
      <c r="AL899" s="7">
        <f t="shared" si="567"/>
        <v>0</v>
      </c>
      <c r="AM899" s="11">
        <f t="shared" si="568"/>
        <v>0</v>
      </c>
      <c r="AN899" s="25"/>
      <c r="AO899" s="10" t="str">
        <f t="shared" si="569"/>
        <v>MarçoSEMANA 4Torta Banana Integral</v>
      </c>
      <c r="AP899" s="7">
        <f>SUMIF(NF!$A:$A,$AO899,NF!$I:$I)</f>
        <v>0</v>
      </c>
      <c r="AQ899" s="6"/>
      <c r="AR899" s="6"/>
      <c r="AS899" s="6"/>
      <c r="AT899" s="6"/>
      <c r="AU899" s="6"/>
      <c r="AV899" s="6"/>
      <c r="AW899" s="6"/>
      <c r="AX899" s="7">
        <f t="shared" si="570"/>
        <v>0</v>
      </c>
      <c r="AY899" s="11">
        <f t="shared" si="571"/>
        <v>0</v>
      </c>
      <c r="AZ899" s="25"/>
      <c r="BA899" s="10" t="str">
        <f t="shared" si="572"/>
        <v>MarçoSEMANA 5Torta Banana Integral</v>
      </c>
      <c r="BB899" s="7">
        <f>SUMIF(NF!$A:$A,$BA899,NF!$I:$I)</f>
        <v>0</v>
      </c>
      <c r="BC899" s="6"/>
      <c r="BD899" s="6"/>
      <c r="BE899" s="6"/>
      <c r="BF899" s="6"/>
      <c r="BG899" s="6"/>
      <c r="BH899" s="6"/>
      <c r="BI899" s="74"/>
      <c r="BJ899" s="74"/>
      <c r="BK899" s="7">
        <f t="shared" si="573"/>
        <v>0</v>
      </c>
      <c r="BL899" s="8">
        <f t="shared" si="574"/>
        <v>0</v>
      </c>
      <c r="BM899" s="51" t="str">
        <f>IFERROR(VLOOKUP(A899,NF!$M:$O,3,0),"")</f>
        <v>Sobremesa</v>
      </c>
      <c r="BN899" s="7">
        <f t="shared" si="575"/>
        <v>0</v>
      </c>
      <c r="BO899" s="8">
        <f t="array" ref="BO899">IFERROR(LARGE(IF(NF!$G$2:$G$3137='Mês atual'!A899,NF!$J$2:$J$3137),1),0)*BN899</f>
        <v>0</v>
      </c>
      <c r="BP899" s="50"/>
      <c r="BR899" s="146">
        <f t="array" ref="BR899">IFERROR(LARGE(IF(NF!$G$2:$G$3137='Mês atual'!A899,NF!$J$2:$J$3137),1),0)</f>
        <v>0</v>
      </c>
      <c r="BS899" s="142" t="str">
        <f>VLOOKUP(A899,NF!M:O,3,0)</f>
        <v>Sobremesa</v>
      </c>
      <c r="BV899" s="74">
        <f t="shared" si="549"/>
        <v>0</v>
      </c>
      <c r="BW899" s="74">
        <f t="shared" si="550"/>
        <v>0</v>
      </c>
      <c r="BX899" s="74">
        <f t="shared" si="551"/>
        <v>0</v>
      </c>
      <c r="BY899" s="74">
        <f t="shared" si="552"/>
        <v>0</v>
      </c>
      <c r="BZ899" s="74">
        <f t="shared" si="553"/>
        <v>0</v>
      </c>
    </row>
    <row r="900" spans="1:78" x14ac:dyDescent="0.25">
      <c r="A900" s="108" t="s">
        <v>806</v>
      </c>
      <c r="B900" s="12"/>
      <c r="C900" s="9">
        <v>8</v>
      </c>
      <c r="D900" s="25"/>
      <c r="E900" s="10" t="str">
        <f t="shared" si="560"/>
        <v>MarçoSEMANA 1Torta Bem Casado de Chocolate c/ Avelã</v>
      </c>
      <c r="F900" s="7">
        <f>SUMIF(NF!$A:$A,$E900,NF!$I:$I)</f>
        <v>12</v>
      </c>
      <c r="G900" s="74"/>
      <c r="H900" s="74"/>
      <c r="I900" s="74"/>
      <c r="J900" s="6">
        <v>1</v>
      </c>
      <c r="K900" s="6">
        <v>1</v>
      </c>
      <c r="L900" s="6">
        <v>4</v>
      </c>
      <c r="M900" s="6">
        <v>1</v>
      </c>
      <c r="N900" s="7">
        <f t="shared" si="561"/>
        <v>7</v>
      </c>
      <c r="O900" s="11">
        <f t="shared" si="562"/>
        <v>13</v>
      </c>
      <c r="P900" s="25"/>
      <c r="Q900" s="10" t="str">
        <f t="shared" si="563"/>
        <v>MarçoSEMANA 2Torta Bem Casado de Chocolate c/ Avelã</v>
      </c>
      <c r="R900" s="7">
        <f>SUMIF(NF!$A:$A,$Q900,NF!$I:$I)</f>
        <v>12</v>
      </c>
      <c r="S900" s="6"/>
      <c r="T900" s="6">
        <v>1</v>
      </c>
      <c r="U900" s="6"/>
      <c r="V900" s="6">
        <v>1</v>
      </c>
      <c r="W900" s="6">
        <v>1</v>
      </c>
      <c r="X900" s="6">
        <v>2</v>
      </c>
      <c r="Y900" s="6">
        <v>1</v>
      </c>
      <c r="Z900" s="7">
        <f t="shared" si="564"/>
        <v>6</v>
      </c>
      <c r="AA900" s="11">
        <f t="shared" si="565"/>
        <v>19</v>
      </c>
      <c r="AB900" s="25"/>
      <c r="AC900" s="10" t="str">
        <f t="shared" si="566"/>
        <v>MarçoSEMANA 3Torta Bem Casado de Chocolate c/ Avelã</v>
      </c>
      <c r="AD900" s="7">
        <f>SUMIF(NF!$A:$A,$AC900,NF!$I:$I)</f>
        <v>24</v>
      </c>
      <c r="AE900" s="6">
        <v>1</v>
      </c>
      <c r="AF900" s="6">
        <v>2</v>
      </c>
      <c r="AG900" s="6">
        <v>4</v>
      </c>
      <c r="AH900" s="6">
        <v>1</v>
      </c>
      <c r="AI900" s="6">
        <v>3</v>
      </c>
      <c r="AJ900" s="6">
        <v>12</v>
      </c>
      <c r="AK900" s="6">
        <v>1</v>
      </c>
      <c r="AL900" s="7">
        <f t="shared" si="567"/>
        <v>24</v>
      </c>
      <c r="AM900" s="11">
        <f t="shared" si="568"/>
        <v>19</v>
      </c>
      <c r="AN900" s="25"/>
      <c r="AO900" s="10" t="str">
        <f t="shared" si="569"/>
        <v>MarçoSEMANA 4Torta Bem Casado de Chocolate c/ Avelã</v>
      </c>
      <c r="AP900" s="7">
        <f>SUMIF(NF!$A:$A,$AO900,NF!$I:$I)</f>
        <v>12</v>
      </c>
      <c r="AQ900" s="6">
        <v>1</v>
      </c>
      <c r="AR900" s="6"/>
      <c r="AS900" s="6"/>
      <c r="AT900" s="6"/>
      <c r="AU900" s="6">
        <v>13</v>
      </c>
      <c r="AV900" s="6">
        <v>3</v>
      </c>
      <c r="AW900" s="6">
        <v>4</v>
      </c>
      <c r="AX900" s="7">
        <f t="shared" si="570"/>
        <v>21</v>
      </c>
      <c r="AY900" s="11">
        <f t="shared" si="571"/>
        <v>10</v>
      </c>
      <c r="AZ900" s="25"/>
      <c r="BA900" s="10" t="str">
        <f t="shared" si="572"/>
        <v>MarçoSEMANA 5Torta Bem Casado de Chocolate c/ Avelã</v>
      </c>
      <c r="BB900" s="7">
        <f>SUMIF(NF!$A:$A,$BA900,NF!$I:$I)</f>
        <v>12</v>
      </c>
      <c r="BC900" s="6"/>
      <c r="BD900" s="6">
        <v>1</v>
      </c>
      <c r="BE900" s="6">
        <v>2</v>
      </c>
      <c r="BF900" s="6">
        <v>1</v>
      </c>
      <c r="BG900" s="6"/>
      <c r="BH900" s="6">
        <v>1</v>
      </c>
      <c r="BI900" s="74"/>
      <c r="BJ900" s="74"/>
      <c r="BK900" s="7">
        <f t="shared" si="573"/>
        <v>5</v>
      </c>
      <c r="BL900" s="8">
        <f t="shared" si="574"/>
        <v>17</v>
      </c>
      <c r="BM900" s="51" t="str">
        <f>IFERROR(VLOOKUP(A900,NF!$M:$O,3,0),"")</f>
        <v>Sobremesa</v>
      </c>
      <c r="BN900" s="7">
        <f t="shared" si="575"/>
        <v>63</v>
      </c>
      <c r="BO900" s="8">
        <f t="array" ref="BO900">IFERROR(LARGE(IF(NF!$G$2:$G$3137='Mês atual'!A900,NF!$J$2:$J$3137),1),0)*BN900</f>
        <v>373.48500000000001</v>
      </c>
      <c r="BP900" s="50"/>
      <c r="BR900" s="146">
        <f t="array" ref="BR900">IFERROR(LARGE(IF(NF!$G$2:$G$3137='Mês atual'!A900,NF!$J$2:$J$3137),1),0)</f>
        <v>5.9283333333333337</v>
      </c>
      <c r="BS900" s="142" t="str">
        <f>VLOOKUP(A900,NF!M:O,3,0)</f>
        <v>Sobremesa</v>
      </c>
      <c r="BV900" s="74">
        <f t="shared" si="549"/>
        <v>7</v>
      </c>
      <c r="BW900" s="74">
        <f t="shared" si="550"/>
        <v>6</v>
      </c>
      <c r="BX900" s="74">
        <f t="shared" si="551"/>
        <v>24</v>
      </c>
      <c r="BY900" s="74">
        <f t="shared" si="552"/>
        <v>21</v>
      </c>
      <c r="BZ900" s="74">
        <f t="shared" si="553"/>
        <v>5</v>
      </c>
    </row>
    <row r="901" spans="1:78" x14ac:dyDescent="0.2">
      <c r="A901" s="108" t="s">
        <v>807</v>
      </c>
      <c r="B901" s="12"/>
      <c r="C901" s="9">
        <v>8</v>
      </c>
      <c r="D901" s="25"/>
      <c r="E901" s="10" t="str">
        <f t="shared" si="560"/>
        <v>MarçoSEMANA 1Torta Bem Casado de Damasco</v>
      </c>
      <c r="F901" s="7">
        <f>SUMIF(NF!$A:$A,$E901,NF!$I:$I)</f>
        <v>24</v>
      </c>
      <c r="G901" s="74"/>
      <c r="H901" s="74"/>
      <c r="I901" s="74"/>
      <c r="J901" s="6">
        <v>1</v>
      </c>
      <c r="K901" s="6">
        <v>1</v>
      </c>
      <c r="L901" s="6">
        <v>5</v>
      </c>
      <c r="M901" s="6">
        <v>1</v>
      </c>
      <c r="N901" s="7">
        <f t="shared" si="561"/>
        <v>8</v>
      </c>
      <c r="O901" s="11">
        <f t="shared" si="562"/>
        <v>24</v>
      </c>
      <c r="P901" s="25"/>
      <c r="Q901" s="10" t="str">
        <f t="shared" si="563"/>
        <v>MarçoSEMANA 2Torta Bem Casado de Damasco</v>
      </c>
      <c r="R901" s="7">
        <f>SUMIF(NF!$A:$A,$Q901,NF!$I:$I)</f>
        <v>12</v>
      </c>
      <c r="S901" s="6">
        <v>2</v>
      </c>
      <c r="T901" s="6"/>
      <c r="U901" s="6">
        <v>1</v>
      </c>
      <c r="V901" s="6">
        <v>4</v>
      </c>
      <c r="W901" s="6">
        <v>3</v>
      </c>
      <c r="X901" s="6">
        <v>16</v>
      </c>
      <c r="Y901" s="6">
        <v>8</v>
      </c>
      <c r="Z901" s="7">
        <f t="shared" si="564"/>
        <v>34</v>
      </c>
      <c r="AA901" s="11">
        <f t="shared" si="565"/>
        <v>2</v>
      </c>
      <c r="AB901" s="25"/>
      <c r="AC901" s="10" t="str">
        <f t="shared" si="566"/>
        <v>MarçoSEMANA 3Torta Bem Casado de Damasco</v>
      </c>
      <c r="AD901" s="7">
        <f>SUMIF(NF!$A:$A,$AC901,NF!$I:$I)</f>
        <v>36</v>
      </c>
      <c r="AE901" s="6">
        <v>2</v>
      </c>
      <c r="AF901" s="6"/>
      <c r="AG901" s="6">
        <v>1</v>
      </c>
      <c r="AH901" s="6">
        <v>2</v>
      </c>
      <c r="AI901" s="6">
        <v>2</v>
      </c>
      <c r="AJ901" s="6">
        <v>18</v>
      </c>
      <c r="AK901" s="6"/>
      <c r="AL901" s="7">
        <f t="shared" si="567"/>
        <v>25</v>
      </c>
      <c r="AM901" s="11">
        <f t="shared" si="568"/>
        <v>13</v>
      </c>
      <c r="AN901" s="25"/>
      <c r="AO901" s="10" t="str">
        <f t="shared" si="569"/>
        <v>MarçoSEMANA 4Torta Bem Casado de Damasco</v>
      </c>
      <c r="AP901" s="7">
        <f>SUMIF(NF!$A:$A,$AO901,NF!$I:$I)</f>
        <v>24</v>
      </c>
      <c r="AQ901" s="6">
        <v>3</v>
      </c>
      <c r="AR901" s="6">
        <v>1</v>
      </c>
      <c r="AS901" s="6">
        <v>1</v>
      </c>
      <c r="AT901" s="6">
        <v>1</v>
      </c>
      <c r="AU901" s="6">
        <v>3</v>
      </c>
      <c r="AV901" s="6">
        <v>3</v>
      </c>
      <c r="AW901" s="6">
        <v>3</v>
      </c>
      <c r="AX901" s="7">
        <f t="shared" si="570"/>
        <v>15</v>
      </c>
      <c r="AY901" s="11">
        <f t="shared" si="571"/>
        <v>22</v>
      </c>
      <c r="AZ901" s="25"/>
      <c r="BA901" s="10" t="str">
        <f t="shared" si="572"/>
        <v>MarçoSEMANA 5Torta Bem Casado de Damasco</v>
      </c>
      <c r="BB901" s="7">
        <f>SUMIF(NF!$A:$A,$BA901,NF!$I:$I)</f>
        <v>12</v>
      </c>
      <c r="BC901" s="6">
        <v>3</v>
      </c>
      <c r="BD901" s="6">
        <v>4</v>
      </c>
      <c r="BE901" s="6">
        <v>1</v>
      </c>
      <c r="BF901" s="6">
        <v>12</v>
      </c>
      <c r="BG901" s="6">
        <v>1</v>
      </c>
      <c r="BH901" s="6">
        <v>3</v>
      </c>
      <c r="BI901" s="74"/>
      <c r="BJ901" s="74"/>
      <c r="BK901" s="7">
        <f t="shared" si="573"/>
        <v>24</v>
      </c>
      <c r="BL901" s="8">
        <f t="shared" si="574"/>
        <v>10</v>
      </c>
      <c r="BM901" s="51" t="str">
        <f>IFERROR(VLOOKUP(A901,NF!$M:$O,3,0),"")</f>
        <v>Sobremesa</v>
      </c>
      <c r="BN901" s="7">
        <f t="shared" si="575"/>
        <v>106</v>
      </c>
      <c r="BO901" s="8">
        <f t="array" ref="BO901">IFERROR(LARGE(IF(NF!$G$2:$G$3137='Mês atual'!A901,NF!$J$2:$J$3137),1),0)*BN901</f>
        <v>628.62416666666672</v>
      </c>
      <c r="BP901" s="50"/>
      <c r="BR901" s="146">
        <f t="array" ref="BR901">IFERROR(LARGE(IF(NF!$G$2:$G$3137='Mês atual'!A901,NF!$J$2:$J$3137),1),0)</f>
        <v>5.9304166666666669</v>
      </c>
      <c r="BS901" s="142" t="str">
        <f>VLOOKUP(A901,NF!M:O,3,0)</f>
        <v>Sobremesa</v>
      </c>
      <c r="BV901" s="74">
        <f t="shared" si="549"/>
        <v>8</v>
      </c>
      <c r="BW901" s="74">
        <f t="shared" si="550"/>
        <v>34</v>
      </c>
      <c r="BX901" s="74">
        <f t="shared" si="551"/>
        <v>25</v>
      </c>
      <c r="BY901" s="74">
        <f t="shared" si="552"/>
        <v>15</v>
      </c>
      <c r="BZ901" s="74">
        <f t="shared" si="553"/>
        <v>24</v>
      </c>
    </row>
    <row r="902" spans="1:78" x14ac:dyDescent="0.2">
      <c r="A902" s="108" t="s">
        <v>808</v>
      </c>
      <c r="B902" s="12"/>
      <c r="C902" s="9">
        <v>11</v>
      </c>
      <c r="D902" s="25"/>
      <c r="E902" s="10" t="str">
        <f t="shared" si="560"/>
        <v>MarçoSEMANA 1Torta Bem Casado de Doce de Leite</v>
      </c>
      <c r="F902" s="7">
        <f>SUMIF(NF!$A:$A,$E902,NF!$I:$I)</f>
        <v>12</v>
      </c>
      <c r="G902" s="74"/>
      <c r="H902" s="74"/>
      <c r="I902" s="74"/>
      <c r="J902" s="6"/>
      <c r="K902" s="6">
        <v>2</v>
      </c>
      <c r="L902" s="6">
        <v>2</v>
      </c>
      <c r="M902" s="6">
        <v>2</v>
      </c>
      <c r="N902" s="7">
        <f t="shared" si="561"/>
        <v>6</v>
      </c>
      <c r="O902" s="11">
        <f t="shared" si="562"/>
        <v>17</v>
      </c>
      <c r="P902" s="25"/>
      <c r="Q902" s="10" t="str">
        <f t="shared" si="563"/>
        <v>MarçoSEMANA 2Torta Bem Casado de Doce de Leite</v>
      </c>
      <c r="R902" s="7">
        <f>SUMIF(NF!$A:$A,$Q902,NF!$I:$I)</f>
        <v>0</v>
      </c>
      <c r="S902" s="6">
        <v>1</v>
      </c>
      <c r="T902" s="6">
        <v>1</v>
      </c>
      <c r="U902" s="6">
        <v>1</v>
      </c>
      <c r="V902" s="6"/>
      <c r="W902" s="6">
        <v>1</v>
      </c>
      <c r="X902" s="6"/>
      <c r="Y902" s="6">
        <v>2</v>
      </c>
      <c r="Z902" s="7">
        <f t="shared" si="564"/>
        <v>6</v>
      </c>
      <c r="AA902" s="11">
        <f t="shared" si="565"/>
        <v>11</v>
      </c>
      <c r="AB902" s="25"/>
      <c r="AC902" s="10" t="str">
        <f t="shared" si="566"/>
        <v>MarçoSEMANA 3Torta Bem Casado de Doce de Leite</v>
      </c>
      <c r="AD902" s="7">
        <f>SUMIF(NF!$A:$A,$AC902,NF!$I:$I)</f>
        <v>12</v>
      </c>
      <c r="AE902" s="6">
        <v>1</v>
      </c>
      <c r="AF902" s="6"/>
      <c r="AG902" s="6"/>
      <c r="AH902" s="6"/>
      <c r="AI902" s="6"/>
      <c r="AJ902" s="6">
        <v>4</v>
      </c>
      <c r="AK902" s="6">
        <v>1</v>
      </c>
      <c r="AL902" s="7">
        <f t="shared" si="567"/>
        <v>6</v>
      </c>
      <c r="AM902" s="11">
        <f t="shared" si="568"/>
        <v>17</v>
      </c>
      <c r="AN902" s="25"/>
      <c r="AO902" s="10" t="str">
        <f t="shared" si="569"/>
        <v>MarçoSEMANA 4Torta Bem Casado de Doce de Leite</v>
      </c>
      <c r="AP902" s="7">
        <f>SUMIF(NF!$A:$A,$AO902,NF!$I:$I)</f>
        <v>12</v>
      </c>
      <c r="AQ902" s="6"/>
      <c r="AR902" s="6"/>
      <c r="AS902" s="6">
        <v>2</v>
      </c>
      <c r="AT902" s="6"/>
      <c r="AU902" s="6">
        <v>1</v>
      </c>
      <c r="AV902" s="6">
        <v>3</v>
      </c>
      <c r="AW902" s="6">
        <v>5</v>
      </c>
      <c r="AX902" s="7">
        <f t="shared" si="570"/>
        <v>11</v>
      </c>
      <c r="AY902" s="11">
        <f t="shared" si="571"/>
        <v>18</v>
      </c>
      <c r="AZ902" s="25"/>
      <c r="BA902" s="10" t="str">
        <f t="shared" si="572"/>
        <v>MarçoSEMANA 5Torta Bem Casado de Doce de Leite</v>
      </c>
      <c r="BB902" s="7">
        <f>SUMIF(NF!$A:$A,$BA902,NF!$I:$I)</f>
        <v>12</v>
      </c>
      <c r="BC902" s="6"/>
      <c r="BD902" s="6">
        <v>2</v>
      </c>
      <c r="BE902" s="6">
        <v>1</v>
      </c>
      <c r="BF902" s="6"/>
      <c r="BG902" s="6">
        <v>7</v>
      </c>
      <c r="BH902" s="6">
        <v>2</v>
      </c>
      <c r="BI902" s="74"/>
      <c r="BJ902" s="74"/>
      <c r="BK902" s="7">
        <f t="shared" si="573"/>
        <v>12</v>
      </c>
      <c r="BL902" s="8">
        <f t="shared" si="574"/>
        <v>18</v>
      </c>
      <c r="BM902" s="51" t="str">
        <f>IFERROR(VLOOKUP(A902,NF!$M:$O,3,0),"")</f>
        <v>Sobremesa</v>
      </c>
      <c r="BN902" s="7">
        <f t="shared" si="575"/>
        <v>41</v>
      </c>
      <c r="BO902" s="8">
        <f t="array" ref="BO902">IFERROR(LARGE(IF(NF!$G$2:$G$3137='Mês atual'!A902,NF!$J$2:$J$3137),1),0)*BN902</f>
        <v>243.06166666666667</v>
      </c>
      <c r="BP902" s="50"/>
      <c r="BR902" s="146">
        <f t="array" ref="BR902">IFERROR(LARGE(IF(NF!$G$2:$G$3137='Mês atual'!A902,NF!$J$2:$J$3137),1),0)</f>
        <v>5.9283333333333337</v>
      </c>
      <c r="BS902" s="142" t="str">
        <f>VLOOKUP(A902,NF!M:O,3,0)</f>
        <v>Sobremesa</v>
      </c>
      <c r="BV902" s="74">
        <f t="shared" si="549"/>
        <v>6</v>
      </c>
      <c r="BW902" s="74">
        <f t="shared" si="550"/>
        <v>6</v>
      </c>
      <c r="BX902" s="74">
        <f t="shared" si="551"/>
        <v>6</v>
      </c>
      <c r="BY902" s="74">
        <f t="shared" si="552"/>
        <v>11</v>
      </c>
      <c r="BZ902" s="74">
        <f t="shared" si="553"/>
        <v>12</v>
      </c>
    </row>
    <row r="903" spans="1:78" x14ac:dyDescent="0.2">
      <c r="A903" s="108" t="s">
        <v>809</v>
      </c>
      <c r="B903" s="12"/>
      <c r="C903" s="9">
        <v>0</v>
      </c>
      <c r="D903" s="25"/>
      <c r="E903" s="10" t="str">
        <f t="shared" si="560"/>
        <v>MarçoSEMANA 1Torta Bem Casado Imperial</v>
      </c>
      <c r="F903" s="7">
        <f>SUMIF(NF!$A:$A,$E903,NF!$I:$I)</f>
        <v>0</v>
      </c>
      <c r="G903" s="74"/>
      <c r="H903" s="74"/>
      <c r="I903" s="74"/>
      <c r="J903" s="6"/>
      <c r="K903" s="6"/>
      <c r="L903" s="6"/>
      <c r="M903" s="6"/>
      <c r="N903" s="7">
        <f t="shared" si="561"/>
        <v>0</v>
      </c>
      <c r="O903" s="11">
        <f t="shared" si="562"/>
        <v>0</v>
      </c>
      <c r="P903" s="25"/>
      <c r="Q903" s="10" t="str">
        <f t="shared" si="563"/>
        <v>MarçoSEMANA 2Torta Bem Casado Imperial</v>
      </c>
      <c r="R903" s="7">
        <f>SUMIF(NF!$A:$A,$Q903,NF!$I:$I)</f>
        <v>0</v>
      </c>
      <c r="S903" s="6"/>
      <c r="T903" s="6"/>
      <c r="U903" s="6"/>
      <c r="V903" s="6"/>
      <c r="W903" s="6"/>
      <c r="X903" s="6"/>
      <c r="Y903" s="6"/>
      <c r="Z903" s="7">
        <f t="shared" si="564"/>
        <v>0</v>
      </c>
      <c r="AA903" s="11">
        <f t="shared" si="565"/>
        <v>0</v>
      </c>
      <c r="AB903" s="25"/>
      <c r="AC903" s="10" t="str">
        <f t="shared" si="566"/>
        <v>MarçoSEMANA 3Torta Bem Casado Imperial</v>
      </c>
      <c r="AD903" s="7">
        <f>SUMIF(NF!$A:$A,$AC903,NF!$I:$I)</f>
        <v>0</v>
      </c>
      <c r="AE903" s="6"/>
      <c r="AF903" s="6"/>
      <c r="AG903" s="6"/>
      <c r="AH903" s="6"/>
      <c r="AI903" s="6"/>
      <c r="AJ903" s="6"/>
      <c r="AK903" s="6"/>
      <c r="AL903" s="7">
        <f t="shared" si="567"/>
        <v>0</v>
      </c>
      <c r="AM903" s="11">
        <f t="shared" si="568"/>
        <v>0</v>
      </c>
      <c r="AN903" s="25"/>
      <c r="AO903" s="10" t="str">
        <f t="shared" si="569"/>
        <v>MarçoSEMANA 4Torta Bem Casado Imperial</v>
      </c>
      <c r="AP903" s="7">
        <f>SUMIF(NF!$A:$A,$AO903,NF!$I:$I)</f>
        <v>0</v>
      </c>
      <c r="AQ903" s="6"/>
      <c r="AR903" s="6"/>
      <c r="AS903" s="6"/>
      <c r="AT903" s="6"/>
      <c r="AU903" s="6"/>
      <c r="AV903" s="6"/>
      <c r="AW903" s="6"/>
      <c r="AX903" s="7">
        <f t="shared" si="570"/>
        <v>0</v>
      </c>
      <c r="AY903" s="11">
        <f t="shared" si="571"/>
        <v>0</v>
      </c>
      <c r="AZ903" s="25"/>
      <c r="BA903" s="10" t="str">
        <f t="shared" si="572"/>
        <v>MarçoSEMANA 5Torta Bem Casado Imperial</v>
      </c>
      <c r="BB903" s="7">
        <f>SUMIF(NF!$A:$A,$BA903,NF!$I:$I)</f>
        <v>0</v>
      </c>
      <c r="BC903" s="6"/>
      <c r="BD903" s="6"/>
      <c r="BE903" s="6"/>
      <c r="BF903" s="6"/>
      <c r="BG903" s="6"/>
      <c r="BH903" s="6"/>
      <c r="BI903" s="74"/>
      <c r="BJ903" s="74"/>
      <c r="BK903" s="7">
        <f t="shared" si="573"/>
        <v>0</v>
      </c>
      <c r="BL903" s="8">
        <f t="shared" si="574"/>
        <v>0</v>
      </c>
      <c r="BM903" s="51" t="str">
        <f>IFERROR(VLOOKUP(A903,NF!$M:$O,3,0),"")</f>
        <v>Sobremesa</v>
      </c>
      <c r="BN903" s="7">
        <f t="shared" si="575"/>
        <v>0</v>
      </c>
      <c r="BO903" s="8">
        <f t="array" ref="BO903">IFERROR(LARGE(IF(NF!$G$2:$G$3137='Mês atual'!A903,NF!$J$2:$J$3137),1),0)*BN903</f>
        <v>0</v>
      </c>
      <c r="BP903" s="50"/>
      <c r="BR903" s="146">
        <f t="array" ref="BR903">IFERROR(LARGE(IF(NF!$G$2:$G$3137='Mês atual'!A903,NF!$J$2:$J$3137),1),0)</f>
        <v>0</v>
      </c>
      <c r="BS903" s="142" t="str">
        <f>VLOOKUP(A903,NF!M:O,3,0)</f>
        <v>Sobremesa</v>
      </c>
      <c r="BV903" s="74">
        <f t="shared" si="549"/>
        <v>0</v>
      </c>
      <c r="BW903" s="74">
        <f t="shared" si="550"/>
        <v>0</v>
      </c>
      <c r="BX903" s="74">
        <f t="shared" si="551"/>
        <v>0</v>
      </c>
      <c r="BY903" s="74">
        <f t="shared" si="552"/>
        <v>0</v>
      </c>
      <c r="BZ903" s="74">
        <f t="shared" si="553"/>
        <v>0</v>
      </c>
    </row>
    <row r="904" spans="1:78" x14ac:dyDescent="0.2">
      <c r="A904" s="108" t="s">
        <v>810</v>
      </c>
      <c r="B904" s="12"/>
      <c r="C904" s="9">
        <v>8</v>
      </c>
      <c r="D904" s="25"/>
      <c r="E904" s="10" t="str">
        <f t="shared" si="560"/>
        <v>MarçoSEMANA 1Torta Brownie com Nozes</v>
      </c>
      <c r="F904" s="7">
        <f>SUMIF(NF!$A:$A,$E904,NF!$I:$I)</f>
        <v>0</v>
      </c>
      <c r="G904" s="74"/>
      <c r="H904" s="74"/>
      <c r="I904" s="74"/>
      <c r="J904" s="6"/>
      <c r="K904" s="6">
        <v>1</v>
      </c>
      <c r="L904" s="6">
        <v>2</v>
      </c>
      <c r="M904" s="6">
        <v>1</v>
      </c>
      <c r="N904" s="7">
        <f t="shared" si="561"/>
        <v>4</v>
      </c>
      <c r="O904" s="11">
        <f t="shared" si="562"/>
        <v>4</v>
      </c>
      <c r="P904" s="25"/>
      <c r="Q904" s="10" t="str">
        <f t="shared" si="563"/>
        <v>MarçoSEMANA 2Torta Brownie com Nozes</v>
      </c>
      <c r="R904" s="7">
        <f>SUMIF(NF!$A:$A,$Q904,NF!$I:$I)</f>
        <v>0</v>
      </c>
      <c r="S904" s="6"/>
      <c r="T904" s="6"/>
      <c r="U904" s="6"/>
      <c r="V904" s="6"/>
      <c r="W904" s="6">
        <v>1</v>
      </c>
      <c r="X904" s="6">
        <v>2</v>
      </c>
      <c r="Y904" s="6">
        <v>1</v>
      </c>
      <c r="Z904" s="7">
        <f t="shared" si="564"/>
        <v>4</v>
      </c>
      <c r="AA904" s="11">
        <f t="shared" si="565"/>
        <v>0</v>
      </c>
      <c r="AB904" s="25"/>
      <c r="AC904" s="10" t="str">
        <f t="shared" si="566"/>
        <v>MarçoSEMANA 3Torta Brownie com Nozes</v>
      </c>
      <c r="AD904" s="7">
        <f>SUMIF(NF!$A:$A,$AC904,NF!$I:$I)</f>
        <v>8</v>
      </c>
      <c r="AE904" s="6"/>
      <c r="AF904" s="6"/>
      <c r="AG904" s="6">
        <v>1</v>
      </c>
      <c r="AH904" s="6"/>
      <c r="AI904" s="6">
        <v>1</v>
      </c>
      <c r="AJ904" s="6">
        <v>1</v>
      </c>
      <c r="AK904" s="6">
        <v>3</v>
      </c>
      <c r="AL904" s="7">
        <f t="shared" si="567"/>
        <v>6</v>
      </c>
      <c r="AM904" s="11">
        <f t="shared" si="568"/>
        <v>2</v>
      </c>
      <c r="AN904" s="25"/>
      <c r="AO904" s="10" t="str">
        <f t="shared" si="569"/>
        <v>MarçoSEMANA 4Torta Brownie com Nozes</v>
      </c>
      <c r="AP904" s="7">
        <f>SUMIF(NF!$A:$A,$AO904,NF!$I:$I)</f>
        <v>8</v>
      </c>
      <c r="AQ904" s="6"/>
      <c r="AR904" s="6"/>
      <c r="AS904" s="6">
        <v>1</v>
      </c>
      <c r="AT904" s="6"/>
      <c r="AU904" s="6"/>
      <c r="AV904" s="6">
        <v>1</v>
      </c>
      <c r="AW904" s="6">
        <v>1</v>
      </c>
      <c r="AX904" s="7">
        <f t="shared" si="570"/>
        <v>3</v>
      </c>
      <c r="AY904" s="11">
        <f t="shared" si="571"/>
        <v>7</v>
      </c>
      <c r="AZ904" s="25"/>
      <c r="BA904" s="10" t="str">
        <f t="shared" si="572"/>
        <v>MarçoSEMANA 5Torta Brownie com Nozes</v>
      </c>
      <c r="BB904" s="7">
        <f>SUMIF(NF!$A:$A,$BA904,NF!$I:$I)</f>
        <v>0</v>
      </c>
      <c r="BC904" s="6"/>
      <c r="BD904" s="6">
        <v>1</v>
      </c>
      <c r="BE904" s="6"/>
      <c r="BF904" s="6"/>
      <c r="BG904" s="6">
        <v>2</v>
      </c>
      <c r="BH904" s="6">
        <v>1</v>
      </c>
      <c r="BI904" s="74"/>
      <c r="BJ904" s="74"/>
      <c r="BK904" s="7">
        <f t="shared" si="573"/>
        <v>4</v>
      </c>
      <c r="BL904" s="8">
        <f t="shared" si="574"/>
        <v>3</v>
      </c>
      <c r="BM904" s="51" t="str">
        <f>IFERROR(VLOOKUP(A904,NF!$M:$O,3,0),"")</f>
        <v>Sobremesa</v>
      </c>
      <c r="BN904" s="7">
        <f t="shared" si="575"/>
        <v>21</v>
      </c>
      <c r="BO904" s="8">
        <f t="array" ref="BO904">IFERROR(LARGE(IF(NF!$G$2:$G$3137='Mês atual'!A904,NF!$J$2:$J$3137),1),0)*BN904</f>
        <v>130.98749999999998</v>
      </c>
      <c r="BP904" s="50"/>
      <c r="BR904" s="146">
        <f t="array" ref="BR904">IFERROR(LARGE(IF(NF!$G$2:$G$3137='Mês atual'!A904,NF!$J$2:$J$3137),1),0)</f>
        <v>6.2374999999999998</v>
      </c>
      <c r="BS904" s="142" t="str">
        <f>VLOOKUP(A904,NF!M:O,3,0)</f>
        <v>Sobremesa</v>
      </c>
      <c r="BV904" s="74">
        <f t="shared" si="549"/>
        <v>4</v>
      </c>
      <c r="BW904" s="74">
        <f t="shared" si="550"/>
        <v>4</v>
      </c>
      <c r="BX904" s="74">
        <f t="shared" si="551"/>
        <v>6</v>
      </c>
      <c r="BY904" s="74">
        <f t="shared" si="552"/>
        <v>3</v>
      </c>
      <c r="BZ904" s="74">
        <f t="shared" si="553"/>
        <v>4</v>
      </c>
    </row>
    <row r="905" spans="1:78" x14ac:dyDescent="0.2">
      <c r="A905" s="108" t="s">
        <v>811</v>
      </c>
      <c r="B905" s="12"/>
      <c r="C905" s="9">
        <v>11</v>
      </c>
      <c r="D905" s="25"/>
      <c r="E905" s="10" t="str">
        <f t="shared" si="560"/>
        <v>MarçoSEMANA 1Torta Capuccino Diet</v>
      </c>
      <c r="F905" s="7">
        <f>SUMIF(NF!$A:$A,$E905,NF!$I:$I)</f>
        <v>0</v>
      </c>
      <c r="G905" s="74"/>
      <c r="H905" s="74"/>
      <c r="I905" s="74"/>
      <c r="J905" s="6">
        <v>1</v>
      </c>
      <c r="K905" s="6">
        <v>2</v>
      </c>
      <c r="L905" s="6">
        <v>1</v>
      </c>
      <c r="M905" s="6">
        <v>2</v>
      </c>
      <c r="N905" s="7">
        <f t="shared" si="561"/>
        <v>6</v>
      </c>
      <c r="O905" s="11">
        <f t="shared" si="562"/>
        <v>5</v>
      </c>
      <c r="P905" s="25"/>
      <c r="Q905" s="10" t="str">
        <f t="shared" si="563"/>
        <v>MarçoSEMANA 2Torta Capuccino Diet</v>
      </c>
      <c r="R905" s="7">
        <f>SUMIF(NF!$A:$A,$Q905,NF!$I:$I)</f>
        <v>10</v>
      </c>
      <c r="S905" s="6">
        <v>1</v>
      </c>
      <c r="T905" s="6">
        <v>1</v>
      </c>
      <c r="U905" s="6">
        <v>3</v>
      </c>
      <c r="V905" s="6"/>
      <c r="W905" s="6"/>
      <c r="X905" s="6"/>
      <c r="Y905" s="6">
        <v>3</v>
      </c>
      <c r="Z905" s="7">
        <f t="shared" si="564"/>
        <v>8</v>
      </c>
      <c r="AA905" s="11">
        <f t="shared" si="565"/>
        <v>7</v>
      </c>
      <c r="AB905" s="25"/>
      <c r="AC905" s="10" t="str">
        <f t="shared" si="566"/>
        <v>MarçoSEMANA 3Torta Capuccino Diet</v>
      </c>
      <c r="AD905" s="7">
        <f>SUMIF(NF!$A:$A,$AC905,NF!$I:$I)</f>
        <v>0</v>
      </c>
      <c r="AE905" s="6"/>
      <c r="AF905" s="6">
        <v>1</v>
      </c>
      <c r="AG905" s="6"/>
      <c r="AH905" s="6"/>
      <c r="AI905" s="6"/>
      <c r="AJ905" s="6">
        <v>1</v>
      </c>
      <c r="AK905" s="6">
        <v>1</v>
      </c>
      <c r="AL905" s="7">
        <f t="shared" si="567"/>
        <v>3</v>
      </c>
      <c r="AM905" s="11">
        <f t="shared" si="568"/>
        <v>4</v>
      </c>
      <c r="AN905" s="25"/>
      <c r="AO905" s="10" t="str">
        <f t="shared" si="569"/>
        <v>MarçoSEMANA 4Torta Capuccino Diet</v>
      </c>
      <c r="AP905" s="7">
        <f>SUMIF(NF!$A:$A,$AO905,NF!$I:$I)</f>
        <v>10</v>
      </c>
      <c r="AQ905" s="6"/>
      <c r="AR905" s="6">
        <v>1</v>
      </c>
      <c r="AS905" s="6">
        <v>1</v>
      </c>
      <c r="AT905" s="6">
        <v>1</v>
      </c>
      <c r="AU905" s="6">
        <v>1</v>
      </c>
      <c r="AV905" s="6">
        <v>1</v>
      </c>
      <c r="AW905" s="6">
        <v>6</v>
      </c>
      <c r="AX905" s="7">
        <f t="shared" si="570"/>
        <v>11</v>
      </c>
      <c r="AY905" s="11">
        <f t="shared" si="571"/>
        <v>3</v>
      </c>
      <c r="AZ905" s="25"/>
      <c r="BA905" s="10" t="str">
        <f t="shared" si="572"/>
        <v>MarçoSEMANA 5Torta Capuccino Diet</v>
      </c>
      <c r="BB905" s="7">
        <f>SUMIF(NF!$A:$A,$BA905,NF!$I:$I)</f>
        <v>10</v>
      </c>
      <c r="BC905" s="6"/>
      <c r="BD905" s="6">
        <v>1</v>
      </c>
      <c r="BE905" s="6"/>
      <c r="BF905" s="6"/>
      <c r="BG905" s="6"/>
      <c r="BH905" s="6"/>
      <c r="BI905" s="74"/>
      <c r="BJ905" s="74"/>
      <c r="BK905" s="7">
        <f t="shared" si="573"/>
        <v>1</v>
      </c>
      <c r="BL905" s="8">
        <f t="shared" si="574"/>
        <v>12</v>
      </c>
      <c r="BM905" s="51" t="str">
        <f>IFERROR(VLOOKUP(A905,NF!$M:$O,3,0),"")</f>
        <v>Sobremesa</v>
      </c>
      <c r="BN905" s="7">
        <f t="shared" si="575"/>
        <v>29</v>
      </c>
      <c r="BO905" s="8">
        <f t="array" ref="BO905">IFERROR(LARGE(IF(NF!$G$2:$G$3137='Mês atual'!A905,NF!$J$2:$J$3137),1),0)*BN905</f>
        <v>170.839</v>
      </c>
      <c r="BP905" s="50"/>
      <c r="BR905" s="146">
        <f t="array" ref="BR905">IFERROR(LARGE(IF(NF!$G$2:$G$3137='Mês atual'!A905,NF!$J$2:$J$3137),1),0)</f>
        <v>5.891</v>
      </c>
      <c r="BS905" s="142" t="str">
        <f>VLOOKUP(A905,NF!M:O,3,0)</f>
        <v>Sobremesa</v>
      </c>
      <c r="BV905" s="74">
        <f t="shared" si="549"/>
        <v>6</v>
      </c>
      <c r="BW905" s="74">
        <f t="shared" si="550"/>
        <v>8</v>
      </c>
      <c r="BX905" s="74">
        <f t="shared" si="551"/>
        <v>3</v>
      </c>
      <c r="BY905" s="74">
        <f t="shared" si="552"/>
        <v>11</v>
      </c>
      <c r="BZ905" s="74">
        <f t="shared" si="553"/>
        <v>1</v>
      </c>
    </row>
    <row r="906" spans="1:78" x14ac:dyDescent="0.2">
      <c r="A906" s="108" t="s">
        <v>812</v>
      </c>
      <c r="B906" s="12"/>
      <c r="C906" s="9">
        <v>12</v>
      </c>
      <c r="D906" s="25"/>
      <c r="E906" s="10" t="str">
        <f t="shared" si="560"/>
        <v>MarçoSEMANA 1Torta de Brigadeiro c/ Raspas</v>
      </c>
      <c r="F906" s="7">
        <f>SUMIF(NF!$A:$A,$E906,NF!$I:$I)</f>
        <v>0</v>
      </c>
      <c r="G906" s="74"/>
      <c r="H906" s="74"/>
      <c r="I906" s="74"/>
      <c r="J906" s="6">
        <v>2</v>
      </c>
      <c r="K906" s="6">
        <v>3</v>
      </c>
      <c r="L906" s="6"/>
      <c r="M906" s="6">
        <v>1</v>
      </c>
      <c r="N906" s="7">
        <f t="shared" si="561"/>
        <v>6</v>
      </c>
      <c r="O906" s="11">
        <f t="shared" si="562"/>
        <v>6</v>
      </c>
      <c r="P906" s="25"/>
      <c r="Q906" s="10" t="str">
        <f t="shared" si="563"/>
        <v>MarçoSEMANA 2Torta de Brigadeiro c/ Raspas</v>
      </c>
      <c r="R906" s="7">
        <f>SUMIF(NF!$A:$A,$Q906,NF!$I:$I)</f>
        <v>12</v>
      </c>
      <c r="S906" s="6">
        <v>2</v>
      </c>
      <c r="T906" s="6">
        <v>4</v>
      </c>
      <c r="U906" s="6"/>
      <c r="V906" s="6"/>
      <c r="W906" s="6">
        <v>4</v>
      </c>
      <c r="X906" s="6">
        <v>5</v>
      </c>
      <c r="Y906" s="6">
        <v>3</v>
      </c>
      <c r="Z906" s="7">
        <f t="shared" si="564"/>
        <v>18</v>
      </c>
      <c r="AA906" s="11">
        <f t="shared" si="565"/>
        <v>0</v>
      </c>
      <c r="AB906" s="25"/>
      <c r="AC906" s="10" t="str">
        <f t="shared" si="566"/>
        <v>MarçoSEMANA 3Torta de Brigadeiro c/ Raspas</v>
      </c>
      <c r="AD906" s="7">
        <f>SUMIF(NF!$A:$A,$AC906,NF!$I:$I)</f>
        <v>12</v>
      </c>
      <c r="AE906" s="6"/>
      <c r="AF906" s="6"/>
      <c r="AG906" s="6"/>
      <c r="AH906" s="6">
        <v>2</v>
      </c>
      <c r="AI906" s="6">
        <v>1</v>
      </c>
      <c r="AJ906" s="6"/>
      <c r="AK906" s="6">
        <v>8</v>
      </c>
      <c r="AL906" s="7">
        <f t="shared" si="567"/>
        <v>11</v>
      </c>
      <c r="AM906" s="11">
        <f t="shared" si="568"/>
        <v>1</v>
      </c>
      <c r="AN906" s="25"/>
      <c r="AO906" s="10" t="str">
        <f t="shared" si="569"/>
        <v>MarçoSEMANA 4Torta de Brigadeiro c/ Raspas</v>
      </c>
      <c r="AP906" s="7">
        <f>SUMIF(NF!$A:$A,$AO906,NF!$I:$I)</f>
        <v>12</v>
      </c>
      <c r="AQ906" s="6">
        <v>1</v>
      </c>
      <c r="AR906" s="6"/>
      <c r="AS906" s="6"/>
      <c r="AT906" s="6"/>
      <c r="AU906" s="6"/>
      <c r="AV906" s="6">
        <v>1</v>
      </c>
      <c r="AW906" s="6"/>
      <c r="AX906" s="7">
        <f t="shared" si="570"/>
        <v>2</v>
      </c>
      <c r="AY906" s="11">
        <f t="shared" si="571"/>
        <v>11</v>
      </c>
      <c r="AZ906" s="25"/>
      <c r="BA906" s="10" t="str">
        <f t="shared" si="572"/>
        <v>MarçoSEMANA 5Torta de Brigadeiro c/ Raspas</v>
      </c>
      <c r="BB906" s="7">
        <f>SUMIF(NF!$A:$A,$BA906,NF!$I:$I)</f>
        <v>0</v>
      </c>
      <c r="BC906" s="6"/>
      <c r="BD906" s="6">
        <v>1</v>
      </c>
      <c r="BE906" s="6"/>
      <c r="BF906" s="6">
        <v>1</v>
      </c>
      <c r="BG906" s="6">
        <v>5</v>
      </c>
      <c r="BH906" s="6">
        <v>1</v>
      </c>
      <c r="BI906" s="74"/>
      <c r="BJ906" s="74"/>
      <c r="BK906" s="7">
        <f t="shared" si="573"/>
        <v>8</v>
      </c>
      <c r="BL906" s="8">
        <f t="shared" si="574"/>
        <v>3</v>
      </c>
      <c r="BM906" s="51" t="str">
        <f>IFERROR(VLOOKUP(A906,NF!$M:$O,3,0),"")</f>
        <v>Sobremesa</v>
      </c>
      <c r="BN906" s="7">
        <f t="shared" si="575"/>
        <v>45</v>
      </c>
      <c r="BO906" s="8">
        <f t="array" ref="BO906">IFERROR(LARGE(IF(NF!$G$2:$G$3137='Mês atual'!A906,NF!$J$2:$J$3137),1),0)*BN906</f>
        <v>259.05</v>
      </c>
      <c r="BP906" s="50"/>
      <c r="BR906" s="146">
        <f t="array" ref="BR906">IFERROR(LARGE(IF(NF!$G$2:$G$3137='Mês atual'!A906,NF!$J$2:$J$3137),1),0)</f>
        <v>5.7566666666666668</v>
      </c>
      <c r="BS906" s="142" t="str">
        <f>VLOOKUP(A906,NF!M:O,3,0)</f>
        <v>Sobremesa</v>
      </c>
      <c r="BV906" s="74">
        <f t="shared" si="549"/>
        <v>6</v>
      </c>
      <c r="BW906" s="74">
        <f t="shared" si="550"/>
        <v>18</v>
      </c>
      <c r="BX906" s="74">
        <f t="shared" si="551"/>
        <v>11</v>
      </c>
      <c r="BY906" s="74">
        <f t="shared" si="552"/>
        <v>2</v>
      </c>
      <c r="BZ906" s="74">
        <f t="shared" si="553"/>
        <v>8</v>
      </c>
    </row>
    <row r="907" spans="1:78" x14ac:dyDescent="0.2">
      <c r="A907" s="108" t="s">
        <v>1002</v>
      </c>
      <c r="B907" s="12"/>
      <c r="C907" s="9">
        <v>6</v>
      </c>
      <c r="D907" s="25"/>
      <c r="E907" s="10" t="str">
        <f t="shared" si="560"/>
        <v>MarçoSEMANA 1Torta de Cenoura c/ Chocolate</v>
      </c>
      <c r="F907" s="7">
        <f>SUMIF(NF!$A:$A,$E907,NF!$I:$I)</f>
        <v>12</v>
      </c>
      <c r="G907" s="74"/>
      <c r="H907" s="74"/>
      <c r="I907" s="74"/>
      <c r="J907" s="6"/>
      <c r="K907" s="6">
        <v>2</v>
      </c>
      <c r="L907" s="6">
        <v>3</v>
      </c>
      <c r="M907" s="6">
        <v>4</v>
      </c>
      <c r="N907" s="7">
        <f>SUM(G907:M907)</f>
        <v>9</v>
      </c>
      <c r="O907" s="11">
        <f>F907+C907-N907</f>
        <v>9</v>
      </c>
      <c r="P907" s="25"/>
      <c r="Q907" s="10" t="str">
        <f t="shared" si="563"/>
        <v>MarçoSEMANA 2Torta de Cenoura c/ Chocolate</v>
      </c>
      <c r="R907" s="7">
        <f>SUMIF(NF!$A:$A,$Q907,NF!$I:$I)</f>
        <v>12</v>
      </c>
      <c r="S907" s="6"/>
      <c r="T907" s="6"/>
      <c r="U907" s="6">
        <v>1</v>
      </c>
      <c r="V907" s="6"/>
      <c r="W907" s="6">
        <v>2</v>
      </c>
      <c r="X907" s="6">
        <v>1</v>
      </c>
      <c r="Y907" s="6">
        <v>3</v>
      </c>
      <c r="Z907" s="7">
        <f>SUM(S907:Y907)</f>
        <v>7</v>
      </c>
      <c r="AA907" s="11">
        <f>R907+O907-Z907</f>
        <v>14</v>
      </c>
      <c r="AB907" s="25"/>
      <c r="AC907" s="10" t="str">
        <f t="shared" si="566"/>
        <v>MarçoSEMANA 3Torta de Cenoura c/ Chocolate</v>
      </c>
      <c r="AD907" s="7">
        <f>SUMIF(NF!$A:$A,$AC907,NF!$I:$I)</f>
        <v>0</v>
      </c>
      <c r="AE907" s="6">
        <v>3</v>
      </c>
      <c r="AF907" s="6"/>
      <c r="AG907" s="6"/>
      <c r="AH907" s="6">
        <v>1</v>
      </c>
      <c r="AI907" s="6">
        <v>1</v>
      </c>
      <c r="AJ907" s="6"/>
      <c r="AK907" s="6">
        <v>5</v>
      </c>
      <c r="AL907" s="7">
        <f>SUM(AE907:AK907)</f>
        <v>10</v>
      </c>
      <c r="AM907" s="11">
        <f>AD907+AA907-AL907</f>
        <v>4</v>
      </c>
      <c r="AN907" s="25"/>
      <c r="AO907" s="10" t="str">
        <f t="shared" si="569"/>
        <v>MarçoSEMANA 4Torta de Cenoura c/ Chocolate</v>
      </c>
      <c r="AP907" s="7">
        <f>SUMIF(NF!$A:$A,$AO907,NF!$I:$I)</f>
        <v>12</v>
      </c>
      <c r="AQ907" s="6">
        <v>1</v>
      </c>
      <c r="AR907" s="6">
        <v>1</v>
      </c>
      <c r="AS907" s="6"/>
      <c r="AT907" s="6"/>
      <c r="AU907" s="6"/>
      <c r="AV907" s="6"/>
      <c r="AW907" s="6">
        <v>2</v>
      </c>
      <c r="AX907" s="7">
        <f>SUM(AQ907:AW907)</f>
        <v>4</v>
      </c>
      <c r="AY907" s="11">
        <f>AP907+AM907-AX907</f>
        <v>12</v>
      </c>
      <c r="AZ907" s="25"/>
      <c r="BA907" s="10" t="str">
        <f t="shared" si="572"/>
        <v>MarçoSEMANA 5Torta de Cenoura c/ Chocolate</v>
      </c>
      <c r="BB907" s="7">
        <f>SUMIF(NF!$A:$A,$BA907,NF!$I:$I)</f>
        <v>0</v>
      </c>
      <c r="BC907" s="6">
        <v>1</v>
      </c>
      <c r="BD907" s="6"/>
      <c r="BE907" s="6"/>
      <c r="BF907" s="6">
        <v>2</v>
      </c>
      <c r="BG907" s="6">
        <v>2</v>
      </c>
      <c r="BH907" s="6"/>
      <c r="BI907" s="74"/>
      <c r="BJ907" s="74"/>
      <c r="BK907" s="7">
        <f>SUM(BC907:BJ907)</f>
        <v>5</v>
      </c>
      <c r="BL907" s="8">
        <f>BB907+AY907-BK907</f>
        <v>7</v>
      </c>
      <c r="BM907" s="51" t="str">
        <f>IFERROR(VLOOKUP(A907,NF!$M:$O,3,0),"")</f>
        <v>Sobremesa</v>
      </c>
      <c r="BN907" s="7">
        <f>SUM(N907,Z907,AL907,AX907,BK907)</f>
        <v>35</v>
      </c>
      <c r="BO907" s="8">
        <f t="array" ref="BO907">IFERROR(LARGE(IF(NF!$G$2:$G$3137='Mês atual'!A907,NF!$J$2:$J$3137),1),0)*BN907</f>
        <v>207.55</v>
      </c>
      <c r="BP907" s="50"/>
      <c r="BR907" s="146">
        <f t="array" ref="BR907">IFERROR(LARGE(IF(NF!$G$2:$G$3137='Mês atual'!A907,NF!$J$2:$J$3137),1),0)</f>
        <v>5.9300000000000006</v>
      </c>
      <c r="BS907" s="142" t="str">
        <f>VLOOKUP(A907,NF!M:O,3,0)</f>
        <v>Sobremesa</v>
      </c>
      <c r="BV907" s="74">
        <f t="shared" si="549"/>
        <v>9</v>
      </c>
      <c r="BW907" s="74">
        <f t="shared" si="550"/>
        <v>7</v>
      </c>
      <c r="BX907" s="74">
        <f t="shared" si="551"/>
        <v>10</v>
      </c>
      <c r="BY907" s="74">
        <f t="shared" si="552"/>
        <v>4</v>
      </c>
      <c r="BZ907" s="74">
        <f t="shared" si="553"/>
        <v>5</v>
      </c>
    </row>
    <row r="908" spans="1:78" x14ac:dyDescent="0.25">
      <c r="A908" s="108" t="s">
        <v>813</v>
      </c>
      <c r="B908" s="12"/>
      <c r="C908" s="9">
        <v>10</v>
      </c>
      <c r="D908" s="25"/>
      <c r="E908" s="10" t="str">
        <f t="shared" si="560"/>
        <v>MarçoSEMANA 1Torta de Limão</v>
      </c>
      <c r="F908" s="7">
        <f>SUMIF(NF!$A:$A,$E908,NF!$I:$I)</f>
        <v>0</v>
      </c>
      <c r="G908" s="74"/>
      <c r="H908" s="74"/>
      <c r="I908" s="74"/>
      <c r="J908" s="6"/>
      <c r="K908" s="6">
        <v>2</v>
      </c>
      <c r="L908" s="6"/>
      <c r="M908" s="6">
        <v>1</v>
      </c>
      <c r="N908" s="7">
        <f t="shared" si="561"/>
        <v>3</v>
      </c>
      <c r="O908" s="11">
        <f t="shared" si="562"/>
        <v>7</v>
      </c>
      <c r="P908" s="25"/>
      <c r="Q908" s="10" t="str">
        <f t="shared" si="563"/>
        <v>MarçoSEMANA 2Torta de Limão</v>
      </c>
      <c r="R908" s="7">
        <f>SUMIF(NF!$A:$A,$Q908,NF!$I:$I)</f>
        <v>12</v>
      </c>
      <c r="S908" s="6">
        <v>1</v>
      </c>
      <c r="T908" s="6"/>
      <c r="U908" s="6"/>
      <c r="V908" s="6">
        <v>3</v>
      </c>
      <c r="W908" s="6">
        <v>1</v>
      </c>
      <c r="X908" s="6">
        <v>4</v>
      </c>
      <c r="Y908" s="6"/>
      <c r="Z908" s="7">
        <f t="shared" si="564"/>
        <v>9</v>
      </c>
      <c r="AA908" s="11">
        <f t="shared" si="565"/>
        <v>10</v>
      </c>
      <c r="AB908" s="25"/>
      <c r="AC908" s="10" t="str">
        <f t="shared" si="566"/>
        <v>MarçoSEMANA 3Torta de Limão</v>
      </c>
      <c r="AD908" s="7">
        <f>SUMIF(NF!$A:$A,$AC908,NF!$I:$I)</f>
        <v>12</v>
      </c>
      <c r="AE908" s="6">
        <v>1</v>
      </c>
      <c r="AF908" s="6">
        <v>2</v>
      </c>
      <c r="AG908" s="6"/>
      <c r="AH908" s="6">
        <v>1</v>
      </c>
      <c r="AI908" s="6"/>
      <c r="AJ908" s="6"/>
      <c r="AK908" s="6">
        <v>6</v>
      </c>
      <c r="AL908" s="7">
        <f t="shared" si="567"/>
        <v>10</v>
      </c>
      <c r="AM908" s="11">
        <f t="shared" si="568"/>
        <v>12</v>
      </c>
      <c r="AN908" s="25"/>
      <c r="AO908" s="10" t="str">
        <f t="shared" si="569"/>
        <v>MarçoSEMANA 4Torta de Limão</v>
      </c>
      <c r="AP908" s="7">
        <f>SUMIF(NF!$A:$A,$AO908,NF!$I:$I)</f>
        <v>12</v>
      </c>
      <c r="AQ908" s="6">
        <v>3</v>
      </c>
      <c r="AR908" s="6">
        <v>2</v>
      </c>
      <c r="AS908" s="6">
        <v>1</v>
      </c>
      <c r="AT908" s="6">
        <v>1</v>
      </c>
      <c r="AU908" s="6"/>
      <c r="AV908" s="6">
        <v>1</v>
      </c>
      <c r="AW908" s="6">
        <v>3</v>
      </c>
      <c r="AX908" s="7">
        <f t="shared" si="570"/>
        <v>11</v>
      </c>
      <c r="AY908" s="11">
        <f t="shared" si="571"/>
        <v>13</v>
      </c>
      <c r="AZ908" s="25"/>
      <c r="BA908" s="10" t="str">
        <f t="shared" si="572"/>
        <v>MarçoSEMANA 5Torta de Limão</v>
      </c>
      <c r="BB908" s="7">
        <f>SUMIF(NF!$A:$A,$BA908,NF!$I:$I)</f>
        <v>0</v>
      </c>
      <c r="BC908" s="6"/>
      <c r="BD908" s="6">
        <v>1</v>
      </c>
      <c r="BE908" s="6">
        <v>1</v>
      </c>
      <c r="BF908" s="6"/>
      <c r="BG908" s="6">
        <v>5</v>
      </c>
      <c r="BH908" s="6"/>
      <c r="BI908" s="74"/>
      <c r="BJ908" s="74"/>
      <c r="BK908" s="7">
        <f t="shared" si="573"/>
        <v>7</v>
      </c>
      <c r="BL908" s="8">
        <f t="shared" si="574"/>
        <v>6</v>
      </c>
      <c r="BM908" s="51" t="str">
        <f>IFERROR(VLOOKUP(A908,NF!$M:$O,3,0),"")</f>
        <v>Sobremesa</v>
      </c>
      <c r="BN908" s="7">
        <f t="shared" si="575"/>
        <v>40</v>
      </c>
      <c r="BO908" s="8">
        <f t="array" ref="BO908">IFERROR(LARGE(IF(NF!$G$2:$G$3137='Mês atual'!A908,NF!$J$2:$J$3137),1),0)*BN908</f>
        <v>222.90000000000003</v>
      </c>
      <c r="BP908" s="50"/>
      <c r="BR908" s="146">
        <f t="array" ref="BR908">IFERROR(LARGE(IF(NF!$G$2:$G$3137='Mês atual'!A908,NF!$J$2:$J$3137),1),0)</f>
        <v>5.5725000000000007</v>
      </c>
      <c r="BS908" s="142" t="str">
        <f>VLOOKUP(A908,NF!M:O,3,0)</f>
        <v>Sobremesa</v>
      </c>
      <c r="BV908" s="74">
        <f t="shared" si="549"/>
        <v>3</v>
      </c>
      <c r="BW908" s="74">
        <f t="shared" si="550"/>
        <v>9</v>
      </c>
      <c r="BX908" s="74">
        <f t="shared" si="551"/>
        <v>10</v>
      </c>
      <c r="BY908" s="74">
        <f t="shared" si="552"/>
        <v>11</v>
      </c>
      <c r="BZ908" s="74">
        <f t="shared" si="553"/>
        <v>7</v>
      </c>
    </row>
    <row r="909" spans="1:78" x14ac:dyDescent="0.25">
      <c r="A909" s="108" t="s">
        <v>814</v>
      </c>
      <c r="B909" s="12"/>
      <c r="C909" s="9">
        <v>0</v>
      </c>
      <c r="D909" s="25"/>
      <c r="E909" s="10" t="str">
        <f t="shared" si="560"/>
        <v>MarçoSEMANA 1Torta de Maça Integral</v>
      </c>
      <c r="F909" s="7">
        <f>SUMIF(NF!$A:$A,$E909,NF!$I:$I)</f>
        <v>0</v>
      </c>
      <c r="G909" s="74"/>
      <c r="H909" s="74"/>
      <c r="I909" s="74"/>
      <c r="J909" s="6"/>
      <c r="K909" s="6"/>
      <c r="L909" s="6"/>
      <c r="M909" s="6"/>
      <c r="N909" s="7">
        <f t="shared" si="561"/>
        <v>0</v>
      </c>
      <c r="O909" s="11">
        <f t="shared" si="562"/>
        <v>0</v>
      </c>
      <c r="P909" s="25"/>
      <c r="Q909" s="10" t="str">
        <f t="shared" si="563"/>
        <v>MarçoSEMANA 2Torta de Maça Integral</v>
      </c>
      <c r="R909" s="7">
        <f>SUMIF(NF!$A:$A,$Q909,NF!$I:$I)</f>
        <v>0</v>
      </c>
      <c r="S909" s="6"/>
      <c r="T909" s="6"/>
      <c r="U909" s="6"/>
      <c r="V909" s="6"/>
      <c r="W909" s="6"/>
      <c r="X909" s="6"/>
      <c r="Y909" s="6"/>
      <c r="Z909" s="7">
        <f t="shared" si="564"/>
        <v>0</v>
      </c>
      <c r="AA909" s="11">
        <f t="shared" si="565"/>
        <v>0</v>
      </c>
      <c r="AB909" s="25"/>
      <c r="AC909" s="10" t="str">
        <f t="shared" si="566"/>
        <v>MarçoSEMANA 3Torta de Maça Integral</v>
      </c>
      <c r="AD909" s="7">
        <f>SUMIF(NF!$A:$A,$AC909,NF!$I:$I)</f>
        <v>0</v>
      </c>
      <c r="AE909" s="6"/>
      <c r="AF909" s="6"/>
      <c r="AG909" s="6"/>
      <c r="AH909" s="6"/>
      <c r="AI909" s="6"/>
      <c r="AJ909" s="6"/>
      <c r="AK909" s="6"/>
      <c r="AL909" s="7">
        <f t="shared" si="567"/>
        <v>0</v>
      </c>
      <c r="AM909" s="11">
        <f t="shared" si="568"/>
        <v>0</v>
      </c>
      <c r="AN909" s="25"/>
      <c r="AO909" s="10" t="str">
        <f t="shared" si="569"/>
        <v>MarçoSEMANA 4Torta de Maça Integral</v>
      </c>
      <c r="AP909" s="7">
        <f>SUMIF(NF!$A:$A,$AO909,NF!$I:$I)</f>
        <v>0</v>
      </c>
      <c r="AQ909" s="6"/>
      <c r="AR909" s="6"/>
      <c r="AS909" s="6"/>
      <c r="AT909" s="6"/>
      <c r="AU909" s="6"/>
      <c r="AV909" s="6"/>
      <c r="AW909" s="6"/>
      <c r="AX909" s="7">
        <f t="shared" si="570"/>
        <v>0</v>
      </c>
      <c r="AY909" s="11">
        <f t="shared" si="571"/>
        <v>0</v>
      </c>
      <c r="AZ909" s="25"/>
      <c r="BA909" s="10" t="str">
        <f t="shared" si="572"/>
        <v>MarçoSEMANA 5Torta de Maça Integral</v>
      </c>
      <c r="BB909" s="7">
        <f>SUMIF(NF!$A:$A,$BA909,NF!$I:$I)</f>
        <v>0</v>
      </c>
      <c r="BC909" s="6"/>
      <c r="BD909" s="6"/>
      <c r="BE909" s="6"/>
      <c r="BF909" s="6"/>
      <c r="BG909" s="6"/>
      <c r="BH909" s="6"/>
      <c r="BI909" s="74"/>
      <c r="BJ909" s="74"/>
      <c r="BK909" s="7">
        <f t="shared" si="573"/>
        <v>0</v>
      </c>
      <c r="BL909" s="8">
        <f t="shared" si="574"/>
        <v>0</v>
      </c>
      <c r="BM909" s="51" t="str">
        <f>IFERROR(VLOOKUP(A909,NF!$M:$O,3,0),"")</f>
        <v>Sobremesa</v>
      </c>
      <c r="BN909" s="7">
        <f t="shared" si="575"/>
        <v>0</v>
      </c>
      <c r="BO909" s="8">
        <f t="array" ref="BO909">IFERROR(LARGE(IF(NF!$G$2:$G$3137='Mês atual'!A909,NF!$J$2:$J$3137),1),0)*BN909</f>
        <v>0</v>
      </c>
      <c r="BP909" s="50"/>
      <c r="BR909" s="146">
        <f t="array" ref="BR909">IFERROR(LARGE(IF(NF!$G$2:$G$3137='Mês atual'!A909,NF!$J$2:$J$3137),1),0)</f>
        <v>0</v>
      </c>
      <c r="BS909" s="142" t="str">
        <f>VLOOKUP(A909,NF!M:O,3,0)</f>
        <v>Sobremesa</v>
      </c>
      <c r="BV909" s="74">
        <f t="shared" si="549"/>
        <v>0</v>
      </c>
      <c r="BW909" s="74">
        <f t="shared" si="550"/>
        <v>0</v>
      </c>
      <c r="BX909" s="74">
        <f t="shared" si="551"/>
        <v>0</v>
      </c>
      <c r="BY909" s="74">
        <f t="shared" si="552"/>
        <v>0</v>
      </c>
      <c r="BZ909" s="74">
        <f t="shared" si="553"/>
        <v>0</v>
      </c>
    </row>
    <row r="910" spans="1:78" x14ac:dyDescent="0.2">
      <c r="A910" s="108" t="s">
        <v>988</v>
      </c>
      <c r="B910" s="12"/>
      <c r="C910" s="9">
        <v>7</v>
      </c>
      <c r="D910" s="25"/>
      <c r="E910" s="10" t="str">
        <f t="shared" si="560"/>
        <v>MarçoSEMANA 1Torta Financier com Quindim</v>
      </c>
      <c r="F910" s="7">
        <f>SUMIF(NF!$A:$A,$E910,NF!$I:$I)</f>
        <v>12</v>
      </c>
      <c r="G910" s="74"/>
      <c r="H910" s="74"/>
      <c r="I910" s="74"/>
      <c r="J910" s="6">
        <v>1</v>
      </c>
      <c r="K910" s="6"/>
      <c r="L910" s="6"/>
      <c r="M910" s="6">
        <v>3</v>
      </c>
      <c r="N910" s="7">
        <f t="shared" ref="N910:N915" si="576">SUM(G910:M910)</f>
        <v>4</v>
      </c>
      <c r="O910" s="11">
        <f t="shared" si="562"/>
        <v>15</v>
      </c>
      <c r="P910" s="25"/>
      <c r="Q910" s="10" t="str">
        <f t="shared" si="563"/>
        <v>MarçoSEMANA 2Torta Financier com Quindim</v>
      </c>
      <c r="R910" s="7">
        <f>SUMIF(NF!$A:$A,$Q910,NF!$I:$I)</f>
        <v>0</v>
      </c>
      <c r="S910" s="6">
        <v>1</v>
      </c>
      <c r="T910" s="6"/>
      <c r="U910" s="6"/>
      <c r="V910" s="6"/>
      <c r="W910" s="6">
        <v>1</v>
      </c>
      <c r="X910" s="6"/>
      <c r="Y910" s="6">
        <v>2</v>
      </c>
      <c r="Z910" s="7">
        <f t="shared" ref="Z910:Z915" si="577">SUM(S910:Y910)</f>
        <v>4</v>
      </c>
      <c r="AA910" s="11">
        <f t="shared" si="565"/>
        <v>11</v>
      </c>
      <c r="AB910" s="25"/>
      <c r="AC910" s="10" t="str">
        <f t="shared" si="566"/>
        <v>MarçoSEMANA 3Torta Financier com Quindim</v>
      </c>
      <c r="AD910" s="7">
        <f>SUMIF(NF!$A:$A,$AC910,NF!$I:$I)</f>
        <v>0</v>
      </c>
      <c r="AE910" s="6">
        <v>2</v>
      </c>
      <c r="AF910" s="6"/>
      <c r="AG910" s="6"/>
      <c r="AH910" s="6"/>
      <c r="AI910" s="6">
        <v>1</v>
      </c>
      <c r="AJ910" s="6">
        <v>1</v>
      </c>
      <c r="AK910" s="6">
        <v>2</v>
      </c>
      <c r="AL910" s="7">
        <f t="shared" ref="AL910:AL915" si="578">SUM(AE910:AK910)</f>
        <v>6</v>
      </c>
      <c r="AM910" s="11">
        <f t="shared" si="568"/>
        <v>5</v>
      </c>
      <c r="AN910" s="25"/>
      <c r="AO910" s="10" t="str">
        <f t="shared" si="569"/>
        <v>MarçoSEMANA 4Torta Financier com Quindim</v>
      </c>
      <c r="AP910" s="7">
        <f>SUMIF(NF!$A:$A,$AO910,NF!$I:$I)</f>
        <v>12</v>
      </c>
      <c r="AQ910" s="6"/>
      <c r="AR910" s="6"/>
      <c r="AS910" s="6">
        <v>14</v>
      </c>
      <c r="AT910" s="6">
        <v>2</v>
      </c>
      <c r="AU910" s="6"/>
      <c r="AV910" s="6">
        <v>1</v>
      </c>
      <c r="AW910" s="6"/>
      <c r="AX910" s="7">
        <f t="shared" ref="AX910:AX915" si="579">SUM(AQ910:AW910)</f>
        <v>17</v>
      </c>
      <c r="AY910" s="11">
        <f t="shared" si="571"/>
        <v>0</v>
      </c>
      <c r="AZ910" s="25"/>
      <c r="BA910" s="10" t="str">
        <f t="shared" si="572"/>
        <v>MarçoSEMANA 5Torta Financier com Quindim</v>
      </c>
      <c r="BB910" s="7">
        <f>SUMIF(NF!$A:$A,$BA910,NF!$I:$I)</f>
        <v>12</v>
      </c>
      <c r="BC910" s="6"/>
      <c r="BD910" s="6"/>
      <c r="BE910" s="6"/>
      <c r="BF910" s="6"/>
      <c r="BG910" s="6">
        <v>1</v>
      </c>
      <c r="BH910" s="6">
        <v>1</v>
      </c>
      <c r="BI910" s="74"/>
      <c r="BJ910" s="74"/>
      <c r="BK910" s="7">
        <f t="shared" ref="BK910:BK915" si="580">SUM(BC910:BJ910)</f>
        <v>2</v>
      </c>
      <c r="BL910" s="8">
        <f t="shared" si="574"/>
        <v>10</v>
      </c>
      <c r="BM910" s="51" t="str">
        <f>IFERROR(VLOOKUP(A910,NF!$M:$O,3,0),"")</f>
        <v>Sobremesa</v>
      </c>
      <c r="BN910" s="7">
        <f t="shared" si="575"/>
        <v>33</v>
      </c>
      <c r="BO910" s="8">
        <f t="array" ref="BO910">IFERROR(LARGE(IF(NF!$G$2:$G$3137='Mês atual'!A910,NF!$J$2:$J$3137),1),0)*BN910</f>
        <v>195.69000000000003</v>
      </c>
      <c r="BP910" s="50"/>
      <c r="BR910" s="146">
        <f t="array" ref="BR910">IFERROR(LARGE(IF(NF!$G$2:$G$3137='Mês atual'!A910,NF!$J$2:$J$3137),1),0)</f>
        <v>5.9300000000000006</v>
      </c>
      <c r="BS910" s="142" t="str">
        <f>VLOOKUP(A910,NF!M:O,3,0)</f>
        <v>Sobremesa</v>
      </c>
      <c r="BV910" s="74">
        <f t="shared" si="549"/>
        <v>4</v>
      </c>
      <c r="BW910" s="74">
        <f t="shared" si="550"/>
        <v>4</v>
      </c>
      <c r="BX910" s="74">
        <f t="shared" si="551"/>
        <v>6</v>
      </c>
      <c r="BY910" s="74">
        <f t="shared" si="552"/>
        <v>17</v>
      </c>
      <c r="BZ910" s="74">
        <f t="shared" si="553"/>
        <v>2</v>
      </c>
    </row>
    <row r="911" spans="1:78" x14ac:dyDescent="0.2">
      <c r="A911" s="108" t="s">
        <v>815</v>
      </c>
      <c r="B911" s="12"/>
      <c r="C911" s="9">
        <v>0</v>
      </c>
      <c r="D911" s="25"/>
      <c r="E911" s="10" t="str">
        <f t="shared" si="560"/>
        <v>MarçoSEMANA 1Torta Integral de Banana</v>
      </c>
      <c r="F911" s="7">
        <f>SUMIF(NF!$A:$A,$E911,NF!$I:$I)</f>
        <v>0</v>
      </c>
      <c r="G911" s="74"/>
      <c r="H911" s="74"/>
      <c r="I911" s="74"/>
      <c r="J911" s="6"/>
      <c r="K911" s="6"/>
      <c r="L911" s="6"/>
      <c r="M911" s="6"/>
      <c r="N911" s="7">
        <f t="shared" si="576"/>
        <v>0</v>
      </c>
      <c r="O911" s="11">
        <f t="shared" si="562"/>
        <v>0</v>
      </c>
      <c r="P911" s="25"/>
      <c r="Q911" s="10" t="str">
        <f t="shared" si="563"/>
        <v>MarçoSEMANA 2Torta Integral de Banana</v>
      </c>
      <c r="R911" s="7">
        <f>SUMIF(NF!$A:$A,$Q911,NF!$I:$I)</f>
        <v>0</v>
      </c>
      <c r="S911" s="6"/>
      <c r="T911" s="6"/>
      <c r="U911" s="6"/>
      <c r="V911" s="6"/>
      <c r="W911" s="6"/>
      <c r="X911" s="6"/>
      <c r="Y911" s="6"/>
      <c r="Z911" s="7">
        <f t="shared" si="577"/>
        <v>0</v>
      </c>
      <c r="AA911" s="11">
        <f t="shared" si="565"/>
        <v>0</v>
      </c>
      <c r="AB911" s="25"/>
      <c r="AC911" s="10" t="str">
        <f t="shared" si="566"/>
        <v>MarçoSEMANA 3Torta Integral de Banana</v>
      </c>
      <c r="AD911" s="7">
        <f>SUMIF(NF!$A:$A,$AC911,NF!$I:$I)</f>
        <v>0</v>
      </c>
      <c r="AE911" s="6"/>
      <c r="AF911" s="6"/>
      <c r="AG911" s="6"/>
      <c r="AH911" s="6"/>
      <c r="AI911" s="6"/>
      <c r="AJ911" s="6"/>
      <c r="AK911" s="6"/>
      <c r="AL911" s="7">
        <f t="shared" si="578"/>
        <v>0</v>
      </c>
      <c r="AM911" s="11">
        <f t="shared" si="568"/>
        <v>0</v>
      </c>
      <c r="AN911" s="25"/>
      <c r="AO911" s="10" t="str">
        <f t="shared" si="569"/>
        <v>MarçoSEMANA 4Torta Integral de Banana</v>
      </c>
      <c r="AP911" s="7">
        <f>SUMIF(NF!$A:$A,$AO911,NF!$I:$I)</f>
        <v>0</v>
      </c>
      <c r="AQ911" s="6"/>
      <c r="AR911" s="6"/>
      <c r="AS911" s="6"/>
      <c r="AT911" s="6"/>
      <c r="AU911" s="6"/>
      <c r="AV911" s="6"/>
      <c r="AW911" s="6"/>
      <c r="AX911" s="7">
        <f t="shared" si="579"/>
        <v>0</v>
      </c>
      <c r="AY911" s="11">
        <f t="shared" si="571"/>
        <v>0</v>
      </c>
      <c r="AZ911" s="25"/>
      <c r="BA911" s="10" t="str">
        <f t="shared" si="572"/>
        <v>MarçoSEMANA 5Torta Integral de Banana</v>
      </c>
      <c r="BB911" s="7">
        <f>SUMIF(NF!$A:$A,$BA911,NF!$I:$I)</f>
        <v>0</v>
      </c>
      <c r="BC911" s="6"/>
      <c r="BD911" s="6"/>
      <c r="BE911" s="6"/>
      <c r="BF911" s="6"/>
      <c r="BG911" s="6"/>
      <c r="BH911" s="6"/>
      <c r="BI911" s="74"/>
      <c r="BJ911" s="74"/>
      <c r="BK911" s="7">
        <f t="shared" si="580"/>
        <v>0</v>
      </c>
      <c r="BL911" s="8">
        <f t="shared" si="574"/>
        <v>0</v>
      </c>
      <c r="BM911" s="51" t="str">
        <f>IFERROR(VLOOKUP(A911,NF!$M:$O,3,0),"")</f>
        <v>Sobremesa</v>
      </c>
      <c r="BN911" s="7">
        <f t="shared" si="575"/>
        <v>0</v>
      </c>
      <c r="BO911" s="8">
        <f t="array" ref="BO911">IFERROR(LARGE(IF(NF!$G$2:$G$3137='Mês atual'!A911,NF!$J$2:$J$3137),1),0)*BN911</f>
        <v>0</v>
      </c>
      <c r="BP911" s="50"/>
      <c r="BR911" s="146">
        <f t="array" ref="BR911">IFERROR(LARGE(IF(NF!$G$2:$G$3137='Mês atual'!A911,NF!$J$2:$J$3137),1),0)</f>
        <v>0</v>
      </c>
      <c r="BS911" s="142" t="str">
        <f>VLOOKUP(A911,NF!M:O,3,0)</f>
        <v>Sobremesa</v>
      </c>
      <c r="BV911" s="74">
        <f t="shared" si="549"/>
        <v>0</v>
      </c>
      <c r="BW911" s="74">
        <f t="shared" si="550"/>
        <v>0</v>
      </c>
      <c r="BX911" s="74">
        <f t="shared" si="551"/>
        <v>0</v>
      </c>
      <c r="BY911" s="74">
        <f t="shared" si="552"/>
        <v>0</v>
      </c>
      <c r="BZ911" s="74">
        <f t="shared" si="553"/>
        <v>0</v>
      </c>
    </row>
    <row r="912" spans="1:78" x14ac:dyDescent="0.2">
      <c r="A912" s="108" t="s">
        <v>816</v>
      </c>
      <c r="B912" s="12"/>
      <c r="C912" s="9">
        <v>10</v>
      </c>
      <c r="D912" s="25"/>
      <c r="E912" s="10" t="str">
        <f t="shared" si="560"/>
        <v xml:space="preserve">MarçoSEMANA 1Torta Mousse de Chocolate </v>
      </c>
      <c r="F912" s="7">
        <f>SUMIF(NF!$A:$A,$E912,NF!$I:$I)</f>
        <v>24</v>
      </c>
      <c r="G912" s="74"/>
      <c r="H912" s="74"/>
      <c r="I912" s="74"/>
      <c r="J912" s="6">
        <v>3</v>
      </c>
      <c r="K912" s="6">
        <v>2</v>
      </c>
      <c r="L912" s="6">
        <v>2</v>
      </c>
      <c r="M912" s="6">
        <v>5</v>
      </c>
      <c r="N912" s="7">
        <f t="shared" si="576"/>
        <v>12</v>
      </c>
      <c r="O912" s="11">
        <f t="shared" si="562"/>
        <v>22</v>
      </c>
      <c r="P912" s="25"/>
      <c r="Q912" s="10" t="str">
        <f t="shared" si="563"/>
        <v xml:space="preserve">MarçoSEMANA 2Torta Mousse de Chocolate </v>
      </c>
      <c r="R912" s="7">
        <f>SUMIF(NF!$A:$A,$Q912,NF!$I:$I)</f>
        <v>0</v>
      </c>
      <c r="S912" s="6"/>
      <c r="T912" s="6"/>
      <c r="U912" s="6">
        <v>1</v>
      </c>
      <c r="V912" s="6">
        <v>2</v>
      </c>
      <c r="W912" s="6"/>
      <c r="X912" s="6">
        <v>5</v>
      </c>
      <c r="Y912" s="6">
        <v>2</v>
      </c>
      <c r="Z912" s="7">
        <f t="shared" si="577"/>
        <v>10</v>
      </c>
      <c r="AA912" s="11">
        <f t="shared" si="565"/>
        <v>12</v>
      </c>
      <c r="AB912" s="25"/>
      <c r="AC912" s="10" t="str">
        <f t="shared" si="566"/>
        <v xml:space="preserve">MarçoSEMANA 3Torta Mousse de Chocolate </v>
      </c>
      <c r="AD912" s="7">
        <f>SUMIF(NF!$A:$A,$AC912,NF!$I:$I)</f>
        <v>24</v>
      </c>
      <c r="AE912" s="6"/>
      <c r="AF912" s="6">
        <v>3</v>
      </c>
      <c r="AG912" s="6">
        <v>5</v>
      </c>
      <c r="AH912" s="6">
        <v>1</v>
      </c>
      <c r="AI912" s="6"/>
      <c r="AJ912" s="6">
        <v>4</v>
      </c>
      <c r="AK912" s="6">
        <v>4</v>
      </c>
      <c r="AL912" s="7">
        <f t="shared" si="578"/>
        <v>17</v>
      </c>
      <c r="AM912" s="11">
        <f t="shared" si="568"/>
        <v>19</v>
      </c>
      <c r="AN912" s="25"/>
      <c r="AO912" s="10" t="str">
        <f t="shared" si="569"/>
        <v xml:space="preserve">MarçoSEMANA 4Torta Mousse de Chocolate </v>
      </c>
      <c r="AP912" s="7">
        <f>SUMIF(NF!$A:$A,$AO912,NF!$I:$I)</f>
        <v>24</v>
      </c>
      <c r="AQ912" s="6"/>
      <c r="AR912" s="6">
        <v>13</v>
      </c>
      <c r="AS912" s="6">
        <v>2</v>
      </c>
      <c r="AT912" s="6">
        <v>2</v>
      </c>
      <c r="AU912" s="6">
        <v>4</v>
      </c>
      <c r="AV912" s="6">
        <v>6</v>
      </c>
      <c r="AW912" s="6">
        <v>6</v>
      </c>
      <c r="AX912" s="7">
        <f t="shared" si="579"/>
        <v>33</v>
      </c>
      <c r="AY912" s="11">
        <f t="shared" si="571"/>
        <v>10</v>
      </c>
      <c r="AZ912" s="25"/>
      <c r="BA912" s="10" t="str">
        <f t="shared" si="572"/>
        <v xml:space="preserve">MarçoSEMANA 5Torta Mousse de Chocolate </v>
      </c>
      <c r="BB912" s="7">
        <f>SUMIF(NF!$A:$A,$BA912,NF!$I:$I)</f>
        <v>12</v>
      </c>
      <c r="BC912" s="6">
        <v>1</v>
      </c>
      <c r="BD912" s="6">
        <v>3</v>
      </c>
      <c r="BE912" s="6">
        <v>3</v>
      </c>
      <c r="BF912" s="6">
        <v>3</v>
      </c>
      <c r="BG912" s="6">
        <v>3</v>
      </c>
      <c r="BH912" s="6">
        <v>4</v>
      </c>
      <c r="BI912" s="74"/>
      <c r="BJ912" s="74"/>
      <c r="BK912" s="7">
        <f t="shared" si="580"/>
        <v>17</v>
      </c>
      <c r="BL912" s="8">
        <f t="shared" si="574"/>
        <v>5</v>
      </c>
      <c r="BM912" s="51" t="str">
        <f>IFERROR(VLOOKUP(A912,NF!$M:$O,3,0),"")</f>
        <v>Sobremesa</v>
      </c>
      <c r="BN912" s="7">
        <f t="shared" si="575"/>
        <v>89</v>
      </c>
      <c r="BO912" s="8">
        <f t="array" ref="BO912">IFERROR(LARGE(IF(NF!$G$2:$G$3137='Mês atual'!A912,NF!$J$2:$J$3137),1),0)*BN912</f>
        <v>368.31166666666661</v>
      </c>
      <c r="BP912" s="50"/>
      <c r="BR912" s="146">
        <f t="array" ref="BR912">IFERROR(LARGE(IF(NF!$G$2:$G$3137='Mês atual'!A912,NF!$J$2:$J$3137),1),0)</f>
        <v>4.1383333333333328</v>
      </c>
      <c r="BS912" s="142" t="str">
        <f>VLOOKUP(A912,NF!M:O,3,0)</f>
        <v>Sobremesa</v>
      </c>
      <c r="BV912" s="74">
        <f t="shared" si="549"/>
        <v>12</v>
      </c>
      <c r="BW912" s="74">
        <f t="shared" si="550"/>
        <v>10</v>
      </c>
      <c r="BX912" s="74">
        <f t="shared" si="551"/>
        <v>17</v>
      </c>
      <c r="BY912" s="74">
        <f t="shared" si="552"/>
        <v>33</v>
      </c>
      <c r="BZ912" s="74">
        <f t="shared" si="553"/>
        <v>17</v>
      </c>
    </row>
    <row r="913" spans="1:78" x14ac:dyDescent="0.2">
      <c r="A913" s="108" t="s">
        <v>817</v>
      </c>
      <c r="B913" s="12"/>
      <c r="C913" s="9">
        <v>11</v>
      </c>
      <c r="D913" s="25"/>
      <c r="E913" s="10" t="str">
        <f t="shared" si="560"/>
        <v>MarçoSEMANA 1Torta Mousse de Chocolate Diet</v>
      </c>
      <c r="F913" s="7">
        <f>SUMIF(NF!$A:$A,$E913,NF!$I:$I)</f>
        <v>0</v>
      </c>
      <c r="G913" s="74"/>
      <c r="H913" s="74"/>
      <c r="I913" s="74"/>
      <c r="J913" s="6">
        <v>1</v>
      </c>
      <c r="K913" s="6"/>
      <c r="L913" s="6">
        <v>2</v>
      </c>
      <c r="M913" s="6">
        <v>4</v>
      </c>
      <c r="N913" s="7">
        <f t="shared" si="576"/>
        <v>7</v>
      </c>
      <c r="O913" s="11">
        <f t="shared" si="562"/>
        <v>4</v>
      </c>
      <c r="P913" s="25"/>
      <c r="Q913" s="10" t="str">
        <f t="shared" si="563"/>
        <v>MarçoSEMANA 2Torta Mousse de Chocolate Diet</v>
      </c>
      <c r="R913" s="7">
        <f>SUMIF(NF!$A:$A,$Q913,NF!$I:$I)</f>
        <v>12</v>
      </c>
      <c r="S913" s="6"/>
      <c r="T913" s="6">
        <v>1</v>
      </c>
      <c r="U913" s="6">
        <v>2</v>
      </c>
      <c r="V913" s="6">
        <v>1</v>
      </c>
      <c r="W913" s="6"/>
      <c r="X913" s="6">
        <v>1</v>
      </c>
      <c r="Y913" s="6">
        <v>2</v>
      </c>
      <c r="Z913" s="7">
        <f t="shared" si="577"/>
        <v>7</v>
      </c>
      <c r="AA913" s="11">
        <f t="shared" si="565"/>
        <v>9</v>
      </c>
      <c r="AB913" s="25"/>
      <c r="AC913" s="10" t="str">
        <f t="shared" si="566"/>
        <v>MarçoSEMANA 3Torta Mousse de Chocolate Diet</v>
      </c>
      <c r="AD913" s="7">
        <f>SUMIF(NF!$A:$A,$AC913,NF!$I:$I)</f>
        <v>0</v>
      </c>
      <c r="AE913" s="6">
        <v>1</v>
      </c>
      <c r="AF913" s="6"/>
      <c r="AG913" s="6"/>
      <c r="AH913" s="6">
        <v>2</v>
      </c>
      <c r="AI913" s="6">
        <v>1</v>
      </c>
      <c r="AJ913" s="6">
        <v>1</v>
      </c>
      <c r="AK913" s="6">
        <v>3</v>
      </c>
      <c r="AL913" s="7">
        <f t="shared" si="578"/>
        <v>8</v>
      </c>
      <c r="AM913" s="11">
        <f t="shared" si="568"/>
        <v>1</v>
      </c>
      <c r="AN913" s="25"/>
      <c r="AO913" s="10" t="str">
        <f t="shared" si="569"/>
        <v>MarçoSEMANA 4Torta Mousse de Chocolate Diet</v>
      </c>
      <c r="AP913" s="7">
        <f>SUMIF(NF!$A:$A,$AO913,NF!$I:$I)</f>
        <v>12</v>
      </c>
      <c r="AQ913" s="6"/>
      <c r="AR913" s="6">
        <v>1</v>
      </c>
      <c r="AS913" s="6"/>
      <c r="AT913" s="6">
        <v>1</v>
      </c>
      <c r="AU913" s="6">
        <v>3</v>
      </c>
      <c r="AV913" s="6">
        <v>5</v>
      </c>
      <c r="AW913" s="6">
        <v>3</v>
      </c>
      <c r="AX913" s="7">
        <f t="shared" si="579"/>
        <v>13</v>
      </c>
      <c r="AY913" s="11">
        <f t="shared" si="571"/>
        <v>0</v>
      </c>
      <c r="AZ913" s="25"/>
      <c r="BA913" s="10" t="str">
        <f t="shared" si="572"/>
        <v>MarçoSEMANA 5Torta Mousse de Chocolate Diet</v>
      </c>
      <c r="BB913" s="7">
        <f>SUMIF(NF!$A:$A,$BA913,NF!$I:$I)</f>
        <v>12</v>
      </c>
      <c r="BC913" s="6"/>
      <c r="BD913" s="6"/>
      <c r="BE913" s="6"/>
      <c r="BF913" s="6"/>
      <c r="BG913" s="6">
        <v>5</v>
      </c>
      <c r="BH913" s="6">
        <v>2</v>
      </c>
      <c r="BI913" s="74"/>
      <c r="BJ913" s="74"/>
      <c r="BK913" s="7">
        <f t="shared" si="580"/>
        <v>7</v>
      </c>
      <c r="BL913" s="8">
        <f t="shared" si="574"/>
        <v>5</v>
      </c>
      <c r="BM913" s="51" t="str">
        <f>IFERROR(VLOOKUP(A913,NF!$M:$O,3,0),"")</f>
        <v>Sobremesa</v>
      </c>
      <c r="BN913" s="7">
        <f t="shared" si="575"/>
        <v>42</v>
      </c>
      <c r="BO913" s="8">
        <f t="array" ref="BO913">IFERROR(LARGE(IF(NF!$G$2:$G$3137='Mês atual'!A913,NF!$J$2:$J$3137),1),0)*BN913</f>
        <v>206.185</v>
      </c>
      <c r="BP913" s="50"/>
      <c r="BR913" s="146">
        <f t="array" ref="BR913">IFERROR(LARGE(IF(NF!$G$2:$G$3137='Mês atual'!A913,NF!$J$2:$J$3137),1),0)</f>
        <v>4.9091666666666667</v>
      </c>
      <c r="BS913" s="142" t="str">
        <f>VLOOKUP(A913,NF!M:O,3,0)</f>
        <v>Sobremesa</v>
      </c>
      <c r="BV913" s="74">
        <f t="shared" si="549"/>
        <v>7</v>
      </c>
      <c r="BW913" s="74">
        <f t="shared" si="550"/>
        <v>7</v>
      </c>
      <c r="BX913" s="74">
        <f t="shared" si="551"/>
        <v>8</v>
      </c>
      <c r="BY913" s="74">
        <f t="shared" si="552"/>
        <v>13</v>
      </c>
      <c r="BZ913" s="74">
        <f t="shared" si="553"/>
        <v>7</v>
      </c>
    </row>
    <row r="914" spans="1:78" x14ac:dyDescent="0.2">
      <c r="A914" s="108" t="s">
        <v>989</v>
      </c>
      <c r="B914" s="12"/>
      <c r="C914" s="9">
        <v>0</v>
      </c>
      <c r="D914" s="25"/>
      <c r="E914" s="10" t="str">
        <f t="shared" si="560"/>
        <v>MarçoSEMANA 1Torta Mousse Chocolate s/ Gluten/Lactose</v>
      </c>
      <c r="F914" s="7">
        <f>SUMIF(NF!$A:$A,$E914,NF!$I:$I)</f>
        <v>0</v>
      </c>
      <c r="G914" s="74"/>
      <c r="H914" s="74"/>
      <c r="I914" s="74"/>
      <c r="J914" s="6"/>
      <c r="K914" s="6"/>
      <c r="L914" s="6"/>
      <c r="M914" s="6"/>
      <c r="N914" s="7">
        <f t="shared" si="576"/>
        <v>0</v>
      </c>
      <c r="O914" s="11">
        <f t="shared" si="562"/>
        <v>0</v>
      </c>
      <c r="P914" s="25"/>
      <c r="Q914" s="10" t="str">
        <f t="shared" si="563"/>
        <v>MarçoSEMANA 2Torta Mousse Chocolate s/ Gluten/Lactose</v>
      </c>
      <c r="R914" s="7">
        <f>SUMIF(NF!$A:$A,$Q914,NF!$I:$I)</f>
        <v>0</v>
      </c>
      <c r="S914" s="6"/>
      <c r="T914" s="6"/>
      <c r="U914" s="6"/>
      <c r="V914" s="6"/>
      <c r="W914" s="6"/>
      <c r="X914" s="6"/>
      <c r="Y914" s="6"/>
      <c r="Z914" s="7">
        <f t="shared" si="577"/>
        <v>0</v>
      </c>
      <c r="AA914" s="11">
        <f t="shared" si="565"/>
        <v>0</v>
      </c>
      <c r="AB914" s="25"/>
      <c r="AC914" s="10" t="str">
        <f t="shared" si="566"/>
        <v>MarçoSEMANA 3Torta Mousse Chocolate s/ Gluten/Lactose</v>
      </c>
      <c r="AD914" s="7">
        <f>SUMIF(NF!$A:$A,$AC914,NF!$I:$I)</f>
        <v>0</v>
      </c>
      <c r="AE914" s="6"/>
      <c r="AF914" s="6"/>
      <c r="AG914" s="6"/>
      <c r="AH914" s="6"/>
      <c r="AI914" s="6"/>
      <c r="AJ914" s="6"/>
      <c r="AK914" s="6"/>
      <c r="AL914" s="7">
        <f t="shared" si="578"/>
        <v>0</v>
      </c>
      <c r="AM914" s="11">
        <f t="shared" si="568"/>
        <v>0</v>
      </c>
      <c r="AN914" s="25"/>
      <c r="AO914" s="10" t="str">
        <f t="shared" si="569"/>
        <v>MarçoSEMANA 4Torta Mousse Chocolate s/ Gluten/Lactose</v>
      </c>
      <c r="AP914" s="7">
        <f>SUMIF(NF!$A:$A,$AO914,NF!$I:$I)</f>
        <v>0</v>
      </c>
      <c r="AQ914" s="6"/>
      <c r="AR914" s="6"/>
      <c r="AS914" s="6"/>
      <c r="AT914" s="6"/>
      <c r="AU914" s="6"/>
      <c r="AV914" s="6"/>
      <c r="AW914" s="6"/>
      <c r="AX914" s="7">
        <f t="shared" si="579"/>
        <v>0</v>
      </c>
      <c r="AY914" s="11">
        <f t="shared" si="571"/>
        <v>0</v>
      </c>
      <c r="AZ914" s="25"/>
      <c r="BA914" s="10" t="str">
        <f t="shared" si="572"/>
        <v>MarçoSEMANA 5Torta Mousse Chocolate s/ Gluten/Lactose</v>
      </c>
      <c r="BB914" s="7">
        <f>SUMIF(NF!$A:$A,$BA914,NF!$I:$I)</f>
        <v>0</v>
      </c>
      <c r="BC914" s="6"/>
      <c r="BD914" s="6"/>
      <c r="BE914" s="6"/>
      <c r="BF914" s="6"/>
      <c r="BG914" s="6"/>
      <c r="BH914" s="6"/>
      <c r="BI914" s="74"/>
      <c r="BJ914" s="74"/>
      <c r="BK914" s="7">
        <f t="shared" si="580"/>
        <v>0</v>
      </c>
      <c r="BL914" s="8">
        <f t="shared" si="574"/>
        <v>0</v>
      </c>
      <c r="BM914" s="51" t="str">
        <f>IFERROR(VLOOKUP(A914,NF!$M:$O,3,0),"")</f>
        <v>Sobremesa</v>
      </c>
      <c r="BN914" s="7">
        <f t="shared" si="575"/>
        <v>0</v>
      </c>
      <c r="BO914" s="8">
        <f t="array" ref="BO914">IFERROR(LARGE(IF(NF!$G$2:$G$3137='Mês atual'!A914,NF!$J$2:$J$3137),1),0)*BN914</f>
        <v>0</v>
      </c>
      <c r="BP914" s="50"/>
      <c r="BR914" s="146">
        <f t="array" ref="BR914">IFERROR(LARGE(IF(NF!$G$2:$G$3137='Mês atual'!A914,NF!$J$2:$J$3137),1),0)</f>
        <v>0</v>
      </c>
      <c r="BS914" s="142" t="str">
        <f>VLOOKUP(A914,NF!M:O,3,0)</f>
        <v>Sobremesa</v>
      </c>
      <c r="BV914" s="74">
        <f t="shared" si="549"/>
        <v>0</v>
      </c>
      <c r="BW914" s="74">
        <f t="shared" si="550"/>
        <v>0</v>
      </c>
      <c r="BX914" s="74">
        <f t="shared" si="551"/>
        <v>0</v>
      </c>
      <c r="BY914" s="74">
        <f t="shared" si="552"/>
        <v>0</v>
      </c>
      <c r="BZ914" s="74">
        <f t="shared" si="553"/>
        <v>0</v>
      </c>
    </row>
    <row r="915" spans="1:78" ht="15.95" thickBot="1" x14ac:dyDescent="0.25">
      <c r="A915" s="108" t="s">
        <v>818</v>
      </c>
      <c r="B915" s="12"/>
      <c r="C915" s="9">
        <v>30</v>
      </c>
      <c r="D915" s="25"/>
      <c r="E915" s="10" t="str">
        <f t="shared" si="560"/>
        <v>MarçoSEMANA 1Torta Xcake Framboesa</v>
      </c>
      <c r="F915" s="7">
        <f>SUMIF(NF!$A:$A,$E915,NF!$I:$I)</f>
        <v>0</v>
      </c>
      <c r="G915" s="74"/>
      <c r="H915" s="74"/>
      <c r="I915" s="74"/>
      <c r="J915" s="6">
        <v>1</v>
      </c>
      <c r="K915" s="6">
        <v>2</v>
      </c>
      <c r="L915" s="6">
        <v>1</v>
      </c>
      <c r="M915" s="6">
        <v>6</v>
      </c>
      <c r="N915" s="7">
        <f t="shared" si="576"/>
        <v>10</v>
      </c>
      <c r="O915" s="11">
        <f t="shared" si="562"/>
        <v>20</v>
      </c>
      <c r="P915" s="25"/>
      <c r="Q915" s="10" t="str">
        <f t="shared" si="563"/>
        <v>MarçoSEMANA 2Torta Xcake Framboesa</v>
      </c>
      <c r="R915" s="7">
        <f>SUMIF(NF!$A:$A,$Q915,NF!$I:$I)</f>
        <v>0</v>
      </c>
      <c r="S915" s="6">
        <v>1</v>
      </c>
      <c r="T915" s="6">
        <v>2</v>
      </c>
      <c r="U915" s="6"/>
      <c r="V915" s="6">
        <v>2</v>
      </c>
      <c r="W915" s="6">
        <v>1</v>
      </c>
      <c r="X915" s="6">
        <v>4</v>
      </c>
      <c r="Y915" s="6">
        <v>3</v>
      </c>
      <c r="Z915" s="7">
        <f t="shared" si="577"/>
        <v>13</v>
      </c>
      <c r="AA915" s="11">
        <f t="shared" si="565"/>
        <v>7</v>
      </c>
      <c r="AB915" s="25"/>
      <c r="AC915" s="10" t="str">
        <f t="shared" si="566"/>
        <v>MarçoSEMANA 3Torta Xcake Framboesa</v>
      </c>
      <c r="AD915" s="7">
        <f>SUMIF(NF!$A:$A,$AC915,NF!$I:$I)</f>
        <v>36</v>
      </c>
      <c r="AE915" s="6">
        <v>1</v>
      </c>
      <c r="AF915" s="6">
        <v>2</v>
      </c>
      <c r="AG915" s="6"/>
      <c r="AH915" s="6">
        <v>1</v>
      </c>
      <c r="AI915" s="6">
        <v>2</v>
      </c>
      <c r="AJ915" s="6"/>
      <c r="AK915" s="6">
        <v>3</v>
      </c>
      <c r="AL915" s="7">
        <f t="shared" si="578"/>
        <v>9</v>
      </c>
      <c r="AM915" s="11">
        <f t="shared" si="568"/>
        <v>34</v>
      </c>
      <c r="AN915" s="25"/>
      <c r="AO915" s="10" t="str">
        <f t="shared" si="569"/>
        <v>MarçoSEMANA 4Torta Xcake Framboesa</v>
      </c>
      <c r="AP915" s="7">
        <f>SUMIF(NF!$A:$A,$AO915,NF!$I:$I)</f>
        <v>0</v>
      </c>
      <c r="AQ915" s="6">
        <v>1</v>
      </c>
      <c r="AR915" s="6">
        <v>1</v>
      </c>
      <c r="AS915" s="6"/>
      <c r="AT915" s="6">
        <v>1</v>
      </c>
      <c r="AU915" s="6">
        <v>2</v>
      </c>
      <c r="AV915" s="6">
        <v>3</v>
      </c>
      <c r="AW915" s="6">
        <v>5</v>
      </c>
      <c r="AX915" s="7">
        <f t="shared" si="579"/>
        <v>13</v>
      </c>
      <c r="AY915" s="11">
        <f t="shared" si="571"/>
        <v>21</v>
      </c>
      <c r="AZ915" s="25"/>
      <c r="BA915" s="10" t="str">
        <f t="shared" si="572"/>
        <v>MarçoSEMANA 5Torta Xcake Framboesa</v>
      </c>
      <c r="BB915" s="7">
        <f>SUMIF(NF!$A:$A,$BA915,NF!$I:$I)</f>
        <v>0</v>
      </c>
      <c r="BC915" s="6"/>
      <c r="BD915" s="6">
        <v>1</v>
      </c>
      <c r="BE915" s="6"/>
      <c r="BF915" s="6"/>
      <c r="BG915" s="6">
        <v>2</v>
      </c>
      <c r="BH915" s="6">
        <v>1</v>
      </c>
      <c r="BI915" s="74"/>
      <c r="BJ915" s="74"/>
      <c r="BK915" s="7">
        <f t="shared" si="580"/>
        <v>4</v>
      </c>
      <c r="BL915" s="8">
        <f t="shared" si="574"/>
        <v>17</v>
      </c>
      <c r="BM915" s="51" t="str">
        <f>IFERROR(VLOOKUP(A915,NF!$M:$O,3,0),"")</f>
        <v>Sobremesa</v>
      </c>
      <c r="BN915" s="7">
        <f t="shared" si="575"/>
        <v>49</v>
      </c>
      <c r="BO915" s="8">
        <f t="array" ref="BO915">IFERROR(LARGE(IF(NF!$G$2:$G$3137='Mês atual'!A915,NF!$J$2:$J$3137),1),0)*BN915</f>
        <v>302.16666666666669</v>
      </c>
      <c r="BP915" s="50"/>
      <c r="BR915" s="146">
        <f t="array" ref="BR915">IFERROR(LARGE(IF(NF!$G$2:$G$3137='Mês atual'!A915,NF!$J$2:$J$3137),1),0)</f>
        <v>6.166666666666667</v>
      </c>
      <c r="BS915" s="142" t="str">
        <f>VLOOKUP(A915,NF!M:O,3,0)</f>
        <v>Sobremesa</v>
      </c>
      <c r="BV915" s="74">
        <f t="shared" si="549"/>
        <v>10</v>
      </c>
      <c r="BW915" s="74">
        <f t="shared" si="550"/>
        <v>13</v>
      </c>
      <c r="BX915" s="74">
        <f t="shared" si="551"/>
        <v>9</v>
      </c>
      <c r="BY915" s="74">
        <f t="shared" si="552"/>
        <v>13</v>
      </c>
      <c r="BZ915" s="74">
        <f t="shared" si="553"/>
        <v>4</v>
      </c>
    </row>
    <row r="916" spans="1:78" s="16" customFormat="1" ht="30" customHeight="1" thickBot="1" x14ac:dyDescent="0.25">
      <c r="A916" s="139" t="s">
        <v>927</v>
      </c>
      <c r="B916" s="130"/>
      <c r="C916" s="131"/>
      <c r="D916" s="132"/>
      <c r="E916" s="133"/>
      <c r="F916" s="134"/>
      <c r="G916" s="135"/>
      <c r="H916" s="135"/>
      <c r="I916" s="135"/>
      <c r="J916" s="133"/>
      <c r="K916" s="133"/>
      <c r="L916" s="133"/>
      <c r="M916" s="133"/>
      <c r="N916" s="134"/>
      <c r="O916" s="134"/>
      <c r="P916" s="132"/>
      <c r="Q916" s="133"/>
      <c r="R916" s="134"/>
      <c r="S916" s="133"/>
      <c r="T916" s="133"/>
      <c r="U916" s="133"/>
      <c r="V916" s="133"/>
      <c r="W916" s="133"/>
      <c r="X916" s="133"/>
      <c r="Y916" s="133"/>
      <c r="Z916" s="134"/>
      <c r="AA916" s="134"/>
      <c r="AB916" s="132"/>
      <c r="AC916" s="133"/>
      <c r="AD916" s="134"/>
      <c r="AE916" s="133"/>
      <c r="AF916" s="133"/>
      <c r="AG916" s="133"/>
      <c r="AH916" s="133"/>
      <c r="AI916" s="133"/>
      <c r="AJ916" s="133"/>
      <c r="AK916" s="133"/>
      <c r="AL916" s="134"/>
      <c r="AM916" s="134"/>
      <c r="AN916" s="132"/>
      <c r="AO916" s="133"/>
      <c r="AP916" s="134"/>
      <c r="AQ916" s="133"/>
      <c r="AR916" s="133"/>
      <c r="AS916" s="133"/>
      <c r="AT916" s="133"/>
      <c r="AU916" s="133"/>
      <c r="AV916" s="133"/>
      <c r="AW916" s="133"/>
      <c r="AX916" s="134"/>
      <c r="AY916" s="134"/>
      <c r="AZ916" s="132"/>
      <c r="BA916" s="133"/>
      <c r="BB916" s="134"/>
      <c r="BC916" s="133"/>
      <c r="BD916" s="133"/>
      <c r="BE916" s="133"/>
      <c r="BF916" s="133"/>
      <c r="BG916" s="133"/>
      <c r="BH916" s="133"/>
      <c r="BI916" s="135"/>
      <c r="BJ916" s="135"/>
      <c r="BK916" s="134"/>
      <c r="BL916" s="134"/>
      <c r="BM916" s="136"/>
      <c r="BN916" s="137"/>
      <c r="BO916" s="137"/>
      <c r="BP916" s="138"/>
      <c r="BQ916" s="144"/>
      <c r="BR916" s="144"/>
      <c r="BS916" s="144"/>
      <c r="BT916" s="145"/>
      <c r="BU916" s="145"/>
      <c r="BV916" s="154"/>
      <c r="BW916" s="154"/>
      <c r="BX916" s="154"/>
      <c r="BY916" s="154"/>
      <c r="BZ916" s="154"/>
    </row>
    <row r="917" spans="1:78" x14ac:dyDescent="0.2">
      <c r="A917" s="108" t="s">
        <v>64</v>
      </c>
      <c r="B917" s="12"/>
      <c r="C917" s="9">
        <v>0</v>
      </c>
      <c r="D917" s="25"/>
      <c r="E917" s="10" t="str">
        <f t="shared" ref="E917:E991" si="581">CONCATENATE($C$2,$F$1,$A917)</f>
        <v>MarçoSEMANA 1Abacate Sushi</v>
      </c>
      <c r="F917" s="7">
        <f>SUMIF(NF!$A:$A,$E917,NF!$I:$I)</f>
        <v>1.4</v>
      </c>
      <c r="G917" s="74"/>
      <c r="H917" s="74"/>
      <c r="I917" s="74"/>
      <c r="J917" s="6">
        <v>1.4</v>
      </c>
      <c r="K917" s="6"/>
      <c r="L917" s="6"/>
      <c r="M917" s="6"/>
      <c r="N917" s="7">
        <f t="shared" ref="N917:N930" si="582">SUM(G917:M917)</f>
        <v>1.4</v>
      </c>
      <c r="O917" s="11">
        <f t="shared" ref="O917:O991" si="583">F917+C917-N917</f>
        <v>0</v>
      </c>
      <c r="P917" s="25"/>
      <c r="Q917" s="10" t="str">
        <f t="shared" ref="Q917:Q991" si="584">CONCATENATE($C$2,$R$1,$A917)</f>
        <v>MarçoSEMANA 2Abacate Sushi</v>
      </c>
      <c r="R917" s="7">
        <f>SUMIF(NF!$A:$A,$Q917,NF!$I:$I)</f>
        <v>1</v>
      </c>
      <c r="S917" s="6">
        <v>1</v>
      </c>
      <c r="T917" s="6"/>
      <c r="U917" s="6"/>
      <c r="V917" s="6"/>
      <c r="W917" s="6"/>
      <c r="X917" s="6"/>
      <c r="Y917" s="6"/>
      <c r="Z917" s="7">
        <f t="shared" ref="Z917:Z930" si="585">SUM(S917:Y917)</f>
        <v>1</v>
      </c>
      <c r="AA917" s="11">
        <f t="shared" ref="AA917:AA991" si="586">R917+O917-Z917</f>
        <v>0</v>
      </c>
      <c r="AB917" s="25"/>
      <c r="AC917" s="10" t="str">
        <f t="shared" ref="AC917:AC991" si="587">CONCATENATE($C$2,$AD$1,$A917)</f>
        <v>MarçoSEMANA 3Abacate Sushi</v>
      </c>
      <c r="AD917" s="7">
        <f>SUMIF(NF!$A:$A,$AC917,NF!$I:$I)</f>
        <v>2</v>
      </c>
      <c r="AE917" s="6"/>
      <c r="AF917" s="6"/>
      <c r="AG917" s="6">
        <v>1</v>
      </c>
      <c r="AH917" s="6"/>
      <c r="AI917" s="6">
        <v>1</v>
      </c>
      <c r="AJ917" s="6"/>
      <c r="AK917" s="6"/>
      <c r="AL917" s="7">
        <f t="shared" ref="AL917:AL930" si="588">SUM(AE917:AK917)</f>
        <v>2</v>
      </c>
      <c r="AM917" s="11">
        <f t="shared" ref="AM917:AM991" si="589">AD917+AA917-AL917</f>
        <v>0</v>
      </c>
      <c r="AN917" s="25"/>
      <c r="AO917" s="10" t="str">
        <f t="shared" ref="AO917:AO991" si="590">CONCATENATE($C$2,$AP$1,$A917)</f>
        <v>MarçoSEMANA 4Abacate Sushi</v>
      </c>
      <c r="AP917" s="7">
        <f>SUMIF(NF!$A:$A,$AO917,NF!$I:$I)</f>
        <v>2</v>
      </c>
      <c r="AQ917" s="6">
        <v>1</v>
      </c>
      <c r="AR917" s="6"/>
      <c r="AS917" s="6"/>
      <c r="AT917" s="6"/>
      <c r="AU917" s="6"/>
      <c r="AV917" s="6">
        <v>1</v>
      </c>
      <c r="AW917" s="6"/>
      <c r="AX917" s="7">
        <f t="shared" ref="AX917:AX930" si="591">SUM(AQ917:AW917)</f>
        <v>2</v>
      </c>
      <c r="AY917" s="11">
        <f t="shared" ref="AY917:AY991" si="592">AP917+AM917-AX917</f>
        <v>0</v>
      </c>
      <c r="AZ917" s="25"/>
      <c r="BA917" s="10" t="str">
        <f t="shared" ref="BA917:BA991" si="593">CONCATENATE($C$2,$BB$1,$A917)</f>
        <v>MarçoSEMANA 5Abacate Sushi</v>
      </c>
      <c r="BB917" s="7">
        <f>SUMIF(NF!$A:$A,$BA917,NF!$I:$I)</f>
        <v>1</v>
      </c>
      <c r="BC917" s="6"/>
      <c r="BD917" s="6"/>
      <c r="BE917" s="6">
        <v>1</v>
      </c>
      <c r="BF917" s="6"/>
      <c r="BG917" s="6"/>
      <c r="BH917" s="6"/>
      <c r="BI917" s="74"/>
      <c r="BJ917" s="74"/>
      <c r="BK917" s="7">
        <f t="shared" ref="BK917:BK930" si="594">SUM(BC917:BJ917)</f>
        <v>1</v>
      </c>
      <c r="BL917" s="8">
        <f t="shared" ref="BL917:BL991" si="595">BB917+AY917-BK917</f>
        <v>0</v>
      </c>
      <c r="BM917" s="51" t="str">
        <f>IFERROR(VLOOKUP(A917,NF!$M:$O,3,0),"")</f>
        <v>Sushi</v>
      </c>
      <c r="BN917" s="7">
        <f t="shared" ref="BN917:BN991" si="596">SUM(N917,Z917,AL917,AX917,BK917)</f>
        <v>7.4</v>
      </c>
      <c r="BO917" s="8">
        <f t="array" ref="BO917">IFERROR(LARGE(IF(NF!$G$2:$G$3137='Mês atual'!A917,NF!$J$2:$J$3137),1),0)*BN917</f>
        <v>44.400000000000006</v>
      </c>
      <c r="BP917" s="50"/>
      <c r="BR917" s="146">
        <f t="array" ref="BR917">IFERROR(LARGE(IF(NF!$G$2:$G$3137='Mês atual'!A917,NF!$J$2:$J$3137),1),0)</f>
        <v>6</v>
      </c>
      <c r="BS917" s="142" t="str">
        <f>VLOOKUP(A917,NF!M:O,3,0)</f>
        <v>Sushi</v>
      </c>
      <c r="BV917" s="74">
        <f t="shared" si="549"/>
        <v>1.4</v>
      </c>
      <c r="BW917" s="74">
        <f t="shared" si="550"/>
        <v>1</v>
      </c>
      <c r="BX917" s="74">
        <f t="shared" si="551"/>
        <v>2</v>
      </c>
      <c r="BY917" s="74">
        <f t="shared" si="552"/>
        <v>2</v>
      </c>
      <c r="BZ917" s="74">
        <f t="shared" si="553"/>
        <v>1</v>
      </c>
    </row>
    <row r="918" spans="1:78" x14ac:dyDescent="0.2">
      <c r="A918" s="108" t="s">
        <v>990</v>
      </c>
      <c r="B918" s="12"/>
      <c r="C918" s="9">
        <v>0</v>
      </c>
      <c r="D918" s="25"/>
      <c r="E918" s="10" t="str">
        <f t="shared" si="581"/>
        <v>MarçoSEMANA 1Abacaxi (sushi)</v>
      </c>
      <c r="F918" s="7">
        <f>SUMIF(NF!$A:$A,$E918,NF!$I:$I)</f>
        <v>0</v>
      </c>
      <c r="G918" s="74"/>
      <c r="H918" s="74"/>
      <c r="I918" s="74"/>
      <c r="J918" s="6"/>
      <c r="K918" s="6"/>
      <c r="L918" s="6"/>
      <c r="M918" s="6"/>
      <c r="N918" s="7">
        <f>SUM(G918:M918)</f>
        <v>0</v>
      </c>
      <c r="O918" s="11">
        <f>F918+C918-N918</f>
        <v>0</v>
      </c>
      <c r="P918" s="25"/>
      <c r="Q918" s="10" t="str">
        <f t="shared" si="584"/>
        <v>MarçoSEMANA 2Abacaxi (sushi)</v>
      </c>
      <c r="R918" s="7">
        <f>SUMIF(NF!$A:$A,$Q918,NF!$I:$I)</f>
        <v>0</v>
      </c>
      <c r="S918" s="6"/>
      <c r="T918" s="6"/>
      <c r="U918" s="6"/>
      <c r="V918" s="6"/>
      <c r="W918" s="6"/>
      <c r="X918" s="6"/>
      <c r="Y918" s="6"/>
      <c r="Z918" s="7">
        <f>SUM(S918:Y918)</f>
        <v>0</v>
      </c>
      <c r="AA918" s="11">
        <f>R918+O918-Z918</f>
        <v>0</v>
      </c>
      <c r="AB918" s="25"/>
      <c r="AC918" s="10" t="str">
        <f t="shared" si="587"/>
        <v>MarçoSEMANA 3Abacaxi (sushi)</v>
      </c>
      <c r="AD918" s="7">
        <f>SUMIF(NF!$A:$A,$AC918,NF!$I:$I)</f>
        <v>0</v>
      </c>
      <c r="AE918" s="6"/>
      <c r="AF918" s="6"/>
      <c r="AG918" s="6"/>
      <c r="AH918" s="6"/>
      <c r="AI918" s="6"/>
      <c r="AJ918" s="6"/>
      <c r="AK918" s="6"/>
      <c r="AL918" s="7">
        <f>SUM(AE918:AK918)</f>
        <v>0</v>
      </c>
      <c r="AM918" s="11">
        <f>AD918+AA918-AL918</f>
        <v>0</v>
      </c>
      <c r="AN918" s="25"/>
      <c r="AO918" s="10" t="str">
        <f t="shared" si="590"/>
        <v>MarçoSEMANA 4Abacaxi (sushi)</v>
      </c>
      <c r="AP918" s="7">
        <f>SUMIF(NF!$A:$A,$AO918,NF!$I:$I)</f>
        <v>0</v>
      </c>
      <c r="AQ918" s="6"/>
      <c r="AR918" s="6"/>
      <c r="AS918" s="6"/>
      <c r="AT918" s="6"/>
      <c r="AU918" s="6"/>
      <c r="AV918" s="6"/>
      <c r="AW918" s="6"/>
      <c r="AX918" s="7">
        <f>SUM(AQ918:AW918)</f>
        <v>0</v>
      </c>
      <c r="AY918" s="11">
        <f>AP918+AM918-AX918</f>
        <v>0</v>
      </c>
      <c r="AZ918" s="25"/>
      <c r="BA918" s="10" t="str">
        <f t="shared" si="593"/>
        <v>MarçoSEMANA 5Abacaxi (sushi)</v>
      </c>
      <c r="BB918" s="7">
        <f>SUMIF(NF!$A:$A,$BA918,NF!$I:$I)</f>
        <v>0</v>
      </c>
      <c r="BC918" s="6"/>
      <c r="BD918" s="6"/>
      <c r="BE918" s="6"/>
      <c r="BF918" s="6"/>
      <c r="BG918" s="6"/>
      <c r="BH918" s="6"/>
      <c r="BI918" s="74"/>
      <c r="BJ918" s="74"/>
      <c r="BK918" s="7">
        <f>SUM(BC918:BJ918)</f>
        <v>0</v>
      </c>
      <c r="BL918" s="8">
        <f>BB918+AY918-BK918</f>
        <v>0</v>
      </c>
      <c r="BM918" s="51" t="str">
        <f>IFERROR(VLOOKUP(A918,NF!$M:$O,3,0),"")</f>
        <v>Sushi</v>
      </c>
      <c r="BN918" s="7">
        <f>SUM(N918,Z918,AL918,AX918,BK918)</f>
        <v>0</v>
      </c>
      <c r="BO918" s="8">
        <f t="array" ref="BO918">IFERROR(LARGE(IF(NF!$G$2:$G$3137='Mês atual'!A918,NF!$J$2:$J$3137),1),0)*BN918</f>
        <v>0</v>
      </c>
      <c r="BP918" s="50"/>
      <c r="BR918" s="146">
        <f t="array" ref="BR918">IFERROR(LARGE(IF(NF!$G$2:$G$3137='Mês atual'!A918,NF!$J$2:$J$3137),1),0)</f>
        <v>0</v>
      </c>
      <c r="BS918" s="142" t="str">
        <f>VLOOKUP(A918,NF!M:O,3,0)</f>
        <v>Sushi</v>
      </c>
      <c r="BV918" s="74">
        <f t="shared" si="549"/>
        <v>0</v>
      </c>
      <c r="BW918" s="74">
        <f t="shared" si="550"/>
        <v>0</v>
      </c>
      <c r="BX918" s="74">
        <f t="shared" si="551"/>
        <v>0</v>
      </c>
      <c r="BY918" s="74">
        <f t="shared" si="552"/>
        <v>0</v>
      </c>
      <c r="BZ918" s="74">
        <f t="shared" si="553"/>
        <v>0</v>
      </c>
    </row>
    <row r="919" spans="1:78" x14ac:dyDescent="0.2">
      <c r="A919" s="108" t="s">
        <v>898</v>
      </c>
      <c r="B919" s="12"/>
      <c r="C919" s="9">
        <v>0</v>
      </c>
      <c r="D919" s="25"/>
      <c r="E919" s="10" t="str">
        <f t="shared" si="581"/>
        <v>MarçoSEMANA 1Abobrinha Sushi</v>
      </c>
      <c r="F919" s="7">
        <f>SUMIF(NF!$A:$A,$E919,NF!$I:$I)</f>
        <v>0</v>
      </c>
      <c r="G919" s="74"/>
      <c r="H919" s="74"/>
      <c r="I919" s="74"/>
      <c r="J919" s="6"/>
      <c r="K919" s="6"/>
      <c r="L919" s="6"/>
      <c r="M919" s="6"/>
      <c r="N919" s="7">
        <f t="shared" si="582"/>
        <v>0</v>
      </c>
      <c r="O919" s="11">
        <f t="shared" si="583"/>
        <v>0</v>
      </c>
      <c r="P919" s="25"/>
      <c r="Q919" s="10" t="str">
        <f t="shared" si="584"/>
        <v>MarçoSEMANA 2Abobrinha Sushi</v>
      </c>
      <c r="R919" s="7">
        <f>SUMIF(NF!$A:$A,$Q919,NF!$I:$I)</f>
        <v>0</v>
      </c>
      <c r="S919" s="6"/>
      <c r="T919" s="6"/>
      <c r="U919" s="6"/>
      <c r="V919" s="6"/>
      <c r="W919" s="6"/>
      <c r="X919" s="6"/>
      <c r="Y919" s="6"/>
      <c r="Z919" s="7">
        <f t="shared" si="585"/>
        <v>0</v>
      </c>
      <c r="AA919" s="11">
        <f t="shared" si="586"/>
        <v>0</v>
      </c>
      <c r="AB919" s="25"/>
      <c r="AC919" s="10" t="str">
        <f t="shared" si="587"/>
        <v>MarçoSEMANA 3Abobrinha Sushi</v>
      </c>
      <c r="AD919" s="7">
        <f>SUMIF(NF!$A:$A,$AC919,NF!$I:$I)</f>
        <v>0</v>
      </c>
      <c r="AE919" s="6"/>
      <c r="AF919" s="6"/>
      <c r="AG919" s="6"/>
      <c r="AH919" s="6"/>
      <c r="AI919" s="6"/>
      <c r="AJ919" s="6"/>
      <c r="AK919" s="6"/>
      <c r="AL919" s="7">
        <f t="shared" si="588"/>
        <v>0</v>
      </c>
      <c r="AM919" s="11">
        <f t="shared" si="589"/>
        <v>0</v>
      </c>
      <c r="AN919" s="25"/>
      <c r="AO919" s="10" t="str">
        <f t="shared" si="590"/>
        <v>MarçoSEMANA 4Abobrinha Sushi</v>
      </c>
      <c r="AP919" s="7">
        <f>SUMIF(NF!$A:$A,$AO919,NF!$I:$I)</f>
        <v>0</v>
      </c>
      <c r="AQ919" s="6"/>
      <c r="AR919" s="6"/>
      <c r="AS919" s="6"/>
      <c r="AT919" s="6"/>
      <c r="AU919" s="6"/>
      <c r="AV919" s="6"/>
      <c r="AW919" s="6"/>
      <c r="AX919" s="7">
        <f t="shared" si="591"/>
        <v>0</v>
      </c>
      <c r="AY919" s="11">
        <f t="shared" si="592"/>
        <v>0</v>
      </c>
      <c r="AZ919" s="25"/>
      <c r="BA919" s="10" t="str">
        <f t="shared" si="593"/>
        <v>MarçoSEMANA 5Abobrinha Sushi</v>
      </c>
      <c r="BB919" s="7">
        <f>SUMIF(NF!$A:$A,$BA919,NF!$I:$I)</f>
        <v>0</v>
      </c>
      <c r="BC919" s="6"/>
      <c r="BD919" s="6"/>
      <c r="BE919" s="6"/>
      <c r="BF919" s="6"/>
      <c r="BG919" s="6"/>
      <c r="BH919" s="6"/>
      <c r="BI919" s="74"/>
      <c r="BJ919" s="74"/>
      <c r="BK919" s="7">
        <f t="shared" si="594"/>
        <v>0</v>
      </c>
      <c r="BL919" s="8">
        <f t="shared" si="595"/>
        <v>0</v>
      </c>
      <c r="BM919" s="51" t="str">
        <f>IFERROR(VLOOKUP(A919,NF!$M:$O,3,0),"")</f>
        <v>Sushi</v>
      </c>
      <c r="BN919" s="7">
        <f t="shared" si="596"/>
        <v>0</v>
      </c>
      <c r="BO919" s="8">
        <f t="array" ref="BO919">IFERROR(LARGE(IF(NF!$G$2:$G$3137='Mês atual'!A919,NF!$J$2:$J$3137),1),0)*BN919</f>
        <v>0</v>
      </c>
      <c r="BP919" s="50"/>
      <c r="BR919" s="146">
        <f t="array" ref="BR919">IFERROR(LARGE(IF(NF!$G$2:$G$3137='Mês atual'!A919,NF!$J$2:$J$3137),1),0)</f>
        <v>0</v>
      </c>
      <c r="BS919" s="142" t="str">
        <f>VLOOKUP(A919,NF!M:O,3,0)</f>
        <v>Sushi</v>
      </c>
      <c r="BV919" s="74">
        <f t="shared" si="549"/>
        <v>0</v>
      </c>
      <c r="BW919" s="74">
        <f t="shared" si="550"/>
        <v>0</v>
      </c>
      <c r="BX919" s="74">
        <f t="shared" si="551"/>
        <v>0</v>
      </c>
      <c r="BY919" s="74">
        <f t="shared" si="552"/>
        <v>0</v>
      </c>
      <c r="BZ919" s="74">
        <f t="shared" si="553"/>
        <v>0</v>
      </c>
    </row>
    <row r="920" spans="1:78" x14ac:dyDescent="0.2">
      <c r="A920" s="108" t="s">
        <v>76</v>
      </c>
      <c r="B920" s="12"/>
      <c r="C920" s="9">
        <v>0</v>
      </c>
      <c r="D920" s="25"/>
      <c r="E920" s="10" t="str">
        <f t="shared" si="581"/>
        <v>MarçoSEMANA 1Acelga sushi</v>
      </c>
      <c r="F920" s="7">
        <f>SUMIF(NF!$A:$A,$E920,NF!$I:$I)</f>
        <v>0</v>
      </c>
      <c r="G920" s="74"/>
      <c r="H920" s="74"/>
      <c r="I920" s="74"/>
      <c r="J920" s="6"/>
      <c r="K920" s="6"/>
      <c r="L920" s="6"/>
      <c r="M920" s="6"/>
      <c r="N920" s="7">
        <f t="shared" si="582"/>
        <v>0</v>
      </c>
      <c r="O920" s="11">
        <f t="shared" si="583"/>
        <v>0</v>
      </c>
      <c r="P920" s="25"/>
      <c r="Q920" s="10" t="str">
        <f t="shared" si="584"/>
        <v>MarçoSEMANA 2Acelga sushi</v>
      </c>
      <c r="R920" s="7">
        <f>SUMIF(NF!$A:$A,$Q920,NF!$I:$I)</f>
        <v>0</v>
      </c>
      <c r="S920" s="6"/>
      <c r="T920" s="6"/>
      <c r="U920" s="6"/>
      <c r="V920" s="6"/>
      <c r="W920" s="6"/>
      <c r="X920" s="6"/>
      <c r="Y920" s="6"/>
      <c r="Z920" s="7">
        <f t="shared" si="585"/>
        <v>0</v>
      </c>
      <c r="AA920" s="11">
        <f t="shared" si="586"/>
        <v>0</v>
      </c>
      <c r="AB920" s="25"/>
      <c r="AC920" s="10" t="str">
        <f t="shared" si="587"/>
        <v>MarçoSEMANA 3Acelga sushi</v>
      </c>
      <c r="AD920" s="7">
        <f>SUMIF(NF!$A:$A,$AC920,NF!$I:$I)</f>
        <v>0</v>
      </c>
      <c r="AE920" s="6"/>
      <c r="AF920" s="6"/>
      <c r="AG920" s="6"/>
      <c r="AH920" s="6"/>
      <c r="AI920" s="6"/>
      <c r="AJ920" s="6"/>
      <c r="AK920" s="6"/>
      <c r="AL920" s="7">
        <f t="shared" si="588"/>
        <v>0</v>
      </c>
      <c r="AM920" s="11">
        <f t="shared" si="589"/>
        <v>0</v>
      </c>
      <c r="AN920" s="25"/>
      <c r="AO920" s="10" t="str">
        <f t="shared" si="590"/>
        <v>MarçoSEMANA 4Acelga sushi</v>
      </c>
      <c r="AP920" s="7">
        <f>SUMIF(NF!$A:$A,$AO920,NF!$I:$I)</f>
        <v>0</v>
      </c>
      <c r="AQ920" s="6"/>
      <c r="AR920" s="6"/>
      <c r="AS920" s="6"/>
      <c r="AT920" s="6"/>
      <c r="AU920" s="6"/>
      <c r="AV920" s="6"/>
      <c r="AW920" s="6"/>
      <c r="AX920" s="7">
        <f t="shared" si="591"/>
        <v>0</v>
      </c>
      <c r="AY920" s="11">
        <f t="shared" si="592"/>
        <v>0</v>
      </c>
      <c r="AZ920" s="25"/>
      <c r="BA920" s="10" t="str">
        <f t="shared" si="593"/>
        <v>MarçoSEMANA 5Acelga sushi</v>
      </c>
      <c r="BB920" s="7">
        <f>SUMIF(NF!$A:$A,$BA920,NF!$I:$I)</f>
        <v>0</v>
      </c>
      <c r="BC920" s="6"/>
      <c r="BD920" s="6"/>
      <c r="BE920" s="6"/>
      <c r="BF920" s="6"/>
      <c r="BG920" s="6"/>
      <c r="BH920" s="6"/>
      <c r="BI920" s="74"/>
      <c r="BJ920" s="74"/>
      <c r="BK920" s="7">
        <f t="shared" si="594"/>
        <v>0</v>
      </c>
      <c r="BL920" s="8">
        <f t="shared" si="595"/>
        <v>0</v>
      </c>
      <c r="BM920" s="51" t="str">
        <f>IFERROR(VLOOKUP(A920,NF!$M:$O,3,0),"")</f>
        <v>Sushi</v>
      </c>
      <c r="BN920" s="7">
        <f t="shared" si="596"/>
        <v>0</v>
      </c>
      <c r="BO920" s="8">
        <f t="array" ref="BO920">IFERROR(LARGE(IF(NF!$G$2:$G$3137='Mês atual'!A920,NF!$J$2:$J$3137),1),0)*BN920</f>
        <v>0</v>
      </c>
      <c r="BP920" s="50"/>
      <c r="BR920" s="146">
        <f t="array" ref="BR920">IFERROR(LARGE(IF(NF!$G$2:$G$3137='Mês atual'!A920,NF!$J$2:$J$3137),1),0)</f>
        <v>0</v>
      </c>
      <c r="BS920" s="142" t="str">
        <f>VLOOKUP(A920,NF!M:O,3,0)</f>
        <v>Sushi</v>
      </c>
      <c r="BV920" s="74">
        <f t="shared" si="549"/>
        <v>0</v>
      </c>
      <c r="BW920" s="74">
        <f t="shared" si="550"/>
        <v>0</v>
      </c>
      <c r="BX920" s="74">
        <f t="shared" si="551"/>
        <v>0</v>
      </c>
      <c r="BY920" s="74">
        <f t="shared" si="552"/>
        <v>0</v>
      </c>
      <c r="BZ920" s="74">
        <f t="shared" si="553"/>
        <v>0</v>
      </c>
    </row>
    <row r="921" spans="1:78" x14ac:dyDescent="0.25">
      <c r="A921" s="108" t="s">
        <v>80</v>
      </c>
      <c r="B921" s="12"/>
      <c r="C921" s="9">
        <v>0</v>
      </c>
      <c r="D921" s="25"/>
      <c r="E921" s="10" t="str">
        <f t="shared" si="581"/>
        <v>MarçoSEMANA 1Açucar Refinado Sushi</v>
      </c>
      <c r="F921" s="7">
        <f>SUMIF(NF!$A:$A,$E921,NF!$I:$I)</f>
        <v>12</v>
      </c>
      <c r="G921" s="74"/>
      <c r="H921" s="74"/>
      <c r="I921" s="74"/>
      <c r="J921" s="6"/>
      <c r="K921" s="6"/>
      <c r="L921" s="6">
        <v>6</v>
      </c>
      <c r="M921" s="6"/>
      <c r="N921" s="7">
        <f t="shared" si="582"/>
        <v>6</v>
      </c>
      <c r="O921" s="11">
        <f t="shared" si="583"/>
        <v>6</v>
      </c>
      <c r="P921" s="25"/>
      <c r="Q921" s="10" t="str">
        <f t="shared" si="584"/>
        <v>MarçoSEMANA 2Açucar Refinado Sushi</v>
      </c>
      <c r="R921" s="7">
        <f>SUMIF(NF!$A:$A,$Q921,NF!$I:$I)</f>
        <v>0</v>
      </c>
      <c r="S921" s="6"/>
      <c r="T921" s="6"/>
      <c r="U921" s="6"/>
      <c r="V921" s="6"/>
      <c r="W921" s="6">
        <v>6</v>
      </c>
      <c r="X921" s="6"/>
      <c r="Y921" s="6"/>
      <c r="Z921" s="7">
        <f t="shared" si="585"/>
        <v>6</v>
      </c>
      <c r="AA921" s="11">
        <f t="shared" si="586"/>
        <v>0</v>
      </c>
      <c r="AB921" s="25"/>
      <c r="AC921" s="10" t="str">
        <f t="shared" si="587"/>
        <v>MarçoSEMANA 3Açucar Refinado Sushi</v>
      </c>
      <c r="AD921" s="7">
        <f>SUMIF(NF!$A:$A,$AC921,NF!$I:$I)</f>
        <v>6</v>
      </c>
      <c r="AE921" s="6"/>
      <c r="AF921" s="6"/>
      <c r="AG921" s="6"/>
      <c r="AH921" s="6"/>
      <c r="AI921" s="6"/>
      <c r="AJ921" s="6"/>
      <c r="AK921" s="6"/>
      <c r="AL921" s="7">
        <f t="shared" si="588"/>
        <v>0</v>
      </c>
      <c r="AM921" s="11">
        <f t="shared" si="589"/>
        <v>6</v>
      </c>
      <c r="AN921" s="25"/>
      <c r="AO921" s="10" t="str">
        <f t="shared" si="590"/>
        <v>MarçoSEMANA 4Açucar Refinado Sushi</v>
      </c>
      <c r="AP921" s="7">
        <f>SUMIF(NF!$A:$A,$AO921,NF!$I:$I)</f>
        <v>12</v>
      </c>
      <c r="AQ921" s="6"/>
      <c r="AR921" s="6"/>
      <c r="AS921" s="6">
        <v>6</v>
      </c>
      <c r="AT921" s="6"/>
      <c r="AU921" s="6">
        <v>6</v>
      </c>
      <c r="AV921" s="6"/>
      <c r="AW921" s="6"/>
      <c r="AX921" s="7">
        <f t="shared" si="591"/>
        <v>12</v>
      </c>
      <c r="AY921" s="11">
        <f t="shared" si="592"/>
        <v>6</v>
      </c>
      <c r="AZ921" s="25"/>
      <c r="BA921" s="10" t="str">
        <f t="shared" si="593"/>
        <v>MarçoSEMANA 5Açucar Refinado Sushi</v>
      </c>
      <c r="BB921" s="7">
        <f>SUMIF(NF!$A:$A,$BA921,NF!$I:$I)</f>
        <v>0</v>
      </c>
      <c r="BC921" s="6">
        <v>6</v>
      </c>
      <c r="BD921" s="6"/>
      <c r="BE921" s="6"/>
      <c r="BF921" s="6"/>
      <c r="BG921" s="6"/>
      <c r="BH921" s="6"/>
      <c r="BI921" s="74"/>
      <c r="BJ921" s="74"/>
      <c r="BK921" s="7">
        <f t="shared" si="594"/>
        <v>6</v>
      </c>
      <c r="BL921" s="8">
        <f t="shared" si="595"/>
        <v>0</v>
      </c>
      <c r="BM921" s="51" t="str">
        <f>IFERROR(VLOOKUP(A921,NF!$M:$O,3,0),"")</f>
        <v>Sushi</v>
      </c>
      <c r="BN921" s="7">
        <f t="shared" si="596"/>
        <v>30</v>
      </c>
      <c r="BO921" s="8">
        <f t="array" ref="BO921">IFERROR(LARGE(IF(NF!$G$2:$G$3137='Mês atual'!A921,NF!$J$2:$J$3137),1),0)*BN921</f>
        <v>74.7</v>
      </c>
      <c r="BP921" s="50"/>
      <c r="BR921" s="146">
        <f t="array" ref="BR921">IFERROR(LARGE(IF(NF!$G$2:$G$3137='Mês atual'!A921,NF!$J$2:$J$3137),1),0)</f>
        <v>2.4900000000000002</v>
      </c>
      <c r="BS921" s="142" t="str">
        <f>VLOOKUP(A921,NF!M:O,3,0)</f>
        <v>Sushi</v>
      </c>
      <c r="BV921" s="74">
        <f t="shared" si="549"/>
        <v>6</v>
      </c>
      <c r="BW921" s="74">
        <f t="shared" si="550"/>
        <v>6</v>
      </c>
      <c r="BX921" s="74">
        <f t="shared" si="551"/>
        <v>0</v>
      </c>
      <c r="BY921" s="74">
        <f t="shared" si="552"/>
        <v>12</v>
      </c>
      <c r="BZ921" s="74">
        <f t="shared" si="553"/>
        <v>6</v>
      </c>
    </row>
    <row r="922" spans="1:78" x14ac:dyDescent="0.25">
      <c r="A922" s="108" t="s">
        <v>87</v>
      </c>
      <c r="B922" s="12"/>
      <c r="C922" s="9">
        <v>0</v>
      </c>
      <c r="D922" s="25"/>
      <c r="E922" s="10" t="str">
        <f t="shared" si="581"/>
        <v>MarçoSEMANA 1Agrião Sushi</v>
      </c>
      <c r="F922" s="7">
        <f>SUMIF(NF!$A:$A,$E922,NF!$I:$I)</f>
        <v>0</v>
      </c>
      <c r="G922" s="74"/>
      <c r="H922" s="74"/>
      <c r="I922" s="74"/>
      <c r="J922" s="6"/>
      <c r="K922" s="6"/>
      <c r="L922" s="6"/>
      <c r="M922" s="6"/>
      <c r="N922" s="7">
        <f t="shared" si="582"/>
        <v>0</v>
      </c>
      <c r="O922" s="11">
        <f t="shared" si="583"/>
        <v>0</v>
      </c>
      <c r="P922" s="25"/>
      <c r="Q922" s="10" t="str">
        <f t="shared" si="584"/>
        <v>MarçoSEMANA 2Agrião Sushi</v>
      </c>
      <c r="R922" s="7">
        <f>SUMIF(NF!$A:$A,$Q922,NF!$I:$I)</f>
        <v>0</v>
      </c>
      <c r="S922" s="6"/>
      <c r="T922" s="6"/>
      <c r="U922" s="6"/>
      <c r="V922" s="6"/>
      <c r="W922" s="6"/>
      <c r="X922" s="6"/>
      <c r="Y922" s="6"/>
      <c r="Z922" s="7">
        <f t="shared" si="585"/>
        <v>0</v>
      </c>
      <c r="AA922" s="11">
        <f t="shared" si="586"/>
        <v>0</v>
      </c>
      <c r="AB922" s="25"/>
      <c r="AC922" s="10" t="str">
        <f t="shared" si="587"/>
        <v>MarçoSEMANA 3Agrião Sushi</v>
      </c>
      <c r="AD922" s="7">
        <f>SUMIF(NF!$A:$A,$AC922,NF!$I:$I)</f>
        <v>0</v>
      </c>
      <c r="AE922" s="6"/>
      <c r="AF922" s="6"/>
      <c r="AG922" s="6"/>
      <c r="AH922" s="6"/>
      <c r="AI922" s="6"/>
      <c r="AJ922" s="6"/>
      <c r="AK922" s="6"/>
      <c r="AL922" s="7">
        <f t="shared" si="588"/>
        <v>0</v>
      </c>
      <c r="AM922" s="11">
        <f t="shared" si="589"/>
        <v>0</v>
      </c>
      <c r="AN922" s="25"/>
      <c r="AO922" s="10" t="str">
        <f t="shared" si="590"/>
        <v>MarçoSEMANA 4Agrião Sushi</v>
      </c>
      <c r="AP922" s="7">
        <f>SUMIF(NF!$A:$A,$AO922,NF!$I:$I)</f>
        <v>0</v>
      </c>
      <c r="AQ922" s="6"/>
      <c r="AR922" s="6"/>
      <c r="AS922" s="6"/>
      <c r="AT922" s="6"/>
      <c r="AU922" s="6"/>
      <c r="AV922" s="6"/>
      <c r="AW922" s="6"/>
      <c r="AX922" s="7">
        <f t="shared" si="591"/>
        <v>0</v>
      </c>
      <c r="AY922" s="11">
        <f t="shared" si="592"/>
        <v>0</v>
      </c>
      <c r="AZ922" s="25"/>
      <c r="BA922" s="10" t="str">
        <f t="shared" si="593"/>
        <v>MarçoSEMANA 5Agrião Sushi</v>
      </c>
      <c r="BB922" s="7">
        <f>SUMIF(NF!$A:$A,$BA922,NF!$I:$I)</f>
        <v>0</v>
      </c>
      <c r="BC922" s="6"/>
      <c r="BD922" s="6"/>
      <c r="BE922" s="6"/>
      <c r="BF922" s="6"/>
      <c r="BG922" s="6"/>
      <c r="BH922" s="6"/>
      <c r="BI922" s="74"/>
      <c r="BJ922" s="74"/>
      <c r="BK922" s="7">
        <f t="shared" si="594"/>
        <v>0</v>
      </c>
      <c r="BL922" s="8">
        <f t="shared" si="595"/>
        <v>0</v>
      </c>
      <c r="BM922" s="51" t="str">
        <f>IFERROR(VLOOKUP(A922,NF!$M:$O,3,0),"")</f>
        <v>Sushi</v>
      </c>
      <c r="BN922" s="7">
        <f t="shared" si="596"/>
        <v>0</v>
      </c>
      <c r="BO922" s="8">
        <f t="array" ref="BO922">IFERROR(LARGE(IF(NF!$G$2:$G$3137='Mês atual'!A922,NF!$J$2:$J$3137),1),0)*BN922</f>
        <v>0</v>
      </c>
      <c r="BP922" s="50"/>
      <c r="BR922" s="146">
        <f t="array" ref="BR922">IFERROR(LARGE(IF(NF!$G$2:$G$3137='Mês atual'!A922,NF!$J$2:$J$3137),1),0)</f>
        <v>0</v>
      </c>
      <c r="BS922" s="142" t="str">
        <f>VLOOKUP(A922,NF!M:O,3,0)</f>
        <v>Sushi</v>
      </c>
      <c r="BV922" s="74">
        <f t="shared" si="549"/>
        <v>0</v>
      </c>
      <c r="BW922" s="74">
        <f t="shared" si="550"/>
        <v>0</v>
      </c>
      <c r="BX922" s="74">
        <f t="shared" si="551"/>
        <v>0</v>
      </c>
      <c r="BY922" s="74">
        <f t="shared" si="552"/>
        <v>0</v>
      </c>
      <c r="BZ922" s="74">
        <f t="shared" si="553"/>
        <v>0</v>
      </c>
    </row>
    <row r="923" spans="1:78" x14ac:dyDescent="0.2">
      <c r="A923" s="108" t="s">
        <v>106</v>
      </c>
      <c r="B923" s="12"/>
      <c r="C923" s="9">
        <v>0</v>
      </c>
      <c r="D923" s="25"/>
      <c r="E923" s="10" t="str">
        <f t="shared" si="581"/>
        <v>MarçoSEMANA 1Alface Crespa Sushi</v>
      </c>
      <c r="F923" s="7">
        <f>SUMIF(NF!$A:$A,$E923,NF!$I:$I)</f>
        <v>0</v>
      </c>
      <c r="G923" s="74"/>
      <c r="H923" s="74"/>
      <c r="I923" s="74"/>
      <c r="J923" s="6"/>
      <c r="K923" s="6"/>
      <c r="L923" s="6"/>
      <c r="M923" s="6"/>
      <c r="N923" s="7">
        <f t="shared" si="582"/>
        <v>0</v>
      </c>
      <c r="O923" s="11">
        <f t="shared" si="583"/>
        <v>0</v>
      </c>
      <c r="P923" s="25"/>
      <c r="Q923" s="10" t="str">
        <f t="shared" si="584"/>
        <v>MarçoSEMANA 2Alface Crespa Sushi</v>
      </c>
      <c r="R923" s="7">
        <f>SUMIF(NF!$A:$A,$Q923,NF!$I:$I)</f>
        <v>0</v>
      </c>
      <c r="S923" s="6"/>
      <c r="T923" s="6"/>
      <c r="U923" s="6"/>
      <c r="V923" s="6"/>
      <c r="W923" s="6"/>
      <c r="X923" s="6"/>
      <c r="Y923" s="6"/>
      <c r="Z923" s="7">
        <f t="shared" si="585"/>
        <v>0</v>
      </c>
      <c r="AA923" s="11">
        <f t="shared" si="586"/>
        <v>0</v>
      </c>
      <c r="AB923" s="25"/>
      <c r="AC923" s="10" t="str">
        <f t="shared" si="587"/>
        <v>MarçoSEMANA 3Alface Crespa Sushi</v>
      </c>
      <c r="AD923" s="7">
        <f>SUMIF(NF!$A:$A,$AC923,NF!$I:$I)</f>
        <v>0</v>
      </c>
      <c r="AE923" s="6"/>
      <c r="AF923" s="6"/>
      <c r="AG923" s="6"/>
      <c r="AH923" s="6"/>
      <c r="AI923" s="6"/>
      <c r="AJ923" s="6"/>
      <c r="AK923" s="6"/>
      <c r="AL923" s="7">
        <f t="shared" si="588"/>
        <v>0</v>
      </c>
      <c r="AM923" s="11">
        <f t="shared" si="589"/>
        <v>0</v>
      </c>
      <c r="AN923" s="25"/>
      <c r="AO923" s="10" t="str">
        <f t="shared" si="590"/>
        <v>MarçoSEMANA 4Alface Crespa Sushi</v>
      </c>
      <c r="AP923" s="7">
        <f>SUMIF(NF!$A:$A,$AO923,NF!$I:$I)</f>
        <v>0</v>
      </c>
      <c r="AQ923" s="6"/>
      <c r="AR923" s="6"/>
      <c r="AS923" s="6"/>
      <c r="AT923" s="6"/>
      <c r="AU923" s="6"/>
      <c r="AV923" s="6"/>
      <c r="AW923" s="6"/>
      <c r="AX923" s="7">
        <f t="shared" si="591"/>
        <v>0</v>
      </c>
      <c r="AY923" s="11">
        <f t="shared" si="592"/>
        <v>0</v>
      </c>
      <c r="AZ923" s="25"/>
      <c r="BA923" s="10" t="str">
        <f t="shared" si="593"/>
        <v>MarçoSEMANA 5Alface Crespa Sushi</v>
      </c>
      <c r="BB923" s="7">
        <f>SUMIF(NF!$A:$A,$BA923,NF!$I:$I)</f>
        <v>0</v>
      </c>
      <c r="BC923" s="6"/>
      <c r="BD923" s="6"/>
      <c r="BE923" s="6"/>
      <c r="BF923" s="6"/>
      <c r="BG923" s="6"/>
      <c r="BH923" s="6"/>
      <c r="BI923" s="74"/>
      <c r="BJ923" s="74"/>
      <c r="BK923" s="7">
        <f t="shared" si="594"/>
        <v>0</v>
      </c>
      <c r="BL923" s="8">
        <f t="shared" si="595"/>
        <v>0</v>
      </c>
      <c r="BM923" s="51" t="str">
        <f>IFERROR(VLOOKUP(A923,NF!$M:$O,3,0),"")</f>
        <v>Sushi</v>
      </c>
      <c r="BN923" s="7">
        <f t="shared" si="596"/>
        <v>0</v>
      </c>
      <c r="BO923" s="8">
        <f t="array" ref="BO923">IFERROR(LARGE(IF(NF!$G$2:$G$3137='Mês atual'!A923,NF!$J$2:$J$3137),1),0)*BN923</f>
        <v>0</v>
      </c>
      <c r="BP923" s="50"/>
      <c r="BR923" s="146">
        <f t="array" ref="BR923">IFERROR(LARGE(IF(NF!$G$2:$G$3137='Mês atual'!A923,NF!$J$2:$J$3137),1),0)</f>
        <v>0</v>
      </c>
      <c r="BS923" s="142" t="str">
        <f>VLOOKUP(A923,NF!M:O,3,0)</f>
        <v>Sushi</v>
      </c>
      <c r="BV923" s="74">
        <f t="shared" si="549"/>
        <v>0</v>
      </c>
      <c r="BW923" s="74">
        <f t="shared" si="550"/>
        <v>0</v>
      </c>
      <c r="BX923" s="74">
        <f t="shared" si="551"/>
        <v>0</v>
      </c>
      <c r="BY923" s="74">
        <f t="shared" si="552"/>
        <v>0</v>
      </c>
      <c r="BZ923" s="74">
        <f t="shared" si="553"/>
        <v>0</v>
      </c>
    </row>
    <row r="924" spans="1:78" x14ac:dyDescent="0.25">
      <c r="A924" s="108" t="s">
        <v>897</v>
      </c>
      <c r="B924" s="12"/>
      <c r="C924" s="9">
        <v>0</v>
      </c>
      <c r="D924" s="25"/>
      <c r="E924" s="10" t="str">
        <f t="shared" si="581"/>
        <v>MarçoSEMANA 1Alho Poró Sushi</v>
      </c>
      <c r="F924" s="7">
        <f>SUMIF(NF!$A:$A,$E924,NF!$I:$I)</f>
        <v>0</v>
      </c>
      <c r="G924" s="74"/>
      <c r="H924" s="74"/>
      <c r="I924" s="74"/>
      <c r="J924" s="6"/>
      <c r="K924" s="6"/>
      <c r="L924" s="6"/>
      <c r="M924" s="6"/>
      <c r="N924" s="7">
        <f t="shared" si="582"/>
        <v>0</v>
      </c>
      <c r="O924" s="11">
        <f t="shared" si="583"/>
        <v>0</v>
      </c>
      <c r="P924" s="25"/>
      <c r="Q924" s="10" t="str">
        <f t="shared" si="584"/>
        <v>MarçoSEMANA 2Alho Poró Sushi</v>
      </c>
      <c r="R924" s="7">
        <f>SUMIF(NF!$A:$A,$Q924,NF!$I:$I)</f>
        <v>0</v>
      </c>
      <c r="S924" s="6"/>
      <c r="T924" s="6"/>
      <c r="U924" s="6"/>
      <c r="V924" s="6"/>
      <c r="W924" s="6"/>
      <c r="X924" s="6"/>
      <c r="Y924" s="6"/>
      <c r="Z924" s="7">
        <f t="shared" si="585"/>
        <v>0</v>
      </c>
      <c r="AA924" s="11">
        <f t="shared" si="586"/>
        <v>0</v>
      </c>
      <c r="AB924" s="25"/>
      <c r="AC924" s="10" t="str">
        <f t="shared" si="587"/>
        <v>MarçoSEMANA 3Alho Poró Sushi</v>
      </c>
      <c r="AD924" s="7">
        <f>SUMIF(NF!$A:$A,$AC924,NF!$I:$I)</f>
        <v>0</v>
      </c>
      <c r="AE924" s="6"/>
      <c r="AF924" s="6"/>
      <c r="AG924" s="6"/>
      <c r="AH924" s="6"/>
      <c r="AI924" s="6"/>
      <c r="AJ924" s="6"/>
      <c r="AK924" s="6"/>
      <c r="AL924" s="7">
        <f t="shared" si="588"/>
        <v>0</v>
      </c>
      <c r="AM924" s="11">
        <f t="shared" si="589"/>
        <v>0</v>
      </c>
      <c r="AN924" s="25"/>
      <c r="AO924" s="10" t="str">
        <f t="shared" si="590"/>
        <v>MarçoSEMANA 4Alho Poró Sushi</v>
      </c>
      <c r="AP924" s="7">
        <f>SUMIF(NF!$A:$A,$AO924,NF!$I:$I)</f>
        <v>0</v>
      </c>
      <c r="AQ924" s="6"/>
      <c r="AR924" s="6"/>
      <c r="AS924" s="6"/>
      <c r="AT924" s="6"/>
      <c r="AU924" s="6"/>
      <c r="AV924" s="6"/>
      <c r="AW924" s="6"/>
      <c r="AX924" s="7">
        <f t="shared" si="591"/>
        <v>0</v>
      </c>
      <c r="AY924" s="11">
        <f t="shared" si="592"/>
        <v>0</v>
      </c>
      <c r="AZ924" s="25"/>
      <c r="BA924" s="10" t="str">
        <f t="shared" si="593"/>
        <v>MarçoSEMANA 5Alho Poró Sushi</v>
      </c>
      <c r="BB924" s="7">
        <f>SUMIF(NF!$A:$A,$BA924,NF!$I:$I)</f>
        <v>0</v>
      </c>
      <c r="BC924" s="6"/>
      <c r="BD924" s="6"/>
      <c r="BE924" s="6"/>
      <c r="BF924" s="6"/>
      <c r="BG924" s="6"/>
      <c r="BH924" s="6"/>
      <c r="BI924" s="74"/>
      <c r="BJ924" s="74"/>
      <c r="BK924" s="7">
        <f t="shared" si="594"/>
        <v>0</v>
      </c>
      <c r="BL924" s="8">
        <f t="shared" si="595"/>
        <v>0</v>
      </c>
      <c r="BM924" s="51" t="str">
        <f>IFERROR(VLOOKUP(A924,NF!$M:$O,3,0),"")</f>
        <v>Sushi</v>
      </c>
      <c r="BN924" s="7">
        <f t="shared" si="596"/>
        <v>0</v>
      </c>
      <c r="BO924" s="8">
        <f t="array" ref="BO924">IFERROR(LARGE(IF(NF!$G$2:$G$3137='Mês atual'!A924,NF!$J$2:$J$3137),1),0)*BN924</f>
        <v>0</v>
      </c>
      <c r="BP924" s="50"/>
      <c r="BR924" s="146">
        <f t="array" ref="BR924">IFERROR(LARGE(IF(NF!$G$2:$G$3137='Mês atual'!A924,NF!$J$2:$J$3137),1),0)</f>
        <v>0</v>
      </c>
      <c r="BS924" s="142" t="str">
        <f>VLOOKUP(A924,NF!M:O,3,0)</f>
        <v>Sushi</v>
      </c>
      <c r="BV924" s="74">
        <f t="shared" si="549"/>
        <v>0</v>
      </c>
      <c r="BW924" s="74">
        <f t="shared" si="550"/>
        <v>0</v>
      </c>
      <c r="BX924" s="74">
        <f t="shared" si="551"/>
        <v>0</v>
      </c>
      <c r="BY924" s="74">
        <f t="shared" si="552"/>
        <v>0</v>
      </c>
      <c r="BZ924" s="74">
        <f t="shared" si="553"/>
        <v>0</v>
      </c>
    </row>
    <row r="925" spans="1:78" x14ac:dyDescent="0.2">
      <c r="A925" s="108" t="s">
        <v>122</v>
      </c>
      <c r="B925" s="12"/>
      <c r="C925" s="9">
        <v>0</v>
      </c>
      <c r="D925" s="25"/>
      <c r="E925" s="10" t="str">
        <f t="shared" si="581"/>
        <v>MarçoSEMANA 1Anelina Sushi</v>
      </c>
      <c r="F925" s="7">
        <f>SUMIF(NF!$A:$A,$E925,NF!$I:$I)</f>
        <v>0</v>
      </c>
      <c r="G925" s="74"/>
      <c r="H925" s="74"/>
      <c r="I925" s="74"/>
      <c r="J925" s="6"/>
      <c r="K925" s="6"/>
      <c r="L925" s="6"/>
      <c r="M925" s="6"/>
      <c r="N925" s="7">
        <f t="shared" si="582"/>
        <v>0</v>
      </c>
      <c r="O925" s="11">
        <f t="shared" si="583"/>
        <v>0</v>
      </c>
      <c r="P925" s="25"/>
      <c r="Q925" s="10" t="str">
        <f t="shared" si="584"/>
        <v>MarçoSEMANA 2Anelina Sushi</v>
      </c>
      <c r="R925" s="7">
        <f>SUMIF(NF!$A:$A,$Q925,NF!$I:$I)</f>
        <v>0</v>
      </c>
      <c r="S925" s="6"/>
      <c r="T925" s="6"/>
      <c r="U925" s="6"/>
      <c r="V925" s="6"/>
      <c r="W925" s="6"/>
      <c r="X925" s="6"/>
      <c r="Y925" s="6"/>
      <c r="Z925" s="7">
        <f t="shared" si="585"/>
        <v>0</v>
      </c>
      <c r="AA925" s="11">
        <f t="shared" si="586"/>
        <v>0</v>
      </c>
      <c r="AB925" s="25"/>
      <c r="AC925" s="10" t="str">
        <f t="shared" si="587"/>
        <v>MarçoSEMANA 3Anelina Sushi</v>
      </c>
      <c r="AD925" s="7">
        <f>SUMIF(NF!$A:$A,$AC925,NF!$I:$I)</f>
        <v>0</v>
      </c>
      <c r="AE925" s="6"/>
      <c r="AF925" s="6"/>
      <c r="AG925" s="6"/>
      <c r="AH925" s="6"/>
      <c r="AI925" s="6"/>
      <c r="AJ925" s="6"/>
      <c r="AK925" s="6"/>
      <c r="AL925" s="7">
        <f t="shared" si="588"/>
        <v>0</v>
      </c>
      <c r="AM925" s="11">
        <f t="shared" si="589"/>
        <v>0</v>
      </c>
      <c r="AN925" s="25"/>
      <c r="AO925" s="10" t="str">
        <f t="shared" si="590"/>
        <v>MarçoSEMANA 4Anelina Sushi</v>
      </c>
      <c r="AP925" s="7">
        <f>SUMIF(NF!$A:$A,$AO925,NF!$I:$I)</f>
        <v>0</v>
      </c>
      <c r="AQ925" s="6"/>
      <c r="AR925" s="6"/>
      <c r="AS925" s="6"/>
      <c r="AT925" s="6"/>
      <c r="AU925" s="6"/>
      <c r="AV925" s="6"/>
      <c r="AW925" s="6"/>
      <c r="AX925" s="7">
        <f t="shared" si="591"/>
        <v>0</v>
      </c>
      <c r="AY925" s="11">
        <f t="shared" si="592"/>
        <v>0</v>
      </c>
      <c r="AZ925" s="25"/>
      <c r="BA925" s="10" t="str">
        <f t="shared" si="593"/>
        <v>MarçoSEMANA 5Anelina Sushi</v>
      </c>
      <c r="BB925" s="7">
        <f>SUMIF(NF!$A:$A,$BA925,NF!$I:$I)</f>
        <v>0</v>
      </c>
      <c r="BC925" s="6"/>
      <c r="BD925" s="6"/>
      <c r="BE925" s="6"/>
      <c r="BF925" s="6"/>
      <c r="BG925" s="6"/>
      <c r="BH925" s="6"/>
      <c r="BI925" s="74"/>
      <c r="BJ925" s="74"/>
      <c r="BK925" s="7">
        <f t="shared" si="594"/>
        <v>0</v>
      </c>
      <c r="BL925" s="8">
        <f t="shared" si="595"/>
        <v>0</v>
      </c>
      <c r="BM925" s="51" t="str">
        <f>IFERROR(VLOOKUP(A925,NF!$M:$O,3,0),"")</f>
        <v>Sushi</v>
      </c>
      <c r="BN925" s="7">
        <f t="shared" si="596"/>
        <v>0</v>
      </c>
      <c r="BO925" s="8">
        <f t="array" ref="BO925">IFERROR(LARGE(IF(NF!$G$2:$G$3137='Mês atual'!A925,NF!$J$2:$J$3137),1),0)*BN925</f>
        <v>0</v>
      </c>
      <c r="BP925" s="50"/>
      <c r="BR925" s="146">
        <f t="array" ref="BR925">IFERROR(LARGE(IF(NF!$G$2:$G$3137='Mês atual'!A925,NF!$J$2:$J$3137),1),0)</f>
        <v>0</v>
      </c>
      <c r="BS925" s="142" t="str">
        <f>VLOOKUP(A925,NF!M:O,3,0)</f>
        <v>Sushi</v>
      </c>
      <c r="BV925" s="74">
        <f t="shared" si="549"/>
        <v>0</v>
      </c>
      <c r="BW925" s="74">
        <f t="shared" si="550"/>
        <v>0</v>
      </c>
      <c r="BX925" s="74">
        <f t="shared" si="551"/>
        <v>0</v>
      </c>
      <c r="BY925" s="74">
        <f t="shared" si="552"/>
        <v>0</v>
      </c>
      <c r="BZ925" s="74">
        <f t="shared" si="553"/>
        <v>0</v>
      </c>
    </row>
    <row r="926" spans="1:78" x14ac:dyDescent="0.25">
      <c r="A926" s="108" t="s">
        <v>900</v>
      </c>
      <c r="B926" s="12"/>
      <c r="C926" s="9">
        <v>25</v>
      </c>
      <c r="D926" s="25"/>
      <c r="E926" s="10" t="str">
        <f t="shared" si="581"/>
        <v>MarçoSEMANA 1Arroz Japonês (sushi)</v>
      </c>
      <c r="F926" s="7">
        <f>SUMIF(NF!$A:$A,$E926,NF!$I:$I)</f>
        <v>60</v>
      </c>
      <c r="G926" s="74"/>
      <c r="H926" s="74"/>
      <c r="I926" s="74"/>
      <c r="J926" s="6">
        <v>5</v>
      </c>
      <c r="K926" s="6">
        <v>5</v>
      </c>
      <c r="L926" s="6"/>
      <c r="M926" s="6">
        <v>10</v>
      </c>
      <c r="N926" s="7">
        <f t="shared" si="582"/>
        <v>20</v>
      </c>
      <c r="O926" s="11">
        <f t="shared" si="583"/>
        <v>65</v>
      </c>
      <c r="P926" s="25"/>
      <c r="Q926" s="10" t="str">
        <f t="shared" si="584"/>
        <v>MarçoSEMANA 2Arroz Japonês (sushi)</v>
      </c>
      <c r="R926" s="7">
        <f>SUMIF(NF!$A:$A,$Q926,NF!$I:$I)</f>
        <v>0</v>
      </c>
      <c r="S926" s="6"/>
      <c r="T926" s="6"/>
      <c r="U926" s="6">
        <v>5</v>
      </c>
      <c r="V926" s="6"/>
      <c r="W926" s="6">
        <v>5</v>
      </c>
      <c r="X926" s="6">
        <v>5</v>
      </c>
      <c r="Y926" s="6">
        <v>5</v>
      </c>
      <c r="Z926" s="7">
        <f t="shared" si="585"/>
        <v>20</v>
      </c>
      <c r="AA926" s="11">
        <f t="shared" si="586"/>
        <v>45</v>
      </c>
      <c r="AB926" s="25"/>
      <c r="AC926" s="10" t="str">
        <f t="shared" si="587"/>
        <v>MarçoSEMANA 3Arroz Japonês (sushi)</v>
      </c>
      <c r="AD926" s="7">
        <f>SUMIF(NF!$A:$A,$AC926,NF!$I:$I)</f>
        <v>60</v>
      </c>
      <c r="AE926" s="6"/>
      <c r="AF926" s="6">
        <v>5</v>
      </c>
      <c r="AG926" s="6"/>
      <c r="AH926" s="6">
        <v>5</v>
      </c>
      <c r="AI926" s="6">
        <v>5</v>
      </c>
      <c r="AJ926" s="6">
        <v>10</v>
      </c>
      <c r="AK926" s="6"/>
      <c r="AL926" s="7">
        <f t="shared" si="588"/>
        <v>25</v>
      </c>
      <c r="AM926" s="11">
        <f t="shared" si="589"/>
        <v>80</v>
      </c>
      <c r="AN926" s="25"/>
      <c r="AO926" s="10" t="str">
        <f t="shared" si="590"/>
        <v>MarçoSEMANA 4Arroz Japonês (sushi)</v>
      </c>
      <c r="AP926" s="7">
        <f>SUMIF(NF!$A:$A,$AO926,NF!$I:$I)</f>
        <v>0</v>
      </c>
      <c r="AQ926" s="6"/>
      <c r="AR926" s="6"/>
      <c r="AS926" s="6">
        <v>5</v>
      </c>
      <c r="AT926" s="6"/>
      <c r="AU926" s="6">
        <v>10</v>
      </c>
      <c r="AV926" s="6">
        <v>5</v>
      </c>
      <c r="AW926" s="6"/>
      <c r="AX926" s="7">
        <f t="shared" si="591"/>
        <v>20</v>
      </c>
      <c r="AY926" s="11">
        <f t="shared" si="592"/>
        <v>60</v>
      </c>
      <c r="AZ926" s="25"/>
      <c r="BA926" s="10" t="str">
        <f t="shared" si="593"/>
        <v>MarçoSEMANA 5Arroz Japonês (sushi)</v>
      </c>
      <c r="BB926" s="7">
        <f>SUMIF(NF!$A:$A,$BA926,NF!$I:$I)</f>
        <v>0</v>
      </c>
      <c r="BC926" s="6"/>
      <c r="BD926" s="6">
        <v>5</v>
      </c>
      <c r="BE926" s="6">
        <v>5</v>
      </c>
      <c r="BF926" s="6"/>
      <c r="BG926" s="6">
        <v>10</v>
      </c>
      <c r="BH926" s="6"/>
      <c r="BI926" s="74"/>
      <c r="BJ926" s="74"/>
      <c r="BK926" s="7">
        <f t="shared" si="594"/>
        <v>20</v>
      </c>
      <c r="BL926" s="8">
        <f t="shared" si="595"/>
        <v>40</v>
      </c>
      <c r="BM926" s="51" t="str">
        <f>IFERROR(VLOOKUP(A926,NF!$M:$O,3,0),"")</f>
        <v>Sushi</v>
      </c>
      <c r="BN926" s="7">
        <f t="shared" si="596"/>
        <v>105</v>
      </c>
      <c r="BO926" s="8">
        <f t="array" ref="BO926">IFERROR(LARGE(IF(NF!$G$2:$G$3137='Mês atual'!A926,NF!$J$2:$J$3137),1),0)*BN926</f>
        <v>542.5</v>
      </c>
      <c r="BP926" s="50"/>
      <c r="BR926" s="146">
        <f t="array" ref="BR926">IFERROR(LARGE(IF(NF!$G$2:$G$3137='Mês atual'!A926,NF!$J$2:$J$3137),1),0)</f>
        <v>5.166666666666667</v>
      </c>
      <c r="BS926" s="142" t="str">
        <f>VLOOKUP(A926,NF!M:O,3,0)</f>
        <v>Sushi</v>
      </c>
      <c r="BV926" s="74">
        <f t="shared" ref="BV926:BV990" si="597">N926</f>
        <v>20</v>
      </c>
      <c r="BW926" s="74">
        <f t="shared" ref="BW926:BW990" si="598">Z926</f>
        <v>20</v>
      </c>
      <c r="BX926" s="74">
        <f t="shared" ref="BX926:BX990" si="599">AL926</f>
        <v>25</v>
      </c>
      <c r="BY926" s="74">
        <f t="shared" ref="BY926:BY990" si="600">AX926</f>
        <v>20</v>
      </c>
      <c r="BZ926" s="74">
        <f t="shared" ref="BZ926:BZ990" si="601">BK926</f>
        <v>20</v>
      </c>
    </row>
    <row r="927" spans="1:78" x14ac:dyDescent="0.2">
      <c r="A927" s="108" t="s">
        <v>130</v>
      </c>
      <c r="B927" s="12"/>
      <c r="C927" s="9">
        <v>0</v>
      </c>
      <c r="D927" s="25"/>
      <c r="E927" s="10" t="str">
        <f t="shared" si="581"/>
        <v>MarçoSEMANA 1Aspargos Fresco Sushi</v>
      </c>
      <c r="F927" s="7">
        <f>SUMIF(NF!$A:$A,$E927,NF!$I:$I)</f>
        <v>0</v>
      </c>
      <c r="G927" s="74"/>
      <c r="H927" s="74"/>
      <c r="I927" s="74"/>
      <c r="J927" s="6"/>
      <c r="K927" s="6"/>
      <c r="L927" s="6"/>
      <c r="M927" s="6"/>
      <c r="N927" s="7">
        <f t="shared" si="582"/>
        <v>0</v>
      </c>
      <c r="O927" s="11">
        <f t="shared" si="583"/>
        <v>0</v>
      </c>
      <c r="P927" s="25"/>
      <c r="Q927" s="10" t="str">
        <f t="shared" si="584"/>
        <v>MarçoSEMANA 2Aspargos Fresco Sushi</v>
      </c>
      <c r="R927" s="7">
        <f>SUMIF(NF!$A:$A,$Q927,NF!$I:$I)</f>
        <v>0</v>
      </c>
      <c r="S927" s="6"/>
      <c r="T927" s="6"/>
      <c r="U927" s="6"/>
      <c r="V927" s="6"/>
      <c r="W927" s="6"/>
      <c r="X927" s="6"/>
      <c r="Y927" s="6"/>
      <c r="Z927" s="7">
        <f t="shared" si="585"/>
        <v>0</v>
      </c>
      <c r="AA927" s="11">
        <f t="shared" si="586"/>
        <v>0</v>
      </c>
      <c r="AB927" s="25"/>
      <c r="AC927" s="10" t="str">
        <f t="shared" si="587"/>
        <v>MarçoSEMANA 3Aspargos Fresco Sushi</v>
      </c>
      <c r="AD927" s="7">
        <f>SUMIF(NF!$A:$A,$AC927,NF!$I:$I)</f>
        <v>0</v>
      </c>
      <c r="AE927" s="6"/>
      <c r="AF927" s="6"/>
      <c r="AG927" s="6"/>
      <c r="AH927" s="6"/>
      <c r="AI927" s="6"/>
      <c r="AJ927" s="6"/>
      <c r="AK927" s="6"/>
      <c r="AL927" s="7">
        <f t="shared" si="588"/>
        <v>0</v>
      </c>
      <c r="AM927" s="11">
        <f t="shared" si="589"/>
        <v>0</v>
      </c>
      <c r="AN927" s="25"/>
      <c r="AO927" s="10" t="str">
        <f t="shared" si="590"/>
        <v>MarçoSEMANA 4Aspargos Fresco Sushi</v>
      </c>
      <c r="AP927" s="7">
        <f>SUMIF(NF!$A:$A,$AO927,NF!$I:$I)</f>
        <v>0</v>
      </c>
      <c r="AQ927" s="6"/>
      <c r="AR927" s="6"/>
      <c r="AS927" s="6"/>
      <c r="AT927" s="6"/>
      <c r="AU927" s="6"/>
      <c r="AV927" s="6"/>
      <c r="AW927" s="6"/>
      <c r="AX927" s="7">
        <f t="shared" si="591"/>
        <v>0</v>
      </c>
      <c r="AY927" s="11">
        <f t="shared" si="592"/>
        <v>0</v>
      </c>
      <c r="AZ927" s="25"/>
      <c r="BA927" s="10" t="str">
        <f t="shared" si="593"/>
        <v>MarçoSEMANA 5Aspargos Fresco Sushi</v>
      </c>
      <c r="BB927" s="7">
        <f>SUMIF(NF!$A:$A,$BA927,NF!$I:$I)</f>
        <v>0</v>
      </c>
      <c r="BC927" s="6"/>
      <c r="BD927" s="6"/>
      <c r="BE927" s="6"/>
      <c r="BF927" s="6"/>
      <c r="BG927" s="6"/>
      <c r="BH927" s="6"/>
      <c r="BI927" s="74"/>
      <c r="BJ927" s="74"/>
      <c r="BK927" s="7">
        <f t="shared" si="594"/>
        <v>0</v>
      </c>
      <c r="BL927" s="8">
        <f t="shared" si="595"/>
        <v>0</v>
      </c>
      <c r="BM927" s="51" t="str">
        <f>IFERROR(VLOOKUP(A927,NF!$M:$O,3,0),"")</f>
        <v>Sushi</v>
      </c>
      <c r="BN927" s="7">
        <f t="shared" si="596"/>
        <v>0</v>
      </c>
      <c r="BO927" s="8">
        <f t="array" ref="BO927">IFERROR(LARGE(IF(NF!$G$2:$G$3137='Mês atual'!A927,NF!$J$2:$J$3137),1),0)*BN927</f>
        <v>0</v>
      </c>
      <c r="BP927" s="50"/>
      <c r="BR927" s="146">
        <f t="array" ref="BR927">IFERROR(LARGE(IF(NF!$G$2:$G$3137='Mês atual'!A927,NF!$J$2:$J$3137),1),0)</f>
        <v>0</v>
      </c>
      <c r="BS927" s="142" t="str">
        <f>VLOOKUP(A927,NF!M:O,3,0)</f>
        <v>Sushi</v>
      </c>
      <c r="BV927" s="74">
        <f t="shared" si="597"/>
        <v>0</v>
      </c>
      <c r="BW927" s="74">
        <f t="shared" si="598"/>
        <v>0</v>
      </c>
      <c r="BX927" s="74">
        <f t="shared" si="599"/>
        <v>0</v>
      </c>
      <c r="BY927" s="74">
        <f t="shared" si="600"/>
        <v>0</v>
      </c>
      <c r="BZ927" s="74">
        <f t="shared" si="601"/>
        <v>0</v>
      </c>
    </row>
    <row r="928" spans="1:78" x14ac:dyDescent="0.2">
      <c r="A928" s="108" t="s">
        <v>1033</v>
      </c>
      <c r="B928" s="12"/>
      <c r="C928" s="9">
        <v>0</v>
      </c>
      <c r="D928" s="25"/>
      <c r="E928" s="10" t="str">
        <f t="shared" si="581"/>
        <v>MarçoSEMANA 1Cebola (sushi)</v>
      </c>
      <c r="F928" s="7">
        <f>SUMIF(NF!$A:$A,$E928,NF!$I:$I)</f>
        <v>0</v>
      </c>
      <c r="G928" s="74"/>
      <c r="H928" s="74"/>
      <c r="I928" s="74"/>
      <c r="J928" s="6"/>
      <c r="K928" s="6"/>
      <c r="L928" s="6"/>
      <c r="M928" s="6"/>
      <c r="N928" s="7">
        <f>SUM(G928:M928)</f>
        <v>0</v>
      </c>
      <c r="O928" s="11">
        <f>F928+C928-N928</f>
        <v>0</v>
      </c>
      <c r="P928" s="25"/>
      <c r="Q928" s="10" t="str">
        <f t="shared" si="584"/>
        <v>MarçoSEMANA 2Cebola (sushi)</v>
      </c>
      <c r="R928" s="7">
        <f>SUMIF(NF!$A:$A,$Q928,NF!$I:$I)</f>
        <v>0</v>
      </c>
      <c r="S928" s="6"/>
      <c r="T928" s="6"/>
      <c r="U928" s="6"/>
      <c r="V928" s="6"/>
      <c r="W928" s="6"/>
      <c r="X928" s="6"/>
      <c r="Y928" s="6"/>
      <c r="Z928" s="7">
        <f>SUM(S928:Y928)</f>
        <v>0</v>
      </c>
      <c r="AA928" s="11">
        <f>R928+O928-Z928</f>
        <v>0</v>
      </c>
      <c r="AB928" s="25"/>
      <c r="AC928" s="10" t="str">
        <f t="shared" si="587"/>
        <v>MarçoSEMANA 3Cebola (sushi)</v>
      </c>
      <c r="AD928" s="7">
        <f>SUMIF(NF!$A:$A,$AC928,NF!$I:$I)</f>
        <v>0</v>
      </c>
      <c r="AE928" s="6"/>
      <c r="AF928" s="6"/>
      <c r="AG928" s="6"/>
      <c r="AH928" s="6"/>
      <c r="AI928" s="6"/>
      <c r="AJ928" s="6"/>
      <c r="AK928" s="6"/>
      <c r="AL928" s="7">
        <f>SUM(AE928:AK928)</f>
        <v>0</v>
      </c>
      <c r="AM928" s="11">
        <f>AD928+AA928-AL928</f>
        <v>0</v>
      </c>
      <c r="AN928" s="25"/>
      <c r="AO928" s="10" t="str">
        <f t="shared" si="590"/>
        <v>MarçoSEMANA 4Cebola (sushi)</v>
      </c>
      <c r="AP928" s="7">
        <f>SUMIF(NF!$A:$A,$AO928,NF!$I:$I)</f>
        <v>0</v>
      </c>
      <c r="AQ928" s="6"/>
      <c r="AR928" s="6"/>
      <c r="AS928" s="6"/>
      <c r="AT928" s="6"/>
      <c r="AU928" s="6"/>
      <c r="AV928" s="6"/>
      <c r="AW928" s="6"/>
      <c r="AX928" s="7">
        <f>SUM(AQ928:AW928)</f>
        <v>0</v>
      </c>
      <c r="AY928" s="11">
        <f>AP928+AM928-AX928</f>
        <v>0</v>
      </c>
      <c r="AZ928" s="25"/>
      <c r="BA928" s="10" t="str">
        <f t="shared" si="593"/>
        <v>MarçoSEMANA 5Cebola (sushi)</v>
      </c>
      <c r="BB928" s="7">
        <f>SUMIF(NF!$A:$A,$BA928,NF!$I:$I)</f>
        <v>0</v>
      </c>
      <c r="BC928" s="6"/>
      <c r="BD928" s="6"/>
      <c r="BE928" s="6"/>
      <c r="BF928" s="6"/>
      <c r="BG928" s="6"/>
      <c r="BH928" s="6"/>
      <c r="BI928" s="74"/>
      <c r="BJ928" s="74"/>
      <c r="BK928" s="7">
        <f>SUM(BC928:BJ928)</f>
        <v>0</v>
      </c>
      <c r="BL928" s="8">
        <f>BB928+AY928-BK928</f>
        <v>0</v>
      </c>
      <c r="BM928" s="51" t="str">
        <f>IFERROR(VLOOKUP(A928,NF!$M:$O,3,0),"")</f>
        <v>Sushi</v>
      </c>
      <c r="BN928" s="7">
        <f>SUM(N928,Z928,AL928,AX928,BK928)</f>
        <v>0</v>
      </c>
      <c r="BO928" s="8">
        <f t="array" ref="BO928">IFERROR(LARGE(IF(NF!$G$2:$G$3137='Mês atual'!A928,NF!$J$2:$J$3137),1),0)*BN928</f>
        <v>0</v>
      </c>
      <c r="BP928" s="50"/>
      <c r="BR928" s="146">
        <f t="array" ref="BR928">IFERROR(LARGE(IF(NF!$G$2:$G$3137='Mês atual'!A928,NF!$J$2:$J$3137),1),0)</f>
        <v>0</v>
      </c>
      <c r="BS928" s="142" t="str">
        <f>VLOOKUP(A928,NF!M:O,3,0)</f>
        <v>Sushi</v>
      </c>
      <c r="BV928" s="74">
        <f t="shared" si="597"/>
        <v>0</v>
      </c>
      <c r="BW928" s="74">
        <f t="shared" si="598"/>
        <v>0</v>
      </c>
      <c r="BX928" s="74">
        <f t="shared" si="599"/>
        <v>0</v>
      </c>
      <c r="BY928" s="74">
        <f t="shared" si="600"/>
        <v>0</v>
      </c>
      <c r="BZ928" s="74">
        <f t="shared" si="601"/>
        <v>0</v>
      </c>
    </row>
    <row r="929" spans="1:78" x14ac:dyDescent="0.2">
      <c r="A929" s="108" t="s">
        <v>248</v>
      </c>
      <c r="B929" s="12"/>
      <c r="C929" s="9">
        <v>0</v>
      </c>
      <c r="D929" s="25"/>
      <c r="E929" s="10" t="str">
        <f t="shared" si="581"/>
        <v>MarçoSEMANA 1Cebolinha Verde Sushi</v>
      </c>
      <c r="F929" s="7">
        <f>SUMIF(NF!$A:$A,$E929,NF!$I:$I)</f>
        <v>0.432</v>
      </c>
      <c r="G929" s="74"/>
      <c r="H929" s="74"/>
      <c r="I929" s="74"/>
      <c r="J929" s="6">
        <v>0.432</v>
      </c>
      <c r="K929" s="6"/>
      <c r="L929" s="6"/>
      <c r="M929" s="6"/>
      <c r="N929" s="7">
        <f t="shared" si="582"/>
        <v>0.432</v>
      </c>
      <c r="O929" s="11">
        <f t="shared" si="583"/>
        <v>0</v>
      </c>
      <c r="P929" s="25"/>
      <c r="Q929" s="10" t="str">
        <f t="shared" si="584"/>
        <v>MarçoSEMANA 2Cebolinha Verde Sushi</v>
      </c>
      <c r="R929" s="7">
        <f>SUMIF(NF!$A:$A,$Q929,NF!$I:$I)</f>
        <v>0.89100000000000001</v>
      </c>
      <c r="S929" s="6"/>
      <c r="T929" s="6"/>
      <c r="U929" s="6">
        <v>0.49299999999999999</v>
      </c>
      <c r="V929" s="6"/>
      <c r="W929" s="6">
        <v>0.39800000000000002</v>
      </c>
      <c r="X929" s="6"/>
      <c r="Y929" s="6"/>
      <c r="Z929" s="7">
        <f t="shared" si="585"/>
        <v>0.89100000000000001</v>
      </c>
      <c r="AA929" s="11">
        <f t="shared" si="586"/>
        <v>0</v>
      </c>
      <c r="AB929" s="25"/>
      <c r="AC929" s="10" t="str">
        <f t="shared" si="587"/>
        <v>MarçoSEMANA 3Cebolinha Verde Sushi</v>
      </c>
      <c r="AD929" s="7">
        <f>SUMIF(NF!$A:$A,$AC929,NF!$I:$I)</f>
        <v>0.871</v>
      </c>
      <c r="AE929" s="6"/>
      <c r="AF929" s="6"/>
      <c r="AG929" s="6">
        <v>0.48099999999999998</v>
      </c>
      <c r="AH929" s="6">
        <v>0.39</v>
      </c>
      <c r="AI929" s="6"/>
      <c r="AJ929" s="6"/>
      <c r="AK929" s="6"/>
      <c r="AL929" s="7">
        <f t="shared" si="588"/>
        <v>0.871</v>
      </c>
      <c r="AM929" s="11">
        <f t="shared" si="589"/>
        <v>0</v>
      </c>
      <c r="AN929" s="25"/>
      <c r="AO929" s="10" t="str">
        <f t="shared" si="590"/>
        <v>MarçoSEMANA 4Cebolinha Verde Sushi</v>
      </c>
      <c r="AP929" s="7">
        <f>SUMIF(NF!$A:$A,$AO929,NF!$I:$I)</f>
        <v>0</v>
      </c>
      <c r="AQ929" s="6"/>
      <c r="AR929" s="6"/>
      <c r="AS929" s="6"/>
      <c r="AT929" s="6"/>
      <c r="AU929" s="6"/>
      <c r="AV929" s="6"/>
      <c r="AW929" s="6"/>
      <c r="AX929" s="7">
        <f t="shared" si="591"/>
        <v>0</v>
      </c>
      <c r="AY929" s="11">
        <f t="shared" si="592"/>
        <v>0</v>
      </c>
      <c r="AZ929" s="25"/>
      <c r="BA929" s="10" t="str">
        <f t="shared" si="593"/>
        <v>MarçoSEMANA 5Cebolinha Verde Sushi</v>
      </c>
      <c r="BB929" s="7">
        <f>SUMIF(NF!$A:$A,$BA929,NF!$I:$I)</f>
        <v>0.5</v>
      </c>
      <c r="BC929" s="6"/>
      <c r="BD929" s="6"/>
      <c r="BE929" s="6"/>
      <c r="BF929" s="6">
        <v>0.5</v>
      </c>
      <c r="BG929" s="6"/>
      <c r="BH929" s="6"/>
      <c r="BI929" s="74"/>
      <c r="BJ929" s="74"/>
      <c r="BK929" s="7">
        <f t="shared" si="594"/>
        <v>0.5</v>
      </c>
      <c r="BL929" s="8">
        <f t="shared" si="595"/>
        <v>0</v>
      </c>
      <c r="BM929" s="51" t="str">
        <f>IFERROR(VLOOKUP(A929,NF!$M:$O,3,0),"")</f>
        <v>Sushi</v>
      </c>
      <c r="BN929" s="7">
        <f t="shared" si="596"/>
        <v>2.694</v>
      </c>
      <c r="BO929" s="8">
        <f t="array" ref="BO929">IFERROR(LARGE(IF(NF!$G$2:$G$3137='Mês atual'!A929,NF!$J$2:$J$3137),1),0)*BN929</f>
        <v>25.593</v>
      </c>
      <c r="BP929" s="50"/>
      <c r="BR929" s="146">
        <f t="array" ref="BR929">IFERROR(LARGE(IF(NF!$G$2:$G$3137='Mês atual'!A929,NF!$J$2:$J$3137),1),0)</f>
        <v>9.5</v>
      </c>
      <c r="BS929" s="142" t="str">
        <f>VLOOKUP(A929,NF!M:O,3,0)</f>
        <v>Sushi</v>
      </c>
      <c r="BV929" s="74">
        <f t="shared" si="597"/>
        <v>0.432</v>
      </c>
      <c r="BW929" s="74">
        <f t="shared" si="598"/>
        <v>0.89100000000000001</v>
      </c>
      <c r="BX929" s="74">
        <f t="shared" si="599"/>
        <v>0.871</v>
      </c>
      <c r="BY929" s="74">
        <f t="shared" si="600"/>
        <v>0</v>
      </c>
      <c r="BZ929" s="74">
        <f t="shared" si="601"/>
        <v>0.5</v>
      </c>
    </row>
    <row r="930" spans="1:78" x14ac:dyDescent="0.2">
      <c r="A930" s="108" t="s">
        <v>250</v>
      </c>
      <c r="B930" s="12"/>
      <c r="C930" s="9">
        <v>0</v>
      </c>
      <c r="D930" s="25"/>
      <c r="E930" s="10" t="str">
        <f t="shared" si="581"/>
        <v>MarçoSEMANA 1Cenoura  Sushi</v>
      </c>
      <c r="F930" s="7">
        <f>SUMIF(NF!$A:$A,$E930,NF!$I:$I)</f>
        <v>0</v>
      </c>
      <c r="G930" s="74"/>
      <c r="H930" s="74"/>
      <c r="I930" s="74"/>
      <c r="J930" s="6"/>
      <c r="K930" s="6"/>
      <c r="L930" s="6"/>
      <c r="M930" s="6"/>
      <c r="N930" s="7">
        <f t="shared" si="582"/>
        <v>0</v>
      </c>
      <c r="O930" s="11">
        <f t="shared" si="583"/>
        <v>0</v>
      </c>
      <c r="P930" s="25"/>
      <c r="Q930" s="10" t="str">
        <f t="shared" si="584"/>
        <v>MarçoSEMANA 2Cenoura  Sushi</v>
      </c>
      <c r="R930" s="7">
        <f>SUMIF(NF!$A:$A,$Q930,NF!$I:$I)</f>
        <v>0</v>
      </c>
      <c r="S930" s="6"/>
      <c r="T930" s="6"/>
      <c r="U930" s="6"/>
      <c r="V930" s="6"/>
      <c r="W930" s="6"/>
      <c r="X930" s="6"/>
      <c r="Y930" s="6"/>
      <c r="Z930" s="7">
        <f t="shared" si="585"/>
        <v>0</v>
      </c>
      <c r="AA930" s="11">
        <f t="shared" si="586"/>
        <v>0</v>
      </c>
      <c r="AB930" s="25"/>
      <c r="AC930" s="10" t="str">
        <f t="shared" si="587"/>
        <v>MarçoSEMANA 3Cenoura  Sushi</v>
      </c>
      <c r="AD930" s="7">
        <f>SUMIF(NF!$A:$A,$AC930,NF!$I:$I)</f>
        <v>0</v>
      </c>
      <c r="AE930" s="6"/>
      <c r="AF930" s="6"/>
      <c r="AG930" s="6"/>
      <c r="AH930" s="6"/>
      <c r="AI930" s="6"/>
      <c r="AJ930" s="6"/>
      <c r="AK930" s="6"/>
      <c r="AL930" s="7">
        <f t="shared" si="588"/>
        <v>0</v>
      </c>
      <c r="AM930" s="11">
        <f t="shared" si="589"/>
        <v>0</v>
      </c>
      <c r="AN930" s="25"/>
      <c r="AO930" s="10" t="str">
        <f t="shared" si="590"/>
        <v>MarçoSEMANA 4Cenoura  Sushi</v>
      </c>
      <c r="AP930" s="7">
        <f>SUMIF(NF!$A:$A,$AO930,NF!$I:$I)</f>
        <v>0</v>
      </c>
      <c r="AQ930" s="6"/>
      <c r="AR930" s="6"/>
      <c r="AS930" s="6"/>
      <c r="AT930" s="6"/>
      <c r="AU930" s="6"/>
      <c r="AV930" s="6"/>
      <c r="AW930" s="6"/>
      <c r="AX930" s="7">
        <f t="shared" si="591"/>
        <v>0</v>
      </c>
      <c r="AY930" s="11">
        <f t="shared" si="592"/>
        <v>0</v>
      </c>
      <c r="AZ930" s="25"/>
      <c r="BA930" s="10" t="str">
        <f t="shared" si="593"/>
        <v>MarçoSEMANA 5Cenoura  Sushi</v>
      </c>
      <c r="BB930" s="7">
        <f>SUMIF(NF!$A:$A,$BA930,NF!$I:$I)</f>
        <v>0</v>
      </c>
      <c r="BC930" s="6"/>
      <c r="BD930" s="6"/>
      <c r="BE930" s="6"/>
      <c r="BF930" s="6"/>
      <c r="BG930" s="6"/>
      <c r="BH930" s="6"/>
      <c r="BI930" s="74"/>
      <c r="BJ930" s="74"/>
      <c r="BK930" s="7">
        <f t="shared" si="594"/>
        <v>0</v>
      </c>
      <c r="BL930" s="8">
        <f t="shared" si="595"/>
        <v>0</v>
      </c>
      <c r="BM930" s="51" t="str">
        <f>IFERROR(VLOOKUP(A930,NF!$M:$O,3,0),"")</f>
        <v>Sushi</v>
      </c>
      <c r="BN930" s="7">
        <f t="shared" si="596"/>
        <v>0</v>
      </c>
      <c r="BO930" s="8">
        <f t="array" ref="BO930">IFERROR(LARGE(IF(NF!$G$2:$G$3137='Mês atual'!A930,NF!$J$2:$J$3137),1),0)*BN930</f>
        <v>0</v>
      </c>
      <c r="BP930" s="50"/>
      <c r="BR930" s="146">
        <f t="array" ref="BR930">IFERROR(LARGE(IF(NF!$G$2:$G$3137='Mês atual'!A930,NF!$J$2:$J$3137),1),0)</f>
        <v>0</v>
      </c>
      <c r="BS930" s="142" t="str">
        <f>VLOOKUP(A930,NF!M:O,3,0)</f>
        <v>Sushi</v>
      </c>
      <c r="BV930" s="74">
        <f t="shared" si="597"/>
        <v>0</v>
      </c>
      <c r="BW930" s="74">
        <f t="shared" si="598"/>
        <v>0</v>
      </c>
      <c r="BX930" s="74">
        <f t="shared" si="599"/>
        <v>0</v>
      </c>
      <c r="BY930" s="74">
        <f t="shared" si="600"/>
        <v>0</v>
      </c>
      <c r="BZ930" s="74">
        <f t="shared" si="601"/>
        <v>0</v>
      </c>
    </row>
    <row r="931" spans="1:78" x14ac:dyDescent="0.2">
      <c r="A931" s="108" t="s">
        <v>993</v>
      </c>
      <c r="B931" s="12"/>
      <c r="C931" s="9">
        <v>0</v>
      </c>
      <c r="D931" s="25"/>
      <c r="E931" s="10" t="str">
        <f t="shared" si="581"/>
        <v>MarçoSEMANA 1Cogumelo Paris Sushi</v>
      </c>
      <c r="F931" s="7">
        <f>SUMIF(NF!$A:$A,$E931,NF!$I:$I)</f>
        <v>0</v>
      </c>
      <c r="G931" s="74"/>
      <c r="H931" s="74"/>
      <c r="I931" s="74"/>
      <c r="J931" s="6"/>
      <c r="K931" s="6"/>
      <c r="L931" s="6"/>
      <c r="M931" s="6"/>
      <c r="N931" s="7">
        <f>SUM(G931:M931)</f>
        <v>0</v>
      </c>
      <c r="O931" s="11">
        <f>F931+C931-N931</f>
        <v>0</v>
      </c>
      <c r="P931" s="25"/>
      <c r="Q931" s="10" t="str">
        <f t="shared" si="584"/>
        <v>MarçoSEMANA 2Cogumelo Paris Sushi</v>
      </c>
      <c r="R931" s="7">
        <f>SUMIF(NF!$A:$A,$Q931,NF!$I:$I)</f>
        <v>0</v>
      </c>
      <c r="S931" s="6"/>
      <c r="T931" s="6"/>
      <c r="U931" s="6"/>
      <c r="V931" s="6"/>
      <c r="W931" s="6"/>
      <c r="X931" s="6"/>
      <c r="Y931" s="6"/>
      <c r="Z931" s="7">
        <f>SUM(S931:Y931)</f>
        <v>0</v>
      </c>
      <c r="AA931" s="11">
        <f>R931+O931-Z931</f>
        <v>0</v>
      </c>
      <c r="AB931" s="25"/>
      <c r="AC931" s="10" t="str">
        <f t="shared" si="587"/>
        <v>MarçoSEMANA 3Cogumelo Paris Sushi</v>
      </c>
      <c r="AD931" s="7">
        <f>SUMIF(NF!$A:$A,$AC931,NF!$I:$I)</f>
        <v>0</v>
      </c>
      <c r="AE931" s="6"/>
      <c r="AF931" s="6"/>
      <c r="AG931" s="6"/>
      <c r="AH931" s="6"/>
      <c r="AI931" s="6"/>
      <c r="AJ931" s="6"/>
      <c r="AK931" s="6"/>
      <c r="AL931" s="7">
        <f>SUM(AE931:AK931)</f>
        <v>0</v>
      </c>
      <c r="AM931" s="11">
        <f>AD931+AA931-AL931</f>
        <v>0</v>
      </c>
      <c r="AN931" s="25"/>
      <c r="AO931" s="10" t="str">
        <f t="shared" si="590"/>
        <v>MarçoSEMANA 4Cogumelo Paris Sushi</v>
      </c>
      <c r="AP931" s="7">
        <f>SUMIF(NF!$A:$A,$AO931,NF!$I:$I)</f>
        <v>0</v>
      </c>
      <c r="AQ931" s="6"/>
      <c r="AR931" s="6"/>
      <c r="AS931" s="6"/>
      <c r="AT931" s="6"/>
      <c r="AU931" s="6"/>
      <c r="AV931" s="6"/>
      <c r="AW931" s="6"/>
      <c r="AX931" s="7">
        <f>SUM(AQ931:AW931)</f>
        <v>0</v>
      </c>
      <c r="AY931" s="11">
        <f>AP931+AM931-AX931</f>
        <v>0</v>
      </c>
      <c r="AZ931" s="25"/>
      <c r="BA931" s="10" t="str">
        <f t="shared" si="593"/>
        <v>MarçoSEMANA 5Cogumelo Paris Sushi</v>
      </c>
      <c r="BB931" s="7">
        <f>SUMIF(NF!$A:$A,$BA931,NF!$I:$I)</f>
        <v>0</v>
      </c>
      <c r="BC931" s="6"/>
      <c r="BD931" s="6"/>
      <c r="BE931" s="6"/>
      <c r="BF931" s="6"/>
      <c r="BG931" s="6"/>
      <c r="BH931" s="6"/>
      <c r="BI931" s="74"/>
      <c r="BJ931" s="74"/>
      <c r="BK931" s="7">
        <f>SUM(BC931:BJ931)</f>
        <v>0</v>
      </c>
      <c r="BL931" s="8">
        <f>BB931+AY931-BK931</f>
        <v>0</v>
      </c>
      <c r="BM931" s="51" t="str">
        <f>IFERROR(VLOOKUP(A931,NF!$M:$O,3,0),"")</f>
        <v>Sushi</v>
      </c>
      <c r="BN931" s="7">
        <f>SUM(N931,Z931,AL931,AX931,BK931)</f>
        <v>0</v>
      </c>
      <c r="BO931" s="8">
        <f t="array" ref="BO931">IFERROR(LARGE(IF(NF!$G$2:$G$3137='Mês atual'!A931,NF!$J$2:$J$3137),1),0)*BN931</f>
        <v>0</v>
      </c>
      <c r="BP931" s="50"/>
      <c r="BR931" s="146">
        <f t="array" ref="BR931">IFERROR(LARGE(IF(NF!$G$2:$G$3137='Mês atual'!A931,NF!$J$2:$J$3137),1),0)</f>
        <v>0</v>
      </c>
      <c r="BS931" s="142" t="str">
        <f>VLOOKUP(A931,NF!M:O,3,0)</f>
        <v>Sushi</v>
      </c>
      <c r="BV931" s="74">
        <f t="shared" si="597"/>
        <v>0</v>
      </c>
      <c r="BW931" s="74">
        <f t="shared" si="598"/>
        <v>0</v>
      </c>
      <c r="BX931" s="74">
        <f t="shared" si="599"/>
        <v>0</v>
      </c>
      <c r="BY931" s="74">
        <f t="shared" si="600"/>
        <v>0</v>
      </c>
      <c r="BZ931" s="74">
        <f t="shared" si="601"/>
        <v>0</v>
      </c>
    </row>
    <row r="932" spans="1:78" x14ac:dyDescent="0.2">
      <c r="A932" s="108" t="s">
        <v>964</v>
      </c>
      <c r="B932" s="12"/>
      <c r="C932" s="9">
        <v>0</v>
      </c>
      <c r="D932" s="25"/>
      <c r="E932" s="10" t="str">
        <f t="shared" si="581"/>
        <v>MarçoSEMANA 1Cogumelo Porto Belo Sushi</v>
      </c>
      <c r="F932" s="7">
        <f>SUMIF(NF!$A:$A,$E932,NF!$I:$I)</f>
        <v>0</v>
      </c>
      <c r="G932" s="74"/>
      <c r="H932" s="74"/>
      <c r="I932" s="74"/>
      <c r="J932" s="6"/>
      <c r="K932" s="6"/>
      <c r="L932" s="6"/>
      <c r="M932" s="6"/>
      <c r="N932" s="7">
        <f>SUM(G932:M932)</f>
        <v>0</v>
      </c>
      <c r="O932" s="11">
        <f t="shared" si="583"/>
        <v>0</v>
      </c>
      <c r="P932" s="25"/>
      <c r="Q932" s="10" t="str">
        <f t="shared" si="584"/>
        <v>MarçoSEMANA 2Cogumelo Porto Belo Sushi</v>
      </c>
      <c r="R932" s="7">
        <f>SUMIF(NF!$A:$A,$Q932,NF!$I:$I)</f>
        <v>0</v>
      </c>
      <c r="S932" s="6"/>
      <c r="T932" s="6"/>
      <c r="U932" s="6"/>
      <c r="V932" s="6"/>
      <c r="W932" s="6"/>
      <c r="X932" s="6"/>
      <c r="Y932" s="6"/>
      <c r="Z932" s="7">
        <f>SUM(S932:Y932)</f>
        <v>0</v>
      </c>
      <c r="AA932" s="11">
        <f t="shared" si="586"/>
        <v>0</v>
      </c>
      <c r="AB932" s="25"/>
      <c r="AC932" s="10" t="str">
        <f t="shared" si="587"/>
        <v>MarçoSEMANA 3Cogumelo Porto Belo Sushi</v>
      </c>
      <c r="AD932" s="7">
        <f>SUMIF(NF!$A:$A,$AC932,NF!$I:$I)</f>
        <v>0</v>
      </c>
      <c r="AE932" s="6"/>
      <c r="AF932" s="6"/>
      <c r="AG932" s="6"/>
      <c r="AH932" s="6"/>
      <c r="AI932" s="6"/>
      <c r="AJ932" s="6"/>
      <c r="AK932" s="6"/>
      <c r="AL932" s="7">
        <f>SUM(AE932:AK932)</f>
        <v>0</v>
      </c>
      <c r="AM932" s="11">
        <f t="shared" si="589"/>
        <v>0</v>
      </c>
      <c r="AN932" s="25"/>
      <c r="AO932" s="10" t="str">
        <f t="shared" si="590"/>
        <v>MarçoSEMANA 4Cogumelo Porto Belo Sushi</v>
      </c>
      <c r="AP932" s="7">
        <f>SUMIF(NF!$A:$A,$AO932,NF!$I:$I)</f>
        <v>0</v>
      </c>
      <c r="AQ932" s="6"/>
      <c r="AR932" s="6"/>
      <c r="AS932" s="6"/>
      <c r="AT932" s="6"/>
      <c r="AU932" s="6"/>
      <c r="AV932" s="6"/>
      <c r="AW932" s="6"/>
      <c r="AX932" s="7">
        <f>SUM(AQ932:AW932)</f>
        <v>0</v>
      </c>
      <c r="AY932" s="11">
        <f t="shared" si="592"/>
        <v>0</v>
      </c>
      <c r="AZ932" s="25"/>
      <c r="BA932" s="10" t="str">
        <f t="shared" si="593"/>
        <v>MarçoSEMANA 5Cogumelo Porto Belo Sushi</v>
      </c>
      <c r="BB932" s="7">
        <f>SUMIF(NF!$A:$A,$BA932,NF!$I:$I)</f>
        <v>0</v>
      </c>
      <c r="BC932" s="6"/>
      <c r="BD932" s="6"/>
      <c r="BE932" s="6"/>
      <c r="BF932" s="6"/>
      <c r="BG932" s="6"/>
      <c r="BH932" s="6"/>
      <c r="BI932" s="74"/>
      <c r="BJ932" s="74"/>
      <c r="BK932" s="7">
        <f>SUM(BC932:BJ932)</f>
        <v>0</v>
      </c>
      <c r="BL932" s="8">
        <f t="shared" si="595"/>
        <v>0</v>
      </c>
      <c r="BM932" s="51" t="str">
        <f>IFERROR(VLOOKUP(A932,NF!$M:$O,3,0),"")</f>
        <v>Sushi</v>
      </c>
      <c r="BN932" s="7">
        <f t="shared" si="596"/>
        <v>0</v>
      </c>
      <c r="BO932" s="8">
        <f t="array" ref="BO932">IFERROR(LARGE(IF(NF!$G$2:$G$3137='Mês atual'!A932,NF!$J$2:$J$3137),1),0)*BN932</f>
        <v>0</v>
      </c>
      <c r="BP932" s="50"/>
      <c r="BR932" s="146">
        <f t="array" ref="BR932">IFERROR(LARGE(IF(NF!$G$2:$G$3137='Mês atual'!A932,NF!$J$2:$J$3137),1),0)</f>
        <v>0</v>
      </c>
      <c r="BS932" s="142" t="str">
        <f>VLOOKUP(A932,NF!M:O,3,0)</f>
        <v>Sushi</v>
      </c>
      <c r="BV932" s="74">
        <f t="shared" si="597"/>
        <v>0</v>
      </c>
      <c r="BW932" s="74">
        <f t="shared" si="598"/>
        <v>0</v>
      </c>
      <c r="BX932" s="74">
        <f t="shared" si="599"/>
        <v>0</v>
      </c>
      <c r="BY932" s="74">
        <f t="shared" si="600"/>
        <v>0</v>
      </c>
      <c r="BZ932" s="74">
        <f t="shared" si="601"/>
        <v>0</v>
      </c>
    </row>
    <row r="933" spans="1:78" x14ac:dyDescent="0.2">
      <c r="A933" s="108" t="s">
        <v>311</v>
      </c>
      <c r="B933" s="12"/>
      <c r="C933" s="9">
        <v>4.5</v>
      </c>
      <c r="D933" s="25"/>
      <c r="E933" s="10" t="str">
        <f t="shared" si="581"/>
        <v>MarçoSEMANA 1Cream Cheese Sushi</v>
      </c>
      <c r="F933" s="7">
        <f>SUMIF(NF!$A:$A,$E933,NF!$I:$I)</f>
        <v>0</v>
      </c>
      <c r="G933" s="74"/>
      <c r="H933" s="74"/>
      <c r="I933" s="74"/>
      <c r="J933" s="6">
        <v>1.5</v>
      </c>
      <c r="K933" s="6"/>
      <c r="L933" s="6"/>
      <c r="M933" s="6">
        <v>1.5</v>
      </c>
      <c r="N933" s="7">
        <f t="shared" ref="N933:N938" si="602">SUM(G933:M933)</f>
        <v>3</v>
      </c>
      <c r="O933" s="11">
        <f t="shared" si="583"/>
        <v>1.5</v>
      </c>
      <c r="P933" s="25"/>
      <c r="Q933" s="10" t="str">
        <f t="shared" si="584"/>
        <v>MarçoSEMANA 2Cream Cheese Sushi</v>
      </c>
      <c r="R933" s="7">
        <f>SUMIF(NF!$A:$A,$Q933,NF!$I:$I)</f>
        <v>7.5</v>
      </c>
      <c r="S933" s="6"/>
      <c r="T933" s="6">
        <v>1.5</v>
      </c>
      <c r="U933" s="6"/>
      <c r="V933" s="6"/>
      <c r="W933" s="6">
        <v>1.5</v>
      </c>
      <c r="X933" s="6">
        <v>1.5</v>
      </c>
      <c r="Y933" s="6"/>
      <c r="Z933" s="7">
        <f t="shared" ref="Z933:Z938" si="603">SUM(S933:Y933)</f>
        <v>4.5</v>
      </c>
      <c r="AA933" s="11">
        <f t="shared" si="586"/>
        <v>4.5</v>
      </c>
      <c r="AB933" s="25"/>
      <c r="AC933" s="10" t="str">
        <f t="shared" si="587"/>
        <v>MarçoSEMANA 3Cream Cheese Sushi</v>
      </c>
      <c r="AD933" s="7">
        <f>SUMIF(NF!$A:$A,$AC933,NF!$I:$I)</f>
        <v>1.5</v>
      </c>
      <c r="AE933" s="6"/>
      <c r="AF933" s="6">
        <v>1.5</v>
      </c>
      <c r="AG933" s="6"/>
      <c r="AH933" s="6">
        <v>1.5</v>
      </c>
      <c r="AI933" s="6"/>
      <c r="AJ933" s="6">
        <v>1.5</v>
      </c>
      <c r="AK933" s="6"/>
      <c r="AL933" s="7">
        <f t="shared" ref="AL933:AL938" si="604">SUM(AE933:AK933)</f>
        <v>4.5</v>
      </c>
      <c r="AM933" s="11">
        <f t="shared" si="589"/>
        <v>1.5</v>
      </c>
      <c r="AN933" s="25"/>
      <c r="AO933" s="10" t="str">
        <f t="shared" si="590"/>
        <v>MarçoSEMANA 4Cream Cheese Sushi</v>
      </c>
      <c r="AP933" s="7">
        <f>SUMIF(NF!$A:$A,$AO933,NF!$I:$I)</f>
        <v>4.5</v>
      </c>
      <c r="AQ933" s="6"/>
      <c r="AR933" s="6">
        <v>1.5</v>
      </c>
      <c r="AS933" s="6"/>
      <c r="AT933" s="6"/>
      <c r="AU933" s="6">
        <v>1.5</v>
      </c>
      <c r="AV933" s="6">
        <v>1.5</v>
      </c>
      <c r="AW933" s="6"/>
      <c r="AX933" s="7">
        <f t="shared" ref="AX933:AX938" si="605">SUM(AQ933:AW933)</f>
        <v>4.5</v>
      </c>
      <c r="AY933" s="11">
        <f t="shared" si="592"/>
        <v>1.5</v>
      </c>
      <c r="AZ933" s="25"/>
      <c r="BA933" s="10" t="str">
        <f t="shared" si="593"/>
        <v>MarçoSEMANA 5Cream Cheese Sushi</v>
      </c>
      <c r="BB933" s="7">
        <f>SUMIF(NF!$A:$A,$BA933,NF!$I:$I)</f>
        <v>3</v>
      </c>
      <c r="BC933" s="6"/>
      <c r="BD933" s="6"/>
      <c r="BE933" s="6">
        <v>1.5</v>
      </c>
      <c r="BF933" s="6"/>
      <c r="BG933" s="6">
        <v>1.5</v>
      </c>
      <c r="BH933" s="6"/>
      <c r="BI933" s="74"/>
      <c r="BJ933" s="74"/>
      <c r="BK933" s="7">
        <f t="shared" ref="BK933:BK938" si="606">SUM(BC933:BJ933)</f>
        <v>3</v>
      </c>
      <c r="BL933" s="8">
        <f t="shared" si="595"/>
        <v>1.5</v>
      </c>
      <c r="BM933" s="51" t="str">
        <f>IFERROR(VLOOKUP(A933,NF!$M:$O,3,0),"")</f>
        <v>Sushi</v>
      </c>
      <c r="BN933" s="7">
        <f t="shared" si="596"/>
        <v>19.5</v>
      </c>
      <c r="BO933" s="8">
        <f t="array" ref="BO933">IFERROR(LARGE(IF(NF!$G$2:$G$3137='Mês atual'!A933,NF!$J$2:$J$3137),1),0)*BN933</f>
        <v>538.20000000000005</v>
      </c>
      <c r="BP933" s="50"/>
      <c r="BR933" s="146">
        <f t="array" ref="BR933">IFERROR(LARGE(IF(NF!$G$2:$G$3137='Mês atual'!A933,NF!$J$2:$J$3137),1),0)</f>
        <v>27.6</v>
      </c>
      <c r="BS933" s="142" t="str">
        <f>VLOOKUP(A933,NF!M:O,3,0)</f>
        <v>Sushi</v>
      </c>
      <c r="BV933" s="74">
        <f t="shared" si="597"/>
        <v>3</v>
      </c>
      <c r="BW933" s="74">
        <f t="shared" si="598"/>
        <v>4.5</v>
      </c>
      <c r="BX933" s="74">
        <f t="shared" si="599"/>
        <v>4.5</v>
      </c>
      <c r="BY933" s="74">
        <f t="shared" si="600"/>
        <v>4.5</v>
      </c>
      <c r="BZ933" s="74">
        <f t="shared" si="601"/>
        <v>3</v>
      </c>
    </row>
    <row r="934" spans="1:78" x14ac:dyDescent="0.2">
      <c r="A934" s="108" t="s">
        <v>334</v>
      </c>
      <c r="B934" s="12"/>
      <c r="C934" s="9">
        <v>0</v>
      </c>
      <c r="D934" s="25"/>
      <c r="E934" s="10" t="str">
        <f t="shared" si="581"/>
        <v>MarçoSEMANA 1Espinafre Sushi</v>
      </c>
      <c r="F934" s="7">
        <f>SUMIF(NF!$A:$A,$E934,NF!$I:$I)</f>
        <v>0</v>
      </c>
      <c r="G934" s="74"/>
      <c r="H934" s="74"/>
      <c r="I934" s="74"/>
      <c r="J934" s="6"/>
      <c r="K934" s="6"/>
      <c r="L934" s="6"/>
      <c r="M934" s="6"/>
      <c r="N934" s="7">
        <f t="shared" si="602"/>
        <v>0</v>
      </c>
      <c r="O934" s="11">
        <f t="shared" si="583"/>
        <v>0</v>
      </c>
      <c r="P934" s="25"/>
      <c r="Q934" s="10" t="str">
        <f t="shared" si="584"/>
        <v>MarçoSEMANA 2Espinafre Sushi</v>
      </c>
      <c r="R934" s="7">
        <f>SUMIF(NF!$A:$A,$Q934,NF!$I:$I)</f>
        <v>0.57999999999999996</v>
      </c>
      <c r="S934" s="6"/>
      <c r="T934" s="6"/>
      <c r="U934" s="6">
        <v>0.57999999999999996</v>
      </c>
      <c r="V934" s="6"/>
      <c r="W934" s="6"/>
      <c r="X934" s="6"/>
      <c r="Y934" s="6"/>
      <c r="Z934" s="7">
        <f t="shared" si="603"/>
        <v>0.57999999999999996</v>
      </c>
      <c r="AA934" s="11">
        <f t="shared" si="586"/>
        <v>0</v>
      </c>
      <c r="AB934" s="25"/>
      <c r="AC934" s="10" t="str">
        <f t="shared" si="587"/>
        <v>MarçoSEMANA 3Espinafre Sushi</v>
      </c>
      <c r="AD934" s="7">
        <f>SUMIF(NF!$A:$A,$AC934,NF!$I:$I)</f>
        <v>0</v>
      </c>
      <c r="AE934" s="6"/>
      <c r="AF934" s="6"/>
      <c r="AG934" s="6"/>
      <c r="AH934" s="6"/>
      <c r="AI934" s="6"/>
      <c r="AJ934" s="6"/>
      <c r="AK934" s="6"/>
      <c r="AL934" s="7">
        <f t="shared" si="604"/>
        <v>0</v>
      </c>
      <c r="AM934" s="11">
        <f t="shared" si="589"/>
        <v>0</v>
      </c>
      <c r="AN934" s="25"/>
      <c r="AO934" s="10" t="str">
        <f t="shared" si="590"/>
        <v>MarçoSEMANA 4Espinafre Sushi</v>
      </c>
      <c r="AP934" s="7">
        <f>SUMIF(NF!$A:$A,$AO934,NF!$I:$I)</f>
        <v>0</v>
      </c>
      <c r="AQ934" s="6"/>
      <c r="AR934" s="6"/>
      <c r="AS934" s="6"/>
      <c r="AT934" s="6"/>
      <c r="AU934" s="6"/>
      <c r="AV934" s="6"/>
      <c r="AW934" s="6"/>
      <c r="AX934" s="7">
        <f t="shared" si="605"/>
        <v>0</v>
      </c>
      <c r="AY934" s="11">
        <f t="shared" si="592"/>
        <v>0</v>
      </c>
      <c r="AZ934" s="25"/>
      <c r="BA934" s="10" t="str">
        <f t="shared" si="593"/>
        <v>MarçoSEMANA 5Espinafre Sushi</v>
      </c>
      <c r="BB934" s="7">
        <f>SUMIF(NF!$A:$A,$BA934,NF!$I:$I)</f>
        <v>0</v>
      </c>
      <c r="BC934" s="6"/>
      <c r="BD934" s="6"/>
      <c r="BE934" s="6"/>
      <c r="BF934" s="6"/>
      <c r="BG934" s="6"/>
      <c r="BH934" s="6"/>
      <c r="BI934" s="74"/>
      <c r="BJ934" s="74"/>
      <c r="BK934" s="7">
        <f t="shared" si="606"/>
        <v>0</v>
      </c>
      <c r="BL934" s="8">
        <f t="shared" si="595"/>
        <v>0</v>
      </c>
      <c r="BM934" s="51" t="str">
        <f>IFERROR(VLOOKUP(A934,NF!$M:$O,3,0),"")</f>
        <v>Sushi</v>
      </c>
      <c r="BN934" s="7">
        <f t="shared" si="596"/>
        <v>0.57999999999999996</v>
      </c>
      <c r="BO934" s="8">
        <f t="array" ref="BO934">IFERROR(LARGE(IF(NF!$G$2:$G$3137='Mês atual'!A934,NF!$J$2:$J$3137),1),0)*BN934</f>
        <v>2.7839999999999998</v>
      </c>
      <c r="BP934" s="50"/>
      <c r="BR934" s="146">
        <f t="array" ref="BR934">IFERROR(LARGE(IF(NF!$G$2:$G$3137='Mês atual'!A934,NF!$J$2:$J$3137),1),0)</f>
        <v>4.8</v>
      </c>
      <c r="BS934" s="142" t="str">
        <f>VLOOKUP(A934,NF!M:O,3,0)</f>
        <v>Sushi</v>
      </c>
      <c r="BV934" s="74">
        <f t="shared" si="597"/>
        <v>0</v>
      </c>
      <c r="BW934" s="74">
        <f t="shared" si="598"/>
        <v>0.57999999999999996</v>
      </c>
      <c r="BX934" s="74">
        <f t="shared" si="599"/>
        <v>0</v>
      </c>
      <c r="BY934" s="74">
        <f t="shared" si="600"/>
        <v>0</v>
      </c>
      <c r="BZ934" s="74">
        <f t="shared" si="601"/>
        <v>0</v>
      </c>
    </row>
    <row r="935" spans="1:78" x14ac:dyDescent="0.2">
      <c r="A935" s="108" t="s">
        <v>1035</v>
      </c>
      <c r="B935" s="12"/>
      <c r="C935" s="9">
        <v>0</v>
      </c>
      <c r="D935" s="25"/>
      <c r="E935" s="10" t="str">
        <f t="shared" si="581"/>
        <v>MarçoSEMANA 1Farinha de Trigo (sushi)</v>
      </c>
      <c r="F935" s="7">
        <f>SUMIF(NF!$A:$A,$E935,NF!$I:$I)</f>
        <v>0</v>
      </c>
      <c r="G935" s="74"/>
      <c r="H935" s="74"/>
      <c r="I935" s="74"/>
      <c r="J935" s="6"/>
      <c r="K935" s="6"/>
      <c r="L935" s="6"/>
      <c r="M935" s="6"/>
      <c r="N935" s="7">
        <f t="shared" si="602"/>
        <v>0</v>
      </c>
      <c r="O935" s="11">
        <f t="shared" si="583"/>
        <v>0</v>
      </c>
      <c r="P935" s="25"/>
      <c r="Q935" s="10" t="str">
        <f t="shared" si="584"/>
        <v>MarçoSEMANA 2Farinha de Trigo (sushi)</v>
      </c>
      <c r="R935" s="7">
        <f>SUMIF(NF!$A:$A,$Q935,NF!$I:$I)</f>
        <v>0</v>
      </c>
      <c r="S935" s="6"/>
      <c r="T935" s="6"/>
      <c r="U935" s="6"/>
      <c r="V935" s="6"/>
      <c r="W935" s="6"/>
      <c r="X935" s="6"/>
      <c r="Y935" s="6"/>
      <c r="Z935" s="7">
        <f t="shared" si="603"/>
        <v>0</v>
      </c>
      <c r="AA935" s="11">
        <f t="shared" si="586"/>
        <v>0</v>
      </c>
      <c r="AB935" s="25"/>
      <c r="AC935" s="10" t="str">
        <f t="shared" si="587"/>
        <v>MarçoSEMANA 3Farinha de Trigo (sushi)</v>
      </c>
      <c r="AD935" s="7">
        <f>SUMIF(NF!$A:$A,$AC935,NF!$I:$I)</f>
        <v>0</v>
      </c>
      <c r="AE935" s="6"/>
      <c r="AF935" s="6"/>
      <c r="AG935" s="6"/>
      <c r="AH935" s="6"/>
      <c r="AI935" s="6"/>
      <c r="AJ935" s="6"/>
      <c r="AK935" s="6"/>
      <c r="AL935" s="7">
        <f t="shared" si="604"/>
        <v>0</v>
      </c>
      <c r="AM935" s="11">
        <f t="shared" si="589"/>
        <v>0</v>
      </c>
      <c r="AN935" s="25"/>
      <c r="AO935" s="10" t="str">
        <f t="shared" si="590"/>
        <v>MarçoSEMANA 4Farinha de Trigo (sushi)</v>
      </c>
      <c r="AP935" s="7">
        <f>SUMIF(NF!$A:$A,$AO935,NF!$I:$I)</f>
        <v>0</v>
      </c>
      <c r="AQ935" s="6"/>
      <c r="AR935" s="6"/>
      <c r="AS935" s="6"/>
      <c r="AT935" s="6"/>
      <c r="AU935" s="6"/>
      <c r="AV935" s="6"/>
      <c r="AW935" s="6"/>
      <c r="AX935" s="7">
        <f t="shared" si="605"/>
        <v>0</v>
      </c>
      <c r="AY935" s="11">
        <f t="shared" si="592"/>
        <v>0</v>
      </c>
      <c r="AZ935" s="25"/>
      <c r="BA935" s="10" t="str">
        <f t="shared" si="593"/>
        <v>MarçoSEMANA 5Farinha de Trigo (sushi)</v>
      </c>
      <c r="BB935" s="7">
        <f>SUMIF(NF!$A:$A,$BA935,NF!$I:$I)</f>
        <v>0</v>
      </c>
      <c r="BC935" s="6"/>
      <c r="BD935" s="6"/>
      <c r="BE935" s="6"/>
      <c r="BF935" s="6"/>
      <c r="BG935" s="6"/>
      <c r="BH935" s="6"/>
      <c r="BI935" s="74"/>
      <c r="BJ935" s="74"/>
      <c r="BK935" s="7">
        <f t="shared" si="606"/>
        <v>0</v>
      </c>
      <c r="BL935" s="8">
        <f t="shared" si="595"/>
        <v>0</v>
      </c>
      <c r="BM935" s="51" t="str">
        <f>IFERROR(VLOOKUP(A935,NF!$M:$O,3,0),"")</f>
        <v>Sushi</v>
      </c>
      <c r="BN935" s="7">
        <f t="shared" si="596"/>
        <v>0</v>
      </c>
      <c r="BO935" s="8">
        <f t="array" ref="BO935">IFERROR(LARGE(IF(NF!$G$2:$G$3137='Mês atual'!A935,NF!$J$2:$J$3137),1),0)*BN935</f>
        <v>0</v>
      </c>
      <c r="BP935" s="50"/>
      <c r="BR935" s="146">
        <f t="array" ref="BR935">IFERROR(LARGE(IF(NF!$G$2:$G$3137='Mês atual'!A935,NF!$J$2:$J$3137),1),0)</f>
        <v>0</v>
      </c>
      <c r="BS935" s="142" t="str">
        <f>VLOOKUP(A935,NF!M:O,3,0)</f>
        <v>Sushi</v>
      </c>
      <c r="BV935" s="74">
        <f t="shared" si="597"/>
        <v>0</v>
      </c>
      <c r="BW935" s="74">
        <f t="shared" si="598"/>
        <v>0</v>
      </c>
      <c r="BX935" s="74">
        <f t="shared" si="599"/>
        <v>0</v>
      </c>
      <c r="BY935" s="74">
        <f t="shared" si="600"/>
        <v>0</v>
      </c>
      <c r="BZ935" s="74">
        <f t="shared" si="601"/>
        <v>0</v>
      </c>
    </row>
    <row r="936" spans="1:78" x14ac:dyDescent="0.2">
      <c r="A936" s="108" t="s">
        <v>1031</v>
      </c>
      <c r="B936" s="12"/>
      <c r="C936" s="9">
        <v>0</v>
      </c>
      <c r="D936" s="25"/>
      <c r="E936" s="10" t="str">
        <f t="shared" si="581"/>
        <v>MarçoSEMANA 1Farinha Panco (sushi)</v>
      </c>
      <c r="F936" s="7">
        <f>SUMIF(NF!$A:$A,$E936,NF!$I:$I)</f>
        <v>1</v>
      </c>
      <c r="G936" s="74"/>
      <c r="H936" s="74"/>
      <c r="I936" s="74"/>
      <c r="J936" s="6"/>
      <c r="K936" s="6"/>
      <c r="L936" s="6">
        <v>1</v>
      </c>
      <c r="M936" s="6"/>
      <c r="N936" s="7">
        <f>SUM(G936:M936)</f>
        <v>1</v>
      </c>
      <c r="O936" s="11">
        <f>F936+C936-N936</f>
        <v>0</v>
      </c>
      <c r="P936" s="25"/>
      <c r="Q936" s="10" t="str">
        <f t="shared" si="584"/>
        <v>MarçoSEMANA 2Farinha Panco (sushi)</v>
      </c>
      <c r="R936" s="7">
        <f>SUMIF(NF!$A:$A,$Q936,NF!$I:$I)</f>
        <v>0</v>
      </c>
      <c r="S936" s="6"/>
      <c r="T936" s="6"/>
      <c r="U936" s="6"/>
      <c r="V936" s="6"/>
      <c r="W936" s="6"/>
      <c r="X936" s="6"/>
      <c r="Y936" s="6"/>
      <c r="Z936" s="7">
        <f>SUM(S936:Y936)</f>
        <v>0</v>
      </c>
      <c r="AA936" s="11">
        <f>R936+O936-Z936</f>
        <v>0</v>
      </c>
      <c r="AB936" s="25"/>
      <c r="AC936" s="10" t="str">
        <f t="shared" si="587"/>
        <v>MarçoSEMANA 3Farinha Panco (sushi)</v>
      </c>
      <c r="AD936" s="7">
        <f>SUMIF(NF!$A:$A,$AC936,NF!$I:$I)</f>
        <v>2</v>
      </c>
      <c r="AE936" s="6"/>
      <c r="AF936" s="6">
        <v>1</v>
      </c>
      <c r="AG936" s="6"/>
      <c r="AH936" s="6"/>
      <c r="AI936" s="6">
        <v>1</v>
      </c>
      <c r="AJ936" s="6"/>
      <c r="AK936" s="6"/>
      <c r="AL936" s="7">
        <f>SUM(AE936:AK936)</f>
        <v>2</v>
      </c>
      <c r="AM936" s="11">
        <f>AD936+AA936-AL936</f>
        <v>0</v>
      </c>
      <c r="AN936" s="25"/>
      <c r="AO936" s="10" t="str">
        <f t="shared" si="590"/>
        <v>MarçoSEMANA 4Farinha Panco (sushi)</v>
      </c>
      <c r="AP936" s="7">
        <f>SUMIF(NF!$A:$A,$AO936,NF!$I:$I)</f>
        <v>1</v>
      </c>
      <c r="AQ936" s="6"/>
      <c r="AR936" s="6">
        <v>1</v>
      </c>
      <c r="AS936" s="6"/>
      <c r="AT936" s="6"/>
      <c r="AU936" s="6"/>
      <c r="AV936" s="6"/>
      <c r="AW936" s="6"/>
      <c r="AX936" s="7">
        <f>SUM(AQ936:AW936)</f>
        <v>1</v>
      </c>
      <c r="AY936" s="11">
        <f>AP936+AM936-AX936</f>
        <v>0</v>
      </c>
      <c r="AZ936" s="25"/>
      <c r="BA936" s="10" t="str">
        <f t="shared" si="593"/>
        <v>MarçoSEMANA 5Farinha Panco (sushi)</v>
      </c>
      <c r="BB936" s="7">
        <f>SUMIF(NF!$A:$A,$BA936,NF!$I:$I)</f>
        <v>1</v>
      </c>
      <c r="BC936" s="6"/>
      <c r="BD936" s="6"/>
      <c r="BE936" s="6">
        <v>1</v>
      </c>
      <c r="BF936" s="6"/>
      <c r="BG936" s="6"/>
      <c r="BH936" s="6"/>
      <c r="BI936" s="74"/>
      <c r="BJ936" s="74"/>
      <c r="BK936" s="7">
        <f>SUM(BC936:BJ936)</f>
        <v>1</v>
      </c>
      <c r="BL936" s="8">
        <f>BB936+AY936-BK936</f>
        <v>0</v>
      </c>
      <c r="BM936" s="51" t="str">
        <f>IFERROR(VLOOKUP(A936,NF!$M:$O,3,0),"")</f>
        <v>Sushi</v>
      </c>
      <c r="BN936" s="7">
        <f>SUM(N936,Z936,AL936,AX936,BK936)</f>
        <v>5</v>
      </c>
      <c r="BO936" s="8">
        <f t="array" ref="BO936">IFERROR(LARGE(IF(NF!$G$2:$G$3137='Mês atual'!A936,NF!$J$2:$J$3137),1),0)*BN936</f>
        <v>88.5</v>
      </c>
      <c r="BP936" s="50"/>
      <c r="BR936" s="146">
        <f t="array" ref="BR936">IFERROR(LARGE(IF(NF!$G$2:$G$3137='Mês atual'!A936,NF!$J$2:$J$3137),1),0)</f>
        <v>17.7</v>
      </c>
      <c r="BS936" s="142" t="str">
        <f>VLOOKUP(A936,NF!M:O,3,0)</f>
        <v>Sushi</v>
      </c>
      <c r="BV936" s="74">
        <f t="shared" si="597"/>
        <v>1</v>
      </c>
      <c r="BW936" s="74">
        <f t="shared" si="598"/>
        <v>0</v>
      </c>
      <c r="BX936" s="74">
        <f t="shared" si="599"/>
        <v>2</v>
      </c>
      <c r="BY936" s="74">
        <f t="shared" si="600"/>
        <v>1</v>
      </c>
      <c r="BZ936" s="74">
        <f t="shared" si="601"/>
        <v>1</v>
      </c>
    </row>
    <row r="937" spans="1:78" x14ac:dyDescent="0.2">
      <c r="A937" s="108" t="s">
        <v>361</v>
      </c>
      <c r="B937" s="12"/>
      <c r="C937" s="9">
        <v>1</v>
      </c>
      <c r="D937" s="25"/>
      <c r="E937" s="10" t="str">
        <f t="shared" si="581"/>
        <v>MarçoSEMANA 1Filme PVC 380 x 1000 Sushi</v>
      </c>
      <c r="F937" s="7">
        <f>SUMIF(NF!$A:$A,$E937,NF!$I:$I)</f>
        <v>0</v>
      </c>
      <c r="G937" s="74"/>
      <c r="H937" s="74"/>
      <c r="I937" s="74"/>
      <c r="J937" s="6"/>
      <c r="K937" s="6"/>
      <c r="L937" s="6"/>
      <c r="M937" s="6"/>
      <c r="N937" s="7">
        <f t="shared" si="602"/>
        <v>0</v>
      </c>
      <c r="O937" s="11">
        <f t="shared" si="583"/>
        <v>1</v>
      </c>
      <c r="P937" s="25"/>
      <c r="Q937" s="10" t="str">
        <f t="shared" si="584"/>
        <v>MarçoSEMANA 2Filme PVC 380 x 1000 Sushi</v>
      </c>
      <c r="R937" s="7">
        <f>SUMIF(NF!$A:$A,$Q937,NF!$I:$I)</f>
        <v>1</v>
      </c>
      <c r="S937" s="6"/>
      <c r="T937" s="6"/>
      <c r="U937" s="6"/>
      <c r="V937" s="6"/>
      <c r="W937" s="6"/>
      <c r="X937" s="6"/>
      <c r="Y937" s="6"/>
      <c r="Z937" s="7">
        <f t="shared" si="603"/>
        <v>0</v>
      </c>
      <c r="AA937" s="11">
        <f t="shared" si="586"/>
        <v>2</v>
      </c>
      <c r="AB937" s="25"/>
      <c r="AC937" s="10" t="str">
        <f t="shared" si="587"/>
        <v>MarçoSEMANA 3Filme PVC 380 x 1000 Sushi</v>
      </c>
      <c r="AD937" s="7">
        <f>SUMIF(NF!$A:$A,$AC937,NF!$I:$I)</f>
        <v>1</v>
      </c>
      <c r="AE937" s="6"/>
      <c r="AF937" s="6">
        <v>1</v>
      </c>
      <c r="AG937" s="6"/>
      <c r="AH937" s="6"/>
      <c r="AI937" s="6"/>
      <c r="AJ937" s="6"/>
      <c r="AK937" s="6"/>
      <c r="AL937" s="7">
        <f t="shared" si="604"/>
        <v>1</v>
      </c>
      <c r="AM937" s="11">
        <f t="shared" si="589"/>
        <v>2</v>
      </c>
      <c r="AN937" s="25"/>
      <c r="AO937" s="10" t="str">
        <f t="shared" si="590"/>
        <v>MarçoSEMANA 4Filme PVC 380 x 1000 Sushi</v>
      </c>
      <c r="AP937" s="7">
        <f>SUMIF(NF!$A:$A,$AO937,NF!$I:$I)</f>
        <v>0</v>
      </c>
      <c r="AQ937" s="6"/>
      <c r="AR937" s="6"/>
      <c r="AS937" s="6"/>
      <c r="AT937" s="6"/>
      <c r="AU937" s="6"/>
      <c r="AV937" s="6"/>
      <c r="AW937" s="6"/>
      <c r="AX937" s="7">
        <f t="shared" si="605"/>
        <v>0</v>
      </c>
      <c r="AY937" s="11">
        <f t="shared" si="592"/>
        <v>2</v>
      </c>
      <c r="AZ937" s="25"/>
      <c r="BA937" s="10" t="str">
        <f t="shared" si="593"/>
        <v>MarçoSEMANA 5Filme PVC 380 x 1000 Sushi</v>
      </c>
      <c r="BB937" s="7">
        <f>SUMIF(NF!$A:$A,$BA937,NF!$I:$I)</f>
        <v>0</v>
      </c>
      <c r="BC937" s="6"/>
      <c r="BD937" s="6"/>
      <c r="BE937" s="6"/>
      <c r="BF937" s="6"/>
      <c r="BG937" s="6">
        <v>1</v>
      </c>
      <c r="BH937" s="6"/>
      <c r="BI937" s="74"/>
      <c r="BJ937" s="74"/>
      <c r="BK937" s="7">
        <f t="shared" si="606"/>
        <v>1</v>
      </c>
      <c r="BL937" s="8">
        <f t="shared" si="595"/>
        <v>1</v>
      </c>
      <c r="BM937" s="51" t="str">
        <f>IFERROR(VLOOKUP(A937,NF!$M:$O,3,0),"")</f>
        <v>Sushi</v>
      </c>
      <c r="BN937" s="7">
        <f t="shared" si="596"/>
        <v>2</v>
      </c>
      <c r="BO937" s="8">
        <f t="array" ref="BO937">IFERROR(LARGE(IF(NF!$G$2:$G$3137='Mês atual'!A937,NF!$J$2:$J$3137),1),0)*BN937</f>
        <v>66.7</v>
      </c>
      <c r="BP937" s="50"/>
      <c r="BR937" s="146">
        <f t="array" ref="BR937">IFERROR(LARGE(IF(NF!$G$2:$G$3137='Mês atual'!A937,NF!$J$2:$J$3137),1),0)</f>
        <v>33.35</v>
      </c>
      <c r="BS937" s="142" t="str">
        <f>VLOOKUP(A937,NF!M:O,3,0)</f>
        <v>Sushi</v>
      </c>
      <c r="BV937" s="74">
        <f t="shared" si="597"/>
        <v>0</v>
      </c>
      <c r="BW937" s="74">
        <f t="shared" si="598"/>
        <v>0</v>
      </c>
      <c r="BX937" s="74">
        <f t="shared" si="599"/>
        <v>1</v>
      </c>
      <c r="BY937" s="74">
        <f t="shared" si="600"/>
        <v>0</v>
      </c>
      <c r="BZ937" s="74">
        <f t="shared" si="601"/>
        <v>1</v>
      </c>
    </row>
    <row r="938" spans="1:78" x14ac:dyDescent="0.2">
      <c r="A938" s="108" t="s">
        <v>363</v>
      </c>
      <c r="B938" s="12"/>
      <c r="C938" s="9">
        <v>0</v>
      </c>
      <c r="D938" s="25"/>
      <c r="E938" s="10" t="str">
        <f t="shared" si="581"/>
        <v>MarçoSEMANA 1Flocos de Arroz Sushi</v>
      </c>
      <c r="F938" s="7">
        <f>SUMIF(NF!$A:$A,$E938,NF!$I:$I)</f>
        <v>0</v>
      </c>
      <c r="G938" s="74"/>
      <c r="H938" s="74"/>
      <c r="I938" s="74"/>
      <c r="J938" s="6"/>
      <c r="K938" s="6"/>
      <c r="L938" s="6"/>
      <c r="M938" s="6"/>
      <c r="N938" s="7">
        <f t="shared" si="602"/>
        <v>0</v>
      </c>
      <c r="O938" s="11">
        <f t="shared" si="583"/>
        <v>0</v>
      </c>
      <c r="P938" s="25"/>
      <c r="Q938" s="10" t="str">
        <f t="shared" si="584"/>
        <v>MarçoSEMANA 2Flocos de Arroz Sushi</v>
      </c>
      <c r="R938" s="7">
        <f>SUMIF(NF!$A:$A,$Q938,NF!$I:$I)</f>
        <v>0</v>
      </c>
      <c r="S938" s="6"/>
      <c r="T938" s="6"/>
      <c r="U938" s="6"/>
      <c r="V938" s="6"/>
      <c r="W938" s="6"/>
      <c r="X938" s="6"/>
      <c r="Y938" s="6"/>
      <c r="Z938" s="7">
        <f t="shared" si="603"/>
        <v>0</v>
      </c>
      <c r="AA938" s="11">
        <f t="shared" si="586"/>
        <v>0</v>
      </c>
      <c r="AB938" s="25"/>
      <c r="AC938" s="10" t="str">
        <f t="shared" si="587"/>
        <v>MarçoSEMANA 3Flocos de Arroz Sushi</v>
      </c>
      <c r="AD938" s="7">
        <f>SUMIF(NF!$A:$A,$AC938,NF!$I:$I)</f>
        <v>0</v>
      </c>
      <c r="AE938" s="6"/>
      <c r="AF938" s="6"/>
      <c r="AG938" s="6"/>
      <c r="AH938" s="6"/>
      <c r="AI938" s="6"/>
      <c r="AJ938" s="6"/>
      <c r="AK938" s="6"/>
      <c r="AL938" s="7">
        <f t="shared" si="604"/>
        <v>0</v>
      </c>
      <c r="AM938" s="11">
        <f t="shared" si="589"/>
        <v>0</v>
      </c>
      <c r="AN938" s="25"/>
      <c r="AO938" s="10" t="str">
        <f t="shared" si="590"/>
        <v>MarçoSEMANA 4Flocos de Arroz Sushi</v>
      </c>
      <c r="AP938" s="7">
        <f>SUMIF(NF!$A:$A,$AO938,NF!$I:$I)</f>
        <v>0</v>
      </c>
      <c r="AQ938" s="6"/>
      <c r="AR938" s="6"/>
      <c r="AS938" s="6"/>
      <c r="AT938" s="6"/>
      <c r="AU938" s="6"/>
      <c r="AV938" s="6"/>
      <c r="AW938" s="6"/>
      <c r="AX938" s="7">
        <f t="shared" si="605"/>
        <v>0</v>
      </c>
      <c r="AY938" s="11">
        <f t="shared" si="592"/>
        <v>0</v>
      </c>
      <c r="AZ938" s="25"/>
      <c r="BA938" s="10" t="str">
        <f t="shared" si="593"/>
        <v>MarçoSEMANA 5Flocos de Arroz Sushi</v>
      </c>
      <c r="BB938" s="7">
        <f>SUMIF(NF!$A:$A,$BA938,NF!$I:$I)</f>
        <v>0</v>
      </c>
      <c r="BC938" s="6"/>
      <c r="BD938" s="6"/>
      <c r="BE938" s="6"/>
      <c r="BF938" s="6"/>
      <c r="BG938" s="6"/>
      <c r="BH938" s="6"/>
      <c r="BI938" s="74"/>
      <c r="BJ938" s="74"/>
      <c r="BK938" s="7">
        <f t="shared" si="606"/>
        <v>0</v>
      </c>
      <c r="BL938" s="8">
        <f t="shared" si="595"/>
        <v>0</v>
      </c>
      <c r="BM938" s="51" t="str">
        <f>IFERROR(VLOOKUP(A938,NF!$M:$O,3,0),"")</f>
        <v>Sushi</v>
      </c>
      <c r="BN938" s="7">
        <f t="shared" si="596"/>
        <v>0</v>
      </c>
      <c r="BO938" s="8">
        <f t="array" ref="BO938">IFERROR(LARGE(IF(NF!$G$2:$G$3137='Mês atual'!A938,NF!$J$2:$J$3137),1),0)*BN938</f>
        <v>0</v>
      </c>
      <c r="BP938" s="50"/>
      <c r="BR938" s="146">
        <f t="array" ref="BR938">IFERROR(LARGE(IF(NF!$G$2:$G$3137='Mês atual'!A938,NF!$J$2:$J$3137),1),0)</f>
        <v>0</v>
      </c>
      <c r="BS938" s="142" t="str">
        <f>VLOOKUP(A938,NF!M:O,3,0)</f>
        <v>Sushi</v>
      </c>
      <c r="BV938" s="74">
        <f t="shared" si="597"/>
        <v>0</v>
      </c>
      <c r="BW938" s="74">
        <f t="shared" si="598"/>
        <v>0</v>
      </c>
      <c r="BX938" s="74">
        <f t="shared" si="599"/>
        <v>0</v>
      </c>
      <c r="BY938" s="74">
        <f t="shared" si="600"/>
        <v>0</v>
      </c>
      <c r="BZ938" s="74">
        <f t="shared" si="601"/>
        <v>0</v>
      </c>
    </row>
    <row r="939" spans="1:78" x14ac:dyDescent="0.2">
      <c r="A939" s="108" t="s">
        <v>965</v>
      </c>
      <c r="B939" s="12"/>
      <c r="C939" s="9">
        <v>3</v>
      </c>
      <c r="D939" s="25"/>
      <c r="E939" s="10" t="str">
        <f t="shared" si="581"/>
        <v>MarçoSEMANA 1Folha de Alga 50F</v>
      </c>
      <c r="F939" s="7">
        <f>SUMIF(NF!$A:$A,$E939,NF!$I:$I)</f>
        <v>15</v>
      </c>
      <c r="G939" s="74"/>
      <c r="H939" s="74"/>
      <c r="I939" s="74"/>
      <c r="J939" s="6">
        <v>1</v>
      </c>
      <c r="K939" s="6">
        <v>1</v>
      </c>
      <c r="L939" s="6"/>
      <c r="M939" s="6">
        <v>1</v>
      </c>
      <c r="N939" s="7">
        <f t="shared" ref="N939:N944" si="607">SUM(G939:M939)</f>
        <v>3</v>
      </c>
      <c r="O939" s="11">
        <f t="shared" si="583"/>
        <v>15</v>
      </c>
      <c r="P939" s="25"/>
      <c r="Q939" s="10" t="str">
        <f t="shared" si="584"/>
        <v>MarçoSEMANA 2Folha de Alga 50F</v>
      </c>
      <c r="R939" s="7">
        <f>SUMIF(NF!$A:$A,$Q939,NF!$I:$I)</f>
        <v>0</v>
      </c>
      <c r="S939" s="6">
        <v>1</v>
      </c>
      <c r="T939" s="6">
        <v>1</v>
      </c>
      <c r="U939" s="6"/>
      <c r="V939" s="6"/>
      <c r="W939" s="6"/>
      <c r="X939" s="6">
        <v>1</v>
      </c>
      <c r="Y939" s="6">
        <v>1</v>
      </c>
      <c r="Z939" s="7">
        <f t="shared" ref="Z939:Z944" si="608">SUM(S939:Y939)</f>
        <v>4</v>
      </c>
      <c r="AA939" s="11">
        <f t="shared" si="586"/>
        <v>11</v>
      </c>
      <c r="AB939" s="25"/>
      <c r="AC939" s="10" t="str">
        <f t="shared" si="587"/>
        <v>MarçoSEMANA 3Folha de Alga 50F</v>
      </c>
      <c r="AD939" s="7">
        <f>SUMIF(NF!$A:$A,$AC939,NF!$I:$I)</f>
        <v>6</v>
      </c>
      <c r="AE939" s="6">
        <v>2</v>
      </c>
      <c r="AF939" s="6"/>
      <c r="AG939" s="6"/>
      <c r="AH939" s="6">
        <v>2</v>
      </c>
      <c r="AI939" s="6"/>
      <c r="AJ939" s="6">
        <v>1</v>
      </c>
      <c r="AK939" s="6"/>
      <c r="AL939" s="7">
        <f t="shared" ref="AL939:AL944" si="609">SUM(AE939:AK939)</f>
        <v>5</v>
      </c>
      <c r="AM939" s="11">
        <f t="shared" si="589"/>
        <v>12</v>
      </c>
      <c r="AN939" s="25"/>
      <c r="AO939" s="10" t="str">
        <f t="shared" si="590"/>
        <v>MarçoSEMANA 4Folha de Alga 50F</v>
      </c>
      <c r="AP939" s="7">
        <f>SUMIF(NF!$A:$A,$AO939,NF!$I:$I)</f>
        <v>0</v>
      </c>
      <c r="AQ939" s="6"/>
      <c r="AR939" s="6">
        <v>1</v>
      </c>
      <c r="AS939" s="6">
        <v>1</v>
      </c>
      <c r="AT939" s="6"/>
      <c r="AU939" s="6"/>
      <c r="AV939" s="6">
        <v>1</v>
      </c>
      <c r="AW939" s="6">
        <v>2</v>
      </c>
      <c r="AX939" s="7">
        <f t="shared" ref="AX939:AX944" si="610">SUM(AQ939:AW939)</f>
        <v>5</v>
      </c>
      <c r="AY939" s="11">
        <f t="shared" si="592"/>
        <v>7</v>
      </c>
      <c r="AZ939" s="25"/>
      <c r="BA939" s="10" t="str">
        <f t="shared" si="593"/>
        <v>MarçoSEMANA 5Folha de Alga 50F</v>
      </c>
      <c r="BB939" s="7">
        <f>SUMIF(NF!$A:$A,$BA939,NF!$I:$I)</f>
        <v>0</v>
      </c>
      <c r="BC939" s="6"/>
      <c r="BD939" s="6"/>
      <c r="BE939" s="6"/>
      <c r="BF939" s="6"/>
      <c r="BG939" s="6">
        <v>3</v>
      </c>
      <c r="BH939" s="6"/>
      <c r="BI939" s="74"/>
      <c r="BJ939" s="74"/>
      <c r="BK939" s="7">
        <f t="shared" ref="BK939:BK944" si="611">SUM(BC939:BJ939)</f>
        <v>3</v>
      </c>
      <c r="BL939" s="8">
        <f t="shared" si="595"/>
        <v>4</v>
      </c>
      <c r="BM939" s="51" t="str">
        <f>IFERROR(VLOOKUP(A939,NF!$M:$O,3,0),"")</f>
        <v>Sushi</v>
      </c>
      <c r="BN939" s="7">
        <f t="shared" si="596"/>
        <v>20</v>
      </c>
      <c r="BO939" s="8">
        <f t="array" ref="BO939">IFERROR(LARGE(IF(NF!$G$2:$G$3137='Mês atual'!A939,NF!$J$2:$J$3137),1),0)*BN939</f>
        <v>580</v>
      </c>
      <c r="BP939" s="50"/>
      <c r="BR939" s="146">
        <f t="array" ref="BR939">IFERROR(LARGE(IF(NF!$G$2:$G$3137='Mês atual'!A939,NF!$J$2:$J$3137),1),0)</f>
        <v>29</v>
      </c>
      <c r="BS939" s="142" t="str">
        <f>VLOOKUP(A939,NF!M:O,3,0)</f>
        <v>Sushi</v>
      </c>
      <c r="BV939" s="74">
        <f t="shared" si="597"/>
        <v>3</v>
      </c>
      <c r="BW939" s="74">
        <f t="shared" si="598"/>
        <v>4</v>
      </c>
      <c r="BX939" s="74">
        <f t="shared" si="599"/>
        <v>5</v>
      </c>
      <c r="BY939" s="74">
        <f t="shared" si="600"/>
        <v>5</v>
      </c>
      <c r="BZ939" s="74">
        <f t="shared" si="601"/>
        <v>3</v>
      </c>
    </row>
    <row r="940" spans="1:78" x14ac:dyDescent="0.2">
      <c r="A940" s="108" t="s">
        <v>366</v>
      </c>
      <c r="B940" s="12"/>
      <c r="C940" s="9">
        <v>0</v>
      </c>
      <c r="D940" s="25"/>
      <c r="E940" s="10" t="str">
        <f t="shared" si="581"/>
        <v>MarçoSEMANA 1Folha de Alga 100 Fl</v>
      </c>
      <c r="F940" s="7">
        <f>SUMIF(NF!$A:$A,$E940,NF!$I:$I)</f>
        <v>0</v>
      </c>
      <c r="G940" s="74"/>
      <c r="H940" s="74"/>
      <c r="I940" s="74"/>
      <c r="J940" s="6"/>
      <c r="K940" s="6"/>
      <c r="L940" s="6"/>
      <c r="M940" s="6"/>
      <c r="N940" s="7">
        <f t="shared" si="607"/>
        <v>0</v>
      </c>
      <c r="O940" s="11">
        <f t="shared" si="583"/>
        <v>0</v>
      </c>
      <c r="P940" s="25"/>
      <c r="Q940" s="10" t="str">
        <f t="shared" si="584"/>
        <v>MarçoSEMANA 2Folha de Alga 100 Fl</v>
      </c>
      <c r="R940" s="7">
        <f>SUMIF(NF!$A:$A,$Q940,NF!$I:$I)</f>
        <v>0</v>
      </c>
      <c r="S940" s="6"/>
      <c r="T940" s="6"/>
      <c r="U940" s="6"/>
      <c r="V940" s="6"/>
      <c r="W940" s="6"/>
      <c r="X940" s="6"/>
      <c r="Y940" s="6"/>
      <c r="Z940" s="7">
        <f t="shared" si="608"/>
        <v>0</v>
      </c>
      <c r="AA940" s="11">
        <f t="shared" si="586"/>
        <v>0</v>
      </c>
      <c r="AB940" s="25"/>
      <c r="AC940" s="10" t="str">
        <f t="shared" si="587"/>
        <v>MarçoSEMANA 3Folha de Alga 100 Fl</v>
      </c>
      <c r="AD940" s="7">
        <f>SUMIF(NF!$A:$A,$AC940,NF!$I:$I)</f>
        <v>0</v>
      </c>
      <c r="AE940" s="6"/>
      <c r="AF940" s="6"/>
      <c r="AG940" s="6"/>
      <c r="AH940" s="6"/>
      <c r="AI940" s="6"/>
      <c r="AJ940" s="6"/>
      <c r="AK940" s="6"/>
      <c r="AL940" s="7">
        <f t="shared" si="609"/>
        <v>0</v>
      </c>
      <c r="AM940" s="11">
        <f t="shared" si="589"/>
        <v>0</v>
      </c>
      <c r="AN940" s="25"/>
      <c r="AO940" s="10" t="str">
        <f t="shared" si="590"/>
        <v>MarçoSEMANA 4Folha de Alga 100 Fl</v>
      </c>
      <c r="AP940" s="7">
        <f>SUMIF(NF!$A:$A,$AO940,NF!$I:$I)</f>
        <v>0</v>
      </c>
      <c r="AQ940" s="6"/>
      <c r="AR940" s="6"/>
      <c r="AS940" s="6"/>
      <c r="AT940" s="6"/>
      <c r="AU940" s="6"/>
      <c r="AV940" s="6"/>
      <c r="AW940" s="6"/>
      <c r="AX940" s="7">
        <f t="shared" si="610"/>
        <v>0</v>
      </c>
      <c r="AY940" s="11">
        <f t="shared" si="592"/>
        <v>0</v>
      </c>
      <c r="AZ940" s="25"/>
      <c r="BA940" s="10" t="str">
        <f t="shared" si="593"/>
        <v>MarçoSEMANA 5Folha de Alga 100 Fl</v>
      </c>
      <c r="BB940" s="7">
        <f>SUMIF(NF!$A:$A,$BA940,NF!$I:$I)</f>
        <v>0</v>
      </c>
      <c r="BC940" s="6"/>
      <c r="BD940" s="6"/>
      <c r="BE940" s="6"/>
      <c r="BF940" s="6"/>
      <c r="BG940" s="6"/>
      <c r="BH940" s="6"/>
      <c r="BI940" s="74"/>
      <c r="BJ940" s="74"/>
      <c r="BK940" s="7">
        <f t="shared" si="611"/>
        <v>0</v>
      </c>
      <c r="BL940" s="8">
        <f t="shared" si="595"/>
        <v>0</v>
      </c>
      <c r="BM940" s="51" t="str">
        <f>IFERROR(VLOOKUP(A940,NF!$M:$O,3,0),"")</f>
        <v>Sushi</v>
      </c>
      <c r="BN940" s="7">
        <f t="shared" si="596"/>
        <v>0</v>
      </c>
      <c r="BO940" s="8">
        <f t="array" ref="BO940">IFERROR(LARGE(IF(NF!$G$2:$G$3137='Mês atual'!A940,NF!$J$2:$J$3137),1),0)*BN940</f>
        <v>0</v>
      </c>
      <c r="BP940" s="50"/>
      <c r="BR940" s="146">
        <f t="array" ref="BR940">IFERROR(LARGE(IF(NF!$G$2:$G$3137='Mês atual'!A940,NF!$J$2:$J$3137),1),0)</f>
        <v>0</v>
      </c>
      <c r="BS940" s="142" t="str">
        <f>VLOOKUP(A940,NF!M:O,3,0)</f>
        <v>Sushi</v>
      </c>
      <c r="BV940" s="74">
        <f t="shared" si="597"/>
        <v>0</v>
      </c>
      <c r="BW940" s="74">
        <f t="shared" si="598"/>
        <v>0</v>
      </c>
      <c r="BX940" s="74">
        <f t="shared" si="599"/>
        <v>0</v>
      </c>
      <c r="BY940" s="74">
        <f t="shared" si="600"/>
        <v>0</v>
      </c>
      <c r="BZ940" s="74">
        <f t="shared" si="601"/>
        <v>0</v>
      </c>
    </row>
    <row r="941" spans="1:78" x14ac:dyDescent="0.2">
      <c r="A941" s="108" t="s">
        <v>966</v>
      </c>
      <c r="B941" s="12"/>
      <c r="C941" s="9">
        <v>0</v>
      </c>
      <c r="D941" s="25"/>
      <c r="E941" s="10" t="str">
        <f t="shared" si="581"/>
        <v>MarçoSEMANA 1Folha de Arroz</v>
      </c>
      <c r="F941" s="7">
        <f>SUMIF(NF!$A:$A,$E941,NF!$I:$I)</f>
        <v>0</v>
      </c>
      <c r="G941" s="74"/>
      <c r="H941" s="74"/>
      <c r="I941" s="74"/>
      <c r="J941" s="6"/>
      <c r="K941" s="6"/>
      <c r="L941" s="6"/>
      <c r="M941" s="6"/>
      <c r="N941" s="7">
        <f t="shared" si="607"/>
        <v>0</v>
      </c>
      <c r="O941" s="11">
        <f t="shared" si="583"/>
        <v>0</v>
      </c>
      <c r="P941" s="25"/>
      <c r="Q941" s="10" t="str">
        <f t="shared" si="584"/>
        <v>MarçoSEMANA 2Folha de Arroz</v>
      </c>
      <c r="R941" s="7">
        <f>SUMIF(NF!$A:$A,$Q941,NF!$I:$I)</f>
        <v>0</v>
      </c>
      <c r="S941" s="6"/>
      <c r="T941" s="6"/>
      <c r="U941" s="6"/>
      <c r="V941" s="6"/>
      <c r="W941" s="6"/>
      <c r="X941" s="6"/>
      <c r="Y941" s="6"/>
      <c r="Z941" s="7">
        <f t="shared" si="608"/>
        <v>0</v>
      </c>
      <c r="AA941" s="11">
        <f t="shared" si="586"/>
        <v>0</v>
      </c>
      <c r="AB941" s="25"/>
      <c r="AC941" s="10" t="str">
        <f t="shared" si="587"/>
        <v>MarçoSEMANA 3Folha de Arroz</v>
      </c>
      <c r="AD941" s="7">
        <f>SUMIF(NF!$A:$A,$AC941,NF!$I:$I)</f>
        <v>0</v>
      </c>
      <c r="AE941" s="6"/>
      <c r="AF941" s="6"/>
      <c r="AG941" s="6"/>
      <c r="AH941" s="6"/>
      <c r="AI941" s="6"/>
      <c r="AJ941" s="6"/>
      <c r="AK941" s="6"/>
      <c r="AL941" s="7">
        <f t="shared" si="609"/>
        <v>0</v>
      </c>
      <c r="AM941" s="11">
        <f t="shared" si="589"/>
        <v>0</v>
      </c>
      <c r="AN941" s="25"/>
      <c r="AO941" s="10" t="str">
        <f t="shared" si="590"/>
        <v>MarçoSEMANA 4Folha de Arroz</v>
      </c>
      <c r="AP941" s="7">
        <f>SUMIF(NF!$A:$A,$AO941,NF!$I:$I)</f>
        <v>0</v>
      </c>
      <c r="AQ941" s="6"/>
      <c r="AR941" s="6"/>
      <c r="AS941" s="6"/>
      <c r="AT941" s="6"/>
      <c r="AU941" s="6"/>
      <c r="AV941" s="6"/>
      <c r="AW941" s="6"/>
      <c r="AX941" s="7">
        <f t="shared" si="610"/>
        <v>0</v>
      </c>
      <c r="AY941" s="11">
        <f t="shared" si="592"/>
        <v>0</v>
      </c>
      <c r="AZ941" s="25"/>
      <c r="BA941" s="10" t="str">
        <f t="shared" si="593"/>
        <v>MarçoSEMANA 5Folha de Arroz</v>
      </c>
      <c r="BB941" s="7">
        <f>SUMIF(NF!$A:$A,$BA941,NF!$I:$I)</f>
        <v>0</v>
      </c>
      <c r="BC941" s="6"/>
      <c r="BD941" s="6"/>
      <c r="BE941" s="6"/>
      <c r="BF941" s="6"/>
      <c r="BG941" s="6"/>
      <c r="BH941" s="6"/>
      <c r="BI941" s="74"/>
      <c r="BJ941" s="74"/>
      <c r="BK941" s="7">
        <f t="shared" si="611"/>
        <v>0</v>
      </c>
      <c r="BL941" s="8">
        <f t="shared" si="595"/>
        <v>0</v>
      </c>
      <c r="BM941" s="51" t="str">
        <f>IFERROR(VLOOKUP(A941,NF!$M:$O,3,0),"")</f>
        <v>Sushi</v>
      </c>
      <c r="BN941" s="7">
        <f t="shared" si="596"/>
        <v>0</v>
      </c>
      <c r="BO941" s="8">
        <f t="array" ref="BO941">IFERROR(LARGE(IF(NF!$G$2:$G$3137='Mês atual'!A941,NF!$J$2:$J$3137),1),0)*BN941</f>
        <v>0</v>
      </c>
      <c r="BP941" s="50"/>
      <c r="BR941" s="146">
        <f t="array" ref="BR941">IFERROR(LARGE(IF(NF!$G$2:$G$3137='Mês atual'!A941,NF!$J$2:$J$3137),1),0)</f>
        <v>0</v>
      </c>
      <c r="BS941" s="142" t="str">
        <f>VLOOKUP(A941,NF!M:O,3,0)</f>
        <v>Sushi</v>
      </c>
      <c r="BV941" s="74">
        <f t="shared" si="597"/>
        <v>0</v>
      </c>
      <c r="BW941" s="74">
        <f t="shared" si="598"/>
        <v>0</v>
      </c>
      <c r="BX941" s="74">
        <f t="shared" si="599"/>
        <v>0</v>
      </c>
      <c r="BY941" s="74">
        <f t="shared" si="600"/>
        <v>0</v>
      </c>
      <c r="BZ941" s="74">
        <f t="shared" si="601"/>
        <v>0</v>
      </c>
    </row>
    <row r="942" spans="1:78" x14ac:dyDescent="0.2">
      <c r="A942" s="108" t="s">
        <v>1068</v>
      </c>
      <c r="B942" s="12"/>
      <c r="C942" s="9">
        <v>0</v>
      </c>
      <c r="D942" s="25"/>
      <c r="E942" s="10" t="str">
        <f t="shared" si="581"/>
        <v>MarçoSEMANA 1Furikake</v>
      </c>
      <c r="F942" s="7">
        <f>SUMIF(NF!$A:$A,$E942,NF!$I:$I)</f>
        <v>0</v>
      </c>
      <c r="G942" s="74"/>
      <c r="H942" s="74"/>
      <c r="I942" s="74"/>
      <c r="J942" s="6"/>
      <c r="K942" s="6"/>
      <c r="L942" s="6"/>
      <c r="M942" s="6"/>
      <c r="N942" s="7">
        <f t="shared" si="607"/>
        <v>0</v>
      </c>
      <c r="O942" s="11">
        <f t="shared" si="583"/>
        <v>0</v>
      </c>
      <c r="P942" s="25"/>
      <c r="Q942" s="10" t="str">
        <f t="shared" si="584"/>
        <v>MarçoSEMANA 2Furikake</v>
      </c>
      <c r="R942" s="7">
        <f>SUMIF(NF!$A:$A,$Q942,NF!$I:$I)</f>
        <v>0</v>
      </c>
      <c r="S942" s="6"/>
      <c r="T942" s="6"/>
      <c r="U942" s="6"/>
      <c r="V942" s="6"/>
      <c r="W942" s="6"/>
      <c r="X942" s="6"/>
      <c r="Y942" s="6"/>
      <c r="Z942" s="7">
        <f t="shared" si="608"/>
        <v>0</v>
      </c>
      <c r="AA942" s="11">
        <f t="shared" si="586"/>
        <v>0</v>
      </c>
      <c r="AB942" s="25"/>
      <c r="AC942" s="10" t="str">
        <f t="shared" si="587"/>
        <v>MarçoSEMANA 3Furikake</v>
      </c>
      <c r="AD942" s="7">
        <f>SUMIF(NF!$A:$A,$AC942,NF!$I:$I)</f>
        <v>0</v>
      </c>
      <c r="AE942" s="6"/>
      <c r="AF942" s="6"/>
      <c r="AG942" s="6"/>
      <c r="AH942" s="6"/>
      <c r="AI942" s="6"/>
      <c r="AJ942" s="6"/>
      <c r="AK942" s="6"/>
      <c r="AL942" s="7">
        <f t="shared" si="609"/>
        <v>0</v>
      </c>
      <c r="AM942" s="11">
        <f t="shared" si="589"/>
        <v>0</v>
      </c>
      <c r="AN942" s="25"/>
      <c r="AO942" s="10" t="str">
        <f t="shared" si="590"/>
        <v>MarçoSEMANA 4Furikake</v>
      </c>
      <c r="AP942" s="7">
        <f>SUMIF(NF!$A:$A,$AO942,NF!$I:$I)</f>
        <v>0</v>
      </c>
      <c r="AQ942" s="6"/>
      <c r="AR942" s="6"/>
      <c r="AS942" s="6"/>
      <c r="AT942" s="6"/>
      <c r="AU942" s="6"/>
      <c r="AV942" s="6"/>
      <c r="AW942" s="6"/>
      <c r="AX942" s="7">
        <f t="shared" si="610"/>
        <v>0</v>
      </c>
      <c r="AY942" s="11">
        <f t="shared" si="592"/>
        <v>0</v>
      </c>
      <c r="AZ942" s="25"/>
      <c r="BA942" s="10" t="str">
        <f t="shared" si="593"/>
        <v>MarçoSEMANA 5Furikake</v>
      </c>
      <c r="BB942" s="7">
        <f>SUMIF(NF!$A:$A,$BA942,NF!$I:$I)</f>
        <v>0</v>
      </c>
      <c r="BC942" s="6"/>
      <c r="BD942" s="6"/>
      <c r="BE942" s="6"/>
      <c r="BF942" s="6"/>
      <c r="BG942" s="6"/>
      <c r="BH942" s="6"/>
      <c r="BI942" s="74"/>
      <c r="BJ942" s="74"/>
      <c r="BK942" s="7">
        <f t="shared" si="611"/>
        <v>0</v>
      </c>
      <c r="BL942" s="8">
        <f t="shared" si="595"/>
        <v>0</v>
      </c>
      <c r="BM942" s="51" t="str">
        <f>IFERROR(VLOOKUP(A942,NF!$M:$O,3,0),"")</f>
        <v>Sushi</v>
      </c>
      <c r="BN942" s="7">
        <f t="shared" si="596"/>
        <v>0</v>
      </c>
      <c r="BO942" s="8">
        <f t="array" ref="BO942">IFERROR(LARGE(IF(NF!$G$2:$G$3137='Mês atual'!A942,NF!$J$2:$J$3137),1),0)*BN942</f>
        <v>0</v>
      </c>
      <c r="BP942" s="50"/>
      <c r="BR942" s="146">
        <f t="array" ref="BR942">IFERROR(LARGE(IF(NF!$G$2:$G$3137='Mês atual'!A942,NF!$J$2:$J$3137),1),0)</f>
        <v>0</v>
      </c>
      <c r="BS942" s="142" t="str">
        <f>VLOOKUP(A942,NF!M:O,3,0)</f>
        <v>Sushi</v>
      </c>
      <c r="BV942" s="74">
        <f t="shared" si="597"/>
        <v>0</v>
      </c>
      <c r="BW942" s="74">
        <f t="shared" si="598"/>
        <v>0</v>
      </c>
      <c r="BX942" s="74">
        <f t="shared" si="599"/>
        <v>0</v>
      </c>
      <c r="BY942" s="74">
        <f t="shared" si="600"/>
        <v>0</v>
      </c>
      <c r="BZ942" s="74">
        <f t="shared" si="601"/>
        <v>0</v>
      </c>
    </row>
    <row r="943" spans="1:78" x14ac:dyDescent="0.25">
      <c r="A943" s="108" t="s">
        <v>378</v>
      </c>
      <c r="B943" s="12"/>
      <c r="C943" s="9">
        <v>0</v>
      </c>
      <c r="D943" s="25"/>
      <c r="E943" s="10" t="str">
        <f t="shared" si="581"/>
        <v>MarçoSEMANA 1Gás Butano Und</v>
      </c>
      <c r="F943" s="7">
        <f>SUMIF(NF!$A:$A,$E943,NF!$I:$I)</f>
        <v>0</v>
      </c>
      <c r="G943" s="74"/>
      <c r="H943" s="74"/>
      <c r="I943" s="74"/>
      <c r="J943" s="6"/>
      <c r="K943" s="6"/>
      <c r="L943" s="6"/>
      <c r="M943" s="6"/>
      <c r="N943" s="7">
        <f t="shared" si="607"/>
        <v>0</v>
      </c>
      <c r="O943" s="11">
        <f t="shared" si="583"/>
        <v>0</v>
      </c>
      <c r="P943" s="25"/>
      <c r="Q943" s="10" t="str">
        <f t="shared" si="584"/>
        <v>MarçoSEMANA 2Gás Butano Und</v>
      </c>
      <c r="R943" s="7">
        <f>SUMIF(NF!$A:$A,$Q943,NF!$I:$I)</f>
        <v>0</v>
      </c>
      <c r="S943" s="6"/>
      <c r="T943" s="6"/>
      <c r="U943" s="6"/>
      <c r="V943" s="6"/>
      <c r="W943" s="6"/>
      <c r="X943" s="6"/>
      <c r="Y943" s="6"/>
      <c r="Z943" s="7">
        <f t="shared" si="608"/>
        <v>0</v>
      </c>
      <c r="AA943" s="11">
        <f t="shared" si="586"/>
        <v>0</v>
      </c>
      <c r="AB943" s="25"/>
      <c r="AC943" s="10" t="str">
        <f t="shared" si="587"/>
        <v>MarçoSEMANA 3Gás Butano Und</v>
      </c>
      <c r="AD943" s="7">
        <f>SUMIF(NF!$A:$A,$AC943,NF!$I:$I)</f>
        <v>0</v>
      </c>
      <c r="AE943" s="6"/>
      <c r="AF943" s="6"/>
      <c r="AG943" s="6"/>
      <c r="AH943" s="6"/>
      <c r="AI943" s="6"/>
      <c r="AJ943" s="6"/>
      <c r="AK943" s="6"/>
      <c r="AL943" s="7">
        <f t="shared" si="609"/>
        <v>0</v>
      </c>
      <c r="AM943" s="11">
        <f t="shared" si="589"/>
        <v>0</v>
      </c>
      <c r="AN943" s="25"/>
      <c r="AO943" s="10" t="str">
        <f t="shared" si="590"/>
        <v>MarçoSEMANA 4Gás Butano Und</v>
      </c>
      <c r="AP943" s="7">
        <f>SUMIF(NF!$A:$A,$AO943,NF!$I:$I)</f>
        <v>0</v>
      </c>
      <c r="AQ943" s="6"/>
      <c r="AR943" s="6"/>
      <c r="AS943" s="6"/>
      <c r="AT943" s="6"/>
      <c r="AU943" s="6"/>
      <c r="AV943" s="6"/>
      <c r="AW943" s="6"/>
      <c r="AX943" s="7">
        <f t="shared" si="610"/>
        <v>0</v>
      </c>
      <c r="AY943" s="11">
        <f t="shared" si="592"/>
        <v>0</v>
      </c>
      <c r="AZ943" s="25"/>
      <c r="BA943" s="10" t="str">
        <f t="shared" si="593"/>
        <v>MarçoSEMANA 5Gás Butano Und</v>
      </c>
      <c r="BB943" s="7">
        <f>SUMIF(NF!$A:$A,$BA943,NF!$I:$I)</f>
        <v>0</v>
      </c>
      <c r="BC943" s="6"/>
      <c r="BD943" s="6"/>
      <c r="BE943" s="6"/>
      <c r="BF943" s="6"/>
      <c r="BG943" s="6"/>
      <c r="BH943" s="6"/>
      <c r="BI943" s="74"/>
      <c r="BJ943" s="74"/>
      <c r="BK943" s="7">
        <f t="shared" si="611"/>
        <v>0</v>
      </c>
      <c r="BL943" s="8">
        <f t="shared" si="595"/>
        <v>0</v>
      </c>
      <c r="BM943" s="51" t="str">
        <f>IFERROR(VLOOKUP(A943,NF!$M:$O,3,0),"")</f>
        <v>Sushi</v>
      </c>
      <c r="BN943" s="7">
        <f t="shared" si="596"/>
        <v>0</v>
      </c>
      <c r="BO943" s="8">
        <f t="array" ref="BO943">IFERROR(LARGE(IF(NF!$G$2:$G$3137='Mês atual'!A943,NF!$J$2:$J$3137),1),0)*BN943</f>
        <v>0</v>
      </c>
      <c r="BP943" s="50"/>
      <c r="BR943" s="146">
        <f t="array" ref="BR943">IFERROR(LARGE(IF(NF!$G$2:$G$3137='Mês atual'!A943,NF!$J$2:$J$3137),1),0)</f>
        <v>0</v>
      </c>
      <c r="BS943" s="142" t="str">
        <f>VLOOKUP(A943,NF!M:O,3,0)</f>
        <v>Sushi</v>
      </c>
      <c r="BV943" s="74">
        <f t="shared" si="597"/>
        <v>0</v>
      </c>
      <c r="BW943" s="74">
        <f t="shared" si="598"/>
        <v>0</v>
      </c>
      <c r="BX943" s="74">
        <f t="shared" si="599"/>
        <v>0</v>
      </c>
      <c r="BY943" s="74">
        <f t="shared" si="600"/>
        <v>0</v>
      </c>
      <c r="BZ943" s="74">
        <f t="shared" si="601"/>
        <v>0</v>
      </c>
    </row>
    <row r="944" spans="1:78" x14ac:dyDescent="0.25">
      <c r="A944" s="108" t="s">
        <v>967</v>
      </c>
      <c r="B944" s="12"/>
      <c r="C944" s="9">
        <v>0</v>
      </c>
      <c r="D944" s="25"/>
      <c r="E944" s="10" t="str">
        <f t="shared" si="581"/>
        <v>MarçoSEMANA 1Geléia de Menta c/ Hortelã (sushi)</v>
      </c>
      <c r="F944" s="7">
        <f>SUMIF(NF!$A:$A,$E944,NF!$I:$I)</f>
        <v>0</v>
      </c>
      <c r="G944" s="74"/>
      <c r="H944" s="74"/>
      <c r="I944" s="74"/>
      <c r="J944" s="6"/>
      <c r="K944" s="6"/>
      <c r="L944" s="6"/>
      <c r="M944" s="6"/>
      <c r="N944" s="7">
        <f t="shared" si="607"/>
        <v>0</v>
      </c>
      <c r="O944" s="11">
        <f t="shared" si="583"/>
        <v>0</v>
      </c>
      <c r="P944" s="25"/>
      <c r="Q944" s="10" t="str">
        <f t="shared" si="584"/>
        <v>MarçoSEMANA 2Geléia de Menta c/ Hortelã (sushi)</v>
      </c>
      <c r="R944" s="7">
        <f>SUMIF(NF!$A:$A,$Q944,NF!$I:$I)</f>
        <v>0</v>
      </c>
      <c r="S944" s="6"/>
      <c r="T944" s="6"/>
      <c r="U944" s="6"/>
      <c r="V944" s="6"/>
      <c r="W944" s="6"/>
      <c r="X944" s="6"/>
      <c r="Y944" s="6"/>
      <c r="Z944" s="7">
        <f t="shared" si="608"/>
        <v>0</v>
      </c>
      <c r="AA944" s="11">
        <f t="shared" si="586"/>
        <v>0</v>
      </c>
      <c r="AB944" s="25"/>
      <c r="AC944" s="10" t="str">
        <f t="shared" si="587"/>
        <v>MarçoSEMANA 3Geléia de Menta c/ Hortelã (sushi)</v>
      </c>
      <c r="AD944" s="7">
        <f>SUMIF(NF!$A:$A,$AC944,NF!$I:$I)</f>
        <v>0</v>
      </c>
      <c r="AE944" s="6"/>
      <c r="AF944" s="6"/>
      <c r="AG944" s="6"/>
      <c r="AH944" s="6"/>
      <c r="AI944" s="6"/>
      <c r="AJ944" s="6"/>
      <c r="AK944" s="6"/>
      <c r="AL944" s="7">
        <f t="shared" si="609"/>
        <v>0</v>
      </c>
      <c r="AM944" s="11">
        <f t="shared" si="589"/>
        <v>0</v>
      </c>
      <c r="AN944" s="25"/>
      <c r="AO944" s="10" t="str">
        <f t="shared" si="590"/>
        <v>MarçoSEMANA 4Geléia de Menta c/ Hortelã (sushi)</v>
      </c>
      <c r="AP944" s="7">
        <f>SUMIF(NF!$A:$A,$AO944,NF!$I:$I)</f>
        <v>0</v>
      </c>
      <c r="AQ944" s="6"/>
      <c r="AR944" s="6"/>
      <c r="AS944" s="6"/>
      <c r="AT944" s="6"/>
      <c r="AU944" s="6"/>
      <c r="AV944" s="6"/>
      <c r="AW944" s="6"/>
      <c r="AX944" s="7">
        <f t="shared" si="610"/>
        <v>0</v>
      </c>
      <c r="AY944" s="11">
        <f t="shared" si="592"/>
        <v>0</v>
      </c>
      <c r="AZ944" s="25"/>
      <c r="BA944" s="10" t="str">
        <f t="shared" si="593"/>
        <v>MarçoSEMANA 5Geléia de Menta c/ Hortelã (sushi)</v>
      </c>
      <c r="BB944" s="7">
        <f>SUMIF(NF!$A:$A,$BA944,NF!$I:$I)</f>
        <v>0</v>
      </c>
      <c r="BC944" s="6"/>
      <c r="BD944" s="6"/>
      <c r="BE944" s="6"/>
      <c r="BF944" s="6"/>
      <c r="BG944" s="6"/>
      <c r="BH944" s="6"/>
      <c r="BI944" s="74"/>
      <c r="BJ944" s="74"/>
      <c r="BK944" s="7">
        <f t="shared" si="611"/>
        <v>0</v>
      </c>
      <c r="BL944" s="8">
        <f t="shared" si="595"/>
        <v>0</v>
      </c>
      <c r="BM944" s="51" t="str">
        <f>IFERROR(VLOOKUP(A944,NF!$M:$O,3,0),"")</f>
        <v>Sushi</v>
      </c>
      <c r="BN944" s="7">
        <f t="shared" si="596"/>
        <v>0</v>
      </c>
      <c r="BO944" s="8">
        <f t="array" ref="BO944">IFERROR(LARGE(IF(NF!$G$2:$G$3137='Mês atual'!A944,NF!$J$2:$J$3137),1),0)*BN944</f>
        <v>0</v>
      </c>
      <c r="BP944" s="50"/>
      <c r="BR944" s="146">
        <f t="array" ref="BR944">IFERROR(LARGE(IF(NF!$G$2:$G$3137='Mês atual'!A944,NF!$J$2:$J$3137),1),0)</f>
        <v>0</v>
      </c>
      <c r="BS944" s="142" t="str">
        <f>VLOOKUP(A944,NF!M:O,3,0)</f>
        <v>Sushi</v>
      </c>
      <c r="BV944" s="74">
        <f t="shared" si="597"/>
        <v>0</v>
      </c>
      <c r="BW944" s="74">
        <f t="shared" si="598"/>
        <v>0</v>
      </c>
      <c r="BX944" s="74">
        <f t="shared" si="599"/>
        <v>0</v>
      </c>
      <c r="BY944" s="74">
        <f t="shared" si="600"/>
        <v>0</v>
      </c>
      <c r="BZ944" s="74">
        <f t="shared" si="601"/>
        <v>0</v>
      </c>
    </row>
    <row r="945" spans="1:78" x14ac:dyDescent="0.2">
      <c r="A945" s="108" t="s">
        <v>386</v>
      </c>
      <c r="B945" s="12"/>
      <c r="C945" s="9">
        <v>0</v>
      </c>
      <c r="D945" s="25"/>
      <c r="E945" s="10" t="str">
        <f t="shared" si="581"/>
        <v>MarçoSEMANA 1Gengibre Sushi</v>
      </c>
      <c r="F945" s="7">
        <f>SUMIF(NF!$A:$A,$E945,NF!$I:$I)</f>
        <v>0</v>
      </c>
      <c r="G945" s="74"/>
      <c r="H945" s="74"/>
      <c r="I945" s="74"/>
      <c r="J945" s="6"/>
      <c r="K945" s="6"/>
      <c r="L945" s="6"/>
      <c r="M945" s="6"/>
      <c r="N945" s="7">
        <f t="shared" ref="N945:N954" si="612">SUM(G945:M945)</f>
        <v>0</v>
      </c>
      <c r="O945" s="11">
        <f t="shared" si="583"/>
        <v>0</v>
      </c>
      <c r="P945" s="25"/>
      <c r="Q945" s="10" t="str">
        <f t="shared" si="584"/>
        <v>MarçoSEMANA 2Gengibre Sushi</v>
      </c>
      <c r="R945" s="7">
        <f>SUMIF(NF!$A:$A,$Q945,NF!$I:$I)</f>
        <v>0</v>
      </c>
      <c r="S945" s="6"/>
      <c r="T945" s="6"/>
      <c r="U945" s="6"/>
      <c r="V945" s="6"/>
      <c r="W945" s="6"/>
      <c r="X945" s="6"/>
      <c r="Y945" s="6"/>
      <c r="Z945" s="7">
        <f t="shared" ref="Z945:Z954" si="613">SUM(S945:Y945)</f>
        <v>0</v>
      </c>
      <c r="AA945" s="11">
        <f t="shared" si="586"/>
        <v>0</v>
      </c>
      <c r="AB945" s="25"/>
      <c r="AC945" s="10" t="str">
        <f t="shared" si="587"/>
        <v>MarçoSEMANA 3Gengibre Sushi</v>
      </c>
      <c r="AD945" s="7">
        <f>SUMIF(NF!$A:$A,$AC945,NF!$I:$I)</f>
        <v>12.8</v>
      </c>
      <c r="AE945" s="6"/>
      <c r="AF945" s="6"/>
      <c r="AG945" s="6"/>
      <c r="AH945" s="6"/>
      <c r="AI945" s="6">
        <v>12.8</v>
      </c>
      <c r="AJ945" s="6"/>
      <c r="AK945" s="6"/>
      <c r="AL945" s="7">
        <f t="shared" ref="AL945:AL954" si="614">SUM(AE945:AK945)</f>
        <v>12.8</v>
      </c>
      <c r="AM945" s="11">
        <f t="shared" si="589"/>
        <v>0</v>
      </c>
      <c r="AN945" s="25"/>
      <c r="AO945" s="10" t="str">
        <f t="shared" si="590"/>
        <v>MarçoSEMANA 4Gengibre Sushi</v>
      </c>
      <c r="AP945" s="7">
        <f>SUMIF(NF!$A:$A,$AO945,NF!$I:$I)</f>
        <v>10.3</v>
      </c>
      <c r="AQ945" s="6"/>
      <c r="AR945" s="6"/>
      <c r="AS945" s="6"/>
      <c r="AT945" s="6"/>
      <c r="AU945" s="6"/>
      <c r="AV945" s="6"/>
      <c r="AW945" s="6"/>
      <c r="AX945" s="7">
        <f t="shared" ref="AX945:AX954" si="615">SUM(AQ945:AW945)</f>
        <v>0</v>
      </c>
      <c r="AY945" s="11">
        <f t="shared" si="592"/>
        <v>10.3</v>
      </c>
      <c r="AZ945" s="25"/>
      <c r="BA945" s="10" t="str">
        <f t="shared" si="593"/>
        <v>MarçoSEMANA 5Gengibre Sushi</v>
      </c>
      <c r="BB945" s="7">
        <f>SUMIF(NF!$A:$A,$BA945,NF!$I:$I)</f>
        <v>0</v>
      </c>
      <c r="BC945" s="6"/>
      <c r="BD945" s="6"/>
      <c r="BE945" s="6"/>
      <c r="BF945" s="6"/>
      <c r="BG945" s="6">
        <v>10.3</v>
      </c>
      <c r="BH945" s="6"/>
      <c r="BI945" s="74"/>
      <c r="BJ945" s="74"/>
      <c r="BK945" s="7">
        <f t="shared" ref="BK945:BK954" si="616">SUM(BC945:BJ945)</f>
        <v>10.3</v>
      </c>
      <c r="BL945" s="8">
        <f t="shared" si="595"/>
        <v>0</v>
      </c>
      <c r="BM945" s="51" t="str">
        <f>IFERROR(VLOOKUP(A945,NF!$M:$O,3,0),"")</f>
        <v>Sushi</v>
      </c>
      <c r="BN945" s="7">
        <f t="shared" si="596"/>
        <v>23.1</v>
      </c>
      <c r="BO945" s="8">
        <f t="array" ref="BO945">IFERROR(LARGE(IF(NF!$G$2:$G$3137='Mês atual'!A945,NF!$J$2:$J$3137),1),0)*BN945</f>
        <v>168.20388349514562</v>
      </c>
      <c r="BP945" s="50"/>
      <c r="BR945" s="146">
        <f t="array" ref="BR945">IFERROR(LARGE(IF(NF!$G$2:$G$3137='Mês atual'!A945,NF!$J$2:$J$3137),1),0)</f>
        <v>7.2815533980582519</v>
      </c>
      <c r="BS945" s="142" t="str">
        <f>VLOOKUP(A945,NF!M:O,3,0)</f>
        <v>Sushi</v>
      </c>
      <c r="BV945" s="74">
        <f t="shared" si="597"/>
        <v>0</v>
      </c>
      <c r="BW945" s="74">
        <f t="shared" si="598"/>
        <v>0</v>
      </c>
      <c r="BX945" s="74">
        <f t="shared" si="599"/>
        <v>12.8</v>
      </c>
      <c r="BY945" s="74">
        <f t="shared" si="600"/>
        <v>0</v>
      </c>
      <c r="BZ945" s="74">
        <f t="shared" si="601"/>
        <v>10.3</v>
      </c>
    </row>
    <row r="946" spans="1:78" x14ac:dyDescent="0.2">
      <c r="A946" s="108" t="s">
        <v>388</v>
      </c>
      <c r="B946" s="12"/>
      <c r="C946" s="9">
        <v>1</v>
      </c>
      <c r="D946" s="25"/>
      <c r="E946" s="10" t="str">
        <f t="shared" si="581"/>
        <v>MarçoSEMANA 1Gergelim Branco Sushi</v>
      </c>
      <c r="F946" s="7">
        <f>SUMIF(NF!$A:$A,$E946,NF!$I:$I)</f>
        <v>0</v>
      </c>
      <c r="G946" s="74"/>
      <c r="H946" s="74"/>
      <c r="I946" s="74"/>
      <c r="J946" s="6"/>
      <c r="K946" s="6">
        <v>1</v>
      </c>
      <c r="L946" s="6"/>
      <c r="M946" s="6"/>
      <c r="N946" s="7">
        <f t="shared" si="612"/>
        <v>1</v>
      </c>
      <c r="O946" s="11">
        <f t="shared" si="583"/>
        <v>0</v>
      </c>
      <c r="P946" s="25"/>
      <c r="Q946" s="10" t="str">
        <f t="shared" si="584"/>
        <v>MarçoSEMANA 2Gergelim Branco Sushi</v>
      </c>
      <c r="R946" s="7">
        <f>SUMIF(NF!$A:$A,$Q946,NF!$I:$I)</f>
        <v>0</v>
      </c>
      <c r="S946" s="6"/>
      <c r="T946" s="6"/>
      <c r="U946" s="6"/>
      <c r="V946" s="6"/>
      <c r="W946" s="6"/>
      <c r="X946" s="6"/>
      <c r="Y946" s="6"/>
      <c r="Z946" s="7">
        <f t="shared" si="613"/>
        <v>0</v>
      </c>
      <c r="AA946" s="11">
        <f t="shared" si="586"/>
        <v>0</v>
      </c>
      <c r="AB946" s="25"/>
      <c r="AC946" s="10" t="str">
        <f t="shared" si="587"/>
        <v>MarçoSEMANA 3Gergelim Branco Sushi</v>
      </c>
      <c r="AD946" s="7">
        <f>SUMIF(NF!$A:$A,$AC946,NF!$I:$I)</f>
        <v>1</v>
      </c>
      <c r="AE946" s="6"/>
      <c r="AF946" s="6"/>
      <c r="AG946" s="6"/>
      <c r="AH946" s="6"/>
      <c r="AI946" s="6">
        <v>1</v>
      </c>
      <c r="AJ946" s="6"/>
      <c r="AK946" s="6"/>
      <c r="AL946" s="7">
        <f t="shared" si="614"/>
        <v>1</v>
      </c>
      <c r="AM946" s="11">
        <f t="shared" si="589"/>
        <v>0</v>
      </c>
      <c r="AN946" s="25"/>
      <c r="AO946" s="10" t="str">
        <f t="shared" si="590"/>
        <v>MarçoSEMANA 4Gergelim Branco Sushi</v>
      </c>
      <c r="AP946" s="7">
        <f>SUMIF(NF!$A:$A,$AO946,NF!$I:$I)</f>
        <v>0</v>
      </c>
      <c r="AQ946" s="6"/>
      <c r="AR946" s="6"/>
      <c r="AS946" s="6"/>
      <c r="AT946" s="6"/>
      <c r="AU946" s="6"/>
      <c r="AV946" s="6"/>
      <c r="AW946" s="6"/>
      <c r="AX946" s="7">
        <f t="shared" si="615"/>
        <v>0</v>
      </c>
      <c r="AY946" s="11">
        <f t="shared" si="592"/>
        <v>0</v>
      </c>
      <c r="AZ946" s="25"/>
      <c r="BA946" s="10" t="str">
        <f t="shared" si="593"/>
        <v>MarçoSEMANA 5Gergelim Branco Sushi</v>
      </c>
      <c r="BB946" s="7">
        <f>SUMIF(NF!$A:$A,$BA946,NF!$I:$I)</f>
        <v>0</v>
      </c>
      <c r="BC946" s="6"/>
      <c r="BD946" s="6"/>
      <c r="BE946" s="6"/>
      <c r="BF946" s="6"/>
      <c r="BG946" s="6"/>
      <c r="BH946" s="6"/>
      <c r="BI946" s="74"/>
      <c r="BJ946" s="74"/>
      <c r="BK946" s="7">
        <f t="shared" si="616"/>
        <v>0</v>
      </c>
      <c r="BL946" s="8">
        <f t="shared" si="595"/>
        <v>0</v>
      </c>
      <c r="BM946" s="51" t="str">
        <f>IFERROR(VLOOKUP(A946,NF!$M:$O,3,0),"")</f>
        <v>Sushi</v>
      </c>
      <c r="BN946" s="7">
        <f t="shared" si="596"/>
        <v>2</v>
      </c>
      <c r="BO946" s="8">
        <f t="array" ref="BO946">IFERROR(LARGE(IF(NF!$G$2:$G$3137='Mês atual'!A946,NF!$J$2:$J$3137),1),0)*BN946</f>
        <v>22.5</v>
      </c>
      <c r="BP946" s="50"/>
      <c r="BR946" s="146">
        <f t="array" ref="BR946">IFERROR(LARGE(IF(NF!$G$2:$G$3137='Mês atual'!A946,NF!$J$2:$J$3137),1),0)</f>
        <v>11.25</v>
      </c>
      <c r="BS946" s="142" t="str">
        <f>VLOOKUP(A946,NF!M:O,3,0)</f>
        <v>Sushi</v>
      </c>
      <c r="BV946" s="74">
        <f t="shared" si="597"/>
        <v>1</v>
      </c>
      <c r="BW946" s="74">
        <f t="shared" si="598"/>
        <v>0</v>
      </c>
      <c r="BX946" s="74">
        <f t="shared" si="599"/>
        <v>1</v>
      </c>
      <c r="BY946" s="74">
        <f t="shared" si="600"/>
        <v>0</v>
      </c>
      <c r="BZ946" s="74">
        <f t="shared" si="601"/>
        <v>0</v>
      </c>
    </row>
    <row r="947" spans="1:78" x14ac:dyDescent="0.25">
      <c r="A947" s="108" t="s">
        <v>390</v>
      </c>
      <c r="B947" s="12"/>
      <c r="C947" s="9">
        <v>0</v>
      </c>
      <c r="D947" s="25"/>
      <c r="E947" s="10" t="str">
        <f t="shared" si="581"/>
        <v>MarçoSEMANA 1Gergelim Preto Sushi</v>
      </c>
      <c r="F947" s="7">
        <f>SUMIF(NF!$A:$A,$E947,NF!$I:$I)</f>
        <v>0</v>
      </c>
      <c r="G947" s="74"/>
      <c r="H947" s="74"/>
      <c r="I947" s="74"/>
      <c r="J947" s="6"/>
      <c r="K947" s="6"/>
      <c r="L947" s="6"/>
      <c r="M947" s="6"/>
      <c r="N947" s="7">
        <f t="shared" si="612"/>
        <v>0</v>
      </c>
      <c r="O947" s="11">
        <f t="shared" si="583"/>
        <v>0</v>
      </c>
      <c r="P947" s="25"/>
      <c r="Q947" s="10" t="str">
        <f t="shared" si="584"/>
        <v>MarçoSEMANA 2Gergelim Preto Sushi</v>
      </c>
      <c r="R947" s="7">
        <f>SUMIF(NF!$A:$A,$Q947,NF!$I:$I)</f>
        <v>0</v>
      </c>
      <c r="S947" s="6"/>
      <c r="T947" s="6"/>
      <c r="U947" s="6"/>
      <c r="V947" s="6"/>
      <c r="W947" s="6"/>
      <c r="X947" s="6"/>
      <c r="Y947" s="6"/>
      <c r="Z947" s="7">
        <f t="shared" si="613"/>
        <v>0</v>
      </c>
      <c r="AA947" s="11">
        <f t="shared" si="586"/>
        <v>0</v>
      </c>
      <c r="AB947" s="25"/>
      <c r="AC947" s="10" t="str">
        <f t="shared" si="587"/>
        <v>MarçoSEMANA 3Gergelim Preto Sushi</v>
      </c>
      <c r="AD947" s="7">
        <f>SUMIF(NF!$A:$A,$AC947,NF!$I:$I)</f>
        <v>0</v>
      </c>
      <c r="AE947" s="6"/>
      <c r="AF947" s="6"/>
      <c r="AG947" s="6"/>
      <c r="AH947" s="6"/>
      <c r="AI947" s="6"/>
      <c r="AJ947" s="6"/>
      <c r="AK947" s="6"/>
      <c r="AL947" s="7">
        <f t="shared" si="614"/>
        <v>0</v>
      </c>
      <c r="AM947" s="11">
        <f t="shared" si="589"/>
        <v>0</v>
      </c>
      <c r="AN947" s="25"/>
      <c r="AO947" s="10" t="str">
        <f t="shared" si="590"/>
        <v>MarçoSEMANA 4Gergelim Preto Sushi</v>
      </c>
      <c r="AP947" s="7">
        <f>SUMIF(NF!$A:$A,$AO947,NF!$I:$I)</f>
        <v>0</v>
      </c>
      <c r="AQ947" s="6"/>
      <c r="AR947" s="6"/>
      <c r="AS947" s="6"/>
      <c r="AT947" s="6"/>
      <c r="AU947" s="6"/>
      <c r="AV947" s="6"/>
      <c r="AW947" s="6"/>
      <c r="AX947" s="7">
        <f t="shared" si="615"/>
        <v>0</v>
      </c>
      <c r="AY947" s="11">
        <f t="shared" si="592"/>
        <v>0</v>
      </c>
      <c r="AZ947" s="25"/>
      <c r="BA947" s="10" t="str">
        <f t="shared" si="593"/>
        <v>MarçoSEMANA 5Gergelim Preto Sushi</v>
      </c>
      <c r="BB947" s="7">
        <f>SUMIF(NF!$A:$A,$BA947,NF!$I:$I)</f>
        <v>0</v>
      </c>
      <c r="BC947" s="6"/>
      <c r="BD947" s="6"/>
      <c r="BE947" s="6"/>
      <c r="BF947" s="6"/>
      <c r="BG947" s="6"/>
      <c r="BH947" s="6"/>
      <c r="BI947" s="74"/>
      <c r="BJ947" s="74"/>
      <c r="BK947" s="7">
        <f t="shared" si="616"/>
        <v>0</v>
      </c>
      <c r="BL947" s="8">
        <f t="shared" si="595"/>
        <v>0</v>
      </c>
      <c r="BM947" s="51" t="str">
        <f>IFERROR(VLOOKUP(A947,NF!$M:$O,3,0),"")</f>
        <v>Sushi</v>
      </c>
      <c r="BN947" s="7">
        <f t="shared" si="596"/>
        <v>0</v>
      </c>
      <c r="BO947" s="8">
        <f t="array" ref="BO947">IFERROR(LARGE(IF(NF!$G$2:$G$3137='Mês atual'!A947,NF!$J$2:$J$3137),1),0)*BN947</f>
        <v>0</v>
      </c>
      <c r="BP947" s="50"/>
      <c r="BR947" s="146">
        <f t="array" ref="BR947">IFERROR(LARGE(IF(NF!$G$2:$G$3137='Mês atual'!A947,NF!$J$2:$J$3137),1),0)</f>
        <v>0</v>
      </c>
      <c r="BS947" s="142" t="str">
        <f>VLOOKUP(A947,NF!M:O,3,0)</f>
        <v>Sushi</v>
      </c>
      <c r="BV947" s="74">
        <f t="shared" si="597"/>
        <v>0</v>
      </c>
      <c r="BW947" s="74">
        <f t="shared" si="598"/>
        <v>0</v>
      </c>
      <c r="BX947" s="74">
        <f t="shared" si="599"/>
        <v>0</v>
      </c>
      <c r="BY947" s="74">
        <f t="shared" si="600"/>
        <v>0</v>
      </c>
      <c r="BZ947" s="74">
        <f t="shared" si="601"/>
        <v>0</v>
      </c>
    </row>
    <row r="948" spans="1:78" x14ac:dyDescent="0.25">
      <c r="A948" s="108" t="s">
        <v>404</v>
      </c>
      <c r="B948" s="12"/>
      <c r="C948" s="9">
        <v>0</v>
      </c>
      <c r="D948" s="25"/>
      <c r="E948" s="10" t="str">
        <f t="shared" si="581"/>
        <v>MarçoSEMANA 1Hondashi Sushi</v>
      </c>
      <c r="F948" s="7">
        <f>SUMIF(NF!$A:$A,$E948,NF!$I:$I)</f>
        <v>0</v>
      </c>
      <c r="G948" s="74"/>
      <c r="H948" s="74"/>
      <c r="I948" s="74"/>
      <c r="J948" s="6"/>
      <c r="K948" s="6"/>
      <c r="L948" s="6"/>
      <c r="M948" s="6"/>
      <c r="N948" s="7">
        <f t="shared" si="612"/>
        <v>0</v>
      </c>
      <c r="O948" s="11">
        <f t="shared" si="583"/>
        <v>0</v>
      </c>
      <c r="P948" s="25"/>
      <c r="Q948" s="10" t="str">
        <f t="shared" si="584"/>
        <v>MarçoSEMANA 2Hondashi Sushi</v>
      </c>
      <c r="R948" s="7">
        <f>SUMIF(NF!$A:$A,$Q948,NF!$I:$I)</f>
        <v>0</v>
      </c>
      <c r="S948" s="6"/>
      <c r="T948" s="6"/>
      <c r="U948" s="6"/>
      <c r="V948" s="6"/>
      <c r="W948" s="6"/>
      <c r="X948" s="6"/>
      <c r="Y948" s="6"/>
      <c r="Z948" s="7">
        <f t="shared" si="613"/>
        <v>0</v>
      </c>
      <c r="AA948" s="11">
        <f t="shared" si="586"/>
        <v>0</v>
      </c>
      <c r="AB948" s="25"/>
      <c r="AC948" s="10" t="str">
        <f t="shared" si="587"/>
        <v>MarçoSEMANA 3Hondashi Sushi</v>
      </c>
      <c r="AD948" s="7">
        <f>SUMIF(NF!$A:$A,$AC948,NF!$I:$I)</f>
        <v>0</v>
      </c>
      <c r="AE948" s="6"/>
      <c r="AF948" s="6"/>
      <c r="AG948" s="6"/>
      <c r="AH948" s="6"/>
      <c r="AI948" s="6"/>
      <c r="AJ948" s="6"/>
      <c r="AK948" s="6"/>
      <c r="AL948" s="7">
        <f t="shared" si="614"/>
        <v>0</v>
      </c>
      <c r="AM948" s="11">
        <f t="shared" si="589"/>
        <v>0</v>
      </c>
      <c r="AN948" s="25"/>
      <c r="AO948" s="10" t="str">
        <f t="shared" si="590"/>
        <v>MarçoSEMANA 4Hondashi Sushi</v>
      </c>
      <c r="AP948" s="7">
        <f>SUMIF(NF!$A:$A,$AO948,NF!$I:$I)</f>
        <v>0</v>
      </c>
      <c r="AQ948" s="6"/>
      <c r="AR948" s="6"/>
      <c r="AS948" s="6"/>
      <c r="AT948" s="6"/>
      <c r="AU948" s="6"/>
      <c r="AV948" s="6"/>
      <c r="AW948" s="6"/>
      <c r="AX948" s="7">
        <f t="shared" si="615"/>
        <v>0</v>
      </c>
      <c r="AY948" s="11">
        <f t="shared" si="592"/>
        <v>0</v>
      </c>
      <c r="AZ948" s="25"/>
      <c r="BA948" s="10" t="str">
        <f t="shared" si="593"/>
        <v>MarçoSEMANA 5Hondashi Sushi</v>
      </c>
      <c r="BB948" s="7">
        <f>SUMIF(NF!$A:$A,$BA948,NF!$I:$I)</f>
        <v>0</v>
      </c>
      <c r="BC948" s="6"/>
      <c r="BD948" s="6"/>
      <c r="BE948" s="6"/>
      <c r="BF948" s="6"/>
      <c r="BG948" s="6"/>
      <c r="BH948" s="6"/>
      <c r="BI948" s="74"/>
      <c r="BJ948" s="74"/>
      <c r="BK948" s="7">
        <f t="shared" si="616"/>
        <v>0</v>
      </c>
      <c r="BL948" s="8">
        <f t="shared" si="595"/>
        <v>0</v>
      </c>
      <c r="BM948" s="51" t="str">
        <f>IFERROR(VLOOKUP(A948,NF!$M:$O,3,0),"")</f>
        <v>Sushi</v>
      </c>
      <c r="BN948" s="7">
        <f t="shared" si="596"/>
        <v>0</v>
      </c>
      <c r="BO948" s="8">
        <f t="array" ref="BO948">IFERROR(LARGE(IF(NF!$G$2:$G$3137='Mês atual'!A948,NF!$J$2:$J$3137),1),0)*BN948</f>
        <v>0</v>
      </c>
      <c r="BP948" s="50"/>
      <c r="BR948" s="146">
        <f t="array" ref="BR948">IFERROR(LARGE(IF(NF!$G$2:$G$3137='Mês atual'!A948,NF!$J$2:$J$3137),1),0)</f>
        <v>0</v>
      </c>
      <c r="BS948" s="142" t="str">
        <f>VLOOKUP(A948,NF!M:O,3,0)</f>
        <v>Sushi</v>
      </c>
      <c r="BV948" s="74">
        <f t="shared" si="597"/>
        <v>0</v>
      </c>
      <c r="BW948" s="74">
        <f t="shared" si="598"/>
        <v>0</v>
      </c>
      <c r="BX948" s="74">
        <f t="shared" si="599"/>
        <v>0</v>
      </c>
      <c r="BY948" s="74">
        <f t="shared" si="600"/>
        <v>0</v>
      </c>
      <c r="BZ948" s="74">
        <f t="shared" si="601"/>
        <v>0</v>
      </c>
    </row>
    <row r="949" spans="1:78" x14ac:dyDescent="0.25">
      <c r="A949" s="108" t="s">
        <v>447</v>
      </c>
      <c r="B949" s="12"/>
      <c r="C949" s="9">
        <v>0</v>
      </c>
      <c r="D949" s="25"/>
      <c r="E949" s="10" t="str">
        <f t="shared" si="581"/>
        <v>MarçoSEMANA 1Ikura</v>
      </c>
      <c r="F949" s="7">
        <f>SUMIF(NF!$A:$A,$E949,NF!$I:$I)</f>
        <v>0</v>
      </c>
      <c r="G949" s="74"/>
      <c r="H949" s="74"/>
      <c r="I949" s="74"/>
      <c r="J949" s="6"/>
      <c r="K949" s="6"/>
      <c r="L949" s="6"/>
      <c r="M949" s="6"/>
      <c r="N949" s="7">
        <f t="shared" si="612"/>
        <v>0</v>
      </c>
      <c r="O949" s="11">
        <f t="shared" si="583"/>
        <v>0</v>
      </c>
      <c r="P949" s="25"/>
      <c r="Q949" s="10" t="str">
        <f t="shared" si="584"/>
        <v>MarçoSEMANA 2Ikura</v>
      </c>
      <c r="R949" s="7">
        <f>SUMIF(NF!$A:$A,$Q949,NF!$I:$I)</f>
        <v>0</v>
      </c>
      <c r="S949" s="6"/>
      <c r="T949" s="6"/>
      <c r="U949" s="6"/>
      <c r="V949" s="6"/>
      <c r="W949" s="6"/>
      <c r="X949" s="6"/>
      <c r="Y949" s="6"/>
      <c r="Z949" s="7">
        <f t="shared" si="613"/>
        <v>0</v>
      </c>
      <c r="AA949" s="11">
        <f t="shared" si="586"/>
        <v>0</v>
      </c>
      <c r="AB949" s="25"/>
      <c r="AC949" s="10" t="str">
        <f t="shared" si="587"/>
        <v>MarçoSEMANA 3Ikura</v>
      </c>
      <c r="AD949" s="7">
        <f>SUMIF(NF!$A:$A,$AC949,NF!$I:$I)</f>
        <v>0</v>
      </c>
      <c r="AE949" s="6"/>
      <c r="AF949" s="6"/>
      <c r="AG949" s="6"/>
      <c r="AH949" s="6"/>
      <c r="AI949" s="6"/>
      <c r="AJ949" s="6"/>
      <c r="AK949" s="6"/>
      <c r="AL949" s="7">
        <f t="shared" si="614"/>
        <v>0</v>
      </c>
      <c r="AM949" s="11">
        <f t="shared" si="589"/>
        <v>0</v>
      </c>
      <c r="AN949" s="25"/>
      <c r="AO949" s="10" t="str">
        <f t="shared" si="590"/>
        <v>MarçoSEMANA 4Ikura</v>
      </c>
      <c r="AP949" s="7">
        <f>SUMIF(NF!$A:$A,$AO949,NF!$I:$I)</f>
        <v>0</v>
      </c>
      <c r="AQ949" s="6"/>
      <c r="AR949" s="6"/>
      <c r="AS949" s="6"/>
      <c r="AT949" s="6"/>
      <c r="AU949" s="6"/>
      <c r="AV949" s="6"/>
      <c r="AW949" s="6"/>
      <c r="AX949" s="7">
        <f t="shared" si="615"/>
        <v>0</v>
      </c>
      <c r="AY949" s="11">
        <f t="shared" si="592"/>
        <v>0</v>
      </c>
      <c r="AZ949" s="25"/>
      <c r="BA949" s="10" t="str">
        <f t="shared" si="593"/>
        <v>MarçoSEMANA 5Ikura</v>
      </c>
      <c r="BB949" s="7">
        <f>SUMIF(NF!$A:$A,$BA949,NF!$I:$I)</f>
        <v>0</v>
      </c>
      <c r="BC949" s="6"/>
      <c r="BD949" s="6"/>
      <c r="BE949" s="6"/>
      <c r="BF949" s="6"/>
      <c r="BG949" s="6"/>
      <c r="BH949" s="6"/>
      <c r="BI949" s="74"/>
      <c r="BJ949" s="74"/>
      <c r="BK949" s="7">
        <f t="shared" si="616"/>
        <v>0</v>
      </c>
      <c r="BL949" s="8">
        <f t="shared" si="595"/>
        <v>0</v>
      </c>
      <c r="BM949" s="51" t="str">
        <f>IFERROR(VLOOKUP(A949,NF!$M:$O,3,0),"")</f>
        <v>Sushi</v>
      </c>
      <c r="BN949" s="7">
        <f t="shared" si="596"/>
        <v>0</v>
      </c>
      <c r="BO949" s="8">
        <f t="array" ref="BO949">IFERROR(LARGE(IF(NF!$G$2:$G$3137='Mês atual'!A949,NF!$J$2:$J$3137),1),0)*BN949</f>
        <v>0</v>
      </c>
      <c r="BP949" s="50"/>
      <c r="BR949" s="146">
        <f t="array" ref="BR949">IFERROR(LARGE(IF(NF!$G$2:$G$3137='Mês atual'!A949,NF!$J$2:$J$3137),1),0)</f>
        <v>0</v>
      </c>
      <c r="BS949" s="142" t="str">
        <f>VLOOKUP(A949,NF!M:O,3,0)</f>
        <v>Sushi</v>
      </c>
      <c r="BV949" s="74">
        <f t="shared" si="597"/>
        <v>0</v>
      </c>
      <c r="BW949" s="74">
        <f t="shared" si="598"/>
        <v>0</v>
      </c>
      <c r="BX949" s="74">
        <f t="shared" si="599"/>
        <v>0</v>
      </c>
      <c r="BY949" s="74">
        <f t="shared" si="600"/>
        <v>0</v>
      </c>
      <c r="BZ949" s="74">
        <f t="shared" si="601"/>
        <v>0</v>
      </c>
    </row>
    <row r="950" spans="1:78" x14ac:dyDescent="0.25">
      <c r="A950" s="108" t="s">
        <v>1069</v>
      </c>
      <c r="B950" s="12"/>
      <c r="C950" s="9">
        <v>0</v>
      </c>
      <c r="D950" s="25"/>
      <c r="E950" s="10" t="str">
        <f t="shared" si="581"/>
        <v>MarçoSEMANA 1Kampyo</v>
      </c>
      <c r="F950" s="7">
        <f>SUMIF(NF!$A:$A,$E950,NF!$I:$I)</f>
        <v>0</v>
      </c>
      <c r="G950" s="74"/>
      <c r="H950" s="74"/>
      <c r="I950" s="74"/>
      <c r="J950" s="6"/>
      <c r="K950" s="6"/>
      <c r="L950" s="6"/>
      <c r="M950" s="6"/>
      <c r="N950" s="7">
        <f t="shared" si="612"/>
        <v>0</v>
      </c>
      <c r="O950" s="11">
        <f t="shared" si="583"/>
        <v>0</v>
      </c>
      <c r="P950" s="25"/>
      <c r="Q950" s="10" t="str">
        <f t="shared" si="584"/>
        <v>MarçoSEMANA 2Kampyo</v>
      </c>
      <c r="R950" s="7">
        <f>SUMIF(NF!$A:$A,$Q950,NF!$I:$I)</f>
        <v>0</v>
      </c>
      <c r="S950" s="6"/>
      <c r="T950" s="6"/>
      <c r="U950" s="6"/>
      <c r="V950" s="6"/>
      <c r="W950" s="6"/>
      <c r="X950" s="6"/>
      <c r="Y950" s="6"/>
      <c r="Z950" s="7">
        <f t="shared" si="613"/>
        <v>0</v>
      </c>
      <c r="AA950" s="11">
        <f t="shared" si="586"/>
        <v>0</v>
      </c>
      <c r="AB950" s="25"/>
      <c r="AC950" s="10" t="str">
        <f t="shared" si="587"/>
        <v>MarçoSEMANA 3Kampyo</v>
      </c>
      <c r="AD950" s="7">
        <f>SUMIF(NF!$A:$A,$AC950,NF!$I:$I)</f>
        <v>0</v>
      </c>
      <c r="AE950" s="6"/>
      <c r="AF950" s="6"/>
      <c r="AG950" s="6"/>
      <c r="AH950" s="6"/>
      <c r="AI950" s="6"/>
      <c r="AJ950" s="6"/>
      <c r="AK950" s="6"/>
      <c r="AL950" s="7">
        <f t="shared" si="614"/>
        <v>0</v>
      </c>
      <c r="AM950" s="11">
        <f t="shared" si="589"/>
        <v>0</v>
      </c>
      <c r="AN950" s="25"/>
      <c r="AO950" s="10" t="str">
        <f t="shared" si="590"/>
        <v>MarçoSEMANA 4Kampyo</v>
      </c>
      <c r="AP950" s="7">
        <f>SUMIF(NF!$A:$A,$AO950,NF!$I:$I)</f>
        <v>0</v>
      </c>
      <c r="AQ950" s="6"/>
      <c r="AR950" s="6"/>
      <c r="AS950" s="6"/>
      <c r="AT950" s="6"/>
      <c r="AU950" s="6"/>
      <c r="AV950" s="6"/>
      <c r="AW950" s="6"/>
      <c r="AX950" s="7">
        <f t="shared" si="615"/>
        <v>0</v>
      </c>
      <c r="AY950" s="11">
        <f t="shared" si="592"/>
        <v>0</v>
      </c>
      <c r="AZ950" s="25"/>
      <c r="BA950" s="10" t="str">
        <f t="shared" si="593"/>
        <v>MarçoSEMANA 5Kampyo</v>
      </c>
      <c r="BB950" s="7">
        <f>SUMIF(NF!$A:$A,$BA950,NF!$I:$I)</f>
        <v>0</v>
      </c>
      <c r="BC950" s="6"/>
      <c r="BD950" s="6"/>
      <c r="BE950" s="6"/>
      <c r="BF950" s="6"/>
      <c r="BG950" s="6"/>
      <c r="BH950" s="6"/>
      <c r="BI950" s="74"/>
      <c r="BJ950" s="74"/>
      <c r="BK950" s="7">
        <f t="shared" si="616"/>
        <v>0</v>
      </c>
      <c r="BL950" s="8">
        <f t="shared" si="595"/>
        <v>0</v>
      </c>
      <c r="BM950" s="51" t="str">
        <f>IFERROR(VLOOKUP(A950,NF!$M:$O,3,0),"")</f>
        <v>Sushi</v>
      </c>
      <c r="BN950" s="7">
        <f t="shared" si="596"/>
        <v>0</v>
      </c>
      <c r="BO950" s="8">
        <f t="array" ref="BO950">IFERROR(LARGE(IF(NF!$G$2:$G$3137='Mês atual'!A950,NF!$J$2:$J$3137),1),0)*BN950</f>
        <v>0</v>
      </c>
      <c r="BP950" s="50"/>
      <c r="BR950" s="146">
        <f t="array" ref="BR950">IFERROR(LARGE(IF(NF!$G$2:$G$3137='Mês atual'!A950,NF!$J$2:$J$3137),1),0)</f>
        <v>0</v>
      </c>
      <c r="BS950" s="142" t="str">
        <f>VLOOKUP(A950,NF!M:O,3,0)</f>
        <v>Sushi</v>
      </c>
      <c r="BV950" s="74">
        <f t="shared" si="597"/>
        <v>0</v>
      </c>
      <c r="BW950" s="74">
        <f t="shared" si="598"/>
        <v>0</v>
      </c>
      <c r="BX950" s="74">
        <f t="shared" si="599"/>
        <v>0</v>
      </c>
      <c r="BY950" s="74">
        <f t="shared" si="600"/>
        <v>0</v>
      </c>
      <c r="BZ950" s="74">
        <f t="shared" si="601"/>
        <v>0</v>
      </c>
    </row>
    <row r="951" spans="1:78" x14ac:dyDescent="0.25">
      <c r="A951" s="108" t="s">
        <v>1034</v>
      </c>
      <c r="B951" s="12"/>
      <c r="C951" s="9">
        <v>0</v>
      </c>
      <c r="D951" s="25"/>
      <c r="E951" s="10" t="str">
        <f t="shared" si="581"/>
        <v>MarçoSEMANA 1Maçã (sushi)</v>
      </c>
      <c r="F951" s="7">
        <f>SUMIF(NF!$A:$A,$E951,NF!$I:$I)</f>
        <v>0</v>
      </c>
      <c r="G951" s="74"/>
      <c r="H951" s="74"/>
      <c r="I951" s="74"/>
      <c r="J951" s="6"/>
      <c r="K951" s="6"/>
      <c r="L951" s="6"/>
      <c r="M951" s="6"/>
      <c r="N951" s="7">
        <f>SUM(G951:M951)</f>
        <v>0</v>
      </c>
      <c r="O951" s="11">
        <f>F951+C951-N951</f>
        <v>0</v>
      </c>
      <c r="P951" s="25"/>
      <c r="Q951" s="10" t="str">
        <f t="shared" si="584"/>
        <v>MarçoSEMANA 2Maçã (sushi)</v>
      </c>
      <c r="R951" s="7">
        <f>SUMIF(NF!$A:$A,$Q951,NF!$I:$I)</f>
        <v>0</v>
      </c>
      <c r="S951" s="6"/>
      <c r="T951" s="6"/>
      <c r="U951" s="6"/>
      <c r="V951" s="6"/>
      <c r="W951" s="6"/>
      <c r="X951" s="6"/>
      <c r="Y951" s="6"/>
      <c r="Z951" s="7">
        <f>SUM(S951:Y951)</f>
        <v>0</v>
      </c>
      <c r="AA951" s="11">
        <f>R951+O951-Z951</f>
        <v>0</v>
      </c>
      <c r="AB951" s="25"/>
      <c r="AC951" s="10" t="str">
        <f t="shared" si="587"/>
        <v>MarçoSEMANA 3Maçã (sushi)</v>
      </c>
      <c r="AD951" s="7">
        <f>SUMIF(NF!$A:$A,$AC951,NF!$I:$I)</f>
        <v>0</v>
      </c>
      <c r="AE951" s="6"/>
      <c r="AF951" s="6"/>
      <c r="AG951" s="6"/>
      <c r="AH951" s="6"/>
      <c r="AI951" s="6"/>
      <c r="AJ951" s="6"/>
      <c r="AK951" s="6"/>
      <c r="AL951" s="7">
        <f>SUM(AE951:AK951)</f>
        <v>0</v>
      </c>
      <c r="AM951" s="11">
        <f>AD951+AA951-AL951</f>
        <v>0</v>
      </c>
      <c r="AN951" s="25"/>
      <c r="AO951" s="10" t="str">
        <f t="shared" si="590"/>
        <v>MarçoSEMANA 4Maçã (sushi)</v>
      </c>
      <c r="AP951" s="7">
        <f>SUMIF(NF!$A:$A,$AO951,NF!$I:$I)</f>
        <v>0</v>
      </c>
      <c r="AQ951" s="6"/>
      <c r="AR951" s="6"/>
      <c r="AS951" s="6"/>
      <c r="AT951" s="6"/>
      <c r="AU951" s="6"/>
      <c r="AV951" s="6"/>
      <c r="AW951" s="6"/>
      <c r="AX951" s="7">
        <f>SUM(AQ951:AW951)</f>
        <v>0</v>
      </c>
      <c r="AY951" s="11">
        <f>AP951+AM951-AX951</f>
        <v>0</v>
      </c>
      <c r="AZ951" s="25"/>
      <c r="BA951" s="10" t="str">
        <f t="shared" si="593"/>
        <v>MarçoSEMANA 5Maçã (sushi)</v>
      </c>
      <c r="BB951" s="7">
        <f>SUMIF(NF!$A:$A,$BA951,NF!$I:$I)</f>
        <v>0</v>
      </c>
      <c r="BC951" s="6"/>
      <c r="BD951" s="6"/>
      <c r="BE951" s="6"/>
      <c r="BF951" s="6"/>
      <c r="BG951" s="6"/>
      <c r="BH951" s="6"/>
      <c r="BI951" s="74"/>
      <c r="BJ951" s="74"/>
      <c r="BK951" s="7">
        <f>SUM(BC951:BJ951)</f>
        <v>0</v>
      </c>
      <c r="BL951" s="8">
        <f>BB951+AY951-BK951</f>
        <v>0</v>
      </c>
      <c r="BM951" s="51" t="str">
        <f>IFERROR(VLOOKUP(A951,NF!$M:$O,3,0),"")</f>
        <v>Sushi</v>
      </c>
      <c r="BN951" s="7">
        <f>SUM(N951,Z951,AL951,AX951,BK951)</f>
        <v>0</v>
      </c>
      <c r="BO951" s="8">
        <f t="array" ref="BO951">IFERROR(LARGE(IF(NF!$G$2:$G$3137='Mês atual'!A951,NF!$J$2:$J$3137),1),0)*BN951</f>
        <v>0</v>
      </c>
      <c r="BP951" s="50"/>
      <c r="BR951" s="146">
        <f t="array" ref="BR951">IFERROR(LARGE(IF(NF!$G$2:$G$3137='Mês atual'!A951,NF!$J$2:$J$3137),1),0)</f>
        <v>0</v>
      </c>
      <c r="BS951" s="142" t="str">
        <f>VLOOKUP(A951,NF!M:O,3,0)</f>
        <v>Sushi</v>
      </c>
      <c r="BV951" s="74">
        <f t="shared" si="597"/>
        <v>0</v>
      </c>
      <c r="BW951" s="74">
        <f t="shared" si="598"/>
        <v>0</v>
      </c>
      <c r="BX951" s="74">
        <f t="shared" si="599"/>
        <v>0</v>
      </c>
      <c r="BY951" s="74">
        <f t="shared" si="600"/>
        <v>0</v>
      </c>
      <c r="BZ951" s="74">
        <f t="shared" si="601"/>
        <v>0</v>
      </c>
    </row>
    <row r="952" spans="1:78" x14ac:dyDescent="0.25">
      <c r="A952" s="108" t="s">
        <v>497</v>
      </c>
      <c r="B952" s="12"/>
      <c r="C952" s="9">
        <v>0</v>
      </c>
      <c r="D952" s="25"/>
      <c r="E952" s="10" t="str">
        <f t="shared" si="581"/>
        <v>MarçoSEMANA 1Manga Tommy Sushi</v>
      </c>
      <c r="F952" s="7">
        <f>SUMIF(NF!$A:$A,$E952,NF!$I:$I)</f>
        <v>1.5</v>
      </c>
      <c r="G952" s="74"/>
      <c r="H952" s="74"/>
      <c r="I952" s="74"/>
      <c r="J952" s="6">
        <v>1.5</v>
      </c>
      <c r="K952" s="6"/>
      <c r="L952" s="6"/>
      <c r="M952" s="6"/>
      <c r="N952" s="7">
        <f t="shared" si="612"/>
        <v>1.5</v>
      </c>
      <c r="O952" s="11">
        <f t="shared" si="583"/>
        <v>0</v>
      </c>
      <c r="P952" s="25"/>
      <c r="Q952" s="10" t="str">
        <f t="shared" si="584"/>
        <v>MarçoSEMANA 2Manga Tommy Sushi</v>
      </c>
      <c r="R952" s="7">
        <f>SUMIF(NF!$A:$A,$Q952,NF!$I:$I)</f>
        <v>2</v>
      </c>
      <c r="S952" s="6">
        <v>1</v>
      </c>
      <c r="T952" s="6"/>
      <c r="U952" s="6"/>
      <c r="V952" s="6"/>
      <c r="W952" s="6"/>
      <c r="X952" s="6"/>
      <c r="Y952" s="6">
        <v>1</v>
      </c>
      <c r="Z952" s="7">
        <f t="shared" si="613"/>
        <v>2</v>
      </c>
      <c r="AA952" s="11">
        <f t="shared" si="586"/>
        <v>0</v>
      </c>
      <c r="AB952" s="25"/>
      <c r="AC952" s="10" t="str">
        <f t="shared" si="587"/>
        <v>MarçoSEMANA 3Manga Tommy Sushi</v>
      </c>
      <c r="AD952" s="7">
        <f>SUMIF(NF!$A:$A,$AC952,NF!$I:$I)</f>
        <v>2</v>
      </c>
      <c r="AE952" s="6"/>
      <c r="AF952" s="6"/>
      <c r="AG952" s="6"/>
      <c r="AH952" s="6"/>
      <c r="AI952" s="6"/>
      <c r="AJ952" s="6">
        <v>2</v>
      </c>
      <c r="AK952" s="6"/>
      <c r="AL952" s="7">
        <f t="shared" si="614"/>
        <v>2</v>
      </c>
      <c r="AM952" s="11">
        <f t="shared" si="589"/>
        <v>0</v>
      </c>
      <c r="AN952" s="25"/>
      <c r="AO952" s="10" t="str">
        <f t="shared" si="590"/>
        <v>MarçoSEMANA 4Manga Tommy Sushi</v>
      </c>
      <c r="AP952" s="7">
        <f>SUMIF(NF!$A:$A,$AO952,NF!$I:$I)</f>
        <v>2</v>
      </c>
      <c r="AQ952" s="6"/>
      <c r="AR952" s="6"/>
      <c r="AS952" s="6"/>
      <c r="AT952" s="6">
        <v>2</v>
      </c>
      <c r="AU952" s="6"/>
      <c r="AV952" s="6"/>
      <c r="AW952" s="6"/>
      <c r="AX952" s="7">
        <f t="shared" si="615"/>
        <v>2</v>
      </c>
      <c r="AY952" s="11">
        <f t="shared" si="592"/>
        <v>0</v>
      </c>
      <c r="AZ952" s="25"/>
      <c r="BA952" s="10" t="str">
        <f t="shared" si="593"/>
        <v>MarçoSEMANA 5Manga Tommy Sushi</v>
      </c>
      <c r="BB952" s="7">
        <f>SUMIF(NF!$A:$A,$BA952,NF!$I:$I)</f>
        <v>0</v>
      </c>
      <c r="BC952" s="6"/>
      <c r="BD952" s="6"/>
      <c r="BE952" s="6"/>
      <c r="BF952" s="6"/>
      <c r="BG952" s="6"/>
      <c r="BH952" s="6"/>
      <c r="BI952" s="74"/>
      <c r="BJ952" s="74"/>
      <c r="BK952" s="7">
        <f t="shared" si="616"/>
        <v>0</v>
      </c>
      <c r="BL952" s="8">
        <f t="shared" si="595"/>
        <v>0</v>
      </c>
      <c r="BM952" s="51" t="str">
        <f>IFERROR(VLOOKUP(A952,NF!$M:$O,3,0),"")</f>
        <v>Sushi</v>
      </c>
      <c r="BN952" s="7">
        <f t="shared" si="596"/>
        <v>7.5</v>
      </c>
      <c r="BO952" s="8">
        <f t="array" ref="BO952">IFERROR(LARGE(IF(NF!$G$2:$G$3137='Mês atual'!A952,NF!$J$2:$J$3137),1),0)*BN952</f>
        <v>33.75</v>
      </c>
      <c r="BP952" s="50"/>
      <c r="BR952" s="146">
        <f t="array" ref="BR952">IFERROR(LARGE(IF(NF!$G$2:$G$3137='Mês atual'!A952,NF!$J$2:$J$3137),1),0)</f>
        <v>4.5</v>
      </c>
      <c r="BS952" s="142" t="str">
        <f>VLOOKUP(A952,NF!M:O,3,0)</f>
        <v>Sushi</v>
      </c>
      <c r="BV952" s="74">
        <f t="shared" si="597"/>
        <v>1.5</v>
      </c>
      <c r="BW952" s="74">
        <f t="shared" si="598"/>
        <v>2</v>
      </c>
      <c r="BX952" s="74">
        <f t="shared" si="599"/>
        <v>2</v>
      </c>
      <c r="BY952" s="74">
        <f t="shared" si="600"/>
        <v>2</v>
      </c>
      <c r="BZ952" s="74">
        <f t="shared" si="601"/>
        <v>0</v>
      </c>
    </row>
    <row r="953" spans="1:78" x14ac:dyDescent="0.25">
      <c r="A953" s="108" t="s">
        <v>1032</v>
      </c>
      <c r="B953" s="12"/>
      <c r="C953" s="9">
        <v>0</v>
      </c>
      <c r="D953" s="25"/>
      <c r="E953" s="10" t="str">
        <f t="shared" si="581"/>
        <v>MarçoSEMANA 1Massa de Harumaki (sushi)</v>
      </c>
      <c r="F953" s="7">
        <f>SUMIF(NF!$A:$A,$E953,NF!$I:$I)</f>
        <v>0</v>
      </c>
      <c r="G953" s="74"/>
      <c r="H953" s="74"/>
      <c r="I953" s="74"/>
      <c r="J953" s="6"/>
      <c r="K953" s="6"/>
      <c r="L953" s="6"/>
      <c r="M953" s="6"/>
      <c r="N953" s="7">
        <f>SUM(G953:M953)</f>
        <v>0</v>
      </c>
      <c r="O953" s="11">
        <f>F953+C953-N953</f>
        <v>0</v>
      </c>
      <c r="P953" s="25"/>
      <c r="Q953" s="10" t="str">
        <f t="shared" si="584"/>
        <v>MarçoSEMANA 2Massa de Harumaki (sushi)</v>
      </c>
      <c r="R953" s="7">
        <f>SUMIF(NF!$A:$A,$Q953,NF!$I:$I)</f>
        <v>0</v>
      </c>
      <c r="S953" s="6"/>
      <c r="T953" s="6"/>
      <c r="U953" s="6"/>
      <c r="V953" s="6"/>
      <c r="W953" s="6"/>
      <c r="X953" s="6"/>
      <c r="Y953" s="6"/>
      <c r="Z953" s="7">
        <f>SUM(S953:Y953)</f>
        <v>0</v>
      </c>
      <c r="AA953" s="11">
        <f>R953+O953-Z953</f>
        <v>0</v>
      </c>
      <c r="AB953" s="25"/>
      <c r="AC953" s="10" t="str">
        <f t="shared" si="587"/>
        <v>MarçoSEMANA 3Massa de Harumaki (sushi)</v>
      </c>
      <c r="AD953" s="7">
        <f>SUMIF(NF!$A:$A,$AC953,NF!$I:$I)</f>
        <v>0</v>
      </c>
      <c r="AE953" s="6"/>
      <c r="AF953" s="6"/>
      <c r="AG953" s="6"/>
      <c r="AH953" s="6"/>
      <c r="AI953" s="6"/>
      <c r="AJ953" s="6"/>
      <c r="AK953" s="6"/>
      <c r="AL953" s="7">
        <f>SUM(AE953:AK953)</f>
        <v>0</v>
      </c>
      <c r="AM953" s="11">
        <f>AD953+AA953-AL953</f>
        <v>0</v>
      </c>
      <c r="AN953" s="25"/>
      <c r="AO953" s="10" t="str">
        <f t="shared" si="590"/>
        <v>MarçoSEMANA 4Massa de Harumaki (sushi)</v>
      </c>
      <c r="AP953" s="7">
        <f>SUMIF(NF!$A:$A,$AO953,NF!$I:$I)</f>
        <v>0</v>
      </c>
      <c r="AQ953" s="6"/>
      <c r="AR953" s="6"/>
      <c r="AS953" s="6"/>
      <c r="AT953" s="6"/>
      <c r="AU953" s="6"/>
      <c r="AV953" s="6"/>
      <c r="AW953" s="6"/>
      <c r="AX953" s="7">
        <f>SUM(AQ953:AW953)</f>
        <v>0</v>
      </c>
      <c r="AY953" s="11">
        <f>AP953+AM953-AX953</f>
        <v>0</v>
      </c>
      <c r="AZ953" s="25"/>
      <c r="BA953" s="10" t="str">
        <f t="shared" si="593"/>
        <v>MarçoSEMANA 5Massa de Harumaki (sushi)</v>
      </c>
      <c r="BB953" s="7">
        <f>SUMIF(NF!$A:$A,$BA953,NF!$I:$I)</f>
        <v>0</v>
      </c>
      <c r="BC953" s="6"/>
      <c r="BD953" s="6"/>
      <c r="BE953" s="6"/>
      <c r="BF953" s="6"/>
      <c r="BG953" s="6"/>
      <c r="BH953" s="6"/>
      <c r="BI953" s="74"/>
      <c r="BJ953" s="74"/>
      <c r="BK953" s="7">
        <f>SUM(BC953:BJ953)</f>
        <v>0</v>
      </c>
      <c r="BL953" s="8">
        <f>BB953+AY953-BK953</f>
        <v>0</v>
      </c>
      <c r="BM953" s="51" t="str">
        <f>IFERROR(VLOOKUP(A953,NF!$M:$O,3,0),"")</f>
        <v>Sushi</v>
      </c>
      <c r="BN953" s="7">
        <f>SUM(N953,Z953,AL953,AX953,BK953)</f>
        <v>0</v>
      </c>
      <c r="BO953" s="8">
        <f t="array" ref="BO953">IFERROR(LARGE(IF(NF!$G$2:$G$3137='Mês atual'!A953,NF!$J$2:$J$3137),1),0)*BN953</f>
        <v>0</v>
      </c>
      <c r="BP953" s="50"/>
      <c r="BR953" s="146">
        <f t="array" ref="BR953">IFERROR(LARGE(IF(NF!$G$2:$G$3137='Mês atual'!A953,NF!$J$2:$J$3137),1),0)</f>
        <v>0</v>
      </c>
      <c r="BS953" s="142" t="str">
        <f>VLOOKUP(A953,NF!M:O,3,0)</f>
        <v>Sushi</v>
      </c>
      <c r="BV953" s="74">
        <f t="shared" si="597"/>
        <v>0</v>
      </c>
      <c r="BW953" s="74">
        <f t="shared" si="598"/>
        <v>0</v>
      </c>
      <c r="BX953" s="74">
        <f t="shared" si="599"/>
        <v>0</v>
      </c>
      <c r="BY953" s="74">
        <f t="shared" si="600"/>
        <v>0</v>
      </c>
      <c r="BZ953" s="74">
        <f t="shared" si="601"/>
        <v>0</v>
      </c>
    </row>
    <row r="954" spans="1:78" x14ac:dyDescent="0.25">
      <c r="A954" s="108" t="s">
        <v>536</v>
      </c>
      <c r="B954" s="12"/>
      <c r="C954" s="9">
        <v>0</v>
      </c>
      <c r="D954" s="25"/>
      <c r="E954" s="10" t="str">
        <f t="shared" si="581"/>
        <v>MarçoSEMANA 1Nabo Japonês Sushi</v>
      </c>
      <c r="F954" s="7">
        <f>SUMIF(NF!$A:$A,$E954,NF!$I:$I)</f>
        <v>0</v>
      </c>
      <c r="G954" s="74"/>
      <c r="H954" s="74"/>
      <c r="I954" s="74"/>
      <c r="J954" s="6"/>
      <c r="K954" s="6"/>
      <c r="L954" s="6"/>
      <c r="M954" s="6"/>
      <c r="N954" s="7">
        <f t="shared" si="612"/>
        <v>0</v>
      </c>
      <c r="O954" s="11">
        <f t="shared" si="583"/>
        <v>0</v>
      </c>
      <c r="P954" s="25"/>
      <c r="Q954" s="10" t="str">
        <f t="shared" si="584"/>
        <v>MarçoSEMANA 2Nabo Japonês Sushi</v>
      </c>
      <c r="R954" s="7">
        <f>SUMIF(NF!$A:$A,$Q954,NF!$I:$I)</f>
        <v>1</v>
      </c>
      <c r="S954" s="6"/>
      <c r="T954" s="6"/>
      <c r="U954" s="6"/>
      <c r="V954" s="6"/>
      <c r="W954" s="6">
        <v>1</v>
      </c>
      <c r="X954" s="6"/>
      <c r="Y954" s="6"/>
      <c r="Z954" s="7">
        <f t="shared" si="613"/>
        <v>1</v>
      </c>
      <c r="AA954" s="11">
        <f t="shared" si="586"/>
        <v>0</v>
      </c>
      <c r="AB954" s="25"/>
      <c r="AC954" s="10" t="str">
        <f t="shared" si="587"/>
        <v>MarçoSEMANA 3Nabo Japonês Sushi</v>
      </c>
      <c r="AD954" s="7">
        <f>SUMIF(NF!$A:$A,$AC954,NF!$I:$I)</f>
        <v>0</v>
      </c>
      <c r="AE954" s="6"/>
      <c r="AF954" s="6"/>
      <c r="AG954" s="6"/>
      <c r="AH954" s="6"/>
      <c r="AI954" s="6"/>
      <c r="AJ954" s="6"/>
      <c r="AK954" s="6"/>
      <c r="AL954" s="7">
        <f t="shared" si="614"/>
        <v>0</v>
      </c>
      <c r="AM954" s="11">
        <f t="shared" si="589"/>
        <v>0</v>
      </c>
      <c r="AN954" s="25"/>
      <c r="AO954" s="10" t="str">
        <f t="shared" si="590"/>
        <v>MarçoSEMANA 4Nabo Japonês Sushi</v>
      </c>
      <c r="AP954" s="7">
        <f>SUMIF(NF!$A:$A,$AO954,NF!$I:$I)</f>
        <v>0</v>
      </c>
      <c r="AQ954" s="6"/>
      <c r="AR954" s="6"/>
      <c r="AS954" s="6"/>
      <c r="AT954" s="6"/>
      <c r="AU954" s="6"/>
      <c r="AV954" s="6"/>
      <c r="AW954" s="6"/>
      <c r="AX954" s="7">
        <f t="shared" si="615"/>
        <v>0</v>
      </c>
      <c r="AY954" s="11">
        <f t="shared" si="592"/>
        <v>0</v>
      </c>
      <c r="AZ954" s="25"/>
      <c r="BA954" s="10" t="str">
        <f t="shared" si="593"/>
        <v>MarçoSEMANA 5Nabo Japonês Sushi</v>
      </c>
      <c r="BB954" s="7">
        <f>SUMIF(NF!$A:$A,$BA954,NF!$I:$I)</f>
        <v>1</v>
      </c>
      <c r="BC954" s="6"/>
      <c r="BD954" s="6"/>
      <c r="BE954" s="6"/>
      <c r="BF954" s="6">
        <v>1</v>
      </c>
      <c r="BG954" s="6"/>
      <c r="BH954" s="6"/>
      <c r="BI954" s="74"/>
      <c r="BJ954" s="74"/>
      <c r="BK954" s="7">
        <f t="shared" si="616"/>
        <v>1</v>
      </c>
      <c r="BL954" s="8">
        <f t="shared" si="595"/>
        <v>0</v>
      </c>
      <c r="BM954" s="51" t="str">
        <f>IFERROR(VLOOKUP(A954,NF!$M:$O,3,0),"")</f>
        <v>Sushi</v>
      </c>
      <c r="BN954" s="7">
        <f t="shared" si="596"/>
        <v>2</v>
      </c>
      <c r="BO954" s="8">
        <f t="array" ref="BO954">IFERROR(LARGE(IF(NF!$G$2:$G$3137='Mês atual'!A954,NF!$J$2:$J$3137),1),0)*BN954</f>
        <v>14</v>
      </c>
      <c r="BP954" s="50"/>
      <c r="BR954" s="146">
        <f t="array" ref="BR954">IFERROR(LARGE(IF(NF!$G$2:$G$3137='Mês atual'!A954,NF!$J$2:$J$3137),1),0)</f>
        <v>7</v>
      </c>
      <c r="BS954" s="142" t="str">
        <f>VLOOKUP(A954,NF!M:O,3,0)</f>
        <v>Sushi</v>
      </c>
      <c r="BV954" s="74">
        <f t="shared" si="597"/>
        <v>0</v>
      </c>
      <c r="BW954" s="74">
        <f t="shared" si="598"/>
        <v>1</v>
      </c>
      <c r="BX954" s="74">
        <f t="shared" si="599"/>
        <v>0</v>
      </c>
      <c r="BY954" s="74">
        <f t="shared" si="600"/>
        <v>0</v>
      </c>
      <c r="BZ954" s="74">
        <f t="shared" si="601"/>
        <v>1</v>
      </c>
    </row>
    <row r="955" spans="1:78" x14ac:dyDescent="0.25">
      <c r="A955" s="108" t="s">
        <v>928</v>
      </c>
      <c r="B955" s="12"/>
      <c r="C955" s="9">
        <v>0</v>
      </c>
      <c r="D955" s="25"/>
      <c r="E955" s="10" t="str">
        <f t="shared" si="581"/>
        <v>MarçoSEMANA 1Name Wasabi</v>
      </c>
      <c r="F955" s="7">
        <f>SUMIF(NF!$A:$A,$E955,NF!$I:$I)</f>
        <v>0</v>
      </c>
      <c r="G955" s="74"/>
      <c r="H955" s="74"/>
      <c r="I955" s="74"/>
      <c r="J955" s="6"/>
      <c r="K955" s="6"/>
      <c r="L955" s="6"/>
      <c r="M955" s="6"/>
      <c r="N955" s="7">
        <f>SUM(G955:M955)</f>
        <v>0</v>
      </c>
      <c r="O955" s="11">
        <f t="shared" si="583"/>
        <v>0</v>
      </c>
      <c r="P955" s="25"/>
      <c r="Q955" s="10" t="str">
        <f t="shared" si="584"/>
        <v>MarçoSEMANA 2Name Wasabi</v>
      </c>
      <c r="R955" s="7">
        <f>SUMIF(NF!$A:$A,$Q955,NF!$I:$I)</f>
        <v>0</v>
      </c>
      <c r="S955" s="6"/>
      <c r="T955" s="6"/>
      <c r="U955" s="6"/>
      <c r="V955" s="6"/>
      <c r="W955" s="6"/>
      <c r="X955" s="6"/>
      <c r="Y955" s="6"/>
      <c r="Z955" s="7">
        <f>SUM(S955:Y955)</f>
        <v>0</v>
      </c>
      <c r="AA955" s="11">
        <f t="shared" si="586"/>
        <v>0</v>
      </c>
      <c r="AB955" s="25"/>
      <c r="AC955" s="10" t="str">
        <f t="shared" si="587"/>
        <v>MarçoSEMANA 3Name Wasabi</v>
      </c>
      <c r="AD955" s="7">
        <f>SUMIF(NF!$A:$A,$AC955,NF!$I:$I)</f>
        <v>0</v>
      </c>
      <c r="AE955" s="6"/>
      <c r="AF955" s="6"/>
      <c r="AG955" s="6"/>
      <c r="AH955" s="6"/>
      <c r="AI955" s="6"/>
      <c r="AJ955" s="6"/>
      <c r="AK955" s="6"/>
      <c r="AL955" s="7">
        <f>SUM(AE955:AK955)</f>
        <v>0</v>
      </c>
      <c r="AM955" s="11">
        <f t="shared" si="589"/>
        <v>0</v>
      </c>
      <c r="AN955" s="25"/>
      <c r="AO955" s="10" t="str">
        <f t="shared" si="590"/>
        <v>MarçoSEMANA 4Name Wasabi</v>
      </c>
      <c r="AP955" s="7">
        <f>SUMIF(NF!$A:$A,$AO955,NF!$I:$I)</f>
        <v>0</v>
      </c>
      <c r="AQ955" s="6"/>
      <c r="AR955" s="6"/>
      <c r="AS955" s="6"/>
      <c r="AT955" s="6"/>
      <c r="AU955" s="6"/>
      <c r="AV955" s="6"/>
      <c r="AW955" s="6"/>
      <c r="AX955" s="7">
        <f>SUM(AQ955:AW955)</f>
        <v>0</v>
      </c>
      <c r="AY955" s="11">
        <f t="shared" si="592"/>
        <v>0</v>
      </c>
      <c r="AZ955" s="25"/>
      <c r="BA955" s="10" t="str">
        <f t="shared" si="593"/>
        <v>MarçoSEMANA 5Name Wasabi</v>
      </c>
      <c r="BB955" s="7">
        <f>SUMIF(NF!$A:$A,$BA955,NF!$I:$I)</f>
        <v>0</v>
      </c>
      <c r="BC955" s="6"/>
      <c r="BD955" s="6"/>
      <c r="BE955" s="6"/>
      <c r="BF955" s="6"/>
      <c r="BG955" s="6"/>
      <c r="BH955" s="6"/>
      <c r="BI955" s="74"/>
      <c r="BJ955" s="74"/>
      <c r="BK955" s="7">
        <f>SUM(BC955:BJ955)</f>
        <v>0</v>
      </c>
      <c r="BL955" s="8">
        <f t="shared" si="595"/>
        <v>0</v>
      </c>
      <c r="BM955" s="51" t="str">
        <f>IFERROR(VLOOKUP(A955,NF!$M:$O,3,0),"")</f>
        <v>Sushi</v>
      </c>
      <c r="BN955" s="7">
        <f t="shared" si="596"/>
        <v>0</v>
      </c>
      <c r="BO955" s="8">
        <f t="array" ref="BO955">IFERROR(LARGE(IF(NF!$G$2:$G$3137='Mês atual'!A955,NF!$J$2:$J$3137),1),0)*BN955</f>
        <v>0</v>
      </c>
      <c r="BP955" s="50"/>
      <c r="BR955" s="146">
        <f t="array" ref="BR955">IFERROR(LARGE(IF(NF!$G$2:$G$3137='Mês atual'!A955,NF!$J$2:$J$3137),1),0)</f>
        <v>0</v>
      </c>
      <c r="BS955" s="142" t="str">
        <f>VLOOKUP(A955,NF!M:O,3,0)</f>
        <v>Sushi</v>
      </c>
      <c r="BV955" s="74">
        <f t="shared" si="597"/>
        <v>0</v>
      </c>
      <c r="BW955" s="74">
        <f t="shared" si="598"/>
        <v>0</v>
      </c>
      <c r="BX955" s="74">
        <f t="shared" si="599"/>
        <v>0</v>
      </c>
      <c r="BY955" s="74">
        <f t="shared" si="600"/>
        <v>0</v>
      </c>
      <c r="BZ955" s="74">
        <f t="shared" si="601"/>
        <v>0</v>
      </c>
    </row>
    <row r="956" spans="1:78" x14ac:dyDescent="0.25">
      <c r="A956" s="108" t="s">
        <v>896</v>
      </c>
      <c r="B956" s="12"/>
      <c r="C956" s="9">
        <v>0</v>
      </c>
      <c r="D956" s="25"/>
      <c r="E956" s="10" t="str">
        <f t="shared" si="581"/>
        <v>MarçoSEMANA 1Nirá Sushi</v>
      </c>
      <c r="F956" s="7">
        <f>SUMIF(NF!$A:$A,$E956,NF!$I:$I)</f>
        <v>0</v>
      </c>
      <c r="G956" s="74"/>
      <c r="H956" s="74"/>
      <c r="I956" s="74"/>
      <c r="J956" s="6"/>
      <c r="K956" s="6"/>
      <c r="L956" s="6"/>
      <c r="M956" s="6"/>
      <c r="N956" s="7">
        <f t="shared" ref="N956:N981" si="617">SUM(G956:M956)</f>
        <v>0</v>
      </c>
      <c r="O956" s="11">
        <f t="shared" si="583"/>
        <v>0</v>
      </c>
      <c r="P956" s="25"/>
      <c r="Q956" s="10" t="str">
        <f t="shared" si="584"/>
        <v>MarçoSEMANA 2Nirá Sushi</v>
      </c>
      <c r="R956" s="7">
        <f>SUMIF(NF!$A:$A,$Q956,NF!$I:$I)</f>
        <v>0</v>
      </c>
      <c r="S956" s="6"/>
      <c r="T956" s="6"/>
      <c r="U956" s="6"/>
      <c r="V956" s="6"/>
      <c r="W956" s="6"/>
      <c r="X956" s="6"/>
      <c r="Y956" s="6"/>
      <c r="Z956" s="7">
        <f t="shared" ref="Z956:Z981" si="618">SUM(S956:Y956)</f>
        <v>0</v>
      </c>
      <c r="AA956" s="11">
        <f t="shared" si="586"/>
        <v>0</v>
      </c>
      <c r="AB956" s="25"/>
      <c r="AC956" s="10" t="str">
        <f t="shared" si="587"/>
        <v>MarçoSEMANA 3Nirá Sushi</v>
      </c>
      <c r="AD956" s="7">
        <f>SUMIF(NF!$A:$A,$AC956,NF!$I:$I)</f>
        <v>0</v>
      </c>
      <c r="AE956" s="6"/>
      <c r="AF956" s="6"/>
      <c r="AG956" s="6"/>
      <c r="AH956" s="6"/>
      <c r="AI956" s="6"/>
      <c r="AJ956" s="6"/>
      <c r="AK956" s="6"/>
      <c r="AL956" s="7">
        <f t="shared" ref="AL956:AL981" si="619">SUM(AE956:AK956)</f>
        <v>0</v>
      </c>
      <c r="AM956" s="11">
        <f t="shared" si="589"/>
        <v>0</v>
      </c>
      <c r="AN956" s="25"/>
      <c r="AO956" s="10" t="str">
        <f t="shared" si="590"/>
        <v>MarçoSEMANA 4Nirá Sushi</v>
      </c>
      <c r="AP956" s="7">
        <f>SUMIF(NF!$A:$A,$AO956,NF!$I:$I)</f>
        <v>0</v>
      </c>
      <c r="AQ956" s="6"/>
      <c r="AR956" s="6"/>
      <c r="AS956" s="6"/>
      <c r="AT956" s="6"/>
      <c r="AU956" s="6"/>
      <c r="AV956" s="6"/>
      <c r="AW956" s="6"/>
      <c r="AX956" s="7">
        <f t="shared" ref="AX956:AX981" si="620">SUM(AQ956:AW956)</f>
        <v>0</v>
      </c>
      <c r="AY956" s="11">
        <f t="shared" si="592"/>
        <v>0</v>
      </c>
      <c r="AZ956" s="25"/>
      <c r="BA956" s="10" t="str">
        <f t="shared" si="593"/>
        <v>MarçoSEMANA 5Nirá Sushi</v>
      </c>
      <c r="BB956" s="7">
        <f>SUMIF(NF!$A:$A,$BA956,NF!$I:$I)</f>
        <v>0</v>
      </c>
      <c r="BC956" s="6"/>
      <c r="BD956" s="6"/>
      <c r="BE956" s="6"/>
      <c r="BF956" s="6"/>
      <c r="BG956" s="6"/>
      <c r="BH956" s="6"/>
      <c r="BI956" s="74"/>
      <c r="BJ956" s="74"/>
      <c r="BK956" s="7">
        <f t="shared" ref="BK956:BK981" si="621">SUM(BC956:BJ956)</f>
        <v>0</v>
      </c>
      <c r="BL956" s="8">
        <f t="shared" si="595"/>
        <v>0</v>
      </c>
      <c r="BM956" s="51" t="str">
        <f>IFERROR(VLOOKUP(A956,NF!$M:$O,3,0),"")</f>
        <v>Sushi</v>
      </c>
      <c r="BN956" s="7">
        <f t="shared" si="596"/>
        <v>0</v>
      </c>
      <c r="BO956" s="8">
        <f t="array" ref="BO956">IFERROR(LARGE(IF(NF!$G$2:$G$3137='Mês atual'!A956,NF!$J$2:$J$3137),1),0)*BN956</f>
        <v>0</v>
      </c>
      <c r="BP956" s="50"/>
      <c r="BR956" s="146">
        <f t="array" ref="BR956">IFERROR(LARGE(IF(NF!$G$2:$G$3137='Mês atual'!A956,NF!$J$2:$J$3137),1),0)</f>
        <v>0</v>
      </c>
      <c r="BS956" s="142" t="str">
        <f>VLOOKUP(A956,NF!M:O,3,0)</f>
        <v>Sushi</v>
      </c>
      <c r="BV956" s="74">
        <f t="shared" si="597"/>
        <v>0</v>
      </c>
      <c r="BW956" s="74">
        <f t="shared" si="598"/>
        <v>0</v>
      </c>
      <c r="BX956" s="74">
        <f t="shared" si="599"/>
        <v>0</v>
      </c>
      <c r="BY956" s="74">
        <f t="shared" si="600"/>
        <v>0</v>
      </c>
      <c r="BZ956" s="74">
        <f t="shared" si="601"/>
        <v>0</v>
      </c>
    </row>
    <row r="957" spans="1:78" x14ac:dyDescent="0.25">
      <c r="A957" s="108" t="s">
        <v>550</v>
      </c>
      <c r="B957" s="12"/>
      <c r="C957" s="9">
        <v>0</v>
      </c>
      <c r="D957" s="25"/>
      <c r="E957" s="10" t="str">
        <f t="shared" si="581"/>
        <v>MarçoSEMANA 1Ovos Extra Sushi</v>
      </c>
      <c r="F957" s="7">
        <f>SUMIF(NF!$A:$A,$E957,NF!$I:$I)</f>
        <v>0</v>
      </c>
      <c r="G957" s="74"/>
      <c r="H957" s="74"/>
      <c r="I957" s="74"/>
      <c r="J957" s="6"/>
      <c r="K957" s="6"/>
      <c r="L957" s="6"/>
      <c r="M957" s="6"/>
      <c r="N957" s="7">
        <f t="shared" si="617"/>
        <v>0</v>
      </c>
      <c r="O957" s="11">
        <f t="shared" si="583"/>
        <v>0</v>
      </c>
      <c r="P957" s="25"/>
      <c r="Q957" s="10" t="str">
        <f t="shared" si="584"/>
        <v>MarçoSEMANA 2Ovos Extra Sushi</v>
      </c>
      <c r="R957" s="7">
        <f>SUMIF(NF!$A:$A,$Q957,NF!$I:$I)</f>
        <v>0</v>
      </c>
      <c r="S957" s="6"/>
      <c r="T957" s="6"/>
      <c r="U957" s="6"/>
      <c r="V957" s="6"/>
      <c r="W957" s="6"/>
      <c r="X957" s="6"/>
      <c r="Y957" s="6"/>
      <c r="Z957" s="7">
        <f t="shared" si="618"/>
        <v>0</v>
      </c>
      <c r="AA957" s="11">
        <f t="shared" si="586"/>
        <v>0</v>
      </c>
      <c r="AB957" s="25"/>
      <c r="AC957" s="10" t="str">
        <f t="shared" si="587"/>
        <v>MarçoSEMANA 3Ovos Extra Sushi</v>
      </c>
      <c r="AD957" s="7">
        <f>SUMIF(NF!$A:$A,$AC957,NF!$I:$I)</f>
        <v>0</v>
      </c>
      <c r="AE957" s="6"/>
      <c r="AF957" s="6"/>
      <c r="AG957" s="6"/>
      <c r="AH957" s="6"/>
      <c r="AI957" s="6"/>
      <c r="AJ957" s="6"/>
      <c r="AK957" s="6"/>
      <c r="AL957" s="7">
        <f t="shared" si="619"/>
        <v>0</v>
      </c>
      <c r="AM957" s="11">
        <f t="shared" si="589"/>
        <v>0</v>
      </c>
      <c r="AN957" s="25"/>
      <c r="AO957" s="10" t="str">
        <f t="shared" si="590"/>
        <v>MarçoSEMANA 4Ovos Extra Sushi</v>
      </c>
      <c r="AP957" s="7">
        <f>SUMIF(NF!$A:$A,$AO957,NF!$I:$I)</f>
        <v>0</v>
      </c>
      <c r="AQ957" s="6"/>
      <c r="AR957" s="6"/>
      <c r="AS957" s="6"/>
      <c r="AT957" s="6"/>
      <c r="AU957" s="6"/>
      <c r="AV957" s="6"/>
      <c r="AW957" s="6"/>
      <c r="AX957" s="7">
        <f t="shared" si="620"/>
        <v>0</v>
      </c>
      <c r="AY957" s="11">
        <f t="shared" si="592"/>
        <v>0</v>
      </c>
      <c r="AZ957" s="25"/>
      <c r="BA957" s="10" t="str">
        <f t="shared" si="593"/>
        <v>MarçoSEMANA 5Ovos Extra Sushi</v>
      </c>
      <c r="BB957" s="7">
        <f>SUMIF(NF!$A:$A,$BA957,NF!$I:$I)</f>
        <v>0</v>
      </c>
      <c r="BC957" s="6"/>
      <c r="BD957" s="6"/>
      <c r="BE957" s="6"/>
      <c r="BF957" s="6"/>
      <c r="BG957" s="6"/>
      <c r="BH957" s="6"/>
      <c r="BI957" s="74"/>
      <c r="BJ957" s="74"/>
      <c r="BK957" s="7">
        <f t="shared" si="621"/>
        <v>0</v>
      </c>
      <c r="BL957" s="8">
        <f t="shared" si="595"/>
        <v>0</v>
      </c>
      <c r="BM957" s="51" t="str">
        <f>IFERROR(VLOOKUP(A957,NF!$M:$O,3,0),"")</f>
        <v>Sushi</v>
      </c>
      <c r="BN957" s="7">
        <f t="shared" si="596"/>
        <v>0</v>
      </c>
      <c r="BO957" s="8">
        <f t="array" ref="BO957">IFERROR(LARGE(IF(NF!$G$2:$G$3137='Mês atual'!A957,NF!$J$2:$J$3137),1),0)*BN957</f>
        <v>0</v>
      </c>
      <c r="BP957" s="50"/>
      <c r="BR957" s="146">
        <f t="array" ref="BR957">IFERROR(LARGE(IF(NF!$G$2:$G$3137='Mês atual'!A957,NF!$J$2:$J$3137),1),0)</f>
        <v>0</v>
      </c>
      <c r="BS957" s="142" t="str">
        <f>VLOOKUP(A957,NF!M:O,3,0)</f>
        <v>Sushi</v>
      </c>
      <c r="BV957" s="74">
        <f t="shared" si="597"/>
        <v>0</v>
      </c>
      <c r="BW957" s="74">
        <f t="shared" si="598"/>
        <v>0</v>
      </c>
      <c r="BX957" s="74">
        <f t="shared" si="599"/>
        <v>0</v>
      </c>
      <c r="BY957" s="74">
        <f t="shared" si="600"/>
        <v>0</v>
      </c>
      <c r="BZ957" s="74">
        <f t="shared" si="601"/>
        <v>0</v>
      </c>
    </row>
    <row r="958" spans="1:78" x14ac:dyDescent="0.25">
      <c r="A958" s="108" t="s">
        <v>568</v>
      </c>
      <c r="B958" s="12"/>
      <c r="C958" s="9">
        <v>0</v>
      </c>
      <c r="D958" s="25"/>
      <c r="E958" s="10" t="str">
        <f t="shared" si="581"/>
        <v>MarçoSEMANA 1Papel de Arroz</v>
      </c>
      <c r="F958" s="7">
        <f>SUMIF(NF!$A:$A,$E958,NF!$I:$I)</f>
        <v>0</v>
      </c>
      <c r="G958" s="74"/>
      <c r="H958" s="74"/>
      <c r="I958" s="74"/>
      <c r="J958" s="6"/>
      <c r="K958" s="6"/>
      <c r="L958" s="6"/>
      <c r="M958" s="6"/>
      <c r="N958" s="7">
        <f t="shared" si="617"/>
        <v>0</v>
      </c>
      <c r="O958" s="11">
        <f t="shared" si="583"/>
        <v>0</v>
      </c>
      <c r="P958" s="25"/>
      <c r="Q958" s="10" t="str">
        <f t="shared" si="584"/>
        <v>MarçoSEMANA 2Papel de Arroz</v>
      </c>
      <c r="R958" s="7">
        <f>SUMIF(NF!$A:$A,$Q958,NF!$I:$I)</f>
        <v>0</v>
      </c>
      <c r="S958" s="6"/>
      <c r="T958" s="6"/>
      <c r="U958" s="6"/>
      <c r="V958" s="6"/>
      <c r="W958" s="6"/>
      <c r="X958" s="6"/>
      <c r="Y958" s="6"/>
      <c r="Z958" s="7">
        <f t="shared" si="618"/>
        <v>0</v>
      </c>
      <c r="AA958" s="11">
        <f t="shared" si="586"/>
        <v>0</v>
      </c>
      <c r="AB958" s="25"/>
      <c r="AC958" s="10" t="str">
        <f t="shared" si="587"/>
        <v>MarçoSEMANA 3Papel de Arroz</v>
      </c>
      <c r="AD958" s="7">
        <f>SUMIF(NF!$A:$A,$AC958,NF!$I:$I)</f>
        <v>0</v>
      </c>
      <c r="AE958" s="6"/>
      <c r="AF958" s="6"/>
      <c r="AG958" s="6"/>
      <c r="AH958" s="6"/>
      <c r="AI958" s="6"/>
      <c r="AJ958" s="6"/>
      <c r="AK958" s="6"/>
      <c r="AL958" s="7">
        <f t="shared" si="619"/>
        <v>0</v>
      </c>
      <c r="AM958" s="11">
        <f t="shared" si="589"/>
        <v>0</v>
      </c>
      <c r="AN958" s="25"/>
      <c r="AO958" s="10" t="str">
        <f t="shared" si="590"/>
        <v>MarçoSEMANA 4Papel de Arroz</v>
      </c>
      <c r="AP958" s="7">
        <f>SUMIF(NF!$A:$A,$AO958,NF!$I:$I)</f>
        <v>0</v>
      </c>
      <c r="AQ958" s="6"/>
      <c r="AR958" s="6"/>
      <c r="AS958" s="6"/>
      <c r="AT958" s="6"/>
      <c r="AU958" s="6"/>
      <c r="AV958" s="6"/>
      <c r="AW958" s="6"/>
      <c r="AX958" s="7">
        <f t="shared" si="620"/>
        <v>0</v>
      </c>
      <c r="AY958" s="11">
        <f t="shared" si="592"/>
        <v>0</v>
      </c>
      <c r="AZ958" s="25"/>
      <c r="BA958" s="10" t="str">
        <f t="shared" si="593"/>
        <v>MarçoSEMANA 5Papel de Arroz</v>
      </c>
      <c r="BB958" s="7">
        <f>SUMIF(NF!$A:$A,$BA958,NF!$I:$I)</f>
        <v>0</v>
      </c>
      <c r="BC958" s="6"/>
      <c r="BD958" s="6"/>
      <c r="BE958" s="6"/>
      <c r="BF958" s="6"/>
      <c r="BG958" s="6"/>
      <c r="BH958" s="6"/>
      <c r="BI958" s="74"/>
      <c r="BJ958" s="74"/>
      <c r="BK958" s="7">
        <f t="shared" si="621"/>
        <v>0</v>
      </c>
      <c r="BL958" s="8">
        <f t="shared" si="595"/>
        <v>0</v>
      </c>
      <c r="BM958" s="51" t="str">
        <f>IFERROR(VLOOKUP(A958,NF!$M:$O,3,0),"")</f>
        <v>Sushi</v>
      </c>
      <c r="BN958" s="7">
        <f t="shared" si="596"/>
        <v>0</v>
      </c>
      <c r="BO958" s="8">
        <f t="array" ref="BO958">IFERROR(LARGE(IF(NF!$G$2:$G$3137='Mês atual'!A958,NF!$J$2:$J$3137),1),0)*BN958</f>
        <v>0</v>
      </c>
      <c r="BP958" s="50"/>
      <c r="BR958" s="146">
        <f t="array" ref="BR958">IFERROR(LARGE(IF(NF!$G$2:$G$3137='Mês atual'!A958,NF!$J$2:$J$3137),1),0)</f>
        <v>0</v>
      </c>
      <c r="BS958" s="142" t="str">
        <f>VLOOKUP(A958,NF!M:O,3,0)</f>
        <v>Sushi</v>
      </c>
      <c r="BV958" s="74">
        <f t="shared" si="597"/>
        <v>0</v>
      </c>
      <c r="BW958" s="74">
        <f t="shared" si="598"/>
        <v>0</v>
      </c>
      <c r="BX958" s="74">
        <f t="shared" si="599"/>
        <v>0</v>
      </c>
      <c r="BY958" s="74">
        <f t="shared" si="600"/>
        <v>0</v>
      </c>
      <c r="BZ958" s="74">
        <f t="shared" si="601"/>
        <v>0</v>
      </c>
    </row>
    <row r="959" spans="1:78" x14ac:dyDescent="0.25">
      <c r="A959" s="108" t="s">
        <v>578</v>
      </c>
      <c r="B959" s="12"/>
      <c r="C959" s="9">
        <v>0</v>
      </c>
      <c r="D959" s="25"/>
      <c r="E959" s="10" t="str">
        <f t="shared" si="581"/>
        <v>MarçoSEMANA 1Pepino Japonês Sushi</v>
      </c>
      <c r="F959" s="7">
        <f>SUMIF(NF!$A:$A,$E959,NF!$I:$I)</f>
        <v>1.9359999999999999</v>
      </c>
      <c r="G959" s="74"/>
      <c r="H959" s="74"/>
      <c r="I959" s="74"/>
      <c r="J959" s="6">
        <v>1.18</v>
      </c>
      <c r="K959" s="6"/>
      <c r="L959" s="6"/>
      <c r="M959" s="6"/>
      <c r="N959" s="7">
        <f t="shared" si="617"/>
        <v>1.18</v>
      </c>
      <c r="O959" s="11">
        <f t="shared" si="583"/>
        <v>0.75600000000000001</v>
      </c>
      <c r="P959" s="25"/>
      <c r="Q959" s="10" t="str">
        <f t="shared" si="584"/>
        <v>MarçoSEMANA 2Pepino Japonês Sushi</v>
      </c>
      <c r="R959" s="7">
        <f>SUMIF(NF!$A:$A,$Q959,NF!$I:$I)</f>
        <v>0.65599999999999992</v>
      </c>
      <c r="S959" s="6">
        <v>0.75600000000000001</v>
      </c>
      <c r="T959" s="6"/>
      <c r="U959" s="6">
        <v>0.18</v>
      </c>
      <c r="V959" s="6"/>
      <c r="W959" s="6">
        <v>0.47599999999999998</v>
      </c>
      <c r="X959" s="6"/>
      <c r="Y959" s="6"/>
      <c r="Z959" s="7">
        <f t="shared" si="618"/>
        <v>1.4119999999999999</v>
      </c>
      <c r="AA959" s="11">
        <f t="shared" si="586"/>
        <v>0</v>
      </c>
      <c r="AB959" s="25"/>
      <c r="AC959" s="10" t="str">
        <f t="shared" si="587"/>
        <v>MarçoSEMANA 3Pepino Japonês Sushi</v>
      </c>
      <c r="AD959" s="7">
        <f>SUMIF(NF!$A:$A,$AC959,NF!$I:$I)</f>
        <v>0.70499999999999996</v>
      </c>
      <c r="AE959" s="6"/>
      <c r="AF959" s="6"/>
      <c r="AG959" s="6">
        <v>0.70499999999999996</v>
      </c>
      <c r="AH959" s="6"/>
      <c r="AI959" s="6"/>
      <c r="AJ959" s="6"/>
      <c r="AK959" s="6"/>
      <c r="AL959" s="7">
        <f t="shared" si="619"/>
        <v>0.70499999999999996</v>
      </c>
      <c r="AM959" s="11">
        <f t="shared" si="589"/>
        <v>0</v>
      </c>
      <c r="AN959" s="25"/>
      <c r="AO959" s="10" t="str">
        <f t="shared" si="590"/>
        <v>MarçoSEMANA 4Pepino Japonês Sushi</v>
      </c>
      <c r="AP959" s="7">
        <f>SUMIF(NF!$A:$A,$AO959,NF!$I:$I)</f>
        <v>0.3</v>
      </c>
      <c r="AQ959" s="6"/>
      <c r="AR959" s="6"/>
      <c r="AS959" s="6"/>
      <c r="AT959" s="6">
        <v>0.3</v>
      </c>
      <c r="AU959" s="6"/>
      <c r="AV959" s="6"/>
      <c r="AW959" s="6"/>
      <c r="AX959" s="7">
        <f t="shared" si="620"/>
        <v>0.3</v>
      </c>
      <c r="AY959" s="11">
        <f t="shared" si="592"/>
        <v>0</v>
      </c>
      <c r="AZ959" s="25"/>
      <c r="BA959" s="10" t="str">
        <f t="shared" si="593"/>
        <v>MarçoSEMANA 5Pepino Japonês Sushi</v>
      </c>
      <c r="BB959" s="7">
        <f>SUMIF(NF!$A:$A,$BA959,NF!$I:$I)</f>
        <v>1.238</v>
      </c>
      <c r="BC959" s="6"/>
      <c r="BD959" s="6"/>
      <c r="BE959" s="6"/>
      <c r="BF959" s="6">
        <v>1.238</v>
      </c>
      <c r="BG959" s="6"/>
      <c r="BH959" s="6"/>
      <c r="BI959" s="74"/>
      <c r="BJ959" s="74"/>
      <c r="BK959" s="7">
        <f t="shared" si="621"/>
        <v>1.238</v>
      </c>
      <c r="BL959" s="8">
        <f t="shared" si="595"/>
        <v>0</v>
      </c>
      <c r="BM959" s="51" t="str">
        <f>IFERROR(VLOOKUP(A959,NF!$M:$O,3,0),"")</f>
        <v>Sushi</v>
      </c>
      <c r="BN959" s="7">
        <f t="shared" si="596"/>
        <v>4.8349999999999991</v>
      </c>
      <c r="BO959" s="8">
        <f t="array" ref="BO959">IFERROR(LARGE(IF(NF!$G$2:$G$3137='Mês atual'!A959,NF!$J$2:$J$3137),1),0)*BN959</f>
        <v>13.963898916967505</v>
      </c>
      <c r="BP959" s="50"/>
      <c r="BR959" s="146">
        <f t="array" ref="BR959">IFERROR(LARGE(IF(NF!$G$2:$G$3137='Mês atual'!A959,NF!$J$2:$J$3137),1),0)</f>
        <v>2.8880866425992777</v>
      </c>
      <c r="BS959" s="142" t="str">
        <f>VLOOKUP(A959,NF!M:O,3,0)</f>
        <v>Sushi</v>
      </c>
      <c r="BV959" s="74">
        <f t="shared" si="597"/>
        <v>1.18</v>
      </c>
      <c r="BW959" s="74">
        <f t="shared" si="598"/>
        <v>1.4119999999999999</v>
      </c>
      <c r="BX959" s="74">
        <f t="shared" si="599"/>
        <v>0.70499999999999996</v>
      </c>
      <c r="BY959" s="74">
        <f t="shared" si="600"/>
        <v>0.3</v>
      </c>
      <c r="BZ959" s="74">
        <f t="shared" si="601"/>
        <v>1.238</v>
      </c>
    </row>
    <row r="960" spans="1:78" x14ac:dyDescent="0.25">
      <c r="A960" s="108" t="s">
        <v>586</v>
      </c>
      <c r="B960" s="12"/>
      <c r="C960" s="9">
        <v>16</v>
      </c>
      <c r="D960" s="25"/>
      <c r="E960" s="10" t="str">
        <f t="shared" si="581"/>
        <v>MarçoSEMANA 1Pescados - Atum Fresco Sushi</v>
      </c>
      <c r="F960" s="7">
        <f>SUMIF(NF!$A:$A,$E960,NF!$I:$I)</f>
        <v>22</v>
      </c>
      <c r="G960" s="74"/>
      <c r="H960" s="74"/>
      <c r="I960" s="74"/>
      <c r="J960" s="6">
        <v>8</v>
      </c>
      <c r="K960" s="6">
        <v>8</v>
      </c>
      <c r="L960" s="6">
        <v>7.33</v>
      </c>
      <c r="M960" s="6">
        <v>7.34</v>
      </c>
      <c r="N960" s="7">
        <f t="shared" si="617"/>
        <v>30.669999999999998</v>
      </c>
      <c r="O960" s="11">
        <f t="shared" si="583"/>
        <v>7.3300000000000018</v>
      </c>
      <c r="P960" s="25"/>
      <c r="Q960" s="10" t="str">
        <f t="shared" si="584"/>
        <v>MarçoSEMANA 2Pescados - Atum Fresco Sushi</v>
      </c>
      <c r="R960" s="7">
        <f>SUMIF(NF!$A:$A,$Q960,NF!$I:$I)</f>
        <v>35.119999999999997</v>
      </c>
      <c r="S960" s="6">
        <v>7.33</v>
      </c>
      <c r="T960" s="6"/>
      <c r="U960" s="6"/>
      <c r="V960" s="6"/>
      <c r="W960" s="6">
        <v>5.04</v>
      </c>
      <c r="X960" s="6">
        <v>5.04</v>
      </c>
      <c r="Y960" s="6">
        <v>5.04</v>
      </c>
      <c r="Z960" s="7">
        <f t="shared" si="618"/>
        <v>22.45</v>
      </c>
      <c r="AA960" s="11">
        <f t="shared" si="586"/>
        <v>20.000000000000004</v>
      </c>
      <c r="AB960" s="25"/>
      <c r="AC960" s="10" t="str">
        <f t="shared" si="587"/>
        <v>MarçoSEMANA 3Pescados - Atum Fresco Sushi</v>
      </c>
      <c r="AD960" s="7">
        <f>SUMIF(NF!$A:$A,$AC960,NF!$I:$I)</f>
        <v>29</v>
      </c>
      <c r="AE960" s="6">
        <v>6.6660000000000004</v>
      </c>
      <c r="AF960" s="6">
        <v>6.6660000000000004</v>
      </c>
      <c r="AG960" s="6">
        <v>6.6660000000000004</v>
      </c>
      <c r="AH960" s="6"/>
      <c r="AI960" s="6"/>
      <c r="AJ960" s="6">
        <v>9.6660000000000004</v>
      </c>
      <c r="AK960" s="6">
        <v>9.6660000000000004</v>
      </c>
      <c r="AL960" s="7">
        <f t="shared" si="619"/>
        <v>39.33</v>
      </c>
      <c r="AM960" s="11">
        <f t="shared" si="589"/>
        <v>9.6700000000000017</v>
      </c>
      <c r="AN960" s="25"/>
      <c r="AO960" s="10" t="str">
        <f t="shared" si="590"/>
        <v>MarçoSEMANA 4Pescados - Atum Fresco Sushi</v>
      </c>
      <c r="AP960" s="7">
        <f>SUMIF(NF!$A:$A,$AO960,NF!$I:$I)</f>
        <v>33</v>
      </c>
      <c r="AQ960" s="6">
        <v>9.6660000000000004</v>
      </c>
      <c r="AR960" s="6"/>
      <c r="AS960" s="6">
        <v>11</v>
      </c>
      <c r="AT960" s="6">
        <v>11</v>
      </c>
      <c r="AU960" s="6">
        <v>11</v>
      </c>
      <c r="AV960" s="6"/>
      <c r="AW960" s="6"/>
      <c r="AX960" s="7">
        <f t="shared" si="620"/>
        <v>42.665999999999997</v>
      </c>
      <c r="AY960" s="11">
        <f t="shared" si="592"/>
        <v>4.0000000000048885E-3</v>
      </c>
      <c r="AZ960" s="25"/>
      <c r="BA960" s="10" t="str">
        <f t="shared" si="593"/>
        <v>MarçoSEMANA 5Pescados - Atum Fresco Sushi</v>
      </c>
      <c r="BB960" s="7">
        <f>SUMIF(NF!$A:$A,$BA960,NF!$I:$I)</f>
        <v>30</v>
      </c>
      <c r="BC960" s="6"/>
      <c r="BD960" s="6"/>
      <c r="BE960" s="6"/>
      <c r="BF960" s="6">
        <v>6</v>
      </c>
      <c r="BG960" s="6">
        <v>6</v>
      </c>
      <c r="BH960" s="6">
        <v>6</v>
      </c>
      <c r="BI960" s="74"/>
      <c r="BJ960" s="74"/>
      <c r="BK960" s="7">
        <f t="shared" si="621"/>
        <v>18</v>
      </c>
      <c r="BL960" s="8">
        <f t="shared" si="595"/>
        <v>12.004000000000005</v>
      </c>
      <c r="BM960" s="51" t="str">
        <f>IFERROR(VLOOKUP(A960,NF!$M:$O,3,0),"")</f>
        <v>Sushi</v>
      </c>
      <c r="BN960" s="7">
        <f t="shared" si="596"/>
        <v>153.11599999999999</v>
      </c>
      <c r="BO960" s="8">
        <f t="array" ref="BO960">IFERROR(LARGE(IF(NF!$G$2:$G$3137='Mês atual'!A960,NF!$J$2:$J$3137),1),0)*BN960</f>
        <v>2602.9719999999998</v>
      </c>
      <c r="BP960" s="50"/>
      <c r="BR960" s="146">
        <f t="array" ref="BR960">IFERROR(LARGE(IF(NF!$G$2:$G$3137='Mês atual'!A960,NF!$J$2:$J$3137),1),0)</f>
        <v>17</v>
      </c>
      <c r="BS960" s="142" t="str">
        <f>VLOOKUP(A960,NF!M:O,3,0)</f>
        <v>Sushi</v>
      </c>
      <c r="BV960" s="74">
        <f t="shared" si="597"/>
        <v>30.669999999999998</v>
      </c>
      <c r="BW960" s="74">
        <f t="shared" si="598"/>
        <v>22.45</v>
      </c>
      <c r="BX960" s="74">
        <f t="shared" si="599"/>
        <v>39.33</v>
      </c>
      <c r="BY960" s="74">
        <f t="shared" si="600"/>
        <v>42.665999999999997</v>
      </c>
      <c r="BZ960" s="74">
        <f t="shared" si="601"/>
        <v>18</v>
      </c>
    </row>
    <row r="961" spans="1:78" x14ac:dyDescent="0.25">
      <c r="A961" s="108" t="s">
        <v>604</v>
      </c>
      <c r="B961" s="12"/>
      <c r="C961" s="9">
        <v>0</v>
      </c>
      <c r="D961" s="25"/>
      <c r="E961" s="10" t="str">
        <f t="shared" si="581"/>
        <v>MarçoSEMANA 1Pescados - Dourado Fresco Sushi</v>
      </c>
      <c r="F961" s="7">
        <f>SUMIF(NF!$A:$A,$E961,NF!$I:$I)</f>
        <v>0</v>
      </c>
      <c r="G961" s="74"/>
      <c r="H961" s="74"/>
      <c r="I961" s="74"/>
      <c r="J961" s="6"/>
      <c r="K961" s="6"/>
      <c r="L961" s="6"/>
      <c r="M961" s="6"/>
      <c r="N961" s="7">
        <f t="shared" si="617"/>
        <v>0</v>
      </c>
      <c r="O961" s="11">
        <f t="shared" si="583"/>
        <v>0</v>
      </c>
      <c r="P961" s="25"/>
      <c r="Q961" s="10" t="str">
        <f t="shared" si="584"/>
        <v>MarçoSEMANA 2Pescados - Dourado Fresco Sushi</v>
      </c>
      <c r="R961" s="7">
        <f>SUMIF(NF!$A:$A,$Q961,NF!$I:$I)</f>
        <v>0</v>
      </c>
      <c r="S961" s="6"/>
      <c r="T961" s="6"/>
      <c r="U961" s="6"/>
      <c r="V961" s="6"/>
      <c r="W961" s="6"/>
      <c r="X961" s="6"/>
      <c r="Y961" s="6"/>
      <c r="Z961" s="7">
        <f t="shared" si="618"/>
        <v>0</v>
      </c>
      <c r="AA961" s="11">
        <f t="shared" si="586"/>
        <v>0</v>
      </c>
      <c r="AB961" s="25"/>
      <c r="AC961" s="10" t="str">
        <f t="shared" si="587"/>
        <v>MarçoSEMANA 3Pescados - Dourado Fresco Sushi</v>
      </c>
      <c r="AD961" s="7">
        <f>SUMIF(NF!$A:$A,$AC961,NF!$I:$I)</f>
        <v>3</v>
      </c>
      <c r="AE961" s="6"/>
      <c r="AF961" s="6"/>
      <c r="AG961" s="6"/>
      <c r="AH961" s="6"/>
      <c r="AI961" s="6"/>
      <c r="AJ961" s="6">
        <v>1.5</v>
      </c>
      <c r="AK961" s="6">
        <v>1.5</v>
      </c>
      <c r="AL961" s="7">
        <f t="shared" si="619"/>
        <v>3</v>
      </c>
      <c r="AM961" s="11">
        <f t="shared" si="589"/>
        <v>0</v>
      </c>
      <c r="AN961" s="25"/>
      <c r="AO961" s="10" t="str">
        <f t="shared" si="590"/>
        <v>MarçoSEMANA 4Pescados - Dourado Fresco Sushi</v>
      </c>
      <c r="AP961" s="7">
        <f>SUMIF(NF!$A:$A,$AO961,NF!$I:$I)</f>
        <v>4.4000000000000004</v>
      </c>
      <c r="AQ961" s="6"/>
      <c r="AR961" s="6"/>
      <c r="AS961" s="6">
        <v>1</v>
      </c>
      <c r="AT961" s="6">
        <v>1</v>
      </c>
      <c r="AU961" s="6">
        <v>1.2</v>
      </c>
      <c r="AV961" s="6">
        <v>1.2</v>
      </c>
      <c r="AW961" s="6"/>
      <c r="AX961" s="7">
        <f t="shared" si="620"/>
        <v>4.4000000000000004</v>
      </c>
      <c r="AY961" s="11">
        <f t="shared" si="592"/>
        <v>0</v>
      </c>
      <c r="AZ961" s="25"/>
      <c r="BA961" s="10" t="str">
        <f t="shared" si="593"/>
        <v>MarçoSEMANA 5Pescados - Dourado Fresco Sushi</v>
      </c>
      <c r="BB961" s="7">
        <f>SUMIF(NF!$A:$A,$BA961,NF!$I:$I)</f>
        <v>0</v>
      </c>
      <c r="BC961" s="6"/>
      <c r="BD961" s="6"/>
      <c r="BE961" s="6"/>
      <c r="BF961" s="6"/>
      <c r="BG961" s="6"/>
      <c r="BH961" s="6"/>
      <c r="BI961" s="74"/>
      <c r="BJ961" s="74"/>
      <c r="BK961" s="7">
        <f t="shared" si="621"/>
        <v>0</v>
      </c>
      <c r="BL961" s="8">
        <f t="shared" si="595"/>
        <v>0</v>
      </c>
      <c r="BM961" s="51" t="str">
        <f>IFERROR(VLOOKUP(A961,NF!$M:$O,3,0),"")</f>
        <v>Sushi</v>
      </c>
      <c r="BN961" s="7">
        <f t="shared" si="596"/>
        <v>7.4</v>
      </c>
      <c r="BO961" s="8">
        <f t="array" ref="BO961">IFERROR(LARGE(IF(NF!$G$2:$G$3137='Mês atual'!A961,NF!$J$2:$J$3137),1),0)*BN961</f>
        <v>125.80000000000001</v>
      </c>
      <c r="BP961" s="50"/>
      <c r="BR961" s="146">
        <f t="array" ref="BR961">IFERROR(LARGE(IF(NF!$G$2:$G$3137='Mês atual'!A961,NF!$J$2:$J$3137),1),0)</f>
        <v>17</v>
      </c>
      <c r="BS961" s="142" t="str">
        <f>VLOOKUP(A961,NF!M:O,3,0)</f>
        <v>Sushi</v>
      </c>
      <c r="BV961" s="74">
        <f t="shared" si="597"/>
        <v>0</v>
      </c>
      <c r="BW961" s="74">
        <f t="shared" si="598"/>
        <v>0</v>
      </c>
      <c r="BX961" s="74">
        <f t="shared" si="599"/>
        <v>3</v>
      </c>
      <c r="BY961" s="74">
        <f t="shared" si="600"/>
        <v>4.4000000000000004</v>
      </c>
      <c r="BZ961" s="74">
        <f t="shared" si="601"/>
        <v>0</v>
      </c>
    </row>
    <row r="962" spans="1:78" x14ac:dyDescent="0.25">
      <c r="A962" s="108" t="s">
        <v>1077</v>
      </c>
      <c r="B962" s="12"/>
      <c r="C962" s="9">
        <v>0</v>
      </c>
      <c r="D962" s="25"/>
      <c r="E962" s="10" t="str">
        <f t="shared" si="581"/>
        <v>MarçoSEMANA 1Pescados -  File Congro Negro Sushi</v>
      </c>
      <c r="F962" s="7">
        <f>SUMIF(NF!$A:$A,$E962,NF!$I:$I)</f>
        <v>0</v>
      </c>
      <c r="G962" s="74"/>
      <c r="H962" s="74"/>
      <c r="I962" s="74"/>
      <c r="J962" s="6"/>
      <c r="K962" s="6"/>
      <c r="L962" s="6"/>
      <c r="M962" s="6"/>
      <c r="N962" s="7">
        <f t="shared" ref="N962" si="622">SUM(G962:M962)</f>
        <v>0</v>
      </c>
      <c r="O962" s="11">
        <f t="shared" ref="O962" si="623">F962+C962-N962</f>
        <v>0</v>
      </c>
      <c r="P962" s="25"/>
      <c r="Q962" s="10" t="str">
        <f t="shared" si="584"/>
        <v>MarçoSEMANA 2Pescados -  File Congro Negro Sushi</v>
      </c>
      <c r="R962" s="7">
        <f>SUMIF(NF!$A:$A,$Q962,NF!$I:$I)</f>
        <v>0</v>
      </c>
      <c r="S962" s="6"/>
      <c r="T962" s="6"/>
      <c r="U962" s="6"/>
      <c r="V962" s="6"/>
      <c r="W962" s="6"/>
      <c r="X962" s="6"/>
      <c r="Y962" s="6"/>
      <c r="Z962" s="7">
        <f t="shared" ref="Z962" si="624">SUM(S962:Y962)</f>
        <v>0</v>
      </c>
      <c r="AA962" s="11">
        <f t="shared" ref="AA962" si="625">R962+O962-Z962</f>
        <v>0</v>
      </c>
      <c r="AB962" s="25"/>
      <c r="AC962" s="10" t="str">
        <f t="shared" si="587"/>
        <v>MarçoSEMANA 3Pescados -  File Congro Negro Sushi</v>
      </c>
      <c r="AD962" s="7">
        <f>SUMIF(NF!$A:$A,$AC962,NF!$I:$I)</f>
        <v>0</v>
      </c>
      <c r="AE962" s="6"/>
      <c r="AF962" s="6"/>
      <c r="AG962" s="6"/>
      <c r="AH962" s="6"/>
      <c r="AI962" s="6"/>
      <c r="AJ962" s="6"/>
      <c r="AK962" s="6"/>
      <c r="AL962" s="7">
        <f t="shared" ref="AL962" si="626">SUM(AE962:AK962)</f>
        <v>0</v>
      </c>
      <c r="AM962" s="11">
        <f t="shared" ref="AM962" si="627">AD962+AA962-AL962</f>
        <v>0</v>
      </c>
      <c r="AN962" s="25"/>
      <c r="AO962" s="10" t="str">
        <f t="shared" si="590"/>
        <v>MarçoSEMANA 4Pescados -  File Congro Negro Sushi</v>
      </c>
      <c r="AP962" s="7">
        <f>SUMIF(NF!$A:$A,$AO962,NF!$I:$I)</f>
        <v>0</v>
      </c>
      <c r="AQ962" s="6"/>
      <c r="AR962" s="6"/>
      <c r="AS962" s="6"/>
      <c r="AT962" s="6"/>
      <c r="AU962" s="6"/>
      <c r="AV962" s="6"/>
      <c r="AW962" s="6"/>
      <c r="AX962" s="7">
        <f t="shared" ref="AX962" si="628">SUM(AQ962:AW962)</f>
        <v>0</v>
      </c>
      <c r="AY962" s="11">
        <f t="shared" ref="AY962" si="629">AP962+AM962-AX962</f>
        <v>0</v>
      </c>
      <c r="AZ962" s="25"/>
      <c r="BA962" s="10" t="str">
        <f t="shared" si="593"/>
        <v>MarçoSEMANA 5Pescados -  File Congro Negro Sushi</v>
      </c>
      <c r="BB962" s="7">
        <f>SUMIF(NF!$A:$A,$BA962,NF!$I:$I)</f>
        <v>0</v>
      </c>
      <c r="BC962" s="6"/>
      <c r="BD962" s="6"/>
      <c r="BE962" s="6"/>
      <c r="BF962" s="6"/>
      <c r="BG962" s="6"/>
      <c r="BH962" s="6"/>
      <c r="BI962" s="74"/>
      <c r="BJ962" s="74"/>
      <c r="BK962" s="7">
        <f t="shared" ref="BK962" si="630">SUM(BC962:BJ962)</f>
        <v>0</v>
      </c>
      <c r="BL962" s="8">
        <f t="shared" ref="BL962" si="631">BB962+AY962-BK962</f>
        <v>0</v>
      </c>
      <c r="BM962" s="51" t="str">
        <f>IFERROR(VLOOKUP(A962,NF!$M:$O,3,0),"")</f>
        <v>Sushi</v>
      </c>
      <c r="BN962" s="7">
        <f t="shared" ref="BN962" si="632">SUM(N962,Z962,AL962,AX962,BK962)</f>
        <v>0</v>
      </c>
      <c r="BO962" s="8">
        <f t="array" ref="BO962">IFERROR(LARGE(IF(NF!$G$2:$G$3137='Mês atual'!A962,NF!$J$2:$J$3137),1),0)*BN962</f>
        <v>0</v>
      </c>
      <c r="BP962" s="50"/>
      <c r="BR962" s="146">
        <f t="array" ref="BR962">IFERROR(LARGE(IF(NF!$G$2:$G$3137='Mês atual'!A962,NF!$J$2:$J$3137),1),0)</f>
        <v>0</v>
      </c>
      <c r="BS962" s="142" t="str">
        <f>VLOOKUP(A962,NF!M:O,3,0)</f>
        <v>Sushi</v>
      </c>
      <c r="BV962" s="74">
        <f t="shared" ref="BV962" si="633">N962</f>
        <v>0</v>
      </c>
      <c r="BW962" s="74">
        <f t="shared" ref="BW962" si="634">Z962</f>
        <v>0</v>
      </c>
      <c r="BX962" s="74">
        <f t="shared" ref="BX962" si="635">AL962</f>
        <v>0</v>
      </c>
      <c r="BY962" s="74">
        <f t="shared" ref="BY962" si="636">AX962</f>
        <v>0</v>
      </c>
      <c r="BZ962" s="74">
        <f t="shared" ref="BZ962" si="637">BK962</f>
        <v>0</v>
      </c>
    </row>
    <row r="963" spans="1:78" x14ac:dyDescent="0.25">
      <c r="A963" s="108" t="s">
        <v>611</v>
      </c>
      <c r="B963" s="12"/>
      <c r="C963" s="9">
        <v>0</v>
      </c>
      <c r="D963" s="25"/>
      <c r="E963" s="10" t="str">
        <f t="shared" si="581"/>
        <v>MarçoSEMANA 1Pescados - Filé Salmão Sushi</v>
      </c>
      <c r="F963" s="7">
        <f>SUMIF(NF!$A:$A,$E963,NF!$I:$I)</f>
        <v>0</v>
      </c>
      <c r="G963" s="74"/>
      <c r="H963" s="74"/>
      <c r="I963" s="74"/>
      <c r="J963" s="6"/>
      <c r="K963" s="6"/>
      <c r="L963" s="6"/>
      <c r="M963" s="6"/>
      <c r="N963" s="7">
        <f t="shared" si="617"/>
        <v>0</v>
      </c>
      <c r="O963" s="11">
        <f t="shared" si="583"/>
        <v>0</v>
      </c>
      <c r="P963" s="25"/>
      <c r="Q963" s="10" t="str">
        <f t="shared" si="584"/>
        <v>MarçoSEMANA 2Pescados - Filé Salmão Sushi</v>
      </c>
      <c r="R963" s="7">
        <f>SUMIF(NF!$A:$A,$Q963,NF!$I:$I)</f>
        <v>0</v>
      </c>
      <c r="S963" s="6"/>
      <c r="T963" s="6"/>
      <c r="U963" s="6"/>
      <c r="V963" s="6"/>
      <c r="W963" s="6"/>
      <c r="X963" s="6"/>
      <c r="Y963" s="6"/>
      <c r="Z963" s="7">
        <f t="shared" si="618"/>
        <v>0</v>
      </c>
      <c r="AA963" s="11">
        <f t="shared" si="586"/>
        <v>0</v>
      </c>
      <c r="AB963" s="25"/>
      <c r="AC963" s="10" t="str">
        <f t="shared" si="587"/>
        <v>MarçoSEMANA 3Pescados - Filé Salmão Sushi</v>
      </c>
      <c r="AD963" s="7">
        <f>SUMIF(NF!$A:$A,$AC963,NF!$I:$I)</f>
        <v>0</v>
      </c>
      <c r="AE963" s="6"/>
      <c r="AF963" s="6"/>
      <c r="AG963" s="6"/>
      <c r="AH963" s="6"/>
      <c r="AI963" s="6"/>
      <c r="AJ963" s="6"/>
      <c r="AK963" s="6"/>
      <c r="AL963" s="7">
        <f t="shared" si="619"/>
        <v>0</v>
      </c>
      <c r="AM963" s="11">
        <f t="shared" si="589"/>
        <v>0</v>
      </c>
      <c r="AN963" s="25"/>
      <c r="AO963" s="10" t="str">
        <f t="shared" si="590"/>
        <v>MarçoSEMANA 4Pescados - Filé Salmão Sushi</v>
      </c>
      <c r="AP963" s="7">
        <f>SUMIF(NF!$A:$A,$AO963,NF!$I:$I)</f>
        <v>0</v>
      </c>
      <c r="AQ963" s="6"/>
      <c r="AR963" s="6"/>
      <c r="AS963" s="6"/>
      <c r="AT963" s="6"/>
      <c r="AU963" s="6"/>
      <c r="AV963" s="6"/>
      <c r="AW963" s="6"/>
      <c r="AX963" s="7">
        <f t="shared" si="620"/>
        <v>0</v>
      </c>
      <c r="AY963" s="11">
        <f t="shared" si="592"/>
        <v>0</v>
      </c>
      <c r="AZ963" s="25"/>
      <c r="BA963" s="10" t="str">
        <f t="shared" si="593"/>
        <v>MarçoSEMANA 5Pescados - Filé Salmão Sushi</v>
      </c>
      <c r="BB963" s="7">
        <f>SUMIF(NF!$A:$A,$BA963,NF!$I:$I)</f>
        <v>0</v>
      </c>
      <c r="BC963" s="6"/>
      <c r="BD963" s="6"/>
      <c r="BE963" s="6"/>
      <c r="BF963" s="6"/>
      <c r="BG963" s="6"/>
      <c r="BH963" s="6"/>
      <c r="BI963" s="74"/>
      <c r="BJ963" s="74"/>
      <c r="BK963" s="7">
        <f t="shared" si="621"/>
        <v>0</v>
      </c>
      <c r="BL963" s="8">
        <f t="shared" si="595"/>
        <v>0</v>
      </c>
      <c r="BM963" s="51" t="str">
        <f>IFERROR(VLOOKUP(A963,NF!$M:$O,3,0),"")</f>
        <v>Sushi</v>
      </c>
      <c r="BN963" s="7">
        <f t="shared" si="596"/>
        <v>0</v>
      </c>
      <c r="BO963" s="8">
        <f t="array" ref="BO963">IFERROR(LARGE(IF(NF!$G$2:$G$3137='Mês atual'!A963,NF!$J$2:$J$3137),1),0)*BN963</f>
        <v>0</v>
      </c>
      <c r="BP963" s="50"/>
      <c r="BR963" s="146">
        <f t="array" ref="BR963">IFERROR(LARGE(IF(NF!$G$2:$G$3137='Mês atual'!A963,NF!$J$2:$J$3137),1),0)</f>
        <v>0</v>
      </c>
      <c r="BS963" s="142" t="str">
        <f>VLOOKUP(A963,NF!M:O,3,0)</f>
        <v>Sushi</v>
      </c>
      <c r="BV963" s="74">
        <f t="shared" si="597"/>
        <v>0</v>
      </c>
      <c r="BW963" s="74">
        <f t="shared" si="598"/>
        <v>0</v>
      </c>
      <c r="BX963" s="74">
        <f t="shared" si="599"/>
        <v>0</v>
      </c>
      <c r="BY963" s="74">
        <f t="shared" si="600"/>
        <v>0</v>
      </c>
      <c r="BZ963" s="74">
        <f t="shared" si="601"/>
        <v>0</v>
      </c>
    </row>
    <row r="964" spans="1:78" x14ac:dyDescent="0.25">
      <c r="A964" s="108" t="s">
        <v>615</v>
      </c>
      <c r="B964" s="12"/>
      <c r="C964" s="9">
        <v>0</v>
      </c>
      <c r="D964" s="25"/>
      <c r="E964" s="10" t="str">
        <f t="shared" si="581"/>
        <v>MarçoSEMANA 1Pescados - Filé Tilápia Fresco sushi</v>
      </c>
      <c r="F964" s="7">
        <f>SUMIF(NF!$A:$A,$E964,NF!$I:$I)</f>
        <v>0</v>
      </c>
      <c r="G964" s="74"/>
      <c r="H964" s="74"/>
      <c r="I964" s="74"/>
      <c r="J964" s="6"/>
      <c r="K964" s="6"/>
      <c r="L964" s="6"/>
      <c r="M964" s="6"/>
      <c r="N964" s="7">
        <f t="shared" si="617"/>
        <v>0</v>
      </c>
      <c r="O964" s="11">
        <f t="shared" si="583"/>
        <v>0</v>
      </c>
      <c r="P964" s="25"/>
      <c r="Q964" s="10" t="str">
        <f t="shared" si="584"/>
        <v>MarçoSEMANA 2Pescados - Filé Tilápia Fresco sushi</v>
      </c>
      <c r="R964" s="7">
        <f>SUMIF(NF!$A:$A,$Q964,NF!$I:$I)</f>
        <v>0</v>
      </c>
      <c r="S964" s="6"/>
      <c r="T964" s="6"/>
      <c r="U964" s="6"/>
      <c r="V964" s="6"/>
      <c r="W964" s="6"/>
      <c r="X964" s="6"/>
      <c r="Y964" s="6"/>
      <c r="Z964" s="7">
        <f t="shared" si="618"/>
        <v>0</v>
      </c>
      <c r="AA964" s="11">
        <f t="shared" si="586"/>
        <v>0</v>
      </c>
      <c r="AB964" s="25"/>
      <c r="AC964" s="10" t="str">
        <f t="shared" si="587"/>
        <v>MarçoSEMANA 3Pescados - Filé Tilápia Fresco sushi</v>
      </c>
      <c r="AD964" s="7">
        <f>SUMIF(NF!$A:$A,$AC964,NF!$I:$I)</f>
        <v>0</v>
      </c>
      <c r="AE964" s="6"/>
      <c r="AF964" s="6"/>
      <c r="AG964" s="6"/>
      <c r="AH964" s="6"/>
      <c r="AI964" s="6"/>
      <c r="AJ964" s="6"/>
      <c r="AK964" s="6"/>
      <c r="AL964" s="7">
        <f t="shared" si="619"/>
        <v>0</v>
      </c>
      <c r="AM964" s="11">
        <f t="shared" si="589"/>
        <v>0</v>
      </c>
      <c r="AN964" s="25"/>
      <c r="AO964" s="10" t="str">
        <f t="shared" si="590"/>
        <v>MarçoSEMANA 4Pescados - Filé Tilápia Fresco sushi</v>
      </c>
      <c r="AP964" s="7">
        <f>SUMIF(NF!$A:$A,$AO964,NF!$I:$I)</f>
        <v>0</v>
      </c>
      <c r="AQ964" s="6"/>
      <c r="AR964" s="6"/>
      <c r="AS964" s="6"/>
      <c r="AT964" s="6"/>
      <c r="AU964" s="6"/>
      <c r="AV964" s="6"/>
      <c r="AW964" s="6"/>
      <c r="AX964" s="7">
        <f t="shared" si="620"/>
        <v>0</v>
      </c>
      <c r="AY964" s="11">
        <f t="shared" si="592"/>
        <v>0</v>
      </c>
      <c r="AZ964" s="25"/>
      <c r="BA964" s="10" t="str">
        <f t="shared" si="593"/>
        <v>MarçoSEMANA 5Pescados - Filé Tilápia Fresco sushi</v>
      </c>
      <c r="BB964" s="7">
        <f>SUMIF(NF!$A:$A,$BA964,NF!$I:$I)</f>
        <v>0</v>
      </c>
      <c r="BC964" s="6"/>
      <c r="BD964" s="6"/>
      <c r="BE964" s="6"/>
      <c r="BF964" s="6"/>
      <c r="BG964" s="6"/>
      <c r="BH964" s="6"/>
      <c r="BI964" s="74"/>
      <c r="BJ964" s="74"/>
      <c r="BK964" s="7">
        <f t="shared" si="621"/>
        <v>0</v>
      </c>
      <c r="BL964" s="8">
        <f t="shared" si="595"/>
        <v>0</v>
      </c>
      <c r="BM964" s="51" t="str">
        <f>IFERROR(VLOOKUP(A964,NF!$M:$O,3,0),"")</f>
        <v>Sushi</v>
      </c>
      <c r="BN964" s="7">
        <f t="shared" si="596"/>
        <v>0</v>
      </c>
      <c r="BO964" s="8">
        <f t="array" ref="BO964">IFERROR(LARGE(IF(NF!$G$2:$G$3137='Mês atual'!A964,NF!$J$2:$J$3137),1),0)*BN964</f>
        <v>0</v>
      </c>
      <c r="BP964" s="50"/>
      <c r="BR964" s="146">
        <f t="array" ref="BR964">IFERROR(LARGE(IF(NF!$G$2:$G$3137='Mês atual'!A964,NF!$J$2:$J$3137),1),0)</f>
        <v>0</v>
      </c>
      <c r="BS964" s="142" t="str">
        <f>VLOOKUP(A964,NF!M:O,3,0)</f>
        <v>Sushi</v>
      </c>
      <c r="BV964" s="74">
        <f t="shared" si="597"/>
        <v>0</v>
      </c>
      <c r="BW964" s="74">
        <f t="shared" si="598"/>
        <v>0</v>
      </c>
      <c r="BX964" s="74">
        <f t="shared" si="599"/>
        <v>0</v>
      </c>
      <c r="BY964" s="74">
        <f t="shared" si="600"/>
        <v>0</v>
      </c>
      <c r="BZ964" s="74">
        <f t="shared" si="601"/>
        <v>0</v>
      </c>
    </row>
    <row r="965" spans="1:78" x14ac:dyDescent="0.25">
      <c r="A965" s="108" t="s">
        <v>619</v>
      </c>
      <c r="B965" s="12"/>
      <c r="C965" s="9">
        <f>0.25+0.25+0.25+0.25+0.5+0.25+0.25</f>
        <v>2</v>
      </c>
      <c r="D965" s="25"/>
      <c r="E965" s="10" t="str">
        <f t="shared" si="581"/>
        <v>MarçoSEMANA 1Pescados - Kani Sushi</v>
      </c>
      <c r="F965" s="7">
        <f>SUMIF(NF!$A:$A,$E965,NF!$I:$I)</f>
        <v>0</v>
      </c>
      <c r="G965" s="74"/>
      <c r="H965" s="74"/>
      <c r="I965" s="74"/>
      <c r="J965" s="6">
        <v>0.25</v>
      </c>
      <c r="K965" s="6"/>
      <c r="L965" s="6"/>
      <c r="M965" s="6"/>
      <c r="N965" s="7">
        <f t="shared" si="617"/>
        <v>0.25</v>
      </c>
      <c r="O965" s="11">
        <f t="shared" si="583"/>
        <v>1.75</v>
      </c>
      <c r="P965" s="25"/>
      <c r="Q965" s="10" t="str">
        <f t="shared" si="584"/>
        <v>MarçoSEMANA 2Pescados - Kani Sushi</v>
      </c>
      <c r="R965" s="7">
        <f>SUMIF(NF!$A:$A,$Q965,NF!$I:$I)</f>
        <v>0</v>
      </c>
      <c r="S965" s="6">
        <v>0.25</v>
      </c>
      <c r="T965" s="6"/>
      <c r="U965" s="6">
        <v>0.25</v>
      </c>
      <c r="V965" s="6"/>
      <c r="W965" s="6">
        <v>0.25</v>
      </c>
      <c r="X965" s="6"/>
      <c r="Y965" s="6"/>
      <c r="Z965" s="7">
        <f t="shared" si="618"/>
        <v>0.75</v>
      </c>
      <c r="AA965" s="11">
        <f t="shared" si="586"/>
        <v>1</v>
      </c>
      <c r="AB965" s="25"/>
      <c r="AC965" s="10" t="str">
        <f t="shared" si="587"/>
        <v>MarçoSEMANA 3Pescados - Kani Sushi</v>
      </c>
      <c r="AD965" s="7">
        <f>SUMIF(NF!$A:$A,$AC965,NF!$I:$I)</f>
        <v>0</v>
      </c>
      <c r="AE965" s="6"/>
      <c r="AF965" s="6"/>
      <c r="AG965" s="6">
        <v>0.5</v>
      </c>
      <c r="AH965" s="6">
        <v>0.25</v>
      </c>
      <c r="AI965" s="6">
        <v>0.25</v>
      </c>
      <c r="AJ965" s="6"/>
      <c r="AK965" s="6"/>
      <c r="AL965" s="7">
        <f t="shared" si="619"/>
        <v>1</v>
      </c>
      <c r="AM965" s="11">
        <f t="shared" si="589"/>
        <v>0</v>
      </c>
      <c r="AN965" s="25"/>
      <c r="AO965" s="10" t="str">
        <f t="shared" si="590"/>
        <v>MarçoSEMANA 4Pescados - Kani Sushi</v>
      </c>
      <c r="AP965" s="7">
        <f>SUMIF(NF!$A:$A,$AO965,NF!$I:$I)</f>
        <v>1.75</v>
      </c>
      <c r="AQ965" s="6"/>
      <c r="AR965" s="6">
        <v>0.25</v>
      </c>
      <c r="AS965" s="6"/>
      <c r="AT965" s="6">
        <v>0.25</v>
      </c>
      <c r="AU965" s="6"/>
      <c r="AV965" s="6">
        <v>0.25</v>
      </c>
      <c r="AW965" s="6">
        <v>0.25</v>
      </c>
      <c r="AX965" s="7">
        <f t="shared" si="620"/>
        <v>1</v>
      </c>
      <c r="AY965" s="11">
        <f t="shared" si="592"/>
        <v>0.75</v>
      </c>
      <c r="AZ965" s="25"/>
      <c r="BA965" s="10" t="str">
        <f t="shared" si="593"/>
        <v>MarçoSEMANA 5Pescados - Kani Sushi</v>
      </c>
      <c r="BB965" s="7">
        <f>SUMIF(NF!$A:$A,$BA965,NF!$I:$I)</f>
        <v>0</v>
      </c>
      <c r="BC965" s="6"/>
      <c r="BD965" s="6">
        <v>0.25</v>
      </c>
      <c r="BE965" s="6"/>
      <c r="BF965" s="6">
        <v>0.25</v>
      </c>
      <c r="BG965" s="6"/>
      <c r="BH965" s="6">
        <v>0.25</v>
      </c>
      <c r="BI965" s="74"/>
      <c r="BJ965" s="74"/>
      <c r="BK965" s="7">
        <f t="shared" si="621"/>
        <v>0.75</v>
      </c>
      <c r="BL965" s="8">
        <f t="shared" si="595"/>
        <v>0</v>
      </c>
      <c r="BM965" s="51" t="str">
        <f>IFERROR(VLOOKUP(A965,NF!$M:$O,3,0),"")</f>
        <v>Sushi</v>
      </c>
      <c r="BN965" s="7">
        <f t="shared" si="596"/>
        <v>3.75</v>
      </c>
      <c r="BO965" s="8">
        <f t="array" ref="BO965">IFERROR(LARGE(IF(NF!$G$2:$G$3137='Mês atual'!A965,NF!$J$2:$J$3137),1),0)*BN965</f>
        <v>82.462499999999991</v>
      </c>
      <c r="BP965" s="50"/>
      <c r="BR965" s="146">
        <f t="array" ref="BR965">IFERROR(LARGE(IF(NF!$G$2:$G$3137='Mês atual'!A965,NF!$J$2:$J$3137),1),0)</f>
        <v>21.99</v>
      </c>
      <c r="BS965" s="142" t="str">
        <f>VLOOKUP(A965,NF!M:O,3,0)</f>
        <v>Sushi</v>
      </c>
      <c r="BV965" s="74">
        <f t="shared" si="597"/>
        <v>0.25</v>
      </c>
      <c r="BW965" s="74">
        <f t="shared" si="598"/>
        <v>0.75</v>
      </c>
      <c r="BX965" s="74">
        <f t="shared" si="599"/>
        <v>1</v>
      </c>
      <c r="BY965" s="74">
        <f t="shared" si="600"/>
        <v>1</v>
      </c>
      <c r="BZ965" s="74">
        <f t="shared" si="601"/>
        <v>0.75</v>
      </c>
    </row>
    <row r="966" spans="1:78" x14ac:dyDescent="0.25">
      <c r="A966" s="108" t="s">
        <v>621</v>
      </c>
      <c r="B966" s="12"/>
      <c r="C966" s="9">
        <v>0</v>
      </c>
      <c r="D966" s="25"/>
      <c r="E966" s="10" t="str">
        <f t="shared" si="581"/>
        <v>MarçoSEMANA 1Pescados - Lula Fresca Sushi</v>
      </c>
      <c r="F966" s="7">
        <f>SUMIF(NF!$A:$A,$E966,NF!$I:$I)</f>
        <v>0</v>
      </c>
      <c r="G966" s="74"/>
      <c r="H966" s="74"/>
      <c r="I966" s="74"/>
      <c r="J966" s="6"/>
      <c r="K966" s="6"/>
      <c r="L966" s="6"/>
      <c r="M966" s="6"/>
      <c r="N966" s="7">
        <f t="shared" si="617"/>
        <v>0</v>
      </c>
      <c r="O966" s="11">
        <f t="shared" si="583"/>
        <v>0</v>
      </c>
      <c r="P966" s="25"/>
      <c r="Q966" s="10" t="str">
        <f t="shared" si="584"/>
        <v>MarçoSEMANA 2Pescados - Lula Fresca Sushi</v>
      </c>
      <c r="R966" s="7">
        <f>SUMIF(NF!$A:$A,$Q966,NF!$I:$I)</f>
        <v>0</v>
      </c>
      <c r="S966" s="6"/>
      <c r="T966" s="6"/>
      <c r="U966" s="6"/>
      <c r="V966" s="6"/>
      <c r="W966" s="6"/>
      <c r="X966" s="6"/>
      <c r="Y966" s="6"/>
      <c r="Z966" s="7">
        <f t="shared" si="618"/>
        <v>0</v>
      </c>
      <c r="AA966" s="11">
        <f t="shared" si="586"/>
        <v>0</v>
      </c>
      <c r="AB966" s="25"/>
      <c r="AC966" s="10" t="str">
        <f t="shared" si="587"/>
        <v>MarçoSEMANA 3Pescados - Lula Fresca Sushi</v>
      </c>
      <c r="AD966" s="7">
        <f>SUMIF(NF!$A:$A,$AC966,NF!$I:$I)</f>
        <v>0</v>
      </c>
      <c r="AE966" s="6"/>
      <c r="AF966" s="6"/>
      <c r="AG966" s="6"/>
      <c r="AH966" s="6"/>
      <c r="AI966" s="6"/>
      <c r="AJ966" s="6"/>
      <c r="AK966" s="6"/>
      <c r="AL966" s="7">
        <f t="shared" si="619"/>
        <v>0</v>
      </c>
      <c r="AM966" s="11">
        <f t="shared" si="589"/>
        <v>0</v>
      </c>
      <c r="AN966" s="25"/>
      <c r="AO966" s="10" t="str">
        <f t="shared" si="590"/>
        <v>MarçoSEMANA 4Pescados - Lula Fresca Sushi</v>
      </c>
      <c r="AP966" s="7">
        <f>SUMIF(NF!$A:$A,$AO966,NF!$I:$I)</f>
        <v>0</v>
      </c>
      <c r="AQ966" s="6"/>
      <c r="AR966" s="6"/>
      <c r="AS966" s="6"/>
      <c r="AT966" s="6"/>
      <c r="AU966" s="6"/>
      <c r="AV966" s="6"/>
      <c r="AW966" s="6"/>
      <c r="AX966" s="7">
        <f t="shared" si="620"/>
        <v>0</v>
      </c>
      <c r="AY966" s="11">
        <f t="shared" si="592"/>
        <v>0</v>
      </c>
      <c r="AZ966" s="25"/>
      <c r="BA966" s="10" t="str">
        <f t="shared" si="593"/>
        <v>MarçoSEMANA 5Pescados - Lula Fresca Sushi</v>
      </c>
      <c r="BB966" s="7">
        <f>SUMIF(NF!$A:$A,$BA966,NF!$I:$I)</f>
        <v>0</v>
      </c>
      <c r="BC966" s="6"/>
      <c r="BD966" s="6"/>
      <c r="BE966" s="6"/>
      <c r="BF966" s="6"/>
      <c r="BG966" s="6"/>
      <c r="BH966" s="6"/>
      <c r="BI966" s="74"/>
      <c r="BJ966" s="74"/>
      <c r="BK966" s="7">
        <f t="shared" si="621"/>
        <v>0</v>
      </c>
      <c r="BL966" s="8">
        <f t="shared" si="595"/>
        <v>0</v>
      </c>
      <c r="BM966" s="51" t="str">
        <f>IFERROR(VLOOKUP(A966,NF!$M:$O,3,0),"")</f>
        <v>Sushi</v>
      </c>
      <c r="BN966" s="7">
        <f t="shared" si="596"/>
        <v>0</v>
      </c>
      <c r="BO966" s="8">
        <f t="array" ref="BO966">IFERROR(LARGE(IF(NF!$G$2:$G$3137='Mês atual'!A966,NF!$J$2:$J$3137),1),0)*BN966</f>
        <v>0</v>
      </c>
      <c r="BP966" s="50"/>
      <c r="BR966" s="146">
        <f t="array" ref="BR966">IFERROR(LARGE(IF(NF!$G$2:$G$3137='Mês atual'!A966,NF!$J$2:$J$3137),1),0)</f>
        <v>0</v>
      </c>
      <c r="BS966" s="142" t="str">
        <f>VLOOKUP(A966,NF!M:O,3,0)</f>
        <v>Sushi</v>
      </c>
      <c r="BV966" s="74">
        <f t="shared" si="597"/>
        <v>0</v>
      </c>
      <c r="BW966" s="74">
        <f t="shared" si="598"/>
        <v>0</v>
      </c>
      <c r="BX966" s="74">
        <f t="shared" si="599"/>
        <v>0</v>
      </c>
      <c r="BY966" s="74">
        <f t="shared" si="600"/>
        <v>0</v>
      </c>
      <c r="BZ966" s="74">
        <f t="shared" si="601"/>
        <v>0</v>
      </c>
    </row>
    <row r="967" spans="1:78" x14ac:dyDescent="0.25">
      <c r="A967" s="108" t="s">
        <v>626</v>
      </c>
      <c r="B967" s="12"/>
      <c r="C967" s="9">
        <v>0</v>
      </c>
      <c r="D967" s="25"/>
      <c r="E967" s="10" t="str">
        <f t="shared" si="581"/>
        <v>MarçoSEMANA 1Pescados - Namorado Fresco Sushi</v>
      </c>
      <c r="F967" s="7">
        <f>SUMIF(NF!$A:$A,$E967,NF!$I:$I)</f>
        <v>0</v>
      </c>
      <c r="G967" s="74"/>
      <c r="H967" s="74"/>
      <c r="I967" s="74"/>
      <c r="J967" s="6"/>
      <c r="K967" s="6"/>
      <c r="L967" s="6"/>
      <c r="M967" s="6"/>
      <c r="N967" s="7">
        <f t="shared" si="617"/>
        <v>0</v>
      </c>
      <c r="O967" s="11">
        <f t="shared" si="583"/>
        <v>0</v>
      </c>
      <c r="P967" s="25"/>
      <c r="Q967" s="10" t="str">
        <f t="shared" si="584"/>
        <v>MarçoSEMANA 2Pescados - Namorado Fresco Sushi</v>
      </c>
      <c r="R967" s="7">
        <f>SUMIF(NF!$A:$A,$Q967,NF!$I:$I)</f>
        <v>0</v>
      </c>
      <c r="S967" s="6"/>
      <c r="T967" s="6"/>
      <c r="U967" s="6"/>
      <c r="V967" s="6"/>
      <c r="W967" s="6"/>
      <c r="X967" s="6"/>
      <c r="Y967" s="6"/>
      <c r="Z967" s="7">
        <f t="shared" si="618"/>
        <v>0</v>
      </c>
      <c r="AA967" s="11">
        <f t="shared" si="586"/>
        <v>0</v>
      </c>
      <c r="AB967" s="25"/>
      <c r="AC967" s="10" t="str">
        <f t="shared" si="587"/>
        <v>MarçoSEMANA 3Pescados - Namorado Fresco Sushi</v>
      </c>
      <c r="AD967" s="7">
        <f>SUMIF(NF!$A:$A,$AC967,NF!$I:$I)</f>
        <v>0</v>
      </c>
      <c r="AE967" s="6"/>
      <c r="AF967" s="6"/>
      <c r="AG967" s="6"/>
      <c r="AH967" s="6"/>
      <c r="AI967" s="6"/>
      <c r="AJ967" s="6"/>
      <c r="AK967" s="6"/>
      <c r="AL967" s="7">
        <f t="shared" si="619"/>
        <v>0</v>
      </c>
      <c r="AM967" s="11">
        <f t="shared" si="589"/>
        <v>0</v>
      </c>
      <c r="AN967" s="25"/>
      <c r="AO967" s="10" t="str">
        <f t="shared" si="590"/>
        <v>MarçoSEMANA 4Pescados - Namorado Fresco Sushi</v>
      </c>
      <c r="AP967" s="7">
        <f>SUMIF(NF!$A:$A,$AO967,NF!$I:$I)</f>
        <v>0</v>
      </c>
      <c r="AQ967" s="6"/>
      <c r="AR967" s="6"/>
      <c r="AS967" s="6"/>
      <c r="AT967" s="6"/>
      <c r="AU967" s="6"/>
      <c r="AV967" s="6"/>
      <c r="AW967" s="6"/>
      <c r="AX967" s="7">
        <f t="shared" si="620"/>
        <v>0</v>
      </c>
      <c r="AY967" s="11">
        <f t="shared" si="592"/>
        <v>0</v>
      </c>
      <c r="AZ967" s="25"/>
      <c r="BA967" s="10" t="str">
        <f t="shared" si="593"/>
        <v>MarçoSEMANA 5Pescados - Namorado Fresco Sushi</v>
      </c>
      <c r="BB967" s="7">
        <f>SUMIF(NF!$A:$A,$BA967,NF!$I:$I)</f>
        <v>0</v>
      </c>
      <c r="BC967" s="6"/>
      <c r="BD967" s="6"/>
      <c r="BE967" s="6"/>
      <c r="BF967" s="6"/>
      <c r="BG967" s="6"/>
      <c r="BH967" s="6"/>
      <c r="BI967" s="74"/>
      <c r="BJ967" s="74"/>
      <c r="BK967" s="7">
        <f t="shared" si="621"/>
        <v>0</v>
      </c>
      <c r="BL967" s="8">
        <f t="shared" si="595"/>
        <v>0</v>
      </c>
      <c r="BM967" s="51" t="str">
        <f>IFERROR(VLOOKUP(A967,NF!$M:$O,3,0),"")</f>
        <v>Sushi</v>
      </c>
      <c r="BN967" s="7">
        <f t="shared" si="596"/>
        <v>0</v>
      </c>
      <c r="BO967" s="8">
        <f t="array" ref="BO967">IFERROR(LARGE(IF(NF!$G$2:$G$3137='Mês atual'!A967,NF!$J$2:$J$3137),1),0)*BN967</f>
        <v>0</v>
      </c>
      <c r="BP967" s="50"/>
      <c r="BR967" s="146">
        <f t="array" ref="BR967">IFERROR(LARGE(IF(NF!$G$2:$G$3137='Mês atual'!A967,NF!$J$2:$J$3137),1),0)</f>
        <v>0</v>
      </c>
      <c r="BS967" s="142" t="str">
        <f>VLOOKUP(A967,NF!M:O,3,0)</f>
        <v>Sushi</v>
      </c>
      <c r="BV967" s="74">
        <f t="shared" si="597"/>
        <v>0</v>
      </c>
      <c r="BW967" s="74">
        <f t="shared" si="598"/>
        <v>0</v>
      </c>
      <c r="BX967" s="74">
        <f t="shared" si="599"/>
        <v>0</v>
      </c>
      <c r="BY967" s="74">
        <f t="shared" si="600"/>
        <v>0</v>
      </c>
      <c r="BZ967" s="74">
        <f t="shared" si="601"/>
        <v>0</v>
      </c>
    </row>
    <row r="968" spans="1:78" x14ac:dyDescent="0.25">
      <c r="A968" s="108" t="s">
        <v>628</v>
      </c>
      <c r="B968" s="12"/>
      <c r="C968" s="9">
        <v>0</v>
      </c>
      <c r="D968" s="25"/>
      <c r="E968" s="10" t="str">
        <f t="shared" si="581"/>
        <v>MarçoSEMANA 1Pescados - Olhete Fresco Sushi</v>
      </c>
      <c r="F968" s="7">
        <f>SUMIF(NF!$A:$A,$E968,NF!$I:$I)</f>
        <v>0</v>
      </c>
      <c r="G968" s="74"/>
      <c r="H968" s="74"/>
      <c r="I968" s="74"/>
      <c r="J968" s="6"/>
      <c r="K968" s="6"/>
      <c r="L968" s="6"/>
      <c r="M968" s="6"/>
      <c r="N968" s="7">
        <f t="shared" si="617"/>
        <v>0</v>
      </c>
      <c r="O968" s="11">
        <f t="shared" si="583"/>
        <v>0</v>
      </c>
      <c r="P968" s="25"/>
      <c r="Q968" s="10" t="str">
        <f t="shared" si="584"/>
        <v>MarçoSEMANA 2Pescados - Olhete Fresco Sushi</v>
      </c>
      <c r="R968" s="7">
        <f>SUMIF(NF!$A:$A,$Q968,NF!$I:$I)</f>
        <v>0</v>
      </c>
      <c r="S968" s="6"/>
      <c r="T968" s="6"/>
      <c r="U968" s="6"/>
      <c r="V968" s="6"/>
      <c r="W968" s="6"/>
      <c r="X968" s="6"/>
      <c r="Y968" s="6"/>
      <c r="Z968" s="7">
        <f t="shared" si="618"/>
        <v>0</v>
      </c>
      <c r="AA968" s="11">
        <f t="shared" si="586"/>
        <v>0</v>
      </c>
      <c r="AB968" s="25"/>
      <c r="AC968" s="10" t="str">
        <f t="shared" si="587"/>
        <v>MarçoSEMANA 3Pescados - Olhete Fresco Sushi</v>
      </c>
      <c r="AD968" s="7">
        <f>SUMIF(NF!$A:$A,$AC968,NF!$I:$I)</f>
        <v>0</v>
      </c>
      <c r="AE968" s="6"/>
      <c r="AF968" s="6"/>
      <c r="AG968" s="6"/>
      <c r="AH968" s="6"/>
      <c r="AI968" s="6"/>
      <c r="AJ968" s="6"/>
      <c r="AK968" s="6"/>
      <c r="AL968" s="7">
        <f t="shared" si="619"/>
        <v>0</v>
      </c>
      <c r="AM968" s="11">
        <f t="shared" si="589"/>
        <v>0</v>
      </c>
      <c r="AN968" s="25"/>
      <c r="AO968" s="10" t="str">
        <f t="shared" si="590"/>
        <v>MarçoSEMANA 4Pescados - Olhete Fresco Sushi</v>
      </c>
      <c r="AP968" s="7">
        <f>SUMIF(NF!$A:$A,$AO968,NF!$I:$I)</f>
        <v>0</v>
      </c>
      <c r="AQ968" s="6"/>
      <c r="AR968" s="6"/>
      <c r="AS968" s="6"/>
      <c r="AT968" s="6"/>
      <c r="AU968" s="6"/>
      <c r="AV968" s="6"/>
      <c r="AW968" s="6"/>
      <c r="AX968" s="7">
        <f t="shared" si="620"/>
        <v>0</v>
      </c>
      <c r="AY968" s="11">
        <f t="shared" si="592"/>
        <v>0</v>
      </c>
      <c r="AZ968" s="25"/>
      <c r="BA968" s="10" t="str">
        <f t="shared" si="593"/>
        <v>MarçoSEMANA 5Pescados - Olhete Fresco Sushi</v>
      </c>
      <c r="BB968" s="7">
        <f>SUMIF(NF!$A:$A,$BA968,NF!$I:$I)</f>
        <v>0</v>
      </c>
      <c r="BC968" s="6"/>
      <c r="BD968" s="6"/>
      <c r="BE968" s="6"/>
      <c r="BF968" s="6"/>
      <c r="BG968" s="6"/>
      <c r="BH968" s="6"/>
      <c r="BI968" s="74"/>
      <c r="BJ968" s="74"/>
      <c r="BK968" s="7">
        <f t="shared" si="621"/>
        <v>0</v>
      </c>
      <c r="BL968" s="8">
        <f t="shared" si="595"/>
        <v>0</v>
      </c>
      <c r="BM968" s="51" t="str">
        <f>IFERROR(VLOOKUP(A968,NF!$M:$O,3,0),"")</f>
        <v>Sushi</v>
      </c>
      <c r="BN968" s="7">
        <f t="shared" si="596"/>
        <v>0</v>
      </c>
      <c r="BO968" s="8">
        <f t="array" ref="BO968">IFERROR(LARGE(IF(NF!$G$2:$G$3137='Mês atual'!A968,NF!$J$2:$J$3137),1),0)*BN968</f>
        <v>0</v>
      </c>
      <c r="BP968" s="50"/>
      <c r="BR968" s="146">
        <f t="array" ref="BR968">IFERROR(LARGE(IF(NF!$G$2:$G$3137='Mês atual'!A968,NF!$J$2:$J$3137),1),0)</f>
        <v>0</v>
      </c>
      <c r="BS968" s="142" t="str">
        <f>VLOOKUP(A968,NF!M:O,3,0)</f>
        <v>Sushi</v>
      </c>
      <c r="BV968" s="74">
        <f t="shared" si="597"/>
        <v>0</v>
      </c>
      <c r="BW968" s="74">
        <f t="shared" si="598"/>
        <v>0</v>
      </c>
      <c r="BX968" s="74">
        <f t="shared" si="599"/>
        <v>0</v>
      </c>
      <c r="BY968" s="74">
        <f t="shared" si="600"/>
        <v>0</v>
      </c>
      <c r="BZ968" s="74">
        <f t="shared" si="601"/>
        <v>0</v>
      </c>
    </row>
    <row r="969" spans="1:78" x14ac:dyDescent="0.25">
      <c r="A969" s="108" t="s">
        <v>630</v>
      </c>
      <c r="B969" s="12"/>
      <c r="C969" s="9">
        <v>0</v>
      </c>
      <c r="D969" s="25"/>
      <c r="E969" s="10" t="str">
        <f t="shared" si="581"/>
        <v>MarçoSEMANA 1Pescados - Olho de Cão Sushi</v>
      </c>
      <c r="F969" s="7">
        <f>SUMIF(NF!$A:$A,$E969,NF!$I:$I)</f>
        <v>10.299999999999997</v>
      </c>
      <c r="G969" s="74"/>
      <c r="H969" s="74"/>
      <c r="I969" s="74"/>
      <c r="J969" s="6"/>
      <c r="K969" s="6"/>
      <c r="L969" s="6">
        <v>3.43</v>
      </c>
      <c r="M969" s="6">
        <v>3.44</v>
      </c>
      <c r="N969" s="7">
        <f t="shared" si="617"/>
        <v>6.87</v>
      </c>
      <c r="O969" s="11">
        <f t="shared" si="583"/>
        <v>3.4299999999999971</v>
      </c>
      <c r="P969" s="25"/>
      <c r="Q969" s="10" t="str">
        <f t="shared" si="584"/>
        <v>MarçoSEMANA 2Pescados - Olho de Cão Sushi</v>
      </c>
      <c r="R969" s="7">
        <f>SUMIF(NF!$A:$A,$Q969,NF!$I:$I)</f>
        <v>0</v>
      </c>
      <c r="S969" s="6">
        <v>3.43</v>
      </c>
      <c r="T969" s="6"/>
      <c r="U969" s="6"/>
      <c r="V969" s="6"/>
      <c r="W969" s="6"/>
      <c r="X969" s="6"/>
      <c r="Y969" s="6"/>
      <c r="Z969" s="7">
        <f t="shared" si="618"/>
        <v>3.43</v>
      </c>
      <c r="AA969" s="11">
        <f t="shared" si="586"/>
        <v>0</v>
      </c>
      <c r="AB969" s="25"/>
      <c r="AC969" s="10" t="str">
        <f t="shared" si="587"/>
        <v>MarçoSEMANA 3Pescados - Olho de Cão Sushi</v>
      </c>
      <c r="AD969" s="7">
        <f>SUMIF(NF!$A:$A,$AC969,NF!$I:$I)</f>
        <v>0</v>
      </c>
      <c r="AE969" s="6"/>
      <c r="AF969" s="6"/>
      <c r="AG969" s="6"/>
      <c r="AH969" s="6"/>
      <c r="AI969" s="6"/>
      <c r="AJ969" s="6"/>
      <c r="AK969" s="6"/>
      <c r="AL969" s="7">
        <f t="shared" si="619"/>
        <v>0</v>
      </c>
      <c r="AM969" s="11">
        <f t="shared" si="589"/>
        <v>0</v>
      </c>
      <c r="AN969" s="25"/>
      <c r="AO969" s="10" t="str">
        <f t="shared" si="590"/>
        <v>MarçoSEMANA 4Pescados - Olho de Cão Sushi</v>
      </c>
      <c r="AP969" s="7">
        <f>SUMIF(NF!$A:$A,$AO969,NF!$I:$I)</f>
        <v>0</v>
      </c>
      <c r="AQ969" s="6"/>
      <c r="AR969" s="6"/>
      <c r="AS969" s="6"/>
      <c r="AT969" s="6"/>
      <c r="AU969" s="6"/>
      <c r="AV969" s="6"/>
      <c r="AW969" s="6"/>
      <c r="AX969" s="7">
        <f t="shared" si="620"/>
        <v>0</v>
      </c>
      <c r="AY969" s="11">
        <f t="shared" si="592"/>
        <v>0</v>
      </c>
      <c r="AZ969" s="25"/>
      <c r="BA969" s="10" t="str">
        <f t="shared" si="593"/>
        <v>MarçoSEMANA 5Pescados - Olho de Cão Sushi</v>
      </c>
      <c r="BB969" s="7">
        <f>SUMIF(NF!$A:$A,$BA969,NF!$I:$I)</f>
        <v>0</v>
      </c>
      <c r="BC969" s="6"/>
      <c r="BD969" s="6"/>
      <c r="BE969" s="6"/>
      <c r="BF969" s="6"/>
      <c r="BG969" s="6"/>
      <c r="BH969" s="6"/>
      <c r="BI969" s="74"/>
      <c r="BJ969" s="74"/>
      <c r="BK969" s="7">
        <f t="shared" si="621"/>
        <v>0</v>
      </c>
      <c r="BL969" s="8">
        <f t="shared" si="595"/>
        <v>0</v>
      </c>
      <c r="BM969" s="51" t="str">
        <f>IFERROR(VLOOKUP(A969,NF!$M:$O,3,0),"")</f>
        <v>Sushi</v>
      </c>
      <c r="BN969" s="7">
        <f t="shared" si="596"/>
        <v>10.3</v>
      </c>
      <c r="BO969" s="8">
        <f t="array" ref="BO969">IFERROR(LARGE(IF(NF!$G$2:$G$3137='Mês atual'!A969,NF!$J$2:$J$3137),1),0)*BN969</f>
        <v>185.4</v>
      </c>
      <c r="BP969" s="50"/>
      <c r="BR969" s="146">
        <f t="array" ref="BR969">IFERROR(LARGE(IF(NF!$G$2:$G$3137='Mês atual'!A969,NF!$J$2:$J$3137),1),0)</f>
        <v>18</v>
      </c>
      <c r="BS969" s="142" t="str">
        <f>VLOOKUP(A969,NF!M:O,3,0)</f>
        <v>Sushi</v>
      </c>
      <c r="BV969" s="74">
        <f t="shared" si="597"/>
        <v>6.87</v>
      </c>
      <c r="BW969" s="74">
        <f t="shared" si="598"/>
        <v>3.43</v>
      </c>
      <c r="BX969" s="74">
        <f t="shared" si="599"/>
        <v>0</v>
      </c>
      <c r="BY969" s="74">
        <f t="shared" si="600"/>
        <v>0</v>
      </c>
      <c r="BZ969" s="74">
        <f t="shared" si="601"/>
        <v>0</v>
      </c>
    </row>
    <row r="970" spans="1:78" x14ac:dyDescent="0.25">
      <c r="A970" s="108" t="s">
        <v>632</v>
      </c>
      <c r="B970" s="12"/>
      <c r="C970" s="9">
        <v>0</v>
      </c>
      <c r="D970" s="25"/>
      <c r="E970" s="10" t="str">
        <f t="shared" si="581"/>
        <v>MarçoSEMANA 1Pescados - Pargo Fresco Sushi</v>
      </c>
      <c r="F970" s="7">
        <f>SUMIF(NF!$A:$A,$E970,NF!$I:$I)</f>
        <v>0</v>
      </c>
      <c r="G970" s="74"/>
      <c r="H970" s="74"/>
      <c r="I970" s="74"/>
      <c r="J970" s="6"/>
      <c r="K970" s="6"/>
      <c r="L970" s="6"/>
      <c r="M970" s="6"/>
      <c r="N970" s="7">
        <f t="shared" si="617"/>
        <v>0</v>
      </c>
      <c r="O970" s="11">
        <f t="shared" si="583"/>
        <v>0</v>
      </c>
      <c r="P970" s="25"/>
      <c r="Q970" s="10" t="str">
        <f t="shared" si="584"/>
        <v>MarçoSEMANA 2Pescados - Pargo Fresco Sushi</v>
      </c>
      <c r="R970" s="7">
        <f>SUMIF(NF!$A:$A,$Q970,NF!$I:$I)</f>
        <v>0</v>
      </c>
      <c r="S970" s="6"/>
      <c r="T970" s="6"/>
      <c r="U970" s="6"/>
      <c r="V970" s="6"/>
      <c r="W970" s="6"/>
      <c r="X970" s="6"/>
      <c r="Y970" s="6"/>
      <c r="Z970" s="7">
        <f t="shared" si="618"/>
        <v>0</v>
      </c>
      <c r="AA970" s="11">
        <f t="shared" si="586"/>
        <v>0</v>
      </c>
      <c r="AB970" s="25"/>
      <c r="AC970" s="10" t="str">
        <f t="shared" si="587"/>
        <v>MarçoSEMANA 3Pescados - Pargo Fresco Sushi</v>
      </c>
      <c r="AD970" s="7">
        <f>SUMIF(NF!$A:$A,$AC970,NF!$I:$I)</f>
        <v>0</v>
      </c>
      <c r="AE970" s="6"/>
      <c r="AF970" s="6"/>
      <c r="AG970" s="6"/>
      <c r="AH970" s="6"/>
      <c r="AI970" s="6"/>
      <c r="AJ970" s="6"/>
      <c r="AK970" s="6"/>
      <c r="AL970" s="7">
        <f t="shared" si="619"/>
        <v>0</v>
      </c>
      <c r="AM970" s="11">
        <f t="shared" si="589"/>
        <v>0</v>
      </c>
      <c r="AN970" s="25"/>
      <c r="AO970" s="10" t="str">
        <f t="shared" si="590"/>
        <v>MarçoSEMANA 4Pescados - Pargo Fresco Sushi</v>
      </c>
      <c r="AP970" s="7">
        <f>SUMIF(NF!$A:$A,$AO970,NF!$I:$I)</f>
        <v>0</v>
      </c>
      <c r="AQ970" s="6"/>
      <c r="AR970" s="6"/>
      <c r="AS970" s="6"/>
      <c r="AT970" s="6"/>
      <c r="AU970" s="6"/>
      <c r="AV970" s="6"/>
      <c r="AW970" s="6"/>
      <c r="AX970" s="7">
        <f t="shared" si="620"/>
        <v>0</v>
      </c>
      <c r="AY970" s="11">
        <f t="shared" si="592"/>
        <v>0</v>
      </c>
      <c r="AZ970" s="25"/>
      <c r="BA970" s="10" t="str">
        <f t="shared" si="593"/>
        <v>MarçoSEMANA 5Pescados - Pargo Fresco Sushi</v>
      </c>
      <c r="BB970" s="7">
        <f>SUMIF(NF!$A:$A,$BA970,NF!$I:$I)</f>
        <v>0</v>
      </c>
      <c r="BC970" s="6"/>
      <c r="BD970" s="6"/>
      <c r="BE970" s="6"/>
      <c r="BF970" s="6"/>
      <c r="BG970" s="6"/>
      <c r="BH970" s="6"/>
      <c r="BI970" s="74"/>
      <c r="BJ970" s="74"/>
      <c r="BK970" s="7">
        <f t="shared" si="621"/>
        <v>0</v>
      </c>
      <c r="BL970" s="8">
        <f t="shared" si="595"/>
        <v>0</v>
      </c>
      <c r="BM970" s="51" t="str">
        <f>IFERROR(VLOOKUP(A970,NF!$M:$O,3,0),"")</f>
        <v>Sushi</v>
      </c>
      <c r="BN970" s="7">
        <f t="shared" si="596"/>
        <v>0</v>
      </c>
      <c r="BO970" s="8">
        <f t="array" ref="BO970">IFERROR(LARGE(IF(NF!$G$2:$G$3137='Mês atual'!A970,NF!$J$2:$J$3137),1),0)*BN970</f>
        <v>0</v>
      </c>
      <c r="BP970" s="50"/>
      <c r="BR970" s="146">
        <f t="array" ref="BR970">IFERROR(LARGE(IF(NF!$G$2:$G$3137='Mês atual'!A970,NF!$J$2:$J$3137),1),0)</f>
        <v>0</v>
      </c>
      <c r="BS970" s="142" t="str">
        <f>VLOOKUP(A970,NF!M:O,3,0)</f>
        <v>Sushi</v>
      </c>
      <c r="BV970" s="74">
        <f t="shared" si="597"/>
        <v>0</v>
      </c>
      <c r="BW970" s="74">
        <f t="shared" si="598"/>
        <v>0</v>
      </c>
      <c r="BX970" s="74">
        <f t="shared" si="599"/>
        <v>0</v>
      </c>
      <c r="BY970" s="74">
        <f t="shared" si="600"/>
        <v>0</v>
      </c>
      <c r="BZ970" s="74">
        <f t="shared" si="601"/>
        <v>0</v>
      </c>
    </row>
    <row r="971" spans="1:78" x14ac:dyDescent="0.25">
      <c r="A971" s="108" t="s">
        <v>636</v>
      </c>
      <c r="B971" s="12"/>
      <c r="C971" s="9">
        <v>0</v>
      </c>
      <c r="D971" s="25"/>
      <c r="E971" s="10" t="str">
        <f t="shared" si="581"/>
        <v>MarçoSEMANA 1Pescados - Polvo Fresco G Sushi</v>
      </c>
      <c r="F971" s="7">
        <f>SUMIF(NF!$A:$A,$E971,NF!$I:$I)</f>
        <v>0</v>
      </c>
      <c r="G971" s="74"/>
      <c r="H971" s="74"/>
      <c r="I971" s="74"/>
      <c r="J971" s="6"/>
      <c r="K971" s="6"/>
      <c r="L971" s="6"/>
      <c r="M971" s="6"/>
      <c r="N971" s="7">
        <f t="shared" si="617"/>
        <v>0</v>
      </c>
      <c r="O971" s="11">
        <f t="shared" si="583"/>
        <v>0</v>
      </c>
      <c r="P971" s="25"/>
      <c r="Q971" s="10" t="str">
        <f t="shared" si="584"/>
        <v>MarçoSEMANA 2Pescados - Polvo Fresco G Sushi</v>
      </c>
      <c r="R971" s="7">
        <f>SUMIF(NF!$A:$A,$Q971,NF!$I:$I)</f>
        <v>0</v>
      </c>
      <c r="S971" s="6"/>
      <c r="T971" s="6"/>
      <c r="U971" s="6"/>
      <c r="V971" s="6"/>
      <c r="W971" s="6"/>
      <c r="X971" s="6"/>
      <c r="Y971" s="6"/>
      <c r="Z971" s="7">
        <f t="shared" si="618"/>
        <v>0</v>
      </c>
      <c r="AA971" s="11">
        <f t="shared" si="586"/>
        <v>0</v>
      </c>
      <c r="AB971" s="25"/>
      <c r="AC971" s="10" t="str">
        <f t="shared" si="587"/>
        <v>MarçoSEMANA 3Pescados - Polvo Fresco G Sushi</v>
      </c>
      <c r="AD971" s="7">
        <f>SUMIF(NF!$A:$A,$AC971,NF!$I:$I)</f>
        <v>0</v>
      </c>
      <c r="AE971" s="6"/>
      <c r="AF971" s="6"/>
      <c r="AG971" s="6"/>
      <c r="AH971" s="6"/>
      <c r="AI971" s="6"/>
      <c r="AJ971" s="6"/>
      <c r="AK971" s="6"/>
      <c r="AL971" s="7">
        <f t="shared" si="619"/>
        <v>0</v>
      </c>
      <c r="AM971" s="11">
        <f t="shared" si="589"/>
        <v>0</v>
      </c>
      <c r="AN971" s="25"/>
      <c r="AO971" s="10" t="str">
        <f t="shared" si="590"/>
        <v>MarçoSEMANA 4Pescados - Polvo Fresco G Sushi</v>
      </c>
      <c r="AP971" s="7">
        <f>SUMIF(NF!$A:$A,$AO971,NF!$I:$I)</f>
        <v>0</v>
      </c>
      <c r="AQ971" s="6"/>
      <c r="AR971" s="6"/>
      <c r="AS971" s="6"/>
      <c r="AT971" s="6"/>
      <c r="AU971" s="6"/>
      <c r="AV971" s="6"/>
      <c r="AW971" s="6"/>
      <c r="AX971" s="7">
        <f t="shared" si="620"/>
        <v>0</v>
      </c>
      <c r="AY971" s="11">
        <f t="shared" si="592"/>
        <v>0</v>
      </c>
      <c r="AZ971" s="25"/>
      <c r="BA971" s="10" t="str">
        <f t="shared" si="593"/>
        <v>MarçoSEMANA 5Pescados - Polvo Fresco G Sushi</v>
      </c>
      <c r="BB971" s="7">
        <f>SUMIF(NF!$A:$A,$BA971,NF!$I:$I)</f>
        <v>0</v>
      </c>
      <c r="BC971" s="6"/>
      <c r="BD971" s="6"/>
      <c r="BE971" s="6"/>
      <c r="BF971" s="6"/>
      <c r="BG971" s="6"/>
      <c r="BH971" s="6"/>
      <c r="BI971" s="74"/>
      <c r="BJ971" s="74"/>
      <c r="BK971" s="7">
        <f t="shared" si="621"/>
        <v>0</v>
      </c>
      <c r="BL971" s="8">
        <f t="shared" si="595"/>
        <v>0</v>
      </c>
      <c r="BM971" s="51" t="str">
        <f>IFERROR(VLOOKUP(A971,NF!$M:$O,3,0),"")</f>
        <v>Sushi</v>
      </c>
      <c r="BN971" s="7">
        <f t="shared" si="596"/>
        <v>0</v>
      </c>
      <c r="BO971" s="8">
        <f t="array" ref="BO971">IFERROR(LARGE(IF(NF!$G$2:$G$3137='Mês atual'!A971,NF!$J$2:$J$3137),1),0)*BN971</f>
        <v>0</v>
      </c>
      <c r="BP971" s="50"/>
      <c r="BR971" s="146">
        <f t="array" ref="BR971">IFERROR(LARGE(IF(NF!$G$2:$G$3137='Mês atual'!A971,NF!$J$2:$J$3137),1),0)</f>
        <v>0</v>
      </c>
      <c r="BS971" s="142" t="str">
        <f>VLOOKUP(A971,NF!M:O,3,0)</f>
        <v>Sushi</v>
      </c>
      <c r="BV971" s="74">
        <f t="shared" si="597"/>
        <v>0</v>
      </c>
      <c r="BW971" s="74">
        <f t="shared" si="598"/>
        <v>0</v>
      </c>
      <c r="BX971" s="74">
        <f t="shared" si="599"/>
        <v>0</v>
      </c>
      <c r="BY971" s="74">
        <f t="shared" si="600"/>
        <v>0</v>
      </c>
      <c r="BZ971" s="74">
        <f t="shared" si="601"/>
        <v>0</v>
      </c>
    </row>
    <row r="972" spans="1:78" x14ac:dyDescent="0.25">
      <c r="A972" s="108" t="s">
        <v>638</v>
      </c>
      <c r="B972" s="12"/>
      <c r="C972" s="9">
        <v>0</v>
      </c>
      <c r="D972" s="25"/>
      <c r="E972" s="10" t="str">
        <f t="shared" si="581"/>
        <v>MarçoSEMANA 1Pescados - Polvo Fresco M Sushi</v>
      </c>
      <c r="F972" s="7">
        <f>SUMIF(NF!$A:$A,$E972,NF!$I:$I)</f>
        <v>0</v>
      </c>
      <c r="G972" s="74"/>
      <c r="H972" s="74"/>
      <c r="I972" s="74"/>
      <c r="J972" s="6"/>
      <c r="K972" s="6"/>
      <c r="L972" s="6"/>
      <c r="M972" s="6"/>
      <c r="N972" s="7">
        <f t="shared" si="617"/>
        <v>0</v>
      </c>
      <c r="O972" s="11">
        <f t="shared" si="583"/>
        <v>0</v>
      </c>
      <c r="P972" s="25"/>
      <c r="Q972" s="10" t="str">
        <f t="shared" si="584"/>
        <v>MarçoSEMANA 2Pescados - Polvo Fresco M Sushi</v>
      </c>
      <c r="R972" s="7">
        <f>SUMIF(NF!$A:$A,$Q972,NF!$I:$I)</f>
        <v>0</v>
      </c>
      <c r="S972" s="6"/>
      <c r="T972" s="6"/>
      <c r="U972" s="6"/>
      <c r="V972" s="6"/>
      <c r="W972" s="6"/>
      <c r="X972" s="6"/>
      <c r="Y972" s="6"/>
      <c r="Z972" s="7">
        <f t="shared" si="618"/>
        <v>0</v>
      </c>
      <c r="AA972" s="11">
        <f t="shared" si="586"/>
        <v>0</v>
      </c>
      <c r="AB972" s="25"/>
      <c r="AC972" s="10" t="str">
        <f t="shared" si="587"/>
        <v>MarçoSEMANA 3Pescados - Polvo Fresco M Sushi</v>
      </c>
      <c r="AD972" s="7">
        <f>SUMIF(NF!$A:$A,$AC972,NF!$I:$I)</f>
        <v>0</v>
      </c>
      <c r="AE972" s="6"/>
      <c r="AF972" s="6"/>
      <c r="AG972" s="6"/>
      <c r="AH972" s="6"/>
      <c r="AI972" s="6"/>
      <c r="AJ972" s="6"/>
      <c r="AK972" s="6"/>
      <c r="AL972" s="7">
        <f t="shared" si="619"/>
        <v>0</v>
      </c>
      <c r="AM972" s="11">
        <f t="shared" si="589"/>
        <v>0</v>
      </c>
      <c r="AN972" s="25"/>
      <c r="AO972" s="10" t="str">
        <f t="shared" si="590"/>
        <v>MarçoSEMANA 4Pescados - Polvo Fresco M Sushi</v>
      </c>
      <c r="AP972" s="7">
        <f>SUMIF(NF!$A:$A,$AO972,NF!$I:$I)</f>
        <v>0</v>
      </c>
      <c r="AQ972" s="6"/>
      <c r="AR972" s="6"/>
      <c r="AS972" s="6"/>
      <c r="AT972" s="6"/>
      <c r="AU972" s="6"/>
      <c r="AV972" s="6"/>
      <c r="AW972" s="6"/>
      <c r="AX972" s="7">
        <f t="shared" si="620"/>
        <v>0</v>
      </c>
      <c r="AY972" s="11">
        <f t="shared" si="592"/>
        <v>0</v>
      </c>
      <c r="AZ972" s="25"/>
      <c r="BA972" s="10" t="str">
        <f t="shared" si="593"/>
        <v>MarçoSEMANA 5Pescados - Polvo Fresco M Sushi</v>
      </c>
      <c r="BB972" s="7">
        <f>SUMIF(NF!$A:$A,$BA972,NF!$I:$I)</f>
        <v>0</v>
      </c>
      <c r="BC972" s="6"/>
      <c r="BD972" s="6"/>
      <c r="BE972" s="6"/>
      <c r="BF972" s="6"/>
      <c r="BG972" s="6"/>
      <c r="BH972" s="6"/>
      <c r="BI972" s="74"/>
      <c r="BJ972" s="74"/>
      <c r="BK972" s="7">
        <f t="shared" si="621"/>
        <v>0</v>
      </c>
      <c r="BL972" s="8">
        <f t="shared" si="595"/>
        <v>0</v>
      </c>
      <c r="BM972" s="51" t="str">
        <f>IFERROR(VLOOKUP(A972,NF!$M:$O,3,0),"")</f>
        <v>Sushi</v>
      </c>
      <c r="BN972" s="7">
        <f t="shared" si="596"/>
        <v>0</v>
      </c>
      <c r="BO972" s="8">
        <f t="array" ref="BO972">IFERROR(LARGE(IF(NF!$G$2:$G$3137='Mês atual'!A972,NF!$J$2:$J$3137),1),0)*BN972</f>
        <v>0</v>
      </c>
      <c r="BP972" s="50"/>
      <c r="BR972" s="146">
        <f t="array" ref="BR972">IFERROR(LARGE(IF(NF!$G$2:$G$3137='Mês atual'!A972,NF!$J$2:$J$3137),1),0)</f>
        <v>0</v>
      </c>
      <c r="BS972" s="142" t="str">
        <f>VLOOKUP(A972,NF!M:O,3,0)</f>
        <v>Sushi</v>
      </c>
      <c r="BV972" s="74">
        <f t="shared" si="597"/>
        <v>0</v>
      </c>
      <c r="BW972" s="74">
        <f t="shared" si="598"/>
        <v>0</v>
      </c>
      <c r="BX972" s="74">
        <f t="shared" si="599"/>
        <v>0</v>
      </c>
      <c r="BY972" s="74">
        <f t="shared" si="600"/>
        <v>0</v>
      </c>
      <c r="BZ972" s="74">
        <f t="shared" si="601"/>
        <v>0</v>
      </c>
    </row>
    <row r="973" spans="1:78" x14ac:dyDescent="0.25">
      <c r="A973" s="108" t="s">
        <v>644</v>
      </c>
      <c r="B973" s="12"/>
      <c r="C973" s="9">
        <v>7.19</v>
      </c>
      <c r="D973" s="25"/>
      <c r="E973" s="10" t="str">
        <f t="shared" si="581"/>
        <v>MarçoSEMANA 1Pescados - Salmão Inteiro Sushi</v>
      </c>
      <c r="F973" s="7">
        <f>SUMIF(NF!$A:$A,$E973,NF!$I:$I)</f>
        <v>63.959999999999994</v>
      </c>
      <c r="G973" s="74"/>
      <c r="H973" s="74"/>
      <c r="I973" s="74"/>
      <c r="J973" s="6">
        <f>7.19+11.29</f>
        <v>18.48</v>
      </c>
      <c r="K973" s="6">
        <v>11.29</v>
      </c>
      <c r="L973" s="6">
        <v>11.29</v>
      </c>
      <c r="M973" s="6">
        <v>7.53</v>
      </c>
      <c r="N973" s="7">
        <f t="shared" si="617"/>
        <v>48.59</v>
      </c>
      <c r="O973" s="11">
        <f t="shared" si="583"/>
        <v>22.559999999999988</v>
      </c>
      <c r="P973" s="25"/>
      <c r="Q973" s="10" t="str">
        <f t="shared" si="584"/>
        <v>MarçoSEMANA 2Pescados - Salmão Inteiro Sushi</v>
      </c>
      <c r="R973" s="7">
        <f>SUMIF(NF!$A:$A,$Q973,NF!$I:$I)</f>
        <v>57.599999999999994</v>
      </c>
      <c r="S973" s="6">
        <v>7.52</v>
      </c>
      <c r="T973" s="6">
        <v>7.52</v>
      </c>
      <c r="U973" s="6">
        <v>7.52</v>
      </c>
      <c r="V973" s="6">
        <v>9.4359999999999999</v>
      </c>
      <c r="W973" s="6">
        <v>9.4359999999999999</v>
      </c>
      <c r="X973" s="6">
        <v>9.4359999999999999</v>
      </c>
      <c r="Y973" s="6"/>
      <c r="Z973" s="7">
        <f t="shared" si="618"/>
        <v>50.868000000000002</v>
      </c>
      <c r="AA973" s="11">
        <f t="shared" si="586"/>
        <v>29.29199999999998</v>
      </c>
      <c r="AB973" s="25"/>
      <c r="AC973" s="10" t="str">
        <f t="shared" si="587"/>
        <v>MarçoSEMANA 3Pescados - Salmão Inteiro Sushi</v>
      </c>
      <c r="AD973" s="7">
        <f>SUMIF(NF!$A:$A,$AC973,NF!$I:$I)</f>
        <v>57.93</v>
      </c>
      <c r="AE973" s="6">
        <v>9.77</v>
      </c>
      <c r="AF973" s="6">
        <v>9.76</v>
      </c>
      <c r="AG973" s="6">
        <v>9.76</v>
      </c>
      <c r="AH973" s="6">
        <v>13.43</v>
      </c>
      <c r="AI973" s="6">
        <v>13.43</v>
      </c>
      <c r="AJ973" s="6">
        <v>10.356</v>
      </c>
      <c r="AK973" s="6">
        <v>10.356</v>
      </c>
      <c r="AL973" s="7">
        <f t="shared" si="619"/>
        <v>76.861999999999995</v>
      </c>
      <c r="AM973" s="11">
        <f t="shared" si="589"/>
        <v>10.359999999999985</v>
      </c>
      <c r="AN973" s="25"/>
      <c r="AO973" s="10" t="str">
        <f t="shared" si="590"/>
        <v>MarçoSEMANA 4Pescados - Salmão Inteiro Sushi</v>
      </c>
      <c r="AP973" s="7">
        <f>SUMIF(NF!$A:$A,$AO973,NF!$I:$I)</f>
        <v>59.44</v>
      </c>
      <c r="AQ973" s="6">
        <v>10.356</v>
      </c>
      <c r="AR973" s="6">
        <v>7.5149999999999997</v>
      </c>
      <c r="AS973" s="6">
        <v>7.5149999999999997</v>
      </c>
      <c r="AT973" s="6">
        <v>7.5149999999999997</v>
      </c>
      <c r="AU973" s="6">
        <v>7.5149999999999997</v>
      </c>
      <c r="AV973" s="6">
        <v>9.7929999999999993</v>
      </c>
      <c r="AW973" s="6">
        <v>9.7929999999999993</v>
      </c>
      <c r="AX973" s="7">
        <f t="shared" si="620"/>
        <v>60.001999999999995</v>
      </c>
      <c r="AY973" s="11">
        <f t="shared" si="592"/>
        <v>9.7979999999999876</v>
      </c>
      <c r="AZ973" s="25"/>
      <c r="BA973" s="10" t="str">
        <f t="shared" si="593"/>
        <v>MarçoSEMANA 5Pescados - Salmão Inteiro Sushi</v>
      </c>
      <c r="BB973" s="7">
        <f>SUMIF(NF!$A:$A,$BA973,NF!$I:$I)</f>
        <v>58.81</v>
      </c>
      <c r="BC973" s="6">
        <v>9.7929999999999993</v>
      </c>
      <c r="BD973" s="6">
        <v>6.0220000000000002</v>
      </c>
      <c r="BE973" s="6">
        <v>6.0220000000000002</v>
      </c>
      <c r="BF973" s="6">
        <v>6.0220000000000002</v>
      </c>
      <c r="BG973" s="6">
        <v>6.0220000000000002</v>
      </c>
      <c r="BH973" s="6">
        <v>6.0229999999999997</v>
      </c>
      <c r="BI973" s="74"/>
      <c r="BJ973" s="74"/>
      <c r="BK973" s="7">
        <f t="shared" si="621"/>
        <v>39.903999999999996</v>
      </c>
      <c r="BL973" s="8">
        <f t="shared" si="595"/>
        <v>28.703999999999994</v>
      </c>
      <c r="BM973" s="51" t="str">
        <f>IFERROR(VLOOKUP(A973,NF!$M:$O,3,0),"")</f>
        <v>Sushi</v>
      </c>
      <c r="BN973" s="7">
        <f t="shared" si="596"/>
        <v>276.226</v>
      </c>
      <c r="BO973" s="8">
        <f t="array" ref="BO973">IFERROR(LARGE(IF(NF!$G$2:$G$3137='Mês atual'!A973,NF!$J$2:$J$3137),1),0)*BN973</f>
        <v>8259.1574000000001</v>
      </c>
      <c r="BP973" s="50"/>
      <c r="BR973" s="146">
        <f t="array" ref="BR973">IFERROR(LARGE(IF(NF!$G$2:$G$3137='Mês atual'!A973,NF!$J$2:$J$3137),1),0)</f>
        <v>29.9</v>
      </c>
      <c r="BS973" s="142" t="str">
        <f>VLOOKUP(A973,NF!M:O,3,0)</f>
        <v>Sushi</v>
      </c>
      <c r="BV973" s="74">
        <f t="shared" si="597"/>
        <v>48.59</v>
      </c>
      <c r="BW973" s="74">
        <f t="shared" si="598"/>
        <v>50.868000000000002</v>
      </c>
      <c r="BX973" s="74">
        <f t="shared" si="599"/>
        <v>76.861999999999995</v>
      </c>
      <c r="BY973" s="74">
        <f t="shared" si="600"/>
        <v>60.001999999999995</v>
      </c>
      <c r="BZ973" s="74">
        <f t="shared" si="601"/>
        <v>39.903999999999996</v>
      </c>
    </row>
    <row r="974" spans="1:78" x14ac:dyDescent="0.25">
      <c r="A974" s="108" t="s">
        <v>646</v>
      </c>
      <c r="B974" s="12"/>
      <c r="C974" s="9">
        <v>0</v>
      </c>
      <c r="D974" s="25"/>
      <c r="E974" s="10" t="str">
        <f t="shared" si="581"/>
        <v>MarçoSEMANA 1Pescados - Sardinha Fresca Sushi</v>
      </c>
      <c r="F974" s="7">
        <f>SUMIF(NF!$A:$A,$E974,NF!$I:$I)</f>
        <v>0</v>
      </c>
      <c r="G974" s="74"/>
      <c r="H974" s="74"/>
      <c r="I974" s="74"/>
      <c r="J974" s="6"/>
      <c r="K974" s="6"/>
      <c r="L974" s="6"/>
      <c r="M974" s="6"/>
      <c r="N974" s="7">
        <f t="shared" si="617"/>
        <v>0</v>
      </c>
      <c r="O974" s="11">
        <f t="shared" si="583"/>
        <v>0</v>
      </c>
      <c r="P974" s="25"/>
      <c r="Q974" s="10" t="str">
        <f t="shared" si="584"/>
        <v>MarçoSEMANA 2Pescados - Sardinha Fresca Sushi</v>
      </c>
      <c r="R974" s="7">
        <f>SUMIF(NF!$A:$A,$Q974,NF!$I:$I)</f>
        <v>0</v>
      </c>
      <c r="S974" s="6"/>
      <c r="T974" s="6"/>
      <c r="U974" s="6"/>
      <c r="V974" s="6"/>
      <c r="W974" s="6"/>
      <c r="X974" s="6"/>
      <c r="Y974" s="6"/>
      <c r="Z974" s="7">
        <f t="shared" si="618"/>
        <v>0</v>
      </c>
      <c r="AA974" s="11">
        <f t="shared" si="586"/>
        <v>0</v>
      </c>
      <c r="AB974" s="25"/>
      <c r="AC974" s="10" t="str">
        <f t="shared" si="587"/>
        <v>MarçoSEMANA 3Pescados - Sardinha Fresca Sushi</v>
      </c>
      <c r="AD974" s="7">
        <f>SUMIF(NF!$A:$A,$AC974,NF!$I:$I)</f>
        <v>0</v>
      </c>
      <c r="AE974" s="6"/>
      <c r="AF974" s="6"/>
      <c r="AG974" s="6"/>
      <c r="AH974" s="6"/>
      <c r="AI974" s="6"/>
      <c r="AJ974" s="6"/>
      <c r="AK974" s="6"/>
      <c r="AL974" s="7">
        <f t="shared" si="619"/>
        <v>0</v>
      </c>
      <c r="AM974" s="11">
        <f t="shared" si="589"/>
        <v>0</v>
      </c>
      <c r="AN974" s="25"/>
      <c r="AO974" s="10" t="str">
        <f t="shared" si="590"/>
        <v>MarçoSEMANA 4Pescados - Sardinha Fresca Sushi</v>
      </c>
      <c r="AP974" s="7">
        <f>SUMIF(NF!$A:$A,$AO974,NF!$I:$I)</f>
        <v>0</v>
      </c>
      <c r="AQ974" s="6"/>
      <c r="AR974" s="6"/>
      <c r="AS974" s="6"/>
      <c r="AT974" s="6"/>
      <c r="AU974" s="6"/>
      <c r="AV974" s="6"/>
      <c r="AW974" s="6"/>
      <c r="AX974" s="7">
        <f t="shared" si="620"/>
        <v>0</v>
      </c>
      <c r="AY974" s="11">
        <f t="shared" si="592"/>
        <v>0</v>
      </c>
      <c r="AZ974" s="25"/>
      <c r="BA974" s="10" t="str">
        <f t="shared" si="593"/>
        <v>MarçoSEMANA 5Pescados - Sardinha Fresca Sushi</v>
      </c>
      <c r="BB974" s="7">
        <f>SUMIF(NF!$A:$A,$BA974,NF!$I:$I)</f>
        <v>0</v>
      </c>
      <c r="BC974" s="6"/>
      <c r="BD974" s="6"/>
      <c r="BE974" s="6"/>
      <c r="BF974" s="6"/>
      <c r="BG974" s="6"/>
      <c r="BH974" s="6"/>
      <c r="BI974" s="74"/>
      <c r="BJ974" s="74"/>
      <c r="BK974" s="7">
        <f t="shared" si="621"/>
        <v>0</v>
      </c>
      <c r="BL974" s="8">
        <f t="shared" si="595"/>
        <v>0</v>
      </c>
      <c r="BM974" s="51" t="str">
        <f>IFERROR(VLOOKUP(A974,NF!$M:$O,3,0),"")</f>
        <v>Sushi</v>
      </c>
      <c r="BN974" s="7">
        <f t="shared" si="596"/>
        <v>0</v>
      </c>
      <c r="BO974" s="8">
        <f t="array" ref="BO974">IFERROR(LARGE(IF(NF!$G$2:$G$3137='Mês atual'!A974,NF!$J$2:$J$3137),1),0)*BN974</f>
        <v>0</v>
      </c>
      <c r="BP974" s="50"/>
      <c r="BR974" s="146">
        <f t="array" ref="BR974">IFERROR(LARGE(IF(NF!$G$2:$G$3137='Mês atual'!A974,NF!$J$2:$J$3137),1),0)</f>
        <v>0</v>
      </c>
      <c r="BS974" s="142" t="str">
        <f>VLOOKUP(A974,NF!M:O,3,0)</f>
        <v>Sushi</v>
      </c>
      <c r="BV974" s="74">
        <f t="shared" si="597"/>
        <v>0</v>
      </c>
      <c r="BW974" s="74">
        <f t="shared" si="598"/>
        <v>0</v>
      </c>
      <c r="BX974" s="74">
        <f t="shared" si="599"/>
        <v>0</v>
      </c>
      <c r="BY974" s="74">
        <f t="shared" si="600"/>
        <v>0</v>
      </c>
      <c r="BZ974" s="74">
        <f t="shared" si="601"/>
        <v>0</v>
      </c>
    </row>
    <row r="975" spans="1:78" x14ac:dyDescent="0.25">
      <c r="A975" s="108" t="s">
        <v>648</v>
      </c>
      <c r="B975" s="12"/>
      <c r="C975" s="9">
        <v>0</v>
      </c>
      <c r="D975" s="25"/>
      <c r="E975" s="10" t="str">
        <f t="shared" si="581"/>
        <v>MarçoSEMANA 1Pescados - Tainha Fresca Sushi</v>
      </c>
      <c r="F975" s="7">
        <f>SUMIF(NF!$A:$A,$E975,NF!$I:$I)</f>
        <v>0</v>
      </c>
      <c r="G975" s="74"/>
      <c r="H975" s="74"/>
      <c r="I975" s="74"/>
      <c r="J975" s="6"/>
      <c r="K975" s="6"/>
      <c r="L975" s="6"/>
      <c r="M975" s="6"/>
      <c r="N975" s="7">
        <f t="shared" si="617"/>
        <v>0</v>
      </c>
      <c r="O975" s="11">
        <f t="shared" si="583"/>
        <v>0</v>
      </c>
      <c r="P975" s="25"/>
      <c r="Q975" s="10" t="str">
        <f t="shared" si="584"/>
        <v>MarçoSEMANA 2Pescados - Tainha Fresca Sushi</v>
      </c>
      <c r="R975" s="7">
        <f>SUMIF(NF!$A:$A,$Q975,NF!$I:$I)</f>
        <v>0</v>
      </c>
      <c r="S975" s="6"/>
      <c r="T975" s="6"/>
      <c r="U975" s="6"/>
      <c r="V975" s="6"/>
      <c r="W975" s="6"/>
      <c r="X975" s="6"/>
      <c r="Y975" s="6"/>
      <c r="Z975" s="7">
        <f t="shared" si="618"/>
        <v>0</v>
      </c>
      <c r="AA975" s="11">
        <f t="shared" si="586"/>
        <v>0</v>
      </c>
      <c r="AB975" s="25"/>
      <c r="AC975" s="10" t="str">
        <f t="shared" si="587"/>
        <v>MarçoSEMANA 3Pescados - Tainha Fresca Sushi</v>
      </c>
      <c r="AD975" s="7">
        <f>SUMIF(NF!$A:$A,$AC975,NF!$I:$I)</f>
        <v>0</v>
      </c>
      <c r="AE975" s="6"/>
      <c r="AF975" s="6"/>
      <c r="AG975" s="6"/>
      <c r="AH975" s="6"/>
      <c r="AI975" s="6"/>
      <c r="AJ975" s="6"/>
      <c r="AK975" s="6"/>
      <c r="AL975" s="7">
        <f t="shared" si="619"/>
        <v>0</v>
      </c>
      <c r="AM975" s="11">
        <f t="shared" si="589"/>
        <v>0</v>
      </c>
      <c r="AN975" s="25"/>
      <c r="AO975" s="10" t="str">
        <f t="shared" si="590"/>
        <v>MarçoSEMANA 4Pescados - Tainha Fresca Sushi</v>
      </c>
      <c r="AP975" s="7">
        <f>SUMIF(NF!$A:$A,$AO975,NF!$I:$I)</f>
        <v>0</v>
      </c>
      <c r="AQ975" s="6"/>
      <c r="AR975" s="6"/>
      <c r="AS975" s="6"/>
      <c r="AT975" s="6"/>
      <c r="AU975" s="6"/>
      <c r="AV975" s="6"/>
      <c r="AW975" s="6"/>
      <c r="AX975" s="7">
        <f t="shared" si="620"/>
        <v>0</v>
      </c>
      <c r="AY975" s="11">
        <f t="shared" si="592"/>
        <v>0</v>
      </c>
      <c r="AZ975" s="25"/>
      <c r="BA975" s="10" t="str">
        <f t="shared" si="593"/>
        <v>MarçoSEMANA 5Pescados - Tainha Fresca Sushi</v>
      </c>
      <c r="BB975" s="7">
        <f>SUMIF(NF!$A:$A,$BA975,NF!$I:$I)</f>
        <v>0</v>
      </c>
      <c r="BC975" s="6"/>
      <c r="BD975" s="6"/>
      <c r="BE975" s="6"/>
      <c r="BF975" s="6"/>
      <c r="BG975" s="6"/>
      <c r="BH975" s="6"/>
      <c r="BI975" s="74"/>
      <c r="BJ975" s="74"/>
      <c r="BK975" s="7">
        <f t="shared" si="621"/>
        <v>0</v>
      </c>
      <c r="BL975" s="8">
        <f t="shared" si="595"/>
        <v>0</v>
      </c>
      <c r="BM975" s="51" t="str">
        <f>IFERROR(VLOOKUP(A975,NF!$M:$O,3,0),"")</f>
        <v>Sushi</v>
      </c>
      <c r="BN975" s="7">
        <f t="shared" si="596"/>
        <v>0</v>
      </c>
      <c r="BO975" s="8">
        <f t="array" ref="BO975">IFERROR(LARGE(IF(NF!$G$2:$G$3137='Mês atual'!A975,NF!$J$2:$J$3137),1),0)*BN975</f>
        <v>0</v>
      </c>
      <c r="BP975" s="50"/>
      <c r="BR975" s="146">
        <f t="array" ref="BR975">IFERROR(LARGE(IF(NF!$G$2:$G$3137='Mês atual'!A975,NF!$J$2:$J$3137),1),0)</f>
        <v>0</v>
      </c>
      <c r="BS975" s="142" t="str">
        <f>VLOOKUP(A975,NF!M:O,3,0)</f>
        <v>Sushi</v>
      </c>
      <c r="BV975" s="74">
        <f t="shared" si="597"/>
        <v>0</v>
      </c>
      <c r="BW975" s="74">
        <f t="shared" si="598"/>
        <v>0</v>
      </c>
      <c r="BX975" s="74">
        <f t="shared" si="599"/>
        <v>0</v>
      </c>
      <c r="BY975" s="74">
        <f t="shared" si="600"/>
        <v>0</v>
      </c>
      <c r="BZ975" s="74">
        <f t="shared" si="601"/>
        <v>0</v>
      </c>
    </row>
    <row r="976" spans="1:78" x14ac:dyDescent="0.25">
      <c r="A976" s="108" t="s">
        <v>649</v>
      </c>
      <c r="B976" s="12"/>
      <c r="C976" s="9">
        <v>0</v>
      </c>
      <c r="D976" s="25"/>
      <c r="E976" s="10" t="str">
        <f t="shared" si="581"/>
        <v>MarçoSEMANA 1Pescados - Xerelete Fresco Sushi</v>
      </c>
      <c r="F976" s="7">
        <f>SUMIF(NF!$A:$A,$E976,NF!$I:$I)</f>
        <v>0</v>
      </c>
      <c r="G976" s="74"/>
      <c r="H976" s="74"/>
      <c r="I976" s="74"/>
      <c r="J976" s="6"/>
      <c r="K976" s="6"/>
      <c r="L976" s="6"/>
      <c r="M976" s="6"/>
      <c r="N976" s="7">
        <f t="shared" si="617"/>
        <v>0</v>
      </c>
      <c r="O976" s="11">
        <f t="shared" si="583"/>
        <v>0</v>
      </c>
      <c r="P976" s="25"/>
      <c r="Q976" s="10" t="str">
        <f t="shared" si="584"/>
        <v>MarçoSEMANA 2Pescados - Xerelete Fresco Sushi</v>
      </c>
      <c r="R976" s="7">
        <f>SUMIF(NF!$A:$A,$Q976,NF!$I:$I)</f>
        <v>0</v>
      </c>
      <c r="S976" s="6"/>
      <c r="T976" s="6"/>
      <c r="U976" s="6"/>
      <c r="V976" s="6"/>
      <c r="W976" s="6"/>
      <c r="X976" s="6"/>
      <c r="Y976" s="6"/>
      <c r="Z976" s="7">
        <f t="shared" si="618"/>
        <v>0</v>
      </c>
      <c r="AA976" s="11">
        <f t="shared" si="586"/>
        <v>0</v>
      </c>
      <c r="AB976" s="25"/>
      <c r="AC976" s="10" t="str">
        <f t="shared" si="587"/>
        <v>MarçoSEMANA 3Pescados - Xerelete Fresco Sushi</v>
      </c>
      <c r="AD976" s="7">
        <f>SUMIF(NF!$A:$A,$AC976,NF!$I:$I)</f>
        <v>0</v>
      </c>
      <c r="AE976" s="6"/>
      <c r="AF976" s="6"/>
      <c r="AG976" s="6"/>
      <c r="AH976" s="6"/>
      <c r="AI976" s="6"/>
      <c r="AJ976" s="6"/>
      <c r="AK976" s="6"/>
      <c r="AL976" s="7">
        <f t="shared" si="619"/>
        <v>0</v>
      </c>
      <c r="AM976" s="11">
        <f t="shared" si="589"/>
        <v>0</v>
      </c>
      <c r="AN976" s="25"/>
      <c r="AO976" s="10" t="str">
        <f t="shared" si="590"/>
        <v>MarçoSEMANA 4Pescados - Xerelete Fresco Sushi</v>
      </c>
      <c r="AP976" s="7">
        <f>SUMIF(NF!$A:$A,$AO976,NF!$I:$I)</f>
        <v>0</v>
      </c>
      <c r="AQ976" s="6"/>
      <c r="AR976" s="6"/>
      <c r="AS976" s="6"/>
      <c r="AT976" s="6"/>
      <c r="AU976" s="6"/>
      <c r="AV976" s="6"/>
      <c r="AW976" s="6"/>
      <c r="AX976" s="7">
        <f t="shared" si="620"/>
        <v>0</v>
      </c>
      <c r="AY976" s="11">
        <f t="shared" si="592"/>
        <v>0</v>
      </c>
      <c r="AZ976" s="25"/>
      <c r="BA976" s="10" t="str">
        <f t="shared" si="593"/>
        <v>MarçoSEMANA 5Pescados - Xerelete Fresco Sushi</v>
      </c>
      <c r="BB976" s="7">
        <f>SUMIF(NF!$A:$A,$BA976,NF!$I:$I)</f>
        <v>0</v>
      </c>
      <c r="BC976" s="6"/>
      <c r="BD976" s="6"/>
      <c r="BE976" s="6"/>
      <c r="BF976" s="6"/>
      <c r="BG976" s="6"/>
      <c r="BH976" s="6"/>
      <c r="BI976" s="74"/>
      <c r="BJ976" s="74"/>
      <c r="BK976" s="7">
        <f t="shared" si="621"/>
        <v>0</v>
      </c>
      <c r="BL976" s="8">
        <f t="shared" si="595"/>
        <v>0</v>
      </c>
      <c r="BM976" s="51" t="str">
        <f>IFERROR(VLOOKUP(A976,NF!$M:$O,3,0),"")</f>
        <v>Sushi</v>
      </c>
      <c r="BN976" s="7">
        <f t="shared" si="596"/>
        <v>0</v>
      </c>
      <c r="BO976" s="8">
        <f t="array" ref="BO976">IFERROR(LARGE(IF(NF!$G$2:$G$3137='Mês atual'!A976,NF!$J$2:$J$3137),1),0)*BN976</f>
        <v>0</v>
      </c>
      <c r="BP976" s="50"/>
      <c r="BR976" s="146">
        <f t="array" ref="BR976">IFERROR(LARGE(IF(NF!$G$2:$G$3137='Mês atual'!A976,NF!$J$2:$J$3137),1),0)</f>
        <v>0</v>
      </c>
      <c r="BS976" s="142" t="str">
        <f>VLOOKUP(A976,NF!M:O,3,0)</f>
        <v>Sushi</v>
      </c>
      <c r="BV976" s="74">
        <f t="shared" si="597"/>
        <v>0</v>
      </c>
      <c r="BW976" s="74">
        <f t="shared" si="598"/>
        <v>0</v>
      </c>
      <c r="BX976" s="74">
        <f t="shared" si="599"/>
        <v>0</v>
      </c>
      <c r="BY976" s="74">
        <f t="shared" si="600"/>
        <v>0</v>
      </c>
      <c r="BZ976" s="74">
        <f t="shared" si="601"/>
        <v>0</v>
      </c>
    </row>
    <row r="977" spans="1:78" x14ac:dyDescent="0.25">
      <c r="A977" s="108" t="s">
        <v>658</v>
      </c>
      <c r="B977" s="12"/>
      <c r="C977" s="9">
        <v>0</v>
      </c>
      <c r="D977" s="25"/>
      <c r="E977" s="10" t="str">
        <f t="shared" si="581"/>
        <v>MarçoSEMANA 1Pimenta Japonesa (Kimuchi)</v>
      </c>
      <c r="F977" s="7">
        <f>SUMIF(NF!$A:$A,$E977,NF!$I:$I)</f>
        <v>0</v>
      </c>
      <c r="G977" s="74"/>
      <c r="H977" s="74"/>
      <c r="I977" s="74"/>
      <c r="J977" s="6"/>
      <c r="K977" s="6"/>
      <c r="L977" s="6"/>
      <c r="M977" s="6"/>
      <c r="N977" s="7">
        <f t="shared" si="617"/>
        <v>0</v>
      </c>
      <c r="O977" s="11">
        <f t="shared" si="583"/>
        <v>0</v>
      </c>
      <c r="P977" s="25"/>
      <c r="Q977" s="10" t="str">
        <f t="shared" si="584"/>
        <v>MarçoSEMANA 2Pimenta Japonesa (Kimuchi)</v>
      </c>
      <c r="R977" s="7">
        <f>SUMIF(NF!$A:$A,$Q977,NF!$I:$I)</f>
        <v>0</v>
      </c>
      <c r="S977" s="6"/>
      <c r="T977" s="6"/>
      <c r="U977" s="6"/>
      <c r="V977" s="6"/>
      <c r="W977" s="6"/>
      <c r="X977" s="6"/>
      <c r="Y977" s="6"/>
      <c r="Z977" s="7">
        <f t="shared" si="618"/>
        <v>0</v>
      </c>
      <c r="AA977" s="11">
        <f t="shared" si="586"/>
        <v>0</v>
      </c>
      <c r="AB977" s="25"/>
      <c r="AC977" s="10" t="str">
        <f t="shared" si="587"/>
        <v>MarçoSEMANA 3Pimenta Japonesa (Kimuchi)</v>
      </c>
      <c r="AD977" s="7">
        <f>SUMIF(NF!$A:$A,$AC977,NF!$I:$I)</f>
        <v>0</v>
      </c>
      <c r="AE977" s="6"/>
      <c r="AF977" s="6"/>
      <c r="AG977" s="6"/>
      <c r="AH977" s="6"/>
      <c r="AI977" s="6"/>
      <c r="AJ977" s="6"/>
      <c r="AK977" s="6"/>
      <c r="AL977" s="7">
        <f t="shared" si="619"/>
        <v>0</v>
      </c>
      <c r="AM977" s="11">
        <f t="shared" si="589"/>
        <v>0</v>
      </c>
      <c r="AN977" s="25"/>
      <c r="AO977" s="10" t="str">
        <f t="shared" si="590"/>
        <v>MarçoSEMANA 4Pimenta Japonesa (Kimuchi)</v>
      </c>
      <c r="AP977" s="7">
        <f>SUMIF(NF!$A:$A,$AO977,NF!$I:$I)</f>
        <v>0</v>
      </c>
      <c r="AQ977" s="6"/>
      <c r="AR977" s="6"/>
      <c r="AS977" s="6"/>
      <c r="AT977" s="6"/>
      <c r="AU977" s="6"/>
      <c r="AV977" s="6"/>
      <c r="AW977" s="6"/>
      <c r="AX977" s="7">
        <f t="shared" si="620"/>
        <v>0</v>
      </c>
      <c r="AY977" s="11">
        <f t="shared" si="592"/>
        <v>0</v>
      </c>
      <c r="AZ977" s="25"/>
      <c r="BA977" s="10" t="str">
        <f t="shared" si="593"/>
        <v>MarçoSEMANA 5Pimenta Japonesa (Kimuchi)</v>
      </c>
      <c r="BB977" s="7">
        <f>SUMIF(NF!$A:$A,$BA977,NF!$I:$I)</f>
        <v>0</v>
      </c>
      <c r="BC977" s="6"/>
      <c r="BD977" s="6"/>
      <c r="BE977" s="6"/>
      <c r="BF977" s="6"/>
      <c r="BG977" s="6"/>
      <c r="BH977" s="6"/>
      <c r="BI977" s="74"/>
      <c r="BJ977" s="74"/>
      <c r="BK977" s="7">
        <f t="shared" si="621"/>
        <v>0</v>
      </c>
      <c r="BL977" s="8">
        <f t="shared" si="595"/>
        <v>0</v>
      </c>
      <c r="BM977" s="51" t="str">
        <f>IFERROR(VLOOKUP(A977,NF!$M:$O,3,0),"")</f>
        <v>Sushi</v>
      </c>
      <c r="BN977" s="7">
        <f t="shared" si="596"/>
        <v>0</v>
      </c>
      <c r="BO977" s="8">
        <f t="array" ref="BO977">IFERROR(LARGE(IF(NF!$G$2:$G$3137='Mês atual'!A977,NF!$J$2:$J$3137),1),0)*BN977</f>
        <v>0</v>
      </c>
      <c r="BP977" s="50"/>
      <c r="BR977" s="146">
        <f t="array" ref="BR977">IFERROR(LARGE(IF(NF!$G$2:$G$3137='Mês atual'!A977,NF!$J$2:$J$3137),1),0)</f>
        <v>0</v>
      </c>
      <c r="BS977" s="142" t="str">
        <f>VLOOKUP(A977,NF!M:O,3,0)</f>
        <v>Sushi</v>
      </c>
      <c r="BV977" s="74">
        <f t="shared" si="597"/>
        <v>0</v>
      </c>
      <c r="BW977" s="74">
        <f t="shared" si="598"/>
        <v>0</v>
      </c>
      <c r="BX977" s="74">
        <f t="shared" si="599"/>
        <v>0</v>
      </c>
      <c r="BY977" s="74">
        <f t="shared" si="600"/>
        <v>0</v>
      </c>
      <c r="BZ977" s="74">
        <f t="shared" si="601"/>
        <v>0</v>
      </c>
    </row>
    <row r="978" spans="1:78" x14ac:dyDescent="0.25">
      <c r="A978" s="108" t="s">
        <v>662</v>
      </c>
      <c r="B978" s="12"/>
      <c r="C978" s="9">
        <v>0</v>
      </c>
      <c r="D978" s="25"/>
      <c r="E978" s="10" t="str">
        <f t="shared" si="581"/>
        <v>MarçoSEMANA 1Pimenta Togarashi Sushi</v>
      </c>
      <c r="F978" s="7">
        <f>SUMIF(NF!$A:$A,$E978,NF!$I:$I)</f>
        <v>0</v>
      </c>
      <c r="G978" s="74"/>
      <c r="H978" s="74"/>
      <c r="I978" s="74"/>
      <c r="J978" s="6"/>
      <c r="K978" s="6"/>
      <c r="L978" s="6"/>
      <c r="M978" s="6"/>
      <c r="N978" s="7">
        <f t="shared" si="617"/>
        <v>0</v>
      </c>
      <c r="O978" s="11">
        <f t="shared" si="583"/>
        <v>0</v>
      </c>
      <c r="P978" s="25"/>
      <c r="Q978" s="10" t="str">
        <f t="shared" si="584"/>
        <v>MarçoSEMANA 2Pimenta Togarashi Sushi</v>
      </c>
      <c r="R978" s="7">
        <f>SUMIF(NF!$A:$A,$Q978,NF!$I:$I)</f>
        <v>0</v>
      </c>
      <c r="S978" s="6"/>
      <c r="T978" s="6"/>
      <c r="U978" s="6"/>
      <c r="V978" s="6"/>
      <c r="W978" s="6"/>
      <c r="X978" s="6"/>
      <c r="Y978" s="6"/>
      <c r="Z978" s="7">
        <f t="shared" si="618"/>
        <v>0</v>
      </c>
      <c r="AA978" s="11">
        <f t="shared" si="586"/>
        <v>0</v>
      </c>
      <c r="AB978" s="25"/>
      <c r="AC978" s="10" t="str">
        <f t="shared" si="587"/>
        <v>MarçoSEMANA 3Pimenta Togarashi Sushi</v>
      </c>
      <c r="AD978" s="7">
        <f>SUMIF(NF!$A:$A,$AC978,NF!$I:$I)</f>
        <v>0</v>
      </c>
      <c r="AE978" s="6"/>
      <c r="AF978" s="6"/>
      <c r="AG978" s="6"/>
      <c r="AH978" s="6"/>
      <c r="AI978" s="6"/>
      <c r="AJ978" s="6"/>
      <c r="AK978" s="6"/>
      <c r="AL978" s="7">
        <f t="shared" si="619"/>
        <v>0</v>
      </c>
      <c r="AM978" s="11">
        <f t="shared" si="589"/>
        <v>0</v>
      </c>
      <c r="AN978" s="25"/>
      <c r="AO978" s="10" t="str">
        <f t="shared" si="590"/>
        <v>MarçoSEMANA 4Pimenta Togarashi Sushi</v>
      </c>
      <c r="AP978" s="7">
        <f>SUMIF(NF!$A:$A,$AO978,NF!$I:$I)</f>
        <v>0</v>
      </c>
      <c r="AQ978" s="6"/>
      <c r="AR978" s="6"/>
      <c r="AS978" s="6"/>
      <c r="AT978" s="6"/>
      <c r="AU978" s="6"/>
      <c r="AV978" s="6"/>
      <c r="AW978" s="6"/>
      <c r="AX978" s="7">
        <f t="shared" si="620"/>
        <v>0</v>
      </c>
      <c r="AY978" s="11">
        <f t="shared" si="592"/>
        <v>0</v>
      </c>
      <c r="AZ978" s="25"/>
      <c r="BA978" s="10" t="str">
        <f t="shared" si="593"/>
        <v>MarçoSEMANA 5Pimenta Togarashi Sushi</v>
      </c>
      <c r="BB978" s="7">
        <f>SUMIF(NF!$A:$A,$BA978,NF!$I:$I)</f>
        <v>0</v>
      </c>
      <c r="BC978" s="6"/>
      <c r="BD978" s="6"/>
      <c r="BE978" s="6"/>
      <c r="BF978" s="6"/>
      <c r="BG978" s="6"/>
      <c r="BH978" s="6"/>
      <c r="BI978" s="74"/>
      <c r="BJ978" s="74"/>
      <c r="BK978" s="7">
        <f t="shared" si="621"/>
        <v>0</v>
      </c>
      <c r="BL978" s="8">
        <f t="shared" si="595"/>
        <v>0</v>
      </c>
      <c r="BM978" s="51" t="str">
        <f>IFERROR(VLOOKUP(A978,NF!$M:$O,3,0),"")</f>
        <v>Sushi</v>
      </c>
      <c r="BN978" s="7">
        <f t="shared" si="596"/>
        <v>0</v>
      </c>
      <c r="BO978" s="8">
        <f t="array" ref="BO978">IFERROR(LARGE(IF(NF!$G$2:$G$3137='Mês atual'!A978,NF!$J$2:$J$3137),1),0)*BN978</f>
        <v>0</v>
      </c>
      <c r="BP978" s="50"/>
      <c r="BR978" s="146">
        <f t="array" ref="BR978">IFERROR(LARGE(IF(NF!$G$2:$G$3137='Mês atual'!A978,NF!$J$2:$J$3137),1),0)</f>
        <v>0</v>
      </c>
      <c r="BS978" s="142" t="str">
        <f>VLOOKUP(A978,NF!M:O,3,0)</f>
        <v>Sushi</v>
      </c>
      <c r="BV978" s="74">
        <f t="shared" si="597"/>
        <v>0</v>
      </c>
      <c r="BW978" s="74">
        <f t="shared" si="598"/>
        <v>0</v>
      </c>
      <c r="BX978" s="74">
        <f t="shared" si="599"/>
        <v>0</v>
      </c>
      <c r="BY978" s="74">
        <f t="shared" si="600"/>
        <v>0</v>
      </c>
      <c r="BZ978" s="74">
        <f t="shared" si="601"/>
        <v>0</v>
      </c>
    </row>
    <row r="979" spans="1:78" x14ac:dyDescent="0.25">
      <c r="A979" s="108" t="s">
        <v>726</v>
      </c>
      <c r="B979" s="12"/>
      <c r="C979" s="9">
        <v>0</v>
      </c>
      <c r="D979" s="25"/>
      <c r="E979" s="10" t="str">
        <f t="shared" si="581"/>
        <v>MarçoSEMANA 1Sal Sushi</v>
      </c>
      <c r="F979" s="7">
        <f>SUMIF(NF!$A:$A,$E979,NF!$I:$I)</f>
        <v>0</v>
      </c>
      <c r="G979" s="74"/>
      <c r="H979" s="74"/>
      <c r="I979" s="74"/>
      <c r="J979" s="6"/>
      <c r="K979" s="6"/>
      <c r="L979" s="6"/>
      <c r="M979" s="6"/>
      <c r="N979" s="7">
        <f t="shared" si="617"/>
        <v>0</v>
      </c>
      <c r="O979" s="11">
        <f t="shared" si="583"/>
        <v>0</v>
      </c>
      <c r="P979" s="25"/>
      <c r="Q979" s="10" t="str">
        <f t="shared" si="584"/>
        <v>MarçoSEMANA 2Sal Sushi</v>
      </c>
      <c r="R979" s="7">
        <f>SUMIF(NF!$A:$A,$Q979,NF!$I:$I)</f>
        <v>0</v>
      </c>
      <c r="S979" s="6"/>
      <c r="T979" s="6"/>
      <c r="U979" s="6"/>
      <c r="V979" s="6"/>
      <c r="W979" s="6"/>
      <c r="X979" s="6"/>
      <c r="Y979" s="6"/>
      <c r="Z979" s="7">
        <f t="shared" si="618"/>
        <v>0</v>
      </c>
      <c r="AA979" s="11">
        <f t="shared" si="586"/>
        <v>0</v>
      </c>
      <c r="AB979" s="25"/>
      <c r="AC979" s="10" t="str">
        <f t="shared" si="587"/>
        <v>MarçoSEMANA 3Sal Sushi</v>
      </c>
      <c r="AD979" s="7">
        <f>SUMIF(NF!$A:$A,$AC979,NF!$I:$I)</f>
        <v>0</v>
      </c>
      <c r="AE979" s="6"/>
      <c r="AF979" s="6"/>
      <c r="AG979" s="6"/>
      <c r="AH979" s="6"/>
      <c r="AI979" s="6"/>
      <c r="AJ979" s="6"/>
      <c r="AK979" s="6"/>
      <c r="AL979" s="7">
        <f t="shared" si="619"/>
        <v>0</v>
      </c>
      <c r="AM979" s="11">
        <f t="shared" si="589"/>
        <v>0</v>
      </c>
      <c r="AN979" s="25"/>
      <c r="AO979" s="10" t="str">
        <f t="shared" si="590"/>
        <v>MarçoSEMANA 4Sal Sushi</v>
      </c>
      <c r="AP979" s="7">
        <f>SUMIF(NF!$A:$A,$AO979,NF!$I:$I)</f>
        <v>0</v>
      </c>
      <c r="AQ979" s="6"/>
      <c r="AR979" s="6"/>
      <c r="AS979" s="6"/>
      <c r="AT979" s="6"/>
      <c r="AU979" s="6"/>
      <c r="AV979" s="6"/>
      <c r="AW979" s="6"/>
      <c r="AX979" s="7">
        <f t="shared" si="620"/>
        <v>0</v>
      </c>
      <c r="AY979" s="11">
        <f t="shared" si="592"/>
        <v>0</v>
      </c>
      <c r="AZ979" s="25"/>
      <c r="BA979" s="10" t="str">
        <f t="shared" si="593"/>
        <v>MarçoSEMANA 5Sal Sushi</v>
      </c>
      <c r="BB979" s="7">
        <f>SUMIF(NF!$A:$A,$BA979,NF!$I:$I)</f>
        <v>0</v>
      </c>
      <c r="BC979" s="6"/>
      <c r="BD979" s="6"/>
      <c r="BE979" s="6"/>
      <c r="BF979" s="6"/>
      <c r="BG979" s="6"/>
      <c r="BH979" s="6"/>
      <c r="BI979" s="74"/>
      <c r="BJ979" s="74"/>
      <c r="BK979" s="7">
        <f t="shared" si="621"/>
        <v>0</v>
      </c>
      <c r="BL979" s="8">
        <f t="shared" si="595"/>
        <v>0</v>
      </c>
      <c r="BM979" s="51" t="str">
        <f>IFERROR(VLOOKUP(A979,NF!$M:$O,3,0),"")</f>
        <v>Sushi</v>
      </c>
      <c r="BN979" s="7">
        <f t="shared" si="596"/>
        <v>0</v>
      </c>
      <c r="BO979" s="8">
        <f t="array" ref="BO979">IFERROR(LARGE(IF(NF!$G$2:$G$3137='Mês atual'!A979,NF!$J$2:$J$3137),1),0)*BN979</f>
        <v>0</v>
      </c>
      <c r="BP979" s="50"/>
      <c r="BR979" s="146">
        <f t="array" ref="BR979">IFERROR(LARGE(IF(NF!$G$2:$G$3137='Mês atual'!A979,NF!$J$2:$J$3137),1),0)</f>
        <v>0</v>
      </c>
      <c r="BS979" s="142" t="str">
        <f>VLOOKUP(A979,NF!M:O,3,0)</f>
        <v>Sushi</v>
      </c>
      <c r="BV979" s="74">
        <f t="shared" si="597"/>
        <v>0</v>
      </c>
      <c r="BW979" s="74">
        <f t="shared" si="598"/>
        <v>0</v>
      </c>
      <c r="BX979" s="74">
        <f t="shared" si="599"/>
        <v>0</v>
      </c>
      <c r="BY979" s="74">
        <f t="shared" si="600"/>
        <v>0</v>
      </c>
      <c r="BZ979" s="74">
        <f t="shared" si="601"/>
        <v>0</v>
      </c>
    </row>
    <row r="980" spans="1:78" x14ac:dyDescent="0.25">
      <c r="A980" s="108" t="s">
        <v>730</v>
      </c>
      <c r="B980" s="12"/>
      <c r="C980" s="9">
        <v>0</v>
      </c>
      <c r="D980" s="25"/>
      <c r="E980" s="10" t="str">
        <f t="shared" si="581"/>
        <v>MarçoSEMANA 1Salsa Crespa Sushi</v>
      </c>
      <c r="F980" s="7">
        <f>SUMIF(NF!$A:$A,$E980,NF!$I:$I)</f>
        <v>0</v>
      </c>
      <c r="G980" s="74"/>
      <c r="H980" s="74"/>
      <c r="I980" s="74"/>
      <c r="J980" s="6"/>
      <c r="K980" s="6"/>
      <c r="L980" s="6"/>
      <c r="M980" s="6"/>
      <c r="N980" s="7">
        <f t="shared" si="617"/>
        <v>0</v>
      </c>
      <c r="O980" s="11">
        <f t="shared" si="583"/>
        <v>0</v>
      </c>
      <c r="P980" s="25"/>
      <c r="Q980" s="10" t="str">
        <f t="shared" si="584"/>
        <v>MarçoSEMANA 2Salsa Crespa Sushi</v>
      </c>
      <c r="R980" s="7">
        <f>SUMIF(NF!$A:$A,$Q980,NF!$I:$I)</f>
        <v>0.2</v>
      </c>
      <c r="S980" s="6"/>
      <c r="T980" s="6">
        <v>0.1</v>
      </c>
      <c r="U980" s="6"/>
      <c r="V980" s="6"/>
      <c r="W980" s="6"/>
      <c r="X980" s="6"/>
      <c r="Y980" s="6">
        <v>0.1</v>
      </c>
      <c r="Z980" s="7">
        <f t="shared" si="618"/>
        <v>0.2</v>
      </c>
      <c r="AA980" s="11">
        <f t="shared" si="586"/>
        <v>0</v>
      </c>
      <c r="AB980" s="25"/>
      <c r="AC980" s="10" t="str">
        <f t="shared" si="587"/>
        <v>MarçoSEMANA 3Salsa Crespa Sushi</v>
      </c>
      <c r="AD980" s="7">
        <f>SUMIF(NF!$A:$A,$AC980,NF!$I:$I)</f>
        <v>0.30000000000000004</v>
      </c>
      <c r="AE980" s="6"/>
      <c r="AF980" s="6"/>
      <c r="AG980" s="6"/>
      <c r="AH980" s="6">
        <v>0.1</v>
      </c>
      <c r="AI980" s="6">
        <v>0.1</v>
      </c>
      <c r="AJ980" s="6">
        <v>0.1</v>
      </c>
      <c r="AK980" s="6"/>
      <c r="AL980" s="7">
        <f t="shared" si="619"/>
        <v>0.30000000000000004</v>
      </c>
      <c r="AM980" s="11">
        <f t="shared" si="589"/>
        <v>0</v>
      </c>
      <c r="AN980" s="25"/>
      <c r="AO980" s="10" t="str">
        <f t="shared" si="590"/>
        <v>MarçoSEMANA 4Salsa Crespa Sushi</v>
      </c>
      <c r="AP980" s="7">
        <f>SUMIF(NF!$A:$A,$AO980,NF!$I:$I)</f>
        <v>0.1</v>
      </c>
      <c r="AQ980" s="6"/>
      <c r="AR980" s="6"/>
      <c r="AS980" s="6"/>
      <c r="AT980" s="6"/>
      <c r="AU980" s="6"/>
      <c r="AV980" s="6">
        <v>0.1</v>
      </c>
      <c r="AW980" s="6"/>
      <c r="AX980" s="7">
        <f t="shared" si="620"/>
        <v>0.1</v>
      </c>
      <c r="AY980" s="11">
        <f t="shared" si="592"/>
        <v>0</v>
      </c>
      <c r="AZ980" s="25"/>
      <c r="BA980" s="10" t="str">
        <f t="shared" si="593"/>
        <v>MarçoSEMANA 5Salsa Crespa Sushi</v>
      </c>
      <c r="BB980" s="7">
        <f>SUMIF(NF!$A:$A,$BA980,NF!$I:$I)</f>
        <v>0.30000000000000004</v>
      </c>
      <c r="BC980" s="6"/>
      <c r="BD980" s="6"/>
      <c r="BE980" s="6"/>
      <c r="BF980" s="6">
        <v>0.1</v>
      </c>
      <c r="BG980" s="6">
        <v>0.1</v>
      </c>
      <c r="BH980" s="6"/>
      <c r="BI980" s="74"/>
      <c r="BJ980" s="74"/>
      <c r="BK980" s="7">
        <f t="shared" si="621"/>
        <v>0.2</v>
      </c>
      <c r="BL980" s="8">
        <f t="shared" si="595"/>
        <v>0.10000000000000003</v>
      </c>
      <c r="BM980" s="51" t="str">
        <f>IFERROR(VLOOKUP(A980,NF!$M:$O,3,0),"")</f>
        <v>Sushi</v>
      </c>
      <c r="BN980" s="7">
        <f t="shared" si="596"/>
        <v>0.8</v>
      </c>
      <c r="BO980" s="8">
        <f t="array" ref="BO980">IFERROR(LARGE(IF(NF!$G$2:$G$3137='Mês atual'!A980,NF!$J$2:$J$3137),1),0)*BN980</f>
        <v>10.4</v>
      </c>
      <c r="BP980" s="50"/>
      <c r="BR980" s="146">
        <f t="array" ref="BR980">IFERROR(LARGE(IF(NF!$G$2:$G$3137='Mês atual'!A980,NF!$J$2:$J$3137),1),0)</f>
        <v>13</v>
      </c>
      <c r="BS980" s="142" t="str">
        <f>VLOOKUP(A980,NF!M:O,3,0)</f>
        <v>Sushi</v>
      </c>
      <c r="BV980" s="74">
        <f t="shared" si="597"/>
        <v>0</v>
      </c>
      <c r="BW980" s="74">
        <f t="shared" si="598"/>
        <v>0.2</v>
      </c>
      <c r="BX980" s="74">
        <f t="shared" si="599"/>
        <v>0.30000000000000004</v>
      </c>
      <c r="BY980" s="74">
        <f t="shared" si="600"/>
        <v>0.1</v>
      </c>
      <c r="BZ980" s="74">
        <f t="shared" si="601"/>
        <v>0.2</v>
      </c>
    </row>
    <row r="981" spans="1:78" x14ac:dyDescent="0.25">
      <c r="A981" s="108" t="s">
        <v>735</v>
      </c>
      <c r="B981" s="12"/>
      <c r="C981" s="9">
        <v>0</v>
      </c>
      <c r="D981" s="25"/>
      <c r="E981" s="10" t="str">
        <f t="shared" si="581"/>
        <v>MarçoSEMANA 1Saque Azuma Mirim 500 ml Sushi</v>
      </c>
      <c r="F981" s="7">
        <f>SUMIF(NF!$A:$A,$E981,NF!$I:$I)</f>
        <v>0</v>
      </c>
      <c r="G981" s="74"/>
      <c r="H981" s="74"/>
      <c r="I981" s="74"/>
      <c r="J981" s="6"/>
      <c r="K981" s="6"/>
      <c r="L981" s="6"/>
      <c r="M981" s="6"/>
      <c r="N981" s="7">
        <f t="shared" si="617"/>
        <v>0</v>
      </c>
      <c r="O981" s="11">
        <f t="shared" si="583"/>
        <v>0</v>
      </c>
      <c r="P981" s="25"/>
      <c r="Q981" s="10" t="str">
        <f t="shared" si="584"/>
        <v>MarçoSEMANA 2Saque Azuma Mirim 500 ml Sushi</v>
      </c>
      <c r="R981" s="7">
        <f>SUMIF(NF!$A:$A,$Q981,NF!$I:$I)</f>
        <v>0</v>
      </c>
      <c r="S981" s="6"/>
      <c r="T981" s="6"/>
      <c r="U981" s="6"/>
      <c r="V981" s="6"/>
      <c r="W981" s="6"/>
      <c r="X981" s="6"/>
      <c r="Y981" s="6"/>
      <c r="Z981" s="7">
        <f t="shared" si="618"/>
        <v>0</v>
      </c>
      <c r="AA981" s="11">
        <f t="shared" si="586"/>
        <v>0</v>
      </c>
      <c r="AB981" s="25"/>
      <c r="AC981" s="10" t="str">
        <f t="shared" si="587"/>
        <v>MarçoSEMANA 3Saque Azuma Mirim 500 ml Sushi</v>
      </c>
      <c r="AD981" s="7">
        <f>SUMIF(NF!$A:$A,$AC981,NF!$I:$I)</f>
        <v>0</v>
      </c>
      <c r="AE981" s="6"/>
      <c r="AF981" s="6"/>
      <c r="AG981" s="6"/>
      <c r="AH981" s="6"/>
      <c r="AI981" s="6"/>
      <c r="AJ981" s="6"/>
      <c r="AK981" s="6"/>
      <c r="AL981" s="7">
        <f t="shared" si="619"/>
        <v>0</v>
      </c>
      <c r="AM981" s="11">
        <f t="shared" si="589"/>
        <v>0</v>
      </c>
      <c r="AN981" s="25"/>
      <c r="AO981" s="10" t="str">
        <f t="shared" si="590"/>
        <v>MarçoSEMANA 4Saque Azuma Mirim 500 ml Sushi</v>
      </c>
      <c r="AP981" s="7">
        <f>SUMIF(NF!$A:$A,$AO981,NF!$I:$I)</f>
        <v>0</v>
      </c>
      <c r="AQ981" s="6"/>
      <c r="AR981" s="6"/>
      <c r="AS981" s="6"/>
      <c r="AT981" s="6"/>
      <c r="AU981" s="6"/>
      <c r="AV981" s="6"/>
      <c r="AW981" s="6"/>
      <c r="AX981" s="7">
        <f t="shared" si="620"/>
        <v>0</v>
      </c>
      <c r="AY981" s="11">
        <f t="shared" si="592"/>
        <v>0</v>
      </c>
      <c r="AZ981" s="25"/>
      <c r="BA981" s="10" t="str">
        <f t="shared" si="593"/>
        <v>MarçoSEMANA 5Saque Azuma Mirim 500 ml Sushi</v>
      </c>
      <c r="BB981" s="7">
        <f>SUMIF(NF!$A:$A,$BA981,NF!$I:$I)</f>
        <v>0</v>
      </c>
      <c r="BC981" s="6"/>
      <c r="BD981" s="6"/>
      <c r="BE981" s="6"/>
      <c r="BF981" s="6"/>
      <c r="BG981" s="6"/>
      <c r="BH981" s="6"/>
      <c r="BI981" s="74"/>
      <c r="BJ981" s="74"/>
      <c r="BK981" s="7">
        <f t="shared" si="621"/>
        <v>0</v>
      </c>
      <c r="BL981" s="8">
        <f t="shared" si="595"/>
        <v>0</v>
      </c>
      <c r="BM981" s="51" t="str">
        <f>IFERROR(VLOOKUP(A981,NF!$M:$O,3,0),"")</f>
        <v>Sushi</v>
      </c>
      <c r="BN981" s="7">
        <f t="shared" si="596"/>
        <v>0</v>
      </c>
      <c r="BO981" s="8">
        <f t="array" ref="BO981">IFERROR(LARGE(IF(NF!$G$2:$G$3137='Mês atual'!A981,NF!$J$2:$J$3137),1),0)*BN981</f>
        <v>0</v>
      </c>
      <c r="BP981" s="50"/>
      <c r="BR981" s="146">
        <f t="array" ref="BR981">IFERROR(LARGE(IF(NF!$G$2:$G$3137='Mês atual'!A981,NF!$J$2:$J$3137),1),0)</f>
        <v>0</v>
      </c>
      <c r="BS981" s="142" t="str">
        <f>VLOOKUP(A981,NF!M:O,3,0)</f>
        <v>Sushi</v>
      </c>
      <c r="BV981" s="74">
        <f t="shared" si="597"/>
        <v>0</v>
      </c>
      <c r="BW981" s="74">
        <f t="shared" si="598"/>
        <v>0</v>
      </c>
      <c r="BX981" s="74">
        <f t="shared" si="599"/>
        <v>0</v>
      </c>
      <c r="BY981" s="74">
        <f t="shared" si="600"/>
        <v>0</v>
      </c>
      <c r="BZ981" s="74">
        <f t="shared" si="601"/>
        <v>0</v>
      </c>
    </row>
    <row r="982" spans="1:78" x14ac:dyDescent="0.25">
      <c r="A982" s="108" t="s">
        <v>737</v>
      </c>
      <c r="B982" s="12"/>
      <c r="C982" s="9">
        <v>2</v>
      </c>
      <c r="D982" s="25"/>
      <c r="E982" s="10" t="str">
        <f t="shared" si="581"/>
        <v>MarçoSEMANA 1Saque Azuma Mirim Bb 5Lt Sushi</v>
      </c>
      <c r="F982" s="7">
        <f>SUMIF(NF!$A:$A,$E982,NF!$I:$I)</f>
        <v>0</v>
      </c>
      <c r="G982" s="74"/>
      <c r="H982" s="74"/>
      <c r="I982" s="74"/>
      <c r="J982" s="6"/>
      <c r="K982" s="6"/>
      <c r="L982" s="6">
        <v>1</v>
      </c>
      <c r="M982" s="6"/>
      <c r="N982" s="7">
        <f t="shared" ref="N982:N991" si="638">SUM(G982:M982)</f>
        <v>1</v>
      </c>
      <c r="O982" s="11">
        <f t="shared" si="583"/>
        <v>1</v>
      </c>
      <c r="P982" s="25"/>
      <c r="Q982" s="10" t="str">
        <f t="shared" si="584"/>
        <v>MarçoSEMANA 2Saque Azuma Mirim Bb 5Lt Sushi</v>
      </c>
      <c r="R982" s="7">
        <f>SUMIF(NF!$A:$A,$Q982,NF!$I:$I)</f>
        <v>0</v>
      </c>
      <c r="S982" s="6"/>
      <c r="T982" s="6"/>
      <c r="U982" s="6"/>
      <c r="V982" s="6"/>
      <c r="W982" s="6"/>
      <c r="X982" s="6"/>
      <c r="Y982" s="6"/>
      <c r="Z982" s="7">
        <f t="shared" ref="Z982:Z991" si="639">SUM(S982:Y982)</f>
        <v>0</v>
      </c>
      <c r="AA982" s="11">
        <f t="shared" si="586"/>
        <v>1</v>
      </c>
      <c r="AB982" s="25"/>
      <c r="AC982" s="10" t="str">
        <f t="shared" si="587"/>
        <v>MarçoSEMANA 3Saque Azuma Mirim Bb 5Lt Sushi</v>
      </c>
      <c r="AD982" s="7">
        <f>SUMIF(NF!$A:$A,$AC982,NF!$I:$I)</f>
        <v>0</v>
      </c>
      <c r="AE982" s="6"/>
      <c r="AF982" s="6"/>
      <c r="AG982" s="6"/>
      <c r="AH982" s="6"/>
      <c r="AI982" s="6"/>
      <c r="AJ982" s="6"/>
      <c r="AK982" s="6"/>
      <c r="AL982" s="7">
        <f t="shared" ref="AL982:AL991" si="640">SUM(AE982:AK982)</f>
        <v>0</v>
      </c>
      <c r="AM982" s="11">
        <f t="shared" si="589"/>
        <v>1</v>
      </c>
      <c r="AN982" s="25"/>
      <c r="AO982" s="10" t="str">
        <f t="shared" si="590"/>
        <v>MarçoSEMANA 4Saque Azuma Mirim Bb 5Lt Sushi</v>
      </c>
      <c r="AP982" s="7">
        <f>SUMIF(NF!$A:$A,$AO982,NF!$I:$I)</f>
        <v>0</v>
      </c>
      <c r="AQ982" s="6"/>
      <c r="AR982" s="6"/>
      <c r="AS982" s="6"/>
      <c r="AT982" s="6"/>
      <c r="AU982" s="6">
        <v>1</v>
      </c>
      <c r="AV982" s="6"/>
      <c r="AW982" s="6"/>
      <c r="AX982" s="7">
        <f t="shared" ref="AX982:AX991" si="641">SUM(AQ982:AW982)</f>
        <v>1</v>
      </c>
      <c r="AY982" s="11">
        <f t="shared" si="592"/>
        <v>0</v>
      </c>
      <c r="AZ982" s="25"/>
      <c r="BA982" s="10" t="str">
        <f t="shared" si="593"/>
        <v>MarçoSEMANA 5Saque Azuma Mirim Bb 5Lt Sushi</v>
      </c>
      <c r="BB982" s="7">
        <f>SUMIF(NF!$A:$A,$BA982,NF!$I:$I)</f>
        <v>0</v>
      </c>
      <c r="BC982" s="6"/>
      <c r="BD982" s="6"/>
      <c r="BE982" s="6"/>
      <c r="BF982" s="6"/>
      <c r="BG982" s="6"/>
      <c r="BH982" s="6"/>
      <c r="BI982" s="74"/>
      <c r="BJ982" s="74"/>
      <c r="BK982" s="7">
        <f t="shared" ref="BK982:BK991" si="642">SUM(BC982:BJ982)</f>
        <v>0</v>
      </c>
      <c r="BL982" s="8">
        <f t="shared" si="595"/>
        <v>0</v>
      </c>
      <c r="BM982" s="51" t="str">
        <f>IFERROR(VLOOKUP(A982,NF!$M:$O,3,0),"")</f>
        <v>Sushi</v>
      </c>
      <c r="BN982" s="7">
        <f t="shared" si="596"/>
        <v>2</v>
      </c>
      <c r="BO982" s="8">
        <f t="array" ref="BO982">IFERROR(LARGE(IF(NF!$G$2:$G$3137='Mês atual'!A982,NF!$J$2:$J$3137),1),0)*BN982</f>
        <v>0</v>
      </c>
      <c r="BP982" s="50"/>
      <c r="BR982" s="146">
        <f t="array" ref="BR982">IFERROR(LARGE(IF(NF!$G$2:$G$3137='Mês atual'!A982,NF!$J$2:$J$3137),1),0)</f>
        <v>0</v>
      </c>
      <c r="BS982" s="142" t="str">
        <f>VLOOKUP(A982,NF!M:O,3,0)</f>
        <v>Sushi</v>
      </c>
      <c r="BV982" s="74">
        <f t="shared" si="597"/>
        <v>1</v>
      </c>
      <c r="BW982" s="74">
        <f t="shared" si="598"/>
        <v>0</v>
      </c>
      <c r="BX982" s="74">
        <f t="shared" si="599"/>
        <v>0</v>
      </c>
      <c r="BY982" s="74">
        <f t="shared" si="600"/>
        <v>1</v>
      </c>
      <c r="BZ982" s="74">
        <f t="shared" si="601"/>
        <v>0</v>
      </c>
    </row>
    <row r="983" spans="1:78" x14ac:dyDescent="0.25">
      <c r="A983" s="108" t="s">
        <v>740</v>
      </c>
      <c r="B983" s="12"/>
      <c r="C983" s="9">
        <v>0</v>
      </c>
      <c r="D983" s="25"/>
      <c r="E983" s="10" t="str">
        <f t="shared" si="581"/>
        <v>MarçoSEMANA 1Shitake Sushi</v>
      </c>
      <c r="F983" s="7">
        <f>SUMIF(NF!$A:$A,$E983,NF!$I:$I)</f>
        <v>0</v>
      </c>
      <c r="G983" s="74"/>
      <c r="H983" s="74"/>
      <c r="I983" s="74"/>
      <c r="J983" s="6"/>
      <c r="K983" s="6"/>
      <c r="L983" s="6"/>
      <c r="M983" s="6"/>
      <c r="N983" s="7">
        <f t="shared" si="638"/>
        <v>0</v>
      </c>
      <c r="O983" s="11">
        <f t="shared" si="583"/>
        <v>0</v>
      </c>
      <c r="P983" s="25"/>
      <c r="Q983" s="10" t="str">
        <f t="shared" si="584"/>
        <v>MarçoSEMANA 2Shitake Sushi</v>
      </c>
      <c r="R983" s="7">
        <f>SUMIF(NF!$A:$A,$Q983,NF!$I:$I)</f>
        <v>0</v>
      </c>
      <c r="S983" s="6"/>
      <c r="T983" s="6"/>
      <c r="U983" s="6"/>
      <c r="V983" s="6"/>
      <c r="W983" s="6"/>
      <c r="X983" s="6"/>
      <c r="Y983" s="6"/>
      <c r="Z983" s="7">
        <f t="shared" si="639"/>
        <v>0</v>
      </c>
      <c r="AA983" s="11">
        <f t="shared" si="586"/>
        <v>0</v>
      </c>
      <c r="AB983" s="25"/>
      <c r="AC983" s="10" t="str">
        <f t="shared" si="587"/>
        <v>MarçoSEMANA 3Shitake Sushi</v>
      </c>
      <c r="AD983" s="7">
        <f>SUMIF(NF!$A:$A,$AC983,NF!$I:$I)</f>
        <v>0</v>
      </c>
      <c r="AE983" s="6"/>
      <c r="AF983" s="6"/>
      <c r="AG983" s="6"/>
      <c r="AH983" s="6"/>
      <c r="AI983" s="6"/>
      <c r="AJ983" s="6"/>
      <c r="AK983" s="6"/>
      <c r="AL983" s="7">
        <f t="shared" si="640"/>
        <v>0</v>
      </c>
      <c r="AM983" s="11">
        <f t="shared" si="589"/>
        <v>0</v>
      </c>
      <c r="AN983" s="25"/>
      <c r="AO983" s="10" t="str">
        <f t="shared" si="590"/>
        <v>MarçoSEMANA 4Shitake Sushi</v>
      </c>
      <c r="AP983" s="7">
        <f>SUMIF(NF!$A:$A,$AO983,NF!$I:$I)</f>
        <v>0</v>
      </c>
      <c r="AQ983" s="6"/>
      <c r="AR983" s="6"/>
      <c r="AS983" s="6"/>
      <c r="AT983" s="6"/>
      <c r="AU983" s="6"/>
      <c r="AV983" s="6"/>
      <c r="AW983" s="6"/>
      <c r="AX983" s="7">
        <f t="shared" si="641"/>
        <v>0</v>
      </c>
      <c r="AY983" s="11">
        <f t="shared" si="592"/>
        <v>0</v>
      </c>
      <c r="AZ983" s="25"/>
      <c r="BA983" s="10" t="str">
        <f t="shared" si="593"/>
        <v>MarçoSEMANA 5Shitake Sushi</v>
      </c>
      <c r="BB983" s="7">
        <f>SUMIF(NF!$A:$A,$BA983,NF!$I:$I)</f>
        <v>0</v>
      </c>
      <c r="BC983" s="6"/>
      <c r="BD983" s="6"/>
      <c r="BE983" s="6"/>
      <c r="BF983" s="6"/>
      <c r="BG983" s="6"/>
      <c r="BH983" s="6"/>
      <c r="BI983" s="74"/>
      <c r="BJ983" s="74"/>
      <c r="BK983" s="7">
        <f t="shared" si="642"/>
        <v>0</v>
      </c>
      <c r="BL983" s="8">
        <f t="shared" si="595"/>
        <v>0</v>
      </c>
      <c r="BM983" s="51" t="str">
        <f>IFERROR(VLOOKUP(A983,NF!$M:$O,3,0),"")</f>
        <v>Sushi</v>
      </c>
      <c r="BN983" s="7">
        <f t="shared" si="596"/>
        <v>0</v>
      </c>
      <c r="BO983" s="8">
        <f t="array" ref="BO983">IFERROR(LARGE(IF(NF!$G$2:$G$3137='Mês atual'!A983,NF!$J$2:$J$3137),1),0)*BN983</f>
        <v>0</v>
      </c>
      <c r="BP983" s="50"/>
      <c r="BR983" s="146">
        <f t="array" ref="BR983">IFERROR(LARGE(IF(NF!$G$2:$G$3137='Mês atual'!A983,NF!$J$2:$J$3137),1),0)</f>
        <v>0</v>
      </c>
      <c r="BS983" s="142" t="str">
        <f>VLOOKUP(A983,NF!M:O,3,0)</f>
        <v>Sushi</v>
      </c>
      <c r="BV983" s="74">
        <f t="shared" si="597"/>
        <v>0</v>
      </c>
      <c r="BW983" s="74">
        <f t="shared" si="598"/>
        <v>0</v>
      </c>
      <c r="BX983" s="74">
        <f t="shared" si="599"/>
        <v>0</v>
      </c>
      <c r="BY983" s="74">
        <f t="shared" si="600"/>
        <v>0</v>
      </c>
      <c r="BZ983" s="74">
        <f t="shared" si="601"/>
        <v>0</v>
      </c>
    </row>
    <row r="984" spans="1:78" x14ac:dyDescent="0.25">
      <c r="A984" s="108" t="s">
        <v>742</v>
      </c>
      <c r="B984" s="12"/>
      <c r="C984" s="9">
        <v>0</v>
      </c>
      <c r="D984" s="25"/>
      <c r="E984" s="10" t="str">
        <f t="shared" si="581"/>
        <v>MarçoSEMANA 1Shoyu Light Sushi</v>
      </c>
      <c r="F984" s="7">
        <f>SUMIF(NF!$A:$A,$E984,NF!$I:$I)</f>
        <v>0</v>
      </c>
      <c r="G984" s="74"/>
      <c r="H984" s="74"/>
      <c r="I984" s="74"/>
      <c r="J984" s="6"/>
      <c r="K984" s="6"/>
      <c r="L984" s="6"/>
      <c r="M984" s="6"/>
      <c r="N984" s="7">
        <f t="shared" si="638"/>
        <v>0</v>
      </c>
      <c r="O984" s="11">
        <f t="shared" si="583"/>
        <v>0</v>
      </c>
      <c r="P984" s="25"/>
      <c r="Q984" s="10" t="str">
        <f t="shared" si="584"/>
        <v>MarçoSEMANA 2Shoyu Light Sushi</v>
      </c>
      <c r="R984" s="7">
        <f>SUMIF(NF!$A:$A,$Q984,NF!$I:$I)</f>
        <v>0</v>
      </c>
      <c r="S984" s="6"/>
      <c r="T984" s="6"/>
      <c r="U984" s="6"/>
      <c r="V984" s="6"/>
      <c r="W984" s="6"/>
      <c r="X984" s="6"/>
      <c r="Y984" s="6"/>
      <c r="Z984" s="7">
        <f t="shared" si="639"/>
        <v>0</v>
      </c>
      <c r="AA984" s="11">
        <f t="shared" si="586"/>
        <v>0</v>
      </c>
      <c r="AB984" s="25"/>
      <c r="AC984" s="10" t="str">
        <f t="shared" si="587"/>
        <v>MarçoSEMANA 3Shoyu Light Sushi</v>
      </c>
      <c r="AD984" s="7">
        <f>SUMIF(NF!$A:$A,$AC984,NF!$I:$I)</f>
        <v>0</v>
      </c>
      <c r="AE984" s="6"/>
      <c r="AF984" s="6"/>
      <c r="AG984" s="6"/>
      <c r="AH984" s="6"/>
      <c r="AI984" s="6"/>
      <c r="AJ984" s="6"/>
      <c r="AK984" s="6"/>
      <c r="AL984" s="7">
        <f t="shared" si="640"/>
        <v>0</v>
      </c>
      <c r="AM984" s="11">
        <f t="shared" si="589"/>
        <v>0</v>
      </c>
      <c r="AN984" s="25"/>
      <c r="AO984" s="10" t="str">
        <f t="shared" si="590"/>
        <v>MarçoSEMANA 4Shoyu Light Sushi</v>
      </c>
      <c r="AP984" s="7">
        <f>SUMIF(NF!$A:$A,$AO984,NF!$I:$I)</f>
        <v>0</v>
      </c>
      <c r="AQ984" s="6"/>
      <c r="AR984" s="6"/>
      <c r="AS984" s="6"/>
      <c r="AT984" s="6"/>
      <c r="AU984" s="6"/>
      <c r="AV984" s="6"/>
      <c r="AW984" s="6"/>
      <c r="AX984" s="7">
        <f t="shared" si="641"/>
        <v>0</v>
      </c>
      <c r="AY984" s="11">
        <f t="shared" si="592"/>
        <v>0</v>
      </c>
      <c r="AZ984" s="25"/>
      <c r="BA984" s="10" t="str">
        <f t="shared" si="593"/>
        <v>MarçoSEMANA 5Shoyu Light Sushi</v>
      </c>
      <c r="BB984" s="7">
        <f>SUMIF(NF!$A:$A,$BA984,NF!$I:$I)</f>
        <v>0</v>
      </c>
      <c r="BC984" s="6"/>
      <c r="BD984" s="6"/>
      <c r="BE984" s="6"/>
      <c r="BF984" s="6"/>
      <c r="BG984" s="6"/>
      <c r="BH984" s="6"/>
      <c r="BI984" s="74"/>
      <c r="BJ984" s="74"/>
      <c r="BK984" s="7">
        <f t="shared" si="642"/>
        <v>0</v>
      </c>
      <c r="BL984" s="8">
        <f t="shared" si="595"/>
        <v>0</v>
      </c>
      <c r="BM984" s="51" t="str">
        <f>IFERROR(VLOOKUP(A984,NF!$M:$O,3,0),"")</f>
        <v>Sushi</v>
      </c>
      <c r="BN984" s="7">
        <f t="shared" si="596"/>
        <v>0</v>
      </c>
      <c r="BO984" s="8">
        <f t="array" ref="BO984">IFERROR(LARGE(IF(NF!$G$2:$G$3137='Mês atual'!A984,NF!$J$2:$J$3137),1),0)*BN984</f>
        <v>0</v>
      </c>
      <c r="BP984" s="50"/>
      <c r="BR984" s="146">
        <f t="array" ref="BR984">IFERROR(LARGE(IF(NF!$G$2:$G$3137='Mês atual'!A984,NF!$J$2:$J$3137),1),0)</f>
        <v>0</v>
      </c>
      <c r="BS984" s="142" t="str">
        <f>VLOOKUP(A984,NF!M:O,3,0)</f>
        <v>Sushi</v>
      </c>
      <c r="BV984" s="74">
        <f t="shared" si="597"/>
        <v>0</v>
      </c>
      <c r="BW984" s="74">
        <f t="shared" si="598"/>
        <v>0</v>
      </c>
      <c r="BX984" s="74">
        <f t="shared" si="599"/>
        <v>0</v>
      </c>
      <c r="BY984" s="74">
        <f t="shared" si="600"/>
        <v>0</v>
      </c>
      <c r="BZ984" s="74">
        <f t="shared" si="601"/>
        <v>0</v>
      </c>
    </row>
    <row r="985" spans="1:78" x14ac:dyDescent="0.25">
      <c r="A985" s="108" t="s">
        <v>884</v>
      </c>
      <c r="B985" s="12"/>
      <c r="C985" s="9">
        <v>1</v>
      </c>
      <c r="D985" s="25"/>
      <c r="E985" s="10" t="str">
        <f t="shared" si="581"/>
        <v>MarçoSEMANA 1Shoyu Tradicional (Sushi) Bb 5 Lt</v>
      </c>
      <c r="F985" s="7">
        <f>SUMIF(NF!$A:$A,$E985,NF!$I:$I)</f>
        <v>0</v>
      </c>
      <c r="G985" s="74"/>
      <c r="H985" s="74"/>
      <c r="I985" s="74"/>
      <c r="J985" s="6"/>
      <c r="K985" s="6"/>
      <c r="L985" s="6">
        <v>1</v>
      </c>
      <c r="M985" s="6"/>
      <c r="N985" s="7">
        <f t="shared" si="638"/>
        <v>1</v>
      </c>
      <c r="O985" s="11">
        <f t="shared" si="583"/>
        <v>0</v>
      </c>
      <c r="P985" s="25"/>
      <c r="Q985" s="10" t="str">
        <f t="shared" si="584"/>
        <v>MarçoSEMANA 2Shoyu Tradicional (Sushi) Bb 5 Lt</v>
      </c>
      <c r="R985" s="7">
        <f>SUMIF(NF!$A:$A,$Q985,NF!$I:$I)</f>
        <v>0</v>
      </c>
      <c r="S985" s="6"/>
      <c r="T985" s="6"/>
      <c r="U985" s="6"/>
      <c r="V985" s="6"/>
      <c r="W985" s="6"/>
      <c r="X985" s="6"/>
      <c r="Y985" s="6"/>
      <c r="Z985" s="7">
        <f t="shared" si="639"/>
        <v>0</v>
      </c>
      <c r="AA985" s="11">
        <f t="shared" si="586"/>
        <v>0</v>
      </c>
      <c r="AB985" s="25"/>
      <c r="AC985" s="10" t="str">
        <f t="shared" si="587"/>
        <v>MarçoSEMANA 3Shoyu Tradicional (Sushi) Bb 5 Lt</v>
      </c>
      <c r="AD985" s="7">
        <f>SUMIF(NF!$A:$A,$AC985,NF!$I:$I)</f>
        <v>0</v>
      </c>
      <c r="AE985" s="6"/>
      <c r="AF985" s="6"/>
      <c r="AG985" s="6"/>
      <c r="AH985" s="6"/>
      <c r="AI985" s="6"/>
      <c r="AJ985" s="6"/>
      <c r="AK985" s="6"/>
      <c r="AL985" s="7">
        <f t="shared" si="640"/>
        <v>0</v>
      </c>
      <c r="AM985" s="11">
        <f t="shared" si="589"/>
        <v>0</v>
      </c>
      <c r="AN985" s="25"/>
      <c r="AO985" s="10" t="str">
        <f t="shared" si="590"/>
        <v>MarçoSEMANA 4Shoyu Tradicional (Sushi) Bb 5 Lt</v>
      </c>
      <c r="AP985" s="7">
        <f>SUMIF(NF!$A:$A,$AO985,NF!$I:$I)</f>
        <v>0</v>
      </c>
      <c r="AQ985" s="6"/>
      <c r="AR985" s="6"/>
      <c r="AS985" s="6"/>
      <c r="AT985" s="6"/>
      <c r="AU985" s="6"/>
      <c r="AV985" s="6"/>
      <c r="AW985" s="6"/>
      <c r="AX985" s="7">
        <f t="shared" si="641"/>
        <v>0</v>
      </c>
      <c r="AY985" s="11">
        <f t="shared" si="592"/>
        <v>0</v>
      </c>
      <c r="AZ985" s="25"/>
      <c r="BA985" s="10" t="str">
        <f t="shared" si="593"/>
        <v>MarçoSEMANA 5Shoyu Tradicional (Sushi) Bb 5 Lt</v>
      </c>
      <c r="BB985" s="7">
        <f>SUMIF(NF!$A:$A,$BA985,NF!$I:$I)</f>
        <v>0</v>
      </c>
      <c r="BC985" s="6"/>
      <c r="BD985" s="6"/>
      <c r="BE985" s="6"/>
      <c r="BF985" s="6"/>
      <c r="BG985" s="6"/>
      <c r="BH985" s="6"/>
      <c r="BI985" s="74"/>
      <c r="BJ985" s="74"/>
      <c r="BK985" s="7">
        <f t="shared" si="642"/>
        <v>0</v>
      </c>
      <c r="BL985" s="8">
        <f t="shared" si="595"/>
        <v>0</v>
      </c>
      <c r="BM985" s="51" t="str">
        <f>IFERROR(VLOOKUP(A985,NF!$M:$O,3,0),"")</f>
        <v>Sushi</v>
      </c>
      <c r="BN985" s="7">
        <f t="shared" si="596"/>
        <v>1</v>
      </c>
      <c r="BO985" s="8">
        <f t="array" ref="BO985">IFERROR(LARGE(IF(NF!$G$2:$G$3137='Mês atual'!A985,NF!$J$2:$J$3137),1),0)*BN985</f>
        <v>0</v>
      </c>
      <c r="BP985" s="50"/>
      <c r="BR985" s="146">
        <f t="array" ref="BR985">IFERROR(LARGE(IF(NF!$G$2:$G$3137='Mês atual'!A985,NF!$J$2:$J$3137),1),0)</f>
        <v>0</v>
      </c>
      <c r="BS985" s="142" t="str">
        <f>VLOOKUP(A985,NF!M:O,3,0)</f>
        <v>Sushi</v>
      </c>
      <c r="BV985" s="74">
        <f t="shared" si="597"/>
        <v>1</v>
      </c>
      <c r="BW985" s="74">
        <f t="shared" si="598"/>
        <v>0</v>
      </c>
      <c r="BX985" s="74">
        <f t="shared" si="599"/>
        <v>0</v>
      </c>
      <c r="BY985" s="74">
        <f t="shared" si="600"/>
        <v>0</v>
      </c>
      <c r="BZ985" s="74">
        <f t="shared" si="601"/>
        <v>0</v>
      </c>
    </row>
    <row r="986" spans="1:78" x14ac:dyDescent="0.25">
      <c r="A986" s="108" t="s">
        <v>968</v>
      </c>
      <c r="B986" s="12"/>
      <c r="C986" s="9">
        <v>0</v>
      </c>
      <c r="D986" s="25"/>
      <c r="E986" s="10" t="str">
        <f t="shared" si="581"/>
        <v>MarçoSEMANA 1Sweet Chilli Sauce 650 ml</v>
      </c>
      <c r="F986" s="7">
        <f>SUMIF(NF!$A:$A,$E986,NF!$I:$I)</f>
        <v>0</v>
      </c>
      <c r="G986" s="74"/>
      <c r="H986" s="74"/>
      <c r="I986" s="74"/>
      <c r="J986" s="6"/>
      <c r="K986" s="6"/>
      <c r="L986" s="6"/>
      <c r="M986" s="6"/>
      <c r="N986" s="7">
        <f t="shared" si="638"/>
        <v>0</v>
      </c>
      <c r="O986" s="11">
        <f t="shared" si="583"/>
        <v>0</v>
      </c>
      <c r="P986" s="25"/>
      <c r="Q986" s="10" t="str">
        <f t="shared" si="584"/>
        <v>MarçoSEMANA 2Sweet Chilli Sauce 650 ml</v>
      </c>
      <c r="R986" s="7">
        <f>SUMIF(NF!$A:$A,$Q986,NF!$I:$I)</f>
        <v>0</v>
      </c>
      <c r="S986" s="6"/>
      <c r="T986" s="6"/>
      <c r="U986" s="6"/>
      <c r="V986" s="6"/>
      <c r="W986" s="6"/>
      <c r="X986" s="6"/>
      <c r="Y986" s="6"/>
      <c r="Z986" s="7">
        <f t="shared" si="639"/>
        <v>0</v>
      </c>
      <c r="AA986" s="11">
        <f t="shared" si="586"/>
        <v>0</v>
      </c>
      <c r="AB986" s="25"/>
      <c r="AC986" s="10" t="str">
        <f t="shared" si="587"/>
        <v>MarçoSEMANA 3Sweet Chilli Sauce 650 ml</v>
      </c>
      <c r="AD986" s="7">
        <f>SUMIF(NF!$A:$A,$AC986,NF!$I:$I)</f>
        <v>0</v>
      </c>
      <c r="AE986" s="6"/>
      <c r="AF986" s="6"/>
      <c r="AG986" s="6"/>
      <c r="AH986" s="6"/>
      <c r="AI986" s="6"/>
      <c r="AJ986" s="6"/>
      <c r="AK986" s="6"/>
      <c r="AL986" s="7">
        <f t="shared" si="640"/>
        <v>0</v>
      </c>
      <c r="AM986" s="11">
        <f t="shared" si="589"/>
        <v>0</v>
      </c>
      <c r="AN986" s="25"/>
      <c r="AO986" s="10" t="str">
        <f t="shared" si="590"/>
        <v>MarçoSEMANA 4Sweet Chilli Sauce 650 ml</v>
      </c>
      <c r="AP986" s="7">
        <f>SUMIF(NF!$A:$A,$AO986,NF!$I:$I)</f>
        <v>0</v>
      </c>
      <c r="AQ986" s="6"/>
      <c r="AR986" s="6"/>
      <c r="AS986" s="6"/>
      <c r="AT986" s="6"/>
      <c r="AU986" s="6"/>
      <c r="AV986" s="6"/>
      <c r="AW986" s="6"/>
      <c r="AX986" s="7">
        <f t="shared" si="641"/>
        <v>0</v>
      </c>
      <c r="AY986" s="11">
        <f t="shared" si="592"/>
        <v>0</v>
      </c>
      <c r="AZ986" s="25"/>
      <c r="BA986" s="10" t="str">
        <f t="shared" si="593"/>
        <v>MarçoSEMANA 5Sweet Chilli Sauce 650 ml</v>
      </c>
      <c r="BB986" s="7">
        <f>SUMIF(NF!$A:$A,$BA986,NF!$I:$I)</f>
        <v>0</v>
      </c>
      <c r="BC986" s="6"/>
      <c r="BD986" s="6"/>
      <c r="BE986" s="6"/>
      <c r="BF986" s="6"/>
      <c r="BG986" s="6"/>
      <c r="BH986" s="6"/>
      <c r="BI986" s="74"/>
      <c r="BJ986" s="74"/>
      <c r="BK986" s="7">
        <f t="shared" si="642"/>
        <v>0</v>
      </c>
      <c r="BL986" s="8">
        <f t="shared" si="595"/>
        <v>0</v>
      </c>
      <c r="BM986" s="51" t="str">
        <f>IFERROR(VLOOKUP(A986,NF!$M:$O,3,0),"")</f>
        <v>Sushi</v>
      </c>
      <c r="BN986" s="7">
        <f t="shared" si="596"/>
        <v>0</v>
      </c>
      <c r="BO986" s="8">
        <f t="array" ref="BO986">IFERROR(LARGE(IF(NF!$G$2:$G$3137='Mês atual'!A986,NF!$J$2:$J$3137),1),0)*BN986</f>
        <v>0</v>
      </c>
      <c r="BP986" s="50"/>
      <c r="BR986" s="146">
        <f t="array" ref="BR986">IFERROR(LARGE(IF(NF!$G$2:$G$3137='Mês atual'!A986,NF!$J$2:$J$3137),1),0)</f>
        <v>0</v>
      </c>
      <c r="BS986" s="142" t="str">
        <f>VLOOKUP(A986,NF!M:O,3,0)</f>
        <v>Sushi</v>
      </c>
      <c r="BV986" s="74">
        <f t="shared" si="597"/>
        <v>0</v>
      </c>
      <c r="BW986" s="74">
        <f t="shared" si="598"/>
        <v>0</v>
      </c>
      <c r="BX986" s="74">
        <f t="shared" si="599"/>
        <v>0</v>
      </c>
      <c r="BY986" s="74">
        <f t="shared" si="600"/>
        <v>0</v>
      </c>
      <c r="BZ986" s="74">
        <f t="shared" si="601"/>
        <v>0</v>
      </c>
    </row>
    <row r="987" spans="1:78" x14ac:dyDescent="0.25">
      <c r="A987" s="108" t="s">
        <v>915</v>
      </c>
      <c r="B987" s="12"/>
      <c r="C987" s="9">
        <v>0</v>
      </c>
      <c r="D987" s="25"/>
      <c r="E987" s="10" t="str">
        <f t="shared" si="581"/>
        <v>MarçoSEMANA 1Tempero p/ Sushi Bb 5 Lt (Sushi)</v>
      </c>
      <c r="F987" s="7">
        <f>SUMIF(NF!$A:$A,$E987,NF!$I:$I)</f>
        <v>0</v>
      </c>
      <c r="G987" s="74"/>
      <c r="H987" s="74"/>
      <c r="I987" s="74"/>
      <c r="J987" s="6"/>
      <c r="K987" s="6"/>
      <c r="L987" s="6"/>
      <c r="M987" s="6"/>
      <c r="N987" s="7">
        <f t="shared" si="638"/>
        <v>0</v>
      </c>
      <c r="O987" s="11">
        <f t="shared" si="583"/>
        <v>0</v>
      </c>
      <c r="P987" s="25"/>
      <c r="Q987" s="10" t="str">
        <f t="shared" si="584"/>
        <v>MarçoSEMANA 2Tempero p/ Sushi Bb 5 Lt (Sushi)</v>
      </c>
      <c r="R987" s="7">
        <f>SUMIF(NF!$A:$A,$Q987,NF!$I:$I)</f>
        <v>0</v>
      </c>
      <c r="S987" s="6"/>
      <c r="T987" s="6"/>
      <c r="U987" s="6"/>
      <c r="V987" s="6"/>
      <c r="W987" s="6"/>
      <c r="X987" s="6"/>
      <c r="Y987" s="6"/>
      <c r="Z987" s="7">
        <f t="shared" si="639"/>
        <v>0</v>
      </c>
      <c r="AA987" s="11">
        <f t="shared" si="586"/>
        <v>0</v>
      </c>
      <c r="AB987" s="25"/>
      <c r="AC987" s="10" t="str">
        <f t="shared" si="587"/>
        <v>MarçoSEMANA 3Tempero p/ Sushi Bb 5 Lt (Sushi)</v>
      </c>
      <c r="AD987" s="7">
        <f>SUMIF(NF!$A:$A,$AC987,NF!$I:$I)</f>
        <v>0</v>
      </c>
      <c r="AE987" s="6"/>
      <c r="AF987" s="6"/>
      <c r="AG987" s="6"/>
      <c r="AH987" s="6"/>
      <c r="AI987" s="6"/>
      <c r="AJ987" s="6"/>
      <c r="AK987" s="6"/>
      <c r="AL987" s="7">
        <f t="shared" si="640"/>
        <v>0</v>
      </c>
      <c r="AM987" s="11">
        <f t="shared" si="589"/>
        <v>0</v>
      </c>
      <c r="AN987" s="25"/>
      <c r="AO987" s="10" t="str">
        <f t="shared" si="590"/>
        <v>MarçoSEMANA 4Tempero p/ Sushi Bb 5 Lt (Sushi)</v>
      </c>
      <c r="AP987" s="7">
        <f>SUMIF(NF!$A:$A,$AO987,NF!$I:$I)</f>
        <v>0</v>
      </c>
      <c r="AQ987" s="6"/>
      <c r="AR987" s="6"/>
      <c r="AS987" s="6"/>
      <c r="AT987" s="6"/>
      <c r="AU987" s="6"/>
      <c r="AV987" s="6"/>
      <c r="AW987" s="6"/>
      <c r="AX987" s="7">
        <f t="shared" si="641"/>
        <v>0</v>
      </c>
      <c r="AY987" s="11">
        <f t="shared" si="592"/>
        <v>0</v>
      </c>
      <c r="AZ987" s="25"/>
      <c r="BA987" s="10" t="str">
        <f t="shared" si="593"/>
        <v>MarçoSEMANA 5Tempero p/ Sushi Bb 5 Lt (Sushi)</v>
      </c>
      <c r="BB987" s="7">
        <f>SUMIF(NF!$A:$A,$BA987,NF!$I:$I)</f>
        <v>0</v>
      </c>
      <c r="BC987" s="6"/>
      <c r="BD987" s="6"/>
      <c r="BE987" s="6"/>
      <c r="BF987" s="6"/>
      <c r="BG987" s="6"/>
      <c r="BH987" s="6"/>
      <c r="BI987" s="74"/>
      <c r="BJ987" s="74"/>
      <c r="BK987" s="7">
        <f t="shared" si="642"/>
        <v>0</v>
      </c>
      <c r="BL987" s="8">
        <f t="shared" si="595"/>
        <v>0</v>
      </c>
      <c r="BM987" s="51" t="str">
        <f>IFERROR(VLOOKUP(A987,NF!$M:$O,3,0),"")</f>
        <v>Sushi</v>
      </c>
      <c r="BN987" s="7">
        <f t="shared" si="596"/>
        <v>0</v>
      </c>
      <c r="BO987" s="8">
        <f t="array" ref="BO987">IFERROR(LARGE(IF(NF!$G$2:$G$3137='Mês atual'!A987,NF!$J$2:$J$3137),1),0)*BN987</f>
        <v>0</v>
      </c>
      <c r="BP987" s="50"/>
      <c r="BR987" s="146">
        <f t="array" ref="BR987">IFERROR(LARGE(IF(NF!$G$2:$G$3137='Mês atual'!A987,NF!$J$2:$J$3137),1),0)</f>
        <v>0</v>
      </c>
      <c r="BS987" s="142" t="str">
        <f>VLOOKUP(A987,NF!M:O,3,0)</f>
        <v>Sushi</v>
      </c>
      <c r="BV987" s="74">
        <f t="shared" si="597"/>
        <v>0</v>
      </c>
      <c r="BW987" s="74">
        <f t="shared" si="598"/>
        <v>0</v>
      </c>
      <c r="BX987" s="74">
        <f t="shared" si="599"/>
        <v>0</v>
      </c>
      <c r="BY987" s="74">
        <f t="shared" si="600"/>
        <v>0</v>
      </c>
      <c r="BZ987" s="74">
        <f t="shared" si="601"/>
        <v>0</v>
      </c>
    </row>
    <row r="988" spans="1:78" x14ac:dyDescent="0.25">
      <c r="A988" s="108" t="s">
        <v>795</v>
      </c>
      <c r="B988" s="12"/>
      <c r="C988" s="9">
        <v>0</v>
      </c>
      <c r="D988" s="25"/>
      <c r="E988" s="10" t="str">
        <f t="shared" si="581"/>
        <v>MarçoSEMANA 1Tomate Salada Sushi</v>
      </c>
      <c r="F988" s="7">
        <f>SUMIF(NF!$A:$A,$E988,NF!$I:$I)</f>
        <v>0</v>
      </c>
      <c r="G988" s="74"/>
      <c r="H988" s="74"/>
      <c r="I988" s="74"/>
      <c r="J988" s="6"/>
      <c r="K988" s="6"/>
      <c r="L988" s="6"/>
      <c r="M988" s="6"/>
      <c r="N988" s="7">
        <f t="shared" si="638"/>
        <v>0</v>
      </c>
      <c r="O988" s="11">
        <f t="shared" si="583"/>
        <v>0</v>
      </c>
      <c r="P988" s="25"/>
      <c r="Q988" s="10" t="str">
        <f t="shared" si="584"/>
        <v>MarçoSEMANA 2Tomate Salada Sushi</v>
      </c>
      <c r="R988" s="7">
        <f>SUMIF(NF!$A:$A,$Q988,NF!$I:$I)</f>
        <v>0</v>
      </c>
      <c r="S988" s="6"/>
      <c r="T988" s="6"/>
      <c r="U988" s="6"/>
      <c r="V988" s="6"/>
      <c r="W988" s="6"/>
      <c r="X988" s="6"/>
      <c r="Y988" s="6"/>
      <c r="Z988" s="7">
        <f t="shared" si="639"/>
        <v>0</v>
      </c>
      <c r="AA988" s="11">
        <f t="shared" si="586"/>
        <v>0</v>
      </c>
      <c r="AB988" s="25"/>
      <c r="AC988" s="10" t="str">
        <f t="shared" si="587"/>
        <v>MarçoSEMANA 3Tomate Salada Sushi</v>
      </c>
      <c r="AD988" s="7">
        <f>SUMIF(NF!$A:$A,$AC988,NF!$I:$I)</f>
        <v>0</v>
      </c>
      <c r="AE988" s="6"/>
      <c r="AF988" s="6"/>
      <c r="AG988" s="6"/>
      <c r="AH988" s="6"/>
      <c r="AI988" s="6"/>
      <c r="AJ988" s="6"/>
      <c r="AK988" s="6"/>
      <c r="AL988" s="7">
        <f t="shared" si="640"/>
        <v>0</v>
      </c>
      <c r="AM988" s="11">
        <f t="shared" si="589"/>
        <v>0</v>
      </c>
      <c r="AN988" s="25"/>
      <c r="AO988" s="10" t="str">
        <f t="shared" si="590"/>
        <v>MarçoSEMANA 4Tomate Salada Sushi</v>
      </c>
      <c r="AP988" s="7">
        <f>SUMIF(NF!$A:$A,$AO988,NF!$I:$I)</f>
        <v>0</v>
      </c>
      <c r="AQ988" s="6"/>
      <c r="AR988" s="6"/>
      <c r="AS988" s="6"/>
      <c r="AT988" s="6"/>
      <c r="AU988" s="6"/>
      <c r="AV988" s="6"/>
      <c r="AW988" s="6"/>
      <c r="AX988" s="7">
        <f t="shared" si="641"/>
        <v>0</v>
      </c>
      <c r="AY988" s="11">
        <f t="shared" si="592"/>
        <v>0</v>
      </c>
      <c r="AZ988" s="25"/>
      <c r="BA988" s="10" t="str">
        <f t="shared" si="593"/>
        <v>MarçoSEMANA 5Tomate Salada Sushi</v>
      </c>
      <c r="BB988" s="7">
        <f>SUMIF(NF!$A:$A,$BA988,NF!$I:$I)</f>
        <v>0</v>
      </c>
      <c r="BC988" s="6"/>
      <c r="BD988" s="6"/>
      <c r="BE988" s="6"/>
      <c r="BF988" s="6"/>
      <c r="BG988" s="6"/>
      <c r="BH988" s="6"/>
      <c r="BI988" s="74"/>
      <c r="BJ988" s="74"/>
      <c r="BK988" s="7">
        <f t="shared" si="642"/>
        <v>0</v>
      </c>
      <c r="BL988" s="8">
        <f t="shared" si="595"/>
        <v>0</v>
      </c>
      <c r="BM988" s="51" t="str">
        <f>IFERROR(VLOOKUP(A988,NF!$M:$O,3,0),"")</f>
        <v>Sushi</v>
      </c>
      <c r="BN988" s="7">
        <f t="shared" si="596"/>
        <v>0</v>
      </c>
      <c r="BO988" s="8">
        <f t="array" ref="BO988">IFERROR(LARGE(IF(NF!$G$2:$G$3137='Mês atual'!A988,NF!$J$2:$J$3137),1),0)*BN988</f>
        <v>0</v>
      </c>
      <c r="BP988" s="50"/>
      <c r="BR988" s="146">
        <f t="array" ref="BR988">IFERROR(LARGE(IF(NF!$G$2:$G$3137='Mês atual'!A988,NF!$J$2:$J$3137),1),0)</f>
        <v>0</v>
      </c>
      <c r="BS988" s="142" t="str">
        <f>VLOOKUP(A988,NF!M:O,3,0)</f>
        <v>Sushi</v>
      </c>
      <c r="BV988" s="74">
        <f t="shared" si="597"/>
        <v>0</v>
      </c>
      <c r="BW988" s="74">
        <f t="shared" si="598"/>
        <v>0</v>
      </c>
      <c r="BX988" s="74">
        <f t="shared" si="599"/>
        <v>0</v>
      </c>
      <c r="BY988" s="74">
        <f t="shared" si="600"/>
        <v>0</v>
      </c>
      <c r="BZ988" s="74">
        <f t="shared" si="601"/>
        <v>0</v>
      </c>
    </row>
    <row r="989" spans="1:78" x14ac:dyDescent="0.25">
      <c r="A989" s="108" t="s">
        <v>838</v>
      </c>
      <c r="B989" s="12"/>
      <c r="C989" s="9">
        <v>0</v>
      </c>
      <c r="D989" s="25"/>
      <c r="E989" s="10" t="str">
        <f t="shared" si="581"/>
        <v>MarçoSEMANA 1Vinagre de Arroz Bb 5 Lt</v>
      </c>
      <c r="F989" s="7">
        <f>SUMIF(NF!$A:$A,$E989,NF!$I:$I)</f>
        <v>0</v>
      </c>
      <c r="G989" s="74"/>
      <c r="H989" s="74"/>
      <c r="I989" s="74"/>
      <c r="J989" s="6"/>
      <c r="K989" s="6"/>
      <c r="L989" s="6"/>
      <c r="M989" s="6"/>
      <c r="N989" s="7">
        <f t="shared" si="638"/>
        <v>0</v>
      </c>
      <c r="O989" s="11">
        <f t="shared" si="583"/>
        <v>0</v>
      </c>
      <c r="P989" s="25"/>
      <c r="Q989" s="10" t="str">
        <f t="shared" si="584"/>
        <v>MarçoSEMANA 2Vinagre de Arroz Bb 5 Lt</v>
      </c>
      <c r="R989" s="7">
        <f>SUMIF(NF!$A:$A,$Q989,NF!$I:$I)</f>
        <v>0</v>
      </c>
      <c r="S989" s="6"/>
      <c r="T989" s="6"/>
      <c r="U989" s="6"/>
      <c r="V989" s="6"/>
      <c r="W989" s="6"/>
      <c r="X989" s="6"/>
      <c r="Y989" s="6"/>
      <c r="Z989" s="7">
        <f t="shared" si="639"/>
        <v>0</v>
      </c>
      <c r="AA989" s="11">
        <f t="shared" si="586"/>
        <v>0</v>
      </c>
      <c r="AB989" s="25"/>
      <c r="AC989" s="10" t="str">
        <f t="shared" si="587"/>
        <v>MarçoSEMANA 3Vinagre de Arroz Bb 5 Lt</v>
      </c>
      <c r="AD989" s="7">
        <f>SUMIF(NF!$A:$A,$AC989,NF!$I:$I)</f>
        <v>0</v>
      </c>
      <c r="AE989" s="6"/>
      <c r="AF989" s="6"/>
      <c r="AG989" s="6"/>
      <c r="AH989" s="6"/>
      <c r="AI989" s="6"/>
      <c r="AJ989" s="6"/>
      <c r="AK989" s="6"/>
      <c r="AL989" s="7">
        <f t="shared" si="640"/>
        <v>0</v>
      </c>
      <c r="AM989" s="11">
        <f t="shared" si="589"/>
        <v>0</v>
      </c>
      <c r="AN989" s="25"/>
      <c r="AO989" s="10" t="str">
        <f t="shared" si="590"/>
        <v>MarçoSEMANA 4Vinagre de Arroz Bb 5 Lt</v>
      </c>
      <c r="AP989" s="7">
        <f>SUMIF(NF!$A:$A,$AO989,NF!$I:$I)</f>
        <v>0</v>
      </c>
      <c r="AQ989" s="6"/>
      <c r="AR989" s="6"/>
      <c r="AS989" s="6"/>
      <c r="AT989" s="6"/>
      <c r="AU989" s="6"/>
      <c r="AV989" s="6"/>
      <c r="AW989" s="6"/>
      <c r="AX989" s="7">
        <f t="shared" si="641"/>
        <v>0</v>
      </c>
      <c r="AY989" s="11">
        <f t="shared" si="592"/>
        <v>0</v>
      </c>
      <c r="AZ989" s="25"/>
      <c r="BA989" s="10" t="str">
        <f t="shared" si="593"/>
        <v>MarçoSEMANA 5Vinagre de Arroz Bb 5 Lt</v>
      </c>
      <c r="BB989" s="7">
        <f>SUMIF(NF!$A:$A,$BA989,NF!$I:$I)</f>
        <v>0</v>
      </c>
      <c r="BC989" s="6"/>
      <c r="BD989" s="6"/>
      <c r="BE989" s="6"/>
      <c r="BF989" s="6"/>
      <c r="BG989" s="6"/>
      <c r="BH989" s="6"/>
      <c r="BI989" s="74"/>
      <c r="BJ989" s="74"/>
      <c r="BK989" s="7">
        <f t="shared" si="642"/>
        <v>0</v>
      </c>
      <c r="BL989" s="8">
        <f t="shared" si="595"/>
        <v>0</v>
      </c>
      <c r="BM989" s="51" t="str">
        <f>IFERROR(VLOOKUP(A989,NF!$M:$O,3,0),"")</f>
        <v>Sushi</v>
      </c>
      <c r="BN989" s="7">
        <f t="shared" si="596"/>
        <v>0</v>
      </c>
      <c r="BO989" s="8">
        <f t="array" ref="BO989">IFERROR(LARGE(IF(NF!$G$2:$G$3137='Mês atual'!A989,NF!$J$2:$J$3137),1),0)*BN989</f>
        <v>0</v>
      </c>
      <c r="BP989" s="50"/>
      <c r="BR989" s="146">
        <f t="array" ref="BR989">IFERROR(LARGE(IF(NF!$G$2:$G$3137='Mês atual'!A989,NF!$J$2:$J$3137),1),0)</f>
        <v>0</v>
      </c>
      <c r="BS989" s="142" t="str">
        <f>VLOOKUP(A989,NF!M:O,3,0)</f>
        <v>Sushi</v>
      </c>
      <c r="BV989" s="74">
        <f t="shared" si="597"/>
        <v>0</v>
      </c>
      <c r="BW989" s="74">
        <f t="shared" si="598"/>
        <v>0</v>
      </c>
      <c r="BX989" s="74">
        <f t="shared" si="599"/>
        <v>0</v>
      </c>
      <c r="BY989" s="74">
        <f t="shared" si="600"/>
        <v>0</v>
      </c>
      <c r="BZ989" s="74">
        <f t="shared" si="601"/>
        <v>0</v>
      </c>
    </row>
    <row r="990" spans="1:78" x14ac:dyDescent="0.25">
      <c r="A990" s="108" t="s">
        <v>839</v>
      </c>
      <c r="B990" s="12"/>
      <c r="C990" s="9">
        <v>10</v>
      </c>
      <c r="D990" s="25"/>
      <c r="E990" s="10" t="str">
        <f t="shared" si="581"/>
        <v>MarçoSEMANA 1Vinagre de Arroz Sushi</v>
      </c>
      <c r="F990" s="7">
        <f>SUMIF(NF!$A:$A,$E990,NF!$I:$I)</f>
        <v>17</v>
      </c>
      <c r="G990" s="74"/>
      <c r="H990" s="74"/>
      <c r="I990" s="74"/>
      <c r="J990" s="6"/>
      <c r="K990" s="6"/>
      <c r="L990" s="6"/>
      <c r="M990" s="6"/>
      <c r="N990" s="7">
        <f t="shared" si="638"/>
        <v>0</v>
      </c>
      <c r="O990" s="11">
        <f t="shared" si="583"/>
        <v>27</v>
      </c>
      <c r="P990" s="25"/>
      <c r="Q990" s="10" t="str">
        <f t="shared" si="584"/>
        <v>MarçoSEMANA 2Vinagre de Arroz Sushi</v>
      </c>
      <c r="R990" s="7">
        <f>SUMIF(NF!$A:$A,$Q990,NF!$I:$I)</f>
        <v>5</v>
      </c>
      <c r="S990" s="6"/>
      <c r="T990" s="6"/>
      <c r="U990" s="6"/>
      <c r="V990" s="6"/>
      <c r="W990" s="6">
        <v>14</v>
      </c>
      <c r="X990" s="6"/>
      <c r="Y990" s="6"/>
      <c r="Z990" s="7">
        <f t="shared" si="639"/>
        <v>14</v>
      </c>
      <c r="AA990" s="11">
        <f t="shared" si="586"/>
        <v>18</v>
      </c>
      <c r="AB990" s="25"/>
      <c r="AC990" s="10" t="str">
        <f t="shared" si="587"/>
        <v>MarçoSEMANA 3Vinagre de Arroz Sushi</v>
      </c>
      <c r="AD990" s="7">
        <f>SUMIF(NF!$A:$A,$AC990,NF!$I:$I)</f>
        <v>5</v>
      </c>
      <c r="AE990" s="6"/>
      <c r="AF990" s="6"/>
      <c r="AG990" s="6"/>
      <c r="AH990" s="6"/>
      <c r="AI990" s="6"/>
      <c r="AJ990" s="6"/>
      <c r="AK990" s="6"/>
      <c r="AL990" s="7">
        <f t="shared" si="640"/>
        <v>0</v>
      </c>
      <c r="AM990" s="11">
        <f t="shared" si="589"/>
        <v>23</v>
      </c>
      <c r="AN990" s="25"/>
      <c r="AO990" s="10" t="str">
        <f t="shared" si="590"/>
        <v>MarçoSEMANA 4Vinagre de Arroz Sushi</v>
      </c>
      <c r="AP990" s="7">
        <f>SUMIF(NF!$A:$A,$AO990,NF!$I:$I)</f>
        <v>5</v>
      </c>
      <c r="AQ990" s="6"/>
      <c r="AR990" s="6"/>
      <c r="AS990" s="6">
        <v>14</v>
      </c>
      <c r="AT990" s="6"/>
      <c r="AU990" s="6"/>
      <c r="AV990" s="6"/>
      <c r="AW990" s="6"/>
      <c r="AX990" s="7">
        <f t="shared" si="641"/>
        <v>14</v>
      </c>
      <c r="AY990" s="11">
        <f t="shared" si="592"/>
        <v>14</v>
      </c>
      <c r="AZ990" s="25"/>
      <c r="BA990" s="10" t="str">
        <f t="shared" si="593"/>
        <v>MarçoSEMANA 5Vinagre de Arroz Sushi</v>
      </c>
      <c r="BB990" s="7">
        <f>SUMIF(NF!$A:$A,$BA990,NF!$I:$I)</f>
        <v>12</v>
      </c>
      <c r="BC990" s="6">
        <v>14</v>
      </c>
      <c r="BD990" s="6"/>
      <c r="BE990" s="6"/>
      <c r="BF990" s="6"/>
      <c r="BG990" s="6"/>
      <c r="BH990" s="6"/>
      <c r="BI990" s="74"/>
      <c r="BJ990" s="74"/>
      <c r="BK990" s="7">
        <f t="shared" si="642"/>
        <v>14</v>
      </c>
      <c r="BL990" s="8">
        <f t="shared" si="595"/>
        <v>12</v>
      </c>
      <c r="BM990" s="51" t="str">
        <f>IFERROR(VLOOKUP(A990,NF!$M:$O,3,0),"")</f>
        <v>Sushi</v>
      </c>
      <c r="BN990" s="7">
        <f t="shared" si="596"/>
        <v>42</v>
      </c>
      <c r="BO990" s="8">
        <f t="array" ref="BO990">IFERROR(LARGE(IF(NF!$G$2:$G$3137='Mês atual'!A990,NF!$J$2:$J$3137),1),0)*BN990</f>
        <v>162.54</v>
      </c>
      <c r="BP990" s="50"/>
      <c r="BR990" s="146">
        <f t="array" ref="BR990">IFERROR(LARGE(IF(NF!$G$2:$G$3137='Mês atual'!A990,NF!$J$2:$J$3137),1),0)</f>
        <v>3.87</v>
      </c>
      <c r="BS990" s="142" t="str">
        <f>VLOOKUP(A990,NF!M:O,3,0)</f>
        <v>Sushi</v>
      </c>
      <c r="BV990" s="74">
        <f t="shared" si="597"/>
        <v>0</v>
      </c>
      <c r="BW990" s="74">
        <f t="shared" si="598"/>
        <v>14</v>
      </c>
      <c r="BX990" s="74">
        <f t="shared" si="599"/>
        <v>0</v>
      </c>
      <c r="BY990" s="74">
        <f t="shared" si="600"/>
        <v>14</v>
      </c>
      <c r="BZ990" s="74">
        <f t="shared" si="601"/>
        <v>14</v>
      </c>
    </row>
    <row r="991" spans="1:78" ht="15.75" thickBot="1" x14ac:dyDescent="0.3">
      <c r="A991" s="108" t="s">
        <v>867</v>
      </c>
      <c r="B991" s="12"/>
      <c r="C991" s="9">
        <v>1</v>
      </c>
      <c r="D991" s="25"/>
      <c r="E991" s="10" t="str">
        <f t="shared" si="581"/>
        <v>MarçoSEMANA 1Wasabi em Pó</v>
      </c>
      <c r="F991" s="7">
        <f>SUMIF(NF!$A:$A,$E991,NF!$I:$I)</f>
        <v>1</v>
      </c>
      <c r="G991" s="74"/>
      <c r="H991" s="74"/>
      <c r="I991" s="74"/>
      <c r="J991" s="6"/>
      <c r="K991" s="6"/>
      <c r="L991" s="6"/>
      <c r="M991" s="6"/>
      <c r="N991" s="7">
        <f t="shared" si="638"/>
        <v>0</v>
      </c>
      <c r="O991" s="11">
        <f t="shared" si="583"/>
        <v>2</v>
      </c>
      <c r="P991" s="25"/>
      <c r="Q991" s="10" t="str">
        <f t="shared" si="584"/>
        <v>MarçoSEMANA 2Wasabi em Pó</v>
      </c>
      <c r="R991" s="7">
        <f>SUMIF(NF!$A:$A,$Q991,NF!$I:$I)</f>
        <v>0</v>
      </c>
      <c r="S991" s="6">
        <v>1</v>
      </c>
      <c r="T991" s="6"/>
      <c r="U991" s="6"/>
      <c r="V991" s="6"/>
      <c r="W991" s="6"/>
      <c r="X991" s="6"/>
      <c r="Y991" s="6"/>
      <c r="Z991" s="7">
        <f t="shared" si="639"/>
        <v>1</v>
      </c>
      <c r="AA991" s="11">
        <f t="shared" si="586"/>
        <v>1</v>
      </c>
      <c r="AB991" s="25"/>
      <c r="AC991" s="10" t="str">
        <f t="shared" si="587"/>
        <v>MarçoSEMANA 3Wasabi em Pó</v>
      </c>
      <c r="AD991" s="7">
        <f>SUMIF(NF!$A:$A,$AC991,NF!$I:$I)</f>
        <v>1</v>
      </c>
      <c r="AE991" s="6"/>
      <c r="AF991" s="6"/>
      <c r="AG991" s="6"/>
      <c r="AH991" s="6"/>
      <c r="AI991" s="6"/>
      <c r="AJ991" s="6"/>
      <c r="AK991" s="6"/>
      <c r="AL991" s="7">
        <f t="shared" si="640"/>
        <v>0</v>
      </c>
      <c r="AM991" s="11">
        <f t="shared" si="589"/>
        <v>2</v>
      </c>
      <c r="AN991" s="25"/>
      <c r="AO991" s="10" t="str">
        <f t="shared" si="590"/>
        <v>MarçoSEMANA 4Wasabi em Pó</v>
      </c>
      <c r="AP991" s="7">
        <f>SUMIF(NF!$A:$A,$AO991,NF!$I:$I)</f>
        <v>0</v>
      </c>
      <c r="AQ991" s="6"/>
      <c r="AR991" s="6"/>
      <c r="AS991" s="6"/>
      <c r="AT991" s="6"/>
      <c r="AU991" s="6">
        <v>1</v>
      </c>
      <c r="AV991" s="6"/>
      <c r="AW991" s="6"/>
      <c r="AX991" s="7">
        <f t="shared" si="641"/>
        <v>1</v>
      </c>
      <c r="AY991" s="11">
        <f t="shared" si="592"/>
        <v>1</v>
      </c>
      <c r="AZ991" s="25"/>
      <c r="BA991" s="10" t="str">
        <f t="shared" si="593"/>
        <v>MarçoSEMANA 5Wasabi em Pó</v>
      </c>
      <c r="BB991" s="7">
        <f>SUMIF(NF!$A:$A,$BA991,NF!$I:$I)</f>
        <v>0</v>
      </c>
      <c r="BC991" s="6"/>
      <c r="BD991" s="6"/>
      <c r="BE991" s="6"/>
      <c r="BF991" s="6"/>
      <c r="BG991" s="6"/>
      <c r="BH991" s="6"/>
      <c r="BI991" s="74"/>
      <c r="BJ991" s="74"/>
      <c r="BK991" s="7">
        <f t="shared" si="642"/>
        <v>0</v>
      </c>
      <c r="BL991" s="8">
        <f t="shared" si="595"/>
        <v>1</v>
      </c>
      <c r="BM991" s="51" t="str">
        <f>IFERROR(VLOOKUP(A991,NF!$M:$O,3,0),"")</f>
        <v>Sushi</v>
      </c>
      <c r="BN991" s="7">
        <f t="shared" si="596"/>
        <v>2</v>
      </c>
      <c r="BO991" s="8">
        <f t="array" ref="BO991">IFERROR(LARGE(IF(NF!$G$2:$G$3137='Mês atual'!A991,NF!$J$2:$J$3137),1),0)*BN991</f>
        <v>60</v>
      </c>
      <c r="BP991" s="50"/>
      <c r="BR991" s="146">
        <f t="array" ref="BR991">IFERROR(LARGE(IF(NF!$G$2:$G$3137='Mês atual'!A991,NF!$J$2:$J$3137),1),0)</f>
        <v>30</v>
      </c>
      <c r="BS991" s="142" t="str">
        <f>VLOOKUP(A991,NF!M:O,3,0)</f>
        <v>Sushi</v>
      </c>
      <c r="BV991" s="74">
        <f t="shared" ref="BV991:BV1006" si="643">N991</f>
        <v>0</v>
      </c>
      <c r="BW991" s="74">
        <f t="shared" ref="BW991:BW1007" si="644">Z991</f>
        <v>1</v>
      </c>
      <c r="BX991" s="74">
        <f t="shared" ref="BX991:BX1007" si="645">AL991</f>
        <v>0</v>
      </c>
      <c r="BY991" s="74">
        <f t="shared" ref="BY991:BY1007" si="646">AX991</f>
        <v>1</v>
      </c>
      <c r="BZ991" s="74">
        <f t="shared" ref="BZ991:BZ1007" si="647">BK991</f>
        <v>0</v>
      </c>
    </row>
    <row r="992" spans="1:78" s="16" customFormat="1" ht="30" customHeight="1" thickBot="1" x14ac:dyDescent="0.3">
      <c r="A992" s="139" t="s">
        <v>926</v>
      </c>
      <c r="B992" s="130"/>
      <c r="C992" s="131"/>
      <c r="D992" s="132"/>
      <c r="E992" s="133"/>
      <c r="F992" s="134"/>
      <c r="G992" s="135"/>
      <c r="H992" s="135"/>
      <c r="I992" s="135"/>
      <c r="J992" s="133"/>
      <c r="K992" s="133"/>
      <c r="L992" s="133"/>
      <c r="M992" s="133"/>
      <c r="N992" s="134"/>
      <c r="O992" s="134"/>
      <c r="P992" s="132"/>
      <c r="Q992" s="133"/>
      <c r="R992" s="134"/>
      <c r="S992" s="133"/>
      <c r="T992" s="133"/>
      <c r="U992" s="133"/>
      <c r="V992" s="133"/>
      <c r="W992" s="133"/>
      <c r="X992" s="133"/>
      <c r="Y992" s="133"/>
      <c r="Z992" s="134"/>
      <c r="AA992" s="134"/>
      <c r="AB992" s="132"/>
      <c r="AC992" s="133"/>
      <c r="AD992" s="134"/>
      <c r="AE992" s="133"/>
      <c r="AF992" s="133"/>
      <c r="AG992" s="133"/>
      <c r="AH992" s="133"/>
      <c r="AI992" s="133"/>
      <c r="AJ992" s="133"/>
      <c r="AK992" s="133"/>
      <c r="AL992" s="134"/>
      <c r="AM992" s="134"/>
      <c r="AN992" s="132"/>
      <c r="AO992" s="133"/>
      <c r="AP992" s="134"/>
      <c r="AQ992" s="133"/>
      <c r="AR992" s="133"/>
      <c r="AS992" s="133"/>
      <c r="AT992" s="133"/>
      <c r="AU992" s="133"/>
      <c r="AV992" s="133"/>
      <c r="AW992" s="133"/>
      <c r="AX992" s="134"/>
      <c r="AY992" s="134"/>
      <c r="AZ992" s="132"/>
      <c r="BA992" s="133"/>
      <c r="BB992" s="134"/>
      <c r="BC992" s="133"/>
      <c r="BD992" s="133"/>
      <c r="BE992" s="133"/>
      <c r="BF992" s="133"/>
      <c r="BG992" s="133"/>
      <c r="BH992" s="133"/>
      <c r="BI992" s="135"/>
      <c r="BJ992" s="135"/>
      <c r="BK992" s="134"/>
      <c r="BL992" s="134"/>
      <c r="BM992" s="136"/>
      <c r="BN992" s="137"/>
      <c r="BO992" s="137"/>
      <c r="BP992" s="138"/>
      <c r="BQ992" s="144"/>
      <c r="BR992" s="144"/>
      <c r="BS992" s="144"/>
      <c r="BT992" s="145"/>
      <c r="BU992" s="145"/>
      <c r="BV992" s="154"/>
      <c r="BW992" s="154"/>
      <c r="BX992" s="154"/>
      <c r="BY992" s="154"/>
      <c r="BZ992" s="154"/>
    </row>
    <row r="993" spans="1:78" x14ac:dyDescent="0.25">
      <c r="A993" s="108" t="s">
        <v>159</v>
      </c>
      <c r="B993" s="12"/>
      <c r="C993" s="9">
        <v>0</v>
      </c>
      <c r="D993" s="25"/>
      <c r="E993" s="10" t="str">
        <f t="shared" ref="E993:E1006" si="648">CONCATENATE($C$2,$F$1,$A993)</f>
        <v>MarçoSEMANA 1Bala de Alga 500 g</v>
      </c>
      <c r="F993" s="7">
        <f>SUMIF(NF!$A:$A,$E993,NF!$I:$I)</f>
        <v>2</v>
      </c>
      <c r="G993" s="74"/>
      <c r="H993" s="74"/>
      <c r="I993" s="74"/>
      <c r="J993" s="6"/>
      <c r="K993" s="6">
        <v>1</v>
      </c>
      <c r="L993" s="6"/>
      <c r="M993" s="6">
        <v>1</v>
      </c>
      <c r="N993" s="7">
        <f>SUM(G993:M993)</f>
        <v>2</v>
      </c>
      <c r="O993" s="11">
        <f t="shared" ref="O993:O1006" si="649">F993+C993-N993</f>
        <v>0</v>
      </c>
      <c r="P993" s="25"/>
      <c r="Q993" s="10" t="str">
        <f t="shared" ref="Q993:Q1006" si="650">CONCATENATE($C$2,$R$1,$A993)</f>
        <v>MarçoSEMANA 2Bala de Alga 500 g</v>
      </c>
      <c r="R993" s="7">
        <f>SUMIF(NF!$A:$A,$Q993,NF!$I:$I)</f>
        <v>3</v>
      </c>
      <c r="S993" s="6"/>
      <c r="T993" s="6"/>
      <c r="U993" s="6">
        <v>1</v>
      </c>
      <c r="V993" s="6"/>
      <c r="W993" s="6"/>
      <c r="X993" s="6"/>
      <c r="Y993" s="6"/>
      <c r="Z993" s="7">
        <f>SUM(S993:Y993)</f>
        <v>1</v>
      </c>
      <c r="AA993" s="11">
        <f t="shared" ref="AA993:AA1006" si="651">R993+O993-Z993</f>
        <v>2</v>
      </c>
      <c r="AB993" s="25"/>
      <c r="AC993" s="10" t="str">
        <f t="shared" ref="AC993:AC1006" si="652">CONCATENATE($C$2,$AD$1,$A993)</f>
        <v>MarçoSEMANA 3Bala de Alga 500 g</v>
      </c>
      <c r="AD993" s="7">
        <f>SUMIF(NF!$A:$A,$AC993,NF!$I:$I)</f>
        <v>2</v>
      </c>
      <c r="AE993" s="6">
        <v>1</v>
      </c>
      <c r="AF993" s="6"/>
      <c r="AG993" s="6"/>
      <c r="AH993" s="6"/>
      <c r="AI993" s="6">
        <v>1</v>
      </c>
      <c r="AJ993" s="6"/>
      <c r="AK993" s="6"/>
      <c r="AL993" s="7">
        <f>SUM(AE993:AK993)</f>
        <v>2</v>
      </c>
      <c r="AM993" s="11">
        <f t="shared" ref="AM993:AM1006" si="653">AD993+AA993-AL993</f>
        <v>2</v>
      </c>
      <c r="AN993" s="25"/>
      <c r="AO993" s="10" t="str">
        <f t="shared" ref="AO993:AO1006" si="654">CONCATENATE($C$2,$AP$1,$A993)</f>
        <v>MarçoSEMANA 4Bala de Alga 500 g</v>
      </c>
      <c r="AP993" s="7">
        <f>SUMIF(NF!$A:$A,$AO993,NF!$I:$I)</f>
        <v>2</v>
      </c>
      <c r="AQ993" s="6">
        <v>1</v>
      </c>
      <c r="AR993" s="6"/>
      <c r="AS993" s="6"/>
      <c r="AT993" s="6"/>
      <c r="AU993" s="6"/>
      <c r="AV993" s="6">
        <v>1</v>
      </c>
      <c r="AW993" s="6"/>
      <c r="AX993" s="7">
        <f>SUM(AQ993:AW993)</f>
        <v>2</v>
      </c>
      <c r="AY993" s="11">
        <f t="shared" ref="AY993:AY1006" si="655">AP993+AM993-AX993</f>
        <v>2</v>
      </c>
      <c r="AZ993" s="25"/>
      <c r="BA993" s="10" t="str">
        <f t="shared" ref="BA993:BA1006" si="656">CONCATENATE($C$2,$BB$1,$A993)</f>
        <v>MarçoSEMANA 5Bala de Alga 500 g</v>
      </c>
      <c r="BB993" s="7">
        <f>SUMIF(NF!$A:$A,$BA993,NF!$I:$I)</f>
        <v>0</v>
      </c>
      <c r="BC993" s="6"/>
      <c r="BD993" s="6"/>
      <c r="BE993" s="6">
        <v>1</v>
      </c>
      <c r="BF993" s="6"/>
      <c r="BG993" s="6"/>
      <c r="BH993" s="6"/>
      <c r="BI993" s="74"/>
      <c r="BJ993" s="74"/>
      <c r="BK993" s="7">
        <f>SUM(BC993:BJ993)</f>
        <v>1</v>
      </c>
      <c r="BL993" s="8">
        <f t="shared" ref="BL993:BL1006" si="657">BB993+AY993-BK993</f>
        <v>1</v>
      </c>
      <c r="BM993" s="51" t="str">
        <f>IFERROR(VLOOKUP(A993,NF!$M:$O,3,0),"")</f>
        <v>Vendas Caixa</v>
      </c>
      <c r="BN993" s="7">
        <f t="shared" ref="BN993:BN1006" si="658">SUM(N993,Z993,AL993,AX993,BK993)</f>
        <v>8</v>
      </c>
      <c r="BO993" s="8">
        <f t="array" ref="BO993">IFERROR(LARGE(IF(NF!$G$2:$G$3137='Mês atual'!A993,NF!$J$2:$J$3137),1),0)*BN993</f>
        <v>137.28</v>
      </c>
      <c r="BP993" s="50"/>
      <c r="BR993" s="146">
        <f t="array" ref="BR993">IFERROR(LARGE(IF(NF!$G$2:$G$3137='Mês atual'!A993,NF!$J$2:$J$3137),1),0)</f>
        <v>17.16</v>
      </c>
      <c r="BS993" s="142" t="str">
        <f>VLOOKUP(A993,NF!M:O,3,0)</f>
        <v>Vendas Caixa</v>
      </c>
      <c r="BV993" s="74">
        <f t="shared" si="643"/>
        <v>2</v>
      </c>
      <c r="BW993" s="74">
        <f t="shared" si="644"/>
        <v>1</v>
      </c>
      <c r="BX993" s="74">
        <f t="shared" si="645"/>
        <v>2</v>
      </c>
      <c r="BY993" s="74">
        <f t="shared" si="646"/>
        <v>2</v>
      </c>
      <c r="BZ993" s="74">
        <f t="shared" si="647"/>
        <v>1</v>
      </c>
    </row>
    <row r="994" spans="1:78" x14ac:dyDescent="0.25">
      <c r="A994" s="108" t="s">
        <v>160</v>
      </c>
      <c r="B994" s="12"/>
      <c r="C994" s="9">
        <v>0</v>
      </c>
      <c r="D994" s="25"/>
      <c r="E994" s="10" t="str">
        <f t="shared" si="648"/>
        <v>MarçoSEMANA 1Bala de Gengibre</v>
      </c>
      <c r="F994" s="7">
        <f>SUMIF(NF!$A:$A,$E994,NF!$I:$I)</f>
        <v>0</v>
      </c>
      <c r="G994" s="74"/>
      <c r="H994" s="74"/>
      <c r="I994" s="74"/>
      <c r="J994" s="6"/>
      <c r="K994" s="6"/>
      <c r="L994" s="6"/>
      <c r="M994" s="6"/>
      <c r="N994" s="7">
        <f>SUM(G994:M994)</f>
        <v>0</v>
      </c>
      <c r="O994" s="11">
        <f t="shared" si="649"/>
        <v>0</v>
      </c>
      <c r="P994" s="25"/>
      <c r="Q994" s="10" t="str">
        <f t="shared" si="650"/>
        <v>MarçoSEMANA 2Bala de Gengibre</v>
      </c>
      <c r="R994" s="7">
        <f>SUMIF(NF!$A:$A,$Q994,NF!$I:$I)</f>
        <v>0</v>
      </c>
      <c r="S994" s="6"/>
      <c r="T994" s="6"/>
      <c r="U994" s="6"/>
      <c r="V994" s="6"/>
      <c r="W994" s="6"/>
      <c r="X994" s="6"/>
      <c r="Y994" s="6"/>
      <c r="Z994" s="7">
        <f>SUM(S994:Y994)</f>
        <v>0</v>
      </c>
      <c r="AA994" s="11">
        <f t="shared" si="651"/>
        <v>0</v>
      </c>
      <c r="AB994" s="25"/>
      <c r="AC994" s="10" t="str">
        <f t="shared" si="652"/>
        <v>MarçoSEMANA 3Bala de Gengibre</v>
      </c>
      <c r="AD994" s="7">
        <f>SUMIF(NF!$A:$A,$AC994,NF!$I:$I)</f>
        <v>0</v>
      </c>
      <c r="AE994" s="6"/>
      <c r="AF994" s="6"/>
      <c r="AG994" s="6"/>
      <c r="AH994" s="6"/>
      <c r="AI994" s="6"/>
      <c r="AJ994" s="6"/>
      <c r="AK994" s="6"/>
      <c r="AL994" s="7">
        <f>SUM(AE994:AK994)</f>
        <v>0</v>
      </c>
      <c r="AM994" s="11">
        <f t="shared" si="653"/>
        <v>0</v>
      </c>
      <c r="AN994" s="25"/>
      <c r="AO994" s="10" t="str">
        <f t="shared" si="654"/>
        <v>MarçoSEMANA 4Bala de Gengibre</v>
      </c>
      <c r="AP994" s="7">
        <f>SUMIF(NF!$A:$A,$AO994,NF!$I:$I)</f>
        <v>0</v>
      </c>
      <c r="AQ994" s="6"/>
      <c r="AR994" s="6"/>
      <c r="AS994" s="6"/>
      <c r="AT994" s="6"/>
      <c r="AU994" s="6"/>
      <c r="AV994" s="6"/>
      <c r="AW994" s="6"/>
      <c r="AX994" s="7">
        <f>SUM(AQ994:AW994)</f>
        <v>0</v>
      </c>
      <c r="AY994" s="11">
        <f t="shared" si="655"/>
        <v>0</v>
      </c>
      <c r="AZ994" s="25"/>
      <c r="BA994" s="10" t="str">
        <f t="shared" si="656"/>
        <v>MarçoSEMANA 5Bala de Gengibre</v>
      </c>
      <c r="BB994" s="7">
        <f>SUMIF(NF!$A:$A,$BA994,NF!$I:$I)</f>
        <v>0</v>
      </c>
      <c r="BC994" s="6"/>
      <c r="BD994" s="6"/>
      <c r="BE994" s="6"/>
      <c r="BF994" s="6"/>
      <c r="BG994" s="6"/>
      <c r="BH994" s="6"/>
      <c r="BI994" s="74"/>
      <c r="BJ994" s="74"/>
      <c r="BK994" s="7">
        <f>SUM(BC994:BJ994)</f>
        <v>0</v>
      </c>
      <c r="BL994" s="8">
        <f t="shared" si="657"/>
        <v>0</v>
      </c>
      <c r="BM994" s="51" t="str">
        <f>IFERROR(VLOOKUP(A994,NF!$M:$O,3,0),"")</f>
        <v>Vendas Caixa</v>
      </c>
      <c r="BN994" s="7">
        <f t="shared" si="658"/>
        <v>0</v>
      </c>
      <c r="BO994" s="8">
        <f t="array" ref="BO994">IFERROR(LARGE(IF(NF!$G$2:$G$3137='Mês atual'!A994,NF!$J$2:$J$3137),1),0)*BN994</f>
        <v>0</v>
      </c>
      <c r="BP994" s="50"/>
      <c r="BR994" s="146">
        <f t="array" ref="BR994">IFERROR(LARGE(IF(NF!$G$2:$G$3137='Mês atual'!A994,NF!$J$2:$J$3137),1),0)</f>
        <v>0</v>
      </c>
      <c r="BS994" s="142" t="str">
        <f>VLOOKUP(A994,NF!M:O,3,0)</f>
        <v>Vendas Caixa</v>
      </c>
      <c r="BV994" s="74">
        <f t="shared" si="643"/>
        <v>0</v>
      </c>
      <c r="BW994" s="74">
        <f t="shared" si="644"/>
        <v>0</v>
      </c>
      <c r="BX994" s="74">
        <f t="shared" si="645"/>
        <v>0</v>
      </c>
      <c r="BY994" s="74">
        <f t="shared" si="646"/>
        <v>0</v>
      </c>
      <c r="BZ994" s="74">
        <f t="shared" si="647"/>
        <v>0</v>
      </c>
    </row>
    <row r="995" spans="1:78" x14ac:dyDescent="0.25">
      <c r="A995" s="108" t="s">
        <v>184</v>
      </c>
      <c r="B995" s="12"/>
      <c r="C995" s="9">
        <f>1+1+1</f>
        <v>3</v>
      </c>
      <c r="D995" s="25"/>
      <c r="E995" s="10" t="str">
        <f t="shared" si="648"/>
        <v xml:space="preserve">MarçoSEMANA 1Biscoito de Milho Venda </v>
      </c>
      <c r="F995" s="7">
        <f>SUMIF(NF!$A:$A,$E995,NF!$I:$I)</f>
        <v>0</v>
      </c>
      <c r="G995" s="74"/>
      <c r="H995" s="74"/>
      <c r="I995" s="74"/>
      <c r="J995" s="6">
        <v>1</v>
      </c>
      <c r="K995" s="6">
        <v>1</v>
      </c>
      <c r="L995" s="6"/>
      <c r="M995" s="6"/>
      <c r="N995" s="7">
        <f>SUM(G995:M995)</f>
        <v>2</v>
      </c>
      <c r="O995" s="11">
        <f t="shared" si="649"/>
        <v>1</v>
      </c>
      <c r="P995" s="25"/>
      <c r="Q995" s="10" t="str">
        <f t="shared" si="650"/>
        <v xml:space="preserve">MarçoSEMANA 2Biscoito de Milho Venda </v>
      </c>
      <c r="R995" s="7">
        <f>SUMIF(NF!$A:$A,$Q995,NF!$I:$I)</f>
        <v>3.1</v>
      </c>
      <c r="S995" s="6">
        <v>1</v>
      </c>
      <c r="T995" s="6"/>
      <c r="U995" s="6">
        <v>1</v>
      </c>
      <c r="V995" s="6"/>
      <c r="W995" s="6"/>
      <c r="X995" s="6">
        <v>1</v>
      </c>
      <c r="Y995" s="6"/>
      <c r="Z995" s="7">
        <f>SUM(S995:Y995)</f>
        <v>3</v>
      </c>
      <c r="AA995" s="11">
        <f t="shared" si="651"/>
        <v>1.0999999999999996</v>
      </c>
      <c r="AB995" s="25"/>
      <c r="AC995" s="10" t="str">
        <f t="shared" si="652"/>
        <v xml:space="preserve">MarçoSEMANA 3Biscoito de Milho Venda </v>
      </c>
      <c r="AD995" s="7">
        <f>SUMIF(NF!$A:$A,$AC995,NF!$I:$I)</f>
        <v>3.226</v>
      </c>
      <c r="AE995" s="6">
        <v>1.1000000000000001</v>
      </c>
      <c r="AF995" s="6"/>
      <c r="AG995" s="6">
        <v>1.1000000000000001</v>
      </c>
      <c r="AH995" s="6">
        <v>1</v>
      </c>
      <c r="AI995" s="6"/>
      <c r="AJ995" s="6"/>
      <c r="AK995" s="6"/>
      <c r="AL995" s="7">
        <f>SUM(AE995:AK995)</f>
        <v>3.2</v>
      </c>
      <c r="AM995" s="11">
        <f t="shared" si="653"/>
        <v>1.1259999999999994</v>
      </c>
      <c r="AN995" s="25"/>
      <c r="AO995" s="10" t="str">
        <f t="shared" si="654"/>
        <v xml:space="preserve">MarçoSEMANA 4Biscoito de Milho Venda </v>
      </c>
      <c r="AP995" s="7">
        <f>SUMIF(NF!$A:$A,$AO995,NF!$I:$I)</f>
        <v>4.4000000000000004</v>
      </c>
      <c r="AQ995" s="6">
        <v>1.1259999999999999</v>
      </c>
      <c r="AR995" s="6"/>
      <c r="AS995" s="6"/>
      <c r="AT995" s="6">
        <v>1.1000000000000001</v>
      </c>
      <c r="AU995" s="6"/>
      <c r="AV995" s="6"/>
      <c r="AW995" s="6"/>
      <c r="AX995" s="7">
        <f>SUM(AQ995:AW995)</f>
        <v>2.226</v>
      </c>
      <c r="AY995" s="11">
        <f t="shared" si="655"/>
        <v>3.3</v>
      </c>
      <c r="AZ995" s="25"/>
      <c r="BA995" s="10" t="str">
        <f t="shared" si="656"/>
        <v xml:space="preserve">MarçoSEMANA 5Biscoito de Milho Venda </v>
      </c>
      <c r="BB995" s="7">
        <f>SUMIF(NF!$A:$A,$BA995,NF!$I:$I)</f>
        <v>0</v>
      </c>
      <c r="BC995" s="6">
        <v>1.1000000000000001</v>
      </c>
      <c r="BD995" s="6"/>
      <c r="BE995" s="6">
        <v>1.1000000000000001</v>
      </c>
      <c r="BF995" s="6"/>
      <c r="BG995" s="6"/>
      <c r="BH995" s="6">
        <v>1.1000000000000001</v>
      </c>
      <c r="BI995" s="74"/>
      <c r="BJ995" s="74"/>
      <c r="BK995" s="7">
        <f>SUM(BC995:BJ995)</f>
        <v>3.3000000000000003</v>
      </c>
      <c r="BL995" s="8">
        <f t="shared" si="657"/>
        <v>0</v>
      </c>
      <c r="BM995" s="51" t="str">
        <f>IFERROR(VLOOKUP(A995,NF!$M:$O,3,0),"")</f>
        <v>Vendas Caixa</v>
      </c>
      <c r="BN995" s="7">
        <f t="shared" si="658"/>
        <v>13.725999999999999</v>
      </c>
      <c r="BO995" s="8">
        <f t="array" ref="BO995">IFERROR(LARGE(IF(NF!$G$2:$G$3137='Mês atual'!A995,NF!$J$2:$J$3137),1),0)*BN995</f>
        <v>304.64857000000001</v>
      </c>
      <c r="BP995" s="50"/>
      <c r="BR995" s="146">
        <f t="array" ref="BR995">IFERROR(LARGE(IF(NF!$G$2:$G$3137='Mês atual'!A995,NF!$J$2:$J$3137),1),0)</f>
        <v>22.195</v>
      </c>
      <c r="BS995" s="142" t="str">
        <f>VLOOKUP(A995,NF!M:O,3,0)</f>
        <v>Vendas Caixa</v>
      </c>
      <c r="BV995" s="74">
        <f t="shared" si="643"/>
        <v>2</v>
      </c>
      <c r="BW995" s="74">
        <f t="shared" si="644"/>
        <v>3</v>
      </c>
      <c r="BX995" s="74">
        <f t="shared" si="645"/>
        <v>3.2</v>
      </c>
      <c r="BY995" s="74">
        <f t="shared" si="646"/>
        <v>2.226</v>
      </c>
      <c r="BZ995" s="74">
        <f t="shared" si="647"/>
        <v>3.3000000000000003</v>
      </c>
    </row>
    <row r="996" spans="1:78" x14ac:dyDescent="0.25">
      <c r="A996" s="108" t="s">
        <v>192</v>
      </c>
      <c r="B996" s="12"/>
      <c r="C996" s="9">
        <v>0</v>
      </c>
      <c r="D996" s="25"/>
      <c r="E996" s="10" t="str">
        <f t="shared" si="648"/>
        <v>MarçoSEMANA 1Bombom Trufado</v>
      </c>
      <c r="F996" s="7">
        <f>SUMIF(NF!$A:$A,$E996,NF!$I:$I)</f>
        <v>0</v>
      </c>
      <c r="G996" s="74"/>
      <c r="H996" s="74"/>
      <c r="I996" s="74"/>
      <c r="J996" s="6"/>
      <c r="K996" s="6"/>
      <c r="L996" s="6"/>
      <c r="M996" s="6"/>
      <c r="N996" s="7">
        <f>SUM(G996:M996)</f>
        <v>0</v>
      </c>
      <c r="O996" s="11">
        <f t="shared" si="649"/>
        <v>0</v>
      </c>
      <c r="P996" s="25"/>
      <c r="Q996" s="10" t="str">
        <f t="shared" si="650"/>
        <v>MarçoSEMANA 2Bombom Trufado</v>
      </c>
      <c r="R996" s="7">
        <f>SUMIF(NF!$A:$A,$Q996,NF!$I:$I)</f>
        <v>0</v>
      </c>
      <c r="S996" s="6"/>
      <c r="T996" s="6"/>
      <c r="U996" s="6"/>
      <c r="V996" s="6"/>
      <c r="W996" s="6"/>
      <c r="X996" s="6"/>
      <c r="Y996" s="6"/>
      <c r="Z996" s="7">
        <f>SUM(S996:Y996)</f>
        <v>0</v>
      </c>
      <c r="AA996" s="11">
        <f t="shared" si="651"/>
        <v>0</v>
      </c>
      <c r="AB996" s="25"/>
      <c r="AC996" s="10" t="str">
        <f t="shared" si="652"/>
        <v>MarçoSEMANA 3Bombom Trufado</v>
      </c>
      <c r="AD996" s="7">
        <f>SUMIF(NF!$A:$A,$AC996,NF!$I:$I)</f>
        <v>0</v>
      </c>
      <c r="AE996" s="6"/>
      <c r="AF996" s="6"/>
      <c r="AG996" s="6"/>
      <c r="AH996" s="6"/>
      <c r="AI996" s="6"/>
      <c r="AJ996" s="6"/>
      <c r="AK996" s="6"/>
      <c r="AL996" s="7">
        <f>SUM(AE996:AK996)</f>
        <v>0</v>
      </c>
      <c r="AM996" s="11">
        <f t="shared" si="653"/>
        <v>0</v>
      </c>
      <c r="AN996" s="25"/>
      <c r="AO996" s="10" t="str">
        <f t="shared" si="654"/>
        <v>MarçoSEMANA 4Bombom Trufado</v>
      </c>
      <c r="AP996" s="7">
        <f>SUMIF(NF!$A:$A,$AO996,NF!$I:$I)</f>
        <v>190</v>
      </c>
      <c r="AQ996" s="6"/>
      <c r="AR996" s="6"/>
      <c r="AS996" s="6"/>
      <c r="AT996" s="6"/>
      <c r="AU996" s="6"/>
      <c r="AV996" s="6"/>
      <c r="AW996" s="6"/>
      <c r="AX996" s="7">
        <f>SUM(AQ996:AW996)</f>
        <v>0</v>
      </c>
      <c r="AY996" s="11">
        <f t="shared" si="655"/>
        <v>190</v>
      </c>
      <c r="AZ996" s="25"/>
      <c r="BA996" s="10" t="str">
        <f t="shared" si="656"/>
        <v>MarçoSEMANA 5Bombom Trufado</v>
      </c>
      <c r="BB996" s="7">
        <f>SUMIF(NF!$A:$A,$BA996,NF!$I:$I)</f>
        <v>0</v>
      </c>
      <c r="BC996" s="6"/>
      <c r="BD996" s="6"/>
      <c r="BE996" s="6"/>
      <c r="BF996" s="6"/>
      <c r="BG996" s="6"/>
      <c r="BH996" s="6"/>
      <c r="BI996" s="74"/>
      <c r="BJ996" s="74"/>
      <c r="BK996" s="7">
        <f>SUM(BC996:BJ996)</f>
        <v>0</v>
      </c>
      <c r="BL996" s="8">
        <f t="shared" si="657"/>
        <v>190</v>
      </c>
      <c r="BM996" s="51" t="str">
        <f>IFERROR(VLOOKUP(A996,NF!$M:$O,3,0),"")</f>
        <v>Vendas Caixa</v>
      </c>
      <c r="BN996" s="7">
        <f t="shared" si="658"/>
        <v>0</v>
      </c>
      <c r="BO996" s="8">
        <f t="array" ref="BO996">IFERROR(LARGE(IF(NF!$G$2:$G$3137='Mês atual'!A996,NF!$J$2:$J$3137),1),0)*BN996</f>
        <v>0</v>
      </c>
      <c r="BP996" s="50"/>
      <c r="BR996" s="146">
        <f t="array" ref="BR996">IFERROR(LARGE(IF(NF!$G$2:$G$3137='Mês atual'!A996,NF!$J$2:$J$3137),1),0)</f>
        <v>1.6625000000000001</v>
      </c>
      <c r="BS996" s="142" t="str">
        <f>VLOOKUP(A996,NF!M:O,3,0)</f>
        <v>Vendas Caixa</v>
      </c>
      <c r="BV996" s="74">
        <f t="shared" si="643"/>
        <v>0</v>
      </c>
      <c r="BW996" s="74">
        <f t="shared" si="644"/>
        <v>0</v>
      </c>
      <c r="BX996" s="74">
        <f t="shared" si="645"/>
        <v>0</v>
      </c>
      <c r="BY996" s="74">
        <f t="shared" si="646"/>
        <v>0</v>
      </c>
      <c r="BZ996" s="74">
        <f t="shared" si="647"/>
        <v>0</v>
      </c>
    </row>
    <row r="997" spans="1:78" x14ac:dyDescent="0.25">
      <c r="A997" s="108" t="s">
        <v>237</v>
      </c>
      <c r="B997" s="12"/>
      <c r="C997" s="9">
        <v>0</v>
      </c>
      <c r="D997" s="25"/>
      <c r="E997" s="10" t="str">
        <f t="shared" si="648"/>
        <v>MarçoSEMANA 1Casquinha de Laranja com chocolate</v>
      </c>
      <c r="F997" s="7">
        <f>SUMIF(NF!$A:$A,$E997,NF!$I:$I)</f>
        <v>0</v>
      </c>
      <c r="G997" s="74"/>
      <c r="H997" s="74"/>
      <c r="I997" s="74"/>
      <c r="J997" s="6"/>
      <c r="K997" s="6"/>
      <c r="L997" s="6"/>
      <c r="M997" s="6"/>
      <c r="N997" s="7">
        <f t="shared" ref="N997:N1006" si="659">SUM(G997:M997)</f>
        <v>0</v>
      </c>
      <c r="O997" s="11">
        <f t="shared" si="649"/>
        <v>0</v>
      </c>
      <c r="P997" s="25"/>
      <c r="Q997" s="10" t="str">
        <f t="shared" si="650"/>
        <v>MarçoSEMANA 2Casquinha de Laranja com chocolate</v>
      </c>
      <c r="R997" s="7">
        <f>SUMIF(NF!$A:$A,$Q997,NF!$I:$I)</f>
        <v>0</v>
      </c>
      <c r="S997" s="6"/>
      <c r="T997" s="6"/>
      <c r="U997" s="6"/>
      <c r="V997" s="6"/>
      <c r="W997" s="6"/>
      <c r="X997" s="6"/>
      <c r="Y997" s="6"/>
      <c r="Z997" s="7">
        <f t="shared" ref="Z997:Z1006" si="660">SUM(S997:Y997)</f>
        <v>0</v>
      </c>
      <c r="AA997" s="11">
        <f t="shared" si="651"/>
        <v>0</v>
      </c>
      <c r="AB997" s="25"/>
      <c r="AC997" s="10" t="str">
        <f t="shared" si="652"/>
        <v>MarçoSEMANA 3Casquinha de Laranja com chocolate</v>
      </c>
      <c r="AD997" s="7">
        <f>SUMIF(NF!$A:$A,$AC997,NF!$I:$I)</f>
        <v>0</v>
      </c>
      <c r="AE997" s="6"/>
      <c r="AF997" s="6"/>
      <c r="AG997" s="6"/>
      <c r="AH997" s="6"/>
      <c r="AI997" s="6"/>
      <c r="AJ997" s="6"/>
      <c r="AK997" s="6"/>
      <c r="AL997" s="7">
        <f t="shared" ref="AL997:AL1006" si="661">SUM(AE997:AK997)</f>
        <v>0</v>
      </c>
      <c r="AM997" s="11">
        <f t="shared" si="653"/>
        <v>0</v>
      </c>
      <c r="AN997" s="25"/>
      <c r="AO997" s="10" t="str">
        <f t="shared" si="654"/>
        <v>MarçoSEMANA 4Casquinha de Laranja com chocolate</v>
      </c>
      <c r="AP997" s="7">
        <f>SUMIF(NF!$A:$A,$AO997,NF!$I:$I)</f>
        <v>15</v>
      </c>
      <c r="AQ997" s="6"/>
      <c r="AR997" s="6"/>
      <c r="AS997" s="6"/>
      <c r="AT997" s="6"/>
      <c r="AU997" s="6"/>
      <c r="AV997" s="6"/>
      <c r="AW997" s="6"/>
      <c r="AX997" s="7">
        <f t="shared" ref="AX997:AX1006" si="662">SUM(AQ997:AW997)</f>
        <v>0</v>
      </c>
      <c r="AY997" s="11">
        <f t="shared" si="655"/>
        <v>15</v>
      </c>
      <c r="AZ997" s="25"/>
      <c r="BA997" s="10" t="str">
        <f t="shared" si="656"/>
        <v>MarçoSEMANA 5Casquinha de Laranja com chocolate</v>
      </c>
      <c r="BB997" s="7">
        <f>SUMIF(NF!$A:$A,$BA997,NF!$I:$I)</f>
        <v>0</v>
      </c>
      <c r="BC997" s="6"/>
      <c r="BD997" s="6"/>
      <c r="BE997" s="6"/>
      <c r="BF997" s="6"/>
      <c r="BG997" s="6"/>
      <c r="BH997" s="6"/>
      <c r="BI997" s="74"/>
      <c r="BJ997" s="74"/>
      <c r="BK997" s="7">
        <f t="shared" ref="BK997:BK1006" si="663">SUM(BC997:BJ997)</f>
        <v>0</v>
      </c>
      <c r="BL997" s="8">
        <f t="shared" si="657"/>
        <v>15</v>
      </c>
      <c r="BM997" s="51" t="str">
        <f>IFERROR(VLOOKUP(A997,NF!$M:$O,3,0),"")</f>
        <v>Vendas Caixa</v>
      </c>
      <c r="BN997" s="7">
        <f t="shared" si="658"/>
        <v>0</v>
      </c>
      <c r="BO997" s="8">
        <f t="array" ref="BO997">IFERROR(LARGE(IF(NF!$G$2:$G$3137='Mês atual'!A997,NF!$J$2:$J$3137),1),0)*BN997</f>
        <v>0</v>
      </c>
      <c r="BP997" s="50"/>
      <c r="BR997" s="146">
        <f t="array" ref="BR997">IFERROR(LARGE(IF(NF!$G$2:$G$3137='Mês atual'!A997,NF!$J$2:$J$3137),1),0)</f>
        <v>6.1749999999999998</v>
      </c>
      <c r="BS997" s="142" t="str">
        <f>VLOOKUP(A997,NF!M:O,3,0)</f>
        <v>Vendas Caixa</v>
      </c>
      <c r="BV997" s="74">
        <f t="shared" si="643"/>
        <v>0</v>
      </c>
      <c r="BW997" s="74">
        <f t="shared" si="644"/>
        <v>0</v>
      </c>
      <c r="BX997" s="74">
        <f t="shared" si="645"/>
        <v>0</v>
      </c>
      <c r="BY997" s="74">
        <f t="shared" si="646"/>
        <v>0</v>
      </c>
      <c r="BZ997" s="74">
        <f t="shared" si="647"/>
        <v>0</v>
      </c>
    </row>
    <row r="998" spans="1:78" x14ac:dyDescent="0.25">
      <c r="A998" s="108" t="s">
        <v>273</v>
      </c>
      <c r="B998" s="12"/>
      <c r="C998" s="9">
        <v>5</v>
      </c>
      <c r="D998" s="25"/>
      <c r="E998" s="10" t="str">
        <f t="shared" si="648"/>
        <v>MarçoSEMANA 1Chiclete Adams</v>
      </c>
      <c r="F998" s="7">
        <f>SUMIF(NF!$A:$A,$E998,NF!$I:$I)</f>
        <v>0</v>
      </c>
      <c r="G998" s="74"/>
      <c r="H998" s="74"/>
      <c r="I998" s="74"/>
      <c r="J998" s="6"/>
      <c r="K998" s="6">
        <v>1</v>
      </c>
      <c r="L998" s="6"/>
      <c r="M998" s="6"/>
      <c r="N998" s="7">
        <f t="shared" si="659"/>
        <v>1</v>
      </c>
      <c r="O998" s="11">
        <f t="shared" si="649"/>
        <v>4</v>
      </c>
      <c r="P998" s="25"/>
      <c r="Q998" s="10" t="str">
        <f t="shared" si="650"/>
        <v>MarçoSEMANA 2Chiclete Adams</v>
      </c>
      <c r="R998" s="7">
        <f>SUMIF(NF!$A:$A,$Q998,NF!$I:$I)</f>
        <v>0</v>
      </c>
      <c r="S998" s="6"/>
      <c r="T998" s="6">
        <v>1</v>
      </c>
      <c r="U998" s="6"/>
      <c r="V998" s="6"/>
      <c r="W998" s="6"/>
      <c r="X998" s="6"/>
      <c r="Y998" s="6"/>
      <c r="Z998" s="7">
        <f t="shared" si="660"/>
        <v>1</v>
      </c>
      <c r="AA998" s="11">
        <f t="shared" si="651"/>
        <v>3</v>
      </c>
      <c r="AB998" s="25"/>
      <c r="AC998" s="10" t="str">
        <f t="shared" si="652"/>
        <v>MarçoSEMANA 3Chiclete Adams</v>
      </c>
      <c r="AD998" s="7">
        <f>SUMIF(NF!$A:$A,$AC998,NF!$I:$I)</f>
        <v>0</v>
      </c>
      <c r="AE998" s="6"/>
      <c r="AF998" s="6"/>
      <c r="AG998" s="6"/>
      <c r="AH998" s="6"/>
      <c r="AI998" s="6"/>
      <c r="AJ998" s="6"/>
      <c r="AK998" s="6"/>
      <c r="AL998" s="7">
        <f t="shared" si="661"/>
        <v>0</v>
      </c>
      <c r="AM998" s="11">
        <f t="shared" si="653"/>
        <v>3</v>
      </c>
      <c r="AN998" s="25"/>
      <c r="AO998" s="10" t="str">
        <f t="shared" si="654"/>
        <v>MarçoSEMANA 4Chiclete Adams</v>
      </c>
      <c r="AP998" s="7">
        <f>SUMIF(NF!$A:$A,$AO998,NF!$I:$I)</f>
        <v>5</v>
      </c>
      <c r="AQ998" s="6">
        <v>1</v>
      </c>
      <c r="AR998" s="6"/>
      <c r="AS998" s="6">
        <v>1</v>
      </c>
      <c r="AT998" s="6"/>
      <c r="AU998" s="6"/>
      <c r="AV998" s="6"/>
      <c r="AW998" s="6"/>
      <c r="AX998" s="7">
        <f t="shared" si="662"/>
        <v>2</v>
      </c>
      <c r="AY998" s="11">
        <f t="shared" si="655"/>
        <v>6</v>
      </c>
      <c r="AZ998" s="25"/>
      <c r="BA998" s="10" t="str">
        <f t="shared" si="656"/>
        <v>MarçoSEMANA 5Chiclete Adams</v>
      </c>
      <c r="BB998" s="7">
        <f>SUMIF(NF!$A:$A,$BA998,NF!$I:$I)</f>
        <v>0</v>
      </c>
      <c r="BC998" s="6"/>
      <c r="BD998" s="6"/>
      <c r="BE998" s="6"/>
      <c r="BF998" s="6"/>
      <c r="BG998" s="6"/>
      <c r="BH998" s="6"/>
      <c r="BI998" s="74"/>
      <c r="BJ998" s="74"/>
      <c r="BK998" s="7">
        <f t="shared" si="663"/>
        <v>0</v>
      </c>
      <c r="BL998" s="8">
        <f t="shared" si="657"/>
        <v>6</v>
      </c>
      <c r="BM998" s="51" t="str">
        <f>IFERROR(VLOOKUP(A998,NF!$M:$O,3,0),"")</f>
        <v>Vendas Caixa</v>
      </c>
      <c r="BN998" s="7">
        <f t="shared" si="658"/>
        <v>4</v>
      </c>
      <c r="BO998" s="8">
        <f t="array" ref="BO998">IFERROR(LARGE(IF(NF!$G$2:$G$3137='Mês atual'!A998,NF!$J$2:$J$3137),1),0)*BN998</f>
        <v>62</v>
      </c>
      <c r="BP998" s="50"/>
      <c r="BR998" s="146">
        <f t="array" ref="BR998">IFERROR(LARGE(IF(NF!$G$2:$G$3137='Mês atual'!A998,NF!$J$2:$J$3137),1),0)</f>
        <v>15.5</v>
      </c>
      <c r="BS998" s="142" t="str">
        <f>VLOOKUP(A998,NF!M:O,3,0)</f>
        <v>Vendas Caixa</v>
      </c>
      <c r="BV998" s="74">
        <f t="shared" si="643"/>
        <v>1</v>
      </c>
      <c r="BW998" s="74">
        <f t="shared" si="644"/>
        <v>1</v>
      </c>
      <c r="BX998" s="74">
        <f t="shared" si="645"/>
        <v>0</v>
      </c>
      <c r="BY998" s="74">
        <f t="shared" si="646"/>
        <v>2</v>
      </c>
      <c r="BZ998" s="74">
        <f t="shared" si="647"/>
        <v>0</v>
      </c>
    </row>
    <row r="999" spans="1:78" x14ac:dyDescent="0.25">
      <c r="A999" s="108" t="s">
        <v>274</v>
      </c>
      <c r="B999" s="12"/>
      <c r="C999" s="9">
        <v>17</v>
      </c>
      <c r="D999" s="25"/>
      <c r="E999" s="10" t="str">
        <f t="shared" si="648"/>
        <v>MarçoSEMANA 1Chiclete Japonês cx 48</v>
      </c>
      <c r="F999" s="7">
        <f>SUMIF(NF!$A:$A,$E999,NF!$I:$I)</f>
        <v>0</v>
      </c>
      <c r="G999" s="74"/>
      <c r="H999" s="74"/>
      <c r="I999" s="74"/>
      <c r="J999" s="6"/>
      <c r="K999" s="6"/>
      <c r="L999" s="6"/>
      <c r="M999" s="6"/>
      <c r="N999" s="7">
        <f t="shared" si="659"/>
        <v>0</v>
      </c>
      <c r="O999" s="11">
        <f t="shared" si="649"/>
        <v>17</v>
      </c>
      <c r="P999" s="25"/>
      <c r="Q999" s="10" t="str">
        <f t="shared" si="650"/>
        <v>MarçoSEMANA 2Chiclete Japonês cx 48</v>
      </c>
      <c r="R999" s="7">
        <f>SUMIF(NF!$A:$A,$Q999,NF!$I:$I)</f>
        <v>0</v>
      </c>
      <c r="S999" s="6"/>
      <c r="T999" s="6"/>
      <c r="U999" s="6"/>
      <c r="V999" s="6"/>
      <c r="W999" s="6"/>
      <c r="X999" s="6"/>
      <c r="Y999" s="6"/>
      <c r="Z999" s="7">
        <f t="shared" si="660"/>
        <v>0</v>
      </c>
      <c r="AA999" s="11">
        <f t="shared" si="651"/>
        <v>17</v>
      </c>
      <c r="AB999" s="25"/>
      <c r="AC999" s="10" t="str">
        <f t="shared" si="652"/>
        <v>MarçoSEMANA 3Chiclete Japonês cx 48</v>
      </c>
      <c r="AD999" s="7">
        <f>SUMIF(NF!$A:$A,$AC999,NF!$I:$I)</f>
        <v>0</v>
      </c>
      <c r="AE999" s="6">
        <v>3</v>
      </c>
      <c r="AF999" s="6"/>
      <c r="AG999" s="6"/>
      <c r="AH999" s="6"/>
      <c r="AI999" s="6">
        <v>1</v>
      </c>
      <c r="AJ999" s="6"/>
      <c r="AK999" s="6"/>
      <c r="AL999" s="7">
        <f t="shared" si="661"/>
        <v>4</v>
      </c>
      <c r="AM999" s="11">
        <f t="shared" si="653"/>
        <v>13</v>
      </c>
      <c r="AN999" s="25"/>
      <c r="AO999" s="10" t="str">
        <f t="shared" si="654"/>
        <v>MarçoSEMANA 4Chiclete Japonês cx 48</v>
      </c>
      <c r="AP999" s="7">
        <f>SUMIF(NF!$A:$A,$AO999,NF!$I:$I)</f>
        <v>0</v>
      </c>
      <c r="AQ999" s="6"/>
      <c r="AR999" s="6"/>
      <c r="AS999" s="6"/>
      <c r="AT999" s="6"/>
      <c r="AU999" s="6"/>
      <c r="AV999" s="6"/>
      <c r="AW999" s="6"/>
      <c r="AX999" s="7">
        <f t="shared" si="662"/>
        <v>0</v>
      </c>
      <c r="AY999" s="11">
        <f t="shared" si="655"/>
        <v>13</v>
      </c>
      <c r="AZ999" s="25"/>
      <c r="BA999" s="10" t="str">
        <f t="shared" si="656"/>
        <v>MarçoSEMANA 5Chiclete Japonês cx 48</v>
      </c>
      <c r="BB999" s="7">
        <f>SUMIF(NF!$A:$A,$BA999,NF!$I:$I)</f>
        <v>0</v>
      </c>
      <c r="BC999" s="6"/>
      <c r="BD999" s="6"/>
      <c r="BE999" s="6"/>
      <c r="BF999" s="6"/>
      <c r="BG999" s="6"/>
      <c r="BH999" s="6"/>
      <c r="BI999" s="74"/>
      <c r="BJ999" s="74"/>
      <c r="BK999" s="7">
        <f t="shared" si="663"/>
        <v>0</v>
      </c>
      <c r="BL999" s="8">
        <f t="shared" si="657"/>
        <v>13</v>
      </c>
      <c r="BM999" s="51" t="str">
        <f>IFERROR(VLOOKUP(A999,NF!$M:$O,3,0),"")</f>
        <v>Vendas Caixa</v>
      </c>
      <c r="BN999" s="7">
        <f t="shared" si="658"/>
        <v>4</v>
      </c>
      <c r="BO999" s="8">
        <f t="array" ref="BO999">IFERROR(LARGE(IF(NF!$G$2:$G$3137='Mês atual'!A999,NF!$J$2:$J$3137),1),0)*BN999</f>
        <v>0</v>
      </c>
      <c r="BP999" s="50"/>
      <c r="BR999" s="146">
        <f t="array" ref="BR999">IFERROR(LARGE(IF(NF!$G$2:$G$3137='Mês atual'!A999,NF!$J$2:$J$3137),1),0)</f>
        <v>0</v>
      </c>
      <c r="BS999" s="142" t="str">
        <f>VLOOKUP(A999,NF!M:O,3,0)</f>
        <v>Vendas Caixa</v>
      </c>
      <c r="BV999" s="74">
        <f t="shared" si="643"/>
        <v>0</v>
      </c>
      <c r="BW999" s="74">
        <f t="shared" si="644"/>
        <v>0</v>
      </c>
      <c r="BX999" s="74">
        <f t="shared" si="645"/>
        <v>4</v>
      </c>
      <c r="BY999" s="74">
        <f t="shared" si="646"/>
        <v>0</v>
      </c>
      <c r="BZ999" s="74">
        <f t="shared" si="647"/>
        <v>0</v>
      </c>
    </row>
    <row r="1000" spans="1:78" x14ac:dyDescent="0.25">
      <c r="A1000" s="108" t="s">
        <v>278</v>
      </c>
      <c r="B1000" s="12"/>
      <c r="C1000" s="9">
        <v>0</v>
      </c>
      <c r="D1000" s="25"/>
      <c r="E1000" s="10" t="str">
        <f t="shared" si="648"/>
        <v>MarçoSEMANA 1Choco Diet</v>
      </c>
      <c r="F1000" s="7">
        <f>SUMIF(NF!$A:$A,$E1000,NF!$I:$I)</f>
        <v>0</v>
      </c>
      <c r="G1000" s="74"/>
      <c r="H1000" s="74"/>
      <c r="I1000" s="74"/>
      <c r="J1000" s="6"/>
      <c r="K1000" s="6"/>
      <c r="L1000" s="6"/>
      <c r="M1000" s="6"/>
      <c r="N1000" s="7">
        <f t="shared" si="659"/>
        <v>0</v>
      </c>
      <c r="O1000" s="11">
        <f t="shared" si="649"/>
        <v>0</v>
      </c>
      <c r="P1000" s="25"/>
      <c r="Q1000" s="10" t="str">
        <f t="shared" si="650"/>
        <v>MarçoSEMANA 2Choco Diet</v>
      </c>
      <c r="R1000" s="7">
        <f>SUMIF(NF!$A:$A,$Q1000,NF!$I:$I)</f>
        <v>0</v>
      </c>
      <c r="S1000" s="6"/>
      <c r="T1000" s="6"/>
      <c r="U1000" s="6"/>
      <c r="V1000" s="6"/>
      <c r="W1000" s="6"/>
      <c r="X1000" s="6"/>
      <c r="Y1000" s="6"/>
      <c r="Z1000" s="7">
        <f t="shared" si="660"/>
        <v>0</v>
      </c>
      <c r="AA1000" s="11">
        <f t="shared" si="651"/>
        <v>0</v>
      </c>
      <c r="AB1000" s="25"/>
      <c r="AC1000" s="10" t="str">
        <f t="shared" si="652"/>
        <v>MarçoSEMANA 3Choco Diet</v>
      </c>
      <c r="AD1000" s="7">
        <f>SUMIF(NF!$A:$A,$AC1000,NF!$I:$I)</f>
        <v>0</v>
      </c>
      <c r="AE1000" s="6"/>
      <c r="AF1000" s="6"/>
      <c r="AG1000" s="6"/>
      <c r="AH1000" s="6"/>
      <c r="AI1000" s="6"/>
      <c r="AJ1000" s="6"/>
      <c r="AK1000" s="6"/>
      <c r="AL1000" s="7">
        <f t="shared" si="661"/>
        <v>0</v>
      </c>
      <c r="AM1000" s="11">
        <f t="shared" si="653"/>
        <v>0</v>
      </c>
      <c r="AN1000" s="25"/>
      <c r="AO1000" s="10" t="str">
        <f t="shared" si="654"/>
        <v>MarçoSEMANA 4Choco Diet</v>
      </c>
      <c r="AP1000" s="7">
        <f>SUMIF(NF!$A:$A,$AO1000,NF!$I:$I)</f>
        <v>0</v>
      </c>
      <c r="AQ1000" s="6"/>
      <c r="AR1000" s="6"/>
      <c r="AS1000" s="6"/>
      <c r="AT1000" s="6"/>
      <c r="AU1000" s="6"/>
      <c r="AV1000" s="6"/>
      <c r="AW1000" s="6"/>
      <c r="AX1000" s="7">
        <f t="shared" si="662"/>
        <v>0</v>
      </c>
      <c r="AY1000" s="11">
        <f t="shared" si="655"/>
        <v>0</v>
      </c>
      <c r="AZ1000" s="25"/>
      <c r="BA1000" s="10" t="str">
        <f t="shared" si="656"/>
        <v>MarçoSEMANA 5Choco Diet</v>
      </c>
      <c r="BB1000" s="7">
        <f>SUMIF(NF!$A:$A,$BA1000,NF!$I:$I)</f>
        <v>0</v>
      </c>
      <c r="BC1000" s="6"/>
      <c r="BD1000" s="6"/>
      <c r="BE1000" s="6"/>
      <c r="BF1000" s="6"/>
      <c r="BG1000" s="6"/>
      <c r="BH1000" s="6"/>
      <c r="BI1000" s="74"/>
      <c r="BJ1000" s="74"/>
      <c r="BK1000" s="7">
        <f t="shared" si="663"/>
        <v>0</v>
      </c>
      <c r="BL1000" s="8">
        <f t="shared" si="657"/>
        <v>0</v>
      </c>
      <c r="BM1000" s="51" t="str">
        <f>IFERROR(VLOOKUP(A1000,NF!$M:$O,3,0),"")</f>
        <v>Vendas Caixa</v>
      </c>
      <c r="BN1000" s="7">
        <f t="shared" si="658"/>
        <v>0</v>
      </c>
      <c r="BO1000" s="8">
        <f t="array" ref="BO1000">IFERROR(LARGE(IF(NF!$G$2:$G$3137='Mês atual'!A1000,NF!$J$2:$J$3137),1),0)*BN1000</f>
        <v>0</v>
      </c>
      <c r="BP1000" s="50"/>
      <c r="BR1000" s="146">
        <f t="array" ref="BR1000">IFERROR(LARGE(IF(NF!$G$2:$G$3137='Mês atual'!A1000,NF!$J$2:$J$3137),1),0)</f>
        <v>0</v>
      </c>
      <c r="BS1000" s="142" t="str">
        <f>VLOOKUP(A1000,NF!M:O,3,0)</f>
        <v>Vendas Caixa</v>
      </c>
      <c r="BV1000" s="74">
        <f t="shared" si="643"/>
        <v>0</v>
      </c>
      <c r="BW1000" s="74">
        <f t="shared" si="644"/>
        <v>0</v>
      </c>
      <c r="BX1000" s="74">
        <f t="shared" si="645"/>
        <v>0</v>
      </c>
      <c r="BY1000" s="74">
        <f t="shared" si="646"/>
        <v>0</v>
      </c>
      <c r="BZ1000" s="74">
        <f t="shared" si="647"/>
        <v>0</v>
      </c>
    </row>
    <row r="1001" spans="1:78" x14ac:dyDescent="0.25">
      <c r="A1001" s="108" t="s">
        <v>316</v>
      </c>
      <c r="B1001" s="12"/>
      <c r="C1001" s="9">
        <v>0</v>
      </c>
      <c r="D1001" s="25"/>
      <c r="E1001" s="10" t="str">
        <f t="shared" si="648"/>
        <v>MarçoSEMANA 1Cupcake</v>
      </c>
      <c r="F1001" s="7">
        <f>SUMIF(NF!$A:$A,$E1001,NF!$I:$I)</f>
        <v>0</v>
      </c>
      <c r="G1001" s="74"/>
      <c r="H1001" s="74"/>
      <c r="I1001" s="74"/>
      <c r="J1001" s="6"/>
      <c r="K1001" s="6"/>
      <c r="L1001" s="6"/>
      <c r="M1001" s="6"/>
      <c r="N1001" s="7">
        <f t="shared" si="659"/>
        <v>0</v>
      </c>
      <c r="O1001" s="11">
        <f t="shared" si="649"/>
        <v>0</v>
      </c>
      <c r="P1001" s="25"/>
      <c r="Q1001" s="10" t="str">
        <f t="shared" si="650"/>
        <v>MarçoSEMANA 2Cupcake</v>
      </c>
      <c r="R1001" s="7">
        <f>SUMIF(NF!$A:$A,$Q1001,NF!$I:$I)</f>
        <v>0</v>
      </c>
      <c r="S1001" s="6"/>
      <c r="T1001" s="6"/>
      <c r="U1001" s="6"/>
      <c r="V1001" s="6"/>
      <c r="W1001" s="6"/>
      <c r="X1001" s="6"/>
      <c r="Y1001" s="6"/>
      <c r="Z1001" s="7">
        <f t="shared" si="660"/>
        <v>0</v>
      </c>
      <c r="AA1001" s="11">
        <f t="shared" si="651"/>
        <v>0</v>
      </c>
      <c r="AB1001" s="25"/>
      <c r="AC1001" s="10" t="str">
        <f t="shared" si="652"/>
        <v>MarçoSEMANA 3Cupcake</v>
      </c>
      <c r="AD1001" s="7">
        <f>SUMIF(NF!$A:$A,$AC1001,NF!$I:$I)</f>
        <v>0</v>
      </c>
      <c r="AE1001" s="6"/>
      <c r="AF1001" s="6"/>
      <c r="AG1001" s="6"/>
      <c r="AH1001" s="6"/>
      <c r="AI1001" s="6"/>
      <c r="AJ1001" s="6"/>
      <c r="AK1001" s="6"/>
      <c r="AL1001" s="7">
        <f t="shared" si="661"/>
        <v>0</v>
      </c>
      <c r="AM1001" s="11">
        <f t="shared" si="653"/>
        <v>0</v>
      </c>
      <c r="AN1001" s="25"/>
      <c r="AO1001" s="10" t="str">
        <f t="shared" si="654"/>
        <v>MarçoSEMANA 4Cupcake</v>
      </c>
      <c r="AP1001" s="7">
        <f>SUMIF(NF!$A:$A,$AO1001,NF!$I:$I)</f>
        <v>0</v>
      </c>
      <c r="AQ1001" s="6"/>
      <c r="AR1001" s="6"/>
      <c r="AS1001" s="6"/>
      <c r="AT1001" s="6"/>
      <c r="AU1001" s="6"/>
      <c r="AV1001" s="6"/>
      <c r="AW1001" s="6"/>
      <c r="AX1001" s="7">
        <f t="shared" si="662"/>
        <v>0</v>
      </c>
      <c r="AY1001" s="11">
        <f t="shared" si="655"/>
        <v>0</v>
      </c>
      <c r="AZ1001" s="25"/>
      <c r="BA1001" s="10" t="str">
        <f t="shared" si="656"/>
        <v>MarçoSEMANA 5Cupcake</v>
      </c>
      <c r="BB1001" s="7">
        <f>SUMIF(NF!$A:$A,$BA1001,NF!$I:$I)</f>
        <v>0</v>
      </c>
      <c r="BC1001" s="6"/>
      <c r="BD1001" s="6"/>
      <c r="BE1001" s="6"/>
      <c r="BF1001" s="6"/>
      <c r="BG1001" s="6"/>
      <c r="BH1001" s="6"/>
      <c r="BI1001" s="74"/>
      <c r="BJ1001" s="74"/>
      <c r="BK1001" s="7">
        <f t="shared" si="663"/>
        <v>0</v>
      </c>
      <c r="BL1001" s="8">
        <f t="shared" si="657"/>
        <v>0</v>
      </c>
      <c r="BM1001" s="51" t="str">
        <f>IFERROR(VLOOKUP(A1001,NF!$M:$O,3,0),"")</f>
        <v>Vendas Caixa</v>
      </c>
      <c r="BN1001" s="7">
        <f t="shared" si="658"/>
        <v>0</v>
      </c>
      <c r="BO1001" s="8">
        <f t="array" ref="BO1001">IFERROR(LARGE(IF(NF!$G$2:$G$3137='Mês atual'!A1001,NF!$J$2:$J$3137),1),0)*BN1001</f>
        <v>0</v>
      </c>
      <c r="BP1001" s="50"/>
      <c r="BR1001" s="146">
        <f t="array" ref="BR1001">IFERROR(LARGE(IF(NF!$G$2:$G$3137='Mês atual'!A1001,NF!$J$2:$J$3137),1),0)</f>
        <v>0</v>
      </c>
      <c r="BS1001" s="142" t="str">
        <f>VLOOKUP(A1001,NF!M:O,3,0)</f>
        <v>Vendas Caixa</v>
      </c>
      <c r="BV1001" s="74">
        <f t="shared" si="643"/>
        <v>0</v>
      </c>
      <c r="BW1001" s="74">
        <f t="shared" si="644"/>
        <v>0</v>
      </c>
      <c r="BX1001" s="74">
        <f t="shared" si="645"/>
        <v>0</v>
      </c>
      <c r="BY1001" s="74">
        <f t="shared" si="646"/>
        <v>0</v>
      </c>
      <c r="BZ1001" s="74">
        <f t="shared" si="647"/>
        <v>0</v>
      </c>
    </row>
    <row r="1002" spans="1:78" x14ac:dyDescent="0.25">
      <c r="A1002" s="108" t="s">
        <v>551</v>
      </c>
      <c r="B1002" s="12"/>
      <c r="C1002" s="9">
        <v>0</v>
      </c>
      <c r="D1002" s="25"/>
      <c r="E1002" s="10" t="str">
        <f t="shared" si="648"/>
        <v>MarçoSEMANA 1Ovos Pontudos 14 gr</v>
      </c>
      <c r="F1002" s="7">
        <f>SUMIF(NF!$A:$A,$E1002,NF!$I:$I)</f>
        <v>0</v>
      </c>
      <c r="G1002" s="74"/>
      <c r="H1002" s="74"/>
      <c r="I1002" s="74"/>
      <c r="J1002" s="6"/>
      <c r="K1002" s="6"/>
      <c r="L1002" s="6"/>
      <c r="M1002" s="6"/>
      <c r="N1002" s="7">
        <f t="shared" si="659"/>
        <v>0</v>
      </c>
      <c r="O1002" s="11">
        <f t="shared" si="649"/>
        <v>0</v>
      </c>
      <c r="P1002" s="25"/>
      <c r="Q1002" s="10" t="str">
        <f t="shared" si="650"/>
        <v>MarçoSEMANA 2Ovos Pontudos 14 gr</v>
      </c>
      <c r="R1002" s="7">
        <f>SUMIF(NF!$A:$A,$Q1002,NF!$I:$I)</f>
        <v>0</v>
      </c>
      <c r="S1002" s="6"/>
      <c r="T1002" s="6"/>
      <c r="U1002" s="6"/>
      <c r="V1002" s="6"/>
      <c r="W1002" s="6"/>
      <c r="X1002" s="6"/>
      <c r="Y1002" s="6"/>
      <c r="Z1002" s="7">
        <f t="shared" si="660"/>
        <v>0</v>
      </c>
      <c r="AA1002" s="11">
        <f t="shared" si="651"/>
        <v>0</v>
      </c>
      <c r="AB1002" s="25"/>
      <c r="AC1002" s="10" t="str">
        <f t="shared" si="652"/>
        <v>MarçoSEMANA 3Ovos Pontudos 14 gr</v>
      </c>
      <c r="AD1002" s="7">
        <f>SUMIF(NF!$A:$A,$AC1002,NF!$I:$I)</f>
        <v>0</v>
      </c>
      <c r="AE1002" s="6"/>
      <c r="AF1002" s="6"/>
      <c r="AG1002" s="6"/>
      <c r="AH1002" s="6"/>
      <c r="AI1002" s="6"/>
      <c r="AJ1002" s="6"/>
      <c r="AK1002" s="6"/>
      <c r="AL1002" s="7">
        <f t="shared" si="661"/>
        <v>0</v>
      </c>
      <c r="AM1002" s="11">
        <f t="shared" si="653"/>
        <v>0</v>
      </c>
      <c r="AN1002" s="25"/>
      <c r="AO1002" s="10" t="str">
        <f t="shared" si="654"/>
        <v>MarçoSEMANA 4Ovos Pontudos 14 gr</v>
      </c>
      <c r="AP1002" s="7">
        <f>SUMIF(NF!$A:$A,$AO1002,NF!$I:$I)</f>
        <v>0</v>
      </c>
      <c r="AQ1002" s="6"/>
      <c r="AR1002" s="6"/>
      <c r="AS1002" s="6"/>
      <c r="AT1002" s="6"/>
      <c r="AU1002" s="6"/>
      <c r="AV1002" s="6"/>
      <c r="AW1002" s="6"/>
      <c r="AX1002" s="7">
        <f t="shared" si="662"/>
        <v>0</v>
      </c>
      <c r="AY1002" s="11">
        <f t="shared" si="655"/>
        <v>0</v>
      </c>
      <c r="AZ1002" s="25"/>
      <c r="BA1002" s="10" t="str">
        <f t="shared" si="656"/>
        <v>MarçoSEMANA 5Ovos Pontudos 14 gr</v>
      </c>
      <c r="BB1002" s="7">
        <f>SUMIF(NF!$A:$A,$BA1002,NF!$I:$I)</f>
        <v>0</v>
      </c>
      <c r="BC1002" s="6"/>
      <c r="BD1002" s="6"/>
      <c r="BE1002" s="6"/>
      <c r="BF1002" s="6"/>
      <c r="BG1002" s="6"/>
      <c r="BH1002" s="6"/>
      <c r="BI1002" s="74"/>
      <c r="BJ1002" s="74"/>
      <c r="BK1002" s="7">
        <f t="shared" si="663"/>
        <v>0</v>
      </c>
      <c r="BL1002" s="8">
        <f t="shared" si="657"/>
        <v>0</v>
      </c>
      <c r="BM1002" s="51" t="str">
        <f>IFERROR(VLOOKUP(A1002,NF!$M:$O,3,0),"")</f>
        <v>Vendas Caixa</v>
      </c>
      <c r="BN1002" s="7">
        <f t="shared" si="658"/>
        <v>0</v>
      </c>
      <c r="BO1002" s="8">
        <f t="array" ref="BO1002">IFERROR(LARGE(IF(NF!$G$2:$G$3137='Mês atual'!A1002,NF!$J$2:$J$3137),1),0)*BN1002</f>
        <v>0</v>
      </c>
      <c r="BP1002" s="50"/>
      <c r="BR1002" s="146">
        <f t="array" ref="BR1002">IFERROR(LARGE(IF(NF!$G$2:$G$3137='Mês atual'!A1002,NF!$J$2:$J$3137),1),0)</f>
        <v>0</v>
      </c>
      <c r="BS1002" s="142" t="str">
        <f>VLOOKUP(A1002,NF!M:O,3,0)</f>
        <v>Vendas Caixa</v>
      </c>
      <c r="BV1002" s="74">
        <f t="shared" si="643"/>
        <v>0</v>
      </c>
      <c r="BW1002" s="74">
        <f t="shared" si="644"/>
        <v>0</v>
      </c>
      <c r="BX1002" s="74">
        <f t="shared" si="645"/>
        <v>0</v>
      </c>
      <c r="BY1002" s="74">
        <f t="shared" si="646"/>
        <v>0</v>
      </c>
      <c r="BZ1002" s="74">
        <f t="shared" si="647"/>
        <v>0</v>
      </c>
    </row>
    <row r="1003" spans="1:78" x14ac:dyDescent="0.25">
      <c r="A1003" s="108" t="s">
        <v>777</v>
      </c>
      <c r="B1003" s="12"/>
      <c r="C1003" s="9">
        <v>0</v>
      </c>
      <c r="D1003" s="25"/>
      <c r="E1003" s="10" t="str">
        <f t="shared" si="648"/>
        <v>MarçoSEMANA 1Tablet Diet</v>
      </c>
      <c r="F1003" s="7">
        <f>SUMIF(NF!$A:$A,$E1003,NF!$I:$I)</f>
        <v>0</v>
      </c>
      <c r="G1003" s="74"/>
      <c r="H1003" s="74"/>
      <c r="I1003" s="74"/>
      <c r="J1003" s="6"/>
      <c r="K1003" s="6"/>
      <c r="L1003" s="6"/>
      <c r="M1003" s="6"/>
      <c r="N1003" s="7">
        <f t="shared" si="659"/>
        <v>0</v>
      </c>
      <c r="O1003" s="11">
        <f t="shared" si="649"/>
        <v>0</v>
      </c>
      <c r="P1003" s="25"/>
      <c r="Q1003" s="10" t="str">
        <f t="shared" si="650"/>
        <v>MarçoSEMANA 2Tablet Diet</v>
      </c>
      <c r="R1003" s="7">
        <f>SUMIF(NF!$A:$A,$Q1003,NF!$I:$I)</f>
        <v>0</v>
      </c>
      <c r="S1003" s="6"/>
      <c r="T1003" s="6"/>
      <c r="U1003" s="6"/>
      <c r="V1003" s="6"/>
      <c r="W1003" s="6"/>
      <c r="X1003" s="6"/>
      <c r="Y1003" s="6"/>
      <c r="Z1003" s="7">
        <f t="shared" si="660"/>
        <v>0</v>
      </c>
      <c r="AA1003" s="11">
        <f t="shared" si="651"/>
        <v>0</v>
      </c>
      <c r="AB1003" s="25"/>
      <c r="AC1003" s="10" t="str">
        <f t="shared" si="652"/>
        <v>MarçoSEMANA 3Tablet Diet</v>
      </c>
      <c r="AD1003" s="7">
        <f>SUMIF(NF!$A:$A,$AC1003,NF!$I:$I)</f>
        <v>0</v>
      </c>
      <c r="AE1003" s="6"/>
      <c r="AF1003" s="6"/>
      <c r="AG1003" s="6"/>
      <c r="AH1003" s="6"/>
      <c r="AI1003" s="6"/>
      <c r="AJ1003" s="6"/>
      <c r="AK1003" s="6"/>
      <c r="AL1003" s="7">
        <f t="shared" si="661"/>
        <v>0</v>
      </c>
      <c r="AM1003" s="11">
        <f t="shared" si="653"/>
        <v>0</v>
      </c>
      <c r="AN1003" s="25"/>
      <c r="AO1003" s="10" t="str">
        <f t="shared" si="654"/>
        <v>MarçoSEMANA 4Tablet Diet</v>
      </c>
      <c r="AP1003" s="7">
        <f>SUMIF(NF!$A:$A,$AO1003,NF!$I:$I)</f>
        <v>50</v>
      </c>
      <c r="AQ1003" s="6"/>
      <c r="AR1003" s="6"/>
      <c r="AS1003" s="6"/>
      <c r="AT1003" s="6"/>
      <c r="AU1003" s="6"/>
      <c r="AV1003" s="6"/>
      <c r="AW1003" s="6"/>
      <c r="AX1003" s="7">
        <f t="shared" si="662"/>
        <v>0</v>
      </c>
      <c r="AY1003" s="11">
        <f t="shared" si="655"/>
        <v>50</v>
      </c>
      <c r="AZ1003" s="25"/>
      <c r="BA1003" s="10" t="str">
        <f t="shared" si="656"/>
        <v>MarçoSEMANA 5Tablet Diet</v>
      </c>
      <c r="BB1003" s="7">
        <f>SUMIF(NF!$A:$A,$BA1003,NF!$I:$I)</f>
        <v>0</v>
      </c>
      <c r="BC1003" s="6"/>
      <c r="BD1003" s="6"/>
      <c r="BE1003" s="6"/>
      <c r="BF1003" s="6"/>
      <c r="BG1003" s="6"/>
      <c r="BH1003" s="6"/>
      <c r="BI1003" s="74"/>
      <c r="BJ1003" s="74"/>
      <c r="BK1003" s="7">
        <f t="shared" si="663"/>
        <v>0</v>
      </c>
      <c r="BL1003" s="8">
        <f t="shared" si="657"/>
        <v>50</v>
      </c>
      <c r="BM1003" s="51" t="str">
        <f>IFERROR(VLOOKUP(A1003,NF!$M:$O,3,0),"")</f>
        <v>Vendas Caixa</v>
      </c>
      <c r="BN1003" s="7">
        <f t="shared" si="658"/>
        <v>0</v>
      </c>
      <c r="BO1003" s="8">
        <f t="array" ref="BO1003">IFERROR(LARGE(IF(NF!$G$2:$G$3137='Mês atual'!A1003,NF!$J$2:$J$3137),1),0)*BN1003</f>
        <v>0</v>
      </c>
      <c r="BP1003" s="50"/>
      <c r="BR1003" s="146">
        <f t="array" ref="BR1003">IFERROR(LARGE(IF(NF!$G$2:$G$3137='Mês atual'!A1003,NF!$J$2:$J$3137),1),0)</f>
        <v>2.1375000000000002</v>
      </c>
      <c r="BS1003" s="142" t="str">
        <f>VLOOKUP(A1003,NF!M:O,3,0)</f>
        <v>Vendas Caixa</v>
      </c>
      <c r="BV1003" s="74">
        <f t="shared" si="643"/>
        <v>0</v>
      </c>
      <c r="BW1003" s="74">
        <f t="shared" si="644"/>
        <v>0</v>
      </c>
      <c r="BX1003" s="74">
        <f t="shared" si="645"/>
        <v>0</v>
      </c>
      <c r="BY1003" s="74">
        <f t="shared" si="646"/>
        <v>0</v>
      </c>
      <c r="BZ1003" s="74">
        <f t="shared" si="647"/>
        <v>0</v>
      </c>
    </row>
    <row r="1004" spans="1:78" x14ac:dyDescent="0.25">
      <c r="A1004" s="108" t="s">
        <v>785</v>
      </c>
      <c r="B1004" s="12"/>
      <c r="C1004" s="9">
        <v>0</v>
      </c>
      <c r="D1004" s="25"/>
      <c r="E1004" s="10" t="str">
        <f t="shared" si="648"/>
        <v>MarçoSEMANA 1Tic Tac</v>
      </c>
      <c r="F1004" s="7">
        <f>SUMIF(NF!$A:$A,$E1004,NF!$I:$I)</f>
        <v>0</v>
      </c>
      <c r="G1004" s="74"/>
      <c r="H1004" s="74"/>
      <c r="I1004" s="74"/>
      <c r="J1004" s="6"/>
      <c r="K1004" s="6"/>
      <c r="L1004" s="6"/>
      <c r="M1004" s="6"/>
      <c r="N1004" s="7">
        <f t="shared" si="659"/>
        <v>0</v>
      </c>
      <c r="O1004" s="11">
        <f t="shared" si="649"/>
        <v>0</v>
      </c>
      <c r="P1004" s="25"/>
      <c r="Q1004" s="10" t="str">
        <f t="shared" si="650"/>
        <v>MarçoSEMANA 2Tic Tac</v>
      </c>
      <c r="R1004" s="7">
        <f>SUMIF(NF!$A:$A,$Q1004,NF!$I:$I)</f>
        <v>0</v>
      </c>
      <c r="S1004" s="6"/>
      <c r="T1004" s="6"/>
      <c r="U1004" s="6"/>
      <c r="V1004" s="6"/>
      <c r="W1004" s="6"/>
      <c r="X1004" s="6"/>
      <c r="Y1004" s="6"/>
      <c r="Z1004" s="7">
        <f t="shared" si="660"/>
        <v>0</v>
      </c>
      <c r="AA1004" s="11">
        <f t="shared" si="651"/>
        <v>0</v>
      </c>
      <c r="AB1004" s="25"/>
      <c r="AC1004" s="10" t="str">
        <f t="shared" si="652"/>
        <v>MarçoSEMANA 3Tic Tac</v>
      </c>
      <c r="AD1004" s="7">
        <f>SUMIF(NF!$A:$A,$AC1004,NF!$I:$I)</f>
        <v>0</v>
      </c>
      <c r="AE1004" s="6"/>
      <c r="AF1004" s="6"/>
      <c r="AG1004" s="6"/>
      <c r="AH1004" s="6"/>
      <c r="AI1004" s="6"/>
      <c r="AJ1004" s="6"/>
      <c r="AK1004" s="6"/>
      <c r="AL1004" s="7">
        <f t="shared" si="661"/>
        <v>0</v>
      </c>
      <c r="AM1004" s="11">
        <f t="shared" si="653"/>
        <v>0</v>
      </c>
      <c r="AN1004" s="25"/>
      <c r="AO1004" s="10" t="str">
        <f t="shared" si="654"/>
        <v>MarçoSEMANA 4Tic Tac</v>
      </c>
      <c r="AP1004" s="7">
        <f>SUMIF(NF!$A:$A,$AO1004,NF!$I:$I)</f>
        <v>0</v>
      </c>
      <c r="AQ1004" s="6"/>
      <c r="AR1004" s="6"/>
      <c r="AS1004" s="6"/>
      <c r="AT1004" s="6"/>
      <c r="AU1004" s="6"/>
      <c r="AV1004" s="6"/>
      <c r="AW1004" s="6"/>
      <c r="AX1004" s="7">
        <f t="shared" si="662"/>
        <v>0</v>
      </c>
      <c r="AY1004" s="11">
        <f t="shared" si="655"/>
        <v>0</v>
      </c>
      <c r="AZ1004" s="25"/>
      <c r="BA1004" s="10" t="str">
        <f t="shared" si="656"/>
        <v>MarçoSEMANA 5Tic Tac</v>
      </c>
      <c r="BB1004" s="7">
        <f>SUMIF(NF!$A:$A,$BA1004,NF!$I:$I)</f>
        <v>0</v>
      </c>
      <c r="BC1004" s="6"/>
      <c r="BD1004" s="6"/>
      <c r="BE1004" s="6"/>
      <c r="BF1004" s="6"/>
      <c r="BG1004" s="6"/>
      <c r="BH1004" s="6"/>
      <c r="BI1004" s="74"/>
      <c r="BJ1004" s="74"/>
      <c r="BK1004" s="7">
        <f t="shared" si="663"/>
        <v>0</v>
      </c>
      <c r="BL1004" s="8">
        <f t="shared" si="657"/>
        <v>0</v>
      </c>
      <c r="BM1004" s="51" t="str">
        <f>IFERROR(VLOOKUP(A1004,NF!$M:$O,3,0),"")</f>
        <v>Vendas Caixa</v>
      </c>
      <c r="BN1004" s="7">
        <f t="shared" si="658"/>
        <v>0</v>
      </c>
      <c r="BO1004" s="8">
        <f t="array" ref="BO1004">IFERROR(LARGE(IF(NF!$G$2:$G$3137='Mês atual'!A1004,NF!$J$2:$J$3137),1),0)*BN1004</f>
        <v>0</v>
      </c>
      <c r="BP1004" s="50"/>
      <c r="BR1004" s="146">
        <f t="array" ref="BR1004">IFERROR(LARGE(IF(NF!$G$2:$G$3137='Mês atual'!A1004,NF!$J$2:$J$3137),1),0)</f>
        <v>0</v>
      </c>
      <c r="BS1004" s="142" t="str">
        <f>VLOOKUP(A1004,NF!M:O,3,0)</f>
        <v>Vendas Caixa</v>
      </c>
      <c r="BV1004" s="74">
        <f t="shared" si="643"/>
        <v>0</v>
      </c>
      <c r="BW1004" s="74">
        <f t="shared" si="644"/>
        <v>0</v>
      </c>
      <c r="BX1004" s="74">
        <f t="shared" si="645"/>
        <v>0</v>
      </c>
      <c r="BY1004" s="74">
        <f t="shared" si="646"/>
        <v>0</v>
      </c>
      <c r="BZ1004" s="74">
        <f t="shared" si="647"/>
        <v>0</v>
      </c>
    </row>
    <row r="1005" spans="1:78" x14ac:dyDescent="0.25">
      <c r="A1005" s="108" t="s">
        <v>823</v>
      </c>
      <c r="B1005" s="12"/>
      <c r="C1005" s="9">
        <v>6</v>
      </c>
      <c r="D1005" s="25"/>
      <c r="E1005" s="10" t="str">
        <f t="shared" si="648"/>
        <v>MarçoSEMANA 1Trident</v>
      </c>
      <c r="F1005" s="7">
        <f>SUMIF(NF!$A:$A,$E1005,NF!$I:$I)</f>
        <v>0</v>
      </c>
      <c r="G1005" s="74"/>
      <c r="H1005" s="74"/>
      <c r="I1005" s="74"/>
      <c r="J1005" s="6"/>
      <c r="K1005" s="6">
        <v>3</v>
      </c>
      <c r="L1005" s="6"/>
      <c r="M1005" s="6"/>
      <c r="N1005" s="7">
        <f t="shared" si="659"/>
        <v>3</v>
      </c>
      <c r="O1005" s="11">
        <f t="shared" si="649"/>
        <v>3</v>
      </c>
      <c r="P1005" s="25"/>
      <c r="Q1005" s="10" t="str">
        <f t="shared" si="650"/>
        <v>MarçoSEMANA 2Trident</v>
      </c>
      <c r="R1005" s="7">
        <f>SUMIF(NF!$A:$A,$Q1005,NF!$I:$I)</f>
        <v>0</v>
      </c>
      <c r="S1005" s="6"/>
      <c r="T1005" s="6"/>
      <c r="U1005" s="6"/>
      <c r="V1005" s="6"/>
      <c r="W1005" s="6"/>
      <c r="X1005" s="6"/>
      <c r="Y1005" s="6"/>
      <c r="Z1005" s="7">
        <f t="shared" si="660"/>
        <v>0</v>
      </c>
      <c r="AA1005" s="11">
        <f t="shared" si="651"/>
        <v>3</v>
      </c>
      <c r="AB1005" s="25"/>
      <c r="AC1005" s="10" t="str">
        <f t="shared" si="652"/>
        <v>MarçoSEMANA 3Trident</v>
      </c>
      <c r="AD1005" s="7">
        <f>SUMIF(NF!$A:$A,$AC1005,NF!$I:$I)</f>
        <v>0</v>
      </c>
      <c r="AE1005" s="6">
        <v>1</v>
      </c>
      <c r="AF1005" s="6"/>
      <c r="AG1005" s="6"/>
      <c r="AH1005" s="6"/>
      <c r="AI1005" s="6"/>
      <c r="AJ1005" s="6"/>
      <c r="AK1005" s="6"/>
      <c r="AL1005" s="7">
        <f t="shared" si="661"/>
        <v>1</v>
      </c>
      <c r="AM1005" s="11">
        <f t="shared" si="653"/>
        <v>2</v>
      </c>
      <c r="AN1005" s="25"/>
      <c r="AO1005" s="10" t="str">
        <f t="shared" si="654"/>
        <v>MarçoSEMANA 4Trident</v>
      </c>
      <c r="AP1005" s="7">
        <f>SUMIF(NF!$A:$A,$AO1005,NF!$I:$I)</f>
        <v>15</v>
      </c>
      <c r="AQ1005" s="6"/>
      <c r="AR1005" s="6"/>
      <c r="AS1005" s="6"/>
      <c r="AT1005" s="6"/>
      <c r="AU1005" s="6"/>
      <c r="AV1005" s="6">
        <v>4</v>
      </c>
      <c r="AW1005" s="6"/>
      <c r="AX1005" s="7">
        <f t="shared" si="662"/>
        <v>4</v>
      </c>
      <c r="AY1005" s="11">
        <f t="shared" si="655"/>
        <v>13</v>
      </c>
      <c r="AZ1005" s="25"/>
      <c r="BA1005" s="10" t="str">
        <f t="shared" si="656"/>
        <v>MarçoSEMANA 5Trident</v>
      </c>
      <c r="BB1005" s="7">
        <f>SUMIF(NF!$A:$A,$BA1005,NF!$I:$I)</f>
        <v>0</v>
      </c>
      <c r="BC1005" s="6"/>
      <c r="BD1005" s="6"/>
      <c r="BE1005" s="6">
        <v>5</v>
      </c>
      <c r="BF1005" s="6"/>
      <c r="BG1005" s="6"/>
      <c r="BH1005" s="6"/>
      <c r="BI1005" s="74"/>
      <c r="BJ1005" s="74"/>
      <c r="BK1005" s="7">
        <f t="shared" si="663"/>
        <v>5</v>
      </c>
      <c r="BL1005" s="8">
        <f t="shared" si="657"/>
        <v>8</v>
      </c>
      <c r="BM1005" s="51" t="str">
        <f>IFERROR(VLOOKUP(A1005,NF!$M:$O,3,0),"")</f>
        <v>Vendas Caixa</v>
      </c>
      <c r="BN1005" s="7">
        <f t="shared" si="658"/>
        <v>13</v>
      </c>
      <c r="BO1005" s="8">
        <f t="array" ref="BO1005">IFERROR(LARGE(IF(NF!$G$2:$G$3137='Mês atual'!A1005,NF!$J$2:$J$3137),1),0)*BN1005</f>
        <v>227.5</v>
      </c>
      <c r="BP1005" s="50"/>
      <c r="BR1005" s="146">
        <f t="array" ref="BR1005">IFERROR(LARGE(IF(NF!$G$2:$G$3137='Mês atual'!A1005,NF!$J$2:$J$3137),1),0)</f>
        <v>17.5</v>
      </c>
      <c r="BS1005" s="142" t="str">
        <f>VLOOKUP(A1005,NF!M:O,3,0)</f>
        <v>Vendas Caixa</v>
      </c>
      <c r="BV1005" s="74">
        <f t="shared" si="643"/>
        <v>3</v>
      </c>
      <c r="BW1005" s="74">
        <f t="shared" si="644"/>
        <v>0</v>
      </c>
      <c r="BX1005" s="74">
        <f t="shared" si="645"/>
        <v>1</v>
      </c>
      <c r="BY1005" s="74">
        <f t="shared" si="646"/>
        <v>4</v>
      </c>
      <c r="BZ1005" s="74">
        <f t="shared" si="647"/>
        <v>5</v>
      </c>
    </row>
    <row r="1006" spans="1:78" ht="15.75" thickBot="1" x14ac:dyDescent="0.3">
      <c r="A1006" s="108" t="s">
        <v>826</v>
      </c>
      <c r="B1006" s="12"/>
      <c r="C1006" s="9">
        <v>0</v>
      </c>
      <c r="D1006" s="25"/>
      <c r="E1006" s="10" t="str">
        <f t="shared" si="648"/>
        <v>MarçoSEMANA 1Trufas Diversas</v>
      </c>
      <c r="F1006" s="7">
        <f>SUMIF(NF!$A:$A,$E1006,NF!$I:$I)</f>
        <v>0</v>
      </c>
      <c r="G1006" s="74"/>
      <c r="H1006" s="74"/>
      <c r="I1006" s="74"/>
      <c r="J1006" s="6"/>
      <c r="K1006" s="6"/>
      <c r="L1006" s="6"/>
      <c r="M1006" s="6"/>
      <c r="N1006" s="7">
        <f t="shared" si="659"/>
        <v>0</v>
      </c>
      <c r="O1006" s="11">
        <f t="shared" si="649"/>
        <v>0</v>
      </c>
      <c r="P1006" s="25"/>
      <c r="Q1006" s="10" t="str">
        <f t="shared" si="650"/>
        <v>MarçoSEMANA 2Trufas Diversas</v>
      </c>
      <c r="R1006" s="7">
        <f>SUMIF(NF!$A:$A,$Q1006,NF!$I:$I)</f>
        <v>0</v>
      </c>
      <c r="S1006" s="6"/>
      <c r="T1006" s="6"/>
      <c r="U1006" s="6"/>
      <c r="V1006" s="6"/>
      <c r="W1006" s="6"/>
      <c r="X1006" s="6"/>
      <c r="Y1006" s="6"/>
      <c r="Z1006" s="7">
        <f t="shared" si="660"/>
        <v>0</v>
      </c>
      <c r="AA1006" s="11">
        <f t="shared" si="651"/>
        <v>0</v>
      </c>
      <c r="AB1006" s="25"/>
      <c r="AC1006" s="10" t="str">
        <f t="shared" si="652"/>
        <v>MarçoSEMANA 3Trufas Diversas</v>
      </c>
      <c r="AD1006" s="7">
        <f>SUMIF(NF!$A:$A,$AC1006,NF!$I:$I)</f>
        <v>0</v>
      </c>
      <c r="AE1006" s="6"/>
      <c r="AF1006" s="6"/>
      <c r="AG1006" s="6"/>
      <c r="AH1006" s="6"/>
      <c r="AI1006" s="6"/>
      <c r="AJ1006" s="6"/>
      <c r="AK1006" s="6"/>
      <c r="AL1006" s="7">
        <f t="shared" si="661"/>
        <v>0</v>
      </c>
      <c r="AM1006" s="11">
        <f t="shared" si="653"/>
        <v>0</v>
      </c>
      <c r="AN1006" s="25"/>
      <c r="AO1006" s="10" t="str">
        <f t="shared" si="654"/>
        <v>MarçoSEMANA 4Trufas Diversas</v>
      </c>
      <c r="AP1006" s="7">
        <f>SUMIF(NF!$A:$A,$AO1006,NF!$I:$I)</f>
        <v>0</v>
      </c>
      <c r="AQ1006" s="6"/>
      <c r="AR1006" s="6"/>
      <c r="AS1006" s="6"/>
      <c r="AT1006" s="6"/>
      <c r="AU1006" s="6"/>
      <c r="AV1006" s="6"/>
      <c r="AW1006" s="6"/>
      <c r="AX1006" s="7">
        <f t="shared" si="662"/>
        <v>0</v>
      </c>
      <c r="AY1006" s="11">
        <f t="shared" si="655"/>
        <v>0</v>
      </c>
      <c r="AZ1006" s="25"/>
      <c r="BA1006" s="10" t="str">
        <f t="shared" si="656"/>
        <v>MarçoSEMANA 5Trufas Diversas</v>
      </c>
      <c r="BB1006" s="7">
        <f>SUMIF(NF!$A:$A,$BA1006,NF!$I:$I)</f>
        <v>0</v>
      </c>
      <c r="BC1006" s="6"/>
      <c r="BD1006" s="6"/>
      <c r="BE1006" s="6"/>
      <c r="BF1006" s="6"/>
      <c r="BG1006" s="6"/>
      <c r="BH1006" s="6"/>
      <c r="BI1006" s="74"/>
      <c r="BJ1006" s="74"/>
      <c r="BK1006" s="7">
        <f t="shared" si="663"/>
        <v>0</v>
      </c>
      <c r="BL1006" s="8">
        <f t="shared" si="657"/>
        <v>0</v>
      </c>
      <c r="BM1006" s="51" t="str">
        <f>IFERROR(VLOOKUP(A1006,NF!$M:$O,3,0),"")</f>
        <v>Vendas Caixa</v>
      </c>
      <c r="BN1006" s="7">
        <f t="shared" si="658"/>
        <v>0</v>
      </c>
      <c r="BO1006" s="8">
        <f t="array" ref="BO1006">IFERROR(LARGE(IF(NF!$G$2:$G$3137='Mês atual'!A1006,NF!$J$2:$J$3137),1),0)*BN1006</f>
        <v>0</v>
      </c>
      <c r="BP1006" s="50"/>
      <c r="BR1006" s="146">
        <f t="array" ref="BR1006">IFERROR(LARGE(IF(NF!$G$2:$G$3137='Mês atual'!A1006,NF!$J$2:$J$3137),1),0)</f>
        <v>0</v>
      </c>
      <c r="BS1006" s="142" t="str">
        <f>VLOOKUP(A1006,NF!M:O,3,0)</f>
        <v>Vendas Caixa</v>
      </c>
      <c r="BV1006" s="74">
        <f t="shared" si="643"/>
        <v>0</v>
      </c>
      <c r="BW1006" s="74">
        <f t="shared" si="644"/>
        <v>0</v>
      </c>
      <c r="BX1006" s="74">
        <f t="shared" si="645"/>
        <v>0</v>
      </c>
      <c r="BY1006" s="74">
        <f t="shared" si="646"/>
        <v>0</v>
      </c>
      <c r="BZ1006" s="74">
        <f t="shared" si="647"/>
        <v>0</v>
      </c>
    </row>
    <row r="1007" spans="1:78" ht="15.75" thickBot="1" x14ac:dyDescent="0.3">
      <c r="A1007" s="109"/>
      <c r="B1007" s="64"/>
      <c r="C1007" s="64"/>
      <c r="D1007" s="58"/>
      <c r="E1007" s="97"/>
      <c r="F1007" s="64"/>
      <c r="G1007" s="58"/>
      <c r="H1007" s="58"/>
      <c r="I1007" s="58"/>
      <c r="J1007" s="58"/>
      <c r="K1007" s="58"/>
      <c r="L1007" s="58"/>
      <c r="M1007" s="58"/>
      <c r="N1007" s="58"/>
      <c r="O1007" s="64"/>
      <c r="P1007" s="58"/>
      <c r="Q1007" s="97"/>
      <c r="R1007" s="64"/>
      <c r="S1007" s="58"/>
      <c r="T1007" s="58"/>
      <c r="U1007" s="58"/>
      <c r="V1007" s="58"/>
      <c r="W1007" s="58"/>
      <c r="X1007" s="58"/>
      <c r="Y1007" s="58"/>
      <c r="Z1007" s="58"/>
      <c r="AA1007" s="64"/>
      <c r="AB1007" s="58"/>
      <c r="AC1007" s="97"/>
      <c r="AD1007" s="64"/>
      <c r="AE1007" s="58"/>
      <c r="AF1007" s="58"/>
      <c r="AG1007" s="58"/>
      <c r="AH1007" s="58"/>
      <c r="AI1007" s="58"/>
      <c r="AJ1007" s="58"/>
      <c r="AK1007" s="58"/>
      <c r="AL1007" s="58"/>
      <c r="AM1007" s="64"/>
      <c r="AN1007" s="58"/>
      <c r="AO1007" s="97"/>
      <c r="AP1007" s="64"/>
      <c r="AQ1007" s="58"/>
      <c r="AR1007" s="58"/>
      <c r="AS1007" s="58"/>
      <c r="AT1007" s="58"/>
      <c r="AU1007" s="58"/>
      <c r="AV1007" s="58"/>
      <c r="AW1007" s="58"/>
      <c r="AX1007" s="58"/>
      <c r="AY1007" s="64"/>
      <c r="AZ1007" s="58"/>
      <c r="BA1007" s="97"/>
      <c r="BB1007" s="64"/>
      <c r="BC1007" s="58"/>
      <c r="BD1007" s="58"/>
      <c r="BE1007" s="58"/>
      <c r="BF1007" s="58"/>
      <c r="BG1007" s="58"/>
      <c r="BH1007" s="58"/>
      <c r="BI1007" s="58"/>
      <c r="BJ1007" s="58"/>
      <c r="BK1007" s="58"/>
      <c r="BL1007" s="64"/>
      <c r="BM1007" s="58"/>
      <c r="BN1007" s="98"/>
      <c r="BO1007" s="99"/>
      <c r="BP1007" s="50"/>
      <c r="BV1007" s="155">
        <f>SUM(BV5:BV1006)</f>
        <v>5505.3849999999993</v>
      </c>
      <c r="BW1007" s="155">
        <f t="shared" si="644"/>
        <v>0</v>
      </c>
      <c r="BX1007" s="155">
        <f t="shared" si="645"/>
        <v>0</v>
      </c>
      <c r="BY1007" s="155">
        <f t="shared" si="646"/>
        <v>0</v>
      </c>
      <c r="BZ1007" s="155">
        <f t="shared" si="647"/>
        <v>0</v>
      </c>
    </row>
    <row r="1008" spans="1:78" s="2" customFormat="1" ht="15.75" thickBot="1" x14ac:dyDescent="0.3">
      <c r="A1008" s="100" t="s">
        <v>57</v>
      </c>
      <c r="B1008" s="57"/>
      <c r="C1008" s="62"/>
      <c r="D1008" s="50"/>
      <c r="E1008" s="54"/>
      <c r="F1008" s="63"/>
      <c r="G1008" s="67">
        <f t="shared" ref="G1008:M1008" si="664">SUMPRODUCT(G5:G1006,$BR$5:$BR$1006)</f>
        <v>0</v>
      </c>
      <c r="H1008" s="67">
        <f t="shared" si="664"/>
        <v>0</v>
      </c>
      <c r="I1008" s="67">
        <f t="shared" si="664"/>
        <v>0</v>
      </c>
      <c r="J1008" s="67">
        <f t="shared" si="664"/>
        <v>8486.0770672068666</v>
      </c>
      <c r="K1008" s="67">
        <f t="shared" si="664"/>
        <v>5027.3302875560612</v>
      </c>
      <c r="L1008" s="67">
        <f t="shared" si="664"/>
        <v>3878.4174113186004</v>
      </c>
      <c r="M1008" s="67">
        <f t="shared" si="664"/>
        <v>5814.891815667057</v>
      </c>
      <c r="N1008" s="68">
        <f>SUM(G1008:M1008)</f>
        <v>23206.716581748587</v>
      </c>
      <c r="O1008" s="59"/>
      <c r="P1008" s="50"/>
      <c r="Q1008" s="54"/>
      <c r="R1008" s="63"/>
      <c r="S1008" s="67">
        <f t="shared" ref="S1008:Y1008" si="665">SUMPRODUCT(S5:S1006,$BR$5:$BR$1006)</f>
        <v>5911.9739476705263</v>
      </c>
      <c r="T1008" s="67">
        <f t="shared" si="665"/>
        <v>4505.9163436588178</v>
      </c>
      <c r="U1008" s="67">
        <f t="shared" si="665"/>
        <v>4077.3087163023738</v>
      </c>
      <c r="V1008" s="67">
        <f t="shared" si="665"/>
        <v>4712.8853554128418</v>
      </c>
      <c r="W1008" s="67">
        <f t="shared" si="665"/>
        <v>7034.7807612280631</v>
      </c>
      <c r="X1008" s="67">
        <f t="shared" si="665"/>
        <v>6077.8311677316315</v>
      </c>
      <c r="Y1008" s="67">
        <f t="shared" si="665"/>
        <v>5215.9435164066726</v>
      </c>
      <c r="Z1008" s="68">
        <f>SUM(S1008:Y1008)</f>
        <v>37536.639808410924</v>
      </c>
      <c r="AA1008" s="59"/>
      <c r="AB1008" s="50"/>
      <c r="AC1008" s="54"/>
      <c r="AD1008" s="63"/>
      <c r="AE1008" s="67">
        <f t="shared" ref="AE1008:AK1008" si="666">SUMPRODUCT(AE5:AE1006,$BR$5:$BR$1006)</f>
        <v>5339.8997444832075</v>
      </c>
      <c r="AF1008" s="67">
        <f t="shared" si="666"/>
        <v>5047.6011454263489</v>
      </c>
      <c r="AG1008" s="67">
        <f t="shared" si="666"/>
        <v>6020.5351664727204</v>
      </c>
      <c r="AH1008" s="67">
        <f t="shared" si="666"/>
        <v>5620.7800885268834</v>
      </c>
      <c r="AI1008" s="67">
        <f t="shared" si="666"/>
        <v>5073.2191861685051</v>
      </c>
      <c r="AJ1008" s="67">
        <f t="shared" si="666"/>
        <v>5203.5656212662698</v>
      </c>
      <c r="AK1008" s="67">
        <f t="shared" si="666"/>
        <v>7013.1392626698562</v>
      </c>
      <c r="AL1008" s="68">
        <f>SUM(AE1008:AK1008)</f>
        <v>39318.740215013793</v>
      </c>
      <c r="AM1008" s="59"/>
      <c r="AN1008" s="50"/>
      <c r="AO1008" s="54"/>
      <c r="AP1008" s="63"/>
      <c r="AQ1008" s="67">
        <f t="shared" ref="AQ1008:AW1008" si="667">SUMPRODUCT(AQ5:AQ1006,$BR$5:$BR$1006)</f>
        <v>7137.6136017563686</v>
      </c>
      <c r="AR1008" s="67">
        <f t="shared" si="667"/>
        <v>4592.441085309345</v>
      </c>
      <c r="AS1008" s="67">
        <f t="shared" si="667"/>
        <v>4953.5572496439545</v>
      </c>
      <c r="AT1008" s="67">
        <f t="shared" si="667"/>
        <v>5258.1936184090473</v>
      </c>
      <c r="AU1008" s="67">
        <f t="shared" si="667"/>
        <v>6345.7564749171979</v>
      </c>
      <c r="AV1008" s="67">
        <f t="shared" si="667"/>
        <v>4703.1314140463337</v>
      </c>
      <c r="AW1008" s="67">
        <f t="shared" si="667"/>
        <v>5223.0196338489086</v>
      </c>
      <c r="AX1008" s="68">
        <f>SUM(AQ1008:AW1008)</f>
        <v>38213.713077931163</v>
      </c>
      <c r="AY1008" s="59"/>
      <c r="AZ1008" s="50"/>
      <c r="BA1008" s="54"/>
      <c r="BB1008" s="63"/>
      <c r="BC1008" s="67">
        <f t="shared" ref="BC1008:BJ1008" si="668">SUMPRODUCT(BC5:BC1006,$BR$5:$BR$1006)</f>
        <v>4468.0319625169504</v>
      </c>
      <c r="BD1008" s="67">
        <f t="shared" si="668"/>
        <v>25094.813494409296</v>
      </c>
      <c r="BE1008" s="67">
        <f t="shared" si="668"/>
        <v>5648.0743281437217</v>
      </c>
      <c r="BF1008" s="67">
        <f t="shared" si="668"/>
        <v>4322.6078946408625</v>
      </c>
      <c r="BG1008" s="67">
        <f t="shared" si="668"/>
        <v>4546.8793443318928</v>
      </c>
      <c r="BH1008" s="67">
        <f t="shared" si="668"/>
        <v>4941.553989902879</v>
      </c>
      <c r="BI1008" s="67">
        <f t="shared" si="668"/>
        <v>0</v>
      </c>
      <c r="BJ1008" s="67">
        <f t="shared" si="668"/>
        <v>0</v>
      </c>
      <c r="BK1008" s="68">
        <f>SUM(BC1008:BJ1008)</f>
        <v>49021.961013945605</v>
      </c>
      <c r="BL1008" s="59"/>
      <c r="BM1008" s="50"/>
      <c r="BN1008" s="55"/>
      <c r="BO1008" s="101">
        <f>SUM(BO5:BO1006)</f>
        <v>187297.77069704994</v>
      </c>
      <c r="BP1008" s="50"/>
      <c r="BQ1008" s="143"/>
      <c r="BR1008" s="143"/>
      <c r="BS1008" s="143"/>
      <c r="BT1008" s="143"/>
      <c r="BU1008" s="143"/>
    </row>
    <row r="1009" spans="1:73" ht="15.75" thickBot="1" x14ac:dyDescent="0.3">
      <c r="A1009" s="110"/>
      <c r="B1009" s="62"/>
      <c r="C1009" s="102"/>
      <c r="D1009" s="50"/>
      <c r="E1009" s="103"/>
      <c r="F1009" s="102"/>
      <c r="G1009" s="69"/>
      <c r="H1009" s="69"/>
      <c r="I1009" s="69"/>
      <c r="J1009" s="69"/>
      <c r="K1009" s="69"/>
      <c r="L1009" s="69"/>
      <c r="M1009" s="69"/>
      <c r="N1009" s="69"/>
      <c r="O1009" s="102"/>
      <c r="P1009" s="50"/>
      <c r="Q1009" s="103"/>
      <c r="R1009" s="102"/>
      <c r="S1009" s="69"/>
      <c r="T1009" s="69"/>
      <c r="U1009" s="69"/>
      <c r="V1009" s="69"/>
      <c r="W1009" s="69"/>
      <c r="X1009" s="69"/>
      <c r="Y1009" s="69"/>
      <c r="Z1009" s="69"/>
      <c r="AA1009" s="102"/>
      <c r="AB1009" s="50"/>
      <c r="AC1009" s="103"/>
      <c r="AD1009" s="102"/>
      <c r="AE1009" s="69"/>
      <c r="AF1009" s="69"/>
      <c r="AG1009" s="69"/>
      <c r="AH1009" s="69"/>
      <c r="AI1009" s="69"/>
      <c r="AJ1009" s="69"/>
      <c r="AK1009" s="69"/>
      <c r="AL1009" s="69"/>
      <c r="AM1009" s="102"/>
      <c r="AN1009" s="50"/>
      <c r="AO1009" s="103"/>
      <c r="AP1009" s="102"/>
      <c r="AQ1009" s="69"/>
      <c r="AR1009" s="69"/>
      <c r="AS1009" s="69"/>
      <c r="AT1009" s="69"/>
      <c r="AU1009" s="69"/>
      <c r="AV1009" s="69"/>
      <c r="AW1009" s="69"/>
      <c r="AX1009" s="69"/>
      <c r="AY1009" s="102"/>
      <c r="AZ1009" s="50"/>
      <c r="BA1009" s="103"/>
      <c r="BB1009" s="102"/>
      <c r="BC1009" s="69"/>
      <c r="BD1009" s="69"/>
      <c r="BE1009" s="69"/>
      <c r="BF1009" s="69"/>
      <c r="BG1009" s="69"/>
      <c r="BH1009" s="69"/>
      <c r="BI1009" s="69"/>
      <c r="BJ1009" s="69"/>
      <c r="BK1009" s="69"/>
      <c r="BL1009" s="102"/>
      <c r="BM1009" s="50"/>
      <c r="BN1009" s="104"/>
      <c r="BO1009" s="105"/>
      <c r="BP1009" s="50"/>
    </row>
    <row r="1010" spans="1:73" s="2" customFormat="1" ht="15.75" thickBot="1" x14ac:dyDescent="0.3">
      <c r="A1010" s="100" t="s">
        <v>58</v>
      </c>
      <c r="B1010" s="57"/>
      <c r="C1010" s="62"/>
      <c r="D1010" s="50"/>
      <c r="E1010" s="54"/>
      <c r="F1010" s="63"/>
      <c r="G1010" s="67">
        <f t="shared" ref="G1010:M1010" si="669">SUMPRODUCT(G5:G1006,$BR$5:$BR$1006,--($BS$5:$BS$1006="Carnes"))</f>
        <v>0</v>
      </c>
      <c r="H1010" s="67">
        <f t="shared" si="669"/>
        <v>0</v>
      </c>
      <c r="I1010" s="67">
        <f t="shared" si="669"/>
        <v>0</v>
      </c>
      <c r="J1010" s="67">
        <f t="shared" si="669"/>
        <v>3187.4074909999999</v>
      </c>
      <c r="K1010" s="67">
        <f t="shared" si="669"/>
        <v>1301.7266285999999</v>
      </c>
      <c r="L1010" s="67">
        <f t="shared" si="669"/>
        <v>1248.0723199999998</v>
      </c>
      <c r="M1010" s="67">
        <f t="shared" si="669"/>
        <v>2232.5043478835819</v>
      </c>
      <c r="N1010" s="68">
        <f>SUM(G1010:M1010)</f>
        <v>7969.7107874835801</v>
      </c>
      <c r="O1010" s="59"/>
      <c r="P1010" s="50"/>
      <c r="Q1010" s="54"/>
      <c r="R1010" s="63"/>
      <c r="S1010" s="67">
        <f t="shared" ref="S1010:Y1010" si="670">SUMPRODUCT(S5:S1006,$BR$5:$BR$1006,--($BS$5:$BS$1006="Carnes"))</f>
        <v>2116.2967680000002</v>
      </c>
      <c r="T1010" s="67">
        <f t="shared" si="670"/>
        <v>1524.7611531999999</v>
      </c>
      <c r="U1010" s="67">
        <f t="shared" si="670"/>
        <v>1021.5616600000002</v>
      </c>
      <c r="V1010" s="67">
        <f t="shared" si="670"/>
        <v>2292.4635468956403</v>
      </c>
      <c r="W1010" s="67">
        <f t="shared" si="670"/>
        <v>2155.8729785999994</v>
      </c>
      <c r="X1010" s="67">
        <f t="shared" si="670"/>
        <v>2393.5957720000006</v>
      </c>
      <c r="Y1010" s="67">
        <f t="shared" si="670"/>
        <v>1747.8383567164178</v>
      </c>
      <c r="Z1010" s="68">
        <f>SUM(S1010:Y1010)</f>
        <v>13252.39023541206</v>
      </c>
      <c r="AA1010" s="59"/>
      <c r="AB1010" s="50"/>
      <c r="AC1010" s="54"/>
      <c r="AD1010" s="63"/>
      <c r="AE1010" s="67">
        <f t="shared" ref="AE1010:AK1010" si="671">SUMPRODUCT(AE5:AE1006,$BR$5:$BR$1006,--($BS$5:$BS$1006="Carnes"))</f>
        <v>1785.5750384</v>
      </c>
      <c r="AF1010" s="67">
        <f t="shared" si="671"/>
        <v>1905.6175079999998</v>
      </c>
      <c r="AG1010" s="67">
        <f t="shared" si="671"/>
        <v>2292.6697563999996</v>
      </c>
      <c r="AH1010" s="67">
        <f t="shared" si="671"/>
        <v>2374.2866131999999</v>
      </c>
      <c r="AI1010" s="67">
        <f t="shared" si="671"/>
        <v>1015.149128</v>
      </c>
      <c r="AJ1010" s="67">
        <f t="shared" si="671"/>
        <v>1710.7819536000002</v>
      </c>
      <c r="AK1010" s="67">
        <f t="shared" si="671"/>
        <v>3504.3708895999998</v>
      </c>
      <c r="AL1010" s="68">
        <f>SUM(AE1010:AK1010)</f>
        <v>14588.450887200001</v>
      </c>
      <c r="AM1010" s="59"/>
      <c r="AN1010" s="50"/>
      <c r="AO1010" s="54"/>
      <c r="AP1010" s="63"/>
      <c r="AQ1010" s="67">
        <f t="shared" ref="AQ1010:AW1010" si="672">SUMPRODUCT(AQ5:AQ1006,$BR$5:$BR$1006,--($BS$5:$BS$1006="Carnes"))</f>
        <v>3971.4284729999999</v>
      </c>
      <c r="AR1010" s="67">
        <f t="shared" si="672"/>
        <v>1156.8865799999999</v>
      </c>
      <c r="AS1010" s="67">
        <f t="shared" si="672"/>
        <v>1912.2585999999999</v>
      </c>
      <c r="AT1010" s="67">
        <f t="shared" si="672"/>
        <v>2361.9880944000006</v>
      </c>
      <c r="AU1010" s="67">
        <f t="shared" si="672"/>
        <v>1969.2122530000004</v>
      </c>
      <c r="AV1010" s="67">
        <f t="shared" si="672"/>
        <v>1360.5328367283582</v>
      </c>
      <c r="AW1010" s="67">
        <f t="shared" si="672"/>
        <v>2068.67677</v>
      </c>
      <c r="AX1010" s="68">
        <f>SUM(AQ1010:AW1010)</f>
        <v>14800.983607128359</v>
      </c>
      <c r="AY1010" s="59"/>
      <c r="AZ1010" s="50"/>
      <c r="BA1010" s="54"/>
      <c r="BB1010" s="63"/>
      <c r="BC1010" s="67">
        <f t="shared" ref="BC1010:BJ1010" si="673">SUMPRODUCT(BC5:BC1006,$BR$5:$BR$1006,--($BS$5:$BS$1006="Carnes"))</f>
        <v>1325.3554530000001</v>
      </c>
      <c r="BD1010" s="67">
        <f t="shared" si="673"/>
        <v>2861.0596752000001</v>
      </c>
      <c r="BE1010" s="67">
        <f t="shared" si="673"/>
        <v>2015.2069245</v>
      </c>
      <c r="BF1010" s="67">
        <f t="shared" si="673"/>
        <v>1604.9234000000001</v>
      </c>
      <c r="BG1010" s="67">
        <f t="shared" si="673"/>
        <v>1554.3458773038305</v>
      </c>
      <c r="BH1010" s="67">
        <f t="shared" si="673"/>
        <v>2035.5347000000004</v>
      </c>
      <c r="BI1010" s="67">
        <f t="shared" si="673"/>
        <v>0</v>
      </c>
      <c r="BJ1010" s="67">
        <f t="shared" si="673"/>
        <v>0</v>
      </c>
      <c r="BK1010" s="68">
        <f>SUM(BC1010:BJ1010)</f>
        <v>11396.426030003831</v>
      </c>
      <c r="BL1010" s="59"/>
      <c r="BM1010" s="50"/>
      <c r="BN1010" s="55"/>
      <c r="BO1010" s="101">
        <f>SUMPRODUCT(BN5:BN1006,$BR$5:$BR$1006,--($BS$5:$BS$1006="Carnes"))</f>
        <v>62007.961547227809</v>
      </c>
      <c r="BP1010" s="50"/>
      <c r="BQ1010" s="143"/>
      <c r="BR1010" s="143"/>
      <c r="BS1010" s="143"/>
      <c r="BT1010" s="143"/>
      <c r="BU1010" s="143"/>
    </row>
    <row r="1011" spans="1:73" ht="15.75" thickBot="1" x14ac:dyDescent="0.3">
      <c r="A1011" s="110"/>
      <c r="B1011" s="62"/>
      <c r="C1011" s="102"/>
      <c r="D1011" s="50"/>
      <c r="E1011" s="103"/>
      <c r="F1011" s="102"/>
      <c r="G1011" s="69"/>
      <c r="H1011" s="69"/>
      <c r="I1011" s="69"/>
      <c r="J1011" s="69"/>
      <c r="K1011" s="69"/>
      <c r="L1011" s="69"/>
      <c r="M1011" s="69"/>
      <c r="N1011" s="69"/>
      <c r="O1011" s="102"/>
      <c r="P1011" s="50"/>
      <c r="Q1011" s="103"/>
      <c r="R1011" s="102"/>
      <c r="S1011" s="69"/>
      <c r="T1011" s="69"/>
      <c r="U1011" s="69"/>
      <c r="V1011" s="69"/>
      <c r="W1011" s="69"/>
      <c r="X1011" s="69"/>
      <c r="Y1011" s="69"/>
      <c r="Z1011" s="69"/>
      <c r="AA1011" s="102"/>
      <c r="AB1011" s="50"/>
      <c r="AC1011" s="103"/>
      <c r="AD1011" s="102"/>
      <c r="AE1011" s="69"/>
      <c r="AF1011" s="69"/>
      <c r="AG1011" s="69"/>
      <c r="AH1011" s="69"/>
      <c r="AI1011" s="69"/>
      <c r="AJ1011" s="69"/>
      <c r="AK1011" s="69"/>
      <c r="AL1011" s="69"/>
      <c r="AM1011" s="102"/>
      <c r="AN1011" s="50"/>
      <c r="AO1011" s="103"/>
      <c r="AP1011" s="102"/>
      <c r="AQ1011" s="69"/>
      <c r="AR1011" s="69"/>
      <c r="AS1011" s="69"/>
      <c r="AT1011" s="69"/>
      <c r="AU1011" s="69"/>
      <c r="AV1011" s="69"/>
      <c r="AW1011" s="69"/>
      <c r="AX1011" s="69"/>
      <c r="AY1011" s="102"/>
      <c r="AZ1011" s="50"/>
      <c r="BA1011" s="103"/>
      <c r="BB1011" s="102"/>
      <c r="BC1011" s="69"/>
      <c r="BD1011" s="69"/>
      <c r="BE1011" s="69"/>
      <c r="BF1011" s="69"/>
      <c r="BG1011" s="69"/>
      <c r="BH1011" s="69"/>
      <c r="BI1011" s="69"/>
      <c r="BJ1011" s="69"/>
      <c r="BK1011" s="69"/>
      <c r="BL1011" s="102"/>
      <c r="BM1011" s="50"/>
      <c r="BN1011" s="104"/>
      <c r="BO1011" s="105"/>
      <c r="BP1011" s="50"/>
    </row>
    <row r="1012" spans="1:73" s="2" customFormat="1" ht="15.75" thickBot="1" x14ac:dyDescent="0.3">
      <c r="A1012" s="100" t="s">
        <v>59</v>
      </c>
      <c r="B1012" s="57"/>
      <c r="C1012" s="62"/>
      <c r="D1012" s="50"/>
      <c r="E1012" s="54"/>
      <c r="F1012" s="63"/>
      <c r="G1012" s="70">
        <f t="shared" ref="G1012:M1012" si="674">SUMIF($BS$5:$BS$1006,"Carnes",G5:G1006)</f>
        <v>0</v>
      </c>
      <c r="H1012" s="70">
        <f t="shared" si="674"/>
        <v>0</v>
      </c>
      <c r="I1012" s="70">
        <f t="shared" si="674"/>
        <v>0</v>
      </c>
      <c r="J1012" s="70">
        <f t="shared" si="674"/>
        <v>122.28800000000001</v>
      </c>
      <c r="K1012" s="70">
        <f t="shared" si="674"/>
        <v>84.93</v>
      </c>
      <c r="L1012" s="70">
        <f t="shared" si="674"/>
        <v>70.11099999999999</v>
      </c>
      <c r="M1012" s="70">
        <f t="shared" si="674"/>
        <v>71.577000000000012</v>
      </c>
      <c r="N1012" s="71">
        <f>SUM(G1012:M1012)</f>
        <v>348.90600000000001</v>
      </c>
      <c r="O1012" s="59"/>
      <c r="P1012" s="50"/>
      <c r="Q1012" s="54"/>
      <c r="R1012" s="63"/>
      <c r="S1012" s="70">
        <f t="shared" ref="S1012:Y1012" si="675">SUMIF($BS$5:$BS$1006,"Carnes",S5:S1006)</f>
        <v>102.035</v>
      </c>
      <c r="T1012" s="70">
        <f t="shared" si="675"/>
        <v>79.757999999999996</v>
      </c>
      <c r="U1012" s="70">
        <f t="shared" si="675"/>
        <v>66.358000000000004</v>
      </c>
      <c r="V1012" s="70">
        <f t="shared" si="675"/>
        <v>118.922</v>
      </c>
      <c r="W1012" s="70">
        <f t="shared" si="675"/>
        <v>99.582999999999998</v>
      </c>
      <c r="X1012" s="70">
        <f t="shared" si="675"/>
        <v>89.753</v>
      </c>
      <c r="Y1012" s="70">
        <f t="shared" si="675"/>
        <v>62.034999999999997</v>
      </c>
      <c r="Z1012" s="71">
        <f>SUM(S1012:Y1012)</f>
        <v>618.44399999999996</v>
      </c>
      <c r="AA1012" s="59"/>
      <c r="AB1012" s="50"/>
      <c r="AC1012" s="54"/>
      <c r="AD1012" s="63"/>
      <c r="AE1012" s="70">
        <f t="shared" ref="AE1012:AK1012" si="676">SUMIF($BS$5:$BS$1006,"Carnes",AE5:AE1006)</f>
        <v>75.176000000000002</v>
      </c>
      <c r="AF1012" s="70">
        <f t="shared" si="676"/>
        <v>71.052000000000007</v>
      </c>
      <c r="AG1012" s="70">
        <f t="shared" si="676"/>
        <v>93.292000000000002</v>
      </c>
      <c r="AH1012" s="70">
        <f t="shared" si="676"/>
        <v>100.029</v>
      </c>
      <c r="AI1012" s="70">
        <f t="shared" si="676"/>
        <v>69.338000000000008</v>
      </c>
      <c r="AJ1012" s="70">
        <f t="shared" si="676"/>
        <v>118.812</v>
      </c>
      <c r="AK1012" s="70">
        <f t="shared" si="676"/>
        <v>96.589999999999989</v>
      </c>
      <c r="AL1012" s="71">
        <f>SUM(AE1012:AK1012)</f>
        <v>624.28899999999999</v>
      </c>
      <c r="AM1012" s="59"/>
      <c r="AN1012" s="50"/>
      <c r="AO1012" s="54"/>
      <c r="AP1012" s="63"/>
      <c r="AQ1012" s="70">
        <f t="shared" ref="AQ1012:AW1012" si="677">SUMIF($BS$5:$BS$1006,"Carnes",AQ5:AQ1006)</f>
        <v>143.167</v>
      </c>
      <c r="AR1012" s="70">
        <f t="shared" si="677"/>
        <v>55.735999999999997</v>
      </c>
      <c r="AS1012" s="70">
        <f t="shared" si="677"/>
        <v>77.314999999999998</v>
      </c>
      <c r="AT1012" s="70">
        <f t="shared" si="677"/>
        <v>96.05</v>
      </c>
      <c r="AU1012" s="70">
        <f t="shared" si="677"/>
        <v>89.279999999999987</v>
      </c>
      <c r="AV1012" s="70">
        <f t="shared" si="677"/>
        <v>88.897000000000006</v>
      </c>
      <c r="AW1012" s="70">
        <f t="shared" si="677"/>
        <v>84.667000000000002</v>
      </c>
      <c r="AX1012" s="71">
        <f>SUM(AQ1012:AW1012)</f>
        <v>635.11199999999997</v>
      </c>
      <c r="AY1012" s="59"/>
      <c r="AZ1012" s="50"/>
      <c r="BA1012" s="54"/>
      <c r="BB1012" s="63"/>
      <c r="BC1012" s="70">
        <f t="shared" ref="BC1012:BJ1012" si="678">SUMIF($BS$5:$BS$1006,"Carnes",BC5:BC1006)</f>
        <v>74.72699999999999</v>
      </c>
      <c r="BD1012" s="70">
        <f t="shared" si="678"/>
        <v>89.674000000000007</v>
      </c>
      <c r="BE1012" s="70">
        <f t="shared" si="678"/>
        <v>133.76300000000001</v>
      </c>
      <c r="BF1012" s="70">
        <f t="shared" si="678"/>
        <v>87.238</v>
      </c>
      <c r="BG1012" s="70">
        <f t="shared" si="678"/>
        <v>56.058</v>
      </c>
      <c r="BH1012" s="70">
        <f t="shared" si="678"/>
        <v>86.745000000000005</v>
      </c>
      <c r="BI1012" s="70">
        <f t="shared" si="678"/>
        <v>0</v>
      </c>
      <c r="BJ1012" s="70">
        <f t="shared" si="678"/>
        <v>0</v>
      </c>
      <c r="BK1012" s="71">
        <f>SUM(BC1012:BJ1012)</f>
        <v>528.20499999999993</v>
      </c>
      <c r="BL1012" s="59"/>
      <c r="BM1012" s="50"/>
      <c r="BN1012" s="55"/>
      <c r="BO1012" s="106">
        <f>SUMIF($BS$5:$BS$1006,"Carnes",BN5:BN1006)</f>
        <v>2754.9559999999997</v>
      </c>
      <c r="BP1012" s="50"/>
      <c r="BQ1012" s="143"/>
      <c r="BR1012" s="143"/>
      <c r="BS1012" s="143"/>
      <c r="BT1012" s="143"/>
      <c r="BU1012" s="143"/>
    </row>
    <row r="1013" spans="1:73" ht="15.75" thickBot="1" x14ac:dyDescent="0.3">
      <c r="A1013" s="111"/>
      <c r="B1013" s="60"/>
      <c r="C1013" s="61"/>
      <c r="D1013" s="65"/>
      <c r="E1013" s="61"/>
      <c r="F1013" s="61"/>
      <c r="G1013" s="61"/>
      <c r="H1013" s="61"/>
      <c r="I1013" s="61"/>
      <c r="J1013" s="61"/>
      <c r="K1013" s="61"/>
      <c r="L1013" s="61"/>
      <c r="M1013" s="61"/>
      <c r="N1013" s="61"/>
      <c r="O1013" s="61"/>
      <c r="P1013" s="65"/>
      <c r="Q1013" s="61"/>
      <c r="R1013" s="61"/>
      <c r="S1013" s="61"/>
      <c r="T1013" s="61"/>
      <c r="U1013" s="61"/>
      <c r="V1013" s="61"/>
      <c r="W1013" s="61"/>
      <c r="X1013" s="61"/>
      <c r="Y1013" s="61"/>
      <c r="Z1013" s="61"/>
      <c r="AA1013" s="61"/>
      <c r="AB1013" s="65"/>
      <c r="AC1013" s="61"/>
      <c r="AD1013" s="61"/>
      <c r="AE1013" s="61"/>
      <c r="AF1013" s="61"/>
      <c r="AG1013" s="61"/>
      <c r="AH1013" s="61"/>
      <c r="AI1013" s="61"/>
      <c r="AJ1013" s="61"/>
      <c r="AK1013" s="61"/>
      <c r="AL1013" s="61"/>
      <c r="AM1013" s="61"/>
      <c r="AN1013" s="65"/>
      <c r="AO1013" s="61"/>
      <c r="AP1013" s="61"/>
      <c r="AQ1013" s="61"/>
      <c r="AR1013" s="61"/>
      <c r="AS1013" s="61"/>
      <c r="AT1013" s="61"/>
      <c r="AU1013" s="61"/>
      <c r="AV1013" s="61"/>
      <c r="AW1013" s="61"/>
      <c r="AX1013" s="61"/>
      <c r="AY1013" s="61"/>
      <c r="AZ1013" s="65"/>
      <c r="BA1013" s="61"/>
      <c r="BB1013" s="61"/>
      <c r="BC1013" s="61"/>
      <c r="BD1013" s="61"/>
      <c r="BE1013" s="61"/>
      <c r="BF1013" s="61"/>
      <c r="BG1013" s="61"/>
      <c r="BH1013" s="61"/>
      <c r="BI1013" s="61"/>
      <c r="BJ1013" s="61"/>
      <c r="BK1013" s="61"/>
      <c r="BL1013" s="61"/>
      <c r="BM1013" s="65"/>
      <c r="BN1013" s="66"/>
      <c r="BO1013" s="107"/>
      <c r="BP1013" s="56"/>
    </row>
    <row r="1018" spans="1:73" x14ac:dyDescent="0.25">
      <c r="A1018" s="114"/>
    </row>
    <row r="1019" spans="1:73" x14ac:dyDescent="0.25">
      <c r="B1019" s="5"/>
      <c r="C1019" s="26"/>
      <c r="D1019" s="26"/>
      <c r="E1019" s="26"/>
      <c r="F1019" s="26"/>
      <c r="G1019" s="26"/>
      <c r="H1019" s="26"/>
      <c r="I1019" s="26"/>
    </row>
    <row r="1020" spans="1:73" x14ac:dyDescent="0.25">
      <c r="A1020" s="113"/>
      <c r="B1020" s="5"/>
      <c r="C1020" s="27"/>
      <c r="D1020" s="26"/>
      <c r="E1020" s="26"/>
      <c r="F1020" s="26" t="s">
        <v>29</v>
      </c>
      <c r="G1020" s="27"/>
      <c r="H1020" s="26"/>
      <c r="I1020" s="26"/>
    </row>
    <row r="1021" spans="1:73" x14ac:dyDescent="0.25">
      <c r="B1021" s="5"/>
      <c r="C1021" s="27"/>
      <c r="D1021" s="26"/>
      <c r="E1021" s="26"/>
      <c r="F1021" s="26" t="s">
        <v>30</v>
      </c>
      <c r="G1021" s="27"/>
      <c r="H1021" s="26"/>
      <c r="I1021" s="26"/>
    </row>
    <row r="1022" spans="1:73" x14ac:dyDescent="0.25">
      <c r="B1022" s="5"/>
      <c r="C1022" s="27"/>
      <c r="D1022" s="26"/>
      <c r="E1022" s="26"/>
      <c r="F1022" s="26" t="s">
        <v>31</v>
      </c>
      <c r="G1022" s="27"/>
      <c r="H1022" s="26"/>
      <c r="I1022" s="26"/>
    </row>
    <row r="1023" spans="1:73" x14ac:dyDescent="0.25">
      <c r="A1023" s="113"/>
      <c r="B1023" s="5"/>
      <c r="C1023" s="27"/>
      <c r="D1023" s="26"/>
      <c r="E1023" s="26"/>
      <c r="F1023" s="26" t="s">
        <v>32</v>
      </c>
      <c r="G1023" s="27"/>
      <c r="H1023" s="26"/>
      <c r="I1023" s="26"/>
    </row>
    <row r="1024" spans="1:73" x14ac:dyDescent="0.25">
      <c r="B1024" s="5"/>
      <c r="C1024" s="27"/>
      <c r="D1024" s="26"/>
      <c r="E1024" s="26"/>
      <c r="F1024" s="26" t="s">
        <v>33</v>
      </c>
      <c r="G1024" s="27"/>
      <c r="H1024" s="26"/>
      <c r="I1024" s="26"/>
    </row>
    <row r="1025" spans="2:9" x14ac:dyDescent="0.25">
      <c r="B1025" s="5"/>
      <c r="C1025" s="27"/>
      <c r="D1025" s="26"/>
      <c r="E1025" s="26"/>
      <c r="F1025" s="26" t="s">
        <v>34</v>
      </c>
      <c r="G1025" s="27"/>
      <c r="H1025" s="26"/>
      <c r="I1025" s="26"/>
    </row>
    <row r="1026" spans="2:9" x14ac:dyDescent="0.25">
      <c r="B1026" s="5"/>
      <c r="C1026" s="27"/>
      <c r="D1026" s="26"/>
      <c r="E1026" s="26"/>
      <c r="F1026" s="26" t="s">
        <v>25</v>
      </c>
      <c r="G1026" s="27"/>
      <c r="H1026" s="26"/>
      <c r="I1026" s="26"/>
    </row>
    <row r="1027" spans="2:9" x14ac:dyDescent="0.25">
      <c r="B1027" s="5"/>
      <c r="C1027" s="27"/>
      <c r="D1027" s="26"/>
      <c r="E1027" s="26"/>
      <c r="F1027" s="26" t="s">
        <v>35</v>
      </c>
      <c r="G1027" s="26"/>
      <c r="H1027" s="26"/>
      <c r="I1027" s="26"/>
    </row>
    <row r="1028" spans="2:9" x14ac:dyDescent="0.25">
      <c r="B1028" s="5"/>
      <c r="C1028" s="27"/>
      <c r="D1028" s="26"/>
      <c r="E1028" s="26"/>
      <c r="F1028" s="26" t="s">
        <v>36</v>
      </c>
      <c r="G1028" s="26"/>
      <c r="H1028" s="26"/>
      <c r="I1028" s="26"/>
    </row>
    <row r="1029" spans="2:9" x14ac:dyDescent="0.25">
      <c r="B1029" s="5"/>
      <c r="C1029" s="27"/>
      <c r="D1029" s="26"/>
      <c r="E1029" s="26"/>
      <c r="F1029" s="26" t="s">
        <v>37</v>
      </c>
      <c r="G1029" s="26"/>
      <c r="H1029" s="26"/>
      <c r="I1029" s="26"/>
    </row>
    <row r="1030" spans="2:9" x14ac:dyDescent="0.25">
      <c r="B1030" s="5"/>
      <c r="C1030" s="27"/>
      <c r="D1030" s="26"/>
      <c r="E1030" s="26"/>
      <c r="F1030" s="26" t="s">
        <v>38</v>
      </c>
      <c r="G1030" s="26"/>
      <c r="H1030" s="26"/>
      <c r="I1030" s="26"/>
    </row>
    <row r="1031" spans="2:9" x14ac:dyDescent="0.25">
      <c r="B1031" s="5"/>
      <c r="C1031" s="27"/>
      <c r="D1031" s="26"/>
      <c r="E1031" s="26"/>
      <c r="F1031" s="26" t="s">
        <v>39</v>
      </c>
      <c r="G1031" s="26"/>
      <c r="H1031" s="26"/>
      <c r="I1031" s="26"/>
    </row>
  </sheetData>
  <sheetProtection selectLockedCells="1"/>
  <sortState ref="A4:BK316">
    <sortCondition ref="A4"/>
  </sortState>
  <mergeCells count="24">
    <mergeCell ref="BV1:BZ2"/>
    <mergeCell ref="BN1:BN3"/>
    <mergeCell ref="BO1:BO3"/>
    <mergeCell ref="AD1:AM1"/>
    <mergeCell ref="AP1:AY1"/>
    <mergeCell ref="AM2:AM3"/>
    <mergeCell ref="AL2:AL3"/>
    <mergeCell ref="AD2:AD3"/>
    <mergeCell ref="AP2:AP3"/>
    <mergeCell ref="AY2:AY3"/>
    <mergeCell ref="AX2:AX3"/>
    <mergeCell ref="BL2:BL3"/>
    <mergeCell ref="BK2:BK3"/>
    <mergeCell ref="BB2:BB3"/>
    <mergeCell ref="BB1:BL1"/>
    <mergeCell ref="A1:A3"/>
    <mergeCell ref="F2:F3"/>
    <mergeCell ref="N2:N3"/>
    <mergeCell ref="O2:O3"/>
    <mergeCell ref="R2:R3"/>
    <mergeCell ref="F1:O1"/>
    <mergeCell ref="R1:AA1"/>
    <mergeCell ref="AA2:AA3"/>
    <mergeCell ref="Z2:Z3"/>
  </mergeCells>
  <conditionalFormatting sqref="BO5 BO807:BO814 BO739:BO740 BO893 BO917 BO858:BO860 BO933:BO934 BO352:BO354 BO911:BO913 BO915 BO241:BO243 BO840 BO908:BO909 BO919:BO927 BO895:BO906 BO762:BO780 BO245:BO250 BO356:BO376 BO872:BO882 BO884:BO891 BO484:BO489 BO710:BO717 BO937:BO938 BO929:BO930 BO14:BO28 BO491:BO524 BO816:BO834 BO50:BO71 BO254:BO255 BO836:BO838 BO863:BO870 BO233:BO239 BO782:BO788 BO790:BO805 BO719:BO728 BO842:BO856">
    <cfRule type="cellIs" dxfId="364" priority="342" operator="lessThan">
      <formula>0</formula>
    </cfRule>
  </conditionalFormatting>
  <conditionalFormatting sqref="BO943 BO997:BO1006 BO956:BO961 BO945:BO950 BO741:BO742 BO759:BO760 BO747:BO756 BO744:BO745 BO952 BO954 BO963:BO983">
    <cfRule type="cellIs" dxfId="363" priority="341" operator="lessThan">
      <formula>0</formula>
    </cfRule>
  </conditionalFormatting>
  <conditionalFormatting sqref="BO806">
    <cfRule type="cellIs" dxfId="362" priority="340" operator="lessThan">
      <formula>0</formula>
    </cfRule>
  </conditionalFormatting>
  <conditionalFormatting sqref="BO940">
    <cfRule type="cellIs" dxfId="361" priority="339" operator="lessThan">
      <formula>0</formula>
    </cfRule>
  </conditionalFormatting>
  <conditionalFormatting sqref="O5 AA5 AM5 AY5 BL5 BL997:BL1006 AY997:AY1006 AM997:AM1006 AA997:AA1006 O997:O1006 BL893 AY893 AM893 AA893 O893 O917 AA917 AM917 AY917 BL917 BL858:BL860 AY858:AY860 AM858:AM860 AA858:AA860 O858:O860 BL943 AY943 AM943 AA943 O943 O956:O961 AA956:AA961 AM956:AM961 AY956:AY961 BL956:BL961 BL933:BL934 AY933:AY934 AM933:AM934 AA933:AA934 O933:O934 O940 AA940 AM940 AY940 BL940 O945:O950 AA945:AA950 AM945:AM950 AY945:AY950 BL945:BL950 O739:O742 AA739:AA742 AM739:AM742 AY739:AY742 BL739:BL742 BL352:BL354 AY352:AY354 AM352:AM354 AA352:AA354 O352:O354 O911:O913 AA911:AA913 AM911:AM913 AY911:AY913 BL911:BL913 BL915 AY915 AM915 AA915 O915 BL241:BL243 AY241:AY243 AM241:AM243 AA241:AA243 O241:O243 BL759:BL760 AY759:AY760 AM759:AM760 AA759:AA760 O759:O760 BL840 AY840 AM840 AA840 O840 O908:O909 AA908:AA909 AM908:AM909 AY908:AY909 BL908:BL909 BL919:BL927 AY919:AY927 AM919:AM927 AA919:AA927 O919:O927 O895:O906 AA895:AA906 AM895:AM906 AY895:AY906 BL895:BL906 O762:O780 AA762:AA780 AM762:AM780 AY762:AY780 BL762:BL780 O245:O250 AA245:AA250 AM245:AM250 AY245:AY250 BL245:BL250 O356:O376 AA356:AA376 AM356:AM376 AY356:AY376 BL356:BL376 O872:O882 AA872:AA882 AM872:AM882 AY872:AY882 BL872:BL882 BL884:BL891 AY884:AY891 AM884:AM891 AA884:AA891 O884:O891 BL747:BL756 AY747:AY756 AM747:AM756 AA747:AA756 O747:O756 O484:O489 AA484:AA489 AM484:AM489 AY484:AY489 BL484:BL489 O710:O717 AA710:AA717 AM710:AM717 AY710:AY717 BL710:BL717 BL744:BL745 AY744:AY745 AM744:AM745 AA744:AA745 O744:O745 O937:O938 AA937:AA938 AM937:AM938 AY937:AY938 BL937:BL938 O929:O930 AA929:AA930 AM929:AM930 AY929:AY930 BL929:BL930 BL952 AY952 AM952 AA952 O952 O954 AA954 AM954 AY954 BL954 O14:O28 AA14:AA28 AM14:AM28 AY14:AY28 BL14:BL28 BL491:BL524 AY491:AY524 AM491:AM524 AA491:AA524 O491:O524 O816:O834 AA816:AA834 AM816:AM834 AY816:AY834 BL816:BL834 BL50:BL71 AY50:AY71 AM50:AM71 AA50:AA71 O50:O71 BL254:BL255 AY254:AY255 AM254:AM255 AA254:AA255 O254:O255 BL836:BL838 AY836:AY838 AM836:AM838 AA836:AA838 O836:O838 O863:O870 AA863:AA870 AM863:AM870 AY863:AY870 BL863:BL870 O220:O239 AA220:AA239 AM220:AM239 AY220:AY239 BL220:BL239 BL782:BL788 AY782:AY788 AM782:AM788 AA782:AA788 O782:O788 O790:O814 AA790:AA814 AM790:AM814 AY790:AY814 BL790:BL814 BL963:BL983 AY963:AY983 AM963:AM983 AA963:AA983 O963:O983 BL719:BL729 AY719:AY729 AM719:AM729 AA719:AA729 O719:O729 BL842:BL856 AY842:AY856 AM842:AM856 AA842:AA856 O842:O856">
    <cfRule type="cellIs" dxfId="360" priority="338" operator="lessThan">
      <formula>0</formula>
    </cfRule>
  </conditionalFormatting>
  <conditionalFormatting sqref="BO815">
    <cfRule type="cellIs" dxfId="359" priority="337" operator="lessThan">
      <formula>0</formula>
    </cfRule>
  </conditionalFormatting>
  <conditionalFormatting sqref="O815 AA815 AM815 AY815 BL815">
    <cfRule type="cellIs" dxfId="358" priority="336" operator="lessThan">
      <formula>0</formula>
    </cfRule>
  </conditionalFormatting>
  <conditionalFormatting sqref="BO430:BO431 BO440:BO454 BO344:BO345 BO598:BO599 BO456:BO462 BO470:BO472 BO433:BO438 BO572 BO526:BO533 BO557:BO570 BO474:BO482 BO536 BO538:BO555 BO464:BO468">
    <cfRule type="cellIs" dxfId="357" priority="335" operator="lessThan">
      <formula>0</formula>
    </cfRule>
  </conditionalFormatting>
  <conditionalFormatting sqref="BO346:BO347 BO738 BO602:BO608 BO403:BO422 BO641:BO646 BO623:BO635 BO349:BO350 BO379 BO390 BO396:BO398 BO401 BO424:BO428 BO689:BO696 BO648:BO658 BO698:BO708 BO677:BO687 BO637:BO639 BO660:BO675 BO610:BO612 BO614:BO621">
    <cfRule type="cellIs" dxfId="356" priority="334" operator="lessThan">
      <formula>0</formula>
    </cfRule>
  </conditionalFormatting>
  <conditionalFormatting sqref="BO729">
    <cfRule type="cellIs" dxfId="355" priority="333" operator="lessThan">
      <formula>0</formula>
    </cfRule>
  </conditionalFormatting>
  <conditionalFormatting sqref="BO429">
    <cfRule type="cellIs" dxfId="354" priority="332" operator="lessThan">
      <formula>0</formula>
    </cfRule>
  </conditionalFormatting>
  <conditionalFormatting sqref="BO600">
    <cfRule type="cellIs" dxfId="353" priority="331" operator="lessThan">
      <formula>0</formula>
    </cfRule>
  </conditionalFormatting>
  <conditionalFormatting sqref="BL738 AY738 AM738 AA738 O738 BL440:BL454 AY440:AY454 AM440:AM454 AA440:AA454 O440:O454 BL344:BL347 AY344:AY347 AM344:AM347 AA344:AA347 O344:O347 O403:O422 AA403:AA422 AM403:AM422 AY403:AY422 BL403:BL422 O598:O600 AA598:AA600 AM598:AM600 AY598:AY600 BL598:BL600 BL641:BL646 AY641:AY646 AM641:AM646 AA641:AA646 O641:O646 BL623:BL635 AY623:AY635 AM623:AM635 AA623:AA635 O623:O635 O349:O350 AA349:AA350 AM349:AM350 AY349:AY350 BL349:BL350 O379 AA379 AM379 AY379 BL379 BL390 AY390 AM390 AA390 O390 O396:O398 AA396:AA398 AM396:AM398 AY396:AY398 BL396:BL398 BL401 AY401 AM401 AA401 O401 BL424:BL431 AY424:AY431 AM424:AM431 AA424:AA431 O424:O431 O456:O462 AA456:AA462 AM456:AM462 AY456:AY462 BL456:BL462 BL470:BL472 AY470:AY472 AM470:AM472 AA470:AA472 O470:O472 O689:O696 AA689:AA696 AM689:AM696 AY689:AY696 BL689:BL696 O433:O438 AA433:AA438 AM433:AM438 AY433:AY438 BL433:BL438 BL572 AY572 AM572 AA572 O572 BL602:BL608 AY602:AY608 AM602:AM608 AA602:AA608 O602:O608 BL526:BL533 AY526:AY533 AM526:AM533 AA526:AA533 O526:O533 O557:O570 AA557:AA570 AM557:AM570 AY557:AY570 BL557:BL570 O648:O658 AA648:AA658 AM648:AM658 AY648:AY658 BL648:BL658 BL698:BL708 AY698:AY708 AM698:AM708 AA698:AA708 O698:O708 O474:O482 AA474:AA482 AM474:AM482 AY474:AY482 BL474:BL482 BL677:BL687 AY677:AY687 AM677:AM687 AA677:AA687 O677:O687 O536 AA536 AM536 AY536 BL536 BL538:BL555 AY538:AY555 AM538:AM555 AA538:AA555 O538:O555 O637:O639 AA637:AA639 AM637:AM639 AY637:AY639 BL637:BL639 BL660:BL675 AY660:AY675 AM660:AM675 AA660:AA675 O660:O675 O610:O612 AA610:AA612 AM610:AM612 AY610:AY612 BL610:BL612 BL464:BL468 AY464:AY468 AM464:AM468 AA464:AA468 O464:O468 BL614:BL621 AY614:AY621 AM614:AM621 AA614:AA621 O614:O621">
    <cfRule type="cellIs" dxfId="352" priority="330" operator="lessThan">
      <formula>0</formula>
    </cfRule>
  </conditionalFormatting>
  <conditionalFormatting sqref="BO737">
    <cfRule type="cellIs" dxfId="351" priority="329" operator="lessThan">
      <formula>0</formula>
    </cfRule>
  </conditionalFormatting>
  <conditionalFormatting sqref="O737 AA737 AM737 AY737 BL737">
    <cfRule type="cellIs" dxfId="350" priority="328" operator="lessThan">
      <formula>0</formula>
    </cfRule>
  </conditionalFormatting>
  <conditionalFormatting sqref="BO736">
    <cfRule type="cellIs" dxfId="349" priority="327" operator="lessThan">
      <formula>0</formula>
    </cfRule>
  </conditionalFormatting>
  <conditionalFormatting sqref="O736 AA736 AM736 AY736 BL736">
    <cfRule type="cellIs" dxfId="348" priority="326" operator="lessThan">
      <formula>0</formula>
    </cfRule>
  </conditionalFormatting>
  <conditionalFormatting sqref="BO735">
    <cfRule type="cellIs" dxfId="347" priority="325" operator="lessThan">
      <formula>0</formula>
    </cfRule>
  </conditionalFormatting>
  <conditionalFormatting sqref="O735 AA735 AM735 AY735 BL735">
    <cfRule type="cellIs" dxfId="346" priority="324" operator="lessThan">
      <formula>0</formula>
    </cfRule>
  </conditionalFormatting>
  <conditionalFormatting sqref="BO734">
    <cfRule type="cellIs" dxfId="345" priority="323" operator="lessThan">
      <formula>0</formula>
    </cfRule>
  </conditionalFormatting>
  <conditionalFormatting sqref="O734 AA734 AM734 AY734 BL734">
    <cfRule type="cellIs" dxfId="344" priority="322" operator="lessThan">
      <formula>0</formula>
    </cfRule>
  </conditionalFormatting>
  <conditionalFormatting sqref="BO733">
    <cfRule type="cellIs" dxfId="343" priority="321" operator="lessThan">
      <formula>0</formula>
    </cfRule>
  </conditionalFormatting>
  <conditionalFormatting sqref="O733 AA733 AM733 AY733 BL733">
    <cfRule type="cellIs" dxfId="342" priority="320" operator="lessThan">
      <formula>0</formula>
    </cfRule>
  </conditionalFormatting>
  <conditionalFormatting sqref="BO732">
    <cfRule type="cellIs" dxfId="341" priority="319" operator="lessThan">
      <formula>0</formula>
    </cfRule>
  </conditionalFormatting>
  <conditionalFormatting sqref="O732 AA732 AM732 AY732 BL732">
    <cfRule type="cellIs" dxfId="340" priority="318" operator="lessThan">
      <formula>0</formula>
    </cfRule>
  </conditionalFormatting>
  <conditionalFormatting sqref="BO731">
    <cfRule type="cellIs" dxfId="339" priority="317" operator="lessThan">
      <formula>0</formula>
    </cfRule>
  </conditionalFormatting>
  <conditionalFormatting sqref="O731 AA731 AM731 AY731 BL731">
    <cfRule type="cellIs" dxfId="338" priority="316" operator="lessThan">
      <formula>0</formula>
    </cfRule>
  </conditionalFormatting>
  <conditionalFormatting sqref="BO730">
    <cfRule type="cellIs" dxfId="337" priority="315" operator="lessThan">
      <formula>0</formula>
    </cfRule>
  </conditionalFormatting>
  <conditionalFormatting sqref="O730 AA730 AM730 AY730 BL730">
    <cfRule type="cellIs" dxfId="336" priority="314" operator="lessThan">
      <formula>0</formula>
    </cfRule>
  </conditionalFormatting>
  <conditionalFormatting sqref="BO439">
    <cfRule type="cellIs" dxfId="335" priority="313" operator="lessThan">
      <formula>0</formula>
    </cfRule>
  </conditionalFormatting>
  <conditionalFormatting sqref="O439 AA439 AM439 AY439 BL439">
    <cfRule type="cellIs" dxfId="334" priority="312" operator="lessThan">
      <formula>0</formula>
    </cfRule>
  </conditionalFormatting>
  <conditionalFormatting sqref="BO163:BO164 BO271 BO311:BO313 BO256:BO261 BO323 BO327 BO330:BO340 BO273 BO275 BO290 BO299 BO277:BO285 BO287:BO288 BO297 BO315:BO317 BO342:BO343 BO302 BO292:BO294 BO266:BO268 BO304:BO307 BO263:BO264">
    <cfRule type="cellIs" dxfId="333" priority="311" operator="lessThan">
      <formula>0</formula>
    </cfRule>
  </conditionalFormatting>
  <conditionalFormatting sqref="BO165:BO178 BO200:BO202 BO184:BO198 BO180:BO182 BO209:BO216 BO220:BO231 BO204:BO207 BO218">
    <cfRule type="cellIs" dxfId="332" priority="310" operator="lessThan">
      <formula>0</formula>
    </cfRule>
  </conditionalFormatting>
  <conditionalFormatting sqref="BO232">
    <cfRule type="cellIs" dxfId="331" priority="309" operator="lessThan">
      <formula>0</formula>
    </cfRule>
  </conditionalFormatting>
  <conditionalFormatting sqref="BL163:BL178 AY163:AY178 AM163:AM178 AA163:AA178 O163:O178 O200:O202 AA200:AA202 AM200:AM202 AY200:AY202 BL200:BL202 O271 AA271 AM271 AY271 BL271 BL311:BL313 AY311:AY313 AM311:AM313 AA311:AA313 O311:O313 O256:O261 AA256:AA261 AM256:AM261 AY256:AY261 BL256:BL261 O323 AA323 AM323 AY323 BL323 BL327 AY327 AM327 AA327 O327 O330:O340 AA330:AA340 AM330:AM340 AY330:AY340 BL330:BL340 O184:O198 AA184:AA198 AM184:AM198 AY184:AY198 BL184:BL198 BL273 AY273 AM273 AA273 O273 O275 AA275 AM275 AY275 BL275 BL290 AY290 AM290 AA290 O290 O299 AA299 AM299 AY299 BL299 BL277:BL285 AY277:AY285 AM277:AM285 AA277:AA285 O277:O285 O180:O182 AA180:AA182 AM180:AM182 AY180:AY182 BL180:BL182 O287:O288 AA287:AA288 AM287:AM288 AY287:AY288 BL287:BL288 O297 AA297 AM297 AY297 BL297 BL209:BL216 AY209:AY216 AM209:AM216 AA209:AA216 O209:O216 O315:O317 AA315:AA317 AM315:AM317 AY315:AY317 BL315:BL317 BL342:BL343 AY342:AY343 AM342:AM343 AA342:AA343 O342:O343 BL302 AY302 AM302 AA302 O302 O292:O294 AA292:AA294 AM292:AM294 AY292:AY294 BL292:BL294 BL204:BL207 AY204:AY207 AM204:AM207 AA204:AA207 O204:O207 BL266:BL268 AY266:AY268 AM266:AM268 AA266:AA268 O266:O268 O304:O307 AA304:AA307 AM304:AM307 AY304:AY307 BL304:BL307 BL263:BL264 AY263:AY264 AM263:AM264 AA263:AA264 O263:O264 O218 AA218 AM218 AY218 BL218">
    <cfRule type="cellIs" dxfId="330" priority="308" operator="lessThan">
      <formula>0</formula>
    </cfRule>
  </conditionalFormatting>
  <conditionalFormatting sqref="BO240">
    <cfRule type="cellIs" dxfId="329" priority="307" operator="lessThan">
      <formula>0</formula>
    </cfRule>
  </conditionalFormatting>
  <conditionalFormatting sqref="O240 AA240 AM240 AY240 BL240">
    <cfRule type="cellIs" dxfId="328" priority="306" operator="lessThan">
      <formula>0</formula>
    </cfRule>
  </conditionalFormatting>
  <conditionalFormatting sqref="BO159:BO160">
    <cfRule type="cellIs" dxfId="327" priority="305" operator="lessThan">
      <formula>0</formula>
    </cfRule>
  </conditionalFormatting>
  <conditionalFormatting sqref="BO161:BO162">
    <cfRule type="cellIs" dxfId="326" priority="304" operator="lessThan">
      <formula>0</formula>
    </cfRule>
  </conditionalFormatting>
  <conditionalFormatting sqref="BL159:BL162 AY159:AY162 AM159:AM162 AA159:AA162 O159:O162">
    <cfRule type="cellIs" dxfId="325" priority="303" operator="lessThan">
      <formula>0</formula>
    </cfRule>
  </conditionalFormatting>
  <conditionalFormatting sqref="BO76:BO83 BO85:BO93 BO6:BO7 BO119:BO140 BO101:BO113 BO115:BO117 BO95:BO99 BO142:BO158">
    <cfRule type="cellIs" dxfId="324" priority="302" operator="lessThan">
      <formula>0</formula>
    </cfRule>
  </conditionalFormatting>
  <conditionalFormatting sqref="BO8:BO10 BO12 BO30 BO37:BO48 BO72 BO35">
    <cfRule type="cellIs" dxfId="323" priority="301" operator="lessThan">
      <formula>0</formula>
    </cfRule>
  </conditionalFormatting>
  <conditionalFormatting sqref="BO73">
    <cfRule type="cellIs" dxfId="322" priority="300" operator="lessThan">
      <formula>0</formula>
    </cfRule>
  </conditionalFormatting>
  <conditionalFormatting sqref="BL85:BL93 AY85:AY93 AM85:AM93 AA85:AA93 O85:O93 BL6:BL10 AY6:AY10 AM6:AM10 AA6:AA10 O6:O10 O76:O83 AA76:AA83 AM76:AM83 AY76:AY83 BL76:BL83 O12 AA12 AM12 AY12 BL12 BL30 AY30 AM30 AA30 O30 O37:O48 AA37:AA48 AM37:AM48 AY37:AY48 BL37:BL48 O119:O140 AA119:AA140 AM119:AM140 AY119:AY140 BL119:BL140 O101:O113 AA101:AA113 AM101:AM113 AY101:AY113 BL101:BL113 BL115:BL117 AY115:AY117 AM115:AM117 AA115:AA117 O115:O117 O72:O73 AA72:AA73 AM72:AM73 AY72:AY73 BL72:BL73 O35 AA35 AM35 AY35 BL35 O95:O99 AA95:AA99 AM95:AM99 AY95:AY99 BL95:BL99 BL142:BL158 AY142:AY158 AM142:AM158 AA142:AA158 O142:O158">
    <cfRule type="cellIs" dxfId="321" priority="299" operator="lessThan">
      <formula>0</formula>
    </cfRule>
  </conditionalFormatting>
  <conditionalFormatting sqref="BO84">
    <cfRule type="cellIs" dxfId="320" priority="298" operator="lessThan">
      <formula>0</formula>
    </cfRule>
  </conditionalFormatting>
  <conditionalFormatting sqref="O84 AA84 AM84 AY84 BL84">
    <cfRule type="cellIs" dxfId="319" priority="297" operator="lessThan">
      <formula>0</formula>
    </cfRule>
  </conditionalFormatting>
  <conditionalFormatting sqref="BO984:BO985 BO993:BO995 BO987:BO991">
    <cfRule type="cellIs" dxfId="318" priority="296" operator="lessThan">
      <formula>0</formula>
    </cfRule>
  </conditionalFormatting>
  <conditionalFormatting sqref="BL984:BL985 AY984:AY985 AM984:AM985 AA984:AA985 O984:O985 O993:O995 AA993:AA995 AM993:AM995 AY993:AY995 BL993:BL995 O987:O991 AA987:AA991 AM987:AM991 AY987:AY991 BL987:BL991">
    <cfRule type="cellIs" dxfId="317" priority="295" operator="lessThan">
      <formula>0</formula>
    </cfRule>
  </conditionalFormatting>
  <conditionalFormatting sqref="BO996">
    <cfRule type="cellIs" dxfId="316" priority="294" operator="lessThan">
      <formula>0</formula>
    </cfRule>
  </conditionalFormatting>
  <conditionalFormatting sqref="BL996 AY996 AM996 AA996 O996">
    <cfRule type="cellIs" dxfId="315" priority="293" operator="lessThan">
      <formula>0</formula>
    </cfRule>
  </conditionalFormatting>
  <conditionalFormatting sqref="BO622">
    <cfRule type="cellIs" dxfId="314" priority="292" operator="lessThan">
      <formula>0</formula>
    </cfRule>
  </conditionalFormatting>
  <conditionalFormatting sqref="BL622 AY622 AM622 AA622 O622">
    <cfRule type="cellIs" dxfId="313" priority="291" operator="lessThan">
      <formula>0</formula>
    </cfRule>
  </conditionalFormatting>
  <conditionalFormatting sqref="BO709">
    <cfRule type="cellIs" dxfId="312" priority="290" operator="lessThan">
      <formula>0</formula>
    </cfRule>
  </conditionalFormatting>
  <conditionalFormatting sqref="O709 AA709 AM709 AY709 BL709">
    <cfRule type="cellIs" dxfId="311" priority="289" operator="lessThan">
      <formula>0</formula>
    </cfRule>
  </conditionalFormatting>
  <conditionalFormatting sqref="BO857">
    <cfRule type="cellIs" dxfId="310" priority="288" operator="lessThan">
      <formula>0</formula>
    </cfRule>
  </conditionalFormatting>
  <conditionalFormatting sqref="BL857 AY857 AM857 AA857 O857">
    <cfRule type="cellIs" dxfId="309" priority="287" operator="lessThan">
      <formula>0</formula>
    </cfRule>
  </conditionalFormatting>
  <conditionalFormatting sqref="BO942">
    <cfRule type="cellIs" dxfId="308" priority="284" operator="lessThan">
      <formula>0</formula>
    </cfRule>
  </conditionalFormatting>
  <conditionalFormatting sqref="BL942 AY942 AM942 AA942 O942">
    <cfRule type="cellIs" dxfId="307" priority="283" operator="lessThan">
      <formula>0</formula>
    </cfRule>
  </conditionalFormatting>
  <conditionalFormatting sqref="BO955">
    <cfRule type="cellIs" dxfId="306" priority="282" operator="lessThan">
      <formula>0</formula>
    </cfRule>
  </conditionalFormatting>
  <conditionalFormatting sqref="O955 AA955 AM955 AY955 BL955">
    <cfRule type="cellIs" dxfId="305" priority="281" operator="lessThan">
      <formula>0</formula>
    </cfRule>
  </conditionalFormatting>
  <conditionalFormatting sqref="BO13">
    <cfRule type="cellIs" dxfId="304" priority="280" operator="lessThan">
      <formula>0</formula>
    </cfRule>
  </conditionalFormatting>
  <conditionalFormatting sqref="BL13 AY13 AM13 AA13 O13">
    <cfRule type="cellIs" dxfId="303" priority="279" operator="lessThan">
      <formula>0</formula>
    </cfRule>
  </conditionalFormatting>
  <conditionalFormatting sqref="BO11">
    <cfRule type="cellIs" dxfId="302" priority="278" operator="lessThan">
      <formula>0</formula>
    </cfRule>
  </conditionalFormatting>
  <conditionalFormatting sqref="O11 AA11 AM11 AY11 BL11">
    <cfRule type="cellIs" dxfId="301" priority="277" operator="lessThan">
      <formula>0</formula>
    </cfRule>
  </conditionalFormatting>
  <conditionalFormatting sqref="BO29">
    <cfRule type="cellIs" dxfId="300" priority="276" operator="lessThan">
      <formula>0</formula>
    </cfRule>
  </conditionalFormatting>
  <conditionalFormatting sqref="BL29 AY29 AM29 AA29 O29">
    <cfRule type="cellIs" dxfId="299" priority="275" operator="lessThan">
      <formula>0</formula>
    </cfRule>
  </conditionalFormatting>
  <conditionalFormatting sqref="BO36">
    <cfRule type="cellIs" dxfId="298" priority="274" operator="lessThan">
      <formula>0</formula>
    </cfRule>
  </conditionalFormatting>
  <conditionalFormatting sqref="O36 AA36 AM36 AY36 BL36">
    <cfRule type="cellIs" dxfId="297" priority="273" operator="lessThan">
      <formula>0</formula>
    </cfRule>
  </conditionalFormatting>
  <conditionalFormatting sqref="BO49">
    <cfRule type="cellIs" dxfId="296" priority="272" operator="lessThan">
      <formula>0</formula>
    </cfRule>
  </conditionalFormatting>
  <conditionalFormatting sqref="BL49 AY49 AM49 AA49 O49">
    <cfRule type="cellIs" dxfId="295" priority="271" operator="lessThan">
      <formula>0</formula>
    </cfRule>
  </conditionalFormatting>
  <conditionalFormatting sqref="BO75">
    <cfRule type="cellIs" dxfId="294" priority="270" operator="lessThan">
      <formula>0</formula>
    </cfRule>
  </conditionalFormatting>
  <conditionalFormatting sqref="O75 AA75 AM75 AY75 BL75">
    <cfRule type="cellIs" dxfId="293" priority="269" operator="lessThan">
      <formula>0</formula>
    </cfRule>
  </conditionalFormatting>
  <conditionalFormatting sqref="BO118">
    <cfRule type="cellIs" dxfId="292" priority="268" operator="lessThan">
      <formula>0</formula>
    </cfRule>
  </conditionalFormatting>
  <conditionalFormatting sqref="O118 AA118 AM118 AY118 BL118">
    <cfRule type="cellIs" dxfId="291" priority="267" operator="lessThan">
      <formula>0</formula>
    </cfRule>
  </conditionalFormatting>
  <conditionalFormatting sqref="BO318">
    <cfRule type="cellIs" dxfId="290" priority="266" operator="lessThan">
      <formula>0</formula>
    </cfRule>
  </conditionalFormatting>
  <conditionalFormatting sqref="O318 AA318 AM318 AY318 BL318">
    <cfRule type="cellIs" dxfId="289" priority="265" operator="lessThan">
      <formula>0</formula>
    </cfRule>
  </conditionalFormatting>
  <conditionalFormatting sqref="BO320">
    <cfRule type="cellIs" dxfId="288" priority="264" operator="lessThan">
      <formula>0</formula>
    </cfRule>
  </conditionalFormatting>
  <conditionalFormatting sqref="O320 AA320 AM320 AY320 BL320">
    <cfRule type="cellIs" dxfId="287" priority="263" operator="lessThan">
      <formula>0</formula>
    </cfRule>
  </conditionalFormatting>
  <conditionalFormatting sqref="BO321">
    <cfRule type="cellIs" dxfId="286" priority="262" operator="lessThan">
      <formula>0</formula>
    </cfRule>
  </conditionalFormatting>
  <conditionalFormatting sqref="O321 AA321 AM321 AY321 BL321">
    <cfRule type="cellIs" dxfId="285" priority="261" operator="lessThan">
      <formula>0</formula>
    </cfRule>
  </conditionalFormatting>
  <conditionalFormatting sqref="BO322">
    <cfRule type="cellIs" dxfId="284" priority="260" operator="lessThan">
      <formula>0</formula>
    </cfRule>
  </conditionalFormatting>
  <conditionalFormatting sqref="O322 AA322 AM322 AY322 BL322">
    <cfRule type="cellIs" dxfId="283" priority="259" operator="lessThan">
      <formula>0</formula>
    </cfRule>
  </conditionalFormatting>
  <conditionalFormatting sqref="BO325">
    <cfRule type="cellIs" dxfId="282" priority="258" operator="lessThan">
      <formula>0</formula>
    </cfRule>
  </conditionalFormatting>
  <conditionalFormatting sqref="BL325 AY325 AM325 AA325 O325">
    <cfRule type="cellIs" dxfId="281" priority="257" operator="lessThan">
      <formula>0</formula>
    </cfRule>
  </conditionalFormatting>
  <conditionalFormatting sqref="BO329">
    <cfRule type="cellIs" dxfId="280" priority="256" operator="lessThan">
      <formula>0</formula>
    </cfRule>
  </conditionalFormatting>
  <conditionalFormatting sqref="O329 AA329 AM329 AY329 BL329">
    <cfRule type="cellIs" dxfId="279" priority="255" operator="lessThan">
      <formula>0</formula>
    </cfRule>
  </conditionalFormatting>
  <conditionalFormatting sqref="BO348">
    <cfRule type="cellIs" dxfId="278" priority="254" operator="lessThan">
      <formula>0</formula>
    </cfRule>
  </conditionalFormatting>
  <conditionalFormatting sqref="O348 AA348 AM348 AY348 BL348">
    <cfRule type="cellIs" dxfId="277" priority="253" operator="lessThan">
      <formula>0</formula>
    </cfRule>
  </conditionalFormatting>
  <conditionalFormatting sqref="BO351">
    <cfRule type="cellIs" dxfId="276" priority="252" operator="lessThan">
      <formula>0</formula>
    </cfRule>
  </conditionalFormatting>
  <conditionalFormatting sqref="BL351 AY351 AM351 AA351 O351">
    <cfRule type="cellIs" dxfId="275" priority="251" operator="lessThan">
      <formula>0</formula>
    </cfRule>
  </conditionalFormatting>
  <conditionalFormatting sqref="BO378">
    <cfRule type="cellIs" dxfId="274" priority="250" operator="lessThan">
      <formula>0</formula>
    </cfRule>
  </conditionalFormatting>
  <conditionalFormatting sqref="O378 AA378 AM378 AY378 BL378">
    <cfRule type="cellIs" dxfId="273" priority="249" operator="lessThan">
      <formula>0</formula>
    </cfRule>
  </conditionalFormatting>
  <conditionalFormatting sqref="BO386">
    <cfRule type="cellIs" dxfId="272" priority="248" operator="lessThan">
      <formula>0</formula>
    </cfRule>
  </conditionalFormatting>
  <conditionalFormatting sqref="BL386 AY386 AM386 AA386 O386">
    <cfRule type="cellIs" dxfId="271" priority="247" operator="lessThan">
      <formula>0</formula>
    </cfRule>
  </conditionalFormatting>
  <conditionalFormatting sqref="BO385">
    <cfRule type="cellIs" dxfId="270" priority="246" operator="lessThan">
      <formula>0</formula>
    </cfRule>
  </conditionalFormatting>
  <conditionalFormatting sqref="BL385 AY385 AM385 AA385 O385">
    <cfRule type="cellIs" dxfId="269" priority="245" operator="lessThan">
      <formula>0</formula>
    </cfRule>
  </conditionalFormatting>
  <conditionalFormatting sqref="BO384">
    <cfRule type="cellIs" dxfId="268" priority="244" operator="lessThan">
      <formula>0</formula>
    </cfRule>
  </conditionalFormatting>
  <conditionalFormatting sqref="BL384 AY384 AM384 AA384 O384">
    <cfRule type="cellIs" dxfId="267" priority="243" operator="lessThan">
      <formula>0</formula>
    </cfRule>
  </conditionalFormatting>
  <conditionalFormatting sqref="BO383">
    <cfRule type="cellIs" dxfId="266" priority="242" operator="lessThan">
      <formula>0</formula>
    </cfRule>
  </conditionalFormatting>
  <conditionalFormatting sqref="BL383 AY383 AM383 AA383 O383">
    <cfRule type="cellIs" dxfId="265" priority="241" operator="lessThan">
      <formula>0</formula>
    </cfRule>
  </conditionalFormatting>
  <conditionalFormatting sqref="BO393">
    <cfRule type="cellIs" dxfId="264" priority="240" operator="lessThan">
      <formula>0</formula>
    </cfRule>
  </conditionalFormatting>
  <conditionalFormatting sqref="O393 AA393 AM393 AY393 BL393">
    <cfRule type="cellIs" dxfId="263" priority="239" operator="lessThan">
      <formula>0</formula>
    </cfRule>
  </conditionalFormatting>
  <conditionalFormatting sqref="BO392">
    <cfRule type="cellIs" dxfId="262" priority="238" operator="lessThan">
      <formula>0</formula>
    </cfRule>
  </conditionalFormatting>
  <conditionalFormatting sqref="O392 AA392 AM392 AY392 BL392">
    <cfRule type="cellIs" dxfId="261" priority="237" operator="lessThan">
      <formula>0</formula>
    </cfRule>
  </conditionalFormatting>
  <conditionalFormatting sqref="BO391">
    <cfRule type="cellIs" dxfId="260" priority="236" operator="lessThan">
      <formula>0</formula>
    </cfRule>
  </conditionalFormatting>
  <conditionalFormatting sqref="O391 AA391 AM391 AY391 BL391">
    <cfRule type="cellIs" dxfId="259" priority="235" operator="lessThan">
      <formula>0</formula>
    </cfRule>
  </conditionalFormatting>
  <conditionalFormatting sqref="BO400">
    <cfRule type="cellIs" dxfId="258" priority="234" operator="lessThan">
      <formula>0</formula>
    </cfRule>
  </conditionalFormatting>
  <conditionalFormatting sqref="BL400 AY400 AM400 AA400 O400">
    <cfRule type="cellIs" dxfId="257" priority="233" operator="lessThan">
      <formula>0</formula>
    </cfRule>
  </conditionalFormatting>
  <conditionalFormatting sqref="BO399">
    <cfRule type="cellIs" dxfId="256" priority="232" operator="lessThan">
      <formula>0</formula>
    </cfRule>
  </conditionalFormatting>
  <conditionalFormatting sqref="BL399 AY399 AM399 AA399 O399">
    <cfRule type="cellIs" dxfId="255" priority="231" operator="lessThan">
      <formula>0</formula>
    </cfRule>
  </conditionalFormatting>
  <conditionalFormatting sqref="BO423">
    <cfRule type="cellIs" dxfId="254" priority="230" operator="lessThan">
      <formula>0</formula>
    </cfRule>
  </conditionalFormatting>
  <conditionalFormatting sqref="BL423 AY423 AM423 AA423 O423">
    <cfRule type="cellIs" dxfId="253" priority="229" operator="lessThan">
      <formula>0</formula>
    </cfRule>
  </conditionalFormatting>
  <conditionalFormatting sqref="BO455">
    <cfRule type="cellIs" dxfId="252" priority="228" operator="lessThan">
      <formula>0</formula>
    </cfRule>
  </conditionalFormatting>
  <conditionalFormatting sqref="O455 AA455 AM455 AY455 BL455">
    <cfRule type="cellIs" dxfId="251" priority="227" operator="lessThan">
      <formula>0</formula>
    </cfRule>
  </conditionalFormatting>
  <conditionalFormatting sqref="BO469">
    <cfRule type="cellIs" dxfId="250" priority="226" operator="lessThan">
      <formula>0</formula>
    </cfRule>
  </conditionalFormatting>
  <conditionalFormatting sqref="BL469 AY469 AM469 AA469 O469">
    <cfRule type="cellIs" dxfId="249" priority="225" operator="lessThan">
      <formula>0</formula>
    </cfRule>
  </conditionalFormatting>
  <conditionalFormatting sqref="BO688">
    <cfRule type="cellIs" dxfId="248" priority="224" operator="lessThan">
      <formula>0</formula>
    </cfRule>
  </conditionalFormatting>
  <conditionalFormatting sqref="O688 AA688 AM688 AY688 BL688">
    <cfRule type="cellIs" dxfId="247" priority="223" operator="lessThan">
      <formula>0</formula>
    </cfRule>
  </conditionalFormatting>
  <conditionalFormatting sqref="BO718">
    <cfRule type="cellIs" dxfId="246" priority="222" operator="lessThan">
      <formula>0</formula>
    </cfRule>
  </conditionalFormatting>
  <conditionalFormatting sqref="BL718 AY718 AM718 AA718 O718">
    <cfRule type="cellIs" dxfId="245" priority="221" operator="lessThan">
      <formula>0</formula>
    </cfRule>
  </conditionalFormatting>
  <conditionalFormatting sqref="BO761">
    <cfRule type="cellIs" dxfId="244" priority="220" operator="lessThan">
      <formula>0</formula>
    </cfRule>
  </conditionalFormatting>
  <conditionalFormatting sqref="O761 AA761 AM761 AY761 BL761">
    <cfRule type="cellIs" dxfId="243" priority="219" operator="lessThan">
      <formula>0</formula>
    </cfRule>
  </conditionalFormatting>
  <conditionalFormatting sqref="BO932">
    <cfRule type="cellIs" dxfId="242" priority="218" operator="lessThan">
      <formula>0</formula>
    </cfRule>
  </conditionalFormatting>
  <conditionalFormatting sqref="BL932 AY932 AM932 AA932 O932">
    <cfRule type="cellIs" dxfId="241" priority="217" operator="lessThan">
      <formula>0</formula>
    </cfRule>
  </conditionalFormatting>
  <conditionalFormatting sqref="BO939">
    <cfRule type="cellIs" dxfId="240" priority="216" operator="lessThan">
      <formula>0</formula>
    </cfRule>
  </conditionalFormatting>
  <conditionalFormatting sqref="O939 AA939 AM939 AY939 BL939">
    <cfRule type="cellIs" dxfId="239" priority="215" operator="lessThan">
      <formula>0</formula>
    </cfRule>
  </conditionalFormatting>
  <conditionalFormatting sqref="BO941">
    <cfRule type="cellIs" dxfId="238" priority="214" operator="lessThan">
      <formula>0</formula>
    </cfRule>
  </conditionalFormatting>
  <conditionalFormatting sqref="BL941 AY941 AM941 AA941 O941">
    <cfRule type="cellIs" dxfId="237" priority="213" operator="lessThan">
      <formula>0</formula>
    </cfRule>
  </conditionalFormatting>
  <conditionalFormatting sqref="BO944">
    <cfRule type="cellIs" dxfId="236" priority="212" operator="lessThan">
      <formula>0</formula>
    </cfRule>
  </conditionalFormatting>
  <conditionalFormatting sqref="O944 AA944 AM944 AY944 BL944">
    <cfRule type="cellIs" dxfId="235" priority="211" operator="lessThan">
      <formula>0</formula>
    </cfRule>
  </conditionalFormatting>
  <conditionalFormatting sqref="BO986">
    <cfRule type="cellIs" dxfId="234" priority="210" operator="lessThan">
      <formula>0</formula>
    </cfRule>
  </conditionalFormatting>
  <conditionalFormatting sqref="O986 AA986 AM986 AY986 BL986">
    <cfRule type="cellIs" dxfId="233" priority="209" operator="lessThan">
      <formula>0</formula>
    </cfRule>
  </conditionalFormatting>
  <conditionalFormatting sqref="BO100">
    <cfRule type="cellIs" dxfId="232" priority="206" operator="lessThan">
      <formula>0</formula>
    </cfRule>
  </conditionalFormatting>
  <conditionalFormatting sqref="O100 AA100 AM100 AY100 BL100">
    <cfRule type="cellIs" dxfId="231" priority="205" operator="lessThan">
      <formula>0</formula>
    </cfRule>
  </conditionalFormatting>
  <conditionalFormatting sqref="BO114">
    <cfRule type="cellIs" dxfId="230" priority="204" operator="lessThan">
      <formula>0</formula>
    </cfRule>
  </conditionalFormatting>
  <conditionalFormatting sqref="BL114 AY114 AM114 AA114 O114">
    <cfRule type="cellIs" dxfId="229" priority="203" operator="lessThan">
      <formula>0</formula>
    </cfRule>
  </conditionalFormatting>
  <conditionalFormatting sqref="BO183">
    <cfRule type="cellIs" dxfId="228" priority="202" operator="lessThan">
      <formula>0</formula>
    </cfRule>
  </conditionalFormatting>
  <conditionalFormatting sqref="O183 AA183 AM183 AY183 BL183">
    <cfRule type="cellIs" dxfId="227" priority="201" operator="lessThan">
      <formula>0</formula>
    </cfRule>
  </conditionalFormatting>
  <conditionalFormatting sqref="BO270">
    <cfRule type="cellIs" dxfId="226" priority="200" operator="lessThan">
      <formula>0</formula>
    </cfRule>
  </conditionalFormatting>
  <conditionalFormatting sqref="O270 AA270 AM270 AY270 BL270">
    <cfRule type="cellIs" dxfId="225" priority="199" operator="lessThan">
      <formula>0</formula>
    </cfRule>
  </conditionalFormatting>
  <conditionalFormatting sqref="BO272">
    <cfRule type="cellIs" dxfId="224" priority="198" operator="lessThan">
      <formula>0</formula>
    </cfRule>
  </conditionalFormatting>
  <conditionalFormatting sqref="BL272 AY272 AM272 AA272 O272">
    <cfRule type="cellIs" dxfId="223" priority="197" operator="lessThan">
      <formula>0</formula>
    </cfRule>
  </conditionalFormatting>
  <conditionalFormatting sqref="BO274">
    <cfRule type="cellIs" dxfId="222" priority="196" operator="lessThan">
      <formula>0</formula>
    </cfRule>
  </conditionalFormatting>
  <conditionalFormatting sqref="O274 AA274 AM274 AY274 BL274">
    <cfRule type="cellIs" dxfId="221" priority="195" operator="lessThan">
      <formula>0</formula>
    </cfRule>
  </conditionalFormatting>
  <conditionalFormatting sqref="BO289">
    <cfRule type="cellIs" dxfId="220" priority="194" operator="lessThan">
      <formula>0</formula>
    </cfRule>
  </conditionalFormatting>
  <conditionalFormatting sqref="BL289 AY289 AM289 AA289 O289">
    <cfRule type="cellIs" dxfId="219" priority="193" operator="lessThan">
      <formula>0</formula>
    </cfRule>
  </conditionalFormatting>
  <conditionalFormatting sqref="BO298">
    <cfRule type="cellIs" dxfId="218" priority="192" operator="lessThan">
      <formula>0</formula>
    </cfRule>
  </conditionalFormatting>
  <conditionalFormatting sqref="O298 AA298 AM298 AY298 BL298">
    <cfRule type="cellIs" dxfId="217" priority="191" operator="lessThan">
      <formula>0</formula>
    </cfRule>
  </conditionalFormatting>
  <conditionalFormatting sqref="BO276">
    <cfRule type="cellIs" dxfId="216" priority="190" operator="lessThan">
      <formula>0</formula>
    </cfRule>
  </conditionalFormatting>
  <conditionalFormatting sqref="BL276 AY276 AM276 AA276 O276">
    <cfRule type="cellIs" dxfId="215" priority="189" operator="lessThan">
      <formula>0</formula>
    </cfRule>
  </conditionalFormatting>
  <conditionalFormatting sqref="BO310">
    <cfRule type="cellIs" dxfId="214" priority="188" operator="lessThan">
      <formula>0</formula>
    </cfRule>
  </conditionalFormatting>
  <conditionalFormatting sqref="BL310 AY310 AM310 AA310 O310">
    <cfRule type="cellIs" dxfId="213" priority="187" operator="lessThan">
      <formula>0</formula>
    </cfRule>
  </conditionalFormatting>
  <conditionalFormatting sqref="BO432">
    <cfRule type="cellIs" dxfId="212" priority="186" operator="lessThan">
      <formula>0</formula>
    </cfRule>
  </conditionalFormatting>
  <conditionalFormatting sqref="O432 AA432 AM432 AY432 BL432">
    <cfRule type="cellIs" dxfId="211" priority="185" operator="lessThan">
      <formula>0</formula>
    </cfRule>
  </conditionalFormatting>
  <conditionalFormatting sqref="BO483">
    <cfRule type="cellIs" dxfId="210" priority="184" operator="lessThan">
      <formula>0</formula>
    </cfRule>
  </conditionalFormatting>
  <conditionalFormatting sqref="O483 AA483 AM483 AY483 BL483">
    <cfRule type="cellIs" dxfId="209" priority="183" operator="lessThan">
      <formula>0</formula>
    </cfRule>
  </conditionalFormatting>
  <conditionalFormatting sqref="BO571">
    <cfRule type="cellIs" dxfId="208" priority="182" operator="lessThan">
      <formula>0</formula>
    </cfRule>
  </conditionalFormatting>
  <conditionalFormatting sqref="BL571 AY571 AM571 AA571 O571">
    <cfRule type="cellIs" dxfId="207" priority="181" operator="lessThan">
      <formula>0</formula>
    </cfRule>
  </conditionalFormatting>
  <conditionalFormatting sqref="BO910">
    <cfRule type="cellIs" dxfId="206" priority="178" operator="lessThan">
      <formula>0</formula>
    </cfRule>
  </conditionalFormatting>
  <conditionalFormatting sqref="O910 AA910 AM910 AY910 BL910">
    <cfRule type="cellIs" dxfId="205" priority="177" operator="lessThan">
      <formula>0</formula>
    </cfRule>
  </conditionalFormatting>
  <conditionalFormatting sqref="BO914">
    <cfRule type="cellIs" dxfId="204" priority="176" operator="lessThan">
      <formula>0</formula>
    </cfRule>
  </conditionalFormatting>
  <conditionalFormatting sqref="BL914 AY914 AM914 AA914 O914">
    <cfRule type="cellIs" dxfId="203" priority="175" operator="lessThan">
      <formula>0</formula>
    </cfRule>
  </conditionalFormatting>
  <conditionalFormatting sqref="BO179">
    <cfRule type="cellIs" dxfId="202" priority="174" operator="lessThan">
      <formula>0</formula>
    </cfRule>
  </conditionalFormatting>
  <conditionalFormatting sqref="O179 AA179 AM179 AY179 BL179">
    <cfRule type="cellIs" dxfId="201" priority="173" operator="lessThan">
      <formula>0</formula>
    </cfRule>
  </conditionalFormatting>
  <conditionalFormatting sqref="BO286">
    <cfRule type="cellIs" dxfId="200" priority="172" operator="lessThan">
      <formula>0</formula>
    </cfRule>
  </conditionalFormatting>
  <conditionalFormatting sqref="O286 AA286 AM286 AY286 BL286">
    <cfRule type="cellIs" dxfId="199" priority="171" operator="lessThan">
      <formula>0</formula>
    </cfRule>
  </conditionalFormatting>
  <conditionalFormatting sqref="BO296">
    <cfRule type="cellIs" dxfId="198" priority="170" operator="lessThan">
      <formula>0</formula>
    </cfRule>
  </conditionalFormatting>
  <conditionalFormatting sqref="O296 AA296 AM296 AY296 BL296">
    <cfRule type="cellIs" dxfId="197" priority="169" operator="lessThan">
      <formula>0</formula>
    </cfRule>
  </conditionalFormatting>
  <conditionalFormatting sqref="BO319">
    <cfRule type="cellIs" dxfId="196" priority="168" operator="lessThan">
      <formula>0</formula>
    </cfRule>
  </conditionalFormatting>
  <conditionalFormatting sqref="O319 AA319 AM319 AY319 BL319">
    <cfRule type="cellIs" dxfId="195" priority="167" operator="lessThan">
      <formula>0</formula>
    </cfRule>
  </conditionalFormatting>
  <conditionalFormatting sqref="BO326">
    <cfRule type="cellIs" dxfId="194" priority="166" operator="lessThan">
      <formula>0</formula>
    </cfRule>
  </conditionalFormatting>
  <conditionalFormatting sqref="BL326 AY326 AM326 AA326 O326">
    <cfRule type="cellIs" dxfId="193" priority="165" operator="lessThan">
      <formula>0</formula>
    </cfRule>
  </conditionalFormatting>
  <conditionalFormatting sqref="BO388">
    <cfRule type="cellIs" dxfId="192" priority="164" operator="lessThan">
      <formula>0</formula>
    </cfRule>
  </conditionalFormatting>
  <conditionalFormatting sqref="BL388 AY388 AM388 AA388 O388">
    <cfRule type="cellIs" dxfId="191" priority="163" operator="lessThan">
      <formula>0</formula>
    </cfRule>
  </conditionalFormatting>
  <conditionalFormatting sqref="BO389">
    <cfRule type="cellIs" dxfId="190" priority="162" operator="lessThan">
      <formula>0</formula>
    </cfRule>
  </conditionalFormatting>
  <conditionalFormatting sqref="BL389 AY389 AM389 AA389 O389">
    <cfRule type="cellIs" dxfId="189" priority="161" operator="lessThan">
      <formula>0</formula>
    </cfRule>
  </conditionalFormatting>
  <conditionalFormatting sqref="BO601">
    <cfRule type="cellIs" dxfId="188" priority="160" operator="lessThan">
      <formula>0</formula>
    </cfRule>
  </conditionalFormatting>
  <conditionalFormatting sqref="BL601 AY601 AM601 AA601 O601">
    <cfRule type="cellIs" dxfId="187" priority="159" operator="lessThan">
      <formula>0</formula>
    </cfRule>
  </conditionalFormatting>
  <conditionalFormatting sqref="BO758">
    <cfRule type="cellIs" dxfId="186" priority="158" operator="lessThan">
      <formula>0</formula>
    </cfRule>
  </conditionalFormatting>
  <conditionalFormatting sqref="BL758 AY758 AM758 AA758 O758">
    <cfRule type="cellIs" dxfId="185" priority="157" operator="lessThan">
      <formula>0</formula>
    </cfRule>
  </conditionalFormatting>
  <conditionalFormatting sqref="BO839">
    <cfRule type="cellIs" dxfId="184" priority="156" operator="lessThan">
      <formula>0</formula>
    </cfRule>
  </conditionalFormatting>
  <conditionalFormatting sqref="BL839 AY839 AM839 AA839 O839">
    <cfRule type="cellIs" dxfId="183" priority="155" operator="lessThan">
      <formula>0</formula>
    </cfRule>
  </conditionalFormatting>
  <conditionalFormatting sqref="BO907">
    <cfRule type="cellIs" dxfId="182" priority="154" operator="lessThan">
      <formula>0</formula>
    </cfRule>
  </conditionalFormatting>
  <conditionalFormatting sqref="O907 AA907 AM907 AY907 BL907">
    <cfRule type="cellIs" dxfId="181" priority="153" operator="lessThan">
      <formula>0</formula>
    </cfRule>
  </conditionalFormatting>
  <conditionalFormatting sqref="BO918">
    <cfRule type="cellIs" dxfId="180" priority="152" operator="lessThan">
      <formula>0</formula>
    </cfRule>
  </conditionalFormatting>
  <conditionalFormatting sqref="BL918 AY918 AM918 AA918 O918">
    <cfRule type="cellIs" dxfId="179" priority="151" operator="lessThan">
      <formula>0</formula>
    </cfRule>
  </conditionalFormatting>
  <conditionalFormatting sqref="BO931">
    <cfRule type="cellIs" dxfId="178" priority="150" operator="lessThan">
      <formula>0</formula>
    </cfRule>
  </conditionalFormatting>
  <conditionalFormatting sqref="BL931 AY931 AM931 AA931 O931">
    <cfRule type="cellIs" dxfId="177" priority="149" operator="lessThan">
      <formula>0</formula>
    </cfRule>
  </conditionalFormatting>
  <conditionalFormatting sqref="BO894">
    <cfRule type="cellIs" dxfId="176" priority="148" operator="lessThan">
      <formula>0</formula>
    </cfRule>
  </conditionalFormatting>
  <conditionalFormatting sqref="O894 AA894 AM894 AY894 BL894">
    <cfRule type="cellIs" dxfId="175" priority="147" operator="lessThan">
      <formula>0</formula>
    </cfRule>
  </conditionalFormatting>
  <conditionalFormatting sqref="BO208">
    <cfRule type="cellIs" dxfId="174" priority="144" operator="lessThan">
      <formula>0</formula>
    </cfRule>
  </conditionalFormatting>
  <conditionalFormatting sqref="BL208 AY208 AM208 AA208 O208">
    <cfRule type="cellIs" dxfId="173" priority="143" operator="lessThan">
      <formula>0</formula>
    </cfRule>
  </conditionalFormatting>
  <conditionalFormatting sqref="BO244">
    <cfRule type="cellIs" dxfId="172" priority="142" operator="lessThan">
      <formula>0</formula>
    </cfRule>
  </conditionalFormatting>
  <conditionalFormatting sqref="O244 AA244 AM244 AY244 BL244">
    <cfRule type="cellIs" dxfId="171" priority="141" operator="lessThan">
      <formula>0</formula>
    </cfRule>
  </conditionalFormatting>
  <conditionalFormatting sqref="BO387">
    <cfRule type="cellIs" dxfId="170" priority="140" operator="lessThan">
      <formula>0</formula>
    </cfRule>
  </conditionalFormatting>
  <conditionalFormatting sqref="BL387 AY387 AM387 AA387 O387">
    <cfRule type="cellIs" dxfId="169" priority="139" operator="lessThan">
      <formula>0</formula>
    </cfRule>
  </conditionalFormatting>
  <conditionalFormatting sqref="BO309">
    <cfRule type="cellIs" dxfId="168" priority="138" operator="lessThan">
      <formula>0</formula>
    </cfRule>
  </conditionalFormatting>
  <conditionalFormatting sqref="BL309 AY309 AM309 AA309 O309">
    <cfRule type="cellIs" dxfId="167" priority="137" operator="lessThan">
      <formula>0</formula>
    </cfRule>
  </conditionalFormatting>
  <conditionalFormatting sqref="BO314">
    <cfRule type="cellIs" dxfId="166" priority="136" operator="lessThan">
      <formula>0</formula>
    </cfRule>
  </conditionalFormatting>
  <conditionalFormatting sqref="O314 AA314 AM314 AY314 BL314">
    <cfRule type="cellIs" dxfId="165" priority="135" operator="lessThan">
      <formula>0</formula>
    </cfRule>
  </conditionalFormatting>
  <conditionalFormatting sqref="BO324">
    <cfRule type="cellIs" dxfId="164" priority="134" operator="lessThan">
      <formula>0</formula>
    </cfRule>
  </conditionalFormatting>
  <conditionalFormatting sqref="BL324 AY324 AM324 AA324 O324">
    <cfRule type="cellIs" dxfId="163" priority="133" operator="lessThan">
      <formula>0</formula>
    </cfRule>
  </conditionalFormatting>
  <conditionalFormatting sqref="BO328">
    <cfRule type="cellIs" dxfId="162" priority="132" operator="lessThan">
      <formula>0</formula>
    </cfRule>
  </conditionalFormatting>
  <conditionalFormatting sqref="O328 AA328 AM328 AY328 BL328">
    <cfRule type="cellIs" dxfId="161" priority="131" operator="lessThan">
      <formula>0</formula>
    </cfRule>
  </conditionalFormatting>
  <conditionalFormatting sqref="BO381">
    <cfRule type="cellIs" dxfId="160" priority="130" operator="lessThan">
      <formula>0</formula>
    </cfRule>
  </conditionalFormatting>
  <conditionalFormatting sqref="BL381 AY381 AM381 AA381 O381">
    <cfRule type="cellIs" dxfId="159" priority="129" operator="lessThan">
      <formula>0</formula>
    </cfRule>
  </conditionalFormatting>
  <conditionalFormatting sqref="BO382">
    <cfRule type="cellIs" dxfId="158" priority="128" operator="lessThan">
      <formula>0</formula>
    </cfRule>
  </conditionalFormatting>
  <conditionalFormatting sqref="BL382 AY382 AM382 AA382 O382">
    <cfRule type="cellIs" dxfId="157" priority="127" operator="lessThan">
      <formula>0</formula>
    </cfRule>
  </conditionalFormatting>
  <conditionalFormatting sqref="BO394">
    <cfRule type="cellIs" dxfId="156" priority="126" operator="lessThan">
      <formula>0</formula>
    </cfRule>
  </conditionalFormatting>
  <conditionalFormatting sqref="O394 AA394 AM394 AY394 BL394">
    <cfRule type="cellIs" dxfId="155" priority="125" operator="lessThan">
      <formula>0</formula>
    </cfRule>
  </conditionalFormatting>
  <conditionalFormatting sqref="BO395">
    <cfRule type="cellIs" dxfId="154" priority="124" operator="lessThan">
      <formula>0</formula>
    </cfRule>
  </conditionalFormatting>
  <conditionalFormatting sqref="O395 AA395 AM395 AY395 BL395">
    <cfRule type="cellIs" dxfId="153" priority="123" operator="lessThan">
      <formula>0</formula>
    </cfRule>
  </conditionalFormatting>
  <conditionalFormatting sqref="BO355">
    <cfRule type="cellIs" dxfId="152" priority="122" operator="lessThan">
      <formula>0</formula>
    </cfRule>
  </conditionalFormatting>
  <conditionalFormatting sqref="O355 AA355 AM355 AY355 BL355">
    <cfRule type="cellIs" dxfId="151" priority="121" operator="lessThan">
      <formula>0</formula>
    </cfRule>
  </conditionalFormatting>
  <conditionalFormatting sqref="BO377">
    <cfRule type="cellIs" dxfId="150" priority="120" operator="lessThan">
      <formula>0</formula>
    </cfRule>
  </conditionalFormatting>
  <conditionalFormatting sqref="O377 AA377 AM377 AY377 BL377">
    <cfRule type="cellIs" dxfId="149" priority="119" operator="lessThan">
      <formula>0</formula>
    </cfRule>
  </conditionalFormatting>
  <conditionalFormatting sqref="BO380">
    <cfRule type="cellIs" dxfId="148" priority="118" operator="lessThan">
      <formula>0</formula>
    </cfRule>
  </conditionalFormatting>
  <conditionalFormatting sqref="BL380 AY380 AM380 AA380 O380">
    <cfRule type="cellIs" dxfId="147" priority="117" operator="lessThan">
      <formula>0</formula>
    </cfRule>
  </conditionalFormatting>
  <conditionalFormatting sqref="BO341">
    <cfRule type="cellIs" dxfId="146" priority="116" operator="lessThan">
      <formula>0</formula>
    </cfRule>
  </conditionalFormatting>
  <conditionalFormatting sqref="BL341 AY341 AM341 AA341 O341">
    <cfRule type="cellIs" dxfId="145" priority="115" operator="lessThan">
      <formula>0</formula>
    </cfRule>
  </conditionalFormatting>
  <conditionalFormatting sqref="BO525">
    <cfRule type="cellIs" dxfId="144" priority="114" operator="lessThan">
      <formula>0</formula>
    </cfRule>
  </conditionalFormatting>
  <conditionalFormatting sqref="BL525 AY525 AM525 AA525 O525">
    <cfRule type="cellIs" dxfId="143" priority="113" operator="lessThan">
      <formula>0</formula>
    </cfRule>
  </conditionalFormatting>
  <conditionalFormatting sqref="BO556">
    <cfRule type="cellIs" dxfId="142" priority="112" operator="lessThan">
      <formula>0</formula>
    </cfRule>
  </conditionalFormatting>
  <conditionalFormatting sqref="O556 AA556 AM556 AY556 BL556">
    <cfRule type="cellIs" dxfId="141" priority="111" operator="lessThan">
      <formula>0</formula>
    </cfRule>
  </conditionalFormatting>
  <conditionalFormatting sqref="BO647">
    <cfRule type="cellIs" dxfId="140" priority="110" operator="lessThan">
      <formula>0</formula>
    </cfRule>
  </conditionalFormatting>
  <conditionalFormatting sqref="O647 AA647 AM647 AY647 BL647">
    <cfRule type="cellIs" dxfId="139" priority="109" operator="lessThan">
      <formula>0</formula>
    </cfRule>
  </conditionalFormatting>
  <conditionalFormatting sqref="BO871">
    <cfRule type="cellIs" dxfId="138" priority="108" operator="lessThan">
      <formula>0</formula>
    </cfRule>
  </conditionalFormatting>
  <conditionalFormatting sqref="O871 AA871 AM871 AY871 BL871">
    <cfRule type="cellIs" dxfId="137" priority="107" operator="lessThan">
      <formula>0</formula>
    </cfRule>
  </conditionalFormatting>
  <conditionalFormatting sqref="BO697">
    <cfRule type="cellIs" dxfId="136" priority="106" operator="lessThan">
      <formula>0</formula>
    </cfRule>
  </conditionalFormatting>
  <conditionalFormatting sqref="BL697 AY697 AM697 AA697 O697">
    <cfRule type="cellIs" dxfId="135" priority="105" operator="lessThan">
      <formula>0</formula>
    </cfRule>
  </conditionalFormatting>
  <conditionalFormatting sqref="BO757">
    <cfRule type="cellIs" dxfId="134" priority="104" operator="lessThan">
      <formula>0</formula>
    </cfRule>
  </conditionalFormatting>
  <conditionalFormatting sqref="BL757 AY757 AM757 AA757 O757">
    <cfRule type="cellIs" dxfId="133" priority="103" operator="lessThan">
      <formula>0</formula>
    </cfRule>
  </conditionalFormatting>
  <conditionalFormatting sqref="BO883">
    <cfRule type="cellIs" dxfId="132" priority="102" operator="lessThan">
      <formula>0</formula>
    </cfRule>
  </conditionalFormatting>
  <conditionalFormatting sqref="BL883 AY883 AM883 AA883 O883">
    <cfRule type="cellIs" dxfId="131" priority="101" operator="lessThan">
      <formula>0</formula>
    </cfRule>
  </conditionalFormatting>
  <conditionalFormatting sqref="BO841">
    <cfRule type="cellIs" dxfId="130" priority="100" operator="lessThan">
      <formula>0</formula>
    </cfRule>
  </conditionalFormatting>
  <conditionalFormatting sqref="O841 AA841 AM841 AY841 BL841">
    <cfRule type="cellIs" dxfId="129" priority="99" operator="lessThan">
      <formula>0</formula>
    </cfRule>
  </conditionalFormatting>
  <conditionalFormatting sqref="BO746">
    <cfRule type="cellIs" dxfId="128" priority="98" operator="lessThan">
      <formula>0</formula>
    </cfRule>
  </conditionalFormatting>
  <conditionalFormatting sqref="O746 AA746 AM746 AY746 BL746">
    <cfRule type="cellIs" dxfId="127" priority="97" operator="lessThan">
      <formula>0</formula>
    </cfRule>
  </conditionalFormatting>
  <conditionalFormatting sqref="BO473">
    <cfRule type="cellIs" dxfId="126" priority="96" operator="lessThan">
      <formula>0</formula>
    </cfRule>
  </conditionalFormatting>
  <conditionalFormatting sqref="O473 AA473 AM473 AY473 BL473">
    <cfRule type="cellIs" dxfId="125" priority="95" operator="lessThan">
      <formula>0</formula>
    </cfRule>
  </conditionalFormatting>
  <conditionalFormatting sqref="BO295">
    <cfRule type="cellIs" dxfId="124" priority="94" operator="lessThan">
      <formula>0</formula>
    </cfRule>
  </conditionalFormatting>
  <conditionalFormatting sqref="O295 AA295 AM295 AY295 BL295">
    <cfRule type="cellIs" dxfId="123" priority="93" operator="lessThan">
      <formula>0</formula>
    </cfRule>
  </conditionalFormatting>
  <conditionalFormatting sqref="BO300">
    <cfRule type="cellIs" dxfId="122" priority="92" operator="lessThan">
      <formula>0</formula>
    </cfRule>
  </conditionalFormatting>
  <conditionalFormatting sqref="BL300 AY300 AM300 AA300 O300">
    <cfRule type="cellIs" dxfId="121" priority="91" operator="lessThan">
      <formula>0</formula>
    </cfRule>
  </conditionalFormatting>
  <conditionalFormatting sqref="BO676">
    <cfRule type="cellIs" dxfId="120" priority="90" operator="lessThan">
      <formula>0</formula>
    </cfRule>
  </conditionalFormatting>
  <conditionalFormatting sqref="BL676 AY676 AM676 AA676 O676">
    <cfRule type="cellIs" dxfId="119" priority="89" operator="lessThan">
      <formula>0</formula>
    </cfRule>
  </conditionalFormatting>
  <conditionalFormatting sqref="BO743">
    <cfRule type="cellIs" dxfId="118" priority="88" operator="lessThan">
      <formula>0</formula>
    </cfRule>
  </conditionalFormatting>
  <conditionalFormatting sqref="BL743 AY743 AM743 AA743 O743">
    <cfRule type="cellIs" dxfId="117" priority="87" operator="lessThan">
      <formula>0</formula>
    </cfRule>
  </conditionalFormatting>
  <conditionalFormatting sqref="BO936">
    <cfRule type="cellIs" dxfId="116" priority="86" operator="lessThan">
      <formula>0</formula>
    </cfRule>
  </conditionalFormatting>
  <conditionalFormatting sqref="O936 AA936 AM936 AY936 BL936">
    <cfRule type="cellIs" dxfId="115" priority="85" operator="lessThan">
      <formula>0</formula>
    </cfRule>
  </conditionalFormatting>
  <conditionalFormatting sqref="BO935">
    <cfRule type="cellIs" dxfId="114" priority="84" operator="lessThan">
      <formula>0</formula>
    </cfRule>
  </conditionalFormatting>
  <conditionalFormatting sqref="O935 AA935 AM935 AY935 BL935">
    <cfRule type="cellIs" dxfId="113" priority="83" operator="lessThan">
      <formula>0</formula>
    </cfRule>
  </conditionalFormatting>
  <conditionalFormatting sqref="BO928">
    <cfRule type="cellIs" dxfId="112" priority="82" operator="lessThan">
      <formula>0</formula>
    </cfRule>
  </conditionalFormatting>
  <conditionalFormatting sqref="O928 AA928 AM928 AY928 BL928">
    <cfRule type="cellIs" dxfId="111" priority="81" operator="lessThan">
      <formula>0</formula>
    </cfRule>
  </conditionalFormatting>
  <conditionalFormatting sqref="BO951">
    <cfRule type="cellIs" dxfId="110" priority="80" operator="lessThan">
      <formula>0</formula>
    </cfRule>
  </conditionalFormatting>
  <conditionalFormatting sqref="BL951 AY951 AM951 AA951 O951">
    <cfRule type="cellIs" dxfId="109" priority="79" operator="lessThan">
      <formula>0</formula>
    </cfRule>
  </conditionalFormatting>
  <conditionalFormatting sqref="BO953">
    <cfRule type="cellIs" dxfId="108" priority="78" operator="lessThan">
      <formula>0</formula>
    </cfRule>
  </conditionalFormatting>
  <conditionalFormatting sqref="O953 AA953 AM953 AY953 BL953">
    <cfRule type="cellIs" dxfId="107" priority="77" operator="lessThan">
      <formula>0</formula>
    </cfRule>
  </conditionalFormatting>
  <conditionalFormatting sqref="BO490">
    <cfRule type="cellIs" dxfId="106" priority="76" operator="lessThan">
      <formula>0</formula>
    </cfRule>
  </conditionalFormatting>
  <conditionalFormatting sqref="BL490 AY490 AM490 AA490 O490">
    <cfRule type="cellIs" dxfId="105" priority="75" operator="lessThan">
      <formula>0</formula>
    </cfRule>
  </conditionalFormatting>
  <conditionalFormatting sqref="BO534">
    <cfRule type="cellIs" dxfId="104" priority="74" operator="lessThan">
      <formula>0</formula>
    </cfRule>
  </conditionalFormatting>
  <conditionalFormatting sqref="O534 AA534 AM534 AY534 BL534">
    <cfRule type="cellIs" dxfId="103" priority="73" operator="lessThan">
      <formula>0</formula>
    </cfRule>
  </conditionalFormatting>
  <conditionalFormatting sqref="BO535">
    <cfRule type="cellIs" dxfId="102" priority="72" operator="lessThan">
      <formula>0</formula>
    </cfRule>
  </conditionalFormatting>
  <conditionalFormatting sqref="O535 AA535 AM535 AY535 BL535">
    <cfRule type="cellIs" dxfId="101" priority="71" operator="lessThan">
      <formula>0</formula>
    </cfRule>
  </conditionalFormatting>
  <conditionalFormatting sqref="BO537">
    <cfRule type="cellIs" dxfId="100" priority="70" operator="lessThan">
      <formula>0</formula>
    </cfRule>
  </conditionalFormatting>
  <conditionalFormatting sqref="O537 AA537 AM537 AY537 BL537">
    <cfRule type="cellIs" dxfId="99" priority="69" operator="lessThan">
      <formula>0</formula>
    </cfRule>
  </conditionalFormatting>
  <conditionalFormatting sqref="BO31">
    <cfRule type="cellIs" dxfId="98" priority="68" operator="lessThan">
      <formula>0</formula>
    </cfRule>
  </conditionalFormatting>
  <conditionalFormatting sqref="O31 AA31 AM31 AY31 BL31">
    <cfRule type="cellIs" dxfId="97" priority="67" operator="lessThan">
      <formula>0</formula>
    </cfRule>
  </conditionalFormatting>
  <conditionalFormatting sqref="BO94">
    <cfRule type="cellIs" dxfId="96" priority="66" operator="lessThan">
      <formula>0</formula>
    </cfRule>
  </conditionalFormatting>
  <conditionalFormatting sqref="O94 AA94 AM94 AY94 BL94">
    <cfRule type="cellIs" dxfId="95" priority="65" operator="lessThan">
      <formula>0</formula>
    </cfRule>
  </conditionalFormatting>
  <conditionalFormatting sqref="BO219">
    <cfRule type="cellIs" dxfId="94" priority="64" operator="lessThan">
      <formula>0</formula>
    </cfRule>
  </conditionalFormatting>
  <conditionalFormatting sqref="O219 AA219 AM219 AY219 BL219">
    <cfRule type="cellIs" dxfId="93" priority="63" operator="lessThan">
      <formula>0</formula>
    </cfRule>
  </conditionalFormatting>
  <conditionalFormatting sqref="BO291">
    <cfRule type="cellIs" dxfId="92" priority="62" operator="lessThan">
      <formula>0</formula>
    </cfRule>
  </conditionalFormatting>
  <conditionalFormatting sqref="O291 AA291 AM291 AY291 BL291">
    <cfRule type="cellIs" dxfId="91" priority="61" operator="lessThan">
      <formula>0</formula>
    </cfRule>
  </conditionalFormatting>
  <conditionalFormatting sqref="BO636">
    <cfRule type="cellIs" dxfId="90" priority="60" operator="lessThan">
      <formula>0</formula>
    </cfRule>
  </conditionalFormatting>
  <conditionalFormatting sqref="O636 AA636 AM636 AY636 BL636">
    <cfRule type="cellIs" dxfId="89" priority="59" operator="lessThan">
      <formula>0</formula>
    </cfRule>
  </conditionalFormatting>
  <conditionalFormatting sqref="BO659">
    <cfRule type="cellIs" dxfId="88" priority="58" operator="lessThan">
      <formula>0</formula>
    </cfRule>
  </conditionalFormatting>
  <conditionalFormatting sqref="BL659 AY659 AM659 AA659 O659">
    <cfRule type="cellIs" dxfId="87" priority="57" operator="lessThan">
      <formula>0</formula>
    </cfRule>
  </conditionalFormatting>
  <conditionalFormatting sqref="BO203">
    <cfRule type="cellIs" dxfId="86" priority="56" operator="lessThan">
      <formula>0</formula>
    </cfRule>
  </conditionalFormatting>
  <conditionalFormatting sqref="BL203 AY203 AM203 AA203 O203">
    <cfRule type="cellIs" dxfId="85" priority="55" operator="lessThan">
      <formula>0</formula>
    </cfRule>
  </conditionalFormatting>
  <conditionalFormatting sqref="BO251">
    <cfRule type="cellIs" dxfId="84" priority="54" operator="lessThan">
      <formula>0</formula>
    </cfRule>
  </conditionalFormatting>
  <conditionalFormatting sqref="BL251 AY251 AM251 AA251 O251">
    <cfRule type="cellIs" dxfId="83" priority="53" operator="lessThan">
      <formula>0</formula>
    </cfRule>
  </conditionalFormatting>
  <conditionalFormatting sqref="BO253">
    <cfRule type="cellIs" dxfId="82" priority="50" operator="lessThan">
      <formula>0</formula>
    </cfRule>
  </conditionalFormatting>
  <conditionalFormatting sqref="O253 AA253 AM253 AY253 BL253">
    <cfRule type="cellIs" dxfId="81" priority="49" operator="lessThan">
      <formula>0</formula>
    </cfRule>
  </conditionalFormatting>
  <conditionalFormatting sqref="BO265">
    <cfRule type="cellIs" dxfId="80" priority="48" operator="lessThan">
      <formula>0</formula>
    </cfRule>
  </conditionalFormatting>
  <conditionalFormatting sqref="BL265 AY265 AM265 AA265 O265">
    <cfRule type="cellIs" dxfId="79" priority="47" operator="lessThan">
      <formula>0</formula>
    </cfRule>
  </conditionalFormatting>
  <conditionalFormatting sqref="BO835">
    <cfRule type="cellIs" dxfId="78" priority="46" operator="lessThan">
      <formula>0</formula>
    </cfRule>
  </conditionalFormatting>
  <conditionalFormatting sqref="BL835 AY835 AM835 AA835 O835">
    <cfRule type="cellIs" dxfId="77" priority="45" operator="lessThan">
      <formula>0</formula>
    </cfRule>
  </conditionalFormatting>
  <conditionalFormatting sqref="BO861">
    <cfRule type="cellIs" dxfId="76" priority="44" operator="lessThan">
      <formula>0</formula>
    </cfRule>
  </conditionalFormatting>
  <conditionalFormatting sqref="O861 AA861 AM861 AY861 BL861">
    <cfRule type="cellIs" dxfId="75" priority="43" operator="lessThan">
      <formula>0</formula>
    </cfRule>
  </conditionalFormatting>
  <conditionalFormatting sqref="BO609">
    <cfRule type="cellIs" dxfId="74" priority="42" operator="lessThan">
      <formula>0</formula>
    </cfRule>
  </conditionalFormatting>
  <conditionalFormatting sqref="O609 AA609 AM609 AY609 BL609">
    <cfRule type="cellIs" dxfId="73" priority="41" operator="lessThan">
      <formula>0</formula>
    </cfRule>
  </conditionalFormatting>
  <conditionalFormatting sqref="BO32">
    <cfRule type="cellIs" dxfId="72" priority="40" operator="lessThan">
      <formula>0</formula>
    </cfRule>
  </conditionalFormatting>
  <conditionalFormatting sqref="O32 AA32 AM32 AY32 BL32">
    <cfRule type="cellIs" dxfId="71" priority="39" operator="lessThan">
      <formula>0</formula>
    </cfRule>
  </conditionalFormatting>
  <conditionalFormatting sqref="BO33">
    <cfRule type="cellIs" dxfId="70" priority="38" operator="lessThan">
      <formula>0</formula>
    </cfRule>
  </conditionalFormatting>
  <conditionalFormatting sqref="O33 AA33 AM33 AY33 BL33">
    <cfRule type="cellIs" dxfId="69" priority="37" operator="lessThan">
      <formula>0</formula>
    </cfRule>
  </conditionalFormatting>
  <conditionalFormatting sqref="BO34">
    <cfRule type="cellIs" dxfId="68" priority="36" operator="lessThan">
      <formula>0</formula>
    </cfRule>
  </conditionalFormatting>
  <conditionalFormatting sqref="O34 AA34 AM34 AY34 BL34">
    <cfRule type="cellIs" dxfId="67" priority="35" operator="lessThan">
      <formula>0</formula>
    </cfRule>
  </conditionalFormatting>
  <conditionalFormatting sqref="BO301">
    <cfRule type="cellIs" dxfId="66" priority="34" operator="lessThan">
      <formula>0</formula>
    </cfRule>
  </conditionalFormatting>
  <conditionalFormatting sqref="BL301 AY301 AM301 AA301 O301">
    <cfRule type="cellIs" dxfId="65" priority="33" operator="lessThan">
      <formula>0</formula>
    </cfRule>
  </conditionalFormatting>
  <conditionalFormatting sqref="BO303">
    <cfRule type="cellIs" dxfId="64" priority="32" operator="lessThan">
      <formula>0</formula>
    </cfRule>
  </conditionalFormatting>
  <conditionalFormatting sqref="O303 AA303 AM303 AY303 BL303">
    <cfRule type="cellIs" dxfId="63" priority="31" operator="lessThan">
      <formula>0</formula>
    </cfRule>
  </conditionalFormatting>
  <conditionalFormatting sqref="BO781">
    <cfRule type="cellIs" dxfId="62" priority="30" operator="lessThan">
      <formula>0</formula>
    </cfRule>
  </conditionalFormatting>
  <conditionalFormatting sqref="BL781 AY781 AM781 AA781 O781">
    <cfRule type="cellIs" dxfId="61" priority="29" operator="lessThan">
      <formula>0</formula>
    </cfRule>
  </conditionalFormatting>
  <conditionalFormatting sqref="BO862">
    <cfRule type="cellIs" dxfId="60" priority="28" operator="lessThan">
      <formula>0</formula>
    </cfRule>
  </conditionalFormatting>
  <conditionalFormatting sqref="O862 AA862 AM862 AY862 BL862">
    <cfRule type="cellIs" dxfId="59" priority="27" operator="lessThan">
      <formula>0</formula>
    </cfRule>
  </conditionalFormatting>
  <conditionalFormatting sqref="BO141">
    <cfRule type="cellIs" dxfId="58" priority="26" operator="lessThan">
      <formula>0</formula>
    </cfRule>
  </conditionalFormatting>
  <conditionalFormatting sqref="BL141 AY141 AM141 AA141 O141">
    <cfRule type="cellIs" dxfId="57" priority="25" operator="lessThan">
      <formula>0</formula>
    </cfRule>
  </conditionalFormatting>
  <conditionalFormatting sqref="BO262">
    <cfRule type="cellIs" dxfId="56" priority="24" operator="lessThan">
      <formula>0</formula>
    </cfRule>
  </conditionalFormatting>
  <conditionalFormatting sqref="BL262 AY262 AM262 AA262 O262">
    <cfRule type="cellIs" dxfId="55" priority="23" operator="lessThan">
      <formula>0</formula>
    </cfRule>
  </conditionalFormatting>
  <conditionalFormatting sqref="BO217">
    <cfRule type="cellIs" dxfId="54" priority="22" operator="lessThan">
      <formula>0</formula>
    </cfRule>
  </conditionalFormatting>
  <conditionalFormatting sqref="O217 AA217 AM217 AY217 BL217">
    <cfRule type="cellIs" dxfId="53" priority="21" operator="lessThan">
      <formula>0</formula>
    </cfRule>
  </conditionalFormatting>
  <conditionalFormatting sqref="BO252">
    <cfRule type="cellIs" dxfId="52" priority="20" operator="lessThan">
      <formula>0</formula>
    </cfRule>
  </conditionalFormatting>
  <conditionalFormatting sqref="O252 AA252 AM252 AY252 BL252">
    <cfRule type="cellIs" dxfId="51" priority="19" operator="lessThan">
      <formula>0</formula>
    </cfRule>
  </conditionalFormatting>
  <conditionalFormatting sqref="BO463">
    <cfRule type="cellIs" dxfId="50" priority="18" operator="lessThan">
      <formula>0</formula>
    </cfRule>
  </conditionalFormatting>
  <conditionalFormatting sqref="BL463 AY463 AM463 AA463 O463">
    <cfRule type="cellIs" dxfId="49" priority="17" operator="lessThan">
      <formula>0</formula>
    </cfRule>
  </conditionalFormatting>
  <conditionalFormatting sqref="BO613">
    <cfRule type="cellIs" dxfId="48" priority="16" operator="lessThan">
      <formula>0</formula>
    </cfRule>
  </conditionalFormatting>
  <conditionalFormatting sqref="BL613 AY613 AM613 AA613 O613">
    <cfRule type="cellIs" dxfId="47" priority="15" operator="lessThan">
      <formula>0</formula>
    </cfRule>
  </conditionalFormatting>
  <conditionalFormatting sqref="BO789">
    <cfRule type="cellIs" dxfId="46" priority="14" operator="lessThan">
      <formula>0</formula>
    </cfRule>
  </conditionalFormatting>
  <conditionalFormatting sqref="O789 AA789 AM789 AY789 BL789">
    <cfRule type="cellIs" dxfId="45" priority="13" operator="lessThan">
      <formula>0</formula>
    </cfRule>
  </conditionalFormatting>
  <conditionalFormatting sqref="BO962">
    <cfRule type="cellIs" dxfId="44" priority="12" operator="lessThan">
      <formula>0</formula>
    </cfRule>
  </conditionalFormatting>
  <conditionalFormatting sqref="BL962 AY962 AM962 AA962 O962">
    <cfRule type="cellIs" dxfId="43" priority="11" operator="lessThan">
      <formula>0</formula>
    </cfRule>
  </conditionalFormatting>
  <conditionalFormatting sqref="BO574:BO575">
    <cfRule type="cellIs" dxfId="42" priority="10" operator="lessThan">
      <formula>0</formula>
    </cfRule>
  </conditionalFormatting>
  <conditionalFormatting sqref="BO578:BO584 BO586:BO588 BO590:BO596">
    <cfRule type="cellIs" dxfId="41" priority="9" operator="lessThan">
      <formula>0</formula>
    </cfRule>
  </conditionalFormatting>
  <conditionalFormatting sqref="BO576">
    <cfRule type="cellIs" dxfId="40" priority="8" operator="lessThan">
      <formula>0</formula>
    </cfRule>
  </conditionalFormatting>
  <conditionalFormatting sqref="O574:O576 AA574:AA576 AM574:AM576 AY574:AY576 BL574:BL576 BL578:BL584 AY578:AY584 AM578:AM584 AA578:AA584 O578:O584 O586:O588 AA586:AA588 AM586:AM588 AY586:AY588 BL586:BL588 BL590:BL596 AY590:AY596 AM590:AM596 AA590:AA596 O590:O596">
    <cfRule type="cellIs" dxfId="39" priority="7" operator="lessThan">
      <formula>0</formula>
    </cfRule>
  </conditionalFormatting>
  <conditionalFormatting sqref="BO577">
    <cfRule type="cellIs" dxfId="38" priority="6" operator="lessThan">
      <formula>0</formula>
    </cfRule>
  </conditionalFormatting>
  <conditionalFormatting sqref="BL577 AY577 AM577 AA577 O577">
    <cfRule type="cellIs" dxfId="37" priority="5" operator="lessThan">
      <formula>0</formula>
    </cfRule>
  </conditionalFormatting>
  <conditionalFormatting sqref="BO585">
    <cfRule type="cellIs" dxfId="36" priority="4" operator="lessThan">
      <formula>0</formula>
    </cfRule>
  </conditionalFormatting>
  <conditionalFormatting sqref="O585 AA585 AM585 AY585 BL585">
    <cfRule type="cellIs" dxfId="35" priority="3" operator="lessThan">
      <formula>0</formula>
    </cfRule>
  </conditionalFormatting>
  <conditionalFormatting sqref="BO589">
    <cfRule type="cellIs" dxfId="34" priority="2" operator="lessThan">
      <formula>0</formula>
    </cfRule>
  </conditionalFormatting>
  <conditionalFormatting sqref="BL589 AY589 AM589 AA589 O589">
    <cfRule type="cellIs" dxfId="33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headerFooter>
    <oddHeader>&amp;C&amp;G</oddHeader>
  </headerFooter>
  <drawing r:id="rId2"/>
  <legacyDrawingHF r:id="rId3"/>
  <picture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XFB51"/>
  <sheetViews>
    <sheetView showGridLines="0" topLeftCell="A13" zoomScale="130" zoomScaleNormal="130" workbookViewId="0">
      <selection activeCell="A33" sqref="A33"/>
    </sheetView>
  </sheetViews>
  <sheetFormatPr defaultColWidth="0" defaultRowHeight="0" customHeight="1" zeroHeight="1" x14ac:dyDescent="0.25"/>
  <cols>
    <col min="1" max="1" width="1.42578125" style="18" customWidth="1"/>
    <col min="2" max="2" width="30.42578125" style="19" bestFit="1" customWidth="1"/>
    <col min="3" max="3" width="1.140625" style="19" customWidth="1"/>
    <col min="4" max="33" width="15.85546875" style="19" customWidth="1"/>
    <col min="34" max="34" width="1.140625" style="19" customWidth="1"/>
    <col min="35" max="16384" width="0" style="19" hidden="1"/>
  </cols>
  <sheetData>
    <row r="1" spans="2:13" ht="15" x14ac:dyDescent="0.25">
      <c r="B1" s="238" t="s">
        <v>52</v>
      </c>
      <c r="C1" s="43"/>
      <c r="D1" s="48">
        <v>1</v>
      </c>
      <c r="E1" s="48">
        <v>2</v>
      </c>
      <c r="F1" s="48">
        <v>3</v>
      </c>
      <c r="G1" s="48">
        <v>4</v>
      </c>
      <c r="H1" s="48">
        <v>5</v>
      </c>
      <c r="I1" s="48">
        <v>6</v>
      </c>
      <c r="J1" s="48">
        <v>7</v>
      </c>
      <c r="K1" s="48">
        <v>8</v>
      </c>
      <c r="L1" s="48">
        <v>9</v>
      </c>
      <c r="M1" s="48">
        <v>10</v>
      </c>
    </row>
    <row r="2" spans="2:13" ht="16.5" thickBot="1" x14ac:dyDescent="0.3">
      <c r="B2" s="239"/>
      <c r="C2" s="47"/>
      <c r="D2" s="22">
        <v>22745.040000000001</v>
      </c>
      <c r="E2" s="22">
        <v>17520.07</v>
      </c>
      <c r="F2" s="22">
        <v>17395.52</v>
      </c>
      <c r="G2" s="22">
        <v>23707.059999999998</v>
      </c>
      <c r="H2" s="22">
        <f>17780.14+472</f>
        <v>18252.14</v>
      </c>
      <c r="I2" s="22">
        <v>18583.07</v>
      </c>
      <c r="J2" s="22">
        <v>16623.460000000003</v>
      </c>
      <c r="K2" s="22">
        <v>15592.8</v>
      </c>
      <c r="L2" s="22">
        <v>18565.479999999996</v>
      </c>
      <c r="M2" s="22">
        <v>22037.160000000003</v>
      </c>
    </row>
    <row r="3" spans="2:13" ht="12.95" customHeight="1" x14ac:dyDescent="0.25">
      <c r="B3" s="241"/>
      <c r="C3" s="47"/>
      <c r="D3" s="48">
        <v>11</v>
      </c>
      <c r="E3" s="48">
        <v>12</v>
      </c>
      <c r="F3" s="48">
        <v>13</v>
      </c>
      <c r="G3" s="48">
        <v>14</v>
      </c>
      <c r="H3" s="48">
        <v>15</v>
      </c>
      <c r="I3" s="48">
        <v>16</v>
      </c>
      <c r="J3" s="48">
        <v>17</v>
      </c>
      <c r="K3" s="48">
        <v>18</v>
      </c>
      <c r="L3" s="48">
        <v>19</v>
      </c>
      <c r="M3" s="48">
        <v>20</v>
      </c>
    </row>
    <row r="4" spans="2:13" ht="16.5" thickBot="1" x14ac:dyDescent="0.3">
      <c r="B4" s="242">
        <f>SUM(D2:M2,D4:M4,D6:M6)</f>
        <v>567725.81999999995</v>
      </c>
      <c r="C4" s="47"/>
      <c r="D4" s="22">
        <v>28993.339999999997</v>
      </c>
      <c r="E4" s="22">
        <f>18325.84+423</f>
        <v>18748.84</v>
      </c>
      <c r="F4" s="22">
        <v>15001.09</v>
      </c>
      <c r="G4" s="22">
        <v>17858.000000000004</v>
      </c>
      <c r="H4" s="22">
        <v>15918.060000000001</v>
      </c>
      <c r="I4" s="22">
        <v>14930.870000000004</v>
      </c>
      <c r="J4" s="22">
        <v>16997.150000000001</v>
      </c>
      <c r="K4" s="22">
        <v>24387.62</v>
      </c>
      <c r="L4" s="22">
        <f>18434.82+449</f>
        <v>18883.82</v>
      </c>
      <c r="M4" s="22">
        <v>16041.199999999997</v>
      </c>
    </row>
    <row r="5" spans="2:13" ht="15.75" x14ac:dyDescent="0.25">
      <c r="B5" s="243"/>
      <c r="C5" s="47"/>
      <c r="D5" s="48">
        <v>21</v>
      </c>
      <c r="E5" s="48">
        <v>22</v>
      </c>
      <c r="F5" s="48">
        <v>23</v>
      </c>
      <c r="G5" s="48">
        <v>24</v>
      </c>
      <c r="H5" s="48">
        <v>25</v>
      </c>
      <c r="I5" s="48">
        <v>26</v>
      </c>
      <c r="J5" s="48">
        <v>27</v>
      </c>
      <c r="K5" s="48">
        <v>28</v>
      </c>
      <c r="L5" s="48">
        <v>29</v>
      </c>
      <c r="M5" s="48">
        <v>30</v>
      </c>
    </row>
    <row r="6" spans="2:13" ht="12.95" customHeight="1" thickBot="1" x14ac:dyDescent="0.3">
      <c r="B6" s="244"/>
      <c r="C6" s="47"/>
      <c r="D6" s="22">
        <v>16008.740000000002</v>
      </c>
      <c r="E6" s="22">
        <v>12790.05</v>
      </c>
      <c r="F6" s="22">
        <v>18864.760000000002</v>
      </c>
      <c r="G6" s="22">
        <v>18061.22</v>
      </c>
      <c r="H6" s="22">
        <v>24791.599999999995</v>
      </c>
      <c r="I6" s="22">
        <f>16062.75+512</f>
        <v>16574.75</v>
      </c>
      <c r="J6" s="22">
        <v>17945.399999999998</v>
      </c>
      <c r="K6" s="22">
        <v>16318.71</v>
      </c>
      <c r="L6" s="22">
        <v>19531.170000000002</v>
      </c>
      <c r="M6" s="22">
        <f>15689.11+12368.52</f>
        <v>28057.63</v>
      </c>
    </row>
    <row r="7" spans="2:13" ht="21" customHeight="1" x14ac:dyDescent="0.2"/>
    <row r="8" spans="2:13" ht="21" customHeight="1" thickBot="1" x14ac:dyDescent="0.25"/>
    <row r="9" spans="2:13" ht="21" customHeight="1" x14ac:dyDescent="0.2">
      <c r="B9" s="46" t="s">
        <v>51</v>
      </c>
      <c r="C9" s="43"/>
      <c r="D9" s="30"/>
      <c r="E9" s="37"/>
      <c r="F9" s="37"/>
      <c r="G9" s="37"/>
      <c r="H9" s="37"/>
      <c r="I9" s="37"/>
      <c r="J9" s="37"/>
      <c r="K9" s="37"/>
      <c r="L9" s="37"/>
      <c r="M9" s="31"/>
    </row>
    <row r="10" spans="2:13" ht="21" customHeight="1" x14ac:dyDescent="0.25">
      <c r="B10" s="52" t="s">
        <v>1081</v>
      </c>
      <c r="C10" s="23"/>
      <c r="D10" s="31"/>
      <c r="E10" s="37"/>
      <c r="F10" s="45" t="s">
        <v>49</v>
      </c>
      <c r="G10" s="44">
        <v>0.27</v>
      </c>
      <c r="H10" s="37"/>
      <c r="I10" s="37"/>
      <c r="J10" s="45" t="s">
        <v>49</v>
      </c>
      <c r="K10" s="44">
        <v>0.03</v>
      </c>
      <c r="L10" s="37"/>
      <c r="M10" s="31"/>
    </row>
    <row r="11" spans="2:13" ht="21" customHeight="1" x14ac:dyDescent="0.2">
      <c r="B11" s="42">
        <f>SUMIF(NF!$E$2:$E$3137,"Bebidas",NF!$K$2:$K$3137)+SUMIF(NF!$E$2:$E$3137,"Feirinha",NF!$K$2:$K$3137)+SUMIF(NF!$E$2:$E$3137,"Hortifruti",NF!$K$2:$K$3137)+SUMIF(NF!$E$2:$E$3137,"Mercado",NF!$K$2:$K$3137)+SUMIF(NF!$E$2:$E$3137,"Carnes",NF!$K$2:$K$3137)+SUMIF(NF!$E$2:$E$3137,"Sobremesa",NF!$K$2:$K$3137)+SUMIF(NF!$E$2:$E$3137,"Sushi",NF!$K$2:$K$3137)+SUMIF(NF!$E$2:$E$3137,"Vendas Caixa",NF!$K$2:$K$3137)+SUMIF(NF!$E$2:$E$3137,"Laticínios",NF!$K$2:$K$3137)</f>
        <v>149496.64208279998</v>
      </c>
      <c r="C11" s="38"/>
      <c r="D11" s="31"/>
      <c r="E11" s="37"/>
      <c r="F11" s="45" t="s">
        <v>48</v>
      </c>
      <c r="G11" s="44">
        <f>IFERROR(B11/$B$4,0%)</f>
        <v>0.26332542367511136</v>
      </c>
      <c r="H11" s="37"/>
      <c r="I11" s="37"/>
      <c r="J11" s="45" t="s">
        <v>48</v>
      </c>
      <c r="K11" s="44">
        <f>IFERROR(B13/$B$4,0%)</f>
        <v>2.4799809175492498E-2</v>
      </c>
      <c r="L11" s="37"/>
      <c r="M11" s="31"/>
    </row>
    <row r="12" spans="2:13" ht="21" customHeight="1" x14ac:dyDescent="0.25">
      <c r="B12" s="40" t="s">
        <v>970</v>
      </c>
      <c r="C12" s="23"/>
      <c r="D12" s="31"/>
      <c r="E12" s="37"/>
      <c r="F12" s="37"/>
      <c r="G12" s="37"/>
      <c r="H12" s="37"/>
      <c r="I12" s="37"/>
      <c r="J12" s="37"/>
      <c r="K12" s="37"/>
      <c r="L12" s="37"/>
      <c r="M12" s="31"/>
    </row>
    <row r="13" spans="2:13" ht="21" customHeight="1" thickBot="1" x14ac:dyDescent="0.25">
      <c r="B13" s="39">
        <f>SUMIF(NF!$E$2:$E$3137,"Descartável",NF!$K$2:$K$3137)+SUMIF(NF!$E$2:$E$3137,"Limpeza",NF!$K$2:$K$3137)</f>
        <v>14079.492000000002</v>
      </c>
      <c r="C13" s="38"/>
      <c r="D13" s="31"/>
      <c r="E13" s="37"/>
      <c r="F13" s="37"/>
      <c r="G13" s="37"/>
      <c r="H13" s="37"/>
      <c r="I13" s="37"/>
      <c r="J13" s="37"/>
      <c r="K13" s="37"/>
      <c r="L13" s="37"/>
      <c r="M13" s="31"/>
    </row>
    <row r="14" spans="2:13" ht="21" customHeight="1" thickBot="1" x14ac:dyDescent="0.25"/>
    <row r="15" spans="2:13" ht="21" customHeight="1" x14ac:dyDescent="0.2">
      <c r="B15" s="53" t="s">
        <v>50</v>
      </c>
      <c r="C15" s="43"/>
      <c r="D15" s="30"/>
      <c r="E15" s="37"/>
      <c r="F15" s="37"/>
      <c r="G15" s="37"/>
      <c r="H15" s="37"/>
      <c r="I15" s="37"/>
      <c r="J15" s="37"/>
      <c r="K15" s="37"/>
      <c r="L15" s="37"/>
      <c r="M15" s="31"/>
    </row>
    <row r="16" spans="2:13" ht="21" customHeight="1" x14ac:dyDescent="0.25">
      <c r="B16" s="52" t="s">
        <v>1081</v>
      </c>
      <c r="C16" s="23"/>
      <c r="D16" s="31"/>
      <c r="E16" s="37"/>
      <c r="F16" s="37" t="s">
        <v>49</v>
      </c>
      <c r="G16" s="41">
        <v>0.22</v>
      </c>
      <c r="H16" s="37"/>
      <c r="I16" s="37"/>
      <c r="J16" s="37" t="s">
        <v>49</v>
      </c>
      <c r="K16" s="41">
        <v>0.02</v>
      </c>
      <c r="L16" s="37"/>
      <c r="M16" s="31"/>
    </row>
    <row r="17" spans="2:16382" ht="21" customHeight="1" x14ac:dyDescent="0.2">
      <c r="B17" s="42">
        <f>SUMIF('Mês atual'!$BM$5:$BM$1006,"Bebidas",'Mês atual'!$BO$5:$BO$1006)+SUMIF('Mês atual'!$BM$5:$BM$1006,"Feirinha",'Mês atual'!$BO$5:$BO$1006)+SUMIF('Mês atual'!$BM$5:$BM$1006,"Hortifruti",'Mês atual'!$BO$5:$BO$1006)+SUMIF('Mês atual'!$BM$5:$BM$1006,"Mercado",'Mês atual'!$BO$5:$BO$1006)+SUMIF('Mês atual'!$BM$5:$BM$1006,"Carnes",'Mês atual'!$BO$5:$BO$1006)+SUMIF('Mês atual'!$BM$5:$BM$1006,"Sobremesa",'Mês atual'!$BO$5:$BO$1006)+SUMIF('Mês atual'!$BM$5:$BM$1006,"Sushi",'Mês atual'!$BO$5:$BO$1006)+SUMIF('Mês atual'!$BM$5:$BM$1006,"Vendas Caixa",'Mês atual'!$BO$5:$BO$1006)+SUMIF('Mês atual'!$BM$5:$BM$1006,"Laticínios",'Mês atual'!$BO$5:$BO$1006)</f>
        <v>152854.5098714155</v>
      </c>
      <c r="C17" s="38"/>
      <c r="D17" s="31"/>
      <c r="E17" s="37"/>
      <c r="F17" s="37" t="s">
        <v>48</v>
      </c>
      <c r="G17" s="41">
        <f>IFERROR(B17/$B$4,0%)</f>
        <v>0.26924001778079343</v>
      </c>
      <c r="H17" s="37"/>
      <c r="I17" s="37"/>
      <c r="J17" s="37" t="s">
        <v>48</v>
      </c>
      <c r="K17" s="41">
        <f>IFERROR(B19/$B$4,0%)</f>
        <v>5.6056972757790868E-2</v>
      </c>
      <c r="L17" s="37"/>
      <c r="M17" s="31"/>
    </row>
    <row r="18" spans="2:16382" ht="21" customHeight="1" x14ac:dyDescent="0.25">
      <c r="B18" s="40" t="s">
        <v>970</v>
      </c>
      <c r="C18" s="23"/>
      <c r="D18" s="31"/>
      <c r="E18" s="37"/>
      <c r="F18" s="37"/>
      <c r="G18" s="37"/>
      <c r="H18" s="37"/>
      <c r="I18" s="37"/>
      <c r="J18" s="37"/>
      <c r="K18" s="37"/>
      <c r="L18" s="37"/>
      <c r="M18" s="31"/>
    </row>
    <row r="19" spans="2:16382" ht="21" customHeight="1" thickBot="1" x14ac:dyDescent="0.25">
      <c r="B19" s="39">
        <f>SUMIF('Mês atual'!$BM$5:$BM$1006,"Descartável",'Mês atual'!$BO$5:$BO$1006)+SUMIF('Mês atual'!$BM$5:$BM$1006,"Limpeza",'Mês atual'!$BO$5:$BO$1006)</f>
        <v>31824.990825634479</v>
      </c>
      <c r="C19" s="38"/>
      <c r="D19" s="31"/>
      <c r="E19" s="37"/>
      <c r="F19" s="37"/>
      <c r="G19" s="37"/>
      <c r="H19" s="37"/>
      <c r="I19" s="37"/>
      <c r="J19" s="37"/>
      <c r="K19" s="37"/>
      <c r="L19" s="37"/>
      <c r="M19" s="31"/>
    </row>
    <row r="20" spans="2:16382" ht="21" customHeight="1" x14ac:dyDescent="0.2"/>
    <row r="21" spans="2:16382" ht="21" customHeight="1" x14ac:dyDescent="0.2"/>
    <row r="22" spans="2:16382" ht="21" customHeight="1" x14ac:dyDescent="0.2"/>
    <row r="23" spans="2:16382" ht="21" customHeight="1" thickBot="1" x14ac:dyDescent="0.25"/>
    <row r="24" spans="2:16382" ht="15" customHeight="1" x14ac:dyDescent="0.25">
      <c r="B24" s="238" t="s">
        <v>1370</v>
      </c>
      <c r="C24" s="43"/>
      <c r="D24" s="159" t="s">
        <v>1374</v>
      </c>
      <c r="E24" s="159" t="s">
        <v>20</v>
      </c>
      <c r="F24" s="159" t="s">
        <v>21</v>
      </c>
      <c r="G24" s="159" t="s">
        <v>22</v>
      </c>
      <c r="H24" s="159" t="s">
        <v>23</v>
      </c>
      <c r="I24" s="35" t="s">
        <v>24</v>
      </c>
    </row>
    <row r="25" spans="2:16382" ht="15.95" customHeight="1" x14ac:dyDescent="0.25">
      <c r="B25" s="239"/>
      <c r="C25" s="47"/>
      <c r="D25" s="175" t="s">
        <v>3</v>
      </c>
      <c r="E25" s="177" t="s">
        <v>41</v>
      </c>
      <c r="F25" s="177">
        <v>234.56</v>
      </c>
      <c r="G25" s="177"/>
      <c r="H25" s="177"/>
      <c r="I25" s="177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  <c r="BR25" s="28"/>
      <c r="BS25" s="28"/>
      <c r="BT25" s="28"/>
      <c r="BU25" s="28"/>
      <c r="BV25" s="28"/>
      <c r="BW25" s="28"/>
      <c r="BX25" s="28"/>
      <c r="BY25" s="28"/>
      <c r="BZ25" s="28"/>
      <c r="CA25" s="28"/>
      <c r="CB25" s="28"/>
      <c r="CC25" s="28"/>
      <c r="CD25" s="28"/>
      <c r="CE25" s="28"/>
      <c r="CF25" s="28"/>
      <c r="CG25" s="28"/>
      <c r="CH25" s="28"/>
      <c r="CI25" s="28"/>
      <c r="CJ25" s="28"/>
      <c r="CK25" s="28"/>
      <c r="CL25" s="28"/>
      <c r="CM25" s="28"/>
      <c r="CN25" s="28"/>
      <c r="CO25" s="28"/>
      <c r="CP25" s="28"/>
      <c r="CQ25" s="28"/>
      <c r="CR25" s="28"/>
      <c r="CS25" s="28"/>
      <c r="CT25" s="28"/>
      <c r="CU25" s="28"/>
      <c r="CV25" s="28"/>
      <c r="CW25" s="28"/>
      <c r="CX25" s="28"/>
      <c r="CY25" s="28"/>
      <c r="CZ25" s="28"/>
      <c r="DA25" s="28"/>
      <c r="DB25" s="28"/>
      <c r="DC25" s="28"/>
      <c r="DD25" s="28"/>
      <c r="DE25" s="28"/>
      <c r="DF25" s="28"/>
      <c r="DG25" s="28"/>
      <c r="DH25" s="28"/>
      <c r="DI25" s="28"/>
      <c r="DJ25" s="28"/>
      <c r="DK25" s="28"/>
      <c r="DL25" s="28"/>
      <c r="DM25" s="28"/>
      <c r="DN25" s="28"/>
      <c r="DO25" s="28"/>
      <c r="DP25" s="28"/>
      <c r="DQ25" s="28"/>
      <c r="DR25" s="28"/>
      <c r="DS25" s="28"/>
      <c r="DT25" s="28"/>
      <c r="DU25" s="28"/>
      <c r="DV25" s="28"/>
      <c r="DW25" s="28"/>
      <c r="DX25" s="28"/>
      <c r="DY25" s="28"/>
      <c r="DZ25" s="28"/>
      <c r="EA25" s="28"/>
      <c r="EB25" s="28"/>
      <c r="EC25" s="28"/>
      <c r="ED25" s="28"/>
      <c r="EE25" s="28"/>
      <c r="EF25" s="28"/>
      <c r="EG25" s="28"/>
      <c r="EH25" s="28"/>
      <c r="EI25" s="28"/>
      <c r="EJ25" s="28"/>
      <c r="EK25" s="28"/>
      <c r="EL25" s="28"/>
      <c r="EM25" s="28"/>
      <c r="EN25" s="28"/>
      <c r="EO25" s="28"/>
      <c r="EP25" s="28"/>
      <c r="EQ25" s="28"/>
      <c r="ER25" s="28"/>
      <c r="ES25" s="28"/>
      <c r="ET25" s="28"/>
      <c r="EU25" s="28"/>
      <c r="EV25" s="28"/>
      <c r="EW25" s="28"/>
      <c r="EX25" s="28"/>
      <c r="EY25" s="28"/>
      <c r="EZ25" s="28"/>
      <c r="FA25" s="28"/>
      <c r="FB25" s="28"/>
      <c r="FC25" s="28"/>
      <c r="FD25" s="28"/>
      <c r="FE25" s="28"/>
      <c r="FF25" s="28"/>
      <c r="FG25" s="28"/>
      <c r="FH25" s="28"/>
      <c r="FI25" s="28"/>
      <c r="FJ25" s="28"/>
      <c r="FK25" s="28"/>
      <c r="FL25" s="28"/>
      <c r="FM25" s="28"/>
      <c r="FN25" s="28"/>
      <c r="FO25" s="28"/>
      <c r="FP25" s="28"/>
      <c r="FQ25" s="28"/>
      <c r="FR25" s="28"/>
      <c r="FS25" s="28"/>
      <c r="FT25" s="28"/>
      <c r="FU25" s="28"/>
      <c r="FV25" s="28"/>
      <c r="FW25" s="28"/>
      <c r="FX25" s="28"/>
      <c r="FY25" s="28"/>
      <c r="FZ25" s="28"/>
      <c r="GA25" s="28"/>
      <c r="GB25" s="28"/>
      <c r="GC25" s="28"/>
      <c r="GD25" s="28"/>
      <c r="GE25" s="28"/>
      <c r="GF25" s="28"/>
      <c r="GG25" s="28"/>
      <c r="GH25" s="28"/>
      <c r="GI25" s="28"/>
      <c r="GJ25" s="28"/>
      <c r="GK25" s="28"/>
      <c r="GL25" s="28"/>
      <c r="GM25" s="28"/>
      <c r="GN25" s="28"/>
      <c r="GO25" s="28"/>
      <c r="GP25" s="28"/>
      <c r="GQ25" s="28"/>
      <c r="GR25" s="28"/>
      <c r="GS25" s="28"/>
      <c r="GT25" s="28"/>
      <c r="GU25" s="28"/>
      <c r="GV25" s="28"/>
      <c r="GW25" s="28"/>
      <c r="GX25" s="28"/>
      <c r="GY25" s="28"/>
      <c r="GZ25" s="28"/>
      <c r="HA25" s="28"/>
      <c r="HB25" s="28"/>
      <c r="HC25" s="28"/>
      <c r="HD25" s="28"/>
      <c r="HE25" s="28"/>
      <c r="HF25" s="28"/>
      <c r="HG25" s="28"/>
      <c r="HH25" s="28"/>
      <c r="HI25" s="28"/>
      <c r="HJ25" s="28"/>
      <c r="HK25" s="28"/>
      <c r="HL25" s="28"/>
      <c r="HM25" s="28"/>
      <c r="HN25" s="28"/>
      <c r="HO25" s="28"/>
      <c r="HP25" s="28"/>
      <c r="HQ25" s="28"/>
      <c r="HR25" s="28"/>
      <c r="HS25" s="28"/>
      <c r="HT25" s="28"/>
      <c r="HU25" s="28"/>
      <c r="HV25" s="28"/>
      <c r="HW25" s="28"/>
      <c r="HX25" s="28"/>
      <c r="HY25" s="28"/>
      <c r="HZ25" s="28"/>
      <c r="IA25" s="28"/>
      <c r="IB25" s="28"/>
      <c r="IC25" s="28"/>
      <c r="ID25" s="28"/>
      <c r="IE25" s="28"/>
      <c r="IF25" s="28"/>
      <c r="IG25" s="28"/>
      <c r="IH25" s="28"/>
      <c r="II25" s="28"/>
      <c r="IJ25" s="28"/>
      <c r="IK25" s="28"/>
      <c r="IL25" s="28"/>
      <c r="IM25" s="28"/>
      <c r="IN25" s="28"/>
      <c r="IO25" s="28"/>
      <c r="IP25" s="28"/>
      <c r="IQ25" s="28"/>
      <c r="IR25" s="28"/>
      <c r="IS25" s="28"/>
      <c r="IT25" s="28"/>
      <c r="IU25" s="28"/>
      <c r="IV25" s="28"/>
      <c r="IW25" s="28"/>
      <c r="IX25" s="28"/>
      <c r="IY25" s="28"/>
      <c r="IZ25" s="28"/>
      <c r="JA25" s="28"/>
      <c r="JB25" s="28"/>
      <c r="JC25" s="28"/>
      <c r="JD25" s="28"/>
      <c r="JE25" s="28"/>
      <c r="JF25" s="28"/>
      <c r="JG25" s="28"/>
      <c r="JH25" s="28"/>
      <c r="JI25" s="28"/>
      <c r="JJ25" s="28"/>
      <c r="JK25" s="28"/>
      <c r="JL25" s="28"/>
      <c r="JM25" s="28"/>
      <c r="JN25" s="28"/>
      <c r="JO25" s="28"/>
      <c r="JP25" s="28"/>
      <c r="JQ25" s="28"/>
      <c r="JR25" s="28"/>
      <c r="JS25" s="28"/>
      <c r="JT25" s="28"/>
      <c r="JU25" s="28"/>
      <c r="JV25" s="28"/>
      <c r="JW25" s="28"/>
      <c r="JX25" s="28"/>
      <c r="JY25" s="28"/>
      <c r="JZ25" s="28"/>
      <c r="KA25" s="28"/>
      <c r="KB25" s="28"/>
      <c r="KC25" s="28"/>
      <c r="KD25" s="28"/>
      <c r="KE25" s="28"/>
      <c r="KF25" s="28"/>
      <c r="KG25" s="28"/>
      <c r="KH25" s="28"/>
      <c r="KI25" s="28"/>
      <c r="KJ25" s="28"/>
      <c r="KK25" s="28"/>
      <c r="KL25" s="28"/>
      <c r="KM25" s="28"/>
      <c r="KN25" s="28"/>
      <c r="KO25" s="28"/>
      <c r="KP25" s="28"/>
      <c r="KQ25" s="28"/>
      <c r="KR25" s="28"/>
      <c r="KS25" s="28"/>
      <c r="KT25" s="28"/>
      <c r="KU25" s="28"/>
      <c r="KV25" s="28"/>
      <c r="KW25" s="28"/>
      <c r="KX25" s="28"/>
      <c r="KY25" s="28"/>
      <c r="KZ25" s="28"/>
      <c r="LA25" s="28"/>
      <c r="LB25" s="28"/>
      <c r="LC25" s="28"/>
      <c r="LD25" s="28"/>
      <c r="LE25" s="28"/>
      <c r="LF25" s="28"/>
      <c r="LG25" s="28"/>
      <c r="LH25" s="28"/>
      <c r="LI25" s="28"/>
      <c r="LJ25" s="28"/>
      <c r="LK25" s="28"/>
      <c r="LL25" s="28"/>
      <c r="LM25" s="28"/>
      <c r="LN25" s="28"/>
      <c r="LO25" s="28"/>
      <c r="LP25" s="28"/>
      <c r="LQ25" s="28"/>
      <c r="LR25" s="28"/>
      <c r="LS25" s="28"/>
      <c r="LT25" s="28"/>
      <c r="LU25" s="28"/>
      <c r="LV25" s="28"/>
      <c r="LW25" s="28"/>
      <c r="LX25" s="28"/>
      <c r="LY25" s="28"/>
      <c r="LZ25" s="28"/>
      <c r="MA25" s="28"/>
      <c r="MB25" s="28"/>
      <c r="MC25" s="28"/>
      <c r="MD25" s="28"/>
      <c r="ME25" s="28"/>
      <c r="MF25" s="28"/>
      <c r="MG25" s="28"/>
      <c r="MH25" s="28"/>
      <c r="MI25" s="28"/>
      <c r="MJ25" s="28"/>
      <c r="MK25" s="28"/>
      <c r="ML25" s="28"/>
      <c r="MM25" s="28"/>
      <c r="MN25" s="28"/>
      <c r="MO25" s="28"/>
      <c r="MP25" s="28"/>
      <c r="MQ25" s="28"/>
      <c r="MR25" s="28"/>
      <c r="MS25" s="28"/>
      <c r="MT25" s="28"/>
      <c r="MU25" s="28"/>
      <c r="MV25" s="28"/>
      <c r="MW25" s="28"/>
      <c r="MX25" s="28"/>
      <c r="MY25" s="28"/>
      <c r="MZ25" s="28"/>
      <c r="NA25" s="28"/>
      <c r="NB25" s="28"/>
      <c r="NC25" s="28"/>
      <c r="ND25" s="28"/>
      <c r="NE25" s="28"/>
      <c r="NF25" s="28"/>
      <c r="NG25" s="28"/>
      <c r="NH25" s="28"/>
      <c r="NI25" s="28"/>
      <c r="NJ25" s="28"/>
      <c r="NK25" s="28"/>
      <c r="NL25" s="28"/>
      <c r="NM25" s="28"/>
      <c r="NN25" s="28"/>
      <c r="NO25" s="28"/>
      <c r="NP25" s="28"/>
      <c r="NQ25" s="28"/>
      <c r="NR25" s="28"/>
      <c r="NS25" s="28"/>
      <c r="NT25" s="28"/>
      <c r="NU25" s="28"/>
      <c r="NV25" s="28"/>
      <c r="NW25" s="28"/>
      <c r="NX25" s="28"/>
      <c r="NY25" s="28"/>
      <c r="NZ25" s="28"/>
      <c r="OA25" s="28"/>
      <c r="OB25" s="28"/>
      <c r="OC25" s="28"/>
      <c r="OD25" s="28"/>
      <c r="OE25" s="28"/>
      <c r="OF25" s="28"/>
      <c r="OG25" s="28"/>
      <c r="OH25" s="28"/>
      <c r="OI25" s="28"/>
      <c r="OJ25" s="28"/>
      <c r="OK25" s="28"/>
      <c r="OL25" s="28"/>
      <c r="OM25" s="28"/>
      <c r="ON25" s="28"/>
      <c r="OO25" s="28"/>
      <c r="OP25" s="28"/>
      <c r="OQ25" s="28"/>
      <c r="OR25" s="28"/>
      <c r="OS25" s="28"/>
      <c r="OT25" s="28"/>
      <c r="OU25" s="28"/>
      <c r="OV25" s="28"/>
      <c r="OW25" s="28"/>
      <c r="OX25" s="28"/>
      <c r="OY25" s="28"/>
      <c r="OZ25" s="28"/>
      <c r="PA25" s="28"/>
      <c r="PB25" s="28"/>
      <c r="PC25" s="28"/>
      <c r="PD25" s="28"/>
      <c r="PE25" s="28"/>
      <c r="PF25" s="28"/>
      <c r="PG25" s="28"/>
      <c r="PH25" s="28"/>
      <c r="PI25" s="28"/>
      <c r="PJ25" s="28"/>
      <c r="PK25" s="28"/>
      <c r="PL25" s="28"/>
      <c r="PM25" s="28"/>
      <c r="PN25" s="28"/>
      <c r="PO25" s="28"/>
      <c r="PP25" s="28"/>
      <c r="PQ25" s="28"/>
      <c r="PR25" s="28"/>
      <c r="PS25" s="28"/>
      <c r="PT25" s="28"/>
      <c r="PU25" s="28"/>
      <c r="PV25" s="28"/>
      <c r="PW25" s="28"/>
      <c r="PX25" s="28"/>
      <c r="PY25" s="28"/>
      <c r="PZ25" s="28"/>
      <c r="QA25" s="28"/>
      <c r="QB25" s="28"/>
      <c r="QC25" s="28"/>
      <c r="QD25" s="28"/>
      <c r="QE25" s="28"/>
      <c r="QF25" s="28"/>
      <c r="QG25" s="28"/>
      <c r="QH25" s="28"/>
      <c r="QI25" s="28"/>
      <c r="QJ25" s="28"/>
      <c r="QK25" s="28"/>
      <c r="QL25" s="28"/>
      <c r="QM25" s="28"/>
      <c r="QN25" s="28"/>
      <c r="QO25" s="28"/>
      <c r="QP25" s="28"/>
      <c r="QQ25" s="28"/>
      <c r="QR25" s="28"/>
      <c r="QS25" s="28"/>
      <c r="QT25" s="28"/>
      <c r="QU25" s="28"/>
      <c r="QV25" s="28"/>
      <c r="QW25" s="28"/>
      <c r="QX25" s="28"/>
      <c r="QY25" s="28"/>
      <c r="QZ25" s="28"/>
      <c r="RA25" s="28"/>
      <c r="RB25" s="28"/>
      <c r="RC25" s="28"/>
      <c r="RD25" s="28"/>
      <c r="RE25" s="28"/>
      <c r="RF25" s="28"/>
      <c r="RG25" s="28"/>
      <c r="RH25" s="28"/>
      <c r="RI25" s="28"/>
      <c r="RJ25" s="28"/>
      <c r="RK25" s="28"/>
      <c r="RL25" s="28"/>
      <c r="RM25" s="28"/>
      <c r="RN25" s="28"/>
      <c r="RO25" s="28"/>
      <c r="RP25" s="28"/>
      <c r="RQ25" s="28"/>
      <c r="RR25" s="28"/>
      <c r="RS25" s="28"/>
      <c r="RT25" s="28"/>
      <c r="RU25" s="28"/>
      <c r="RV25" s="28"/>
      <c r="RW25" s="28"/>
      <c r="RX25" s="28"/>
      <c r="RY25" s="28"/>
      <c r="RZ25" s="28"/>
      <c r="SA25" s="28"/>
      <c r="SB25" s="28"/>
      <c r="SC25" s="28"/>
      <c r="SD25" s="28"/>
      <c r="SE25" s="28"/>
      <c r="SF25" s="28"/>
      <c r="SG25" s="28"/>
      <c r="SH25" s="28"/>
      <c r="SI25" s="28"/>
      <c r="SJ25" s="28"/>
      <c r="SK25" s="28"/>
      <c r="SL25" s="28"/>
      <c r="SM25" s="28"/>
      <c r="SN25" s="28"/>
      <c r="SO25" s="28"/>
      <c r="SP25" s="28"/>
      <c r="SQ25" s="28"/>
      <c r="SR25" s="28"/>
      <c r="SS25" s="28"/>
      <c r="ST25" s="28"/>
      <c r="SU25" s="28"/>
      <c r="SV25" s="28"/>
      <c r="SW25" s="28"/>
      <c r="SX25" s="28"/>
      <c r="SY25" s="28"/>
      <c r="SZ25" s="28"/>
      <c r="TA25" s="28"/>
      <c r="TB25" s="28"/>
      <c r="TC25" s="28"/>
      <c r="TD25" s="28"/>
      <c r="TE25" s="28"/>
      <c r="TF25" s="28"/>
      <c r="TG25" s="28"/>
      <c r="TH25" s="28"/>
      <c r="TI25" s="28"/>
      <c r="TJ25" s="28"/>
      <c r="TK25" s="28"/>
      <c r="TL25" s="28"/>
      <c r="TM25" s="28"/>
      <c r="TN25" s="28"/>
      <c r="TO25" s="28"/>
      <c r="TP25" s="28"/>
      <c r="TQ25" s="28"/>
      <c r="TR25" s="28"/>
      <c r="TS25" s="28"/>
      <c r="TT25" s="28"/>
      <c r="TU25" s="28"/>
      <c r="TV25" s="28"/>
      <c r="TW25" s="28"/>
      <c r="TX25" s="28"/>
      <c r="TY25" s="28"/>
      <c r="TZ25" s="28"/>
      <c r="UA25" s="28"/>
      <c r="UB25" s="28"/>
      <c r="UC25" s="28"/>
      <c r="UD25" s="28"/>
      <c r="UE25" s="28"/>
      <c r="UF25" s="28"/>
      <c r="UG25" s="28"/>
      <c r="UH25" s="28"/>
      <c r="UI25" s="28"/>
      <c r="UJ25" s="28"/>
      <c r="UK25" s="28"/>
      <c r="UL25" s="28"/>
      <c r="UM25" s="28"/>
      <c r="UN25" s="28"/>
      <c r="UO25" s="28"/>
      <c r="UP25" s="28"/>
      <c r="UQ25" s="28"/>
      <c r="UR25" s="28"/>
      <c r="US25" s="28"/>
      <c r="UT25" s="28"/>
      <c r="UU25" s="28"/>
      <c r="UV25" s="28"/>
      <c r="UW25" s="28"/>
      <c r="UX25" s="28"/>
      <c r="UY25" s="28"/>
      <c r="UZ25" s="28"/>
      <c r="VA25" s="28"/>
      <c r="VB25" s="28"/>
      <c r="VC25" s="28"/>
      <c r="VD25" s="28"/>
      <c r="VE25" s="28"/>
      <c r="VF25" s="28"/>
      <c r="VG25" s="28"/>
      <c r="VH25" s="28"/>
      <c r="VI25" s="28"/>
      <c r="VJ25" s="28"/>
      <c r="VK25" s="28"/>
      <c r="VL25" s="28"/>
      <c r="VM25" s="28"/>
      <c r="VN25" s="28"/>
      <c r="VO25" s="28"/>
      <c r="VP25" s="28"/>
      <c r="VQ25" s="28"/>
      <c r="VR25" s="28"/>
      <c r="VS25" s="28"/>
      <c r="VT25" s="28"/>
      <c r="VU25" s="28"/>
      <c r="VV25" s="28"/>
      <c r="VW25" s="28"/>
      <c r="VX25" s="28"/>
      <c r="VY25" s="28"/>
      <c r="VZ25" s="28"/>
      <c r="WA25" s="28"/>
      <c r="WB25" s="28"/>
      <c r="WC25" s="28"/>
      <c r="WD25" s="28"/>
      <c r="WE25" s="28"/>
      <c r="WF25" s="28"/>
      <c r="WG25" s="28"/>
      <c r="WH25" s="28"/>
      <c r="WI25" s="28"/>
      <c r="WJ25" s="28"/>
      <c r="WK25" s="28"/>
      <c r="WL25" s="28"/>
      <c r="WM25" s="28"/>
      <c r="WN25" s="28"/>
      <c r="WO25" s="28"/>
      <c r="WP25" s="28"/>
      <c r="WQ25" s="28"/>
      <c r="WR25" s="28"/>
      <c r="WS25" s="28"/>
      <c r="WT25" s="28"/>
      <c r="WU25" s="28"/>
      <c r="WV25" s="28"/>
      <c r="WW25" s="28"/>
      <c r="WX25" s="28"/>
      <c r="WY25" s="28"/>
      <c r="WZ25" s="28"/>
      <c r="XA25" s="28"/>
      <c r="XB25" s="28"/>
      <c r="XC25" s="28"/>
      <c r="XD25" s="28"/>
      <c r="XE25" s="28"/>
      <c r="XF25" s="28"/>
      <c r="XG25" s="28"/>
      <c r="XH25" s="28"/>
      <c r="XI25" s="28"/>
      <c r="XJ25" s="28"/>
      <c r="XK25" s="28"/>
      <c r="XL25" s="28"/>
      <c r="XM25" s="28"/>
      <c r="XN25" s="28"/>
      <c r="XO25" s="28"/>
      <c r="XP25" s="28"/>
      <c r="XQ25" s="28"/>
      <c r="XR25" s="28"/>
      <c r="XS25" s="28"/>
      <c r="XT25" s="28"/>
      <c r="XU25" s="28"/>
      <c r="XV25" s="28"/>
      <c r="XW25" s="28"/>
      <c r="XX25" s="28"/>
      <c r="XY25" s="28"/>
      <c r="XZ25" s="28"/>
      <c r="YA25" s="28"/>
      <c r="YB25" s="28"/>
      <c r="YC25" s="28"/>
      <c r="YD25" s="28"/>
      <c r="YE25" s="28"/>
      <c r="YF25" s="28"/>
      <c r="YG25" s="28"/>
      <c r="YH25" s="28"/>
      <c r="YI25" s="28"/>
      <c r="YJ25" s="28"/>
      <c r="YK25" s="28"/>
      <c r="YL25" s="28"/>
      <c r="YM25" s="28"/>
      <c r="YN25" s="28"/>
      <c r="YO25" s="28"/>
      <c r="YP25" s="28"/>
      <c r="YQ25" s="28"/>
      <c r="YR25" s="28"/>
      <c r="YS25" s="28"/>
      <c r="YT25" s="28"/>
      <c r="YU25" s="28"/>
      <c r="YV25" s="28"/>
      <c r="YW25" s="28"/>
      <c r="YX25" s="28"/>
      <c r="YY25" s="28"/>
      <c r="YZ25" s="28"/>
      <c r="ZA25" s="28"/>
      <c r="ZB25" s="28"/>
      <c r="ZC25" s="28"/>
      <c r="ZD25" s="28"/>
      <c r="ZE25" s="28"/>
      <c r="ZF25" s="28"/>
      <c r="ZG25" s="28"/>
      <c r="ZH25" s="28"/>
      <c r="ZI25" s="28"/>
      <c r="ZJ25" s="28"/>
      <c r="ZK25" s="28"/>
      <c r="ZL25" s="28"/>
      <c r="ZM25" s="28"/>
      <c r="ZN25" s="28"/>
      <c r="ZO25" s="28"/>
      <c r="ZP25" s="28"/>
      <c r="ZQ25" s="28"/>
      <c r="ZR25" s="28"/>
      <c r="ZS25" s="28"/>
      <c r="ZT25" s="28"/>
      <c r="ZU25" s="28"/>
      <c r="ZV25" s="28"/>
      <c r="ZW25" s="28"/>
      <c r="ZX25" s="28"/>
      <c r="ZY25" s="28"/>
      <c r="ZZ25" s="28"/>
      <c r="AAA25" s="28"/>
      <c r="AAB25" s="28"/>
      <c r="AAC25" s="28"/>
      <c r="AAD25" s="28"/>
      <c r="AAE25" s="28"/>
      <c r="AAF25" s="28"/>
      <c r="AAG25" s="28"/>
      <c r="AAH25" s="28"/>
      <c r="AAI25" s="28"/>
      <c r="AAJ25" s="28"/>
      <c r="AAK25" s="28"/>
      <c r="AAL25" s="28"/>
      <c r="AAM25" s="28"/>
      <c r="AAN25" s="28"/>
      <c r="AAO25" s="28"/>
      <c r="AAP25" s="28"/>
      <c r="AAQ25" s="28"/>
      <c r="AAR25" s="28"/>
      <c r="AAS25" s="28"/>
      <c r="AAT25" s="28"/>
      <c r="AAU25" s="28"/>
      <c r="AAV25" s="28"/>
      <c r="AAW25" s="28"/>
      <c r="AAX25" s="28"/>
      <c r="AAY25" s="28"/>
      <c r="AAZ25" s="28"/>
      <c r="ABA25" s="28"/>
      <c r="ABB25" s="28"/>
      <c r="ABC25" s="28"/>
      <c r="ABD25" s="28"/>
      <c r="ABE25" s="28"/>
      <c r="ABF25" s="28"/>
      <c r="ABG25" s="28"/>
      <c r="ABH25" s="28"/>
      <c r="ABI25" s="28"/>
      <c r="ABJ25" s="28"/>
      <c r="ABK25" s="28"/>
      <c r="ABL25" s="28"/>
      <c r="ABM25" s="28"/>
      <c r="ABN25" s="28"/>
      <c r="ABO25" s="28"/>
      <c r="ABP25" s="28"/>
      <c r="ABQ25" s="28"/>
      <c r="ABR25" s="28"/>
      <c r="ABS25" s="28"/>
      <c r="ABT25" s="28"/>
      <c r="ABU25" s="28"/>
      <c r="ABV25" s="28"/>
      <c r="ABW25" s="28"/>
      <c r="ABX25" s="28"/>
      <c r="ABY25" s="28"/>
      <c r="ABZ25" s="28"/>
      <c r="ACA25" s="28"/>
      <c r="ACB25" s="28"/>
      <c r="ACC25" s="28"/>
      <c r="ACD25" s="28"/>
      <c r="ACE25" s="28"/>
      <c r="ACF25" s="28"/>
      <c r="ACG25" s="28"/>
      <c r="ACH25" s="28"/>
      <c r="ACI25" s="28"/>
      <c r="ACJ25" s="28"/>
      <c r="ACK25" s="28"/>
      <c r="ACL25" s="28"/>
      <c r="ACM25" s="28"/>
      <c r="ACN25" s="28"/>
      <c r="ACO25" s="28"/>
      <c r="ACP25" s="28"/>
      <c r="ACQ25" s="28"/>
      <c r="ACR25" s="28"/>
      <c r="ACS25" s="28"/>
      <c r="ACT25" s="28"/>
      <c r="ACU25" s="28"/>
      <c r="ACV25" s="28"/>
      <c r="ACW25" s="28"/>
      <c r="ACX25" s="28"/>
      <c r="ACY25" s="28"/>
      <c r="ACZ25" s="28"/>
      <c r="ADA25" s="28"/>
      <c r="ADB25" s="28"/>
      <c r="ADC25" s="28"/>
      <c r="ADD25" s="28"/>
      <c r="ADE25" s="28"/>
      <c r="ADF25" s="28"/>
      <c r="ADG25" s="28"/>
      <c r="ADH25" s="28"/>
      <c r="ADI25" s="28"/>
      <c r="ADJ25" s="28"/>
      <c r="ADK25" s="28"/>
      <c r="ADL25" s="28"/>
      <c r="ADM25" s="28"/>
      <c r="ADN25" s="28"/>
      <c r="ADO25" s="28"/>
      <c r="ADP25" s="28"/>
      <c r="ADQ25" s="28"/>
      <c r="ADR25" s="28"/>
      <c r="ADS25" s="28"/>
      <c r="ADT25" s="28"/>
      <c r="ADU25" s="28"/>
      <c r="ADV25" s="28"/>
      <c r="ADW25" s="28"/>
      <c r="ADX25" s="28"/>
      <c r="ADY25" s="28"/>
      <c r="ADZ25" s="28"/>
      <c r="AEA25" s="28"/>
      <c r="AEB25" s="28"/>
      <c r="AEC25" s="28"/>
      <c r="AED25" s="28"/>
      <c r="AEE25" s="28"/>
      <c r="AEF25" s="28"/>
      <c r="AEG25" s="28"/>
      <c r="AEH25" s="28"/>
      <c r="AEI25" s="28"/>
      <c r="AEJ25" s="28"/>
      <c r="AEK25" s="28"/>
      <c r="AEL25" s="28"/>
      <c r="AEM25" s="28"/>
      <c r="AEN25" s="28"/>
      <c r="AEO25" s="28"/>
      <c r="AEP25" s="28"/>
      <c r="AEQ25" s="28"/>
      <c r="AER25" s="28"/>
      <c r="AES25" s="28"/>
      <c r="AET25" s="28"/>
      <c r="AEU25" s="28"/>
      <c r="AEV25" s="28"/>
      <c r="AEW25" s="28"/>
      <c r="AEX25" s="28"/>
      <c r="AEY25" s="28"/>
      <c r="AEZ25" s="28"/>
      <c r="AFA25" s="28"/>
      <c r="AFB25" s="28"/>
      <c r="AFC25" s="28"/>
      <c r="AFD25" s="28"/>
      <c r="AFE25" s="28"/>
      <c r="AFF25" s="28"/>
      <c r="AFG25" s="28"/>
      <c r="AFH25" s="28"/>
      <c r="AFI25" s="28"/>
      <c r="AFJ25" s="28"/>
      <c r="AFK25" s="28"/>
      <c r="AFL25" s="28"/>
      <c r="AFM25" s="28"/>
      <c r="AFN25" s="28"/>
      <c r="AFO25" s="28"/>
      <c r="AFP25" s="28"/>
      <c r="AFQ25" s="28"/>
      <c r="AFR25" s="28"/>
      <c r="AFS25" s="28"/>
      <c r="AFT25" s="28"/>
      <c r="AFU25" s="28"/>
      <c r="AFV25" s="28"/>
      <c r="AFW25" s="28"/>
      <c r="AFX25" s="28"/>
      <c r="AFY25" s="28"/>
      <c r="AFZ25" s="28"/>
      <c r="AGA25" s="28"/>
      <c r="AGB25" s="28"/>
      <c r="AGC25" s="28"/>
      <c r="AGD25" s="28"/>
      <c r="AGE25" s="28"/>
      <c r="AGF25" s="28"/>
      <c r="AGG25" s="28"/>
      <c r="AGH25" s="28"/>
      <c r="AGI25" s="28"/>
      <c r="AGJ25" s="28"/>
      <c r="AGK25" s="28"/>
      <c r="AGL25" s="28"/>
      <c r="AGM25" s="28"/>
      <c r="AGN25" s="28"/>
      <c r="AGO25" s="28"/>
      <c r="AGP25" s="28"/>
      <c r="AGQ25" s="28"/>
      <c r="AGR25" s="28"/>
      <c r="AGS25" s="28"/>
      <c r="AGT25" s="28"/>
      <c r="AGU25" s="28"/>
      <c r="AGV25" s="28"/>
      <c r="AGW25" s="28"/>
      <c r="AGX25" s="28"/>
      <c r="AGY25" s="28"/>
      <c r="AGZ25" s="28"/>
      <c r="AHA25" s="28"/>
      <c r="AHB25" s="28"/>
      <c r="AHC25" s="28"/>
      <c r="AHD25" s="28"/>
      <c r="AHE25" s="28"/>
      <c r="AHF25" s="28"/>
      <c r="AHG25" s="28"/>
      <c r="AHH25" s="28"/>
      <c r="AHI25" s="28"/>
      <c r="AHJ25" s="28"/>
      <c r="AHK25" s="28"/>
      <c r="AHL25" s="28"/>
      <c r="AHM25" s="28"/>
      <c r="AHN25" s="28"/>
      <c r="AHO25" s="28"/>
      <c r="AHP25" s="28"/>
      <c r="AHQ25" s="28"/>
      <c r="AHR25" s="28"/>
      <c r="AHS25" s="28"/>
      <c r="AHT25" s="28"/>
      <c r="AHU25" s="28"/>
      <c r="AHV25" s="28"/>
      <c r="AHW25" s="28"/>
      <c r="AHX25" s="28"/>
      <c r="AHY25" s="28"/>
      <c r="AHZ25" s="28"/>
      <c r="AIA25" s="28"/>
      <c r="AIB25" s="28"/>
      <c r="AIC25" s="28"/>
      <c r="AID25" s="28"/>
      <c r="AIE25" s="28"/>
      <c r="AIF25" s="28"/>
      <c r="AIG25" s="28"/>
      <c r="AIH25" s="28"/>
      <c r="AII25" s="28"/>
      <c r="AIJ25" s="28"/>
      <c r="AIK25" s="28"/>
      <c r="AIL25" s="28"/>
      <c r="AIM25" s="28"/>
      <c r="AIN25" s="28"/>
      <c r="AIO25" s="28"/>
      <c r="AIP25" s="28"/>
      <c r="AIQ25" s="28"/>
      <c r="AIR25" s="28"/>
      <c r="AIS25" s="28"/>
      <c r="AIT25" s="28"/>
      <c r="AIU25" s="28"/>
      <c r="AIV25" s="28"/>
      <c r="AIW25" s="28"/>
      <c r="AIX25" s="28"/>
      <c r="AIY25" s="28"/>
      <c r="AIZ25" s="28"/>
      <c r="AJA25" s="28"/>
      <c r="AJB25" s="28"/>
      <c r="AJC25" s="28"/>
      <c r="AJD25" s="28"/>
      <c r="AJE25" s="28"/>
      <c r="AJF25" s="28"/>
      <c r="AJG25" s="28"/>
      <c r="AJH25" s="28"/>
      <c r="AJI25" s="28"/>
      <c r="AJJ25" s="28"/>
      <c r="AJK25" s="28"/>
      <c r="AJL25" s="28"/>
      <c r="AJM25" s="28"/>
      <c r="AJN25" s="28"/>
      <c r="AJO25" s="28"/>
      <c r="AJP25" s="28"/>
      <c r="AJQ25" s="28"/>
      <c r="AJR25" s="28"/>
      <c r="AJS25" s="28"/>
      <c r="AJT25" s="28"/>
      <c r="AJU25" s="28"/>
      <c r="AJV25" s="28"/>
      <c r="AJW25" s="28"/>
      <c r="AJX25" s="28"/>
      <c r="AJY25" s="28"/>
      <c r="AJZ25" s="28"/>
      <c r="AKA25" s="28"/>
      <c r="AKB25" s="28"/>
      <c r="AKC25" s="28"/>
      <c r="AKD25" s="28"/>
      <c r="AKE25" s="28"/>
      <c r="AKF25" s="28"/>
      <c r="AKG25" s="28"/>
      <c r="AKH25" s="28"/>
      <c r="AKI25" s="28"/>
      <c r="AKJ25" s="28"/>
      <c r="AKK25" s="28"/>
      <c r="AKL25" s="28"/>
      <c r="AKM25" s="28"/>
      <c r="AKN25" s="28"/>
      <c r="AKO25" s="28"/>
      <c r="AKP25" s="28"/>
      <c r="AKQ25" s="28"/>
      <c r="AKR25" s="28"/>
      <c r="AKS25" s="28"/>
      <c r="AKT25" s="28"/>
      <c r="AKU25" s="28"/>
      <c r="AKV25" s="28"/>
      <c r="AKW25" s="28"/>
      <c r="AKX25" s="28"/>
      <c r="AKY25" s="28"/>
      <c r="AKZ25" s="28"/>
      <c r="ALA25" s="28"/>
      <c r="ALB25" s="28"/>
      <c r="ALC25" s="28"/>
      <c r="ALD25" s="28"/>
      <c r="ALE25" s="28"/>
      <c r="ALF25" s="28"/>
      <c r="ALG25" s="28"/>
      <c r="ALH25" s="28"/>
      <c r="ALI25" s="28"/>
      <c r="ALJ25" s="28"/>
      <c r="ALK25" s="28"/>
      <c r="ALL25" s="28"/>
      <c r="ALM25" s="28"/>
      <c r="ALN25" s="28"/>
      <c r="ALO25" s="28"/>
      <c r="ALP25" s="28"/>
      <c r="ALQ25" s="28"/>
      <c r="ALR25" s="28"/>
      <c r="ALS25" s="28"/>
      <c r="ALT25" s="28"/>
      <c r="ALU25" s="28"/>
      <c r="ALV25" s="28"/>
      <c r="ALW25" s="28"/>
      <c r="ALX25" s="28"/>
      <c r="ALY25" s="28"/>
      <c r="ALZ25" s="28"/>
      <c r="AMA25" s="28"/>
      <c r="AMB25" s="28"/>
      <c r="AMC25" s="28"/>
      <c r="AMD25" s="28"/>
      <c r="AME25" s="28"/>
      <c r="AMF25" s="28"/>
      <c r="AMG25" s="28"/>
      <c r="AMH25" s="28"/>
      <c r="AMI25" s="28"/>
      <c r="AMJ25" s="28"/>
      <c r="AMK25" s="28"/>
      <c r="AML25" s="28"/>
      <c r="AMM25" s="28"/>
      <c r="AMN25" s="28"/>
      <c r="AMO25" s="28"/>
      <c r="AMP25" s="28"/>
      <c r="AMQ25" s="28"/>
      <c r="AMR25" s="28"/>
      <c r="AMS25" s="28"/>
      <c r="AMT25" s="28"/>
      <c r="AMU25" s="28"/>
      <c r="AMV25" s="28"/>
      <c r="AMW25" s="28"/>
      <c r="AMX25" s="28"/>
      <c r="AMY25" s="28"/>
      <c r="AMZ25" s="28"/>
      <c r="ANA25" s="28"/>
      <c r="ANB25" s="28"/>
      <c r="ANC25" s="28"/>
      <c r="AND25" s="28"/>
      <c r="ANE25" s="28"/>
      <c r="ANF25" s="28"/>
      <c r="ANG25" s="28"/>
      <c r="ANH25" s="28"/>
      <c r="ANI25" s="28"/>
      <c r="ANJ25" s="28"/>
      <c r="ANK25" s="28"/>
      <c r="ANL25" s="28"/>
      <c r="ANM25" s="28"/>
      <c r="ANN25" s="28"/>
      <c r="ANO25" s="28"/>
      <c r="ANP25" s="28"/>
      <c r="ANQ25" s="28"/>
      <c r="ANR25" s="28"/>
      <c r="ANS25" s="28"/>
      <c r="ANT25" s="28"/>
      <c r="ANU25" s="28"/>
      <c r="ANV25" s="28"/>
      <c r="ANW25" s="28"/>
      <c r="ANX25" s="28"/>
      <c r="ANY25" s="28"/>
      <c r="ANZ25" s="28"/>
      <c r="AOA25" s="28"/>
      <c r="AOB25" s="28"/>
      <c r="AOC25" s="28"/>
      <c r="AOD25" s="28"/>
      <c r="AOE25" s="28"/>
      <c r="AOF25" s="28"/>
      <c r="AOG25" s="28"/>
      <c r="AOH25" s="28"/>
      <c r="AOI25" s="28"/>
      <c r="AOJ25" s="28"/>
      <c r="AOK25" s="28"/>
      <c r="AOL25" s="28"/>
      <c r="AOM25" s="28"/>
      <c r="AON25" s="28"/>
      <c r="AOO25" s="28"/>
      <c r="AOP25" s="28"/>
      <c r="AOQ25" s="28"/>
      <c r="AOR25" s="28"/>
      <c r="AOS25" s="28"/>
      <c r="AOT25" s="28"/>
      <c r="AOU25" s="28"/>
      <c r="AOV25" s="28"/>
      <c r="AOW25" s="28"/>
      <c r="AOX25" s="28"/>
      <c r="AOY25" s="28"/>
      <c r="AOZ25" s="28"/>
      <c r="APA25" s="28"/>
      <c r="APB25" s="28"/>
      <c r="APC25" s="28"/>
      <c r="APD25" s="28"/>
      <c r="APE25" s="28"/>
      <c r="APF25" s="28"/>
      <c r="APG25" s="28"/>
      <c r="APH25" s="28"/>
      <c r="API25" s="28"/>
      <c r="APJ25" s="28"/>
      <c r="APK25" s="28"/>
      <c r="APL25" s="28"/>
      <c r="APM25" s="28"/>
      <c r="APN25" s="28"/>
      <c r="APO25" s="28"/>
      <c r="APP25" s="28"/>
      <c r="APQ25" s="28"/>
      <c r="APR25" s="28"/>
      <c r="APS25" s="28"/>
      <c r="APT25" s="28"/>
      <c r="APU25" s="28"/>
      <c r="APV25" s="28"/>
      <c r="APW25" s="28"/>
      <c r="APX25" s="28"/>
      <c r="APY25" s="28"/>
      <c r="APZ25" s="28"/>
      <c r="AQA25" s="28"/>
      <c r="AQB25" s="28"/>
      <c r="AQC25" s="28"/>
      <c r="AQD25" s="28"/>
      <c r="AQE25" s="28"/>
      <c r="AQF25" s="28"/>
      <c r="AQG25" s="28"/>
      <c r="AQH25" s="28"/>
      <c r="AQI25" s="28"/>
      <c r="AQJ25" s="28"/>
      <c r="AQK25" s="28"/>
      <c r="AQL25" s="28"/>
      <c r="AQM25" s="28"/>
      <c r="AQN25" s="28"/>
      <c r="AQO25" s="28"/>
      <c r="AQP25" s="28"/>
      <c r="AQQ25" s="28"/>
      <c r="AQR25" s="28"/>
      <c r="AQS25" s="28"/>
      <c r="AQT25" s="28"/>
      <c r="AQU25" s="28"/>
      <c r="AQV25" s="28"/>
      <c r="AQW25" s="28"/>
      <c r="AQX25" s="28"/>
      <c r="AQY25" s="28"/>
      <c r="AQZ25" s="28"/>
      <c r="ARA25" s="28"/>
      <c r="ARB25" s="28"/>
      <c r="ARC25" s="28"/>
      <c r="ARD25" s="28"/>
      <c r="ARE25" s="28"/>
      <c r="ARF25" s="28"/>
      <c r="ARG25" s="28"/>
      <c r="ARH25" s="28"/>
      <c r="ARI25" s="28"/>
      <c r="ARJ25" s="28"/>
      <c r="ARK25" s="28"/>
      <c r="ARL25" s="28"/>
      <c r="ARM25" s="28"/>
      <c r="ARN25" s="28"/>
      <c r="ARO25" s="28"/>
      <c r="ARP25" s="28"/>
      <c r="ARQ25" s="28"/>
      <c r="ARR25" s="28"/>
      <c r="ARS25" s="28"/>
      <c r="ART25" s="28"/>
      <c r="ARU25" s="28"/>
      <c r="ARV25" s="28"/>
      <c r="ARW25" s="28"/>
      <c r="ARX25" s="28"/>
      <c r="ARY25" s="28"/>
      <c r="ARZ25" s="28"/>
      <c r="ASA25" s="28"/>
      <c r="ASB25" s="28"/>
      <c r="ASC25" s="28"/>
      <c r="ASD25" s="28"/>
      <c r="ASE25" s="28"/>
      <c r="ASF25" s="28"/>
      <c r="ASG25" s="28"/>
      <c r="ASH25" s="28"/>
      <c r="ASI25" s="28"/>
      <c r="ASJ25" s="28"/>
      <c r="ASK25" s="28"/>
      <c r="ASL25" s="28"/>
      <c r="ASM25" s="28"/>
      <c r="ASN25" s="28"/>
      <c r="ASO25" s="28"/>
      <c r="ASP25" s="28"/>
      <c r="ASQ25" s="28"/>
      <c r="ASR25" s="28"/>
      <c r="ASS25" s="28"/>
      <c r="AST25" s="28"/>
      <c r="ASU25" s="28"/>
      <c r="ASV25" s="28"/>
      <c r="ASW25" s="28"/>
      <c r="ASX25" s="28"/>
      <c r="ASY25" s="28"/>
      <c r="ASZ25" s="28"/>
      <c r="ATA25" s="28"/>
      <c r="ATB25" s="28"/>
      <c r="ATC25" s="28"/>
      <c r="ATD25" s="28"/>
      <c r="ATE25" s="28"/>
      <c r="ATF25" s="28"/>
      <c r="ATG25" s="28"/>
      <c r="ATH25" s="28"/>
      <c r="ATI25" s="28"/>
      <c r="ATJ25" s="28"/>
      <c r="ATK25" s="28"/>
      <c r="ATL25" s="28"/>
      <c r="ATM25" s="28"/>
      <c r="ATN25" s="28"/>
      <c r="ATO25" s="28"/>
      <c r="ATP25" s="28"/>
      <c r="ATQ25" s="28"/>
      <c r="ATR25" s="28"/>
      <c r="ATS25" s="28"/>
      <c r="ATT25" s="28"/>
      <c r="ATU25" s="28"/>
      <c r="ATV25" s="28"/>
      <c r="ATW25" s="28"/>
      <c r="ATX25" s="28"/>
      <c r="ATY25" s="28"/>
      <c r="ATZ25" s="28"/>
      <c r="AUA25" s="28"/>
      <c r="AUB25" s="28"/>
      <c r="AUC25" s="28"/>
      <c r="AUD25" s="28"/>
      <c r="AUE25" s="28"/>
      <c r="AUF25" s="28"/>
      <c r="AUG25" s="28"/>
      <c r="AUH25" s="28"/>
      <c r="AUI25" s="28"/>
      <c r="AUJ25" s="28"/>
      <c r="AUK25" s="28"/>
      <c r="AUL25" s="28"/>
      <c r="AUM25" s="28"/>
      <c r="AUN25" s="28"/>
      <c r="AUO25" s="28"/>
      <c r="AUP25" s="28"/>
      <c r="AUQ25" s="28"/>
      <c r="AUR25" s="28"/>
      <c r="AUS25" s="28"/>
      <c r="AUT25" s="28"/>
      <c r="AUU25" s="28"/>
      <c r="AUV25" s="28"/>
      <c r="AUW25" s="28"/>
      <c r="AUX25" s="28"/>
      <c r="AUY25" s="28"/>
      <c r="AUZ25" s="28"/>
      <c r="AVA25" s="28"/>
      <c r="AVB25" s="28"/>
      <c r="AVC25" s="28"/>
      <c r="AVD25" s="28"/>
      <c r="AVE25" s="28"/>
      <c r="AVF25" s="28"/>
      <c r="AVG25" s="28"/>
      <c r="AVH25" s="28"/>
      <c r="AVI25" s="28"/>
      <c r="AVJ25" s="28"/>
      <c r="AVK25" s="28"/>
      <c r="AVL25" s="28"/>
      <c r="AVM25" s="28"/>
      <c r="AVN25" s="28"/>
      <c r="AVO25" s="28"/>
      <c r="AVP25" s="28"/>
      <c r="AVQ25" s="28"/>
      <c r="AVR25" s="28"/>
      <c r="AVS25" s="28"/>
      <c r="AVT25" s="28"/>
      <c r="AVU25" s="28"/>
      <c r="AVV25" s="28"/>
      <c r="AVW25" s="28"/>
      <c r="AVX25" s="28"/>
      <c r="AVY25" s="28"/>
      <c r="AVZ25" s="28"/>
      <c r="AWA25" s="28"/>
      <c r="AWB25" s="28"/>
      <c r="AWC25" s="28"/>
      <c r="AWD25" s="28"/>
      <c r="AWE25" s="28"/>
      <c r="AWF25" s="28"/>
      <c r="AWG25" s="28"/>
      <c r="AWH25" s="28"/>
      <c r="AWI25" s="28"/>
      <c r="AWJ25" s="28"/>
      <c r="AWK25" s="28"/>
      <c r="AWL25" s="28"/>
      <c r="AWM25" s="28"/>
      <c r="AWN25" s="28"/>
      <c r="AWO25" s="28"/>
      <c r="AWP25" s="28"/>
      <c r="AWQ25" s="28"/>
      <c r="AWR25" s="28"/>
      <c r="AWS25" s="28"/>
      <c r="AWT25" s="28"/>
      <c r="AWU25" s="28"/>
      <c r="AWV25" s="28"/>
      <c r="AWW25" s="28"/>
      <c r="AWX25" s="28"/>
      <c r="AWY25" s="28"/>
      <c r="AWZ25" s="28"/>
      <c r="AXA25" s="28"/>
      <c r="AXB25" s="28"/>
      <c r="AXC25" s="28"/>
      <c r="AXD25" s="28"/>
      <c r="AXE25" s="28"/>
      <c r="AXF25" s="28"/>
      <c r="AXG25" s="28"/>
      <c r="AXH25" s="28"/>
      <c r="AXI25" s="28"/>
      <c r="AXJ25" s="28"/>
      <c r="AXK25" s="28"/>
      <c r="AXL25" s="28"/>
      <c r="AXM25" s="28"/>
      <c r="AXN25" s="28"/>
      <c r="AXO25" s="28"/>
      <c r="AXP25" s="28"/>
      <c r="AXQ25" s="28"/>
      <c r="AXR25" s="28"/>
      <c r="AXS25" s="28"/>
      <c r="AXT25" s="28"/>
      <c r="AXU25" s="28"/>
      <c r="AXV25" s="28"/>
      <c r="AXW25" s="28"/>
      <c r="AXX25" s="28"/>
      <c r="AXY25" s="28"/>
      <c r="AXZ25" s="28"/>
      <c r="AYA25" s="28"/>
      <c r="AYB25" s="28"/>
      <c r="AYC25" s="28"/>
      <c r="AYD25" s="28"/>
      <c r="AYE25" s="28"/>
      <c r="AYF25" s="28"/>
      <c r="AYG25" s="28"/>
      <c r="AYH25" s="28"/>
      <c r="AYI25" s="28"/>
      <c r="AYJ25" s="28"/>
      <c r="AYK25" s="28"/>
      <c r="AYL25" s="28"/>
      <c r="AYM25" s="28"/>
      <c r="AYN25" s="28"/>
      <c r="AYO25" s="28"/>
      <c r="AYP25" s="28"/>
      <c r="AYQ25" s="28"/>
      <c r="AYR25" s="28"/>
      <c r="AYS25" s="28"/>
      <c r="AYT25" s="28"/>
      <c r="AYU25" s="28"/>
      <c r="AYV25" s="28"/>
      <c r="AYW25" s="28"/>
      <c r="AYX25" s="28"/>
      <c r="AYY25" s="28"/>
      <c r="AYZ25" s="28"/>
      <c r="AZA25" s="28"/>
      <c r="AZB25" s="28"/>
      <c r="AZC25" s="28"/>
      <c r="AZD25" s="28"/>
      <c r="AZE25" s="28"/>
      <c r="AZF25" s="28"/>
      <c r="AZG25" s="28"/>
      <c r="AZH25" s="28"/>
      <c r="AZI25" s="28"/>
      <c r="AZJ25" s="28"/>
      <c r="AZK25" s="28"/>
      <c r="AZL25" s="28"/>
      <c r="AZM25" s="28"/>
      <c r="AZN25" s="28"/>
      <c r="AZO25" s="28"/>
      <c r="AZP25" s="28"/>
      <c r="AZQ25" s="28"/>
      <c r="AZR25" s="28"/>
      <c r="AZS25" s="28"/>
      <c r="AZT25" s="28"/>
      <c r="AZU25" s="28"/>
      <c r="AZV25" s="28"/>
      <c r="AZW25" s="28"/>
      <c r="AZX25" s="28"/>
      <c r="AZY25" s="28"/>
      <c r="AZZ25" s="28"/>
      <c r="BAA25" s="28"/>
      <c r="BAB25" s="28"/>
      <c r="BAC25" s="28"/>
      <c r="BAD25" s="28"/>
      <c r="BAE25" s="28"/>
      <c r="BAF25" s="28"/>
      <c r="BAG25" s="28"/>
      <c r="BAH25" s="28"/>
      <c r="BAI25" s="28"/>
      <c r="BAJ25" s="28"/>
      <c r="BAK25" s="28"/>
      <c r="BAL25" s="28"/>
      <c r="BAM25" s="28"/>
      <c r="BAN25" s="28"/>
      <c r="BAO25" s="28"/>
      <c r="BAP25" s="28"/>
      <c r="BAQ25" s="28"/>
      <c r="BAR25" s="28"/>
      <c r="BAS25" s="28"/>
      <c r="BAT25" s="28"/>
      <c r="BAU25" s="28"/>
      <c r="BAV25" s="28"/>
      <c r="BAW25" s="28"/>
      <c r="BAX25" s="28"/>
      <c r="BAY25" s="28"/>
      <c r="BAZ25" s="28"/>
      <c r="BBA25" s="28"/>
      <c r="BBB25" s="28"/>
      <c r="BBC25" s="28"/>
      <c r="BBD25" s="28"/>
      <c r="BBE25" s="28"/>
      <c r="BBF25" s="28"/>
      <c r="BBG25" s="28"/>
      <c r="BBH25" s="28"/>
      <c r="BBI25" s="28"/>
      <c r="BBJ25" s="28"/>
      <c r="BBK25" s="28"/>
      <c r="BBL25" s="28"/>
      <c r="BBM25" s="28"/>
      <c r="BBN25" s="28"/>
      <c r="BBO25" s="28"/>
      <c r="BBP25" s="28"/>
      <c r="BBQ25" s="28"/>
      <c r="BBR25" s="28"/>
      <c r="BBS25" s="28"/>
      <c r="BBT25" s="28"/>
      <c r="BBU25" s="28"/>
      <c r="BBV25" s="28"/>
      <c r="BBW25" s="28"/>
      <c r="BBX25" s="28"/>
      <c r="BBY25" s="28"/>
      <c r="BBZ25" s="28"/>
      <c r="BCA25" s="28"/>
      <c r="BCB25" s="28"/>
      <c r="BCC25" s="28"/>
      <c r="BCD25" s="28"/>
      <c r="BCE25" s="28"/>
      <c r="BCF25" s="28"/>
      <c r="BCG25" s="28"/>
      <c r="BCH25" s="28"/>
      <c r="BCI25" s="28"/>
      <c r="BCJ25" s="28"/>
      <c r="BCK25" s="28"/>
      <c r="BCL25" s="28"/>
      <c r="BCM25" s="28"/>
      <c r="BCN25" s="28"/>
      <c r="BCO25" s="28"/>
      <c r="BCP25" s="28"/>
      <c r="BCQ25" s="28"/>
      <c r="BCR25" s="28"/>
      <c r="BCS25" s="28"/>
      <c r="BCT25" s="28"/>
      <c r="BCU25" s="28"/>
      <c r="BCV25" s="28"/>
      <c r="BCW25" s="28"/>
      <c r="BCX25" s="28"/>
      <c r="BCY25" s="28"/>
      <c r="BCZ25" s="28"/>
      <c r="BDA25" s="28"/>
      <c r="BDB25" s="28"/>
      <c r="BDC25" s="28"/>
      <c r="BDD25" s="28"/>
      <c r="BDE25" s="28"/>
      <c r="BDF25" s="28"/>
      <c r="BDG25" s="28"/>
      <c r="BDH25" s="28"/>
      <c r="BDI25" s="28"/>
      <c r="BDJ25" s="28"/>
      <c r="BDK25" s="28"/>
      <c r="BDL25" s="28"/>
      <c r="BDM25" s="28"/>
      <c r="BDN25" s="28"/>
      <c r="BDO25" s="28"/>
      <c r="BDP25" s="28"/>
      <c r="BDQ25" s="28"/>
      <c r="BDR25" s="28"/>
      <c r="BDS25" s="28"/>
      <c r="BDT25" s="28"/>
      <c r="BDU25" s="28"/>
      <c r="BDV25" s="28"/>
      <c r="BDW25" s="28"/>
      <c r="BDX25" s="28"/>
      <c r="BDY25" s="28"/>
      <c r="BDZ25" s="28"/>
      <c r="BEA25" s="28"/>
      <c r="BEB25" s="28"/>
      <c r="BEC25" s="28"/>
      <c r="BED25" s="28"/>
      <c r="BEE25" s="28"/>
      <c r="BEF25" s="28"/>
      <c r="BEG25" s="28"/>
      <c r="BEH25" s="28"/>
      <c r="BEI25" s="28"/>
      <c r="BEJ25" s="28"/>
      <c r="BEK25" s="28"/>
      <c r="BEL25" s="28"/>
      <c r="BEM25" s="28"/>
      <c r="BEN25" s="28"/>
      <c r="BEO25" s="28"/>
      <c r="BEP25" s="28"/>
      <c r="BEQ25" s="28"/>
      <c r="BER25" s="28"/>
      <c r="BES25" s="28"/>
      <c r="BET25" s="28"/>
      <c r="BEU25" s="28"/>
      <c r="BEV25" s="28"/>
      <c r="BEW25" s="28"/>
      <c r="BEX25" s="28"/>
      <c r="BEY25" s="28"/>
      <c r="BEZ25" s="28"/>
      <c r="BFA25" s="28"/>
      <c r="BFB25" s="28"/>
      <c r="BFC25" s="28"/>
      <c r="BFD25" s="28"/>
      <c r="BFE25" s="28"/>
      <c r="BFF25" s="28"/>
      <c r="BFG25" s="28"/>
      <c r="BFH25" s="28"/>
      <c r="BFI25" s="28"/>
      <c r="BFJ25" s="28"/>
      <c r="BFK25" s="28"/>
      <c r="BFL25" s="28"/>
      <c r="BFM25" s="28"/>
      <c r="BFN25" s="28"/>
      <c r="BFO25" s="28"/>
      <c r="BFP25" s="28"/>
      <c r="BFQ25" s="28"/>
      <c r="BFR25" s="28"/>
      <c r="BFS25" s="28"/>
      <c r="BFT25" s="28"/>
      <c r="BFU25" s="28"/>
      <c r="BFV25" s="28"/>
      <c r="BFW25" s="28"/>
      <c r="BFX25" s="28"/>
      <c r="BFY25" s="28"/>
      <c r="BFZ25" s="28"/>
      <c r="BGA25" s="28"/>
      <c r="BGB25" s="28"/>
      <c r="BGC25" s="28"/>
      <c r="BGD25" s="28"/>
      <c r="BGE25" s="28"/>
      <c r="BGF25" s="28"/>
      <c r="BGG25" s="28"/>
      <c r="BGH25" s="28"/>
      <c r="BGI25" s="28"/>
      <c r="BGJ25" s="28"/>
      <c r="BGK25" s="28"/>
      <c r="BGL25" s="28"/>
      <c r="BGM25" s="28"/>
      <c r="BGN25" s="28"/>
      <c r="BGO25" s="28"/>
      <c r="BGP25" s="28"/>
      <c r="BGQ25" s="28"/>
      <c r="BGR25" s="28"/>
      <c r="BGS25" s="28"/>
      <c r="BGT25" s="28"/>
      <c r="BGU25" s="28"/>
      <c r="BGV25" s="28"/>
      <c r="BGW25" s="28"/>
      <c r="BGX25" s="28"/>
      <c r="BGY25" s="28"/>
      <c r="BGZ25" s="28"/>
      <c r="BHA25" s="28"/>
      <c r="BHB25" s="28"/>
      <c r="BHC25" s="28"/>
      <c r="BHD25" s="28"/>
      <c r="BHE25" s="28"/>
      <c r="BHF25" s="28"/>
      <c r="BHG25" s="28"/>
      <c r="BHH25" s="28"/>
      <c r="BHI25" s="28"/>
      <c r="BHJ25" s="28"/>
      <c r="BHK25" s="28"/>
      <c r="BHL25" s="28"/>
      <c r="BHM25" s="28"/>
      <c r="BHN25" s="28"/>
      <c r="BHO25" s="28"/>
      <c r="BHP25" s="28"/>
      <c r="BHQ25" s="28"/>
      <c r="BHR25" s="28"/>
      <c r="BHS25" s="28"/>
      <c r="BHT25" s="28"/>
      <c r="BHU25" s="28"/>
      <c r="BHV25" s="28"/>
      <c r="BHW25" s="28"/>
      <c r="BHX25" s="28"/>
      <c r="BHY25" s="28"/>
      <c r="BHZ25" s="28"/>
      <c r="BIA25" s="28"/>
      <c r="BIB25" s="28"/>
      <c r="BIC25" s="28"/>
      <c r="BID25" s="28"/>
      <c r="BIE25" s="28"/>
      <c r="BIF25" s="28"/>
      <c r="BIG25" s="28"/>
      <c r="BIH25" s="28"/>
      <c r="BII25" s="28"/>
      <c r="BIJ25" s="28"/>
      <c r="BIK25" s="28"/>
      <c r="BIL25" s="28"/>
      <c r="BIM25" s="28"/>
      <c r="BIN25" s="28"/>
      <c r="BIO25" s="28"/>
      <c r="BIP25" s="28"/>
      <c r="BIQ25" s="28"/>
      <c r="BIR25" s="28"/>
      <c r="BIS25" s="28"/>
      <c r="BIT25" s="28"/>
      <c r="BIU25" s="28"/>
      <c r="BIV25" s="28"/>
      <c r="BIW25" s="28"/>
      <c r="BIX25" s="28"/>
      <c r="BIY25" s="28"/>
      <c r="BIZ25" s="28"/>
      <c r="BJA25" s="28"/>
      <c r="BJB25" s="28"/>
      <c r="BJC25" s="28"/>
      <c r="BJD25" s="28"/>
      <c r="BJE25" s="28"/>
      <c r="BJF25" s="28"/>
      <c r="BJG25" s="28"/>
      <c r="BJH25" s="28"/>
      <c r="BJI25" s="28"/>
      <c r="BJJ25" s="28"/>
      <c r="BJK25" s="28"/>
      <c r="BJL25" s="28"/>
      <c r="BJM25" s="28"/>
      <c r="BJN25" s="28"/>
      <c r="BJO25" s="28"/>
      <c r="BJP25" s="28"/>
      <c r="BJQ25" s="28"/>
      <c r="BJR25" s="28"/>
      <c r="BJS25" s="28"/>
      <c r="BJT25" s="28"/>
      <c r="BJU25" s="28"/>
      <c r="BJV25" s="28"/>
      <c r="BJW25" s="28"/>
      <c r="BJX25" s="28"/>
      <c r="BJY25" s="28"/>
      <c r="BJZ25" s="28"/>
      <c r="BKA25" s="28"/>
      <c r="BKB25" s="28"/>
      <c r="BKC25" s="28"/>
      <c r="BKD25" s="28"/>
      <c r="BKE25" s="28"/>
      <c r="BKF25" s="28"/>
      <c r="BKG25" s="28"/>
      <c r="BKH25" s="28"/>
      <c r="BKI25" s="28"/>
      <c r="BKJ25" s="28"/>
      <c r="BKK25" s="28"/>
      <c r="BKL25" s="28"/>
      <c r="BKM25" s="28"/>
      <c r="BKN25" s="28"/>
      <c r="BKO25" s="28"/>
      <c r="BKP25" s="28"/>
      <c r="BKQ25" s="28"/>
      <c r="BKR25" s="28"/>
      <c r="BKS25" s="28"/>
      <c r="BKT25" s="28"/>
      <c r="BKU25" s="28"/>
      <c r="BKV25" s="28"/>
      <c r="BKW25" s="28"/>
      <c r="BKX25" s="28"/>
      <c r="BKY25" s="28"/>
      <c r="BKZ25" s="28"/>
      <c r="BLA25" s="28"/>
      <c r="BLB25" s="28"/>
      <c r="BLC25" s="28"/>
      <c r="BLD25" s="28"/>
      <c r="BLE25" s="28"/>
      <c r="BLF25" s="28"/>
      <c r="BLG25" s="28"/>
      <c r="BLH25" s="28"/>
      <c r="BLI25" s="28"/>
      <c r="BLJ25" s="28"/>
      <c r="BLK25" s="28"/>
      <c r="BLL25" s="28"/>
      <c r="BLM25" s="28"/>
      <c r="BLN25" s="28"/>
      <c r="BLO25" s="28"/>
      <c r="BLP25" s="28"/>
      <c r="BLQ25" s="28"/>
      <c r="BLR25" s="28"/>
      <c r="BLS25" s="28"/>
      <c r="BLT25" s="28"/>
      <c r="BLU25" s="28"/>
      <c r="BLV25" s="28"/>
      <c r="BLW25" s="28"/>
      <c r="BLX25" s="28"/>
      <c r="BLY25" s="28"/>
      <c r="BLZ25" s="28"/>
      <c r="BMA25" s="28"/>
      <c r="BMB25" s="28"/>
      <c r="BMC25" s="28"/>
      <c r="BMD25" s="28"/>
      <c r="BME25" s="28"/>
      <c r="BMF25" s="28"/>
      <c r="BMG25" s="28"/>
      <c r="BMH25" s="28"/>
      <c r="BMI25" s="28"/>
      <c r="BMJ25" s="28"/>
      <c r="BMK25" s="28"/>
      <c r="BML25" s="28"/>
      <c r="BMM25" s="28"/>
      <c r="BMN25" s="28"/>
      <c r="BMO25" s="28"/>
      <c r="BMP25" s="28"/>
      <c r="BMQ25" s="28"/>
      <c r="BMR25" s="28"/>
      <c r="BMS25" s="28"/>
      <c r="BMT25" s="28"/>
      <c r="BMU25" s="28"/>
      <c r="BMV25" s="28"/>
      <c r="BMW25" s="28"/>
      <c r="BMX25" s="28"/>
      <c r="BMY25" s="28"/>
      <c r="BMZ25" s="28"/>
      <c r="BNA25" s="28"/>
      <c r="BNB25" s="28"/>
      <c r="BNC25" s="28"/>
      <c r="BND25" s="28"/>
      <c r="BNE25" s="28"/>
      <c r="BNF25" s="28"/>
      <c r="BNG25" s="28"/>
      <c r="BNH25" s="28"/>
      <c r="BNI25" s="28"/>
      <c r="BNJ25" s="28"/>
      <c r="BNK25" s="28"/>
      <c r="BNL25" s="28"/>
      <c r="BNM25" s="28"/>
      <c r="BNN25" s="28"/>
      <c r="BNO25" s="28"/>
      <c r="BNP25" s="28"/>
      <c r="BNQ25" s="28"/>
      <c r="BNR25" s="28"/>
      <c r="BNS25" s="28"/>
      <c r="BNT25" s="28"/>
      <c r="BNU25" s="28"/>
      <c r="BNV25" s="28"/>
      <c r="BNW25" s="28"/>
      <c r="BNX25" s="28"/>
      <c r="BNY25" s="28"/>
      <c r="BNZ25" s="28"/>
      <c r="BOA25" s="28"/>
      <c r="BOB25" s="28"/>
      <c r="BOC25" s="28"/>
      <c r="BOD25" s="28"/>
      <c r="BOE25" s="28"/>
      <c r="BOF25" s="28"/>
      <c r="BOG25" s="28"/>
      <c r="BOH25" s="28"/>
      <c r="BOI25" s="28"/>
      <c r="BOJ25" s="28"/>
      <c r="BOK25" s="28"/>
      <c r="BOL25" s="28"/>
      <c r="BOM25" s="28"/>
      <c r="BON25" s="28"/>
      <c r="BOO25" s="28"/>
      <c r="BOP25" s="28"/>
      <c r="BOQ25" s="28"/>
      <c r="BOR25" s="28"/>
      <c r="BOS25" s="28"/>
      <c r="BOT25" s="28"/>
      <c r="BOU25" s="28"/>
      <c r="BOV25" s="28"/>
      <c r="BOW25" s="28"/>
      <c r="BOX25" s="28"/>
      <c r="BOY25" s="28"/>
      <c r="BOZ25" s="28"/>
      <c r="BPA25" s="28"/>
      <c r="BPB25" s="28"/>
      <c r="BPC25" s="28"/>
      <c r="BPD25" s="28"/>
      <c r="BPE25" s="28"/>
      <c r="BPF25" s="28"/>
      <c r="BPG25" s="28"/>
      <c r="BPH25" s="28"/>
      <c r="BPI25" s="28"/>
      <c r="BPJ25" s="28"/>
      <c r="BPK25" s="28"/>
      <c r="BPL25" s="28"/>
      <c r="BPM25" s="28"/>
      <c r="BPN25" s="28"/>
      <c r="BPO25" s="28"/>
      <c r="BPP25" s="28"/>
      <c r="BPQ25" s="28"/>
      <c r="BPR25" s="28"/>
      <c r="BPS25" s="28"/>
      <c r="BPT25" s="28"/>
      <c r="BPU25" s="28"/>
      <c r="BPV25" s="28"/>
      <c r="BPW25" s="28"/>
      <c r="BPX25" s="28"/>
      <c r="BPY25" s="28"/>
      <c r="BPZ25" s="28"/>
      <c r="BQA25" s="28"/>
      <c r="BQB25" s="28"/>
      <c r="BQC25" s="28"/>
      <c r="BQD25" s="28"/>
      <c r="BQE25" s="28"/>
      <c r="BQF25" s="28"/>
      <c r="BQG25" s="28"/>
      <c r="BQH25" s="28"/>
      <c r="BQI25" s="28"/>
      <c r="BQJ25" s="28"/>
      <c r="BQK25" s="28"/>
      <c r="BQL25" s="28"/>
      <c r="BQM25" s="28"/>
      <c r="BQN25" s="28"/>
      <c r="BQO25" s="28"/>
      <c r="BQP25" s="28"/>
      <c r="BQQ25" s="28"/>
      <c r="BQR25" s="28"/>
      <c r="BQS25" s="28"/>
      <c r="BQT25" s="28"/>
      <c r="BQU25" s="28"/>
      <c r="BQV25" s="28"/>
      <c r="BQW25" s="28"/>
      <c r="BQX25" s="28"/>
      <c r="BQY25" s="28"/>
      <c r="BQZ25" s="28"/>
      <c r="BRA25" s="28"/>
      <c r="BRB25" s="28"/>
      <c r="BRC25" s="28"/>
      <c r="BRD25" s="28"/>
      <c r="BRE25" s="28"/>
      <c r="BRF25" s="28"/>
      <c r="BRG25" s="28"/>
      <c r="BRH25" s="28"/>
      <c r="BRI25" s="28"/>
      <c r="BRJ25" s="28"/>
      <c r="BRK25" s="28"/>
      <c r="BRL25" s="28"/>
      <c r="BRM25" s="28"/>
      <c r="BRN25" s="28"/>
      <c r="BRO25" s="28"/>
      <c r="BRP25" s="28"/>
      <c r="BRQ25" s="28"/>
      <c r="BRR25" s="28"/>
      <c r="BRS25" s="28"/>
      <c r="BRT25" s="28"/>
      <c r="BRU25" s="28"/>
      <c r="BRV25" s="28"/>
      <c r="BRW25" s="28"/>
      <c r="BRX25" s="28"/>
      <c r="BRY25" s="28"/>
      <c r="BRZ25" s="28"/>
      <c r="BSA25" s="28"/>
      <c r="BSB25" s="28"/>
      <c r="BSC25" s="28"/>
      <c r="BSD25" s="28"/>
      <c r="BSE25" s="28"/>
      <c r="BSF25" s="28"/>
      <c r="BSG25" s="28"/>
      <c r="BSH25" s="28"/>
      <c r="BSI25" s="28"/>
      <c r="BSJ25" s="28"/>
      <c r="BSK25" s="28"/>
      <c r="BSL25" s="28"/>
      <c r="BSM25" s="28"/>
      <c r="BSN25" s="28"/>
      <c r="BSO25" s="28"/>
      <c r="BSP25" s="28"/>
      <c r="BSQ25" s="28"/>
      <c r="BSR25" s="28"/>
      <c r="BSS25" s="28"/>
      <c r="BST25" s="28"/>
      <c r="BSU25" s="28"/>
      <c r="BSV25" s="28"/>
      <c r="BSW25" s="28"/>
      <c r="BSX25" s="28"/>
      <c r="BSY25" s="28"/>
      <c r="BSZ25" s="28"/>
      <c r="BTA25" s="28"/>
      <c r="BTB25" s="28"/>
      <c r="BTC25" s="28"/>
      <c r="BTD25" s="28"/>
      <c r="BTE25" s="28"/>
      <c r="BTF25" s="28"/>
      <c r="BTG25" s="28"/>
      <c r="BTH25" s="28"/>
      <c r="BTI25" s="28"/>
      <c r="BTJ25" s="28"/>
      <c r="BTK25" s="28"/>
      <c r="BTL25" s="28"/>
      <c r="BTM25" s="28"/>
      <c r="BTN25" s="28"/>
      <c r="BTO25" s="28"/>
      <c r="BTP25" s="28"/>
      <c r="BTQ25" s="28"/>
      <c r="BTR25" s="28"/>
      <c r="BTS25" s="28"/>
      <c r="BTT25" s="28"/>
      <c r="BTU25" s="28"/>
      <c r="BTV25" s="28"/>
      <c r="BTW25" s="28"/>
      <c r="BTX25" s="28"/>
      <c r="BTY25" s="28"/>
      <c r="BTZ25" s="28"/>
      <c r="BUA25" s="28"/>
      <c r="BUB25" s="28"/>
      <c r="BUC25" s="28"/>
      <c r="BUD25" s="28"/>
      <c r="BUE25" s="28"/>
      <c r="BUF25" s="28"/>
      <c r="BUG25" s="28"/>
      <c r="BUH25" s="28"/>
      <c r="BUI25" s="28"/>
      <c r="BUJ25" s="28"/>
      <c r="BUK25" s="28"/>
      <c r="BUL25" s="28"/>
      <c r="BUM25" s="28"/>
      <c r="BUN25" s="28"/>
      <c r="BUO25" s="28"/>
      <c r="BUP25" s="28"/>
      <c r="BUQ25" s="28"/>
      <c r="BUR25" s="28"/>
      <c r="BUS25" s="28"/>
      <c r="BUT25" s="28"/>
      <c r="BUU25" s="28"/>
      <c r="BUV25" s="28"/>
      <c r="BUW25" s="28"/>
      <c r="BUX25" s="28"/>
      <c r="BUY25" s="28"/>
      <c r="BUZ25" s="28"/>
      <c r="BVA25" s="28"/>
      <c r="BVB25" s="28"/>
      <c r="BVC25" s="28"/>
      <c r="BVD25" s="28"/>
      <c r="BVE25" s="28"/>
      <c r="BVF25" s="28"/>
      <c r="BVG25" s="28"/>
      <c r="BVH25" s="28"/>
      <c r="BVI25" s="28"/>
      <c r="BVJ25" s="28"/>
      <c r="BVK25" s="28"/>
      <c r="BVL25" s="28"/>
      <c r="BVM25" s="28"/>
      <c r="BVN25" s="28"/>
      <c r="BVO25" s="28"/>
      <c r="BVP25" s="28"/>
      <c r="BVQ25" s="28"/>
      <c r="BVR25" s="28"/>
      <c r="BVS25" s="28"/>
      <c r="BVT25" s="28"/>
      <c r="BVU25" s="28"/>
      <c r="BVV25" s="28"/>
      <c r="BVW25" s="28"/>
      <c r="BVX25" s="28"/>
      <c r="BVY25" s="28"/>
      <c r="BVZ25" s="28"/>
      <c r="BWA25" s="28"/>
      <c r="BWB25" s="28"/>
      <c r="BWC25" s="28"/>
      <c r="BWD25" s="28"/>
      <c r="BWE25" s="28"/>
      <c r="BWF25" s="28"/>
      <c r="BWG25" s="28"/>
      <c r="BWH25" s="28"/>
      <c r="BWI25" s="28"/>
      <c r="BWJ25" s="28"/>
      <c r="BWK25" s="28"/>
      <c r="BWL25" s="28"/>
      <c r="BWM25" s="28"/>
      <c r="BWN25" s="28"/>
      <c r="BWO25" s="28"/>
      <c r="BWP25" s="28"/>
      <c r="BWQ25" s="28"/>
      <c r="BWR25" s="28"/>
      <c r="BWS25" s="28"/>
      <c r="BWT25" s="28"/>
      <c r="BWU25" s="28"/>
      <c r="BWV25" s="28"/>
      <c r="BWW25" s="28"/>
      <c r="BWX25" s="28"/>
      <c r="BWY25" s="28"/>
      <c r="BWZ25" s="28"/>
      <c r="BXA25" s="28"/>
      <c r="BXB25" s="28"/>
      <c r="BXC25" s="28"/>
      <c r="BXD25" s="28"/>
      <c r="BXE25" s="28"/>
      <c r="BXF25" s="28"/>
      <c r="BXG25" s="28"/>
      <c r="BXH25" s="28"/>
      <c r="BXI25" s="28"/>
      <c r="BXJ25" s="28"/>
      <c r="BXK25" s="28"/>
      <c r="BXL25" s="28"/>
      <c r="BXM25" s="28"/>
      <c r="BXN25" s="28"/>
      <c r="BXO25" s="28"/>
      <c r="BXP25" s="28"/>
      <c r="BXQ25" s="28"/>
      <c r="BXR25" s="28"/>
      <c r="BXS25" s="28"/>
      <c r="BXT25" s="28"/>
      <c r="BXU25" s="28"/>
      <c r="BXV25" s="28"/>
      <c r="BXW25" s="28"/>
      <c r="BXX25" s="28"/>
      <c r="BXY25" s="28"/>
      <c r="BXZ25" s="28"/>
      <c r="BYA25" s="28"/>
      <c r="BYB25" s="28"/>
      <c r="BYC25" s="28"/>
      <c r="BYD25" s="28"/>
      <c r="BYE25" s="28"/>
      <c r="BYF25" s="28"/>
      <c r="BYG25" s="28"/>
      <c r="BYH25" s="28"/>
      <c r="BYI25" s="28"/>
      <c r="BYJ25" s="28"/>
      <c r="BYK25" s="28"/>
      <c r="BYL25" s="28"/>
      <c r="BYM25" s="28"/>
      <c r="BYN25" s="28"/>
      <c r="BYO25" s="28"/>
      <c r="BYP25" s="28"/>
      <c r="BYQ25" s="28"/>
      <c r="BYR25" s="28"/>
      <c r="BYS25" s="28"/>
      <c r="BYT25" s="28"/>
      <c r="BYU25" s="28"/>
      <c r="BYV25" s="28"/>
      <c r="BYW25" s="28"/>
      <c r="BYX25" s="28"/>
      <c r="BYY25" s="28"/>
      <c r="BYZ25" s="28"/>
      <c r="BZA25" s="28"/>
      <c r="BZB25" s="28"/>
      <c r="BZC25" s="28"/>
      <c r="BZD25" s="28"/>
      <c r="BZE25" s="28"/>
      <c r="BZF25" s="28"/>
      <c r="BZG25" s="28"/>
      <c r="BZH25" s="28"/>
      <c r="BZI25" s="28"/>
      <c r="BZJ25" s="28"/>
      <c r="BZK25" s="28"/>
      <c r="BZL25" s="28"/>
      <c r="BZM25" s="28"/>
      <c r="BZN25" s="28"/>
      <c r="BZO25" s="28"/>
      <c r="BZP25" s="28"/>
      <c r="BZQ25" s="28"/>
      <c r="BZR25" s="28"/>
      <c r="BZS25" s="28"/>
      <c r="BZT25" s="28"/>
      <c r="BZU25" s="28"/>
      <c r="BZV25" s="28"/>
      <c r="BZW25" s="28"/>
      <c r="BZX25" s="28"/>
      <c r="BZY25" s="28"/>
      <c r="BZZ25" s="28"/>
      <c r="CAA25" s="28"/>
      <c r="CAB25" s="28"/>
      <c r="CAC25" s="28"/>
      <c r="CAD25" s="28"/>
      <c r="CAE25" s="28"/>
      <c r="CAF25" s="28"/>
      <c r="CAG25" s="28"/>
      <c r="CAH25" s="28"/>
      <c r="CAI25" s="28"/>
      <c r="CAJ25" s="28"/>
      <c r="CAK25" s="28"/>
      <c r="CAL25" s="28"/>
      <c r="CAM25" s="28"/>
      <c r="CAN25" s="28"/>
      <c r="CAO25" s="28"/>
      <c r="CAP25" s="28"/>
      <c r="CAQ25" s="28"/>
      <c r="CAR25" s="28"/>
      <c r="CAS25" s="28"/>
      <c r="CAT25" s="28"/>
      <c r="CAU25" s="28"/>
      <c r="CAV25" s="28"/>
      <c r="CAW25" s="28"/>
      <c r="CAX25" s="28"/>
      <c r="CAY25" s="28"/>
      <c r="CAZ25" s="28"/>
      <c r="CBA25" s="28"/>
      <c r="CBB25" s="28"/>
      <c r="CBC25" s="28"/>
      <c r="CBD25" s="28"/>
      <c r="CBE25" s="28"/>
      <c r="CBF25" s="28"/>
      <c r="CBG25" s="28"/>
      <c r="CBH25" s="28"/>
      <c r="CBI25" s="28"/>
      <c r="CBJ25" s="28"/>
      <c r="CBK25" s="28"/>
      <c r="CBL25" s="28"/>
      <c r="CBM25" s="28"/>
      <c r="CBN25" s="28"/>
      <c r="CBO25" s="28"/>
      <c r="CBP25" s="28"/>
      <c r="CBQ25" s="28"/>
      <c r="CBR25" s="28"/>
      <c r="CBS25" s="28"/>
      <c r="CBT25" s="28"/>
      <c r="CBU25" s="28"/>
      <c r="CBV25" s="28"/>
      <c r="CBW25" s="28"/>
      <c r="CBX25" s="28"/>
      <c r="CBY25" s="28"/>
      <c r="CBZ25" s="28"/>
      <c r="CCA25" s="28"/>
      <c r="CCB25" s="28"/>
      <c r="CCC25" s="28"/>
      <c r="CCD25" s="28"/>
      <c r="CCE25" s="28"/>
      <c r="CCF25" s="28"/>
      <c r="CCG25" s="28"/>
      <c r="CCH25" s="28"/>
      <c r="CCI25" s="28"/>
      <c r="CCJ25" s="28"/>
      <c r="CCK25" s="28"/>
      <c r="CCL25" s="28"/>
      <c r="CCM25" s="28"/>
      <c r="CCN25" s="28"/>
      <c r="CCO25" s="28"/>
      <c r="CCP25" s="28"/>
      <c r="CCQ25" s="28"/>
      <c r="CCR25" s="28"/>
      <c r="CCS25" s="28"/>
      <c r="CCT25" s="28"/>
      <c r="CCU25" s="28"/>
      <c r="CCV25" s="28"/>
      <c r="CCW25" s="28"/>
      <c r="CCX25" s="28"/>
      <c r="CCY25" s="28"/>
      <c r="CCZ25" s="28"/>
      <c r="CDA25" s="28"/>
      <c r="CDB25" s="28"/>
      <c r="CDC25" s="28"/>
      <c r="CDD25" s="28"/>
      <c r="CDE25" s="28"/>
      <c r="CDF25" s="28"/>
      <c r="CDG25" s="28"/>
      <c r="CDH25" s="28"/>
      <c r="CDI25" s="28"/>
      <c r="CDJ25" s="28"/>
      <c r="CDK25" s="28"/>
      <c r="CDL25" s="28"/>
      <c r="CDM25" s="28"/>
      <c r="CDN25" s="28"/>
      <c r="CDO25" s="28"/>
      <c r="CDP25" s="28"/>
      <c r="CDQ25" s="28"/>
      <c r="CDR25" s="28"/>
      <c r="CDS25" s="28"/>
      <c r="CDT25" s="28"/>
      <c r="CDU25" s="28"/>
      <c r="CDV25" s="28"/>
      <c r="CDW25" s="28"/>
      <c r="CDX25" s="28"/>
      <c r="CDY25" s="28"/>
      <c r="CDZ25" s="28"/>
      <c r="CEA25" s="28"/>
      <c r="CEB25" s="28"/>
      <c r="CEC25" s="28"/>
      <c r="CED25" s="28"/>
      <c r="CEE25" s="28"/>
      <c r="CEF25" s="28"/>
      <c r="CEG25" s="28"/>
      <c r="CEH25" s="28"/>
      <c r="CEI25" s="28"/>
      <c r="CEJ25" s="28"/>
      <c r="CEK25" s="28"/>
      <c r="CEL25" s="28"/>
      <c r="CEM25" s="28"/>
      <c r="CEN25" s="28"/>
      <c r="CEO25" s="28"/>
      <c r="CEP25" s="28"/>
      <c r="CEQ25" s="28"/>
      <c r="CER25" s="28"/>
      <c r="CES25" s="28"/>
      <c r="CET25" s="28"/>
      <c r="CEU25" s="28"/>
      <c r="CEV25" s="28"/>
      <c r="CEW25" s="28"/>
      <c r="CEX25" s="28"/>
      <c r="CEY25" s="28"/>
      <c r="CEZ25" s="28"/>
      <c r="CFA25" s="28"/>
      <c r="CFB25" s="28"/>
      <c r="CFC25" s="28"/>
      <c r="CFD25" s="28"/>
      <c r="CFE25" s="28"/>
      <c r="CFF25" s="28"/>
      <c r="CFG25" s="28"/>
      <c r="CFH25" s="28"/>
      <c r="CFI25" s="28"/>
      <c r="CFJ25" s="28"/>
      <c r="CFK25" s="28"/>
      <c r="CFL25" s="28"/>
      <c r="CFM25" s="28"/>
      <c r="CFN25" s="28"/>
      <c r="CFO25" s="28"/>
      <c r="CFP25" s="28"/>
      <c r="CFQ25" s="28"/>
      <c r="CFR25" s="28"/>
      <c r="CFS25" s="28"/>
      <c r="CFT25" s="28"/>
      <c r="CFU25" s="28"/>
      <c r="CFV25" s="28"/>
      <c r="CFW25" s="28"/>
      <c r="CFX25" s="28"/>
      <c r="CFY25" s="28"/>
      <c r="CFZ25" s="28"/>
      <c r="CGA25" s="28"/>
      <c r="CGB25" s="28"/>
      <c r="CGC25" s="28"/>
      <c r="CGD25" s="28"/>
      <c r="CGE25" s="28"/>
      <c r="CGF25" s="28"/>
      <c r="CGG25" s="28"/>
      <c r="CGH25" s="28"/>
      <c r="CGI25" s="28"/>
      <c r="CGJ25" s="28"/>
      <c r="CGK25" s="28"/>
      <c r="CGL25" s="28"/>
      <c r="CGM25" s="28"/>
      <c r="CGN25" s="28"/>
      <c r="CGO25" s="28"/>
      <c r="CGP25" s="28"/>
      <c r="CGQ25" s="28"/>
      <c r="CGR25" s="28"/>
      <c r="CGS25" s="28"/>
      <c r="CGT25" s="28"/>
      <c r="CGU25" s="28"/>
      <c r="CGV25" s="28"/>
      <c r="CGW25" s="28"/>
      <c r="CGX25" s="28"/>
      <c r="CGY25" s="28"/>
      <c r="CGZ25" s="28"/>
      <c r="CHA25" s="28"/>
      <c r="CHB25" s="28"/>
      <c r="CHC25" s="28"/>
      <c r="CHD25" s="28"/>
      <c r="CHE25" s="28"/>
      <c r="CHF25" s="28"/>
      <c r="CHG25" s="28"/>
      <c r="CHH25" s="28"/>
      <c r="CHI25" s="28"/>
      <c r="CHJ25" s="28"/>
      <c r="CHK25" s="28"/>
      <c r="CHL25" s="28"/>
      <c r="CHM25" s="28"/>
      <c r="CHN25" s="28"/>
      <c r="CHO25" s="28"/>
      <c r="CHP25" s="28"/>
      <c r="CHQ25" s="28"/>
      <c r="CHR25" s="28"/>
      <c r="CHS25" s="28"/>
      <c r="CHT25" s="28"/>
      <c r="CHU25" s="28"/>
      <c r="CHV25" s="28"/>
      <c r="CHW25" s="28"/>
      <c r="CHX25" s="28"/>
      <c r="CHY25" s="28"/>
      <c r="CHZ25" s="28"/>
      <c r="CIA25" s="28"/>
      <c r="CIB25" s="28"/>
      <c r="CIC25" s="28"/>
      <c r="CID25" s="28"/>
      <c r="CIE25" s="28"/>
      <c r="CIF25" s="28"/>
      <c r="CIG25" s="28"/>
      <c r="CIH25" s="28"/>
      <c r="CII25" s="28"/>
      <c r="CIJ25" s="28"/>
      <c r="CIK25" s="28"/>
      <c r="CIL25" s="28"/>
      <c r="CIM25" s="28"/>
      <c r="CIN25" s="28"/>
      <c r="CIO25" s="28"/>
      <c r="CIP25" s="28"/>
      <c r="CIQ25" s="28"/>
      <c r="CIR25" s="28"/>
      <c r="CIS25" s="28"/>
      <c r="CIT25" s="28"/>
      <c r="CIU25" s="28"/>
      <c r="CIV25" s="28"/>
      <c r="CIW25" s="28"/>
      <c r="CIX25" s="28"/>
      <c r="CIY25" s="28"/>
      <c r="CIZ25" s="28"/>
      <c r="CJA25" s="28"/>
      <c r="CJB25" s="28"/>
      <c r="CJC25" s="28"/>
      <c r="CJD25" s="28"/>
      <c r="CJE25" s="28"/>
      <c r="CJF25" s="28"/>
      <c r="CJG25" s="28"/>
      <c r="CJH25" s="28"/>
      <c r="CJI25" s="28"/>
      <c r="CJJ25" s="28"/>
      <c r="CJK25" s="28"/>
      <c r="CJL25" s="28"/>
      <c r="CJM25" s="28"/>
      <c r="CJN25" s="28"/>
      <c r="CJO25" s="28"/>
      <c r="CJP25" s="28"/>
      <c r="CJQ25" s="28"/>
      <c r="CJR25" s="28"/>
      <c r="CJS25" s="28"/>
      <c r="CJT25" s="28"/>
      <c r="CJU25" s="28"/>
      <c r="CJV25" s="28"/>
      <c r="CJW25" s="28"/>
      <c r="CJX25" s="28"/>
      <c r="CJY25" s="28"/>
      <c r="CJZ25" s="28"/>
      <c r="CKA25" s="28"/>
      <c r="CKB25" s="28"/>
      <c r="CKC25" s="28"/>
      <c r="CKD25" s="28"/>
      <c r="CKE25" s="28"/>
      <c r="CKF25" s="28"/>
      <c r="CKG25" s="28"/>
      <c r="CKH25" s="28"/>
      <c r="CKI25" s="28"/>
      <c r="CKJ25" s="28"/>
      <c r="CKK25" s="28"/>
      <c r="CKL25" s="28"/>
      <c r="CKM25" s="28"/>
      <c r="CKN25" s="28"/>
      <c r="CKO25" s="28"/>
      <c r="CKP25" s="28"/>
      <c r="CKQ25" s="28"/>
      <c r="CKR25" s="28"/>
      <c r="CKS25" s="28"/>
      <c r="CKT25" s="28"/>
      <c r="CKU25" s="28"/>
      <c r="CKV25" s="28"/>
      <c r="CKW25" s="28"/>
      <c r="CKX25" s="28"/>
      <c r="CKY25" s="28"/>
      <c r="CKZ25" s="28"/>
      <c r="CLA25" s="28"/>
      <c r="CLB25" s="28"/>
      <c r="CLC25" s="28"/>
      <c r="CLD25" s="28"/>
      <c r="CLE25" s="28"/>
      <c r="CLF25" s="28"/>
      <c r="CLG25" s="28"/>
      <c r="CLH25" s="28"/>
      <c r="CLI25" s="28"/>
      <c r="CLJ25" s="28"/>
      <c r="CLK25" s="28"/>
      <c r="CLL25" s="28"/>
      <c r="CLM25" s="28"/>
      <c r="CLN25" s="28"/>
      <c r="CLO25" s="28"/>
      <c r="CLP25" s="28"/>
      <c r="CLQ25" s="28"/>
      <c r="CLR25" s="28"/>
      <c r="CLS25" s="28"/>
      <c r="CLT25" s="28"/>
      <c r="CLU25" s="28"/>
      <c r="CLV25" s="28"/>
      <c r="CLW25" s="28"/>
      <c r="CLX25" s="28"/>
      <c r="CLY25" s="28"/>
      <c r="CLZ25" s="28"/>
      <c r="CMA25" s="28"/>
      <c r="CMB25" s="28"/>
      <c r="CMC25" s="28"/>
      <c r="CMD25" s="28"/>
      <c r="CME25" s="28"/>
      <c r="CMF25" s="28"/>
      <c r="CMG25" s="28"/>
      <c r="CMH25" s="28"/>
      <c r="CMI25" s="28"/>
      <c r="CMJ25" s="28"/>
      <c r="CMK25" s="28"/>
      <c r="CML25" s="28"/>
      <c r="CMM25" s="28"/>
      <c r="CMN25" s="28"/>
      <c r="CMO25" s="28"/>
      <c r="CMP25" s="28"/>
      <c r="CMQ25" s="28"/>
      <c r="CMR25" s="28"/>
      <c r="CMS25" s="28"/>
      <c r="CMT25" s="28"/>
      <c r="CMU25" s="28"/>
      <c r="CMV25" s="28"/>
      <c r="CMW25" s="28"/>
      <c r="CMX25" s="28"/>
      <c r="CMY25" s="28"/>
      <c r="CMZ25" s="28"/>
      <c r="CNA25" s="28"/>
      <c r="CNB25" s="28"/>
      <c r="CNC25" s="28"/>
      <c r="CND25" s="28"/>
      <c r="CNE25" s="28"/>
      <c r="CNF25" s="28"/>
      <c r="CNG25" s="28"/>
      <c r="CNH25" s="28"/>
      <c r="CNI25" s="28"/>
      <c r="CNJ25" s="28"/>
      <c r="CNK25" s="28"/>
      <c r="CNL25" s="28"/>
      <c r="CNM25" s="28"/>
      <c r="CNN25" s="28"/>
      <c r="CNO25" s="28"/>
      <c r="CNP25" s="28"/>
      <c r="CNQ25" s="28"/>
      <c r="CNR25" s="28"/>
      <c r="CNS25" s="28"/>
      <c r="CNT25" s="28"/>
      <c r="CNU25" s="28"/>
      <c r="CNV25" s="28"/>
      <c r="CNW25" s="28"/>
      <c r="CNX25" s="28"/>
      <c r="CNY25" s="28"/>
      <c r="CNZ25" s="28"/>
      <c r="COA25" s="28"/>
      <c r="COB25" s="28"/>
      <c r="COC25" s="28"/>
      <c r="COD25" s="28"/>
      <c r="COE25" s="28"/>
      <c r="COF25" s="28"/>
      <c r="COG25" s="28"/>
      <c r="COH25" s="28"/>
      <c r="COI25" s="28"/>
      <c r="COJ25" s="28"/>
      <c r="COK25" s="28"/>
      <c r="COL25" s="28"/>
      <c r="COM25" s="28"/>
      <c r="CON25" s="28"/>
      <c r="COO25" s="28"/>
      <c r="COP25" s="28"/>
      <c r="COQ25" s="28"/>
      <c r="COR25" s="28"/>
      <c r="COS25" s="28"/>
      <c r="COT25" s="28"/>
      <c r="COU25" s="28"/>
      <c r="COV25" s="28"/>
      <c r="COW25" s="28"/>
      <c r="COX25" s="28"/>
      <c r="COY25" s="28"/>
      <c r="COZ25" s="28"/>
      <c r="CPA25" s="28"/>
      <c r="CPB25" s="28"/>
      <c r="CPC25" s="28"/>
      <c r="CPD25" s="28"/>
      <c r="CPE25" s="28"/>
      <c r="CPF25" s="28"/>
      <c r="CPG25" s="28"/>
      <c r="CPH25" s="28"/>
      <c r="CPI25" s="28"/>
      <c r="CPJ25" s="28"/>
      <c r="CPK25" s="28"/>
      <c r="CPL25" s="28"/>
      <c r="CPM25" s="28"/>
      <c r="CPN25" s="28"/>
      <c r="CPO25" s="28"/>
      <c r="CPP25" s="28"/>
      <c r="CPQ25" s="28"/>
      <c r="CPR25" s="28"/>
      <c r="CPS25" s="28"/>
      <c r="CPT25" s="28"/>
      <c r="CPU25" s="28"/>
      <c r="CPV25" s="28"/>
      <c r="CPW25" s="28"/>
      <c r="CPX25" s="28"/>
      <c r="CPY25" s="28"/>
      <c r="CPZ25" s="28"/>
      <c r="CQA25" s="28"/>
      <c r="CQB25" s="28"/>
      <c r="CQC25" s="28"/>
      <c r="CQD25" s="28"/>
      <c r="CQE25" s="28"/>
      <c r="CQF25" s="28"/>
      <c r="CQG25" s="28"/>
      <c r="CQH25" s="28"/>
      <c r="CQI25" s="28"/>
      <c r="CQJ25" s="28"/>
      <c r="CQK25" s="28"/>
      <c r="CQL25" s="28"/>
      <c r="CQM25" s="28"/>
      <c r="CQN25" s="28"/>
      <c r="CQO25" s="28"/>
      <c r="CQP25" s="28"/>
      <c r="CQQ25" s="28"/>
      <c r="CQR25" s="28"/>
      <c r="CQS25" s="28"/>
      <c r="CQT25" s="28"/>
      <c r="CQU25" s="28"/>
      <c r="CQV25" s="28"/>
      <c r="CQW25" s="28"/>
      <c r="CQX25" s="28"/>
      <c r="CQY25" s="28"/>
      <c r="CQZ25" s="28"/>
      <c r="CRA25" s="28"/>
      <c r="CRB25" s="28"/>
      <c r="CRC25" s="28"/>
      <c r="CRD25" s="28"/>
      <c r="CRE25" s="28"/>
      <c r="CRF25" s="28"/>
      <c r="CRG25" s="28"/>
      <c r="CRH25" s="28"/>
      <c r="CRI25" s="28"/>
      <c r="CRJ25" s="28"/>
      <c r="CRK25" s="28"/>
      <c r="CRL25" s="28"/>
      <c r="CRM25" s="28"/>
      <c r="CRN25" s="28"/>
      <c r="CRO25" s="28"/>
      <c r="CRP25" s="28"/>
      <c r="CRQ25" s="28"/>
      <c r="CRR25" s="28"/>
      <c r="CRS25" s="28"/>
      <c r="CRT25" s="28"/>
      <c r="CRU25" s="28"/>
      <c r="CRV25" s="28"/>
      <c r="CRW25" s="28"/>
      <c r="CRX25" s="28"/>
      <c r="CRY25" s="28"/>
      <c r="CRZ25" s="28"/>
      <c r="CSA25" s="28"/>
      <c r="CSB25" s="28"/>
      <c r="CSC25" s="28"/>
      <c r="CSD25" s="28"/>
      <c r="CSE25" s="28"/>
      <c r="CSF25" s="28"/>
      <c r="CSG25" s="28"/>
      <c r="CSH25" s="28"/>
      <c r="CSI25" s="28"/>
      <c r="CSJ25" s="28"/>
      <c r="CSK25" s="28"/>
      <c r="CSL25" s="28"/>
      <c r="CSM25" s="28"/>
      <c r="CSN25" s="28"/>
      <c r="CSO25" s="28"/>
      <c r="CSP25" s="28"/>
      <c r="CSQ25" s="28"/>
      <c r="CSR25" s="28"/>
      <c r="CSS25" s="28"/>
      <c r="CST25" s="28"/>
      <c r="CSU25" s="28"/>
      <c r="CSV25" s="28"/>
      <c r="CSW25" s="28"/>
      <c r="CSX25" s="28"/>
      <c r="CSY25" s="28"/>
      <c r="CSZ25" s="28"/>
      <c r="CTA25" s="28"/>
      <c r="CTB25" s="28"/>
      <c r="CTC25" s="28"/>
      <c r="CTD25" s="28"/>
      <c r="CTE25" s="28"/>
      <c r="CTF25" s="28"/>
      <c r="CTG25" s="28"/>
      <c r="CTH25" s="28"/>
      <c r="CTI25" s="28"/>
      <c r="CTJ25" s="28"/>
      <c r="CTK25" s="28"/>
      <c r="CTL25" s="28"/>
      <c r="CTM25" s="28"/>
      <c r="CTN25" s="28"/>
      <c r="CTO25" s="28"/>
      <c r="CTP25" s="28"/>
      <c r="CTQ25" s="28"/>
      <c r="CTR25" s="28"/>
      <c r="CTS25" s="28"/>
      <c r="CTT25" s="28"/>
      <c r="CTU25" s="28"/>
      <c r="CTV25" s="28"/>
      <c r="CTW25" s="28"/>
      <c r="CTX25" s="28"/>
      <c r="CTY25" s="28"/>
      <c r="CTZ25" s="28"/>
      <c r="CUA25" s="28"/>
      <c r="CUB25" s="28"/>
      <c r="CUC25" s="28"/>
      <c r="CUD25" s="28"/>
      <c r="CUE25" s="28"/>
      <c r="CUF25" s="28"/>
      <c r="CUG25" s="28"/>
      <c r="CUH25" s="28"/>
      <c r="CUI25" s="28"/>
      <c r="CUJ25" s="28"/>
      <c r="CUK25" s="28"/>
      <c r="CUL25" s="28"/>
      <c r="CUM25" s="28"/>
      <c r="CUN25" s="28"/>
      <c r="CUO25" s="28"/>
      <c r="CUP25" s="28"/>
      <c r="CUQ25" s="28"/>
      <c r="CUR25" s="28"/>
      <c r="CUS25" s="28"/>
      <c r="CUT25" s="28"/>
      <c r="CUU25" s="28"/>
      <c r="CUV25" s="28"/>
      <c r="CUW25" s="28"/>
      <c r="CUX25" s="28"/>
      <c r="CUY25" s="28"/>
      <c r="CUZ25" s="28"/>
      <c r="CVA25" s="28"/>
      <c r="CVB25" s="28"/>
      <c r="CVC25" s="28"/>
      <c r="CVD25" s="28"/>
      <c r="CVE25" s="28"/>
      <c r="CVF25" s="28"/>
      <c r="CVG25" s="28"/>
      <c r="CVH25" s="28"/>
      <c r="CVI25" s="28"/>
      <c r="CVJ25" s="28"/>
      <c r="CVK25" s="28"/>
      <c r="CVL25" s="28"/>
      <c r="CVM25" s="28"/>
      <c r="CVN25" s="28"/>
      <c r="CVO25" s="28"/>
      <c r="CVP25" s="28"/>
      <c r="CVQ25" s="28"/>
      <c r="CVR25" s="28"/>
      <c r="CVS25" s="28"/>
      <c r="CVT25" s="28"/>
      <c r="CVU25" s="28"/>
      <c r="CVV25" s="28"/>
      <c r="CVW25" s="28"/>
      <c r="CVX25" s="28"/>
      <c r="CVY25" s="28"/>
      <c r="CVZ25" s="28"/>
      <c r="CWA25" s="28"/>
      <c r="CWB25" s="28"/>
      <c r="CWC25" s="28"/>
      <c r="CWD25" s="28"/>
      <c r="CWE25" s="28"/>
      <c r="CWF25" s="28"/>
      <c r="CWG25" s="28"/>
      <c r="CWH25" s="28"/>
      <c r="CWI25" s="28"/>
      <c r="CWJ25" s="28"/>
      <c r="CWK25" s="28"/>
      <c r="CWL25" s="28"/>
      <c r="CWM25" s="28"/>
      <c r="CWN25" s="28"/>
      <c r="CWO25" s="28"/>
      <c r="CWP25" s="28"/>
      <c r="CWQ25" s="28"/>
      <c r="CWR25" s="28"/>
      <c r="CWS25" s="28"/>
      <c r="CWT25" s="28"/>
      <c r="CWU25" s="28"/>
      <c r="CWV25" s="28"/>
      <c r="CWW25" s="28"/>
      <c r="CWX25" s="28"/>
      <c r="CWY25" s="28"/>
      <c r="CWZ25" s="28"/>
      <c r="CXA25" s="28"/>
      <c r="CXB25" s="28"/>
      <c r="CXC25" s="28"/>
      <c r="CXD25" s="28"/>
      <c r="CXE25" s="28"/>
      <c r="CXF25" s="28"/>
      <c r="CXG25" s="28"/>
      <c r="CXH25" s="28"/>
      <c r="CXI25" s="28"/>
      <c r="CXJ25" s="28"/>
      <c r="CXK25" s="28"/>
      <c r="CXL25" s="28"/>
      <c r="CXM25" s="28"/>
      <c r="CXN25" s="28"/>
      <c r="CXO25" s="28"/>
      <c r="CXP25" s="28"/>
      <c r="CXQ25" s="28"/>
      <c r="CXR25" s="28"/>
      <c r="CXS25" s="28"/>
      <c r="CXT25" s="28"/>
      <c r="CXU25" s="28"/>
      <c r="CXV25" s="28"/>
      <c r="CXW25" s="28"/>
      <c r="CXX25" s="28"/>
      <c r="CXY25" s="28"/>
      <c r="CXZ25" s="28"/>
      <c r="CYA25" s="28"/>
      <c r="CYB25" s="28"/>
      <c r="CYC25" s="28"/>
      <c r="CYD25" s="28"/>
      <c r="CYE25" s="28"/>
      <c r="CYF25" s="28"/>
      <c r="CYG25" s="28"/>
      <c r="CYH25" s="28"/>
      <c r="CYI25" s="28"/>
      <c r="CYJ25" s="28"/>
      <c r="CYK25" s="28"/>
      <c r="CYL25" s="28"/>
      <c r="CYM25" s="28"/>
      <c r="CYN25" s="28"/>
      <c r="CYO25" s="28"/>
      <c r="CYP25" s="28"/>
      <c r="CYQ25" s="28"/>
      <c r="CYR25" s="28"/>
      <c r="CYS25" s="28"/>
      <c r="CYT25" s="28"/>
      <c r="CYU25" s="28"/>
      <c r="CYV25" s="28"/>
      <c r="CYW25" s="28"/>
      <c r="CYX25" s="28"/>
      <c r="CYY25" s="28"/>
      <c r="CYZ25" s="28"/>
      <c r="CZA25" s="28"/>
      <c r="CZB25" s="28"/>
      <c r="CZC25" s="28"/>
      <c r="CZD25" s="28"/>
      <c r="CZE25" s="28"/>
      <c r="CZF25" s="28"/>
      <c r="CZG25" s="28"/>
      <c r="CZH25" s="28"/>
      <c r="CZI25" s="28"/>
      <c r="CZJ25" s="28"/>
      <c r="CZK25" s="28"/>
      <c r="CZL25" s="28"/>
      <c r="CZM25" s="28"/>
      <c r="CZN25" s="28"/>
      <c r="CZO25" s="28"/>
      <c r="CZP25" s="28"/>
      <c r="CZQ25" s="28"/>
      <c r="CZR25" s="28"/>
      <c r="CZS25" s="28"/>
      <c r="CZT25" s="28"/>
      <c r="CZU25" s="28"/>
      <c r="CZV25" s="28"/>
      <c r="CZW25" s="28"/>
      <c r="CZX25" s="28"/>
      <c r="CZY25" s="28"/>
      <c r="CZZ25" s="28"/>
      <c r="DAA25" s="28"/>
      <c r="DAB25" s="28"/>
      <c r="DAC25" s="28"/>
      <c r="DAD25" s="28"/>
      <c r="DAE25" s="28"/>
      <c r="DAF25" s="28"/>
      <c r="DAG25" s="28"/>
      <c r="DAH25" s="28"/>
      <c r="DAI25" s="28"/>
      <c r="DAJ25" s="28"/>
      <c r="DAK25" s="28"/>
      <c r="DAL25" s="28"/>
      <c r="DAM25" s="28"/>
      <c r="DAN25" s="28"/>
      <c r="DAO25" s="28"/>
      <c r="DAP25" s="28"/>
      <c r="DAQ25" s="28"/>
      <c r="DAR25" s="28"/>
      <c r="DAS25" s="28"/>
      <c r="DAT25" s="28"/>
      <c r="DAU25" s="28"/>
      <c r="DAV25" s="28"/>
      <c r="DAW25" s="28"/>
      <c r="DAX25" s="28"/>
      <c r="DAY25" s="28"/>
      <c r="DAZ25" s="28"/>
      <c r="DBA25" s="28"/>
      <c r="DBB25" s="28"/>
      <c r="DBC25" s="28"/>
      <c r="DBD25" s="28"/>
      <c r="DBE25" s="28"/>
      <c r="DBF25" s="28"/>
      <c r="DBG25" s="28"/>
      <c r="DBH25" s="28"/>
      <c r="DBI25" s="28"/>
      <c r="DBJ25" s="28"/>
      <c r="DBK25" s="28"/>
      <c r="DBL25" s="28"/>
      <c r="DBM25" s="28"/>
      <c r="DBN25" s="28"/>
      <c r="DBO25" s="28"/>
      <c r="DBP25" s="28"/>
      <c r="DBQ25" s="28"/>
      <c r="DBR25" s="28"/>
      <c r="DBS25" s="28"/>
      <c r="DBT25" s="28"/>
      <c r="DBU25" s="28"/>
      <c r="DBV25" s="28"/>
      <c r="DBW25" s="28"/>
      <c r="DBX25" s="28"/>
      <c r="DBY25" s="28"/>
      <c r="DBZ25" s="28"/>
      <c r="DCA25" s="28"/>
      <c r="DCB25" s="28"/>
      <c r="DCC25" s="28"/>
      <c r="DCD25" s="28"/>
      <c r="DCE25" s="28"/>
      <c r="DCF25" s="28"/>
      <c r="DCG25" s="28"/>
      <c r="DCH25" s="28"/>
      <c r="DCI25" s="28"/>
      <c r="DCJ25" s="28"/>
      <c r="DCK25" s="28"/>
      <c r="DCL25" s="28"/>
      <c r="DCM25" s="28"/>
      <c r="DCN25" s="28"/>
      <c r="DCO25" s="28"/>
      <c r="DCP25" s="28"/>
      <c r="DCQ25" s="28"/>
      <c r="DCR25" s="28"/>
      <c r="DCS25" s="28"/>
      <c r="DCT25" s="28"/>
      <c r="DCU25" s="28"/>
      <c r="DCV25" s="28"/>
      <c r="DCW25" s="28"/>
      <c r="DCX25" s="28"/>
      <c r="DCY25" s="28"/>
      <c r="DCZ25" s="28"/>
      <c r="DDA25" s="28"/>
      <c r="DDB25" s="28"/>
      <c r="DDC25" s="28"/>
      <c r="DDD25" s="28"/>
      <c r="DDE25" s="28"/>
      <c r="DDF25" s="28"/>
      <c r="DDG25" s="28"/>
      <c r="DDH25" s="28"/>
      <c r="DDI25" s="28"/>
      <c r="DDJ25" s="28"/>
      <c r="DDK25" s="28"/>
      <c r="DDL25" s="28"/>
      <c r="DDM25" s="28"/>
      <c r="DDN25" s="28"/>
      <c r="DDO25" s="28"/>
      <c r="DDP25" s="28"/>
      <c r="DDQ25" s="28"/>
      <c r="DDR25" s="28"/>
      <c r="DDS25" s="28"/>
      <c r="DDT25" s="28"/>
      <c r="DDU25" s="28"/>
      <c r="DDV25" s="28"/>
      <c r="DDW25" s="28"/>
      <c r="DDX25" s="28"/>
      <c r="DDY25" s="28"/>
      <c r="DDZ25" s="28"/>
      <c r="DEA25" s="28"/>
      <c r="DEB25" s="28"/>
      <c r="DEC25" s="28"/>
      <c r="DED25" s="28"/>
      <c r="DEE25" s="28"/>
      <c r="DEF25" s="28"/>
      <c r="DEG25" s="28"/>
      <c r="DEH25" s="28"/>
      <c r="DEI25" s="28"/>
      <c r="DEJ25" s="28"/>
      <c r="DEK25" s="28"/>
      <c r="DEL25" s="28"/>
      <c r="DEM25" s="28"/>
      <c r="DEN25" s="28"/>
      <c r="DEO25" s="28"/>
      <c r="DEP25" s="28"/>
      <c r="DEQ25" s="28"/>
      <c r="DER25" s="28"/>
      <c r="DES25" s="28"/>
      <c r="DET25" s="28"/>
      <c r="DEU25" s="28"/>
      <c r="DEV25" s="28"/>
      <c r="DEW25" s="28"/>
      <c r="DEX25" s="28"/>
      <c r="DEY25" s="28"/>
      <c r="DEZ25" s="28"/>
      <c r="DFA25" s="28"/>
      <c r="DFB25" s="28"/>
      <c r="DFC25" s="28"/>
      <c r="DFD25" s="28"/>
      <c r="DFE25" s="28"/>
      <c r="DFF25" s="28"/>
      <c r="DFG25" s="28"/>
      <c r="DFH25" s="28"/>
      <c r="DFI25" s="28"/>
      <c r="DFJ25" s="28"/>
      <c r="DFK25" s="28"/>
      <c r="DFL25" s="28"/>
      <c r="DFM25" s="28"/>
      <c r="DFN25" s="28"/>
      <c r="DFO25" s="28"/>
      <c r="DFP25" s="28"/>
      <c r="DFQ25" s="28"/>
      <c r="DFR25" s="28"/>
      <c r="DFS25" s="28"/>
      <c r="DFT25" s="28"/>
      <c r="DFU25" s="28"/>
      <c r="DFV25" s="28"/>
      <c r="DFW25" s="28"/>
      <c r="DFX25" s="28"/>
      <c r="DFY25" s="28"/>
      <c r="DFZ25" s="28"/>
      <c r="DGA25" s="28"/>
      <c r="DGB25" s="28"/>
      <c r="DGC25" s="28"/>
      <c r="DGD25" s="28"/>
      <c r="DGE25" s="28"/>
      <c r="DGF25" s="28"/>
      <c r="DGG25" s="28"/>
      <c r="DGH25" s="28"/>
      <c r="DGI25" s="28"/>
      <c r="DGJ25" s="28"/>
      <c r="DGK25" s="28"/>
      <c r="DGL25" s="28"/>
      <c r="DGM25" s="28"/>
      <c r="DGN25" s="28"/>
      <c r="DGO25" s="28"/>
      <c r="DGP25" s="28"/>
      <c r="DGQ25" s="28"/>
      <c r="DGR25" s="28"/>
      <c r="DGS25" s="28"/>
      <c r="DGT25" s="28"/>
      <c r="DGU25" s="28"/>
      <c r="DGV25" s="28"/>
      <c r="DGW25" s="28"/>
      <c r="DGX25" s="28"/>
      <c r="DGY25" s="28"/>
      <c r="DGZ25" s="28"/>
      <c r="DHA25" s="28"/>
      <c r="DHB25" s="28"/>
      <c r="DHC25" s="28"/>
      <c r="DHD25" s="28"/>
      <c r="DHE25" s="28"/>
      <c r="DHF25" s="28"/>
      <c r="DHG25" s="28"/>
      <c r="DHH25" s="28"/>
      <c r="DHI25" s="28"/>
      <c r="DHJ25" s="28"/>
      <c r="DHK25" s="28"/>
      <c r="DHL25" s="28"/>
      <c r="DHM25" s="28"/>
      <c r="DHN25" s="28"/>
      <c r="DHO25" s="28"/>
      <c r="DHP25" s="28"/>
      <c r="DHQ25" s="28"/>
      <c r="DHR25" s="28"/>
      <c r="DHS25" s="28"/>
      <c r="DHT25" s="28"/>
      <c r="DHU25" s="28"/>
      <c r="DHV25" s="28"/>
      <c r="DHW25" s="28"/>
      <c r="DHX25" s="28"/>
      <c r="DHY25" s="28"/>
      <c r="DHZ25" s="28"/>
      <c r="DIA25" s="28"/>
      <c r="DIB25" s="28"/>
      <c r="DIC25" s="28"/>
      <c r="DID25" s="28"/>
      <c r="DIE25" s="28"/>
      <c r="DIF25" s="28"/>
      <c r="DIG25" s="28"/>
      <c r="DIH25" s="28"/>
      <c r="DII25" s="28"/>
      <c r="DIJ25" s="28"/>
      <c r="DIK25" s="28"/>
      <c r="DIL25" s="28"/>
      <c r="DIM25" s="28"/>
      <c r="DIN25" s="28"/>
      <c r="DIO25" s="28"/>
      <c r="DIP25" s="28"/>
      <c r="DIQ25" s="28"/>
      <c r="DIR25" s="28"/>
      <c r="DIS25" s="28"/>
      <c r="DIT25" s="28"/>
      <c r="DIU25" s="28"/>
      <c r="DIV25" s="28"/>
      <c r="DIW25" s="28"/>
      <c r="DIX25" s="28"/>
      <c r="DIY25" s="28"/>
      <c r="DIZ25" s="28"/>
      <c r="DJA25" s="28"/>
      <c r="DJB25" s="28"/>
      <c r="DJC25" s="28"/>
      <c r="DJD25" s="28"/>
      <c r="DJE25" s="28"/>
      <c r="DJF25" s="28"/>
      <c r="DJG25" s="28"/>
      <c r="DJH25" s="28"/>
      <c r="DJI25" s="28"/>
      <c r="DJJ25" s="28"/>
      <c r="DJK25" s="28"/>
      <c r="DJL25" s="28"/>
      <c r="DJM25" s="28"/>
      <c r="DJN25" s="28"/>
      <c r="DJO25" s="28"/>
      <c r="DJP25" s="28"/>
      <c r="DJQ25" s="28"/>
      <c r="DJR25" s="28"/>
      <c r="DJS25" s="28"/>
      <c r="DJT25" s="28"/>
      <c r="DJU25" s="28"/>
      <c r="DJV25" s="28"/>
      <c r="DJW25" s="28"/>
      <c r="DJX25" s="28"/>
      <c r="DJY25" s="28"/>
      <c r="DJZ25" s="28"/>
      <c r="DKA25" s="28"/>
      <c r="DKB25" s="28"/>
      <c r="DKC25" s="28"/>
      <c r="DKD25" s="28"/>
      <c r="DKE25" s="28"/>
      <c r="DKF25" s="28"/>
      <c r="DKG25" s="28"/>
      <c r="DKH25" s="28"/>
      <c r="DKI25" s="28"/>
      <c r="DKJ25" s="28"/>
      <c r="DKK25" s="28"/>
      <c r="DKL25" s="28"/>
      <c r="DKM25" s="28"/>
      <c r="DKN25" s="28"/>
      <c r="DKO25" s="28"/>
      <c r="DKP25" s="28"/>
      <c r="DKQ25" s="28"/>
      <c r="DKR25" s="28"/>
      <c r="DKS25" s="28"/>
      <c r="DKT25" s="28"/>
      <c r="DKU25" s="28"/>
      <c r="DKV25" s="28"/>
      <c r="DKW25" s="28"/>
      <c r="DKX25" s="28"/>
      <c r="DKY25" s="28"/>
      <c r="DKZ25" s="28"/>
      <c r="DLA25" s="28"/>
      <c r="DLB25" s="28"/>
      <c r="DLC25" s="28"/>
      <c r="DLD25" s="28"/>
      <c r="DLE25" s="28"/>
      <c r="DLF25" s="28"/>
      <c r="DLG25" s="28"/>
      <c r="DLH25" s="28"/>
      <c r="DLI25" s="28"/>
      <c r="DLJ25" s="28"/>
      <c r="DLK25" s="28"/>
      <c r="DLL25" s="28"/>
      <c r="DLM25" s="28"/>
      <c r="DLN25" s="28"/>
      <c r="DLO25" s="28"/>
      <c r="DLP25" s="28"/>
      <c r="DLQ25" s="28"/>
      <c r="DLR25" s="28"/>
      <c r="DLS25" s="28"/>
      <c r="DLT25" s="28"/>
      <c r="DLU25" s="28"/>
      <c r="DLV25" s="28"/>
      <c r="DLW25" s="28"/>
      <c r="DLX25" s="28"/>
      <c r="DLY25" s="28"/>
      <c r="DLZ25" s="28"/>
      <c r="DMA25" s="28"/>
      <c r="DMB25" s="28"/>
      <c r="DMC25" s="28"/>
      <c r="DMD25" s="28"/>
      <c r="DME25" s="28"/>
      <c r="DMF25" s="28"/>
      <c r="DMG25" s="28"/>
      <c r="DMH25" s="28"/>
      <c r="DMI25" s="28"/>
      <c r="DMJ25" s="28"/>
      <c r="DMK25" s="28"/>
      <c r="DML25" s="28"/>
      <c r="DMM25" s="28"/>
      <c r="DMN25" s="28"/>
      <c r="DMO25" s="28"/>
      <c r="DMP25" s="28"/>
      <c r="DMQ25" s="28"/>
      <c r="DMR25" s="28"/>
      <c r="DMS25" s="28"/>
      <c r="DMT25" s="28"/>
      <c r="DMU25" s="28"/>
      <c r="DMV25" s="28"/>
      <c r="DMW25" s="28"/>
      <c r="DMX25" s="28"/>
      <c r="DMY25" s="28"/>
      <c r="DMZ25" s="28"/>
      <c r="DNA25" s="28"/>
      <c r="DNB25" s="28"/>
      <c r="DNC25" s="28"/>
      <c r="DND25" s="28"/>
      <c r="DNE25" s="28"/>
      <c r="DNF25" s="28"/>
      <c r="DNG25" s="28"/>
      <c r="DNH25" s="28"/>
      <c r="DNI25" s="28"/>
      <c r="DNJ25" s="28"/>
      <c r="DNK25" s="28"/>
      <c r="DNL25" s="28"/>
      <c r="DNM25" s="28"/>
      <c r="DNN25" s="28"/>
      <c r="DNO25" s="28"/>
      <c r="DNP25" s="28"/>
      <c r="DNQ25" s="28"/>
      <c r="DNR25" s="28"/>
      <c r="DNS25" s="28"/>
      <c r="DNT25" s="28"/>
      <c r="DNU25" s="28"/>
      <c r="DNV25" s="28"/>
      <c r="DNW25" s="28"/>
      <c r="DNX25" s="28"/>
      <c r="DNY25" s="28"/>
      <c r="DNZ25" s="28"/>
      <c r="DOA25" s="28"/>
      <c r="DOB25" s="28"/>
      <c r="DOC25" s="28"/>
      <c r="DOD25" s="28"/>
      <c r="DOE25" s="28"/>
      <c r="DOF25" s="28"/>
      <c r="DOG25" s="28"/>
      <c r="DOH25" s="28"/>
      <c r="DOI25" s="28"/>
      <c r="DOJ25" s="28"/>
      <c r="DOK25" s="28"/>
      <c r="DOL25" s="28"/>
      <c r="DOM25" s="28"/>
      <c r="DON25" s="28"/>
      <c r="DOO25" s="28"/>
      <c r="DOP25" s="28"/>
      <c r="DOQ25" s="28"/>
      <c r="DOR25" s="28"/>
      <c r="DOS25" s="28"/>
      <c r="DOT25" s="28"/>
      <c r="DOU25" s="28"/>
      <c r="DOV25" s="28"/>
      <c r="DOW25" s="28"/>
      <c r="DOX25" s="28"/>
      <c r="DOY25" s="28"/>
      <c r="DOZ25" s="28"/>
      <c r="DPA25" s="28"/>
      <c r="DPB25" s="28"/>
      <c r="DPC25" s="28"/>
      <c r="DPD25" s="28"/>
      <c r="DPE25" s="28"/>
      <c r="DPF25" s="28"/>
      <c r="DPG25" s="28"/>
      <c r="DPH25" s="28"/>
      <c r="DPI25" s="28"/>
      <c r="DPJ25" s="28"/>
      <c r="DPK25" s="28"/>
      <c r="DPL25" s="28"/>
      <c r="DPM25" s="28"/>
      <c r="DPN25" s="28"/>
      <c r="DPO25" s="28"/>
      <c r="DPP25" s="28"/>
      <c r="DPQ25" s="28"/>
      <c r="DPR25" s="28"/>
      <c r="DPS25" s="28"/>
      <c r="DPT25" s="28"/>
      <c r="DPU25" s="28"/>
      <c r="DPV25" s="28"/>
      <c r="DPW25" s="28"/>
      <c r="DPX25" s="28"/>
      <c r="DPY25" s="28"/>
      <c r="DPZ25" s="28"/>
      <c r="DQA25" s="28"/>
      <c r="DQB25" s="28"/>
      <c r="DQC25" s="28"/>
      <c r="DQD25" s="28"/>
      <c r="DQE25" s="28"/>
      <c r="DQF25" s="28"/>
      <c r="DQG25" s="28"/>
      <c r="DQH25" s="28"/>
      <c r="DQI25" s="28"/>
      <c r="DQJ25" s="28"/>
      <c r="DQK25" s="28"/>
      <c r="DQL25" s="28"/>
      <c r="DQM25" s="28"/>
      <c r="DQN25" s="28"/>
      <c r="DQO25" s="28"/>
      <c r="DQP25" s="28"/>
      <c r="DQQ25" s="28"/>
      <c r="DQR25" s="28"/>
      <c r="DQS25" s="28"/>
      <c r="DQT25" s="28"/>
      <c r="DQU25" s="28"/>
      <c r="DQV25" s="28"/>
      <c r="DQW25" s="28"/>
      <c r="DQX25" s="28"/>
      <c r="DQY25" s="28"/>
      <c r="DQZ25" s="28"/>
      <c r="DRA25" s="28"/>
      <c r="DRB25" s="28"/>
      <c r="DRC25" s="28"/>
      <c r="DRD25" s="28"/>
      <c r="DRE25" s="28"/>
      <c r="DRF25" s="28"/>
      <c r="DRG25" s="28"/>
      <c r="DRH25" s="28"/>
      <c r="DRI25" s="28"/>
      <c r="DRJ25" s="28"/>
      <c r="DRK25" s="28"/>
      <c r="DRL25" s="28"/>
      <c r="DRM25" s="28"/>
      <c r="DRN25" s="28"/>
      <c r="DRO25" s="28"/>
      <c r="DRP25" s="28"/>
      <c r="DRQ25" s="28"/>
      <c r="DRR25" s="28"/>
      <c r="DRS25" s="28"/>
      <c r="DRT25" s="28"/>
      <c r="DRU25" s="28"/>
      <c r="DRV25" s="28"/>
      <c r="DRW25" s="28"/>
      <c r="DRX25" s="28"/>
      <c r="DRY25" s="28"/>
      <c r="DRZ25" s="28"/>
      <c r="DSA25" s="28"/>
      <c r="DSB25" s="28"/>
      <c r="DSC25" s="28"/>
      <c r="DSD25" s="28"/>
      <c r="DSE25" s="28"/>
      <c r="DSF25" s="28"/>
      <c r="DSG25" s="28"/>
      <c r="DSH25" s="28"/>
      <c r="DSI25" s="28"/>
      <c r="DSJ25" s="28"/>
      <c r="DSK25" s="28"/>
      <c r="DSL25" s="28"/>
      <c r="DSM25" s="28"/>
      <c r="DSN25" s="28"/>
      <c r="DSO25" s="28"/>
      <c r="DSP25" s="28"/>
      <c r="DSQ25" s="28"/>
      <c r="DSR25" s="28"/>
      <c r="DSS25" s="28"/>
      <c r="DST25" s="28"/>
      <c r="DSU25" s="28"/>
      <c r="DSV25" s="28"/>
      <c r="DSW25" s="28"/>
      <c r="DSX25" s="28"/>
      <c r="DSY25" s="28"/>
      <c r="DSZ25" s="28"/>
      <c r="DTA25" s="28"/>
      <c r="DTB25" s="28"/>
      <c r="DTC25" s="28"/>
      <c r="DTD25" s="28"/>
      <c r="DTE25" s="28"/>
      <c r="DTF25" s="28"/>
      <c r="DTG25" s="28"/>
      <c r="DTH25" s="28"/>
      <c r="DTI25" s="28"/>
      <c r="DTJ25" s="28"/>
      <c r="DTK25" s="28"/>
      <c r="DTL25" s="28"/>
      <c r="DTM25" s="28"/>
      <c r="DTN25" s="28"/>
      <c r="DTO25" s="28"/>
      <c r="DTP25" s="28"/>
      <c r="DTQ25" s="28"/>
      <c r="DTR25" s="28"/>
      <c r="DTS25" s="28"/>
      <c r="DTT25" s="28"/>
      <c r="DTU25" s="28"/>
      <c r="DTV25" s="28"/>
      <c r="DTW25" s="28"/>
      <c r="DTX25" s="28"/>
      <c r="DTY25" s="28"/>
      <c r="DTZ25" s="28"/>
      <c r="DUA25" s="28"/>
      <c r="DUB25" s="28"/>
      <c r="DUC25" s="28"/>
      <c r="DUD25" s="28"/>
      <c r="DUE25" s="28"/>
      <c r="DUF25" s="28"/>
      <c r="DUG25" s="28"/>
      <c r="DUH25" s="28"/>
      <c r="DUI25" s="28"/>
      <c r="DUJ25" s="28"/>
      <c r="DUK25" s="28"/>
      <c r="DUL25" s="28"/>
      <c r="DUM25" s="28"/>
      <c r="DUN25" s="28"/>
      <c r="DUO25" s="28"/>
      <c r="DUP25" s="28"/>
      <c r="DUQ25" s="28"/>
      <c r="DUR25" s="28"/>
      <c r="DUS25" s="28"/>
      <c r="DUT25" s="28"/>
      <c r="DUU25" s="28"/>
      <c r="DUV25" s="28"/>
      <c r="DUW25" s="28"/>
      <c r="DUX25" s="28"/>
      <c r="DUY25" s="28"/>
      <c r="DUZ25" s="28"/>
      <c r="DVA25" s="28"/>
      <c r="DVB25" s="28"/>
      <c r="DVC25" s="28"/>
      <c r="DVD25" s="28"/>
      <c r="DVE25" s="28"/>
      <c r="DVF25" s="28"/>
      <c r="DVG25" s="28"/>
      <c r="DVH25" s="28"/>
      <c r="DVI25" s="28"/>
      <c r="DVJ25" s="28"/>
      <c r="DVK25" s="28"/>
      <c r="DVL25" s="28"/>
      <c r="DVM25" s="28"/>
      <c r="DVN25" s="28"/>
      <c r="DVO25" s="28"/>
      <c r="DVP25" s="28"/>
      <c r="DVQ25" s="28"/>
      <c r="DVR25" s="28"/>
      <c r="DVS25" s="28"/>
      <c r="DVT25" s="28"/>
      <c r="DVU25" s="28"/>
      <c r="DVV25" s="28"/>
      <c r="DVW25" s="28"/>
      <c r="DVX25" s="28"/>
      <c r="DVY25" s="28"/>
      <c r="DVZ25" s="28"/>
      <c r="DWA25" s="28"/>
      <c r="DWB25" s="28"/>
      <c r="DWC25" s="28"/>
      <c r="DWD25" s="28"/>
      <c r="DWE25" s="28"/>
      <c r="DWF25" s="28"/>
      <c r="DWG25" s="28"/>
      <c r="DWH25" s="28"/>
      <c r="DWI25" s="28"/>
      <c r="DWJ25" s="28"/>
      <c r="DWK25" s="28"/>
      <c r="DWL25" s="28"/>
      <c r="DWM25" s="28"/>
      <c r="DWN25" s="28"/>
      <c r="DWO25" s="28"/>
      <c r="DWP25" s="28"/>
      <c r="DWQ25" s="28"/>
      <c r="DWR25" s="28"/>
      <c r="DWS25" s="28"/>
      <c r="DWT25" s="28"/>
      <c r="DWU25" s="28"/>
      <c r="DWV25" s="28"/>
      <c r="DWW25" s="28"/>
      <c r="DWX25" s="28"/>
      <c r="DWY25" s="28"/>
      <c r="DWZ25" s="28"/>
      <c r="DXA25" s="28"/>
      <c r="DXB25" s="28"/>
      <c r="DXC25" s="28"/>
      <c r="DXD25" s="28"/>
      <c r="DXE25" s="28"/>
      <c r="DXF25" s="28"/>
      <c r="DXG25" s="28"/>
      <c r="DXH25" s="28"/>
      <c r="DXI25" s="28"/>
      <c r="DXJ25" s="28"/>
      <c r="DXK25" s="28"/>
      <c r="DXL25" s="28"/>
      <c r="DXM25" s="28"/>
      <c r="DXN25" s="28"/>
      <c r="DXO25" s="28"/>
      <c r="DXP25" s="28"/>
      <c r="DXQ25" s="28"/>
      <c r="DXR25" s="28"/>
      <c r="DXS25" s="28"/>
      <c r="DXT25" s="28"/>
      <c r="DXU25" s="28"/>
      <c r="DXV25" s="28"/>
      <c r="DXW25" s="28"/>
      <c r="DXX25" s="28"/>
      <c r="DXY25" s="28"/>
      <c r="DXZ25" s="28"/>
      <c r="DYA25" s="28"/>
      <c r="DYB25" s="28"/>
      <c r="DYC25" s="28"/>
      <c r="DYD25" s="28"/>
      <c r="DYE25" s="28"/>
      <c r="DYF25" s="28"/>
      <c r="DYG25" s="28"/>
      <c r="DYH25" s="28"/>
      <c r="DYI25" s="28"/>
      <c r="DYJ25" s="28"/>
      <c r="DYK25" s="28"/>
      <c r="DYL25" s="28"/>
      <c r="DYM25" s="28"/>
      <c r="DYN25" s="28"/>
      <c r="DYO25" s="28"/>
      <c r="DYP25" s="28"/>
      <c r="DYQ25" s="28"/>
      <c r="DYR25" s="28"/>
      <c r="DYS25" s="28"/>
      <c r="DYT25" s="28"/>
      <c r="DYU25" s="28"/>
      <c r="DYV25" s="28"/>
      <c r="DYW25" s="28"/>
      <c r="DYX25" s="28"/>
      <c r="DYY25" s="28"/>
      <c r="DYZ25" s="28"/>
      <c r="DZA25" s="28"/>
      <c r="DZB25" s="28"/>
      <c r="DZC25" s="28"/>
      <c r="DZD25" s="28"/>
      <c r="DZE25" s="28"/>
      <c r="DZF25" s="28"/>
      <c r="DZG25" s="28"/>
      <c r="DZH25" s="28"/>
      <c r="DZI25" s="28"/>
      <c r="DZJ25" s="28"/>
      <c r="DZK25" s="28"/>
      <c r="DZL25" s="28"/>
      <c r="DZM25" s="28"/>
      <c r="DZN25" s="28"/>
      <c r="DZO25" s="28"/>
      <c r="DZP25" s="28"/>
      <c r="DZQ25" s="28"/>
      <c r="DZR25" s="28"/>
      <c r="DZS25" s="28"/>
      <c r="DZT25" s="28"/>
      <c r="DZU25" s="28"/>
      <c r="DZV25" s="28"/>
      <c r="DZW25" s="28"/>
      <c r="DZX25" s="28"/>
      <c r="DZY25" s="28"/>
      <c r="DZZ25" s="28"/>
      <c r="EAA25" s="28"/>
      <c r="EAB25" s="28"/>
      <c r="EAC25" s="28"/>
      <c r="EAD25" s="28"/>
      <c r="EAE25" s="28"/>
      <c r="EAF25" s="28"/>
      <c r="EAG25" s="28"/>
      <c r="EAH25" s="28"/>
      <c r="EAI25" s="28"/>
      <c r="EAJ25" s="28"/>
      <c r="EAK25" s="28"/>
      <c r="EAL25" s="28"/>
      <c r="EAM25" s="28"/>
      <c r="EAN25" s="28"/>
      <c r="EAO25" s="28"/>
      <c r="EAP25" s="28"/>
      <c r="EAQ25" s="28"/>
      <c r="EAR25" s="28"/>
      <c r="EAS25" s="28"/>
      <c r="EAT25" s="28"/>
      <c r="EAU25" s="28"/>
      <c r="EAV25" s="28"/>
      <c r="EAW25" s="28"/>
      <c r="EAX25" s="28"/>
      <c r="EAY25" s="28"/>
      <c r="EAZ25" s="28"/>
      <c r="EBA25" s="28"/>
      <c r="EBB25" s="28"/>
      <c r="EBC25" s="28"/>
      <c r="EBD25" s="28"/>
      <c r="EBE25" s="28"/>
      <c r="EBF25" s="28"/>
      <c r="EBG25" s="28"/>
      <c r="EBH25" s="28"/>
      <c r="EBI25" s="28"/>
      <c r="EBJ25" s="28"/>
      <c r="EBK25" s="28"/>
      <c r="EBL25" s="28"/>
      <c r="EBM25" s="28"/>
      <c r="EBN25" s="28"/>
      <c r="EBO25" s="28"/>
      <c r="EBP25" s="28"/>
      <c r="EBQ25" s="28"/>
      <c r="EBR25" s="28"/>
      <c r="EBS25" s="28"/>
      <c r="EBT25" s="28"/>
      <c r="EBU25" s="28"/>
      <c r="EBV25" s="28"/>
      <c r="EBW25" s="28"/>
      <c r="EBX25" s="28"/>
      <c r="EBY25" s="28"/>
      <c r="EBZ25" s="28"/>
      <c r="ECA25" s="28"/>
      <c r="ECB25" s="28"/>
      <c r="ECC25" s="28"/>
      <c r="ECD25" s="28"/>
      <c r="ECE25" s="28"/>
      <c r="ECF25" s="28"/>
      <c r="ECG25" s="28"/>
      <c r="ECH25" s="28"/>
      <c r="ECI25" s="28"/>
      <c r="ECJ25" s="28"/>
      <c r="ECK25" s="28"/>
      <c r="ECL25" s="28"/>
      <c r="ECM25" s="28"/>
      <c r="ECN25" s="28"/>
      <c r="ECO25" s="28"/>
      <c r="ECP25" s="28"/>
      <c r="ECQ25" s="28"/>
      <c r="ECR25" s="28"/>
      <c r="ECS25" s="28"/>
      <c r="ECT25" s="28"/>
      <c r="ECU25" s="28"/>
      <c r="ECV25" s="28"/>
      <c r="ECW25" s="28"/>
      <c r="ECX25" s="28"/>
      <c r="ECY25" s="28"/>
      <c r="ECZ25" s="28"/>
      <c r="EDA25" s="28"/>
      <c r="EDB25" s="28"/>
      <c r="EDC25" s="28"/>
      <c r="EDD25" s="28"/>
      <c r="EDE25" s="28"/>
      <c r="EDF25" s="28"/>
      <c r="EDG25" s="28"/>
      <c r="EDH25" s="28"/>
      <c r="EDI25" s="28"/>
      <c r="EDJ25" s="28"/>
      <c r="EDK25" s="28"/>
      <c r="EDL25" s="28"/>
      <c r="EDM25" s="28"/>
      <c r="EDN25" s="28"/>
      <c r="EDO25" s="28"/>
      <c r="EDP25" s="28"/>
      <c r="EDQ25" s="28"/>
      <c r="EDR25" s="28"/>
      <c r="EDS25" s="28"/>
      <c r="EDT25" s="28"/>
      <c r="EDU25" s="28"/>
      <c r="EDV25" s="28"/>
      <c r="EDW25" s="28"/>
      <c r="EDX25" s="28"/>
      <c r="EDY25" s="28"/>
      <c r="EDZ25" s="28"/>
      <c r="EEA25" s="28"/>
      <c r="EEB25" s="28"/>
      <c r="EEC25" s="28"/>
      <c r="EED25" s="28"/>
      <c r="EEE25" s="28"/>
      <c r="EEF25" s="28"/>
      <c r="EEG25" s="28"/>
      <c r="EEH25" s="28"/>
      <c r="EEI25" s="28"/>
      <c r="EEJ25" s="28"/>
      <c r="EEK25" s="28"/>
      <c r="EEL25" s="28"/>
      <c r="EEM25" s="28"/>
      <c r="EEN25" s="28"/>
      <c r="EEO25" s="28"/>
      <c r="EEP25" s="28"/>
      <c r="EEQ25" s="28"/>
      <c r="EER25" s="28"/>
      <c r="EES25" s="28"/>
      <c r="EET25" s="28"/>
      <c r="EEU25" s="28"/>
      <c r="EEV25" s="28"/>
      <c r="EEW25" s="28"/>
      <c r="EEX25" s="28"/>
      <c r="EEY25" s="28"/>
      <c r="EEZ25" s="28"/>
      <c r="EFA25" s="28"/>
      <c r="EFB25" s="28"/>
      <c r="EFC25" s="28"/>
      <c r="EFD25" s="28"/>
      <c r="EFE25" s="28"/>
      <c r="EFF25" s="28"/>
      <c r="EFG25" s="28"/>
      <c r="EFH25" s="28"/>
      <c r="EFI25" s="28"/>
      <c r="EFJ25" s="28"/>
      <c r="EFK25" s="28"/>
      <c r="EFL25" s="28"/>
      <c r="EFM25" s="28"/>
      <c r="EFN25" s="28"/>
      <c r="EFO25" s="28"/>
      <c r="EFP25" s="28"/>
      <c r="EFQ25" s="28"/>
      <c r="EFR25" s="28"/>
      <c r="EFS25" s="28"/>
      <c r="EFT25" s="28"/>
      <c r="EFU25" s="28"/>
      <c r="EFV25" s="28"/>
      <c r="EFW25" s="28"/>
      <c r="EFX25" s="28"/>
      <c r="EFY25" s="28"/>
      <c r="EFZ25" s="28"/>
      <c r="EGA25" s="28"/>
      <c r="EGB25" s="28"/>
      <c r="EGC25" s="28"/>
      <c r="EGD25" s="28"/>
      <c r="EGE25" s="28"/>
      <c r="EGF25" s="28"/>
      <c r="EGG25" s="28"/>
      <c r="EGH25" s="28"/>
      <c r="EGI25" s="28"/>
      <c r="EGJ25" s="28"/>
      <c r="EGK25" s="28"/>
      <c r="EGL25" s="28"/>
      <c r="EGM25" s="28"/>
      <c r="EGN25" s="28"/>
      <c r="EGO25" s="28"/>
      <c r="EGP25" s="28"/>
      <c r="EGQ25" s="28"/>
      <c r="EGR25" s="28"/>
      <c r="EGS25" s="28"/>
      <c r="EGT25" s="28"/>
      <c r="EGU25" s="28"/>
      <c r="EGV25" s="28"/>
      <c r="EGW25" s="28"/>
      <c r="EGX25" s="28"/>
      <c r="EGY25" s="28"/>
      <c r="EGZ25" s="28"/>
      <c r="EHA25" s="28"/>
      <c r="EHB25" s="28"/>
      <c r="EHC25" s="28"/>
      <c r="EHD25" s="28"/>
      <c r="EHE25" s="28"/>
      <c r="EHF25" s="28"/>
      <c r="EHG25" s="28"/>
      <c r="EHH25" s="28"/>
      <c r="EHI25" s="28"/>
      <c r="EHJ25" s="28"/>
      <c r="EHK25" s="28"/>
      <c r="EHL25" s="28"/>
      <c r="EHM25" s="28"/>
      <c r="EHN25" s="28"/>
      <c r="EHO25" s="28"/>
      <c r="EHP25" s="28"/>
      <c r="EHQ25" s="28"/>
      <c r="EHR25" s="28"/>
      <c r="EHS25" s="28"/>
      <c r="EHT25" s="28"/>
      <c r="EHU25" s="28"/>
      <c r="EHV25" s="28"/>
      <c r="EHW25" s="28"/>
      <c r="EHX25" s="28"/>
      <c r="EHY25" s="28"/>
      <c r="EHZ25" s="28"/>
      <c r="EIA25" s="28"/>
      <c r="EIB25" s="28"/>
      <c r="EIC25" s="28"/>
      <c r="EID25" s="28"/>
      <c r="EIE25" s="28"/>
      <c r="EIF25" s="28"/>
      <c r="EIG25" s="28"/>
      <c r="EIH25" s="28"/>
      <c r="EII25" s="28"/>
      <c r="EIJ25" s="28"/>
      <c r="EIK25" s="28"/>
      <c r="EIL25" s="28"/>
      <c r="EIM25" s="28"/>
      <c r="EIN25" s="28"/>
      <c r="EIO25" s="28"/>
      <c r="EIP25" s="28"/>
      <c r="EIQ25" s="28"/>
      <c r="EIR25" s="28"/>
      <c r="EIS25" s="28"/>
      <c r="EIT25" s="28"/>
      <c r="EIU25" s="28"/>
      <c r="EIV25" s="28"/>
      <c r="EIW25" s="28"/>
      <c r="EIX25" s="28"/>
      <c r="EIY25" s="28"/>
      <c r="EIZ25" s="28"/>
      <c r="EJA25" s="28"/>
      <c r="EJB25" s="28"/>
      <c r="EJC25" s="28"/>
      <c r="EJD25" s="28"/>
      <c r="EJE25" s="28"/>
      <c r="EJF25" s="28"/>
      <c r="EJG25" s="28"/>
      <c r="EJH25" s="28"/>
      <c r="EJI25" s="28"/>
      <c r="EJJ25" s="28"/>
      <c r="EJK25" s="28"/>
      <c r="EJL25" s="28"/>
      <c r="EJM25" s="28"/>
      <c r="EJN25" s="28"/>
      <c r="EJO25" s="28"/>
      <c r="EJP25" s="28"/>
      <c r="EJQ25" s="28"/>
      <c r="EJR25" s="28"/>
      <c r="EJS25" s="28"/>
      <c r="EJT25" s="28"/>
      <c r="EJU25" s="28"/>
      <c r="EJV25" s="28"/>
      <c r="EJW25" s="28"/>
      <c r="EJX25" s="28"/>
      <c r="EJY25" s="28"/>
      <c r="EJZ25" s="28"/>
      <c r="EKA25" s="28"/>
      <c r="EKB25" s="28"/>
      <c r="EKC25" s="28"/>
      <c r="EKD25" s="28"/>
      <c r="EKE25" s="28"/>
      <c r="EKF25" s="28"/>
      <c r="EKG25" s="28"/>
      <c r="EKH25" s="28"/>
      <c r="EKI25" s="28"/>
      <c r="EKJ25" s="28"/>
      <c r="EKK25" s="28"/>
      <c r="EKL25" s="28"/>
      <c r="EKM25" s="28"/>
      <c r="EKN25" s="28"/>
      <c r="EKO25" s="28"/>
      <c r="EKP25" s="28"/>
      <c r="EKQ25" s="28"/>
      <c r="EKR25" s="28"/>
      <c r="EKS25" s="28"/>
      <c r="EKT25" s="28"/>
      <c r="EKU25" s="28"/>
      <c r="EKV25" s="28"/>
      <c r="EKW25" s="28"/>
      <c r="EKX25" s="28"/>
      <c r="EKY25" s="28"/>
      <c r="EKZ25" s="28"/>
      <c r="ELA25" s="28"/>
      <c r="ELB25" s="28"/>
      <c r="ELC25" s="28"/>
      <c r="ELD25" s="28"/>
      <c r="ELE25" s="28"/>
      <c r="ELF25" s="28"/>
      <c r="ELG25" s="28"/>
      <c r="ELH25" s="28"/>
      <c r="ELI25" s="28"/>
      <c r="ELJ25" s="28"/>
      <c r="ELK25" s="28"/>
      <c r="ELL25" s="28"/>
      <c r="ELM25" s="28"/>
      <c r="ELN25" s="28"/>
      <c r="ELO25" s="28"/>
      <c r="ELP25" s="28"/>
      <c r="ELQ25" s="28"/>
      <c r="ELR25" s="28"/>
      <c r="ELS25" s="28"/>
      <c r="ELT25" s="28"/>
      <c r="ELU25" s="28"/>
      <c r="ELV25" s="28"/>
      <c r="ELW25" s="28"/>
      <c r="ELX25" s="28"/>
      <c r="ELY25" s="28"/>
      <c r="ELZ25" s="28"/>
      <c r="EMA25" s="28"/>
      <c r="EMB25" s="28"/>
      <c r="EMC25" s="28"/>
      <c r="EMD25" s="28"/>
      <c r="EME25" s="28"/>
      <c r="EMF25" s="28"/>
      <c r="EMG25" s="28"/>
      <c r="EMH25" s="28"/>
      <c r="EMI25" s="28"/>
      <c r="EMJ25" s="28"/>
      <c r="EMK25" s="28"/>
      <c r="EML25" s="28"/>
      <c r="EMM25" s="28"/>
      <c r="EMN25" s="28"/>
      <c r="EMO25" s="28"/>
      <c r="EMP25" s="28"/>
      <c r="EMQ25" s="28"/>
      <c r="EMR25" s="28"/>
      <c r="EMS25" s="28"/>
      <c r="EMT25" s="28"/>
      <c r="EMU25" s="28"/>
      <c r="EMV25" s="28"/>
      <c r="EMW25" s="28"/>
      <c r="EMX25" s="28"/>
      <c r="EMY25" s="28"/>
      <c r="EMZ25" s="28"/>
      <c r="ENA25" s="28"/>
      <c r="ENB25" s="28"/>
      <c r="ENC25" s="28"/>
      <c r="END25" s="28"/>
      <c r="ENE25" s="28"/>
      <c r="ENF25" s="28"/>
      <c r="ENG25" s="28"/>
      <c r="ENH25" s="28"/>
      <c r="ENI25" s="28"/>
      <c r="ENJ25" s="28"/>
      <c r="ENK25" s="28"/>
      <c r="ENL25" s="28"/>
      <c r="ENM25" s="28"/>
      <c r="ENN25" s="28"/>
      <c r="ENO25" s="28"/>
      <c r="ENP25" s="28"/>
      <c r="ENQ25" s="28"/>
      <c r="ENR25" s="28"/>
      <c r="ENS25" s="28"/>
      <c r="ENT25" s="28"/>
      <c r="ENU25" s="28"/>
      <c r="ENV25" s="28"/>
      <c r="ENW25" s="28"/>
      <c r="ENX25" s="28"/>
      <c r="ENY25" s="28"/>
      <c r="ENZ25" s="28"/>
      <c r="EOA25" s="28"/>
      <c r="EOB25" s="28"/>
      <c r="EOC25" s="28"/>
      <c r="EOD25" s="28"/>
      <c r="EOE25" s="28"/>
      <c r="EOF25" s="28"/>
      <c r="EOG25" s="28"/>
      <c r="EOH25" s="28"/>
      <c r="EOI25" s="28"/>
      <c r="EOJ25" s="28"/>
      <c r="EOK25" s="28"/>
      <c r="EOL25" s="28"/>
      <c r="EOM25" s="28"/>
      <c r="EON25" s="28"/>
      <c r="EOO25" s="28"/>
      <c r="EOP25" s="28"/>
      <c r="EOQ25" s="28"/>
      <c r="EOR25" s="28"/>
      <c r="EOS25" s="28"/>
      <c r="EOT25" s="28"/>
      <c r="EOU25" s="28"/>
      <c r="EOV25" s="28"/>
      <c r="EOW25" s="28"/>
      <c r="EOX25" s="28"/>
      <c r="EOY25" s="28"/>
      <c r="EOZ25" s="28"/>
      <c r="EPA25" s="28"/>
      <c r="EPB25" s="28"/>
      <c r="EPC25" s="28"/>
      <c r="EPD25" s="28"/>
      <c r="EPE25" s="28"/>
      <c r="EPF25" s="28"/>
      <c r="EPG25" s="28"/>
      <c r="EPH25" s="28"/>
      <c r="EPI25" s="28"/>
      <c r="EPJ25" s="28"/>
      <c r="EPK25" s="28"/>
      <c r="EPL25" s="28"/>
      <c r="EPM25" s="28"/>
      <c r="EPN25" s="28"/>
      <c r="EPO25" s="28"/>
      <c r="EPP25" s="28"/>
      <c r="EPQ25" s="28"/>
      <c r="EPR25" s="28"/>
      <c r="EPS25" s="28"/>
      <c r="EPT25" s="28"/>
      <c r="EPU25" s="28"/>
      <c r="EPV25" s="28"/>
      <c r="EPW25" s="28"/>
      <c r="EPX25" s="28"/>
      <c r="EPY25" s="28"/>
      <c r="EPZ25" s="28"/>
      <c r="EQA25" s="28"/>
      <c r="EQB25" s="28"/>
      <c r="EQC25" s="28"/>
      <c r="EQD25" s="28"/>
      <c r="EQE25" s="28"/>
      <c r="EQF25" s="28"/>
      <c r="EQG25" s="28"/>
      <c r="EQH25" s="28"/>
      <c r="EQI25" s="28"/>
      <c r="EQJ25" s="28"/>
      <c r="EQK25" s="28"/>
      <c r="EQL25" s="28"/>
      <c r="EQM25" s="28"/>
      <c r="EQN25" s="28"/>
      <c r="EQO25" s="28"/>
      <c r="EQP25" s="28"/>
      <c r="EQQ25" s="28"/>
      <c r="EQR25" s="28"/>
      <c r="EQS25" s="28"/>
      <c r="EQT25" s="28"/>
      <c r="EQU25" s="28"/>
      <c r="EQV25" s="28"/>
      <c r="EQW25" s="28"/>
      <c r="EQX25" s="28"/>
      <c r="EQY25" s="28"/>
      <c r="EQZ25" s="28"/>
      <c r="ERA25" s="28"/>
      <c r="ERB25" s="28"/>
      <c r="ERC25" s="28"/>
      <c r="ERD25" s="28"/>
      <c r="ERE25" s="28"/>
      <c r="ERF25" s="28"/>
      <c r="ERG25" s="28"/>
      <c r="ERH25" s="28"/>
      <c r="ERI25" s="28"/>
      <c r="ERJ25" s="28"/>
      <c r="ERK25" s="28"/>
      <c r="ERL25" s="28"/>
      <c r="ERM25" s="28"/>
      <c r="ERN25" s="28"/>
      <c r="ERO25" s="28"/>
      <c r="ERP25" s="28"/>
      <c r="ERQ25" s="28"/>
      <c r="ERR25" s="28"/>
      <c r="ERS25" s="28"/>
      <c r="ERT25" s="28"/>
      <c r="ERU25" s="28"/>
      <c r="ERV25" s="28"/>
      <c r="ERW25" s="28"/>
      <c r="ERX25" s="28"/>
      <c r="ERY25" s="28"/>
      <c r="ERZ25" s="28"/>
      <c r="ESA25" s="28"/>
      <c r="ESB25" s="28"/>
      <c r="ESC25" s="28"/>
      <c r="ESD25" s="28"/>
      <c r="ESE25" s="28"/>
      <c r="ESF25" s="28"/>
      <c r="ESG25" s="28"/>
      <c r="ESH25" s="28"/>
      <c r="ESI25" s="28"/>
      <c r="ESJ25" s="28"/>
      <c r="ESK25" s="28"/>
      <c r="ESL25" s="28"/>
      <c r="ESM25" s="28"/>
      <c r="ESN25" s="28"/>
      <c r="ESO25" s="28"/>
      <c r="ESP25" s="28"/>
      <c r="ESQ25" s="28"/>
      <c r="ESR25" s="28"/>
      <c r="ESS25" s="28"/>
      <c r="EST25" s="28"/>
      <c r="ESU25" s="28"/>
      <c r="ESV25" s="28"/>
      <c r="ESW25" s="28"/>
      <c r="ESX25" s="28"/>
      <c r="ESY25" s="28"/>
      <c r="ESZ25" s="28"/>
      <c r="ETA25" s="28"/>
      <c r="ETB25" s="28"/>
      <c r="ETC25" s="28"/>
      <c r="ETD25" s="28"/>
      <c r="ETE25" s="28"/>
      <c r="ETF25" s="28"/>
      <c r="ETG25" s="28"/>
      <c r="ETH25" s="28"/>
      <c r="ETI25" s="28"/>
      <c r="ETJ25" s="28"/>
      <c r="ETK25" s="28"/>
      <c r="ETL25" s="28"/>
      <c r="ETM25" s="28"/>
      <c r="ETN25" s="28"/>
      <c r="ETO25" s="28"/>
      <c r="ETP25" s="28"/>
      <c r="ETQ25" s="28"/>
      <c r="ETR25" s="28"/>
      <c r="ETS25" s="28"/>
      <c r="ETT25" s="28"/>
      <c r="ETU25" s="28"/>
      <c r="ETV25" s="28"/>
      <c r="ETW25" s="28"/>
      <c r="ETX25" s="28"/>
      <c r="ETY25" s="28"/>
      <c r="ETZ25" s="28"/>
      <c r="EUA25" s="28"/>
      <c r="EUB25" s="28"/>
      <c r="EUC25" s="28"/>
      <c r="EUD25" s="28"/>
      <c r="EUE25" s="28"/>
      <c r="EUF25" s="28"/>
      <c r="EUG25" s="28"/>
      <c r="EUH25" s="28"/>
      <c r="EUI25" s="28"/>
      <c r="EUJ25" s="28"/>
      <c r="EUK25" s="28"/>
      <c r="EUL25" s="28"/>
      <c r="EUM25" s="28"/>
      <c r="EUN25" s="28"/>
      <c r="EUO25" s="28"/>
      <c r="EUP25" s="28"/>
      <c r="EUQ25" s="28"/>
      <c r="EUR25" s="28"/>
      <c r="EUS25" s="28"/>
      <c r="EUT25" s="28"/>
      <c r="EUU25" s="28"/>
      <c r="EUV25" s="28"/>
      <c r="EUW25" s="28"/>
      <c r="EUX25" s="28"/>
      <c r="EUY25" s="28"/>
      <c r="EUZ25" s="28"/>
      <c r="EVA25" s="28"/>
      <c r="EVB25" s="28"/>
      <c r="EVC25" s="28"/>
      <c r="EVD25" s="28"/>
      <c r="EVE25" s="28"/>
      <c r="EVF25" s="28"/>
      <c r="EVG25" s="28"/>
      <c r="EVH25" s="28"/>
      <c r="EVI25" s="28"/>
      <c r="EVJ25" s="28"/>
      <c r="EVK25" s="28"/>
      <c r="EVL25" s="28"/>
      <c r="EVM25" s="28"/>
      <c r="EVN25" s="28"/>
      <c r="EVO25" s="28"/>
      <c r="EVP25" s="28"/>
      <c r="EVQ25" s="28"/>
      <c r="EVR25" s="28"/>
      <c r="EVS25" s="28"/>
      <c r="EVT25" s="28"/>
      <c r="EVU25" s="28"/>
      <c r="EVV25" s="28"/>
      <c r="EVW25" s="28"/>
      <c r="EVX25" s="28"/>
      <c r="EVY25" s="28"/>
      <c r="EVZ25" s="28"/>
      <c r="EWA25" s="28"/>
      <c r="EWB25" s="28"/>
      <c r="EWC25" s="28"/>
      <c r="EWD25" s="28"/>
      <c r="EWE25" s="28"/>
      <c r="EWF25" s="28"/>
      <c r="EWG25" s="28"/>
      <c r="EWH25" s="28"/>
      <c r="EWI25" s="28"/>
      <c r="EWJ25" s="28"/>
      <c r="EWK25" s="28"/>
      <c r="EWL25" s="28"/>
      <c r="EWM25" s="28"/>
      <c r="EWN25" s="28"/>
      <c r="EWO25" s="28"/>
      <c r="EWP25" s="28"/>
      <c r="EWQ25" s="28"/>
      <c r="EWR25" s="28"/>
      <c r="EWS25" s="28"/>
      <c r="EWT25" s="28"/>
      <c r="EWU25" s="28"/>
      <c r="EWV25" s="28"/>
      <c r="EWW25" s="28"/>
      <c r="EWX25" s="28"/>
      <c r="EWY25" s="28"/>
      <c r="EWZ25" s="28"/>
      <c r="EXA25" s="28"/>
      <c r="EXB25" s="28"/>
      <c r="EXC25" s="28"/>
      <c r="EXD25" s="28"/>
      <c r="EXE25" s="28"/>
      <c r="EXF25" s="28"/>
      <c r="EXG25" s="28"/>
      <c r="EXH25" s="28"/>
      <c r="EXI25" s="28"/>
      <c r="EXJ25" s="28"/>
      <c r="EXK25" s="28"/>
      <c r="EXL25" s="28"/>
      <c r="EXM25" s="28"/>
      <c r="EXN25" s="28"/>
      <c r="EXO25" s="28"/>
      <c r="EXP25" s="28"/>
      <c r="EXQ25" s="28"/>
      <c r="EXR25" s="28"/>
      <c r="EXS25" s="28"/>
      <c r="EXT25" s="28"/>
      <c r="EXU25" s="28"/>
      <c r="EXV25" s="28"/>
      <c r="EXW25" s="28"/>
      <c r="EXX25" s="28"/>
      <c r="EXY25" s="28"/>
      <c r="EXZ25" s="28"/>
      <c r="EYA25" s="28"/>
      <c r="EYB25" s="28"/>
      <c r="EYC25" s="28"/>
      <c r="EYD25" s="28"/>
      <c r="EYE25" s="28"/>
      <c r="EYF25" s="28"/>
      <c r="EYG25" s="28"/>
      <c r="EYH25" s="28"/>
      <c r="EYI25" s="28"/>
      <c r="EYJ25" s="28"/>
      <c r="EYK25" s="28"/>
      <c r="EYL25" s="28"/>
      <c r="EYM25" s="28"/>
      <c r="EYN25" s="28"/>
      <c r="EYO25" s="28"/>
      <c r="EYP25" s="28"/>
      <c r="EYQ25" s="28"/>
      <c r="EYR25" s="28"/>
      <c r="EYS25" s="28"/>
      <c r="EYT25" s="28"/>
      <c r="EYU25" s="28"/>
      <c r="EYV25" s="28"/>
      <c r="EYW25" s="28"/>
      <c r="EYX25" s="28"/>
      <c r="EYY25" s="28"/>
      <c r="EYZ25" s="28"/>
      <c r="EZA25" s="28"/>
      <c r="EZB25" s="28"/>
      <c r="EZC25" s="28"/>
      <c r="EZD25" s="28"/>
      <c r="EZE25" s="28"/>
      <c r="EZF25" s="28"/>
      <c r="EZG25" s="28"/>
      <c r="EZH25" s="28"/>
      <c r="EZI25" s="28"/>
      <c r="EZJ25" s="28"/>
      <c r="EZK25" s="28"/>
      <c r="EZL25" s="28"/>
      <c r="EZM25" s="28"/>
      <c r="EZN25" s="28"/>
      <c r="EZO25" s="28"/>
      <c r="EZP25" s="28"/>
      <c r="EZQ25" s="28"/>
      <c r="EZR25" s="28"/>
      <c r="EZS25" s="28"/>
      <c r="EZT25" s="28"/>
      <c r="EZU25" s="28"/>
      <c r="EZV25" s="28"/>
      <c r="EZW25" s="28"/>
      <c r="EZX25" s="28"/>
      <c r="EZY25" s="28"/>
      <c r="EZZ25" s="28"/>
      <c r="FAA25" s="28"/>
      <c r="FAB25" s="28"/>
      <c r="FAC25" s="28"/>
      <c r="FAD25" s="28"/>
      <c r="FAE25" s="28"/>
      <c r="FAF25" s="28"/>
      <c r="FAG25" s="28"/>
      <c r="FAH25" s="28"/>
      <c r="FAI25" s="28"/>
      <c r="FAJ25" s="28"/>
      <c r="FAK25" s="28"/>
      <c r="FAL25" s="28"/>
      <c r="FAM25" s="28"/>
      <c r="FAN25" s="28"/>
      <c r="FAO25" s="28"/>
      <c r="FAP25" s="28"/>
      <c r="FAQ25" s="28"/>
      <c r="FAR25" s="28"/>
      <c r="FAS25" s="28"/>
      <c r="FAT25" s="28"/>
      <c r="FAU25" s="28"/>
      <c r="FAV25" s="28"/>
      <c r="FAW25" s="28"/>
      <c r="FAX25" s="28"/>
      <c r="FAY25" s="28"/>
      <c r="FAZ25" s="28"/>
      <c r="FBA25" s="28"/>
      <c r="FBB25" s="28"/>
      <c r="FBC25" s="28"/>
      <c r="FBD25" s="28"/>
      <c r="FBE25" s="28"/>
      <c r="FBF25" s="28"/>
      <c r="FBG25" s="28"/>
      <c r="FBH25" s="28"/>
      <c r="FBI25" s="28"/>
      <c r="FBJ25" s="28"/>
      <c r="FBK25" s="28"/>
      <c r="FBL25" s="28"/>
      <c r="FBM25" s="28"/>
      <c r="FBN25" s="28"/>
      <c r="FBO25" s="28"/>
      <c r="FBP25" s="28"/>
      <c r="FBQ25" s="28"/>
      <c r="FBR25" s="28"/>
      <c r="FBS25" s="28"/>
      <c r="FBT25" s="28"/>
      <c r="FBU25" s="28"/>
      <c r="FBV25" s="28"/>
      <c r="FBW25" s="28"/>
      <c r="FBX25" s="28"/>
      <c r="FBY25" s="28"/>
      <c r="FBZ25" s="28"/>
      <c r="FCA25" s="28"/>
      <c r="FCB25" s="28"/>
      <c r="FCC25" s="28"/>
      <c r="FCD25" s="28"/>
      <c r="FCE25" s="28"/>
      <c r="FCF25" s="28"/>
      <c r="FCG25" s="28"/>
      <c r="FCH25" s="28"/>
      <c r="FCI25" s="28"/>
      <c r="FCJ25" s="28"/>
      <c r="FCK25" s="28"/>
      <c r="FCL25" s="28"/>
      <c r="FCM25" s="28"/>
      <c r="FCN25" s="28"/>
      <c r="FCO25" s="28"/>
      <c r="FCP25" s="28"/>
      <c r="FCQ25" s="28"/>
      <c r="FCR25" s="28"/>
      <c r="FCS25" s="28"/>
      <c r="FCT25" s="28"/>
      <c r="FCU25" s="28"/>
      <c r="FCV25" s="28"/>
      <c r="FCW25" s="28"/>
      <c r="FCX25" s="28"/>
      <c r="FCY25" s="28"/>
      <c r="FCZ25" s="28"/>
      <c r="FDA25" s="28"/>
      <c r="FDB25" s="28"/>
      <c r="FDC25" s="28"/>
      <c r="FDD25" s="28"/>
      <c r="FDE25" s="28"/>
      <c r="FDF25" s="28"/>
      <c r="FDG25" s="28"/>
      <c r="FDH25" s="28"/>
      <c r="FDI25" s="28"/>
      <c r="FDJ25" s="28"/>
      <c r="FDK25" s="28"/>
      <c r="FDL25" s="28"/>
      <c r="FDM25" s="28"/>
      <c r="FDN25" s="28"/>
      <c r="FDO25" s="28"/>
      <c r="FDP25" s="28"/>
      <c r="FDQ25" s="28"/>
      <c r="FDR25" s="28"/>
      <c r="FDS25" s="28"/>
      <c r="FDT25" s="28"/>
      <c r="FDU25" s="28"/>
      <c r="FDV25" s="28"/>
      <c r="FDW25" s="28"/>
      <c r="FDX25" s="28"/>
      <c r="FDY25" s="28"/>
      <c r="FDZ25" s="28"/>
      <c r="FEA25" s="28"/>
      <c r="FEB25" s="28"/>
      <c r="FEC25" s="28"/>
      <c r="FED25" s="28"/>
      <c r="FEE25" s="28"/>
      <c r="FEF25" s="28"/>
      <c r="FEG25" s="28"/>
      <c r="FEH25" s="28"/>
      <c r="FEI25" s="28"/>
      <c r="FEJ25" s="28"/>
      <c r="FEK25" s="28"/>
      <c r="FEL25" s="28"/>
      <c r="FEM25" s="28"/>
      <c r="FEN25" s="28"/>
      <c r="FEO25" s="28"/>
      <c r="FEP25" s="28"/>
      <c r="FEQ25" s="28"/>
      <c r="FER25" s="28"/>
      <c r="FES25" s="28"/>
      <c r="FET25" s="28"/>
      <c r="FEU25" s="28"/>
      <c r="FEV25" s="28"/>
      <c r="FEW25" s="28"/>
      <c r="FEX25" s="28"/>
      <c r="FEY25" s="28"/>
      <c r="FEZ25" s="28"/>
      <c r="FFA25" s="28"/>
      <c r="FFB25" s="28"/>
      <c r="FFC25" s="28"/>
      <c r="FFD25" s="28"/>
      <c r="FFE25" s="28"/>
      <c r="FFF25" s="28"/>
      <c r="FFG25" s="28"/>
      <c r="FFH25" s="28"/>
      <c r="FFI25" s="28"/>
      <c r="FFJ25" s="28"/>
      <c r="FFK25" s="28"/>
      <c r="FFL25" s="28"/>
      <c r="FFM25" s="28"/>
      <c r="FFN25" s="28"/>
      <c r="FFO25" s="28"/>
      <c r="FFP25" s="28"/>
      <c r="FFQ25" s="28"/>
      <c r="FFR25" s="28"/>
      <c r="FFS25" s="28"/>
      <c r="FFT25" s="28"/>
      <c r="FFU25" s="28"/>
      <c r="FFV25" s="28"/>
      <c r="FFW25" s="28"/>
      <c r="FFX25" s="28"/>
      <c r="FFY25" s="28"/>
      <c r="FFZ25" s="28"/>
      <c r="FGA25" s="28"/>
      <c r="FGB25" s="28"/>
      <c r="FGC25" s="28"/>
      <c r="FGD25" s="28"/>
      <c r="FGE25" s="28"/>
      <c r="FGF25" s="28"/>
      <c r="FGG25" s="28"/>
      <c r="FGH25" s="28"/>
      <c r="FGI25" s="28"/>
      <c r="FGJ25" s="28"/>
      <c r="FGK25" s="28"/>
      <c r="FGL25" s="28"/>
      <c r="FGM25" s="28"/>
      <c r="FGN25" s="28"/>
      <c r="FGO25" s="28"/>
      <c r="FGP25" s="28"/>
      <c r="FGQ25" s="28"/>
      <c r="FGR25" s="28"/>
      <c r="FGS25" s="28"/>
      <c r="FGT25" s="28"/>
      <c r="FGU25" s="28"/>
      <c r="FGV25" s="28"/>
      <c r="FGW25" s="28"/>
      <c r="FGX25" s="28"/>
      <c r="FGY25" s="28"/>
      <c r="FGZ25" s="28"/>
      <c r="FHA25" s="28"/>
      <c r="FHB25" s="28"/>
      <c r="FHC25" s="28"/>
      <c r="FHD25" s="28"/>
      <c r="FHE25" s="28"/>
      <c r="FHF25" s="28"/>
      <c r="FHG25" s="28"/>
      <c r="FHH25" s="28"/>
      <c r="FHI25" s="28"/>
      <c r="FHJ25" s="28"/>
      <c r="FHK25" s="28"/>
      <c r="FHL25" s="28"/>
      <c r="FHM25" s="28"/>
      <c r="FHN25" s="28"/>
      <c r="FHO25" s="28"/>
      <c r="FHP25" s="28"/>
      <c r="FHQ25" s="28"/>
      <c r="FHR25" s="28"/>
      <c r="FHS25" s="28"/>
      <c r="FHT25" s="28"/>
      <c r="FHU25" s="28"/>
      <c r="FHV25" s="28"/>
      <c r="FHW25" s="28"/>
      <c r="FHX25" s="28"/>
      <c r="FHY25" s="28"/>
      <c r="FHZ25" s="28"/>
      <c r="FIA25" s="28"/>
      <c r="FIB25" s="28"/>
      <c r="FIC25" s="28"/>
      <c r="FID25" s="28"/>
      <c r="FIE25" s="28"/>
      <c r="FIF25" s="28"/>
      <c r="FIG25" s="28"/>
      <c r="FIH25" s="28"/>
      <c r="FII25" s="28"/>
      <c r="FIJ25" s="28"/>
      <c r="FIK25" s="28"/>
      <c r="FIL25" s="28"/>
      <c r="FIM25" s="28"/>
      <c r="FIN25" s="28"/>
      <c r="FIO25" s="28"/>
      <c r="FIP25" s="28"/>
      <c r="FIQ25" s="28"/>
      <c r="FIR25" s="28"/>
      <c r="FIS25" s="28"/>
      <c r="FIT25" s="28"/>
      <c r="FIU25" s="28"/>
      <c r="FIV25" s="28"/>
      <c r="FIW25" s="28"/>
      <c r="FIX25" s="28"/>
      <c r="FIY25" s="28"/>
      <c r="FIZ25" s="28"/>
      <c r="FJA25" s="28"/>
      <c r="FJB25" s="28"/>
      <c r="FJC25" s="28"/>
      <c r="FJD25" s="28"/>
      <c r="FJE25" s="28"/>
      <c r="FJF25" s="28"/>
      <c r="FJG25" s="28"/>
      <c r="FJH25" s="28"/>
      <c r="FJI25" s="28"/>
      <c r="FJJ25" s="28"/>
      <c r="FJK25" s="28"/>
      <c r="FJL25" s="28"/>
      <c r="FJM25" s="28"/>
      <c r="FJN25" s="28"/>
      <c r="FJO25" s="28"/>
      <c r="FJP25" s="28"/>
      <c r="FJQ25" s="28"/>
      <c r="FJR25" s="28"/>
      <c r="FJS25" s="28"/>
      <c r="FJT25" s="28"/>
      <c r="FJU25" s="28"/>
      <c r="FJV25" s="28"/>
      <c r="FJW25" s="28"/>
      <c r="FJX25" s="28"/>
      <c r="FJY25" s="28"/>
      <c r="FJZ25" s="28"/>
      <c r="FKA25" s="28"/>
      <c r="FKB25" s="28"/>
      <c r="FKC25" s="28"/>
      <c r="FKD25" s="28"/>
      <c r="FKE25" s="28"/>
      <c r="FKF25" s="28"/>
      <c r="FKG25" s="28"/>
      <c r="FKH25" s="28"/>
      <c r="FKI25" s="28"/>
      <c r="FKJ25" s="28"/>
      <c r="FKK25" s="28"/>
      <c r="FKL25" s="28"/>
      <c r="FKM25" s="28"/>
      <c r="FKN25" s="28"/>
      <c r="FKO25" s="28"/>
      <c r="FKP25" s="28"/>
      <c r="FKQ25" s="28"/>
      <c r="FKR25" s="28"/>
      <c r="FKS25" s="28"/>
      <c r="FKT25" s="28"/>
      <c r="FKU25" s="28"/>
      <c r="FKV25" s="28"/>
      <c r="FKW25" s="28"/>
      <c r="FKX25" s="28"/>
      <c r="FKY25" s="28"/>
      <c r="FKZ25" s="28"/>
      <c r="FLA25" s="28"/>
      <c r="FLB25" s="28"/>
      <c r="FLC25" s="28"/>
      <c r="FLD25" s="28"/>
      <c r="FLE25" s="28"/>
      <c r="FLF25" s="28"/>
      <c r="FLG25" s="28"/>
      <c r="FLH25" s="28"/>
      <c r="FLI25" s="28"/>
      <c r="FLJ25" s="28"/>
      <c r="FLK25" s="28"/>
      <c r="FLL25" s="28"/>
      <c r="FLM25" s="28"/>
      <c r="FLN25" s="28"/>
      <c r="FLO25" s="28"/>
      <c r="FLP25" s="28"/>
      <c r="FLQ25" s="28"/>
      <c r="FLR25" s="28"/>
      <c r="FLS25" s="28"/>
      <c r="FLT25" s="28"/>
      <c r="FLU25" s="28"/>
      <c r="FLV25" s="28"/>
      <c r="FLW25" s="28"/>
      <c r="FLX25" s="28"/>
      <c r="FLY25" s="28"/>
      <c r="FLZ25" s="28"/>
      <c r="FMA25" s="28"/>
      <c r="FMB25" s="28"/>
      <c r="FMC25" s="28"/>
      <c r="FMD25" s="28"/>
      <c r="FME25" s="28"/>
      <c r="FMF25" s="28"/>
      <c r="FMG25" s="28"/>
      <c r="FMH25" s="28"/>
      <c r="FMI25" s="28"/>
      <c r="FMJ25" s="28"/>
      <c r="FMK25" s="28"/>
      <c r="FML25" s="28"/>
      <c r="FMM25" s="28"/>
      <c r="FMN25" s="28"/>
      <c r="FMO25" s="28"/>
      <c r="FMP25" s="28"/>
      <c r="FMQ25" s="28"/>
      <c r="FMR25" s="28"/>
      <c r="FMS25" s="28"/>
      <c r="FMT25" s="28"/>
      <c r="FMU25" s="28"/>
      <c r="FMV25" s="28"/>
      <c r="FMW25" s="28"/>
      <c r="FMX25" s="28"/>
      <c r="FMY25" s="28"/>
      <c r="FMZ25" s="28"/>
      <c r="FNA25" s="28"/>
      <c r="FNB25" s="28"/>
      <c r="FNC25" s="28"/>
      <c r="FND25" s="28"/>
      <c r="FNE25" s="28"/>
      <c r="FNF25" s="28"/>
      <c r="FNG25" s="28"/>
      <c r="FNH25" s="28"/>
      <c r="FNI25" s="28"/>
      <c r="FNJ25" s="28"/>
      <c r="FNK25" s="28"/>
      <c r="FNL25" s="28"/>
      <c r="FNM25" s="28"/>
      <c r="FNN25" s="28"/>
      <c r="FNO25" s="28"/>
      <c r="FNP25" s="28"/>
      <c r="FNQ25" s="28"/>
      <c r="FNR25" s="28"/>
      <c r="FNS25" s="28"/>
      <c r="FNT25" s="28"/>
      <c r="FNU25" s="28"/>
      <c r="FNV25" s="28"/>
      <c r="FNW25" s="28"/>
      <c r="FNX25" s="28"/>
      <c r="FNY25" s="28"/>
      <c r="FNZ25" s="28"/>
      <c r="FOA25" s="28"/>
      <c r="FOB25" s="28"/>
      <c r="FOC25" s="28"/>
      <c r="FOD25" s="28"/>
      <c r="FOE25" s="28"/>
      <c r="FOF25" s="28"/>
      <c r="FOG25" s="28"/>
      <c r="FOH25" s="28"/>
      <c r="FOI25" s="28"/>
      <c r="FOJ25" s="28"/>
      <c r="FOK25" s="28"/>
      <c r="FOL25" s="28"/>
      <c r="FOM25" s="28"/>
      <c r="FON25" s="28"/>
      <c r="FOO25" s="28"/>
      <c r="FOP25" s="28"/>
      <c r="FOQ25" s="28"/>
      <c r="FOR25" s="28"/>
      <c r="FOS25" s="28"/>
      <c r="FOT25" s="28"/>
      <c r="FOU25" s="28"/>
      <c r="FOV25" s="28"/>
      <c r="FOW25" s="28"/>
      <c r="FOX25" s="28"/>
      <c r="FOY25" s="28"/>
      <c r="FOZ25" s="28"/>
      <c r="FPA25" s="28"/>
      <c r="FPB25" s="28"/>
      <c r="FPC25" s="28"/>
      <c r="FPD25" s="28"/>
      <c r="FPE25" s="28"/>
      <c r="FPF25" s="28"/>
      <c r="FPG25" s="28"/>
      <c r="FPH25" s="28"/>
      <c r="FPI25" s="28"/>
      <c r="FPJ25" s="28"/>
      <c r="FPK25" s="28"/>
      <c r="FPL25" s="28"/>
      <c r="FPM25" s="28"/>
      <c r="FPN25" s="28"/>
      <c r="FPO25" s="28"/>
      <c r="FPP25" s="28"/>
      <c r="FPQ25" s="28"/>
      <c r="FPR25" s="28"/>
      <c r="FPS25" s="28"/>
      <c r="FPT25" s="28"/>
      <c r="FPU25" s="28"/>
      <c r="FPV25" s="28"/>
      <c r="FPW25" s="28"/>
      <c r="FPX25" s="28"/>
      <c r="FPY25" s="28"/>
      <c r="FPZ25" s="28"/>
      <c r="FQA25" s="28"/>
      <c r="FQB25" s="28"/>
      <c r="FQC25" s="28"/>
      <c r="FQD25" s="28"/>
      <c r="FQE25" s="28"/>
      <c r="FQF25" s="28"/>
      <c r="FQG25" s="28"/>
      <c r="FQH25" s="28"/>
      <c r="FQI25" s="28"/>
      <c r="FQJ25" s="28"/>
      <c r="FQK25" s="28"/>
      <c r="FQL25" s="28"/>
      <c r="FQM25" s="28"/>
      <c r="FQN25" s="28"/>
      <c r="FQO25" s="28"/>
      <c r="FQP25" s="28"/>
      <c r="FQQ25" s="28"/>
      <c r="FQR25" s="28"/>
      <c r="FQS25" s="28"/>
      <c r="FQT25" s="28"/>
      <c r="FQU25" s="28"/>
      <c r="FQV25" s="28"/>
      <c r="FQW25" s="28"/>
      <c r="FQX25" s="28"/>
      <c r="FQY25" s="28"/>
      <c r="FQZ25" s="28"/>
      <c r="FRA25" s="28"/>
      <c r="FRB25" s="28"/>
      <c r="FRC25" s="28"/>
      <c r="FRD25" s="28"/>
      <c r="FRE25" s="28"/>
      <c r="FRF25" s="28"/>
      <c r="FRG25" s="28"/>
      <c r="FRH25" s="28"/>
      <c r="FRI25" s="28"/>
      <c r="FRJ25" s="28"/>
      <c r="FRK25" s="28"/>
      <c r="FRL25" s="28"/>
      <c r="FRM25" s="28"/>
      <c r="FRN25" s="28"/>
      <c r="FRO25" s="28"/>
      <c r="FRP25" s="28"/>
      <c r="FRQ25" s="28"/>
      <c r="FRR25" s="28"/>
      <c r="FRS25" s="28"/>
      <c r="FRT25" s="28"/>
      <c r="FRU25" s="28"/>
      <c r="FRV25" s="28"/>
      <c r="FRW25" s="28"/>
      <c r="FRX25" s="28"/>
      <c r="FRY25" s="28"/>
      <c r="FRZ25" s="28"/>
      <c r="FSA25" s="28"/>
      <c r="FSB25" s="28"/>
      <c r="FSC25" s="28"/>
      <c r="FSD25" s="28"/>
      <c r="FSE25" s="28"/>
      <c r="FSF25" s="28"/>
      <c r="FSG25" s="28"/>
      <c r="FSH25" s="28"/>
      <c r="FSI25" s="28"/>
      <c r="FSJ25" s="28"/>
      <c r="FSK25" s="28"/>
      <c r="FSL25" s="28"/>
      <c r="FSM25" s="28"/>
      <c r="FSN25" s="28"/>
      <c r="FSO25" s="28"/>
      <c r="FSP25" s="28"/>
      <c r="FSQ25" s="28"/>
      <c r="FSR25" s="28"/>
      <c r="FSS25" s="28"/>
      <c r="FST25" s="28"/>
      <c r="FSU25" s="28"/>
      <c r="FSV25" s="28"/>
      <c r="FSW25" s="28"/>
      <c r="FSX25" s="28"/>
      <c r="FSY25" s="28"/>
      <c r="FSZ25" s="28"/>
      <c r="FTA25" s="28"/>
      <c r="FTB25" s="28"/>
      <c r="FTC25" s="28"/>
      <c r="FTD25" s="28"/>
      <c r="FTE25" s="28"/>
      <c r="FTF25" s="28"/>
      <c r="FTG25" s="28"/>
      <c r="FTH25" s="28"/>
      <c r="FTI25" s="28"/>
      <c r="FTJ25" s="28"/>
      <c r="FTK25" s="28"/>
      <c r="FTL25" s="28"/>
      <c r="FTM25" s="28"/>
      <c r="FTN25" s="28"/>
      <c r="FTO25" s="28"/>
      <c r="FTP25" s="28"/>
      <c r="FTQ25" s="28"/>
      <c r="FTR25" s="28"/>
      <c r="FTS25" s="28"/>
      <c r="FTT25" s="28"/>
      <c r="FTU25" s="28"/>
      <c r="FTV25" s="28"/>
      <c r="FTW25" s="28"/>
      <c r="FTX25" s="28"/>
      <c r="FTY25" s="28"/>
      <c r="FTZ25" s="28"/>
      <c r="FUA25" s="28"/>
      <c r="FUB25" s="28"/>
      <c r="FUC25" s="28"/>
      <c r="FUD25" s="28"/>
      <c r="FUE25" s="28"/>
      <c r="FUF25" s="28"/>
      <c r="FUG25" s="28"/>
      <c r="FUH25" s="28"/>
      <c r="FUI25" s="28"/>
      <c r="FUJ25" s="28"/>
      <c r="FUK25" s="28"/>
      <c r="FUL25" s="28"/>
      <c r="FUM25" s="28"/>
      <c r="FUN25" s="28"/>
      <c r="FUO25" s="28"/>
      <c r="FUP25" s="28"/>
      <c r="FUQ25" s="28"/>
      <c r="FUR25" s="28"/>
      <c r="FUS25" s="28"/>
      <c r="FUT25" s="28"/>
      <c r="FUU25" s="28"/>
      <c r="FUV25" s="28"/>
      <c r="FUW25" s="28"/>
      <c r="FUX25" s="28"/>
      <c r="FUY25" s="28"/>
      <c r="FUZ25" s="28"/>
      <c r="FVA25" s="28"/>
      <c r="FVB25" s="28"/>
      <c r="FVC25" s="28"/>
      <c r="FVD25" s="28"/>
      <c r="FVE25" s="28"/>
      <c r="FVF25" s="28"/>
      <c r="FVG25" s="28"/>
      <c r="FVH25" s="28"/>
      <c r="FVI25" s="28"/>
      <c r="FVJ25" s="28"/>
      <c r="FVK25" s="28"/>
      <c r="FVL25" s="28"/>
      <c r="FVM25" s="28"/>
      <c r="FVN25" s="28"/>
      <c r="FVO25" s="28"/>
      <c r="FVP25" s="28"/>
      <c r="FVQ25" s="28"/>
      <c r="FVR25" s="28"/>
      <c r="FVS25" s="28"/>
      <c r="FVT25" s="28"/>
      <c r="FVU25" s="28"/>
      <c r="FVV25" s="28"/>
      <c r="FVW25" s="28"/>
      <c r="FVX25" s="28"/>
      <c r="FVY25" s="28"/>
      <c r="FVZ25" s="28"/>
      <c r="FWA25" s="28"/>
      <c r="FWB25" s="28"/>
      <c r="FWC25" s="28"/>
      <c r="FWD25" s="28"/>
      <c r="FWE25" s="28"/>
      <c r="FWF25" s="28"/>
      <c r="FWG25" s="28"/>
      <c r="FWH25" s="28"/>
      <c r="FWI25" s="28"/>
      <c r="FWJ25" s="28"/>
      <c r="FWK25" s="28"/>
      <c r="FWL25" s="28"/>
      <c r="FWM25" s="28"/>
      <c r="FWN25" s="28"/>
      <c r="FWO25" s="28"/>
      <c r="FWP25" s="28"/>
      <c r="FWQ25" s="28"/>
      <c r="FWR25" s="28"/>
      <c r="FWS25" s="28"/>
      <c r="FWT25" s="28"/>
      <c r="FWU25" s="28"/>
      <c r="FWV25" s="28"/>
      <c r="FWW25" s="28"/>
      <c r="FWX25" s="28"/>
      <c r="FWY25" s="28"/>
      <c r="FWZ25" s="28"/>
      <c r="FXA25" s="28"/>
      <c r="FXB25" s="28"/>
      <c r="FXC25" s="28"/>
      <c r="FXD25" s="28"/>
      <c r="FXE25" s="28"/>
      <c r="FXF25" s="28"/>
      <c r="FXG25" s="28"/>
      <c r="FXH25" s="28"/>
      <c r="FXI25" s="28"/>
      <c r="FXJ25" s="28"/>
      <c r="FXK25" s="28"/>
      <c r="FXL25" s="28"/>
      <c r="FXM25" s="28"/>
      <c r="FXN25" s="28"/>
      <c r="FXO25" s="28"/>
      <c r="FXP25" s="28"/>
      <c r="FXQ25" s="28"/>
      <c r="FXR25" s="28"/>
      <c r="FXS25" s="28"/>
      <c r="FXT25" s="28"/>
      <c r="FXU25" s="28"/>
      <c r="FXV25" s="28"/>
      <c r="FXW25" s="28"/>
      <c r="FXX25" s="28"/>
      <c r="FXY25" s="28"/>
      <c r="FXZ25" s="28"/>
      <c r="FYA25" s="28"/>
      <c r="FYB25" s="28"/>
      <c r="FYC25" s="28"/>
      <c r="FYD25" s="28"/>
      <c r="FYE25" s="28"/>
      <c r="FYF25" s="28"/>
      <c r="FYG25" s="28"/>
      <c r="FYH25" s="28"/>
      <c r="FYI25" s="28"/>
      <c r="FYJ25" s="28"/>
      <c r="FYK25" s="28"/>
      <c r="FYL25" s="28"/>
      <c r="FYM25" s="28"/>
      <c r="FYN25" s="28"/>
      <c r="FYO25" s="28"/>
      <c r="FYP25" s="28"/>
      <c r="FYQ25" s="28"/>
      <c r="FYR25" s="28"/>
      <c r="FYS25" s="28"/>
      <c r="FYT25" s="28"/>
      <c r="FYU25" s="28"/>
      <c r="FYV25" s="28"/>
      <c r="FYW25" s="28"/>
      <c r="FYX25" s="28"/>
      <c r="FYY25" s="28"/>
      <c r="FYZ25" s="28"/>
      <c r="FZA25" s="28"/>
      <c r="FZB25" s="28"/>
      <c r="FZC25" s="28"/>
      <c r="FZD25" s="28"/>
      <c r="FZE25" s="28"/>
      <c r="FZF25" s="28"/>
      <c r="FZG25" s="28"/>
      <c r="FZH25" s="28"/>
      <c r="FZI25" s="28"/>
      <c r="FZJ25" s="28"/>
      <c r="FZK25" s="28"/>
      <c r="FZL25" s="28"/>
      <c r="FZM25" s="28"/>
      <c r="FZN25" s="28"/>
      <c r="FZO25" s="28"/>
      <c r="FZP25" s="28"/>
      <c r="FZQ25" s="28"/>
      <c r="FZR25" s="28"/>
      <c r="FZS25" s="28"/>
      <c r="FZT25" s="28"/>
      <c r="FZU25" s="28"/>
      <c r="FZV25" s="28"/>
      <c r="FZW25" s="28"/>
      <c r="FZX25" s="28"/>
      <c r="FZY25" s="28"/>
      <c r="FZZ25" s="28"/>
      <c r="GAA25" s="28"/>
      <c r="GAB25" s="28"/>
      <c r="GAC25" s="28"/>
      <c r="GAD25" s="28"/>
      <c r="GAE25" s="28"/>
      <c r="GAF25" s="28"/>
      <c r="GAG25" s="28"/>
      <c r="GAH25" s="28"/>
      <c r="GAI25" s="28"/>
      <c r="GAJ25" s="28"/>
      <c r="GAK25" s="28"/>
      <c r="GAL25" s="28"/>
      <c r="GAM25" s="28"/>
      <c r="GAN25" s="28"/>
      <c r="GAO25" s="28"/>
      <c r="GAP25" s="28"/>
      <c r="GAQ25" s="28"/>
      <c r="GAR25" s="28"/>
      <c r="GAS25" s="28"/>
      <c r="GAT25" s="28"/>
      <c r="GAU25" s="28"/>
      <c r="GAV25" s="28"/>
      <c r="GAW25" s="28"/>
      <c r="GAX25" s="28"/>
      <c r="GAY25" s="28"/>
      <c r="GAZ25" s="28"/>
      <c r="GBA25" s="28"/>
      <c r="GBB25" s="28"/>
      <c r="GBC25" s="28"/>
      <c r="GBD25" s="28"/>
      <c r="GBE25" s="28"/>
      <c r="GBF25" s="28"/>
      <c r="GBG25" s="28"/>
      <c r="GBH25" s="28"/>
      <c r="GBI25" s="28"/>
      <c r="GBJ25" s="28"/>
      <c r="GBK25" s="28"/>
      <c r="GBL25" s="28"/>
      <c r="GBM25" s="28"/>
      <c r="GBN25" s="28"/>
      <c r="GBO25" s="28"/>
      <c r="GBP25" s="28"/>
      <c r="GBQ25" s="28"/>
      <c r="GBR25" s="28"/>
      <c r="GBS25" s="28"/>
      <c r="GBT25" s="28"/>
      <c r="GBU25" s="28"/>
      <c r="GBV25" s="28"/>
      <c r="GBW25" s="28"/>
      <c r="GBX25" s="28"/>
      <c r="GBY25" s="28"/>
      <c r="GBZ25" s="28"/>
      <c r="GCA25" s="28"/>
      <c r="GCB25" s="28"/>
      <c r="GCC25" s="28"/>
      <c r="GCD25" s="28"/>
      <c r="GCE25" s="28"/>
      <c r="GCF25" s="28"/>
      <c r="GCG25" s="28"/>
      <c r="GCH25" s="28"/>
      <c r="GCI25" s="28"/>
      <c r="GCJ25" s="28"/>
      <c r="GCK25" s="28"/>
      <c r="GCL25" s="28"/>
      <c r="GCM25" s="28"/>
      <c r="GCN25" s="28"/>
      <c r="GCO25" s="28"/>
      <c r="GCP25" s="28"/>
      <c r="GCQ25" s="28"/>
      <c r="GCR25" s="28"/>
      <c r="GCS25" s="28"/>
      <c r="GCT25" s="28"/>
      <c r="GCU25" s="28"/>
      <c r="GCV25" s="28"/>
      <c r="GCW25" s="28"/>
      <c r="GCX25" s="28"/>
      <c r="GCY25" s="28"/>
      <c r="GCZ25" s="28"/>
      <c r="GDA25" s="28"/>
      <c r="GDB25" s="28"/>
      <c r="GDC25" s="28"/>
      <c r="GDD25" s="28"/>
      <c r="GDE25" s="28"/>
      <c r="GDF25" s="28"/>
      <c r="GDG25" s="28"/>
      <c r="GDH25" s="28"/>
      <c r="GDI25" s="28"/>
      <c r="GDJ25" s="28"/>
      <c r="GDK25" s="28"/>
      <c r="GDL25" s="28"/>
      <c r="GDM25" s="28"/>
      <c r="GDN25" s="28"/>
      <c r="GDO25" s="28"/>
      <c r="GDP25" s="28"/>
      <c r="GDQ25" s="28"/>
      <c r="GDR25" s="28"/>
      <c r="GDS25" s="28"/>
      <c r="GDT25" s="28"/>
      <c r="GDU25" s="28"/>
      <c r="GDV25" s="28"/>
      <c r="GDW25" s="28"/>
      <c r="GDX25" s="28"/>
      <c r="GDY25" s="28"/>
      <c r="GDZ25" s="28"/>
      <c r="GEA25" s="28"/>
      <c r="GEB25" s="28"/>
      <c r="GEC25" s="28"/>
      <c r="GED25" s="28"/>
      <c r="GEE25" s="28"/>
      <c r="GEF25" s="28"/>
      <c r="GEG25" s="28"/>
      <c r="GEH25" s="28"/>
      <c r="GEI25" s="28"/>
      <c r="GEJ25" s="28"/>
      <c r="GEK25" s="28"/>
      <c r="GEL25" s="28"/>
      <c r="GEM25" s="28"/>
      <c r="GEN25" s="28"/>
      <c r="GEO25" s="28"/>
      <c r="GEP25" s="28"/>
      <c r="GEQ25" s="28"/>
      <c r="GER25" s="28"/>
      <c r="GES25" s="28"/>
      <c r="GET25" s="28"/>
      <c r="GEU25" s="28"/>
      <c r="GEV25" s="28"/>
      <c r="GEW25" s="28"/>
      <c r="GEX25" s="28"/>
      <c r="GEY25" s="28"/>
      <c r="GEZ25" s="28"/>
      <c r="GFA25" s="28"/>
      <c r="GFB25" s="28"/>
      <c r="GFC25" s="28"/>
      <c r="GFD25" s="28"/>
      <c r="GFE25" s="28"/>
      <c r="GFF25" s="28"/>
      <c r="GFG25" s="28"/>
      <c r="GFH25" s="28"/>
      <c r="GFI25" s="28"/>
      <c r="GFJ25" s="28"/>
      <c r="GFK25" s="28"/>
      <c r="GFL25" s="28"/>
      <c r="GFM25" s="28"/>
      <c r="GFN25" s="28"/>
      <c r="GFO25" s="28"/>
      <c r="GFP25" s="28"/>
      <c r="GFQ25" s="28"/>
      <c r="GFR25" s="28"/>
      <c r="GFS25" s="28"/>
      <c r="GFT25" s="28"/>
      <c r="GFU25" s="28"/>
      <c r="GFV25" s="28"/>
      <c r="GFW25" s="28"/>
      <c r="GFX25" s="28"/>
      <c r="GFY25" s="28"/>
      <c r="GFZ25" s="28"/>
      <c r="GGA25" s="28"/>
      <c r="GGB25" s="28"/>
      <c r="GGC25" s="28"/>
      <c r="GGD25" s="28"/>
      <c r="GGE25" s="28"/>
      <c r="GGF25" s="28"/>
      <c r="GGG25" s="28"/>
      <c r="GGH25" s="28"/>
      <c r="GGI25" s="28"/>
      <c r="GGJ25" s="28"/>
      <c r="GGK25" s="28"/>
      <c r="GGL25" s="28"/>
      <c r="GGM25" s="28"/>
      <c r="GGN25" s="28"/>
      <c r="GGO25" s="28"/>
      <c r="GGP25" s="28"/>
      <c r="GGQ25" s="28"/>
      <c r="GGR25" s="28"/>
      <c r="GGS25" s="28"/>
      <c r="GGT25" s="28"/>
      <c r="GGU25" s="28"/>
      <c r="GGV25" s="28"/>
      <c r="GGW25" s="28"/>
      <c r="GGX25" s="28"/>
      <c r="GGY25" s="28"/>
      <c r="GGZ25" s="28"/>
      <c r="GHA25" s="28"/>
      <c r="GHB25" s="28"/>
      <c r="GHC25" s="28"/>
      <c r="GHD25" s="28"/>
      <c r="GHE25" s="28"/>
      <c r="GHF25" s="28"/>
      <c r="GHG25" s="28"/>
      <c r="GHH25" s="28"/>
      <c r="GHI25" s="28"/>
      <c r="GHJ25" s="28"/>
      <c r="GHK25" s="28"/>
      <c r="GHL25" s="28"/>
      <c r="GHM25" s="28"/>
      <c r="GHN25" s="28"/>
      <c r="GHO25" s="28"/>
      <c r="GHP25" s="28"/>
      <c r="GHQ25" s="28"/>
      <c r="GHR25" s="28"/>
      <c r="GHS25" s="28"/>
      <c r="GHT25" s="28"/>
      <c r="GHU25" s="28"/>
      <c r="GHV25" s="28"/>
      <c r="GHW25" s="28"/>
      <c r="GHX25" s="28"/>
      <c r="GHY25" s="28"/>
      <c r="GHZ25" s="28"/>
      <c r="GIA25" s="28"/>
      <c r="GIB25" s="28"/>
      <c r="GIC25" s="28"/>
      <c r="GID25" s="28"/>
      <c r="GIE25" s="28"/>
      <c r="GIF25" s="28"/>
      <c r="GIG25" s="28"/>
      <c r="GIH25" s="28"/>
      <c r="GII25" s="28"/>
      <c r="GIJ25" s="28"/>
      <c r="GIK25" s="28"/>
      <c r="GIL25" s="28"/>
      <c r="GIM25" s="28"/>
      <c r="GIN25" s="28"/>
      <c r="GIO25" s="28"/>
      <c r="GIP25" s="28"/>
      <c r="GIQ25" s="28"/>
      <c r="GIR25" s="28"/>
      <c r="GIS25" s="28"/>
      <c r="GIT25" s="28"/>
      <c r="GIU25" s="28"/>
      <c r="GIV25" s="28"/>
      <c r="GIW25" s="28"/>
      <c r="GIX25" s="28"/>
      <c r="GIY25" s="28"/>
      <c r="GIZ25" s="28"/>
      <c r="GJA25" s="28"/>
      <c r="GJB25" s="28"/>
      <c r="GJC25" s="28"/>
      <c r="GJD25" s="28"/>
      <c r="GJE25" s="28"/>
      <c r="GJF25" s="28"/>
      <c r="GJG25" s="28"/>
      <c r="GJH25" s="28"/>
      <c r="GJI25" s="28"/>
      <c r="GJJ25" s="28"/>
      <c r="GJK25" s="28"/>
      <c r="GJL25" s="28"/>
      <c r="GJM25" s="28"/>
      <c r="GJN25" s="28"/>
      <c r="GJO25" s="28"/>
      <c r="GJP25" s="28"/>
      <c r="GJQ25" s="28"/>
      <c r="GJR25" s="28"/>
      <c r="GJS25" s="28"/>
      <c r="GJT25" s="28"/>
      <c r="GJU25" s="28"/>
      <c r="GJV25" s="28"/>
      <c r="GJW25" s="28"/>
      <c r="GJX25" s="28"/>
      <c r="GJY25" s="28"/>
      <c r="GJZ25" s="28"/>
      <c r="GKA25" s="28"/>
      <c r="GKB25" s="28"/>
      <c r="GKC25" s="28"/>
      <c r="GKD25" s="28"/>
      <c r="GKE25" s="28"/>
      <c r="GKF25" s="28"/>
      <c r="GKG25" s="28"/>
      <c r="GKH25" s="28"/>
      <c r="GKI25" s="28"/>
      <c r="GKJ25" s="28"/>
      <c r="GKK25" s="28"/>
      <c r="GKL25" s="28"/>
      <c r="GKM25" s="28"/>
      <c r="GKN25" s="28"/>
      <c r="GKO25" s="28"/>
      <c r="GKP25" s="28"/>
      <c r="GKQ25" s="28"/>
      <c r="GKR25" s="28"/>
      <c r="GKS25" s="28"/>
      <c r="GKT25" s="28"/>
      <c r="GKU25" s="28"/>
      <c r="GKV25" s="28"/>
      <c r="GKW25" s="28"/>
      <c r="GKX25" s="28"/>
      <c r="GKY25" s="28"/>
      <c r="GKZ25" s="28"/>
      <c r="GLA25" s="28"/>
      <c r="GLB25" s="28"/>
      <c r="GLC25" s="28"/>
      <c r="GLD25" s="28"/>
      <c r="GLE25" s="28"/>
      <c r="GLF25" s="28"/>
      <c r="GLG25" s="28"/>
      <c r="GLH25" s="28"/>
      <c r="GLI25" s="28"/>
      <c r="GLJ25" s="28"/>
      <c r="GLK25" s="28"/>
      <c r="GLL25" s="28"/>
      <c r="GLM25" s="28"/>
      <c r="GLN25" s="28"/>
      <c r="GLO25" s="28"/>
      <c r="GLP25" s="28"/>
      <c r="GLQ25" s="28"/>
      <c r="GLR25" s="28"/>
      <c r="GLS25" s="28"/>
      <c r="GLT25" s="28"/>
      <c r="GLU25" s="28"/>
      <c r="GLV25" s="28"/>
      <c r="GLW25" s="28"/>
      <c r="GLX25" s="28"/>
      <c r="GLY25" s="28"/>
      <c r="GLZ25" s="28"/>
      <c r="GMA25" s="28"/>
      <c r="GMB25" s="28"/>
      <c r="GMC25" s="28"/>
      <c r="GMD25" s="28"/>
      <c r="GME25" s="28"/>
      <c r="GMF25" s="28"/>
      <c r="GMG25" s="28"/>
      <c r="GMH25" s="28"/>
      <c r="GMI25" s="28"/>
      <c r="GMJ25" s="28"/>
      <c r="GMK25" s="28"/>
      <c r="GML25" s="28"/>
      <c r="GMM25" s="28"/>
      <c r="GMN25" s="28"/>
      <c r="GMO25" s="28"/>
      <c r="GMP25" s="28"/>
      <c r="GMQ25" s="28"/>
      <c r="GMR25" s="28"/>
      <c r="GMS25" s="28"/>
      <c r="GMT25" s="28"/>
      <c r="GMU25" s="28"/>
      <c r="GMV25" s="28"/>
      <c r="GMW25" s="28"/>
      <c r="GMX25" s="28"/>
      <c r="GMY25" s="28"/>
      <c r="GMZ25" s="28"/>
      <c r="GNA25" s="28"/>
      <c r="GNB25" s="28"/>
      <c r="GNC25" s="28"/>
      <c r="GND25" s="28"/>
      <c r="GNE25" s="28"/>
      <c r="GNF25" s="28"/>
      <c r="GNG25" s="28"/>
      <c r="GNH25" s="28"/>
      <c r="GNI25" s="28"/>
      <c r="GNJ25" s="28"/>
      <c r="GNK25" s="28"/>
      <c r="GNL25" s="28"/>
      <c r="GNM25" s="28"/>
      <c r="GNN25" s="28"/>
      <c r="GNO25" s="28"/>
      <c r="GNP25" s="28"/>
      <c r="GNQ25" s="28"/>
      <c r="GNR25" s="28"/>
      <c r="GNS25" s="28"/>
      <c r="GNT25" s="28"/>
      <c r="GNU25" s="28"/>
      <c r="GNV25" s="28"/>
      <c r="GNW25" s="28"/>
      <c r="GNX25" s="28"/>
      <c r="GNY25" s="28"/>
      <c r="GNZ25" s="28"/>
      <c r="GOA25" s="28"/>
      <c r="GOB25" s="28"/>
      <c r="GOC25" s="28"/>
      <c r="GOD25" s="28"/>
      <c r="GOE25" s="28"/>
      <c r="GOF25" s="28"/>
      <c r="GOG25" s="28"/>
      <c r="GOH25" s="28"/>
      <c r="GOI25" s="28"/>
      <c r="GOJ25" s="28"/>
      <c r="GOK25" s="28"/>
      <c r="GOL25" s="28"/>
      <c r="GOM25" s="28"/>
      <c r="GON25" s="28"/>
      <c r="GOO25" s="28"/>
      <c r="GOP25" s="28"/>
      <c r="GOQ25" s="28"/>
      <c r="GOR25" s="28"/>
      <c r="GOS25" s="28"/>
      <c r="GOT25" s="28"/>
      <c r="GOU25" s="28"/>
      <c r="GOV25" s="28"/>
      <c r="GOW25" s="28"/>
      <c r="GOX25" s="28"/>
      <c r="GOY25" s="28"/>
      <c r="GOZ25" s="28"/>
      <c r="GPA25" s="28"/>
      <c r="GPB25" s="28"/>
      <c r="GPC25" s="28"/>
      <c r="GPD25" s="28"/>
      <c r="GPE25" s="28"/>
      <c r="GPF25" s="28"/>
      <c r="GPG25" s="28"/>
      <c r="GPH25" s="28"/>
      <c r="GPI25" s="28"/>
      <c r="GPJ25" s="28"/>
      <c r="GPK25" s="28"/>
      <c r="GPL25" s="28"/>
      <c r="GPM25" s="28"/>
      <c r="GPN25" s="28"/>
      <c r="GPO25" s="28"/>
      <c r="GPP25" s="28"/>
      <c r="GPQ25" s="28"/>
      <c r="GPR25" s="28"/>
      <c r="GPS25" s="28"/>
      <c r="GPT25" s="28"/>
      <c r="GPU25" s="28"/>
      <c r="GPV25" s="28"/>
      <c r="GPW25" s="28"/>
      <c r="GPX25" s="28"/>
      <c r="GPY25" s="28"/>
      <c r="GPZ25" s="28"/>
      <c r="GQA25" s="28"/>
      <c r="GQB25" s="28"/>
      <c r="GQC25" s="28"/>
      <c r="GQD25" s="28"/>
      <c r="GQE25" s="28"/>
      <c r="GQF25" s="28"/>
      <c r="GQG25" s="28"/>
      <c r="GQH25" s="28"/>
      <c r="GQI25" s="28"/>
      <c r="GQJ25" s="28"/>
      <c r="GQK25" s="28"/>
      <c r="GQL25" s="28"/>
      <c r="GQM25" s="28"/>
      <c r="GQN25" s="28"/>
      <c r="GQO25" s="28"/>
      <c r="GQP25" s="28"/>
      <c r="GQQ25" s="28"/>
      <c r="GQR25" s="28"/>
      <c r="GQS25" s="28"/>
      <c r="GQT25" s="28"/>
      <c r="GQU25" s="28"/>
      <c r="GQV25" s="28"/>
      <c r="GQW25" s="28"/>
      <c r="GQX25" s="28"/>
      <c r="GQY25" s="28"/>
      <c r="GQZ25" s="28"/>
      <c r="GRA25" s="28"/>
      <c r="GRB25" s="28"/>
      <c r="GRC25" s="28"/>
      <c r="GRD25" s="28"/>
      <c r="GRE25" s="28"/>
      <c r="GRF25" s="28"/>
      <c r="GRG25" s="28"/>
      <c r="GRH25" s="28"/>
      <c r="GRI25" s="28"/>
      <c r="GRJ25" s="28"/>
      <c r="GRK25" s="28"/>
      <c r="GRL25" s="28"/>
      <c r="GRM25" s="28"/>
      <c r="GRN25" s="28"/>
      <c r="GRO25" s="28"/>
      <c r="GRP25" s="28"/>
      <c r="GRQ25" s="28"/>
      <c r="GRR25" s="28"/>
      <c r="GRS25" s="28"/>
      <c r="GRT25" s="28"/>
      <c r="GRU25" s="28"/>
      <c r="GRV25" s="28"/>
      <c r="GRW25" s="28"/>
      <c r="GRX25" s="28"/>
      <c r="GRY25" s="28"/>
      <c r="GRZ25" s="28"/>
      <c r="GSA25" s="28"/>
      <c r="GSB25" s="28"/>
      <c r="GSC25" s="28"/>
      <c r="GSD25" s="28"/>
      <c r="GSE25" s="28"/>
      <c r="GSF25" s="28"/>
      <c r="GSG25" s="28"/>
      <c r="GSH25" s="28"/>
      <c r="GSI25" s="28"/>
      <c r="GSJ25" s="28"/>
      <c r="GSK25" s="28"/>
      <c r="GSL25" s="28"/>
      <c r="GSM25" s="28"/>
      <c r="GSN25" s="28"/>
      <c r="GSO25" s="28"/>
      <c r="GSP25" s="28"/>
      <c r="GSQ25" s="28"/>
      <c r="GSR25" s="28"/>
      <c r="GSS25" s="28"/>
      <c r="GST25" s="28"/>
      <c r="GSU25" s="28"/>
      <c r="GSV25" s="28"/>
      <c r="GSW25" s="28"/>
      <c r="GSX25" s="28"/>
      <c r="GSY25" s="28"/>
      <c r="GSZ25" s="28"/>
      <c r="GTA25" s="28"/>
      <c r="GTB25" s="28"/>
      <c r="GTC25" s="28"/>
      <c r="GTD25" s="28"/>
      <c r="GTE25" s="28"/>
      <c r="GTF25" s="28"/>
      <c r="GTG25" s="28"/>
      <c r="GTH25" s="28"/>
      <c r="GTI25" s="28"/>
      <c r="GTJ25" s="28"/>
      <c r="GTK25" s="28"/>
      <c r="GTL25" s="28"/>
      <c r="GTM25" s="28"/>
      <c r="GTN25" s="28"/>
      <c r="GTO25" s="28"/>
      <c r="GTP25" s="28"/>
      <c r="GTQ25" s="28"/>
      <c r="GTR25" s="28"/>
      <c r="GTS25" s="28"/>
      <c r="GTT25" s="28"/>
      <c r="GTU25" s="28"/>
      <c r="GTV25" s="28"/>
      <c r="GTW25" s="28"/>
      <c r="GTX25" s="28"/>
      <c r="GTY25" s="28"/>
      <c r="GTZ25" s="28"/>
      <c r="GUA25" s="28"/>
      <c r="GUB25" s="28"/>
      <c r="GUC25" s="28"/>
      <c r="GUD25" s="28"/>
      <c r="GUE25" s="28"/>
      <c r="GUF25" s="28"/>
      <c r="GUG25" s="28"/>
      <c r="GUH25" s="28"/>
      <c r="GUI25" s="28"/>
      <c r="GUJ25" s="28"/>
      <c r="GUK25" s="28"/>
      <c r="GUL25" s="28"/>
      <c r="GUM25" s="28"/>
      <c r="GUN25" s="28"/>
      <c r="GUO25" s="28"/>
      <c r="GUP25" s="28"/>
      <c r="GUQ25" s="28"/>
      <c r="GUR25" s="28"/>
      <c r="GUS25" s="28"/>
      <c r="GUT25" s="28"/>
      <c r="GUU25" s="28"/>
      <c r="GUV25" s="28"/>
      <c r="GUW25" s="28"/>
      <c r="GUX25" s="28"/>
      <c r="GUY25" s="28"/>
      <c r="GUZ25" s="28"/>
      <c r="GVA25" s="28"/>
      <c r="GVB25" s="28"/>
      <c r="GVC25" s="28"/>
      <c r="GVD25" s="28"/>
      <c r="GVE25" s="28"/>
      <c r="GVF25" s="28"/>
      <c r="GVG25" s="28"/>
      <c r="GVH25" s="28"/>
      <c r="GVI25" s="28"/>
      <c r="GVJ25" s="28"/>
      <c r="GVK25" s="28"/>
      <c r="GVL25" s="28"/>
      <c r="GVM25" s="28"/>
      <c r="GVN25" s="28"/>
      <c r="GVO25" s="28"/>
      <c r="GVP25" s="28"/>
      <c r="GVQ25" s="28"/>
      <c r="GVR25" s="28"/>
      <c r="GVS25" s="28"/>
      <c r="GVT25" s="28"/>
      <c r="GVU25" s="28"/>
      <c r="GVV25" s="28"/>
      <c r="GVW25" s="28"/>
      <c r="GVX25" s="28"/>
      <c r="GVY25" s="28"/>
      <c r="GVZ25" s="28"/>
      <c r="GWA25" s="28"/>
      <c r="GWB25" s="28"/>
      <c r="GWC25" s="28"/>
      <c r="GWD25" s="28"/>
      <c r="GWE25" s="28"/>
      <c r="GWF25" s="28"/>
      <c r="GWG25" s="28"/>
      <c r="GWH25" s="28"/>
      <c r="GWI25" s="28"/>
      <c r="GWJ25" s="28"/>
      <c r="GWK25" s="28"/>
      <c r="GWL25" s="28"/>
      <c r="GWM25" s="28"/>
      <c r="GWN25" s="28"/>
      <c r="GWO25" s="28"/>
      <c r="GWP25" s="28"/>
      <c r="GWQ25" s="28"/>
      <c r="GWR25" s="28"/>
      <c r="GWS25" s="28"/>
      <c r="GWT25" s="28"/>
      <c r="GWU25" s="28"/>
      <c r="GWV25" s="28"/>
      <c r="GWW25" s="28"/>
      <c r="GWX25" s="28"/>
      <c r="GWY25" s="28"/>
      <c r="GWZ25" s="28"/>
      <c r="GXA25" s="28"/>
      <c r="GXB25" s="28"/>
      <c r="GXC25" s="28"/>
      <c r="GXD25" s="28"/>
      <c r="GXE25" s="28"/>
      <c r="GXF25" s="28"/>
      <c r="GXG25" s="28"/>
      <c r="GXH25" s="28"/>
      <c r="GXI25" s="28"/>
      <c r="GXJ25" s="28"/>
      <c r="GXK25" s="28"/>
      <c r="GXL25" s="28"/>
      <c r="GXM25" s="28"/>
      <c r="GXN25" s="28"/>
      <c r="GXO25" s="28"/>
      <c r="GXP25" s="28"/>
      <c r="GXQ25" s="28"/>
      <c r="GXR25" s="28"/>
      <c r="GXS25" s="28"/>
      <c r="GXT25" s="28"/>
      <c r="GXU25" s="28"/>
      <c r="GXV25" s="28"/>
      <c r="GXW25" s="28"/>
      <c r="GXX25" s="28"/>
      <c r="GXY25" s="28"/>
      <c r="GXZ25" s="28"/>
      <c r="GYA25" s="28"/>
      <c r="GYB25" s="28"/>
      <c r="GYC25" s="28"/>
      <c r="GYD25" s="28"/>
      <c r="GYE25" s="28"/>
      <c r="GYF25" s="28"/>
      <c r="GYG25" s="28"/>
      <c r="GYH25" s="28"/>
      <c r="GYI25" s="28"/>
      <c r="GYJ25" s="28"/>
      <c r="GYK25" s="28"/>
      <c r="GYL25" s="28"/>
      <c r="GYM25" s="28"/>
      <c r="GYN25" s="28"/>
      <c r="GYO25" s="28"/>
      <c r="GYP25" s="28"/>
      <c r="GYQ25" s="28"/>
      <c r="GYR25" s="28"/>
      <c r="GYS25" s="28"/>
      <c r="GYT25" s="28"/>
      <c r="GYU25" s="28"/>
      <c r="GYV25" s="28"/>
      <c r="GYW25" s="28"/>
      <c r="GYX25" s="28"/>
      <c r="GYY25" s="28"/>
      <c r="GYZ25" s="28"/>
      <c r="GZA25" s="28"/>
      <c r="GZB25" s="28"/>
      <c r="GZC25" s="28"/>
      <c r="GZD25" s="28"/>
      <c r="GZE25" s="28"/>
      <c r="GZF25" s="28"/>
      <c r="GZG25" s="28"/>
      <c r="GZH25" s="28"/>
      <c r="GZI25" s="28"/>
      <c r="GZJ25" s="28"/>
      <c r="GZK25" s="28"/>
      <c r="GZL25" s="28"/>
      <c r="GZM25" s="28"/>
      <c r="GZN25" s="28"/>
      <c r="GZO25" s="28"/>
      <c r="GZP25" s="28"/>
      <c r="GZQ25" s="28"/>
      <c r="GZR25" s="28"/>
      <c r="GZS25" s="28"/>
      <c r="GZT25" s="28"/>
      <c r="GZU25" s="28"/>
      <c r="GZV25" s="28"/>
      <c r="GZW25" s="28"/>
      <c r="GZX25" s="28"/>
      <c r="GZY25" s="28"/>
      <c r="GZZ25" s="28"/>
      <c r="HAA25" s="28"/>
      <c r="HAB25" s="28"/>
      <c r="HAC25" s="28"/>
      <c r="HAD25" s="28"/>
      <c r="HAE25" s="28"/>
      <c r="HAF25" s="28"/>
      <c r="HAG25" s="28"/>
      <c r="HAH25" s="28"/>
      <c r="HAI25" s="28"/>
      <c r="HAJ25" s="28"/>
      <c r="HAK25" s="28"/>
      <c r="HAL25" s="28"/>
      <c r="HAM25" s="28"/>
      <c r="HAN25" s="28"/>
      <c r="HAO25" s="28"/>
      <c r="HAP25" s="28"/>
      <c r="HAQ25" s="28"/>
      <c r="HAR25" s="28"/>
      <c r="HAS25" s="28"/>
      <c r="HAT25" s="28"/>
      <c r="HAU25" s="28"/>
      <c r="HAV25" s="28"/>
      <c r="HAW25" s="28"/>
      <c r="HAX25" s="28"/>
      <c r="HAY25" s="28"/>
      <c r="HAZ25" s="28"/>
      <c r="HBA25" s="28"/>
      <c r="HBB25" s="28"/>
      <c r="HBC25" s="28"/>
      <c r="HBD25" s="28"/>
      <c r="HBE25" s="28"/>
      <c r="HBF25" s="28"/>
      <c r="HBG25" s="28"/>
      <c r="HBH25" s="28"/>
      <c r="HBI25" s="28"/>
      <c r="HBJ25" s="28"/>
      <c r="HBK25" s="28"/>
      <c r="HBL25" s="28"/>
      <c r="HBM25" s="28"/>
      <c r="HBN25" s="28"/>
      <c r="HBO25" s="28"/>
      <c r="HBP25" s="28"/>
      <c r="HBQ25" s="28"/>
      <c r="HBR25" s="28"/>
      <c r="HBS25" s="28"/>
      <c r="HBT25" s="28"/>
      <c r="HBU25" s="28"/>
      <c r="HBV25" s="28"/>
      <c r="HBW25" s="28"/>
      <c r="HBX25" s="28"/>
      <c r="HBY25" s="28"/>
      <c r="HBZ25" s="28"/>
      <c r="HCA25" s="28"/>
      <c r="HCB25" s="28"/>
      <c r="HCC25" s="28"/>
      <c r="HCD25" s="28"/>
      <c r="HCE25" s="28"/>
      <c r="HCF25" s="28"/>
      <c r="HCG25" s="28"/>
      <c r="HCH25" s="28"/>
      <c r="HCI25" s="28"/>
      <c r="HCJ25" s="28"/>
      <c r="HCK25" s="28"/>
      <c r="HCL25" s="28"/>
      <c r="HCM25" s="28"/>
      <c r="HCN25" s="28"/>
      <c r="HCO25" s="28"/>
      <c r="HCP25" s="28"/>
      <c r="HCQ25" s="28"/>
      <c r="HCR25" s="28"/>
      <c r="HCS25" s="28"/>
      <c r="HCT25" s="28"/>
      <c r="HCU25" s="28"/>
      <c r="HCV25" s="28"/>
      <c r="HCW25" s="28"/>
      <c r="HCX25" s="28"/>
      <c r="HCY25" s="28"/>
      <c r="HCZ25" s="28"/>
      <c r="HDA25" s="28"/>
      <c r="HDB25" s="28"/>
      <c r="HDC25" s="28"/>
      <c r="HDD25" s="28"/>
      <c r="HDE25" s="28"/>
      <c r="HDF25" s="28"/>
      <c r="HDG25" s="28"/>
      <c r="HDH25" s="28"/>
      <c r="HDI25" s="28"/>
      <c r="HDJ25" s="28"/>
      <c r="HDK25" s="28"/>
      <c r="HDL25" s="28"/>
      <c r="HDM25" s="28"/>
      <c r="HDN25" s="28"/>
      <c r="HDO25" s="28"/>
      <c r="HDP25" s="28"/>
      <c r="HDQ25" s="28"/>
      <c r="HDR25" s="28"/>
      <c r="HDS25" s="28"/>
      <c r="HDT25" s="28"/>
      <c r="HDU25" s="28"/>
      <c r="HDV25" s="28"/>
      <c r="HDW25" s="28"/>
      <c r="HDX25" s="28"/>
      <c r="HDY25" s="28"/>
      <c r="HDZ25" s="28"/>
      <c r="HEA25" s="28"/>
      <c r="HEB25" s="28"/>
      <c r="HEC25" s="28"/>
      <c r="HED25" s="28"/>
      <c r="HEE25" s="28"/>
      <c r="HEF25" s="28"/>
      <c r="HEG25" s="28"/>
      <c r="HEH25" s="28"/>
      <c r="HEI25" s="28"/>
      <c r="HEJ25" s="28"/>
      <c r="HEK25" s="28"/>
      <c r="HEL25" s="28"/>
      <c r="HEM25" s="28"/>
      <c r="HEN25" s="28"/>
      <c r="HEO25" s="28"/>
      <c r="HEP25" s="28"/>
      <c r="HEQ25" s="28"/>
      <c r="HER25" s="28"/>
      <c r="HES25" s="28"/>
      <c r="HET25" s="28"/>
      <c r="HEU25" s="28"/>
      <c r="HEV25" s="28"/>
      <c r="HEW25" s="28"/>
      <c r="HEX25" s="28"/>
      <c r="HEY25" s="28"/>
      <c r="HEZ25" s="28"/>
      <c r="HFA25" s="28"/>
      <c r="HFB25" s="28"/>
      <c r="HFC25" s="28"/>
      <c r="HFD25" s="28"/>
      <c r="HFE25" s="28"/>
      <c r="HFF25" s="28"/>
      <c r="HFG25" s="28"/>
      <c r="HFH25" s="28"/>
      <c r="HFI25" s="28"/>
      <c r="HFJ25" s="28"/>
      <c r="HFK25" s="28"/>
      <c r="HFL25" s="28"/>
      <c r="HFM25" s="28"/>
      <c r="HFN25" s="28"/>
      <c r="HFO25" s="28"/>
      <c r="HFP25" s="28"/>
      <c r="HFQ25" s="28"/>
      <c r="HFR25" s="28"/>
      <c r="HFS25" s="28"/>
      <c r="HFT25" s="28"/>
      <c r="HFU25" s="28"/>
      <c r="HFV25" s="28"/>
      <c r="HFW25" s="28"/>
      <c r="HFX25" s="28"/>
      <c r="HFY25" s="28"/>
      <c r="HFZ25" s="28"/>
      <c r="HGA25" s="28"/>
      <c r="HGB25" s="28"/>
      <c r="HGC25" s="28"/>
      <c r="HGD25" s="28"/>
      <c r="HGE25" s="28"/>
      <c r="HGF25" s="28"/>
      <c r="HGG25" s="28"/>
      <c r="HGH25" s="28"/>
      <c r="HGI25" s="28"/>
      <c r="HGJ25" s="28"/>
      <c r="HGK25" s="28"/>
      <c r="HGL25" s="28"/>
      <c r="HGM25" s="28"/>
      <c r="HGN25" s="28"/>
      <c r="HGO25" s="28"/>
      <c r="HGP25" s="28"/>
      <c r="HGQ25" s="28"/>
      <c r="HGR25" s="28"/>
      <c r="HGS25" s="28"/>
      <c r="HGT25" s="28"/>
      <c r="HGU25" s="28"/>
      <c r="HGV25" s="28"/>
      <c r="HGW25" s="28"/>
      <c r="HGX25" s="28"/>
      <c r="HGY25" s="28"/>
      <c r="HGZ25" s="28"/>
      <c r="HHA25" s="28"/>
      <c r="HHB25" s="28"/>
      <c r="HHC25" s="28"/>
      <c r="HHD25" s="28"/>
      <c r="HHE25" s="28"/>
      <c r="HHF25" s="28"/>
      <c r="HHG25" s="28"/>
      <c r="HHH25" s="28"/>
      <c r="HHI25" s="28"/>
      <c r="HHJ25" s="28"/>
      <c r="HHK25" s="28"/>
      <c r="HHL25" s="28"/>
      <c r="HHM25" s="28"/>
      <c r="HHN25" s="28"/>
      <c r="HHO25" s="28"/>
      <c r="HHP25" s="28"/>
      <c r="HHQ25" s="28"/>
      <c r="HHR25" s="28"/>
      <c r="HHS25" s="28"/>
      <c r="HHT25" s="28"/>
      <c r="HHU25" s="28"/>
      <c r="HHV25" s="28"/>
      <c r="HHW25" s="28"/>
      <c r="HHX25" s="28"/>
      <c r="HHY25" s="28"/>
      <c r="HHZ25" s="28"/>
      <c r="HIA25" s="28"/>
      <c r="HIB25" s="28"/>
      <c r="HIC25" s="28"/>
      <c r="HID25" s="28"/>
      <c r="HIE25" s="28"/>
      <c r="HIF25" s="28"/>
      <c r="HIG25" s="28"/>
      <c r="HIH25" s="28"/>
      <c r="HII25" s="28"/>
      <c r="HIJ25" s="28"/>
      <c r="HIK25" s="28"/>
      <c r="HIL25" s="28"/>
      <c r="HIM25" s="28"/>
      <c r="HIN25" s="28"/>
      <c r="HIO25" s="28"/>
      <c r="HIP25" s="28"/>
      <c r="HIQ25" s="28"/>
      <c r="HIR25" s="28"/>
      <c r="HIS25" s="28"/>
      <c r="HIT25" s="28"/>
      <c r="HIU25" s="28"/>
      <c r="HIV25" s="28"/>
      <c r="HIW25" s="28"/>
      <c r="HIX25" s="28"/>
      <c r="HIY25" s="28"/>
      <c r="HIZ25" s="28"/>
      <c r="HJA25" s="28"/>
      <c r="HJB25" s="28"/>
      <c r="HJC25" s="28"/>
      <c r="HJD25" s="28"/>
      <c r="HJE25" s="28"/>
      <c r="HJF25" s="28"/>
      <c r="HJG25" s="28"/>
      <c r="HJH25" s="28"/>
      <c r="HJI25" s="28"/>
      <c r="HJJ25" s="28"/>
      <c r="HJK25" s="28"/>
      <c r="HJL25" s="28"/>
      <c r="HJM25" s="28"/>
      <c r="HJN25" s="28"/>
      <c r="HJO25" s="28"/>
      <c r="HJP25" s="28"/>
      <c r="HJQ25" s="28"/>
      <c r="HJR25" s="28"/>
      <c r="HJS25" s="28"/>
      <c r="HJT25" s="28"/>
      <c r="HJU25" s="28"/>
      <c r="HJV25" s="28"/>
      <c r="HJW25" s="28"/>
      <c r="HJX25" s="28"/>
      <c r="HJY25" s="28"/>
      <c r="HJZ25" s="28"/>
      <c r="HKA25" s="28"/>
      <c r="HKB25" s="28"/>
      <c r="HKC25" s="28"/>
      <c r="HKD25" s="28"/>
      <c r="HKE25" s="28"/>
      <c r="HKF25" s="28"/>
      <c r="HKG25" s="28"/>
      <c r="HKH25" s="28"/>
      <c r="HKI25" s="28"/>
      <c r="HKJ25" s="28"/>
      <c r="HKK25" s="28"/>
      <c r="HKL25" s="28"/>
      <c r="HKM25" s="28"/>
      <c r="HKN25" s="28"/>
      <c r="HKO25" s="28"/>
      <c r="HKP25" s="28"/>
      <c r="HKQ25" s="28"/>
      <c r="HKR25" s="28"/>
      <c r="HKS25" s="28"/>
      <c r="HKT25" s="28"/>
      <c r="HKU25" s="28"/>
      <c r="HKV25" s="28"/>
      <c r="HKW25" s="28"/>
      <c r="HKX25" s="28"/>
      <c r="HKY25" s="28"/>
      <c r="HKZ25" s="28"/>
      <c r="HLA25" s="28"/>
      <c r="HLB25" s="28"/>
      <c r="HLC25" s="28"/>
      <c r="HLD25" s="28"/>
      <c r="HLE25" s="28"/>
      <c r="HLF25" s="28"/>
      <c r="HLG25" s="28"/>
      <c r="HLH25" s="28"/>
      <c r="HLI25" s="28"/>
      <c r="HLJ25" s="28"/>
      <c r="HLK25" s="28"/>
      <c r="HLL25" s="28"/>
      <c r="HLM25" s="28"/>
      <c r="HLN25" s="28"/>
      <c r="HLO25" s="28"/>
      <c r="HLP25" s="28"/>
      <c r="HLQ25" s="28"/>
      <c r="HLR25" s="28"/>
      <c r="HLS25" s="28"/>
      <c r="HLT25" s="28"/>
      <c r="HLU25" s="28"/>
      <c r="HLV25" s="28"/>
      <c r="HLW25" s="28"/>
      <c r="HLX25" s="28"/>
      <c r="HLY25" s="28"/>
      <c r="HLZ25" s="28"/>
      <c r="HMA25" s="28"/>
      <c r="HMB25" s="28"/>
      <c r="HMC25" s="28"/>
      <c r="HMD25" s="28"/>
      <c r="HME25" s="28"/>
      <c r="HMF25" s="28"/>
      <c r="HMG25" s="28"/>
      <c r="HMH25" s="28"/>
      <c r="HMI25" s="28"/>
      <c r="HMJ25" s="28"/>
      <c r="HMK25" s="28"/>
      <c r="HML25" s="28"/>
      <c r="HMM25" s="28"/>
      <c r="HMN25" s="28"/>
      <c r="HMO25" s="28"/>
      <c r="HMP25" s="28"/>
      <c r="HMQ25" s="28"/>
      <c r="HMR25" s="28"/>
      <c r="HMS25" s="28"/>
      <c r="HMT25" s="28"/>
      <c r="HMU25" s="28"/>
      <c r="HMV25" s="28"/>
      <c r="HMW25" s="28"/>
      <c r="HMX25" s="28"/>
      <c r="HMY25" s="28"/>
      <c r="HMZ25" s="28"/>
      <c r="HNA25" s="28"/>
      <c r="HNB25" s="28"/>
      <c r="HNC25" s="28"/>
      <c r="HND25" s="28"/>
      <c r="HNE25" s="28"/>
      <c r="HNF25" s="28"/>
      <c r="HNG25" s="28"/>
      <c r="HNH25" s="28"/>
      <c r="HNI25" s="28"/>
      <c r="HNJ25" s="28"/>
      <c r="HNK25" s="28"/>
      <c r="HNL25" s="28"/>
      <c r="HNM25" s="28"/>
      <c r="HNN25" s="28"/>
      <c r="HNO25" s="28"/>
      <c r="HNP25" s="28"/>
      <c r="HNQ25" s="28"/>
      <c r="HNR25" s="28"/>
      <c r="HNS25" s="28"/>
      <c r="HNT25" s="28"/>
      <c r="HNU25" s="28"/>
      <c r="HNV25" s="28"/>
      <c r="HNW25" s="28"/>
      <c r="HNX25" s="28"/>
      <c r="HNY25" s="28"/>
      <c r="HNZ25" s="28"/>
      <c r="HOA25" s="28"/>
      <c r="HOB25" s="28"/>
      <c r="HOC25" s="28"/>
      <c r="HOD25" s="28"/>
      <c r="HOE25" s="28"/>
      <c r="HOF25" s="28"/>
      <c r="HOG25" s="28"/>
      <c r="HOH25" s="28"/>
      <c r="HOI25" s="28"/>
      <c r="HOJ25" s="28"/>
      <c r="HOK25" s="28"/>
      <c r="HOL25" s="28"/>
      <c r="HOM25" s="28"/>
      <c r="HON25" s="28"/>
      <c r="HOO25" s="28"/>
      <c r="HOP25" s="28"/>
      <c r="HOQ25" s="28"/>
      <c r="HOR25" s="28"/>
      <c r="HOS25" s="28"/>
      <c r="HOT25" s="28"/>
      <c r="HOU25" s="28"/>
      <c r="HOV25" s="28"/>
      <c r="HOW25" s="28"/>
      <c r="HOX25" s="28"/>
      <c r="HOY25" s="28"/>
      <c r="HOZ25" s="28"/>
      <c r="HPA25" s="28"/>
      <c r="HPB25" s="28"/>
      <c r="HPC25" s="28"/>
      <c r="HPD25" s="28"/>
      <c r="HPE25" s="28"/>
      <c r="HPF25" s="28"/>
      <c r="HPG25" s="28"/>
      <c r="HPH25" s="28"/>
      <c r="HPI25" s="28"/>
      <c r="HPJ25" s="28"/>
      <c r="HPK25" s="28"/>
      <c r="HPL25" s="28"/>
      <c r="HPM25" s="28"/>
      <c r="HPN25" s="28"/>
      <c r="HPO25" s="28"/>
      <c r="HPP25" s="28"/>
      <c r="HPQ25" s="28"/>
      <c r="HPR25" s="28"/>
      <c r="HPS25" s="28"/>
      <c r="HPT25" s="28"/>
      <c r="HPU25" s="28"/>
      <c r="HPV25" s="28"/>
      <c r="HPW25" s="28"/>
      <c r="HPX25" s="28"/>
      <c r="HPY25" s="28"/>
      <c r="HPZ25" s="28"/>
      <c r="HQA25" s="28"/>
      <c r="HQB25" s="28"/>
      <c r="HQC25" s="28"/>
      <c r="HQD25" s="28"/>
      <c r="HQE25" s="28"/>
      <c r="HQF25" s="28"/>
      <c r="HQG25" s="28"/>
      <c r="HQH25" s="28"/>
      <c r="HQI25" s="28"/>
      <c r="HQJ25" s="28"/>
      <c r="HQK25" s="28"/>
      <c r="HQL25" s="28"/>
      <c r="HQM25" s="28"/>
      <c r="HQN25" s="28"/>
      <c r="HQO25" s="28"/>
      <c r="HQP25" s="28"/>
      <c r="HQQ25" s="28"/>
      <c r="HQR25" s="28"/>
      <c r="HQS25" s="28"/>
      <c r="HQT25" s="28"/>
      <c r="HQU25" s="28"/>
      <c r="HQV25" s="28"/>
      <c r="HQW25" s="28"/>
      <c r="HQX25" s="28"/>
      <c r="HQY25" s="28"/>
      <c r="HQZ25" s="28"/>
      <c r="HRA25" s="28"/>
      <c r="HRB25" s="28"/>
      <c r="HRC25" s="28"/>
      <c r="HRD25" s="28"/>
      <c r="HRE25" s="28"/>
      <c r="HRF25" s="28"/>
      <c r="HRG25" s="28"/>
      <c r="HRH25" s="28"/>
      <c r="HRI25" s="28"/>
      <c r="HRJ25" s="28"/>
      <c r="HRK25" s="28"/>
      <c r="HRL25" s="28"/>
      <c r="HRM25" s="28"/>
      <c r="HRN25" s="28"/>
      <c r="HRO25" s="28"/>
      <c r="HRP25" s="28"/>
      <c r="HRQ25" s="28"/>
      <c r="HRR25" s="28"/>
      <c r="HRS25" s="28"/>
      <c r="HRT25" s="28"/>
      <c r="HRU25" s="28"/>
      <c r="HRV25" s="28"/>
      <c r="HRW25" s="28"/>
      <c r="HRX25" s="28"/>
      <c r="HRY25" s="28"/>
      <c r="HRZ25" s="28"/>
      <c r="HSA25" s="28"/>
      <c r="HSB25" s="28"/>
      <c r="HSC25" s="28"/>
      <c r="HSD25" s="28"/>
      <c r="HSE25" s="28"/>
      <c r="HSF25" s="28"/>
      <c r="HSG25" s="28"/>
      <c r="HSH25" s="28"/>
      <c r="HSI25" s="28"/>
      <c r="HSJ25" s="28"/>
      <c r="HSK25" s="28"/>
      <c r="HSL25" s="28"/>
      <c r="HSM25" s="28"/>
      <c r="HSN25" s="28"/>
      <c r="HSO25" s="28"/>
      <c r="HSP25" s="28"/>
      <c r="HSQ25" s="28"/>
      <c r="HSR25" s="28"/>
      <c r="HSS25" s="28"/>
      <c r="HST25" s="28"/>
      <c r="HSU25" s="28"/>
      <c r="HSV25" s="28"/>
      <c r="HSW25" s="28"/>
      <c r="HSX25" s="28"/>
      <c r="HSY25" s="28"/>
      <c r="HSZ25" s="28"/>
      <c r="HTA25" s="28"/>
      <c r="HTB25" s="28"/>
      <c r="HTC25" s="28"/>
      <c r="HTD25" s="28"/>
      <c r="HTE25" s="28"/>
      <c r="HTF25" s="28"/>
      <c r="HTG25" s="28"/>
      <c r="HTH25" s="28"/>
      <c r="HTI25" s="28"/>
      <c r="HTJ25" s="28"/>
      <c r="HTK25" s="28"/>
      <c r="HTL25" s="28"/>
      <c r="HTM25" s="28"/>
      <c r="HTN25" s="28"/>
      <c r="HTO25" s="28"/>
      <c r="HTP25" s="28"/>
      <c r="HTQ25" s="28"/>
      <c r="HTR25" s="28"/>
      <c r="HTS25" s="28"/>
      <c r="HTT25" s="28"/>
      <c r="HTU25" s="28"/>
      <c r="HTV25" s="28"/>
      <c r="HTW25" s="28"/>
      <c r="HTX25" s="28"/>
      <c r="HTY25" s="28"/>
      <c r="HTZ25" s="28"/>
      <c r="HUA25" s="28"/>
      <c r="HUB25" s="28"/>
      <c r="HUC25" s="28"/>
      <c r="HUD25" s="28"/>
      <c r="HUE25" s="28"/>
      <c r="HUF25" s="28"/>
      <c r="HUG25" s="28"/>
      <c r="HUH25" s="28"/>
      <c r="HUI25" s="28"/>
      <c r="HUJ25" s="28"/>
      <c r="HUK25" s="28"/>
      <c r="HUL25" s="28"/>
      <c r="HUM25" s="28"/>
      <c r="HUN25" s="28"/>
      <c r="HUO25" s="28"/>
      <c r="HUP25" s="28"/>
      <c r="HUQ25" s="28"/>
      <c r="HUR25" s="28"/>
      <c r="HUS25" s="28"/>
      <c r="HUT25" s="28"/>
      <c r="HUU25" s="28"/>
      <c r="HUV25" s="28"/>
      <c r="HUW25" s="28"/>
      <c r="HUX25" s="28"/>
      <c r="HUY25" s="28"/>
      <c r="HUZ25" s="28"/>
      <c r="HVA25" s="28"/>
      <c r="HVB25" s="28"/>
      <c r="HVC25" s="28"/>
      <c r="HVD25" s="28"/>
      <c r="HVE25" s="28"/>
      <c r="HVF25" s="28"/>
      <c r="HVG25" s="28"/>
      <c r="HVH25" s="28"/>
      <c r="HVI25" s="28"/>
      <c r="HVJ25" s="28"/>
      <c r="HVK25" s="28"/>
      <c r="HVL25" s="28"/>
      <c r="HVM25" s="28"/>
      <c r="HVN25" s="28"/>
      <c r="HVO25" s="28"/>
      <c r="HVP25" s="28"/>
      <c r="HVQ25" s="28"/>
      <c r="HVR25" s="28"/>
      <c r="HVS25" s="28"/>
      <c r="HVT25" s="28"/>
      <c r="HVU25" s="28"/>
      <c r="HVV25" s="28"/>
      <c r="HVW25" s="28"/>
      <c r="HVX25" s="28"/>
      <c r="HVY25" s="28"/>
      <c r="HVZ25" s="28"/>
      <c r="HWA25" s="28"/>
      <c r="HWB25" s="28"/>
      <c r="HWC25" s="28"/>
      <c r="HWD25" s="28"/>
      <c r="HWE25" s="28"/>
      <c r="HWF25" s="28"/>
      <c r="HWG25" s="28"/>
      <c r="HWH25" s="28"/>
      <c r="HWI25" s="28"/>
      <c r="HWJ25" s="28"/>
      <c r="HWK25" s="28"/>
      <c r="HWL25" s="28"/>
      <c r="HWM25" s="28"/>
      <c r="HWN25" s="28"/>
      <c r="HWO25" s="28"/>
      <c r="HWP25" s="28"/>
      <c r="HWQ25" s="28"/>
      <c r="HWR25" s="28"/>
      <c r="HWS25" s="28"/>
      <c r="HWT25" s="28"/>
      <c r="HWU25" s="28"/>
      <c r="HWV25" s="28"/>
      <c r="HWW25" s="28"/>
      <c r="HWX25" s="28"/>
      <c r="HWY25" s="28"/>
      <c r="HWZ25" s="28"/>
      <c r="HXA25" s="28"/>
      <c r="HXB25" s="28"/>
      <c r="HXC25" s="28"/>
      <c r="HXD25" s="28"/>
      <c r="HXE25" s="28"/>
      <c r="HXF25" s="28"/>
      <c r="HXG25" s="28"/>
      <c r="HXH25" s="28"/>
      <c r="HXI25" s="28"/>
      <c r="HXJ25" s="28"/>
      <c r="HXK25" s="28"/>
      <c r="HXL25" s="28"/>
      <c r="HXM25" s="28"/>
      <c r="HXN25" s="28"/>
      <c r="HXO25" s="28"/>
      <c r="HXP25" s="28"/>
      <c r="HXQ25" s="28"/>
      <c r="HXR25" s="28"/>
      <c r="HXS25" s="28"/>
      <c r="HXT25" s="28"/>
      <c r="HXU25" s="28"/>
      <c r="HXV25" s="28"/>
      <c r="HXW25" s="28"/>
      <c r="HXX25" s="28"/>
      <c r="HXY25" s="28"/>
      <c r="HXZ25" s="28"/>
      <c r="HYA25" s="28"/>
      <c r="HYB25" s="28"/>
      <c r="HYC25" s="28"/>
      <c r="HYD25" s="28"/>
      <c r="HYE25" s="28"/>
      <c r="HYF25" s="28"/>
      <c r="HYG25" s="28"/>
      <c r="HYH25" s="28"/>
      <c r="HYI25" s="28"/>
      <c r="HYJ25" s="28"/>
      <c r="HYK25" s="28"/>
      <c r="HYL25" s="28"/>
      <c r="HYM25" s="28"/>
      <c r="HYN25" s="28"/>
      <c r="HYO25" s="28"/>
      <c r="HYP25" s="28"/>
      <c r="HYQ25" s="28"/>
      <c r="HYR25" s="28"/>
      <c r="HYS25" s="28"/>
      <c r="HYT25" s="28"/>
      <c r="HYU25" s="28"/>
      <c r="HYV25" s="28"/>
      <c r="HYW25" s="28"/>
      <c r="HYX25" s="28"/>
      <c r="HYY25" s="28"/>
      <c r="HYZ25" s="28"/>
      <c r="HZA25" s="28"/>
      <c r="HZB25" s="28"/>
      <c r="HZC25" s="28"/>
      <c r="HZD25" s="28"/>
      <c r="HZE25" s="28"/>
      <c r="HZF25" s="28"/>
      <c r="HZG25" s="28"/>
      <c r="HZH25" s="28"/>
      <c r="HZI25" s="28"/>
      <c r="HZJ25" s="28"/>
      <c r="HZK25" s="28"/>
      <c r="HZL25" s="28"/>
      <c r="HZM25" s="28"/>
      <c r="HZN25" s="28"/>
      <c r="HZO25" s="28"/>
      <c r="HZP25" s="28"/>
      <c r="HZQ25" s="28"/>
      <c r="HZR25" s="28"/>
      <c r="HZS25" s="28"/>
      <c r="HZT25" s="28"/>
      <c r="HZU25" s="28"/>
      <c r="HZV25" s="28"/>
      <c r="HZW25" s="28"/>
      <c r="HZX25" s="28"/>
      <c r="HZY25" s="28"/>
      <c r="HZZ25" s="28"/>
      <c r="IAA25" s="28"/>
      <c r="IAB25" s="28"/>
      <c r="IAC25" s="28"/>
      <c r="IAD25" s="28"/>
      <c r="IAE25" s="28"/>
      <c r="IAF25" s="28"/>
      <c r="IAG25" s="28"/>
      <c r="IAH25" s="28"/>
      <c r="IAI25" s="28"/>
      <c r="IAJ25" s="28"/>
      <c r="IAK25" s="28"/>
      <c r="IAL25" s="28"/>
      <c r="IAM25" s="28"/>
      <c r="IAN25" s="28"/>
      <c r="IAO25" s="28"/>
      <c r="IAP25" s="28"/>
      <c r="IAQ25" s="28"/>
      <c r="IAR25" s="28"/>
      <c r="IAS25" s="28"/>
      <c r="IAT25" s="28"/>
      <c r="IAU25" s="28"/>
      <c r="IAV25" s="28"/>
      <c r="IAW25" s="28"/>
      <c r="IAX25" s="28"/>
      <c r="IAY25" s="28"/>
      <c r="IAZ25" s="28"/>
      <c r="IBA25" s="28"/>
      <c r="IBB25" s="28"/>
      <c r="IBC25" s="28"/>
      <c r="IBD25" s="28"/>
      <c r="IBE25" s="28"/>
      <c r="IBF25" s="28"/>
      <c r="IBG25" s="28"/>
      <c r="IBH25" s="28"/>
      <c r="IBI25" s="28"/>
      <c r="IBJ25" s="28"/>
      <c r="IBK25" s="28"/>
      <c r="IBL25" s="28"/>
      <c r="IBM25" s="28"/>
      <c r="IBN25" s="28"/>
      <c r="IBO25" s="28"/>
      <c r="IBP25" s="28"/>
      <c r="IBQ25" s="28"/>
      <c r="IBR25" s="28"/>
      <c r="IBS25" s="28"/>
      <c r="IBT25" s="28"/>
      <c r="IBU25" s="28"/>
      <c r="IBV25" s="28"/>
      <c r="IBW25" s="28"/>
      <c r="IBX25" s="28"/>
      <c r="IBY25" s="28"/>
      <c r="IBZ25" s="28"/>
      <c r="ICA25" s="28"/>
      <c r="ICB25" s="28"/>
      <c r="ICC25" s="28"/>
      <c r="ICD25" s="28"/>
      <c r="ICE25" s="28"/>
      <c r="ICF25" s="28"/>
      <c r="ICG25" s="28"/>
      <c r="ICH25" s="28"/>
      <c r="ICI25" s="28"/>
      <c r="ICJ25" s="28"/>
      <c r="ICK25" s="28"/>
      <c r="ICL25" s="28"/>
      <c r="ICM25" s="28"/>
      <c r="ICN25" s="28"/>
      <c r="ICO25" s="28"/>
      <c r="ICP25" s="28"/>
      <c r="ICQ25" s="28"/>
      <c r="ICR25" s="28"/>
      <c r="ICS25" s="28"/>
      <c r="ICT25" s="28"/>
      <c r="ICU25" s="28"/>
      <c r="ICV25" s="28"/>
      <c r="ICW25" s="28"/>
      <c r="ICX25" s="28"/>
      <c r="ICY25" s="28"/>
      <c r="ICZ25" s="28"/>
      <c r="IDA25" s="28"/>
      <c r="IDB25" s="28"/>
      <c r="IDC25" s="28"/>
      <c r="IDD25" s="28"/>
      <c r="IDE25" s="28"/>
      <c r="IDF25" s="28"/>
      <c r="IDG25" s="28"/>
      <c r="IDH25" s="28"/>
      <c r="IDI25" s="28"/>
      <c r="IDJ25" s="28"/>
      <c r="IDK25" s="28"/>
      <c r="IDL25" s="28"/>
      <c r="IDM25" s="28"/>
      <c r="IDN25" s="28"/>
      <c r="IDO25" s="28"/>
      <c r="IDP25" s="28"/>
      <c r="IDQ25" s="28"/>
      <c r="IDR25" s="28"/>
      <c r="IDS25" s="28"/>
      <c r="IDT25" s="28"/>
      <c r="IDU25" s="28"/>
      <c r="IDV25" s="28"/>
      <c r="IDW25" s="28"/>
      <c r="IDX25" s="28"/>
      <c r="IDY25" s="28"/>
      <c r="IDZ25" s="28"/>
      <c r="IEA25" s="28"/>
      <c r="IEB25" s="28"/>
      <c r="IEC25" s="28"/>
      <c r="IED25" s="28"/>
      <c r="IEE25" s="28"/>
      <c r="IEF25" s="28"/>
      <c r="IEG25" s="28"/>
      <c r="IEH25" s="28"/>
      <c r="IEI25" s="28"/>
      <c r="IEJ25" s="28"/>
      <c r="IEK25" s="28"/>
      <c r="IEL25" s="28"/>
      <c r="IEM25" s="28"/>
      <c r="IEN25" s="28"/>
      <c r="IEO25" s="28"/>
      <c r="IEP25" s="28"/>
      <c r="IEQ25" s="28"/>
      <c r="IER25" s="28"/>
      <c r="IES25" s="28"/>
      <c r="IET25" s="28"/>
      <c r="IEU25" s="28"/>
      <c r="IEV25" s="28"/>
      <c r="IEW25" s="28"/>
      <c r="IEX25" s="28"/>
      <c r="IEY25" s="28"/>
      <c r="IEZ25" s="28"/>
      <c r="IFA25" s="28"/>
      <c r="IFB25" s="28"/>
      <c r="IFC25" s="28"/>
      <c r="IFD25" s="28"/>
      <c r="IFE25" s="28"/>
      <c r="IFF25" s="28"/>
      <c r="IFG25" s="28"/>
      <c r="IFH25" s="28"/>
      <c r="IFI25" s="28"/>
      <c r="IFJ25" s="28"/>
      <c r="IFK25" s="28"/>
      <c r="IFL25" s="28"/>
      <c r="IFM25" s="28"/>
      <c r="IFN25" s="28"/>
      <c r="IFO25" s="28"/>
      <c r="IFP25" s="28"/>
      <c r="IFQ25" s="28"/>
      <c r="IFR25" s="28"/>
      <c r="IFS25" s="28"/>
      <c r="IFT25" s="28"/>
      <c r="IFU25" s="28"/>
      <c r="IFV25" s="28"/>
      <c r="IFW25" s="28"/>
      <c r="IFX25" s="28"/>
      <c r="IFY25" s="28"/>
      <c r="IFZ25" s="28"/>
      <c r="IGA25" s="28"/>
      <c r="IGB25" s="28"/>
      <c r="IGC25" s="28"/>
      <c r="IGD25" s="28"/>
      <c r="IGE25" s="28"/>
      <c r="IGF25" s="28"/>
      <c r="IGG25" s="28"/>
      <c r="IGH25" s="28"/>
      <c r="IGI25" s="28"/>
      <c r="IGJ25" s="28"/>
      <c r="IGK25" s="28"/>
      <c r="IGL25" s="28"/>
      <c r="IGM25" s="28"/>
      <c r="IGN25" s="28"/>
      <c r="IGO25" s="28"/>
      <c r="IGP25" s="28"/>
      <c r="IGQ25" s="28"/>
      <c r="IGR25" s="28"/>
      <c r="IGS25" s="28"/>
      <c r="IGT25" s="28"/>
      <c r="IGU25" s="28"/>
      <c r="IGV25" s="28"/>
      <c r="IGW25" s="28"/>
      <c r="IGX25" s="28"/>
      <c r="IGY25" s="28"/>
      <c r="IGZ25" s="28"/>
      <c r="IHA25" s="28"/>
      <c r="IHB25" s="28"/>
      <c r="IHC25" s="28"/>
      <c r="IHD25" s="28"/>
      <c r="IHE25" s="28"/>
      <c r="IHF25" s="28"/>
      <c r="IHG25" s="28"/>
      <c r="IHH25" s="28"/>
      <c r="IHI25" s="28"/>
      <c r="IHJ25" s="28"/>
      <c r="IHK25" s="28"/>
      <c r="IHL25" s="28"/>
      <c r="IHM25" s="28"/>
      <c r="IHN25" s="28"/>
      <c r="IHO25" s="28"/>
      <c r="IHP25" s="28"/>
      <c r="IHQ25" s="28"/>
      <c r="IHR25" s="28"/>
      <c r="IHS25" s="28"/>
      <c r="IHT25" s="28"/>
      <c r="IHU25" s="28"/>
      <c r="IHV25" s="28"/>
      <c r="IHW25" s="28"/>
      <c r="IHX25" s="28"/>
      <c r="IHY25" s="28"/>
      <c r="IHZ25" s="28"/>
      <c r="IIA25" s="28"/>
      <c r="IIB25" s="28"/>
      <c r="IIC25" s="28"/>
      <c r="IID25" s="28"/>
      <c r="IIE25" s="28"/>
      <c r="IIF25" s="28"/>
      <c r="IIG25" s="28"/>
      <c r="IIH25" s="28"/>
      <c r="III25" s="28"/>
      <c r="IIJ25" s="28"/>
      <c r="IIK25" s="28"/>
      <c r="IIL25" s="28"/>
      <c r="IIM25" s="28"/>
      <c r="IIN25" s="28"/>
      <c r="IIO25" s="28"/>
      <c r="IIP25" s="28"/>
      <c r="IIQ25" s="28"/>
      <c r="IIR25" s="28"/>
      <c r="IIS25" s="28"/>
      <c r="IIT25" s="28"/>
      <c r="IIU25" s="28"/>
      <c r="IIV25" s="28"/>
      <c r="IIW25" s="28"/>
      <c r="IIX25" s="28"/>
      <c r="IIY25" s="28"/>
      <c r="IIZ25" s="28"/>
      <c r="IJA25" s="28"/>
      <c r="IJB25" s="28"/>
      <c r="IJC25" s="28"/>
      <c r="IJD25" s="28"/>
      <c r="IJE25" s="28"/>
      <c r="IJF25" s="28"/>
      <c r="IJG25" s="28"/>
      <c r="IJH25" s="28"/>
      <c r="IJI25" s="28"/>
      <c r="IJJ25" s="28"/>
      <c r="IJK25" s="28"/>
      <c r="IJL25" s="28"/>
      <c r="IJM25" s="28"/>
      <c r="IJN25" s="28"/>
      <c r="IJO25" s="28"/>
      <c r="IJP25" s="28"/>
      <c r="IJQ25" s="28"/>
      <c r="IJR25" s="28"/>
      <c r="IJS25" s="28"/>
      <c r="IJT25" s="28"/>
      <c r="IJU25" s="28"/>
      <c r="IJV25" s="28"/>
      <c r="IJW25" s="28"/>
      <c r="IJX25" s="28"/>
      <c r="IJY25" s="28"/>
      <c r="IJZ25" s="28"/>
      <c r="IKA25" s="28"/>
      <c r="IKB25" s="28"/>
      <c r="IKC25" s="28"/>
      <c r="IKD25" s="28"/>
      <c r="IKE25" s="28"/>
      <c r="IKF25" s="28"/>
      <c r="IKG25" s="28"/>
      <c r="IKH25" s="28"/>
      <c r="IKI25" s="28"/>
      <c r="IKJ25" s="28"/>
      <c r="IKK25" s="28"/>
      <c r="IKL25" s="28"/>
      <c r="IKM25" s="28"/>
      <c r="IKN25" s="28"/>
      <c r="IKO25" s="28"/>
      <c r="IKP25" s="28"/>
      <c r="IKQ25" s="28"/>
      <c r="IKR25" s="28"/>
      <c r="IKS25" s="28"/>
      <c r="IKT25" s="28"/>
      <c r="IKU25" s="28"/>
      <c r="IKV25" s="28"/>
      <c r="IKW25" s="28"/>
      <c r="IKX25" s="28"/>
      <c r="IKY25" s="28"/>
      <c r="IKZ25" s="28"/>
      <c r="ILA25" s="28"/>
      <c r="ILB25" s="28"/>
      <c r="ILC25" s="28"/>
      <c r="ILD25" s="28"/>
      <c r="ILE25" s="28"/>
      <c r="ILF25" s="28"/>
      <c r="ILG25" s="28"/>
      <c r="ILH25" s="28"/>
      <c r="ILI25" s="28"/>
      <c r="ILJ25" s="28"/>
      <c r="ILK25" s="28"/>
      <c r="ILL25" s="28"/>
      <c r="ILM25" s="28"/>
      <c r="ILN25" s="28"/>
      <c r="ILO25" s="28"/>
      <c r="ILP25" s="28"/>
      <c r="ILQ25" s="28"/>
      <c r="ILR25" s="28"/>
      <c r="ILS25" s="28"/>
      <c r="ILT25" s="28"/>
      <c r="ILU25" s="28"/>
      <c r="ILV25" s="28"/>
      <c r="ILW25" s="28"/>
      <c r="ILX25" s="28"/>
      <c r="ILY25" s="28"/>
      <c r="ILZ25" s="28"/>
      <c r="IMA25" s="28"/>
      <c r="IMB25" s="28"/>
      <c r="IMC25" s="28"/>
      <c r="IMD25" s="28"/>
      <c r="IME25" s="28"/>
      <c r="IMF25" s="28"/>
      <c r="IMG25" s="28"/>
      <c r="IMH25" s="28"/>
      <c r="IMI25" s="28"/>
      <c r="IMJ25" s="28"/>
      <c r="IMK25" s="28"/>
      <c r="IML25" s="28"/>
      <c r="IMM25" s="28"/>
      <c r="IMN25" s="28"/>
      <c r="IMO25" s="28"/>
      <c r="IMP25" s="28"/>
      <c r="IMQ25" s="28"/>
      <c r="IMR25" s="28"/>
      <c r="IMS25" s="28"/>
      <c r="IMT25" s="28"/>
      <c r="IMU25" s="28"/>
      <c r="IMV25" s="28"/>
      <c r="IMW25" s="28"/>
      <c r="IMX25" s="28"/>
      <c r="IMY25" s="28"/>
      <c r="IMZ25" s="28"/>
      <c r="INA25" s="28"/>
      <c r="INB25" s="28"/>
      <c r="INC25" s="28"/>
      <c r="IND25" s="28"/>
      <c r="INE25" s="28"/>
      <c r="INF25" s="28"/>
      <c r="ING25" s="28"/>
      <c r="INH25" s="28"/>
      <c r="INI25" s="28"/>
      <c r="INJ25" s="28"/>
      <c r="INK25" s="28"/>
      <c r="INL25" s="28"/>
      <c r="INM25" s="28"/>
      <c r="INN25" s="28"/>
      <c r="INO25" s="28"/>
      <c r="INP25" s="28"/>
      <c r="INQ25" s="28"/>
      <c r="INR25" s="28"/>
      <c r="INS25" s="28"/>
      <c r="INT25" s="28"/>
      <c r="INU25" s="28"/>
      <c r="INV25" s="28"/>
      <c r="INW25" s="28"/>
      <c r="INX25" s="28"/>
      <c r="INY25" s="28"/>
      <c r="INZ25" s="28"/>
      <c r="IOA25" s="28"/>
      <c r="IOB25" s="28"/>
      <c r="IOC25" s="28"/>
      <c r="IOD25" s="28"/>
      <c r="IOE25" s="28"/>
      <c r="IOF25" s="28"/>
      <c r="IOG25" s="28"/>
      <c r="IOH25" s="28"/>
      <c r="IOI25" s="28"/>
      <c r="IOJ25" s="28"/>
      <c r="IOK25" s="28"/>
      <c r="IOL25" s="28"/>
      <c r="IOM25" s="28"/>
      <c r="ION25" s="28"/>
      <c r="IOO25" s="28"/>
      <c r="IOP25" s="28"/>
      <c r="IOQ25" s="28"/>
      <c r="IOR25" s="28"/>
      <c r="IOS25" s="28"/>
      <c r="IOT25" s="28"/>
      <c r="IOU25" s="28"/>
      <c r="IOV25" s="28"/>
      <c r="IOW25" s="28"/>
      <c r="IOX25" s="28"/>
      <c r="IOY25" s="28"/>
      <c r="IOZ25" s="28"/>
      <c r="IPA25" s="28"/>
      <c r="IPB25" s="28"/>
      <c r="IPC25" s="28"/>
      <c r="IPD25" s="28"/>
      <c r="IPE25" s="28"/>
      <c r="IPF25" s="28"/>
      <c r="IPG25" s="28"/>
      <c r="IPH25" s="28"/>
      <c r="IPI25" s="28"/>
      <c r="IPJ25" s="28"/>
      <c r="IPK25" s="28"/>
      <c r="IPL25" s="28"/>
      <c r="IPM25" s="28"/>
      <c r="IPN25" s="28"/>
      <c r="IPO25" s="28"/>
      <c r="IPP25" s="28"/>
      <c r="IPQ25" s="28"/>
      <c r="IPR25" s="28"/>
      <c r="IPS25" s="28"/>
      <c r="IPT25" s="28"/>
      <c r="IPU25" s="28"/>
      <c r="IPV25" s="28"/>
      <c r="IPW25" s="28"/>
      <c r="IPX25" s="28"/>
      <c r="IPY25" s="28"/>
      <c r="IPZ25" s="28"/>
      <c r="IQA25" s="28"/>
      <c r="IQB25" s="28"/>
      <c r="IQC25" s="28"/>
      <c r="IQD25" s="28"/>
      <c r="IQE25" s="28"/>
      <c r="IQF25" s="28"/>
      <c r="IQG25" s="28"/>
      <c r="IQH25" s="28"/>
      <c r="IQI25" s="28"/>
      <c r="IQJ25" s="28"/>
      <c r="IQK25" s="28"/>
      <c r="IQL25" s="28"/>
      <c r="IQM25" s="28"/>
      <c r="IQN25" s="28"/>
      <c r="IQO25" s="28"/>
      <c r="IQP25" s="28"/>
      <c r="IQQ25" s="28"/>
      <c r="IQR25" s="28"/>
      <c r="IQS25" s="28"/>
      <c r="IQT25" s="28"/>
      <c r="IQU25" s="28"/>
      <c r="IQV25" s="28"/>
      <c r="IQW25" s="28"/>
      <c r="IQX25" s="28"/>
      <c r="IQY25" s="28"/>
      <c r="IQZ25" s="28"/>
      <c r="IRA25" s="28"/>
      <c r="IRB25" s="28"/>
      <c r="IRC25" s="28"/>
      <c r="IRD25" s="28"/>
      <c r="IRE25" s="28"/>
      <c r="IRF25" s="28"/>
      <c r="IRG25" s="28"/>
      <c r="IRH25" s="28"/>
      <c r="IRI25" s="28"/>
      <c r="IRJ25" s="28"/>
      <c r="IRK25" s="28"/>
      <c r="IRL25" s="28"/>
      <c r="IRM25" s="28"/>
      <c r="IRN25" s="28"/>
      <c r="IRO25" s="28"/>
      <c r="IRP25" s="28"/>
      <c r="IRQ25" s="28"/>
      <c r="IRR25" s="28"/>
      <c r="IRS25" s="28"/>
      <c r="IRT25" s="28"/>
      <c r="IRU25" s="28"/>
      <c r="IRV25" s="28"/>
      <c r="IRW25" s="28"/>
      <c r="IRX25" s="28"/>
      <c r="IRY25" s="28"/>
      <c r="IRZ25" s="28"/>
      <c r="ISA25" s="28"/>
      <c r="ISB25" s="28"/>
      <c r="ISC25" s="28"/>
      <c r="ISD25" s="28"/>
      <c r="ISE25" s="28"/>
      <c r="ISF25" s="28"/>
      <c r="ISG25" s="28"/>
      <c r="ISH25" s="28"/>
      <c r="ISI25" s="28"/>
      <c r="ISJ25" s="28"/>
      <c r="ISK25" s="28"/>
      <c r="ISL25" s="28"/>
      <c r="ISM25" s="28"/>
      <c r="ISN25" s="28"/>
      <c r="ISO25" s="28"/>
      <c r="ISP25" s="28"/>
      <c r="ISQ25" s="28"/>
      <c r="ISR25" s="28"/>
      <c r="ISS25" s="28"/>
      <c r="IST25" s="28"/>
      <c r="ISU25" s="28"/>
      <c r="ISV25" s="28"/>
      <c r="ISW25" s="28"/>
      <c r="ISX25" s="28"/>
      <c r="ISY25" s="28"/>
      <c r="ISZ25" s="28"/>
      <c r="ITA25" s="28"/>
      <c r="ITB25" s="28"/>
      <c r="ITC25" s="28"/>
      <c r="ITD25" s="28"/>
      <c r="ITE25" s="28"/>
      <c r="ITF25" s="28"/>
      <c r="ITG25" s="28"/>
      <c r="ITH25" s="28"/>
      <c r="ITI25" s="28"/>
      <c r="ITJ25" s="28"/>
      <c r="ITK25" s="28"/>
      <c r="ITL25" s="28"/>
      <c r="ITM25" s="28"/>
      <c r="ITN25" s="28"/>
      <c r="ITO25" s="28"/>
      <c r="ITP25" s="28"/>
      <c r="ITQ25" s="28"/>
      <c r="ITR25" s="28"/>
      <c r="ITS25" s="28"/>
      <c r="ITT25" s="28"/>
      <c r="ITU25" s="28"/>
      <c r="ITV25" s="28"/>
      <c r="ITW25" s="28"/>
      <c r="ITX25" s="28"/>
      <c r="ITY25" s="28"/>
      <c r="ITZ25" s="28"/>
      <c r="IUA25" s="28"/>
      <c r="IUB25" s="28"/>
      <c r="IUC25" s="28"/>
      <c r="IUD25" s="28"/>
      <c r="IUE25" s="28"/>
      <c r="IUF25" s="28"/>
      <c r="IUG25" s="28"/>
      <c r="IUH25" s="28"/>
      <c r="IUI25" s="28"/>
      <c r="IUJ25" s="28"/>
      <c r="IUK25" s="28"/>
      <c r="IUL25" s="28"/>
      <c r="IUM25" s="28"/>
      <c r="IUN25" s="28"/>
      <c r="IUO25" s="28"/>
      <c r="IUP25" s="28"/>
      <c r="IUQ25" s="28"/>
      <c r="IUR25" s="28"/>
      <c r="IUS25" s="28"/>
      <c r="IUT25" s="28"/>
      <c r="IUU25" s="28"/>
      <c r="IUV25" s="28"/>
      <c r="IUW25" s="28"/>
      <c r="IUX25" s="28"/>
      <c r="IUY25" s="28"/>
      <c r="IUZ25" s="28"/>
      <c r="IVA25" s="28"/>
      <c r="IVB25" s="28"/>
      <c r="IVC25" s="28"/>
      <c r="IVD25" s="28"/>
      <c r="IVE25" s="28"/>
      <c r="IVF25" s="28"/>
      <c r="IVG25" s="28"/>
      <c r="IVH25" s="28"/>
      <c r="IVI25" s="28"/>
      <c r="IVJ25" s="28"/>
      <c r="IVK25" s="28"/>
      <c r="IVL25" s="28"/>
      <c r="IVM25" s="28"/>
      <c r="IVN25" s="28"/>
      <c r="IVO25" s="28"/>
      <c r="IVP25" s="28"/>
      <c r="IVQ25" s="28"/>
      <c r="IVR25" s="28"/>
      <c r="IVS25" s="28"/>
      <c r="IVT25" s="28"/>
      <c r="IVU25" s="28"/>
      <c r="IVV25" s="28"/>
      <c r="IVW25" s="28"/>
      <c r="IVX25" s="28"/>
      <c r="IVY25" s="28"/>
      <c r="IVZ25" s="28"/>
      <c r="IWA25" s="28"/>
      <c r="IWB25" s="28"/>
      <c r="IWC25" s="28"/>
      <c r="IWD25" s="28"/>
      <c r="IWE25" s="28"/>
      <c r="IWF25" s="28"/>
      <c r="IWG25" s="28"/>
      <c r="IWH25" s="28"/>
      <c r="IWI25" s="28"/>
      <c r="IWJ25" s="28"/>
      <c r="IWK25" s="28"/>
      <c r="IWL25" s="28"/>
      <c r="IWM25" s="28"/>
      <c r="IWN25" s="28"/>
      <c r="IWO25" s="28"/>
      <c r="IWP25" s="28"/>
      <c r="IWQ25" s="28"/>
      <c r="IWR25" s="28"/>
      <c r="IWS25" s="28"/>
      <c r="IWT25" s="28"/>
      <c r="IWU25" s="28"/>
      <c r="IWV25" s="28"/>
      <c r="IWW25" s="28"/>
      <c r="IWX25" s="28"/>
      <c r="IWY25" s="28"/>
      <c r="IWZ25" s="28"/>
      <c r="IXA25" s="28"/>
      <c r="IXB25" s="28"/>
      <c r="IXC25" s="28"/>
      <c r="IXD25" s="28"/>
      <c r="IXE25" s="28"/>
      <c r="IXF25" s="28"/>
      <c r="IXG25" s="28"/>
      <c r="IXH25" s="28"/>
      <c r="IXI25" s="28"/>
      <c r="IXJ25" s="28"/>
      <c r="IXK25" s="28"/>
      <c r="IXL25" s="28"/>
      <c r="IXM25" s="28"/>
      <c r="IXN25" s="28"/>
      <c r="IXO25" s="28"/>
      <c r="IXP25" s="28"/>
      <c r="IXQ25" s="28"/>
      <c r="IXR25" s="28"/>
      <c r="IXS25" s="28"/>
      <c r="IXT25" s="28"/>
      <c r="IXU25" s="28"/>
      <c r="IXV25" s="28"/>
      <c r="IXW25" s="28"/>
      <c r="IXX25" s="28"/>
      <c r="IXY25" s="28"/>
      <c r="IXZ25" s="28"/>
      <c r="IYA25" s="28"/>
      <c r="IYB25" s="28"/>
      <c r="IYC25" s="28"/>
      <c r="IYD25" s="28"/>
      <c r="IYE25" s="28"/>
      <c r="IYF25" s="28"/>
      <c r="IYG25" s="28"/>
      <c r="IYH25" s="28"/>
      <c r="IYI25" s="28"/>
      <c r="IYJ25" s="28"/>
      <c r="IYK25" s="28"/>
      <c r="IYL25" s="28"/>
      <c r="IYM25" s="28"/>
      <c r="IYN25" s="28"/>
      <c r="IYO25" s="28"/>
      <c r="IYP25" s="28"/>
      <c r="IYQ25" s="28"/>
      <c r="IYR25" s="28"/>
      <c r="IYS25" s="28"/>
      <c r="IYT25" s="28"/>
      <c r="IYU25" s="28"/>
      <c r="IYV25" s="28"/>
      <c r="IYW25" s="28"/>
      <c r="IYX25" s="28"/>
      <c r="IYY25" s="28"/>
      <c r="IYZ25" s="28"/>
      <c r="IZA25" s="28"/>
      <c r="IZB25" s="28"/>
      <c r="IZC25" s="28"/>
      <c r="IZD25" s="28"/>
      <c r="IZE25" s="28"/>
      <c r="IZF25" s="28"/>
      <c r="IZG25" s="28"/>
      <c r="IZH25" s="28"/>
      <c r="IZI25" s="28"/>
      <c r="IZJ25" s="28"/>
      <c r="IZK25" s="28"/>
      <c r="IZL25" s="28"/>
      <c r="IZM25" s="28"/>
      <c r="IZN25" s="28"/>
      <c r="IZO25" s="28"/>
      <c r="IZP25" s="28"/>
      <c r="IZQ25" s="28"/>
      <c r="IZR25" s="28"/>
      <c r="IZS25" s="28"/>
      <c r="IZT25" s="28"/>
      <c r="IZU25" s="28"/>
      <c r="IZV25" s="28"/>
      <c r="IZW25" s="28"/>
      <c r="IZX25" s="28"/>
      <c r="IZY25" s="28"/>
      <c r="IZZ25" s="28"/>
      <c r="JAA25" s="28"/>
      <c r="JAB25" s="28"/>
      <c r="JAC25" s="28"/>
      <c r="JAD25" s="28"/>
      <c r="JAE25" s="28"/>
      <c r="JAF25" s="28"/>
      <c r="JAG25" s="28"/>
      <c r="JAH25" s="28"/>
      <c r="JAI25" s="28"/>
      <c r="JAJ25" s="28"/>
      <c r="JAK25" s="28"/>
      <c r="JAL25" s="28"/>
      <c r="JAM25" s="28"/>
      <c r="JAN25" s="28"/>
      <c r="JAO25" s="28"/>
      <c r="JAP25" s="28"/>
      <c r="JAQ25" s="28"/>
      <c r="JAR25" s="28"/>
      <c r="JAS25" s="28"/>
      <c r="JAT25" s="28"/>
      <c r="JAU25" s="28"/>
      <c r="JAV25" s="28"/>
      <c r="JAW25" s="28"/>
      <c r="JAX25" s="28"/>
      <c r="JAY25" s="28"/>
      <c r="JAZ25" s="28"/>
      <c r="JBA25" s="28"/>
      <c r="JBB25" s="28"/>
      <c r="JBC25" s="28"/>
      <c r="JBD25" s="28"/>
      <c r="JBE25" s="28"/>
      <c r="JBF25" s="28"/>
      <c r="JBG25" s="28"/>
      <c r="JBH25" s="28"/>
      <c r="JBI25" s="28"/>
      <c r="JBJ25" s="28"/>
      <c r="JBK25" s="28"/>
      <c r="JBL25" s="28"/>
      <c r="JBM25" s="28"/>
      <c r="JBN25" s="28"/>
      <c r="JBO25" s="28"/>
      <c r="JBP25" s="28"/>
      <c r="JBQ25" s="28"/>
      <c r="JBR25" s="28"/>
      <c r="JBS25" s="28"/>
      <c r="JBT25" s="28"/>
      <c r="JBU25" s="28"/>
      <c r="JBV25" s="28"/>
      <c r="JBW25" s="28"/>
      <c r="JBX25" s="28"/>
      <c r="JBY25" s="28"/>
      <c r="JBZ25" s="28"/>
      <c r="JCA25" s="28"/>
      <c r="JCB25" s="28"/>
      <c r="JCC25" s="28"/>
      <c r="JCD25" s="28"/>
      <c r="JCE25" s="28"/>
      <c r="JCF25" s="28"/>
      <c r="JCG25" s="28"/>
      <c r="JCH25" s="28"/>
      <c r="JCI25" s="28"/>
      <c r="JCJ25" s="28"/>
      <c r="JCK25" s="28"/>
      <c r="JCL25" s="28"/>
      <c r="JCM25" s="28"/>
      <c r="JCN25" s="28"/>
      <c r="JCO25" s="28"/>
      <c r="JCP25" s="28"/>
      <c r="JCQ25" s="28"/>
      <c r="JCR25" s="28"/>
      <c r="JCS25" s="28"/>
      <c r="JCT25" s="28"/>
      <c r="JCU25" s="28"/>
      <c r="JCV25" s="28"/>
      <c r="JCW25" s="28"/>
      <c r="JCX25" s="28"/>
      <c r="JCY25" s="28"/>
      <c r="JCZ25" s="28"/>
      <c r="JDA25" s="28"/>
      <c r="JDB25" s="28"/>
      <c r="JDC25" s="28"/>
      <c r="JDD25" s="28"/>
      <c r="JDE25" s="28"/>
      <c r="JDF25" s="28"/>
      <c r="JDG25" s="28"/>
      <c r="JDH25" s="28"/>
      <c r="JDI25" s="28"/>
      <c r="JDJ25" s="28"/>
      <c r="JDK25" s="28"/>
      <c r="JDL25" s="28"/>
      <c r="JDM25" s="28"/>
      <c r="JDN25" s="28"/>
      <c r="JDO25" s="28"/>
      <c r="JDP25" s="28"/>
      <c r="JDQ25" s="28"/>
      <c r="JDR25" s="28"/>
      <c r="JDS25" s="28"/>
      <c r="JDT25" s="28"/>
      <c r="JDU25" s="28"/>
      <c r="JDV25" s="28"/>
      <c r="JDW25" s="28"/>
      <c r="JDX25" s="28"/>
      <c r="JDY25" s="28"/>
      <c r="JDZ25" s="28"/>
      <c r="JEA25" s="28"/>
      <c r="JEB25" s="28"/>
      <c r="JEC25" s="28"/>
      <c r="JED25" s="28"/>
      <c r="JEE25" s="28"/>
      <c r="JEF25" s="28"/>
      <c r="JEG25" s="28"/>
      <c r="JEH25" s="28"/>
      <c r="JEI25" s="28"/>
      <c r="JEJ25" s="28"/>
      <c r="JEK25" s="28"/>
      <c r="JEL25" s="28"/>
      <c r="JEM25" s="28"/>
      <c r="JEN25" s="28"/>
      <c r="JEO25" s="28"/>
      <c r="JEP25" s="28"/>
      <c r="JEQ25" s="28"/>
      <c r="JER25" s="28"/>
      <c r="JES25" s="28"/>
      <c r="JET25" s="28"/>
      <c r="JEU25" s="28"/>
      <c r="JEV25" s="28"/>
      <c r="JEW25" s="28"/>
      <c r="JEX25" s="28"/>
      <c r="JEY25" s="28"/>
      <c r="JEZ25" s="28"/>
      <c r="JFA25" s="28"/>
      <c r="JFB25" s="28"/>
      <c r="JFC25" s="28"/>
      <c r="JFD25" s="28"/>
      <c r="JFE25" s="28"/>
      <c r="JFF25" s="28"/>
      <c r="JFG25" s="28"/>
      <c r="JFH25" s="28"/>
      <c r="JFI25" s="28"/>
      <c r="JFJ25" s="28"/>
      <c r="JFK25" s="28"/>
      <c r="JFL25" s="28"/>
      <c r="JFM25" s="28"/>
      <c r="JFN25" s="28"/>
      <c r="JFO25" s="28"/>
      <c r="JFP25" s="28"/>
      <c r="JFQ25" s="28"/>
      <c r="JFR25" s="28"/>
      <c r="JFS25" s="28"/>
      <c r="JFT25" s="28"/>
      <c r="JFU25" s="28"/>
      <c r="JFV25" s="28"/>
      <c r="JFW25" s="28"/>
      <c r="JFX25" s="28"/>
      <c r="JFY25" s="28"/>
      <c r="JFZ25" s="28"/>
      <c r="JGA25" s="28"/>
      <c r="JGB25" s="28"/>
      <c r="JGC25" s="28"/>
      <c r="JGD25" s="28"/>
      <c r="JGE25" s="28"/>
      <c r="JGF25" s="28"/>
      <c r="JGG25" s="28"/>
      <c r="JGH25" s="28"/>
      <c r="JGI25" s="28"/>
      <c r="JGJ25" s="28"/>
      <c r="JGK25" s="28"/>
      <c r="JGL25" s="28"/>
      <c r="JGM25" s="28"/>
      <c r="JGN25" s="28"/>
      <c r="JGO25" s="28"/>
      <c r="JGP25" s="28"/>
      <c r="JGQ25" s="28"/>
      <c r="JGR25" s="28"/>
      <c r="JGS25" s="28"/>
      <c r="JGT25" s="28"/>
      <c r="JGU25" s="28"/>
      <c r="JGV25" s="28"/>
      <c r="JGW25" s="28"/>
      <c r="JGX25" s="28"/>
      <c r="JGY25" s="28"/>
      <c r="JGZ25" s="28"/>
      <c r="JHA25" s="28"/>
      <c r="JHB25" s="28"/>
      <c r="JHC25" s="28"/>
      <c r="JHD25" s="28"/>
      <c r="JHE25" s="28"/>
      <c r="JHF25" s="28"/>
      <c r="JHG25" s="28"/>
      <c r="JHH25" s="28"/>
      <c r="JHI25" s="28"/>
      <c r="JHJ25" s="28"/>
      <c r="JHK25" s="28"/>
      <c r="JHL25" s="28"/>
      <c r="JHM25" s="28"/>
      <c r="JHN25" s="28"/>
      <c r="JHO25" s="28"/>
      <c r="JHP25" s="28"/>
      <c r="JHQ25" s="28"/>
      <c r="JHR25" s="28"/>
      <c r="JHS25" s="28"/>
      <c r="JHT25" s="28"/>
      <c r="JHU25" s="28"/>
      <c r="JHV25" s="28"/>
      <c r="JHW25" s="28"/>
      <c r="JHX25" s="28"/>
      <c r="JHY25" s="28"/>
      <c r="JHZ25" s="28"/>
      <c r="JIA25" s="28"/>
      <c r="JIB25" s="28"/>
      <c r="JIC25" s="28"/>
      <c r="JID25" s="28"/>
      <c r="JIE25" s="28"/>
      <c r="JIF25" s="28"/>
      <c r="JIG25" s="28"/>
      <c r="JIH25" s="28"/>
      <c r="JII25" s="28"/>
      <c r="JIJ25" s="28"/>
      <c r="JIK25" s="28"/>
      <c r="JIL25" s="28"/>
      <c r="JIM25" s="28"/>
      <c r="JIN25" s="28"/>
      <c r="JIO25" s="28"/>
      <c r="JIP25" s="28"/>
      <c r="JIQ25" s="28"/>
      <c r="JIR25" s="28"/>
      <c r="JIS25" s="28"/>
      <c r="JIT25" s="28"/>
      <c r="JIU25" s="28"/>
      <c r="JIV25" s="28"/>
      <c r="JIW25" s="28"/>
      <c r="JIX25" s="28"/>
      <c r="JIY25" s="28"/>
      <c r="JIZ25" s="28"/>
      <c r="JJA25" s="28"/>
      <c r="JJB25" s="28"/>
      <c r="JJC25" s="28"/>
      <c r="JJD25" s="28"/>
      <c r="JJE25" s="28"/>
      <c r="JJF25" s="28"/>
      <c r="JJG25" s="28"/>
      <c r="JJH25" s="28"/>
      <c r="JJI25" s="28"/>
      <c r="JJJ25" s="28"/>
      <c r="JJK25" s="28"/>
      <c r="JJL25" s="28"/>
      <c r="JJM25" s="28"/>
      <c r="JJN25" s="28"/>
      <c r="JJO25" s="28"/>
      <c r="JJP25" s="28"/>
      <c r="JJQ25" s="28"/>
      <c r="JJR25" s="28"/>
      <c r="JJS25" s="28"/>
      <c r="JJT25" s="28"/>
      <c r="JJU25" s="28"/>
      <c r="JJV25" s="28"/>
      <c r="JJW25" s="28"/>
      <c r="JJX25" s="28"/>
      <c r="JJY25" s="28"/>
      <c r="JJZ25" s="28"/>
      <c r="JKA25" s="28"/>
      <c r="JKB25" s="28"/>
      <c r="JKC25" s="28"/>
      <c r="JKD25" s="28"/>
      <c r="JKE25" s="28"/>
      <c r="JKF25" s="28"/>
      <c r="JKG25" s="28"/>
      <c r="JKH25" s="28"/>
      <c r="JKI25" s="28"/>
      <c r="JKJ25" s="28"/>
      <c r="JKK25" s="28"/>
      <c r="JKL25" s="28"/>
      <c r="JKM25" s="28"/>
      <c r="JKN25" s="28"/>
      <c r="JKO25" s="28"/>
      <c r="JKP25" s="28"/>
      <c r="JKQ25" s="28"/>
      <c r="JKR25" s="28"/>
      <c r="JKS25" s="28"/>
      <c r="JKT25" s="28"/>
      <c r="JKU25" s="28"/>
      <c r="JKV25" s="28"/>
      <c r="JKW25" s="28"/>
      <c r="JKX25" s="28"/>
      <c r="JKY25" s="28"/>
      <c r="JKZ25" s="28"/>
      <c r="JLA25" s="28"/>
      <c r="JLB25" s="28"/>
      <c r="JLC25" s="28"/>
      <c r="JLD25" s="28"/>
      <c r="JLE25" s="28"/>
      <c r="JLF25" s="28"/>
      <c r="JLG25" s="28"/>
      <c r="JLH25" s="28"/>
      <c r="JLI25" s="28"/>
      <c r="JLJ25" s="28"/>
      <c r="JLK25" s="28"/>
      <c r="JLL25" s="28"/>
      <c r="JLM25" s="28"/>
      <c r="JLN25" s="28"/>
      <c r="JLO25" s="28"/>
      <c r="JLP25" s="28"/>
      <c r="JLQ25" s="28"/>
      <c r="JLR25" s="28"/>
      <c r="JLS25" s="28"/>
      <c r="JLT25" s="28"/>
      <c r="JLU25" s="28"/>
      <c r="JLV25" s="28"/>
      <c r="JLW25" s="28"/>
      <c r="JLX25" s="28"/>
      <c r="JLY25" s="28"/>
      <c r="JLZ25" s="28"/>
      <c r="JMA25" s="28"/>
      <c r="JMB25" s="28"/>
      <c r="JMC25" s="28"/>
      <c r="JMD25" s="28"/>
      <c r="JME25" s="28"/>
      <c r="JMF25" s="28"/>
      <c r="JMG25" s="28"/>
      <c r="JMH25" s="28"/>
      <c r="JMI25" s="28"/>
      <c r="JMJ25" s="28"/>
      <c r="JMK25" s="28"/>
      <c r="JML25" s="28"/>
      <c r="JMM25" s="28"/>
      <c r="JMN25" s="28"/>
      <c r="JMO25" s="28"/>
      <c r="JMP25" s="28"/>
      <c r="JMQ25" s="28"/>
      <c r="JMR25" s="28"/>
      <c r="JMS25" s="28"/>
      <c r="JMT25" s="28"/>
      <c r="JMU25" s="28"/>
      <c r="JMV25" s="28"/>
      <c r="JMW25" s="28"/>
      <c r="JMX25" s="28"/>
      <c r="JMY25" s="28"/>
      <c r="JMZ25" s="28"/>
      <c r="JNA25" s="28"/>
      <c r="JNB25" s="28"/>
      <c r="JNC25" s="28"/>
      <c r="JND25" s="28"/>
      <c r="JNE25" s="28"/>
      <c r="JNF25" s="28"/>
      <c r="JNG25" s="28"/>
      <c r="JNH25" s="28"/>
      <c r="JNI25" s="28"/>
      <c r="JNJ25" s="28"/>
      <c r="JNK25" s="28"/>
      <c r="JNL25" s="28"/>
      <c r="JNM25" s="28"/>
      <c r="JNN25" s="28"/>
      <c r="JNO25" s="28"/>
      <c r="JNP25" s="28"/>
      <c r="JNQ25" s="28"/>
      <c r="JNR25" s="28"/>
      <c r="JNS25" s="28"/>
      <c r="JNT25" s="28"/>
      <c r="JNU25" s="28"/>
      <c r="JNV25" s="28"/>
      <c r="JNW25" s="28"/>
      <c r="JNX25" s="28"/>
      <c r="JNY25" s="28"/>
      <c r="JNZ25" s="28"/>
      <c r="JOA25" s="28"/>
      <c r="JOB25" s="28"/>
      <c r="JOC25" s="28"/>
      <c r="JOD25" s="28"/>
      <c r="JOE25" s="28"/>
      <c r="JOF25" s="28"/>
      <c r="JOG25" s="28"/>
      <c r="JOH25" s="28"/>
      <c r="JOI25" s="28"/>
      <c r="JOJ25" s="28"/>
      <c r="JOK25" s="28"/>
      <c r="JOL25" s="28"/>
      <c r="JOM25" s="28"/>
      <c r="JON25" s="28"/>
      <c r="JOO25" s="28"/>
      <c r="JOP25" s="28"/>
      <c r="JOQ25" s="28"/>
      <c r="JOR25" s="28"/>
      <c r="JOS25" s="28"/>
      <c r="JOT25" s="28"/>
      <c r="JOU25" s="28"/>
      <c r="JOV25" s="28"/>
      <c r="JOW25" s="28"/>
      <c r="JOX25" s="28"/>
      <c r="JOY25" s="28"/>
      <c r="JOZ25" s="28"/>
      <c r="JPA25" s="28"/>
      <c r="JPB25" s="28"/>
      <c r="JPC25" s="28"/>
      <c r="JPD25" s="28"/>
      <c r="JPE25" s="28"/>
      <c r="JPF25" s="28"/>
      <c r="JPG25" s="28"/>
      <c r="JPH25" s="28"/>
      <c r="JPI25" s="28"/>
      <c r="JPJ25" s="28"/>
      <c r="JPK25" s="28"/>
      <c r="JPL25" s="28"/>
      <c r="JPM25" s="28"/>
      <c r="JPN25" s="28"/>
      <c r="JPO25" s="28"/>
      <c r="JPP25" s="28"/>
      <c r="JPQ25" s="28"/>
      <c r="JPR25" s="28"/>
      <c r="JPS25" s="28"/>
      <c r="JPT25" s="28"/>
      <c r="JPU25" s="28"/>
      <c r="JPV25" s="28"/>
      <c r="JPW25" s="28"/>
      <c r="JPX25" s="28"/>
      <c r="JPY25" s="28"/>
      <c r="JPZ25" s="28"/>
      <c r="JQA25" s="28"/>
      <c r="JQB25" s="28"/>
      <c r="JQC25" s="28"/>
      <c r="JQD25" s="28"/>
      <c r="JQE25" s="28"/>
      <c r="JQF25" s="28"/>
      <c r="JQG25" s="28"/>
      <c r="JQH25" s="28"/>
      <c r="JQI25" s="28"/>
      <c r="JQJ25" s="28"/>
      <c r="JQK25" s="28"/>
      <c r="JQL25" s="28"/>
      <c r="JQM25" s="28"/>
      <c r="JQN25" s="28"/>
      <c r="JQO25" s="28"/>
      <c r="JQP25" s="28"/>
      <c r="JQQ25" s="28"/>
      <c r="JQR25" s="28"/>
      <c r="JQS25" s="28"/>
      <c r="JQT25" s="28"/>
      <c r="JQU25" s="28"/>
      <c r="JQV25" s="28"/>
      <c r="JQW25" s="28"/>
      <c r="JQX25" s="28"/>
      <c r="JQY25" s="28"/>
      <c r="JQZ25" s="28"/>
      <c r="JRA25" s="28"/>
      <c r="JRB25" s="28"/>
      <c r="JRC25" s="28"/>
      <c r="JRD25" s="28"/>
      <c r="JRE25" s="28"/>
      <c r="JRF25" s="28"/>
      <c r="JRG25" s="28"/>
      <c r="JRH25" s="28"/>
      <c r="JRI25" s="28"/>
      <c r="JRJ25" s="28"/>
      <c r="JRK25" s="28"/>
      <c r="JRL25" s="28"/>
      <c r="JRM25" s="28"/>
      <c r="JRN25" s="28"/>
      <c r="JRO25" s="28"/>
      <c r="JRP25" s="28"/>
      <c r="JRQ25" s="28"/>
      <c r="JRR25" s="28"/>
      <c r="JRS25" s="28"/>
      <c r="JRT25" s="28"/>
      <c r="JRU25" s="28"/>
      <c r="JRV25" s="28"/>
      <c r="JRW25" s="28"/>
      <c r="JRX25" s="28"/>
      <c r="JRY25" s="28"/>
      <c r="JRZ25" s="28"/>
      <c r="JSA25" s="28"/>
      <c r="JSB25" s="28"/>
      <c r="JSC25" s="28"/>
      <c r="JSD25" s="28"/>
      <c r="JSE25" s="28"/>
      <c r="JSF25" s="28"/>
      <c r="JSG25" s="28"/>
      <c r="JSH25" s="28"/>
      <c r="JSI25" s="28"/>
      <c r="JSJ25" s="28"/>
      <c r="JSK25" s="28"/>
      <c r="JSL25" s="28"/>
      <c r="JSM25" s="28"/>
      <c r="JSN25" s="28"/>
      <c r="JSO25" s="28"/>
      <c r="JSP25" s="28"/>
      <c r="JSQ25" s="28"/>
      <c r="JSR25" s="28"/>
      <c r="JSS25" s="28"/>
      <c r="JST25" s="28"/>
      <c r="JSU25" s="28"/>
      <c r="JSV25" s="28"/>
      <c r="JSW25" s="28"/>
      <c r="JSX25" s="28"/>
      <c r="JSY25" s="28"/>
      <c r="JSZ25" s="28"/>
      <c r="JTA25" s="28"/>
      <c r="JTB25" s="28"/>
      <c r="JTC25" s="28"/>
      <c r="JTD25" s="28"/>
      <c r="JTE25" s="28"/>
      <c r="JTF25" s="28"/>
      <c r="JTG25" s="28"/>
      <c r="JTH25" s="28"/>
      <c r="JTI25" s="28"/>
      <c r="JTJ25" s="28"/>
      <c r="JTK25" s="28"/>
      <c r="JTL25" s="28"/>
      <c r="JTM25" s="28"/>
      <c r="JTN25" s="28"/>
      <c r="JTO25" s="28"/>
      <c r="JTP25" s="28"/>
      <c r="JTQ25" s="28"/>
      <c r="JTR25" s="28"/>
      <c r="JTS25" s="28"/>
      <c r="JTT25" s="28"/>
      <c r="JTU25" s="28"/>
      <c r="JTV25" s="28"/>
      <c r="JTW25" s="28"/>
      <c r="JTX25" s="28"/>
      <c r="JTY25" s="28"/>
      <c r="JTZ25" s="28"/>
      <c r="JUA25" s="28"/>
      <c r="JUB25" s="28"/>
      <c r="JUC25" s="28"/>
      <c r="JUD25" s="28"/>
      <c r="JUE25" s="28"/>
      <c r="JUF25" s="28"/>
      <c r="JUG25" s="28"/>
      <c r="JUH25" s="28"/>
      <c r="JUI25" s="28"/>
      <c r="JUJ25" s="28"/>
      <c r="JUK25" s="28"/>
      <c r="JUL25" s="28"/>
      <c r="JUM25" s="28"/>
      <c r="JUN25" s="28"/>
      <c r="JUO25" s="28"/>
      <c r="JUP25" s="28"/>
      <c r="JUQ25" s="28"/>
      <c r="JUR25" s="28"/>
      <c r="JUS25" s="28"/>
      <c r="JUT25" s="28"/>
      <c r="JUU25" s="28"/>
      <c r="JUV25" s="28"/>
      <c r="JUW25" s="28"/>
      <c r="JUX25" s="28"/>
      <c r="JUY25" s="28"/>
      <c r="JUZ25" s="28"/>
      <c r="JVA25" s="28"/>
      <c r="JVB25" s="28"/>
      <c r="JVC25" s="28"/>
      <c r="JVD25" s="28"/>
      <c r="JVE25" s="28"/>
      <c r="JVF25" s="28"/>
      <c r="JVG25" s="28"/>
      <c r="JVH25" s="28"/>
      <c r="JVI25" s="28"/>
      <c r="JVJ25" s="28"/>
      <c r="JVK25" s="28"/>
      <c r="JVL25" s="28"/>
      <c r="JVM25" s="28"/>
      <c r="JVN25" s="28"/>
      <c r="JVO25" s="28"/>
      <c r="JVP25" s="28"/>
      <c r="JVQ25" s="28"/>
      <c r="JVR25" s="28"/>
      <c r="JVS25" s="28"/>
      <c r="JVT25" s="28"/>
      <c r="JVU25" s="28"/>
      <c r="JVV25" s="28"/>
      <c r="JVW25" s="28"/>
      <c r="JVX25" s="28"/>
      <c r="JVY25" s="28"/>
      <c r="JVZ25" s="28"/>
      <c r="JWA25" s="28"/>
      <c r="JWB25" s="28"/>
      <c r="JWC25" s="28"/>
      <c r="JWD25" s="28"/>
      <c r="JWE25" s="28"/>
      <c r="JWF25" s="28"/>
      <c r="JWG25" s="28"/>
      <c r="JWH25" s="28"/>
      <c r="JWI25" s="28"/>
      <c r="JWJ25" s="28"/>
      <c r="JWK25" s="28"/>
      <c r="JWL25" s="28"/>
      <c r="JWM25" s="28"/>
      <c r="JWN25" s="28"/>
      <c r="JWO25" s="28"/>
      <c r="JWP25" s="28"/>
      <c r="JWQ25" s="28"/>
      <c r="JWR25" s="28"/>
      <c r="JWS25" s="28"/>
      <c r="JWT25" s="28"/>
      <c r="JWU25" s="28"/>
      <c r="JWV25" s="28"/>
      <c r="JWW25" s="28"/>
      <c r="JWX25" s="28"/>
      <c r="JWY25" s="28"/>
      <c r="JWZ25" s="28"/>
      <c r="JXA25" s="28"/>
      <c r="JXB25" s="28"/>
      <c r="JXC25" s="28"/>
      <c r="JXD25" s="28"/>
      <c r="JXE25" s="28"/>
      <c r="JXF25" s="28"/>
      <c r="JXG25" s="28"/>
      <c r="JXH25" s="28"/>
      <c r="JXI25" s="28"/>
      <c r="JXJ25" s="28"/>
      <c r="JXK25" s="28"/>
      <c r="JXL25" s="28"/>
      <c r="JXM25" s="28"/>
      <c r="JXN25" s="28"/>
      <c r="JXO25" s="28"/>
      <c r="JXP25" s="28"/>
      <c r="JXQ25" s="28"/>
      <c r="JXR25" s="28"/>
      <c r="JXS25" s="28"/>
      <c r="JXT25" s="28"/>
      <c r="JXU25" s="28"/>
      <c r="JXV25" s="28"/>
      <c r="JXW25" s="28"/>
      <c r="JXX25" s="28"/>
      <c r="JXY25" s="28"/>
      <c r="JXZ25" s="28"/>
      <c r="JYA25" s="28"/>
      <c r="JYB25" s="28"/>
      <c r="JYC25" s="28"/>
      <c r="JYD25" s="28"/>
      <c r="JYE25" s="28"/>
      <c r="JYF25" s="28"/>
      <c r="JYG25" s="28"/>
      <c r="JYH25" s="28"/>
      <c r="JYI25" s="28"/>
      <c r="JYJ25" s="28"/>
      <c r="JYK25" s="28"/>
      <c r="JYL25" s="28"/>
      <c r="JYM25" s="28"/>
      <c r="JYN25" s="28"/>
      <c r="JYO25" s="28"/>
      <c r="JYP25" s="28"/>
      <c r="JYQ25" s="28"/>
      <c r="JYR25" s="28"/>
      <c r="JYS25" s="28"/>
      <c r="JYT25" s="28"/>
      <c r="JYU25" s="28"/>
      <c r="JYV25" s="28"/>
      <c r="JYW25" s="28"/>
      <c r="JYX25" s="28"/>
      <c r="JYY25" s="28"/>
      <c r="JYZ25" s="28"/>
      <c r="JZA25" s="28"/>
      <c r="JZB25" s="28"/>
      <c r="JZC25" s="28"/>
      <c r="JZD25" s="28"/>
      <c r="JZE25" s="28"/>
      <c r="JZF25" s="28"/>
      <c r="JZG25" s="28"/>
      <c r="JZH25" s="28"/>
      <c r="JZI25" s="28"/>
      <c r="JZJ25" s="28"/>
      <c r="JZK25" s="28"/>
      <c r="JZL25" s="28"/>
      <c r="JZM25" s="28"/>
      <c r="JZN25" s="28"/>
      <c r="JZO25" s="28"/>
      <c r="JZP25" s="28"/>
      <c r="JZQ25" s="28"/>
      <c r="JZR25" s="28"/>
      <c r="JZS25" s="28"/>
      <c r="JZT25" s="28"/>
      <c r="JZU25" s="28"/>
      <c r="JZV25" s="28"/>
      <c r="JZW25" s="28"/>
      <c r="JZX25" s="28"/>
      <c r="JZY25" s="28"/>
      <c r="JZZ25" s="28"/>
      <c r="KAA25" s="28"/>
      <c r="KAB25" s="28"/>
      <c r="KAC25" s="28"/>
      <c r="KAD25" s="28"/>
      <c r="KAE25" s="28"/>
      <c r="KAF25" s="28"/>
      <c r="KAG25" s="28"/>
      <c r="KAH25" s="28"/>
      <c r="KAI25" s="28"/>
      <c r="KAJ25" s="28"/>
      <c r="KAK25" s="28"/>
      <c r="KAL25" s="28"/>
      <c r="KAM25" s="28"/>
      <c r="KAN25" s="28"/>
      <c r="KAO25" s="28"/>
      <c r="KAP25" s="28"/>
      <c r="KAQ25" s="28"/>
      <c r="KAR25" s="28"/>
      <c r="KAS25" s="28"/>
      <c r="KAT25" s="28"/>
      <c r="KAU25" s="28"/>
      <c r="KAV25" s="28"/>
      <c r="KAW25" s="28"/>
      <c r="KAX25" s="28"/>
      <c r="KAY25" s="28"/>
      <c r="KAZ25" s="28"/>
      <c r="KBA25" s="28"/>
      <c r="KBB25" s="28"/>
      <c r="KBC25" s="28"/>
      <c r="KBD25" s="28"/>
      <c r="KBE25" s="28"/>
      <c r="KBF25" s="28"/>
      <c r="KBG25" s="28"/>
      <c r="KBH25" s="28"/>
      <c r="KBI25" s="28"/>
      <c r="KBJ25" s="28"/>
      <c r="KBK25" s="28"/>
      <c r="KBL25" s="28"/>
      <c r="KBM25" s="28"/>
      <c r="KBN25" s="28"/>
      <c r="KBO25" s="28"/>
      <c r="KBP25" s="28"/>
      <c r="KBQ25" s="28"/>
      <c r="KBR25" s="28"/>
      <c r="KBS25" s="28"/>
      <c r="KBT25" s="28"/>
      <c r="KBU25" s="28"/>
      <c r="KBV25" s="28"/>
      <c r="KBW25" s="28"/>
      <c r="KBX25" s="28"/>
      <c r="KBY25" s="28"/>
      <c r="KBZ25" s="28"/>
      <c r="KCA25" s="28"/>
      <c r="KCB25" s="28"/>
      <c r="KCC25" s="28"/>
      <c r="KCD25" s="28"/>
      <c r="KCE25" s="28"/>
      <c r="KCF25" s="28"/>
      <c r="KCG25" s="28"/>
      <c r="KCH25" s="28"/>
      <c r="KCI25" s="28"/>
      <c r="KCJ25" s="28"/>
      <c r="KCK25" s="28"/>
      <c r="KCL25" s="28"/>
      <c r="KCM25" s="28"/>
      <c r="KCN25" s="28"/>
      <c r="KCO25" s="28"/>
      <c r="KCP25" s="28"/>
      <c r="KCQ25" s="28"/>
      <c r="KCR25" s="28"/>
      <c r="KCS25" s="28"/>
      <c r="KCT25" s="28"/>
      <c r="KCU25" s="28"/>
      <c r="KCV25" s="28"/>
      <c r="KCW25" s="28"/>
      <c r="KCX25" s="28"/>
      <c r="KCY25" s="28"/>
      <c r="KCZ25" s="28"/>
      <c r="KDA25" s="28"/>
      <c r="KDB25" s="28"/>
      <c r="KDC25" s="28"/>
      <c r="KDD25" s="28"/>
      <c r="KDE25" s="28"/>
      <c r="KDF25" s="28"/>
      <c r="KDG25" s="28"/>
      <c r="KDH25" s="28"/>
      <c r="KDI25" s="28"/>
      <c r="KDJ25" s="28"/>
      <c r="KDK25" s="28"/>
      <c r="KDL25" s="28"/>
      <c r="KDM25" s="28"/>
      <c r="KDN25" s="28"/>
      <c r="KDO25" s="28"/>
      <c r="KDP25" s="28"/>
      <c r="KDQ25" s="28"/>
      <c r="KDR25" s="28"/>
      <c r="KDS25" s="28"/>
      <c r="KDT25" s="28"/>
      <c r="KDU25" s="28"/>
      <c r="KDV25" s="28"/>
      <c r="KDW25" s="28"/>
      <c r="KDX25" s="28"/>
      <c r="KDY25" s="28"/>
      <c r="KDZ25" s="28"/>
      <c r="KEA25" s="28"/>
      <c r="KEB25" s="28"/>
      <c r="KEC25" s="28"/>
      <c r="KED25" s="28"/>
      <c r="KEE25" s="28"/>
      <c r="KEF25" s="28"/>
      <c r="KEG25" s="28"/>
      <c r="KEH25" s="28"/>
      <c r="KEI25" s="28"/>
      <c r="KEJ25" s="28"/>
      <c r="KEK25" s="28"/>
      <c r="KEL25" s="28"/>
      <c r="KEM25" s="28"/>
      <c r="KEN25" s="28"/>
      <c r="KEO25" s="28"/>
      <c r="KEP25" s="28"/>
      <c r="KEQ25" s="28"/>
      <c r="KER25" s="28"/>
      <c r="KES25" s="28"/>
      <c r="KET25" s="28"/>
      <c r="KEU25" s="28"/>
      <c r="KEV25" s="28"/>
      <c r="KEW25" s="28"/>
      <c r="KEX25" s="28"/>
      <c r="KEY25" s="28"/>
      <c r="KEZ25" s="28"/>
      <c r="KFA25" s="28"/>
      <c r="KFB25" s="28"/>
      <c r="KFC25" s="28"/>
      <c r="KFD25" s="28"/>
      <c r="KFE25" s="28"/>
      <c r="KFF25" s="28"/>
      <c r="KFG25" s="28"/>
      <c r="KFH25" s="28"/>
      <c r="KFI25" s="28"/>
      <c r="KFJ25" s="28"/>
      <c r="KFK25" s="28"/>
      <c r="KFL25" s="28"/>
      <c r="KFM25" s="28"/>
      <c r="KFN25" s="28"/>
      <c r="KFO25" s="28"/>
      <c r="KFP25" s="28"/>
      <c r="KFQ25" s="28"/>
      <c r="KFR25" s="28"/>
      <c r="KFS25" s="28"/>
      <c r="KFT25" s="28"/>
      <c r="KFU25" s="28"/>
      <c r="KFV25" s="28"/>
      <c r="KFW25" s="28"/>
      <c r="KFX25" s="28"/>
      <c r="KFY25" s="28"/>
      <c r="KFZ25" s="28"/>
      <c r="KGA25" s="28"/>
      <c r="KGB25" s="28"/>
      <c r="KGC25" s="28"/>
      <c r="KGD25" s="28"/>
      <c r="KGE25" s="28"/>
      <c r="KGF25" s="28"/>
      <c r="KGG25" s="28"/>
      <c r="KGH25" s="28"/>
      <c r="KGI25" s="28"/>
      <c r="KGJ25" s="28"/>
      <c r="KGK25" s="28"/>
      <c r="KGL25" s="28"/>
      <c r="KGM25" s="28"/>
      <c r="KGN25" s="28"/>
      <c r="KGO25" s="28"/>
      <c r="KGP25" s="28"/>
      <c r="KGQ25" s="28"/>
      <c r="KGR25" s="28"/>
      <c r="KGS25" s="28"/>
      <c r="KGT25" s="28"/>
      <c r="KGU25" s="28"/>
      <c r="KGV25" s="28"/>
      <c r="KGW25" s="28"/>
      <c r="KGX25" s="28"/>
      <c r="KGY25" s="28"/>
      <c r="KGZ25" s="28"/>
      <c r="KHA25" s="28"/>
      <c r="KHB25" s="28"/>
      <c r="KHC25" s="28"/>
      <c r="KHD25" s="28"/>
      <c r="KHE25" s="28"/>
      <c r="KHF25" s="28"/>
      <c r="KHG25" s="28"/>
      <c r="KHH25" s="28"/>
      <c r="KHI25" s="28"/>
      <c r="KHJ25" s="28"/>
      <c r="KHK25" s="28"/>
      <c r="KHL25" s="28"/>
      <c r="KHM25" s="28"/>
      <c r="KHN25" s="28"/>
      <c r="KHO25" s="28"/>
      <c r="KHP25" s="28"/>
      <c r="KHQ25" s="28"/>
      <c r="KHR25" s="28"/>
      <c r="KHS25" s="28"/>
      <c r="KHT25" s="28"/>
      <c r="KHU25" s="28"/>
      <c r="KHV25" s="28"/>
      <c r="KHW25" s="28"/>
      <c r="KHX25" s="28"/>
      <c r="KHY25" s="28"/>
      <c r="KHZ25" s="28"/>
      <c r="KIA25" s="28"/>
      <c r="KIB25" s="28"/>
      <c r="KIC25" s="28"/>
      <c r="KID25" s="28"/>
      <c r="KIE25" s="28"/>
      <c r="KIF25" s="28"/>
      <c r="KIG25" s="28"/>
      <c r="KIH25" s="28"/>
      <c r="KII25" s="28"/>
      <c r="KIJ25" s="28"/>
      <c r="KIK25" s="28"/>
      <c r="KIL25" s="28"/>
      <c r="KIM25" s="28"/>
      <c r="KIN25" s="28"/>
      <c r="KIO25" s="28"/>
      <c r="KIP25" s="28"/>
      <c r="KIQ25" s="28"/>
      <c r="KIR25" s="28"/>
      <c r="KIS25" s="28"/>
      <c r="KIT25" s="28"/>
      <c r="KIU25" s="28"/>
      <c r="KIV25" s="28"/>
      <c r="KIW25" s="28"/>
      <c r="KIX25" s="28"/>
      <c r="KIY25" s="28"/>
      <c r="KIZ25" s="28"/>
      <c r="KJA25" s="28"/>
      <c r="KJB25" s="28"/>
      <c r="KJC25" s="28"/>
      <c r="KJD25" s="28"/>
      <c r="KJE25" s="28"/>
      <c r="KJF25" s="28"/>
      <c r="KJG25" s="28"/>
      <c r="KJH25" s="28"/>
      <c r="KJI25" s="28"/>
      <c r="KJJ25" s="28"/>
      <c r="KJK25" s="28"/>
      <c r="KJL25" s="28"/>
      <c r="KJM25" s="28"/>
      <c r="KJN25" s="28"/>
      <c r="KJO25" s="28"/>
      <c r="KJP25" s="28"/>
      <c r="KJQ25" s="28"/>
      <c r="KJR25" s="28"/>
      <c r="KJS25" s="28"/>
      <c r="KJT25" s="28"/>
      <c r="KJU25" s="28"/>
      <c r="KJV25" s="28"/>
      <c r="KJW25" s="28"/>
      <c r="KJX25" s="28"/>
      <c r="KJY25" s="28"/>
      <c r="KJZ25" s="28"/>
      <c r="KKA25" s="28"/>
      <c r="KKB25" s="28"/>
      <c r="KKC25" s="28"/>
      <c r="KKD25" s="28"/>
      <c r="KKE25" s="28"/>
      <c r="KKF25" s="28"/>
      <c r="KKG25" s="28"/>
      <c r="KKH25" s="28"/>
      <c r="KKI25" s="28"/>
      <c r="KKJ25" s="28"/>
      <c r="KKK25" s="28"/>
      <c r="KKL25" s="28"/>
      <c r="KKM25" s="28"/>
      <c r="KKN25" s="28"/>
      <c r="KKO25" s="28"/>
      <c r="KKP25" s="28"/>
      <c r="KKQ25" s="28"/>
      <c r="KKR25" s="28"/>
      <c r="KKS25" s="28"/>
      <c r="KKT25" s="28"/>
      <c r="KKU25" s="28"/>
      <c r="KKV25" s="28"/>
      <c r="KKW25" s="28"/>
      <c r="KKX25" s="28"/>
      <c r="KKY25" s="28"/>
      <c r="KKZ25" s="28"/>
      <c r="KLA25" s="28"/>
      <c r="KLB25" s="28"/>
      <c r="KLC25" s="28"/>
      <c r="KLD25" s="28"/>
      <c r="KLE25" s="28"/>
      <c r="KLF25" s="28"/>
      <c r="KLG25" s="28"/>
      <c r="KLH25" s="28"/>
      <c r="KLI25" s="28"/>
      <c r="KLJ25" s="28"/>
      <c r="KLK25" s="28"/>
      <c r="KLL25" s="28"/>
      <c r="KLM25" s="28"/>
      <c r="KLN25" s="28"/>
      <c r="KLO25" s="28"/>
      <c r="KLP25" s="28"/>
      <c r="KLQ25" s="28"/>
      <c r="KLR25" s="28"/>
      <c r="KLS25" s="28"/>
      <c r="KLT25" s="28"/>
      <c r="KLU25" s="28"/>
      <c r="KLV25" s="28"/>
      <c r="KLW25" s="28"/>
      <c r="KLX25" s="28"/>
      <c r="KLY25" s="28"/>
      <c r="KLZ25" s="28"/>
      <c r="KMA25" s="28"/>
      <c r="KMB25" s="28"/>
      <c r="KMC25" s="28"/>
      <c r="KMD25" s="28"/>
      <c r="KME25" s="28"/>
      <c r="KMF25" s="28"/>
      <c r="KMG25" s="28"/>
      <c r="KMH25" s="28"/>
      <c r="KMI25" s="28"/>
      <c r="KMJ25" s="28"/>
      <c r="KMK25" s="28"/>
      <c r="KML25" s="28"/>
      <c r="KMM25" s="28"/>
      <c r="KMN25" s="28"/>
      <c r="KMO25" s="28"/>
      <c r="KMP25" s="28"/>
      <c r="KMQ25" s="28"/>
      <c r="KMR25" s="28"/>
      <c r="KMS25" s="28"/>
      <c r="KMT25" s="28"/>
      <c r="KMU25" s="28"/>
      <c r="KMV25" s="28"/>
      <c r="KMW25" s="28"/>
      <c r="KMX25" s="28"/>
      <c r="KMY25" s="28"/>
      <c r="KMZ25" s="28"/>
      <c r="KNA25" s="28"/>
      <c r="KNB25" s="28"/>
      <c r="KNC25" s="28"/>
      <c r="KND25" s="28"/>
      <c r="KNE25" s="28"/>
      <c r="KNF25" s="28"/>
      <c r="KNG25" s="28"/>
      <c r="KNH25" s="28"/>
      <c r="KNI25" s="28"/>
      <c r="KNJ25" s="28"/>
      <c r="KNK25" s="28"/>
      <c r="KNL25" s="28"/>
      <c r="KNM25" s="28"/>
      <c r="KNN25" s="28"/>
      <c r="KNO25" s="28"/>
      <c r="KNP25" s="28"/>
      <c r="KNQ25" s="28"/>
      <c r="KNR25" s="28"/>
      <c r="KNS25" s="28"/>
      <c r="KNT25" s="28"/>
      <c r="KNU25" s="28"/>
      <c r="KNV25" s="28"/>
      <c r="KNW25" s="28"/>
      <c r="KNX25" s="28"/>
      <c r="KNY25" s="28"/>
      <c r="KNZ25" s="28"/>
      <c r="KOA25" s="28"/>
      <c r="KOB25" s="28"/>
      <c r="KOC25" s="28"/>
      <c r="KOD25" s="28"/>
      <c r="KOE25" s="28"/>
      <c r="KOF25" s="28"/>
      <c r="KOG25" s="28"/>
      <c r="KOH25" s="28"/>
      <c r="KOI25" s="28"/>
      <c r="KOJ25" s="28"/>
      <c r="KOK25" s="28"/>
      <c r="KOL25" s="28"/>
      <c r="KOM25" s="28"/>
      <c r="KON25" s="28"/>
      <c r="KOO25" s="28"/>
      <c r="KOP25" s="28"/>
      <c r="KOQ25" s="28"/>
      <c r="KOR25" s="28"/>
      <c r="KOS25" s="28"/>
      <c r="KOT25" s="28"/>
      <c r="KOU25" s="28"/>
      <c r="KOV25" s="28"/>
      <c r="KOW25" s="28"/>
      <c r="KOX25" s="28"/>
      <c r="KOY25" s="28"/>
      <c r="KOZ25" s="28"/>
      <c r="KPA25" s="28"/>
      <c r="KPB25" s="28"/>
      <c r="KPC25" s="28"/>
      <c r="KPD25" s="28"/>
      <c r="KPE25" s="28"/>
      <c r="KPF25" s="28"/>
      <c r="KPG25" s="28"/>
      <c r="KPH25" s="28"/>
      <c r="KPI25" s="28"/>
      <c r="KPJ25" s="28"/>
      <c r="KPK25" s="28"/>
      <c r="KPL25" s="28"/>
      <c r="KPM25" s="28"/>
      <c r="KPN25" s="28"/>
      <c r="KPO25" s="28"/>
      <c r="KPP25" s="28"/>
      <c r="KPQ25" s="28"/>
      <c r="KPR25" s="28"/>
      <c r="KPS25" s="28"/>
      <c r="KPT25" s="28"/>
      <c r="KPU25" s="28"/>
      <c r="KPV25" s="28"/>
      <c r="KPW25" s="28"/>
      <c r="KPX25" s="28"/>
      <c r="KPY25" s="28"/>
      <c r="KPZ25" s="28"/>
      <c r="KQA25" s="28"/>
      <c r="KQB25" s="28"/>
      <c r="KQC25" s="28"/>
      <c r="KQD25" s="28"/>
      <c r="KQE25" s="28"/>
      <c r="KQF25" s="28"/>
      <c r="KQG25" s="28"/>
      <c r="KQH25" s="28"/>
      <c r="KQI25" s="28"/>
      <c r="KQJ25" s="28"/>
      <c r="KQK25" s="28"/>
      <c r="KQL25" s="28"/>
      <c r="KQM25" s="28"/>
      <c r="KQN25" s="28"/>
      <c r="KQO25" s="28"/>
      <c r="KQP25" s="28"/>
      <c r="KQQ25" s="28"/>
      <c r="KQR25" s="28"/>
      <c r="KQS25" s="28"/>
      <c r="KQT25" s="28"/>
      <c r="KQU25" s="28"/>
      <c r="KQV25" s="28"/>
      <c r="KQW25" s="28"/>
      <c r="KQX25" s="28"/>
      <c r="KQY25" s="28"/>
      <c r="KQZ25" s="28"/>
      <c r="KRA25" s="28"/>
      <c r="KRB25" s="28"/>
      <c r="KRC25" s="28"/>
      <c r="KRD25" s="28"/>
      <c r="KRE25" s="28"/>
      <c r="KRF25" s="28"/>
      <c r="KRG25" s="28"/>
      <c r="KRH25" s="28"/>
      <c r="KRI25" s="28"/>
      <c r="KRJ25" s="28"/>
      <c r="KRK25" s="28"/>
      <c r="KRL25" s="28"/>
      <c r="KRM25" s="28"/>
      <c r="KRN25" s="28"/>
      <c r="KRO25" s="28"/>
      <c r="KRP25" s="28"/>
      <c r="KRQ25" s="28"/>
      <c r="KRR25" s="28"/>
      <c r="KRS25" s="28"/>
      <c r="KRT25" s="28"/>
      <c r="KRU25" s="28"/>
      <c r="KRV25" s="28"/>
      <c r="KRW25" s="28"/>
      <c r="KRX25" s="28"/>
      <c r="KRY25" s="28"/>
      <c r="KRZ25" s="28"/>
      <c r="KSA25" s="28"/>
      <c r="KSB25" s="28"/>
      <c r="KSC25" s="28"/>
      <c r="KSD25" s="28"/>
      <c r="KSE25" s="28"/>
      <c r="KSF25" s="28"/>
      <c r="KSG25" s="28"/>
      <c r="KSH25" s="28"/>
      <c r="KSI25" s="28"/>
      <c r="KSJ25" s="28"/>
      <c r="KSK25" s="28"/>
      <c r="KSL25" s="28"/>
      <c r="KSM25" s="28"/>
      <c r="KSN25" s="28"/>
      <c r="KSO25" s="28"/>
      <c r="KSP25" s="28"/>
      <c r="KSQ25" s="28"/>
      <c r="KSR25" s="28"/>
      <c r="KSS25" s="28"/>
      <c r="KST25" s="28"/>
      <c r="KSU25" s="28"/>
      <c r="KSV25" s="28"/>
      <c r="KSW25" s="28"/>
      <c r="KSX25" s="28"/>
      <c r="KSY25" s="28"/>
      <c r="KSZ25" s="28"/>
      <c r="KTA25" s="28"/>
      <c r="KTB25" s="28"/>
      <c r="KTC25" s="28"/>
      <c r="KTD25" s="28"/>
      <c r="KTE25" s="28"/>
      <c r="KTF25" s="28"/>
      <c r="KTG25" s="28"/>
      <c r="KTH25" s="28"/>
      <c r="KTI25" s="28"/>
      <c r="KTJ25" s="28"/>
      <c r="KTK25" s="28"/>
      <c r="KTL25" s="28"/>
      <c r="KTM25" s="28"/>
      <c r="KTN25" s="28"/>
      <c r="KTO25" s="28"/>
      <c r="KTP25" s="28"/>
      <c r="KTQ25" s="28"/>
      <c r="KTR25" s="28"/>
      <c r="KTS25" s="28"/>
      <c r="KTT25" s="28"/>
      <c r="KTU25" s="28"/>
      <c r="KTV25" s="28"/>
      <c r="KTW25" s="28"/>
      <c r="KTX25" s="28"/>
      <c r="KTY25" s="28"/>
      <c r="KTZ25" s="28"/>
      <c r="KUA25" s="28"/>
      <c r="KUB25" s="28"/>
      <c r="KUC25" s="28"/>
      <c r="KUD25" s="28"/>
      <c r="KUE25" s="28"/>
      <c r="KUF25" s="28"/>
      <c r="KUG25" s="28"/>
      <c r="KUH25" s="28"/>
      <c r="KUI25" s="28"/>
      <c r="KUJ25" s="28"/>
      <c r="KUK25" s="28"/>
      <c r="KUL25" s="28"/>
      <c r="KUM25" s="28"/>
      <c r="KUN25" s="28"/>
      <c r="KUO25" s="28"/>
      <c r="KUP25" s="28"/>
      <c r="KUQ25" s="28"/>
      <c r="KUR25" s="28"/>
      <c r="KUS25" s="28"/>
      <c r="KUT25" s="28"/>
      <c r="KUU25" s="28"/>
      <c r="KUV25" s="28"/>
      <c r="KUW25" s="28"/>
      <c r="KUX25" s="28"/>
      <c r="KUY25" s="28"/>
      <c r="KUZ25" s="28"/>
      <c r="KVA25" s="28"/>
      <c r="KVB25" s="28"/>
      <c r="KVC25" s="28"/>
      <c r="KVD25" s="28"/>
      <c r="KVE25" s="28"/>
      <c r="KVF25" s="28"/>
      <c r="KVG25" s="28"/>
      <c r="KVH25" s="28"/>
      <c r="KVI25" s="28"/>
      <c r="KVJ25" s="28"/>
      <c r="KVK25" s="28"/>
      <c r="KVL25" s="28"/>
      <c r="KVM25" s="28"/>
      <c r="KVN25" s="28"/>
      <c r="KVO25" s="28"/>
      <c r="KVP25" s="28"/>
      <c r="KVQ25" s="28"/>
      <c r="KVR25" s="28"/>
      <c r="KVS25" s="28"/>
      <c r="KVT25" s="28"/>
      <c r="KVU25" s="28"/>
      <c r="KVV25" s="28"/>
      <c r="KVW25" s="28"/>
      <c r="KVX25" s="28"/>
      <c r="KVY25" s="28"/>
      <c r="KVZ25" s="28"/>
      <c r="KWA25" s="28"/>
      <c r="KWB25" s="28"/>
      <c r="KWC25" s="28"/>
      <c r="KWD25" s="28"/>
      <c r="KWE25" s="28"/>
      <c r="KWF25" s="28"/>
      <c r="KWG25" s="28"/>
      <c r="KWH25" s="28"/>
      <c r="KWI25" s="28"/>
      <c r="KWJ25" s="28"/>
      <c r="KWK25" s="28"/>
      <c r="KWL25" s="28"/>
      <c r="KWM25" s="28"/>
      <c r="KWN25" s="28"/>
      <c r="KWO25" s="28"/>
      <c r="KWP25" s="28"/>
      <c r="KWQ25" s="28"/>
      <c r="KWR25" s="28"/>
      <c r="KWS25" s="28"/>
      <c r="KWT25" s="28"/>
      <c r="KWU25" s="28"/>
      <c r="KWV25" s="28"/>
      <c r="KWW25" s="28"/>
      <c r="KWX25" s="28"/>
      <c r="KWY25" s="28"/>
      <c r="KWZ25" s="28"/>
      <c r="KXA25" s="28"/>
      <c r="KXB25" s="28"/>
      <c r="KXC25" s="28"/>
      <c r="KXD25" s="28"/>
      <c r="KXE25" s="28"/>
      <c r="KXF25" s="28"/>
      <c r="KXG25" s="28"/>
      <c r="KXH25" s="28"/>
      <c r="KXI25" s="28"/>
      <c r="KXJ25" s="28"/>
      <c r="KXK25" s="28"/>
      <c r="KXL25" s="28"/>
      <c r="KXM25" s="28"/>
      <c r="KXN25" s="28"/>
      <c r="KXO25" s="28"/>
      <c r="KXP25" s="28"/>
      <c r="KXQ25" s="28"/>
      <c r="KXR25" s="28"/>
      <c r="KXS25" s="28"/>
      <c r="KXT25" s="28"/>
      <c r="KXU25" s="28"/>
      <c r="KXV25" s="28"/>
      <c r="KXW25" s="28"/>
      <c r="KXX25" s="28"/>
      <c r="KXY25" s="28"/>
      <c r="KXZ25" s="28"/>
      <c r="KYA25" s="28"/>
      <c r="KYB25" s="28"/>
      <c r="KYC25" s="28"/>
      <c r="KYD25" s="28"/>
      <c r="KYE25" s="28"/>
      <c r="KYF25" s="28"/>
      <c r="KYG25" s="28"/>
      <c r="KYH25" s="28"/>
      <c r="KYI25" s="28"/>
      <c r="KYJ25" s="28"/>
      <c r="KYK25" s="28"/>
      <c r="KYL25" s="28"/>
      <c r="KYM25" s="28"/>
      <c r="KYN25" s="28"/>
      <c r="KYO25" s="28"/>
      <c r="KYP25" s="28"/>
      <c r="KYQ25" s="28"/>
      <c r="KYR25" s="28"/>
      <c r="KYS25" s="28"/>
      <c r="KYT25" s="28"/>
      <c r="KYU25" s="28"/>
      <c r="KYV25" s="28"/>
      <c r="KYW25" s="28"/>
      <c r="KYX25" s="28"/>
      <c r="KYY25" s="28"/>
      <c r="KYZ25" s="28"/>
      <c r="KZA25" s="28"/>
      <c r="KZB25" s="28"/>
      <c r="KZC25" s="28"/>
      <c r="KZD25" s="28"/>
      <c r="KZE25" s="28"/>
      <c r="KZF25" s="28"/>
      <c r="KZG25" s="28"/>
      <c r="KZH25" s="28"/>
      <c r="KZI25" s="28"/>
      <c r="KZJ25" s="28"/>
      <c r="KZK25" s="28"/>
      <c r="KZL25" s="28"/>
      <c r="KZM25" s="28"/>
      <c r="KZN25" s="28"/>
      <c r="KZO25" s="28"/>
      <c r="KZP25" s="28"/>
      <c r="KZQ25" s="28"/>
      <c r="KZR25" s="28"/>
      <c r="KZS25" s="28"/>
      <c r="KZT25" s="28"/>
      <c r="KZU25" s="28"/>
      <c r="KZV25" s="28"/>
      <c r="KZW25" s="28"/>
      <c r="KZX25" s="28"/>
      <c r="KZY25" s="28"/>
      <c r="KZZ25" s="28"/>
      <c r="LAA25" s="28"/>
      <c r="LAB25" s="28"/>
      <c r="LAC25" s="28"/>
      <c r="LAD25" s="28"/>
      <c r="LAE25" s="28"/>
      <c r="LAF25" s="28"/>
      <c r="LAG25" s="28"/>
      <c r="LAH25" s="28"/>
      <c r="LAI25" s="28"/>
      <c r="LAJ25" s="28"/>
      <c r="LAK25" s="28"/>
      <c r="LAL25" s="28"/>
      <c r="LAM25" s="28"/>
      <c r="LAN25" s="28"/>
      <c r="LAO25" s="28"/>
      <c r="LAP25" s="28"/>
      <c r="LAQ25" s="28"/>
      <c r="LAR25" s="28"/>
      <c r="LAS25" s="28"/>
      <c r="LAT25" s="28"/>
      <c r="LAU25" s="28"/>
      <c r="LAV25" s="28"/>
      <c r="LAW25" s="28"/>
      <c r="LAX25" s="28"/>
      <c r="LAY25" s="28"/>
      <c r="LAZ25" s="28"/>
      <c r="LBA25" s="28"/>
      <c r="LBB25" s="28"/>
      <c r="LBC25" s="28"/>
      <c r="LBD25" s="28"/>
      <c r="LBE25" s="28"/>
      <c r="LBF25" s="28"/>
      <c r="LBG25" s="28"/>
      <c r="LBH25" s="28"/>
      <c r="LBI25" s="28"/>
      <c r="LBJ25" s="28"/>
      <c r="LBK25" s="28"/>
      <c r="LBL25" s="28"/>
      <c r="LBM25" s="28"/>
      <c r="LBN25" s="28"/>
      <c r="LBO25" s="28"/>
      <c r="LBP25" s="28"/>
      <c r="LBQ25" s="28"/>
      <c r="LBR25" s="28"/>
      <c r="LBS25" s="28"/>
      <c r="LBT25" s="28"/>
      <c r="LBU25" s="28"/>
      <c r="LBV25" s="28"/>
      <c r="LBW25" s="28"/>
      <c r="LBX25" s="28"/>
      <c r="LBY25" s="28"/>
      <c r="LBZ25" s="28"/>
      <c r="LCA25" s="28"/>
      <c r="LCB25" s="28"/>
      <c r="LCC25" s="28"/>
      <c r="LCD25" s="28"/>
      <c r="LCE25" s="28"/>
      <c r="LCF25" s="28"/>
      <c r="LCG25" s="28"/>
      <c r="LCH25" s="28"/>
      <c r="LCI25" s="28"/>
      <c r="LCJ25" s="28"/>
      <c r="LCK25" s="28"/>
      <c r="LCL25" s="28"/>
      <c r="LCM25" s="28"/>
      <c r="LCN25" s="28"/>
      <c r="LCO25" s="28"/>
      <c r="LCP25" s="28"/>
      <c r="LCQ25" s="28"/>
      <c r="LCR25" s="28"/>
      <c r="LCS25" s="28"/>
      <c r="LCT25" s="28"/>
      <c r="LCU25" s="28"/>
      <c r="LCV25" s="28"/>
      <c r="LCW25" s="28"/>
      <c r="LCX25" s="28"/>
      <c r="LCY25" s="28"/>
      <c r="LCZ25" s="28"/>
      <c r="LDA25" s="28"/>
      <c r="LDB25" s="28"/>
      <c r="LDC25" s="28"/>
      <c r="LDD25" s="28"/>
      <c r="LDE25" s="28"/>
      <c r="LDF25" s="28"/>
      <c r="LDG25" s="28"/>
      <c r="LDH25" s="28"/>
      <c r="LDI25" s="28"/>
      <c r="LDJ25" s="28"/>
      <c r="LDK25" s="28"/>
      <c r="LDL25" s="28"/>
      <c r="LDM25" s="28"/>
      <c r="LDN25" s="28"/>
      <c r="LDO25" s="28"/>
      <c r="LDP25" s="28"/>
      <c r="LDQ25" s="28"/>
      <c r="LDR25" s="28"/>
      <c r="LDS25" s="28"/>
      <c r="LDT25" s="28"/>
      <c r="LDU25" s="28"/>
      <c r="LDV25" s="28"/>
      <c r="LDW25" s="28"/>
      <c r="LDX25" s="28"/>
      <c r="LDY25" s="28"/>
      <c r="LDZ25" s="28"/>
      <c r="LEA25" s="28"/>
      <c r="LEB25" s="28"/>
      <c r="LEC25" s="28"/>
      <c r="LED25" s="28"/>
      <c r="LEE25" s="28"/>
      <c r="LEF25" s="28"/>
      <c r="LEG25" s="28"/>
      <c r="LEH25" s="28"/>
      <c r="LEI25" s="28"/>
      <c r="LEJ25" s="28"/>
      <c r="LEK25" s="28"/>
      <c r="LEL25" s="28"/>
      <c r="LEM25" s="28"/>
      <c r="LEN25" s="28"/>
      <c r="LEO25" s="28"/>
      <c r="LEP25" s="28"/>
      <c r="LEQ25" s="28"/>
      <c r="LER25" s="28"/>
      <c r="LES25" s="28"/>
      <c r="LET25" s="28"/>
      <c r="LEU25" s="28"/>
      <c r="LEV25" s="28"/>
      <c r="LEW25" s="28"/>
      <c r="LEX25" s="28"/>
      <c r="LEY25" s="28"/>
      <c r="LEZ25" s="28"/>
      <c r="LFA25" s="28"/>
      <c r="LFB25" s="28"/>
      <c r="LFC25" s="28"/>
      <c r="LFD25" s="28"/>
      <c r="LFE25" s="28"/>
      <c r="LFF25" s="28"/>
      <c r="LFG25" s="28"/>
      <c r="LFH25" s="28"/>
      <c r="LFI25" s="28"/>
      <c r="LFJ25" s="28"/>
      <c r="LFK25" s="28"/>
      <c r="LFL25" s="28"/>
      <c r="LFM25" s="28"/>
      <c r="LFN25" s="28"/>
      <c r="LFO25" s="28"/>
      <c r="LFP25" s="28"/>
      <c r="LFQ25" s="28"/>
      <c r="LFR25" s="28"/>
      <c r="LFS25" s="28"/>
      <c r="LFT25" s="28"/>
      <c r="LFU25" s="28"/>
      <c r="LFV25" s="28"/>
      <c r="LFW25" s="28"/>
      <c r="LFX25" s="28"/>
      <c r="LFY25" s="28"/>
      <c r="LFZ25" s="28"/>
      <c r="LGA25" s="28"/>
      <c r="LGB25" s="28"/>
      <c r="LGC25" s="28"/>
      <c r="LGD25" s="28"/>
      <c r="LGE25" s="28"/>
      <c r="LGF25" s="28"/>
      <c r="LGG25" s="28"/>
      <c r="LGH25" s="28"/>
      <c r="LGI25" s="28"/>
      <c r="LGJ25" s="28"/>
      <c r="LGK25" s="28"/>
      <c r="LGL25" s="28"/>
      <c r="LGM25" s="28"/>
      <c r="LGN25" s="28"/>
      <c r="LGO25" s="28"/>
      <c r="LGP25" s="28"/>
      <c r="LGQ25" s="28"/>
      <c r="LGR25" s="28"/>
      <c r="LGS25" s="28"/>
      <c r="LGT25" s="28"/>
      <c r="LGU25" s="28"/>
      <c r="LGV25" s="28"/>
      <c r="LGW25" s="28"/>
      <c r="LGX25" s="28"/>
      <c r="LGY25" s="28"/>
      <c r="LGZ25" s="28"/>
      <c r="LHA25" s="28"/>
      <c r="LHB25" s="28"/>
      <c r="LHC25" s="28"/>
      <c r="LHD25" s="28"/>
      <c r="LHE25" s="28"/>
      <c r="LHF25" s="28"/>
      <c r="LHG25" s="28"/>
      <c r="LHH25" s="28"/>
      <c r="LHI25" s="28"/>
      <c r="LHJ25" s="28"/>
      <c r="LHK25" s="28"/>
      <c r="LHL25" s="28"/>
      <c r="LHM25" s="28"/>
      <c r="LHN25" s="28"/>
      <c r="LHO25" s="28"/>
      <c r="LHP25" s="28"/>
      <c r="LHQ25" s="28"/>
      <c r="LHR25" s="28"/>
      <c r="LHS25" s="28"/>
      <c r="LHT25" s="28"/>
      <c r="LHU25" s="28"/>
      <c r="LHV25" s="28"/>
      <c r="LHW25" s="28"/>
      <c r="LHX25" s="28"/>
      <c r="LHY25" s="28"/>
      <c r="LHZ25" s="28"/>
      <c r="LIA25" s="28"/>
      <c r="LIB25" s="28"/>
      <c r="LIC25" s="28"/>
      <c r="LID25" s="28"/>
      <c r="LIE25" s="28"/>
      <c r="LIF25" s="28"/>
      <c r="LIG25" s="28"/>
      <c r="LIH25" s="28"/>
      <c r="LII25" s="28"/>
      <c r="LIJ25" s="28"/>
      <c r="LIK25" s="28"/>
      <c r="LIL25" s="28"/>
      <c r="LIM25" s="28"/>
      <c r="LIN25" s="28"/>
      <c r="LIO25" s="28"/>
      <c r="LIP25" s="28"/>
      <c r="LIQ25" s="28"/>
      <c r="LIR25" s="28"/>
      <c r="LIS25" s="28"/>
      <c r="LIT25" s="28"/>
      <c r="LIU25" s="28"/>
      <c r="LIV25" s="28"/>
      <c r="LIW25" s="28"/>
      <c r="LIX25" s="28"/>
      <c r="LIY25" s="28"/>
      <c r="LIZ25" s="28"/>
      <c r="LJA25" s="28"/>
      <c r="LJB25" s="28"/>
      <c r="LJC25" s="28"/>
      <c r="LJD25" s="28"/>
      <c r="LJE25" s="28"/>
      <c r="LJF25" s="28"/>
      <c r="LJG25" s="28"/>
      <c r="LJH25" s="28"/>
      <c r="LJI25" s="28"/>
      <c r="LJJ25" s="28"/>
      <c r="LJK25" s="28"/>
      <c r="LJL25" s="28"/>
      <c r="LJM25" s="28"/>
      <c r="LJN25" s="28"/>
      <c r="LJO25" s="28"/>
      <c r="LJP25" s="28"/>
      <c r="LJQ25" s="28"/>
      <c r="LJR25" s="28"/>
      <c r="LJS25" s="28"/>
      <c r="LJT25" s="28"/>
      <c r="LJU25" s="28"/>
      <c r="LJV25" s="28"/>
      <c r="LJW25" s="28"/>
      <c r="LJX25" s="28"/>
      <c r="LJY25" s="28"/>
      <c r="LJZ25" s="28"/>
      <c r="LKA25" s="28"/>
      <c r="LKB25" s="28"/>
      <c r="LKC25" s="28"/>
      <c r="LKD25" s="28"/>
      <c r="LKE25" s="28"/>
      <c r="LKF25" s="28"/>
      <c r="LKG25" s="28"/>
      <c r="LKH25" s="28"/>
      <c r="LKI25" s="28"/>
      <c r="LKJ25" s="28"/>
      <c r="LKK25" s="28"/>
      <c r="LKL25" s="28"/>
      <c r="LKM25" s="28"/>
      <c r="LKN25" s="28"/>
      <c r="LKO25" s="28"/>
      <c r="LKP25" s="28"/>
      <c r="LKQ25" s="28"/>
      <c r="LKR25" s="28"/>
      <c r="LKS25" s="28"/>
      <c r="LKT25" s="28"/>
      <c r="LKU25" s="28"/>
      <c r="LKV25" s="28"/>
      <c r="LKW25" s="28"/>
      <c r="LKX25" s="28"/>
      <c r="LKY25" s="28"/>
      <c r="LKZ25" s="28"/>
      <c r="LLA25" s="28"/>
      <c r="LLB25" s="28"/>
      <c r="LLC25" s="28"/>
      <c r="LLD25" s="28"/>
      <c r="LLE25" s="28"/>
      <c r="LLF25" s="28"/>
      <c r="LLG25" s="28"/>
      <c r="LLH25" s="28"/>
      <c r="LLI25" s="28"/>
      <c r="LLJ25" s="28"/>
      <c r="LLK25" s="28"/>
      <c r="LLL25" s="28"/>
      <c r="LLM25" s="28"/>
      <c r="LLN25" s="28"/>
      <c r="LLO25" s="28"/>
      <c r="LLP25" s="28"/>
      <c r="LLQ25" s="28"/>
      <c r="LLR25" s="28"/>
      <c r="LLS25" s="28"/>
      <c r="LLT25" s="28"/>
      <c r="LLU25" s="28"/>
      <c r="LLV25" s="28"/>
      <c r="LLW25" s="28"/>
      <c r="LLX25" s="28"/>
      <c r="LLY25" s="28"/>
      <c r="LLZ25" s="28"/>
      <c r="LMA25" s="28"/>
      <c r="LMB25" s="28"/>
      <c r="LMC25" s="28"/>
      <c r="LMD25" s="28"/>
      <c r="LME25" s="28"/>
      <c r="LMF25" s="28"/>
      <c r="LMG25" s="28"/>
      <c r="LMH25" s="28"/>
      <c r="LMI25" s="28"/>
      <c r="LMJ25" s="28"/>
      <c r="LMK25" s="28"/>
      <c r="LML25" s="28"/>
      <c r="LMM25" s="28"/>
      <c r="LMN25" s="28"/>
      <c r="LMO25" s="28"/>
      <c r="LMP25" s="28"/>
      <c r="LMQ25" s="28"/>
      <c r="LMR25" s="28"/>
      <c r="LMS25" s="28"/>
      <c r="LMT25" s="28"/>
      <c r="LMU25" s="28"/>
      <c r="LMV25" s="28"/>
      <c r="LMW25" s="28"/>
      <c r="LMX25" s="28"/>
      <c r="LMY25" s="28"/>
      <c r="LMZ25" s="28"/>
      <c r="LNA25" s="28"/>
      <c r="LNB25" s="28"/>
      <c r="LNC25" s="28"/>
      <c r="LND25" s="28"/>
      <c r="LNE25" s="28"/>
      <c r="LNF25" s="28"/>
      <c r="LNG25" s="28"/>
      <c r="LNH25" s="28"/>
      <c r="LNI25" s="28"/>
      <c r="LNJ25" s="28"/>
      <c r="LNK25" s="28"/>
      <c r="LNL25" s="28"/>
      <c r="LNM25" s="28"/>
      <c r="LNN25" s="28"/>
      <c r="LNO25" s="28"/>
      <c r="LNP25" s="28"/>
      <c r="LNQ25" s="28"/>
      <c r="LNR25" s="28"/>
      <c r="LNS25" s="28"/>
      <c r="LNT25" s="28"/>
      <c r="LNU25" s="28"/>
      <c r="LNV25" s="28"/>
      <c r="LNW25" s="28"/>
      <c r="LNX25" s="28"/>
      <c r="LNY25" s="28"/>
      <c r="LNZ25" s="28"/>
      <c r="LOA25" s="28"/>
      <c r="LOB25" s="28"/>
      <c r="LOC25" s="28"/>
      <c r="LOD25" s="28"/>
      <c r="LOE25" s="28"/>
      <c r="LOF25" s="28"/>
      <c r="LOG25" s="28"/>
      <c r="LOH25" s="28"/>
      <c r="LOI25" s="28"/>
      <c r="LOJ25" s="28"/>
      <c r="LOK25" s="28"/>
      <c r="LOL25" s="28"/>
      <c r="LOM25" s="28"/>
      <c r="LON25" s="28"/>
      <c r="LOO25" s="28"/>
      <c r="LOP25" s="28"/>
      <c r="LOQ25" s="28"/>
      <c r="LOR25" s="28"/>
      <c r="LOS25" s="28"/>
      <c r="LOT25" s="28"/>
      <c r="LOU25" s="28"/>
      <c r="LOV25" s="28"/>
      <c r="LOW25" s="28"/>
      <c r="LOX25" s="28"/>
      <c r="LOY25" s="28"/>
      <c r="LOZ25" s="28"/>
      <c r="LPA25" s="28"/>
      <c r="LPB25" s="28"/>
      <c r="LPC25" s="28"/>
      <c r="LPD25" s="28"/>
      <c r="LPE25" s="28"/>
      <c r="LPF25" s="28"/>
      <c r="LPG25" s="28"/>
      <c r="LPH25" s="28"/>
      <c r="LPI25" s="28"/>
      <c r="LPJ25" s="28"/>
      <c r="LPK25" s="28"/>
      <c r="LPL25" s="28"/>
      <c r="LPM25" s="28"/>
      <c r="LPN25" s="28"/>
      <c r="LPO25" s="28"/>
      <c r="LPP25" s="28"/>
      <c r="LPQ25" s="28"/>
      <c r="LPR25" s="28"/>
      <c r="LPS25" s="28"/>
      <c r="LPT25" s="28"/>
      <c r="LPU25" s="28"/>
      <c r="LPV25" s="28"/>
      <c r="LPW25" s="28"/>
      <c r="LPX25" s="28"/>
      <c r="LPY25" s="28"/>
      <c r="LPZ25" s="28"/>
      <c r="LQA25" s="28"/>
      <c r="LQB25" s="28"/>
      <c r="LQC25" s="28"/>
      <c r="LQD25" s="28"/>
      <c r="LQE25" s="28"/>
      <c r="LQF25" s="28"/>
      <c r="LQG25" s="28"/>
      <c r="LQH25" s="28"/>
      <c r="LQI25" s="28"/>
      <c r="LQJ25" s="28"/>
      <c r="LQK25" s="28"/>
      <c r="LQL25" s="28"/>
      <c r="LQM25" s="28"/>
      <c r="LQN25" s="28"/>
      <c r="LQO25" s="28"/>
      <c r="LQP25" s="28"/>
      <c r="LQQ25" s="28"/>
      <c r="LQR25" s="28"/>
      <c r="LQS25" s="28"/>
      <c r="LQT25" s="28"/>
      <c r="LQU25" s="28"/>
      <c r="LQV25" s="28"/>
      <c r="LQW25" s="28"/>
      <c r="LQX25" s="28"/>
      <c r="LQY25" s="28"/>
      <c r="LQZ25" s="28"/>
      <c r="LRA25" s="28"/>
      <c r="LRB25" s="28"/>
      <c r="LRC25" s="28"/>
      <c r="LRD25" s="28"/>
      <c r="LRE25" s="28"/>
      <c r="LRF25" s="28"/>
      <c r="LRG25" s="28"/>
      <c r="LRH25" s="28"/>
      <c r="LRI25" s="28"/>
      <c r="LRJ25" s="28"/>
      <c r="LRK25" s="28"/>
      <c r="LRL25" s="28"/>
      <c r="LRM25" s="28"/>
      <c r="LRN25" s="28"/>
      <c r="LRO25" s="28"/>
      <c r="LRP25" s="28"/>
      <c r="LRQ25" s="28"/>
      <c r="LRR25" s="28"/>
      <c r="LRS25" s="28"/>
      <c r="LRT25" s="28"/>
      <c r="LRU25" s="28"/>
      <c r="LRV25" s="28"/>
      <c r="LRW25" s="28"/>
      <c r="LRX25" s="28"/>
      <c r="LRY25" s="28"/>
      <c r="LRZ25" s="28"/>
      <c r="LSA25" s="28"/>
      <c r="LSB25" s="28"/>
      <c r="LSC25" s="28"/>
      <c r="LSD25" s="28"/>
      <c r="LSE25" s="28"/>
      <c r="LSF25" s="28"/>
      <c r="LSG25" s="28"/>
      <c r="LSH25" s="28"/>
      <c r="LSI25" s="28"/>
      <c r="LSJ25" s="28"/>
      <c r="LSK25" s="28"/>
      <c r="LSL25" s="28"/>
      <c r="LSM25" s="28"/>
      <c r="LSN25" s="28"/>
      <c r="LSO25" s="28"/>
      <c r="LSP25" s="28"/>
      <c r="LSQ25" s="28"/>
      <c r="LSR25" s="28"/>
      <c r="LSS25" s="28"/>
      <c r="LST25" s="28"/>
      <c r="LSU25" s="28"/>
      <c r="LSV25" s="28"/>
      <c r="LSW25" s="28"/>
      <c r="LSX25" s="28"/>
      <c r="LSY25" s="28"/>
      <c r="LSZ25" s="28"/>
      <c r="LTA25" s="28"/>
      <c r="LTB25" s="28"/>
      <c r="LTC25" s="28"/>
      <c r="LTD25" s="28"/>
      <c r="LTE25" s="28"/>
      <c r="LTF25" s="28"/>
      <c r="LTG25" s="28"/>
      <c r="LTH25" s="28"/>
      <c r="LTI25" s="28"/>
      <c r="LTJ25" s="28"/>
      <c r="LTK25" s="28"/>
      <c r="LTL25" s="28"/>
      <c r="LTM25" s="28"/>
      <c r="LTN25" s="28"/>
      <c r="LTO25" s="28"/>
      <c r="LTP25" s="28"/>
      <c r="LTQ25" s="28"/>
      <c r="LTR25" s="28"/>
      <c r="LTS25" s="28"/>
      <c r="LTT25" s="28"/>
      <c r="LTU25" s="28"/>
      <c r="LTV25" s="28"/>
      <c r="LTW25" s="28"/>
      <c r="LTX25" s="28"/>
      <c r="LTY25" s="28"/>
      <c r="LTZ25" s="28"/>
      <c r="LUA25" s="28"/>
      <c r="LUB25" s="28"/>
      <c r="LUC25" s="28"/>
      <c r="LUD25" s="28"/>
      <c r="LUE25" s="28"/>
      <c r="LUF25" s="28"/>
      <c r="LUG25" s="28"/>
      <c r="LUH25" s="28"/>
      <c r="LUI25" s="28"/>
      <c r="LUJ25" s="28"/>
      <c r="LUK25" s="28"/>
      <c r="LUL25" s="28"/>
      <c r="LUM25" s="28"/>
      <c r="LUN25" s="28"/>
      <c r="LUO25" s="28"/>
      <c r="LUP25" s="28"/>
      <c r="LUQ25" s="28"/>
      <c r="LUR25" s="28"/>
      <c r="LUS25" s="28"/>
      <c r="LUT25" s="28"/>
      <c r="LUU25" s="28"/>
      <c r="LUV25" s="28"/>
      <c r="LUW25" s="28"/>
      <c r="LUX25" s="28"/>
      <c r="LUY25" s="28"/>
      <c r="LUZ25" s="28"/>
      <c r="LVA25" s="28"/>
      <c r="LVB25" s="28"/>
      <c r="LVC25" s="28"/>
      <c r="LVD25" s="28"/>
      <c r="LVE25" s="28"/>
      <c r="LVF25" s="28"/>
      <c r="LVG25" s="28"/>
      <c r="LVH25" s="28"/>
      <c r="LVI25" s="28"/>
      <c r="LVJ25" s="28"/>
      <c r="LVK25" s="28"/>
      <c r="LVL25" s="28"/>
      <c r="LVM25" s="28"/>
      <c r="LVN25" s="28"/>
      <c r="LVO25" s="28"/>
      <c r="LVP25" s="28"/>
      <c r="LVQ25" s="28"/>
      <c r="LVR25" s="28"/>
      <c r="LVS25" s="28"/>
      <c r="LVT25" s="28"/>
      <c r="LVU25" s="28"/>
      <c r="LVV25" s="28"/>
      <c r="LVW25" s="28"/>
      <c r="LVX25" s="28"/>
      <c r="LVY25" s="28"/>
      <c r="LVZ25" s="28"/>
      <c r="LWA25" s="28"/>
      <c r="LWB25" s="28"/>
      <c r="LWC25" s="28"/>
      <c r="LWD25" s="28"/>
      <c r="LWE25" s="28"/>
      <c r="LWF25" s="28"/>
      <c r="LWG25" s="28"/>
      <c r="LWH25" s="28"/>
      <c r="LWI25" s="28"/>
      <c r="LWJ25" s="28"/>
      <c r="LWK25" s="28"/>
      <c r="LWL25" s="28"/>
      <c r="LWM25" s="28"/>
      <c r="LWN25" s="28"/>
      <c r="LWO25" s="28"/>
      <c r="LWP25" s="28"/>
      <c r="LWQ25" s="28"/>
      <c r="LWR25" s="28"/>
      <c r="LWS25" s="28"/>
      <c r="LWT25" s="28"/>
      <c r="LWU25" s="28"/>
      <c r="LWV25" s="28"/>
      <c r="LWW25" s="28"/>
      <c r="LWX25" s="28"/>
      <c r="LWY25" s="28"/>
      <c r="LWZ25" s="28"/>
      <c r="LXA25" s="28"/>
      <c r="LXB25" s="28"/>
      <c r="LXC25" s="28"/>
      <c r="LXD25" s="28"/>
      <c r="LXE25" s="28"/>
      <c r="LXF25" s="28"/>
      <c r="LXG25" s="28"/>
      <c r="LXH25" s="28"/>
      <c r="LXI25" s="28"/>
      <c r="LXJ25" s="28"/>
      <c r="LXK25" s="28"/>
      <c r="LXL25" s="28"/>
      <c r="LXM25" s="28"/>
      <c r="LXN25" s="28"/>
      <c r="LXO25" s="28"/>
      <c r="LXP25" s="28"/>
      <c r="LXQ25" s="28"/>
      <c r="LXR25" s="28"/>
      <c r="LXS25" s="28"/>
      <c r="LXT25" s="28"/>
      <c r="LXU25" s="28"/>
      <c r="LXV25" s="28"/>
      <c r="LXW25" s="28"/>
      <c r="LXX25" s="28"/>
      <c r="LXY25" s="28"/>
      <c r="LXZ25" s="28"/>
      <c r="LYA25" s="28"/>
      <c r="LYB25" s="28"/>
      <c r="LYC25" s="28"/>
      <c r="LYD25" s="28"/>
      <c r="LYE25" s="28"/>
      <c r="LYF25" s="28"/>
      <c r="LYG25" s="28"/>
      <c r="LYH25" s="28"/>
      <c r="LYI25" s="28"/>
      <c r="LYJ25" s="28"/>
      <c r="LYK25" s="28"/>
      <c r="LYL25" s="28"/>
      <c r="LYM25" s="28"/>
      <c r="LYN25" s="28"/>
      <c r="LYO25" s="28"/>
      <c r="LYP25" s="28"/>
      <c r="LYQ25" s="28"/>
      <c r="LYR25" s="28"/>
      <c r="LYS25" s="28"/>
      <c r="LYT25" s="28"/>
      <c r="LYU25" s="28"/>
      <c r="LYV25" s="28"/>
      <c r="LYW25" s="28"/>
      <c r="LYX25" s="28"/>
      <c r="LYY25" s="28"/>
      <c r="LYZ25" s="28"/>
      <c r="LZA25" s="28"/>
      <c r="LZB25" s="28"/>
      <c r="LZC25" s="28"/>
      <c r="LZD25" s="28"/>
      <c r="LZE25" s="28"/>
      <c r="LZF25" s="28"/>
      <c r="LZG25" s="28"/>
      <c r="LZH25" s="28"/>
      <c r="LZI25" s="28"/>
      <c r="LZJ25" s="28"/>
      <c r="LZK25" s="28"/>
      <c r="LZL25" s="28"/>
      <c r="LZM25" s="28"/>
      <c r="LZN25" s="28"/>
      <c r="LZO25" s="28"/>
      <c r="LZP25" s="28"/>
      <c r="LZQ25" s="28"/>
      <c r="LZR25" s="28"/>
      <c r="LZS25" s="28"/>
      <c r="LZT25" s="28"/>
      <c r="LZU25" s="28"/>
      <c r="LZV25" s="28"/>
      <c r="LZW25" s="28"/>
      <c r="LZX25" s="28"/>
      <c r="LZY25" s="28"/>
      <c r="LZZ25" s="28"/>
      <c r="MAA25" s="28"/>
      <c r="MAB25" s="28"/>
      <c r="MAC25" s="28"/>
      <c r="MAD25" s="28"/>
      <c r="MAE25" s="28"/>
      <c r="MAF25" s="28"/>
      <c r="MAG25" s="28"/>
      <c r="MAH25" s="28"/>
      <c r="MAI25" s="28"/>
      <c r="MAJ25" s="28"/>
      <c r="MAK25" s="28"/>
      <c r="MAL25" s="28"/>
      <c r="MAM25" s="28"/>
      <c r="MAN25" s="28"/>
      <c r="MAO25" s="28"/>
      <c r="MAP25" s="28"/>
      <c r="MAQ25" s="28"/>
      <c r="MAR25" s="28"/>
      <c r="MAS25" s="28"/>
      <c r="MAT25" s="28"/>
      <c r="MAU25" s="28"/>
      <c r="MAV25" s="28"/>
      <c r="MAW25" s="28"/>
      <c r="MAX25" s="28"/>
      <c r="MAY25" s="28"/>
      <c r="MAZ25" s="28"/>
      <c r="MBA25" s="28"/>
      <c r="MBB25" s="28"/>
      <c r="MBC25" s="28"/>
      <c r="MBD25" s="28"/>
      <c r="MBE25" s="28"/>
      <c r="MBF25" s="28"/>
      <c r="MBG25" s="28"/>
      <c r="MBH25" s="28"/>
      <c r="MBI25" s="28"/>
      <c r="MBJ25" s="28"/>
      <c r="MBK25" s="28"/>
      <c r="MBL25" s="28"/>
      <c r="MBM25" s="28"/>
      <c r="MBN25" s="28"/>
      <c r="MBO25" s="28"/>
      <c r="MBP25" s="28"/>
      <c r="MBQ25" s="28"/>
      <c r="MBR25" s="28"/>
      <c r="MBS25" s="28"/>
      <c r="MBT25" s="28"/>
      <c r="MBU25" s="28"/>
      <c r="MBV25" s="28"/>
      <c r="MBW25" s="28"/>
      <c r="MBX25" s="28"/>
      <c r="MBY25" s="28"/>
      <c r="MBZ25" s="28"/>
      <c r="MCA25" s="28"/>
      <c r="MCB25" s="28"/>
      <c r="MCC25" s="28"/>
      <c r="MCD25" s="28"/>
      <c r="MCE25" s="28"/>
      <c r="MCF25" s="28"/>
      <c r="MCG25" s="28"/>
      <c r="MCH25" s="28"/>
      <c r="MCI25" s="28"/>
      <c r="MCJ25" s="28"/>
      <c r="MCK25" s="28"/>
      <c r="MCL25" s="28"/>
      <c r="MCM25" s="28"/>
      <c r="MCN25" s="28"/>
      <c r="MCO25" s="28"/>
      <c r="MCP25" s="28"/>
      <c r="MCQ25" s="28"/>
      <c r="MCR25" s="28"/>
      <c r="MCS25" s="28"/>
      <c r="MCT25" s="28"/>
      <c r="MCU25" s="28"/>
      <c r="MCV25" s="28"/>
      <c r="MCW25" s="28"/>
      <c r="MCX25" s="28"/>
      <c r="MCY25" s="28"/>
      <c r="MCZ25" s="28"/>
      <c r="MDA25" s="28"/>
      <c r="MDB25" s="28"/>
      <c r="MDC25" s="28"/>
      <c r="MDD25" s="28"/>
      <c r="MDE25" s="28"/>
      <c r="MDF25" s="28"/>
      <c r="MDG25" s="28"/>
      <c r="MDH25" s="28"/>
      <c r="MDI25" s="28"/>
      <c r="MDJ25" s="28"/>
      <c r="MDK25" s="28"/>
      <c r="MDL25" s="28"/>
      <c r="MDM25" s="28"/>
      <c r="MDN25" s="28"/>
      <c r="MDO25" s="28"/>
      <c r="MDP25" s="28"/>
      <c r="MDQ25" s="28"/>
      <c r="MDR25" s="28"/>
      <c r="MDS25" s="28"/>
      <c r="MDT25" s="28"/>
      <c r="MDU25" s="28"/>
      <c r="MDV25" s="28"/>
      <c r="MDW25" s="28"/>
      <c r="MDX25" s="28"/>
      <c r="MDY25" s="28"/>
      <c r="MDZ25" s="28"/>
      <c r="MEA25" s="28"/>
      <c r="MEB25" s="28"/>
      <c r="MEC25" s="28"/>
      <c r="MED25" s="28"/>
      <c r="MEE25" s="28"/>
      <c r="MEF25" s="28"/>
      <c r="MEG25" s="28"/>
      <c r="MEH25" s="28"/>
      <c r="MEI25" s="28"/>
      <c r="MEJ25" s="28"/>
      <c r="MEK25" s="28"/>
      <c r="MEL25" s="28"/>
      <c r="MEM25" s="28"/>
      <c r="MEN25" s="28"/>
      <c r="MEO25" s="28"/>
      <c r="MEP25" s="28"/>
      <c r="MEQ25" s="28"/>
      <c r="MER25" s="28"/>
      <c r="MES25" s="28"/>
      <c r="MET25" s="28"/>
      <c r="MEU25" s="28"/>
      <c r="MEV25" s="28"/>
      <c r="MEW25" s="28"/>
      <c r="MEX25" s="28"/>
      <c r="MEY25" s="28"/>
      <c r="MEZ25" s="28"/>
      <c r="MFA25" s="28"/>
      <c r="MFB25" s="28"/>
      <c r="MFC25" s="28"/>
      <c r="MFD25" s="28"/>
      <c r="MFE25" s="28"/>
      <c r="MFF25" s="28"/>
      <c r="MFG25" s="28"/>
      <c r="MFH25" s="28"/>
      <c r="MFI25" s="28"/>
      <c r="MFJ25" s="28"/>
      <c r="MFK25" s="28"/>
      <c r="MFL25" s="28"/>
      <c r="MFM25" s="28"/>
      <c r="MFN25" s="28"/>
      <c r="MFO25" s="28"/>
      <c r="MFP25" s="28"/>
      <c r="MFQ25" s="28"/>
      <c r="MFR25" s="28"/>
      <c r="MFS25" s="28"/>
      <c r="MFT25" s="28"/>
      <c r="MFU25" s="28"/>
      <c r="MFV25" s="28"/>
      <c r="MFW25" s="28"/>
      <c r="MFX25" s="28"/>
      <c r="MFY25" s="28"/>
      <c r="MFZ25" s="28"/>
      <c r="MGA25" s="28"/>
      <c r="MGB25" s="28"/>
      <c r="MGC25" s="28"/>
      <c r="MGD25" s="28"/>
      <c r="MGE25" s="28"/>
      <c r="MGF25" s="28"/>
      <c r="MGG25" s="28"/>
      <c r="MGH25" s="28"/>
      <c r="MGI25" s="28"/>
      <c r="MGJ25" s="28"/>
      <c r="MGK25" s="28"/>
      <c r="MGL25" s="28"/>
      <c r="MGM25" s="28"/>
      <c r="MGN25" s="28"/>
      <c r="MGO25" s="28"/>
      <c r="MGP25" s="28"/>
      <c r="MGQ25" s="28"/>
      <c r="MGR25" s="28"/>
      <c r="MGS25" s="28"/>
      <c r="MGT25" s="28"/>
      <c r="MGU25" s="28"/>
      <c r="MGV25" s="28"/>
      <c r="MGW25" s="28"/>
      <c r="MGX25" s="28"/>
      <c r="MGY25" s="28"/>
      <c r="MGZ25" s="28"/>
      <c r="MHA25" s="28"/>
      <c r="MHB25" s="28"/>
      <c r="MHC25" s="28"/>
      <c r="MHD25" s="28"/>
      <c r="MHE25" s="28"/>
      <c r="MHF25" s="28"/>
      <c r="MHG25" s="28"/>
      <c r="MHH25" s="28"/>
      <c r="MHI25" s="28"/>
      <c r="MHJ25" s="28"/>
      <c r="MHK25" s="28"/>
      <c r="MHL25" s="28"/>
      <c r="MHM25" s="28"/>
      <c r="MHN25" s="28"/>
      <c r="MHO25" s="28"/>
      <c r="MHP25" s="28"/>
      <c r="MHQ25" s="28"/>
      <c r="MHR25" s="28"/>
      <c r="MHS25" s="28"/>
      <c r="MHT25" s="28"/>
      <c r="MHU25" s="28"/>
      <c r="MHV25" s="28"/>
      <c r="MHW25" s="28"/>
      <c r="MHX25" s="28"/>
      <c r="MHY25" s="28"/>
      <c r="MHZ25" s="28"/>
      <c r="MIA25" s="28"/>
      <c r="MIB25" s="28"/>
      <c r="MIC25" s="28"/>
      <c r="MID25" s="28"/>
      <c r="MIE25" s="28"/>
      <c r="MIF25" s="28"/>
      <c r="MIG25" s="28"/>
      <c r="MIH25" s="28"/>
      <c r="MII25" s="28"/>
      <c r="MIJ25" s="28"/>
      <c r="MIK25" s="28"/>
      <c r="MIL25" s="28"/>
      <c r="MIM25" s="28"/>
      <c r="MIN25" s="28"/>
      <c r="MIO25" s="28"/>
      <c r="MIP25" s="28"/>
      <c r="MIQ25" s="28"/>
      <c r="MIR25" s="28"/>
      <c r="MIS25" s="28"/>
      <c r="MIT25" s="28"/>
      <c r="MIU25" s="28"/>
      <c r="MIV25" s="28"/>
      <c r="MIW25" s="28"/>
      <c r="MIX25" s="28"/>
      <c r="MIY25" s="28"/>
      <c r="MIZ25" s="28"/>
      <c r="MJA25" s="28"/>
      <c r="MJB25" s="28"/>
      <c r="MJC25" s="28"/>
      <c r="MJD25" s="28"/>
      <c r="MJE25" s="28"/>
      <c r="MJF25" s="28"/>
      <c r="MJG25" s="28"/>
      <c r="MJH25" s="28"/>
      <c r="MJI25" s="28"/>
      <c r="MJJ25" s="28"/>
      <c r="MJK25" s="28"/>
      <c r="MJL25" s="28"/>
      <c r="MJM25" s="28"/>
      <c r="MJN25" s="28"/>
      <c r="MJO25" s="28"/>
      <c r="MJP25" s="28"/>
      <c r="MJQ25" s="28"/>
      <c r="MJR25" s="28"/>
      <c r="MJS25" s="28"/>
      <c r="MJT25" s="28"/>
      <c r="MJU25" s="28"/>
      <c r="MJV25" s="28"/>
      <c r="MJW25" s="28"/>
      <c r="MJX25" s="28"/>
      <c r="MJY25" s="28"/>
      <c r="MJZ25" s="28"/>
      <c r="MKA25" s="28"/>
      <c r="MKB25" s="28"/>
      <c r="MKC25" s="28"/>
      <c r="MKD25" s="28"/>
      <c r="MKE25" s="28"/>
      <c r="MKF25" s="28"/>
      <c r="MKG25" s="28"/>
      <c r="MKH25" s="28"/>
      <c r="MKI25" s="28"/>
      <c r="MKJ25" s="28"/>
      <c r="MKK25" s="28"/>
      <c r="MKL25" s="28"/>
      <c r="MKM25" s="28"/>
      <c r="MKN25" s="28"/>
      <c r="MKO25" s="28"/>
      <c r="MKP25" s="28"/>
      <c r="MKQ25" s="28"/>
      <c r="MKR25" s="28"/>
      <c r="MKS25" s="28"/>
      <c r="MKT25" s="28"/>
      <c r="MKU25" s="28"/>
      <c r="MKV25" s="28"/>
      <c r="MKW25" s="28"/>
      <c r="MKX25" s="28"/>
      <c r="MKY25" s="28"/>
      <c r="MKZ25" s="28"/>
      <c r="MLA25" s="28"/>
      <c r="MLB25" s="28"/>
      <c r="MLC25" s="28"/>
      <c r="MLD25" s="28"/>
      <c r="MLE25" s="28"/>
      <c r="MLF25" s="28"/>
      <c r="MLG25" s="28"/>
      <c r="MLH25" s="28"/>
      <c r="MLI25" s="28"/>
      <c r="MLJ25" s="28"/>
      <c r="MLK25" s="28"/>
      <c r="MLL25" s="28"/>
      <c r="MLM25" s="28"/>
      <c r="MLN25" s="28"/>
      <c r="MLO25" s="28"/>
      <c r="MLP25" s="28"/>
      <c r="MLQ25" s="28"/>
      <c r="MLR25" s="28"/>
      <c r="MLS25" s="28"/>
      <c r="MLT25" s="28"/>
      <c r="MLU25" s="28"/>
      <c r="MLV25" s="28"/>
      <c r="MLW25" s="28"/>
      <c r="MLX25" s="28"/>
      <c r="MLY25" s="28"/>
      <c r="MLZ25" s="28"/>
      <c r="MMA25" s="28"/>
      <c r="MMB25" s="28"/>
      <c r="MMC25" s="28"/>
      <c r="MMD25" s="28"/>
      <c r="MME25" s="28"/>
      <c r="MMF25" s="28"/>
      <c r="MMG25" s="28"/>
      <c r="MMH25" s="28"/>
      <c r="MMI25" s="28"/>
      <c r="MMJ25" s="28"/>
      <c r="MMK25" s="28"/>
      <c r="MML25" s="28"/>
      <c r="MMM25" s="28"/>
      <c r="MMN25" s="28"/>
      <c r="MMO25" s="28"/>
      <c r="MMP25" s="28"/>
      <c r="MMQ25" s="28"/>
      <c r="MMR25" s="28"/>
      <c r="MMS25" s="28"/>
      <c r="MMT25" s="28"/>
      <c r="MMU25" s="28"/>
      <c r="MMV25" s="28"/>
      <c r="MMW25" s="28"/>
      <c r="MMX25" s="28"/>
      <c r="MMY25" s="28"/>
      <c r="MMZ25" s="28"/>
      <c r="MNA25" s="28"/>
      <c r="MNB25" s="28"/>
      <c r="MNC25" s="28"/>
      <c r="MND25" s="28"/>
      <c r="MNE25" s="28"/>
      <c r="MNF25" s="28"/>
      <c r="MNG25" s="28"/>
      <c r="MNH25" s="28"/>
      <c r="MNI25" s="28"/>
      <c r="MNJ25" s="28"/>
      <c r="MNK25" s="28"/>
      <c r="MNL25" s="28"/>
      <c r="MNM25" s="28"/>
      <c r="MNN25" s="28"/>
      <c r="MNO25" s="28"/>
      <c r="MNP25" s="28"/>
      <c r="MNQ25" s="28"/>
      <c r="MNR25" s="28"/>
      <c r="MNS25" s="28"/>
      <c r="MNT25" s="28"/>
      <c r="MNU25" s="28"/>
      <c r="MNV25" s="28"/>
      <c r="MNW25" s="28"/>
      <c r="MNX25" s="28"/>
      <c r="MNY25" s="28"/>
      <c r="MNZ25" s="28"/>
      <c r="MOA25" s="28"/>
      <c r="MOB25" s="28"/>
      <c r="MOC25" s="28"/>
      <c r="MOD25" s="28"/>
      <c r="MOE25" s="28"/>
      <c r="MOF25" s="28"/>
      <c r="MOG25" s="28"/>
      <c r="MOH25" s="28"/>
      <c r="MOI25" s="28"/>
      <c r="MOJ25" s="28"/>
      <c r="MOK25" s="28"/>
      <c r="MOL25" s="28"/>
      <c r="MOM25" s="28"/>
      <c r="MON25" s="28"/>
      <c r="MOO25" s="28"/>
      <c r="MOP25" s="28"/>
      <c r="MOQ25" s="28"/>
      <c r="MOR25" s="28"/>
      <c r="MOS25" s="28"/>
      <c r="MOT25" s="28"/>
      <c r="MOU25" s="28"/>
      <c r="MOV25" s="28"/>
      <c r="MOW25" s="28"/>
      <c r="MOX25" s="28"/>
      <c r="MOY25" s="28"/>
      <c r="MOZ25" s="28"/>
      <c r="MPA25" s="28"/>
      <c r="MPB25" s="28"/>
      <c r="MPC25" s="28"/>
      <c r="MPD25" s="28"/>
      <c r="MPE25" s="28"/>
      <c r="MPF25" s="28"/>
      <c r="MPG25" s="28"/>
      <c r="MPH25" s="28"/>
      <c r="MPI25" s="28"/>
      <c r="MPJ25" s="28"/>
      <c r="MPK25" s="28"/>
      <c r="MPL25" s="28"/>
      <c r="MPM25" s="28"/>
      <c r="MPN25" s="28"/>
      <c r="MPO25" s="28"/>
      <c r="MPP25" s="28"/>
      <c r="MPQ25" s="28"/>
      <c r="MPR25" s="28"/>
      <c r="MPS25" s="28"/>
      <c r="MPT25" s="28"/>
      <c r="MPU25" s="28"/>
      <c r="MPV25" s="28"/>
      <c r="MPW25" s="28"/>
      <c r="MPX25" s="28"/>
      <c r="MPY25" s="28"/>
      <c r="MPZ25" s="28"/>
      <c r="MQA25" s="28"/>
      <c r="MQB25" s="28"/>
      <c r="MQC25" s="28"/>
      <c r="MQD25" s="28"/>
      <c r="MQE25" s="28"/>
      <c r="MQF25" s="28"/>
      <c r="MQG25" s="28"/>
      <c r="MQH25" s="28"/>
      <c r="MQI25" s="28"/>
      <c r="MQJ25" s="28"/>
      <c r="MQK25" s="28"/>
      <c r="MQL25" s="28"/>
      <c r="MQM25" s="28"/>
      <c r="MQN25" s="28"/>
      <c r="MQO25" s="28"/>
      <c r="MQP25" s="28"/>
      <c r="MQQ25" s="28"/>
      <c r="MQR25" s="28"/>
      <c r="MQS25" s="28"/>
      <c r="MQT25" s="28"/>
      <c r="MQU25" s="28"/>
      <c r="MQV25" s="28"/>
      <c r="MQW25" s="28"/>
      <c r="MQX25" s="28"/>
      <c r="MQY25" s="28"/>
      <c r="MQZ25" s="28"/>
      <c r="MRA25" s="28"/>
      <c r="MRB25" s="28"/>
      <c r="MRC25" s="28"/>
      <c r="MRD25" s="28"/>
      <c r="MRE25" s="28"/>
      <c r="MRF25" s="28"/>
      <c r="MRG25" s="28"/>
      <c r="MRH25" s="28"/>
      <c r="MRI25" s="28"/>
      <c r="MRJ25" s="28"/>
      <c r="MRK25" s="28"/>
      <c r="MRL25" s="28"/>
      <c r="MRM25" s="28"/>
      <c r="MRN25" s="28"/>
      <c r="MRO25" s="28"/>
      <c r="MRP25" s="28"/>
      <c r="MRQ25" s="28"/>
      <c r="MRR25" s="28"/>
      <c r="MRS25" s="28"/>
      <c r="MRT25" s="28"/>
      <c r="MRU25" s="28"/>
      <c r="MRV25" s="28"/>
      <c r="MRW25" s="28"/>
      <c r="MRX25" s="28"/>
      <c r="MRY25" s="28"/>
      <c r="MRZ25" s="28"/>
      <c r="MSA25" s="28"/>
      <c r="MSB25" s="28"/>
      <c r="MSC25" s="28"/>
      <c r="MSD25" s="28"/>
      <c r="MSE25" s="28"/>
      <c r="MSF25" s="28"/>
      <c r="MSG25" s="28"/>
      <c r="MSH25" s="28"/>
      <c r="MSI25" s="28"/>
      <c r="MSJ25" s="28"/>
      <c r="MSK25" s="28"/>
      <c r="MSL25" s="28"/>
      <c r="MSM25" s="28"/>
      <c r="MSN25" s="28"/>
      <c r="MSO25" s="28"/>
      <c r="MSP25" s="28"/>
      <c r="MSQ25" s="28"/>
      <c r="MSR25" s="28"/>
      <c r="MSS25" s="28"/>
      <c r="MST25" s="28"/>
      <c r="MSU25" s="28"/>
      <c r="MSV25" s="28"/>
      <c r="MSW25" s="28"/>
      <c r="MSX25" s="28"/>
      <c r="MSY25" s="28"/>
      <c r="MSZ25" s="28"/>
      <c r="MTA25" s="28"/>
      <c r="MTB25" s="28"/>
      <c r="MTC25" s="28"/>
      <c r="MTD25" s="28"/>
      <c r="MTE25" s="28"/>
      <c r="MTF25" s="28"/>
      <c r="MTG25" s="28"/>
      <c r="MTH25" s="28"/>
      <c r="MTI25" s="28"/>
      <c r="MTJ25" s="28"/>
      <c r="MTK25" s="28"/>
      <c r="MTL25" s="28"/>
      <c r="MTM25" s="28"/>
      <c r="MTN25" s="28"/>
      <c r="MTO25" s="28"/>
      <c r="MTP25" s="28"/>
      <c r="MTQ25" s="28"/>
      <c r="MTR25" s="28"/>
      <c r="MTS25" s="28"/>
      <c r="MTT25" s="28"/>
      <c r="MTU25" s="28"/>
      <c r="MTV25" s="28"/>
      <c r="MTW25" s="28"/>
      <c r="MTX25" s="28"/>
      <c r="MTY25" s="28"/>
      <c r="MTZ25" s="28"/>
      <c r="MUA25" s="28"/>
      <c r="MUB25" s="28"/>
      <c r="MUC25" s="28"/>
      <c r="MUD25" s="28"/>
      <c r="MUE25" s="28"/>
      <c r="MUF25" s="28"/>
      <c r="MUG25" s="28"/>
      <c r="MUH25" s="28"/>
      <c r="MUI25" s="28"/>
      <c r="MUJ25" s="28"/>
      <c r="MUK25" s="28"/>
      <c r="MUL25" s="28"/>
      <c r="MUM25" s="28"/>
      <c r="MUN25" s="28"/>
      <c r="MUO25" s="28"/>
      <c r="MUP25" s="28"/>
      <c r="MUQ25" s="28"/>
      <c r="MUR25" s="28"/>
      <c r="MUS25" s="28"/>
      <c r="MUT25" s="28"/>
      <c r="MUU25" s="28"/>
      <c r="MUV25" s="28"/>
      <c r="MUW25" s="28"/>
      <c r="MUX25" s="28"/>
      <c r="MUY25" s="28"/>
      <c r="MUZ25" s="28"/>
      <c r="MVA25" s="28"/>
      <c r="MVB25" s="28"/>
      <c r="MVC25" s="28"/>
      <c r="MVD25" s="28"/>
      <c r="MVE25" s="28"/>
      <c r="MVF25" s="28"/>
      <c r="MVG25" s="28"/>
      <c r="MVH25" s="28"/>
      <c r="MVI25" s="28"/>
      <c r="MVJ25" s="28"/>
      <c r="MVK25" s="28"/>
      <c r="MVL25" s="28"/>
      <c r="MVM25" s="28"/>
      <c r="MVN25" s="28"/>
      <c r="MVO25" s="28"/>
      <c r="MVP25" s="28"/>
      <c r="MVQ25" s="28"/>
      <c r="MVR25" s="28"/>
      <c r="MVS25" s="28"/>
      <c r="MVT25" s="28"/>
      <c r="MVU25" s="28"/>
      <c r="MVV25" s="28"/>
      <c r="MVW25" s="28"/>
      <c r="MVX25" s="28"/>
      <c r="MVY25" s="28"/>
      <c r="MVZ25" s="28"/>
      <c r="MWA25" s="28"/>
      <c r="MWB25" s="28"/>
      <c r="MWC25" s="28"/>
      <c r="MWD25" s="28"/>
      <c r="MWE25" s="28"/>
      <c r="MWF25" s="28"/>
      <c r="MWG25" s="28"/>
      <c r="MWH25" s="28"/>
      <c r="MWI25" s="28"/>
      <c r="MWJ25" s="28"/>
      <c r="MWK25" s="28"/>
      <c r="MWL25" s="28"/>
      <c r="MWM25" s="28"/>
      <c r="MWN25" s="28"/>
      <c r="MWO25" s="28"/>
      <c r="MWP25" s="28"/>
      <c r="MWQ25" s="28"/>
      <c r="MWR25" s="28"/>
      <c r="MWS25" s="28"/>
      <c r="MWT25" s="28"/>
      <c r="MWU25" s="28"/>
      <c r="MWV25" s="28"/>
      <c r="MWW25" s="28"/>
      <c r="MWX25" s="28"/>
      <c r="MWY25" s="28"/>
      <c r="MWZ25" s="28"/>
      <c r="MXA25" s="28"/>
      <c r="MXB25" s="28"/>
      <c r="MXC25" s="28"/>
      <c r="MXD25" s="28"/>
      <c r="MXE25" s="28"/>
      <c r="MXF25" s="28"/>
      <c r="MXG25" s="28"/>
      <c r="MXH25" s="28"/>
      <c r="MXI25" s="28"/>
      <c r="MXJ25" s="28"/>
      <c r="MXK25" s="28"/>
      <c r="MXL25" s="28"/>
      <c r="MXM25" s="28"/>
      <c r="MXN25" s="28"/>
      <c r="MXO25" s="28"/>
      <c r="MXP25" s="28"/>
      <c r="MXQ25" s="28"/>
      <c r="MXR25" s="28"/>
      <c r="MXS25" s="28"/>
      <c r="MXT25" s="28"/>
      <c r="MXU25" s="28"/>
      <c r="MXV25" s="28"/>
      <c r="MXW25" s="28"/>
      <c r="MXX25" s="28"/>
      <c r="MXY25" s="28"/>
      <c r="MXZ25" s="28"/>
      <c r="MYA25" s="28"/>
      <c r="MYB25" s="28"/>
      <c r="MYC25" s="28"/>
      <c r="MYD25" s="28"/>
      <c r="MYE25" s="28"/>
      <c r="MYF25" s="28"/>
      <c r="MYG25" s="28"/>
      <c r="MYH25" s="28"/>
      <c r="MYI25" s="28"/>
      <c r="MYJ25" s="28"/>
      <c r="MYK25" s="28"/>
      <c r="MYL25" s="28"/>
      <c r="MYM25" s="28"/>
      <c r="MYN25" s="28"/>
      <c r="MYO25" s="28"/>
      <c r="MYP25" s="28"/>
      <c r="MYQ25" s="28"/>
      <c r="MYR25" s="28"/>
      <c r="MYS25" s="28"/>
      <c r="MYT25" s="28"/>
      <c r="MYU25" s="28"/>
      <c r="MYV25" s="28"/>
      <c r="MYW25" s="28"/>
      <c r="MYX25" s="28"/>
      <c r="MYY25" s="28"/>
      <c r="MYZ25" s="28"/>
      <c r="MZA25" s="28"/>
      <c r="MZB25" s="28"/>
      <c r="MZC25" s="28"/>
      <c r="MZD25" s="28"/>
      <c r="MZE25" s="28"/>
      <c r="MZF25" s="28"/>
      <c r="MZG25" s="28"/>
      <c r="MZH25" s="28"/>
      <c r="MZI25" s="28"/>
      <c r="MZJ25" s="28"/>
      <c r="MZK25" s="28"/>
      <c r="MZL25" s="28"/>
      <c r="MZM25" s="28"/>
      <c r="MZN25" s="28"/>
      <c r="MZO25" s="28"/>
      <c r="MZP25" s="28"/>
      <c r="MZQ25" s="28"/>
      <c r="MZR25" s="28"/>
      <c r="MZS25" s="28"/>
      <c r="MZT25" s="28"/>
      <c r="MZU25" s="28"/>
      <c r="MZV25" s="28"/>
      <c r="MZW25" s="28"/>
      <c r="MZX25" s="28"/>
      <c r="MZY25" s="28"/>
      <c r="MZZ25" s="28"/>
      <c r="NAA25" s="28"/>
      <c r="NAB25" s="28"/>
      <c r="NAC25" s="28"/>
      <c r="NAD25" s="28"/>
      <c r="NAE25" s="28"/>
      <c r="NAF25" s="28"/>
      <c r="NAG25" s="28"/>
      <c r="NAH25" s="28"/>
      <c r="NAI25" s="28"/>
      <c r="NAJ25" s="28"/>
      <c r="NAK25" s="28"/>
      <c r="NAL25" s="28"/>
      <c r="NAM25" s="28"/>
      <c r="NAN25" s="28"/>
      <c r="NAO25" s="28"/>
      <c r="NAP25" s="28"/>
      <c r="NAQ25" s="28"/>
      <c r="NAR25" s="28"/>
      <c r="NAS25" s="28"/>
      <c r="NAT25" s="28"/>
      <c r="NAU25" s="28"/>
      <c r="NAV25" s="28"/>
      <c r="NAW25" s="28"/>
      <c r="NAX25" s="28"/>
      <c r="NAY25" s="28"/>
      <c r="NAZ25" s="28"/>
      <c r="NBA25" s="28"/>
      <c r="NBB25" s="28"/>
      <c r="NBC25" s="28"/>
      <c r="NBD25" s="28"/>
      <c r="NBE25" s="28"/>
      <c r="NBF25" s="28"/>
      <c r="NBG25" s="28"/>
      <c r="NBH25" s="28"/>
      <c r="NBI25" s="28"/>
      <c r="NBJ25" s="28"/>
      <c r="NBK25" s="28"/>
      <c r="NBL25" s="28"/>
      <c r="NBM25" s="28"/>
      <c r="NBN25" s="28"/>
      <c r="NBO25" s="28"/>
      <c r="NBP25" s="28"/>
      <c r="NBQ25" s="28"/>
      <c r="NBR25" s="28"/>
      <c r="NBS25" s="28"/>
      <c r="NBT25" s="28"/>
      <c r="NBU25" s="28"/>
      <c r="NBV25" s="28"/>
      <c r="NBW25" s="28"/>
      <c r="NBX25" s="28"/>
      <c r="NBY25" s="28"/>
      <c r="NBZ25" s="28"/>
      <c r="NCA25" s="28"/>
      <c r="NCB25" s="28"/>
      <c r="NCC25" s="28"/>
      <c r="NCD25" s="28"/>
      <c r="NCE25" s="28"/>
      <c r="NCF25" s="28"/>
      <c r="NCG25" s="28"/>
      <c r="NCH25" s="28"/>
      <c r="NCI25" s="28"/>
      <c r="NCJ25" s="28"/>
      <c r="NCK25" s="28"/>
      <c r="NCL25" s="28"/>
      <c r="NCM25" s="28"/>
      <c r="NCN25" s="28"/>
      <c r="NCO25" s="28"/>
      <c r="NCP25" s="28"/>
      <c r="NCQ25" s="28"/>
      <c r="NCR25" s="28"/>
      <c r="NCS25" s="28"/>
      <c r="NCT25" s="28"/>
      <c r="NCU25" s="28"/>
      <c r="NCV25" s="28"/>
      <c r="NCW25" s="28"/>
      <c r="NCX25" s="28"/>
      <c r="NCY25" s="28"/>
      <c r="NCZ25" s="28"/>
      <c r="NDA25" s="28"/>
      <c r="NDB25" s="28"/>
      <c r="NDC25" s="28"/>
      <c r="NDD25" s="28"/>
      <c r="NDE25" s="28"/>
      <c r="NDF25" s="28"/>
      <c r="NDG25" s="28"/>
      <c r="NDH25" s="28"/>
      <c r="NDI25" s="28"/>
      <c r="NDJ25" s="28"/>
      <c r="NDK25" s="28"/>
      <c r="NDL25" s="28"/>
      <c r="NDM25" s="28"/>
      <c r="NDN25" s="28"/>
      <c r="NDO25" s="28"/>
      <c r="NDP25" s="28"/>
      <c r="NDQ25" s="28"/>
      <c r="NDR25" s="28"/>
      <c r="NDS25" s="28"/>
      <c r="NDT25" s="28"/>
      <c r="NDU25" s="28"/>
      <c r="NDV25" s="28"/>
      <c r="NDW25" s="28"/>
      <c r="NDX25" s="28"/>
      <c r="NDY25" s="28"/>
      <c r="NDZ25" s="28"/>
      <c r="NEA25" s="28"/>
      <c r="NEB25" s="28"/>
      <c r="NEC25" s="28"/>
      <c r="NED25" s="28"/>
      <c r="NEE25" s="28"/>
      <c r="NEF25" s="28"/>
      <c r="NEG25" s="28"/>
      <c r="NEH25" s="28"/>
      <c r="NEI25" s="28"/>
      <c r="NEJ25" s="28"/>
      <c r="NEK25" s="28"/>
      <c r="NEL25" s="28"/>
      <c r="NEM25" s="28"/>
      <c r="NEN25" s="28"/>
      <c r="NEO25" s="28"/>
      <c r="NEP25" s="28"/>
      <c r="NEQ25" s="28"/>
      <c r="NER25" s="28"/>
      <c r="NES25" s="28"/>
      <c r="NET25" s="28"/>
      <c r="NEU25" s="28"/>
      <c r="NEV25" s="28"/>
      <c r="NEW25" s="28"/>
      <c r="NEX25" s="28"/>
      <c r="NEY25" s="28"/>
      <c r="NEZ25" s="28"/>
      <c r="NFA25" s="28"/>
      <c r="NFB25" s="28"/>
      <c r="NFC25" s="28"/>
      <c r="NFD25" s="28"/>
      <c r="NFE25" s="28"/>
      <c r="NFF25" s="28"/>
      <c r="NFG25" s="28"/>
      <c r="NFH25" s="28"/>
      <c r="NFI25" s="28"/>
      <c r="NFJ25" s="28"/>
      <c r="NFK25" s="28"/>
      <c r="NFL25" s="28"/>
      <c r="NFM25" s="28"/>
      <c r="NFN25" s="28"/>
      <c r="NFO25" s="28"/>
      <c r="NFP25" s="28"/>
      <c r="NFQ25" s="28"/>
      <c r="NFR25" s="28"/>
      <c r="NFS25" s="28"/>
      <c r="NFT25" s="28"/>
      <c r="NFU25" s="28"/>
      <c r="NFV25" s="28"/>
      <c r="NFW25" s="28"/>
      <c r="NFX25" s="28"/>
      <c r="NFY25" s="28"/>
      <c r="NFZ25" s="28"/>
      <c r="NGA25" s="28"/>
      <c r="NGB25" s="28"/>
      <c r="NGC25" s="28"/>
      <c r="NGD25" s="28"/>
      <c r="NGE25" s="28"/>
      <c r="NGF25" s="28"/>
      <c r="NGG25" s="28"/>
      <c r="NGH25" s="28"/>
      <c r="NGI25" s="28"/>
      <c r="NGJ25" s="28"/>
      <c r="NGK25" s="28"/>
      <c r="NGL25" s="28"/>
      <c r="NGM25" s="28"/>
      <c r="NGN25" s="28"/>
      <c r="NGO25" s="28"/>
      <c r="NGP25" s="28"/>
      <c r="NGQ25" s="28"/>
      <c r="NGR25" s="28"/>
      <c r="NGS25" s="28"/>
      <c r="NGT25" s="28"/>
      <c r="NGU25" s="28"/>
      <c r="NGV25" s="28"/>
      <c r="NGW25" s="28"/>
      <c r="NGX25" s="28"/>
      <c r="NGY25" s="28"/>
      <c r="NGZ25" s="28"/>
      <c r="NHA25" s="28"/>
      <c r="NHB25" s="28"/>
      <c r="NHC25" s="28"/>
      <c r="NHD25" s="28"/>
      <c r="NHE25" s="28"/>
      <c r="NHF25" s="28"/>
      <c r="NHG25" s="28"/>
      <c r="NHH25" s="28"/>
      <c r="NHI25" s="28"/>
      <c r="NHJ25" s="28"/>
      <c r="NHK25" s="28"/>
      <c r="NHL25" s="28"/>
      <c r="NHM25" s="28"/>
      <c r="NHN25" s="28"/>
      <c r="NHO25" s="28"/>
      <c r="NHP25" s="28"/>
      <c r="NHQ25" s="28"/>
      <c r="NHR25" s="28"/>
      <c r="NHS25" s="28"/>
      <c r="NHT25" s="28"/>
      <c r="NHU25" s="28"/>
      <c r="NHV25" s="28"/>
      <c r="NHW25" s="28"/>
      <c r="NHX25" s="28"/>
      <c r="NHY25" s="28"/>
      <c r="NHZ25" s="28"/>
      <c r="NIA25" s="28"/>
      <c r="NIB25" s="28"/>
      <c r="NIC25" s="28"/>
      <c r="NID25" s="28"/>
      <c r="NIE25" s="28"/>
      <c r="NIF25" s="28"/>
      <c r="NIG25" s="28"/>
      <c r="NIH25" s="28"/>
      <c r="NII25" s="28"/>
      <c r="NIJ25" s="28"/>
      <c r="NIK25" s="28"/>
      <c r="NIL25" s="28"/>
      <c r="NIM25" s="28"/>
      <c r="NIN25" s="28"/>
      <c r="NIO25" s="28"/>
      <c r="NIP25" s="28"/>
      <c r="NIQ25" s="28"/>
      <c r="NIR25" s="28"/>
      <c r="NIS25" s="28"/>
      <c r="NIT25" s="28"/>
      <c r="NIU25" s="28"/>
      <c r="NIV25" s="28"/>
      <c r="NIW25" s="28"/>
      <c r="NIX25" s="28"/>
      <c r="NIY25" s="28"/>
      <c r="NIZ25" s="28"/>
      <c r="NJA25" s="28"/>
      <c r="NJB25" s="28"/>
      <c r="NJC25" s="28"/>
      <c r="NJD25" s="28"/>
      <c r="NJE25" s="28"/>
      <c r="NJF25" s="28"/>
      <c r="NJG25" s="28"/>
      <c r="NJH25" s="28"/>
      <c r="NJI25" s="28"/>
      <c r="NJJ25" s="28"/>
      <c r="NJK25" s="28"/>
      <c r="NJL25" s="28"/>
      <c r="NJM25" s="28"/>
      <c r="NJN25" s="28"/>
      <c r="NJO25" s="28"/>
      <c r="NJP25" s="28"/>
      <c r="NJQ25" s="28"/>
      <c r="NJR25" s="28"/>
      <c r="NJS25" s="28"/>
      <c r="NJT25" s="28"/>
      <c r="NJU25" s="28"/>
      <c r="NJV25" s="28"/>
      <c r="NJW25" s="28"/>
      <c r="NJX25" s="28"/>
      <c r="NJY25" s="28"/>
      <c r="NJZ25" s="28"/>
      <c r="NKA25" s="28"/>
      <c r="NKB25" s="28"/>
      <c r="NKC25" s="28"/>
      <c r="NKD25" s="28"/>
      <c r="NKE25" s="28"/>
      <c r="NKF25" s="28"/>
      <c r="NKG25" s="28"/>
      <c r="NKH25" s="28"/>
      <c r="NKI25" s="28"/>
      <c r="NKJ25" s="28"/>
      <c r="NKK25" s="28"/>
      <c r="NKL25" s="28"/>
      <c r="NKM25" s="28"/>
      <c r="NKN25" s="28"/>
      <c r="NKO25" s="28"/>
      <c r="NKP25" s="28"/>
      <c r="NKQ25" s="28"/>
      <c r="NKR25" s="28"/>
      <c r="NKS25" s="28"/>
      <c r="NKT25" s="28"/>
      <c r="NKU25" s="28"/>
      <c r="NKV25" s="28"/>
      <c r="NKW25" s="28"/>
      <c r="NKX25" s="28"/>
      <c r="NKY25" s="28"/>
      <c r="NKZ25" s="28"/>
      <c r="NLA25" s="28"/>
      <c r="NLB25" s="28"/>
      <c r="NLC25" s="28"/>
      <c r="NLD25" s="28"/>
      <c r="NLE25" s="28"/>
      <c r="NLF25" s="28"/>
      <c r="NLG25" s="28"/>
      <c r="NLH25" s="28"/>
      <c r="NLI25" s="28"/>
      <c r="NLJ25" s="28"/>
      <c r="NLK25" s="28"/>
      <c r="NLL25" s="28"/>
      <c r="NLM25" s="28"/>
      <c r="NLN25" s="28"/>
      <c r="NLO25" s="28"/>
      <c r="NLP25" s="28"/>
      <c r="NLQ25" s="28"/>
      <c r="NLR25" s="28"/>
      <c r="NLS25" s="28"/>
      <c r="NLT25" s="28"/>
      <c r="NLU25" s="28"/>
      <c r="NLV25" s="28"/>
      <c r="NLW25" s="28"/>
      <c r="NLX25" s="28"/>
      <c r="NLY25" s="28"/>
      <c r="NLZ25" s="28"/>
      <c r="NMA25" s="28"/>
      <c r="NMB25" s="28"/>
      <c r="NMC25" s="28"/>
      <c r="NMD25" s="28"/>
      <c r="NME25" s="28"/>
      <c r="NMF25" s="28"/>
      <c r="NMG25" s="28"/>
      <c r="NMH25" s="28"/>
      <c r="NMI25" s="28"/>
      <c r="NMJ25" s="28"/>
      <c r="NMK25" s="28"/>
      <c r="NML25" s="28"/>
      <c r="NMM25" s="28"/>
      <c r="NMN25" s="28"/>
      <c r="NMO25" s="28"/>
      <c r="NMP25" s="28"/>
      <c r="NMQ25" s="28"/>
      <c r="NMR25" s="28"/>
      <c r="NMS25" s="28"/>
      <c r="NMT25" s="28"/>
      <c r="NMU25" s="28"/>
      <c r="NMV25" s="28"/>
      <c r="NMW25" s="28"/>
      <c r="NMX25" s="28"/>
      <c r="NMY25" s="28"/>
      <c r="NMZ25" s="28"/>
      <c r="NNA25" s="28"/>
      <c r="NNB25" s="28"/>
      <c r="NNC25" s="28"/>
      <c r="NND25" s="28"/>
      <c r="NNE25" s="28"/>
      <c r="NNF25" s="28"/>
      <c r="NNG25" s="28"/>
      <c r="NNH25" s="28"/>
      <c r="NNI25" s="28"/>
      <c r="NNJ25" s="28"/>
      <c r="NNK25" s="28"/>
      <c r="NNL25" s="28"/>
      <c r="NNM25" s="28"/>
      <c r="NNN25" s="28"/>
      <c r="NNO25" s="28"/>
      <c r="NNP25" s="28"/>
      <c r="NNQ25" s="28"/>
      <c r="NNR25" s="28"/>
      <c r="NNS25" s="28"/>
      <c r="NNT25" s="28"/>
      <c r="NNU25" s="28"/>
      <c r="NNV25" s="28"/>
      <c r="NNW25" s="28"/>
      <c r="NNX25" s="28"/>
      <c r="NNY25" s="28"/>
      <c r="NNZ25" s="28"/>
      <c r="NOA25" s="28"/>
      <c r="NOB25" s="28"/>
      <c r="NOC25" s="28"/>
      <c r="NOD25" s="28"/>
      <c r="NOE25" s="28"/>
      <c r="NOF25" s="28"/>
      <c r="NOG25" s="28"/>
      <c r="NOH25" s="28"/>
      <c r="NOI25" s="28"/>
      <c r="NOJ25" s="28"/>
      <c r="NOK25" s="28"/>
      <c r="NOL25" s="28"/>
      <c r="NOM25" s="28"/>
      <c r="NON25" s="28"/>
      <c r="NOO25" s="28"/>
      <c r="NOP25" s="28"/>
      <c r="NOQ25" s="28"/>
      <c r="NOR25" s="28"/>
      <c r="NOS25" s="28"/>
      <c r="NOT25" s="28"/>
      <c r="NOU25" s="28"/>
      <c r="NOV25" s="28"/>
      <c r="NOW25" s="28"/>
      <c r="NOX25" s="28"/>
      <c r="NOY25" s="28"/>
      <c r="NOZ25" s="28"/>
      <c r="NPA25" s="28"/>
      <c r="NPB25" s="28"/>
      <c r="NPC25" s="28"/>
      <c r="NPD25" s="28"/>
      <c r="NPE25" s="28"/>
      <c r="NPF25" s="28"/>
      <c r="NPG25" s="28"/>
      <c r="NPH25" s="28"/>
      <c r="NPI25" s="28"/>
      <c r="NPJ25" s="28"/>
      <c r="NPK25" s="28"/>
      <c r="NPL25" s="28"/>
      <c r="NPM25" s="28"/>
      <c r="NPN25" s="28"/>
      <c r="NPO25" s="28"/>
      <c r="NPP25" s="28"/>
      <c r="NPQ25" s="28"/>
      <c r="NPR25" s="28"/>
      <c r="NPS25" s="28"/>
      <c r="NPT25" s="28"/>
      <c r="NPU25" s="28"/>
      <c r="NPV25" s="28"/>
      <c r="NPW25" s="28"/>
      <c r="NPX25" s="28"/>
      <c r="NPY25" s="28"/>
      <c r="NPZ25" s="28"/>
      <c r="NQA25" s="28"/>
      <c r="NQB25" s="28"/>
      <c r="NQC25" s="28"/>
      <c r="NQD25" s="28"/>
      <c r="NQE25" s="28"/>
      <c r="NQF25" s="28"/>
      <c r="NQG25" s="28"/>
      <c r="NQH25" s="28"/>
      <c r="NQI25" s="28"/>
      <c r="NQJ25" s="28"/>
      <c r="NQK25" s="28"/>
      <c r="NQL25" s="28"/>
      <c r="NQM25" s="28"/>
      <c r="NQN25" s="28"/>
      <c r="NQO25" s="28"/>
      <c r="NQP25" s="28"/>
      <c r="NQQ25" s="28"/>
      <c r="NQR25" s="28"/>
      <c r="NQS25" s="28"/>
      <c r="NQT25" s="28"/>
      <c r="NQU25" s="28"/>
      <c r="NQV25" s="28"/>
      <c r="NQW25" s="28"/>
      <c r="NQX25" s="28"/>
      <c r="NQY25" s="28"/>
      <c r="NQZ25" s="28"/>
      <c r="NRA25" s="28"/>
      <c r="NRB25" s="28"/>
      <c r="NRC25" s="28"/>
      <c r="NRD25" s="28"/>
      <c r="NRE25" s="28"/>
      <c r="NRF25" s="28"/>
      <c r="NRG25" s="28"/>
      <c r="NRH25" s="28"/>
      <c r="NRI25" s="28"/>
      <c r="NRJ25" s="28"/>
      <c r="NRK25" s="28"/>
      <c r="NRL25" s="28"/>
      <c r="NRM25" s="28"/>
      <c r="NRN25" s="28"/>
      <c r="NRO25" s="28"/>
      <c r="NRP25" s="28"/>
      <c r="NRQ25" s="28"/>
      <c r="NRR25" s="28"/>
      <c r="NRS25" s="28"/>
      <c r="NRT25" s="28"/>
      <c r="NRU25" s="28"/>
      <c r="NRV25" s="28"/>
      <c r="NRW25" s="28"/>
      <c r="NRX25" s="28"/>
      <c r="NRY25" s="28"/>
      <c r="NRZ25" s="28"/>
      <c r="NSA25" s="28"/>
      <c r="NSB25" s="28"/>
      <c r="NSC25" s="28"/>
      <c r="NSD25" s="28"/>
      <c r="NSE25" s="28"/>
      <c r="NSF25" s="28"/>
      <c r="NSG25" s="28"/>
      <c r="NSH25" s="28"/>
      <c r="NSI25" s="28"/>
      <c r="NSJ25" s="28"/>
      <c r="NSK25" s="28"/>
      <c r="NSL25" s="28"/>
      <c r="NSM25" s="28"/>
      <c r="NSN25" s="28"/>
      <c r="NSO25" s="28"/>
      <c r="NSP25" s="28"/>
      <c r="NSQ25" s="28"/>
      <c r="NSR25" s="28"/>
      <c r="NSS25" s="28"/>
      <c r="NST25" s="28"/>
      <c r="NSU25" s="28"/>
      <c r="NSV25" s="28"/>
      <c r="NSW25" s="28"/>
      <c r="NSX25" s="28"/>
      <c r="NSY25" s="28"/>
      <c r="NSZ25" s="28"/>
      <c r="NTA25" s="28"/>
      <c r="NTB25" s="28"/>
      <c r="NTC25" s="28"/>
      <c r="NTD25" s="28"/>
      <c r="NTE25" s="28"/>
      <c r="NTF25" s="28"/>
      <c r="NTG25" s="28"/>
      <c r="NTH25" s="28"/>
      <c r="NTI25" s="28"/>
      <c r="NTJ25" s="28"/>
      <c r="NTK25" s="28"/>
      <c r="NTL25" s="28"/>
      <c r="NTM25" s="28"/>
      <c r="NTN25" s="28"/>
      <c r="NTO25" s="28"/>
      <c r="NTP25" s="28"/>
      <c r="NTQ25" s="28"/>
      <c r="NTR25" s="28"/>
      <c r="NTS25" s="28"/>
      <c r="NTT25" s="28"/>
      <c r="NTU25" s="28"/>
      <c r="NTV25" s="28"/>
      <c r="NTW25" s="28"/>
      <c r="NTX25" s="28"/>
      <c r="NTY25" s="28"/>
      <c r="NTZ25" s="28"/>
      <c r="NUA25" s="28"/>
      <c r="NUB25" s="28"/>
      <c r="NUC25" s="28"/>
      <c r="NUD25" s="28"/>
      <c r="NUE25" s="28"/>
      <c r="NUF25" s="28"/>
      <c r="NUG25" s="28"/>
      <c r="NUH25" s="28"/>
      <c r="NUI25" s="28"/>
      <c r="NUJ25" s="28"/>
      <c r="NUK25" s="28"/>
      <c r="NUL25" s="28"/>
      <c r="NUM25" s="28"/>
      <c r="NUN25" s="28"/>
      <c r="NUO25" s="28"/>
      <c r="NUP25" s="28"/>
      <c r="NUQ25" s="28"/>
      <c r="NUR25" s="28"/>
      <c r="NUS25" s="28"/>
      <c r="NUT25" s="28"/>
      <c r="NUU25" s="28"/>
      <c r="NUV25" s="28"/>
      <c r="NUW25" s="28"/>
      <c r="NUX25" s="28"/>
      <c r="NUY25" s="28"/>
      <c r="NUZ25" s="28"/>
      <c r="NVA25" s="28"/>
      <c r="NVB25" s="28"/>
      <c r="NVC25" s="28"/>
      <c r="NVD25" s="28"/>
      <c r="NVE25" s="28"/>
      <c r="NVF25" s="28"/>
      <c r="NVG25" s="28"/>
      <c r="NVH25" s="28"/>
      <c r="NVI25" s="28"/>
      <c r="NVJ25" s="28"/>
      <c r="NVK25" s="28"/>
      <c r="NVL25" s="28"/>
      <c r="NVM25" s="28"/>
      <c r="NVN25" s="28"/>
      <c r="NVO25" s="28"/>
      <c r="NVP25" s="28"/>
      <c r="NVQ25" s="28"/>
      <c r="NVR25" s="28"/>
      <c r="NVS25" s="28"/>
      <c r="NVT25" s="28"/>
      <c r="NVU25" s="28"/>
      <c r="NVV25" s="28"/>
      <c r="NVW25" s="28"/>
      <c r="NVX25" s="28"/>
      <c r="NVY25" s="28"/>
      <c r="NVZ25" s="28"/>
      <c r="NWA25" s="28"/>
      <c r="NWB25" s="28"/>
      <c r="NWC25" s="28"/>
      <c r="NWD25" s="28"/>
      <c r="NWE25" s="28"/>
      <c r="NWF25" s="28"/>
      <c r="NWG25" s="28"/>
      <c r="NWH25" s="28"/>
      <c r="NWI25" s="28"/>
      <c r="NWJ25" s="28"/>
      <c r="NWK25" s="28"/>
      <c r="NWL25" s="28"/>
      <c r="NWM25" s="28"/>
      <c r="NWN25" s="28"/>
      <c r="NWO25" s="28"/>
      <c r="NWP25" s="28"/>
      <c r="NWQ25" s="28"/>
      <c r="NWR25" s="28"/>
      <c r="NWS25" s="28"/>
      <c r="NWT25" s="28"/>
      <c r="NWU25" s="28"/>
      <c r="NWV25" s="28"/>
      <c r="NWW25" s="28"/>
      <c r="NWX25" s="28"/>
      <c r="NWY25" s="28"/>
      <c r="NWZ25" s="28"/>
      <c r="NXA25" s="28"/>
      <c r="NXB25" s="28"/>
      <c r="NXC25" s="28"/>
      <c r="NXD25" s="28"/>
      <c r="NXE25" s="28"/>
      <c r="NXF25" s="28"/>
      <c r="NXG25" s="28"/>
      <c r="NXH25" s="28"/>
      <c r="NXI25" s="28"/>
      <c r="NXJ25" s="28"/>
      <c r="NXK25" s="28"/>
      <c r="NXL25" s="28"/>
      <c r="NXM25" s="28"/>
      <c r="NXN25" s="28"/>
      <c r="NXO25" s="28"/>
      <c r="NXP25" s="28"/>
      <c r="NXQ25" s="28"/>
      <c r="NXR25" s="28"/>
      <c r="NXS25" s="28"/>
      <c r="NXT25" s="28"/>
      <c r="NXU25" s="28"/>
      <c r="NXV25" s="28"/>
      <c r="NXW25" s="28"/>
      <c r="NXX25" s="28"/>
      <c r="NXY25" s="28"/>
      <c r="NXZ25" s="28"/>
      <c r="NYA25" s="28"/>
      <c r="NYB25" s="28"/>
      <c r="NYC25" s="28"/>
      <c r="NYD25" s="28"/>
      <c r="NYE25" s="28"/>
      <c r="NYF25" s="28"/>
      <c r="NYG25" s="28"/>
      <c r="NYH25" s="28"/>
      <c r="NYI25" s="28"/>
      <c r="NYJ25" s="28"/>
      <c r="NYK25" s="28"/>
      <c r="NYL25" s="28"/>
      <c r="NYM25" s="28"/>
      <c r="NYN25" s="28"/>
      <c r="NYO25" s="28"/>
      <c r="NYP25" s="28"/>
      <c r="NYQ25" s="28"/>
      <c r="NYR25" s="28"/>
      <c r="NYS25" s="28"/>
      <c r="NYT25" s="28"/>
      <c r="NYU25" s="28"/>
      <c r="NYV25" s="28"/>
      <c r="NYW25" s="28"/>
      <c r="NYX25" s="28"/>
      <c r="NYY25" s="28"/>
      <c r="NYZ25" s="28"/>
      <c r="NZA25" s="28"/>
      <c r="NZB25" s="28"/>
      <c r="NZC25" s="28"/>
      <c r="NZD25" s="28"/>
      <c r="NZE25" s="28"/>
      <c r="NZF25" s="28"/>
      <c r="NZG25" s="28"/>
      <c r="NZH25" s="28"/>
      <c r="NZI25" s="28"/>
      <c r="NZJ25" s="28"/>
      <c r="NZK25" s="28"/>
      <c r="NZL25" s="28"/>
      <c r="NZM25" s="28"/>
      <c r="NZN25" s="28"/>
      <c r="NZO25" s="28"/>
      <c r="NZP25" s="28"/>
      <c r="NZQ25" s="28"/>
      <c r="NZR25" s="28"/>
      <c r="NZS25" s="28"/>
      <c r="NZT25" s="28"/>
      <c r="NZU25" s="28"/>
      <c r="NZV25" s="28"/>
      <c r="NZW25" s="28"/>
      <c r="NZX25" s="28"/>
      <c r="NZY25" s="28"/>
      <c r="NZZ25" s="28"/>
      <c r="OAA25" s="28"/>
      <c r="OAB25" s="28"/>
      <c r="OAC25" s="28"/>
      <c r="OAD25" s="28"/>
      <c r="OAE25" s="28"/>
      <c r="OAF25" s="28"/>
      <c r="OAG25" s="28"/>
      <c r="OAH25" s="28"/>
      <c r="OAI25" s="28"/>
      <c r="OAJ25" s="28"/>
      <c r="OAK25" s="28"/>
      <c r="OAL25" s="28"/>
      <c r="OAM25" s="28"/>
      <c r="OAN25" s="28"/>
      <c r="OAO25" s="28"/>
      <c r="OAP25" s="28"/>
      <c r="OAQ25" s="28"/>
      <c r="OAR25" s="28"/>
      <c r="OAS25" s="28"/>
      <c r="OAT25" s="28"/>
      <c r="OAU25" s="28"/>
      <c r="OAV25" s="28"/>
      <c r="OAW25" s="28"/>
      <c r="OAX25" s="28"/>
      <c r="OAY25" s="28"/>
      <c r="OAZ25" s="28"/>
      <c r="OBA25" s="28"/>
      <c r="OBB25" s="28"/>
      <c r="OBC25" s="28"/>
      <c r="OBD25" s="28"/>
      <c r="OBE25" s="28"/>
      <c r="OBF25" s="28"/>
      <c r="OBG25" s="28"/>
      <c r="OBH25" s="28"/>
      <c r="OBI25" s="28"/>
      <c r="OBJ25" s="28"/>
      <c r="OBK25" s="28"/>
      <c r="OBL25" s="28"/>
      <c r="OBM25" s="28"/>
      <c r="OBN25" s="28"/>
      <c r="OBO25" s="28"/>
      <c r="OBP25" s="28"/>
      <c r="OBQ25" s="28"/>
      <c r="OBR25" s="28"/>
      <c r="OBS25" s="28"/>
      <c r="OBT25" s="28"/>
      <c r="OBU25" s="28"/>
      <c r="OBV25" s="28"/>
      <c r="OBW25" s="28"/>
      <c r="OBX25" s="28"/>
      <c r="OBY25" s="28"/>
      <c r="OBZ25" s="28"/>
      <c r="OCA25" s="28"/>
      <c r="OCB25" s="28"/>
      <c r="OCC25" s="28"/>
      <c r="OCD25" s="28"/>
      <c r="OCE25" s="28"/>
      <c r="OCF25" s="28"/>
      <c r="OCG25" s="28"/>
      <c r="OCH25" s="28"/>
      <c r="OCI25" s="28"/>
      <c r="OCJ25" s="28"/>
      <c r="OCK25" s="28"/>
      <c r="OCL25" s="28"/>
      <c r="OCM25" s="28"/>
      <c r="OCN25" s="28"/>
      <c r="OCO25" s="28"/>
      <c r="OCP25" s="28"/>
      <c r="OCQ25" s="28"/>
      <c r="OCR25" s="28"/>
      <c r="OCS25" s="28"/>
      <c r="OCT25" s="28"/>
      <c r="OCU25" s="28"/>
      <c r="OCV25" s="28"/>
      <c r="OCW25" s="28"/>
      <c r="OCX25" s="28"/>
      <c r="OCY25" s="28"/>
      <c r="OCZ25" s="28"/>
      <c r="ODA25" s="28"/>
      <c r="ODB25" s="28"/>
      <c r="ODC25" s="28"/>
      <c r="ODD25" s="28"/>
      <c r="ODE25" s="28"/>
      <c r="ODF25" s="28"/>
      <c r="ODG25" s="28"/>
      <c r="ODH25" s="28"/>
      <c r="ODI25" s="28"/>
      <c r="ODJ25" s="28"/>
      <c r="ODK25" s="28"/>
      <c r="ODL25" s="28"/>
      <c r="ODM25" s="28"/>
      <c r="ODN25" s="28"/>
      <c r="ODO25" s="28"/>
      <c r="ODP25" s="28"/>
      <c r="ODQ25" s="28"/>
      <c r="ODR25" s="28"/>
      <c r="ODS25" s="28"/>
      <c r="ODT25" s="28"/>
      <c r="ODU25" s="28"/>
      <c r="ODV25" s="28"/>
      <c r="ODW25" s="28"/>
      <c r="ODX25" s="28"/>
      <c r="ODY25" s="28"/>
      <c r="ODZ25" s="28"/>
      <c r="OEA25" s="28"/>
      <c r="OEB25" s="28"/>
      <c r="OEC25" s="28"/>
      <c r="OED25" s="28"/>
      <c r="OEE25" s="28"/>
      <c r="OEF25" s="28"/>
      <c r="OEG25" s="28"/>
      <c r="OEH25" s="28"/>
      <c r="OEI25" s="28"/>
      <c r="OEJ25" s="28"/>
      <c r="OEK25" s="28"/>
      <c r="OEL25" s="28"/>
      <c r="OEM25" s="28"/>
      <c r="OEN25" s="28"/>
      <c r="OEO25" s="28"/>
      <c r="OEP25" s="28"/>
      <c r="OEQ25" s="28"/>
      <c r="OER25" s="28"/>
      <c r="OES25" s="28"/>
      <c r="OET25" s="28"/>
      <c r="OEU25" s="28"/>
      <c r="OEV25" s="28"/>
      <c r="OEW25" s="28"/>
      <c r="OEX25" s="28"/>
      <c r="OEY25" s="28"/>
      <c r="OEZ25" s="28"/>
      <c r="OFA25" s="28"/>
      <c r="OFB25" s="28"/>
      <c r="OFC25" s="28"/>
      <c r="OFD25" s="28"/>
      <c r="OFE25" s="28"/>
      <c r="OFF25" s="28"/>
      <c r="OFG25" s="28"/>
      <c r="OFH25" s="28"/>
      <c r="OFI25" s="28"/>
      <c r="OFJ25" s="28"/>
      <c r="OFK25" s="28"/>
      <c r="OFL25" s="28"/>
      <c r="OFM25" s="28"/>
      <c r="OFN25" s="28"/>
      <c r="OFO25" s="28"/>
      <c r="OFP25" s="28"/>
      <c r="OFQ25" s="28"/>
      <c r="OFR25" s="28"/>
      <c r="OFS25" s="28"/>
      <c r="OFT25" s="28"/>
      <c r="OFU25" s="28"/>
      <c r="OFV25" s="28"/>
      <c r="OFW25" s="28"/>
      <c r="OFX25" s="28"/>
      <c r="OFY25" s="28"/>
      <c r="OFZ25" s="28"/>
      <c r="OGA25" s="28"/>
      <c r="OGB25" s="28"/>
      <c r="OGC25" s="28"/>
      <c r="OGD25" s="28"/>
      <c r="OGE25" s="28"/>
      <c r="OGF25" s="28"/>
      <c r="OGG25" s="28"/>
      <c r="OGH25" s="28"/>
      <c r="OGI25" s="28"/>
      <c r="OGJ25" s="28"/>
      <c r="OGK25" s="28"/>
      <c r="OGL25" s="28"/>
      <c r="OGM25" s="28"/>
      <c r="OGN25" s="28"/>
      <c r="OGO25" s="28"/>
      <c r="OGP25" s="28"/>
      <c r="OGQ25" s="28"/>
      <c r="OGR25" s="28"/>
      <c r="OGS25" s="28"/>
      <c r="OGT25" s="28"/>
      <c r="OGU25" s="28"/>
      <c r="OGV25" s="28"/>
      <c r="OGW25" s="28"/>
      <c r="OGX25" s="28"/>
      <c r="OGY25" s="28"/>
      <c r="OGZ25" s="28"/>
      <c r="OHA25" s="28"/>
      <c r="OHB25" s="28"/>
      <c r="OHC25" s="28"/>
      <c r="OHD25" s="28"/>
      <c r="OHE25" s="28"/>
      <c r="OHF25" s="28"/>
      <c r="OHG25" s="28"/>
      <c r="OHH25" s="28"/>
      <c r="OHI25" s="28"/>
      <c r="OHJ25" s="28"/>
      <c r="OHK25" s="28"/>
      <c r="OHL25" s="28"/>
      <c r="OHM25" s="28"/>
      <c r="OHN25" s="28"/>
      <c r="OHO25" s="28"/>
      <c r="OHP25" s="28"/>
      <c r="OHQ25" s="28"/>
      <c r="OHR25" s="28"/>
      <c r="OHS25" s="28"/>
      <c r="OHT25" s="28"/>
      <c r="OHU25" s="28"/>
      <c r="OHV25" s="28"/>
      <c r="OHW25" s="28"/>
      <c r="OHX25" s="28"/>
      <c r="OHY25" s="28"/>
      <c r="OHZ25" s="28"/>
      <c r="OIA25" s="28"/>
      <c r="OIB25" s="28"/>
      <c r="OIC25" s="28"/>
      <c r="OID25" s="28"/>
      <c r="OIE25" s="28"/>
      <c r="OIF25" s="28"/>
      <c r="OIG25" s="28"/>
      <c r="OIH25" s="28"/>
      <c r="OII25" s="28"/>
      <c r="OIJ25" s="28"/>
      <c r="OIK25" s="28"/>
      <c r="OIL25" s="28"/>
      <c r="OIM25" s="28"/>
      <c r="OIN25" s="28"/>
      <c r="OIO25" s="28"/>
      <c r="OIP25" s="28"/>
      <c r="OIQ25" s="28"/>
      <c r="OIR25" s="28"/>
      <c r="OIS25" s="28"/>
      <c r="OIT25" s="28"/>
      <c r="OIU25" s="28"/>
      <c r="OIV25" s="28"/>
      <c r="OIW25" s="28"/>
      <c r="OIX25" s="28"/>
      <c r="OIY25" s="28"/>
      <c r="OIZ25" s="28"/>
      <c r="OJA25" s="28"/>
      <c r="OJB25" s="28"/>
      <c r="OJC25" s="28"/>
      <c r="OJD25" s="28"/>
      <c r="OJE25" s="28"/>
      <c r="OJF25" s="28"/>
      <c r="OJG25" s="28"/>
      <c r="OJH25" s="28"/>
      <c r="OJI25" s="28"/>
      <c r="OJJ25" s="28"/>
      <c r="OJK25" s="28"/>
      <c r="OJL25" s="28"/>
      <c r="OJM25" s="28"/>
      <c r="OJN25" s="28"/>
      <c r="OJO25" s="28"/>
      <c r="OJP25" s="28"/>
      <c r="OJQ25" s="28"/>
      <c r="OJR25" s="28"/>
      <c r="OJS25" s="28"/>
      <c r="OJT25" s="28"/>
      <c r="OJU25" s="28"/>
      <c r="OJV25" s="28"/>
      <c r="OJW25" s="28"/>
      <c r="OJX25" s="28"/>
      <c r="OJY25" s="28"/>
      <c r="OJZ25" s="28"/>
      <c r="OKA25" s="28"/>
      <c r="OKB25" s="28"/>
      <c r="OKC25" s="28"/>
      <c r="OKD25" s="28"/>
      <c r="OKE25" s="28"/>
      <c r="OKF25" s="28"/>
      <c r="OKG25" s="28"/>
      <c r="OKH25" s="28"/>
      <c r="OKI25" s="28"/>
      <c r="OKJ25" s="28"/>
      <c r="OKK25" s="28"/>
      <c r="OKL25" s="28"/>
      <c r="OKM25" s="28"/>
      <c r="OKN25" s="28"/>
      <c r="OKO25" s="28"/>
      <c r="OKP25" s="28"/>
      <c r="OKQ25" s="28"/>
      <c r="OKR25" s="28"/>
      <c r="OKS25" s="28"/>
      <c r="OKT25" s="28"/>
      <c r="OKU25" s="28"/>
      <c r="OKV25" s="28"/>
      <c r="OKW25" s="28"/>
      <c r="OKX25" s="28"/>
      <c r="OKY25" s="28"/>
      <c r="OKZ25" s="28"/>
      <c r="OLA25" s="28"/>
      <c r="OLB25" s="28"/>
      <c r="OLC25" s="28"/>
      <c r="OLD25" s="28"/>
      <c r="OLE25" s="28"/>
      <c r="OLF25" s="28"/>
      <c r="OLG25" s="28"/>
      <c r="OLH25" s="28"/>
      <c r="OLI25" s="28"/>
      <c r="OLJ25" s="28"/>
      <c r="OLK25" s="28"/>
      <c r="OLL25" s="28"/>
      <c r="OLM25" s="28"/>
      <c r="OLN25" s="28"/>
      <c r="OLO25" s="28"/>
      <c r="OLP25" s="28"/>
      <c r="OLQ25" s="28"/>
      <c r="OLR25" s="28"/>
      <c r="OLS25" s="28"/>
      <c r="OLT25" s="28"/>
      <c r="OLU25" s="28"/>
      <c r="OLV25" s="28"/>
      <c r="OLW25" s="28"/>
      <c r="OLX25" s="28"/>
      <c r="OLY25" s="28"/>
      <c r="OLZ25" s="28"/>
      <c r="OMA25" s="28"/>
      <c r="OMB25" s="28"/>
      <c r="OMC25" s="28"/>
      <c r="OMD25" s="28"/>
      <c r="OME25" s="28"/>
      <c r="OMF25" s="28"/>
      <c r="OMG25" s="28"/>
      <c r="OMH25" s="28"/>
      <c r="OMI25" s="28"/>
      <c r="OMJ25" s="28"/>
      <c r="OMK25" s="28"/>
      <c r="OML25" s="28"/>
      <c r="OMM25" s="28"/>
      <c r="OMN25" s="28"/>
      <c r="OMO25" s="28"/>
      <c r="OMP25" s="28"/>
      <c r="OMQ25" s="28"/>
      <c r="OMR25" s="28"/>
      <c r="OMS25" s="28"/>
      <c r="OMT25" s="28"/>
      <c r="OMU25" s="28"/>
      <c r="OMV25" s="28"/>
      <c r="OMW25" s="28"/>
      <c r="OMX25" s="28"/>
      <c r="OMY25" s="28"/>
      <c r="OMZ25" s="28"/>
      <c r="ONA25" s="28"/>
      <c r="ONB25" s="28"/>
      <c r="ONC25" s="28"/>
      <c r="OND25" s="28"/>
      <c r="ONE25" s="28"/>
      <c r="ONF25" s="28"/>
      <c r="ONG25" s="28"/>
      <c r="ONH25" s="28"/>
      <c r="ONI25" s="28"/>
      <c r="ONJ25" s="28"/>
      <c r="ONK25" s="28"/>
      <c r="ONL25" s="28"/>
      <c r="ONM25" s="28"/>
      <c r="ONN25" s="28"/>
      <c r="ONO25" s="28"/>
      <c r="ONP25" s="28"/>
      <c r="ONQ25" s="28"/>
      <c r="ONR25" s="28"/>
      <c r="ONS25" s="28"/>
      <c r="ONT25" s="28"/>
      <c r="ONU25" s="28"/>
      <c r="ONV25" s="28"/>
      <c r="ONW25" s="28"/>
      <c r="ONX25" s="28"/>
      <c r="ONY25" s="28"/>
      <c r="ONZ25" s="28"/>
      <c r="OOA25" s="28"/>
      <c r="OOB25" s="28"/>
      <c r="OOC25" s="28"/>
      <c r="OOD25" s="28"/>
      <c r="OOE25" s="28"/>
      <c r="OOF25" s="28"/>
      <c r="OOG25" s="28"/>
      <c r="OOH25" s="28"/>
      <c r="OOI25" s="28"/>
      <c r="OOJ25" s="28"/>
      <c r="OOK25" s="28"/>
      <c r="OOL25" s="28"/>
      <c r="OOM25" s="28"/>
      <c r="OON25" s="28"/>
      <c r="OOO25" s="28"/>
      <c r="OOP25" s="28"/>
      <c r="OOQ25" s="28"/>
      <c r="OOR25" s="28"/>
      <c r="OOS25" s="28"/>
      <c r="OOT25" s="28"/>
      <c r="OOU25" s="28"/>
      <c r="OOV25" s="28"/>
      <c r="OOW25" s="28"/>
      <c r="OOX25" s="28"/>
      <c r="OOY25" s="28"/>
      <c r="OOZ25" s="28"/>
      <c r="OPA25" s="28"/>
      <c r="OPB25" s="28"/>
      <c r="OPC25" s="28"/>
      <c r="OPD25" s="28"/>
      <c r="OPE25" s="28"/>
      <c r="OPF25" s="28"/>
      <c r="OPG25" s="28"/>
      <c r="OPH25" s="28"/>
      <c r="OPI25" s="28"/>
      <c r="OPJ25" s="28"/>
      <c r="OPK25" s="28"/>
      <c r="OPL25" s="28"/>
      <c r="OPM25" s="28"/>
      <c r="OPN25" s="28"/>
      <c r="OPO25" s="28"/>
      <c r="OPP25" s="28"/>
      <c r="OPQ25" s="28"/>
      <c r="OPR25" s="28"/>
      <c r="OPS25" s="28"/>
      <c r="OPT25" s="28"/>
      <c r="OPU25" s="28"/>
      <c r="OPV25" s="28"/>
      <c r="OPW25" s="28"/>
      <c r="OPX25" s="28"/>
      <c r="OPY25" s="28"/>
      <c r="OPZ25" s="28"/>
      <c r="OQA25" s="28"/>
      <c r="OQB25" s="28"/>
      <c r="OQC25" s="28"/>
      <c r="OQD25" s="28"/>
      <c r="OQE25" s="28"/>
      <c r="OQF25" s="28"/>
      <c r="OQG25" s="28"/>
      <c r="OQH25" s="28"/>
      <c r="OQI25" s="28"/>
      <c r="OQJ25" s="28"/>
      <c r="OQK25" s="28"/>
      <c r="OQL25" s="28"/>
      <c r="OQM25" s="28"/>
      <c r="OQN25" s="28"/>
      <c r="OQO25" s="28"/>
      <c r="OQP25" s="28"/>
      <c r="OQQ25" s="28"/>
      <c r="OQR25" s="28"/>
      <c r="OQS25" s="28"/>
      <c r="OQT25" s="28"/>
      <c r="OQU25" s="28"/>
      <c r="OQV25" s="28"/>
      <c r="OQW25" s="28"/>
      <c r="OQX25" s="28"/>
      <c r="OQY25" s="28"/>
      <c r="OQZ25" s="28"/>
      <c r="ORA25" s="28"/>
      <c r="ORB25" s="28"/>
      <c r="ORC25" s="28"/>
      <c r="ORD25" s="28"/>
      <c r="ORE25" s="28"/>
      <c r="ORF25" s="28"/>
      <c r="ORG25" s="28"/>
      <c r="ORH25" s="28"/>
      <c r="ORI25" s="28"/>
      <c r="ORJ25" s="28"/>
      <c r="ORK25" s="28"/>
      <c r="ORL25" s="28"/>
      <c r="ORM25" s="28"/>
      <c r="ORN25" s="28"/>
      <c r="ORO25" s="28"/>
      <c r="ORP25" s="28"/>
      <c r="ORQ25" s="28"/>
      <c r="ORR25" s="28"/>
      <c r="ORS25" s="28"/>
      <c r="ORT25" s="28"/>
      <c r="ORU25" s="28"/>
      <c r="ORV25" s="28"/>
      <c r="ORW25" s="28"/>
      <c r="ORX25" s="28"/>
      <c r="ORY25" s="28"/>
      <c r="ORZ25" s="28"/>
      <c r="OSA25" s="28"/>
      <c r="OSB25" s="28"/>
      <c r="OSC25" s="28"/>
      <c r="OSD25" s="28"/>
      <c r="OSE25" s="28"/>
      <c r="OSF25" s="28"/>
      <c r="OSG25" s="28"/>
      <c r="OSH25" s="28"/>
      <c r="OSI25" s="28"/>
      <c r="OSJ25" s="28"/>
      <c r="OSK25" s="28"/>
      <c r="OSL25" s="28"/>
      <c r="OSM25" s="28"/>
      <c r="OSN25" s="28"/>
      <c r="OSO25" s="28"/>
      <c r="OSP25" s="28"/>
      <c r="OSQ25" s="28"/>
      <c r="OSR25" s="28"/>
      <c r="OSS25" s="28"/>
      <c r="OST25" s="28"/>
      <c r="OSU25" s="28"/>
      <c r="OSV25" s="28"/>
      <c r="OSW25" s="28"/>
      <c r="OSX25" s="28"/>
      <c r="OSY25" s="28"/>
      <c r="OSZ25" s="28"/>
      <c r="OTA25" s="28"/>
      <c r="OTB25" s="28"/>
      <c r="OTC25" s="28"/>
      <c r="OTD25" s="28"/>
      <c r="OTE25" s="28"/>
      <c r="OTF25" s="28"/>
      <c r="OTG25" s="28"/>
      <c r="OTH25" s="28"/>
      <c r="OTI25" s="28"/>
      <c r="OTJ25" s="28"/>
      <c r="OTK25" s="28"/>
      <c r="OTL25" s="28"/>
      <c r="OTM25" s="28"/>
      <c r="OTN25" s="28"/>
      <c r="OTO25" s="28"/>
      <c r="OTP25" s="28"/>
      <c r="OTQ25" s="28"/>
      <c r="OTR25" s="28"/>
      <c r="OTS25" s="28"/>
      <c r="OTT25" s="28"/>
      <c r="OTU25" s="28"/>
      <c r="OTV25" s="28"/>
      <c r="OTW25" s="28"/>
      <c r="OTX25" s="28"/>
      <c r="OTY25" s="28"/>
      <c r="OTZ25" s="28"/>
      <c r="OUA25" s="28"/>
      <c r="OUB25" s="28"/>
      <c r="OUC25" s="28"/>
      <c r="OUD25" s="28"/>
      <c r="OUE25" s="28"/>
      <c r="OUF25" s="28"/>
      <c r="OUG25" s="28"/>
      <c r="OUH25" s="28"/>
      <c r="OUI25" s="28"/>
      <c r="OUJ25" s="28"/>
      <c r="OUK25" s="28"/>
      <c r="OUL25" s="28"/>
      <c r="OUM25" s="28"/>
      <c r="OUN25" s="28"/>
      <c r="OUO25" s="28"/>
      <c r="OUP25" s="28"/>
      <c r="OUQ25" s="28"/>
      <c r="OUR25" s="28"/>
      <c r="OUS25" s="28"/>
      <c r="OUT25" s="28"/>
      <c r="OUU25" s="28"/>
      <c r="OUV25" s="28"/>
      <c r="OUW25" s="28"/>
      <c r="OUX25" s="28"/>
      <c r="OUY25" s="28"/>
      <c r="OUZ25" s="28"/>
      <c r="OVA25" s="28"/>
      <c r="OVB25" s="28"/>
      <c r="OVC25" s="28"/>
      <c r="OVD25" s="28"/>
      <c r="OVE25" s="28"/>
      <c r="OVF25" s="28"/>
      <c r="OVG25" s="28"/>
      <c r="OVH25" s="28"/>
      <c r="OVI25" s="28"/>
      <c r="OVJ25" s="28"/>
      <c r="OVK25" s="28"/>
      <c r="OVL25" s="28"/>
      <c r="OVM25" s="28"/>
      <c r="OVN25" s="28"/>
      <c r="OVO25" s="28"/>
      <c r="OVP25" s="28"/>
      <c r="OVQ25" s="28"/>
      <c r="OVR25" s="28"/>
      <c r="OVS25" s="28"/>
      <c r="OVT25" s="28"/>
      <c r="OVU25" s="28"/>
      <c r="OVV25" s="28"/>
      <c r="OVW25" s="28"/>
      <c r="OVX25" s="28"/>
      <c r="OVY25" s="28"/>
      <c r="OVZ25" s="28"/>
      <c r="OWA25" s="28"/>
      <c r="OWB25" s="28"/>
      <c r="OWC25" s="28"/>
      <c r="OWD25" s="28"/>
      <c r="OWE25" s="28"/>
      <c r="OWF25" s="28"/>
      <c r="OWG25" s="28"/>
      <c r="OWH25" s="28"/>
      <c r="OWI25" s="28"/>
      <c r="OWJ25" s="28"/>
      <c r="OWK25" s="28"/>
      <c r="OWL25" s="28"/>
      <c r="OWM25" s="28"/>
      <c r="OWN25" s="28"/>
      <c r="OWO25" s="28"/>
      <c r="OWP25" s="28"/>
      <c r="OWQ25" s="28"/>
      <c r="OWR25" s="28"/>
      <c r="OWS25" s="28"/>
      <c r="OWT25" s="28"/>
      <c r="OWU25" s="28"/>
      <c r="OWV25" s="28"/>
      <c r="OWW25" s="28"/>
      <c r="OWX25" s="28"/>
      <c r="OWY25" s="28"/>
      <c r="OWZ25" s="28"/>
      <c r="OXA25" s="28"/>
      <c r="OXB25" s="28"/>
      <c r="OXC25" s="28"/>
      <c r="OXD25" s="28"/>
      <c r="OXE25" s="28"/>
      <c r="OXF25" s="28"/>
      <c r="OXG25" s="28"/>
      <c r="OXH25" s="28"/>
      <c r="OXI25" s="28"/>
      <c r="OXJ25" s="28"/>
      <c r="OXK25" s="28"/>
      <c r="OXL25" s="28"/>
      <c r="OXM25" s="28"/>
      <c r="OXN25" s="28"/>
      <c r="OXO25" s="28"/>
      <c r="OXP25" s="28"/>
      <c r="OXQ25" s="28"/>
      <c r="OXR25" s="28"/>
      <c r="OXS25" s="28"/>
      <c r="OXT25" s="28"/>
      <c r="OXU25" s="28"/>
      <c r="OXV25" s="28"/>
      <c r="OXW25" s="28"/>
      <c r="OXX25" s="28"/>
      <c r="OXY25" s="28"/>
      <c r="OXZ25" s="28"/>
      <c r="OYA25" s="28"/>
      <c r="OYB25" s="28"/>
      <c r="OYC25" s="28"/>
      <c r="OYD25" s="28"/>
      <c r="OYE25" s="28"/>
      <c r="OYF25" s="28"/>
      <c r="OYG25" s="28"/>
      <c r="OYH25" s="28"/>
      <c r="OYI25" s="28"/>
      <c r="OYJ25" s="28"/>
      <c r="OYK25" s="28"/>
      <c r="OYL25" s="28"/>
      <c r="OYM25" s="28"/>
      <c r="OYN25" s="28"/>
      <c r="OYO25" s="28"/>
      <c r="OYP25" s="28"/>
      <c r="OYQ25" s="28"/>
      <c r="OYR25" s="28"/>
      <c r="OYS25" s="28"/>
      <c r="OYT25" s="28"/>
      <c r="OYU25" s="28"/>
      <c r="OYV25" s="28"/>
      <c r="OYW25" s="28"/>
      <c r="OYX25" s="28"/>
      <c r="OYY25" s="28"/>
      <c r="OYZ25" s="28"/>
      <c r="OZA25" s="28"/>
      <c r="OZB25" s="28"/>
      <c r="OZC25" s="28"/>
      <c r="OZD25" s="28"/>
      <c r="OZE25" s="28"/>
      <c r="OZF25" s="28"/>
      <c r="OZG25" s="28"/>
      <c r="OZH25" s="28"/>
      <c r="OZI25" s="28"/>
      <c r="OZJ25" s="28"/>
      <c r="OZK25" s="28"/>
      <c r="OZL25" s="28"/>
      <c r="OZM25" s="28"/>
      <c r="OZN25" s="28"/>
      <c r="OZO25" s="28"/>
      <c r="OZP25" s="28"/>
      <c r="OZQ25" s="28"/>
      <c r="OZR25" s="28"/>
      <c r="OZS25" s="28"/>
      <c r="OZT25" s="28"/>
      <c r="OZU25" s="28"/>
      <c r="OZV25" s="28"/>
      <c r="OZW25" s="28"/>
      <c r="OZX25" s="28"/>
      <c r="OZY25" s="28"/>
      <c r="OZZ25" s="28"/>
      <c r="PAA25" s="28"/>
      <c r="PAB25" s="28"/>
      <c r="PAC25" s="28"/>
      <c r="PAD25" s="28"/>
      <c r="PAE25" s="28"/>
      <c r="PAF25" s="28"/>
      <c r="PAG25" s="28"/>
      <c r="PAH25" s="28"/>
      <c r="PAI25" s="28"/>
      <c r="PAJ25" s="28"/>
      <c r="PAK25" s="28"/>
      <c r="PAL25" s="28"/>
      <c r="PAM25" s="28"/>
      <c r="PAN25" s="28"/>
      <c r="PAO25" s="28"/>
      <c r="PAP25" s="28"/>
      <c r="PAQ25" s="28"/>
      <c r="PAR25" s="28"/>
      <c r="PAS25" s="28"/>
      <c r="PAT25" s="28"/>
      <c r="PAU25" s="28"/>
      <c r="PAV25" s="28"/>
      <c r="PAW25" s="28"/>
      <c r="PAX25" s="28"/>
      <c r="PAY25" s="28"/>
      <c r="PAZ25" s="28"/>
      <c r="PBA25" s="28"/>
      <c r="PBB25" s="28"/>
      <c r="PBC25" s="28"/>
      <c r="PBD25" s="28"/>
      <c r="PBE25" s="28"/>
      <c r="PBF25" s="28"/>
      <c r="PBG25" s="28"/>
      <c r="PBH25" s="28"/>
      <c r="PBI25" s="28"/>
      <c r="PBJ25" s="28"/>
      <c r="PBK25" s="28"/>
      <c r="PBL25" s="28"/>
      <c r="PBM25" s="28"/>
      <c r="PBN25" s="28"/>
      <c r="PBO25" s="28"/>
      <c r="PBP25" s="28"/>
      <c r="PBQ25" s="28"/>
      <c r="PBR25" s="28"/>
      <c r="PBS25" s="28"/>
      <c r="PBT25" s="28"/>
      <c r="PBU25" s="28"/>
      <c r="PBV25" s="28"/>
      <c r="PBW25" s="28"/>
      <c r="PBX25" s="28"/>
      <c r="PBY25" s="28"/>
      <c r="PBZ25" s="28"/>
      <c r="PCA25" s="28"/>
      <c r="PCB25" s="28"/>
      <c r="PCC25" s="28"/>
      <c r="PCD25" s="28"/>
      <c r="PCE25" s="28"/>
      <c r="PCF25" s="28"/>
      <c r="PCG25" s="28"/>
      <c r="PCH25" s="28"/>
      <c r="PCI25" s="28"/>
      <c r="PCJ25" s="28"/>
      <c r="PCK25" s="28"/>
      <c r="PCL25" s="28"/>
      <c r="PCM25" s="28"/>
      <c r="PCN25" s="28"/>
      <c r="PCO25" s="28"/>
      <c r="PCP25" s="28"/>
      <c r="PCQ25" s="28"/>
      <c r="PCR25" s="28"/>
      <c r="PCS25" s="28"/>
      <c r="PCT25" s="28"/>
      <c r="PCU25" s="28"/>
      <c r="PCV25" s="28"/>
      <c r="PCW25" s="28"/>
      <c r="PCX25" s="28"/>
      <c r="PCY25" s="28"/>
      <c r="PCZ25" s="28"/>
      <c r="PDA25" s="28"/>
      <c r="PDB25" s="28"/>
      <c r="PDC25" s="28"/>
      <c r="PDD25" s="28"/>
      <c r="PDE25" s="28"/>
      <c r="PDF25" s="28"/>
      <c r="PDG25" s="28"/>
      <c r="PDH25" s="28"/>
      <c r="PDI25" s="28"/>
      <c r="PDJ25" s="28"/>
      <c r="PDK25" s="28"/>
      <c r="PDL25" s="28"/>
      <c r="PDM25" s="28"/>
      <c r="PDN25" s="28"/>
      <c r="PDO25" s="28"/>
      <c r="PDP25" s="28"/>
      <c r="PDQ25" s="28"/>
      <c r="PDR25" s="28"/>
      <c r="PDS25" s="28"/>
      <c r="PDT25" s="28"/>
      <c r="PDU25" s="28"/>
      <c r="PDV25" s="28"/>
      <c r="PDW25" s="28"/>
      <c r="PDX25" s="28"/>
      <c r="PDY25" s="28"/>
      <c r="PDZ25" s="28"/>
      <c r="PEA25" s="28"/>
      <c r="PEB25" s="28"/>
      <c r="PEC25" s="28"/>
      <c r="PED25" s="28"/>
      <c r="PEE25" s="28"/>
      <c r="PEF25" s="28"/>
      <c r="PEG25" s="28"/>
      <c r="PEH25" s="28"/>
      <c r="PEI25" s="28"/>
      <c r="PEJ25" s="28"/>
      <c r="PEK25" s="28"/>
      <c r="PEL25" s="28"/>
      <c r="PEM25" s="28"/>
      <c r="PEN25" s="28"/>
      <c r="PEO25" s="28"/>
      <c r="PEP25" s="28"/>
      <c r="PEQ25" s="28"/>
      <c r="PER25" s="28"/>
      <c r="PES25" s="28"/>
      <c r="PET25" s="28"/>
      <c r="PEU25" s="28"/>
      <c r="PEV25" s="28"/>
      <c r="PEW25" s="28"/>
      <c r="PEX25" s="28"/>
      <c r="PEY25" s="28"/>
      <c r="PEZ25" s="28"/>
      <c r="PFA25" s="28"/>
      <c r="PFB25" s="28"/>
      <c r="PFC25" s="28"/>
      <c r="PFD25" s="28"/>
      <c r="PFE25" s="28"/>
      <c r="PFF25" s="28"/>
      <c r="PFG25" s="28"/>
      <c r="PFH25" s="28"/>
      <c r="PFI25" s="28"/>
      <c r="PFJ25" s="28"/>
      <c r="PFK25" s="28"/>
      <c r="PFL25" s="28"/>
      <c r="PFM25" s="28"/>
      <c r="PFN25" s="28"/>
      <c r="PFO25" s="28"/>
      <c r="PFP25" s="28"/>
      <c r="PFQ25" s="28"/>
      <c r="PFR25" s="28"/>
      <c r="PFS25" s="28"/>
      <c r="PFT25" s="28"/>
      <c r="PFU25" s="28"/>
      <c r="PFV25" s="28"/>
      <c r="PFW25" s="28"/>
      <c r="PFX25" s="28"/>
      <c r="PFY25" s="28"/>
      <c r="PFZ25" s="28"/>
      <c r="PGA25" s="28"/>
      <c r="PGB25" s="28"/>
      <c r="PGC25" s="28"/>
      <c r="PGD25" s="28"/>
      <c r="PGE25" s="28"/>
      <c r="PGF25" s="28"/>
      <c r="PGG25" s="28"/>
      <c r="PGH25" s="28"/>
      <c r="PGI25" s="28"/>
      <c r="PGJ25" s="28"/>
      <c r="PGK25" s="28"/>
      <c r="PGL25" s="28"/>
      <c r="PGM25" s="28"/>
      <c r="PGN25" s="28"/>
      <c r="PGO25" s="28"/>
      <c r="PGP25" s="28"/>
      <c r="PGQ25" s="28"/>
      <c r="PGR25" s="28"/>
      <c r="PGS25" s="28"/>
      <c r="PGT25" s="28"/>
      <c r="PGU25" s="28"/>
      <c r="PGV25" s="28"/>
      <c r="PGW25" s="28"/>
      <c r="PGX25" s="28"/>
      <c r="PGY25" s="28"/>
      <c r="PGZ25" s="28"/>
      <c r="PHA25" s="28"/>
      <c r="PHB25" s="28"/>
      <c r="PHC25" s="28"/>
      <c r="PHD25" s="28"/>
      <c r="PHE25" s="28"/>
      <c r="PHF25" s="28"/>
      <c r="PHG25" s="28"/>
      <c r="PHH25" s="28"/>
      <c r="PHI25" s="28"/>
      <c r="PHJ25" s="28"/>
      <c r="PHK25" s="28"/>
      <c r="PHL25" s="28"/>
      <c r="PHM25" s="28"/>
      <c r="PHN25" s="28"/>
      <c r="PHO25" s="28"/>
      <c r="PHP25" s="28"/>
      <c r="PHQ25" s="28"/>
      <c r="PHR25" s="28"/>
      <c r="PHS25" s="28"/>
      <c r="PHT25" s="28"/>
      <c r="PHU25" s="28"/>
      <c r="PHV25" s="28"/>
      <c r="PHW25" s="28"/>
      <c r="PHX25" s="28"/>
      <c r="PHY25" s="28"/>
      <c r="PHZ25" s="28"/>
      <c r="PIA25" s="28"/>
      <c r="PIB25" s="28"/>
      <c r="PIC25" s="28"/>
      <c r="PID25" s="28"/>
      <c r="PIE25" s="28"/>
      <c r="PIF25" s="28"/>
      <c r="PIG25" s="28"/>
      <c r="PIH25" s="28"/>
      <c r="PII25" s="28"/>
      <c r="PIJ25" s="28"/>
      <c r="PIK25" s="28"/>
      <c r="PIL25" s="28"/>
      <c r="PIM25" s="28"/>
      <c r="PIN25" s="28"/>
      <c r="PIO25" s="28"/>
      <c r="PIP25" s="28"/>
      <c r="PIQ25" s="28"/>
      <c r="PIR25" s="28"/>
      <c r="PIS25" s="28"/>
      <c r="PIT25" s="28"/>
      <c r="PIU25" s="28"/>
      <c r="PIV25" s="28"/>
      <c r="PIW25" s="28"/>
      <c r="PIX25" s="28"/>
      <c r="PIY25" s="28"/>
      <c r="PIZ25" s="28"/>
      <c r="PJA25" s="28"/>
      <c r="PJB25" s="28"/>
      <c r="PJC25" s="28"/>
      <c r="PJD25" s="28"/>
      <c r="PJE25" s="28"/>
      <c r="PJF25" s="28"/>
      <c r="PJG25" s="28"/>
      <c r="PJH25" s="28"/>
      <c r="PJI25" s="28"/>
      <c r="PJJ25" s="28"/>
      <c r="PJK25" s="28"/>
      <c r="PJL25" s="28"/>
      <c r="PJM25" s="28"/>
      <c r="PJN25" s="28"/>
      <c r="PJO25" s="28"/>
      <c r="PJP25" s="28"/>
      <c r="PJQ25" s="28"/>
      <c r="PJR25" s="28"/>
      <c r="PJS25" s="28"/>
      <c r="PJT25" s="28"/>
      <c r="PJU25" s="28"/>
      <c r="PJV25" s="28"/>
      <c r="PJW25" s="28"/>
      <c r="PJX25" s="28"/>
      <c r="PJY25" s="28"/>
      <c r="PJZ25" s="28"/>
      <c r="PKA25" s="28"/>
      <c r="PKB25" s="28"/>
      <c r="PKC25" s="28"/>
      <c r="PKD25" s="28"/>
      <c r="PKE25" s="28"/>
      <c r="PKF25" s="28"/>
      <c r="PKG25" s="28"/>
      <c r="PKH25" s="28"/>
      <c r="PKI25" s="28"/>
      <c r="PKJ25" s="28"/>
      <c r="PKK25" s="28"/>
      <c r="PKL25" s="28"/>
      <c r="PKM25" s="28"/>
      <c r="PKN25" s="28"/>
      <c r="PKO25" s="28"/>
      <c r="PKP25" s="28"/>
      <c r="PKQ25" s="28"/>
      <c r="PKR25" s="28"/>
      <c r="PKS25" s="28"/>
      <c r="PKT25" s="28"/>
      <c r="PKU25" s="28"/>
      <c r="PKV25" s="28"/>
      <c r="PKW25" s="28"/>
      <c r="PKX25" s="28"/>
      <c r="PKY25" s="28"/>
      <c r="PKZ25" s="28"/>
      <c r="PLA25" s="28"/>
      <c r="PLB25" s="28"/>
      <c r="PLC25" s="28"/>
      <c r="PLD25" s="28"/>
      <c r="PLE25" s="28"/>
      <c r="PLF25" s="28"/>
      <c r="PLG25" s="28"/>
      <c r="PLH25" s="28"/>
      <c r="PLI25" s="28"/>
      <c r="PLJ25" s="28"/>
      <c r="PLK25" s="28"/>
      <c r="PLL25" s="28"/>
      <c r="PLM25" s="28"/>
      <c r="PLN25" s="28"/>
      <c r="PLO25" s="28"/>
      <c r="PLP25" s="28"/>
      <c r="PLQ25" s="28"/>
      <c r="PLR25" s="28"/>
      <c r="PLS25" s="28"/>
      <c r="PLT25" s="28"/>
      <c r="PLU25" s="28"/>
      <c r="PLV25" s="28"/>
      <c r="PLW25" s="28"/>
      <c r="PLX25" s="28"/>
      <c r="PLY25" s="28"/>
      <c r="PLZ25" s="28"/>
      <c r="PMA25" s="28"/>
      <c r="PMB25" s="28"/>
      <c r="PMC25" s="28"/>
      <c r="PMD25" s="28"/>
      <c r="PME25" s="28"/>
      <c r="PMF25" s="28"/>
      <c r="PMG25" s="28"/>
      <c r="PMH25" s="28"/>
      <c r="PMI25" s="28"/>
      <c r="PMJ25" s="28"/>
      <c r="PMK25" s="28"/>
      <c r="PML25" s="28"/>
      <c r="PMM25" s="28"/>
      <c r="PMN25" s="28"/>
      <c r="PMO25" s="28"/>
      <c r="PMP25" s="28"/>
      <c r="PMQ25" s="28"/>
      <c r="PMR25" s="28"/>
      <c r="PMS25" s="28"/>
      <c r="PMT25" s="28"/>
      <c r="PMU25" s="28"/>
      <c r="PMV25" s="28"/>
      <c r="PMW25" s="28"/>
      <c r="PMX25" s="28"/>
      <c r="PMY25" s="28"/>
      <c r="PMZ25" s="28"/>
      <c r="PNA25" s="28"/>
      <c r="PNB25" s="28"/>
      <c r="PNC25" s="28"/>
      <c r="PND25" s="28"/>
      <c r="PNE25" s="28"/>
      <c r="PNF25" s="28"/>
      <c r="PNG25" s="28"/>
      <c r="PNH25" s="28"/>
      <c r="PNI25" s="28"/>
      <c r="PNJ25" s="28"/>
      <c r="PNK25" s="28"/>
      <c r="PNL25" s="28"/>
      <c r="PNM25" s="28"/>
      <c r="PNN25" s="28"/>
      <c r="PNO25" s="28"/>
      <c r="PNP25" s="28"/>
      <c r="PNQ25" s="28"/>
      <c r="PNR25" s="28"/>
      <c r="PNS25" s="28"/>
      <c r="PNT25" s="28"/>
      <c r="PNU25" s="28"/>
      <c r="PNV25" s="28"/>
      <c r="PNW25" s="28"/>
      <c r="PNX25" s="28"/>
      <c r="PNY25" s="28"/>
      <c r="PNZ25" s="28"/>
      <c r="POA25" s="28"/>
      <c r="POB25" s="28"/>
      <c r="POC25" s="28"/>
      <c r="POD25" s="28"/>
      <c r="POE25" s="28"/>
      <c r="POF25" s="28"/>
      <c r="POG25" s="28"/>
      <c r="POH25" s="28"/>
      <c r="POI25" s="28"/>
      <c r="POJ25" s="28"/>
      <c r="POK25" s="28"/>
      <c r="POL25" s="28"/>
      <c r="POM25" s="28"/>
      <c r="PON25" s="28"/>
      <c r="POO25" s="28"/>
      <c r="POP25" s="28"/>
      <c r="POQ25" s="28"/>
      <c r="POR25" s="28"/>
      <c r="POS25" s="28"/>
      <c r="POT25" s="28"/>
      <c r="POU25" s="28"/>
      <c r="POV25" s="28"/>
      <c r="POW25" s="28"/>
      <c r="POX25" s="28"/>
      <c r="POY25" s="28"/>
      <c r="POZ25" s="28"/>
      <c r="PPA25" s="28"/>
      <c r="PPB25" s="28"/>
      <c r="PPC25" s="28"/>
      <c r="PPD25" s="28"/>
      <c r="PPE25" s="28"/>
      <c r="PPF25" s="28"/>
      <c r="PPG25" s="28"/>
      <c r="PPH25" s="28"/>
      <c r="PPI25" s="28"/>
      <c r="PPJ25" s="28"/>
      <c r="PPK25" s="28"/>
      <c r="PPL25" s="28"/>
      <c r="PPM25" s="28"/>
      <c r="PPN25" s="28"/>
      <c r="PPO25" s="28"/>
      <c r="PPP25" s="28"/>
      <c r="PPQ25" s="28"/>
      <c r="PPR25" s="28"/>
      <c r="PPS25" s="28"/>
      <c r="PPT25" s="28"/>
      <c r="PPU25" s="28"/>
      <c r="PPV25" s="28"/>
      <c r="PPW25" s="28"/>
      <c r="PPX25" s="28"/>
      <c r="PPY25" s="28"/>
      <c r="PPZ25" s="28"/>
      <c r="PQA25" s="28"/>
      <c r="PQB25" s="28"/>
      <c r="PQC25" s="28"/>
      <c r="PQD25" s="28"/>
      <c r="PQE25" s="28"/>
      <c r="PQF25" s="28"/>
      <c r="PQG25" s="28"/>
      <c r="PQH25" s="28"/>
      <c r="PQI25" s="28"/>
      <c r="PQJ25" s="28"/>
      <c r="PQK25" s="28"/>
      <c r="PQL25" s="28"/>
      <c r="PQM25" s="28"/>
      <c r="PQN25" s="28"/>
      <c r="PQO25" s="28"/>
      <c r="PQP25" s="28"/>
      <c r="PQQ25" s="28"/>
      <c r="PQR25" s="28"/>
      <c r="PQS25" s="28"/>
      <c r="PQT25" s="28"/>
      <c r="PQU25" s="28"/>
      <c r="PQV25" s="28"/>
      <c r="PQW25" s="28"/>
      <c r="PQX25" s="28"/>
      <c r="PQY25" s="28"/>
      <c r="PQZ25" s="28"/>
      <c r="PRA25" s="28"/>
      <c r="PRB25" s="28"/>
      <c r="PRC25" s="28"/>
      <c r="PRD25" s="28"/>
      <c r="PRE25" s="28"/>
      <c r="PRF25" s="28"/>
      <c r="PRG25" s="28"/>
      <c r="PRH25" s="28"/>
      <c r="PRI25" s="28"/>
      <c r="PRJ25" s="28"/>
      <c r="PRK25" s="28"/>
      <c r="PRL25" s="28"/>
      <c r="PRM25" s="28"/>
      <c r="PRN25" s="28"/>
      <c r="PRO25" s="28"/>
      <c r="PRP25" s="28"/>
      <c r="PRQ25" s="28"/>
      <c r="PRR25" s="28"/>
      <c r="PRS25" s="28"/>
      <c r="PRT25" s="28"/>
      <c r="PRU25" s="28"/>
      <c r="PRV25" s="28"/>
      <c r="PRW25" s="28"/>
      <c r="PRX25" s="28"/>
      <c r="PRY25" s="28"/>
      <c r="PRZ25" s="28"/>
      <c r="PSA25" s="28"/>
      <c r="PSB25" s="28"/>
      <c r="PSC25" s="28"/>
      <c r="PSD25" s="28"/>
      <c r="PSE25" s="28"/>
      <c r="PSF25" s="28"/>
      <c r="PSG25" s="28"/>
      <c r="PSH25" s="28"/>
      <c r="PSI25" s="28"/>
      <c r="PSJ25" s="28"/>
      <c r="PSK25" s="28"/>
      <c r="PSL25" s="28"/>
      <c r="PSM25" s="28"/>
      <c r="PSN25" s="28"/>
      <c r="PSO25" s="28"/>
      <c r="PSP25" s="28"/>
      <c r="PSQ25" s="28"/>
      <c r="PSR25" s="28"/>
      <c r="PSS25" s="28"/>
      <c r="PST25" s="28"/>
      <c r="PSU25" s="28"/>
      <c r="PSV25" s="28"/>
      <c r="PSW25" s="28"/>
      <c r="PSX25" s="28"/>
      <c r="PSY25" s="28"/>
      <c r="PSZ25" s="28"/>
      <c r="PTA25" s="28"/>
      <c r="PTB25" s="28"/>
      <c r="PTC25" s="28"/>
      <c r="PTD25" s="28"/>
      <c r="PTE25" s="28"/>
      <c r="PTF25" s="28"/>
      <c r="PTG25" s="28"/>
      <c r="PTH25" s="28"/>
      <c r="PTI25" s="28"/>
      <c r="PTJ25" s="28"/>
      <c r="PTK25" s="28"/>
      <c r="PTL25" s="28"/>
      <c r="PTM25" s="28"/>
      <c r="PTN25" s="28"/>
      <c r="PTO25" s="28"/>
      <c r="PTP25" s="28"/>
      <c r="PTQ25" s="28"/>
      <c r="PTR25" s="28"/>
      <c r="PTS25" s="28"/>
      <c r="PTT25" s="28"/>
      <c r="PTU25" s="28"/>
      <c r="PTV25" s="28"/>
      <c r="PTW25" s="28"/>
      <c r="PTX25" s="28"/>
      <c r="PTY25" s="28"/>
      <c r="PTZ25" s="28"/>
      <c r="PUA25" s="28"/>
      <c r="PUB25" s="28"/>
      <c r="PUC25" s="28"/>
      <c r="PUD25" s="28"/>
      <c r="PUE25" s="28"/>
      <c r="PUF25" s="28"/>
      <c r="PUG25" s="28"/>
      <c r="PUH25" s="28"/>
      <c r="PUI25" s="28"/>
      <c r="PUJ25" s="28"/>
      <c r="PUK25" s="28"/>
      <c r="PUL25" s="28"/>
      <c r="PUM25" s="28"/>
      <c r="PUN25" s="28"/>
      <c r="PUO25" s="28"/>
      <c r="PUP25" s="28"/>
      <c r="PUQ25" s="28"/>
      <c r="PUR25" s="28"/>
      <c r="PUS25" s="28"/>
      <c r="PUT25" s="28"/>
      <c r="PUU25" s="28"/>
      <c r="PUV25" s="28"/>
      <c r="PUW25" s="28"/>
      <c r="PUX25" s="28"/>
      <c r="PUY25" s="28"/>
      <c r="PUZ25" s="28"/>
      <c r="PVA25" s="28"/>
      <c r="PVB25" s="28"/>
      <c r="PVC25" s="28"/>
      <c r="PVD25" s="28"/>
      <c r="PVE25" s="28"/>
      <c r="PVF25" s="28"/>
      <c r="PVG25" s="28"/>
      <c r="PVH25" s="28"/>
      <c r="PVI25" s="28"/>
      <c r="PVJ25" s="28"/>
      <c r="PVK25" s="28"/>
      <c r="PVL25" s="28"/>
      <c r="PVM25" s="28"/>
      <c r="PVN25" s="28"/>
      <c r="PVO25" s="28"/>
      <c r="PVP25" s="28"/>
      <c r="PVQ25" s="28"/>
      <c r="PVR25" s="28"/>
      <c r="PVS25" s="28"/>
      <c r="PVT25" s="28"/>
      <c r="PVU25" s="28"/>
      <c r="PVV25" s="28"/>
      <c r="PVW25" s="28"/>
      <c r="PVX25" s="28"/>
      <c r="PVY25" s="28"/>
      <c r="PVZ25" s="28"/>
      <c r="PWA25" s="28"/>
      <c r="PWB25" s="28"/>
      <c r="PWC25" s="28"/>
      <c r="PWD25" s="28"/>
      <c r="PWE25" s="28"/>
      <c r="PWF25" s="28"/>
      <c r="PWG25" s="28"/>
      <c r="PWH25" s="28"/>
      <c r="PWI25" s="28"/>
      <c r="PWJ25" s="28"/>
      <c r="PWK25" s="28"/>
      <c r="PWL25" s="28"/>
      <c r="PWM25" s="28"/>
      <c r="PWN25" s="28"/>
      <c r="PWO25" s="28"/>
      <c r="PWP25" s="28"/>
      <c r="PWQ25" s="28"/>
      <c r="PWR25" s="28"/>
      <c r="PWS25" s="28"/>
      <c r="PWT25" s="28"/>
      <c r="PWU25" s="28"/>
      <c r="PWV25" s="28"/>
      <c r="PWW25" s="28"/>
      <c r="PWX25" s="28"/>
      <c r="PWY25" s="28"/>
      <c r="PWZ25" s="28"/>
      <c r="PXA25" s="28"/>
      <c r="PXB25" s="28"/>
      <c r="PXC25" s="28"/>
      <c r="PXD25" s="28"/>
      <c r="PXE25" s="28"/>
      <c r="PXF25" s="28"/>
      <c r="PXG25" s="28"/>
      <c r="PXH25" s="28"/>
      <c r="PXI25" s="28"/>
      <c r="PXJ25" s="28"/>
      <c r="PXK25" s="28"/>
      <c r="PXL25" s="28"/>
      <c r="PXM25" s="28"/>
      <c r="PXN25" s="28"/>
      <c r="PXO25" s="28"/>
      <c r="PXP25" s="28"/>
      <c r="PXQ25" s="28"/>
      <c r="PXR25" s="28"/>
      <c r="PXS25" s="28"/>
      <c r="PXT25" s="28"/>
      <c r="PXU25" s="28"/>
      <c r="PXV25" s="28"/>
      <c r="PXW25" s="28"/>
      <c r="PXX25" s="28"/>
      <c r="PXY25" s="28"/>
      <c r="PXZ25" s="28"/>
      <c r="PYA25" s="28"/>
      <c r="PYB25" s="28"/>
      <c r="PYC25" s="28"/>
      <c r="PYD25" s="28"/>
      <c r="PYE25" s="28"/>
      <c r="PYF25" s="28"/>
      <c r="PYG25" s="28"/>
      <c r="PYH25" s="28"/>
      <c r="PYI25" s="28"/>
      <c r="PYJ25" s="28"/>
      <c r="PYK25" s="28"/>
      <c r="PYL25" s="28"/>
      <c r="PYM25" s="28"/>
      <c r="PYN25" s="28"/>
      <c r="PYO25" s="28"/>
      <c r="PYP25" s="28"/>
      <c r="PYQ25" s="28"/>
      <c r="PYR25" s="28"/>
      <c r="PYS25" s="28"/>
      <c r="PYT25" s="28"/>
      <c r="PYU25" s="28"/>
      <c r="PYV25" s="28"/>
      <c r="PYW25" s="28"/>
      <c r="PYX25" s="28"/>
      <c r="PYY25" s="28"/>
      <c r="PYZ25" s="28"/>
      <c r="PZA25" s="28"/>
      <c r="PZB25" s="28"/>
      <c r="PZC25" s="28"/>
      <c r="PZD25" s="28"/>
      <c r="PZE25" s="28"/>
      <c r="PZF25" s="28"/>
      <c r="PZG25" s="28"/>
      <c r="PZH25" s="28"/>
      <c r="PZI25" s="28"/>
      <c r="PZJ25" s="28"/>
      <c r="PZK25" s="28"/>
      <c r="PZL25" s="28"/>
      <c r="PZM25" s="28"/>
      <c r="PZN25" s="28"/>
      <c r="PZO25" s="28"/>
      <c r="PZP25" s="28"/>
      <c r="PZQ25" s="28"/>
      <c r="PZR25" s="28"/>
      <c r="PZS25" s="28"/>
      <c r="PZT25" s="28"/>
      <c r="PZU25" s="28"/>
      <c r="PZV25" s="28"/>
      <c r="PZW25" s="28"/>
      <c r="PZX25" s="28"/>
      <c r="PZY25" s="28"/>
      <c r="PZZ25" s="28"/>
      <c r="QAA25" s="28"/>
      <c r="QAB25" s="28"/>
      <c r="QAC25" s="28"/>
      <c r="QAD25" s="28"/>
      <c r="QAE25" s="28"/>
      <c r="QAF25" s="28"/>
      <c r="QAG25" s="28"/>
      <c r="QAH25" s="28"/>
      <c r="QAI25" s="28"/>
      <c r="QAJ25" s="28"/>
      <c r="QAK25" s="28"/>
      <c r="QAL25" s="28"/>
      <c r="QAM25" s="28"/>
      <c r="QAN25" s="28"/>
      <c r="QAO25" s="28"/>
      <c r="QAP25" s="28"/>
      <c r="QAQ25" s="28"/>
      <c r="QAR25" s="28"/>
      <c r="QAS25" s="28"/>
      <c r="QAT25" s="28"/>
      <c r="QAU25" s="28"/>
      <c r="QAV25" s="28"/>
      <c r="QAW25" s="28"/>
      <c r="QAX25" s="28"/>
      <c r="QAY25" s="28"/>
      <c r="QAZ25" s="28"/>
      <c r="QBA25" s="28"/>
      <c r="QBB25" s="28"/>
      <c r="QBC25" s="28"/>
      <c r="QBD25" s="28"/>
      <c r="QBE25" s="28"/>
      <c r="QBF25" s="28"/>
      <c r="QBG25" s="28"/>
      <c r="QBH25" s="28"/>
      <c r="QBI25" s="28"/>
      <c r="QBJ25" s="28"/>
      <c r="QBK25" s="28"/>
      <c r="QBL25" s="28"/>
      <c r="QBM25" s="28"/>
      <c r="QBN25" s="28"/>
      <c r="QBO25" s="28"/>
      <c r="QBP25" s="28"/>
      <c r="QBQ25" s="28"/>
      <c r="QBR25" s="28"/>
      <c r="QBS25" s="28"/>
      <c r="QBT25" s="28"/>
      <c r="QBU25" s="28"/>
      <c r="QBV25" s="28"/>
      <c r="QBW25" s="28"/>
      <c r="QBX25" s="28"/>
      <c r="QBY25" s="28"/>
      <c r="QBZ25" s="28"/>
      <c r="QCA25" s="28"/>
      <c r="QCB25" s="28"/>
      <c r="QCC25" s="28"/>
      <c r="QCD25" s="28"/>
      <c r="QCE25" s="28"/>
      <c r="QCF25" s="28"/>
      <c r="QCG25" s="28"/>
      <c r="QCH25" s="28"/>
      <c r="QCI25" s="28"/>
      <c r="QCJ25" s="28"/>
      <c r="QCK25" s="28"/>
      <c r="QCL25" s="28"/>
      <c r="QCM25" s="28"/>
      <c r="QCN25" s="28"/>
      <c r="QCO25" s="28"/>
      <c r="QCP25" s="28"/>
      <c r="QCQ25" s="28"/>
      <c r="QCR25" s="28"/>
      <c r="QCS25" s="28"/>
      <c r="QCT25" s="28"/>
      <c r="QCU25" s="28"/>
      <c r="QCV25" s="28"/>
      <c r="QCW25" s="28"/>
      <c r="QCX25" s="28"/>
      <c r="QCY25" s="28"/>
      <c r="QCZ25" s="28"/>
      <c r="QDA25" s="28"/>
      <c r="QDB25" s="28"/>
      <c r="QDC25" s="28"/>
      <c r="QDD25" s="28"/>
      <c r="QDE25" s="28"/>
      <c r="QDF25" s="28"/>
      <c r="QDG25" s="28"/>
      <c r="QDH25" s="28"/>
      <c r="QDI25" s="28"/>
      <c r="QDJ25" s="28"/>
      <c r="QDK25" s="28"/>
      <c r="QDL25" s="28"/>
      <c r="QDM25" s="28"/>
      <c r="QDN25" s="28"/>
      <c r="QDO25" s="28"/>
      <c r="QDP25" s="28"/>
      <c r="QDQ25" s="28"/>
      <c r="QDR25" s="28"/>
      <c r="QDS25" s="28"/>
      <c r="QDT25" s="28"/>
      <c r="QDU25" s="28"/>
      <c r="QDV25" s="28"/>
      <c r="QDW25" s="28"/>
      <c r="QDX25" s="28"/>
      <c r="QDY25" s="28"/>
      <c r="QDZ25" s="28"/>
      <c r="QEA25" s="28"/>
      <c r="QEB25" s="28"/>
      <c r="QEC25" s="28"/>
      <c r="QED25" s="28"/>
      <c r="QEE25" s="28"/>
      <c r="QEF25" s="28"/>
      <c r="QEG25" s="28"/>
      <c r="QEH25" s="28"/>
      <c r="QEI25" s="28"/>
      <c r="QEJ25" s="28"/>
      <c r="QEK25" s="28"/>
      <c r="QEL25" s="28"/>
      <c r="QEM25" s="28"/>
      <c r="QEN25" s="28"/>
      <c r="QEO25" s="28"/>
      <c r="QEP25" s="28"/>
      <c r="QEQ25" s="28"/>
      <c r="QER25" s="28"/>
      <c r="QES25" s="28"/>
      <c r="QET25" s="28"/>
      <c r="QEU25" s="28"/>
      <c r="QEV25" s="28"/>
      <c r="QEW25" s="28"/>
      <c r="QEX25" s="28"/>
      <c r="QEY25" s="28"/>
      <c r="QEZ25" s="28"/>
      <c r="QFA25" s="28"/>
      <c r="QFB25" s="28"/>
      <c r="QFC25" s="28"/>
      <c r="QFD25" s="28"/>
      <c r="QFE25" s="28"/>
      <c r="QFF25" s="28"/>
      <c r="QFG25" s="28"/>
      <c r="QFH25" s="28"/>
      <c r="QFI25" s="28"/>
      <c r="QFJ25" s="28"/>
      <c r="QFK25" s="28"/>
      <c r="QFL25" s="28"/>
      <c r="QFM25" s="28"/>
      <c r="QFN25" s="28"/>
      <c r="QFO25" s="28"/>
      <c r="QFP25" s="28"/>
      <c r="QFQ25" s="28"/>
      <c r="QFR25" s="28"/>
      <c r="QFS25" s="28"/>
      <c r="QFT25" s="28"/>
      <c r="QFU25" s="28"/>
      <c r="QFV25" s="28"/>
      <c r="QFW25" s="28"/>
      <c r="QFX25" s="28"/>
      <c r="QFY25" s="28"/>
      <c r="QFZ25" s="28"/>
      <c r="QGA25" s="28"/>
      <c r="QGB25" s="28"/>
      <c r="QGC25" s="28"/>
      <c r="QGD25" s="28"/>
      <c r="QGE25" s="28"/>
      <c r="QGF25" s="28"/>
      <c r="QGG25" s="28"/>
      <c r="QGH25" s="28"/>
      <c r="QGI25" s="28"/>
      <c r="QGJ25" s="28"/>
      <c r="QGK25" s="28"/>
      <c r="QGL25" s="28"/>
      <c r="QGM25" s="28"/>
      <c r="QGN25" s="28"/>
      <c r="QGO25" s="28"/>
      <c r="QGP25" s="28"/>
      <c r="QGQ25" s="28"/>
      <c r="QGR25" s="28"/>
      <c r="QGS25" s="28"/>
      <c r="QGT25" s="28"/>
      <c r="QGU25" s="28"/>
      <c r="QGV25" s="28"/>
      <c r="QGW25" s="28"/>
      <c r="QGX25" s="28"/>
      <c r="QGY25" s="28"/>
      <c r="QGZ25" s="28"/>
      <c r="QHA25" s="28"/>
      <c r="QHB25" s="28"/>
      <c r="QHC25" s="28"/>
      <c r="QHD25" s="28"/>
      <c r="QHE25" s="28"/>
      <c r="QHF25" s="28"/>
      <c r="QHG25" s="28"/>
      <c r="QHH25" s="28"/>
      <c r="QHI25" s="28"/>
      <c r="QHJ25" s="28"/>
      <c r="QHK25" s="28"/>
      <c r="QHL25" s="28"/>
      <c r="QHM25" s="28"/>
      <c r="QHN25" s="28"/>
      <c r="QHO25" s="28"/>
      <c r="QHP25" s="28"/>
      <c r="QHQ25" s="28"/>
      <c r="QHR25" s="28"/>
      <c r="QHS25" s="28"/>
      <c r="QHT25" s="28"/>
      <c r="QHU25" s="28"/>
      <c r="QHV25" s="28"/>
      <c r="QHW25" s="28"/>
      <c r="QHX25" s="28"/>
      <c r="QHY25" s="28"/>
      <c r="QHZ25" s="28"/>
      <c r="QIA25" s="28"/>
      <c r="QIB25" s="28"/>
      <c r="QIC25" s="28"/>
      <c r="QID25" s="28"/>
      <c r="QIE25" s="28"/>
      <c r="QIF25" s="28"/>
      <c r="QIG25" s="28"/>
      <c r="QIH25" s="28"/>
      <c r="QII25" s="28"/>
      <c r="QIJ25" s="28"/>
      <c r="QIK25" s="28"/>
      <c r="QIL25" s="28"/>
      <c r="QIM25" s="28"/>
      <c r="QIN25" s="28"/>
      <c r="QIO25" s="28"/>
      <c r="QIP25" s="28"/>
      <c r="QIQ25" s="28"/>
      <c r="QIR25" s="28"/>
      <c r="QIS25" s="28"/>
      <c r="QIT25" s="28"/>
      <c r="QIU25" s="28"/>
      <c r="QIV25" s="28"/>
      <c r="QIW25" s="28"/>
      <c r="QIX25" s="28"/>
      <c r="QIY25" s="28"/>
      <c r="QIZ25" s="28"/>
      <c r="QJA25" s="28"/>
      <c r="QJB25" s="28"/>
      <c r="QJC25" s="28"/>
      <c r="QJD25" s="28"/>
      <c r="QJE25" s="28"/>
      <c r="QJF25" s="28"/>
      <c r="QJG25" s="28"/>
      <c r="QJH25" s="28"/>
      <c r="QJI25" s="28"/>
      <c r="QJJ25" s="28"/>
      <c r="QJK25" s="28"/>
      <c r="QJL25" s="28"/>
      <c r="QJM25" s="28"/>
      <c r="QJN25" s="28"/>
      <c r="QJO25" s="28"/>
      <c r="QJP25" s="28"/>
      <c r="QJQ25" s="28"/>
      <c r="QJR25" s="28"/>
      <c r="QJS25" s="28"/>
      <c r="QJT25" s="28"/>
      <c r="QJU25" s="28"/>
      <c r="QJV25" s="28"/>
      <c r="QJW25" s="28"/>
      <c r="QJX25" s="28"/>
      <c r="QJY25" s="28"/>
      <c r="QJZ25" s="28"/>
      <c r="QKA25" s="28"/>
      <c r="QKB25" s="28"/>
      <c r="QKC25" s="28"/>
      <c r="QKD25" s="28"/>
      <c r="QKE25" s="28"/>
      <c r="QKF25" s="28"/>
      <c r="QKG25" s="28"/>
      <c r="QKH25" s="28"/>
      <c r="QKI25" s="28"/>
      <c r="QKJ25" s="28"/>
      <c r="QKK25" s="28"/>
      <c r="QKL25" s="28"/>
      <c r="QKM25" s="28"/>
      <c r="QKN25" s="28"/>
      <c r="QKO25" s="28"/>
      <c r="QKP25" s="28"/>
      <c r="QKQ25" s="28"/>
      <c r="QKR25" s="28"/>
      <c r="QKS25" s="28"/>
      <c r="QKT25" s="28"/>
      <c r="QKU25" s="28"/>
      <c r="QKV25" s="28"/>
      <c r="QKW25" s="28"/>
      <c r="QKX25" s="28"/>
      <c r="QKY25" s="28"/>
      <c r="QKZ25" s="28"/>
      <c r="QLA25" s="28"/>
      <c r="QLB25" s="28"/>
      <c r="QLC25" s="28"/>
      <c r="QLD25" s="28"/>
      <c r="QLE25" s="28"/>
      <c r="QLF25" s="28"/>
      <c r="QLG25" s="28"/>
      <c r="QLH25" s="28"/>
      <c r="QLI25" s="28"/>
      <c r="QLJ25" s="28"/>
      <c r="QLK25" s="28"/>
      <c r="QLL25" s="28"/>
      <c r="QLM25" s="28"/>
      <c r="QLN25" s="28"/>
      <c r="QLO25" s="28"/>
      <c r="QLP25" s="28"/>
      <c r="QLQ25" s="28"/>
      <c r="QLR25" s="28"/>
      <c r="QLS25" s="28"/>
      <c r="QLT25" s="28"/>
      <c r="QLU25" s="28"/>
      <c r="QLV25" s="28"/>
      <c r="QLW25" s="28"/>
      <c r="QLX25" s="28"/>
      <c r="QLY25" s="28"/>
      <c r="QLZ25" s="28"/>
      <c r="QMA25" s="28"/>
      <c r="QMB25" s="28"/>
      <c r="QMC25" s="28"/>
      <c r="QMD25" s="28"/>
      <c r="QME25" s="28"/>
      <c r="QMF25" s="28"/>
      <c r="QMG25" s="28"/>
      <c r="QMH25" s="28"/>
      <c r="QMI25" s="28"/>
      <c r="QMJ25" s="28"/>
      <c r="QMK25" s="28"/>
      <c r="QML25" s="28"/>
      <c r="QMM25" s="28"/>
      <c r="QMN25" s="28"/>
      <c r="QMO25" s="28"/>
      <c r="QMP25" s="28"/>
      <c r="QMQ25" s="28"/>
      <c r="QMR25" s="28"/>
      <c r="QMS25" s="28"/>
      <c r="QMT25" s="28"/>
      <c r="QMU25" s="28"/>
      <c r="QMV25" s="28"/>
      <c r="QMW25" s="28"/>
      <c r="QMX25" s="28"/>
      <c r="QMY25" s="28"/>
      <c r="QMZ25" s="28"/>
      <c r="QNA25" s="28"/>
      <c r="QNB25" s="28"/>
      <c r="QNC25" s="28"/>
      <c r="QND25" s="28"/>
      <c r="QNE25" s="28"/>
      <c r="QNF25" s="28"/>
      <c r="QNG25" s="28"/>
      <c r="QNH25" s="28"/>
      <c r="QNI25" s="28"/>
      <c r="QNJ25" s="28"/>
      <c r="QNK25" s="28"/>
      <c r="QNL25" s="28"/>
      <c r="QNM25" s="28"/>
      <c r="QNN25" s="28"/>
      <c r="QNO25" s="28"/>
      <c r="QNP25" s="28"/>
      <c r="QNQ25" s="28"/>
      <c r="QNR25" s="28"/>
      <c r="QNS25" s="28"/>
      <c r="QNT25" s="28"/>
      <c r="QNU25" s="28"/>
      <c r="QNV25" s="28"/>
      <c r="QNW25" s="28"/>
      <c r="QNX25" s="28"/>
      <c r="QNY25" s="28"/>
      <c r="QNZ25" s="28"/>
      <c r="QOA25" s="28"/>
      <c r="QOB25" s="28"/>
      <c r="QOC25" s="28"/>
      <c r="QOD25" s="28"/>
      <c r="QOE25" s="28"/>
      <c r="QOF25" s="28"/>
      <c r="QOG25" s="28"/>
      <c r="QOH25" s="28"/>
      <c r="QOI25" s="28"/>
      <c r="QOJ25" s="28"/>
      <c r="QOK25" s="28"/>
      <c r="QOL25" s="28"/>
      <c r="QOM25" s="28"/>
      <c r="QON25" s="28"/>
      <c r="QOO25" s="28"/>
      <c r="QOP25" s="28"/>
      <c r="QOQ25" s="28"/>
      <c r="QOR25" s="28"/>
      <c r="QOS25" s="28"/>
      <c r="QOT25" s="28"/>
      <c r="QOU25" s="28"/>
      <c r="QOV25" s="28"/>
      <c r="QOW25" s="28"/>
      <c r="QOX25" s="28"/>
      <c r="QOY25" s="28"/>
      <c r="QOZ25" s="28"/>
      <c r="QPA25" s="28"/>
      <c r="QPB25" s="28"/>
      <c r="QPC25" s="28"/>
      <c r="QPD25" s="28"/>
      <c r="QPE25" s="28"/>
      <c r="QPF25" s="28"/>
      <c r="QPG25" s="28"/>
      <c r="QPH25" s="28"/>
      <c r="QPI25" s="28"/>
      <c r="QPJ25" s="28"/>
      <c r="QPK25" s="28"/>
      <c r="QPL25" s="28"/>
      <c r="QPM25" s="28"/>
      <c r="QPN25" s="28"/>
      <c r="QPO25" s="28"/>
      <c r="QPP25" s="28"/>
      <c r="QPQ25" s="28"/>
      <c r="QPR25" s="28"/>
      <c r="QPS25" s="28"/>
      <c r="QPT25" s="28"/>
      <c r="QPU25" s="28"/>
      <c r="QPV25" s="28"/>
      <c r="QPW25" s="28"/>
      <c r="QPX25" s="28"/>
      <c r="QPY25" s="28"/>
      <c r="QPZ25" s="28"/>
      <c r="QQA25" s="28"/>
      <c r="QQB25" s="28"/>
      <c r="QQC25" s="28"/>
      <c r="QQD25" s="28"/>
      <c r="QQE25" s="28"/>
      <c r="QQF25" s="28"/>
      <c r="QQG25" s="28"/>
      <c r="QQH25" s="28"/>
      <c r="QQI25" s="28"/>
      <c r="QQJ25" s="28"/>
      <c r="QQK25" s="28"/>
      <c r="QQL25" s="28"/>
      <c r="QQM25" s="28"/>
      <c r="QQN25" s="28"/>
      <c r="QQO25" s="28"/>
      <c r="QQP25" s="28"/>
      <c r="QQQ25" s="28"/>
      <c r="QQR25" s="28"/>
      <c r="QQS25" s="28"/>
      <c r="QQT25" s="28"/>
      <c r="QQU25" s="28"/>
      <c r="QQV25" s="28"/>
      <c r="QQW25" s="28"/>
      <c r="QQX25" s="28"/>
      <c r="QQY25" s="28"/>
      <c r="QQZ25" s="28"/>
      <c r="QRA25" s="28"/>
      <c r="QRB25" s="28"/>
      <c r="QRC25" s="28"/>
      <c r="QRD25" s="28"/>
      <c r="QRE25" s="28"/>
      <c r="QRF25" s="28"/>
      <c r="QRG25" s="28"/>
      <c r="QRH25" s="28"/>
      <c r="QRI25" s="28"/>
      <c r="QRJ25" s="28"/>
      <c r="QRK25" s="28"/>
      <c r="QRL25" s="28"/>
      <c r="QRM25" s="28"/>
      <c r="QRN25" s="28"/>
      <c r="QRO25" s="28"/>
      <c r="QRP25" s="28"/>
      <c r="QRQ25" s="28"/>
      <c r="QRR25" s="28"/>
      <c r="QRS25" s="28"/>
      <c r="QRT25" s="28"/>
      <c r="QRU25" s="28"/>
      <c r="QRV25" s="28"/>
      <c r="QRW25" s="28"/>
      <c r="QRX25" s="28"/>
      <c r="QRY25" s="28"/>
      <c r="QRZ25" s="28"/>
      <c r="QSA25" s="28"/>
      <c r="QSB25" s="28"/>
      <c r="QSC25" s="28"/>
      <c r="QSD25" s="28"/>
      <c r="QSE25" s="28"/>
      <c r="QSF25" s="28"/>
      <c r="QSG25" s="28"/>
      <c r="QSH25" s="28"/>
      <c r="QSI25" s="28"/>
      <c r="QSJ25" s="28"/>
      <c r="QSK25" s="28"/>
      <c r="QSL25" s="28"/>
      <c r="QSM25" s="28"/>
      <c r="QSN25" s="28"/>
      <c r="QSO25" s="28"/>
      <c r="QSP25" s="28"/>
      <c r="QSQ25" s="28"/>
      <c r="QSR25" s="28"/>
      <c r="QSS25" s="28"/>
      <c r="QST25" s="28"/>
      <c r="QSU25" s="28"/>
      <c r="QSV25" s="28"/>
      <c r="QSW25" s="28"/>
      <c r="QSX25" s="28"/>
      <c r="QSY25" s="28"/>
      <c r="QSZ25" s="28"/>
      <c r="QTA25" s="28"/>
      <c r="QTB25" s="28"/>
      <c r="QTC25" s="28"/>
      <c r="QTD25" s="28"/>
      <c r="QTE25" s="28"/>
      <c r="QTF25" s="28"/>
      <c r="QTG25" s="28"/>
      <c r="QTH25" s="28"/>
      <c r="QTI25" s="28"/>
      <c r="QTJ25" s="28"/>
      <c r="QTK25" s="28"/>
      <c r="QTL25" s="28"/>
      <c r="QTM25" s="28"/>
      <c r="QTN25" s="28"/>
      <c r="QTO25" s="28"/>
      <c r="QTP25" s="28"/>
      <c r="QTQ25" s="28"/>
      <c r="QTR25" s="28"/>
      <c r="QTS25" s="28"/>
      <c r="QTT25" s="28"/>
      <c r="QTU25" s="28"/>
      <c r="QTV25" s="28"/>
      <c r="QTW25" s="28"/>
      <c r="QTX25" s="28"/>
      <c r="QTY25" s="28"/>
      <c r="QTZ25" s="28"/>
      <c r="QUA25" s="28"/>
      <c r="QUB25" s="28"/>
      <c r="QUC25" s="28"/>
      <c r="QUD25" s="28"/>
      <c r="QUE25" s="28"/>
      <c r="QUF25" s="28"/>
      <c r="QUG25" s="28"/>
      <c r="QUH25" s="28"/>
      <c r="QUI25" s="28"/>
      <c r="QUJ25" s="28"/>
      <c r="QUK25" s="28"/>
      <c r="QUL25" s="28"/>
      <c r="QUM25" s="28"/>
      <c r="QUN25" s="28"/>
      <c r="QUO25" s="28"/>
      <c r="QUP25" s="28"/>
      <c r="QUQ25" s="28"/>
      <c r="QUR25" s="28"/>
      <c r="QUS25" s="28"/>
      <c r="QUT25" s="28"/>
      <c r="QUU25" s="28"/>
      <c r="QUV25" s="28"/>
      <c r="QUW25" s="28"/>
      <c r="QUX25" s="28"/>
      <c r="QUY25" s="28"/>
      <c r="QUZ25" s="28"/>
      <c r="QVA25" s="28"/>
      <c r="QVB25" s="28"/>
      <c r="QVC25" s="28"/>
      <c r="QVD25" s="28"/>
      <c r="QVE25" s="28"/>
      <c r="QVF25" s="28"/>
      <c r="QVG25" s="28"/>
      <c r="QVH25" s="28"/>
      <c r="QVI25" s="28"/>
      <c r="QVJ25" s="28"/>
      <c r="QVK25" s="28"/>
      <c r="QVL25" s="28"/>
      <c r="QVM25" s="28"/>
      <c r="QVN25" s="28"/>
      <c r="QVO25" s="28"/>
      <c r="QVP25" s="28"/>
      <c r="QVQ25" s="28"/>
      <c r="QVR25" s="28"/>
      <c r="QVS25" s="28"/>
      <c r="QVT25" s="28"/>
      <c r="QVU25" s="28"/>
      <c r="QVV25" s="28"/>
      <c r="QVW25" s="28"/>
      <c r="QVX25" s="28"/>
      <c r="QVY25" s="28"/>
      <c r="QVZ25" s="28"/>
      <c r="QWA25" s="28"/>
      <c r="QWB25" s="28"/>
      <c r="QWC25" s="28"/>
      <c r="QWD25" s="28"/>
      <c r="QWE25" s="28"/>
      <c r="QWF25" s="28"/>
      <c r="QWG25" s="28"/>
      <c r="QWH25" s="28"/>
      <c r="QWI25" s="28"/>
      <c r="QWJ25" s="28"/>
      <c r="QWK25" s="28"/>
      <c r="QWL25" s="28"/>
      <c r="QWM25" s="28"/>
      <c r="QWN25" s="28"/>
      <c r="QWO25" s="28"/>
      <c r="QWP25" s="28"/>
      <c r="QWQ25" s="28"/>
      <c r="QWR25" s="28"/>
      <c r="QWS25" s="28"/>
      <c r="QWT25" s="28"/>
      <c r="QWU25" s="28"/>
      <c r="QWV25" s="28"/>
      <c r="QWW25" s="28"/>
      <c r="QWX25" s="28"/>
      <c r="QWY25" s="28"/>
      <c r="QWZ25" s="28"/>
      <c r="QXA25" s="28"/>
      <c r="QXB25" s="28"/>
      <c r="QXC25" s="28"/>
      <c r="QXD25" s="28"/>
      <c r="QXE25" s="28"/>
      <c r="QXF25" s="28"/>
      <c r="QXG25" s="28"/>
      <c r="QXH25" s="28"/>
      <c r="QXI25" s="28"/>
      <c r="QXJ25" s="28"/>
      <c r="QXK25" s="28"/>
      <c r="QXL25" s="28"/>
      <c r="QXM25" s="28"/>
      <c r="QXN25" s="28"/>
      <c r="QXO25" s="28"/>
      <c r="QXP25" s="28"/>
      <c r="QXQ25" s="28"/>
      <c r="QXR25" s="28"/>
      <c r="QXS25" s="28"/>
      <c r="QXT25" s="28"/>
      <c r="QXU25" s="28"/>
      <c r="QXV25" s="28"/>
      <c r="QXW25" s="28"/>
      <c r="QXX25" s="28"/>
      <c r="QXY25" s="28"/>
      <c r="QXZ25" s="28"/>
      <c r="QYA25" s="28"/>
      <c r="QYB25" s="28"/>
      <c r="QYC25" s="28"/>
      <c r="QYD25" s="28"/>
      <c r="QYE25" s="28"/>
      <c r="QYF25" s="28"/>
      <c r="QYG25" s="28"/>
      <c r="QYH25" s="28"/>
      <c r="QYI25" s="28"/>
      <c r="QYJ25" s="28"/>
      <c r="QYK25" s="28"/>
      <c r="QYL25" s="28"/>
      <c r="QYM25" s="28"/>
      <c r="QYN25" s="28"/>
      <c r="QYO25" s="28"/>
      <c r="QYP25" s="28"/>
      <c r="QYQ25" s="28"/>
      <c r="QYR25" s="28"/>
      <c r="QYS25" s="28"/>
      <c r="QYT25" s="28"/>
      <c r="QYU25" s="28"/>
      <c r="QYV25" s="28"/>
      <c r="QYW25" s="28"/>
      <c r="QYX25" s="28"/>
      <c r="QYY25" s="28"/>
      <c r="QYZ25" s="28"/>
      <c r="QZA25" s="28"/>
      <c r="QZB25" s="28"/>
      <c r="QZC25" s="28"/>
      <c r="QZD25" s="28"/>
      <c r="QZE25" s="28"/>
      <c r="QZF25" s="28"/>
      <c r="QZG25" s="28"/>
      <c r="QZH25" s="28"/>
      <c r="QZI25" s="28"/>
      <c r="QZJ25" s="28"/>
      <c r="QZK25" s="28"/>
      <c r="QZL25" s="28"/>
      <c r="QZM25" s="28"/>
      <c r="QZN25" s="28"/>
      <c r="QZO25" s="28"/>
      <c r="QZP25" s="28"/>
      <c r="QZQ25" s="28"/>
      <c r="QZR25" s="28"/>
      <c r="QZS25" s="28"/>
      <c r="QZT25" s="28"/>
      <c r="QZU25" s="28"/>
      <c r="QZV25" s="28"/>
      <c r="QZW25" s="28"/>
      <c r="QZX25" s="28"/>
      <c r="QZY25" s="28"/>
      <c r="QZZ25" s="28"/>
      <c r="RAA25" s="28"/>
      <c r="RAB25" s="28"/>
      <c r="RAC25" s="28"/>
      <c r="RAD25" s="28"/>
      <c r="RAE25" s="28"/>
      <c r="RAF25" s="28"/>
      <c r="RAG25" s="28"/>
      <c r="RAH25" s="28"/>
      <c r="RAI25" s="28"/>
      <c r="RAJ25" s="28"/>
      <c r="RAK25" s="28"/>
      <c r="RAL25" s="28"/>
      <c r="RAM25" s="28"/>
      <c r="RAN25" s="28"/>
      <c r="RAO25" s="28"/>
      <c r="RAP25" s="28"/>
      <c r="RAQ25" s="28"/>
      <c r="RAR25" s="28"/>
      <c r="RAS25" s="28"/>
      <c r="RAT25" s="28"/>
      <c r="RAU25" s="28"/>
      <c r="RAV25" s="28"/>
      <c r="RAW25" s="28"/>
      <c r="RAX25" s="28"/>
      <c r="RAY25" s="28"/>
      <c r="RAZ25" s="28"/>
      <c r="RBA25" s="28"/>
      <c r="RBB25" s="28"/>
      <c r="RBC25" s="28"/>
      <c r="RBD25" s="28"/>
      <c r="RBE25" s="28"/>
      <c r="RBF25" s="28"/>
      <c r="RBG25" s="28"/>
      <c r="RBH25" s="28"/>
      <c r="RBI25" s="28"/>
      <c r="RBJ25" s="28"/>
      <c r="RBK25" s="28"/>
      <c r="RBL25" s="28"/>
      <c r="RBM25" s="28"/>
      <c r="RBN25" s="28"/>
      <c r="RBO25" s="28"/>
      <c r="RBP25" s="28"/>
      <c r="RBQ25" s="28"/>
      <c r="RBR25" s="28"/>
      <c r="RBS25" s="28"/>
      <c r="RBT25" s="28"/>
      <c r="RBU25" s="28"/>
      <c r="RBV25" s="28"/>
      <c r="RBW25" s="28"/>
      <c r="RBX25" s="28"/>
      <c r="RBY25" s="28"/>
      <c r="RBZ25" s="28"/>
      <c r="RCA25" s="28"/>
      <c r="RCB25" s="28"/>
      <c r="RCC25" s="28"/>
      <c r="RCD25" s="28"/>
      <c r="RCE25" s="28"/>
      <c r="RCF25" s="28"/>
      <c r="RCG25" s="28"/>
      <c r="RCH25" s="28"/>
      <c r="RCI25" s="28"/>
      <c r="RCJ25" s="28"/>
      <c r="RCK25" s="28"/>
      <c r="RCL25" s="28"/>
      <c r="RCM25" s="28"/>
      <c r="RCN25" s="28"/>
      <c r="RCO25" s="28"/>
      <c r="RCP25" s="28"/>
      <c r="RCQ25" s="28"/>
      <c r="RCR25" s="28"/>
      <c r="RCS25" s="28"/>
      <c r="RCT25" s="28"/>
      <c r="RCU25" s="28"/>
      <c r="RCV25" s="28"/>
      <c r="RCW25" s="28"/>
      <c r="RCX25" s="28"/>
      <c r="RCY25" s="28"/>
      <c r="RCZ25" s="28"/>
      <c r="RDA25" s="28"/>
      <c r="RDB25" s="28"/>
      <c r="RDC25" s="28"/>
      <c r="RDD25" s="28"/>
      <c r="RDE25" s="28"/>
      <c r="RDF25" s="28"/>
      <c r="RDG25" s="28"/>
      <c r="RDH25" s="28"/>
      <c r="RDI25" s="28"/>
      <c r="RDJ25" s="28"/>
      <c r="RDK25" s="28"/>
      <c r="RDL25" s="28"/>
      <c r="RDM25" s="28"/>
      <c r="RDN25" s="28"/>
      <c r="RDO25" s="28"/>
      <c r="RDP25" s="28"/>
      <c r="RDQ25" s="28"/>
      <c r="RDR25" s="28"/>
      <c r="RDS25" s="28"/>
      <c r="RDT25" s="28"/>
      <c r="RDU25" s="28"/>
      <c r="RDV25" s="28"/>
      <c r="RDW25" s="28"/>
      <c r="RDX25" s="28"/>
      <c r="RDY25" s="28"/>
      <c r="RDZ25" s="28"/>
      <c r="REA25" s="28"/>
      <c r="REB25" s="28"/>
      <c r="REC25" s="28"/>
      <c r="RED25" s="28"/>
      <c r="REE25" s="28"/>
      <c r="REF25" s="28"/>
      <c r="REG25" s="28"/>
      <c r="REH25" s="28"/>
      <c r="REI25" s="28"/>
      <c r="REJ25" s="28"/>
      <c r="REK25" s="28"/>
      <c r="REL25" s="28"/>
      <c r="REM25" s="28"/>
      <c r="REN25" s="28"/>
      <c r="REO25" s="28"/>
      <c r="REP25" s="28"/>
      <c r="REQ25" s="28"/>
      <c r="RER25" s="28"/>
      <c r="RES25" s="28"/>
      <c r="RET25" s="28"/>
      <c r="REU25" s="28"/>
      <c r="REV25" s="28"/>
      <c r="REW25" s="28"/>
      <c r="REX25" s="28"/>
      <c r="REY25" s="28"/>
      <c r="REZ25" s="28"/>
      <c r="RFA25" s="28"/>
      <c r="RFB25" s="28"/>
      <c r="RFC25" s="28"/>
      <c r="RFD25" s="28"/>
      <c r="RFE25" s="28"/>
      <c r="RFF25" s="28"/>
      <c r="RFG25" s="28"/>
      <c r="RFH25" s="28"/>
      <c r="RFI25" s="28"/>
      <c r="RFJ25" s="28"/>
      <c r="RFK25" s="28"/>
      <c r="RFL25" s="28"/>
      <c r="RFM25" s="28"/>
      <c r="RFN25" s="28"/>
      <c r="RFO25" s="28"/>
      <c r="RFP25" s="28"/>
      <c r="RFQ25" s="28"/>
      <c r="RFR25" s="28"/>
      <c r="RFS25" s="28"/>
      <c r="RFT25" s="28"/>
      <c r="RFU25" s="28"/>
      <c r="RFV25" s="28"/>
      <c r="RFW25" s="28"/>
      <c r="RFX25" s="28"/>
      <c r="RFY25" s="28"/>
      <c r="RFZ25" s="28"/>
      <c r="RGA25" s="28"/>
      <c r="RGB25" s="28"/>
      <c r="RGC25" s="28"/>
      <c r="RGD25" s="28"/>
      <c r="RGE25" s="28"/>
      <c r="RGF25" s="28"/>
      <c r="RGG25" s="28"/>
      <c r="RGH25" s="28"/>
      <c r="RGI25" s="28"/>
      <c r="RGJ25" s="28"/>
      <c r="RGK25" s="28"/>
      <c r="RGL25" s="28"/>
      <c r="RGM25" s="28"/>
      <c r="RGN25" s="28"/>
      <c r="RGO25" s="28"/>
      <c r="RGP25" s="28"/>
      <c r="RGQ25" s="28"/>
      <c r="RGR25" s="28"/>
      <c r="RGS25" s="28"/>
      <c r="RGT25" s="28"/>
      <c r="RGU25" s="28"/>
      <c r="RGV25" s="28"/>
      <c r="RGW25" s="28"/>
      <c r="RGX25" s="28"/>
      <c r="RGY25" s="28"/>
      <c r="RGZ25" s="28"/>
      <c r="RHA25" s="28"/>
      <c r="RHB25" s="28"/>
      <c r="RHC25" s="28"/>
      <c r="RHD25" s="28"/>
      <c r="RHE25" s="28"/>
      <c r="RHF25" s="28"/>
      <c r="RHG25" s="28"/>
      <c r="RHH25" s="28"/>
      <c r="RHI25" s="28"/>
      <c r="RHJ25" s="28"/>
      <c r="RHK25" s="28"/>
      <c r="RHL25" s="28"/>
      <c r="RHM25" s="28"/>
      <c r="RHN25" s="28"/>
      <c r="RHO25" s="28"/>
      <c r="RHP25" s="28"/>
      <c r="RHQ25" s="28"/>
      <c r="RHR25" s="28"/>
      <c r="RHS25" s="28"/>
      <c r="RHT25" s="28"/>
      <c r="RHU25" s="28"/>
      <c r="RHV25" s="28"/>
      <c r="RHW25" s="28"/>
      <c r="RHX25" s="28"/>
      <c r="RHY25" s="28"/>
      <c r="RHZ25" s="28"/>
      <c r="RIA25" s="28"/>
      <c r="RIB25" s="28"/>
      <c r="RIC25" s="28"/>
      <c r="RID25" s="28"/>
      <c r="RIE25" s="28"/>
      <c r="RIF25" s="28"/>
      <c r="RIG25" s="28"/>
      <c r="RIH25" s="28"/>
      <c r="RII25" s="28"/>
      <c r="RIJ25" s="28"/>
      <c r="RIK25" s="28"/>
      <c r="RIL25" s="28"/>
      <c r="RIM25" s="28"/>
      <c r="RIN25" s="28"/>
      <c r="RIO25" s="28"/>
      <c r="RIP25" s="28"/>
      <c r="RIQ25" s="28"/>
      <c r="RIR25" s="28"/>
      <c r="RIS25" s="28"/>
      <c r="RIT25" s="28"/>
      <c r="RIU25" s="28"/>
      <c r="RIV25" s="28"/>
      <c r="RIW25" s="28"/>
      <c r="RIX25" s="28"/>
      <c r="RIY25" s="28"/>
      <c r="RIZ25" s="28"/>
      <c r="RJA25" s="28"/>
      <c r="RJB25" s="28"/>
      <c r="RJC25" s="28"/>
      <c r="RJD25" s="28"/>
      <c r="RJE25" s="28"/>
      <c r="RJF25" s="28"/>
      <c r="RJG25" s="28"/>
      <c r="RJH25" s="28"/>
      <c r="RJI25" s="28"/>
      <c r="RJJ25" s="28"/>
      <c r="RJK25" s="28"/>
      <c r="RJL25" s="28"/>
      <c r="RJM25" s="28"/>
      <c r="RJN25" s="28"/>
      <c r="RJO25" s="28"/>
      <c r="RJP25" s="28"/>
      <c r="RJQ25" s="28"/>
      <c r="RJR25" s="28"/>
      <c r="RJS25" s="28"/>
      <c r="RJT25" s="28"/>
      <c r="RJU25" s="28"/>
      <c r="RJV25" s="28"/>
      <c r="RJW25" s="28"/>
      <c r="RJX25" s="28"/>
      <c r="RJY25" s="28"/>
      <c r="RJZ25" s="28"/>
      <c r="RKA25" s="28"/>
      <c r="RKB25" s="28"/>
      <c r="RKC25" s="28"/>
      <c r="RKD25" s="28"/>
      <c r="RKE25" s="28"/>
      <c r="RKF25" s="28"/>
      <c r="RKG25" s="28"/>
      <c r="RKH25" s="28"/>
      <c r="RKI25" s="28"/>
      <c r="RKJ25" s="28"/>
      <c r="RKK25" s="28"/>
      <c r="RKL25" s="28"/>
      <c r="RKM25" s="28"/>
      <c r="RKN25" s="28"/>
      <c r="RKO25" s="28"/>
      <c r="RKP25" s="28"/>
      <c r="RKQ25" s="28"/>
      <c r="RKR25" s="28"/>
      <c r="RKS25" s="28"/>
      <c r="RKT25" s="28"/>
      <c r="RKU25" s="28"/>
      <c r="RKV25" s="28"/>
      <c r="RKW25" s="28"/>
      <c r="RKX25" s="28"/>
      <c r="RKY25" s="28"/>
      <c r="RKZ25" s="28"/>
      <c r="RLA25" s="28"/>
      <c r="RLB25" s="28"/>
      <c r="RLC25" s="28"/>
      <c r="RLD25" s="28"/>
      <c r="RLE25" s="28"/>
      <c r="RLF25" s="28"/>
      <c r="RLG25" s="28"/>
      <c r="RLH25" s="28"/>
      <c r="RLI25" s="28"/>
      <c r="RLJ25" s="28"/>
      <c r="RLK25" s="28"/>
      <c r="RLL25" s="28"/>
      <c r="RLM25" s="28"/>
      <c r="RLN25" s="28"/>
      <c r="RLO25" s="28"/>
      <c r="RLP25" s="28"/>
      <c r="RLQ25" s="28"/>
      <c r="RLR25" s="28"/>
      <c r="RLS25" s="28"/>
      <c r="RLT25" s="28"/>
      <c r="RLU25" s="28"/>
      <c r="RLV25" s="28"/>
      <c r="RLW25" s="28"/>
      <c r="RLX25" s="28"/>
      <c r="RLY25" s="28"/>
      <c r="RLZ25" s="28"/>
      <c r="RMA25" s="28"/>
      <c r="RMB25" s="28"/>
      <c r="RMC25" s="28"/>
      <c r="RMD25" s="28"/>
      <c r="RME25" s="28"/>
      <c r="RMF25" s="28"/>
      <c r="RMG25" s="28"/>
      <c r="RMH25" s="28"/>
      <c r="RMI25" s="28"/>
      <c r="RMJ25" s="28"/>
      <c r="RMK25" s="28"/>
      <c r="RML25" s="28"/>
      <c r="RMM25" s="28"/>
      <c r="RMN25" s="28"/>
      <c r="RMO25" s="28"/>
      <c r="RMP25" s="28"/>
      <c r="RMQ25" s="28"/>
      <c r="RMR25" s="28"/>
      <c r="RMS25" s="28"/>
      <c r="RMT25" s="28"/>
      <c r="RMU25" s="28"/>
      <c r="RMV25" s="28"/>
      <c r="RMW25" s="28"/>
      <c r="RMX25" s="28"/>
      <c r="RMY25" s="28"/>
      <c r="RMZ25" s="28"/>
      <c r="RNA25" s="28"/>
      <c r="RNB25" s="28"/>
      <c r="RNC25" s="28"/>
      <c r="RND25" s="28"/>
      <c r="RNE25" s="28"/>
      <c r="RNF25" s="28"/>
      <c r="RNG25" s="28"/>
      <c r="RNH25" s="28"/>
      <c r="RNI25" s="28"/>
      <c r="RNJ25" s="28"/>
      <c r="RNK25" s="28"/>
      <c r="RNL25" s="28"/>
      <c r="RNM25" s="28"/>
      <c r="RNN25" s="28"/>
      <c r="RNO25" s="28"/>
      <c r="RNP25" s="28"/>
      <c r="RNQ25" s="28"/>
      <c r="RNR25" s="28"/>
      <c r="RNS25" s="28"/>
      <c r="RNT25" s="28"/>
      <c r="RNU25" s="28"/>
      <c r="RNV25" s="28"/>
      <c r="RNW25" s="28"/>
      <c r="RNX25" s="28"/>
      <c r="RNY25" s="28"/>
      <c r="RNZ25" s="28"/>
      <c r="ROA25" s="28"/>
      <c r="ROB25" s="28"/>
      <c r="ROC25" s="28"/>
      <c r="ROD25" s="28"/>
      <c r="ROE25" s="28"/>
      <c r="ROF25" s="28"/>
      <c r="ROG25" s="28"/>
      <c r="ROH25" s="28"/>
      <c r="ROI25" s="28"/>
      <c r="ROJ25" s="28"/>
      <c r="ROK25" s="28"/>
      <c r="ROL25" s="28"/>
      <c r="ROM25" s="28"/>
      <c r="RON25" s="28"/>
      <c r="ROO25" s="28"/>
      <c r="ROP25" s="28"/>
      <c r="ROQ25" s="28"/>
      <c r="ROR25" s="28"/>
      <c r="ROS25" s="28"/>
      <c r="ROT25" s="28"/>
      <c r="ROU25" s="28"/>
      <c r="ROV25" s="28"/>
      <c r="ROW25" s="28"/>
      <c r="ROX25" s="28"/>
      <c r="ROY25" s="28"/>
      <c r="ROZ25" s="28"/>
      <c r="RPA25" s="28"/>
      <c r="RPB25" s="28"/>
      <c r="RPC25" s="28"/>
      <c r="RPD25" s="28"/>
      <c r="RPE25" s="28"/>
      <c r="RPF25" s="28"/>
      <c r="RPG25" s="28"/>
      <c r="RPH25" s="28"/>
      <c r="RPI25" s="28"/>
      <c r="RPJ25" s="28"/>
      <c r="RPK25" s="28"/>
      <c r="RPL25" s="28"/>
      <c r="RPM25" s="28"/>
      <c r="RPN25" s="28"/>
      <c r="RPO25" s="28"/>
      <c r="RPP25" s="28"/>
      <c r="RPQ25" s="28"/>
      <c r="RPR25" s="28"/>
      <c r="RPS25" s="28"/>
      <c r="RPT25" s="28"/>
      <c r="RPU25" s="28"/>
      <c r="RPV25" s="28"/>
      <c r="RPW25" s="28"/>
      <c r="RPX25" s="28"/>
      <c r="RPY25" s="28"/>
      <c r="RPZ25" s="28"/>
      <c r="RQA25" s="28"/>
      <c r="RQB25" s="28"/>
      <c r="RQC25" s="28"/>
      <c r="RQD25" s="28"/>
      <c r="RQE25" s="28"/>
      <c r="RQF25" s="28"/>
      <c r="RQG25" s="28"/>
      <c r="RQH25" s="28"/>
      <c r="RQI25" s="28"/>
      <c r="RQJ25" s="28"/>
      <c r="RQK25" s="28"/>
      <c r="RQL25" s="28"/>
      <c r="RQM25" s="28"/>
      <c r="RQN25" s="28"/>
      <c r="RQO25" s="28"/>
      <c r="RQP25" s="28"/>
      <c r="RQQ25" s="28"/>
      <c r="RQR25" s="28"/>
      <c r="RQS25" s="28"/>
      <c r="RQT25" s="28"/>
      <c r="RQU25" s="28"/>
      <c r="RQV25" s="28"/>
      <c r="RQW25" s="28"/>
      <c r="RQX25" s="28"/>
      <c r="RQY25" s="28"/>
      <c r="RQZ25" s="28"/>
      <c r="RRA25" s="28"/>
      <c r="RRB25" s="28"/>
      <c r="RRC25" s="28"/>
      <c r="RRD25" s="28"/>
      <c r="RRE25" s="28"/>
      <c r="RRF25" s="28"/>
      <c r="RRG25" s="28"/>
      <c r="RRH25" s="28"/>
      <c r="RRI25" s="28"/>
      <c r="RRJ25" s="28"/>
      <c r="RRK25" s="28"/>
      <c r="RRL25" s="28"/>
      <c r="RRM25" s="28"/>
      <c r="RRN25" s="28"/>
      <c r="RRO25" s="28"/>
      <c r="RRP25" s="28"/>
      <c r="RRQ25" s="28"/>
      <c r="RRR25" s="28"/>
      <c r="RRS25" s="28"/>
      <c r="RRT25" s="28"/>
      <c r="RRU25" s="28"/>
      <c r="RRV25" s="28"/>
      <c r="RRW25" s="28"/>
      <c r="RRX25" s="28"/>
      <c r="RRY25" s="28"/>
      <c r="RRZ25" s="28"/>
      <c r="RSA25" s="28"/>
      <c r="RSB25" s="28"/>
      <c r="RSC25" s="28"/>
      <c r="RSD25" s="28"/>
      <c r="RSE25" s="28"/>
      <c r="RSF25" s="28"/>
      <c r="RSG25" s="28"/>
      <c r="RSH25" s="28"/>
      <c r="RSI25" s="28"/>
      <c r="RSJ25" s="28"/>
      <c r="RSK25" s="28"/>
      <c r="RSL25" s="28"/>
      <c r="RSM25" s="28"/>
      <c r="RSN25" s="28"/>
      <c r="RSO25" s="28"/>
      <c r="RSP25" s="28"/>
      <c r="RSQ25" s="28"/>
      <c r="RSR25" s="28"/>
      <c r="RSS25" s="28"/>
      <c r="RST25" s="28"/>
      <c r="RSU25" s="28"/>
      <c r="RSV25" s="28"/>
      <c r="RSW25" s="28"/>
      <c r="RSX25" s="28"/>
      <c r="RSY25" s="28"/>
      <c r="RSZ25" s="28"/>
      <c r="RTA25" s="28"/>
      <c r="RTB25" s="28"/>
      <c r="RTC25" s="28"/>
      <c r="RTD25" s="28"/>
      <c r="RTE25" s="28"/>
      <c r="RTF25" s="28"/>
      <c r="RTG25" s="28"/>
      <c r="RTH25" s="28"/>
      <c r="RTI25" s="28"/>
      <c r="RTJ25" s="28"/>
      <c r="RTK25" s="28"/>
      <c r="RTL25" s="28"/>
      <c r="RTM25" s="28"/>
      <c r="RTN25" s="28"/>
      <c r="RTO25" s="28"/>
      <c r="RTP25" s="28"/>
      <c r="RTQ25" s="28"/>
      <c r="RTR25" s="28"/>
      <c r="RTS25" s="28"/>
      <c r="RTT25" s="28"/>
      <c r="RTU25" s="28"/>
      <c r="RTV25" s="28"/>
      <c r="RTW25" s="28"/>
      <c r="RTX25" s="28"/>
      <c r="RTY25" s="28"/>
      <c r="RTZ25" s="28"/>
      <c r="RUA25" s="28"/>
      <c r="RUB25" s="28"/>
      <c r="RUC25" s="28"/>
      <c r="RUD25" s="28"/>
      <c r="RUE25" s="28"/>
      <c r="RUF25" s="28"/>
      <c r="RUG25" s="28"/>
      <c r="RUH25" s="28"/>
      <c r="RUI25" s="28"/>
      <c r="RUJ25" s="28"/>
      <c r="RUK25" s="28"/>
      <c r="RUL25" s="28"/>
      <c r="RUM25" s="28"/>
      <c r="RUN25" s="28"/>
      <c r="RUO25" s="28"/>
      <c r="RUP25" s="28"/>
      <c r="RUQ25" s="28"/>
      <c r="RUR25" s="28"/>
      <c r="RUS25" s="28"/>
      <c r="RUT25" s="28"/>
      <c r="RUU25" s="28"/>
      <c r="RUV25" s="28"/>
      <c r="RUW25" s="28"/>
      <c r="RUX25" s="28"/>
      <c r="RUY25" s="28"/>
      <c r="RUZ25" s="28"/>
      <c r="RVA25" s="28"/>
      <c r="RVB25" s="28"/>
      <c r="RVC25" s="28"/>
      <c r="RVD25" s="28"/>
      <c r="RVE25" s="28"/>
      <c r="RVF25" s="28"/>
      <c r="RVG25" s="28"/>
      <c r="RVH25" s="28"/>
      <c r="RVI25" s="28"/>
      <c r="RVJ25" s="28"/>
      <c r="RVK25" s="28"/>
      <c r="RVL25" s="28"/>
      <c r="RVM25" s="28"/>
      <c r="RVN25" s="28"/>
      <c r="RVO25" s="28"/>
      <c r="RVP25" s="28"/>
      <c r="RVQ25" s="28"/>
      <c r="RVR25" s="28"/>
      <c r="RVS25" s="28"/>
      <c r="RVT25" s="28"/>
      <c r="RVU25" s="28"/>
      <c r="RVV25" s="28"/>
      <c r="RVW25" s="28"/>
      <c r="RVX25" s="28"/>
      <c r="RVY25" s="28"/>
      <c r="RVZ25" s="28"/>
      <c r="RWA25" s="28"/>
      <c r="RWB25" s="28"/>
      <c r="RWC25" s="28"/>
      <c r="RWD25" s="28"/>
      <c r="RWE25" s="28"/>
      <c r="RWF25" s="28"/>
      <c r="RWG25" s="28"/>
      <c r="RWH25" s="28"/>
      <c r="RWI25" s="28"/>
      <c r="RWJ25" s="28"/>
      <c r="RWK25" s="28"/>
      <c r="RWL25" s="28"/>
      <c r="RWM25" s="28"/>
      <c r="RWN25" s="28"/>
      <c r="RWO25" s="28"/>
      <c r="RWP25" s="28"/>
      <c r="RWQ25" s="28"/>
      <c r="RWR25" s="28"/>
      <c r="RWS25" s="28"/>
      <c r="RWT25" s="28"/>
      <c r="RWU25" s="28"/>
      <c r="RWV25" s="28"/>
      <c r="RWW25" s="28"/>
      <c r="RWX25" s="28"/>
      <c r="RWY25" s="28"/>
      <c r="RWZ25" s="28"/>
      <c r="RXA25" s="28"/>
      <c r="RXB25" s="28"/>
      <c r="RXC25" s="28"/>
      <c r="RXD25" s="28"/>
      <c r="RXE25" s="28"/>
      <c r="RXF25" s="28"/>
      <c r="RXG25" s="28"/>
      <c r="RXH25" s="28"/>
      <c r="RXI25" s="28"/>
      <c r="RXJ25" s="28"/>
      <c r="RXK25" s="28"/>
      <c r="RXL25" s="28"/>
      <c r="RXM25" s="28"/>
      <c r="RXN25" s="28"/>
      <c r="RXO25" s="28"/>
      <c r="RXP25" s="28"/>
      <c r="RXQ25" s="28"/>
      <c r="RXR25" s="28"/>
      <c r="RXS25" s="28"/>
      <c r="RXT25" s="28"/>
      <c r="RXU25" s="28"/>
      <c r="RXV25" s="28"/>
      <c r="RXW25" s="28"/>
      <c r="RXX25" s="28"/>
      <c r="RXY25" s="28"/>
      <c r="RXZ25" s="28"/>
      <c r="RYA25" s="28"/>
      <c r="RYB25" s="28"/>
      <c r="RYC25" s="28"/>
      <c r="RYD25" s="28"/>
      <c r="RYE25" s="28"/>
      <c r="RYF25" s="28"/>
      <c r="RYG25" s="28"/>
      <c r="RYH25" s="28"/>
      <c r="RYI25" s="28"/>
      <c r="RYJ25" s="28"/>
      <c r="RYK25" s="28"/>
      <c r="RYL25" s="28"/>
      <c r="RYM25" s="28"/>
      <c r="RYN25" s="28"/>
      <c r="RYO25" s="28"/>
      <c r="RYP25" s="28"/>
      <c r="RYQ25" s="28"/>
      <c r="RYR25" s="28"/>
      <c r="RYS25" s="28"/>
      <c r="RYT25" s="28"/>
      <c r="RYU25" s="28"/>
      <c r="RYV25" s="28"/>
      <c r="RYW25" s="28"/>
      <c r="RYX25" s="28"/>
      <c r="RYY25" s="28"/>
      <c r="RYZ25" s="28"/>
      <c r="RZA25" s="28"/>
      <c r="RZB25" s="28"/>
      <c r="RZC25" s="28"/>
      <c r="RZD25" s="28"/>
      <c r="RZE25" s="28"/>
      <c r="RZF25" s="28"/>
      <c r="RZG25" s="28"/>
      <c r="RZH25" s="28"/>
      <c r="RZI25" s="28"/>
      <c r="RZJ25" s="28"/>
      <c r="RZK25" s="28"/>
      <c r="RZL25" s="28"/>
      <c r="RZM25" s="28"/>
      <c r="RZN25" s="28"/>
      <c r="RZO25" s="28"/>
      <c r="RZP25" s="28"/>
      <c r="RZQ25" s="28"/>
      <c r="RZR25" s="28"/>
      <c r="RZS25" s="28"/>
      <c r="RZT25" s="28"/>
      <c r="RZU25" s="28"/>
      <c r="RZV25" s="28"/>
      <c r="RZW25" s="28"/>
      <c r="RZX25" s="28"/>
      <c r="RZY25" s="28"/>
      <c r="RZZ25" s="28"/>
      <c r="SAA25" s="28"/>
      <c r="SAB25" s="28"/>
      <c r="SAC25" s="28"/>
      <c r="SAD25" s="28"/>
      <c r="SAE25" s="28"/>
      <c r="SAF25" s="28"/>
      <c r="SAG25" s="28"/>
      <c r="SAH25" s="28"/>
      <c r="SAI25" s="28"/>
      <c r="SAJ25" s="28"/>
      <c r="SAK25" s="28"/>
      <c r="SAL25" s="28"/>
      <c r="SAM25" s="28"/>
      <c r="SAN25" s="28"/>
      <c r="SAO25" s="28"/>
      <c r="SAP25" s="28"/>
      <c r="SAQ25" s="28"/>
      <c r="SAR25" s="28"/>
      <c r="SAS25" s="28"/>
      <c r="SAT25" s="28"/>
      <c r="SAU25" s="28"/>
      <c r="SAV25" s="28"/>
      <c r="SAW25" s="28"/>
      <c r="SAX25" s="28"/>
      <c r="SAY25" s="28"/>
      <c r="SAZ25" s="28"/>
      <c r="SBA25" s="28"/>
      <c r="SBB25" s="28"/>
      <c r="SBC25" s="28"/>
      <c r="SBD25" s="28"/>
      <c r="SBE25" s="28"/>
      <c r="SBF25" s="28"/>
      <c r="SBG25" s="28"/>
      <c r="SBH25" s="28"/>
      <c r="SBI25" s="28"/>
      <c r="SBJ25" s="28"/>
      <c r="SBK25" s="28"/>
      <c r="SBL25" s="28"/>
      <c r="SBM25" s="28"/>
      <c r="SBN25" s="28"/>
      <c r="SBO25" s="28"/>
      <c r="SBP25" s="28"/>
      <c r="SBQ25" s="28"/>
      <c r="SBR25" s="28"/>
      <c r="SBS25" s="28"/>
      <c r="SBT25" s="28"/>
      <c r="SBU25" s="28"/>
      <c r="SBV25" s="28"/>
      <c r="SBW25" s="28"/>
      <c r="SBX25" s="28"/>
      <c r="SBY25" s="28"/>
      <c r="SBZ25" s="28"/>
      <c r="SCA25" s="28"/>
      <c r="SCB25" s="28"/>
      <c r="SCC25" s="28"/>
      <c r="SCD25" s="28"/>
      <c r="SCE25" s="28"/>
      <c r="SCF25" s="28"/>
      <c r="SCG25" s="28"/>
      <c r="SCH25" s="28"/>
      <c r="SCI25" s="28"/>
      <c r="SCJ25" s="28"/>
      <c r="SCK25" s="28"/>
      <c r="SCL25" s="28"/>
      <c r="SCM25" s="28"/>
      <c r="SCN25" s="28"/>
      <c r="SCO25" s="28"/>
      <c r="SCP25" s="28"/>
      <c r="SCQ25" s="28"/>
      <c r="SCR25" s="28"/>
      <c r="SCS25" s="28"/>
      <c r="SCT25" s="28"/>
      <c r="SCU25" s="28"/>
      <c r="SCV25" s="28"/>
      <c r="SCW25" s="28"/>
      <c r="SCX25" s="28"/>
      <c r="SCY25" s="28"/>
      <c r="SCZ25" s="28"/>
      <c r="SDA25" s="28"/>
      <c r="SDB25" s="28"/>
      <c r="SDC25" s="28"/>
      <c r="SDD25" s="28"/>
      <c r="SDE25" s="28"/>
      <c r="SDF25" s="28"/>
      <c r="SDG25" s="28"/>
      <c r="SDH25" s="28"/>
      <c r="SDI25" s="28"/>
      <c r="SDJ25" s="28"/>
      <c r="SDK25" s="28"/>
      <c r="SDL25" s="28"/>
      <c r="SDM25" s="28"/>
      <c r="SDN25" s="28"/>
      <c r="SDO25" s="28"/>
      <c r="SDP25" s="28"/>
      <c r="SDQ25" s="28"/>
      <c r="SDR25" s="28"/>
      <c r="SDS25" s="28"/>
      <c r="SDT25" s="28"/>
      <c r="SDU25" s="28"/>
      <c r="SDV25" s="28"/>
      <c r="SDW25" s="28"/>
      <c r="SDX25" s="28"/>
      <c r="SDY25" s="28"/>
      <c r="SDZ25" s="28"/>
      <c r="SEA25" s="28"/>
      <c r="SEB25" s="28"/>
      <c r="SEC25" s="28"/>
      <c r="SED25" s="28"/>
      <c r="SEE25" s="28"/>
      <c r="SEF25" s="28"/>
      <c r="SEG25" s="28"/>
      <c r="SEH25" s="28"/>
      <c r="SEI25" s="28"/>
      <c r="SEJ25" s="28"/>
      <c r="SEK25" s="28"/>
      <c r="SEL25" s="28"/>
      <c r="SEM25" s="28"/>
      <c r="SEN25" s="28"/>
      <c r="SEO25" s="28"/>
      <c r="SEP25" s="28"/>
      <c r="SEQ25" s="28"/>
      <c r="SER25" s="28"/>
      <c r="SES25" s="28"/>
      <c r="SET25" s="28"/>
      <c r="SEU25" s="28"/>
      <c r="SEV25" s="28"/>
      <c r="SEW25" s="28"/>
      <c r="SEX25" s="28"/>
      <c r="SEY25" s="28"/>
      <c r="SEZ25" s="28"/>
      <c r="SFA25" s="28"/>
      <c r="SFB25" s="28"/>
      <c r="SFC25" s="28"/>
      <c r="SFD25" s="28"/>
      <c r="SFE25" s="28"/>
      <c r="SFF25" s="28"/>
      <c r="SFG25" s="28"/>
      <c r="SFH25" s="28"/>
      <c r="SFI25" s="28"/>
      <c r="SFJ25" s="28"/>
      <c r="SFK25" s="28"/>
      <c r="SFL25" s="28"/>
      <c r="SFM25" s="28"/>
      <c r="SFN25" s="28"/>
      <c r="SFO25" s="28"/>
      <c r="SFP25" s="28"/>
      <c r="SFQ25" s="28"/>
      <c r="SFR25" s="28"/>
      <c r="SFS25" s="28"/>
      <c r="SFT25" s="28"/>
      <c r="SFU25" s="28"/>
      <c r="SFV25" s="28"/>
      <c r="SFW25" s="28"/>
      <c r="SFX25" s="28"/>
      <c r="SFY25" s="28"/>
      <c r="SFZ25" s="28"/>
      <c r="SGA25" s="28"/>
      <c r="SGB25" s="28"/>
      <c r="SGC25" s="28"/>
      <c r="SGD25" s="28"/>
      <c r="SGE25" s="28"/>
      <c r="SGF25" s="28"/>
      <c r="SGG25" s="28"/>
      <c r="SGH25" s="28"/>
      <c r="SGI25" s="28"/>
      <c r="SGJ25" s="28"/>
      <c r="SGK25" s="28"/>
      <c r="SGL25" s="28"/>
      <c r="SGM25" s="28"/>
      <c r="SGN25" s="28"/>
      <c r="SGO25" s="28"/>
      <c r="SGP25" s="28"/>
      <c r="SGQ25" s="28"/>
      <c r="SGR25" s="28"/>
      <c r="SGS25" s="28"/>
      <c r="SGT25" s="28"/>
      <c r="SGU25" s="28"/>
      <c r="SGV25" s="28"/>
      <c r="SGW25" s="28"/>
      <c r="SGX25" s="28"/>
      <c r="SGY25" s="28"/>
      <c r="SGZ25" s="28"/>
      <c r="SHA25" s="28"/>
      <c r="SHB25" s="28"/>
      <c r="SHC25" s="28"/>
      <c r="SHD25" s="28"/>
      <c r="SHE25" s="28"/>
      <c r="SHF25" s="28"/>
      <c r="SHG25" s="28"/>
      <c r="SHH25" s="28"/>
      <c r="SHI25" s="28"/>
      <c r="SHJ25" s="28"/>
      <c r="SHK25" s="28"/>
      <c r="SHL25" s="28"/>
      <c r="SHM25" s="28"/>
      <c r="SHN25" s="28"/>
      <c r="SHO25" s="28"/>
      <c r="SHP25" s="28"/>
      <c r="SHQ25" s="28"/>
      <c r="SHR25" s="28"/>
      <c r="SHS25" s="28"/>
      <c r="SHT25" s="28"/>
      <c r="SHU25" s="28"/>
      <c r="SHV25" s="28"/>
      <c r="SHW25" s="28"/>
      <c r="SHX25" s="28"/>
      <c r="SHY25" s="28"/>
      <c r="SHZ25" s="28"/>
      <c r="SIA25" s="28"/>
      <c r="SIB25" s="28"/>
      <c r="SIC25" s="28"/>
      <c r="SID25" s="28"/>
      <c r="SIE25" s="28"/>
      <c r="SIF25" s="28"/>
      <c r="SIG25" s="28"/>
      <c r="SIH25" s="28"/>
      <c r="SII25" s="28"/>
      <c r="SIJ25" s="28"/>
      <c r="SIK25" s="28"/>
      <c r="SIL25" s="28"/>
      <c r="SIM25" s="28"/>
      <c r="SIN25" s="28"/>
      <c r="SIO25" s="28"/>
      <c r="SIP25" s="28"/>
      <c r="SIQ25" s="28"/>
      <c r="SIR25" s="28"/>
      <c r="SIS25" s="28"/>
      <c r="SIT25" s="28"/>
      <c r="SIU25" s="28"/>
      <c r="SIV25" s="28"/>
      <c r="SIW25" s="28"/>
      <c r="SIX25" s="28"/>
      <c r="SIY25" s="28"/>
      <c r="SIZ25" s="28"/>
      <c r="SJA25" s="28"/>
      <c r="SJB25" s="28"/>
      <c r="SJC25" s="28"/>
      <c r="SJD25" s="28"/>
      <c r="SJE25" s="28"/>
      <c r="SJF25" s="28"/>
      <c r="SJG25" s="28"/>
      <c r="SJH25" s="28"/>
      <c r="SJI25" s="28"/>
      <c r="SJJ25" s="28"/>
      <c r="SJK25" s="28"/>
      <c r="SJL25" s="28"/>
      <c r="SJM25" s="28"/>
      <c r="SJN25" s="28"/>
      <c r="SJO25" s="28"/>
      <c r="SJP25" s="28"/>
      <c r="SJQ25" s="28"/>
      <c r="SJR25" s="28"/>
      <c r="SJS25" s="28"/>
      <c r="SJT25" s="28"/>
      <c r="SJU25" s="28"/>
      <c r="SJV25" s="28"/>
      <c r="SJW25" s="28"/>
      <c r="SJX25" s="28"/>
      <c r="SJY25" s="28"/>
      <c r="SJZ25" s="28"/>
      <c r="SKA25" s="28"/>
      <c r="SKB25" s="28"/>
      <c r="SKC25" s="28"/>
      <c r="SKD25" s="28"/>
      <c r="SKE25" s="28"/>
      <c r="SKF25" s="28"/>
      <c r="SKG25" s="28"/>
      <c r="SKH25" s="28"/>
      <c r="SKI25" s="28"/>
      <c r="SKJ25" s="28"/>
      <c r="SKK25" s="28"/>
      <c r="SKL25" s="28"/>
      <c r="SKM25" s="28"/>
      <c r="SKN25" s="28"/>
      <c r="SKO25" s="28"/>
      <c r="SKP25" s="28"/>
      <c r="SKQ25" s="28"/>
      <c r="SKR25" s="28"/>
      <c r="SKS25" s="28"/>
      <c r="SKT25" s="28"/>
      <c r="SKU25" s="28"/>
      <c r="SKV25" s="28"/>
      <c r="SKW25" s="28"/>
      <c r="SKX25" s="28"/>
      <c r="SKY25" s="28"/>
      <c r="SKZ25" s="28"/>
      <c r="SLA25" s="28"/>
      <c r="SLB25" s="28"/>
      <c r="SLC25" s="28"/>
      <c r="SLD25" s="28"/>
      <c r="SLE25" s="28"/>
      <c r="SLF25" s="28"/>
      <c r="SLG25" s="28"/>
      <c r="SLH25" s="28"/>
      <c r="SLI25" s="28"/>
      <c r="SLJ25" s="28"/>
      <c r="SLK25" s="28"/>
      <c r="SLL25" s="28"/>
      <c r="SLM25" s="28"/>
      <c r="SLN25" s="28"/>
      <c r="SLO25" s="28"/>
      <c r="SLP25" s="28"/>
      <c r="SLQ25" s="28"/>
      <c r="SLR25" s="28"/>
      <c r="SLS25" s="28"/>
      <c r="SLT25" s="28"/>
      <c r="SLU25" s="28"/>
      <c r="SLV25" s="28"/>
      <c r="SLW25" s="28"/>
      <c r="SLX25" s="28"/>
      <c r="SLY25" s="28"/>
      <c r="SLZ25" s="28"/>
      <c r="SMA25" s="28"/>
      <c r="SMB25" s="28"/>
      <c r="SMC25" s="28"/>
      <c r="SMD25" s="28"/>
      <c r="SME25" s="28"/>
      <c r="SMF25" s="28"/>
      <c r="SMG25" s="28"/>
      <c r="SMH25" s="28"/>
      <c r="SMI25" s="28"/>
      <c r="SMJ25" s="28"/>
      <c r="SMK25" s="28"/>
      <c r="SML25" s="28"/>
      <c r="SMM25" s="28"/>
      <c r="SMN25" s="28"/>
      <c r="SMO25" s="28"/>
      <c r="SMP25" s="28"/>
      <c r="SMQ25" s="28"/>
      <c r="SMR25" s="28"/>
      <c r="SMS25" s="28"/>
      <c r="SMT25" s="28"/>
      <c r="SMU25" s="28"/>
      <c r="SMV25" s="28"/>
      <c r="SMW25" s="28"/>
      <c r="SMX25" s="28"/>
      <c r="SMY25" s="28"/>
      <c r="SMZ25" s="28"/>
      <c r="SNA25" s="28"/>
      <c r="SNB25" s="28"/>
      <c r="SNC25" s="28"/>
      <c r="SND25" s="28"/>
      <c r="SNE25" s="28"/>
      <c r="SNF25" s="28"/>
      <c r="SNG25" s="28"/>
      <c r="SNH25" s="28"/>
      <c r="SNI25" s="28"/>
      <c r="SNJ25" s="28"/>
      <c r="SNK25" s="28"/>
      <c r="SNL25" s="28"/>
      <c r="SNM25" s="28"/>
      <c r="SNN25" s="28"/>
      <c r="SNO25" s="28"/>
      <c r="SNP25" s="28"/>
      <c r="SNQ25" s="28"/>
      <c r="SNR25" s="28"/>
      <c r="SNS25" s="28"/>
      <c r="SNT25" s="28"/>
      <c r="SNU25" s="28"/>
      <c r="SNV25" s="28"/>
      <c r="SNW25" s="28"/>
      <c r="SNX25" s="28"/>
      <c r="SNY25" s="28"/>
      <c r="SNZ25" s="28"/>
      <c r="SOA25" s="28"/>
      <c r="SOB25" s="28"/>
      <c r="SOC25" s="28"/>
      <c r="SOD25" s="28"/>
      <c r="SOE25" s="28"/>
      <c r="SOF25" s="28"/>
      <c r="SOG25" s="28"/>
      <c r="SOH25" s="28"/>
      <c r="SOI25" s="28"/>
      <c r="SOJ25" s="28"/>
      <c r="SOK25" s="28"/>
      <c r="SOL25" s="28"/>
      <c r="SOM25" s="28"/>
      <c r="SON25" s="28"/>
      <c r="SOO25" s="28"/>
      <c r="SOP25" s="28"/>
      <c r="SOQ25" s="28"/>
      <c r="SOR25" s="28"/>
      <c r="SOS25" s="28"/>
      <c r="SOT25" s="28"/>
      <c r="SOU25" s="28"/>
      <c r="SOV25" s="28"/>
      <c r="SOW25" s="28"/>
      <c r="SOX25" s="28"/>
      <c r="SOY25" s="28"/>
      <c r="SOZ25" s="28"/>
      <c r="SPA25" s="28"/>
      <c r="SPB25" s="28"/>
      <c r="SPC25" s="28"/>
      <c r="SPD25" s="28"/>
      <c r="SPE25" s="28"/>
      <c r="SPF25" s="28"/>
      <c r="SPG25" s="28"/>
      <c r="SPH25" s="28"/>
      <c r="SPI25" s="28"/>
      <c r="SPJ25" s="28"/>
      <c r="SPK25" s="28"/>
      <c r="SPL25" s="28"/>
      <c r="SPM25" s="28"/>
      <c r="SPN25" s="28"/>
      <c r="SPO25" s="28"/>
      <c r="SPP25" s="28"/>
      <c r="SPQ25" s="28"/>
      <c r="SPR25" s="28"/>
      <c r="SPS25" s="28"/>
      <c r="SPT25" s="28"/>
      <c r="SPU25" s="28"/>
      <c r="SPV25" s="28"/>
      <c r="SPW25" s="28"/>
      <c r="SPX25" s="28"/>
      <c r="SPY25" s="28"/>
      <c r="SPZ25" s="28"/>
      <c r="SQA25" s="28"/>
      <c r="SQB25" s="28"/>
      <c r="SQC25" s="28"/>
      <c r="SQD25" s="28"/>
      <c r="SQE25" s="28"/>
      <c r="SQF25" s="28"/>
      <c r="SQG25" s="28"/>
      <c r="SQH25" s="28"/>
      <c r="SQI25" s="28"/>
      <c r="SQJ25" s="28"/>
      <c r="SQK25" s="28"/>
      <c r="SQL25" s="28"/>
      <c r="SQM25" s="28"/>
      <c r="SQN25" s="28"/>
      <c r="SQO25" s="28"/>
      <c r="SQP25" s="28"/>
      <c r="SQQ25" s="28"/>
      <c r="SQR25" s="28"/>
      <c r="SQS25" s="28"/>
      <c r="SQT25" s="28"/>
      <c r="SQU25" s="28"/>
      <c r="SQV25" s="28"/>
      <c r="SQW25" s="28"/>
      <c r="SQX25" s="28"/>
      <c r="SQY25" s="28"/>
      <c r="SQZ25" s="28"/>
      <c r="SRA25" s="28"/>
      <c r="SRB25" s="28"/>
      <c r="SRC25" s="28"/>
      <c r="SRD25" s="28"/>
      <c r="SRE25" s="28"/>
      <c r="SRF25" s="28"/>
      <c r="SRG25" s="28"/>
      <c r="SRH25" s="28"/>
      <c r="SRI25" s="28"/>
      <c r="SRJ25" s="28"/>
      <c r="SRK25" s="28"/>
      <c r="SRL25" s="28"/>
      <c r="SRM25" s="28"/>
      <c r="SRN25" s="28"/>
      <c r="SRO25" s="28"/>
      <c r="SRP25" s="28"/>
      <c r="SRQ25" s="28"/>
      <c r="SRR25" s="28"/>
      <c r="SRS25" s="28"/>
      <c r="SRT25" s="28"/>
      <c r="SRU25" s="28"/>
      <c r="SRV25" s="28"/>
      <c r="SRW25" s="28"/>
      <c r="SRX25" s="28"/>
      <c r="SRY25" s="28"/>
      <c r="SRZ25" s="28"/>
      <c r="SSA25" s="28"/>
      <c r="SSB25" s="28"/>
      <c r="SSC25" s="28"/>
      <c r="SSD25" s="28"/>
      <c r="SSE25" s="28"/>
      <c r="SSF25" s="28"/>
      <c r="SSG25" s="28"/>
      <c r="SSH25" s="28"/>
      <c r="SSI25" s="28"/>
      <c r="SSJ25" s="28"/>
      <c r="SSK25" s="28"/>
      <c r="SSL25" s="28"/>
      <c r="SSM25" s="28"/>
      <c r="SSN25" s="28"/>
      <c r="SSO25" s="28"/>
      <c r="SSP25" s="28"/>
      <c r="SSQ25" s="28"/>
      <c r="SSR25" s="28"/>
      <c r="SSS25" s="28"/>
      <c r="SST25" s="28"/>
      <c r="SSU25" s="28"/>
      <c r="SSV25" s="28"/>
      <c r="SSW25" s="28"/>
      <c r="SSX25" s="28"/>
      <c r="SSY25" s="28"/>
      <c r="SSZ25" s="28"/>
      <c r="STA25" s="28"/>
      <c r="STB25" s="28"/>
      <c r="STC25" s="28"/>
      <c r="STD25" s="28"/>
      <c r="STE25" s="28"/>
      <c r="STF25" s="28"/>
      <c r="STG25" s="28"/>
      <c r="STH25" s="28"/>
      <c r="STI25" s="28"/>
      <c r="STJ25" s="28"/>
      <c r="STK25" s="28"/>
      <c r="STL25" s="28"/>
      <c r="STM25" s="28"/>
      <c r="STN25" s="28"/>
      <c r="STO25" s="28"/>
      <c r="STP25" s="28"/>
      <c r="STQ25" s="28"/>
      <c r="STR25" s="28"/>
      <c r="STS25" s="28"/>
      <c r="STT25" s="28"/>
      <c r="STU25" s="28"/>
      <c r="STV25" s="28"/>
      <c r="STW25" s="28"/>
      <c r="STX25" s="28"/>
      <c r="STY25" s="28"/>
      <c r="STZ25" s="28"/>
      <c r="SUA25" s="28"/>
      <c r="SUB25" s="28"/>
      <c r="SUC25" s="28"/>
      <c r="SUD25" s="28"/>
      <c r="SUE25" s="28"/>
      <c r="SUF25" s="28"/>
      <c r="SUG25" s="28"/>
      <c r="SUH25" s="28"/>
      <c r="SUI25" s="28"/>
      <c r="SUJ25" s="28"/>
      <c r="SUK25" s="28"/>
      <c r="SUL25" s="28"/>
      <c r="SUM25" s="28"/>
      <c r="SUN25" s="28"/>
      <c r="SUO25" s="28"/>
      <c r="SUP25" s="28"/>
      <c r="SUQ25" s="28"/>
      <c r="SUR25" s="28"/>
      <c r="SUS25" s="28"/>
      <c r="SUT25" s="28"/>
      <c r="SUU25" s="28"/>
      <c r="SUV25" s="28"/>
      <c r="SUW25" s="28"/>
      <c r="SUX25" s="28"/>
      <c r="SUY25" s="28"/>
      <c r="SUZ25" s="28"/>
      <c r="SVA25" s="28"/>
      <c r="SVB25" s="28"/>
      <c r="SVC25" s="28"/>
      <c r="SVD25" s="28"/>
      <c r="SVE25" s="28"/>
      <c r="SVF25" s="28"/>
      <c r="SVG25" s="28"/>
      <c r="SVH25" s="28"/>
      <c r="SVI25" s="28"/>
      <c r="SVJ25" s="28"/>
      <c r="SVK25" s="28"/>
      <c r="SVL25" s="28"/>
      <c r="SVM25" s="28"/>
      <c r="SVN25" s="28"/>
      <c r="SVO25" s="28"/>
      <c r="SVP25" s="28"/>
      <c r="SVQ25" s="28"/>
      <c r="SVR25" s="28"/>
      <c r="SVS25" s="28"/>
      <c r="SVT25" s="28"/>
      <c r="SVU25" s="28"/>
      <c r="SVV25" s="28"/>
      <c r="SVW25" s="28"/>
      <c r="SVX25" s="28"/>
      <c r="SVY25" s="28"/>
      <c r="SVZ25" s="28"/>
      <c r="SWA25" s="28"/>
      <c r="SWB25" s="28"/>
      <c r="SWC25" s="28"/>
      <c r="SWD25" s="28"/>
      <c r="SWE25" s="28"/>
      <c r="SWF25" s="28"/>
      <c r="SWG25" s="28"/>
      <c r="SWH25" s="28"/>
      <c r="SWI25" s="28"/>
      <c r="SWJ25" s="28"/>
      <c r="SWK25" s="28"/>
      <c r="SWL25" s="28"/>
      <c r="SWM25" s="28"/>
      <c r="SWN25" s="28"/>
      <c r="SWO25" s="28"/>
      <c r="SWP25" s="28"/>
      <c r="SWQ25" s="28"/>
      <c r="SWR25" s="28"/>
      <c r="SWS25" s="28"/>
      <c r="SWT25" s="28"/>
      <c r="SWU25" s="28"/>
      <c r="SWV25" s="28"/>
      <c r="SWW25" s="28"/>
      <c r="SWX25" s="28"/>
      <c r="SWY25" s="28"/>
      <c r="SWZ25" s="28"/>
      <c r="SXA25" s="28"/>
      <c r="SXB25" s="28"/>
      <c r="SXC25" s="28"/>
      <c r="SXD25" s="28"/>
      <c r="SXE25" s="28"/>
      <c r="SXF25" s="28"/>
      <c r="SXG25" s="28"/>
      <c r="SXH25" s="28"/>
      <c r="SXI25" s="28"/>
      <c r="SXJ25" s="28"/>
      <c r="SXK25" s="28"/>
      <c r="SXL25" s="28"/>
      <c r="SXM25" s="28"/>
      <c r="SXN25" s="28"/>
      <c r="SXO25" s="28"/>
      <c r="SXP25" s="28"/>
      <c r="SXQ25" s="28"/>
      <c r="SXR25" s="28"/>
      <c r="SXS25" s="28"/>
      <c r="SXT25" s="28"/>
      <c r="SXU25" s="28"/>
      <c r="SXV25" s="28"/>
      <c r="SXW25" s="28"/>
      <c r="SXX25" s="28"/>
      <c r="SXY25" s="28"/>
      <c r="SXZ25" s="28"/>
      <c r="SYA25" s="28"/>
      <c r="SYB25" s="28"/>
      <c r="SYC25" s="28"/>
      <c r="SYD25" s="28"/>
      <c r="SYE25" s="28"/>
      <c r="SYF25" s="28"/>
      <c r="SYG25" s="28"/>
      <c r="SYH25" s="28"/>
      <c r="SYI25" s="28"/>
      <c r="SYJ25" s="28"/>
      <c r="SYK25" s="28"/>
      <c r="SYL25" s="28"/>
      <c r="SYM25" s="28"/>
      <c r="SYN25" s="28"/>
      <c r="SYO25" s="28"/>
      <c r="SYP25" s="28"/>
      <c r="SYQ25" s="28"/>
      <c r="SYR25" s="28"/>
      <c r="SYS25" s="28"/>
      <c r="SYT25" s="28"/>
      <c r="SYU25" s="28"/>
      <c r="SYV25" s="28"/>
      <c r="SYW25" s="28"/>
      <c r="SYX25" s="28"/>
      <c r="SYY25" s="28"/>
      <c r="SYZ25" s="28"/>
      <c r="SZA25" s="28"/>
      <c r="SZB25" s="28"/>
      <c r="SZC25" s="28"/>
      <c r="SZD25" s="28"/>
      <c r="SZE25" s="28"/>
      <c r="SZF25" s="28"/>
      <c r="SZG25" s="28"/>
      <c r="SZH25" s="28"/>
      <c r="SZI25" s="28"/>
      <c r="SZJ25" s="28"/>
      <c r="SZK25" s="28"/>
      <c r="SZL25" s="28"/>
      <c r="SZM25" s="28"/>
      <c r="SZN25" s="28"/>
      <c r="SZO25" s="28"/>
      <c r="SZP25" s="28"/>
      <c r="SZQ25" s="28"/>
      <c r="SZR25" s="28"/>
      <c r="SZS25" s="28"/>
      <c r="SZT25" s="28"/>
      <c r="SZU25" s="28"/>
      <c r="SZV25" s="28"/>
      <c r="SZW25" s="28"/>
      <c r="SZX25" s="28"/>
      <c r="SZY25" s="28"/>
      <c r="SZZ25" s="28"/>
      <c r="TAA25" s="28"/>
      <c r="TAB25" s="28"/>
      <c r="TAC25" s="28"/>
      <c r="TAD25" s="28"/>
      <c r="TAE25" s="28"/>
      <c r="TAF25" s="28"/>
      <c r="TAG25" s="28"/>
      <c r="TAH25" s="28"/>
      <c r="TAI25" s="28"/>
      <c r="TAJ25" s="28"/>
      <c r="TAK25" s="28"/>
      <c r="TAL25" s="28"/>
      <c r="TAM25" s="28"/>
      <c r="TAN25" s="28"/>
      <c r="TAO25" s="28"/>
      <c r="TAP25" s="28"/>
      <c r="TAQ25" s="28"/>
      <c r="TAR25" s="28"/>
      <c r="TAS25" s="28"/>
      <c r="TAT25" s="28"/>
      <c r="TAU25" s="28"/>
      <c r="TAV25" s="28"/>
      <c r="TAW25" s="28"/>
      <c r="TAX25" s="28"/>
      <c r="TAY25" s="28"/>
      <c r="TAZ25" s="28"/>
      <c r="TBA25" s="28"/>
      <c r="TBB25" s="28"/>
      <c r="TBC25" s="28"/>
      <c r="TBD25" s="28"/>
      <c r="TBE25" s="28"/>
      <c r="TBF25" s="28"/>
      <c r="TBG25" s="28"/>
      <c r="TBH25" s="28"/>
      <c r="TBI25" s="28"/>
      <c r="TBJ25" s="28"/>
      <c r="TBK25" s="28"/>
      <c r="TBL25" s="28"/>
      <c r="TBM25" s="28"/>
      <c r="TBN25" s="28"/>
      <c r="TBO25" s="28"/>
      <c r="TBP25" s="28"/>
      <c r="TBQ25" s="28"/>
      <c r="TBR25" s="28"/>
      <c r="TBS25" s="28"/>
      <c r="TBT25" s="28"/>
      <c r="TBU25" s="28"/>
      <c r="TBV25" s="28"/>
      <c r="TBW25" s="28"/>
      <c r="TBX25" s="28"/>
      <c r="TBY25" s="28"/>
      <c r="TBZ25" s="28"/>
      <c r="TCA25" s="28"/>
      <c r="TCB25" s="28"/>
      <c r="TCC25" s="28"/>
      <c r="TCD25" s="28"/>
      <c r="TCE25" s="28"/>
      <c r="TCF25" s="28"/>
      <c r="TCG25" s="28"/>
      <c r="TCH25" s="28"/>
      <c r="TCI25" s="28"/>
      <c r="TCJ25" s="28"/>
      <c r="TCK25" s="28"/>
      <c r="TCL25" s="28"/>
      <c r="TCM25" s="28"/>
      <c r="TCN25" s="28"/>
      <c r="TCO25" s="28"/>
      <c r="TCP25" s="28"/>
      <c r="TCQ25" s="28"/>
      <c r="TCR25" s="28"/>
      <c r="TCS25" s="28"/>
      <c r="TCT25" s="28"/>
      <c r="TCU25" s="28"/>
      <c r="TCV25" s="28"/>
      <c r="TCW25" s="28"/>
      <c r="TCX25" s="28"/>
      <c r="TCY25" s="28"/>
      <c r="TCZ25" s="28"/>
      <c r="TDA25" s="28"/>
      <c r="TDB25" s="28"/>
      <c r="TDC25" s="28"/>
      <c r="TDD25" s="28"/>
      <c r="TDE25" s="28"/>
      <c r="TDF25" s="28"/>
      <c r="TDG25" s="28"/>
      <c r="TDH25" s="28"/>
      <c r="TDI25" s="28"/>
      <c r="TDJ25" s="28"/>
      <c r="TDK25" s="28"/>
      <c r="TDL25" s="28"/>
      <c r="TDM25" s="28"/>
      <c r="TDN25" s="28"/>
      <c r="TDO25" s="28"/>
      <c r="TDP25" s="28"/>
      <c r="TDQ25" s="28"/>
      <c r="TDR25" s="28"/>
      <c r="TDS25" s="28"/>
      <c r="TDT25" s="28"/>
      <c r="TDU25" s="28"/>
      <c r="TDV25" s="28"/>
      <c r="TDW25" s="28"/>
      <c r="TDX25" s="28"/>
      <c r="TDY25" s="28"/>
      <c r="TDZ25" s="28"/>
      <c r="TEA25" s="28"/>
      <c r="TEB25" s="28"/>
      <c r="TEC25" s="28"/>
      <c r="TED25" s="28"/>
      <c r="TEE25" s="28"/>
      <c r="TEF25" s="28"/>
      <c r="TEG25" s="28"/>
      <c r="TEH25" s="28"/>
      <c r="TEI25" s="28"/>
      <c r="TEJ25" s="28"/>
      <c r="TEK25" s="28"/>
      <c r="TEL25" s="28"/>
      <c r="TEM25" s="28"/>
      <c r="TEN25" s="28"/>
      <c r="TEO25" s="28"/>
      <c r="TEP25" s="28"/>
      <c r="TEQ25" s="28"/>
      <c r="TER25" s="28"/>
      <c r="TES25" s="28"/>
      <c r="TET25" s="28"/>
      <c r="TEU25" s="28"/>
      <c r="TEV25" s="28"/>
      <c r="TEW25" s="28"/>
      <c r="TEX25" s="28"/>
      <c r="TEY25" s="28"/>
      <c r="TEZ25" s="28"/>
      <c r="TFA25" s="28"/>
      <c r="TFB25" s="28"/>
      <c r="TFC25" s="28"/>
      <c r="TFD25" s="28"/>
      <c r="TFE25" s="28"/>
      <c r="TFF25" s="28"/>
      <c r="TFG25" s="28"/>
      <c r="TFH25" s="28"/>
      <c r="TFI25" s="28"/>
      <c r="TFJ25" s="28"/>
      <c r="TFK25" s="28"/>
      <c r="TFL25" s="28"/>
      <c r="TFM25" s="28"/>
      <c r="TFN25" s="28"/>
      <c r="TFO25" s="28"/>
      <c r="TFP25" s="28"/>
      <c r="TFQ25" s="28"/>
      <c r="TFR25" s="28"/>
      <c r="TFS25" s="28"/>
      <c r="TFT25" s="28"/>
      <c r="TFU25" s="28"/>
      <c r="TFV25" s="28"/>
      <c r="TFW25" s="28"/>
      <c r="TFX25" s="28"/>
      <c r="TFY25" s="28"/>
      <c r="TFZ25" s="28"/>
      <c r="TGA25" s="28"/>
      <c r="TGB25" s="28"/>
      <c r="TGC25" s="28"/>
      <c r="TGD25" s="28"/>
      <c r="TGE25" s="28"/>
      <c r="TGF25" s="28"/>
      <c r="TGG25" s="28"/>
      <c r="TGH25" s="28"/>
      <c r="TGI25" s="28"/>
      <c r="TGJ25" s="28"/>
      <c r="TGK25" s="28"/>
      <c r="TGL25" s="28"/>
      <c r="TGM25" s="28"/>
      <c r="TGN25" s="28"/>
      <c r="TGO25" s="28"/>
      <c r="TGP25" s="28"/>
      <c r="TGQ25" s="28"/>
      <c r="TGR25" s="28"/>
      <c r="TGS25" s="28"/>
      <c r="TGT25" s="28"/>
      <c r="TGU25" s="28"/>
      <c r="TGV25" s="28"/>
      <c r="TGW25" s="28"/>
      <c r="TGX25" s="28"/>
      <c r="TGY25" s="28"/>
      <c r="TGZ25" s="28"/>
      <c r="THA25" s="28"/>
      <c r="THB25" s="28"/>
      <c r="THC25" s="28"/>
      <c r="THD25" s="28"/>
      <c r="THE25" s="28"/>
      <c r="THF25" s="28"/>
      <c r="THG25" s="28"/>
      <c r="THH25" s="28"/>
      <c r="THI25" s="28"/>
      <c r="THJ25" s="28"/>
      <c r="THK25" s="28"/>
      <c r="THL25" s="28"/>
      <c r="THM25" s="28"/>
      <c r="THN25" s="28"/>
      <c r="THO25" s="28"/>
      <c r="THP25" s="28"/>
      <c r="THQ25" s="28"/>
      <c r="THR25" s="28"/>
      <c r="THS25" s="28"/>
      <c r="THT25" s="28"/>
      <c r="THU25" s="28"/>
      <c r="THV25" s="28"/>
      <c r="THW25" s="28"/>
      <c r="THX25" s="28"/>
      <c r="THY25" s="28"/>
      <c r="THZ25" s="28"/>
      <c r="TIA25" s="28"/>
      <c r="TIB25" s="28"/>
      <c r="TIC25" s="28"/>
      <c r="TID25" s="28"/>
      <c r="TIE25" s="28"/>
      <c r="TIF25" s="28"/>
      <c r="TIG25" s="28"/>
      <c r="TIH25" s="28"/>
      <c r="TII25" s="28"/>
      <c r="TIJ25" s="28"/>
      <c r="TIK25" s="28"/>
      <c r="TIL25" s="28"/>
      <c r="TIM25" s="28"/>
      <c r="TIN25" s="28"/>
      <c r="TIO25" s="28"/>
      <c r="TIP25" s="28"/>
      <c r="TIQ25" s="28"/>
      <c r="TIR25" s="28"/>
      <c r="TIS25" s="28"/>
      <c r="TIT25" s="28"/>
      <c r="TIU25" s="28"/>
      <c r="TIV25" s="28"/>
      <c r="TIW25" s="28"/>
      <c r="TIX25" s="28"/>
      <c r="TIY25" s="28"/>
      <c r="TIZ25" s="28"/>
      <c r="TJA25" s="28"/>
      <c r="TJB25" s="28"/>
      <c r="TJC25" s="28"/>
      <c r="TJD25" s="28"/>
      <c r="TJE25" s="28"/>
      <c r="TJF25" s="28"/>
      <c r="TJG25" s="28"/>
      <c r="TJH25" s="28"/>
      <c r="TJI25" s="28"/>
      <c r="TJJ25" s="28"/>
      <c r="TJK25" s="28"/>
      <c r="TJL25" s="28"/>
      <c r="TJM25" s="28"/>
      <c r="TJN25" s="28"/>
      <c r="TJO25" s="28"/>
      <c r="TJP25" s="28"/>
      <c r="TJQ25" s="28"/>
      <c r="TJR25" s="28"/>
      <c r="TJS25" s="28"/>
      <c r="TJT25" s="28"/>
      <c r="TJU25" s="28"/>
      <c r="TJV25" s="28"/>
      <c r="TJW25" s="28"/>
      <c r="TJX25" s="28"/>
      <c r="TJY25" s="28"/>
      <c r="TJZ25" s="28"/>
      <c r="TKA25" s="28"/>
      <c r="TKB25" s="28"/>
      <c r="TKC25" s="28"/>
      <c r="TKD25" s="28"/>
      <c r="TKE25" s="28"/>
      <c r="TKF25" s="28"/>
      <c r="TKG25" s="28"/>
      <c r="TKH25" s="28"/>
      <c r="TKI25" s="28"/>
      <c r="TKJ25" s="28"/>
      <c r="TKK25" s="28"/>
      <c r="TKL25" s="28"/>
      <c r="TKM25" s="28"/>
      <c r="TKN25" s="28"/>
      <c r="TKO25" s="28"/>
      <c r="TKP25" s="28"/>
      <c r="TKQ25" s="28"/>
      <c r="TKR25" s="28"/>
      <c r="TKS25" s="28"/>
      <c r="TKT25" s="28"/>
      <c r="TKU25" s="28"/>
      <c r="TKV25" s="28"/>
      <c r="TKW25" s="28"/>
      <c r="TKX25" s="28"/>
      <c r="TKY25" s="28"/>
      <c r="TKZ25" s="28"/>
      <c r="TLA25" s="28"/>
      <c r="TLB25" s="28"/>
      <c r="TLC25" s="28"/>
      <c r="TLD25" s="28"/>
      <c r="TLE25" s="28"/>
      <c r="TLF25" s="28"/>
      <c r="TLG25" s="28"/>
      <c r="TLH25" s="28"/>
      <c r="TLI25" s="28"/>
      <c r="TLJ25" s="28"/>
      <c r="TLK25" s="28"/>
      <c r="TLL25" s="28"/>
      <c r="TLM25" s="28"/>
      <c r="TLN25" s="28"/>
      <c r="TLO25" s="28"/>
      <c r="TLP25" s="28"/>
      <c r="TLQ25" s="28"/>
      <c r="TLR25" s="28"/>
      <c r="TLS25" s="28"/>
      <c r="TLT25" s="28"/>
      <c r="TLU25" s="28"/>
      <c r="TLV25" s="28"/>
      <c r="TLW25" s="28"/>
      <c r="TLX25" s="28"/>
      <c r="TLY25" s="28"/>
      <c r="TLZ25" s="28"/>
      <c r="TMA25" s="28"/>
      <c r="TMB25" s="28"/>
      <c r="TMC25" s="28"/>
      <c r="TMD25" s="28"/>
      <c r="TME25" s="28"/>
      <c r="TMF25" s="28"/>
      <c r="TMG25" s="28"/>
      <c r="TMH25" s="28"/>
      <c r="TMI25" s="28"/>
      <c r="TMJ25" s="28"/>
      <c r="TMK25" s="28"/>
      <c r="TML25" s="28"/>
      <c r="TMM25" s="28"/>
      <c r="TMN25" s="28"/>
      <c r="TMO25" s="28"/>
      <c r="TMP25" s="28"/>
      <c r="TMQ25" s="28"/>
      <c r="TMR25" s="28"/>
      <c r="TMS25" s="28"/>
      <c r="TMT25" s="28"/>
      <c r="TMU25" s="28"/>
      <c r="TMV25" s="28"/>
      <c r="TMW25" s="28"/>
      <c r="TMX25" s="28"/>
      <c r="TMY25" s="28"/>
      <c r="TMZ25" s="28"/>
      <c r="TNA25" s="28"/>
      <c r="TNB25" s="28"/>
      <c r="TNC25" s="28"/>
      <c r="TND25" s="28"/>
      <c r="TNE25" s="28"/>
      <c r="TNF25" s="28"/>
      <c r="TNG25" s="28"/>
      <c r="TNH25" s="28"/>
      <c r="TNI25" s="28"/>
      <c r="TNJ25" s="28"/>
      <c r="TNK25" s="28"/>
      <c r="TNL25" s="28"/>
      <c r="TNM25" s="28"/>
      <c r="TNN25" s="28"/>
      <c r="TNO25" s="28"/>
      <c r="TNP25" s="28"/>
      <c r="TNQ25" s="28"/>
      <c r="TNR25" s="28"/>
      <c r="TNS25" s="28"/>
      <c r="TNT25" s="28"/>
      <c r="TNU25" s="28"/>
      <c r="TNV25" s="28"/>
      <c r="TNW25" s="28"/>
      <c r="TNX25" s="28"/>
      <c r="TNY25" s="28"/>
      <c r="TNZ25" s="28"/>
      <c r="TOA25" s="28"/>
      <c r="TOB25" s="28"/>
      <c r="TOC25" s="28"/>
      <c r="TOD25" s="28"/>
      <c r="TOE25" s="28"/>
      <c r="TOF25" s="28"/>
      <c r="TOG25" s="28"/>
      <c r="TOH25" s="28"/>
      <c r="TOI25" s="28"/>
      <c r="TOJ25" s="28"/>
      <c r="TOK25" s="28"/>
      <c r="TOL25" s="28"/>
      <c r="TOM25" s="28"/>
      <c r="TON25" s="28"/>
      <c r="TOO25" s="28"/>
      <c r="TOP25" s="28"/>
      <c r="TOQ25" s="28"/>
      <c r="TOR25" s="28"/>
      <c r="TOS25" s="28"/>
      <c r="TOT25" s="28"/>
      <c r="TOU25" s="28"/>
      <c r="TOV25" s="28"/>
      <c r="TOW25" s="28"/>
      <c r="TOX25" s="28"/>
      <c r="TOY25" s="28"/>
      <c r="TOZ25" s="28"/>
      <c r="TPA25" s="28"/>
      <c r="TPB25" s="28"/>
      <c r="TPC25" s="28"/>
      <c r="TPD25" s="28"/>
      <c r="TPE25" s="28"/>
      <c r="TPF25" s="28"/>
      <c r="TPG25" s="28"/>
      <c r="TPH25" s="28"/>
      <c r="TPI25" s="28"/>
      <c r="TPJ25" s="28"/>
      <c r="TPK25" s="28"/>
      <c r="TPL25" s="28"/>
      <c r="TPM25" s="28"/>
      <c r="TPN25" s="28"/>
      <c r="TPO25" s="28"/>
      <c r="TPP25" s="28"/>
      <c r="TPQ25" s="28"/>
      <c r="TPR25" s="28"/>
      <c r="TPS25" s="28"/>
      <c r="TPT25" s="28"/>
      <c r="TPU25" s="28"/>
      <c r="TPV25" s="28"/>
      <c r="TPW25" s="28"/>
      <c r="TPX25" s="28"/>
      <c r="TPY25" s="28"/>
      <c r="TPZ25" s="28"/>
      <c r="TQA25" s="28"/>
      <c r="TQB25" s="28"/>
      <c r="TQC25" s="28"/>
      <c r="TQD25" s="28"/>
      <c r="TQE25" s="28"/>
      <c r="TQF25" s="28"/>
      <c r="TQG25" s="28"/>
      <c r="TQH25" s="28"/>
      <c r="TQI25" s="28"/>
      <c r="TQJ25" s="28"/>
      <c r="TQK25" s="28"/>
      <c r="TQL25" s="28"/>
      <c r="TQM25" s="28"/>
      <c r="TQN25" s="28"/>
      <c r="TQO25" s="28"/>
      <c r="TQP25" s="28"/>
      <c r="TQQ25" s="28"/>
      <c r="TQR25" s="28"/>
      <c r="TQS25" s="28"/>
      <c r="TQT25" s="28"/>
      <c r="TQU25" s="28"/>
      <c r="TQV25" s="28"/>
      <c r="TQW25" s="28"/>
      <c r="TQX25" s="28"/>
      <c r="TQY25" s="28"/>
      <c r="TQZ25" s="28"/>
      <c r="TRA25" s="28"/>
      <c r="TRB25" s="28"/>
      <c r="TRC25" s="28"/>
      <c r="TRD25" s="28"/>
      <c r="TRE25" s="28"/>
      <c r="TRF25" s="28"/>
      <c r="TRG25" s="28"/>
      <c r="TRH25" s="28"/>
      <c r="TRI25" s="28"/>
      <c r="TRJ25" s="28"/>
      <c r="TRK25" s="28"/>
      <c r="TRL25" s="28"/>
      <c r="TRM25" s="28"/>
      <c r="TRN25" s="28"/>
      <c r="TRO25" s="28"/>
      <c r="TRP25" s="28"/>
      <c r="TRQ25" s="28"/>
      <c r="TRR25" s="28"/>
      <c r="TRS25" s="28"/>
      <c r="TRT25" s="28"/>
      <c r="TRU25" s="28"/>
      <c r="TRV25" s="28"/>
      <c r="TRW25" s="28"/>
      <c r="TRX25" s="28"/>
      <c r="TRY25" s="28"/>
      <c r="TRZ25" s="28"/>
      <c r="TSA25" s="28"/>
      <c r="TSB25" s="28"/>
      <c r="TSC25" s="28"/>
      <c r="TSD25" s="28"/>
      <c r="TSE25" s="28"/>
      <c r="TSF25" s="28"/>
      <c r="TSG25" s="28"/>
      <c r="TSH25" s="28"/>
      <c r="TSI25" s="28"/>
      <c r="TSJ25" s="28"/>
      <c r="TSK25" s="28"/>
      <c r="TSL25" s="28"/>
      <c r="TSM25" s="28"/>
      <c r="TSN25" s="28"/>
      <c r="TSO25" s="28"/>
      <c r="TSP25" s="28"/>
      <c r="TSQ25" s="28"/>
      <c r="TSR25" s="28"/>
      <c r="TSS25" s="28"/>
      <c r="TST25" s="28"/>
      <c r="TSU25" s="28"/>
      <c r="TSV25" s="28"/>
      <c r="TSW25" s="28"/>
      <c r="TSX25" s="28"/>
      <c r="TSY25" s="28"/>
      <c r="TSZ25" s="28"/>
      <c r="TTA25" s="28"/>
      <c r="TTB25" s="28"/>
      <c r="TTC25" s="28"/>
      <c r="TTD25" s="28"/>
      <c r="TTE25" s="28"/>
      <c r="TTF25" s="28"/>
      <c r="TTG25" s="28"/>
      <c r="TTH25" s="28"/>
      <c r="TTI25" s="28"/>
      <c r="TTJ25" s="28"/>
      <c r="TTK25" s="28"/>
      <c r="TTL25" s="28"/>
      <c r="TTM25" s="28"/>
      <c r="TTN25" s="28"/>
      <c r="TTO25" s="28"/>
      <c r="TTP25" s="28"/>
      <c r="TTQ25" s="28"/>
      <c r="TTR25" s="28"/>
      <c r="TTS25" s="28"/>
      <c r="TTT25" s="28"/>
      <c r="TTU25" s="28"/>
      <c r="TTV25" s="28"/>
      <c r="TTW25" s="28"/>
      <c r="TTX25" s="28"/>
      <c r="TTY25" s="28"/>
      <c r="TTZ25" s="28"/>
      <c r="TUA25" s="28"/>
      <c r="TUB25" s="28"/>
      <c r="TUC25" s="28"/>
      <c r="TUD25" s="28"/>
      <c r="TUE25" s="28"/>
      <c r="TUF25" s="28"/>
      <c r="TUG25" s="28"/>
      <c r="TUH25" s="28"/>
      <c r="TUI25" s="28"/>
      <c r="TUJ25" s="28"/>
      <c r="TUK25" s="28"/>
      <c r="TUL25" s="28"/>
      <c r="TUM25" s="28"/>
      <c r="TUN25" s="28"/>
      <c r="TUO25" s="28"/>
      <c r="TUP25" s="28"/>
      <c r="TUQ25" s="28"/>
      <c r="TUR25" s="28"/>
      <c r="TUS25" s="28"/>
      <c r="TUT25" s="28"/>
      <c r="TUU25" s="28"/>
      <c r="TUV25" s="28"/>
      <c r="TUW25" s="28"/>
      <c r="TUX25" s="28"/>
      <c r="TUY25" s="28"/>
      <c r="TUZ25" s="28"/>
      <c r="TVA25" s="28"/>
      <c r="TVB25" s="28"/>
      <c r="TVC25" s="28"/>
      <c r="TVD25" s="28"/>
      <c r="TVE25" s="28"/>
      <c r="TVF25" s="28"/>
      <c r="TVG25" s="28"/>
      <c r="TVH25" s="28"/>
      <c r="TVI25" s="28"/>
      <c r="TVJ25" s="28"/>
      <c r="TVK25" s="28"/>
      <c r="TVL25" s="28"/>
      <c r="TVM25" s="28"/>
      <c r="TVN25" s="28"/>
      <c r="TVO25" s="28"/>
      <c r="TVP25" s="28"/>
      <c r="TVQ25" s="28"/>
      <c r="TVR25" s="28"/>
      <c r="TVS25" s="28"/>
      <c r="TVT25" s="28"/>
      <c r="TVU25" s="28"/>
      <c r="TVV25" s="28"/>
      <c r="TVW25" s="28"/>
      <c r="TVX25" s="28"/>
      <c r="TVY25" s="28"/>
      <c r="TVZ25" s="28"/>
      <c r="TWA25" s="28"/>
      <c r="TWB25" s="28"/>
      <c r="TWC25" s="28"/>
      <c r="TWD25" s="28"/>
      <c r="TWE25" s="28"/>
      <c r="TWF25" s="28"/>
      <c r="TWG25" s="28"/>
      <c r="TWH25" s="28"/>
      <c r="TWI25" s="28"/>
      <c r="TWJ25" s="28"/>
      <c r="TWK25" s="28"/>
      <c r="TWL25" s="28"/>
      <c r="TWM25" s="28"/>
      <c r="TWN25" s="28"/>
      <c r="TWO25" s="28"/>
      <c r="TWP25" s="28"/>
      <c r="TWQ25" s="28"/>
      <c r="TWR25" s="28"/>
      <c r="TWS25" s="28"/>
      <c r="TWT25" s="28"/>
      <c r="TWU25" s="28"/>
      <c r="TWV25" s="28"/>
      <c r="TWW25" s="28"/>
      <c r="TWX25" s="28"/>
      <c r="TWY25" s="28"/>
      <c r="TWZ25" s="28"/>
      <c r="TXA25" s="28"/>
      <c r="TXB25" s="28"/>
      <c r="TXC25" s="28"/>
      <c r="TXD25" s="28"/>
      <c r="TXE25" s="28"/>
      <c r="TXF25" s="28"/>
      <c r="TXG25" s="28"/>
      <c r="TXH25" s="28"/>
      <c r="TXI25" s="28"/>
      <c r="TXJ25" s="28"/>
      <c r="TXK25" s="28"/>
      <c r="TXL25" s="28"/>
      <c r="TXM25" s="28"/>
      <c r="TXN25" s="28"/>
      <c r="TXO25" s="28"/>
      <c r="TXP25" s="28"/>
      <c r="TXQ25" s="28"/>
      <c r="TXR25" s="28"/>
      <c r="TXS25" s="28"/>
      <c r="TXT25" s="28"/>
      <c r="TXU25" s="28"/>
      <c r="TXV25" s="28"/>
      <c r="TXW25" s="28"/>
      <c r="TXX25" s="28"/>
      <c r="TXY25" s="28"/>
      <c r="TXZ25" s="28"/>
      <c r="TYA25" s="28"/>
      <c r="TYB25" s="28"/>
      <c r="TYC25" s="28"/>
      <c r="TYD25" s="28"/>
      <c r="TYE25" s="28"/>
      <c r="TYF25" s="28"/>
      <c r="TYG25" s="28"/>
      <c r="TYH25" s="28"/>
      <c r="TYI25" s="28"/>
      <c r="TYJ25" s="28"/>
      <c r="TYK25" s="28"/>
      <c r="TYL25" s="28"/>
      <c r="TYM25" s="28"/>
      <c r="TYN25" s="28"/>
      <c r="TYO25" s="28"/>
      <c r="TYP25" s="28"/>
      <c r="TYQ25" s="28"/>
      <c r="TYR25" s="28"/>
      <c r="TYS25" s="28"/>
      <c r="TYT25" s="28"/>
      <c r="TYU25" s="28"/>
      <c r="TYV25" s="28"/>
      <c r="TYW25" s="28"/>
      <c r="TYX25" s="28"/>
      <c r="TYY25" s="28"/>
      <c r="TYZ25" s="28"/>
      <c r="TZA25" s="28"/>
      <c r="TZB25" s="28"/>
      <c r="TZC25" s="28"/>
      <c r="TZD25" s="28"/>
      <c r="TZE25" s="28"/>
      <c r="TZF25" s="28"/>
      <c r="TZG25" s="28"/>
      <c r="TZH25" s="28"/>
      <c r="TZI25" s="28"/>
      <c r="TZJ25" s="28"/>
      <c r="TZK25" s="28"/>
      <c r="TZL25" s="28"/>
      <c r="TZM25" s="28"/>
      <c r="TZN25" s="28"/>
      <c r="TZO25" s="28"/>
      <c r="TZP25" s="28"/>
      <c r="TZQ25" s="28"/>
      <c r="TZR25" s="28"/>
      <c r="TZS25" s="28"/>
      <c r="TZT25" s="28"/>
      <c r="TZU25" s="28"/>
      <c r="TZV25" s="28"/>
      <c r="TZW25" s="28"/>
      <c r="TZX25" s="28"/>
      <c r="TZY25" s="28"/>
      <c r="TZZ25" s="28"/>
      <c r="UAA25" s="28"/>
      <c r="UAB25" s="28"/>
      <c r="UAC25" s="28"/>
      <c r="UAD25" s="28"/>
      <c r="UAE25" s="28"/>
      <c r="UAF25" s="28"/>
      <c r="UAG25" s="28"/>
      <c r="UAH25" s="28"/>
      <c r="UAI25" s="28"/>
      <c r="UAJ25" s="28"/>
      <c r="UAK25" s="28"/>
      <c r="UAL25" s="28"/>
      <c r="UAM25" s="28"/>
      <c r="UAN25" s="28"/>
      <c r="UAO25" s="28"/>
      <c r="UAP25" s="28"/>
      <c r="UAQ25" s="28"/>
      <c r="UAR25" s="28"/>
      <c r="UAS25" s="28"/>
      <c r="UAT25" s="28"/>
      <c r="UAU25" s="28"/>
      <c r="UAV25" s="28"/>
      <c r="UAW25" s="28"/>
      <c r="UAX25" s="28"/>
      <c r="UAY25" s="28"/>
      <c r="UAZ25" s="28"/>
      <c r="UBA25" s="28"/>
      <c r="UBB25" s="28"/>
      <c r="UBC25" s="28"/>
      <c r="UBD25" s="28"/>
      <c r="UBE25" s="28"/>
      <c r="UBF25" s="28"/>
      <c r="UBG25" s="28"/>
      <c r="UBH25" s="28"/>
      <c r="UBI25" s="28"/>
      <c r="UBJ25" s="28"/>
      <c r="UBK25" s="28"/>
      <c r="UBL25" s="28"/>
      <c r="UBM25" s="28"/>
      <c r="UBN25" s="28"/>
      <c r="UBO25" s="28"/>
      <c r="UBP25" s="28"/>
      <c r="UBQ25" s="28"/>
      <c r="UBR25" s="28"/>
      <c r="UBS25" s="28"/>
      <c r="UBT25" s="28"/>
      <c r="UBU25" s="28"/>
      <c r="UBV25" s="28"/>
      <c r="UBW25" s="28"/>
      <c r="UBX25" s="28"/>
      <c r="UBY25" s="28"/>
      <c r="UBZ25" s="28"/>
      <c r="UCA25" s="28"/>
      <c r="UCB25" s="28"/>
      <c r="UCC25" s="28"/>
      <c r="UCD25" s="28"/>
      <c r="UCE25" s="28"/>
      <c r="UCF25" s="28"/>
      <c r="UCG25" s="28"/>
      <c r="UCH25" s="28"/>
      <c r="UCI25" s="28"/>
      <c r="UCJ25" s="28"/>
      <c r="UCK25" s="28"/>
      <c r="UCL25" s="28"/>
      <c r="UCM25" s="28"/>
      <c r="UCN25" s="28"/>
      <c r="UCO25" s="28"/>
      <c r="UCP25" s="28"/>
      <c r="UCQ25" s="28"/>
      <c r="UCR25" s="28"/>
      <c r="UCS25" s="28"/>
      <c r="UCT25" s="28"/>
      <c r="UCU25" s="28"/>
      <c r="UCV25" s="28"/>
      <c r="UCW25" s="28"/>
      <c r="UCX25" s="28"/>
      <c r="UCY25" s="28"/>
      <c r="UCZ25" s="28"/>
      <c r="UDA25" s="28"/>
      <c r="UDB25" s="28"/>
      <c r="UDC25" s="28"/>
      <c r="UDD25" s="28"/>
      <c r="UDE25" s="28"/>
      <c r="UDF25" s="28"/>
      <c r="UDG25" s="28"/>
      <c r="UDH25" s="28"/>
      <c r="UDI25" s="28"/>
      <c r="UDJ25" s="28"/>
      <c r="UDK25" s="28"/>
      <c r="UDL25" s="28"/>
      <c r="UDM25" s="28"/>
      <c r="UDN25" s="28"/>
      <c r="UDO25" s="28"/>
      <c r="UDP25" s="28"/>
      <c r="UDQ25" s="28"/>
      <c r="UDR25" s="28"/>
      <c r="UDS25" s="28"/>
      <c r="UDT25" s="28"/>
      <c r="UDU25" s="28"/>
      <c r="UDV25" s="28"/>
      <c r="UDW25" s="28"/>
      <c r="UDX25" s="28"/>
      <c r="UDY25" s="28"/>
      <c r="UDZ25" s="28"/>
      <c r="UEA25" s="28"/>
      <c r="UEB25" s="28"/>
      <c r="UEC25" s="28"/>
      <c r="UED25" s="28"/>
      <c r="UEE25" s="28"/>
      <c r="UEF25" s="28"/>
      <c r="UEG25" s="28"/>
      <c r="UEH25" s="28"/>
      <c r="UEI25" s="28"/>
      <c r="UEJ25" s="28"/>
      <c r="UEK25" s="28"/>
      <c r="UEL25" s="28"/>
      <c r="UEM25" s="28"/>
      <c r="UEN25" s="28"/>
      <c r="UEO25" s="28"/>
      <c r="UEP25" s="28"/>
      <c r="UEQ25" s="28"/>
      <c r="UER25" s="28"/>
      <c r="UES25" s="28"/>
      <c r="UET25" s="28"/>
      <c r="UEU25" s="28"/>
      <c r="UEV25" s="28"/>
      <c r="UEW25" s="28"/>
      <c r="UEX25" s="28"/>
      <c r="UEY25" s="28"/>
      <c r="UEZ25" s="28"/>
      <c r="UFA25" s="28"/>
      <c r="UFB25" s="28"/>
      <c r="UFC25" s="28"/>
      <c r="UFD25" s="28"/>
      <c r="UFE25" s="28"/>
      <c r="UFF25" s="28"/>
      <c r="UFG25" s="28"/>
      <c r="UFH25" s="28"/>
      <c r="UFI25" s="28"/>
      <c r="UFJ25" s="28"/>
      <c r="UFK25" s="28"/>
      <c r="UFL25" s="28"/>
      <c r="UFM25" s="28"/>
      <c r="UFN25" s="28"/>
      <c r="UFO25" s="28"/>
      <c r="UFP25" s="28"/>
      <c r="UFQ25" s="28"/>
      <c r="UFR25" s="28"/>
      <c r="UFS25" s="28"/>
      <c r="UFT25" s="28"/>
      <c r="UFU25" s="28"/>
      <c r="UFV25" s="28"/>
      <c r="UFW25" s="28"/>
      <c r="UFX25" s="28"/>
      <c r="UFY25" s="28"/>
      <c r="UFZ25" s="28"/>
      <c r="UGA25" s="28"/>
      <c r="UGB25" s="28"/>
      <c r="UGC25" s="28"/>
      <c r="UGD25" s="28"/>
      <c r="UGE25" s="28"/>
      <c r="UGF25" s="28"/>
      <c r="UGG25" s="28"/>
      <c r="UGH25" s="28"/>
      <c r="UGI25" s="28"/>
      <c r="UGJ25" s="28"/>
      <c r="UGK25" s="28"/>
      <c r="UGL25" s="28"/>
      <c r="UGM25" s="28"/>
      <c r="UGN25" s="28"/>
      <c r="UGO25" s="28"/>
      <c r="UGP25" s="28"/>
      <c r="UGQ25" s="28"/>
      <c r="UGR25" s="28"/>
      <c r="UGS25" s="28"/>
      <c r="UGT25" s="28"/>
      <c r="UGU25" s="28"/>
      <c r="UGV25" s="28"/>
      <c r="UGW25" s="28"/>
      <c r="UGX25" s="28"/>
      <c r="UGY25" s="28"/>
      <c r="UGZ25" s="28"/>
      <c r="UHA25" s="28"/>
      <c r="UHB25" s="28"/>
      <c r="UHC25" s="28"/>
      <c r="UHD25" s="28"/>
      <c r="UHE25" s="28"/>
      <c r="UHF25" s="28"/>
      <c r="UHG25" s="28"/>
      <c r="UHH25" s="28"/>
      <c r="UHI25" s="28"/>
      <c r="UHJ25" s="28"/>
      <c r="UHK25" s="28"/>
      <c r="UHL25" s="28"/>
      <c r="UHM25" s="28"/>
      <c r="UHN25" s="28"/>
      <c r="UHO25" s="28"/>
      <c r="UHP25" s="28"/>
      <c r="UHQ25" s="28"/>
      <c r="UHR25" s="28"/>
      <c r="UHS25" s="28"/>
      <c r="UHT25" s="28"/>
      <c r="UHU25" s="28"/>
      <c r="UHV25" s="28"/>
      <c r="UHW25" s="28"/>
      <c r="UHX25" s="28"/>
      <c r="UHY25" s="28"/>
      <c r="UHZ25" s="28"/>
      <c r="UIA25" s="28"/>
      <c r="UIB25" s="28"/>
      <c r="UIC25" s="28"/>
      <c r="UID25" s="28"/>
      <c r="UIE25" s="28"/>
      <c r="UIF25" s="28"/>
      <c r="UIG25" s="28"/>
      <c r="UIH25" s="28"/>
      <c r="UII25" s="28"/>
      <c r="UIJ25" s="28"/>
      <c r="UIK25" s="28"/>
      <c r="UIL25" s="28"/>
      <c r="UIM25" s="28"/>
      <c r="UIN25" s="28"/>
      <c r="UIO25" s="28"/>
      <c r="UIP25" s="28"/>
      <c r="UIQ25" s="28"/>
      <c r="UIR25" s="28"/>
      <c r="UIS25" s="28"/>
      <c r="UIT25" s="28"/>
      <c r="UIU25" s="28"/>
      <c r="UIV25" s="28"/>
      <c r="UIW25" s="28"/>
      <c r="UIX25" s="28"/>
      <c r="UIY25" s="28"/>
      <c r="UIZ25" s="28"/>
      <c r="UJA25" s="28"/>
      <c r="UJB25" s="28"/>
      <c r="UJC25" s="28"/>
      <c r="UJD25" s="28"/>
      <c r="UJE25" s="28"/>
      <c r="UJF25" s="28"/>
      <c r="UJG25" s="28"/>
      <c r="UJH25" s="28"/>
      <c r="UJI25" s="28"/>
      <c r="UJJ25" s="28"/>
      <c r="UJK25" s="28"/>
      <c r="UJL25" s="28"/>
      <c r="UJM25" s="28"/>
      <c r="UJN25" s="28"/>
      <c r="UJO25" s="28"/>
      <c r="UJP25" s="28"/>
      <c r="UJQ25" s="28"/>
      <c r="UJR25" s="28"/>
      <c r="UJS25" s="28"/>
      <c r="UJT25" s="28"/>
      <c r="UJU25" s="28"/>
      <c r="UJV25" s="28"/>
      <c r="UJW25" s="28"/>
      <c r="UJX25" s="28"/>
      <c r="UJY25" s="28"/>
      <c r="UJZ25" s="28"/>
      <c r="UKA25" s="28"/>
      <c r="UKB25" s="28"/>
      <c r="UKC25" s="28"/>
      <c r="UKD25" s="28"/>
      <c r="UKE25" s="28"/>
      <c r="UKF25" s="28"/>
      <c r="UKG25" s="28"/>
      <c r="UKH25" s="28"/>
      <c r="UKI25" s="28"/>
      <c r="UKJ25" s="28"/>
      <c r="UKK25" s="28"/>
      <c r="UKL25" s="28"/>
      <c r="UKM25" s="28"/>
      <c r="UKN25" s="28"/>
      <c r="UKO25" s="28"/>
      <c r="UKP25" s="28"/>
      <c r="UKQ25" s="28"/>
      <c r="UKR25" s="28"/>
      <c r="UKS25" s="28"/>
      <c r="UKT25" s="28"/>
      <c r="UKU25" s="28"/>
      <c r="UKV25" s="28"/>
      <c r="UKW25" s="28"/>
      <c r="UKX25" s="28"/>
      <c r="UKY25" s="28"/>
      <c r="UKZ25" s="28"/>
      <c r="ULA25" s="28"/>
      <c r="ULB25" s="28"/>
      <c r="ULC25" s="28"/>
      <c r="ULD25" s="28"/>
      <c r="ULE25" s="28"/>
      <c r="ULF25" s="28"/>
      <c r="ULG25" s="28"/>
      <c r="ULH25" s="28"/>
      <c r="ULI25" s="28"/>
      <c r="ULJ25" s="28"/>
      <c r="ULK25" s="28"/>
      <c r="ULL25" s="28"/>
      <c r="ULM25" s="28"/>
      <c r="ULN25" s="28"/>
      <c r="ULO25" s="28"/>
      <c r="ULP25" s="28"/>
      <c r="ULQ25" s="28"/>
      <c r="ULR25" s="28"/>
      <c r="ULS25" s="28"/>
      <c r="ULT25" s="28"/>
      <c r="ULU25" s="28"/>
      <c r="ULV25" s="28"/>
      <c r="ULW25" s="28"/>
      <c r="ULX25" s="28"/>
      <c r="ULY25" s="28"/>
      <c r="ULZ25" s="28"/>
      <c r="UMA25" s="28"/>
      <c r="UMB25" s="28"/>
      <c r="UMC25" s="28"/>
      <c r="UMD25" s="28"/>
      <c r="UME25" s="28"/>
      <c r="UMF25" s="28"/>
      <c r="UMG25" s="28"/>
      <c r="UMH25" s="28"/>
      <c r="UMI25" s="28"/>
      <c r="UMJ25" s="28"/>
      <c r="UMK25" s="28"/>
      <c r="UML25" s="28"/>
      <c r="UMM25" s="28"/>
      <c r="UMN25" s="28"/>
      <c r="UMO25" s="28"/>
      <c r="UMP25" s="28"/>
      <c r="UMQ25" s="28"/>
      <c r="UMR25" s="28"/>
      <c r="UMS25" s="28"/>
      <c r="UMT25" s="28"/>
      <c r="UMU25" s="28"/>
      <c r="UMV25" s="28"/>
      <c r="UMW25" s="28"/>
      <c r="UMX25" s="28"/>
      <c r="UMY25" s="28"/>
      <c r="UMZ25" s="28"/>
      <c r="UNA25" s="28"/>
      <c r="UNB25" s="28"/>
      <c r="UNC25" s="28"/>
      <c r="UND25" s="28"/>
      <c r="UNE25" s="28"/>
      <c r="UNF25" s="28"/>
      <c r="UNG25" s="28"/>
      <c r="UNH25" s="28"/>
      <c r="UNI25" s="28"/>
      <c r="UNJ25" s="28"/>
      <c r="UNK25" s="28"/>
      <c r="UNL25" s="28"/>
      <c r="UNM25" s="28"/>
      <c r="UNN25" s="28"/>
      <c r="UNO25" s="28"/>
      <c r="UNP25" s="28"/>
      <c r="UNQ25" s="28"/>
      <c r="UNR25" s="28"/>
      <c r="UNS25" s="28"/>
      <c r="UNT25" s="28"/>
      <c r="UNU25" s="28"/>
      <c r="UNV25" s="28"/>
      <c r="UNW25" s="28"/>
      <c r="UNX25" s="28"/>
      <c r="UNY25" s="28"/>
      <c r="UNZ25" s="28"/>
      <c r="UOA25" s="28"/>
      <c r="UOB25" s="28"/>
      <c r="UOC25" s="28"/>
      <c r="UOD25" s="28"/>
      <c r="UOE25" s="28"/>
      <c r="UOF25" s="28"/>
      <c r="UOG25" s="28"/>
      <c r="UOH25" s="28"/>
      <c r="UOI25" s="28"/>
      <c r="UOJ25" s="28"/>
      <c r="UOK25" s="28"/>
      <c r="UOL25" s="28"/>
      <c r="UOM25" s="28"/>
      <c r="UON25" s="28"/>
      <c r="UOO25" s="28"/>
      <c r="UOP25" s="28"/>
      <c r="UOQ25" s="28"/>
      <c r="UOR25" s="28"/>
      <c r="UOS25" s="28"/>
      <c r="UOT25" s="28"/>
      <c r="UOU25" s="28"/>
      <c r="UOV25" s="28"/>
      <c r="UOW25" s="28"/>
      <c r="UOX25" s="28"/>
      <c r="UOY25" s="28"/>
      <c r="UOZ25" s="28"/>
      <c r="UPA25" s="28"/>
      <c r="UPB25" s="28"/>
      <c r="UPC25" s="28"/>
      <c r="UPD25" s="28"/>
      <c r="UPE25" s="28"/>
      <c r="UPF25" s="28"/>
      <c r="UPG25" s="28"/>
      <c r="UPH25" s="28"/>
      <c r="UPI25" s="28"/>
      <c r="UPJ25" s="28"/>
      <c r="UPK25" s="28"/>
      <c r="UPL25" s="28"/>
      <c r="UPM25" s="28"/>
      <c r="UPN25" s="28"/>
      <c r="UPO25" s="28"/>
      <c r="UPP25" s="28"/>
      <c r="UPQ25" s="28"/>
      <c r="UPR25" s="28"/>
      <c r="UPS25" s="28"/>
      <c r="UPT25" s="28"/>
      <c r="UPU25" s="28"/>
      <c r="UPV25" s="28"/>
      <c r="UPW25" s="28"/>
      <c r="UPX25" s="28"/>
      <c r="UPY25" s="28"/>
      <c r="UPZ25" s="28"/>
      <c r="UQA25" s="28"/>
      <c r="UQB25" s="28"/>
      <c r="UQC25" s="28"/>
      <c r="UQD25" s="28"/>
      <c r="UQE25" s="28"/>
      <c r="UQF25" s="28"/>
      <c r="UQG25" s="28"/>
      <c r="UQH25" s="28"/>
      <c r="UQI25" s="28"/>
      <c r="UQJ25" s="28"/>
      <c r="UQK25" s="28"/>
      <c r="UQL25" s="28"/>
      <c r="UQM25" s="28"/>
      <c r="UQN25" s="28"/>
      <c r="UQO25" s="28"/>
      <c r="UQP25" s="28"/>
      <c r="UQQ25" s="28"/>
      <c r="UQR25" s="28"/>
      <c r="UQS25" s="28"/>
      <c r="UQT25" s="28"/>
      <c r="UQU25" s="28"/>
      <c r="UQV25" s="28"/>
      <c r="UQW25" s="28"/>
      <c r="UQX25" s="28"/>
      <c r="UQY25" s="28"/>
      <c r="UQZ25" s="28"/>
      <c r="URA25" s="28"/>
      <c r="URB25" s="28"/>
      <c r="URC25" s="28"/>
      <c r="URD25" s="28"/>
      <c r="URE25" s="28"/>
      <c r="URF25" s="28"/>
      <c r="URG25" s="28"/>
      <c r="URH25" s="28"/>
      <c r="URI25" s="28"/>
      <c r="URJ25" s="28"/>
      <c r="URK25" s="28"/>
      <c r="URL25" s="28"/>
      <c r="URM25" s="28"/>
      <c r="URN25" s="28"/>
      <c r="URO25" s="28"/>
      <c r="URP25" s="28"/>
      <c r="URQ25" s="28"/>
      <c r="URR25" s="28"/>
      <c r="URS25" s="28"/>
      <c r="URT25" s="28"/>
      <c r="URU25" s="28"/>
      <c r="URV25" s="28"/>
      <c r="URW25" s="28"/>
      <c r="URX25" s="28"/>
      <c r="URY25" s="28"/>
      <c r="URZ25" s="28"/>
      <c r="USA25" s="28"/>
      <c r="USB25" s="28"/>
      <c r="USC25" s="28"/>
      <c r="USD25" s="28"/>
      <c r="USE25" s="28"/>
      <c r="USF25" s="28"/>
      <c r="USG25" s="28"/>
      <c r="USH25" s="28"/>
      <c r="USI25" s="28"/>
      <c r="USJ25" s="28"/>
      <c r="USK25" s="28"/>
      <c r="USL25" s="28"/>
      <c r="USM25" s="28"/>
      <c r="USN25" s="28"/>
      <c r="USO25" s="28"/>
      <c r="USP25" s="28"/>
      <c r="USQ25" s="28"/>
      <c r="USR25" s="28"/>
      <c r="USS25" s="28"/>
      <c r="UST25" s="28"/>
      <c r="USU25" s="28"/>
      <c r="USV25" s="28"/>
      <c r="USW25" s="28"/>
      <c r="USX25" s="28"/>
      <c r="USY25" s="28"/>
      <c r="USZ25" s="28"/>
      <c r="UTA25" s="28"/>
      <c r="UTB25" s="28"/>
      <c r="UTC25" s="28"/>
      <c r="UTD25" s="28"/>
      <c r="UTE25" s="28"/>
      <c r="UTF25" s="28"/>
      <c r="UTG25" s="28"/>
      <c r="UTH25" s="28"/>
      <c r="UTI25" s="28"/>
      <c r="UTJ25" s="28"/>
      <c r="UTK25" s="28"/>
      <c r="UTL25" s="28"/>
      <c r="UTM25" s="28"/>
      <c r="UTN25" s="28"/>
      <c r="UTO25" s="28"/>
      <c r="UTP25" s="28"/>
      <c r="UTQ25" s="28"/>
      <c r="UTR25" s="28"/>
      <c r="UTS25" s="28"/>
      <c r="UTT25" s="28"/>
      <c r="UTU25" s="28"/>
      <c r="UTV25" s="28"/>
      <c r="UTW25" s="28"/>
      <c r="UTX25" s="28"/>
      <c r="UTY25" s="28"/>
      <c r="UTZ25" s="28"/>
      <c r="UUA25" s="28"/>
      <c r="UUB25" s="28"/>
      <c r="UUC25" s="28"/>
      <c r="UUD25" s="28"/>
      <c r="UUE25" s="28"/>
      <c r="UUF25" s="28"/>
      <c r="UUG25" s="28"/>
      <c r="UUH25" s="28"/>
      <c r="UUI25" s="28"/>
      <c r="UUJ25" s="28"/>
      <c r="UUK25" s="28"/>
      <c r="UUL25" s="28"/>
      <c r="UUM25" s="28"/>
      <c r="UUN25" s="28"/>
      <c r="UUO25" s="28"/>
      <c r="UUP25" s="28"/>
      <c r="UUQ25" s="28"/>
      <c r="UUR25" s="28"/>
      <c r="UUS25" s="28"/>
      <c r="UUT25" s="28"/>
      <c r="UUU25" s="28"/>
      <c r="UUV25" s="28"/>
      <c r="UUW25" s="28"/>
      <c r="UUX25" s="28"/>
      <c r="UUY25" s="28"/>
      <c r="UUZ25" s="28"/>
      <c r="UVA25" s="28"/>
      <c r="UVB25" s="28"/>
      <c r="UVC25" s="28"/>
      <c r="UVD25" s="28"/>
      <c r="UVE25" s="28"/>
      <c r="UVF25" s="28"/>
      <c r="UVG25" s="28"/>
      <c r="UVH25" s="28"/>
      <c r="UVI25" s="28"/>
      <c r="UVJ25" s="28"/>
      <c r="UVK25" s="28"/>
      <c r="UVL25" s="28"/>
      <c r="UVM25" s="28"/>
      <c r="UVN25" s="28"/>
      <c r="UVO25" s="28"/>
      <c r="UVP25" s="28"/>
      <c r="UVQ25" s="28"/>
      <c r="UVR25" s="28"/>
      <c r="UVS25" s="28"/>
      <c r="UVT25" s="28"/>
      <c r="UVU25" s="28"/>
      <c r="UVV25" s="28"/>
      <c r="UVW25" s="28"/>
      <c r="UVX25" s="28"/>
      <c r="UVY25" s="28"/>
      <c r="UVZ25" s="28"/>
      <c r="UWA25" s="28"/>
      <c r="UWB25" s="28"/>
      <c r="UWC25" s="28"/>
      <c r="UWD25" s="28"/>
      <c r="UWE25" s="28"/>
      <c r="UWF25" s="28"/>
      <c r="UWG25" s="28"/>
      <c r="UWH25" s="28"/>
      <c r="UWI25" s="28"/>
      <c r="UWJ25" s="28"/>
      <c r="UWK25" s="28"/>
      <c r="UWL25" s="28"/>
      <c r="UWM25" s="28"/>
      <c r="UWN25" s="28"/>
      <c r="UWO25" s="28"/>
      <c r="UWP25" s="28"/>
      <c r="UWQ25" s="28"/>
      <c r="UWR25" s="28"/>
      <c r="UWS25" s="28"/>
      <c r="UWT25" s="28"/>
      <c r="UWU25" s="28"/>
      <c r="UWV25" s="28"/>
      <c r="UWW25" s="28"/>
      <c r="UWX25" s="28"/>
      <c r="UWY25" s="28"/>
      <c r="UWZ25" s="28"/>
      <c r="UXA25" s="28"/>
      <c r="UXB25" s="28"/>
      <c r="UXC25" s="28"/>
      <c r="UXD25" s="28"/>
      <c r="UXE25" s="28"/>
      <c r="UXF25" s="28"/>
      <c r="UXG25" s="28"/>
      <c r="UXH25" s="28"/>
      <c r="UXI25" s="28"/>
      <c r="UXJ25" s="28"/>
      <c r="UXK25" s="28"/>
      <c r="UXL25" s="28"/>
      <c r="UXM25" s="28"/>
      <c r="UXN25" s="28"/>
      <c r="UXO25" s="28"/>
      <c r="UXP25" s="28"/>
      <c r="UXQ25" s="28"/>
      <c r="UXR25" s="28"/>
      <c r="UXS25" s="28"/>
      <c r="UXT25" s="28"/>
      <c r="UXU25" s="28"/>
      <c r="UXV25" s="28"/>
      <c r="UXW25" s="28"/>
      <c r="UXX25" s="28"/>
      <c r="UXY25" s="28"/>
      <c r="UXZ25" s="28"/>
      <c r="UYA25" s="28"/>
      <c r="UYB25" s="28"/>
      <c r="UYC25" s="28"/>
      <c r="UYD25" s="28"/>
      <c r="UYE25" s="28"/>
      <c r="UYF25" s="28"/>
      <c r="UYG25" s="28"/>
      <c r="UYH25" s="28"/>
      <c r="UYI25" s="28"/>
      <c r="UYJ25" s="28"/>
      <c r="UYK25" s="28"/>
      <c r="UYL25" s="28"/>
      <c r="UYM25" s="28"/>
      <c r="UYN25" s="28"/>
      <c r="UYO25" s="28"/>
      <c r="UYP25" s="28"/>
      <c r="UYQ25" s="28"/>
      <c r="UYR25" s="28"/>
      <c r="UYS25" s="28"/>
      <c r="UYT25" s="28"/>
      <c r="UYU25" s="28"/>
      <c r="UYV25" s="28"/>
      <c r="UYW25" s="28"/>
      <c r="UYX25" s="28"/>
      <c r="UYY25" s="28"/>
      <c r="UYZ25" s="28"/>
      <c r="UZA25" s="28"/>
      <c r="UZB25" s="28"/>
      <c r="UZC25" s="28"/>
      <c r="UZD25" s="28"/>
      <c r="UZE25" s="28"/>
      <c r="UZF25" s="28"/>
      <c r="UZG25" s="28"/>
      <c r="UZH25" s="28"/>
      <c r="UZI25" s="28"/>
      <c r="UZJ25" s="28"/>
      <c r="UZK25" s="28"/>
      <c r="UZL25" s="28"/>
      <c r="UZM25" s="28"/>
      <c r="UZN25" s="28"/>
      <c r="UZO25" s="28"/>
      <c r="UZP25" s="28"/>
      <c r="UZQ25" s="28"/>
      <c r="UZR25" s="28"/>
      <c r="UZS25" s="28"/>
      <c r="UZT25" s="28"/>
      <c r="UZU25" s="28"/>
      <c r="UZV25" s="28"/>
      <c r="UZW25" s="28"/>
      <c r="UZX25" s="28"/>
      <c r="UZY25" s="28"/>
      <c r="UZZ25" s="28"/>
      <c r="VAA25" s="28"/>
      <c r="VAB25" s="28"/>
      <c r="VAC25" s="28"/>
      <c r="VAD25" s="28"/>
      <c r="VAE25" s="28"/>
      <c r="VAF25" s="28"/>
      <c r="VAG25" s="28"/>
      <c r="VAH25" s="28"/>
      <c r="VAI25" s="28"/>
      <c r="VAJ25" s="28"/>
      <c r="VAK25" s="28"/>
      <c r="VAL25" s="28"/>
      <c r="VAM25" s="28"/>
      <c r="VAN25" s="28"/>
      <c r="VAO25" s="28"/>
      <c r="VAP25" s="28"/>
      <c r="VAQ25" s="28"/>
      <c r="VAR25" s="28"/>
      <c r="VAS25" s="28"/>
      <c r="VAT25" s="28"/>
      <c r="VAU25" s="28"/>
      <c r="VAV25" s="28"/>
      <c r="VAW25" s="28"/>
      <c r="VAX25" s="28"/>
      <c r="VAY25" s="28"/>
      <c r="VAZ25" s="28"/>
      <c r="VBA25" s="28"/>
      <c r="VBB25" s="28"/>
      <c r="VBC25" s="28"/>
      <c r="VBD25" s="28"/>
      <c r="VBE25" s="28"/>
      <c r="VBF25" s="28"/>
      <c r="VBG25" s="28"/>
      <c r="VBH25" s="28"/>
      <c r="VBI25" s="28"/>
      <c r="VBJ25" s="28"/>
      <c r="VBK25" s="28"/>
      <c r="VBL25" s="28"/>
      <c r="VBM25" s="28"/>
      <c r="VBN25" s="28"/>
      <c r="VBO25" s="28"/>
      <c r="VBP25" s="28"/>
      <c r="VBQ25" s="28"/>
      <c r="VBR25" s="28"/>
      <c r="VBS25" s="28"/>
      <c r="VBT25" s="28"/>
      <c r="VBU25" s="28"/>
      <c r="VBV25" s="28"/>
      <c r="VBW25" s="28"/>
      <c r="VBX25" s="28"/>
      <c r="VBY25" s="28"/>
      <c r="VBZ25" s="28"/>
      <c r="VCA25" s="28"/>
      <c r="VCB25" s="28"/>
      <c r="VCC25" s="28"/>
      <c r="VCD25" s="28"/>
      <c r="VCE25" s="28"/>
      <c r="VCF25" s="28"/>
      <c r="VCG25" s="28"/>
      <c r="VCH25" s="28"/>
      <c r="VCI25" s="28"/>
      <c r="VCJ25" s="28"/>
      <c r="VCK25" s="28"/>
      <c r="VCL25" s="28"/>
      <c r="VCM25" s="28"/>
      <c r="VCN25" s="28"/>
      <c r="VCO25" s="28"/>
      <c r="VCP25" s="28"/>
      <c r="VCQ25" s="28"/>
      <c r="VCR25" s="28"/>
      <c r="VCS25" s="28"/>
      <c r="VCT25" s="28"/>
      <c r="VCU25" s="28"/>
      <c r="VCV25" s="28"/>
      <c r="VCW25" s="28"/>
      <c r="VCX25" s="28"/>
      <c r="VCY25" s="28"/>
      <c r="VCZ25" s="28"/>
      <c r="VDA25" s="28"/>
      <c r="VDB25" s="28"/>
      <c r="VDC25" s="28"/>
      <c r="VDD25" s="28"/>
      <c r="VDE25" s="28"/>
      <c r="VDF25" s="28"/>
      <c r="VDG25" s="28"/>
      <c r="VDH25" s="28"/>
      <c r="VDI25" s="28"/>
      <c r="VDJ25" s="28"/>
      <c r="VDK25" s="28"/>
      <c r="VDL25" s="28"/>
      <c r="VDM25" s="28"/>
      <c r="VDN25" s="28"/>
      <c r="VDO25" s="28"/>
      <c r="VDP25" s="28"/>
      <c r="VDQ25" s="28"/>
      <c r="VDR25" s="28"/>
      <c r="VDS25" s="28"/>
      <c r="VDT25" s="28"/>
      <c r="VDU25" s="28"/>
      <c r="VDV25" s="28"/>
      <c r="VDW25" s="28"/>
      <c r="VDX25" s="28"/>
      <c r="VDY25" s="28"/>
      <c r="VDZ25" s="28"/>
      <c r="VEA25" s="28"/>
      <c r="VEB25" s="28"/>
      <c r="VEC25" s="28"/>
      <c r="VED25" s="28"/>
      <c r="VEE25" s="28"/>
      <c r="VEF25" s="28"/>
      <c r="VEG25" s="28"/>
      <c r="VEH25" s="28"/>
      <c r="VEI25" s="28"/>
      <c r="VEJ25" s="28"/>
      <c r="VEK25" s="28"/>
      <c r="VEL25" s="28"/>
      <c r="VEM25" s="28"/>
      <c r="VEN25" s="28"/>
      <c r="VEO25" s="28"/>
      <c r="VEP25" s="28"/>
      <c r="VEQ25" s="28"/>
      <c r="VER25" s="28"/>
      <c r="VES25" s="28"/>
      <c r="VET25" s="28"/>
      <c r="VEU25" s="28"/>
      <c r="VEV25" s="28"/>
      <c r="VEW25" s="28"/>
      <c r="VEX25" s="28"/>
      <c r="VEY25" s="28"/>
      <c r="VEZ25" s="28"/>
      <c r="VFA25" s="28"/>
      <c r="VFB25" s="28"/>
      <c r="VFC25" s="28"/>
      <c r="VFD25" s="28"/>
      <c r="VFE25" s="28"/>
      <c r="VFF25" s="28"/>
      <c r="VFG25" s="28"/>
      <c r="VFH25" s="28"/>
      <c r="VFI25" s="28"/>
      <c r="VFJ25" s="28"/>
      <c r="VFK25" s="28"/>
      <c r="VFL25" s="28"/>
      <c r="VFM25" s="28"/>
      <c r="VFN25" s="28"/>
      <c r="VFO25" s="28"/>
      <c r="VFP25" s="28"/>
      <c r="VFQ25" s="28"/>
      <c r="VFR25" s="28"/>
      <c r="VFS25" s="28"/>
      <c r="VFT25" s="28"/>
      <c r="VFU25" s="28"/>
      <c r="VFV25" s="28"/>
      <c r="VFW25" s="28"/>
      <c r="VFX25" s="28"/>
      <c r="VFY25" s="28"/>
      <c r="VFZ25" s="28"/>
      <c r="VGA25" s="28"/>
      <c r="VGB25" s="28"/>
      <c r="VGC25" s="28"/>
      <c r="VGD25" s="28"/>
      <c r="VGE25" s="28"/>
      <c r="VGF25" s="28"/>
      <c r="VGG25" s="28"/>
      <c r="VGH25" s="28"/>
      <c r="VGI25" s="28"/>
      <c r="VGJ25" s="28"/>
      <c r="VGK25" s="28"/>
      <c r="VGL25" s="28"/>
      <c r="VGM25" s="28"/>
      <c r="VGN25" s="28"/>
      <c r="VGO25" s="28"/>
      <c r="VGP25" s="28"/>
      <c r="VGQ25" s="28"/>
      <c r="VGR25" s="28"/>
      <c r="VGS25" s="28"/>
      <c r="VGT25" s="28"/>
      <c r="VGU25" s="28"/>
      <c r="VGV25" s="28"/>
      <c r="VGW25" s="28"/>
      <c r="VGX25" s="28"/>
      <c r="VGY25" s="28"/>
      <c r="VGZ25" s="28"/>
      <c r="VHA25" s="28"/>
      <c r="VHB25" s="28"/>
      <c r="VHC25" s="28"/>
      <c r="VHD25" s="28"/>
      <c r="VHE25" s="28"/>
      <c r="VHF25" s="28"/>
      <c r="VHG25" s="28"/>
      <c r="VHH25" s="28"/>
      <c r="VHI25" s="28"/>
      <c r="VHJ25" s="28"/>
      <c r="VHK25" s="28"/>
      <c r="VHL25" s="28"/>
      <c r="VHM25" s="28"/>
      <c r="VHN25" s="28"/>
      <c r="VHO25" s="28"/>
      <c r="VHP25" s="28"/>
      <c r="VHQ25" s="28"/>
      <c r="VHR25" s="28"/>
      <c r="VHS25" s="28"/>
      <c r="VHT25" s="28"/>
      <c r="VHU25" s="28"/>
      <c r="VHV25" s="28"/>
      <c r="VHW25" s="28"/>
      <c r="VHX25" s="28"/>
      <c r="VHY25" s="28"/>
      <c r="VHZ25" s="28"/>
      <c r="VIA25" s="28"/>
      <c r="VIB25" s="28"/>
      <c r="VIC25" s="28"/>
      <c r="VID25" s="28"/>
      <c r="VIE25" s="28"/>
      <c r="VIF25" s="28"/>
      <c r="VIG25" s="28"/>
      <c r="VIH25" s="28"/>
      <c r="VII25" s="28"/>
      <c r="VIJ25" s="28"/>
      <c r="VIK25" s="28"/>
      <c r="VIL25" s="28"/>
      <c r="VIM25" s="28"/>
      <c r="VIN25" s="28"/>
      <c r="VIO25" s="28"/>
      <c r="VIP25" s="28"/>
      <c r="VIQ25" s="28"/>
      <c r="VIR25" s="28"/>
      <c r="VIS25" s="28"/>
      <c r="VIT25" s="28"/>
      <c r="VIU25" s="28"/>
      <c r="VIV25" s="28"/>
      <c r="VIW25" s="28"/>
      <c r="VIX25" s="28"/>
      <c r="VIY25" s="28"/>
      <c r="VIZ25" s="28"/>
      <c r="VJA25" s="28"/>
      <c r="VJB25" s="28"/>
      <c r="VJC25" s="28"/>
      <c r="VJD25" s="28"/>
      <c r="VJE25" s="28"/>
      <c r="VJF25" s="28"/>
      <c r="VJG25" s="28"/>
      <c r="VJH25" s="28"/>
      <c r="VJI25" s="28"/>
      <c r="VJJ25" s="28"/>
      <c r="VJK25" s="28"/>
      <c r="VJL25" s="28"/>
      <c r="VJM25" s="28"/>
      <c r="VJN25" s="28"/>
      <c r="VJO25" s="28"/>
      <c r="VJP25" s="28"/>
      <c r="VJQ25" s="28"/>
      <c r="VJR25" s="28"/>
      <c r="VJS25" s="28"/>
      <c r="VJT25" s="28"/>
      <c r="VJU25" s="28"/>
      <c r="VJV25" s="28"/>
      <c r="VJW25" s="28"/>
      <c r="VJX25" s="28"/>
      <c r="VJY25" s="28"/>
      <c r="VJZ25" s="28"/>
      <c r="VKA25" s="28"/>
      <c r="VKB25" s="28"/>
      <c r="VKC25" s="28"/>
      <c r="VKD25" s="28"/>
      <c r="VKE25" s="28"/>
      <c r="VKF25" s="28"/>
      <c r="VKG25" s="28"/>
      <c r="VKH25" s="28"/>
      <c r="VKI25" s="28"/>
      <c r="VKJ25" s="28"/>
      <c r="VKK25" s="28"/>
      <c r="VKL25" s="28"/>
      <c r="VKM25" s="28"/>
      <c r="VKN25" s="28"/>
      <c r="VKO25" s="28"/>
      <c r="VKP25" s="28"/>
      <c r="VKQ25" s="28"/>
      <c r="VKR25" s="28"/>
      <c r="VKS25" s="28"/>
      <c r="VKT25" s="28"/>
      <c r="VKU25" s="28"/>
      <c r="VKV25" s="28"/>
      <c r="VKW25" s="28"/>
      <c r="VKX25" s="28"/>
      <c r="VKY25" s="28"/>
      <c r="VKZ25" s="28"/>
      <c r="VLA25" s="28"/>
      <c r="VLB25" s="28"/>
      <c r="VLC25" s="28"/>
      <c r="VLD25" s="28"/>
      <c r="VLE25" s="28"/>
      <c r="VLF25" s="28"/>
      <c r="VLG25" s="28"/>
      <c r="VLH25" s="28"/>
      <c r="VLI25" s="28"/>
      <c r="VLJ25" s="28"/>
      <c r="VLK25" s="28"/>
      <c r="VLL25" s="28"/>
      <c r="VLM25" s="28"/>
      <c r="VLN25" s="28"/>
      <c r="VLO25" s="28"/>
      <c r="VLP25" s="28"/>
      <c r="VLQ25" s="28"/>
      <c r="VLR25" s="28"/>
      <c r="VLS25" s="28"/>
      <c r="VLT25" s="28"/>
      <c r="VLU25" s="28"/>
      <c r="VLV25" s="28"/>
      <c r="VLW25" s="28"/>
      <c r="VLX25" s="28"/>
      <c r="VLY25" s="28"/>
      <c r="VLZ25" s="28"/>
      <c r="VMA25" s="28"/>
      <c r="VMB25" s="28"/>
      <c r="VMC25" s="28"/>
      <c r="VMD25" s="28"/>
      <c r="VME25" s="28"/>
      <c r="VMF25" s="28"/>
      <c r="VMG25" s="28"/>
      <c r="VMH25" s="28"/>
      <c r="VMI25" s="28"/>
      <c r="VMJ25" s="28"/>
      <c r="VMK25" s="28"/>
      <c r="VML25" s="28"/>
      <c r="VMM25" s="28"/>
      <c r="VMN25" s="28"/>
      <c r="VMO25" s="28"/>
      <c r="VMP25" s="28"/>
      <c r="VMQ25" s="28"/>
      <c r="VMR25" s="28"/>
      <c r="VMS25" s="28"/>
      <c r="VMT25" s="28"/>
      <c r="VMU25" s="28"/>
      <c r="VMV25" s="28"/>
      <c r="VMW25" s="28"/>
      <c r="VMX25" s="28"/>
      <c r="VMY25" s="28"/>
      <c r="VMZ25" s="28"/>
      <c r="VNA25" s="28"/>
      <c r="VNB25" s="28"/>
      <c r="VNC25" s="28"/>
      <c r="VND25" s="28"/>
      <c r="VNE25" s="28"/>
      <c r="VNF25" s="28"/>
      <c r="VNG25" s="28"/>
      <c r="VNH25" s="28"/>
      <c r="VNI25" s="28"/>
      <c r="VNJ25" s="28"/>
      <c r="VNK25" s="28"/>
      <c r="VNL25" s="28"/>
      <c r="VNM25" s="28"/>
      <c r="VNN25" s="28"/>
      <c r="VNO25" s="28"/>
      <c r="VNP25" s="28"/>
      <c r="VNQ25" s="28"/>
      <c r="VNR25" s="28"/>
      <c r="VNS25" s="28"/>
      <c r="VNT25" s="28"/>
      <c r="VNU25" s="28"/>
      <c r="VNV25" s="28"/>
      <c r="VNW25" s="28"/>
      <c r="VNX25" s="28"/>
      <c r="VNY25" s="28"/>
      <c r="VNZ25" s="28"/>
      <c r="VOA25" s="28"/>
      <c r="VOB25" s="28"/>
      <c r="VOC25" s="28"/>
      <c r="VOD25" s="28"/>
      <c r="VOE25" s="28"/>
      <c r="VOF25" s="28"/>
      <c r="VOG25" s="28"/>
      <c r="VOH25" s="28"/>
      <c r="VOI25" s="28"/>
      <c r="VOJ25" s="28"/>
      <c r="VOK25" s="28"/>
      <c r="VOL25" s="28"/>
      <c r="VOM25" s="28"/>
      <c r="VON25" s="28"/>
      <c r="VOO25" s="28"/>
      <c r="VOP25" s="28"/>
      <c r="VOQ25" s="28"/>
      <c r="VOR25" s="28"/>
      <c r="VOS25" s="28"/>
      <c r="VOT25" s="28"/>
      <c r="VOU25" s="28"/>
      <c r="VOV25" s="28"/>
      <c r="VOW25" s="28"/>
      <c r="VOX25" s="28"/>
      <c r="VOY25" s="28"/>
      <c r="VOZ25" s="28"/>
      <c r="VPA25" s="28"/>
      <c r="VPB25" s="28"/>
      <c r="VPC25" s="28"/>
      <c r="VPD25" s="28"/>
      <c r="VPE25" s="28"/>
      <c r="VPF25" s="28"/>
      <c r="VPG25" s="28"/>
      <c r="VPH25" s="28"/>
      <c r="VPI25" s="28"/>
      <c r="VPJ25" s="28"/>
      <c r="VPK25" s="28"/>
      <c r="VPL25" s="28"/>
      <c r="VPM25" s="28"/>
      <c r="VPN25" s="28"/>
      <c r="VPO25" s="28"/>
      <c r="VPP25" s="28"/>
      <c r="VPQ25" s="28"/>
      <c r="VPR25" s="28"/>
      <c r="VPS25" s="28"/>
      <c r="VPT25" s="28"/>
      <c r="VPU25" s="28"/>
      <c r="VPV25" s="28"/>
      <c r="VPW25" s="28"/>
      <c r="VPX25" s="28"/>
      <c r="VPY25" s="28"/>
      <c r="VPZ25" s="28"/>
      <c r="VQA25" s="28"/>
      <c r="VQB25" s="28"/>
      <c r="VQC25" s="28"/>
      <c r="VQD25" s="28"/>
      <c r="VQE25" s="28"/>
      <c r="VQF25" s="28"/>
      <c r="VQG25" s="28"/>
      <c r="VQH25" s="28"/>
      <c r="VQI25" s="28"/>
      <c r="VQJ25" s="28"/>
      <c r="VQK25" s="28"/>
      <c r="VQL25" s="28"/>
      <c r="VQM25" s="28"/>
      <c r="VQN25" s="28"/>
      <c r="VQO25" s="28"/>
      <c r="VQP25" s="28"/>
      <c r="VQQ25" s="28"/>
      <c r="VQR25" s="28"/>
      <c r="VQS25" s="28"/>
      <c r="VQT25" s="28"/>
      <c r="VQU25" s="28"/>
      <c r="VQV25" s="28"/>
      <c r="VQW25" s="28"/>
      <c r="VQX25" s="28"/>
      <c r="VQY25" s="28"/>
      <c r="VQZ25" s="28"/>
      <c r="VRA25" s="28"/>
      <c r="VRB25" s="28"/>
      <c r="VRC25" s="28"/>
      <c r="VRD25" s="28"/>
      <c r="VRE25" s="28"/>
      <c r="VRF25" s="28"/>
      <c r="VRG25" s="28"/>
      <c r="VRH25" s="28"/>
      <c r="VRI25" s="28"/>
      <c r="VRJ25" s="28"/>
      <c r="VRK25" s="28"/>
      <c r="VRL25" s="28"/>
      <c r="VRM25" s="28"/>
      <c r="VRN25" s="28"/>
      <c r="VRO25" s="28"/>
      <c r="VRP25" s="28"/>
      <c r="VRQ25" s="28"/>
      <c r="VRR25" s="28"/>
      <c r="VRS25" s="28"/>
      <c r="VRT25" s="28"/>
      <c r="VRU25" s="28"/>
      <c r="VRV25" s="28"/>
      <c r="VRW25" s="28"/>
      <c r="VRX25" s="28"/>
      <c r="VRY25" s="28"/>
      <c r="VRZ25" s="28"/>
      <c r="VSA25" s="28"/>
      <c r="VSB25" s="28"/>
      <c r="VSC25" s="28"/>
      <c r="VSD25" s="28"/>
      <c r="VSE25" s="28"/>
      <c r="VSF25" s="28"/>
      <c r="VSG25" s="28"/>
      <c r="VSH25" s="28"/>
      <c r="VSI25" s="28"/>
      <c r="VSJ25" s="28"/>
      <c r="VSK25" s="28"/>
      <c r="VSL25" s="28"/>
      <c r="VSM25" s="28"/>
      <c r="VSN25" s="28"/>
      <c r="VSO25" s="28"/>
      <c r="VSP25" s="28"/>
      <c r="VSQ25" s="28"/>
      <c r="VSR25" s="28"/>
      <c r="VSS25" s="28"/>
      <c r="VST25" s="28"/>
      <c r="VSU25" s="28"/>
      <c r="VSV25" s="28"/>
      <c r="VSW25" s="28"/>
      <c r="VSX25" s="28"/>
      <c r="VSY25" s="28"/>
      <c r="VSZ25" s="28"/>
      <c r="VTA25" s="28"/>
      <c r="VTB25" s="28"/>
      <c r="VTC25" s="28"/>
      <c r="VTD25" s="28"/>
      <c r="VTE25" s="28"/>
      <c r="VTF25" s="28"/>
      <c r="VTG25" s="28"/>
      <c r="VTH25" s="28"/>
      <c r="VTI25" s="28"/>
      <c r="VTJ25" s="28"/>
      <c r="VTK25" s="28"/>
      <c r="VTL25" s="28"/>
      <c r="VTM25" s="28"/>
      <c r="VTN25" s="28"/>
      <c r="VTO25" s="28"/>
      <c r="VTP25" s="28"/>
      <c r="VTQ25" s="28"/>
      <c r="VTR25" s="28"/>
      <c r="VTS25" s="28"/>
      <c r="VTT25" s="28"/>
      <c r="VTU25" s="28"/>
      <c r="VTV25" s="28"/>
      <c r="VTW25" s="28"/>
      <c r="VTX25" s="28"/>
      <c r="VTY25" s="28"/>
      <c r="VTZ25" s="28"/>
      <c r="VUA25" s="28"/>
      <c r="VUB25" s="28"/>
      <c r="VUC25" s="28"/>
      <c r="VUD25" s="28"/>
      <c r="VUE25" s="28"/>
      <c r="VUF25" s="28"/>
      <c r="VUG25" s="28"/>
      <c r="VUH25" s="28"/>
      <c r="VUI25" s="28"/>
      <c r="VUJ25" s="28"/>
      <c r="VUK25" s="28"/>
      <c r="VUL25" s="28"/>
      <c r="VUM25" s="28"/>
      <c r="VUN25" s="28"/>
      <c r="VUO25" s="28"/>
      <c r="VUP25" s="28"/>
      <c r="VUQ25" s="28"/>
      <c r="VUR25" s="28"/>
      <c r="VUS25" s="28"/>
      <c r="VUT25" s="28"/>
      <c r="VUU25" s="28"/>
      <c r="VUV25" s="28"/>
      <c r="VUW25" s="28"/>
      <c r="VUX25" s="28"/>
      <c r="VUY25" s="28"/>
      <c r="VUZ25" s="28"/>
      <c r="VVA25" s="28"/>
      <c r="VVB25" s="28"/>
      <c r="VVC25" s="28"/>
      <c r="VVD25" s="28"/>
      <c r="VVE25" s="28"/>
      <c r="VVF25" s="28"/>
      <c r="VVG25" s="28"/>
      <c r="VVH25" s="28"/>
      <c r="VVI25" s="28"/>
      <c r="VVJ25" s="28"/>
      <c r="VVK25" s="28"/>
      <c r="VVL25" s="28"/>
      <c r="VVM25" s="28"/>
      <c r="VVN25" s="28"/>
      <c r="VVO25" s="28"/>
      <c r="VVP25" s="28"/>
      <c r="VVQ25" s="28"/>
      <c r="VVR25" s="28"/>
      <c r="VVS25" s="28"/>
      <c r="VVT25" s="28"/>
      <c r="VVU25" s="28"/>
      <c r="VVV25" s="28"/>
      <c r="VVW25" s="28"/>
      <c r="VVX25" s="28"/>
      <c r="VVY25" s="28"/>
      <c r="VVZ25" s="28"/>
      <c r="VWA25" s="28"/>
      <c r="VWB25" s="28"/>
      <c r="VWC25" s="28"/>
      <c r="VWD25" s="28"/>
      <c r="VWE25" s="28"/>
      <c r="VWF25" s="28"/>
      <c r="VWG25" s="28"/>
      <c r="VWH25" s="28"/>
      <c r="VWI25" s="28"/>
      <c r="VWJ25" s="28"/>
      <c r="VWK25" s="28"/>
      <c r="VWL25" s="28"/>
      <c r="VWM25" s="28"/>
      <c r="VWN25" s="28"/>
      <c r="VWO25" s="28"/>
      <c r="VWP25" s="28"/>
      <c r="VWQ25" s="28"/>
      <c r="VWR25" s="28"/>
      <c r="VWS25" s="28"/>
      <c r="VWT25" s="28"/>
      <c r="VWU25" s="28"/>
      <c r="VWV25" s="28"/>
      <c r="VWW25" s="28"/>
      <c r="VWX25" s="28"/>
      <c r="VWY25" s="28"/>
      <c r="VWZ25" s="28"/>
      <c r="VXA25" s="28"/>
      <c r="VXB25" s="28"/>
      <c r="VXC25" s="28"/>
      <c r="VXD25" s="28"/>
      <c r="VXE25" s="28"/>
      <c r="VXF25" s="28"/>
      <c r="VXG25" s="28"/>
      <c r="VXH25" s="28"/>
      <c r="VXI25" s="28"/>
      <c r="VXJ25" s="28"/>
      <c r="VXK25" s="28"/>
      <c r="VXL25" s="28"/>
      <c r="VXM25" s="28"/>
      <c r="VXN25" s="28"/>
      <c r="VXO25" s="28"/>
      <c r="VXP25" s="28"/>
      <c r="VXQ25" s="28"/>
      <c r="VXR25" s="28"/>
      <c r="VXS25" s="28"/>
      <c r="VXT25" s="28"/>
      <c r="VXU25" s="28"/>
      <c r="VXV25" s="28"/>
      <c r="VXW25" s="28"/>
      <c r="VXX25" s="28"/>
      <c r="VXY25" s="28"/>
      <c r="VXZ25" s="28"/>
      <c r="VYA25" s="28"/>
      <c r="VYB25" s="28"/>
      <c r="VYC25" s="28"/>
      <c r="VYD25" s="28"/>
      <c r="VYE25" s="28"/>
      <c r="VYF25" s="28"/>
      <c r="VYG25" s="28"/>
      <c r="VYH25" s="28"/>
      <c r="VYI25" s="28"/>
      <c r="VYJ25" s="28"/>
      <c r="VYK25" s="28"/>
      <c r="VYL25" s="28"/>
      <c r="VYM25" s="28"/>
      <c r="VYN25" s="28"/>
      <c r="VYO25" s="28"/>
      <c r="VYP25" s="28"/>
      <c r="VYQ25" s="28"/>
      <c r="VYR25" s="28"/>
      <c r="VYS25" s="28"/>
      <c r="VYT25" s="28"/>
      <c r="VYU25" s="28"/>
      <c r="VYV25" s="28"/>
      <c r="VYW25" s="28"/>
      <c r="VYX25" s="28"/>
      <c r="VYY25" s="28"/>
      <c r="VYZ25" s="28"/>
      <c r="VZA25" s="28"/>
      <c r="VZB25" s="28"/>
      <c r="VZC25" s="28"/>
      <c r="VZD25" s="28"/>
      <c r="VZE25" s="28"/>
      <c r="VZF25" s="28"/>
      <c r="VZG25" s="28"/>
      <c r="VZH25" s="28"/>
      <c r="VZI25" s="28"/>
      <c r="VZJ25" s="28"/>
      <c r="VZK25" s="28"/>
      <c r="VZL25" s="28"/>
      <c r="VZM25" s="28"/>
      <c r="VZN25" s="28"/>
      <c r="VZO25" s="28"/>
      <c r="VZP25" s="28"/>
      <c r="VZQ25" s="28"/>
      <c r="VZR25" s="28"/>
      <c r="VZS25" s="28"/>
      <c r="VZT25" s="28"/>
      <c r="VZU25" s="28"/>
      <c r="VZV25" s="28"/>
      <c r="VZW25" s="28"/>
      <c r="VZX25" s="28"/>
      <c r="VZY25" s="28"/>
      <c r="VZZ25" s="28"/>
      <c r="WAA25" s="28"/>
      <c r="WAB25" s="28"/>
      <c r="WAC25" s="28"/>
      <c r="WAD25" s="28"/>
      <c r="WAE25" s="28"/>
      <c r="WAF25" s="28"/>
      <c r="WAG25" s="28"/>
      <c r="WAH25" s="28"/>
      <c r="WAI25" s="28"/>
      <c r="WAJ25" s="28"/>
      <c r="WAK25" s="28"/>
      <c r="WAL25" s="28"/>
      <c r="WAM25" s="28"/>
      <c r="WAN25" s="28"/>
      <c r="WAO25" s="28"/>
      <c r="WAP25" s="28"/>
      <c r="WAQ25" s="28"/>
      <c r="WAR25" s="28"/>
      <c r="WAS25" s="28"/>
      <c r="WAT25" s="28"/>
      <c r="WAU25" s="28"/>
      <c r="WAV25" s="28"/>
      <c r="WAW25" s="28"/>
      <c r="WAX25" s="28"/>
      <c r="WAY25" s="28"/>
      <c r="WAZ25" s="28"/>
      <c r="WBA25" s="28"/>
      <c r="WBB25" s="28"/>
      <c r="WBC25" s="28"/>
      <c r="WBD25" s="28"/>
      <c r="WBE25" s="28"/>
      <c r="WBF25" s="28"/>
      <c r="WBG25" s="28"/>
      <c r="WBH25" s="28"/>
      <c r="WBI25" s="28"/>
      <c r="WBJ25" s="28"/>
      <c r="WBK25" s="28"/>
      <c r="WBL25" s="28"/>
      <c r="WBM25" s="28"/>
      <c r="WBN25" s="28"/>
      <c r="WBO25" s="28"/>
      <c r="WBP25" s="28"/>
      <c r="WBQ25" s="28"/>
      <c r="WBR25" s="28"/>
      <c r="WBS25" s="28"/>
      <c r="WBT25" s="28"/>
      <c r="WBU25" s="28"/>
      <c r="WBV25" s="28"/>
      <c r="WBW25" s="28"/>
      <c r="WBX25" s="28"/>
      <c r="WBY25" s="28"/>
      <c r="WBZ25" s="28"/>
      <c r="WCA25" s="28"/>
      <c r="WCB25" s="28"/>
      <c r="WCC25" s="28"/>
      <c r="WCD25" s="28"/>
      <c r="WCE25" s="28"/>
      <c r="WCF25" s="28"/>
      <c r="WCG25" s="28"/>
      <c r="WCH25" s="28"/>
      <c r="WCI25" s="28"/>
      <c r="WCJ25" s="28"/>
      <c r="WCK25" s="28"/>
      <c r="WCL25" s="28"/>
      <c r="WCM25" s="28"/>
      <c r="WCN25" s="28"/>
      <c r="WCO25" s="28"/>
      <c r="WCP25" s="28"/>
      <c r="WCQ25" s="28"/>
      <c r="WCR25" s="28"/>
      <c r="WCS25" s="28"/>
      <c r="WCT25" s="28"/>
      <c r="WCU25" s="28"/>
      <c r="WCV25" s="28"/>
      <c r="WCW25" s="28"/>
      <c r="WCX25" s="28"/>
      <c r="WCY25" s="28"/>
      <c r="WCZ25" s="28"/>
      <c r="WDA25" s="28"/>
      <c r="WDB25" s="28"/>
      <c r="WDC25" s="28"/>
      <c r="WDD25" s="28"/>
      <c r="WDE25" s="28"/>
      <c r="WDF25" s="28"/>
      <c r="WDG25" s="28"/>
      <c r="WDH25" s="28"/>
      <c r="WDI25" s="28"/>
      <c r="WDJ25" s="28"/>
      <c r="WDK25" s="28"/>
      <c r="WDL25" s="28"/>
      <c r="WDM25" s="28"/>
      <c r="WDN25" s="28"/>
      <c r="WDO25" s="28"/>
      <c r="WDP25" s="28"/>
      <c r="WDQ25" s="28"/>
      <c r="WDR25" s="28"/>
      <c r="WDS25" s="28"/>
      <c r="WDT25" s="28"/>
      <c r="WDU25" s="28"/>
      <c r="WDV25" s="28"/>
      <c r="WDW25" s="28"/>
      <c r="WDX25" s="28"/>
      <c r="WDY25" s="28"/>
      <c r="WDZ25" s="28"/>
      <c r="WEA25" s="28"/>
      <c r="WEB25" s="28"/>
      <c r="WEC25" s="28"/>
      <c r="WED25" s="28"/>
      <c r="WEE25" s="28"/>
      <c r="WEF25" s="28"/>
      <c r="WEG25" s="28"/>
      <c r="WEH25" s="28"/>
      <c r="WEI25" s="28"/>
      <c r="WEJ25" s="28"/>
      <c r="WEK25" s="28"/>
      <c r="WEL25" s="28"/>
      <c r="WEM25" s="28"/>
      <c r="WEN25" s="28"/>
      <c r="WEO25" s="28"/>
      <c r="WEP25" s="28"/>
      <c r="WEQ25" s="28"/>
      <c r="WER25" s="28"/>
      <c r="WES25" s="28"/>
      <c r="WET25" s="28"/>
      <c r="WEU25" s="28"/>
      <c r="WEV25" s="28"/>
      <c r="WEW25" s="28"/>
      <c r="WEX25" s="28"/>
      <c r="WEY25" s="28"/>
      <c r="WEZ25" s="28"/>
      <c r="WFA25" s="28"/>
      <c r="WFB25" s="28"/>
      <c r="WFC25" s="28"/>
      <c r="WFD25" s="28"/>
      <c r="WFE25" s="28"/>
      <c r="WFF25" s="28"/>
      <c r="WFG25" s="28"/>
      <c r="WFH25" s="28"/>
      <c r="WFI25" s="28"/>
      <c r="WFJ25" s="28"/>
      <c r="WFK25" s="28"/>
      <c r="WFL25" s="28"/>
      <c r="WFM25" s="28"/>
      <c r="WFN25" s="28"/>
      <c r="WFO25" s="28"/>
      <c r="WFP25" s="28"/>
      <c r="WFQ25" s="28"/>
      <c r="WFR25" s="28"/>
      <c r="WFS25" s="28"/>
      <c r="WFT25" s="28"/>
      <c r="WFU25" s="28"/>
      <c r="WFV25" s="28"/>
      <c r="WFW25" s="28"/>
      <c r="WFX25" s="28"/>
      <c r="WFY25" s="28"/>
      <c r="WFZ25" s="28"/>
      <c r="WGA25" s="28"/>
      <c r="WGB25" s="28"/>
      <c r="WGC25" s="28"/>
      <c r="WGD25" s="28"/>
      <c r="WGE25" s="28"/>
      <c r="WGF25" s="28"/>
      <c r="WGG25" s="28"/>
      <c r="WGH25" s="28"/>
      <c r="WGI25" s="28"/>
      <c r="WGJ25" s="28"/>
      <c r="WGK25" s="28"/>
      <c r="WGL25" s="28"/>
      <c r="WGM25" s="28"/>
      <c r="WGN25" s="28"/>
      <c r="WGO25" s="28"/>
      <c r="WGP25" s="28"/>
      <c r="WGQ25" s="28"/>
      <c r="WGR25" s="28"/>
      <c r="WGS25" s="28"/>
      <c r="WGT25" s="28"/>
      <c r="WGU25" s="28"/>
      <c r="WGV25" s="28"/>
      <c r="WGW25" s="28"/>
      <c r="WGX25" s="28"/>
      <c r="WGY25" s="28"/>
      <c r="WGZ25" s="28"/>
      <c r="WHA25" s="28"/>
      <c r="WHB25" s="28"/>
      <c r="WHC25" s="28"/>
      <c r="WHD25" s="28"/>
      <c r="WHE25" s="28"/>
      <c r="WHF25" s="28"/>
      <c r="WHG25" s="28"/>
      <c r="WHH25" s="28"/>
      <c r="WHI25" s="28"/>
      <c r="WHJ25" s="28"/>
      <c r="WHK25" s="28"/>
      <c r="WHL25" s="28"/>
      <c r="WHM25" s="28"/>
      <c r="WHN25" s="28"/>
      <c r="WHO25" s="28"/>
      <c r="WHP25" s="28"/>
      <c r="WHQ25" s="28"/>
      <c r="WHR25" s="28"/>
      <c r="WHS25" s="28"/>
      <c r="WHT25" s="28"/>
      <c r="WHU25" s="28"/>
      <c r="WHV25" s="28"/>
      <c r="WHW25" s="28"/>
      <c r="WHX25" s="28"/>
      <c r="WHY25" s="28"/>
      <c r="WHZ25" s="28"/>
      <c r="WIA25" s="28"/>
      <c r="WIB25" s="28"/>
      <c r="WIC25" s="28"/>
      <c r="WID25" s="28"/>
      <c r="WIE25" s="28"/>
      <c r="WIF25" s="28"/>
      <c r="WIG25" s="28"/>
      <c r="WIH25" s="28"/>
      <c r="WII25" s="28"/>
      <c r="WIJ25" s="28"/>
      <c r="WIK25" s="28"/>
      <c r="WIL25" s="28"/>
      <c r="WIM25" s="28"/>
      <c r="WIN25" s="28"/>
      <c r="WIO25" s="28"/>
      <c r="WIP25" s="28"/>
      <c r="WIQ25" s="28"/>
      <c r="WIR25" s="28"/>
      <c r="WIS25" s="28"/>
      <c r="WIT25" s="28"/>
      <c r="WIU25" s="28"/>
      <c r="WIV25" s="28"/>
      <c r="WIW25" s="28"/>
      <c r="WIX25" s="28"/>
      <c r="WIY25" s="28"/>
      <c r="WIZ25" s="28"/>
      <c r="WJA25" s="28"/>
      <c r="WJB25" s="28"/>
      <c r="WJC25" s="28"/>
      <c r="WJD25" s="28"/>
      <c r="WJE25" s="28"/>
      <c r="WJF25" s="28"/>
      <c r="WJG25" s="28"/>
      <c r="WJH25" s="28"/>
      <c r="WJI25" s="28"/>
      <c r="WJJ25" s="28"/>
      <c r="WJK25" s="28"/>
      <c r="WJL25" s="28"/>
      <c r="WJM25" s="28"/>
      <c r="WJN25" s="28"/>
      <c r="WJO25" s="28"/>
      <c r="WJP25" s="28"/>
      <c r="WJQ25" s="28"/>
      <c r="WJR25" s="28"/>
      <c r="WJS25" s="28"/>
      <c r="WJT25" s="28"/>
      <c r="WJU25" s="28"/>
      <c r="WJV25" s="28"/>
      <c r="WJW25" s="28"/>
      <c r="WJX25" s="28"/>
      <c r="WJY25" s="28"/>
      <c r="WJZ25" s="28"/>
      <c r="WKA25" s="28"/>
      <c r="WKB25" s="28"/>
      <c r="WKC25" s="28"/>
      <c r="WKD25" s="28"/>
      <c r="WKE25" s="28"/>
      <c r="WKF25" s="28"/>
      <c r="WKG25" s="28"/>
      <c r="WKH25" s="28"/>
      <c r="WKI25" s="28"/>
      <c r="WKJ25" s="28"/>
      <c r="WKK25" s="28"/>
      <c r="WKL25" s="28"/>
      <c r="WKM25" s="28"/>
      <c r="WKN25" s="28"/>
      <c r="WKO25" s="28"/>
      <c r="WKP25" s="28"/>
      <c r="WKQ25" s="28"/>
      <c r="WKR25" s="28"/>
      <c r="WKS25" s="28"/>
      <c r="WKT25" s="28"/>
      <c r="WKU25" s="28"/>
      <c r="WKV25" s="28"/>
      <c r="WKW25" s="28"/>
      <c r="WKX25" s="28"/>
      <c r="WKY25" s="28"/>
      <c r="WKZ25" s="28"/>
      <c r="WLA25" s="28"/>
      <c r="WLB25" s="28"/>
      <c r="WLC25" s="28"/>
      <c r="WLD25" s="28"/>
      <c r="WLE25" s="28"/>
      <c r="WLF25" s="28"/>
      <c r="WLG25" s="28"/>
      <c r="WLH25" s="28"/>
      <c r="WLI25" s="28"/>
      <c r="WLJ25" s="28"/>
      <c r="WLK25" s="28"/>
      <c r="WLL25" s="28"/>
      <c r="WLM25" s="28"/>
      <c r="WLN25" s="28"/>
      <c r="WLO25" s="28"/>
      <c r="WLP25" s="28"/>
      <c r="WLQ25" s="28"/>
      <c r="WLR25" s="28"/>
      <c r="WLS25" s="28"/>
      <c r="WLT25" s="28"/>
      <c r="WLU25" s="28"/>
      <c r="WLV25" s="28"/>
      <c r="WLW25" s="28"/>
      <c r="WLX25" s="28"/>
      <c r="WLY25" s="28"/>
      <c r="WLZ25" s="28"/>
      <c r="WMA25" s="28"/>
      <c r="WMB25" s="28"/>
      <c r="WMC25" s="28"/>
      <c r="WMD25" s="28"/>
      <c r="WME25" s="28"/>
      <c r="WMF25" s="28"/>
      <c r="WMG25" s="28"/>
      <c r="WMH25" s="28"/>
      <c r="WMI25" s="28"/>
      <c r="WMJ25" s="28"/>
      <c r="WMK25" s="28"/>
      <c r="WML25" s="28"/>
      <c r="WMM25" s="28"/>
      <c r="WMN25" s="28"/>
      <c r="WMO25" s="28"/>
      <c r="WMP25" s="28"/>
      <c r="WMQ25" s="28"/>
      <c r="WMR25" s="28"/>
      <c r="WMS25" s="28"/>
      <c r="WMT25" s="28"/>
      <c r="WMU25" s="28"/>
      <c r="WMV25" s="28"/>
      <c r="WMW25" s="28"/>
      <c r="WMX25" s="28"/>
      <c r="WMY25" s="28"/>
      <c r="WMZ25" s="28"/>
      <c r="WNA25" s="28"/>
      <c r="WNB25" s="28"/>
      <c r="WNC25" s="28"/>
      <c r="WND25" s="28"/>
      <c r="WNE25" s="28"/>
      <c r="WNF25" s="28"/>
      <c r="WNG25" s="28"/>
      <c r="WNH25" s="28"/>
      <c r="WNI25" s="28"/>
      <c r="WNJ25" s="28"/>
      <c r="WNK25" s="28"/>
      <c r="WNL25" s="28"/>
      <c r="WNM25" s="28"/>
      <c r="WNN25" s="28"/>
      <c r="WNO25" s="28"/>
      <c r="WNP25" s="28"/>
      <c r="WNQ25" s="28"/>
      <c r="WNR25" s="28"/>
      <c r="WNS25" s="28"/>
      <c r="WNT25" s="28"/>
      <c r="WNU25" s="28"/>
      <c r="WNV25" s="28"/>
      <c r="WNW25" s="28"/>
      <c r="WNX25" s="28"/>
      <c r="WNY25" s="28"/>
      <c r="WNZ25" s="28"/>
      <c r="WOA25" s="28"/>
      <c r="WOB25" s="28"/>
      <c r="WOC25" s="28"/>
      <c r="WOD25" s="28"/>
      <c r="WOE25" s="28"/>
      <c r="WOF25" s="28"/>
      <c r="WOG25" s="28"/>
      <c r="WOH25" s="28"/>
      <c r="WOI25" s="28"/>
      <c r="WOJ25" s="28"/>
      <c r="WOK25" s="28"/>
      <c r="WOL25" s="28"/>
      <c r="WOM25" s="28"/>
      <c r="WON25" s="28"/>
      <c r="WOO25" s="28"/>
      <c r="WOP25" s="28"/>
      <c r="WOQ25" s="28"/>
      <c r="WOR25" s="28"/>
      <c r="WOS25" s="28"/>
      <c r="WOT25" s="28"/>
      <c r="WOU25" s="28"/>
      <c r="WOV25" s="28"/>
      <c r="WOW25" s="28"/>
      <c r="WOX25" s="28"/>
      <c r="WOY25" s="28"/>
      <c r="WOZ25" s="28"/>
      <c r="WPA25" s="28"/>
      <c r="WPB25" s="28"/>
      <c r="WPC25" s="28"/>
      <c r="WPD25" s="28"/>
      <c r="WPE25" s="28"/>
      <c r="WPF25" s="28"/>
      <c r="WPG25" s="28"/>
      <c r="WPH25" s="28"/>
      <c r="WPI25" s="28"/>
      <c r="WPJ25" s="28"/>
      <c r="WPK25" s="28"/>
      <c r="WPL25" s="28"/>
      <c r="WPM25" s="28"/>
      <c r="WPN25" s="28"/>
      <c r="WPO25" s="28"/>
      <c r="WPP25" s="28"/>
      <c r="WPQ25" s="28"/>
      <c r="WPR25" s="28"/>
      <c r="WPS25" s="28"/>
      <c r="WPT25" s="28"/>
      <c r="WPU25" s="28"/>
      <c r="WPV25" s="28"/>
      <c r="WPW25" s="28"/>
      <c r="WPX25" s="28"/>
      <c r="WPY25" s="28"/>
      <c r="WPZ25" s="28"/>
      <c r="WQA25" s="28"/>
      <c r="WQB25" s="28"/>
      <c r="WQC25" s="28"/>
      <c r="WQD25" s="28"/>
      <c r="WQE25" s="28"/>
      <c r="WQF25" s="28"/>
      <c r="WQG25" s="28"/>
      <c r="WQH25" s="28"/>
      <c r="WQI25" s="28"/>
      <c r="WQJ25" s="28"/>
      <c r="WQK25" s="28"/>
      <c r="WQL25" s="28"/>
      <c r="WQM25" s="28"/>
      <c r="WQN25" s="28"/>
      <c r="WQO25" s="28"/>
      <c r="WQP25" s="28"/>
      <c r="WQQ25" s="28"/>
      <c r="WQR25" s="28"/>
      <c r="WQS25" s="28"/>
      <c r="WQT25" s="28"/>
      <c r="WQU25" s="28"/>
      <c r="WQV25" s="28"/>
      <c r="WQW25" s="28"/>
      <c r="WQX25" s="28"/>
      <c r="WQY25" s="28"/>
      <c r="WQZ25" s="28"/>
      <c r="WRA25" s="28"/>
      <c r="WRB25" s="28"/>
      <c r="WRC25" s="28"/>
      <c r="WRD25" s="28"/>
      <c r="WRE25" s="28"/>
      <c r="WRF25" s="28"/>
      <c r="WRG25" s="28"/>
      <c r="WRH25" s="28"/>
      <c r="WRI25" s="28"/>
      <c r="WRJ25" s="28"/>
      <c r="WRK25" s="28"/>
      <c r="WRL25" s="28"/>
      <c r="WRM25" s="28"/>
      <c r="WRN25" s="28"/>
      <c r="WRO25" s="28"/>
      <c r="WRP25" s="28"/>
      <c r="WRQ25" s="28"/>
      <c r="WRR25" s="28"/>
      <c r="WRS25" s="28"/>
      <c r="WRT25" s="28"/>
      <c r="WRU25" s="28"/>
      <c r="WRV25" s="28"/>
      <c r="WRW25" s="28"/>
      <c r="WRX25" s="28"/>
      <c r="WRY25" s="28"/>
      <c r="WRZ25" s="28"/>
      <c r="WSA25" s="28"/>
      <c r="WSB25" s="28"/>
      <c r="WSC25" s="28"/>
      <c r="WSD25" s="28"/>
      <c r="WSE25" s="28"/>
      <c r="WSF25" s="28"/>
      <c r="WSG25" s="28"/>
      <c r="WSH25" s="28"/>
      <c r="WSI25" s="28"/>
      <c r="WSJ25" s="28"/>
      <c r="WSK25" s="28"/>
      <c r="WSL25" s="28"/>
      <c r="WSM25" s="28"/>
      <c r="WSN25" s="28"/>
      <c r="WSO25" s="28"/>
      <c r="WSP25" s="28"/>
      <c r="WSQ25" s="28"/>
      <c r="WSR25" s="28"/>
      <c r="WSS25" s="28"/>
      <c r="WST25" s="28"/>
      <c r="WSU25" s="28"/>
      <c r="WSV25" s="28"/>
      <c r="WSW25" s="28"/>
      <c r="WSX25" s="28"/>
      <c r="WSY25" s="28"/>
      <c r="WSZ25" s="28"/>
      <c r="WTA25" s="28"/>
      <c r="WTB25" s="28"/>
      <c r="WTC25" s="28"/>
      <c r="WTD25" s="28"/>
      <c r="WTE25" s="28"/>
      <c r="WTF25" s="28"/>
      <c r="WTG25" s="28"/>
      <c r="WTH25" s="28"/>
      <c r="WTI25" s="28"/>
      <c r="WTJ25" s="28"/>
      <c r="WTK25" s="28"/>
      <c r="WTL25" s="28"/>
      <c r="WTM25" s="28"/>
      <c r="WTN25" s="28"/>
      <c r="WTO25" s="28"/>
      <c r="WTP25" s="28"/>
      <c r="WTQ25" s="28"/>
      <c r="WTR25" s="28"/>
      <c r="WTS25" s="28"/>
      <c r="WTT25" s="28"/>
      <c r="WTU25" s="28"/>
      <c r="WTV25" s="28"/>
      <c r="WTW25" s="28"/>
      <c r="WTX25" s="28"/>
      <c r="WTY25" s="28"/>
      <c r="WTZ25" s="28"/>
      <c r="WUA25" s="28"/>
      <c r="WUB25" s="28"/>
      <c r="WUC25" s="28"/>
      <c r="WUD25" s="28"/>
      <c r="WUE25" s="28"/>
      <c r="WUF25" s="28"/>
      <c r="WUG25" s="28"/>
      <c r="WUH25" s="28"/>
      <c r="WUI25" s="28"/>
      <c r="WUJ25" s="28"/>
      <c r="WUK25" s="28"/>
      <c r="WUL25" s="28"/>
      <c r="WUM25" s="28"/>
      <c r="WUN25" s="28"/>
      <c r="WUO25" s="28"/>
      <c r="WUP25" s="28"/>
      <c r="WUQ25" s="28"/>
      <c r="WUR25" s="28"/>
      <c r="WUS25" s="28"/>
      <c r="WUT25" s="28"/>
      <c r="WUU25" s="28"/>
      <c r="WUV25" s="28"/>
      <c r="WUW25" s="28"/>
      <c r="WUX25" s="28"/>
      <c r="WUY25" s="28"/>
      <c r="WUZ25" s="28"/>
      <c r="WVA25" s="28"/>
      <c r="WVB25" s="28"/>
      <c r="WVC25" s="28"/>
      <c r="WVD25" s="28"/>
      <c r="WVE25" s="28"/>
      <c r="WVF25" s="28"/>
      <c r="WVG25" s="28"/>
      <c r="WVH25" s="28"/>
      <c r="WVI25" s="28"/>
      <c r="WVJ25" s="28"/>
      <c r="WVK25" s="28"/>
      <c r="WVL25" s="28"/>
      <c r="WVM25" s="28"/>
      <c r="WVN25" s="28"/>
      <c r="WVO25" s="28"/>
      <c r="WVP25" s="28"/>
      <c r="WVQ25" s="28"/>
      <c r="WVR25" s="28"/>
      <c r="WVS25" s="28"/>
      <c r="WVT25" s="28"/>
      <c r="WVU25" s="28"/>
      <c r="WVV25" s="28"/>
      <c r="WVW25" s="28"/>
      <c r="WVX25" s="28"/>
      <c r="WVY25" s="28"/>
      <c r="WVZ25" s="28"/>
      <c r="WWA25" s="28"/>
      <c r="WWB25" s="28"/>
      <c r="WWC25" s="28"/>
      <c r="WWD25" s="28"/>
      <c r="WWE25" s="28"/>
      <c r="WWF25" s="28"/>
      <c r="WWG25" s="28"/>
      <c r="WWH25" s="28"/>
      <c r="WWI25" s="28"/>
      <c r="WWJ25" s="28"/>
      <c r="WWK25" s="28"/>
      <c r="WWL25" s="28"/>
      <c r="WWM25" s="28"/>
      <c r="WWN25" s="28"/>
      <c r="WWO25" s="28"/>
      <c r="WWP25" s="28"/>
      <c r="WWQ25" s="28"/>
      <c r="WWR25" s="28"/>
      <c r="WWS25" s="28"/>
      <c r="WWT25" s="28"/>
      <c r="WWU25" s="28"/>
      <c r="WWV25" s="28"/>
      <c r="WWW25" s="28"/>
      <c r="WWX25" s="28"/>
      <c r="WWY25" s="28"/>
      <c r="WWZ25" s="28"/>
      <c r="WXA25" s="28"/>
      <c r="WXB25" s="28"/>
      <c r="WXC25" s="28"/>
      <c r="WXD25" s="28"/>
      <c r="WXE25" s="28"/>
      <c r="WXF25" s="28"/>
      <c r="WXG25" s="28"/>
      <c r="WXH25" s="28"/>
      <c r="WXI25" s="28"/>
      <c r="WXJ25" s="28"/>
      <c r="WXK25" s="28"/>
      <c r="WXL25" s="28"/>
      <c r="WXM25" s="28"/>
      <c r="WXN25" s="28"/>
      <c r="WXO25" s="28"/>
      <c r="WXP25" s="28"/>
      <c r="WXQ25" s="28"/>
      <c r="WXR25" s="28"/>
      <c r="WXS25" s="28"/>
      <c r="WXT25" s="28"/>
      <c r="WXU25" s="28"/>
      <c r="WXV25" s="28"/>
      <c r="WXW25" s="28"/>
      <c r="WXX25" s="28"/>
      <c r="WXY25" s="28"/>
      <c r="WXZ25" s="28"/>
      <c r="WYA25" s="28"/>
      <c r="WYB25" s="28"/>
      <c r="WYC25" s="28"/>
      <c r="WYD25" s="28"/>
      <c r="WYE25" s="28"/>
      <c r="WYF25" s="28"/>
      <c r="WYG25" s="28"/>
      <c r="WYH25" s="28"/>
      <c r="WYI25" s="28"/>
      <c r="WYJ25" s="28"/>
      <c r="WYK25" s="28"/>
      <c r="WYL25" s="28"/>
      <c r="WYM25" s="28"/>
      <c r="WYN25" s="28"/>
      <c r="WYO25" s="28"/>
      <c r="WYP25" s="28"/>
      <c r="WYQ25" s="28"/>
      <c r="WYR25" s="28"/>
      <c r="WYS25" s="28"/>
      <c r="WYT25" s="28"/>
      <c r="WYU25" s="28"/>
      <c r="WYV25" s="28"/>
      <c r="WYW25" s="28"/>
      <c r="WYX25" s="28"/>
      <c r="WYY25" s="28"/>
      <c r="WYZ25" s="28"/>
      <c r="WZA25" s="28"/>
      <c r="WZB25" s="28"/>
      <c r="WZC25" s="28"/>
      <c r="WZD25" s="28"/>
      <c r="WZE25" s="28"/>
      <c r="WZF25" s="28"/>
      <c r="WZG25" s="28"/>
      <c r="WZH25" s="28"/>
      <c r="WZI25" s="28"/>
      <c r="WZJ25" s="28"/>
      <c r="WZK25" s="28"/>
      <c r="WZL25" s="28"/>
      <c r="WZM25" s="28"/>
      <c r="WZN25" s="28"/>
      <c r="WZO25" s="28"/>
      <c r="WZP25" s="28"/>
      <c r="WZQ25" s="28"/>
      <c r="WZR25" s="28"/>
      <c r="WZS25" s="28"/>
      <c r="WZT25" s="28"/>
      <c r="WZU25" s="28"/>
      <c r="WZV25" s="28"/>
      <c r="WZW25" s="28"/>
      <c r="WZX25" s="28"/>
      <c r="WZY25" s="28"/>
      <c r="WZZ25" s="28"/>
      <c r="XAA25" s="28"/>
      <c r="XAB25" s="28"/>
      <c r="XAC25" s="28"/>
      <c r="XAD25" s="28"/>
      <c r="XAE25" s="28"/>
      <c r="XAF25" s="28"/>
      <c r="XAG25" s="28"/>
      <c r="XAH25" s="28"/>
      <c r="XAI25" s="28"/>
      <c r="XAJ25" s="28"/>
      <c r="XAK25" s="28"/>
      <c r="XAL25" s="28"/>
      <c r="XAM25" s="28"/>
      <c r="XAN25" s="28"/>
      <c r="XAO25" s="28"/>
      <c r="XAP25" s="28"/>
      <c r="XAQ25" s="28"/>
      <c r="XAR25" s="28"/>
      <c r="XAS25" s="28"/>
      <c r="XAT25" s="28"/>
      <c r="XAU25" s="28"/>
      <c r="XAV25" s="28"/>
      <c r="XAW25" s="28"/>
      <c r="XAX25" s="28"/>
      <c r="XAY25" s="28"/>
      <c r="XAZ25" s="28"/>
      <c r="XBA25" s="28"/>
      <c r="XBB25" s="28"/>
      <c r="XBC25" s="28"/>
      <c r="XBD25" s="28"/>
      <c r="XBE25" s="28"/>
      <c r="XBF25" s="28"/>
      <c r="XBG25" s="28"/>
      <c r="XBH25" s="28"/>
      <c r="XBI25" s="28"/>
      <c r="XBJ25" s="28"/>
      <c r="XBK25" s="28"/>
      <c r="XBL25" s="28"/>
      <c r="XBM25" s="28"/>
      <c r="XBN25" s="28"/>
      <c r="XBO25" s="28"/>
      <c r="XBP25" s="28"/>
      <c r="XBQ25" s="28"/>
      <c r="XBR25" s="28"/>
      <c r="XBS25" s="28"/>
      <c r="XBT25" s="28"/>
      <c r="XBU25" s="28"/>
      <c r="XBV25" s="28"/>
      <c r="XBW25" s="28"/>
      <c r="XBX25" s="28"/>
      <c r="XBY25" s="28"/>
      <c r="XBZ25" s="28"/>
      <c r="XCA25" s="28"/>
      <c r="XCB25" s="28"/>
      <c r="XCC25" s="28"/>
      <c r="XCD25" s="28"/>
      <c r="XCE25" s="28"/>
      <c r="XCF25" s="28"/>
      <c r="XCG25" s="28"/>
      <c r="XCH25" s="28"/>
      <c r="XCI25" s="28"/>
      <c r="XCJ25" s="28"/>
      <c r="XCK25" s="28"/>
      <c r="XCL25" s="28"/>
      <c r="XCM25" s="28"/>
      <c r="XCN25" s="28"/>
      <c r="XCO25" s="28"/>
      <c r="XCP25" s="28"/>
      <c r="XCQ25" s="28"/>
      <c r="XCR25" s="28"/>
      <c r="XCS25" s="28"/>
      <c r="XCT25" s="28"/>
      <c r="XCU25" s="28"/>
      <c r="XCV25" s="28"/>
      <c r="XCW25" s="28"/>
      <c r="XCX25" s="28"/>
      <c r="XCY25" s="28"/>
      <c r="XCZ25" s="28"/>
      <c r="XDA25" s="28"/>
      <c r="XDB25" s="28"/>
      <c r="XDC25" s="28"/>
      <c r="XDD25" s="28"/>
      <c r="XDE25" s="28"/>
      <c r="XDF25" s="28"/>
      <c r="XDG25" s="28"/>
      <c r="XDH25" s="28"/>
      <c r="XDI25" s="28"/>
      <c r="XDJ25" s="28"/>
      <c r="XDK25" s="28"/>
      <c r="XDL25" s="28"/>
      <c r="XDM25" s="28"/>
      <c r="XDN25" s="28"/>
      <c r="XDO25" s="28"/>
      <c r="XDP25" s="28"/>
      <c r="XDQ25" s="28"/>
      <c r="XDR25" s="28"/>
      <c r="XDS25" s="28"/>
      <c r="XDT25" s="28"/>
      <c r="XDU25" s="28"/>
      <c r="XDV25" s="28"/>
      <c r="XDW25" s="28"/>
      <c r="XDX25" s="28"/>
      <c r="XDY25" s="28"/>
      <c r="XDZ25" s="28"/>
      <c r="XEA25" s="28"/>
      <c r="XEB25" s="28"/>
      <c r="XEC25" s="28"/>
      <c r="XED25" s="28"/>
      <c r="XEE25" s="28"/>
      <c r="XEF25" s="28"/>
      <c r="XEG25" s="28"/>
      <c r="XEH25" s="28"/>
      <c r="XEI25" s="28"/>
      <c r="XEJ25" s="28"/>
      <c r="XEK25" s="28"/>
      <c r="XEL25" s="28"/>
      <c r="XEM25" s="28"/>
      <c r="XEN25" s="28"/>
      <c r="XEO25" s="28"/>
      <c r="XEP25" s="28"/>
      <c r="XEQ25" s="28"/>
      <c r="XER25" s="28"/>
    </row>
    <row r="26" spans="2:16382" ht="15.95" customHeight="1" thickBot="1" x14ac:dyDescent="0.3">
      <c r="B26" s="239"/>
      <c r="C26" s="47"/>
      <c r="D26" s="175" t="s">
        <v>4</v>
      </c>
      <c r="E26" s="177" t="s">
        <v>41</v>
      </c>
      <c r="F26" s="177">
        <v>143.88999999999999</v>
      </c>
      <c r="G26" s="177"/>
      <c r="H26" s="177"/>
      <c r="I26" s="177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28"/>
      <c r="CC26" s="28"/>
      <c r="CD26" s="28"/>
      <c r="CE26" s="28"/>
      <c r="CF26" s="28"/>
      <c r="CG26" s="28"/>
      <c r="CH26" s="28"/>
      <c r="CI26" s="28"/>
      <c r="CJ26" s="28"/>
      <c r="CK26" s="28"/>
      <c r="CL26" s="28"/>
      <c r="CM26" s="28"/>
      <c r="CN26" s="28"/>
      <c r="CO26" s="28"/>
      <c r="CP26" s="28"/>
      <c r="CQ26" s="28"/>
      <c r="CR26" s="28"/>
      <c r="CS26" s="28"/>
      <c r="CT26" s="28"/>
      <c r="CU26" s="28"/>
      <c r="CV26" s="28"/>
      <c r="CW26" s="28"/>
      <c r="CX26" s="28"/>
      <c r="CY26" s="28"/>
      <c r="CZ26" s="28"/>
      <c r="DA26" s="28"/>
      <c r="DB26" s="28"/>
      <c r="DC26" s="28"/>
      <c r="DD26" s="28"/>
      <c r="DE26" s="28"/>
      <c r="DF26" s="28"/>
      <c r="DG26" s="28"/>
      <c r="DH26" s="28"/>
      <c r="DI26" s="28"/>
      <c r="DJ26" s="28"/>
      <c r="DK26" s="28"/>
      <c r="DL26" s="28"/>
      <c r="DM26" s="28"/>
      <c r="DN26" s="28"/>
      <c r="DO26" s="28"/>
      <c r="DP26" s="28"/>
      <c r="DQ26" s="28"/>
      <c r="DR26" s="28"/>
      <c r="DS26" s="28"/>
      <c r="DT26" s="28"/>
      <c r="DU26" s="28"/>
      <c r="DV26" s="28"/>
      <c r="DW26" s="28"/>
      <c r="DX26" s="28"/>
      <c r="DY26" s="28"/>
      <c r="DZ26" s="28"/>
      <c r="EA26" s="28"/>
      <c r="EB26" s="28"/>
      <c r="EC26" s="28"/>
      <c r="ED26" s="28"/>
      <c r="EE26" s="28"/>
      <c r="EF26" s="28"/>
      <c r="EG26" s="28"/>
      <c r="EH26" s="28"/>
      <c r="EI26" s="28"/>
      <c r="EJ26" s="28"/>
      <c r="EK26" s="28"/>
      <c r="EL26" s="28"/>
      <c r="EM26" s="28"/>
      <c r="EN26" s="28"/>
      <c r="EO26" s="28"/>
      <c r="EP26" s="28"/>
      <c r="EQ26" s="28"/>
      <c r="ER26" s="28"/>
      <c r="ES26" s="28"/>
      <c r="ET26" s="28"/>
      <c r="EU26" s="28"/>
      <c r="EV26" s="28"/>
      <c r="EW26" s="28"/>
      <c r="EX26" s="28"/>
      <c r="EY26" s="28"/>
      <c r="EZ26" s="28"/>
      <c r="FA26" s="28"/>
      <c r="FB26" s="28"/>
      <c r="FC26" s="28"/>
      <c r="FD26" s="28"/>
      <c r="FE26" s="28"/>
      <c r="FF26" s="28"/>
      <c r="FG26" s="28"/>
      <c r="FH26" s="28"/>
      <c r="FI26" s="28"/>
      <c r="FJ26" s="28"/>
      <c r="FK26" s="28"/>
      <c r="FL26" s="28"/>
      <c r="FM26" s="28"/>
      <c r="FN26" s="28"/>
      <c r="FO26" s="28"/>
      <c r="FP26" s="28"/>
      <c r="FQ26" s="28"/>
      <c r="FR26" s="28"/>
      <c r="FS26" s="28"/>
      <c r="FT26" s="28"/>
      <c r="FU26" s="28"/>
      <c r="FV26" s="28"/>
      <c r="FW26" s="28"/>
      <c r="FX26" s="28"/>
      <c r="FY26" s="28"/>
      <c r="FZ26" s="28"/>
      <c r="GA26" s="28"/>
      <c r="GB26" s="28"/>
      <c r="GC26" s="28"/>
      <c r="GD26" s="28"/>
      <c r="GE26" s="28"/>
      <c r="GF26" s="28"/>
      <c r="GG26" s="28"/>
      <c r="GH26" s="28"/>
      <c r="GI26" s="28"/>
      <c r="GJ26" s="28"/>
      <c r="GK26" s="28"/>
      <c r="GL26" s="28"/>
      <c r="GM26" s="28"/>
      <c r="GN26" s="28"/>
      <c r="GO26" s="28"/>
      <c r="GP26" s="28"/>
      <c r="GQ26" s="28"/>
      <c r="GR26" s="28"/>
      <c r="GS26" s="28"/>
      <c r="GT26" s="28"/>
      <c r="GU26" s="28"/>
      <c r="GV26" s="28"/>
      <c r="GW26" s="28"/>
      <c r="GX26" s="28"/>
      <c r="GY26" s="28"/>
      <c r="GZ26" s="28"/>
      <c r="HA26" s="28"/>
      <c r="HB26" s="28"/>
      <c r="HC26" s="28"/>
      <c r="HD26" s="28"/>
      <c r="HE26" s="28"/>
      <c r="HF26" s="28"/>
      <c r="HG26" s="28"/>
      <c r="HH26" s="28"/>
      <c r="HI26" s="28"/>
      <c r="HJ26" s="28"/>
      <c r="HK26" s="28"/>
      <c r="HL26" s="28"/>
      <c r="HM26" s="28"/>
      <c r="HN26" s="28"/>
      <c r="HO26" s="28"/>
      <c r="HP26" s="28"/>
      <c r="HQ26" s="28"/>
      <c r="HR26" s="28"/>
      <c r="HS26" s="28"/>
      <c r="HT26" s="28"/>
      <c r="HU26" s="28"/>
      <c r="HV26" s="28"/>
      <c r="HW26" s="28"/>
      <c r="HX26" s="28"/>
      <c r="HY26" s="28"/>
      <c r="HZ26" s="28"/>
      <c r="IA26" s="28"/>
      <c r="IB26" s="28"/>
      <c r="IC26" s="28"/>
      <c r="ID26" s="28"/>
      <c r="IE26" s="28"/>
      <c r="IF26" s="28"/>
      <c r="IG26" s="28"/>
      <c r="IH26" s="28"/>
      <c r="II26" s="28"/>
      <c r="IJ26" s="28"/>
      <c r="IK26" s="28"/>
      <c r="IL26" s="28"/>
      <c r="IM26" s="28"/>
      <c r="IN26" s="28"/>
      <c r="IO26" s="28"/>
      <c r="IP26" s="28"/>
      <c r="IQ26" s="28"/>
      <c r="IR26" s="28"/>
      <c r="IS26" s="28"/>
      <c r="IT26" s="28"/>
      <c r="IU26" s="28"/>
      <c r="IV26" s="28"/>
      <c r="IW26" s="28"/>
      <c r="IX26" s="28"/>
      <c r="IY26" s="28"/>
      <c r="IZ26" s="28"/>
      <c r="JA26" s="28"/>
      <c r="JB26" s="28"/>
      <c r="JC26" s="28"/>
      <c r="JD26" s="28"/>
      <c r="JE26" s="28"/>
      <c r="JF26" s="28"/>
      <c r="JG26" s="28"/>
      <c r="JH26" s="28"/>
      <c r="JI26" s="28"/>
      <c r="JJ26" s="28"/>
      <c r="JK26" s="28"/>
      <c r="JL26" s="28"/>
      <c r="JM26" s="28"/>
      <c r="JN26" s="28"/>
      <c r="JO26" s="28"/>
      <c r="JP26" s="28"/>
      <c r="JQ26" s="28"/>
      <c r="JR26" s="28"/>
      <c r="JS26" s="28"/>
      <c r="JT26" s="28"/>
      <c r="JU26" s="28"/>
      <c r="JV26" s="28"/>
      <c r="JW26" s="28"/>
      <c r="JX26" s="28"/>
      <c r="JY26" s="28"/>
      <c r="JZ26" s="28"/>
      <c r="KA26" s="28"/>
      <c r="KB26" s="28"/>
      <c r="KC26" s="28"/>
      <c r="KD26" s="28"/>
      <c r="KE26" s="28"/>
      <c r="KF26" s="28"/>
      <c r="KG26" s="28"/>
      <c r="KH26" s="28"/>
      <c r="KI26" s="28"/>
      <c r="KJ26" s="28"/>
      <c r="KK26" s="28"/>
      <c r="KL26" s="28"/>
      <c r="KM26" s="28"/>
      <c r="KN26" s="28"/>
      <c r="KO26" s="28"/>
      <c r="KP26" s="28"/>
      <c r="KQ26" s="28"/>
      <c r="KR26" s="28"/>
      <c r="KS26" s="28"/>
      <c r="KT26" s="28"/>
      <c r="KU26" s="28"/>
      <c r="KV26" s="28"/>
      <c r="KW26" s="28"/>
      <c r="KX26" s="28"/>
      <c r="KY26" s="28"/>
      <c r="KZ26" s="28"/>
      <c r="LA26" s="28"/>
      <c r="LB26" s="28"/>
      <c r="LC26" s="28"/>
      <c r="LD26" s="28"/>
      <c r="LE26" s="28"/>
      <c r="LF26" s="28"/>
      <c r="LG26" s="28"/>
      <c r="LH26" s="28"/>
      <c r="LI26" s="28"/>
      <c r="LJ26" s="28"/>
      <c r="LK26" s="28"/>
      <c r="LL26" s="28"/>
      <c r="LM26" s="28"/>
      <c r="LN26" s="28"/>
      <c r="LO26" s="28"/>
      <c r="LP26" s="28"/>
      <c r="LQ26" s="28"/>
      <c r="LR26" s="28"/>
      <c r="LS26" s="28"/>
      <c r="LT26" s="28"/>
      <c r="LU26" s="28"/>
      <c r="LV26" s="28"/>
      <c r="LW26" s="28"/>
      <c r="LX26" s="28"/>
      <c r="LY26" s="28"/>
      <c r="LZ26" s="28"/>
      <c r="MA26" s="28"/>
      <c r="MB26" s="28"/>
      <c r="MC26" s="28"/>
      <c r="MD26" s="28"/>
      <c r="ME26" s="28"/>
      <c r="MF26" s="28"/>
      <c r="MG26" s="28"/>
      <c r="MH26" s="28"/>
      <c r="MI26" s="28"/>
      <c r="MJ26" s="28"/>
      <c r="MK26" s="28"/>
      <c r="ML26" s="28"/>
      <c r="MM26" s="28"/>
      <c r="MN26" s="28"/>
      <c r="MO26" s="28"/>
      <c r="MP26" s="28"/>
      <c r="MQ26" s="28"/>
      <c r="MR26" s="28"/>
      <c r="MS26" s="28"/>
      <c r="MT26" s="28"/>
      <c r="MU26" s="28"/>
      <c r="MV26" s="28"/>
      <c r="MW26" s="28"/>
      <c r="MX26" s="28"/>
      <c r="MY26" s="28"/>
      <c r="MZ26" s="28"/>
      <c r="NA26" s="28"/>
      <c r="NB26" s="28"/>
      <c r="NC26" s="28"/>
      <c r="ND26" s="28"/>
      <c r="NE26" s="28"/>
      <c r="NF26" s="28"/>
      <c r="NG26" s="28"/>
      <c r="NH26" s="28"/>
      <c r="NI26" s="28"/>
      <c r="NJ26" s="28"/>
      <c r="NK26" s="28"/>
      <c r="NL26" s="28"/>
      <c r="NM26" s="28"/>
      <c r="NN26" s="28"/>
      <c r="NO26" s="28"/>
      <c r="NP26" s="28"/>
      <c r="NQ26" s="28"/>
      <c r="NR26" s="28"/>
      <c r="NS26" s="28"/>
      <c r="NT26" s="28"/>
      <c r="NU26" s="28"/>
      <c r="NV26" s="28"/>
      <c r="NW26" s="28"/>
      <c r="NX26" s="28"/>
      <c r="NY26" s="28"/>
      <c r="NZ26" s="28"/>
      <c r="OA26" s="28"/>
      <c r="OB26" s="28"/>
      <c r="OC26" s="28"/>
      <c r="OD26" s="28"/>
      <c r="OE26" s="28"/>
      <c r="OF26" s="28"/>
      <c r="OG26" s="28"/>
      <c r="OH26" s="28"/>
      <c r="OI26" s="28"/>
      <c r="OJ26" s="28"/>
      <c r="OK26" s="28"/>
      <c r="OL26" s="28"/>
      <c r="OM26" s="28"/>
      <c r="ON26" s="28"/>
      <c r="OO26" s="28"/>
      <c r="OP26" s="28"/>
      <c r="OQ26" s="28"/>
      <c r="OR26" s="28"/>
      <c r="OS26" s="28"/>
      <c r="OT26" s="28"/>
      <c r="OU26" s="28"/>
      <c r="OV26" s="28"/>
      <c r="OW26" s="28"/>
      <c r="OX26" s="28"/>
      <c r="OY26" s="28"/>
      <c r="OZ26" s="28"/>
      <c r="PA26" s="28"/>
      <c r="PB26" s="28"/>
      <c r="PC26" s="28"/>
      <c r="PD26" s="28"/>
      <c r="PE26" s="28"/>
      <c r="PF26" s="28"/>
      <c r="PG26" s="28"/>
      <c r="PH26" s="28"/>
      <c r="PI26" s="28"/>
      <c r="PJ26" s="28"/>
      <c r="PK26" s="28"/>
      <c r="PL26" s="28"/>
      <c r="PM26" s="28"/>
      <c r="PN26" s="28"/>
      <c r="PO26" s="28"/>
      <c r="PP26" s="28"/>
      <c r="PQ26" s="28"/>
      <c r="PR26" s="28"/>
      <c r="PS26" s="28"/>
      <c r="PT26" s="28"/>
      <c r="PU26" s="28"/>
      <c r="PV26" s="28"/>
      <c r="PW26" s="28"/>
      <c r="PX26" s="28"/>
      <c r="PY26" s="28"/>
      <c r="PZ26" s="28"/>
      <c r="QA26" s="28"/>
      <c r="QB26" s="28"/>
      <c r="QC26" s="28"/>
      <c r="QD26" s="28"/>
      <c r="QE26" s="28"/>
      <c r="QF26" s="28"/>
      <c r="QG26" s="28"/>
      <c r="QH26" s="28"/>
      <c r="QI26" s="28"/>
      <c r="QJ26" s="28"/>
      <c r="QK26" s="28"/>
      <c r="QL26" s="28"/>
      <c r="QM26" s="28"/>
      <c r="QN26" s="28"/>
      <c r="QO26" s="28"/>
      <c r="QP26" s="28"/>
      <c r="QQ26" s="28"/>
      <c r="QR26" s="28"/>
      <c r="QS26" s="28"/>
      <c r="QT26" s="28"/>
      <c r="QU26" s="28"/>
      <c r="QV26" s="28"/>
      <c r="QW26" s="28"/>
      <c r="QX26" s="28"/>
      <c r="QY26" s="28"/>
      <c r="QZ26" s="28"/>
      <c r="RA26" s="28"/>
      <c r="RB26" s="28"/>
      <c r="RC26" s="28"/>
      <c r="RD26" s="28"/>
      <c r="RE26" s="28"/>
      <c r="RF26" s="28"/>
      <c r="RG26" s="28"/>
      <c r="RH26" s="28"/>
      <c r="RI26" s="28"/>
      <c r="RJ26" s="28"/>
      <c r="RK26" s="28"/>
      <c r="RL26" s="28"/>
      <c r="RM26" s="28"/>
      <c r="RN26" s="28"/>
      <c r="RO26" s="28"/>
      <c r="RP26" s="28"/>
      <c r="RQ26" s="28"/>
      <c r="RR26" s="28"/>
      <c r="RS26" s="28"/>
      <c r="RT26" s="28"/>
      <c r="RU26" s="28"/>
      <c r="RV26" s="28"/>
      <c r="RW26" s="28"/>
      <c r="RX26" s="28"/>
      <c r="RY26" s="28"/>
      <c r="RZ26" s="28"/>
      <c r="SA26" s="28"/>
      <c r="SB26" s="28"/>
      <c r="SC26" s="28"/>
      <c r="SD26" s="28"/>
      <c r="SE26" s="28"/>
      <c r="SF26" s="28"/>
      <c r="SG26" s="28"/>
      <c r="SH26" s="28"/>
      <c r="SI26" s="28"/>
      <c r="SJ26" s="28"/>
      <c r="SK26" s="28"/>
      <c r="SL26" s="28"/>
      <c r="SM26" s="28"/>
      <c r="SN26" s="28"/>
      <c r="SO26" s="28"/>
      <c r="SP26" s="28"/>
      <c r="SQ26" s="28"/>
      <c r="SR26" s="28"/>
      <c r="SS26" s="28"/>
      <c r="ST26" s="28"/>
      <c r="SU26" s="28"/>
      <c r="SV26" s="28"/>
      <c r="SW26" s="28"/>
      <c r="SX26" s="28"/>
      <c r="SY26" s="28"/>
      <c r="SZ26" s="28"/>
      <c r="TA26" s="28"/>
      <c r="TB26" s="28"/>
      <c r="TC26" s="28"/>
      <c r="TD26" s="28"/>
      <c r="TE26" s="28"/>
      <c r="TF26" s="28"/>
      <c r="TG26" s="28"/>
      <c r="TH26" s="28"/>
      <c r="TI26" s="28"/>
      <c r="TJ26" s="28"/>
      <c r="TK26" s="28"/>
      <c r="TL26" s="28"/>
      <c r="TM26" s="28"/>
      <c r="TN26" s="28"/>
      <c r="TO26" s="28"/>
      <c r="TP26" s="28"/>
      <c r="TQ26" s="28"/>
      <c r="TR26" s="28"/>
      <c r="TS26" s="28"/>
      <c r="TT26" s="28"/>
      <c r="TU26" s="28"/>
      <c r="TV26" s="28"/>
      <c r="TW26" s="28"/>
      <c r="TX26" s="28"/>
      <c r="TY26" s="28"/>
      <c r="TZ26" s="28"/>
      <c r="UA26" s="28"/>
      <c r="UB26" s="28"/>
      <c r="UC26" s="28"/>
      <c r="UD26" s="28"/>
      <c r="UE26" s="28"/>
      <c r="UF26" s="28"/>
      <c r="UG26" s="28"/>
      <c r="UH26" s="28"/>
      <c r="UI26" s="28"/>
      <c r="UJ26" s="28"/>
      <c r="UK26" s="28"/>
      <c r="UL26" s="28"/>
      <c r="UM26" s="28"/>
      <c r="UN26" s="28"/>
      <c r="UO26" s="28"/>
      <c r="UP26" s="28"/>
      <c r="UQ26" s="28"/>
      <c r="UR26" s="28"/>
      <c r="US26" s="28"/>
      <c r="UT26" s="28"/>
      <c r="UU26" s="28"/>
      <c r="UV26" s="28"/>
      <c r="UW26" s="28"/>
      <c r="UX26" s="28"/>
      <c r="UY26" s="28"/>
      <c r="UZ26" s="28"/>
      <c r="VA26" s="28"/>
      <c r="VB26" s="28"/>
      <c r="VC26" s="28"/>
      <c r="VD26" s="28"/>
      <c r="VE26" s="28"/>
      <c r="VF26" s="28"/>
      <c r="VG26" s="28"/>
      <c r="VH26" s="28"/>
      <c r="VI26" s="28"/>
      <c r="VJ26" s="28"/>
      <c r="VK26" s="28"/>
      <c r="VL26" s="28"/>
      <c r="VM26" s="28"/>
      <c r="VN26" s="28"/>
      <c r="VO26" s="28"/>
      <c r="VP26" s="28"/>
      <c r="VQ26" s="28"/>
      <c r="VR26" s="28"/>
      <c r="VS26" s="28"/>
      <c r="VT26" s="28"/>
      <c r="VU26" s="28"/>
      <c r="VV26" s="28"/>
      <c r="VW26" s="28"/>
      <c r="VX26" s="28"/>
      <c r="VY26" s="28"/>
      <c r="VZ26" s="28"/>
      <c r="WA26" s="28"/>
      <c r="WB26" s="28"/>
      <c r="WC26" s="28"/>
      <c r="WD26" s="28"/>
      <c r="WE26" s="28"/>
      <c r="WF26" s="28"/>
      <c r="WG26" s="28"/>
      <c r="WH26" s="28"/>
      <c r="WI26" s="28"/>
      <c r="WJ26" s="28"/>
      <c r="WK26" s="28"/>
      <c r="WL26" s="28"/>
      <c r="WM26" s="28"/>
      <c r="WN26" s="28"/>
      <c r="WO26" s="28"/>
      <c r="WP26" s="28"/>
      <c r="WQ26" s="28"/>
      <c r="WR26" s="28"/>
      <c r="WS26" s="28"/>
      <c r="WT26" s="28"/>
      <c r="WU26" s="28"/>
      <c r="WV26" s="28"/>
      <c r="WW26" s="28"/>
      <c r="WX26" s="28"/>
      <c r="WY26" s="28"/>
      <c r="WZ26" s="28"/>
      <c r="XA26" s="28"/>
      <c r="XB26" s="28"/>
      <c r="XC26" s="28"/>
      <c r="XD26" s="28"/>
      <c r="XE26" s="28"/>
      <c r="XF26" s="28"/>
      <c r="XG26" s="28"/>
      <c r="XH26" s="28"/>
      <c r="XI26" s="28"/>
      <c r="XJ26" s="28"/>
      <c r="XK26" s="28"/>
      <c r="XL26" s="28"/>
      <c r="XM26" s="28"/>
      <c r="XN26" s="28"/>
      <c r="XO26" s="28"/>
      <c r="XP26" s="28"/>
      <c r="XQ26" s="28"/>
      <c r="XR26" s="28"/>
      <c r="XS26" s="28"/>
      <c r="XT26" s="28"/>
      <c r="XU26" s="28"/>
      <c r="XV26" s="28"/>
      <c r="XW26" s="28"/>
      <c r="XX26" s="28"/>
      <c r="XY26" s="28"/>
      <c r="XZ26" s="28"/>
      <c r="YA26" s="28"/>
      <c r="YB26" s="28"/>
      <c r="YC26" s="28"/>
      <c r="YD26" s="28"/>
      <c r="YE26" s="28"/>
      <c r="YF26" s="28"/>
      <c r="YG26" s="28"/>
      <c r="YH26" s="28"/>
      <c r="YI26" s="28"/>
      <c r="YJ26" s="28"/>
      <c r="YK26" s="28"/>
      <c r="YL26" s="28"/>
      <c r="YM26" s="28"/>
      <c r="YN26" s="28"/>
      <c r="YO26" s="28"/>
      <c r="YP26" s="28"/>
      <c r="YQ26" s="28"/>
      <c r="YR26" s="28"/>
      <c r="YS26" s="28"/>
      <c r="YT26" s="28"/>
      <c r="YU26" s="28"/>
      <c r="YV26" s="28"/>
      <c r="YW26" s="28"/>
      <c r="YX26" s="28"/>
      <c r="YY26" s="28"/>
      <c r="YZ26" s="28"/>
      <c r="ZA26" s="28"/>
      <c r="ZB26" s="28"/>
      <c r="ZC26" s="28"/>
      <c r="ZD26" s="28"/>
      <c r="ZE26" s="28"/>
      <c r="ZF26" s="28"/>
      <c r="ZG26" s="28"/>
      <c r="ZH26" s="28"/>
      <c r="ZI26" s="28"/>
      <c r="ZJ26" s="28"/>
      <c r="ZK26" s="28"/>
      <c r="ZL26" s="28"/>
      <c r="ZM26" s="28"/>
      <c r="ZN26" s="28"/>
      <c r="ZO26" s="28"/>
      <c r="ZP26" s="28"/>
      <c r="ZQ26" s="28"/>
      <c r="ZR26" s="28"/>
      <c r="ZS26" s="28"/>
      <c r="ZT26" s="28"/>
      <c r="ZU26" s="28"/>
      <c r="ZV26" s="28"/>
      <c r="ZW26" s="28"/>
      <c r="ZX26" s="28"/>
      <c r="ZY26" s="28"/>
      <c r="ZZ26" s="28"/>
      <c r="AAA26" s="28"/>
      <c r="AAB26" s="28"/>
      <c r="AAC26" s="28"/>
      <c r="AAD26" s="28"/>
      <c r="AAE26" s="28"/>
      <c r="AAF26" s="28"/>
      <c r="AAG26" s="28"/>
      <c r="AAH26" s="28"/>
      <c r="AAI26" s="28"/>
      <c r="AAJ26" s="28"/>
      <c r="AAK26" s="28"/>
      <c r="AAL26" s="28"/>
      <c r="AAM26" s="28"/>
      <c r="AAN26" s="28"/>
      <c r="AAO26" s="28"/>
      <c r="AAP26" s="28"/>
      <c r="AAQ26" s="28"/>
      <c r="AAR26" s="28"/>
      <c r="AAS26" s="28"/>
      <c r="AAT26" s="28"/>
      <c r="AAU26" s="28"/>
      <c r="AAV26" s="28"/>
      <c r="AAW26" s="28"/>
      <c r="AAX26" s="28"/>
      <c r="AAY26" s="28"/>
      <c r="AAZ26" s="28"/>
      <c r="ABA26" s="28"/>
      <c r="ABB26" s="28"/>
      <c r="ABC26" s="28"/>
      <c r="ABD26" s="28"/>
      <c r="ABE26" s="28"/>
      <c r="ABF26" s="28"/>
      <c r="ABG26" s="28"/>
      <c r="ABH26" s="28"/>
      <c r="ABI26" s="28"/>
      <c r="ABJ26" s="28"/>
      <c r="ABK26" s="28"/>
      <c r="ABL26" s="28"/>
      <c r="ABM26" s="28"/>
      <c r="ABN26" s="28"/>
      <c r="ABO26" s="28"/>
      <c r="ABP26" s="28"/>
      <c r="ABQ26" s="28"/>
      <c r="ABR26" s="28"/>
      <c r="ABS26" s="28"/>
      <c r="ABT26" s="28"/>
      <c r="ABU26" s="28"/>
      <c r="ABV26" s="28"/>
      <c r="ABW26" s="28"/>
      <c r="ABX26" s="28"/>
      <c r="ABY26" s="28"/>
      <c r="ABZ26" s="28"/>
      <c r="ACA26" s="28"/>
      <c r="ACB26" s="28"/>
      <c r="ACC26" s="28"/>
      <c r="ACD26" s="28"/>
      <c r="ACE26" s="28"/>
      <c r="ACF26" s="28"/>
      <c r="ACG26" s="28"/>
      <c r="ACH26" s="28"/>
      <c r="ACI26" s="28"/>
      <c r="ACJ26" s="28"/>
      <c r="ACK26" s="28"/>
      <c r="ACL26" s="28"/>
      <c r="ACM26" s="28"/>
      <c r="ACN26" s="28"/>
      <c r="ACO26" s="28"/>
      <c r="ACP26" s="28"/>
      <c r="ACQ26" s="28"/>
      <c r="ACR26" s="28"/>
      <c r="ACS26" s="28"/>
      <c r="ACT26" s="28"/>
      <c r="ACU26" s="28"/>
      <c r="ACV26" s="28"/>
      <c r="ACW26" s="28"/>
      <c r="ACX26" s="28"/>
      <c r="ACY26" s="28"/>
      <c r="ACZ26" s="28"/>
      <c r="ADA26" s="28"/>
      <c r="ADB26" s="28"/>
      <c r="ADC26" s="28"/>
      <c r="ADD26" s="28"/>
      <c r="ADE26" s="28"/>
      <c r="ADF26" s="28"/>
      <c r="ADG26" s="28"/>
      <c r="ADH26" s="28"/>
      <c r="ADI26" s="28"/>
      <c r="ADJ26" s="28"/>
      <c r="ADK26" s="28"/>
      <c r="ADL26" s="28"/>
      <c r="ADM26" s="28"/>
      <c r="ADN26" s="28"/>
      <c r="ADO26" s="28"/>
      <c r="ADP26" s="28"/>
      <c r="ADQ26" s="28"/>
      <c r="ADR26" s="28"/>
      <c r="ADS26" s="28"/>
      <c r="ADT26" s="28"/>
      <c r="ADU26" s="28"/>
      <c r="ADV26" s="28"/>
      <c r="ADW26" s="28"/>
      <c r="ADX26" s="28"/>
      <c r="ADY26" s="28"/>
      <c r="ADZ26" s="28"/>
      <c r="AEA26" s="28"/>
      <c r="AEB26" s="28"/>
      <c r="AEC26" s="28"/>
      <c r="AED26" s="28"/>
      <c r="AEE26" s="28"/>
      <c r="AEF26" s="28"/>
      <c r="AEG26" s="28"/>
      <c r="AEH26" s="28"/>
      <c r="AEI26" s="28"/>
      <c r="AEJ26" s="28"/>
      <c r="AEK26" s="28"/>
      <c r="AEL26" s="28"/>
      <c r="AEM26" s="28"/>
      <c r="AEN26" s="28"/>
      <c r="AEO26" s="28"/>
      <c r="AEP26" s="28"/>
      <c r="AEQ26" s="28"/>
      <c r="AER26" s="28"/>
      <c r="AES26" s="28"/>
      <c r="AET26" s="28"/>
      <c r="AEU26" s="28"/>
      <c r="AEV26" s="28"/>
      <c r="AEW26" s="28"/>
      <c r="AEX26" s="28"/>
      <c r="AEY26" s="28"/>
      <c r="AEZ26" s="28"/>
      <c r="AFA26" s="28"/>
      <c r="AFB26" s="28"/>
      <c r="AFC26" s="28"/>
      <c r="AFD26" s="28"/>
      <c r="AFE26" s="28"/>
      <c r="AFF26" s="28"/>
      <c r="AFG26" s="28"/>
      <c r="AFH26" s="28"/>
      <c r="AFI26" s="28"/>
      <c r="AFJ26" s="28"/>
      <c r="AFK26" s="28"/>
      <c r="AFL26" s="28"/>
      <c r="AFM26" s="28"/>
      <c r="AFN26" s="28"/>
      <c r="AFO26" s="28"/>
      <c r="AFP26" s="28"/>
      <c r="AFQ26" s="28"/>
      <c r="AFR26" s="28"/>
      <c r="AFS26" s="28"/>
      <c r="AFT26" s="28"/>
      <c r="AFU26" s="28"/>
      <c r="AFV26" s="28"/>
      <c r="AFW26" s="28"/>
      <c r="AFX26" s="28"/>
      <c r="AFY26" s="28"/>
      <c r="AFZ26" s="28"/>
      <c r="AGA26" s="28"/>
      <c r="AGB26" s="28"/>
      <c r="AGC26" s="28"/>
      <c r="AGD26" s="28"/>
      <c r="AGE26" s="28"/>
      <c r="AGF26" s="28"/>
      <c r="AGG26" s="28"/>
      <c r="AGH26" s="28"/>
      <c r="AGI26" s="28"/>
      <c r="AGJ26" s="28"/>
      <c r="AGK26" s="28"/>
      <c r="AGL26" s="28"/>
      <c r="AGM26" s="28"/>
      <c r="AGN26" s="28"/>
      <c r="AGO26" s="28"/>
      <c r="AGP26" s="28"/>
      <c r="AGQ26" s="28"/>
      <c r="AGR26" s="28"/>
      <c r="AGS26" s="28"/>
      <c r="AGT26" s="28"/>
      <c r="AGU26" s="28"/>
      <c r="AGV26" s="28"/>
      <c r="AGW26" s="28"/>
      <c r="AGX26" s="28"/>
      <c r="AGY26" s="28"/>
      <c r="AGZ26" s="28"/>
      <c r="AHA26" s="28"/>
      <c r="AHB26" s="28"/>
      <c r="AHC26" s="28"/>
      <c r="AHD26" s="28"/>
      <c r="AHE26" s="28"/>
      <c r="AHF26" s="28"/>
      <c r="AHG26" s="28"/>
      <c r="AHH26" s="28"/>
      <c r="AHI26" s="28"/>
      <c r="AHJ26" s="28"/>
      <c r="AHK26" s="28"/>
      <c r="AHL26" s="28"/>
      <c r="AHM26" s="28"/>
      <c r="AHN26" s="28"/>
      <c r="AHO26" s="28"/>
      <c r="AHP26" s="28"/>
      <c r="AHQ26" s="28"/>
      <c r="AHR26" s="28"/>
      <c r="AHS26" s="28"/>
      <c r="AHT26" s="28"/>
      <c r="AHU26" s="28"/>
      <c r="AHV26" s="28"/>
      <c r="AHW26" s="28"/>
      <c r="AHX26" s="28"/>
      <c r="AHY26" s="28"/>
      <c r="AHZ26" s="28"/>
      <c r="AIA26" s="28"/>
      <c r="AIB26" s="28"/>
      <c r="AIC26" s="28"/>
      <c r="AID26" s="28"/>
      <c r="AIE26" s="28"/>
      <c r="AIF26" s="28"/>
      <c r="AIG26" s="28"/>
      <c r="AIH26" s="28"/>
      <c r="AII26" s="28"/>
      <c r="AIJ26" s="28"/>
      <c r="AIK26" s="28"/>
      <c r="AIL26" s="28"/>
      <c r="AIM26" s="28"/>
      <c r="AIN26" s="28"/>
      <c r="AIO26" s="28"/>
      <c r="AIP26" s="28"/>
      <c r="AIQ26" s="28"/>
      <c r="AIR26" s="28"/>
      <c r="AIS26" s="28"/>
      <c r="AIT26" s="28"/>
      <c r="AIU26" s="28"/>
      <c r="AIV26" s="28"/>
      <c r="AIW26" s="28"/>
      <c r="AIX26" s="28"/>
      <c r="AIY26" s="28"/>
      <c r="AIZ26" s="28"/>
      <c r="AJA26" s="28"/>
      <c r="AJB26" s="28"/>
      <c r="AJC26" s="28"/>
      <c r="AJD26" s="28"/>
      <c r="AJE26" s="28"/>
      <c r="AJF26" s="28"/>
      <c r="AJG26" s="28"/>
      <c r="AJH26" s="28"/>
      <c r="AJI26" s="28"/>
      <c r="AJJ26" s="28"/>
      <c r="AJK26" s="28"/>
      <c r="AJL26" s="28"/>
      <c r="AJM26" s="28"/>
      <c r="AJN26" s="28"/>
      <c r="AJO26" s="28"/>
      <c r="AJP26" s="28"/>
      <c r="AJQ26" s="28"/>
      <c r="AJR26" s="28"/>
      <c r="AJS26" s="28"/>
      <c r="AJT26" s="28"/>
      <c r="AJU26" s="28"/>
      <c r="AJV26" s="28"/>
      <c r="AJW26" s="28"/>
      <c r="AJX26" s="28"/>
      <c r="AJY26" s="28"/>
      <c r="AJZ26" s="28"/>
      <c r="AKA26" s="28"/>
      <c r="AKB26" s="28"/>
      <c r="AKC26" s="28"/>
      <c r="AKD26" s="28"/>
      <c r="AKE26" s="28"/>
      <c r="AKF26" s="28"/>
      <c r="AKG26" s="28"/>
      <c r="AKH26" s="28"/>
      <c r="AKI26" s="28"/>
      <c r="AKJ26" s="28"/>
      <c r="AKK26" s="28"/>
      <c r="AKL26" s="28"/>
      <c r="AKM26" s="28"/>
      <c r="AKN26" s="28"/>
      <c r="AKO26" s="28"/>
      <c r="AKP26" s="28"/>
      <c r="AKQ26" s="28"/>
      <c r="AKR26" s="28"/>
      <c r="AKS26" s="28"/>
      <c r="AKT26" s="28"/>
      <c r="AKU26" s="28"/>
      <c r="AKV26" s="28"/>
      <c r="AKW26" s="28"/>
      <c r="AKX26" s="28"/>
      <c r="AKY26" s="28"/>
      <c r="AKZ26" s="28"/>
      <c r="ALA26" s="28"/>
      <c r="ALB26" s="28"/>
      <c r="ALC26" s="28"/>
      <c r="ALD26" s="28"/>
      <c r="ALE26" s="28"/>
      <c r="ALF26" s="28"/>
      <c r="ALG26" s="28"/>
      <c r="ALH26" s="28"/>
      <c r="ALI26" s="28"/>
      <c r="ALJ26" s="28"/>
      <c r="ALK26" s="28"/>
      <c r="ALL26" s="28"/>
      <c r="ALM26" s="28"/>
      <c r="ALN26" s="28"/>
      <c r="ALO26" s="28"/>
      <c r="ALP26" s="28"/>
      <c r="ALQ26" s="28"/>
      <c r="ALR26" s="28"/>
      <c r="ALS26" s="28"/>
      <c r="ALT26" s="28"/>
      <c r="ALU26" s="28"/>
      <c r="ALV26" s="28"/>
      <c r="ALW26" s="28"/>
      <c r="ALX26" s="28"/>
      <c r="ALY26" s="28"/>
      <c r="ALZ26" s="28"/>
      <c r="AMA26" s="28"/>
      <c r="AMB26" s="28"/>
      <c r="AMC26" s="28"/>
      <c r="AMD26" s="28"/>
      <c r="AME26" s="28"/>
      <c r="AMF26" s="28"/>
      <c r="AMG26" s="28"/>
      <c r="AMH26" s="28"/>
      <c r="AMI26" s="28"/>
      <c r="AMJ26" s="28"/>
      <c r="AMK26" s="28"/>
      <c r="AML26" s="28"/>
      <c r="AMM26" s="28"/>
      <c r="AMN26" s="28"/>
      <c r="AMO26" s="28"/>
      <c r="AMP26" s="28"/>
      <c r="AMQ26" s="28"/>
      <c r="AMR26" s="28"/>
      <c r="AMS26" s="28"/>
      <c r="AMT26" s="28"/>
      <c r="AMU26" s="28"/>
      <c r="AMV26" s="28"/>
      <c r="AMW26" s="28"/>
      <c r="AMX26" s="28"/>
      <c r="AMY26" s="28"/>
      <c r="AMZ26" s="28"/>
      <c r="ANA26" s="28"/>
      <c r="ANB26" s="28"/>
      <c r="ANC26" s="28"/>
      <c r="AND26" s="28"/>
      <c r="ANE26" s="28"/>
      <c r="ANF26" s="28"/>
      <c r="ANG26" s="28"/>
      <c r="ANH26" s="28"/>
      <c r="ANI26" s="28"/>
      <c r="ANJ26" s="28"/>
      <c r="ANK26" s="28"/>
      <c r="ANL26" s="28"/>
      <c r="ANM26" s="28"/>
      <c r="ANN26" s="28"/>
      <c r="ANO26" s="28"/>
      <c r="ANP26" s="28"/>
      <c r="ANQ26" s="28"/>
      <c r="ANR26" s="28"/>
      <c r="ANS26" s="28"/>
      <c r="ANT26" s="28"/>
      <c r="ANU26" s="28"/>
      <c r="ANV26" s="28"/>
      <c r="ANW26" s="28"/>
      <c r="ANX26" s="28"/>
      <c r="ANY26" s="28"/>
      <c r="ANZ26" s="28"/>
      <c r="AOA26" s="28"/>
      <c r="AOB26" s="28"/>
      <c r="AOC26" s="28"/>
      <c r="AOD26" s="28"/>
      <c r="AOE26" s="28"/>
      <c r="AOF26" s="28"/>
      <c r="AOG26" s="28"/>
      <c r="AOH26" s="28"/>
      <c r="AOI26" s="28"/>
      <c r="AOJ26" s="28"/>
      <c r="AOK26" s="28"/>
      <c r="AOL26" s="28"/>
      <c r="AOM26" s="28"/>
      <c r="AON26" s="28"/>
      <c r="AOO26" s="28"/>
      <c r="AOP26" s="28"/>
      <c r="AOQ26" s="28"/>
      <c r="AOR26" s="28"/>
      <c r="AOS26" s="28"/>
      <c r="AOT26" s="28"/>
      <c r="AOU26" s="28"/>
      <c r="AOV26" s="28"/>
      <c r="AOW26" s="28"/>
      <c r="AOX26" s="28"/>
      <c r="AOY26" s="28"/>
      <c r="AOZ26" s="28"/>
      <c r="APA26" s="28"/>
      <c r="APB26" s="28"/>
      <c r="APC26" s="28"/>
      <c r="APD26" s="28"/>
      <c r="APE26" s="28"/>
      <c r="APF26" s="28"/>
      <c r="APG26" s="28"/>
      <c r="APH26" s="28"/>
      <c r="API26" s="28"/>
      <c r="APJ26" s="28"/>
      <c r="APK26" s="28"/>
      <c r="APL26" s="28"/>
      <c r="APM26" s="28"/>
      <c r="APN26" s="28"/>
      <c r="APO26" s="28"/>
      <c r="APP26" s="28"/>
      <c r="APQ26" s="28"/>
      <c r="APR26" s="28"/>
      <c r="APS26" s="28"/>
      <c r="APT26" s="28"/>
      <c r="APU26" s="28"/>
      <c r="APV26" s="28"/>
      <c r="APW26" s="28"/>
      <c r="APX26" s="28"/>
      <c r="APY26" s="28"/>
      <c r="APZ26" s="28"/>
      <c r="AQA26" s="28"/>
      <c r="AQB26" s="28"/>
      <c r="AQC26" s="28"/>
      <c r="AQD26" s="28"/>
      <c r="AQE26" s="28"/>
      <c r="AQF26" s="28"/>
      <c r="AQG26" s="28"/>
      <c r="AQH26" s="28"/>
      <c r="AQI26" s="28"/>
      <c r="AQJ26" s="28"/>
      <c r="AQK26" s="28"/>
      <c r="AQL26" s="28"/>
      <c r="AQM26" s="28"/>
      <c r="AQN26" s="28"/>
      <c r="AQO26" s="28"/>
      <c r="AQP26" s="28"/>
      <c r="AQQ26" s="28"/>
      <c r="AQR26" s="28"/>
      <c r="AQS26" s="28"/>
      <c r="AQT26" s="28"/>
      <c r="AQU26" s="28"/>
      <c r="AQV26" s="28"/>
      <c r="AQW26" s="28"/>
      <c r="AQX26" s="28"/>
      <c r="AQY26" s="28"/>
      <c r="AQZ26" s="28"/>
      <c r="ARA26" s="28"/>
      <c r="ARB26" s="28"/>
      <c r="ARC26" s="28"/>
      <c r="ARD26" s="28"/>
      <c r="ARE26" s="28"/>
      <c r="ARF26" s="28"/>
      <c r="ARG26" s="28"/>
      <c r="ARH26" s="28"/>
      <c r="ARI26" s="28"/>
      <c r="ARJ26" s="28"/>
      <c r="ARK26" s="28"/>
      <c r="ARL26" s="28"/>
      <c r="ARM26" s="28"/>
      <c r="ARN26" s="28"/>
      <c r="ARO26" s="28"/>
      <c r="ARP26" s="28"/>
      <c r="ARQ26" s="28"/>
      <c r="ARR26" s="28"/>
      <c r="ARS26" s="28"/>
      <c r="ART26" s="28"/>
      <c r="ARU26" s="28"/>
      <c r="ARV26" s="28"/>
      <c r="ARW26" s="28"/>
      <c r="ARX26" s="28"/>
      <c r="ARY26" s="28"/>
      <c r="ARZ26" s="28"/>
      <c r="ASA26" s="28"/>
      <c r="ASB26" s="28"/>
      <c r="ASC26" s="28"/>
      <c r="ASD26" s="28"/>
      <c r="ASE26" s="28"/>
      <c r="ASF26" s="28"/>
      <c r="ASG26" s="28"/>
      <c r="ASH26" s="28"/>
      <c r="ASI26" s="28"/>
      <c r="ASJ26" s="28"/>
      <c r="ASK26" s="28"/>
      <c r="ASL26" s="28"/>
      <c r="ASM26" s="28"/>
      <c r="ASN26" s="28"/>
      <c r="ASO26" s="28"/>
      <c r="ASP26" s="28"/>
      <c r="ASQ26" s="28"/>
      <c r="ASR26" s="28"/>
      <c r="ASS26" s="28"/>
      <c r="AST26" s="28"/>
      <c r="ASU26" s="28"/>
      <c r="ASV26" s="28"/>
      <c r="ASW26" s="28"/>
      <c r="ASX26" s="28"/>
      <c r="ASY26" s="28"/>
      <c r="ASZ26" s="28"/>
      <c r="ATA26" s="28"/>
      <c r="ATB26" s="28"/>
      <c r="ATC26" s="28"/>
      <c r="ATD26" s="28"/>
      <c r="ATE26" s="28"/>
      <c r="ATF26" s="28"/>
      <c r="ATG26" s="28"/>
      <c r="ATH26" s="28"/>
      <c r="ATI26" s="28"/>
      <c r="ATJ26" s="28"/>
      <c r="ATK26" s="28"/>
      <c r="ATL26" s="28"/>
      <c r="ATM26" s="28"/>
      <c r="ATN26" s="28"/>
      <c r="ATO26" s="28"/>
      <c r="ATP26" s="28"/>
      <c r="ATQ26" s="28"/>
      <c r="ATR26" s="28"/>
      <c r="ATS26" s="28"/>
      <c r="ATT26" s="28"/>
      <c r="ATU26" s="28"/>
      <c r="ATV26" s="28"/>
      <c r="ATW26" s="28"/>
      <c r="ATX26" s="28"/>
      <c r="ATY26" s="28"/>
      <c r="ATZ26" s="28"/>
      <c r="AUA26" s="28"/>
      <c r="AUB26" s="28"/>
      <c r="AUC26" s="28"/>
      <c r="AUD26" s="28"/>
      <c r="AUE26" s="28"/>
      <c r="AUF26" s="28"/>
      <c r="AUG26" s="28"/>
      <c r="AUH26" s="28"/>
      <c r="AUI26" s="28"/>
      <c r="AUJ26" s="28"/>
      <c r="AUK26" s="28"/>
      <c r="AUL26" s="28"/>
      <c r="AUM26" s="28"/>
      <c r="AUN26" s="28"/>
      <c r="AUO26" s="28"/>
      <c r="AUP26" s="28"/>
      <c r="AUQ26" s="28"/>
      <c r="AUR26" s="28"/>
      <c r="AUS26" s="28"/>
      <c r="AUT26" s="28"/>
      <c r="AUU26" s="28"/>
      <c r="AUV26" s="28"/>
      <c r="AUW26" s="28"/>
      <c r="AUX26" s="28"/>
      <c r="AUY26" s="28"/>
      <c r="AUZ26" s="28"/>
      <c r="AVA26" s="28"/>
      <c r="AVB26" s="28"/>
      <c r="AVC26" s="28"/>
      <c r="AVD26" s="28"/>
      <c r="AVE26" s="28"/>
      <c r="AVF26" s="28"/>
      <c r="AVG26" s="28"/>
      <c r="AVH26" s="28"/>
      <c r="AVI26" s="28"/>
      <c r="AVJ26" s="28"/>
      <c r="AVK26" s="28"/>
      <c r="AVL26" s="28"/>
      <c r="AVM26" s="28"/>
      <c r="AVN26" s="28"/>
      <c r="AVO26" s="28"/>
      <c r="AVP26" s="28"/>
      <c r="AVQ26" s="28"/>
      <c r="AVR26" s="28"/>
      <c r="AVS26" s="28"/>
      <c r="AVT26" s="28"/>
      <c r="AVU26" s="28"/>
      <c r="AVV26" s="28"/>
      <c r="AVW26" s="28"/>
      <c r="AVX26" s="28"/>
      <c r="AVY26" s="28"/>
      <c r="AVZ26" s="28"/>
      <c r="AWA26" s="28"/>
      <c r="AWB26" s="28"/>
      <c r="AWC26" s="28"/>
      <c r="AWD26" s="28"/>
      <c r="AWE26" s="28"/>
      <c r="AWF26" s="28"/>
      <c r="AWG26" s="28"/>
      <c r="AWH26" s="28"/>
      <c r="AWI26" s="28"/>
      <c r="AWJ26" s="28"/>
      <c r="AWK26" s="28"/>
      <c r="AWL26" s="28"/>
      <c r="AWM26" s="28"/>
      <c r="AWN26" s="28"/>
      <c r="AWO26" s="28"/>
      <c r="AWP26" s="28"/>
      <c r="AWQ26" s="28"/>
      <c r="AWR26" s="28"/>
      <c r="AWS26" s="28"/>
      <c r="AWT26" s="28"/>
      <c r="AWU26" s="28"/>
      <c r="AWV26" s="28"/>
      <c r="AWW26" s="28"/>
      <c r="AWX26" s="28"/>
      <c r="AWY26" s="28"/>
      <c r="AWZ26" s="28"/>
      <c r="AXA26" s="28"/>
      <c r="AXB26" s="28"/>
      <c r="AXC26" s="28"/>
      <c r="AXD26" s="28"/>
      <c r="AXE26" s="28"/>
      <c r="AXF26" s="28"/>
      <c r="AXG26" s="28"/>
      <c r="AXH26" s="28"/>
      <c r="AXI26" s="28"/>
      <c r="AXJ26" s="28"/>
      <c r="AXK26" s="28"/>
      <c r="AXL26" s="28"/>
      <c r="AXM26" s="28"/>
      <c r="AXN26" s="28"/>
      <c r="AXO26" s="28"/>
      <c r="AXP26" s="28"/>
      <c r="AXQ26" s="28"/>
      <c r="AXR26" s="28"/>
      <c r="AXS26" s="28"/>
      <c r="AXT26" s="28"/>
      <c r="AXU26" s="28"/>
      <c r="AXV26" s="28"/>
      <c r="AXW26" s="28"/>
      <c r="AXX26" s="28"/>
      <c r="AXY26" s="28"/>
      <c r="AXZ26" s="28"/>
      <c r="AYA26" s="28"/>
      <c r="AYB26" s="28"/>
      <c r="AYC26" s="28"/>
      <c r="AYD26" s="28"/>
      <c r="AYE26" s="28"/>
      <c r="AYF26" s="28"/>
      <c r="AYG26" s="28"/>
      <c r="AYH26" s="28"/>
      <c r="AYI26" s="28"/>
      <c r="AYJ26" s="28"/>
      <c r="AYK26" s="28"/>
      <c r="AYL26" s="28"/>
      <c r="AYM26" s="28"/>
      <c r="AYN26" s="28"/>
      <c r="AYO26" s="28"/>
      <c r="AYP26" s="28"/>
      <c r="AYQ26" s="28"/>
      <c r="AYR26" s="28"/>
      <c r="AYS26" s="28"/>
      <c r="AYT26" s="28"/>
      <c r="AYU26" s="28"/>
      <c r="AYV26" s="28"/>
      <c r="AYW26" s="28"/>
      <c r="AYX26" s="28"/>
      <c r="AYY26" s="28"/>
      <c r="AYZ26" s="28"/>
      <c r="AZA26" s="28"/>
      <c r="AZB26" s="28"/>
      <c r="AZC26" s="28"/>
      <c r="AZD26" s="28"/>
      <c r="AZE26" s="28"/>
      <c r="AZF26" s="28"/>
      <c r="AZG26" s="28"/>
      <c r="AZH26" s="28"/>
      <c r="AZI26" s="28"/>
      <c r="AZJ26" s="28"/>
      <c r="AZK26" s="28"/>
      <c r="AZL26" s="28"/>
      <c r="AZM26" s="28"/>
      <c r="AZN26" s="28"/>
      <c r="AZO26" s="28"/>
      <c r="AZP26" s="28"/>
      <c r="AZQ26" s="28"/>
      <c r="AZR26" s="28"/>
      <c r="AZS26" s="28"/>
      <c r="AZT26" s="28"/>
      <c r="AZU26" s="28"/>
      <c r="AZV26" s="28"/>
      <c r="AZW26" s="28"/>
      <c r="AZX26" s="28"/>
      <c r="AZY26" s="28"/>
      <c r="AZZ26" s="28"/>
      <c r="BAA26" s="28"/>
      <c r="BAB26" s="28"/>
      <c r="BAC26" s="28"/>
      <c r="BAD26" s="28"/>
      <c r="BAE26" s="28"/>
      <c r="BAF26" s="28"/>
      <c r="BAG26" s="28"/>
      <c r="BAH26" s="28"/>
      <c r="BAI26" s="28"/>
      <c r="BAJ26" s="28"/>
      <c r="BAK26" s="28"/>
      <c r="BAL26" s="28"/>
      <c r="BAM26" s="28"/>
      <c r="BAN26" s="28"/>
      <c r="BAO26" s="28"/>
      <c r="BAP26" s="28"/>
      <c r="BAQ26" s="28"/>
      <c r="BAR26" s="28"/>
      <c r="BAS26" s="28"/>
      <c r="BAT26" s="28"/>
      <c r="BAU26" s="28"/>
      <c r="BAV26" s="28"/>
      <c r="BAW26" s="28"/>
      <c r="BAX26" s="28"/>
      <c r="BAY26" s="28"/>
      <c r="BAZ26" s="28"/>
      <c r="BBA26" s="28"/>
      <c r="BBB26" s="28"/>
      <c r="BBC26" s="28"/>
      <c r="BBD26" s="28"/>
      <c r="BBE26" s="28"/>
      <c r="BBF26" s="28"/>
      <c r="BBG26" s="28"/>
      <c r="BBH26" s="28"/>
      <c r="BBI26" s="28"/>
      <c r="BBJ26" s="28"/>
      <c r="BBK26" s="28"/>
      <c r="BBL26" s="28"/>
      <c r="BBM26" s="28"/>
      <c r="BBN26" s="28"/>
      <c r="BBO26" s="28"/>
      <c r="BBP26" s="28"/>
      <c r="BBQ26" s="28"/>
      <c r="BBR26" s="28"/>
      <c r="BBS26" s="28"/>
      <c r="BBT26" s="28"/>
      <c r="BBU26" s="28"/>
      <c r="BBV26" s="28"/>
      <c r="BBW26" s="28"/>
      <c r="BBX26" s="28"/>
      <c r="BBY26" s="28"/>
      <c r="BBZ26" s="28"/>
      <c r="BCA26" s="28"/>
      <c r="BCB26" s="28"/>
      <c r="BCC26" s="28"/>
      <c r="BCD26" s="28"/>
      <c r="BCE26" s="28"/>
      <c r="BCF26" s="28"/>
      <c r="BCG26" s="28"/>
      <c r="BCH26" s="28"/>
      <c r="BCI26" s="28"/>
      <c r="BCJ26" s="28"/>
      <c r="BCK26" s="28"/>
      <c r="BCL26" s="28"/>
      <c r="BCM26" s="28"/>
      <c r="BCN26" s="28"/>
      <c r="BCO26" s="28"/>
      <c r="BCP26" s="28"/>
      <c r="BCQ26" s="28"/>
      <c r="BCR26" s="28"/>
      <c r="BCS26" s="28"/>
      <c r="BCT26" s="28"/>
      <c r="BCU26" s="28"/>
      <c r="BCV26" s="28"/>
      <c r="BCW26" s="28"/>
      <c r="BCX26" s="28"/>
      <c r="BCY26" s="28"/>
      <c r="BCZ26" s="28"/>
      <c r="BDA26" s="28"/>
      <c r="BDB26" s="28"/>
      <c r="BDC26" s="28"/>
      <c r="BDD26" s="28"/>
      <c r="BDE26" s="28"/>
      <c r="BDF26" s="28"/>
      <c r="BDG26" s="28"/>
      <c r="BDH26" s="28"/>
      <c r="BDI26" s="28"/>
      <c r="BDJ26" s="28"/>
      <c r="BDK26" s="28"/>
      <c r="BDL26" s="28"/>
      <c r="BDM26" s="28"/>
      <c r="BDN26" s="28"/>
      <c r="BDO26" s="28"/>
      <c r="BDP26" s="28"/>
      <c r="BDQ26" s="28"/>
      <c r="BDR26" s="28"/>
      <c r="BDS26" s="28"/>
      <c r="BDT26" s="28"/>
      <c r="BDU26" s="28"/>
      <c r="BDV26" s="28"/>
      <c r="BDW26" s="28"/>
      <c r="BDX26" s="28"/>
      <c r="BDY26" s="28"/>
      <c r="BDZ26" s="28"/>
      <c r="BEA26" s="28"/>
      <c r="BEB26" s="28"/>
      <c r="BEC26" s="28"/>
      <c r="BED26" s="28"/>
      <c r="BEE26" s="28"/>
      <c r="BEF26" s="28"/>
      <c r="BEG26" s="28"/>
      <c r="BEH26" s="28"/>
      <c r="BEI26" s="28"/>
      <c r="BEJ26" s="28"/>
      <c r="BEK26" s="28"/>
      <c r="BEL26" s="28"/>
      <c r="BEM26" s="28"/>
      <c r="BEN26" s="28"/>
      <c r="BEO26" s="28"/>
      <c r="BEP26" s="28"/>
      <c r="BEQ26" s="28"/>
      <c r="BER26" s="28"/>
      <c r="BES26" s="28"/>
      <c r="BET26" s="28"/>
      <c r="BEU26" s="28"/>
      <c r="BEV26" s="28"/>
      <c r="BEW26" s="28"/>
      <c r="BEX26" s="28"/>
      <c r="BEY26" s="28"/>
      <c r="BEZ26" s="28"/>
      <c r="BFA26" s="28"/>
      <c r="BFB26" s="28"/>
      <c r="BFC26" s="28"/>
      <c r="BFD26" s="28"/>
      <c r="BFE26" s="28"/>
      <c r="BFF26" s="28"/>
      <c r="BFG26" s="28"/>
      <c r="BFH26" s="28"/>
      <c r="BFI26" s="28"/>
      <c r="BFJ26" s="28"/>
      <c r="BFK26" s="28"/>
      <c r="BFL26" s="28"/>
      <c r="BFM26" s="28"/>
      <c r="BFN26" s="28"/>
      <c r="BFO26" s="28"/>
      <c r="BFP26" s="28"/>
      <c r="BFQ26" s="28"/>
      <c r="BFR26" s="28"/>
      <c r="BFS26" s="28"/>
      <c r="BFT26" s="28"/>
      <c r="BFU26" s="28"/>
      <c r="BFV26" s="28"/>
      <c r="BFW26" s="28"/>
      <c r="BFX26" s="28"/>
      <c r="BFY26" s="28"/>
      <c r="BFZ26" s="28"/>
      <c r="BGA26" s="28"/>
      <c r="BGB26" s="28"/>
      <c r="BGC26" s="28"/>
      <c r="BGD26" s="28"/>
      <c r="BGE26" s="28"/>
      <c r="BGF26" s="28"/>
      <c r="BGG26" s="28"/>
      <c r="BGH26" s="28"/>
      <c r="BGI26" s="28"/>
      <c r="BGJ26" s="28"/>
      <c r="BGK26" s="28"/>
      <c r="BGL26" s="28"/>
      <c r="BGM26" s="28"/>
      <c r="BGN26" s="28"/>
      <c r="BGO26" s="28"/>
      <c r="BGP26" s="28"/>
      <c r="BGQ26" s="28"/>
      <c r="BGR26" s="28"/>
      <c r="BGS26" s="28"/>
      <c r="BGT26" s="28"/>
      <c r="BGU26" s="28"/>
      <c r="BGV26" s="28"/>
      <c r="BGW26" s="28"/>
      <c r="BGX26" s="28"/>
      <c r="BGY26" s="28"/>
      <c r="BGZ26" s="28"/>
      <c r="BHA26" s="28"/>
      <c r="BHB26" s="28"/>
      <c r="BHC26" s="28"/>
      <c r="BHD26" s="28"/>
      <c r="BHE26" s="28"/>
      <c r="BHF26" s="28"/>
      <c r="BHG26" s="28"/>
      <c r="BHH26" s="28"/>
      <c r="BHI26" s="28"/>
      <c r="BHJ26" s="28"/>
      <c r="BHK26" s="28"/>
      <c r="BHL26" s="28"/>
      <c r="BHM26" s="28"/>
      <c r="BHN26" s="28"/>
      <c r="BHO26" s="28"/>
      <c r="BHP26" s="28"/>
      <c r="BHQ26" s="28"/>
      <c r="BHR26" s="28"/>
      <c r="BHS26" s="28"/>
      <c r="BHT26" s="28"/>
      <c r="BHU26" s="28"/>
      <c r="BHV26" s="28"/>
      <c r="BHW26" s="28"/>
      <c r="BHX26" s="28"/>
      <c r="BHY26" s="28"/>
      <c r="BHZ26" s="28"/>
      <c r="BIA26" s="28"/>
      <c r="BIB26" s="28"/>
      <c r="BIC26" s="28"/>
      <c r="BID26" s="28"/>
      <c r="BIE26" s="28"/>
      <c r="BIF26" s="28"/>
      <c r="BIG26" s="28"/>
      <c r="BIH26" s="28"/>
      <c r="BII26" s="28"/>
      <c r="BIJ26" s="28"/>
      <c r="BIK26" s="28"/>
      <c r="BIL26" s="28"/>
      <c r="BIM26" s="28"/>
      <c r="BIN26" s="28"/>
      <c r="BIO26" s="28"/>
      <c r="BIP26" s="28"/>
      <c r="BIQ26" s="28"/>
      <c r="BIR26" s="28"/>
      <c r="BIS26" s="28"/>
      <c r="BIT26" s="28"/>
      <c r="BIU26" s="28"/>
      <c r="BIV26" s="28"/>
      <c r="BIW26" s="28"/>
      <c r="BIX26" s="28"/>
      <c r="BIY26" s="28"/>
      <c r="BIZ26" s="28"/>
      <c r="BJA26" s="28"/>
      <c r="BJB26" s="28"/>
      <c r="BJC26" s="28"/>
      <c r="BJD26" s="28"/>
      <c r="BJE26" s="28"/>
      <c r="BJF26" s="28"/>
      <c r="BJG26" s="28"/>
      <c r="BJH26" s="28"/>
      <c r="BJI26" s="28"/>
      <c r="BJJ26" s="28"/>
      <c r="BJK26" s="28"/>
      <c r="BJL26" s="28"/>
      <c r="BJM26" s="28"/>
      <c r="BJN26" s="28"/>
      <c r="BJO26" s="28"/>
      <c r="BJP26" s="28"/>
      <c r="BJQ26" s="28"/>
      <c r="BJR26" s="28"/>
      <c r="BJS26" s="28"/>
      <c r="BJT26" s="28"/>
      <c r="BJU26" s="28"/>
      <c r="BJV26" s="28"/>
      <c r="BJW26" s="28"/>
      <c r="BJX26" s="28"/>
      <c r="BJY26" s="28"/>
      <c r="BJZ26" s="28"/>
      <c r="BKA26" s="28"/>
      <c r="BKB26" s="28"/>
      <c r="BKC26" s="28"/>
      <c r="BKD26" s="28"/>
      <c r="BKE26" s="28"/>
      <c r="BKF26" s="28"/>
      <c r="BKG26" s="28"/>
      <c r="BKH26" s="28"/>
      <c r="BKI26" s="28"/>
      <c r="BKJ26" s="28"/>
      <c r="BKK26" s="28"/>
      <c r="BKL26" s="28"/>
      <c r="BKM26" s="28"/>
      <c r="BKN26" s="28"/>
      <c r="BKO26" s="28"/>
      <c r="BKP26" s="28"/>
      <c r="BKQ26" s="28"/>
      <c r="BKR26" s="28"/>
      <c r="BKS26" s="28"/>
      <c r="BKT26" s="28"/>
      <c r="BKU26" s="28"/>
      <c r="BKV26" s="28"/>
      <c r="BKW26" s="28"/>
      <c r="BKX26" s="28"/>
      <c r="BKY26" s="28"/>
      <c r="BKZ26" s="28"/>
      <c r="BLA26" s="28"/>
      <c r="BLB26" s="28"/>
      <c r="BLC26" s="28"/>
      <c r="BLD26" s="28"/>
      <c r="BLE26" s="28"/>
      <c r="BLF26" s="28"/>
      <c r="BLG26" s="28"/>
      <c r="BLH26" s="28"/>
      <c r="BLI26" s="28"/>
      <c r="BLJ26" s="28"/>
      <c r="BLK26" s="28"/>
      <c r="BLL26" s="28"/>
      <c r="BLM26" s="28"/>
      <c r="BLN26" s="28"/>
      <c r="BLO26" s="28"/>
      <c r="BLP26" s="28"/>
      <c r="BLQ26" s="28"/>
      <c r="BLR26" s="28"/>
      <c r="BLS26" s="28"/>
      <c r="BLT26" s="28"/>
      <c r="BLU26" s="28"/>
      <c r="BLV26" s="28"/>
      <c r="BLW26" s="28"/>
      <c r="BLX26" s="28"/>
      <c r="BLY26" s="28"/>
      <c r="BLZ26" s="28"/>
      <c r="BMA26" s="28"/>
      <c r="BMB26" s="28"/>
      <c r="BMC26" s="28"/>
      <c r="BMD26" s="28"/>
      <c r="BME26" s="28"/>
      <c r="BMF26" s="28"/>
      <c r="BMG26" s="28"/>
      <c r="BMH26" s="28"/>
      <c r="BMI26" s="28"/>
      <c r="BMJ26" s="28"/>
      <c r="BMK26" s="28"/>
      <c r="BML26" s="28"/>
      <c r="BMM26" s="28"/>
      <c r="BMN26" s="28"/>
      <c r="BMO26" s="28"/>
      <c r="BMP26" s="28"/>
      <c r="BMQ26" s="28"/>
      <c r="BMR26" s="28"/>
      <c r="BMS26" s="28"/>
      <c r="BMT26" s="28"/>
      <c r="BMU26" s="28"/>
      <c r="BMV26" s="28"/>
      <c r="BMW26" s="28"/>
      <c r="BMX26" s="28"/>
      <c r="BMY26" s="28"/>
      <c r="BMZ26" s="28"/>
      <c r="BNA26" s="28"/>
      <c r="BNB26" s="28"/>
      <c r="BNC26" s="28"/>
      <c r="BND26" s="28"/>
      <c r="BNE26" s="28"/>
      <c r="BNF26" s="28"/>
      <c r="BNG26" s="28"/>
      <c r="BNH26" s="28"/>
      <c r="BNI26" s="28"/>
      <c r="BNJ26" s="28"/>
      <c r="BNK26" s="28"/>
      <c r="BNL26" s="28"/>
      <c r="BNM26" s="28"/>
      <c r="BNN26" s="28"/>
      <c r="BNO26" s="28"/>
      <c r="BNP26" s="28"/>
      <c r="BNQ26" s="28"/>
      <c r="BNR26" s="28"/>
      <c r="BNS26" s="28"/>
      <c r="BNT26" s="28"/>
      <c r="BNU26" s="28"/>
      <c r="BNV26" s="28"/>
      <c r="BNW26" s="28"/>
      <c r="BNX26" s="28"/>
      <c r="BNY26" s="28"/>
      <c r="BNZ26" s="28"/>
      <c r="BOA26" s="28"/>
      <c r="BOB26" s="28"/>
      <c r="BOC26" s="28"/>
      <c r="BOD26" s="28"/>
      <c r="BOE26" s="28"/>
      <c r="BOF26" s="28"/>
      <c r="BOG26" s="28"/>
      <c r="BOH26" s="28"/>
      <c r="BOI26" s="28"/>
      <c r="BOJ26" s="28"/>
      <c r="BOK26" s="28"/>
      <c r="BOL26" s="28"/>
      <c r="BOM26" s="28"/>
      <c r="BON26" s="28"/>
      <c r="BOO26" s="28"/>
      <c r="BOP26" s="28"/>
      <c r="BOQ26" s="28"/>
      <c r="BOR26" s="28"/>
      <c r="BOS26" s="28"/>
      <c r="BOT26" s="28"/>
      <c r="BOU26" s="28"/>
      <c r="BOV26" s="28"/>
      <c r="BOW26" s="28"/>
      <c r="BOX26" s="28"/>
      <c r="BOY26" s="28"/>
      <c r="BOZ26" s="28"/>
      <c r="BPA26" s="28"/>
      <c r="BPB26" s="28"/>
      <c r="BPC26" s="28"/>
      <c r="BPD26" s="28"/>
      <c r="BPE26" s="28"/>
      <c r="BPF26" s="28"/>
      <c r="BPG26" s="28"/>
      <c r="BPH26" s="28"/>
      <c r="BPI26" s="28"/>
      <c r="BPJ26" s="28"/>
      <c r="BPK26" s="28"/>
      <c r="BPL26" s="28"/>
      <c r="BPM26" s="28"/>
      <c r="BPN26" s="28"/>
      <c r="BPO26" s="28"/>
      <c r="BPP26" s="28"/>
      <c r="BPQ26" s="28"/>
      <c r="BPR26" s="28"/>
      <c r="BPS26" s="28"/>
      <c r="BPT26" s="28"/>
      <c r="BPU26" s="28"/>
      <c r="BPV26" s="28"/>
      <c r="BPW26" s="28"/>
      <c r="BPX26" s="28"/>
      <c r="BPY26" s="28"/>
      <c r="BPZ26" s="28"/>
      <c r="BQA26" s="28"/>
      <c r="BQB26" s="28"/>
      <c r="BQC26" s="28"/>
      <c r="BQD26" s="28"/>
      <c r="BQE26" s="28"/>
      <c r="BQF26" s="28"/>
      <c r="BQG26" s="28"/>
      <c r="BQH26" s="28"/>
      <c r="BQI26" s="28"/>
      <c r="BQJ26" s="28"/>
      <c r="BQK26" s="28"/>
      <c r="BQL26" s="28"/>
      <c r="BQM26" s="28"/>
      <c r="BQN26" s="28"/>
      <c r="BQO26" s="28"/>
      <c r="BQP26" s="28"/>
      <c r="BQQ26" s="28"/>
      <c r="BQR26" s="28"/>
      <c r="BQS26" s="28"/>
      <c r="BQT26" s="28"/>
      <c r="BQU26" s="28"/>
      <c r="BQV26" s="28"/>
      <c r="BQW26" s="28"/>
      <c r="BQX26" s="28"/>
      <c r="BQY26" s="28"/>
      <c r="BQZ26" s="28"/>
      <c r="BRA26" s="28"/>
      <c r="BRB26" s="28"/>
      <c r="BRC26" s="28"/>
      <c r="BRD26" s="28"/>
      <c r="BRE26" s="28"/>
      <c r="BRF26" s="28"/>
      <c r="BRG26" s="28"/>
      <c r="BRH26" s="28"/>
      <c r="BRI26" s="28"/>
      <c r="BRJ26" s="28"/>
      <c r="BRK26" s="28"/>
      <c r="BRL26" s="28"/>
      <c r="BRM26" s="28"/>
      <c r="BRN26" s="28"/>
      <c r="BRO26" s="28"/>
      <c r="BRP26" s="28"/>
      <c r="BRQ26" s="28"/>
      <c r="BRR26" s="28"/>
      <c r="BRS26" s="28"/>
      <c r="BRT26" s="28"/>
      <c r="BRU26" s="28"/>
      <c r="BRV26" s="28"/>
      <c r="BRW26" s="28"/>
      <c r="BRX26" s="28"/>
      <c r="BRY26" s="28"/>
      <c r="BRZ26" s="28"/>
      <c r="BSA26" s="28"/>
      <c r="BSB26" s="28"/>
      <c r="BSC26" s="28"/>
      <c r="BSD26" s="28"/>
      <c r="BSE26" s="28"/>
      <c r="BSF26" s="28"/>
      <c r="BSG26" s="28"/>
      <c r="BSH26" s="28"/>
      <c r="BSI26" s="28"/>
      <c r="BSJ26" s="28"/>
      <c r="BSK26" s="28"/>
      <c r="BSL26" s="28"/>
      <c r="BSM26" s="28"/>
      <c r="BSN26" s="28"/>
      <c r="BSO26" s="28"/>
      <c r="BSP26" s="28"/>
      <c r="BSQ26" s="28"/>
      <c r="BSR26" s="28"/>
      <c r="BSS26" s="28"/>
      <c r="BST26" s="28"/>
      <c r="BSU26" s="28"/>
      <c r="BSV26" s="28"/>
      <c r="BSW26" s="28"/>
      <c r="BSX26" s="28"/>
      <c r="BSY26" s="28"/>
      <c r="BSZ26" s="28"/>
      <c r="BTA26" s="28"/>
      <c r="BTB26" s="28"/>
      <c r="BTC26" s="28"/>
      <c r="BTD26" s="28"/>
      <c r="BTE26" s="28"/>
      <c r="BTF26" s="28"/>
      <c r="BTG26" s="28"/>
      <c r="BTH26" s="28"/>
      <c r="BTI26" s="28"/>
      <c r="BTJ26" s="28"/>
      <c r="BTK26" s="28"/>
      <c r="BTL26" s="28"/>
      <c r="BTM26" s="28"/>
      <c r="BTN26" s="28"/>
      <c r="BTO26" s="28"/>
      <c r="BTP26" s="28"/>
      <c r="BTQ26" s="28"/>
      <c r="BTR26" s="28"/>
      <c r="BTS26" s="28"/>
      <c r="BTT26" s="28"/>
      <c r="BTU26" s="28"/>
      <c r="BTV26" s="28"/>
      <c r="BTW26" s="28"/>
      <c r="BTX26" s="28"/>
      <c r="BTY26" s="28"/>
      <c r="BTZ26" s="28"/>
      <c r="BUA26" s="28"/>
      <c r="BUB26" s="28"/>
      <c r="BUC26" s="28"/>
      <c r="BUD26" s="28"/>
      <c r="BUE26" s="28"/>
      <c r="BUF26" s="28"/>
      <c r="BUG26" s="28"/>
      <c r="BUH26" s="28"/>
      <c r="BUI26" s="28"/>
      <c r="BUJ26" s="28"/>
      <c r="BUK26" s="28"/>
      <c r="BUL26" s="28"/>
      <c r="BUM26" s="28"/>
      <c r="BUN26" s="28"/>
      <c r="BUO26" s="28"/>
      <c r="BUP26" s="28"/>
      <c r="BUQ26" s="28"/>
      <c r="BUR26" s="28"/>
      <c r="BUS26" s="28"/>
      <c r="BUT26" s="28"/>
      <c r="BUU26" s="28"/>
      <c r="BUV26" s="28"/>
      <c r="BUW26" s="28"/>
      <c r="BUX26" s="28"/>
      <c r="BUY26" s="28"/>
      <c r="BUZ26" s="28"/>
      <c r="BVA26" s="28"/>
      <c r="BVB26" s="28"/>
      <c r="BVC26" s="28"/>
      <c r="BVD26" s="28"/>
      <c r="BVE26" s="28"/>
      <c r="BVF26" s="28"/>
      <c r="BVG26" s="28"/>
      <c r="BVH26" s="28"/>
      <c r="BVI26" s="28"/>
      <c r="BVJ26" s="28"/>
      <c r="BVK26" s="28"/>
      <c r="BVL26" s="28"/>
      <c r="BVM26" s="28"/>
      <c r="BVN26" s="28"/>
      <c r="BVO26" s="28"/>
      <c r="BVP26" s="28"/>
      <c r="BVQ26" s="28"/>
      <c r="BVR26" s="28"/>
      <c r="BVS26" s="28"/>
      <c r="BVT26" s="28"/>
      <c r="BVU26" s="28"/>
      <c r="BVV26" s="28"/>
      <c r="BVW26" s="28"/>
      <c r="BVX26" s="28"/>
      <c r="BVY26" s="28"/>
      <c r="BVZ26" s="28"/>
      <c r="BWA26" s="28"/>
      <c r="BWB26" s="28"/>
      <c r="BWC26" s="28"/>
      <c r="BWD26" s="28"/>
      <c r="BWE26" s="28"/>
      <c r="BWF26" s="28"/>
      <c r="BWG26" s="28"/>
      <c r="BWH26" s="28"/>
      <c r="BWI26" s="28"/>
      <c r="BWJ26" s="28"/>
      <c r="BWK26" s="28"/>
      <c r="BWL26" s="28"/>
      <c r="BWM26" s="28"/>
      <c r="BWN26" s="28"/>
      <c r="BWO26" s="28"/>
      <c r="BWP26" s="28"/>
      <c r="BWQ26" s="28"/>
      <c r="BWR26" s="28"/>
      <c r="BWS26" s="28"/>
      <c r="BWT26" s="28"/>
      <c r="BWU26" s="28"/>
      <c r="BWV26" s="28"/>
      <c r="BWW26" s="28"/>
      <c r="BWX26" s="28"/>
      <c r="BWY26" s="28"/>
      <c r="BWZ26" s="28"/>
      <c r="BXA26" s="28"/>
      <c r="BXB26" s="28"/>
      <c r="BXC26" s="28"/>
      <c r="BXD26" s="28"/>
      <c r="BXE26" s="28"/>
      <c r="BXF26" s="28"/>
      <c r="BXG26" s="28"/>
      <c r="BXH26" s="28"/>
      <c r="BXI26" s="28"/>
      <c r="BXJ26" s="28"/>
      <c r="BXK26" s="28"/>
      <c r="BXL26" s="28"/>
      <c r="BXM26" s="28"/>
      <c r="BXN26" s="28"/>
      <c r="BXO26" s="28"/>
      <c r="BXP26" s="28"/>
      <c r="BXQ26" s="28"/>
      <c r="BXR26" s="28"/>
      <c r="BXS26" s="28"/>
      <c r="BXT26" s="28"/>
      <c r="BXU26" s="28"/>
      <c r="BXV26" s="28"/>
      <c r="BXW26" s="28"/>
      <c r="BXX26" s="28"/>
      <c r="BXY26" s="28"/>
      <c r="BXZ26" s="28"/>
      <c r="BYA26" s="28"/>
      <c r="BYB26" s="28"/>
      <c r="BYC26" s="28"/>
      <c r="BYD26" s="28"/>
      <c r="BYE26" s="28"/>
      <c r="BYF26" s="28"/>
      <c r="BYG26" s="28"/>
      <c r="BYH26" s="28"/>
      <c r="BYI26" s="28"/>
      <c r="BYJ26" s="28"/>
      <c r="BYK26" s="28"/>
      <c r="BYL26" s="28"/>
      <c r="BYM26" s="28"/>
      <c r="BYN26" s="28"/>
      <c r="BYO26" s="28"/>
      <c r="BYP26" s="28"/>
      <c r="BYQ26" s="28"/>
      <c r="BYR26" s="28"/>
      <c r="BYS26" s="28"/>
      <c r="BYT26" s="28"/>
      <c r="BYU26" s="28"/>
      <c r="BYV26" s="28"/>
      <c r="BYW26" s="28"/>
      <c r="BYX26" s="28"/>
      <c r="BYY26" s="28"/>
      <c r="BYZ26" s="28"/>
      <c r="BZA26" s="28"/>
      <c r="BZB26" s="28"/>
      <c r="BZC26" s="28"/>
      <c r="BZD26" s="28"/>
      <c r="BZE26" s="28"/>
      <c r="BZF26" s="28"/>
      <c r="BZG26" s="28"/>
      <c r="BZH26" s="28"/>
      <c r="BZI26" s="28"/>
      <c r="BZJ26" s="28"/>
      <c r="BZK26" s="28"/>
      <c r="BZL26" s="28"/>
      <c r="BZM26" s="28"/>
      <c r="BZN26" s="28"/>
      <c r="BZO26" s="28"/>
      <c r="BZP26" s="28"/>
      <c r="BZQ26" s="28"/>
      <c r="BZR26" s="28"/>
      <c r="BZS26" s="28"/>
      <c r="BZT26" s="28"/>
      <c r="BZU26" s="28"/>
      <c r="BZV26" s="28"/>
      <c r="BZW26" s="28"/>
      <c r="BZX26" s="28"/>
      <c r="BZY26" s="28"/>
      <c r="BZZ26" s="28"/>
      <c r="CAA26" s="28"/>
      <c r="CAB26" s="28"/>
      <c r="CAC26" s="28"/>
      <c r="CAD26" s="28"/>
      <c r="CAE26" s="28"/>
      <c r="CAF26" s="28"/>
      <c r="CAG26" s="28"/>
      <c r="CAH26" s="28"/>
      <c r="CAI26" s="28"/>
      <c r="CAJ26" s="28"/>
      <c r="CAK26" s="28"/>
      <c r="CAL26" s="28"/>
      <c r="CAM26" s="28"/>
      <c r="CAN26" s="28"/>
      <c r="CAO26" s="28"/>
      <c r="CAP26" s="28"/>
      <c r="CAQ26" s="28"/>
      <c r="CAR26" s="28"/>
      <c r="CAS26" s="28"/>
      <c r="CAT26" s="28"/>
      <c r="CAU26" s="28"/>
      <c r="CAV26" s="28"/>
      <c r="CAW26" s="28"/>
      <c r="CAX26" s="28"/>
      <c r="CAY26" s="28"/>
      <c r="CAZ26" s="28"/>
      <c r="CBA26" s="28"/>
      <c r="CBB26" s="28"/>
      <c r="CBC26" s="28"/>
      <c r="CBD26" s="28"/>
      <c r="CBE26" s="28"/>
      <c r="CBF26" s="28"/>
      <c r="CBG26" s="28"/>
      <c r="CBH26" s="28"/>
      <c r="CBI26" s="28"/>
      <c r="CBJ26" s="28"/>
      <c r="CBK26" s="28"/>
      <c r="CBL26" s="28"/>
      <c r="CBM26" s="28"/>
      <c r="CBN26" s="28"/>
      <c r="CBO26" s="28"/>
      <c r="CBP26" s="28"/>
      <c r="CBQ26" s="28"/>
      <c r="CBR26" s="28"/>
      <c r="CBS26" s="28"/>
      <c r="CBT26" s="28"/>
      <c r="CBU26" s="28"/>
      <c r="CBV26" s="28"/>
      <c r="CBW26" s="28"/>
      <c r="CBX26" s="28"/>
      <c r="CBY26" s="28"/>
      <c r="CBZ26" s="28"/>
      <c r="CCA26" s="28"/>
      <c r="CCB26" s="28"/>
      <c r="CCC26" s="28"/>
      <c r="CCD26" s="28"/>
      <c r="CCE26" s="28"/>
      <c r="CCF26" s="28"/>
      <c r="CCG26" s="28"/>
      <c r="CCH26" s="28"/>
      <c r="CCI26" s="28"/>
      <c r="CCJ26" s="28"/>
      <c r="CCK26" s="28"/>
      <c r="CCL26" s="28"/>
      <c r="CCM26" s="28"/>
      <c r="CCN26" s="28"/>
      <c r="CCO26" s="28"/>
      <c r="CCP26" s="28"/>
      <c r="CCQ26" s="28"/>
      <c r="CCR26" s="28"/>
      <c r="CCS26" s="28"/>
      <c r="CCT26" s="28"/>
      <c r="CCU26" s="28"/>
      <c r="CCV26" s="28"/>
      <c r="CCW26" s="28"/>
      <c r="CCX26" s="28"/>
      <c r="CCY26" s="28"/>
      <c r="CCZ26" s="28"/>
      <c r="CDA26" s="28"/>
      <c r="CDB26" s="28"/>
      <c r="CDC26" s="28"/>
      <c r="CDD26" s="28"/>
      <c r="CDE26" s="28"/>
      <c r="CDF26" s="28"/>
      <c r="CDG26" s="28"/>
      <c r="CDH26" s="28"/>
      <c r="CDI26" s="28"/>
      <c r="CDJ26" s="28"/>
      <c r="CDK26" s="28"/>
      <c r="CDL26" s="28"/>
      <c r="CDM26" s="28"/>
      <c r="CDN26" s="28"/>
      <c r="CDO26" s="28"/>
      <c r="CDP26" s="28"/>
      <c r="CDQ26" s="28"/>
      <c r="CDR26" s="28"/>
      <c r="CDS26" s="28"/>
      <c r="CDT26" s="28"/>
      <c r="CDU26" s="28"/>
      <c r="CDV26" s="28"/>
      <c r="CDW26" s="28"/>
      <c r="CDX26" s="28"/>
      <c r="CDY26" s="28"/>
      <c r="CDZ26" s="28"/>
      <c r="CEA26" s="28"/>
      <c r="CEB26" s="28"/>
      <c r="CEC26" s="28"/>
      <c r="CED26" s="28"/>
      <c r="CEE26" s="28"/>
      <c r="CEF26" s="28"/>
      <c r="CEG26" s="28"/>
      <c r="CEH26" s="28"/>
      <c r="CEI26" s="28"/>
      <c r="CEJ26" s="28"/>
      <c r="CEK26" s="28"/>
      <c r="CEL26" s="28"/>
      <c r="CEM26" s="28"/>
      <c r="CEN26" s="28"/>
      <c r="CEO26" s="28"/>
      <c r="CEP26" s="28"/>
      <c r="CEQ26" s="28"/>
      <c r="CER26" s="28"/>
      <c r="CES26" s="28"/>
      <c r="CET26" s="28"/>
      <c r="CEU26" s="28"/>
      <c r="CEV26" s="28"/>
      <c r="CEW26" s="28"/>
      <c r="CEX26" s="28"/>
      <c r="CEY26" s="28"/>
      <c r="CEZ26" s="28"/>
      <c r="CFA26" s="28"/>
      <c r="CFB26" s="28"/>
      <c r="CFC26" s="28"/>
      <c r="CFD26" s="28"/>
      <c r="CFE26" s="28"/>
      <c r="CFF26" s="28"/>
      <c r="CFG26" s="28"/>
      <c r="CFH26" s="28"/>
      <c r="CFI26" s="28"/>
      <c r="CFJ26" s="28"/>
      <c r="CFK26" s="28"/>
      <c r="CFL26" s="28"/>
      <c r="CFM26" s="28"/>
      <c r="CFN26" s="28"/>
      <c r="CFO26" s="28"/>
      <c r="CFP26" s="28"/>
      <c r="CFQ26" s="28"/>
      <c r="CFR26" s="28"/>
      <c r="CFS26" s="28"/>
      <c r="CFT26" s="28"/>
      <c r="CFU26" s="28"/>
      <c r="CFV26" s="28"/>
      <c r="CFW26" s="28"/>
      <c r="CFX26" s="28"/>
      <c r="CFY26" s="28"/>
      <c r="CFZ26" s="28"/>
      <c r="CGA26" s="28"/>
      <c r="CGB26" s="28"/>
      <c r="CGC26" s="28"/>
      <c r="CGD26" s="28"/>
      <c r="CGE26" s="28"/>
      <c r="CGF26" s="28"/>
      <c r="CGG26" s="28"/>
      <c r="CGH26" s="28"/>
      <c r="CGI26" s="28"/>
      <c r="CGJ26" s="28"/>
      <c r="CGK26" s="28"/>
      <c r="CGL26" s="28"/>
      <c r="CGM26" s="28"/>
      <c r="CGN26" s="28"/>
      <c r="CGO26" s="28"/>
      <c r="CGP26" s="28"/>
      <c r="CGQ26" s="28"/>
      <c r="CGR26" s="28"/>
      <c r="CGS26" s="28"/>
      <c r="CGT26" s="28"/>
      <c r="CGU26" s="28"/>
      <c r="CGV26" s="28"/>
      <c r="CGW26" s="28"/>
      <c r="CGX26" s="28"/>
      <c r="CGY26" s="28"/>
      <c r="CGZ26" s="28"/>
      <c r="CHA26" s="28"/>
      <c r="CHB26" s="28"/>
      <c r="CHC26" s="28"/>
      <c r="CHD26" s="28"/>
      <c r="CHE26" s="28"/>
      <c r="CHF26" s="28"/>
      <c r="CHG26" s="28"/>
      <c r="CHH26" s="28"/>
      <c r="CHI26" s="28"/>
      <c r="CHJ26" s="28"/>
      <c r="CHK26" s="28"/>
      <c r="CHL26" s="28"/>
      <c r="CHM26" s="28"/>
      <c r="CHN26" s="28"/>
      <c r="CHO26" s="28"/>
      <c r="CHP26" s="28"/>
      <c r="CHQ26" s="28"/>
      <c r="CHR26" s="28"/>
      <c r="CHS26" s="28"/>
      <c r="CHT26" s="28"/>
      <c r="CHU26" s="28"/>
      <c r="CHV26" s="28"/>
      <c r="CHW26" s="28"/>
      <c r="CHX26" s="28"/>
      <c r="CHY26" s="28"/>
      <c r="CHZ26" s="28"/>
      <c r="CIA26" s="28"/>
      <c r="CIB26" s="28"/>
      <c r="CIC26" s="28"/>
      <c r="CID26" s="28"/>
      <c r="CIE26" s="28"/>
      <c r="CIF26" s="28"/>
      <c r="CIG26" s="28"/>
      <c r="CIH26" s="28"/>
      <c r="CII26" s="28"/>
      <c r="CIJ26" s="28"/>
      <c r="CIK26" s="28"/>
      <c r="CIL26" s="28"/>
      <c r="CIM26" s="28"/>
      <c r="CIN26" s="28"/>
      <c r="CIO26" s="28"/>
      <c r="CIP26" s="28"/>
      <c r="CIQ26" s="28"/>
      <c r="CIR26" s="28"/>
      <c r="CIS26" s="28"/>
      <c r="CIT26" s="28"/>
      <c r="CIU26" s="28"/>
      <c r="CIV26" s="28"/>
      <c r="CIW26" s="28"/>
      <c r="CIX26" s="28"/>
      <c r="CIY26" s="28"/>
      <c r="CIZ26" s="28"/>
      <c r="CJA26" s="28"/>
      <c r="CJB26" s="28"/>
      <c r="CJC26" s="28"/>
      <c r="CJD26" s="28"/>
      <c r="CJE26" s="28"/>
      <c r="CJF26" s="28"/>
      <c r="CJG26" s="28"/>
      <c r="CJH26" s="28"/>
      <c r="CJI26" s="28"/>
      <c r="CJJ26" s="28"/>
      <c r="CJK26" s="28"/>
      <c r="CJL26" s="28"/>
      <c r="CJM26" s="28"/>
      <c r="CJN26" s="28"/>
      <c r="CJO26" s="28"/>
      <c r="CJP26" s="28"/>
      <c r="CJQ26" s="28"/>
      <c r="CJR26" s="28"/>
      <c r="CJS26" s="28"/>
      <c r="CJT26" s="28"/>
      <c r="CJU26" s="28"/>
      <c r="CJV26" s="28"/>
      <c r="CJW26" s="28"/>
      <c r="CJX26" s="28"/>
      <c r="CJY26" s="28"/>
      <c r="CJZ26" s="28"/>
      <c r="CKA26" s="28"/>
      <c r="CKB26" s="28"/>
      <c r="CKC26" s="28"/>
      <c r="CKD26" s="28"/>
      <c r="CKE26" s="28"/>
      <c r="CKF26" s="28"/>
      <c r="CKG26" s="28"/>
      <c r="CKH26" s="28"/>
      <c r="CKI26" s="28"/>
      <c r="CKJ26" s="28"/>
      <c r="CKK26" s="28"/>
      <c r="CKL26" s="28"/>
      <c r="CKM26" s="28"/>
      <c r="CKN26" s="28"/>
      <c r="CKO26" s="28"/>
      <c r="CKP26" s="28"/>
      <c r="CKQ26" s="28"/>
      <c r="CKR26" s="28"/>
      <c r="CKS26" s="28"/>
      <c r="CKT26" s="28"/>
      <c r="CKU26" s="28"/>
      <c r="CKV26" s="28"/>
      <c r="CKW26" s="28"/>
      <c r="CKX26" s="28"/>
      <c r="CKY26" s="28"/>
      <c r="CKZ26" s="28"/>
      <c r="CLA26" s="28"/>
      <c r="CLB26" s="28"/>
      <c r="CLC26" s="28"/>
      <c r="CLD26" s="28"/>
      <c r="CLE26" s="28"/>
      <c r="CLF26" s="28"/>
      <c r="CLG26" s="28"/>
      <c r="CLH26" s="28"/>
      <c r="CLI26" s="28"/>
      <c r="CLJ26" s="28"/>
      <c r="CLK26" s="28"/>
      <c r="CLL26" s="28"/>
      <c r="CLM26" s="28"/>
      <c r="CLN26" s="28"/>
      <c r="CLO26" s="28"/>
      <c r="CLP26" s="28"/>
      <c r="CLQ26" s="28"/>
      <c r="CLR26" s="28"/>
      <c r="CLS26" s="28"/>
      <c r="CLT26" s="28"/>
      <c r="CLU26" s="28"/>
      <c r="CLV26" s="28"/>
      <c r="CLW26" s="28"/>
      <c r="CLX26" s="28"/>
      <c r="CLY26" s="28"/>
      <c r="CLZ26" s="28"/>
      <c r="CMA26" s="28"/>
      <c r="CMB26" s="28"/>
      <c r="CMC26" s="28"/>
      <c r="CMD26" s="28"/>
      <c r="CME26" s="28"/>
      <c r="CMF26" s="28"/>
      <c r="CMG26" s="28"/>
      <c r="CMH26" s="28"/>
      <c r="CMI26" s="28"/>
      <c r="CMJ26" s="28"/>
      <c r="CMK26" s="28"/>
      <c r="CML26" s="28"/>
      <c r="CMM26" s="28"/>
      <c r="CMN26" s="28"/>
      <c r="CMO26" s="28"/>
      <c r="CMP26" s="28"/>
      <c r="CMQ26" s="28"/>
      <c r="CMR26" s="28"/>
      <c r="CMS26" s="28"/>
      <c r="CMT26" s="28"/>
      <c r="CMU26" s="28"/>
      <c r="CMV26" s="28"/>
      <c r="CMW26" s="28"/>
      <c r="CMX26" s="28"/>
      <c r="CMY26" s="28"/>
      <c r="CMZ26" s="28"/>
      <c r="CNA26" s="28"/>
      <c r="CNB26" s="28"/>
      <c r="CNC26" s="28"/>
      <c r="CND26" s="28"/>
      <c r="CNE26" s="28"/>
      <c r="CNF26" s="28"/>
      <c r="CNG26" s="28"/>
      <c r="CNH26" s="28"/>
      <c r="CNI26" s="28"/>
      <c r="CNJ26" s="28"/>
      <c r="CNK26" s="28"/>
      <c r="CNL26" s="28"/>
      <c r="CNM26" s="28"/>
      <c r="CNN26" s="28"/>
      <c r="CNO26" s="28"/>
      <c r="CNP26" s="28"/>
      <c r="CNQ26" s="28"/>
      <c r="CNR26" s="28"/>
      <c r="CNS26" s="28"/>
      <c r="CNT26" s="28"/>
      <c r="CNU26" s="28"/>
      <c r="CNV26" s="28"/>
      <c r="CNW26" s="28"/>
      <c r="CNX26" s="28"/>
      <c r="CNY26" s="28"/>
      <c r="CNZ26" s="28"/>
      <c r="COA26" s="28"/>
      <c r="COB26" s="28"/>
      <c r="COC26" s="28"/>
      <c r="COD26" s="28"/>
      <c r="COE26" s="28"/>
      <c r="COF26" s="28"/>
      <c r="COG26" s="28"/>
      <c r="COH26" s="28"/>
      <c r="COI26" s="28"/>
      <c r="COJ26" s="28"/>
      <c r="COK26" s="28"/>
      <c r="COL26" s="28"/>
      <c r="COM26" s="28"/>
      <c r="CON26" s="28"/>
      <c r="COO26" s="28"/>
      <c r="COP26" s="28"/>
      <c r="COQ26" s="28"/>
      <c r="COR26" s="28"/>
      <c r="COS26" s="28"/>
      <c r="COT26" s="28"/>
      <c r="COU26" s="28"/>
      <c r="COV26" s="28"/>
      <c r="COW26" s="28"/>
      <c r="COX26" s="28"/>
      <c r="COY26" s="28"/>
      <c r="COZ26" s="28"/>
      <c r="CPA26" s="28"/>
      <c r="CPB26" s="28"/>
      <c r="CPC26" s="28"/>
      <c r="CPD26" s="28"/>
      <c r="CPE26" s="28"/>
      <c r="CPF26" s="28"/>
      <c r="CPG26" s="28"/>
      <c r="CPH26" s="28"/>
      <c r="CPI26" s="28"/>
      <c r="CPJ26" s="28"/>
      <c r="CPK26" s="28"/>
      <c r="CPL26" s="28"/>
      <c r="CPM26" s="28"/>
      <c r="CPN26" s="28"/>
      <c r="CPO26" s="28"/>
      <c r="CPP26" s="28"/>
      <c r="CPQ26" s="28"/>
      <c r="CPR26" s="28"/>
      <c r="CPS26" s="28"/>
      <c r="CPT26" s="28"/>
      <c r="CPU26" s="28"/>
      <c r="CPV26" s="28"/>
      <c r="CPW26" s="28"/>
      <c r="CPX26" s="28"/>
      <c r="CPY26" s="28"/>
      <c r="CPZ26" s="28"/>
      <c r="CQA26" s="28"/>
      <c r="CQB26" s="28"/>
      <c r="CQC26" s="28"/>
      <c r="CQD26" s="28"/>
      <c r="CQE26" s="28"/>
      <c r="CQF26" s="28"/>
      <c r="CQG26" s="28"/>
      <c r="CQH26" s="28"/>
      <c r="CQI26" s="28"/>
      <c r="CQJ26" s="28"/>
      <c r="CQK26" s="28"/>
      <c r="CQL26" s="28"/>
      <c r="CQM26" s="28"/>
      <c r="CQN26" s="28"/>
      <c r="CQO26" s="28"/>
      <c r="CQP26" s="28"/>
      <c r="CQQ26" s="28"/>
      <c r="CQR26" s="28"/>
      <c r="CQS26" s="28"/>
      <c r="CQT26" s="28"/>
      <c r="CQU26" s="28"/>
      <c r="CQV26" s="28"/>
      <c r="CQW26" s="28"/>
      <c r="CQX26" s="28"/>
      <c r="CQY26" s="28"/>
      <c r="CQZ26" s="28"/>
      <c r="CRA26" s="28"/>
      <c r="CRB26" s="28"/>
      <c r="CRC26" s="28"/>
      <c r="CRD26" s="28"/>
      <c r="CRE26" s="28"/>
      <c r="CRF26" s="28"/>
      <c r="CRG26" s="28"/>
      <c r="CRH26" s="28"/>
      <c r="CRI26" s="28"/>
      <c r="CRJ26" s="28"/>
      <c r="CRK26" s="28"/>
      <c r="CRL26" s="28"/>
      <c r="CRM26" s="28"/>
      <c r="CRN26" s="28"/>
      <c r="CRO26" s="28"/>
      <c r="CRP26" s="28"/>
      <c r="CRQ26" s="28"/>
      <c r="CRR26" s="28"/>
      <c r="CRS26" s="28"/>
      <c r="CRT26" s="28"/>
      <c r="CRU26" s="28"/>
      <c r="CRV26" s="28"/>
      <c r="CRW26" s="28"/>
      <c r="CRX26" s="28"/>
      <c r="CRY26" s="28"/>
      <c r="CRZ26" s="28"/>
      <c r="CSA26" s="28"/>
      <c r="CSB26" s="28"/>
      <c r="CSC26" s="28"/>
      <c r="CSD26" s="28"/>
      <c r="CSE26" s="28"/>
      <c r="CSF26" s="28"/>
      <c r="CSG26" s="28"/>
      <c r="CSH26" s="28"/>
      <c r="CSI26" s="28"/>
      <c r="CSJ26" s="28"/>
      <c r="CSK26" s="28"/>
      <c r="CSL26" s="28"/>
      <c r="CSM26" s="28"/>
      <c r="CSN26" s="28"/>
      <c r="CSO26" s="28"/>
      <c r="CSP26" s="28"/>
      <c r="CSQ26" s="28"/>
      <c r="CSR26" s="28"/>
      <c r="CSS26" s="28"/>
      <c r="CST26" s="28"/>
      <c r="CSU26" s="28"/>
      <c r="CSV26" s="28"/>
      <c r="CSW26" s="28"/>
      <c r="CSX26" s="28"/>
      <c r="CSY26" s="28"/>
      <c r="CSZ26" s="28"/>
      <c r="CTA26" s="28"/>
      <c r="CTB26" s="28"/>
      <c r="CTC26" s="28"/>
      <c r="CTD26" s="28"/>
      <c r="CTE26" s="28"/>
      <c r="CTF26" s="28"/>
      <c r="CTG26" s="28"/>
      <c r="CTH26" s="28"/>
      <c r="CTI26" s="28"/>
      <c r="CTJ26" s="28"/>
      <c r="CTK26" s="28"/>
      <c r="CTL26" s="28"/>
      <c r="CTM26" s="28"/>
      <c r="CTN26" s="28"/>
      <c r="CTO26" s="28"/>
      <c r="CTP26" s="28"/>
      <c r="CTQ26" s="28"/>
      <c r="CTR26" s="28"/>
      <c r="CTS26" s="28"/>
      <c r="CTT26" s="28"/>
      <c r="CTU26" s="28"/>
      <c r="CTV26" s="28"/>
      <c r="CTW26" s="28"/>
      <c r="CTX26" s="28"/>
      <c r="CTY26" s="28"/>
      <c r="CTZ26" s="28"/>
      <c r="CUA26" s="28"/>
      <c r="CUB26" s="28"/>
      <c r="CUC26" s="28"/>
      <c r="CUD26" s="28"/>
      <c r="CUE26" s="28"/>
      <c r="CUF26" s="28"/>
      <c r="CUG26" s="28"/>
      <c r="CUH26" s="28"/>
      <c r="CUI26" s="28"/>
      <c r="CUJ26" s="28"/>
      <c r="CUK26" s="28"/>
      <c r="CUL26" s="28"/>
      <c r="CUM26" s="28"/>
      <c r="CUN26" s="28"/>
      <c r="CUO26" s="28"/>
      <c r="CUP26" s="28"/>
      <c r="CUQ26" s="28"/>
      <c r="CUR26" s="28"/>
      <c r="CUS26" s="28"/>
      <c r="CUT26" s="28"/>
      <c r="CUU26" s="28"/>
      <c r="CUV26" s="28"/>
      <c r="CUW26" s="28"/>
      <c r="CUX26" s="28"/>
      <c r="CUY26" s="28"/>
      <c r="CUZ26" s="28"/>
      <c r="CVA26" s="28"/>
      <c r="CVB26" s="28"/>
      <c r="CVC26" s="28"/>
      <c r="CVD26" s="28"/>
      <c r="CVE26" s="28"/>
      <c r="CVF26" s="28"/>
      <c r="CVG26" s="28"/>
      <c r="CVH26" s="28"/>
      <c r="CVI26" s="28"/>
      <c r="CVJ26" s="28"/>
      <c r="CVK26" s="28"/>
      <c r="CVL26" s="28"/>
      <c r="CVM26" s="28"/>
      <c r="CVN26" s="28"/>
      <c r="CVO26" s="28"/>
      <c r="CVP26" s="28"/>
      <c r="CVQ26" s="28"/>
      <c r="CVR26" s="28"/>
      <c r="CVS26" s="28"/>
      <c r="CVT26" s="28"/>
      <c r="CVU26" s="28"/>
      <c r="CVV26" s="28"/>
      <c r="CVW26" s="28"/>
      <c r="CVX26" s="28"/>
      <c r="CVY26" s="28"/>
      <c r="CVZ26" s="28"/>
      <c r="CWA26" s="28"/>
      <c r="CWB26" s="28"/>
      <c r="CWC26" s="28"/>
      <c r="CWD26" s="28"/>
      <c r="CWE26" s="28"/>
      <c r="CWF26" s="28"/>
      <c r="CWG26" s="28"/>
      <c r="CWH26" s="28"/>
      <c r="CWI26" s="28"/>
      <c r="CWJ26" s="28"/>
      <c r="CWK26" s="28"/>
      <c r="CWL26" s="28"/>
      <c r="CWM26" s="28"/>
      <c r="CWN26" s="28"/>
      <c r="CWO26" s="28"/>
      <c r="CWP26" s="28"/>
      <c r="CWQ26" s="28"/>
      <c r="CWR26" s="28"/>
      <c r="CWS26" s="28"/>
      <c r="CWT26" s="28"/>
      <c r="CWU26" s="28"/>
      <c r="CWV26" s="28"/>
      <c r="CWW26" s="28"/>
      <c r="CWX26" s="28"/>
      <c r="CWY26" s="28"/>
      <c r="CWZ26" s="28"/>
      <c r="CXA26" s="28"/>
      <c r="CXB26" s="28"/>
      <c r="CXC26" s="28"/>
      <c r="CXD26" s="28"/>
      <c r="CXE26" s="28"/>
      <c r="CXF26" s="28"/>
      <c r="CXG26" s="28"/>
      <c r="CXH26" s="28"/>
      <c r="CXI26" s="28"/>
      <c r="CXJ26" s="28"/>
      <c r="CXK26" s="28"/>
      <c r="CXL26" s="28"/>
      <c r="CXM26" s="28"/>
      <c r="CXN26" s="28"/>
      <c r="CXO26" s="28"/>
      <c r="CXP26" s="28"/>
      <c r="CXQ26" s="28"/>
      <c r="CXR26" s="28"/>
      <c r="CXS26" s="28"/>
      <c r="CXT26" s="28"/>
      <c r="CXU26" s="28"/>
      <c r="CXV26" s="28"/>
      <c r="CXW26" s="28"/>
      <c r="CXX26" s="28"/>
      <c r="CXY26" s="28"/>
      <c r="CXZ26" s="28"/>
      <c r="CYA26" s="28"/>
      <c r="CYB26" s="28"/>
      <c r="CYC26" s="28"/>
      <c r="CYD26" s="28"/>
      <c r="CYE26" s="28"/>
      <c r="CYF26" s="28"/>
      <c r="CYG26" s="28"/>
      <c r="CYH26" s="28"/>
      <c r="CYI26" s="28"/>
      <c r="CYJ26" s="28"/>
      <c r="CYK26" s="28"/>
      <c r="CYL26" s="28"/>
      <c r="CYM26" s="28"/>
      <c r="CYN26" s="28"/>
      <c r="CYO26" s="28"/>
      <c r="CYP26" s="28"/>
      <c r="CYQ26" s="28"/>
      <c r="CYR26" s="28"/>
      <c r="CYS26" s="28"/>
      <c r="CYT26" s="28"/>
      <c r="CYU26" s="28"/>
      <c r="CYV26" s="28"/>
      <c r="CYW26" s="28"/>
      <c r="CYX26" s="28"/>
      <c r="CYY26" s="28"/>
      <c r="CYZ26" s="28"/>
      <c r="CZA26" s="28"/>
      <c r="CZB26" s="28"/>
      <c r="CZC26" s="28"/>
      <c r="CZD26" s="28"/>
      <c r="CZE26" s="28"/>
      <c r="CZF26" s="28"/>
      <c r="CZG26" s="28"/>
      <c r="CZH26" s="28"/>
      <c r="CZI26" s="28"/>
      <c r="CZJ26" s="28"/>
      <c r="CZK26" s="28"/>
      <c r="CZL26" s="28"/>
      <c r="CZM26" s="28"/>
      <c r="CZN26" s="28"/>
      <c r="CZO26" s="28"/>
      <c r="CZP26" s="28"/>
      <c r="CZQ26" s="28"/>
      <c r="CZR26" s="28"/>
      <c r="CZS26" s="28"/>
      <c r="CZT26" s="28"/>
      <c r="CZU26" s="28"/>
      <c r="CZV26" s="28"/>
      <c r="CZW26" s="28"/>
      <c r="CZX26" s="28"/>
      <c r="CZY26" s="28"/>
      <c r="CZZ26" s="28"/>
      <c r="DAA26" s="28"/>
      <c r="DAB26" s="28"/>
      <c r="DAC26" s="28"/>
      <c r="DAD26" s="28"/>
      <c r="DAE26" s="28"/>
      <c r="DAF26" s="28"/>
      <c r="DAG26" s="28"/>
      <c r="DAH26" s="28"/>
      <c r="DAI26" s="28"/>
      <c r="DAJ26" s="28"/>
      <c r="DAK26" s="28"/>
      <c r="DAL26" s="28"/>
      <c r="DAM26" s="28"/>
      <c r="DAN26" s="28"/>
      <c r="DAO26" s="28"/>
      <c r="DAP26" s="28"/>
      <c r="DAQ26" s="28"/>
      <c r="DAR26" s="28"/>
      <c r="DAS26" s="28"/>
      <c r="DAT26" s="28"/>
      <c r="DAU26" s="28"/>
      <c r="DAV26" s="28"/>
      <c r="DAW26" s="28"/>
      <c r="DAX26" s="28"/>
      <c r="DAY26" s="28"/>
      <c r="DAZ26" s="28"/>
      <c r="DBA26" s="28"/>
      <c r="DBB26" s="28"/>
      <c r="DBC26" s="28"/>
      <c r="DBD26" s="28"/>
      <c r="DBE26" s="28"/>
      <c r="DBF26" s="28"/>
      <c r="DBG26" s="28"/>
      <c r="DBH26" s="28"/>
      <c r="DBI26" s="28"/>
      <c r="DBJ26" s="28"/>
      <c r="DBK26" s="28"/>
      <c r="DBL26" s="28"/>
      <c r="DBM26" s="28"/>
      <c r="DBN26" s="28"/>
      <c r="DBO26" s="28"/>
      <c r="DBP26" s="28"/>
      <c r="DBQ26" s="28"/>
      <c r="DBR26" s="28"/>
      <c r="DBS26" s="28"/>
      <c r="DBT26" s="28"/>
      <c r="DBU26" s="28"/>
      <c r="DBV26" s="28"/>
      <c r="DBW26" s="28"/>
      <c r="DBX26" s="28"/>
      <c r="DBY26" s="28"/>
      <c r="DBZ26" s="28"/>
      <c r="DCA26" s="28"/>
      <c r="DCB26" s="28"/>
      <c r="DCC26" s="28"/>
      <c r="DCD26" s="28"/>
      <c r="DCE26" s="28"/>
      <c r="DCF26" s="28"/>
      <c r="DCG26" s="28"/>
      <c r="DCH26" s="28"/>
      <c r="DCI26" s="28"/>
      <c r="DCJ26" s="28"/>
      <c r="DCK26" s="28"/>
      <c r="DCL26" s="28"/>
      <c r="DCM26" s="28"/>
      <c r="DCN26" s="28"/>
      <c r="DCO26" s="28"/>
      <c r="DCP26" s="28"/>
      <c r="DCQ26" s="28"/>
      <c r="DCR26" s="28"/>
      <c r="DCS26" s="28"/>
      <c r="DCT26" s="28"/>
      <c r="DCU26" s="28"/>
      <c r="DCV26" s="28"/>
      <c r="DCW26" s="28"/>
      <c r="DCX26" s="28"/>
      <c r="DCY26" s="28"/>
      <c r="DCZ26" s="28"/>
      <c r="DDA26" s="28"/>
      <c r="DDB26" s="28"/>
      <c r="DDC26" s="28"/>
      <c r="DDD26" s="28"/>
      <c r="DDE26" s="28"/>
      <c r="DDF26" s="28"/>
      <c r="DDG26" s="28"/>
      <c r="DDH26" s="28"/>
      <c r="DDI26" s="28"/>
      <c r="DDJ26" s="28"/>
      <c r="DDK26" s="28"/>
      <c r="DDL26" s="28"/>
      <c r="DDM26" s="28"/>
      <c r="DDN26" s="28"/>
      <c r="DDO26" s="28"/>
      <c r="DDP26" s="28"/>
      <c r="DDQ26" s="28"/>
      <c r="DDR26" s="28"/>
      <c r="DDS26" s="28"/>
      <c r="DDT26" s="28"/>
      <c r="DDU26" s="28"/>
      <c r="DDV26" s="28"/>
      <c r="DDW26" s="28"/>
      <c r="DDX26" s="28"/>
      <c r="DDY26" s="28"/>
      <c r="DDZ26" s="28"/>
      <c r="DEA26" s="28"/>
      <c r="DEB26" s="28"/>
      <c r="DEC26" s="28"/>
      <c r="DED26" s="28"/>
      <c r="DEE26" s="28"/>
      <c r="DEF26" s="28"/>
      <c r="DEG26" s="28"/>
      <c r="DEH26" s="28"/>
      <c r="DEI26" s="28"/>
      <c r="DEJ26" s="28"/>
      <c r="DEK26" s="28"/>
      <c r="DEL26" s="28"/>
      <c r="DEM26" s="28"/>
      <c r="DEN26" s="28"/>
      <c r="DEO26" s="28"/>
      <c r="DEP26" s="28"/>
      <c r="DEQ26" s="28"/>
      <c r="DER26" s="28"/>
      <c r="DES26" s="28"/>
      <c r="DET26" s="28"/>
      <c r="DEU26" s="28"/>
      <c r="DEV26" s="28"/>
      <c r="DEW26" s="28"/>
      <c r="DEX26" s="28"/>
      <c r="DEY26" s="28"/>
      <c r="DEZ26" s="28"/>
      <c r="DFA26" s="28"/>
      <c r="DFB26" s="28"/>
      <c r="DFC26" s="28"/>
      <c r="DFD26" s="28"/>
      <c r="DFE26" s="28"/>
      <c r="DFF26" s="28"/>
      <c r="DFG26" s="28"/>
      <c r="DFH26" s="28"/>
      <c r="DFI26" s="28"/>
      <c r="DFJ26" s="28"/>
      <c r="DFK26" s="28"/>
      <c r="DFL26" s="28"/>
      <c r="DFM26" s="28"/>
      <c r="DFN26" s="28"/>
      <c r="DFO26" s="28"/>
      <c r="DFP26" s="28"/>
      <c r="DFQ26" s="28"/>
      <c r="DFR26" s="28"/>
      <c r="DFS26" s="28"/>
      <c r="DFT26" s="28"/>
      <c r="DFU26" s="28"/>
      <c r="DFV26" s="28"/>
      <c r="DFW26" s="28"/>
      <c r="DFX26" s="28"/>
      <c r="DFY26" s="28"/>
      <c r="DFZ26" s="28"/>
      <c r="DGA26" s="28"/>
      <c r="DGB26" s="28"/>
      <c r="DGC26" s="28"/>
      <c r="DGD26" s="28"/>
      <c r="DGE26" s="28"/>
      <c r="DGF26" s="28"/>
      <c r="DGG26" s="28"/>
      <c r="DGH26" s="28"/>
      <c r="DGI26" s="28"/>
      <c r="DGJ26" s="28"/>
      <c r="DGK26" s="28"/>
      <c r="DGL26" s="28"/>
      <c r="DGM26" s="28"/>
      <c r="DGN26" s="28"/>
      <c r="DGO26" s="28"/>
      <c r="DGP26" s="28"/>
      <c r="DGQ26" s="28"/>
      <c r="DGR26" s="28"/>
      <c r="DGS26" s="28"/>
      <c r="DGT26" s="28"/>
      <c r="DGU26" s="28"/>
      <c r="DGV26" s="28"/>
      <c r="DGW26" s="28"/>
      <c r="DGX26" s="28"/>
      <c r="DGY26" s="28"/>
      <c r="DGZ26" s="28"/>
      <c r="DHA26" s="28"/>
      <c r="DHB26" s="28"/>
      <c r="DHC26" s="28"/>
      <c r="DHD26" s="28"/>
      <c r="DHE26" s="28"/>
      <c r="DHF26" s="28"/>
      <c r="DHG26" s="28"/>
      <c r="DHH26" s="28"/>
      <c r="DHI26" s="28"/>
      <c r="DHJ26" s="28"/>
      <c r="DHK26" s="28"/>
      <c r="DHL26" s="28"/>
      <c r="DHM26" s="28"/>
      <c r="DHN26" s="28"/>
      <c r="DHO26" s="28"/>
      <c r="DHP26" s="28"/>
      <c r="DHQ26" s="28"/>
      <c r="DHR26" s="28"/>
      <c r="DHS26" s="28"/>
      <c r="DHT26" s="28"/>
      <c r="DHU26" s="28"/>
      <c r="DHV26" s="28"/>
      <c r="DHW26" s="28"/>
      <c r="DHX26" s="28"/>
      <c r="DHY26" s="28"/>
      <c r="DHZ26" s="28"/>
      <c r="DIA26" s="28"/>
      <c r="DIB26" s="28"/>
      <c r="DIC26" s="28"/>
      <c r="DID26" s="28"/>
      <c r="DIE26" s="28"/>
      <c r="DIF26" s="28"/>
      <c r="DIG26" s="28"/>
      <c r="DIH26" s="28"/>
      <c r="DII26" s="28"/>
      <c r="DIJ26" s="28"/>
      <c r="DIK26" s="28"/>
      <c r="DIL26" s="28"/>
      <c r="DIM26" s="28"/>
      <c r="DIN26" s="28"/>
      <c r="DIO26" s="28"/>
      <c r="DIP26" s="28"/>
      <c r="DIQ26" s="28"/>
      <c r="DIR26" s="28"/>
      <c r="DIS26" s="28"/>
      <c r="DIT26" s="28"/>
      <c r="DIU26" s="28"/>
      <c r="DIV26" s="28"/>
      <c r="DIW26" s="28"/>
      <c r="DIX26" s="28"/>
      <c r="DIY26" s="28"/>
      <c r="DIZ26" s="28"/>
      <c r="DJA26" s="28"/>
      <c r="DJB26" s="28"/>
      <c r="DJC26" s="28"/>
      <c r="DJD26" s="28"/>
      <c r="DJE26" s="28"/>
      <c r="DJF26" s="28"/>
      <c r="DJG26" s="28"/>
      <c r="DJH26" s="28"/>
      <c r="DJI26" s="28"/>
      <c r="DJJ26" s="28"/>
      <c r="DJK26" s="28"/>
      <c r="DJL26" s="28"/>
      <c r="DJM26" s="28"/>
      <c r="DJN26" s="28"/>
      <c r="DJO26" s="28"/>
      <c r="DJP26" s="28"/>
      <c r="DJQ26" s="28"/>
      <c r="DJR26" s="28"/>
      <c r="DJS26" s="28"/>
      <c r="DJT26" s="28"/>
      <c r="DJU26" s="28"/>
      <c r="DJV26" s="28"/>
      <c r="DJW26" s="28"/>
      <c r="DJX26" s="28"/>
      <c r="DJY26" s="28"/>
      <c r="DJZ26" s="28"/>
      <c r="DKA26" s="28"/>
      <c r="DKB26" s="28"/>
      <c r="DKC26" s="28"/>
      <c r="DKD26" s="28"/>
      <c r="DKE26" s="28"/>
      <c r="DKF26" s="28"/>
      <c r="DKG26" s="28"/>
      <c r="DKH26" s="28"/>
      <c r="DKI26" s="28"/>
      <c r="DKJ26" s="28"/>
      <c r="DKK26" s="28"/>
      <c r="DKL26" s="28"/>
      <c r="DKM26" s="28"/>
      <c r="DKN26" s="28"/>
      <c r="DKO26" s="28"/>
      <c r="DKP26" s="28"/>
      <c r="DKQ26" s="28"/>
      <c r="DKR26" s="28"/>
      <c r="DKS26" s="28"/>
      <c r="DKT26" s="28"/>
      <c r="DKU26" s="28"/>
      <c r="DKV26" s="28"/>
      <c r="DKW26" s="28"/>
      <c r="DKX26" s="28"/>
      <c r="DKY26" s="28"/>
      <c r="DKZ26" s="28"/>
      <c r="DLA26" s="28"/>
      <c r="DLB26" s="28"/>
      <c r="DLC26" s="28"/>
      <c r="DLD26" s="28"/>
      <c r="DLE26" s="28"/>
      <c r="DLF26" s="28"/>
      <c r="DLG26" s="28"/>
      <c r="DLH26" s="28"/>
      <c r="DLI26" s="28"/>
      <c r="DLJ26" s="28"/>
      <c r="DLK26" s="28"/>
      <c r="DLL26" s="28"/>
      <c r="DLM26" s="28"/>
      <c r="DLN26" s="28"/>
      <c r="DLO26" s="28"/>
      <c r="DLP26" s="28"/>
      <c r="DLQ26" s="28"/>
      <c r="DLR26" s="28"/>
      <c r="DLS26" s="28"/>
      <c r="DLT26" s="28"/>
      <c r="DLU26" s="28"/>
      <c r="DLV26" s="28"/>
      <c r="DLW26" s="28"/>
      <c r="DLX26" s="28"/>
      <c r="DLY26" s="28"/>
      <c r="DLZ26" s="28"/>
      <c r="DMA26" s="28"/>
      <c r="DMB26" s="28"/>
      <c r="DMC26" s="28"/>
      <c r="DMD26" s="28"/>
      <c r="DME26" s="28"/>
      <c r="DMF26" s="28"/>
      <c r="DMG26" s="28"/>
      <c r="DMH26" s="28"/>
      <c r="DMI26" s="28"/>
      <c r="DMJ26" s="28"/>
      <c r="DMK26" s="28"/>
      <c r="DML26" s="28"/>
      <c r="DMM26" s="28"/>
      <c r="DMN26" s="28"/>
      <c r="DMO26" s="28"/>
      <c r="DMP26" s="28"/>
      <c r="DMQ26" s="28"/>
      <c r="DMR26" s="28"/>
      <c r="DMS26" s="28"/>
      <c r="DMT26" s="28"/>
      <c r="DMU26" s="28"/>
      <c r="DMV26" s="28"/>
      <c r="DMW26" s="28"/>
      <c r="DMX26" s="28"/>
      <c r="DMY26" s="28"/>
      <c r="DMZ26" s="28"/>
      <c r="DNA26" s="28"/>
      <c r="DNB26" s="28"/>
      <c r="DNC26" s="28"/>
      <c r="DND26" s="28"/>
      <c r="DNE26" s="28"/>
      <c r="DNF26" s="28"/>
      <c r="DNG26" s="28"/>
      <c r="DNH26" s="28"/>
      <c r="DNI26" s="28"/>
      <c r="DNJ26" s="28"/>
      <c r="DNK26" s="28"/>
      <c r="DNL26" s="28"/>
      <c r="DNM26" s="28"/>
      <c r="DNN26" s="28"/>
      <c r="DNO26" s="28"/>
      <c r="DNP26" s="28"/>
      <c r="DNQ26" s="28"/>
      <c r="DNR26" s="28"/>
      <c r="DNS26" s="28"/>
      <c r="DNT26" s="28"/>
      <c r="DNU26" s="28"/>
      <c r="DNV26" s="28"/>
      <c r="DNW26" s="28"/>
      <c r="DNX26" s="28"/>
      <c r="DNY26" s="28"/>
      <c r="DNZ26" s="28"/>
      <c r="DOA26" s="28"/>
      <c r="DOB26" s="28"/>
      <c r="DOC26" s="28"/>
      <c r="DOD26" s="28"/>
      <c r="DOE26" s="28"/>
      <c r="DOF26" s="28"/>
      <c r="DOG26" s="28"/>
      <c r="DOH26" s="28"/>
      <c r="DOI26" s="28"/>
      <c r="DOJ26" s="28"/>
      <c r="DOK26" s="28"/>
      <c r="DOL26" s="28"/>
      <c r="DOM26" s="28"/>
      <c r="DON26" s="28"/>
      <c r="DOO26" s="28"/>
      <c r="DOP26" s="28"/>
      <c r="DOQ26" s="28"/>
      <c r="DOR26" s="28"/>
      <c r="DOS26" s="28"/>
      <c r="DOT26" s="28"/>
      <c r="DOU26" s="28"/>
      <c r="DOV26" s="28"/>
      <c r="DOW26" s="28"/>
      <c r="DOX26" s="28"/>
      <c r="DOY26" s="28"/>
      <c r="DOZ26" s="28"/>
      <c r="DPA26" s="28"/>
      <c r="DPB26" s="28"/>
      <c r="DPC26" s="28"/>
      <c r="DPD26" s="28"/>
      <c r="DPE26" s="28"/>
      <c r="DPF26" s="28"/>
      <c r="DPG26" s="28"/>
      <c r="DPH26" s="28"/>
      <c r="DPI26" s="28"/>
      <c r="DPJ26" s="28"/>
      <c r="DPK26" s="28"/>
      <c r="DPL26" s="28"/>
      <c r="DPM26" s="28"/>
      <c r="DPN26" s="28"/>
      <c r="DPO26" s="28"/>
      <c r="DPP26" s="28"/>
      <c r="DPQ26" s="28"/>
      <c r="DPR26" s="28"/>
      <c r="DPS26" s="28"/>
      <c r="DPT26" s="28"/>
      <c r="DPU26" s="28"/>
      <c r="DPV26" s="28"/>
      <c r="DPW26" s="28"/>
      <c r="DPX26" s="28"/>
      <c r="DPY26" s="28"/>
      <c r="DPZ26" s="28"/>
      <c r="DQA26" s="28"/>
      <c r="DQB26" s="28"/>
      <c r="DQC26" s="28"/>
      <c r="DQD26" s="28"/>
      <c r="DQE26" s="28"/>
      <c r="DQF26" s="28"/>
      <c r="DQG26" s="28"/>
      <c r="DQH26" s="28"/>
      <c r="DQI26" s="28"/>
      <c r="DQJ26" s="28"/>
      <c r="DQK26" s="28"/>
      <c r="DQL26" s="28"/>
      <c r="DQM26" s="28"/>
      <c r="DQN26" s="28"/>
      <c r="DQO26" s="28"/>
      <c r="DQP26" s="28"/>
      <c r="DQQ26" s="28"/>
      <c r="DQR26" s="28"/>
      <c r="DQS26" s="28"/>
      <c r="DQT26" s="28"/>
      <c r="DQU26" s="28"/>
      <c r="DQV26" s="28"/>
      <c r="DQW26" s="28"/>
      <c r="DQX26" s="28"/>
      <c r="DQY26" s="28"/>
      <c r="DQZ26" s="28"/>
      <c r="DRA26" s="28"/>
      <c r="DRB26" s="28"/>
      <c r="DRC26" s="28"/>
      <c r="DRD26" s="28"/>
      <c r="DRE26" s="28"/>
      <c r="DRF26" s="28"/>
      <c r="DRG26" s="28"/>
      <c r="DRH26" s="28"/>
      <c r="DRI26" s="28"/>
      <c r="DRJ26" s="28"/>
      <c r="DRK26" s="28"/>
      <c r="DRL26" s="28"/>
      <c r="DRM26" s="28"/>
      <c r="DRN26" s="28"/>
      <c r="DRO26" s="28"/>
      <c r="DRP26" s="28"/>
      <c r="DRQ26" s="28"/>
      <c r="DRR26" s="28"/>
      <c r="DRS26" s="28"/>
      <c r="DRT26" s="28"/>
      <c r="DRU26" s="28"/>
      <c r="DRV26" s="28"/>
      <c r="DRW26" s="28"/>
      <c r="DRX26" s="28"/>
      <c r="DRY26" s="28"/>
      <c r="DRZ26" s="28"/>
      <c r="DSA26" s="28"/>
      <c r="DSB26" s="28"/>
      <c r="DSC26" s="28"/>
      <c r="DSD26" s="28"/>
      <c r="DSE26" s="28"/>
      <c r="DSF26" s="28"/>
      <c r="DSG26" s="28"/>
      <c r="DSH26" s="28"/>
      <c r="DSI26" s="28"/>
      <c r="DSJ26" s="28"/>
      <c r="DSK26" s="28"/>
      <c r="DSL26" s="28"/>
      <c r="DSM26" s="28"/>
      <c r="DSN26" s="28"/>
      <c r="DSO26" s="28"/>
      <c r="DSP26" s="28"/>
      <c r="DSQ26" s="28"/>
      <c r="DSR26" s="28"/>
      <c r="DSS26" s="28"/>
      <c r="DST26" s="28"/>
      <c r="DSU26" s="28"/>
      <c r="DSV26" s="28"/>
      <c r="DSW26" s="28"/>
      <c r="DSX26" s="28"/>
      <c r="DSY26" s="28"/>
      <c r="DSZ26" s="28"/>
      <c r="DTA26" s="28"/>
      <c r="DTB26" s="28"/>
      <c r="DTC26" s="28"/>
      <c r="DTD26" s="28"/>
      <c r="DTE26" s="28"/>
      <c r="DTF26" s="28"/>
      <c r="DTG26" s="28"/>
      <c r="DTH26" s="28"/>
      <c r="DTI26" s="28"/>
      <c r="DTJ26" s="28"/>
      <c r="DTK26" s="28"/>
      <c r="DTL26" s="28"/>
      <c r="DTM26" s="28"/>
      <c r="DTN26" s="28"/>
      <c r="DTO26" s="28"/>
      <c r="DTP26" s="28"/>
      <c r="DTQ26" s="28"/>
      <c r="DTR26" s="28"/>
      <c r="DTS26" s="28"/>
      <c r="DTT26" s="28"/>
      <c r="DTU26" s="28"/>
      <c r="DTV26" s="28"/>
      <c r="DTW26" s="28"/>
      <c r="DTX26" s="28"/>
      <c r="DTY26" s="28"/>
      <c r="DTZ26" s="28"/>
      <c r="DUA26" s="28"/>
      <c r="DUB26" s="28"/>
      <c r="DUC26" s="28"/>
      <c r="DUD26" s="28"/>
      <c r="DUE26" s="28"/>
      <c r="DUF26" s="28"/>
      <c r="DUG26" s="28"/>
      <c r="DUH26" s="28"/>
      <c r="DUI26" s="28"/>
      <c r="DUJ26" s="28"/>
      <c r="DUK26" s="28"/>
      <c r="DUL26" s="28"/>
      <c r="DUM26" s="28"/>
      <c r="DUN26" s="28"/>
      <c r="DUO26" s="28"/>
      <c r="DUP26" s="28"/>
      <c r="DUQ26" s="28"/>
      <c r="DUR26" s="28"/>
      <c r="DUS26" s="28"/>
      <c r="DUT26" s="28"/>
      <c r="DUU26" s="28"/>
      <c r="DUV26" s="28"/>
      <c r="DUW26" s="28"/>
      <c r="DUX26" s="28"/>
      <c r="DUY26" s="28"/>
      <c r="DUZ26" s="28"/>
      <c r="DVA26" s="28"/>
      <c r="DVB26" s="28"/>
      <c r="DVC26" s="28"/>
      <c r="DVD26" s="28"/>
      <c r="DVE26" s="28"/>
      <c r="DVF26" s="28"/>
      <c r="DVG26" s="28"/>
      <c r="DVH26" s="28"/>
      <c r="DVI26" s="28"/>
      <c r="DVJ26" s="28"/>
      <c r="DVK26" s="28"/>
      <c r="DVL26" s="28"/>
      <c r="DVM26" s="28"/>
      <c r="DVN26" s="28"/>
      <c r="DVO26" s="28"/>
      <c r="DVP26" s="28"/>
      <c r="DVQ26" s="28"/>
      <c r="DVR26" s="28"/>
      <c r="DVS26" s="28"/>
      <c r="DVT26" s="28"/>
      <c r="DVU26" s="28"/>
      <c r="DVV26" s="28"/>
      <c r="DVW26" s="28"/>
      <c r="DVX26" s="28"/>
      <c r="DVY26" s="28"/>
      <c r="DVZ26" s="28"/>
      <c r="DWA26" s="28"/>
      <c r="DWB26" s="28"/>
      <c r="DWC26" s="28"/>
      <c r="DWD26" s="28"/>
      <c r="DWE26" s="28"/>
      <c r="DWF26" s="28"/>
      <c r="DWG26" s="28"/>
      <c r="DWH26" s="28"/>
      <c r="DWI26" s="28"/>
      <c r="DWJ26" s="28"/>
      <c r="DWK26" s="28"/>
      <c r="DWL26" s="28"/>
      <c r="DWM26" s="28"/>
      <c r="DWN26" s="28"/>
      <c r="DWO26" s="28"/>
      <c r="DWP26" s="28"/>
      <c r="DWQ26" s="28"/>
      <c r="DWR26" s="28"/>
      <c r="DWS26" s="28"/>
      <c r="DWT26" s="28"/>
      <c r="DWU26" s="28"/>
      <c r="DWV26" s="28"/>
      <c r="DWW26" s="28"/>
      <c r="DWX26" s="28"/>
      <c r="DWY26" s="28"/>
      <c r="DWZ26" s="28"/>
      <c r="DXA26" s="28"/>
      <c r="DXB26" s="28"/>
      <c r="DXC26" s="28"/>
      <c r="DXD26" s="28"/>
      <c r="DXE26" s="28"/>
      <c r="DXF26" s="28"/>
      <c r="DXG26" s="28"/>
      <c r="DXH26" s="28"/>
      <c r="DXI26" s="28"/>
      <c r="DXJ26" s="28"/>
      <c r="DXK26" s="28"/>
      <c r="DXL26" s="28"/>
      <c r="DXM26" s="28"/>
      <c r="DXN26" s="28"/>
      <c r="DXO26" s="28"/>
      <c r="DXP26" s="28"/>
      <c r="DXQ26" s="28"/>
      <c r="DXR26" s="28"/>
      <c r="DXS26" s="28"/>
      <c r="DXT26" s="28"/>
      <c r="DXU26" s="28"/>
      <c r="DXV26" s="28"/>
      <c r="DXW26" s="28"/>
      <c r="DXX26" s="28"/>
      <c r="DXY26" s="28"/>
      <c r="DXZ26" s="28"/>
      <c r="DYA26" s="28"/>
      <c r="DYB26" s="28"/>
      <c r="DYC26" s="28"/>
      <c r="DYD26" s="28"/>
      <c r="DYE26" s="28"/>
      <c r="DYF26" s="28"/>
      <c r="DYG26" s="28"/>
      <c r="DYH26" s="28"/>
      <c r="DYI26" s="28"/>
      <c r="DYJ26" s="28"/>
      <c r="DYK26" s="28"/>
      <c r="DYL26" s="28"/>
      <c r="DYM26" s="28"/>
      <c r="DYN26" s="28"/>
      <c r="DYO26" s="28"/>
      <c r="DYP26" s="28"/>
      <c r="DYQ26" s="28"/>
      <c r="DYR26" s="28"/>
      <c r="DYS26" s="28"/>
      <c r="DYT26" s="28"/>
      <c r="DYU26" s="28"/>
      <c r="DYV26" s="28"/>
      <c r="DYW26" s="28"/>
      <c r="DYX26" s="28"/>
      <c r="DYY26" s="28"/>
      <c r="DYZ26" s="28"/>
      <c r="DZA26" s="28"/>
      <c r="DZB26" s="28"/>
      <c r="DZC26" s="28"/>
      <c r="DZD26" s="28"/>
      <c r="DZE26" s="28"/>
      <c r="DZF26" s="28"/>
      <c r="DZG26" s="28"/>
      <c r="DZH26" s="28"/>
      <c r="DZI26" s="28"/>
      <c r="DZJ26" s="28"/>
      <c r="DZK26" s="28"/>
      <c r="DZL26" s="28"/>
      <c r="DZM26" s="28"/>
      <c r="DZN26" s="28"/>
      <c r="DZO26" s="28"/>
      <c r="DZP26" s="28"/>
      <c r="DZQ26" s="28"/>
      <c r="DZR26" s="28"/>
      <c r="DZS26" s="28"/>
      <c r="DZT26" s="28"/>
      <c r="DZU26" s="28"/>
      <c r="DZV26" s="28"/>
      <c r="DZW26" s="28"/>
      <c r="DZX26" s="28"/>
      <c r="DZY26" s="28"/>
      <c r="DZZ26" s="28"/>
      <c r="EAA26" s="28"/>
      <c r="EAB26" s="28"/>
      <c r="EAC26" s="28"/>
      <c r="EAD26" s="28"/>
      <c r="EAE26" s="28"/>
      <c r="EAF26" s="28"/>
      <c r="EAG26" s="28"/>
      <c r="EAH26" s="28"/>
      <c r="EAI26" s="28"/>
      <c r="EAJ26" s="28"/>
      <c r="EAK26" s="28"/>
      <c r="EAL26" s="28"/>
      <c r="EAM26" s="28"/>
      <c r="EAN26" s="28"/>
      <c r="EAO26" s="28"/>
      <c r="EAP26" s="28"/>
      <c r="EAQ26" s="28"/>
      <c r="EAR26" s="28"/>
      <c r="EAS26" s="28"/>
      <c r="EAT26" s="28"/>
      <c r="EAU26" s="28"/>
      <c r="EAV26" s="28"/>
      <c r="EAW26" s="28"/>
      <c r="EAX26" s="28"/>
      <c r="EAY26" s="28"/>
      <c r="EAZ26" s="28"/>
      <c r="EBA26" s="28"/>
      <c r="EBB26" s="28"/>
      <c r="EBC26" s="28"/>
      <c r="EBD26" s="28"/>
      <c r="EBE26" s="28"/>
      <c r="EBF26" s="28"/>
      <c r="EBG26" s="28"/>
      <c r="EBH26" s="28"/>
      <c r="EBI26" s="28"/>
      <c r="EBJ26" s="28"/>
      <c r="EBK26" s="28"/>
      <c r="EBL26" s="28"/>
      <c r="EBM26" s="28"/>
      <c r="EBN26" s="28"/>
      <c r="EBO26" s="28"/>
      <c r="EBP26" s="28"/>
      <c r="EBQ26" s="28"/>
      <c r="EBR26" s="28"/>
      <c r="EBS26" s="28"/>
      <c r="EBT26" s="28"/>
      <c r="EBU26" s="28"/>
      <c r="EBV26" s="28"/>
      <c r="EBW26" s="28"/>
      <c r="EBX26" s="28"/>
      <c r="EBY26" s="28"/>
      <c r="EBZ26" s="28"/>
      <c r="ECA26" s="28"/>
      <c r="ECB26" s="28"/>
      <c r="ECC26" s="28"/>
      <c r="ECD26" s="28"/>
      <c r="ECE26" s="28"/>
      <c r="ECF26" s="28"/>
      <c r="ECG26" s="28"/>
      <c r="ECH26" s="28"/>
      <c r="ECI26" s="28"/>
      <c r="ECJ26" s="28"/>
      <c r="ECK26" s="28"/>
      <c r="ECL26" s="28"/>
      <c r="ECM26" s="28"/>
      <c r="ECN26" s="28"/>
      <c r="ECO26" s="28"/>
      <c r="ECP26" s="28"/>
      <c r="ECQ26" s="28"/>
      <c r="ECR26" s="28"/>
      <c r="ECS26" s="28"/>
      <c r="ECT26" s="28"/>
      <c r="ECU26" s="28"/>
      <c r="ECV26" s="28"/>
      <c r="ECW26" s="28"/>
      <c r="ECX26" s="28"/>
      <c r="ECY26" s="28"/>
      <c r="ECZ26" s="28"/>
      <c r="EDA26" s="28"/>
      <c r="EDB26" s="28"/>
      <c r="EDC26" s="28"/>
      <c r="EDD26" s="28"/>
      <c r="EDE26" s="28"/>
      <c r="EDF26" s="28"/>
      <c r="EDG26" s="28"/>
      <c r="EDH26" s="28"/>
      <c r="EDI26" s="28"/>
      <c r="EDJ26" s="28"/>
      <c r="EDK26" s="28"/>
      <c r="EDL26" s="28"/>
      <c r="EDM26" s="28"/>
      <c r="EDN26" s="28"/>
      <c r="EDO26" s="28"/>
      <c r="EDP26" s="28"/>
      <c r="EDQ26" s="28"/>
      <c r="EDR26" s="28"/>
      <c r="EDS26" s="28"/>
      <c r="EDT26" s="28"/>
      <c r="EDU26" s="28"/>
      <c r="EDV26" s="28"/>
      <c r="EDW26" s="28"/>
      <c r="EDX26" s="28"/>
      <c r="EDY26" s="28"/>
      <c r="EDZ26" s="28"/>
      <c r="EEA26" s="28"/>
      <c r="EEB26" s="28"/>
      <c r="EEC26" s="28"/>
      <c r="EED26" s="28"/>
      <c r="EEE26" s="28"/>
      <c r="EEF26" s="28"/>
      <c r="EEG26" s="28"/>
      <c r="EEH26" s="28"/>
      <c r="EEI26" s="28"/>
      <c r="EEJ26" s="28"/>
      <c r="EEK26" s="28"/>
      <c r="EEL26" s="28"/>
      <c r="EEM26" s="28"/>
      <c r="EEN26" s="28"/>
      <c r="EEO26" s="28"/>
      <c r="EEP26" s="28"/>
      <c r="EEQ26" s="28"/>
      <c r="EER26" s="28"/>
      <c r="EES26" s="28"/>
      <c r="EET26" s="28"/>
      <c r="EEU26" s="28"/>
      <c r="EEV26" s="28"/>
      <c r="EEW26" s="28"/>
      <c r="EEX26" s="28"/>
      <c r="EEY26" s="28"/>
      <c r="EEZ26" s="28"/>
      <c r="EFA26" s="28"/>
      <c r="EFB26" s="28"/>
      <c r="EFC26" s="28"/>
      <c r="EFD26" s="28"/>
      <c r="EFE26" s="28"/>
      <c r="EFF26" s="28"/>
      <c r="EFG26" s="28"/>
      <c r="EFH26" s="28"/>
      <c r="EFI26" s="28"/>
      <c r="EFJ26" s="28"/>
      <c r="EFK26" s="28"/>
      <c r="EFL26" s="28"/>
      <c r="EFM26" s="28"/>
      <c r="EFN26" s="28"/>
      <c r="EFO26" s="28"/>
      <c r="EFP26" s="28"/>
      <c r="EFQ26" s="28"/>
      <c r="EFR26" s="28"/>
      <c r="EFS26" s="28"/>
      <c r="EFT26" s="28"/>
      <c r="EFU26" s="28"/>
      <c r="EFV26" s="28"/>
      <c r="EFW26" s="28"/>
      <c r="EFX26" s="28"/>
      <c r="EFY26" s="28"/>
      <c r="EFZ26" s="28"/>
      <c r="EGA26" s="28"/>
      <c r="EGB26" s="28"/>
      <c r="EGC26" s="28"/>
      <c r="EGD26" s="28"/>
      <c r="EGE26" s="28"/>
      <c r="EGF26" s="28"/>
      <c r="EGG26" s="28"/>
      <c r="EGH26" s="28"/>
      <c r="EGI26" s="28"/>
      <c r="EGJ26" s="28"/>
      <c r="EGK26" s="28"/>
      <c r="EGL26" s="28"/>
      <c r="EGM26" s="28"/>
      <c r="EGN26" s="28"/>
      <c r="EGO26" s="28"/>
      <c r="EGP26" s="28"/>
      <c r="EGQ26" s="28"/>
      <c r="EGR26" s="28"/>
      <c r="EGS26" s="28"/>
      <c r="EGT26" s="28"/>
      <c r="EGU26" s="28"/>
      <c r="EGV26" s="28"/>
      <c r="EGW26" s="28"/>
      <c r="EGX26" s="28"/>
      <c r="EGY26" s="28"/>
      <c r="EGZ26" s="28"/>
      <c r="EHA26" s="28"/>
      <c r="EHB26" s="28"/>
      <c r="EHC26" s="28"/>
      <c r="EHD26" s="28"/>
      <c r="EHE26" s="28"/>
      <c r="EHF26" s="28"/>
      <c r="EHG26" s="28"/>
      <c r="EHH26" s="28"/>
      <c r="EHI26" s="28"/>
      <c r="EHJ26" s="28"/>
      <c r="EHK26" s="28"/>
      <c r="EHL26" s="28"/>
      <c r="EHM26" s="28"/>
      <c r="EHN26" s="28"/>
      <c r="EHO26" s="28"/>
      <c r="EHP26" s="28"/>
      <c r="EHQ26" s="28"/>
      <c r="EHR26" s="28"/>
      <c r="EHS26" s="28"/>
      <c r="EHT26" s="28"/>
      <c r="EHU26" s="28"/>
      <c r="EHV26" s="28"/>
      <c r="EHW26" s="28"/>
      <c r="EHX26" s="28"/>
      <c r="EHY26" s="28"/>
      <c r="EHZ26" s="28"/>
      <c r="EIA26" s="28"/>
      <c r="EIB26" s="28"/>
      <c r="EIC26" s="28"/>
      <c r="EID26" s="28"/>
      <c r="EIE26" s="28"/>
      <c r="EIF26" s="28"/>
      <c r="EIG26" s="28"/>
      <c r="EIH26" s="28"/>
      <c r="EII26" s="28"/>
      <c r="EIJ26" s="28"/>
      <c r="EIK26" s="28"/>
      <c r="EIL26" s="28"/>
      <c r="EIM26" s="28"/>
      <c r="EIN26" s="28"/>
      <c r="EIO26" s="28"/>
      <c r="EIP26" s="28"/>
      <c r="EIQ26" s="28"/>
      <c r="EIR26" s="28"/>
      <c r="EIS26" s="28"/>
      <c r="EIT26" s="28"/>
      <c r="EIU26" s="28"/>
      <c r="EIV26" s="28"/>
      <c r="EIW26" s="28"/>
      <c r="EIX26" s="28"/>
      <c r="EIY26" s="28"/>
      <c r="EIZ26" s="28"/>
      <c r="EJA26" s="28"/>
      <c r="EJB26" s="28"/>
      <c r="EJC26" s="28"/>
      <c r="EJD26" s="28"/>
      <c r="EJE26" s="28"/>
      <c r="EJF26" s="28"/>
      <c r="EJG26" s="28"/>
      <c r="EJH26" s="28"/>
      <c r="EJI26" s="28"/>
      <c r="EJJ26" s="28"/>
      <c r="EJK26" s="28"/>
      <c r="EJL26" s="28"/>
      <c r="EJM26" s="28"/>
      <c r="EJN26" s="28"/>
      <c r="EJO26" s="28"/>
      <c r="EJP26" s="28"/>
      <c r="EJQ26" s="28"/>
      <c r="EJR26" s="28"/>
      <c r="EJS26" s="28"/>
      <c r="EJT26" s="28"/>
      <c r="EJU26" s="28"/>
      <c r="EJV26" s="28"/>
      <c r="EJW26" s="28"/>
      <c r="EJX26" s="28"/>
      <c r="EJY26" s="28"/>
      <c r="EJZ26" s="28"/>
      <c r="EKA26" s="28"/>
      <c r="EKB26" s="28"/>
      <c r="EKC26" s="28"/>
      <c r="EKD26" s="28"/>
      <c r="EKE26" s="28"/>
      <c r="EKF26" s="28"/>
      <c r="EKG26" s="28"/>
      <c r="EKH26" s="28"/>
      <c r="EKI26" s="28"/>
      <c r="EKJ26" s="28"/>
      <c r="EKK26" s="28"/>
      <c r="EKL26" s="28"/>
      <c r="EKM26" s="28"/>
      <c r="EKN26" s="28"/>
      <c r="EKO26" s="28"/>
      <c r="EKP26" s="28"/>
      <c r="EKQ26" s="28"/>
      <c r="EKR26" s="28"/>
      <c r="EKS26" s="28"/>
      <c r="EKT26" s="28"/>
      <c r="EKU26" s="28"/>
      <c r="EKV26" s="28"/>
      <c r="EKW26" s="28"/>
      <c r="EKX26" s="28"/>
      <c r="EKY26" s="28"/>
      <c r="EKZ26" s="28"/>
      <c r="ELA26" s="28"/>
      <c r="ELB26" s="28"/>
      <c r="ELC26" s="28"/>
      <c r="ELD26" s="28"/>
      <c r="ELE26" s="28"/>
      <c r="ELF26" s="28"/>
      <c r="ELG26" s="28"/>
      <c r="ELH26" s="28"/>
      <c r="ELI26" s="28"/>
      <c r="ELJ26" s="28"/>
      <c r="ELK26" s="28"/>
      <c r="ELL26" s="28"/>
      <c r="ELM26" s="28"/>
      <c r="ELN26" s="28"/>
      <c r="ELO26" s="28"/>
      <c r="ELP26" s="28"/>
      <c r="ELQ26" s="28"/>
      <c r="ELR26" s="28"/>
      <c r="ELS26" s="28"/>
      <c r="ELT26" s="28"/>
      <c r="ELU26" s="28"/>
      <c r="ELV26" s="28"/>
      <c r="ELW26" s="28"/>
      <c r="ELX26" s="28"/>
      <c r="ELY26" s="28"/>
      <c r="ELZ26" s="28"/>
      <c r="EMA26" s="28"/>
      <c r="EMB26" s="28"/>
      <c r="EMC26" s="28"/>
      <c r="EMD26" s="28"/>
      <c r="EME26" s="28"/>
      <c r="EMF26" s="28"/>
      <c r="EMG26" s="28"/>
      <c r="EMH26" s="28"/>
      <c r="EMI26" s="28"/>
      <c r="EMJ26" s="28"/>
      <c r="EMK26" s="28"/>
      <c r="EML26" s="28"/>
      <c r="EMM26" s="28"/>
      <c r="EMN26" s="28"/>
      <c r="EMO26" s="28"/>
      <c r="EMP26" s="28"/>
      <c r="EMQ26" s="28"/>
      <c r="EMR26" s="28"/>
      <c r="EMS26" s="28"/>
      <c r="EMT26" s="28"/>
      <c r="EMU26" s="28"/>
      <c r="EMV26" s="28"/>
      <c r="EMW26" s="28"/>
      <c r="EMX26" s="28"/>
      <c r="EMY26" s="28"/>
      <c r="EMZ26" s="28"/>
      <c r="ENA26" s="28"/>
      <c r="ENB26" s="28"/>
      <c r="ENC26" s="28"/>
      <c r="END26" s="28"/>
      <c r="ENE26" s="28"/>
      <c r="ENF26" s="28"/>
      <c r="ENG26" s="28"/>
      <c r="ENH26" s="28"/>
      <c r="ENI26" s="28"/>
      <c r="ENJ26" s="28"/>
      <c r="ENK26" s="28"/>
      <c r="ENL26" s="28"/>
      <c r="ENM26" s="28"/>
      <c r="ENN26" s="28"/>
      <c r="ENO26" s="28"/>
      <c r="ENP26" s="28"/>
      <c r="ENQ26" s="28"/>
      <c r="ENR26" s="28"/>
      <c r="ENS26" s="28"/>
      <c r="ENT26" s="28"/>
      <c r="ENU26" s="28"/>
      <c r="ENV26" s="28"/>
      <c r="ENW26" s="28"/>
      <c r="ENX26" s="28"/>
      <c r="ENY26" s="28"/>
      <c r="ENZ26" s="28"/>
      <c r="EOA26" s="28"/>
      <c r="EOB26" s="28"/>
      <c r="EOC26" s="28"/>
      <c r="EOD26" s="28"/>
      <c r="EOE26" s="28"/>
      <c r="EOF26" s="28"/>
      <c r="EOG26" s="28"/>
      <c r="EOH26" s="28"/>
      <c r="EOI26" s="28"/>
      <c r="EOJ26" s="28"/>
      <c r="EOK26" s="28"/>
      <c r="EOL26" s="28"/>
      <c r="EOM26" s="28"/>
      <c r="EON26" s="28"/>
      <c r="EOO26" s="28"/>
      <c r="EOP26" s="28"/>
      <c r="EOQ26" s="28"/>
      <c r="EOR26" s="28"/>
      <c r="EOS26" s="28"/>
      <c r="EOT26" s="28"/>
      <c r="EOU26" s="28"/>
      <c r="EOV26" s="28"/>
      <c r="EOW26" s="28"/>
      <c r="EOX26" s="28"/>
      <c r="EOY26" s="28"/>
      <c r="EOZ26" s="28"/>
      <c r="EPA26" s="28"/>
      <c r="EPB26" s="28"/>
      <c r="EPC26" s="28"/>
      <c r="EPD26" s="28"/>
      <c r="EPE26" s="28"/>
      <c r="EPF26" s="28"/>
      <c r="EPG26" s="28"/>
      <c r="EPH26" s="28"/>
      <c r="EPI26" s="28"/>
      <c r="EPJ26" s="28"/>
      <c r="EPK26" s="28"/>
      <c r="EPL26" s="28"/>
      <c r="EPM26" s="28"/>
      <c r="EPN26" s="28"/>
      <c r="EPO26" s="28"/>
      <c r="EPP26" s="28"/>
      <c r="EPQ26" s="28"/>
      <c r="EPR26" s="28"/>
      <c r="EPS26" s="28"/>
      <c r="EPT26" s="28"/>
      <c r="EPU26" s="28"/>
      <c r="EPV26" s="28"/>
      <c r="EPW26" s="28"/>
      <c r="EPX26" s="28"/>
      <c r="EPY26" s="28"/>
      <c r="EPZ26" s="28"/>
      <c r="EQA26" s="28"/>
      <c r="EQB26" s="28"/>
      <c r="EQC26" s="28"/>
      <c r="EQD26" s="28"/>
      <c r="EQE26" s="28"/>
      <c r="EQF26" s="28"/>
      <c r="EQG26" s="28"/>
      <c r="EQH26" s="28"/>
      <c r="EQI26" s="28"/>
      <c r="EQJ26" s="28"/>
      <c r="EQK26" s="28"/>
      <c r="EQL26" s="28"/>
      <c r="EQM26" s="28"/>
      <c r="EQN26" s="28"/>
      <c r="EQO26" s="28"/>
      <c r="EQP26" s="28"/>
      <c r="EQQ26" s="28"/>
      <c r="EQR26" s="28"/>
      <c r="EQS26" s="28"/>
      <c r="EQT26" s="28"/>
      <c r="EQU26" s="28"/>
      <c r="EQV26" s="28"/>
      <c r="EQW26" s="28"/>
      <c r="EQX26" s="28"/>
      <c r="EQY26" s="28"/>
      <c r="EQZ26" s="28"/>
      <c r="ERA26" s="28"/>
      <c r="ERB26" s="28"/>
      <c r="ERC26" s="28"/>
      <c r="ERD26" s="28"/>
      <c r="ERE26" s="28"/>
      <c r="ERF26" s="28"/>
      <c r="ERG26" s="28"/>
      <c r="ERH26" s="28"/>
      <c r="ERI26" s="28"/>
      <c r="ERJ26" s="28"/>
      <c r="ERK26" s="28"/>
      <c r="ERL26" s="28"/>
      <c r="ERM26" s="28"/>
      <c r="ERN26" s="28"/>
      <c r="ERO26" s="28"/>
      <c r="ERP26" s="28"/>
      <c r="ERQ26" s="28"/>
      <c r="ERR26" s="28"/>
      <c r="ERS26" s="28"/>
      <c r="ERT26" s="28"/>
      <c r="ERU26" s="28"/>
      <c r="ERV26" s="28"/>
      <c r="ERW26" s="28"/>
      <c r="ERX26" s="28"/>
      <c r="ERY26" s="28"/>
      <c r="ERZ26" s="28"/>
      <c r="ESA26" s="28"/>
      <c r="ESB26" s="28"/>
      <c r="ESC26" s="28"/>
      <c r="ESD26" s="28"/>
      <c r="ESE26" s="28"/>
      <c r="ESF26" s="28"/>
      <c r="ESG26" s="28"/>
      <c r="ESH26" s="28"/>
      <c r="ESI26" s="28"/>
      <c r="ESJ26" s="28"/>
      <c r="ESK26" s="28"/>
      <c r="ESL26" s="28"/>
      <c r="ESM26" s="28"/>
      <c r="ESN26" s="28"/>
      <c r="ESO26" s="28"/>
      <c r="ESP26" s="28"/>
      <c r="ESQ26" s="28"/>
      <c r="ESR26" s="28"/>
      <c r="ESS26" s="28"/>
      <c r="EST26" s="28"/>
      <c r="ESU26" s="28"/>
      <c r="ESV26" s="28"/>
      <c r="ESW26" s="28"/>
      <c r="ESX26" s="28"/>
      <c r="ESY26" s="28"/>
      <c r="ESZ26" s="28"/>
      <c r="ETA26" s="28"/>
      <c r="ETB26" s="28"/>
      <c r="ETC26" s="28"/>
      <c r="ETD26" s="28"/>
      <c r="ETE26" s="28"/>
      <c r="ETF26" s="28"/>
      <c r="ETG26" s="28"/>
      <c r="ETH26" s="28"/>
      <c r="ETI26" s="28"/>
      <c r="ETJ26" s="28"/>
      <c r="ETK26" s="28"/>
      <c r="ETL26" s="28"/>
      <c r="ETM26" s="28"/>
      <c r="ETN26" s="28"/>
      <c r="ETO26" s="28"/>
      <c r="ETP26" s="28"/>
      <c r="ETQ26" s="28"/>
      <c r="ETR26" s="28"/>
      <c r="ETS26" s="28"/>
      <c r="ETT26" s="28"/>
      <c r="ETU26" s="28"/>
      <c r="ETV26" s="28"/>
      <c r="ETW26" s="28"/>
      <c r="ETX26" s="28"/>
      <c r="ETY26" s="28"/>
      <c r="ETZ26" s="28"/>
      <c r="EUA26" s="28"/>
      <c r="EUB26" s="28"/>
      <c r="EUC26" s="28"/>
      <c r="EUD26" s="28"/>
      <c r="EUE26" s="28"/>
      <c r="EUF26" s="28"/>
      <c r="EUG26" s="28"/>
      <c r="EUH26" s="28"/>
      <c r="EUI26" s="28"/>
      <c r="EUJ26" s="28"/>
      <c r="EUK26" s="28"/>
      <c r="EUL26" s="28"/>
      <c r="EUM26" s="28"/>
      <c r="EUN26" s="28"/>
      <c r="EUO26" s="28"/>
      <c r="EUP26" s="28"/>
      <c r="EUQ26" s="28"/>
      <c r="EUR26" s="28"/>
      <c r="EUS26" s="28"/>
      <c r="EUT26" s="28"/>
      <c r="EUU26" s="28"/>
      <c r="EUV26" s="28"/>
      <c r="EUW26" s="28"/>
      <c r="EUX26" s="28"/>
      <c r="EUY26" s="28"/>
      <c r="EUZ26" s="28"/>
      <c r="EVA26" s="28"/>
      <c r="EVB26" s="28"/>
      <c r="EVC26" s="28"/>
      <c r="EVD26" s="28"/>
      <c r="EVE26" s="28"/>
      <c r="EVF26" s="28"/>
      <c r="EVG26" s="28"/>
      <c r="EVH26" s="28"/>
      <c r="EVI26" s="28"/>
      <c r="EVJ26" s="28"/>
      <c r="EVK26" s="28"/>
      <c r="EVL26" s="28"/>
      <c r="EVM26" s="28"/>
      <c r="EVN26" s="28"/>
      <c r="EVO26" s="28"/>
      <c r="EVP26" s="28"/>
      <c r="EVQ26" s="28"/>
      <c r="EVR26" s="28"/>
      <c r="EVS26" s="28"/>
      <c r="EVT26" s="28"/>
      <c r="EVU26" s="28"/>
      <c r="EVV26" s="28"/>
      <c r="EVW26" s="28"/>
      <c r="EVX26" s="28"/>
      <c r="EVY26" s="28"/>
      <c r="EVZ26" s="28"/>
      <c r="EWA26" s="28"/>
      <c r="EWB26" s="28"/>
      <c r="EWC26" s="28"/>
      <c r="EWD26" s="28"/>
      <c r="EWE26" s="28"/>
      <c r="EWF26" s="28"/>
      <c r="EWG26" s="28"/>
      <c r="EWH26" s="28"/>
      <c r="EWI26" s="28"/>
      <c r="EWJ26" s="28"/>
      <c r="EWK26" s="28"/>
      <c r="EWL26" s="28"/>
      <c r="EWM26" s="28"/>
      <c r="EWN26" s="28"/>
      <c r="EWO26" s="28"/>
      <c r="EWP26" s="28"/>
      <c r="EWQ26" s="28"/>
      <c r="EWR26" s="28"/>
      <c r="EWS26" s="28"/>
      <c r="EWT26" s="28"/>
      <c r="EWU26" s="28"/>
      <c r="EWV26" s="28"/>
      <c r="EWW26" s="28"/>
      <c r="EWX26" s="28"/>
      <c r="EWY26" s="28"/>
      <c r="EWZ26" s="28"/>
      <c r="EXA26" s="28"/>
      <c r="EXB26" s="28"/>
      <c r="EXC26" s="28"/>
      <c r="EXD26" s="28"/>
      <c r="EXE26" s="28"/>
      <c r="EXF26" s="28"/>
      <c r="EXG26" s="28"/>
      <c r="EXH26" s="28"/>
      <c r="EXI26" s="28"/>
      <c r="EXJ26" s="28"/>
      <c r="EXK26" s="28"/>
      <c r="EXL26" s="28"/>
      <c r="EXM26" s="28"/>
      <c r="EXN26" s="28"/>
      <c r="EXO26" s="28"/>
      <c r="EXP26" s="28"/>
      <c r="EXQ26" s="28"/>
      <c r="EXR26" s="28"/>
      <c r="EXS26" s="28"/>
      <c r="EXT26" s="28"/>
      <c r="EXU26" s="28"/>
      <c r="EXV26" s="28"/>
      <c r="EXW26" s="28"/>
      <c r="EXX26" s="28"/>
      <c r="EXY26" s="28"/>
      <c r="EXZ26" s="28"/>
      <c r="EYA26" s="28"/>
      <c r="EYB26" s="28"/>
      <c r="EYC26" s="28"/>
      <c r="EYD26" s="28"/>
      <c r="EYE26" s="28"/>
      <c r="EYF26" s="28"/>
      <c r="EYG26" s="28"/>
      <c r="EYH26" s="28"/>
      <c r="EYI26" s="28"/>
      <c r="EYJ26" s="28"/>
      <c r="EYK26" s="28"/>
      <c r="EYL26" s="28"/>
      <c r="EYM26" s="28"/>
      <c r="EYN26" s="28"/>
      <c r="EYO26" s="28"/>
      <c r="EYP26" s="28"/>
      <c r="EYQ26" s="28"/>
      <c r="EYR26" s="28"/>
      <c r="EYS26" s="28"/>
      <c r="EYT26" s="28"/>
      <c r="EYU26" s="28"/>
      <c r="EYV26" s="28"/>
      <c r="EYW26" s="28"/>
      <c r="EYX26" s="28"/>
      <c r="EYY26" s="28"/>
      <c r="EYZ26" s="28"/>
      <c r="EZA26" s="28"/>
      <c r="EZB26" s="28"/>
      <c r="EZC26" s="28"/>
      <c r="EZD26" s="28"/>
      <c r="EZE26" s="28"/>
      <c r="EZF26" s="28"/>
      <c r="EZG26" s="28"/>
      <c r="EZH26" s="28"/>
      <c r="EZI26" s="28"/>
      <c r="EZJ26" s="28"/>
      <c r="EZK26" s="28"/>
      <c r="EZL26" s="28"/>
      <c r="EZM26" s="28"/>
      <c r="EZN26" s="28"/>
      <c r="EZO26" s="28"/>
      <c r="EZP26" s="28"/>
      <c r="EZQ26" s="28"/>
      <c r="EZR26" s="28"/>
      <c r="EZS26" s="28"/>
      <c r="EZT26" s="28"/>
      <c r="EZU26" s="28"/>
      <c r="EZV26" s="28"/>
      <c r="EZW26" s="28"/>
      <c r="EZX26" s="28"/>
      <c r="EZY26" s="28"/>
      <c r="EZZ26" s="28"/>
      <c r="FAA26" s="28"/>
      <c r="FAB26" s="28"/>
      <c r="FAC26" s="28"/>
      <c r="FAD26" s="28"/>
      <c r="FAE26" s="28"/>
      <c r="FAF26" s="28"/>
      <c r="FAG26" s="28"/>
      <c r="FAH26" s="28"/>
      <c r="FAI26" s="28"/>
      <c r="FAJ26" s="28"/>
      <c r="FAK26" s="28"/>
      <c r="FAL26" s="28"/>
      <c r="FAM26" s="28"/>
      <c r="FAN26" s="28"/>
      <c r="FAO26" s="28"/>
      <c r="FAP26" s="28"/>
      <c r="FAQ26" s="28"/>
      <c r="FAR26" s="28"/>
      <c r="FAS26" s="28"/>
      <c r="FAT26" s="28"/>
      <c r="FAU26" s="28"/>
      <c r="FAV26" s="28"/>
      <c r="FAW26" s="28"/>
      <c r="FAX26" s="28"/>
      <c r="FAY26" s="28"/>
      <c r="FAZ26" s="28"/>
      <c r="FBA26" s="28"/>
      <c r="FBB26" s="28"/>
      <c r="FBC26" s="28"/>
      <c r="FBD26" s="28"/>
      <c r="FBE26" s="28"/>
      <c r="FBF26" s="28"/>
      <c r="FBG26" s="28"/>
      <c r="FBH26" s="28"/>
      <c r="FBI26" s="28"/>
      <c r="FBJ26" s="28"/>
      <c r="FBK26" s="28"/>
      <c r="FBL26" s="28"/>
      <c r="FBM26" s="28"/>
      <c r="FBN26" s="28"/>
      <c r="FBO26" s="28"/>
      <c r="FBP26" s="28"/>
      <c r="FBQ26" s="28"/>
      <c r="FBR26" s="28"/>
      <c r="FBS26" s="28"/>
      <c r="FBT26" s="28"/>
      <c r="FBU26" s="28"/>
      <c r="FBV26" s="28"/>
      <c r="FBW26" s="28"/>
      <c r="FBX26" s="28"/>
      <c r="FBY26" s="28"/>
      <c r="FBZ26" s="28"/>
      <c r="FCA26" s="28"/>
      <c r="FCB26" s="28"/>
      <c r="FCC26" s="28"/>
      <c r="FCD26" s="28"/>
      <c r="FCE26" s="28"/>
      <c r="FCF26" s="28"/>
      <c r="FCG26" s="28"/>
      <c r="FCH26" s="28"/>
      <c r="FCI26" s="28"/>
      <c r="FCJ26" s="28"/>
      <c r="FCK26" s="28"/>
      <c r="FCL26" s="28"/>
      <c r="FCM26" s="28"/>
      <c r="FCN26" s="28"/>
      <c r="FCO26" s="28"/>
      <c r="FCP26" s="28"/>
      <c r="FCQ26" s="28"/>
      <c r="FCR26" s="28"/>
      <c r="FCS26" s="28"/>
      <c r="FCT26" s="28"/>
      <c r="FCU26" s="28"/>
      <c r="FCV26" s="28"/>
      <c r="FCW26" s="28"/>
      <c r="FCX26" s="28"/>
      <c r="FCY26" s="28"/>
      <c r="FCZ26" s="28"/>
      <c r="FDA26" s="28"/>
      <c r="FDB26" s="28"/>
      <c r="FDC26" s="28"/>
      <c r="FDD26" s="28"/>
      <c r="FDE26" s="28"/>
      <c r="FDF26" s="28"/>
      <c r="FDG26" s="28"/>
      <c r="FDH26" s="28"/>
      <c r="FDI26" s="28"/>
      <c r="FDJ26" s="28"/>
      <c r="FDK26" s="28"/>
      <c r="FDL26" s="28"/>
      <c r="FDM26" s="28"/>
      <c r="FDN26" s="28"/>
      <c r="FDO26" s="28"/>
      <c r="FDP26" s="28"/>
      <c r="FDQ26" s="28"/>
      <c r="FDR26" s="28"/>
      <c r="FDS26" s="28"/>
      <c r="FDT26" s="28"/>
      <c r="FDU26" s="28"/>
      <c r="FDV26" s="28"/>
      <c r="FDW26" s="28"/>
      <c r="FDX26" s="28"/>
      <c r="FDY26" s="28"/>
      <c r="FDZ26" s="28"/>
      <c r="FEA26" s="28"/>
      <c r="FEB26" s="28"/>
      <c r="FEC26" s="28"/>
      <c r="FED26" s="28"/>
      <c r="FEE26" s="28"/>
      <c r="FEF26" s="28"/>
      <c r="FEG26" s="28"/>
      <c r="FEH26" s="28"/>
      <c r="FEI26" s="28"/>
      <c r="FEJ26" s="28"/>
      <c r="FEK26" s="28"/>
      <c r="FEL26" s="28"/>
      <c r="FEM26" s="28"/>
      <c r="FEN26" s="28"/>
      <c r="FEO26" s="28"/>
      <c r="FEP26" s="28"/>
      <c r="FEQ26" s="28"/>
      <c r="FER26" s="28"/>
      <c r="FES26" s="28"/>
      <c r="FET26" s="28"/>
      <c r="FEU26" s="28"/>
      <c r="FEV26" s="28"/>
      <c r="FEW26" s="28"/>
      <c r="FEX26" s="28"/>
      <c r="FEY26" s="28"/>
      <c r="FEZ26" s="28"/>
      <c r="FFA26" s="28"/>
      <c r="FFB26" s="28"/>
      <c r="FFC26" s="28"/>
      <c r="FFD26" s="28"/>
      <c r="FFE26" s="28"/>
      <c r="FFF26" s="28"/>
      <c r="FFG26" s="28"/>
      <c r="FFH26" s="28"/>
      <c r="FFI26" s="28"/>
      <c r="FFJ26" s="28"/>
      <c r="FFK26" s="28"/>
      <c r="FFL26" s="28"/>
      <c r="FFM26" s="28"/>
      <c r="FFN26" s="28"/>
      <c r="FFO26" s="28"/>
      <c r="FFP26" s="28"/>
      <c r="FFQ26" s="28"/>
      <c r="FFR26" s="28"/>
      <c r="FFS26" s="28"/>
      <c r="FFT26" s="28"/>
      <c r="FFU26" s="28"/>
      <c r="FFV26" s="28"/>
      <c r="FFW26" s="28"/>
      <c r="FFX26" s="28"/>
      <c r="FFY26" s="28"/>
      <c r="FFZ26" s="28"/>
      <c r="FGA26" s="28"/>
      <c r="FGB26" s="28"/>
      <c r="FGC26" s="28"/>
      <c r="FGD26" s="28"/>
      <c r="FGE26" s="28"/>
      <c r="FGF26" s="28"/>
      <c r="FGG26" s="28"/>
      <c r="FGH26" s="28"/>
      <c r="FGI26" s="28"/>
      <c r="FGJ26" s="28"/>
      <c r="FGK26" s="28"/>
      <c r="FGL26" s="28"/>
      <c r="FGM26" s="28"/>
      <c r="FGN26" s="28"/>
      <c r="FGO26" s="28"/>
      <c r="FGP26" s="28"/>
      <c r="FGQ26" s="28"/>
      <c r="FGR26" s="28"/>
      <c r="FGS26" s="28"/>
      <c r="FGT26" s="28"/>
      <c r="FGU26" s="28"/>
      <c r="FGV26" s="28"/>
      <c r="FGW26" s="28"/>
      <c r="FGX26" s="28"/>
      <c r="FGY26" s="28"/>
      <c r="FGZ26" s="28"/>
      <c r="FHA26" s="28"/>
      <c r="FHB26" s="28"/>
      <c r="FHC26" s="28"/>
      <c r="FHD26" s="28"/>
      <c r="FHE26" s="28"/>
      <c r="FHF26" s="28"/>
      <c r="FHG26" s="28"/>
      <c r="FHH26" s="28"/>
      <c r="FHI26" s="28"/>
      <c r="FHJ26" s="28"/>
      <c r="FHK26" s="28"/>
      <c r="FHL26" s="28"/>
      <c r="FHM26" s="28"/>
      <c r="FHN26" s="28"/>
      <c r="FHO26" s="28"/>
      <c r="FHP26" s="28"/>
      <c r="FHQ26" s="28"/>
      <c r="FHR26" s="28"/>
      <c r="FHS26" s="28"/>
      <c r="FHT26" s="28"/>
      <c r="FHU26" s="28"/>
      <c r="FHV26" s="28"/>
      <c r="FHW26" s="28"/>
      <c r="FHX26" s="28"/>
      <c r="FHY26" s="28"/>
      <c r="FHZ26" s="28"/>
      <c r="FIA26" s="28"/>
      <c r="FIB26" s="28"/>
      <c r="FIC26" s="28"/>
      <c r="FID26" s="28"/>
      <c r="FIE26" s="28"/>
      <c r="FIF26" s="28"/>
      <c r="FIG26" s="28"/>
      <c r="FIH26" s="28"/>
      <c r="FII26" s="28"/>
      <c r="FIJ26" s="28"/>
      <c r="FIK26" s="28"/>
      <c r="FIL26" s="28"/>
      <c r="FIM26" s="28"/>
      <c r="FIN26" s="28"/>
      <c r="FIO26" s="28"/>
      <c r="FIP26" s="28"/>
      <c r="FIQ26" s="28"/>
      <c r="FIR26" s="28"/>
      <c r="FIS26" s="28"/>
      <c r="FIT26" s="28"/>
      <c r="FIU26" s="28"/>
      <c r="FIV26" s="28"/>
      <c r="FIW26" s="28"/>
      <c r="FIX26" s="28"/>
      <c r="FIY26" s="28"/>
      <c r="FIZ26" s="28"/>
      <c r="FJA26" s="28"/>
      <c r="FJB26" s="28"/>
      <c r="FJC26" s="28"/>
      <c r="FJD26" s="28"/>
      <c r="FJE26" s="28"/>
      <c r="FJF26" s="28"/>
      <c r="FJG26" s="28"/>
      <c r="FJH26" s="28"/>
      <c r="FJI26" s="28"/>
      <c r="FJJ26" s="28"/>
      <c r="FJK26" s="28"/>
      <c r="FJL26" s="28"/>
      <c r="FJM26" s="28"/>
      <c r="FJN26" s="28"/>
      <c r="FJO26" s="28"/>
      <c r="FJP26" s="28"/>
      <c r="FJQ26" s="28"/>
      <c r="FJR26" s="28"/>
      <c r="FJS26" s="28"/>
      <c r="FJT26" s="28"/>
      <c r="FJU26" s="28"/>
      <c r="FJV26" s="28"/>
      <c r="FJW26" s="28"/>
      <c r="FJX26" s="28"/>
      <c r="FJY26" s="28"/>
      <c r="FJZ26" s="28"/>
      <c r="FKA26" s="28"/>
      <c r="FKB26" s="28"/>
      <c r="FKC26" s="28"/>
      <c r="FKD26" s="28"/>
      <c r="FKE26" s="28"/>
      <c r="FKF26" s="28"/>
      <c r="FKG26" s="28"/>
      <c r="FKH26" s="28"/>
      <c r="FKI26" s="28"/>
      <c r="FKJ26" s="28"/>
      <c r="FKK26" s="28"/>
      <c r="FKL26" s="28"/>
      <c r="FKM26" s="28"/>
      <c r="FKN26" s="28"/>
      <c r="FKO26" s="28"/>
      <c r="FKP26" s="28"/>
      <c r="FKQ26" s="28"/>
      <c r="FKR26" s="28"/>
      <c r="FKS26" s="28"/>
      <c r="FKT26" s="28"/>
      <c r="FKU26" s="28"/>
      <c r="FKV26" s="28"/>
      <c r="FKW26" s="28"/>
      <c r="FKX26" s="28"/>
      <c r="FKY26" s="28"/>
      <c r="FKZ26" s="28"/>
      <c r="FLA26" s="28"/>
      <c r="FLB26" s="28"/>
      <c r="FLC26" s="28"/>
      <c r="FLD26" s="28"/>
      <c r="FLE26" s="28"/>
      <c r="FLF26" s="28"/>
      <c r="FLG26" s="28"/>
      <c r="FLH26" s="28"/>
      <c r="FLI26" s="28"/>
      <c r="FLJ26" s="28"/>
      <c r="FLK26" s="28"/>
      <c r="FLL26" s="28"/>
      <c r="FLM26" s="28"/>
      <c r="FLN26" s="28"/>
      <c r="FLO26" s="28"/>
      <c r="FLP26" s="28"/>
      <c r="FLQ26" s="28"/>
      <c r="FLR26" s="28"/>
      <c r="FLS26" s="28"/>
      <c r="FLT26" s="28"/>
      <c r="FLU26" s="28"/>
      <c r="FLV26" s="28"/>
      <c r="FLW26" s="28"/>
      <c r="FLX26" s="28"/>
      <c r="FLY26" s="28"/>
      <c r="FLZ26" s="28"/>
      <c r="FMA26" s="28"/>
      <c r="FMB26" s="28"/>
      <c r="FMC26" s="28"/>
      <c r="FMD26" s="28"/>
      <c r="FME26" s="28"/>
      <c r="FMF26" s="28"/>
      <c r="FMG26" s="28"/>
      <c r="FMH26" s="28"/>
      <c r="FMI26" s="28"/>
      <c r="FMJ26" s="28"/>
      <c r="FMK26" s="28"/>
      <c r="FML26" s="28"/>
      <c r="FMM26" s="28"/>
      <c r="FMN26" s="28"/>
      <c r="FMO26" s="28"/>
      <c r="FMP26" s="28"/>
      <c r="FMQ26" s="28"/>
      <c r="FMR26" s="28"/>
      <c r="FMS26" s="28"/>
      <c r="FMT26" s="28"/>
      <c r="FMU26" s="28"/>
      <c r="FMV26" s="28"/>
      <c r="FMW26" s="28"/>
      <c r="FMX26" s="28"/>
      <c r="FMY26" s="28"/>
      <c r="FMZ26" s="28"/>
      <c r="FNA26" s="28"/>
      <c r="FNB26" s="28"/>
      <c r="FNC26" s="28"/>
      <c r="FND26" s="28"/>
      <c r="FNE26" s="28"/>
      <c r="FNF26" s="28"/>
      <c r="FNG26" s="28"/>
      <c r="FNH26" s="28"/>
      <c r="FNI26" s="28"/>
      <c r="FNJ26" s="28"/>
      <c r="FNK26" s="28"/>
      <c r="FNL26" s="28"/>
      <c r="FNM26" s="28"/>
      <c r="FNN26" s="28"/>
      <c r="FNO26" s="28"/>
      <c r="FNP26" s="28"/>
      <c r="FNQ26" s="28"/>
      <c r="FNR26" s="28"/>
      <c r="FNS26" s="28"/>
      <c r="FNT26" s="28"/>
      <c r="FNU26" s="28"/>
      <c r="FNV26" s="28"/>
      <c r="FNW26" s="28"/>
      <c r="FNX26" s="28"/>
      <c r="FNY26" s="28"/>
      <c r="FNZ26" s="28"/>
      <c r="FOA26" s="28"/>
      <c r="FOB26" s="28"/>
      <c r="FOC26" s="28"/>
      <c r="FOD26" s="28"/>
      <c r="FOE26" s="28"/>
      <c r="FOF26" s="28"/>
      <c r="FOG26" s="28"/>
      <c r="FOH26" s="28"/>
      <c r="FOI26" s="28"/>
      <c r="FOJ26" s="28"/>
      <c r="FOK26" s="28"/>
      <c r="FOL26" s="28"/>
      <c r="FOM26" s="28"/>
      <c r="FON26" s="28"/>
      <c r="FOO26" s="28"/>
      <c r="FOP26" s="28"/>
      <c r="FOQ26" s="28"/>
      <c r="FOR26" s="28"/>
      <c r="FOS26" s="28"/>
      <c r="FOT26" s="28"/>
      <c r="FOU26" s="28"/>
      <c r="FOV26" s="28"/>
      <c r="FOW26" s="28"/>
      <c r="FOX26" s="28"/>
      <c r="FOY26" s="28"/>
      <c r="FOZ26" s="28"/>
      <c r="FPA26" s="28"/>
      <c r="FPB26" s="28"/>
      <c r="FPC26" s="28"/>
      <c r="FPD26" s="28"/>
      <c r="FPE26" s="28"/>
      <c r="FPF26" s="28"/>
      <c r="FPG26" s="28"/>
      <c r="FPH26" s="28"/>
      <c r="FPI26" s="28"/>
      <c r="FPJ26" s="28"/>
      <c r="FPK26" s="28"/>
      <c r="FPL26" s="28"/>
      <c r="FPM26" s="28"/>
      <c r="FPN26" s="28"/>
      <c r="FPO26" s="28"/>
      <c r="FPP26" s="28"/>
      <c r="FPQ26" s="28"/>
      <c r="FPR26" s="28"/>
      <c r="FPS26" s="28"/>
      <c r="FPT26" s="28"/>
      <c r="FPU26" s="28"/>
      <c r="FPV26" s="28"/>
      <c r="FPW26" s="28"/>
      <c r="FPX26" s="28"/>
      <c r="FPY26" s="28"/>
      <c r="FPZ26" s="28"/>
      <c r="FQA26" s="28"/>
      <c r="FQB26" s="28"/>
      <c r="FQC26" s="28"/>
      <c r="FQD26" s="28"/>
      <c r="FQE26" s="28"/>
      <c r="FQF26" s="28"/>
      <c r="FQG26" s="28"/>
      <c r="FQH26" s="28"/>
      <c r="FQI26" s="28"/>
      <c r="FQJ26" s="28"/>
      <c r="FQK26" s="28"/>
      <c r="FQL26" s="28"/>
      <c r="FQM26" s="28"/>
      <c r="FQN26" s="28"/>
      <c r="FQO26" s="28"/>
      <c r="FQP26" s="28"/>
      <c r="FQQ26" s="28"/>
      <c r="FQR26" s="28"/>
      <c r="FQS26" s="28"/>
      <c r="FQT26" s="28"/>
      <c r="FQU26" s="28"/>
      <c r="FQV26" s="28"/>
      <c r="FQW26" s="28"/>
      <c r="FQX26" s="28"/>
      <c r="FQY26" s="28"/>
      <c r="FQZ26" s="28"/>
      <c r="FRA26" s="28"/>
      <c r="FRB26" s="28"/>
      <c r="FRC26" s="28"/>
      <c r="FRD26" s="28"/>
      <c r="FRE26" s="28"/>
      <c r="FRF26" s="28"/>
      <c r="FRG26" s="28"/>
      <c r="FRH26" s="28"/>
      <c r="FRI26" s="28"/>
      <c r="FRJ26" s="28"/>
      <c r="FRK26" s="28"/>
      <c r="FRL26" s="28"/>
      <c r="FRM26" s="28"/>
      <c r="FRN26" s="28"/>
      <c r="FRO26" s="28"/>
      <c r="FRP26" s="28"/>
      <c r="FRQ26" s="28"/>
      <c r="FRR26" s="28"/>
      <c r="FRS26" s="28"/>
      <c r="FRT26" s="28"/>
      <c r="FRU26" s="28"/>
      <c r="FRV26" s="28"/>
      <c r="FRW26" s="28"/>
      <c r="FRX26" s="28"/>
      <c r="FRY26" s="28"/>
      <c r="FRZ26" s="28"/>
      <c r="FSA26" s="28"/>
      <c r="FSB26" s="28"/>
      <c r="FSC26" s="28"/>
      <c r="FSD26" s="28"/>
      <c r="FSE26" s="28"/>
      <c r="FSF26" s="28"/>
      <c r="FSG26" s="28"/>
      <c r="FSH26" s="28"/>
      <c r="FSI26" s="28"/>
      <c r="FSJ26" s="28"/>
      <c r="FSK26" s="28"/>
      <c r="FSL26" s="28"/>
      <c r="FSM26" s="28"/>
      <c r="FSN26" s="28"/>
      <c r="FSO26" s="28"/>
      <c r="FSP26" s="28"/>
      <c r="FSQ26" s="28"/>
      <c r="FSR26" s="28"/>
      <c r="FSS26" s="28"/>
      <c r="FST26" s="28"/>
      <c r="FSU26" s="28"/>
      <c r="FSV26" s="28"/>
      <c r="FSW26" s="28"/>
      <c r="FSX26" s="28"/>
      <c r="FSY26" s="28"/>
      <c r="FSZ26" s="28"/>
      <c r="FTA26" s="28"/>
      <c r="FTB26" s="28"/>
      <c r="FTC26" s="28"/>
      <c r="FTD26" s="28"/>
      <c r="FTE26" s="28"/>
      <c r="FTF26" s="28"/>
      <c r="FTG26" s="28"/>
      <c r="FTH26" s="28"/>
      <c r="FTI26" s="28"/>
      <c r="FTJ26" s="28"/>
      <c r="FTK26" s="28"/>
      <c r="FTL26" s="28"/>
      <c r="FTM26" s="28"/>
      <c r="FTN26" s="28"/>
      <c r="FTO26" s="28"/>
      <c r="FTP26" s="28"/>
      <c r="FTQ26" s="28"/>
      <c r="FTR26" s="28"/>
      <c r="FTS26" s="28"/>
      <c r="FTT26" s="28"/>
      <c r="FTU26" s="28"/>
      <c r="FTV26" s="28"/>
      <c r="FTW26" s="28"/>
      <c r="FTX26" s="28"/>
      <c r="FTY26" s="28"/>
      <c r="FTZ26" s="28"/>
      <c r="FUA26" s="28"/>
      <c r="FUB26" s="28"/>
      <c r="FUC26" s="28"/>
      <c r="FUD26" s="28"/>
      <c r="FUE26" s="28"/>
      <c r="FUF26" s="28"/>
      <c r="FUG26" s="28"/>
      <c r="FUH26" s="28"/>
      <c r="FUI26" s="28"/>
      <c r="FUJ26" s="28"/>
      <c r="FUK26" s="28"/>
      <c r="FUL26" s="28"/>
      <c r="FUM26" s="28"/>
      <c r="FUN26" s="28"/>
      <c r="FUO26" s="28"/>
      <c r="FUP26" s="28"/>
      <c r="FUQ26" s="28"/>
      <c r="FUR26" s="28"/>
      <c r="FUS26" s="28"/>
      <c r="FUT26" s="28"/>
      <c r="FUU26" s="28"/>
      <c r="FUV26" s="28"/>
      <c r="FUW26" s="28"/>
      <c r="FUX26" s="28"/>
      <c r="FUY26" s="28"/>
      <c r="FUZ26" s="28"/>
      <c r="FVA26" s="28"/>
      <c r="FVB26" s="28"/>
      <c r="FVC26" s="28"/>
      <c r="FVD26" s="28"/>
      <c r="FVE26" s="28"/>
      <c r="FVF26" s="28"/>
      <c r="FVG26" s="28"/>
      <c r="FVH26" s="28"/>
      <c r="FVI26" s="28"/>
      <c r="FVJ26" s="28"/>
      <c r="FVK26" s="28"/>
      <c r="FVL26" s="28"/>
      <c r="FVM26" s="28"/>
      <c r="FVN26" s="28"/>
      <c r="FVO26" s="28"/>
      <c r="FVP26" s="28"/>
      <c r="FVQ26" s="28"/>
      <c r="FVR26" s="28"/>
      <c r="FVS26" s="28"/>
      <c r="FVT26" s="28"/>
      <c r="FVU26" s="28"/>
      <c r="FVV26" s="28"/>
      <c r="FVW26" s="28"/>
      <c r="FVX26" s="28"/>
      <c r="FVY26" s="28"/>
      <c r="FVZ26" s="28"/>
      <c r="FWA26" s="28"/>
      <c r="FWB26" s="28"/>
      <c r="FWC26" s="28"/>
      <c r="FWD26" s="28"/>
      <c r="FWE26" s="28"/>
      <c r="FWF26" s="28"/>
      <c r="FWG26" s="28"/>
      <c r="FWH26" s="28"/>
      <c r="FWI26" s="28"/>
      <c r="FWJ26" s="28"/>
      <c r="FWK26" s="28"/>
      <c r="FWL26" s="28"/>
      <c r="FWM26" s="28"/>
      <c r="FWN26" s="28"/>
      <c r="FWO26" s="28"/>
      <c r="FWP26" s="28"/>
      <c r="FWQ26" s="28"/>
      <c r="FWR26" s="28"/>
      <c r="FWS26" s="28"/>
      <c r="FWT26" s="28"/>
      <c r="FWU26" s="28"/>
      <c r="FWV26" s="28"/>
      <c r="FWW26" s="28"/>
      <c r="FWX26" s="28"/>
      <c r="FWY26" s="28"/>
      <c r="FWZ26" s="28"/>
      <c r="FXA26" s="28"/>
      <c r="FXB26" s="28"/>
      <c r="FXC26" s="28"/>
      <c r="FXD26" s="28"/>
      <c r="FXE26" s="28"/>
      <c r="FXF26" s="28"/>
      <c r="FXG26" s="28"/>
      <c r="FXH26" s="28"/>
      <c r="FXI26" s="28"/>
      <c r="FXJ26" s="28"/>
      <c r="FXK26" s="28"/>
      <c r="FXL26" s="28"/>
      <c r="FXM26" s="28"/>
      <c r="FXN26" s="28"/>
      <c r="FXO26" s="28"/>
      <c r="FXP26" s="28"/>
      <c r="FXQ26" s="28"/>
      <c r="FXR26" s="28"/>
      <c r="FXS26" s="28"/>
      <c r="FXT26" s="28"/>
      <c r="FXU26" s="28"/>
      <c r="FXV26" s="28"/>
      <c r="FXW26" s="28"/>
      <c r="FXX26" s="28"/>
      <c r="FXY26" s="28"/>
      <c r="FXZ26" s="28"/>
      <c r="FYA26" s="28"/>
      <c r="FYB26" s="28"/>
      <c r="FYC26" s="28"/>
      <c r="FYD26" s="28"/>
      <c r="FYE26" s="28"/>
      <c r="FYF26" s="28"/>
      <c r="FYG26" s="28"/>
      <c r="FYH26" s="28"/>
      <c r="FYI26" s="28"/>
      <c r="FYJ26" s="28"/>
      <c r="FYK26" s="28"/>
      <c r="FYL26" s="28"/>
      <c r="FYM26" s="28"/>
      <c r="FYN26" s="28"/>
      <c r="FYO26" s="28"/>
      <c r="FYP26" s="28"/>
      <c r="FYQ26" s="28"/>
      <c r="FYR26" s="28"/>
      <c r="FYS26" s="28"/>
      <c r="FYT26" s="28"/>
      <c r="FYU26" s="28"/>
      <c r="FYV26" s="28"/>
      <c r="FYW26" s="28"/>
      <c r="FYX26" s="28"/>
      <c r="FYY26" s="28"/>
      <c r="FYZ26" s="28"/>
      <c r="FZA26" s="28"/>
      <c r="FZB26" s="28"/>
      <c r="FZC26" s="28"/>
      <c r="FZD26" s="28"/>
      <c r="FZE26" s="28"/>
      <c r="FZF26" s="28"/>
      <c r="FZG26" s="28"/>
      <c r="FZH26" s="28"/>
      <c r="FZI26" s="28"/>
      <c r="FZJ26" s="28"/>
      <c r="FZK26" s="28"/>
      <c r="FZL26" s="28"/>
      <c r="FZM26" s="28"/>
      <c r="FZN26" s="28"/>
      <c r="FZO26" s="28"/>
      <c r="FZP26" s="28"/>
      <c r="FZQ26" s="28"/>
      <c r="FZR26" s="28"/>
      <c r="FZS26" s="28"/>
      <c r="FZT26" s="28"/>
      <c r="FZU26" s="28"/>
      <c r="FZV26" s="28"/>
      <c r="FZW26" s="28"/>
      <c r="FZX26" s="28"/>
      <c r="FZY26" s="28"/>
      <c r="FZZ26" s="28"/>
      <c r="GAA26" s="28"/>
      <c r="GAB26" s="28"/>
      <c r="GAC26" s="28"/>
      <c r="GAD26" s="28"/>
      <c r="GAE26" s="28"/>
      <c r="GAF26" s="28"/>
      <c r="GAG26" s="28"/>
      <c r="GAH26" s="28"/>
      <c r="GAI26" s="28"/>
      <c r="GAJ26" s="28"/>
      <c r="GAK26" s="28"/>
      <c r="GAL26" s="28"/>
      <c r="GAM26" s="28"/>
      <c r="GAN26" s="28"/>
      <c r="GAO26" s="28"/>
      <c r="GAP26" s="28"/>
      <c r="GAQ26" s="28"/>
      <c r="GAR26" s="28"/>
      <c r="GAS26" s="28"/>
      <c r="GAT26" s="28"/>
      <c r="GAU26" s="28"/>
      <c r="GAV26" s="28"/>
      <c r="GAW26" s="28"/>
      <c r="GAX26" s="28"/>
      <c r="GAY26" s="28"/>
      <c r="GAZ26" s="28"/>
      <c r="GBA26" s="28"/>
      <c r="GBB26" s="28"/>
      <c r="GBC26" s="28"/>
      <c r="GBD26" s="28"/>
      <c r="GBE26" s="28"/>
      <c r="GBF26" s="28"/>
      <c r="GBG26" s="28"/>
      <c r="GBH26" s="28"/>
      <c r="GBI26" s="28"/>
      <c r="GBJ26" s="28"/>
      <c r="GBK26" s="28"/>
      <c r="GBL26" s="28"/>
      <c r="GBM26" s="28"/>
      <c r="GBN26" s="28"/>
      <c r="GBO26" s="28"/>
      <c r="GBP26" s="28"/>
      <c r="GBQ26" s="28"/>
      <c r="GBR26" s="28"/>
      <c r="GBS26" s="28"/>
      <c r="GBT26" s="28"/>
      <c r="GBU26" s="28"/>
      <c r="GBV26" s="28"/>
      <c r="GBW26" s="28"/>
      <c r="GBX26" s="28"/>
      <c r="GBY26" s="28"/>
      <c r="GBZ26" s="28"/>
      <c r="GCA26" s="28"/>
      <c r="GCB26" s="28"/>
      <c r="GCC26" s="28"/>
      <c r="GCD26" s="28"/>
      <c r="GCE26" s="28"/>
      <c r="GCF26" s="28"/>
      <c r="GCG26" s="28"/>
      <c r="GCH26" s="28"/>
      <c r="GCI26" s="28"/>
      <c r="GCJ26" s="28"/>
      <c r="GCK26" s="28"/>
      <c r="GCL26" s="28"/>
      <c r="GCM26" s="28"/>
      <c r="GCN26" s="28"/>
      <c r="GCO26" s="28"/>
      <c r="GCP26" s="28"/>
      <c r="GCQ26" s="28"/>
      <c r="GCR26" s="28"/>
      <c r="GCS26" s="28"/>
      <c r="GCT26" s="28"/>
      <c r="GCU26" s="28"/>
      <c r="GCV26" s="28"/>
      <c r="GCW26" s="28"/>
      <c r="GCX26" s="28"/>
      <c r="GCY26" s="28"/>
      <c r="GCZ26" s="28"/>
      <c r="GDA26" s="28"/>
      <c r="GDB26" s="28"/>
      <c r="GDC26" s="28"/>
      <c r="GDD26" s="28"/>
      <c r="GDE26" s="28"/>
      <c r="GDF26" s="28"/>
      <c r="GDG26" s="28"/>
      <c r="GDH26" s="28"/>
      <c r="GDI26" s="28"/>
      <c r="GDJ26" s="28"/>
      <c r="GDK26" s="28"/>
      <c r="GDL26" s="28"/>
      <c r="GDM26" s="28"/>
      <c r="GDN26" s="28"/>
      <c r="GDO26" s="28"/>
      <c r="GDP26" s="28"/>
      <c r="GDQ26" s="28"/>
      <c r="GDR26" s="28"/>
      <c r="GDS26" s="28"/>
      <c r="GDT26" s="28"/>
      <c r="GDU26" s="28"/>
      <c r="GDV26" s="28"/>
      <c r="GDW26" s="28"/>
      <c r="GDX26" s="28"/>
      <c r="GDY26" s="28"/>
      <c r="GDZ26" s="28"/>
      <c r="GEA26" s="28"/>
      <c r="GEB26" s="28"/>
      <c r="GEC26" s="28"/>
      <c r="GED26" s="28"/>
      <c r="GEE26" s="28"/>
      <c r="GEF26" s="28"/>
      <c r="GEG26" s="28"/>
      <c r="GEH26" s="28"/>
      <c r="GEI26" s="28"/>
      <c r="GEJ26" s="28"/>
      <c r="GEK26" s="28"/>
      <c r="GEL26" s="28"/>
      <c r="GEM26" s="28"/>
      <c r="GEN26" s="28"/>
      <c r="GEO26" s="28"/>
      <c r="GEP26" s="28"/>
      <c r="GEQ26" s="28"/>
      <c r="GER26" s="28"/>
      <c r="GES26" s="28"/>
      <c r="GET26" s="28"/>
      <c r="GEU26" s="28"/>
      <c r="GEV26" s="28"/>
      <c r="GEW26" s="28"/>
      <c r="GEX26" s="28"/>
      <c r="GEY26" s="28"/>
      <c r="GEZ26" s="28"/>
      <c r="GFA26" s="28"/>
      <c r="GFB26" s="28"/>
      <c r="GFC26" s="28"/>
      <c r="GFD26" s="28"/>
      <c r="GFE26" s="28"/>
      <c r="GFF26" s="28"/>
      <c r="GFG26" s="28"/>
      <c r="GFH26" s="28"/>
      <c r="GFI26" s="28"/>
      <c r="GFJ26" s="28"/>
      <c r="GFK26" s="28"/>
      <c r="GFL26" s="28"/>
      <c r="GFM26" s="28"/>
      <c r="GFN26" s="28"/>
      <c r="GFO26" s="28"/>
      <c r="GFP26" s="28"/>
      <c r="GFQ26" s="28"/>
      <c r="GFR26" s="28"/>
      <c r="GFS26" s="28"/>
      <c r="GFT26" s="28"/>
      <c r="GFU26" s="28"/>
      <c r="GFV26" s="28"/>
      <c r="GFW26" s="28"/>
      <c r="GFX26" s="28"/>
      <c r="GFY26" s="28"/>
      <c r="GFZ26" s="28"/>
      <c r="GGA26" s="28"/>
      <c r="GGB26" s="28"/>
      <c r="GGC26" s="28"/>
      <c r="GGD26" s="28"/>
      <c r="GGE26" s="28"/>
      <c r="GGF26" s="28"/>
      <c r="GGG26" s="28"/>
      <c r="GGH26" s="28"/>
      <c r="GGI26" s="28"/>
      <c r="GGJ26" s="28"/>
      <c r="GGK26" s="28"/>
      <c r="GGL26" s="28"/>
      <c r="GGM26" s="28"/>
      <c r="GGN26" s="28"/>
      <c r="GGO26" s="28"/>
      <c r="GGP26" s="28"/>
      <c r="GGQ26" s="28"/>
      <c r="GGR26" s="28"/>
      <c r="GGS26" s="28"/>
      <c r="GGT26" s="28"/>
      <c r="GGU26" s="28"/>
      <c r="GGV26" s="28"/>
      <c r="GGW26" s="28"/>
      <c r="GGX26" s="28"/>
      <c r="GGY26" s="28"/>
      <c r="GGZ26" s="28"/>
      <c r="GHA26" s="28"/>
      <c r="GHB26" s="28"/>
      <c r="GHC26" s="28"/>
      <c r="GHD26" s="28"/>
      <c r="GHE26" s="28"/>
      <c r="GHF26" s="28"/>
      <c r="GHG26" s="28"/>
      <c r="GHH26" s="28"/>
      <c r="GHI26" s="28"/>
      <c r="GHJ26" s="28"/>
      <c r="GHK26" s="28"/>
      <c r="GHL26" s="28"/>
      <c r="GHM26" s="28"/>
      <c r="GHN26" s="28"/>
      <c r="GHO26" s="28"/>
      <c r="GHP26" s="28"/>
      <c r="GHQ26" s="28"/>
      <c r="GHR26" s="28"/>
      <c r="GHS26" s="28"/>
      <c r="GHT26" s="28"/>
      <c r="GHU26" s="28"/>
      <c r="GHV26" s="28"/>
      <c r="GHW26" s="28"/>
      <c r="GHX26" s="28"/>
      <c r="GHY26" s="28"/>
      <c r="GHZ26" s="28"/>
      <c r="GIA26" s="28"/>
      <c r="GIB26" s="28"/>
      <c r="GIC26" s="28"/>
      <c r="GID26" s="28"/>
      <c r="GIE26" s="28"/>
      <c r="GIF26" s="28"/>
      <c r="GIG26" s="28"/>
      <c r="GIH26" s="28"/>
      <c r="GII26" s="28"/>
      <c r="GIJ26" s="28"/>
      <c r="GIK26" s="28"/>
      <c r="GIL26" s="28"/>
      <c r="GIM26" s="28"/>
      <c r="GIN26" s="28"/>
      <c r="GIO26" s="28"/>
      <c r="GIP26" s="28"/>
      <c r="GIQ26" s="28"/>
      <c r="GIR26" s="28"/>
      <c r="GIS26" s="28"/>
      <c r="GIT26" s="28"/>
      <c r="GIU26" s="28"/>
      <c r="GIV26" s="28"/>
      <c r="GIW26" s="28"/>
      <c r="GIX26" s="28"/>
      <c r="GIY26" s="28"/>
      <c r="GIZ26" s="28"/>
      <c r="GJA26" s="28"/>
      <c r="GJB26" s="28"/>
      <c r="GJC26" s="28"/>
      <c r="GJD26" s="28"/>
      <c r="GJE26" s="28"/>
      <c r="GJF26" s="28"/>
      <c r="GJG26" s="28"/>
      <c r="GJH26" s="28"/>
      <c r="GJI26" s="28"/>
      <c r="GJJ26" s="28"/>
      <c r="GJK26" s="28"/>
      <c r="GJL26" s="28"/>
      <c r="GJM26" s="28"/>
      <c r="GJN26" s="28"/>
      <c r="GJO26" s="28"/>
      <c r="GJP26" s="28"/>
      <c r="GJQ26" s="28"/>
      <c r="GJR26" s="28"/>
      <c r="GJS26" s="28"/>
      <c r="GJT26" s="28"/>
      <c r="GJU26" s="28"/>
      <c r="GJV26" s="28"/>
      <c r="GJW26" s="28"/>
      <c r="GJX26" s="28"/>
      <c r="GJY26" s="28"/>
      <c r="GJZ26" s="28"/>
      <c r="GKA26" s="28"/>
      <c r="GKB26" s="28"/>
      <c r="GKC26" s="28"/>
      <c r="GKD26" s="28"/>
      <c r="GKE26" s="28"/>
      <c r="GKF26" s="28"/>
      <c r="GKG26" s="28"/>
      <c r="GKH26" s="28"/>
      <c r="GKI26" s="28"/>
      <c r="GKJ26" s="28"/>
      <c r="GKK26" s="28"/>
      <c r="GKL26" s="28"/>
      <c r="GKM26" s="28"/>
      <c r="GKN26" s="28"/>
      <c r="GKO26" s="28"/>
      <c r="GKP26" s="28"/>
      <c r="GKQ26" s="28"/>
      <c r="GKR26" s="28"/>
      <c r="GKS26" s="28"/>
      <c r="GKT26" s="28"/>
      <c r="GKU26" s="28"/>
      <c r="GKV26" s="28"/>
      <c r="GKW26" s="28"/>
      <c r="GKX26" s="28"/>
      <c r="GKY26" s="28"/>
      <c r="GKZ26" s="28"/>
      <c r="GLA26" s="28"/>
      <c r="GLB26" s="28"/>
      <c r="GLC26" s="28"/>
      <c r="GLD26" s="28"/>
      <c r="GLE26" s="28"/>
      <c r="GLF26" s="28"/>
      <c r="GLG26" s="28"/>
      <c r="GLH26" s="28"/>
      <c r="GLI26" s="28"/>
      <c r="GLJ26" s="28"/>
      <c r="GLK26" s="28"/>
      <c r="GLL26" s="28"/>
      <c r="GLM26" s="28"/>
      <c r="GLN26" s="28"/>
      <c r="GLO26" s="28"/>
      <c r="GLP26" s="28"/>
      <c r="GLQ26" s="28"/>
      <c r="GLR26" s="28"/>
      <c r="GLS26" s="28"/>
      <c r="GLT26" s="28"/>
      <c r="GLU26" s="28"/>
      <c r="GLV26" s="28"/>
      <c r="GLW26" s="28"/>
      <c r="GLX26" s="28"/>
      <c r="GLY26" s="28"/>
      <c r="GLZ26" s="28"/>
      <c r="GMA26" s="28"/>
      <c r="GMB26" s="28"/>
      <c r="GMC26" s="28"/>
      <c r="GMD26" s="28"/>
      <c r="GME26" s="28"/>
      <c r="GMF26" s="28"/>
      <c r="GMG26" s="28"/>
      <c r="GMH26" s="28"/>
      <c r="GMI26" s="28"/>
      <c r="GMJ26" s="28"/>
      <c r="GMK26" s="28"/>
      <c r="GML26" s="28"/>
      <c r="GMM26" s="28"/>
      <c r="GMN26" s="28"/>
      <c r="GMO26" s="28"/>
      <c r="GMP26" s="28"/>
      <c r="GMQ26" s="28"/>
      <c r="GMR26" s="28"/>
      <c r="GMS26" s="28"/>
      <c r="GMT26" s="28"/>
      <c r="GMU26" s="28"/>
      <c r="GMV26" s="28"/>
      <c r="GMW26" s="28"/>
      <c r="GMX26" s="28"/>
      <c r="GMY26" s="28"/>
      <c r="GMZ26" s="28"/>
      <c r="GNA26" s="28"/>
      <c r="GNB26" s="28"/>
      <c r="GNC26" s="28"/>
      <c r="GND26" s="28"/>
      <c r="GNE26" s="28"/>
      <c r="GNF26" s="28"/>
      <c r="GNG26" s="28"/>
      <c r="GNH26" s="28"/>
      <c r="GNI26" s="28"/>
      <c r="GNJ26" s="28"/>
      <c r="GNK26" s="28"/>
      <c r="GNL26" s="28"/>
      <c r="GNM26" s="28"/>
      <c r="GNN26" s="28"/>
      <c r="GNO26" s="28"/>
      <c r="GNP26" s="28"/>
      <c r="GNQ26" s="28"/>
      <c r="GNR26" s="28"/>
      <c r="GNS26" s="28"/>
      <c r="GNT26" s="28"/>
      <c r="GNU26" s="28"/>
      <c r="GNV26" s="28"/>
      <c r="GNW26" s="28"/>
      <c r="GNX26" s="28"/>
      <c r="GNY26" s="28"/>
      <c r="GNZ26" s="28"/>
      <c r="GOA26" s="28"/>
      <c r="GOB26" s="28"/>
      <c r="GOC26" s="28"/>
      <c r="GOD26" s="28"/>
      <c r="GOE26" s="28"/>
      <c r="GOF26" s="28"/>
      <c r="GOG26" s="28"/>
      <c r="GOH26" s="28"/>
      <c r="GOI26" s="28"/>
      <c r="GOJ26" s="28"/>
      <c r="GOK26" s="28"/>
      <c r="GOL26" s="28"/>
      <c r="GOM26" s="28"/>
      <c r="GON26" s="28"/>
      <c r="GOO26" s="28"/>
      <c r="GOP26" s="28"/>
      <c r="GOQ26" s="28"/>
      <c r="GOR26" s="28"/>
      <c r="GOS26" s="28"/>
      <c r="GOT26" s="28"/>
      <c r="GOU26" s="28"/>
      <c r="GOV26" s="28"/>
      <c r="GOW26" s="28"/>
      <c r="GOX26" s="28"/>
      <c r="GOY26" s="28"/>
      <c r="GOZ26" s="28"/>
      <c r="GPA26" s="28"/>
      <c r="GPB26" s="28"/>
      <c r="GPC26" s="28"/>
      <c r="GPD26" s="28"/>
      <c r="GPE26" s="28"/>
      <c r="GPF26" s="28"/>
      <c r="GPG26" s="28"/>
      <c r="GPH26" s="28"/>
      <c r="GPI26" s="28"/>
      <c r="GPJ26" s="28"/>
      <c r="GPK26" s="28"/>
      <c r="GPL26" s="28"/>
      <c r="GPM26" s="28"/>
      <c r="GPN26" s="28"/>
      <c r="GPO26" s="28"/>
      <c r="GPP26" s="28"/>
      <c r="GPQ26" s="28"/>
      <c r="GPR26" s="28"/>
      <c r="GPS26" s="28"/>
      <c r="GPT26" s="28"/>
      <c r="GPU26" s="28"/>
      <c r="GPV26" s="28"/>
      <c r="GPW26" s="28"/>
      <c r="GPX26" s="28"/>
      <c r="GPY26" s="28"/>
      <c r="GPZ26" s="28"/>
      <c r="GQA26" s="28"/>
      <c r="GQB26" s="28"/>
      <c r="GQC26" s="28"/>
      <c r="GQD26" s="28"/>
      <c r="GQE26" s="28"/>
      <c r="GQF26" s="28"/>
      <c r="GQG26" s="28"/>
      <c r="GQH26" s="28"/>
      <c r="GQI26" s="28"/>
      <c r="GQJ26" s="28"/>
      <c r="GQK26" s="28"/>
      <c r="GQL26" s="28"/>
      <c r="GQM26" s="28"/>
      <c r="GQN26" s="28"/>
      <c r="GQO26" s="28"/>
      <c r="GQP26" s="28"/>
      <c r="GQQ26" s="28"/>
      <c r="GQR26" s="28"/>
      <c r="GQS26" s="28"/>
      <c r="GQT26" s="28"/>
      <c r="GQU26" s="28"/>
      <c r="GQV26" s="28"/>
      <c r="GQW26" s="28"/>
      <c r="GQX26" s="28"/>
      <c r="GQY26" s="28"/>
      <c r="GQZ26" s="28"/>
      <c r="GRA26" s="28"/>
      <c r="GRB26" s="28"/>
      <c r="GRC26" s="28"/>
      <c r="GRD26" s="28"/>
      <c r="GRE26" s="28"/>
      <c r="GRF26" s="28"/>
      <c r="GRG26" s="28"/>
      <c r="GRH26" s="28"/>
      <c r="GRI26" s="28"/>
      <c r="GRJ26" s="28"/>
      <c r="GRK26" s="28"/>
      <c r="GRL26" s="28"/>
      <c r="GRM26" s="28"/>
      <c r="GRN26" s="28"/>
      <c r="GRO26" s="28"/>
      <c r="GRP26" s="28"/>
      <c r="GRQ26" s="28"/>
      <c r="GRR26" s="28"/>
      <c r="GRS26" s="28"/>
      <c r="GRT26" s="28"/>
      <c r="GRU26" s="28"/>
      <c r="GRV26" s="28"/>
      <c r="GRW26" s="28"/>
      <c r="GRX26" s="28"/>
      <c r="GRY26" s="28"/>
      <c r="GRZ26" s="28"/>
      <c r="GSA26" s="28"/>
      <c r="GSB26" s="28"/>
      <c r="GSC26" s="28"/>
      <c r="GSD26" s="28"/>
      <c r="GSE26" s="28"/>
      <c r="GSF26" s="28"/>
      <c r="GSG26" s="28"/>
      <c r="GSH26" s="28"/>
      <c r="GSI26" s="28"/>
      <c r="GSJ26" s="28"/>
      <c r="GSK26" s="28"/>
      <c r="GSL26" s="28"/>
      <c r="GSM26" s="28"/>
      <c r="GSN26" s="28"/>
      <c r="GSO26" s="28"/>
      <c r="GSP26" s="28"/>
      <c r="GSQ26" s="28"/>
      <c r="GSR26" s="28"/>
      <c r="GSS26" s="28"/>
      <c r="GST26" s="28"/>
      <c r="GSU26" s="28"/>
      <c r="GSV26" s="28"/>
      <c r="GSW26" s="28"/>
      <c r="GSX26" s="28"/>
      <c r="GSY26" s="28"/>
      <c r="GSZ26" s="28"/>
      <c r="GTA26" s="28"/>
      <c r="GTB26" s="28"/>
      <c r="GTC26" s="28"/>
      <c r="GTD26" s="28"/>
      <c r="GTE26" s="28"/>
      <c r="GTF26" s="28"/>
      <c r="GTG26" s="28"/>
      <c r="GTH26" s="28"/>
      <c r="GTI26" s="28"/>
      <c r="GTJ26" s="28"/>
      <c r="GTK26" s="28"/>
      <c r="GTL26" s="28"/>
      <c r="GTM26" s="28"/>
      <c r="GTN26" s="28"/>
      <c r="GTO26" s="28"/>
      <c r="GTP26" s="28"/>
      <c r="GTQ26" s="28"/>
      <c r="GTR26" s="28"/>
      <c r="GTS26" s="28"/>
      <c r="GTT26" s="28"/>
      <c r="GTU26" s="28"/>
      <c r="GTV26" s="28"/>
      <c r="GTW26" s="28"/>
      <c r="GTX26" s="28"/>
      <c r="GTY26" s="28"/>
      <c r="GTZ26" s="28"/>
      <c r="GUA26" s="28"/>
      <c r="GUB26" s="28"/>
      <c r="GUC26" s="28"/>
      <c r="GUD26" s="28"/>
      <c r="GUE26" s="28"/>
      <c r="GUF26" s="28"/>
      <c r="GUG26" s="28"/>
      <c r="GUH26" s="28"/>
      <c r="GUI26" s="28"/>
      <c r="GUJ26" s="28"/>
      <c r="GUK26" s="28"/>
      <c r="GUL26" s="28"/>
      <c r="GUM26" s="28"/>
      <c r="GUN26" s="28"/>
      <c r="GUO26" s="28"/>
      <c r="GUP26" s="28"/>
      <c r="GUQ26" s="28"/>
      <c r="GUR26" s="28"/>
      <c r="GUS26" s="28"/>
      <c r="GUT26" s="28"/>
      <c r="GUU26" s="28"/>
      <c r="GUV26" s="28"/>
      <c r="GUW26" s="28"/>
      <c r="GUX26" s="28"/>
      <c r="GUY26" s="28"/>
      <c r="GUZ26" s="28"/>
      <c r="GVA26" s="28"/>
      <c r="GVB26" s="28"/>
      <c r="GVC26" s="28"/>
      <c r="GVD26" s="28"/>
      <c r="GVE26" s="28"/>
      <c r="GVF26" s="28"/>
      <c r="GVG26" s="28"/>
      <c r="GVH26" s="28"/>
      <c r="GVI26" s="28"/>
      <c r="GVJ26" s="28"/>
      <c r="GVK26" s="28"/>
      <c r="GVL26" s="28"/>
      <c r="GVM26" s="28"/>
      <c r="GVN26" s="28"/>
      <c r="GVO26" s="28"/>
      <c r="GVP26" s="28"/>
      <c r="GVQ26" s="28"/>
      <c r="GVR26" s="28"/>
      <c r="GVS26" s="28"/>
      <c r="GVT26" s="28"/>
      <c r="GVU26" s="28"/>
      <c r="GVV26" s="28"/>
      <c r="GVW26" s="28"/>
      <c r="GVX26" s="28"/>
      <c r="GVY26" s="28"/>
      <c r="GVZ26" s="28"/>
      <c r="GWA26" s="28"/>
      <c r="GWB26" s="28"/>
      <c r="GWC26" s="28"/>
      <c r="GWD26" s="28"/>
      <c r="GWE26" s="28"/>
      <c r="GWF26" s="28"/>
      <c r="GWG26" s="28"/>
      <c r="GWH26" s="28"/>
      <c r="GWI26" s="28"/>
      <c r="GWJ26" s="28"/>
      <c r="GWK26" s="28"/>
      <c r="GWL26" s="28"/>
      <c r="GWM26" s="28"/>
      <c r="GWN26" s="28"/>
      <c r="GWO26" s="28"/>
      <c r="GWP26" s="28"/>
      <c r="GWQ26" s="28"/>
      <c r="GWR26" s="28"/>
      <c r="GWS26" s="28"/>
      <c r="GWT26" s="28"/>
      <c r="GWU26" s="28"/>
      <c r="GWV26" s="28"/>
      <c r="GWW26" s="28"/>
      <c r="GWX26" s="28"/>
      <c r="GWY26" s="28"/>
      <c r="GWZ26" s="28"/>
      <c r="GXA26" s="28"/>
      <c r="GXB26" s="28"/>
      <c r="GXC26" s="28"/>
      <c r="GXD26" s="28"/>
      <c r="GXE26" s="28"/>
      <c r="GXF26" s="28"/>
      <c r="GXG26" s="28"/>
      <c r="GXH26" s="28"/>
      <c r="GXI26" s="28"/>
      <c r="GXJ26" s="28"/>
      <c r="GXK26" s="28"/>
      <c r="GXL26" s="28"/>
      <c r="GXM26" s="28"/>
      <c r="GXN26" s="28"/>
      <c r="GXO26" s="28"/>
      <c r="GXP26" s="28"/>
      <c r="GXQ26" s="28"/>
      <c r="GXR26" s="28"/>
      <c r="GXS26" s="28"/>
      <c r="GXT26" s="28"/>
      <c r="GXU26" s="28"/>
      <c r="GXV26" s="28"/>
      <c r="GXW26" s="28"/>
      <c r="GXX26" s="28"/>
      <c r="GXY26" s="28"/>
      <c r="GXZ26" s="28"/>
      <c r="GYA26" s="28"/>
      <c r="GYB26" s="28"/>
      <c r="GYC26" s="28"/>
      <c r="GYD26" s="28"/>
      <c r="GYE26" s="28"/>
      <c r="GYF26" s="28"/>
      <c r="GYG26" s="28"/>
      <c r="GYH26" s="28"/>
      <c r="GYI26" s="28"/>
      <c r="GYJ26" s="28"/>
      <c r="GYK26" s="28"/>
      <c r="GYL26" s="28"/>
      <c r="GYM26" s="28"/>
      <c r="GYN26" s="28"/>
      <c r="GYO26" s="28"/>
      <c r="GYP26" s="28"/>
      <c r="GYQ26" s="28"/>
      <c r="GYR26" s="28"/>
      <c r="GYS26" s="28"/>
      <c r="GYT26" s="28"/>
      <c r="GYU26" s="28"/>
      <c r="GYV26" s="28"/>
      <c r="GYW26" s="28"/>
      <c r="GYX26" s="28"/>
      <c r="GYY26" s="28"/>
      <c r="GYZ26" s="28"/>
      <c r="GZA26" s="28"/>
      <c r="GZB26" s="28"/>
      <c r="GZC26" s="28"/>
      <c r="GZD26" s="28"/>
      <c r="GZE26" s="28"/>
      <c r="GZF26" s="28"/>
      <c r="GZG26" s="28"/>
      <c r="GZH26" s="28"/>
      <c r="GZI26" s="28"/>
      <c r="GZJ26" s="28"/>
      <c r="GZK26" s="28"/>
      <c r="GZL26" s="28"/>
      <c r="GZM26" s="28"/>
      <c r="GZN26" s="28"/>
      <c r="GZO26" s="28"/>
      <c r="GZP26" s="28"/>
      <c r="GZQ26" s="28"/>
      <c r="GZR26" s="28"/>
      <c r="GZS26" s="28"/>
      <c r="GZT26" s="28"/>
      <c r="GZU26" s="28"/>
      <c r="GZV26" s="28"/>
      <c r="GZW26" s="28"/>
      <c r="GZX26" s="28"/>
      <c r="GZY26" s="28"/>
      <c r="GZZ26" s="28"/>
      <c r="HAA26" s="28"/>
      <c r="HAB26" s="28"/>
      <c r="HAC26" s="28"/>
      <c r="HAD26" s="28"/>
      <c r="HAE26" s="28"/>
      <c r="HAF26" s="28"/>
      <c r="HAG26" s="28"/>
      <c r="HAH26" s="28"/>
      <c r="HAI26" s="28"/>
      <c r="HAJ26" s="28"/>
      <c r="HAK26" s="28"/>
      <c r="HAL26" s="28"/>
      <c r="HAM26" s="28"/>
      <c r="HAN26" s="28"/>
      <c r="HAO26" s="28"/>
      <c r="HAP26" s="28"/>
      <c r="HAQ26" s="28"/>
      <c r="HAR26" s="28"/>
      <c r="HAS26" s="28"/>
      <c r="HAT26" s="28"/>
      <c r="HAU26" s="28"/>
      <c r="HAV26" s="28"/>
      <c r="HAW26" s="28"/>
      <c r="HAX26" s="28"/>
      <c r="HAY26" s="28"/>
      <c r="HAZ26" s="28"/>
      <c r="HBA26" s="28"/>
      <c r="HBB26" s="28"/>
      <c r="HBC26" s="28"/>
      <c r="HBD26" s="28"/>
      <c r="HBE26" s="28"/>
      <c r="HBF26" s="28"/>
      <c r="HBG26" s="28"/>
      <c r="HBH26" s="28"/>
      <c r="HBI26" s="28"/>
      <c r="HBJ26" s="28"/>
      <c r="HBK26" s="28"/>
      <c r="HBL26" s="28"/>
      <c r="HBM26" s="28"/>
      <c r="HBN26" s="28"/>
      <c r="HBO26" s="28"/>
      <c r="HBP26" s="28"/>
      <c r="HBQ26" s="28"/>
      <c r="HBR26" s="28"/>
      <c r="HBS26" s="28"/>
      <c r="HBT26" s="28"/>
      <c r="HBU26" s="28"/>
      <c r="HBV26" s="28"/>
      <c r="HBW26" s="28"/>
      <c r="HBX26" s="28"/>
      <c r="HBY26" s="28"/>
      <c r="HBZ26" s="28"/>
      <c r="HCA26" s="28"/>
      <c r="HCB26" s="28"/>
      <c r="HCC26" s="28"/>
      <c r="HCD26" s="28"/>
      <c r="HCE26" s="28"/>
      <c r="HCF26" s="28"/>
      <c r="HCG26" s="28"/>
      <c r="HCH26" s="28"/>
      <c r="HCI26" s="28"/>
      <c r="HCJ26" s="28"/>
      <c r="HCK26" s="28"/>
      <c r="HCL26" s="28"/>
      <c r="HCM26" s="28"/>
      <c r="HCN26" s="28"/>
      <c r="HCO26" s="28"/>
      <c r="HCP26" s="28"/>
      <c r="HCQ26" s="28"/>
      <c r="HCR26" s="28"/>
      <c r="HCS26" s="28"/>
      <c r="HCT26" s="28"/>
      <c r="HCU26" s="28"/>
      <c r="HCV26" s="28"/>
      <c r="HCW26" s="28"/>
      <c r="HCX26" s="28"/>
      <c r="HCY26" s="28"/>
      <c r="HCZ26" s="28"/>
      <c r="HDA26" s="28"/>
      <c r="HDB26" s="28"/>
      <c r="HDC26" s="28"/>
      <c r="HDD26" s="28"/>
      <c r="HDE26" s="28"/>
      <c r="HDF26" s="28"/>
      <c r="HDG26" s="28"/>
      <c r="HDH26" s="28"/>
      <c r="HDI26" s="28"/>
      <c r="HDJ26" s="28"/>
      <c r="HDK26" s="28"/>
      <c r="HDL26" s="28"/>
      <c r="HDM26" s="28"/>
      <c r="HDN26" s="28"/>
      <c r="HDO26" s="28"/>
      <c r="HDP26" s="28"/>
      <c r="HDQ26" s="28"/>
      <c r="HDR26" s="28"/>
      <c r="HDS26" s="28"/>
      <c r="HDT26" s="28"/>
      <c r="HDU26" s="28"/>
      <c r="HDV26" s="28"/>
      <c r="HDW26" s="28"/>
      <c r="HDX26" s="28"/>
      <c r="HDY26" s="28"/>
      <c r="HDZ26" s="28"/>
      <c r="HEA26" s="28"/>
      <c r="HEB26" s="28"/>
      <c r="HEC26" s="28"/>
      <c r="HED26" s="28"/>
      <c r="HEE26" s="28"/>
      <c r="HEF26" s="28"/>
      <c r="HEG26" s="28"/>
      <c r="HEH26" s="28"/>
      <c r="HEI26" s="28"/>
      <c r="HEJ26" s="28"/>
      <c r="HEK26" s="28"/>
      <c r="HEL26" s="28"/>
      <c r="HEM26" s="28"/>
      <c r="HEN26" s="28"/>
      <c r="HEO26" s="28"/>
      <c r="HEP26" s="28"/>
      <c r="HEQ26" s="28"/>
      <c r="HER26" s="28"/>
      <c r="HES26" s="28"/>
      <c r="HET26" s="28"/>
      <c r="HEU26" s="28"/>
      <c r="HEV26" s="28"/>
      <c r="HEW26" s="28"/>
      <c r="HEX26" s="28"/>
      <c r="HEY26" s="28"/>
      <c r="HEZ26" s="28"/>
      <c r="HFA26" s="28"/>
      <c r="HFB26" s="28"/>
      <c r="HFC26" s="28"/>
      <c r="HFD26" s="28"/>
      <c r="HFE26" s="28"/>
      <c r="HFF26" s="28"/>
      <c r="HFG26" s="28"/>
      <c r="HFH26" s="28"/>
      <c r="HFI26" s="28"/>
      <c r="HFJ26" s="28"/>
      <c r="HFK26" s="28"/>
      <c r="HFL26" s="28"/>
      <c r="HFM26" s="28"/>
      <c r="HFN26" s="28"/>
      <c r="HFO26" s="28"/>
      <c r="HFP26" s="28"/>
      <c r="HFQ26" s="28"/>
      <c r="HFR26" s="28"/>
      <c r="HFS26" s="28"/>
      <c r="HFT26" s="28"/>
      <c r="HFU26" s="28"/>
      <c r="HFV26" s="28"/>
      <c r="HFW26" s="28"/>
      <c r="HFX26" s="28"/>
      <c r="HFY26" s="28"/>
      <c r="HFZ26" s="28"/>
      <c r="HGA26" s="28"/>
      <c r="HGB26" s="28"/>
      <c r="HGC26" s="28"/>
      <c r="HGD26" s="28"/>
      <c r="HGE26" s="28"/>
      <c r="HGF26" s="28"/>
      <c r="HGG26" s="28"/>
      <c r="HGH26" s="28"/>
      <c r="HGI26" s="28"/>
      <c r="HGJ26" s="28"/>
      <c r="HGK26" s="28"/>
      <c r="HGL26" s="28"/>
      <c r="HGM26" s="28"/>
      <c r="HGN26" s="28"/>
      <c r="HGO26" s="28"/>
      <c r="HGP26" s="28"/>
      <c r="HGQ26" s="28"/>
      <c r="HGR26" s="28"/>
      <c r="HGS26" s="28"/>
      <c r="HGT26" s="28"/>
      <c r="HGU26" s="28"/>
      <c r="HGV26" s="28"/>
      <c r="HGW26" s="28"/>
      <c r="HGX26" s="28"/>
      <c r="HGY26" s="28"/>
      <c r="HGZ26" s="28"/>
      <c r="HHA26" s="28"/>
      <c r="HHB26" s="28"/>
      <c r="HHC26" s="28"/>
      <c r="HHD26" s="28"/>
      <c r="HHE26" s="28"/>
      <c r="HHF26" s="28"/>
      <c r="HHG26" s="28"/>
      <c r="HHH26" s="28"/>
      <c r="HHI26" s="28"/>
      <c r="HHJ26" s="28"/>
      <c r="HHK26" s="28"/>
      <c r="HHL26" s="28"/>
      <c r="HHM26" s="28"/>
      <c r="HHN26" s="28"/>
      <c r="HHO26" s="28"/>
      <c r="HHP26" s="28"/>
      <c r="HHQ26" s="28"/>
      <c r="HHR26" s="28"/>
      <c r="HHS26" s="28"/>
      <c r="HHT26" s="28"/>
      <c r="HHU26" s="28"/>
      <c r="HHV26" s="28"/>
      <c r="HHW26" s="28"/>
      <c r="HHX26" s="28"/>
      <c r="HHY26" s="28"/>
      <c r="HHZ26" s="28"/>
      <c r="HIA26" s="28"/>
      <c r="HIB26" s="28"/>
      <c r="HIC26" s="28"/>
      <c r="HID26" s="28"/>
      <c r="HIE26" s="28"/>
      <c r="HIF26" s="28"/>
      <c r="HIG26" s="28"/>
      <c r="HIH26" s="28"/>
      <c r="HII26" s="28"/>
      <c r="HIJ26" s="28"/>
      <c r="HIK26" s="28"/>
      <c r="HIL26" s="28"/>
      <c r="HIM26" s="28"/>
      <c r="HIN26" s="28"/>
      <c r="HIO26" s="28"/>
      <c r="HIP26" s="28"/>
      <c r="HIQ26" s="28"/>
      <c r="HIR26" s="28"/>
      <c r="HIS26" s="28"/>
      <c r="HIT26" s="28"/>
      <c r="HIU26" s="28"/>
      <c r="HIV26" s="28"/>
      <c r="HIW26" s="28"/>
      <c r="HIX26" s="28"/>
      <c r="HIY26" s="28"/>
      <c r="HIZ26" s="28"/>
      <c r="HJA26" s="28"/>
      <c r="HJB26" s="28"/>
      <c r="HJC26" s="28"/>
      <c r="HJD26" s="28"/>
      <c r="HJE26" s="28"/>
      <c r="HJF26" s="28"/>
      <c r="HJG26" s="28"/>
      <c r="HJH26" s="28"/>
      <c r="HJI26" s="28"/>
      <c r="HJJ26" s="28"/>
      <c r="HJK26" s="28"/>
      <c r="HJL26" s="28"/>
      <c r="HJM26" s="28"/>
      <c r="HJN26" s="28"/>
      <c r="HJO26" s="28"/>
      <c r="HJP26" s="28"/>
      <c r="HJQ26" s="28"/>
      <c r="HJR26" s="28"/>
      <c r="HJS26" s="28"/>
      <c r="HJT26" s="28"/>
      <c r="HJU26" s="28"/>
      <c r="HJV26" s="28"/>
      <c r="HJW26" s="28"/>
      <c r="HJX26" s="28"/>
      <c r="HJY26" s="28"/>
      <c r="HJZ26" s="28"/>
      <c r="HKA26" s="28"/>
      <c r="HKB26" s="28"/>
      <c r="HKC26" s="28"/>
      <c r="HKD26" s="28"/>
      <c r="HKE26" s="28"/>
      <c r="HKF26" s="28"/>
      <c r="HKG26" s="28"/>
      <c r="HKH26" s="28"/>
      <c r="HKI26" s="28"/>
      <c r="HKJ26" s="28"/>
      <c r="HKK26" s="28"/>
      <c r="HKL26" s="28"/>
      <c r="HKM26" s="28"/>
      <c r="HKN26" s="28"/>
      <c r="HKO26" s="28"/>
      <c r="HKP26" s="28"/>
      <c r="HKQ26" s="28"/>
      <c r="HKR26" s="28"/>
      <c r="HKS26" s="28"/>
      <c r="HKT26" s="28"/>
      <c r="HKU26" s="28"/>
      <c r="HKV26" s="28"/>
      <c r="HKW26" s="28"/>
      <c r="HKX26" s="28"/>
      <c r="HKY26" s="28"/>
      <c r="HKZ26" s="28"/>
      <c r="HLA26" s="28"/>
      <c r="HLB26" s="28"/>
      <c r="HLC26" s="28"/>
      <c r="HLD26" s="28"/>
      <c r="HLE26" s="28"/>
      <c r="HLF26" s="28"/>
      <c r="HLG26" s="28"/>
      <c r="HLH26" s="28"/>
      <c r="HLI26" s="28"/>
      <c r="HLJ26" s="28"/>
      <c r="HLK26" s="28"/>
      <c r="HLL26" s="28"/>
      <c r="HLM26" s="28"/>
      <c r="HLN26" s="28"/>
      <c r="HLO26" s="28"/>
      <c r="HLP26" s="28"/>
      <c r="HLQ26" s="28"/>
      <c r="HLR26" s="28"/>
      <c r="HLS26" s="28"/>
      <c r="HLT26" s="28"/>
      <c r="HLU26" s="28"/>
      <c r="HLV26" s="28"/>
      <c r="HLW26" s="28"/>
      <c r="HLX26" s="28"/>
      <c r="HLY26" s="28"/>
      <c r="HLZ26" s="28"/>
      <c r="HMA26" s="28"/>
      <c r="HMB26" s="28"/>
      <c r="HMC26" s="28"/>
      <c r="HMD26" s="28"/>
      <c r="HME26" s="28"/>
      <c r="HMF26" s="28"/>
      <c r="HMG26" s="28"/>
      <c r="HMH26" s="28"/>
      <c r="HMI26" s="28"/>
      <c r="HMJ26" s="28"/>
      <c r="HMK26" s="28"/>
      <c r="HML26" s="28"/>
      <c r="HMM26" s="28"/>
      <c r="HMN26" s="28"/>
      <c r="HMO26" s="28"/>
      <c r="HMP26" s="28"/>
      <c r="HMQ26" s="28"/>
      <c r="HMR26" s="28"/>
      <c r="HMS26" s="28"/>
      <c r="HMT26" s="28"/>
      <c r="HMU26" s="28"/>
      <c r="HMV26" s="28"/>
      <c r="HMW26" s="28"/>
      <c r="HMX26" s="28"/>
      <c r="HMY26" s="28"/>
      <c r="HMZ26" s="28"/>
      <c r="HNA26" s="28"/>
      <c r="HNB26" s="28"/>
      <c r="HNC26" s="28"/>
      <c r="HND26" s="28"/>
      <c r="HNE26" s="28"/>
      <c r="HNF26" s="28"/>
      <c r="HNG26" s="28"/>
      <c r="HNH26" s="28"/>
      <c r="HNI26" s="28"/>
      <c r="HNJ26" s="28"/>
      <c r="HNK26" s="28"/>
      <c r="HNL26" s="28"/>
      <c r="HNM26" s="28"/>
      <c r="HNN26" s="28"/>
      <c r="HNO26" s="28"/>
      <c r="HNP26" s="28"/>
      <c r="HNQ26" s="28"/>
      <c r="HNR26" s="28"/>
      <c r="HNS26" s="28"/>
      <c r="HNT26" s="28"/>
      <c r="HNU26" s="28"/>
      <c r="HNV26" s="28"/>
      <c r="HNW26" s="28"/>
      <c r="HNX26" s="28"/>
      <c r="HNY26" s="28"/>
      <c r="HNZ26" s="28"/>
      <c r="HOA26" s="28"/>
      <c r="HOB26" s="28"/>
      <c r="HOC26" s="28"/>
      <c r="HOD26" s="28"/>
      <c r="HOE26" s="28"/>
      <c r="HOF26" s="28"/>
      <c r="HOG26" s="28"/>
      <c r="HOH26" s="28"/>
      <c r="HOI26" s="28"/>
      <c r="HOJ26" s="28"/>
      <c r="HOK26" s="28"/>
      <c r="HOL26" s="28"/>
      <c r="HOM26" s="28"/>
      <c r="HON26" s="28"/>
      <c r="HOO26" s="28"/>
      <c r="HOP26" s="28"/>
      <c r="HOQ26" s="28"/>
      <c r="HOR26" s="28"/>
      <c r="HOS26" s="28"/>
      <c r="HOT26" s="28"/>
      <c r="HOU26" s="28"/>
      <c r="HOV26" s="28"/>
      <c r="HOW26" s="28"/>
      <c r="HOX26" s="28"/>
      <c r="HOY26" s="28"/>
      <c r="HOZ26" s="28"/>
      <c r="HPA26" s="28"/>
      <c r="HPB26" s="28"/>
      <c r="HPC26" s="28"/>
      <c r="HPD26" s="28"/>
      <c r="HPE26" s="28"/>
      <c r="HPF26" s="28"/>
      <c r="HPG26" s="28"/>
      <c r="HPH26" s="28"/>
      <c r="HPI26" s="28"/>
      <c r="HPJ26" s="28"/>
      <c r="HPK26" s="28"/>
      <c r="HPL26" s="28"/>
      <c r="HPM26" s="28"/>
      <c r="HPN26" s="28"/>
      <c r="HPO26" s="28"/>
      <c r="HPP26" s="28"/>
      <c r="HPQ26" s="28"/>
      <c r="HPR26" s="28"/>
      <c r="HPS26" s="28"/>
      <c r="HPT26" s="28"/>
      <c r="HPU26" s="28"/>
      <c r="HPV26" s="28"/>
      <c r="HPW26" s="28"/>
      <c r="HPX26" s="28"/>
      <c r="HPY26" s="28"/>
      <c r="HPZ26" s="28"/>
      <c r="HQA26" s="28"/>
      <c r="HQB26" s="28"/>
      <c r="HQC26" s="28"/>
      <c r="HQD26" s="28"/>
      <c r="HQE26" s="28"/>
      <c r="HQF26" s="28"/>
      <c r="HQG26" s="28"/>
      <c r="HQH26" s="28"/>
      <c r="HQI26" s="28"/>
      <c r="HQJ26" s="28"/>
      <c r="HQK26" s="28"/>
      <c r="HQL26" s="28"/>
      <c r="HQM26" s="28"/>
      <c r="HQN26" s="28"/>
      <c r="HQO26" s="28"/>
      <c r="HQP26" s="28"/>
      <c r="HQQ26" s="28"/>
      <c r="HQR26" s="28"/>
      <c r="HQS26" s="28"/>
      <c r="HQT26" s="28"/>
      <c r="HQU26" s="28"/>
      <c r="HQV26" s="28"/>
      <c r="HQW26" s="28"/>
      <c r="HQX26" s="28"/>
      <c r="HQY26" s="28"/>
      <c r="HQZ26" s="28"/>
      <c r="HRA26" s="28"/>
      <c r="HRB26" s="28"/>
      <c r="HRC26" s="28"/>
      <c r="HRD26" s="28"/>
      <c r="HRE26" s="28"/>
      <c r="HRF26" s="28"/>
      <c r="HRG26" s="28"/>
      <c r="HRH26" s="28"/>
      <c r="HRI26" s="28"/>
      <c r="HRJ26" s="28"/>
      <c r="HRK26" s="28"/>
      <c r="HRL26" s="28"/>
      <c r="HRM26" s="28"/>
      <c r="HRN26" s="28"/>
      <c r="HRO26" s="28"/>
      <c r="HRP26" s="28"/>
      <c r="HRQ26" s="28"/>
      <c r="HRR26" s="28"/>
      <c r="HRS26" s="28"/>
      <c r="HRT26" s="28"/>
      <c r="HRU26" s="28"/>
      <c r="HRV26" s="28"/>
      <c r="HRW26" s="28"/>
      <c r="HRX26" s="28"/>
      <c r="HRY26" s="28"/>
      <c r="HRZ26" s="28"/>
      <c r="HSA26" s="28"/>
      <c r="HSB26" s="28"/>
      <c r="HSC26" s="28"/>
      <c r="HSD26" s="28"/>
      <c r="HSE26" s="28"/>
      <c r="HSF26" s="28"/>
      <c r="HSG26" s="28"/>
      <c r="HSH26" s="28"/>
      <c r="HSI26" s="28"/>
      <c r="HSJ26" s="28"/>
      <c r="HSK26" s="28"/>
      <c r="HSL26" s="28"/>
      <c r="HSM26" s="28"/>
      <c r="HSN26" s="28"/>
      <c r="HSO26" s="28"/>
      <c r="HSP26" s="28"/>
      <c r="HSQ26" s="28"/>
      <c r="HSR26" s="28"/>
      <c r="HSS26" s="28"/>
      <c r="HST26" s="28"/>
      <c r="HSU26" s="28"/>
      <c r="HSV26" s="28"/>
      <c r="HSW26" s="28"/>
      <c r="HSX26" s="28"/>
      <c r="HSY26" s="28"/>
      <c r="HSZ26" s="28"/>
      <c r="HTA26" s="28"/>
      <c r="HTB26" s="28"/>
      <c r="HTC26" s="28"/>
      <c r="HTD26" s="28"/>
      <c r="HTE26" s="28"/>
      <c r="HTF26" s="28"/>
      <c r="HTG26" s="28"/>
      <c r="HTH26" s="28"/>
      <c r="HTI26" s="28"/>
      <c r="HTJ26" s="28"/>
      <c r="HTK26" s="28"/>
      <c r="HTL26" s="28"/>
      <c r="HTM26" s="28"/>
      <c r="HTN26" s="28"/>
      <c r="HTO26" s="28"/>
      <c r="HTP26" s="28"/>
      <c r="HTQ26" s="28"/>
      <c r="HTR26" s="28"/>
      <c r="HTS26" s="28"/>
      <c r="HTT26" s="28"/>
      <c r="HTU26" s="28"/>
      <c r="HTV26" s="28"/>
      <c r="HTW26" s="28"/>
      <c r="HTX26" s="28"/>
      <c r="HTY26" s="28"/>
      <c r="HTZ26" s="28"/>
      <c r="HUA26" s="28"/>
      <c r="HUB26" s="28"/>
      <c r="HUC26" s="28"/>
      <c r="HUD26" s="28"/>
      <c r="HUE26" s="28"/>
      <c r="HUF26" s="28"/>
      <c r="HUG26" s="28"/>
      <c r="HUH26" s="28"/>
      <c r="HUI26" s="28"/>
      <c r="HUJ26" s="28"/>
      <c r="HUK26" s="28"/>
      <c r="HUL26" s="28"/>
      <c r="HUM26" s="28"/>
      <c r="HUN26" s="28"/>
      <c r="HUO26" s="28"/>
      <c r="HUP26" s="28"/>
      <c r="HUQ26" s="28"/>
      <c r="HUR26" s="28"/>
      <c r="HUS26" s="28"/>
      <c r="HUT26" s="28"/>
      <c r="HUU26" s="28"/>
      <c r="HUV26" s="28"/>
      <c r="HUW26" s="28"/>
      <c r="HUX26" s="28"/>
      <c r="HUY26" s="28"/>
      <c r="HUZ26" s="28"/>
      <c r="HVA26" s="28"/>
      <c r="HVB26" s="28"/>
      <c r="HVC26" s="28"/>
      <c r="HVD26" s="28"/>
      <c r="HVE26" s="28"/>
      <c r="HVF26" s="28"/>
      <c r="HVG26" s="28"/>
      <c r="HVH26" s="28"/>
      <c r="HVI26" s="28"/>
      <c r="HVJ26" s="28"/>
      <c r="HVK26" s="28"/>
      <c r="HVL26" s="28"/>
      <c r="HVM26" s="28"/>
      <c r="HVN26" s="28"/>
      <c r="HVO26" s="28"/>
      <c r="HVP26" s="28"/>
      <c r="HVQ26" s="28"/>
      <c r="HVR26" s="28"/>
      <c r="HVS26" s="28"/>
      <c r="HVT26" s="28"/>
      <c r="HVU26" s="28"/>
      <c r="HVV26" s="28"/>
      <c r="HVW26" s="28"/>
      <c r="HVX26" s="28"/>
      <c r="HVY26" s="28"/>
      <c r="HVZ26" s="28"/>
      <c r="HWA26" s="28"/>
      <c r="HWB26" s="28"/>
      <c r="HWC26" s="28"/>
      <c r="HWD26" s="28"/>
      <c r="HWE26" s="28"/>
      <c r="HWF26" s="28"/>
      <c r="HWG26" s="28"/>
      <c r="HWH26" s="28"/>
      <c r="HWI26" s="28"/>
      <c r="HWJ26" s="28"/>
      <c r="HWK26" s="28"/>
      <c r="HWL26" s="28"/>
      <c r="HWM26" s="28"/>
      <c r="HWN26" s="28"/>
      <c r="HWO26" s="28"/>
      <c r="HWP26" s="28"/>
      <c r="HWQ26" s="28"/>
      <c r="HWR26" s="28"/>
      <c r="HWS26" s="28"/>
      <c r="HWT26" s="28"/>
      <c r="HWU26" s="28"/>
      <c r="HWV26" s="28"/>
      <c r="HWW26" s="28"/>
      <c r="HWX26" s="28"/>
      <c r="HWY26" s="28"/>
      <c r="HWZ26" s="28"/>
      <c r="HXA26" s="28"/>
      <c r="HXB26" s="28"/>
      <c r="HXC26" s="28"/>
      <c r="HXD26" s="28"/>
      <c r="HXE26" s="28"/>
      <c r="HXF26" s="28"/>
      <c r="HXG26" s="28"/>
      <c r="HXH26" s="28"/>
      <c r="HXI26" s="28"/>
      <c r="HXJ26" s="28"/>
      <c r="HXK26" s="28"/>
      <c r="HXL26" s="28"/>
      <c r="HXM26" s="28"/>
      <c r="HXN26" s="28"/>
      <c r="HXO26" s="28"/>
      <c r="HXP26" s="28"/>
      <c r="HXQ26" s="28"/>
      <c r="HXR26" s="28"/>
      <c r="HXS26" s="28"/>
      <c r="HXT26" s="28"/>
      <c r="HXU26" s="28"/>
      <c r="HXV26" s="28"/>
      <c r="HXW26" s="28"/>
      <c r="HXX26" s="28"/>
      <c r="HXY26" s="28"/>
      <c r="HXZ26" s="28"/>
      <c r="HYA26" s="28"/>
      <c r="HYB26" s="28"/>
      <c r="HYC26" s="28"/>
      <c r="HYD26" s="28"/>
      <c r="HYE26" s="28"/>
      <c r="HYF26" s="28"/>
      <c r="HYG26" s="28"/>
      <c r="HYH26" s="28"/>
      <c r="HYI26" s="28"/>
      <c r="HYJ26" s="28"/>
      <c r="HYK26" s="28"/>
      <c r="HYL26" s="28"/>
      <c r="HYM26" s="28"/>
      <c r="HYN26" s="28"/>
      <c r="HYO26" s="28"/>
      <c r="HYP26" s="28"/>
      <c r="HYQ26" s="28"/>
      <c r="HYR26" s="28"/>
      <c r="HYS26" s="28"/>
      <c r="HYT26" s="28"/>
      <c r="HYU26" s="28"/>
      <c r="HYV26" s="28"/>
      <c r="HYW26" s="28"/>
      <c r="HYX26" s="28"/>
      <c r="HYY26" s="28"/>
      <c r="HYZ26" s="28"/>
      <c r="HZA26" s="28"/>
      <c r="HZB26" s="28"/>
      <c r="HZC26" s="28"/>
      <c r="HZD26" s="28"/>
      <c r="HZE26" s="28"/>
      <c r="HZF26" s="28"/>
      <c r="HZG26" s="28"/>
      <c r="HZH26" s="28"/>
      <c r="HZI26" s="28"/>
      <c r="HZJ26" s="28"/>
      <c r="HZK26" s="28"/>
      <c r="HZL26" s="28"/>
      <c r="HZM26" s="28"/>
      <c r="HZN26" s="28"/>
      <c r="HZO26" s="28"/>
      <c r="HZP26" s="28"/>
      <c r="HZQ26" s="28"/>
      <c r="HZR26" s="28"/>
      <c r="HZS26" s="28"/>
      <c r="HZT26" s="28"/>
      <c r="HZU26" s="28"/>
      <c r="HZV26" s="28"/>
      <c r="HZW26" s="28"/>
      <c r="HZX26" s="28"/>
      <c r="HZY26" s="28"/>
      <c r="HZZ26" s="28"/>
      <c r="IAA26" s="28"/>
      <c r="IAB26" s="28"/>
      <c r="IAC26" s="28"/>
      <c r="IAD26" s="28"/>
      <c r="IAE26" s="28"/>
      <c r="IAF26" s="28"/>
      <c r="IAG26" s="28"/>
      <c r="IAH26" s="28"/>
      <c r="IAI26" s="28"/>
      <c r="IAJ26" s="28"/>
      <c r="IAK26" s="28"/>
      <c r="IAL26" s="28"/>
      <c r="IAM26" s="28"/>
      <c r="IAN26" s="28"/>
      <c r="IAO26" s="28"/>
      <c r="IAP26" s="28"/>
      <c r="IAQ26" s="28"/>
      <c r="IAR26" s="28"/>
      <c r="IAS26" s="28"/>
      <c r="IAT26" s="28"/>
      <c r="IAU26" s="28"/>
      <c r="IAV26" s="28"/>
      <c r="IAW26" s="28"/>
      <c r="IAX26" s="28"/>
      <c r="IAY26" s="28"/>
      <c r="IAZ26" s="28"/>
      <c r="IBA26" s="28"/>
      <c r="IBB26" s="28"/>
      <c r="IBC26" s="28"/>
      <c r="IBD26" s="28"/>
      <c r="IBE26" s="28"/>
      <c r="IBF26" s="28"/>
      <c r="IBG26" s="28"/>
      <c r="IBH26" s="28"/>
      <c r="IBI26" s="28"/>
      <c r="IBJ26" s="28"/>
      <c r="IBK26" s="28"/>
      <c r="IBL26" s="28"/>
      <c r="IBM26" s="28"/>
      <c r="IBN26" s="28"/>
      <c r="IBO26" s="28"/>
      <c r="IBP26" s="28"/>
      <c r="IBQ26" s="28"/>
      <c r="IBR26" s="28"/>
      <c r="IBS26" s="28"/>
      <c r="IBT26" s="28"/>
      <c r="IBU26" s="28"/>
      <c r="IBV26" s="28"/>
      <c r="IBW26" s="28"/>
      <c r="IBX26" s="28"/>
      <c r="IBY26" s="28"/>
      <c r="IBZ26" s="28"/>
      <c r="ICA26" s="28"/>
      <c r="ICB26" s="28"/>
      <c r="ICC26" s="28"/>
      <c r="ICD26" s="28"/>
      <c r="ICE26" s="28"/>
      <c r="ICF26" s="28"/>
      <c r="ICG26" s="28"/>
      <c r="ICH26" s="28"/>
      <c r="ICI26" s="28"/>
      <c r="ICJ26" s="28"/>
      <c r="ICK26" s="28"/>
      <c r="ICL26" s="28"/>
      <c r="ICM26" s="28"/>
      <c r="ICN26" s="28"/>
      <c r="ICO26" s="28"/>
      <c r="ICP26" s="28"/>
      <c r="ICQ26" s="28"/>
      <c r="ICR26" s="28"/>
      <c r="ICS26" s="28"/>
      <c r="ICT26" s="28"/>
      <c r="ICU26" s="28"/>
      <c r="ICV26" s="28"/>
      <c r="ICW26" s="28"/>
      <c r="ICX26" s="28"/>
      <c r="ICY26" s="28"/>
      <c r="ICZ26" s="28"/>
      <c r="IDA26" s="28"/>
      <c r="IDB26" s="28"/>
      <c r="IDC26" s="28"/>
      <c r="IDD26" s="28"/>
      <c r="IDE26" s="28"/>
      <c r="IDF26" s="28"/>
      <c r="IDG26" s="28"/>
      <c r="IDH26" s="28"/>
      <c r="IDI26" s="28"/>
      <c r="IDJ26" s="28"/>
      <c r="IDK26" s="28"/>
      <c r="IDL26" s="28"/>
      <c r="IDM26" s="28"/>
      <c r="IDN26" s="28"/>
      <c r="IDO26" s="28"/>
      <c r="IDP26" s="28"/>
      <c r="IDQ26" s="28"/>
      <c r="IDR26" s="28"/>
      <c r="IDS26" s="28"/>
      <c r="IDT26" s="28"/>
      <c r="IDU26" s="28"/>
      <c r="IDV26" s="28"/>
      <c r="IDW26" s="28"/>
      <c r="IDX26" s="28"/>
      <c r="IDY26" s="28"/>
      <c r="IDZ26" s="28"/>
      <c r="IEA26" s="28"/>
      <c r="IEB26" s="28"/>
      <c r="IEC26" s="28"/>
      <c r="IED26" s="28"/>
      <c r="IEE26" s="28"/>
      <c r="IEF26" s="28"/>
      <c r="IEG26" s="28"/>
      <c r="IEH26" s="28"/>
      <c r="IEI26" s="28"/>
      <c r="IEJ26" s="28"/>
      <c r="IEK26" s="28"/>
      <c r="IEL26" s="28"/>
      <c r="IEM26" s="28"/>
      <c r="IEN26" s="28"/>
      <c r="IEO26" s="28"/>
      <c r="IEP26" s="28"/>
      <c r="IEQ26" s="28"/>
      <c r="IER26" s="28"/>
      <c r="IES26" s="28"/>
      <c r="IET26" s="28"/>
      <c r="IEU26" s="28"/>
      <c r="IEV26" s="28"/>
      <c r="IEW26" s="28"/>
      <c r="IEX26" s="28"/>
      <c r="IEY26" s="28"/>
      <c r="IEZ26" s="28"/>
      <c r="IFA26" s="28"/>
      <c r="IFB26" s="28"/>
      <c r="IFC26" s="28"/>
      <c r="IFD26" s="28"/>
      <c r="IFE26" s="28"/>
      <c r="IFF26" s="28"/>
      <c r="IFG26" s="28"/>
      <c r="IFH26" s="28"/>
      <c r="IFI26" s="28"/>
      <c r="IFJ26" s="28"/>
      <c r="IFK26" s="28"/>
      <c r="IFL26" s="28"/>
      <c r="IFM26" s="28"/>
      <c r="IFN26" s="28"/>
      <c r="IFO26" s="28"/>
      <c r="IFP26" s="28"/>
      <c r="IFQ26" s="28"/>
      <c r="IFR26" s="28"/>
      <c r="IFS26" s="28"/>
      <c r="IFT26" s="28"/>
      <c r="IFU26" s="28"/>
      <c r="IFV26" s="28"/>
      <c r="IFW26" s="28"/>
      <c r="IFX26" s="28"/>
      <c r="IFY26" s="28"/>
      <c r="IFZ26" s="28"/>
      <c r="IGA26" s="28"/>
      <c r="IGB26" s="28"/>
      <c r="IGC26" s="28"/>
      <c r="IGD26" s="28"/>
      <c r="IGE26" s="28"/>
      <c r="IGF26" s="28"/>
      <c r="IGG26" s="28"/>
      <c r="IGH26" s="28"/>
      <c r="IGI26" s="28"/>
      <c r="IGJ26" s="28"/>
      <c r="IGK26" s="28"/>
      <c r="IGL26" s="28"/>
      <c r="IGM26" s="28"/>
      <c r="IGN26" s="28"/>
      <c r="IGO26" s="28"/>
      <c r="IGP26" s="28"/>
      <c r="IGQ26" s="28"/>
      <c r="IGR26" s="28"/>
      <c r="IGS26" s="28"/>
      <c r="IGT26" s="28"/>
      <c r="IGU26" s="28"/>
      <c r="IGV26" s="28"/>
      <c r="IGW26" s="28"/>
      <c r="IGX26" s="28"/>
      <c r="IGY26" s="28"/>
      <c r="IGZ26" s="28"/>
      <c r="IHA26" s="28"/>
      <c r="IHB26" s="28"/>
      <c r="IHC26" s="28"/>
      <c r="IHD26" s="28"/>
      <c r="IHE26" s="28"/>
      <c r="IHF26" s="28"/>
      <c r="IHG26" s="28"/>
      <c r="IHH26" s="28"/>
      <c r="IHI26" s="28"/>
      <c r="IHJ26" s="28"/>
      <c r="IHK26" s="28"/>
      <c r="IHL26" s="28"/>
      <c r="IHM26" s="28"/>
      <c r="IHN26" s="28"/>
      <c r="IHO26" s="28"/>
      <c r="IHP26" s="28"/>
      <c r="IHQ26" s="28"/>
      <c r="IHR26" s="28"/>
      <c r="IHS26" s="28"/>
      <c r="IHT26" s="28"/>
      <c r="IHU26" s="28"/>
      <c r="IHV26" s="28"/>
      <c r="IHW26" s="28"/>
      <c r="IHX26" s="28"/>
      <c r="IHY26" s="28"/>
      <c r="IHZ26" s="28"/>
      <c r="IIA26" s="28"/>
      <c r="IIB26" s="28"/>
      <c r="IIC26" s="28"/>
      <c r="IID26" s="28"/>
      <c r="IIE26" s="28"/>
      <c r="IIF26" s="28"/>
      <c r="IIG26" s="28"/>
      <c r="IIH26" s="28"/>
      <c r="III26" s="28"/>
      <c r="IIJ26" s="28"/>
      <c r="IIK26" s="28"/>
      <c r="IIL26" s="28"/>
      <c r="IIM26" s="28"/>
      <c r="IIN26" s="28"/>
      <c r="IIO26" s="28"/>
      <c r="IIP26" s="28"/>
      <c r="IIQ26" s="28"/>
      <c r="IIR26" s="28"/>
      <c r="IIS26" s="28"/>
      <c r="IIT26" s="28"/>
      <c r="IIU26" s="28"/>
      <c r="IIV26" s="28"/>
      <c r="IIW26" s="28"/>
      <c r="IIX26" s="28"/>
      <c r="IIY26" s="28"/>
      <c r="IIZ26" s="28"/>
      <c r="IJA26" s="28"/>
      <c r="IJB26" s="28"/>
      <c r="IJC26" s="28"/>
      <c r="IJD26" s="28"/>
      <c r="IJE26" s="28"/>
      <c r="IJF26" s="28"/>
      <c r="IJG26" s="28"/>
      <c r="IJH26" s="28"/>
      <c r="IJI26" s="28"/>
      <c r="IJJ26" s="28"/>
      <c r="IJK26" s="28"/>
      <c r="IJL26" s="28"/>
      <c r="IJM26" s="28"/>
      <c r="IJN26" s="28"/>
      <c r="IJO26" s="28"/>
      <c r="IJP26" s="28"/>
      <c r="IJQ26" s="28"/>
      <c r="IJR26" s="28"/>
      <c r="IJS26" s="28"/>
      <c r="IJT26" s="28"/>
      <c r="IJU26" s="28"/>
      <c r="IJV26" s="28"/>
      <c r="IJW26" s="28"/>
      <c r="IJX26" s="28"/>
      <c r="IJY26" s="28"/>
      <c r="IJZ26" s="28"/>
      <c r="IKA26" s="28"/>
      <c r="IKB26" s="28"/>
      <c r="IKC26" s="28"/>
      <c r="IKD26" s="28"/>
      <c r="IKE26" s="28"/>
      <c r="IKF26" s="28"/>
      <c r="IKG26" s="28"/>
      <c r="IKH26" s="28"/>
      <c r="IKI26" s="28"/>
      <c r="IKJ26" s="28"/>
      <c r="IKK26" s="28"/>
      <c r="IKL26" s="28"/>
      <c r="IKM26" s="28"/>
      <c r="IKN26" s="28"/>
      <c r="IKO26" s="28"/>
      <c r="IKP26" s="28"/>
      <c r="IKQ26" s="28"/>
      <c r="IKR26" s="28"/>
      <c r="IKS26" s="28"/>
      <c r="IKT26" s="28"/>
      <c r="IKU26" s="28"/>
      <c r="IKV26" s="28"/>
      <c r="IKW26" s="28"/>
      <c r="IKX26" s="28"/>
      <c r="IKY26" s="28"/>
      <c r="IKZ26" s="28"/>
      <c r="ILA26" s="28"/>
      <c r="ILB26" s="28"/>
      <c r="ILC26" s="28"/>
      <c r="ILD26" s="28"/>
      <c r="ILE26" s="28"/>
      <c r="ILF26" s="28"/>
      <c r="ILG26" s="28"/>
      <c r="ILH26" s="28"/>
      <c r="ILI26" s="28"/>
      <c r="ILJ26" s="28"/>
      <c r="ILK26" s="28"/>
      <c r="ILL26" s="28"/>
      <c r="ILM26" s="28"/>
      <c r="ILN26" s="28"/>
      <c r="ILO26" s="28"/>
      <c r="ILP26" s="28"/>
      <c r="ILQ26" s="28"/>
      <c r="ILR26" s="28"/>
      <c r="ILS26" s="28"/>
      <c r="ILT26" s="28"/>
      <c r="ILU26" s="28"/>
      <c r="ILV26" s="28"/>
      <c r="ILW26" s="28"/>
      <c r="ILX26" s="28"/>
      <c r="ILY26" s="28"/>
      <c r="ILZ26" s="28"/>
      <c r="IMA26" s="28"/>
      <c r="IMB26" s="28"/>
      <c r="IMC26" s="28"/>
      <c r="IMD26" s="28"/>
      <c r="IME26" s="28"/>
      <c r="IMF26" s="28"/>
      <c r="IMG26" s="28"/>
      <c r="IMH26" s="28"/>
      <c r="IMI26" s="28"/>
      <c r="IMJ26" s="28"/>
      <c r="IMK26" s="28"/>
      <c r="IML26" s="28"/>
      <c r="IMM26" s="28"/>
      <c r="IMN26" s="28"/>
      <c r="IMO26" s="28"/>
      <c r="IMP26" s="28"/>
      <c r="IMQ26" s="28"/>
      <c r="IMR26" s="28"/>
      <c r="IMS26" s="28"/>
      <c r="IMT26" s="28"/>
      <c r="IMU26" s="28"/>
      <c r="IMV26" s="28"/>
      <c r="IMW26" s="28"/>
      <c r="IMX26" s="28"/>
      <c r="IMY26" s="28"/>
      <c r="IMZ26" s="28"/>
      <c r="INA26" s="28"/>
      <c r="INB26" s="28"/>
      <c r="INC26" s="28"/>
      <c r="IND26" s="28"/>
      <c r="INE26" s="28"/>
      <c r="INF26" s="28"/>
      <c r="ING26" s="28"/>
      <c r="INH26" s="28"/>
      <c r="INI26" s="28"/>
      <c r="INJ26" s="28"/>
      <c r="INK26" s="28"/>
      <c r="INL26" s="28"/>
      <c r="INM26" s="28"/>
      <c r="INN26" s="28"/>
      <c r="INO26" s="28"/>
      <c r="INP26" s="28"/>
      <c r="INQ26" s="28"/>
      <c r="INR26" s="28"/>
      <c r="INS26" s="28"/>
      <c r="INT26" s="28"/>
      <c r="INU26" s="28"/>
      <c r="INV26" s="28"/>
      <c r="INW26" s="28"/>
      <c r="INX26" s="28"/>
      <c r="INY26" s="28"/>
      <c r="INZ26" s="28"/>
      <c r="IOA26" s="28"/>
      <c r="IOB26" s="28"/>
      <c r="IOC26" s="28"/>
      <c r="IOD26" s="28"/>
      <c r="IOE26" s="28"/>
      <c r="IOF26" s="28"/>
      <c r="IOG26" s="28"/>
      <c r="IOH26" s="28"/>
      <c r="IOI26" s="28"/>
      <c r="IOJ26" s="28"/>
      <c r="IOK26" s="28"/>
      <c r="IOL26" s="28"/>
      <c r="IOM26" s="28"/>
      <c r="ION26" s="28"/>
      <c r="IOO26" s="28"/>
      <c r="IOP26" s="28"/>
      <c r="IOQ26" s="28"/>
      <c r="IOR26" s="28"/>
      <c r="IOS26" s="28"/>
      <c r="IOT26" s="28"/>
      <c r="IOU26" s="28"/>
      <c r="IOV26" s="28"/>
      <c r="IOW26" s="28"/>
      <c r="IOX26" s="28"/>
      <c r="IOY26" s="28"/>
      <c r="IOZ26" s="28"/>
      <c r="IPA26" s="28"/>
      <c r="IPB26" s="28"/>
      <c r="IPC26" s="28"/>
      <c r="IPD26" s="28"/>
      <c r="IPE26" s="28"/>
      <c r="IPF26" s="28"/>
      <c r="IPG26" s="28"/>
      <c r="IPH26" s="28"/>
      <c r="IPI26" s="28"/>
      <c r="IPJ26" s="28"/>
      <c r="IPK26" s="28"/>
      <c r="IPL26" s="28"/>
      <c r="IPM26" s="28"/>
      <c r="IPN26" s="28"/>
      <c r="IPO26" s="28"/>
      <c r="IPP26" s="28"/>
      <c r="IPQ26" s="28"/>
      <c r="IPR26" s="28"/>
      <c r="IPS26" s="28"/>
      <c r="IPT26" s="28"/>
      <c r="IPU26" s="28"/>
      <c r="IPV26" s="28"/>
      <c r="IPW26" s="28"/>
      <c r="IPX26" s="28"/>
      <c r="IPY26" s="28"/>
      <c r="IPZ26" s="28"/>
      <c r="IQA26" s="28"/>
      <c r="IQB26" s="28"/>
      <c r="IQC26" s="28"/>
      <c r="IQD26" s="28"/>
      <c r="IQE26" s="28"/>
      <c r="IQF26" s="28"/>
      <c r="IQG26" s="28"/>
      <c r="IQH26" s="28"/>
      <c r="IQI26" s="28"/>
      <c r="IQJ26" s="28"/>
      <c r="IQK26" s="28"/>
      <c r="IQL26" s="28"/>
      <c r="IQM26" s="28"/>
      <c r="IQN26" s="28"/>
      <c r="IQO26" s="28"/>
      <c r="IQP26" s="28"/>
      <c r="IQQ26" s="28"/>
      <c r="IQR26" s="28"/>
      <c r="IQS26" s="28"/>
      <c r="IQT26" s="28"/>
      <c r="IQU26" s="28"/>
      <c r="IQV26" s="28"/>
      <c r="IQW26" s="28"/>
      <c r="IQX26" s="28"/>
      <c r="IQY26" s="28"/>
      <c r="IQZ26" s="28"/>
      <c r="IRA26" s="28"/>
      <c r="IRB26" s="28"/>
      <c r="IRC26" s="28"/>
      <c r="IRD26" s="28"/>
      <c r="IRE26" s="28"/>
      <c r="IRF26" s="28"/>
      <c r="IRG26" s="28"/>
      <c r="IRH26" s="28"/>
      <c r="IRI26" s="28"/>
      <c r="IRJ26" s="28"/>
      <c r="IRK26" s="28"/>
      <c r="IRL26" s="28"/>
      <c r="IRM26" s="28"/>
      <c r="IRN26" s="28"/>
      <c r="IRO26" s="28"/>
      <c r="IRP26" s="28"/>
      <c r="IRQ26" s="28"/>
      <c r="IRR26" s="28"/>
      <c r="IRS26" s="28"/>
      <c r="IRT26" s="28"/>
      <c r="IRU26" s="28"/>
      <c r="IRV26" s="28"/>
      <c r="IRW26" s="28"/>
      <c r="IRX26" s="28"/>
      <c r="IRY26" s="28"/>
      <c r="IRZ26" s="28"/>
      <c r="ISA26" s="28"/>
      <c r="ISB26" s="28"/>
      <c r="ISC26" s="28"/>
      <c r="ISD26" s="28"/>
      <c r="ISE26" s="28"/>
      <c r="ISF26" s="28"/>
      <c r="ISG26" s="28"/>
      <c r="ISH26" s="28"/>
      <c r="ISI26" s="28"/>
      <c r="ISJ26" s="28"/>
      <c r="ISK26" s="28"/>
      <c r="ISL26" s="28"/>
      <c r="ISM26" s="28"/>
      <c r="ISN26" s="28"/>
      <c r="ISO26" s="28"/>
      <c r="ISP26" s="28"/>
      <c r="ISQ26" s="28"/>
      <c r="ISR26" s="28"/>
      <c r="ISS26" s="28"/>
      <c r="IST26" s="28"/>
      <c r="ISU26" s="28"/>
      <c r="ISV26" s="28"/>
      <c r="ISW26" s="28"/>
      <c r="ISX26" s="28"/>
      <c r="ISY26" s="28"/>
      <c r="ISZ26" s="28"/>
      <c r="ITA26" s="28"/>
      <c r="ITB26" s="28"/>
      <c r="ITC26" s="28"/>
      <c r="ITD26" s="28"/>
      <c r="ITE26" s="28"/>
      <c r="ITF26" s="28"/>
      <c r="ITG26" s="28"/>
      <c r="ITH26" s="28"/>
      <c r="ITI26" s="28"/>
      <c r="ITJ26" s="28"/>
      <c r="ITK26" s="28"/>
      <c r="ITL26" s="28"/>
      <c r="ITM26" s="28"/>
      <c r="ITN26" s="28"/>
      <c r="ITO26" s="28"/>
      <c r="ITP26" s="28"/>
      <c r="ITQ26" s="28"/>
      <c r="ITR26" s="28"/>
      <c r="ITS26" s="28"/>
      <c r="ITT26" s="28"/>
      <c r="ITU26" s="28"/>
      <c r="ITV26" s="28"/>
      <c r="ITW26" s="28"/>
      <c r="ITX26" s="28"/>
      <c r="ITY26" s="28"/>
      <c r="ITZ26" s="28"/>
      <c r="IUA26" s="28"/>
      <c r="IUB26" s="28"/>
      <c r="IUC26" s="28"/>
      <c r="IUD26" s="28"/>
      <c r="IUE26" s="28"/>
      <c r="IUF26" s="28"/>
      <c r="IUG26" s="28"/>
      <c r="IUH26" s="28"/>
      <c r="IUI26" s="28"/>
      <c r="IUJ26" s="28"/>
      <c r="IUK26" s="28"/>
      <c r="IUL26" s="28"/>
      <c r="IUM26" s="28"/>
      <c r="IUN26" s="28"/>
      <c r="IUO26" s="28"/>
      <c r="IUP26" s="28"/>
      <c r="IUQ26" s="28"/>
      <c r="IUR26" s="28"/>
      <c r="IUS26" s="28"/>
      <c r="IUT26" s="28"/>
      <c r="IUU26" s="28"/>
      <c r="IUV26" s="28"/>
      <c r="IUW26" s="28"/>
      <c r="IUX26" s="28"/>
      <c r="IUY26" s="28"/>
      <c r="IUZ26" s="28"/>
      <c r="IVA26" s="28"/>
      <c r="IVB26" s="28"/>
      <c r="IVC26" s="28"/>
      <c r="IVD26" s="28"/>
      <c r="IVE26" s="28"/>
      <c r="IVF26" s="28"/>
      <c r="IVG26" s="28"/>
      <c r="IVH26" s="28"/>
      <c r="IVI26" s="28"/>
      <c r="IVJ26" s="28"/>
      <c r="IVK26" s="28"/>
      <c r="IVL26" s="28"/>
      <c r="IVM26" s="28"/>
      <c r="IVN26" s="28"/>
      <c r="IVO26" s="28"/>
      <c r="IVP26" s="28"/>
      <c r="IVQ26" s="28"/>
      <c r="IVR26" s="28"/>
      <c r="IVS26" s="28"/>
      <c r="IVT26" s="28"/>
      <c r="IVU26" s="28"/>
      <c r="IVV26" s="28"/>
      <c r="IVW26" s="28"/>
      <c r="IVX26" s="28"/>
      <c r="IVY26" s="28"/>
      <c r="IVZ26" s="28"/>
      <c r="IWA26" s="28"/>
      <c r="IWB26" s="28"/>
      <c r="IWC26" s="28"/>
      <c r="IWD26" s="28"/>
      <c r="IWE26" s="28"/>
      <c r="IWF26" s="28"/>
      <c r="IWG26" s="28"/>
      <c r="IWH26" s="28"/>
      <c r="IWI26" s="28"/>
      <c r="IWJ26" s="28"/>
      <c r="IWK26" s="28"/>
      <c r="IWL26" s="28"/>
      <c r="IWM26" s="28"/>
      <c r="IWN26" s="28"/>
      <c r="IWO26" s="28"/>
      <c r="IWP26" s="28"/>
      <c r="IWQ26" s="28"/>
      <c r="IWR26" s="28"/>
      <c r="IWS26" s="28"/>
      <c r="IWT26" s="28"/>
      <c r="IWU26" s="28"/>
      <c r="IWV26" s="28"/>
      <c r="IWW26" s="28"/>
      <c r="IWX26" s="28"/>
      <c r="IWY26" s="28"/>
      <c r="IWZ26" s="28"/>
      <c r="IXA26" s="28"/>
      <c r="IXB26" s="28"/>
      <c r="IXC26" s="28"/>
      <c r="IXD26" s="28"/>
      <c r="IXE26" s="28"/>
      <c r="IXF26" s="28"/>
      <c r="IXG26" s="28"/>
      <c r="IXH26" s="28"/>
      <c r="IXI26" s="28"/>
      <c r="IXJ26" s="28"/>
      <c r="IXK26" s="28"/>
      <c r="IXL26" s="28"/>
      <c r="IXM26" s="28"/>
      <c r="IXN26" s="28"/>
      <c r="IXO26" s="28"/>
      <c r="IXP26" s="28"/>
      <c r="IXQ26" s="28"/>
      <c r="IXR26" s="28"/>
      <c r="IXS26" s="28"/>
      <c r="IXT26" s="28"/>
      <c r="IXU26" s="28"/>
      <c r="IXV26" s="28"/>
      <c r="IXW26" s="28"/>
      <c r="IXX26" s="28"/>
      <c r="IXY26" s="28"/>
      <c r="IXZ26" s="28"/>
      <c r="IYA26" s="28"/>
      <c r="IYB26" s="28"/>
      <c r="IYC26" s="28"/>
      <c r="IYD26" s="28"/>
      <c r="IYE26" s="28"/>
      <c r="IYF26" s="28"/>
      <c r="IYG26" s="28"/>
      <c r="IYH26" s="28"/>
      <c r="IYI26" s="28"/>
      <c r="IYJ26" s="28"/>
      <c r="IYK26" s="28"/>
      <c r="IYL26" s="28"/>
      <c r="IYM26" s="28"/>
      <c r="IYN26" s="28"/>
      <c r="IYO26" s="28"/>
      <c r="IYP26" s="28"/>
      <c r="IYQ26" s="28"/>
      <c r="IYR26" s="28"/>
      <c r="IYS26" s="28"/>
      <c r="IYT26" s="28"/>
      <c r="IYU26" s="28"/>
      <c r="IYV26" s="28"/>
      <c r="IYW26" s="28"/>
      <c r="IYX26" s="28"/>
      <c r="IYY26" s="28"/>
      <c r="IYZ26" s="28"/>
      <c r="IZA26" s="28"/>
      <c r="IZB26" s="28"/>
      <c r="IZC26" s="28"/>
      <c r="IZD26" s="28"/>
      <c r="IZE26" s="28"/>
      <c r="IZF26" s="28"/>
      <c r="IZG26" s="28"/>
      <c r="IZH26" s="28"/>
      <c r="IZI26" s="28"/>
      <c r="IZJ26" s="28"/>
      <c r="IZK26" s="28"/>
      <c r="IZL26" s="28"/>
      <c r="IZM26" s="28"/>
      <c r="IZN26" s="28"/>
      <c r="IZO26" s="28"/>
      <c r="IZP26" s="28"/>
      <c r="IZQ26" s="28"/>
      <c r="IZR26" s="28"/>
      <c r="IZS26" s="28"/>
      <c r="IZT26" s="28"/>
      <c r="IZU26" s="28"/>
      <c r="IZV26" s="28"/>
      <c r="IZW26" s="28"/>
      <c r="IZX26" s="28"/>
      <c r="IZY26" s="28"/>
      <c r="IZZ26" s="28"/>
      <c r="JAA26" s="28"/>
      <c r="JAB26" s="28"/>
      <c r="JAC26" s="28"/>
      <c r="JAD26" s="28"/>
      <c r="JAE26" s="28"/>
      <c r="JAF26" s="28"/>
      <c r="JAG26" s="28"/>
      <c r="JAH26" s="28"/>
      <c r="JAI26" s="28"/>
      <c r="JAJ26" s="28"/>
      <c r="JAK26" s="28"/>
      <c r="JAL26" s="28"/>
      <c r="JAM26" s="28"/>
      <c r="JAN26" s="28"/>
      <c r="JAO26" s="28"/>
      <c r="JAP26" s="28"/>
      <c r="JAQ26" s="28"/>
      <c r="JAR26" s="28"/>
      <c r="JAS26" s="28"/>
      <c r="JAT26" s="28"/>
      <c r="JAU26" s="28"/>
      <c r="JAV26" s="28"/>
      <c r="JAW26" s="28"/>
      <c r="JAX26" s="28"/>
      <c r="JAY26" s="28"/>
      <c r="JAZ26" s="28"/>
      <c r="JBA26" s="28"/>
      <c r="JBB26" s="28"/>
      <c r="JBC26" s="28"/>
      <c r="JBD26" s="28"/>
      <c r="JBE26" s="28"/>
      <c r="JBF26" s="28"/>
      <c r="JBG26" s="28"/>
      <c r="JBH26" s="28"/>
      <c r="JBI26" s="28"/>
      <c r="JBJ26" s="28"/>
      <c r="JBK26" s="28"/>
      <c r="JBL26" s="28"/>
      <c r="JBM26" s="28"/>
      <c r="JBN26" s="28"/>
      <c r="JBO26" s="28"/>
      <c r="JBP26" s="28"/>
      <c r="JBQ26" s="28"/>
      <c r="JBR26" s="28"/>
      <c r="JBS26" s="28"/>
      <c r="JBT26" s="28"/>
      <c r="JBU26" s="28"/>
      <c r="JBV26" s="28"/>
      <c r="JBW26" s="28"/>
      <c r="JBX26" s="28"/>
      <c r="JBY26" s="28"/>
      <c r="JBZ26" s="28"/>
      <c r="JCA26" s="28"/>
      <c r="JCB26" s="28"/>
      <c r="JCC26" s="28"/>
      <c r="JCD26" s="28"/>
      <c r="JCE26" s="28"/>
      <c r="JCF26" s="28"/>
      <c r="JCG26" s="28"/>
      <c r="JCH26" s="28"/>
      <c r="JCI26" s="28"/>
      <c r="JCJ26" s="28"/>
      <c r="JCK26" s="28"/>
      <c r="JCL26" s="28"/>
      <c r="JCM26" s="28"/>
      <c r="JCN26" s="28"/>
      <c r="JCO26" s="28"/>
      <c r="JCP26" s="28"/>
      <c r="JCQ26" s="28"/>
      <c r="JCR26" s="28"/>
      <c r="JCS26" s="28"/>
      <c r="JCT26" s="28"/>
      <c r="JCU26" s="28"/>
      <c r="JCV26" s="28"/>
      <c r="JCW26" s="28"/>
      <c r="JCX26" s="28"/>
      <c r="JCY26" s="28"/>
      <c r="JCZ26" s="28"/>
      <c r="JDA26" s="28"/>
      <c r="JDB26" s="28"/>
      <c r="JDC26" s="28"/>
      <c r="JDD26" s="28"/>
      <c r="JDE26" s="28"/>
      <c r="JDF26" s="28"/>
      <c r="JDG26" s="28"/>
      <c r="JDH26" s="28"/>
      <c r="JDI26" s="28"/>
      <c r="JDJ26" s="28"/>
      <c r="JDK26" s="28"/>
      <c r="JDL26" s="28"/>
      <c r="JDM26" s="28"/>
      <c r="JDN26" s="28"/>
      <c r="JDO26" s="28"/>
      <c r="JDP26" s="28"/>
      <c r="JDQ26" s="28"/>
      <c r="JDR26" s="28"/>
      <c r="JDS26" s="28"/>
      <c r="JDT26" s="28"/>
      <c r="JDU26" s="28"/>
      <c r="JDV26" s="28"/>
      <c r="JDW26" s="28"/>
      <c r="JDX26" s="28"/>
      <c r="JDY26" s="28"/>
      <c r="JDZ26" s="28"/>
      <c r="JEA26" s="28"/>
      <c r="JEB26" s="28"/>
      <c r="JEC26" s="28"/>
      <c r="JED26" s="28"/>
      <c r="JEE26" s="28"/>
      <c r="JEF26" s="28"/>
      <c r="JEG26" s="28"/>
      <c r="JEH26" s="28"/>
      <c r="JEI26" s="28"/>
      <c r="JEJ26" s="28"/>
      <c r="JEK26" s="28"/>
      <c r="JEL26" s="28"/>
      <c r="JEM26" s="28"/>
      <c r="JEN26" s="28"/>
      <c r="JEO26" s="28"/>
      <c r="JEP26" s="28"/>
      <c r="JEQ26" s="28"/>
      <c r="JER26" s="28"/>
      <c r="JES26" s="28"/>
      <c r="JET26" s="28"/>
      <c r="JEU26" s="28"/>
      <c r="JEV26" s="28"/>
      <c r="JEW26" s="28"/>
      <c r="JEX26" s="28"/>
      <c r="JEY26" s="28"/>
      <c r="JEZ26" s="28"/>
      <c r="JFA26" s="28"/>
      <c r="JFB26" s="28"/>
      <c r="JFC26" s="28"/>
      <c r="JFD26" s="28"/>
      <c r="JFE26" s="28"/>
      <c r="JFF26" s="28"/>
      <c r="JFG26" s="28"/>
      <c r="JFH26" s="28"/>
      <c r="JFI26" s="28"/>
      <c r="JFJ26" s="28"/>
      <c r="JFK26" s="28"/>
      <c r="JFL26" s="28"/>
      <c r="JFM26" s="28"/>
      <c r="JFN26" s="28"/>
      <c r="JFO26" s="28"/>
      <c r="JFP26" s="28"/>
      <c r="JFQ26" s="28"/>
      <c r="JFR26" s="28"/>
      <c r="JFS26" s="28"/>
      <c r="JFT26" s="28"/>
      <c r="JFU26" s="28"/>
      <c r="JFV26" s="28"/>
      <c r="JFW26" s="28"/>
      <c r="JFX26" s="28"/>
      <c r="JFY26" s="28"/>
      <c r="JFZ26" s="28"/>
      <c r="JGA26" s="28"/>
      <c r="JGB26" s="28"/>
      <c r="JGC26" s="28"/>
      <c r="JGD26" s="28"/>
      <c r="JGE26" s="28"/>
      <c r="JGF26" s="28"/>
      <c r="JGG26" s="28"/>
      <c r="JGH26" s="28"/>
      <c r="JGI26" s="28"/>
      <c r="JGJ26" s="28"/>
      <c r="JGK26" s="28"/>
      <c r="JGL26" s="28"/>
      <c r="JGM26" s="28"/>
      <c r="JGN26" s="28"/>
      <c r="JGO26" s="28"/>
      <c r="JGP26" s="28"/>
      <c r="JGQ26" s="28"/>
      <c r="JGR26" s="28"/>
      <c r="JGS26" s="28"/>
      <c r="JGT26" s="28"/>
      <c r="JGU26" s="28"/>
      <c r="JGV26" s="28"/>
      <c r="JGW26" s="28"/>
      <c r="JGX26" s="28"/>
      <c r="JGY26" s="28"/>
      <c r="JGZ26" s="28"/>
      <c r="JHA26" s="28"/>
      <c r="JHB26" s="28"/>
      <c r="JHC26" s="28"/>
      <c r="JHD26" s="28"/>
      <c r="JHE26" s="28"/>
      <c r="JHF26" s="28"/>
      <c r="JHG26" s="28"/>
      <c r="JHH26" s="28"/>
      <c r="JHI26" s="28"/>
      <c r="JHJ26" s="28"/>
      <c r="JHK26" s="28"/>
      <c r="JHL26" s="28"/>
      <c r="JHM26" s="28"/>
      <c r="JHN26" s="28"/>
      <c r="JHO26" s="28"/>
      <c r="JHP26" s="28"/>
      <c r="JHQ26" s="28"/>
      <c r="JHR26" s="28"/>
      <c r="JHS26" s="28"/>
      <c r="JHT26" s="28"/>
      <c r="JHU26" s="28"/>
      <c r="JHV26" s="28"/>
      <c r="JHW26" s="28"/>
      <c r="JHX26" s="28"/>
      <c r="JHY26" s="28"/>
      <c r="JHZ26" s="28"/>
      <c r="JIA26" s="28"/>
      <c r="JIB26" s="28"/>
      <c r="JIC26" s="28"/>
      <c r="JID26" s="28"/>
      <c r="JIE26" s="28"/>
      <c r="JIF26" s="28"/>
      <c r="JIG26" s="28"/>
      <c r="JIH26" s="28"/>
      <c r="JII26" s="28"/>
      <c r="JIJ26" s="28"/>
      <c r="JIK26" s="28"/>
      <c r="JIL26" s="28"/>
      <c r="JIM26" s="28"/>
      <c r="JIN26" s="28"/>
      <c r="JIO26" s="28"/>
      <c r="JIP26" s="28"/>
      <c r="JIQ26" s="28"/>
      <c r="JIR26" s="28"/>
      <c r="JIS26" s="28"/>
      <c r="JIT26" s="28"/>
      <c r="JIU26" s="28"/>
      <c r="JIV26" s="28"/>
      <c r="JIW26" s="28"/>
      <c r="JIX26" s="28"/>
      <c r="JIY26" s="28"/>
      <c r="JIZ26" s="28"/>
      <c r="JJA26" s="28"/>
      <c r="JJB26" s="28"/>
      <c r="JJC26" s="28"/>
      <c r="JJD26" s="28"/>
      <c r="JJE26" s="28"/>
      <c r="JJF26" s="28"/>
      <c r="JJG26" s="28"/>
      <c r="JJH26" s="28"/>
      <c r="JJI26" s="28"/>
      <c r="JJJ26" s="28"/>
      <c r="JJK26" s="28"/>
      <c r="JJL26" s="28"/>
      <c r="JJM26" s="28"/>
      <c r="JJN26" s="28"/>
      <c r="JJO26" s="28"/>
      <c r="JJP26" s="28"/>
      <c r="JJQ26" s="28"/>
      <c r="JJR26" s="28"/>
      <c r="JJS26" s="28"/>
      <c r="JJT26" s="28"/>
      <c r="JJU26" s="28"/>
      <c r="JJV26" s="28"/>
      <c r="JJW26" s="28"/>
      <c r="JJX26" s="28"/>
      <c r="JJY26" s="28"/>
      <c r="JJZ26" s="28"/>
      <c r="JKA26" s="28"/>
      <c r="JKB26" s="28"/>
      <c r="JKC26" s="28"/>
      <c r="JKD26" s="28"/>
      <c r="JKE26" s="28"/>
      <c r="JKF26" s="28"/>
      <c r="JKG26" s="28"/>
      <c r="JKH26" s="28"/>
      <c r="JKI26" s="28"/>
      <c r="JKJ26" s="28"/>
      <c r="JKK26" s="28"/>
      <c r="JKL26" s="28"/>
      <c r="JKM26" s="28"/>
      <c r="JKN26" s="28"/>
      <c r="JKO26" s="28"/>
      <c r="JKP26" s="28"/>
      <c r="JKQ26" s="28"/>
      <c r="JKR26" s="28"/>
      <c r="JKS26" s="28"/>
      <c r="JKT26" s="28"/>
      <c r="JKU26" s="28"/>
      <c r="JKV26" s="28"/>
      <c r="JKW26" s="28"/>
      <c r="JKX26" s="28"/>
      <c r="JKY26" s="28"/>
      <c r="JKZ26" s="28"/>
      <c r="JLA26" s="28"/>
      <c r="JLB26" s="28"/>
      <c r="JLC26" s="28"/>
      <c r="JLD26" s="28"/>
      <c r="JLE26" s="28"/>
      <c r="JLF26" s="28"/>
      <c r="JLG26" s="28"/>
      <c r="JLH26" s="28"/>
      <c r="JLI26" s="28"/>
      <c r="JLJ26" s="28"/>
      <c r="JLK26" s="28"/>
      <c r="JLL26" s="28"/>
      <c r="JLM26" s="28"/>
      <c r="JLN26" s="28"/>
      <c r="JLO26" s="28"/>
      <c r="JLP26" s="28"/>
      <c r="JLQ26" s="28"/>
      <c r="JLR26" s="28"/>
      <c r="JLS26" s="28"/>
      <c r="JLT26" s="28"/>
      <c r="JLU26" s="28"/>
      <c r="JLV26" s="28"/>
      <c r="JLW26" s="28"/>
      <c r="JLX26" s="28"/>
      <c r="JLY26" s="28"/>
      <c r="JLZ26" s="28"/>
      <c r="JMA26" s="28"/>
      <c r="JMB26" s="28"/>
      <c r="JMC26" s="28"/>
      <c r="JMD26" s="28"/>
      <c r="JME26" s="28"/>
      <c r="JMF26" s="28"/>
      <c r="JMG26" s="28"/>
      <c r="JMH26" s="28"/>
      <c r="JMI26" s="28"/>
      <c r="JMJ26" s="28"/>
      <c r="JMK26" s="28"/>
      <c r="JML26" s="28"/>
      <c r="JMM26" s="28"/>
      <c r="JMN26" s="28"/>
      <c r="JMO26" s="28"/>
      <c r="JMP26" s="28"/>
      <c r="JMQ26" s="28"/>
      <c r="JMR26" s="28"/>
      <c r="JMS26" s="28"/>
      <c r="JMT26" s="28"/>
      <c r="JMU26" s="28"/>
      <c r="JMV26" s="28"/>
      <c r="JMW26" s="28"/>
      <c r="JMX26" s="28"/>
      <c r="JMY26" s="28"/>
      <c r="JMZ26" s="28"/>
      <c r="JNA26" s="28"/>
      <c r="JNB26" s="28"/>
      <c r="JNC26" s="28"/>
      <c r="JND26" s="28"/>
      <c r="JNE26" s="28"/>
      <c r="JNF26" s="28"/>
      <c r="JNG26" s="28"/>
      <c r="JNH26" s="28"/>
      <c r="JNI26" s="28"/>
      <c r="JNJ26" s="28"/>
      <c r="JNK26" s="28"/>
      <c r="JNL26" s="28"/>
      <c r="JNM26" s="28"/>
      <c r="JNN26" s="28"/>
      <c r="JNO26" s="28"/>
      <c r="JNP26" s="28"/>
      <c r="JNQ26" s="28"/>
      <c r="JNR26" s="28"/>
      <c r="JNS26" s="28"/>
      <c r="JNT26" s="28"/>
      <c r="JNU26" s="28"/>
      <c r="JNV26" s="28"/>
      <c r="JNW26" s="28"/>
      <c r="JNX26" s="28"/>
      <c r="JNY26" s="28"/>
      <c r="JNZ26" s="28"/>
      <c r="JOA26" s="28"/>
      <c r="JOB26" s="28"/>
      <c r="JOC26" s="28"/>
      <c r="JOD26" s="28"/>
      <c r="JOE26" s="28"/>
      <c r="JOF26" s="28"/>
      <c r="JOG26" s="28"/>
      <c r="JOH26" s="28"/>
      <c r="JOI26" s="28"/>
      <c r="JOJ26" s="28"/>
      <c r="JOK26" s="28"/>
      <c r="JOL26" s="28"/>
      <c r="JOM26" s="28"/>
      <c r="JON26" s="28"/>
      <c r="JOO26" s="28"/>
      <c r="JOP26" s="28"/>
      <c r="JOQ26" s="28"/>
      <c r="JOR26" s="28"/>
      <c r="JOS26" s="28"/>
      <c r="JOT26" s="28"/>
      <c r="JOU26" s="28"/>
      <c r="JOV26" s="28"/>
      <c r="JOW26" s="28"/>
      <c r="JOX26" s="28"/>
      <c r="JOY26" s="28"/>
      <c r="JOZ26" s="28"/>
      <c r="JPA26" s="28"/>
      <c r="JPB26" s="28"/>
      <c r="JPC26" s="28"/>
      <c r="JPD26" s="28"/>
      <c r="JPE26" s="28"/>
      <c r="JPF26" s="28"/>
      <c r="JPG26" s="28"/>
      <c r="JPH26" s="28"/>
      <c r="JPI26" s="28"/>
      <c r="JPJ26" s="28"/>
      <c r="JPK26" s="28"/>
      <c r="JPL26" s="28"/>
      <c r="JPM26" s="28"/>
      <c r="JPN26" s="28"/>
      <c r="JPO26" s="28"/>
      <c r="JPP26" s="28"/>
      <c r="JPQ26" s="28"/>
      <c r="JPR26" s="28"/>
      <c r="JPS26" s="28"/>
      <c r="JPT26" s="28"/>
      <c r="JPU26" s="28"/>
      <c r="JPV26" s="28"/>
      <c r="JPW26" s="28"/>
      <c r="JPX26" s="28"/>
      <c r="JPY26" s="28"/>
      <c r="JPZ26" s="28"/>
      <c r="JQA26" s="28"/>
      <c r="JQB26" s="28"/>
      <c r="JQC26" s="28"/>
      <c r="JQD26" s="28"/>
      <c r="JQE26" s="28"/>
      <c r="JQF26" s="28"/>
      <c r="JQG26" s="28"/>
      <c r="JQH26" s="28"/>
      <c r="JQI26" s="28"/>
      <c r="JQJ26" s="28"/>
      <c r="JQK26" s="28"/>
      <c r="JQL26" s="28"/>
      <c r="JQM26" s="28"/>
      <c r="JQN26" s="28"/>
      <c r="JQO26" s="28"/>
      <c r="JQP26" s="28"/>
      <c r="JQQ26" s="28"/>
      <c r="JQR26" s="28"/>
      <c r="JQS26" s="28"/>
      <c r="JQT26" s="28"/>
      <c r="JQU26" s="28"/>
      <c r="JQV26" s="28"/>
      <c r="JQW26" s="28"/>
      <c r="JQX26" s="28"/>
      <c r="JQY26" s="28"/>
      <c r="JQZ26" s="28"/>
      <c r="JRA26" s="28"/>
      <c r="JRB26" s="28"/>
      <c r="JRC26" s="28"/>
      <c r="JRD26" s="28"/>
      <c r="JRE26" s="28"/>
      <c r="JRF26" s="28"/>
      <c r="JRG26" s="28"/>
      <c r="JRH26" s="28"/>
      <c r="JRI26" s="28"/>
      <c r="JRJ26" s="28"/>
      <c r="JRK26" s="28"/>
      <c r="JRL26" s="28"/>
      <c r="JRM26" s="28"/>
      <c r="JRN26" s="28"/>
      <c r="JRO26" s="28"/>
      <c r="JRP26" s="28"/>
      <c r="JRQ26" s="28"/>
      <c r="JRR26" s="28"/>
      <c r="JRS26" s="28"/>
      <c r="JRT26" s="28"/>
      <c r="JRU26" s="28"/>
      <c r="JRV26" s="28"/>
      <c r="JRW26" s="28"/>
      <c r="JRX26" s="28"/>
      <c r="JRY26" s="28"/>
      <c r="JRZ26" s="28"/>
      <c r="JSA26" s="28"/>
      <c r="JSB26" s="28"/>
      <c r="JSC26" s="28"/>
      <c r="JSD26" s="28"/>
      <c r="JSE26" s="28"/>
      <c r="JSF26" s="28"/>
      <c r="JSG26" s="28"/>
      <c r="JSH26" s="28"/>
      <c r="JSI26" s="28"/>
      <c r="JSJ26" s="28"/>
      <c r="JSK26" s="28"/>
      <c r="JSL26" s="28"/>
      <c r="JSM26" s="28"/>
      <c r="JSN26" s="28"/>
      <c r="JSO26" s="28"/>
      <c r="JSP26" s="28"/>
      <c r="JSQ26" s="28"/>
      <c r="JSR26" s="28"/>
      <c r="JSS26" s="28"/>
      <c r="JST26" s="28"/>
      <c r="JSU26" s="28"/>
      <c r="JSV26" s="28"/>
      <c r="JSW26" s="28"/>
      <c r="JSX26" s="28"/>
      <c r="JSY26" s="28"/>
      <c r="JSZ26" s="28"/>
      <c r="JTA26" s="28"/>
      <c r="JTB26" s="28"/>
      <c r="JTC26" s="28"/>
      <c r="JTD26" s="28"/>
      <c r="JTE26" s="28"/>
      <c r="JTF26" s="28"/>
      <c r="JTG26" s="28"/>
      <c r="JTH26" s="28"/>
      <c r="JTI26" s="28"/>
      <c r="JTJ26" s="28"/>
      <c r="JTK26" s="28"/>
      <c r="JTL26" s="28"/>
      <c r="JTM26" s="28"/>
      <c r="JTN26" s="28"/>
      <c r="JTO26" s="28"/>
      <c r="JTP26" s="28"/>
      <c r="JTQ26" s="28"/>
      <c r="JTR26" s="28"/>
      <c r="JTS26" s="28"/>
      <c r="JTT26" s="28"/>
      <c r="JTU26" s="28"/>
      <c r="JTV26" s="28"/>
      <c r="JTW26" s="28"/>
      <c r="JTX26" s="28"/>
      <c r="JTY26" s="28"/>
      <c r="JTZ26" s="28"/>
      <c r="JUA26" s="28"/>
      <c r="JUB26" s="28"/>
      <c r="JUC26" s="28"/>
      <c r="JUD26" s="28"/>
      <c r="JUE26" s="28"/>
      <c r="JUF26" s="28"/>
      <c r="JUG26" s="28"/>
      <c r="JUH26" s="28"/>
      <c r="JUI26" s="28"/>
      <c r="JUJ26" s="28"/>
      <c r="JUK26" s="28"/>
      <c r="JUL26" s="28"/>
      <c r="JUM26" s="28"/>
      <c r="JUN26" s="28"/>
      <c r="JUO26" s="28"/>
      <c r="JUP26" s="28"/>
      <c r="JUQ26" s="28"/>
      <c r="JUR26" s="28"/>
      <c r="JUS26" s="28"/>
      <c r="JUT26" s="28"/>
      <c r="JUU26" s="28"/>
      <c r="JUV26" s="28"/>
      <c r="JUW26" s="28"/>
      <c r="JUX26" s="28"/>
      <c r="JUY26" s="28"/>
      <c r="JUZ26" s="28"/>
      <c r="JVA26" s="28"/>
      <c r="JVB26" s="28"/>
      <c r="JVC26" s="28"/>
      <c r="JVD26" s="28"/>
      <c r="JVE26" s="28"/>
      <c r="JVF26" s="28"/>
      <c r="JVG26" s="28"/>
      <c r="JVH26" s="28"/>
      <c r="JVI26" s="28"/>
      <c r="JVJ26" s="28"/>
      <c r="JVK26" s="28"/>
      <c r="JVL26" s="28"/>
      <c r="JVM26" s="28"/>
      <c r="JVN26" s="28"/>
      <c r="JVO26" s="28"/>
      <c r="JVP26" s="28"/>
      <c r="JVQ26" s="28"/>
      <c r="JVR26" s="28"/>
      <c r="JVS26" s="28"/>
      <c r="JVT26" s="28"/>
      <c r="JVU26" s="28"/>
      <c r="JVV26" s="28"/>
      <c r="JVW26" s="28"/>
      <c r="JVX26" s="28"/>
      <c r="JVY26" s="28"/>
      <c r="JVZ26" s="28"/>
      <c r="JWA26" s="28"/>
      <c r="JWB26" s="28"/>
      <c r="JWC26" s="28"/>
      <c r="JWD26" s="28"/>
      <c r="JWE26" s="28"/>
      <c r="JWF26" s="28"/>
      <c r="JWG26" s="28"/>
      <c r="JWH26" s="28"/>
      <c r="JWI26" s="28"/>
      <c r="JWJ26" s="28"/>
      <c r="JWK26" s="28"/>
      <c r="JWL26" s="28"/>
      <c r="JWM26" s="28"/>
      <c r="JWN26" s="28"/>
      <c r="JWO26" s="28"/>
      <c r="JWP26" s="28"/>
      <c r="JWQ26" s="28"/>
      <c r="JWR26" s="28"/>
      <c r="JWS26" s="28"/>
      <c r="JWT26" s="28"/>
      <c r="JWU26" s="28"/>
      <c r="JWV26" s="28"/>
      <c r="JWW26" s="28"/>
      <c r="JWX26" s="28"/>
      <c r="JWY26" s="28"/>
      <c r="JWZ26" s="28"/>
      <c r="JXA26" s="28"/>
      <c r="JXB26" s="28"/>
      <c r="JXC26" s="28"/>
      <c r="JXD26" s="28"/>
      <c r="JXE26" s="28"/>
      <c r="JXF26" s="28"/>
      <c r="JXG26" s="28"/>
      <c r="JXH26" s="28"/>
      <c r="JXI26" s="28"/>
      <c r="JXJ26" s="28"/>
      <c r="JXK26" s="28"/>
      <c r="JXL26" s="28"/>
      <c r="JXM26" s="28"/>
      <c r="JXN26" s="28"/>
      <c r="JXO26" s="28"/>
      <c r="JXP26" s="28"/>
      <c r="JXQ26" s="28"/>
      <c r="JXR26" s="28"/>
      <c r="JXS26" s="28"/>
      <c r="JXT26" s="28"/>
      <c r="JXU26" s="28"/>
      <c r="JXV26" s="28"/>
      <c r="JXW26" s="28"/>
      <c r="JXX26" s="28"/>
      <c r="JXY26" s="28"/>
      <c r="JXZ26" s="28"/>
      <c r="JYA26" s="28"/>
      <c r="JYB26" s="28"/>
      <c r="JYC26" s="28"/>
      <c r="JYD26" s="28"/>
      <c r="JYE26" s="28"/>
      <c r="JYF26" s="28"/>
      <c r="JYG26" s="28"/>
      <c r="JYH26" s="28"/>
      <c r="JYI26" s="28"/>
      <c r="JYJ26" s="28"/>
      <c r="JYK26" s="28"/>
      <c r="JYL26" s="28"/>
      <c r="JYM26" s="28"/>
      <c r="JYN26" s="28"/>
      <c r="JYO26" s="28"/>
      <c r="JYP26" s="28"/>
      <c r="JYQ26" s="28"/>
      <c r="JYR26" s="28"/>
      <c r="JYS26" s="28"/>
      <c r="JYT26" s="28"/>
      <c r="JYU26" s="28"/>
      <c r="JYV26" s="28"/>
      <c r="JYW26" s="28"/>
      <c r="JYX26" s="28"/>
      <c r="JYY26" s="28"/>
      <c r="JYZ26" s="28"/>
      <c r="JZA26" s="28"/>
      <c r="JZB26" s="28"/>
      <c r="JZC26" s="28"/>
      <c r="JZD26" s="28"/>
      <c r="JZE26" s="28"/>
      <c r="JZF26" s="28"/>
      <c r="JZG26" s="28"/>
      <c r="JZH26" s="28"/>
      <c r="JZI26" s="28"/>
      <c r="JZJ26" s="28"/>
      <c r="JZK26" s="28"/>
      <c r="JZL26" s="28"/>
      <c r="JZM26" s="28"/>
      <c r="JZN26" s="28"/>
      <c r="JZO26" s="28"/>
      <c r="JZP26" s="28"/>
      <c r="JZQ26" s="28"/>
      <c r="JZR26" s="28"/>
      <c r="JZS26" s="28"/>
      <c r="JZT26" s="28"/>
      <c r="JZU26" s="28"/>
      <c r="JZV26" s="28"/>
      <c r="JZW26" s="28"/>
      <c r="JZX26" s="28"/>
      <c r="JZY26" s="28"/>
      <c r="JZZ26" s="28"/>
      <c r="KAA26" s="28"/>
      <c r="KAB26" s="28"/>
      <c r="KAC26" s="28"/>
      <c r="KAD26" s="28"/>
      <c r="KAE26" s="28"/>
      <c r="KAF26" s="28"/>
      <c r="KAG26" s="28"/>
      <c r="KAH26" s="28"/>
      <c r="KAI26" s="28"/>
      <c r="KAJ26" s="28"/>
      <c r="KAK26" s="28"/>
      <c r="KAL26" s="28"/>
      <c r="KAM26" s="28"/>
      <c r="KAN26" s="28"/>
      <c r="KAO26" s="28"/>
      <c r="KAP26" s="28"/>
      <c r="KAQ26" s="28"/>
      <c r="KAR26" s="28"/>
      <c r="KAS26" s="28"/>
      <c r="KAT26" s="28"/>
      <c r="KAU26" s="28"/>
      <c r="KAV26" s="28"/>
      <c r="KAW26" s="28"/>
      <c r="KAX26" s="28"/>
      <c r="KAY26" s="28"/>
      <c r="KAZ26" s="28"/>
      <c r="KBA26" s="28"/>
      <c r="KBB26" s="28"/>
      <c r="KBC26" s="28"/>
      <c r="KBD26" s="28"/>
      <c r="KBE26" s="28"/>
      <c r="KBF26" s="28"/>
      <c r="KBG26" s="28"/>
      <c r="KBH26" s="28"/>
      <c r="KBI26" s="28"/>
      <c r="KBJ26" s="28"/>
      <c r="KBK26" s="28"/>
      <c r="KBL26" s="28"/>
      <c r="KBM26" s="28"/>
      <c r="KBN26" s="28"/>
      <c r="KBO26" s="28"/>
      <c r="KBP26" s="28"/>
      <c r="KBQ26" s="28"/>
      <c r="KBR26" s="28"/>
      <c r="KBS26" s="28"/>
      <c r="KBT26" s="28"/>
      <c r="KBU26" s="28"/>
      <c r="KBV26" s="28"/>
      <c r="KBW26" s="28"/>
      <c r="KBX26" s="28"/>
      <c r="KBY26" s="28"/>
      <c r="KBZ26" s="28"/>
      <c r="KCA26" s="28"/>
      <c r="KCB26" s="28"/>
      <c r="KCC26" s="28"/>
      <c r="KCD26" s="28"/>
      <c r="KCE26" s="28"/>
      <c r="KCF26" s="28"/>
      <c r="KCG26" s="28"/>
      <c r="KCH26" s="28"/>
      <c r="KCI26" s="28"/>
      <c r="KCJ26" s="28"/>
      <c r="KCK26" s="28"/>
      <c r="KCL26" s="28"/>
      <c r="KCM26" s="28"/>
      <c r="KCN26" s="28"/>
      <c r="KCO26" s="28"/>
      <c r="KCP26" s="28"/>
      <c r="KCQ26" s="28"/>
      <c r="KCR26" s="28"/>
      <c r="KCS26" s="28"/>
      <c r="KCT26" s="28"/>
      <c r="KCU26" s="28"/>
      <c r="KCV26" s="28"/>
      <c r="KCW26" s="28"/>
      <c r="KCX26" s="28"/>
      <c r="KCY26" s="28"/>
      <c r="KCZ26" s="28"/>
      <c r="KDA26" s="28"/>
      <c r="KDB26" s="28"/>
      <c r="KDC26" s="28"/>
      <c r="KDD26" s="28"/>
      <c r="KDE26" s="28"/>
      <c r="KDF26" s="28"/>
      <c r="KDG26" s="28"/>
      <c r="KDH26" s="28"/>
      <c r="KDI26" s="28"/>
      <c r="KDJ26" s="28"/>
      <c r="KDK26" s="28"/>
      <c r="KDL26" s="28"/>
      <c r="KDM26" s="28"/>
      <c r="KDN26" s="28"/>
      <c r="KDO26" s="28"/>
      <c r="KDP26" s="28"/>
      <c r="KDQ26" s="28"/>
      <c r="KDR26" s="28"/>
      <c r="KDS26" s="28"/>
      <c r="KDT26" s="28"/>
      <c r="KDU26" s="28"/>
      <c r="KDV26" s="28"/>
      <c r="KDW26" s="28"/>
      <c r="KDX26" s="28"/>
      <c r="KDY26" s="28"/>
      <c r="KDZ26" s="28"/>
      <c r="KEA26" s="28"/>
      <c r="KEB26" s="28"/>
      <c r="KEC26" s="28"/>
      <c r="KED26" s="28"/>
      <c r="KEE26" s="28"/>
      <c r="KEF26" s="28"/>
      <c r="KEG26" s="28"/>
      <c r="KEH26" s="28"/>
      <c r="KEI26" s="28"/>
      <c r="KEJ26" s="28"/>
      <c r="KEK26" s="28"/>
      <c r="KEL26" s="28"/>
      <c r="KEM26" s="28"/>
      <c r="KEN26" s="28"/>
      <c r="KEO26" s="28"/>
      <c r="KEP26" s="28"/>
      <c r="KEQ26" s="28"/>
      <c r="KER26" s="28"/>
      <c r="KES26" s="28"/>
      <c r="KET26" s="28"/>
      <c r="KEU26" s="28"/>
      <c r="KEV26" s="28"/>
      <c r="KEW26" s="28"/>
      <c r="KEX26" s="28"/>
      <c r="KEY26" s="28"/>
      <c r="KEZ26" s="28"/>
      <c r="KFA26" s="28"/>
      <c r="KFB26" s="28"/>
      <c r="KFC26" s="28"/>
      <c r="KFD26" s="28"/>
      <c r="KFE26" s="28"/>
      <c r="KFF26" s="28"/>
      <c r="KFG26" s="28"/>
      <c r="KFH26" s="28"/>
      <c r="KFI26" s="28"/>
      <c r="KFJ26" s="28"/>
      <c r="KFK26" s="28"/>
      <c r="KFL26" s="28"/>
      <c r="KFM26" s="28"/>
      <c r="KFN26" s="28"/>
      <c r="KFO26" s="28"/>
      <c r="KFP26" s="28"/>
      <c r="KFQ26" s="28"/>
      <c r="KFR26" s="28"/>
      <c r="KFS26" s="28"/>
      <c r="KFT26" s="28"/>
      <c r="KFU26" s="28"/>
      <c r="KFV26" s="28"/>
      <c r="KFW26" s="28"/>
      <c r="KFX26" s="28"/>
      <c r="KFY26" s="28"/>
      <c r="KFZ26" s="28"/>
      <c r="KGA26" s="28"/>
      <c r="KGB26" s="28"/>
      <c r="KGC26" s="28"/>
      <c r="KGD26" s="28"/>
      <c r="KGE26" s="28"/>
      <c r="KGF26" s="28"/>
      <c r="KGG26" s="28"/>
      <c r="KGH26" s="28"/>
      <c r="KGI26" s="28"/>
      <c r="KGJ26" s="28"/>
      <c r="KGK26" s="28"/>
      <c r="KGL26" s="28"/>
      <c r="KGM26" s="28"/>
      <c r="KGN26" s="28"/>
      <c r="KGO26" s="28"/>
      <c r="KGP26" s="28"/>
      <c r="KGQ26" s="28"/>
      <c r="KGR26" s="28"/>
      <c r="KGS26" s="28"/>
      <c r="KGT26" s="28"/>
      <c r="KGU26" s="28"/>
      <c r="KGV26" s="28"/>
      <c r="KGW26" s="28"/>
      <c r="KGX26" s="28"/>
      <c r="KGY26" s="28"/>
      <c r="KGZ26" s="28"/>
      <c r="KHA26" s="28"/>
      <c r="KHB26" s="28"/>
      <c r="KHC26" s="28"/>
      <c r="KHD26" s="28"/>
      <c r="KHE26" s="28"/>
      <c r="KHF26" s="28"/>
      <c r="KHG26" s="28"/>
      <c r="KHH26" s="28"/>
      <c r="KHI26" s="28"/>
      <c r="KHJ26" s="28"/>
      <c r="KHK26" s="28"/>
      <c r="KHL26" s="28"/>
      <c r="KHM26" s="28"/>
      <c r="KHN26" s="28"/>
      <c r="KHO26" s="28"/>
      <c r="KHP26" s="28"/>
      <c r="KHQ26" s="28"/>
      <c r="KHR26" s="28"/>
      <c r="KHS26" s="28"/>
      <c r="KHT26" s="28"/>
      <c r="KHU26" s="28"/>
      <c r="KHV26" s="28"/>
      <c r="KHW26" s="28"/>
      <c r="KHX26" s="28"/>
      <c r="KHY26" s="28"/>
      <c r="KHZ26" s="28"/>
      <c r="KIA26" s="28"/>
      <c r="KIB26" s="28"/>
      <c r="KIC26" s="28"/>
      <c r="KID26" s="28"/>
      <c r="KIE26" s="28"/>
      <c r="KIF26" s="28"/>
      <c r="KIG26" s="28"/>
      <c r="KIH26" s="28"/>
      <c r="KII26" s="28"/>
      <c r="KIJ26" s="28"/>
      <c r="KIK26" s="28"/>
      <c r="KIL26" s="28"/>
      <c r="KIM26" s="28"/>
      <c r="KIN26" s="28"/>
      <c r="KIO26" s="28"/>
      <c r="KIP26" s="28"/>
      <c r="KIQ26" s="28"/>
      <c r="KIR26" s="28"/>
      <c r="KIS26" s="28"/>
      <c r="KIT26" s="28"/>
      <c r="KIU26" s="28"/>
      <c r="KIV26" s="28"/>
      <c r="KIW26" s="28"/>
      <c r="KIX26" s="28"/>
      <c r="KIY26" s="28"/>
      <c r="KIZ26" s="28"/>
      <c r="KJA26" s="28"/>
      <c r="KJB26" s="28"/>
      <c r="KJC26" s="28"/>
      <c r="KJD26" s="28"/>
      <c r="KJE26" s="28"/>
      <c r="KJF26" s="28"/>
      <c r="KJG26" s="28"/>
      <c r="KJH26" s="28"/>
      <c r="KJI26" s="28"/>
      <c r="KJJ26" s="28"/>
      <c r="KJK26" s="28"/>
      <c r="KJL26" s="28"/>
      <c r="KJM26" s="28"/>
      <c r="KJN26" s="28"/>
      <c r="KJO26" s="28"/>
      <c r="KJP26" s="28"/>
      <c r="KJQ26" s="28"/>
      <c r="KJR26" s="28"/>
      <c r="KJS26" s="28"/>
      <c r="KJT26" s="28"/>
      <c r="KJU26" s="28"/>
      <c r="KJV26" s="28"/>
      <c r="KJW26" s="28"/>
      <c r="KJX26" s="28"/>
      <c r="KJY26" s="28"/>
      <c r="KJZ26" s="28"/>
      <c r="KKA26" s="28"/>
      <c r="KKB26" s="28"/>
      <c r="KKC26" s="28"/>
      <c r="KKD26" s="28"/>
      <c r="KKE26" s="28"/>
      <c r="KKF26" s="28"/>
      <c r="KKG26" s="28"/>
      <c r="KKH26" s="28"/>
      <c r="KKI26" s="28"/>
      <c r="KKJ26" s="28"/>
      <c r="KKK26" s="28"/>
      <c r="KKL26" s="28"/>
      <c r="KKM26" s="28"/>
      <c r="KKN26" s="28"/>
      <c r="KKO26" s="28"/>
      <c r="KKP26" s="28"/>
      <c r="KKQ26" s="28"/>
      <c r="KKR26" s="28"/>
      <c r="KKS26" s="28"/>
      <c r="KKT26" s="28"/>
      <c r="KKU26" s="28"/>
      <c r="KKV26" s="28"/>
      <c r="KKW26" s="28"/>
      <c r="KKX26" s="28"/>
      <c r="KKY26" s="28"/>
      <c r="KKZ26" s="28"/>
      <c r="KLA26" s="28"/>
      <c r="KLB26" s="28"/>
      <c r="KLC26" s="28"/>
      <c r="KLD26" s="28"/>
      <c r="KLE26" s="28"/>
      <c r="KLF26" s="28"/>
      <c r="KLG26" s="28"/>
      <c r="KLH26" s="28"/>
      <c r="KLI26" s="28"/>
      <c r="KLJ26" s="28"/>
      <c r="KLK26" s="28"/>
      <c r="KLL26" s="28"/>
      <c r="KLM26" s="28"/>
      <c r="KLN26" s="28"/>
      <c r="KLO26" s="28"/>
      <c r="KLP26" s="28"/>
      <c r="KLQ26" s="28"/>
      <c r="KLR26" s="28"/>
      <c r="KLS26" s="28"/>
      <c r="KLT26" s="28"/>
      <c r="KLU26" s="28"/>
      <c r="KLV26" s="28"/>
      <c r="KLW26" s="28"/>
      <c r="KLX26" s="28"/>
      <c r="KLY26" s="28"/>
      <c r="KLZ26" s="28"/>
      <c r="KMA26" s="28"/>
      <c r="KMB26" s="28"/>
      <c r="KMC26" s="28"/>
      <c r="KMD26" s="28"/>
      <c r="KME26" s="28"/>
      <c r="KMF26" s="28"/>
      <c r="KMG26" s="28"/>
      <c r="KMH26" s="28"/>
      <c r="KMI26" s="28"/>
      <c r="KMJ26" s="28"/>
      <c r="KMK26" s="28"/>
      <c r="KML26" s="28"/>
      <c r="KMM26" s="28"/>
      <c r="KMN26" s="28"/>
      <c r="KMO26" s="28"/>
      <c r="KMP26" s="28"/>
      <c r="KMQ26" s="28"/>
      <c r="KMR26" s="28"/>
      <c r="KMS26" s="28"/>
      <c r="KMT26" s="28"/>
      <c r="KMU26" s="28"/>
      <c r="KMV26" s="28"/>
      <c r="KMW26" s="28"/>
      <c r="KMX26" s="28"/>
      <c r="KMY26" s="28"/>
      <c r="KMZ26" s="28"/>
      <c r="KNA26" s="28"/>
      <c r="KNB26" s="28"/>
      <c r="KNC26" s="28"/>
      <c r="KND26" s="28"/>
      <c r="KNE26" s="28"/>
      <c r="KNF26" s="28"/>
      <c r="KNG26" s="28"/>
      <c r="KNH26" s="28"/>
      <c r="KNI26" s="28"/>
      <c r="KNJ26" s="28"/>
      <c r="KNK26" s="28"/>
      <c r="KNL26" s="28"/>
      <c r="KNM26" s="28"/>
      <c r="KNN26" s="28"/>
      <c r="KNO26" s="28"/>
      <c r="KNP26" s="28"/>
      <c r="KNQ26" s="28"/>
      <c r="KNR26" s="28"/>
      <c r="KNS26" s="28"/>
      <c r="KNT26" s="28"/>
      <c r="KNU26" s="28"/>
      <c r="KNV26" s="28"/>
      <c r="KNW26" s="28"/>
      <c r="KNX26" s="28"/>
      <c r="KNY26" s="28"/>
      <c r="KNZ26" s="28"/>
      <c r="KOA26" s="28"/>
      <c r="KOB26" s="28"/>
      <c r="KOC26" s="28"/>
      <c r="KOD26" s="28"/>
      <c r="KOE26" s="28"/>
      <c r="KOF26" s="28"/>
      <c r="KOG26" s="28"/>
      <c r="KOH26" s="28"/>
      <c r="KOI26" s="28"/>
      <c r="KOJ26" s="28"/>
      <c r="KOK26" s="28"/>
      <c r="KOL26" s="28"/>
      <c r="KOM26" s="28"/>
      <c r="KON26" s="28"/>
      <c r="KOO26" s="28"/>
      <c r="KOP26" s="28"/>
      <c r="KOQ26" s="28"/>
      <c r="KOR26" s="28"/>
      <c r="KOS26" s="28"/>
      <c r="KOT26" s="28"/>
      <c r="KOU26" s="28"/>
      <c r="KOV26" s="28"/>
      <c r="KOW26" s="28"/>
      <c r="KOX26" s="28"/>
      <c r="KOY26" s="28"/>
      <c r="KOZ26" s="28"/>
      <c r="KPA26" s="28"/>
      <c r="KPB26" s="28"/>
      <c r="KPC26" s="28"/>
      <c r="KPD26" s="28"/>
      <c r="KPE26" s="28"/>
      <c r="KPF26" s="28"/>
      <c r="KPG26" s="28"/>
      <c r="KPH26" s="28"/>
      <c r="KPI26" s="28"/>
      <c r="KPJ26" s="28"/>
      <c r="KPK26" s="28"/>
      <c r="KPL26" s="28"/>
      <c r="KPM26" s="28"/>
      <c r="KPN26" s="28"/>
      <c r="KPO26" s="28"/>
      <c r="KPP26" s="28"/>
      <c r="KPQ26" s="28"/>
      <c r="KPR26" s="28"/>
      <c r="KPS26" s="28"/>
      <c r="KPT26" s="28"/>
      <c r="KPU26" s="28"/>
      <c r="KPV26" s="28"/>
      <c r="KPW26" s="28"/>
      <c r="KPX26" s="28"/>
      <c r="KPY26" s="28"/>
      <c r="KPZ26" s="28"/>
      <c r="KQA26" s="28"/>
      <c r="KQB26" s="28"/>
      <c r="KQC26" s="28"/>
      <c r="KQD26" s="28"/>
      <c r="KQE26" s="28"/>
      <c r="KQF26" s="28"/>
      <c r="KQG26" s="28"/>
      <c r="KQH26" s="28"/>
      <c r="KQI26" s="28"/>
      <c r="KQJ26" s="28"/>
      <c r="KQK26" s="28"/>
      <c r="KQL26" s="28"/>
      <c r="KQM26" s="28"/>
      <c r="KQN26" s="28"/>
      <c r="KQO26" s="28"/>
      <c r="KQP26" s="28"/>
      <c r="KQQ26" s="28"/>
      <c r="KQR26" s="28"/>
      <c r="KQS26" s="28"/>
      <c r="KQT26" s="28"/>
      <c r="KQU26" s="28"/>
      <c r="KQV26" s="28"/>
      <c r="KQW26" s="28"/>
      <c r="KQX26" s="28"/>
      <c r="KQY26" s="28"/>
      <c r="KQZ26" s="28"/>
      <c r="KRA26" s="28"/>
      <c r="KRB26" s="28"/>
      <c r="KRC26" s="28"/>
      <c r="KRD26" s="28"/>
      <c r="KRE26" s="28"/>
      <c r="KRF26" s="28"/>
      <c r="KRG26" s="28"/>
      <c r="KRH26" s="28"/>
      <c r="KRI26" s="28"/>
      <c r="KRJ26" s="28"/>
      <c r="KRK26" s="28"/>
      <c r="KRL26" s="28"/>
      <c r="KRM26" s="28"/>
      <c r="KRN26" s="28"/>
      <c r="KRO26" s="28"/>
      <c r="KRP26" s="28"/>
      <c r="KRQ26" s="28"/>
      <c r="KRR26" s="28"/>
      <c r="KRS26" s="28"/>
      <c r="KRT26" s="28"/>
      <c r="KRU26" s="28"/>
      <c r="KRV26" s="28"/>
      <c r="KRW26" s="28"/>
      <c r="KRX26" s="28"/>
      <c r="KRY26" s="28"/>
      <c r="KRZ26" s="28"/>
      <c r="KSA26" s="28"/>
      <c r="KSB26" s="28"/>
      <c r="KSC26" s="28"/>
      <c r="KSD26" s="28"/>
      <c r="KSE26" s="28"/>
      <c r="KSF26" s="28"/>
      <c r="KSG26" s="28"/>
      <c r="KSH26" s="28"/>
      <c r="KSI26" s="28"/>
      <c r="KSJ26" s="28"/>
      <c r="KSK26" s="28"/>
      <c r="KSL26" s="28"/>
      <c r="KSM26" s="28"/>
      <c r="KSN26" s="28"/>
      <c r="KSO26" s="28"/>
      <c r="KSP26" s="28"/>
      <c r="KSQ26" s="28"/>
      <c r="KSR26" s="28"/>
      <c r="KSS26" s="28"/>
      <c r="KST26" s="28"/>
      <c r="KSU26" s="28"/>
      <c r="KSV26" s="28"/>
      <c r="KSW26" s="28"/>
      <c r="KSX26" s="28"/>
      <c r="KSY26" s="28"/>
      <c r="KSZ26" s="28"/>
      <c r="KTA26" s="28"/>
      <c r="KTB26" s="28"/>
      <c r="KTC26" s="28"/>
      <c r="KTD26" s="28"/>
      <c r="KTE26" s="28"/>
      <c r="KTF26" s="28"/>
      <c r="KTG26" s="28"/>
      <c r="KTH26" s="28"/>
      <c r="KTI26" s="28"/>
      <c r="KTJ26" s="28"/>
      <c r="KTK26" s="28"/>
      <c r="KTL26" s="28"/>
      <c r="KTM26" s="28"/>
      <c r="KTN26" s="28"/>
      <c r="KTO26" s="28"/>
      <c r="KTP26" s="28"/>
      <c r="KTQ26" s="28"/>
      <c r="KTR26" s="28"/>
      <c r="KTS26" s="28"/>
      <c r="KTT26" s="28"/>
      <c r="KTU26" s="28"/>
      <c r="KTV26" s="28"/>
      <c r="KTW26" s="28"/>
      <c r="KTX26" s="28"/>
      <c r="KTY26" s="28"/>
      <c r="KTZ26" s="28"/>
      <c r="KUA26" s="28"/>
      <c r="KUB26" s="28"/>
      <c r="KUC26" s="28"/>
      <c r="KUD26" s="28"/>
      <c r="KUE26" s="28"/>
      <c r="KUF26" s="28"/>
      <c r="KUG26" s="28"/>
      <c r="KUH26" s="28"/>
      <c r="KUI26" s="28"/>
      <c r="KUJ26" s="28"/>
      <c r="KUK26" s="28"/>
      <c r="KUL26" s="28"/>
      <c r="KUM26" s="28"/>
      <c r="KUN26" s="28"/>
      <c r="KUO26" s="28"/>
      <c r="KUP26" s="28"/>
      <c r="KUQ26" s="28"/>
      <c r="KUR26" s="28"/>
      <c r="KUS26" s="28"/>
      <c r="KUT26" s="28"/>
      <c r="KUU26" s="28"/>
      <c r="KUV26" s="28"/>
      <c r="KUW26" s="28"/>
      <c r="KUX26" s="28"/>
      <c r="KUY26" s="28"/>
      <c r="KUZ26" s="28"/>
      <c r="KVA26" s="28"/>
      <c r="KVB26" s="28"/>
      <c r="KVC26" s="28"/>
      <c r="KVD26" s="28"/>
      <c r="KVE26" s="28"/>
      <c r="KVF26" s="28"/>
      <c r="KVG26" s="28"/>
      <c r="KVH26" s="28"/>
      <c r="KVI26" s="28"/>
      <c r="KVJ26" s="28"/>
      <c r="KVK26" s="28"/>
      <c r="KVL26" s="28"/>
      <c r="KVM26" s="28"/>
      <c r="KVN26" s="28"/>
      <c r="KVO26" s="28"/>
      <c r="KVP26" s="28"/>
      <c r="KVQ26" s="28"/>
      <c r="KVR26" s="28"/>
      <c r="KVS26" s="28"/>
      <c r="KVT26" s="28"/>
      <c r="KVU26" s="28"/>
      <c r="KVV26" s="28"/>
      <c r="KVW26" s="28"/>
      <c r="KVX26" s="28"/>
      <c r="KVY26" s="28"/>
      <c r="KVZ26" s="28"/>
      <c r="KWA26" s="28"/>
      <c r="KWB26" s="28"/>
      <c r="KWC26" s="28"/>
      <c r="KWD26" s="28"/>
      <c r="KWE26" s="28"/>
      <c r="KWF26" s="28"/>
      <c r="KWG26" s="28"/>
      <c r="KWH26" s="28"/>
      <c r="KWI26" s="28"/>
      <c r="KWJ26" s="28"/>
      <c r="KWK26" s="28"/>
      <c r="KWL26" s="28"/>
      <c r="KWM26" s="28"/>
      <c r="KWN26" s="28"/>
      <c r="KWO26" s="28"/>
      <c r="KWP26" s="28"/>
      <c r="KWQ26" s="28"/>
      <c r="KWR26" s="28"/>
      <c r="KWS26" s="28"/>
      <c r="KWT26" s="28"/>
      <c r="KWU26" s="28"/>
      <c r="KWV26" s="28"/>
      <c r="KWW26" s="28"/>
      <c r="KWX26" s="28"/>
      <c r="KWY26" s="28"/>
      <c r="KWZ26" s="28"/>
      <c r="KXA26" s="28"/>
      <c r="KXB26" s="28"/>
      <c r="KXC26" s="28"/>
      <c r="KXD26" s="28"/>
      <c r="KXE26" s="28"/>
      <c r="KXF26" s="28"/>
      <c r="KXG26" s="28"/>
      <c r="KXH26" s="28"/>
      <c r="KXI26" s="28"/>
      <c r="KXJ26" s="28"/>
      <c r="KXK26" s="28"/>
      <c r="KXL26" s="28"/>
      <c r="KXM26" s="28"/>
      <c r="KXN26" s="28"/>
      <c r="KXO26" s="28"/>
      <c r="KXP26" s="28"/>
      <c r="KXQ26" s="28"/>
      <c r="KXR26" s="28"/>
      <c r="KXS26" s="28"/>
      <c r="KXT26" s="28"/>
      <c r="KXU26" s="28"/>
      <c r="KXV26" s="28"/>
      <c r="KXW26" s="28"/>
      <c r="KXX26" s="28"/>
      <c r="KXY26" s="28"/>
      <c r="KXZ26" s="28"/>
      <c r="KYA26" s="28"/>
      <c r="KYB26" s="28"/>
      <c r="KYC26" s="28"/>
      <c r="KYD26" s="28"/>
      <c r="KYE26" s="28"/>
      <c r="KYF26" s="28"/>
      <c r="KYG26" s="28"/>
      <c r="KYH26" s="28"/>
      <c r="KYI26" s="28"/>
      <c r="KYJ26" s="28"/>
      <c r="KYK26" s="28"/>
      <c r="KYL26" s="28"/>
      <c r="KYM26" s="28"/>
      <c r="KYN26" s="28"/>
      <c r="KYO26" s="28"/>
      <c r="KYP26" s="28"/>
      <c r="KYQ26" s="28"/>
      <c r="KYR26" s="28"/>
      <c r="KYS26" s="28"/>
      <c r="KYT26" s="28"/>
      <c r="KYU26" s="28"/>
      <c r="KYV26" s="28"/>
      <c r="KYW26" s="28"/>
      <c r="KYX26" s="28"/>
      <c r="KYY26" s="28"/>
      <c r="KYZ26" s="28"/>
      <c r="KZA26" s="28"/>
      <c r="KZB26" s="28"/>
      <c r="KZC26" s="28"/>
      <c r="KZD26" s="28"/>
      <c r="KZE26" s="28"/>
      <c r="KZF26" s="28"/>
      <c r="KZG26" s="28"/>
      <c r="KZH26" s="28"/>
      <c r="KZI26" s="28"/>
      <c r="KZJ26" s="28"/>
      <c r="KZK26" s="28"/>
      <c r="KZL26" s="28"/>
      <c r="KZM26" s="28"/>
      <c r="KZN26" s="28"/>
      <c r="KZO26" s="28"/>
      <c r="KZP26" s="28"/>
      <c r="KZQ26" s="28"/>
      <c r="KZR26" s="28"/>
      <c r="KZS26" s="28"/>
      <c r="KZT26" s="28"/>
      <c r="KZU26" s="28"/>
      <c r="KZV26" s="28"/>
      <c r="KZW26" s="28"/>
      <c r="KZX26" s="28"/>
      <c r="KZY26" s="28"/>
      <c r="KZZ26" s="28"/>
      <c r="LAA26" s="28"/>
      <c r="LAB26" s="28"/>
      <c r="LAC26" s="28"/>
      <c r="LAD26" s="28"/>
      <c r="LAE26" s="28"/>
      <c r="LAF26" s="28"/>
      <c r="LAG26" s="28"/>
      <c r="LAH26" s="28"/>
      <c r="LAI26" s="28"/>
      <c r="LAJ26" s="28"/>
      <c r="LAK26" s="28"/>
      <c r="LAL26" s="28"/>
      <c r="LAM26" s="28"/>
      <c r="LAN26" s="28"/>
      <c r="LAO26" s="28"/>
      <c r="LAP26" s="28"/>
      <c r="LAQ26" s="28"/>
      <c r="LAR26" s="28"/>
      <c r="LAS26" s="28"/>
      <c r="LAT26" s="28"/>
      <c r="LAU26" s="28"/>
      <c r="LAV26" s="28"/>
      <c r="LAW26" s="28"/>
      <c r="LAX26" s="28"/>
      <c r="LAY26" s="28"/>
      <c r="LAZ26" s="28"/>
      <c r="LBA26" s="28"/>
      <c r="LBB26" s="28"/>
      <c r="LBC26" s="28"/>
      <c r="LBD26" s="28"/>
      <c r="LBE26" s="28"/>
      <c r="LBF26" s="28"/>
      <c r="LBG26" s="28"/>
      <c r="LBH26" s="28"/>
      <c r="LBI26" s="28"/>
      <c r="LBJ26" s="28"/>
      <c r="LBK26" s="28"/>
      <c r="LBL26" s="28"/>
      <c r="LBM26" s="28"/>
      <c r="LBN26" s="28"/>
      <c r="LBO26" s="28"/>
      <c r="LBP26" s="28"/>
      <c r="LBQ26" s="28"/>
      <c r="LBR26" s="28"/>
      <c r="LBS26" s="28"/>
      <c r="LBT26" s="28"/>
      <c r="LBU26" s="28"/>
      <c r="LBV26" s="28"/>
      <c r="LBW26" s="28"/>
      <c r="LBX26" s="28"/>
      <c r="LBY26" s="28"/>
      <c r="LBZ26" s="28"/>
      <c r="LCA26" s="28"/>
      <c r="LCB26" s="28"/>
      <c r="LCC26" s="28"/>
      <c r="LCD26" s="28"/>
      <c r="LCE26" s="28"/>
      <c r="LCF26" s="28"/>
      <c r="LCG26" s="28"/>
      <c r="LCH26" s="28"/>
      <c r="LCI26" s="28"/>
      <c r="LCJ26" s="28"/>
      <c r="LCK26" s="28"/>
      <c r="LCL26" s="28"/>
      <c r="LCM26" s="28"/>
      <c r="LCN26" s="28"/>
      <c r="LCO26" s="28"/>
      <c r="LCP26" s="28"/>
      <c r="LCQ26" s="28"/>
      <c r="LCR26" s="28"/>
      <c r="LCS26" s="28"/>
      <c r="LCT26" s="28"/>
      <c r="LCU26" s="28"/>
      <c r="LCV26" s="28"/>
      <c r="LCW26" s="28"/>
      <c r="LCX26" s="28"/>
      <c r="LCY26" s="28"/>
      <c r="LCZ26" s="28"/>
      <c r="LDA26" s="28"/>
      <c r="LDB26" s="28"/>
      <c r="LDC26" s="28"/>
      <c r="LDD26" s="28"/>
      <c r="LDE26" s="28"/>
      <c r="LDF26" s="28"/>
      <c r="LDG26" s="28"/>
      <c r="LDH26" s="28"/>
      <c r="LDI26" s="28"/>
      <c r="LDJ26" s="28"/>
      <c r="LDK26" s="28"/>
      <c r="LDL26" s="28"/>
      <c r="LDM26" s="28"/>
      <c r="LDN26" s="28"/>
      <c r="LDO26" s="28"/>
      <c r="LDP26" s="28"/>
      <c r="LDQ26" s="28"/>
      <c r="LDR26" s="28"/>
      <c r="LDS26" s="28"/>
      <c r="LDT26" s="28"/>
      <c r="LDU26" s="28"/>
      <c r="LDV26" s="28"/>
      <c r="LDW26" s="28"/>
      <c r="LDX26" s="28"/>
      <c r="LDY26" s="28"/>
      <c r="LDZ26" s="28"/>
      <c r="LEA26" s="28"/>
      <c r="LEB26" s="28"/>
      <c r="LEC26" s="28"/>
      <c r="LED26" s="28"/>
      <c r="LEE26" s="28"/>
      <c r="LEF26" s="28"/>
      <c r="LEG26" s="28"/>
      <c r="LEH26" s="28"/>
      <c r="LEI26" s="28"/>
      <c r="LEJ26" s="28"/>
      <c r="LEK26" s="28"/>
      <c r="LEL26" s="28"/>
      <c r="LEM26" s="28"/>
      <c r="LEN26" s="28"/>
      <c r="LEO26" s="28"/>
      <c r="LEP26" s="28"/>
      <c r="LEQ26" s="28"/>
      <c r="LER26" s="28"/>
      <c r="LES26" s="28"/>
      <c r="LET26" s="28"/>
      <c r="LEU26" s="28"/>
      <c r="LEV26" s="28"/>
      <c r="LEW26" s="28"/>
      <c r="LEX26" s="28"/>
      <c r="LEY26" s="28"/>
      <c r="LEZ26" s="28"/>
      <c r="LFA26" s="28"/>
      <c r="LFB26" s="28"/>
      <c r="LFC26" s="28"/>
      <c r="LFD26" s="28"/>
      <c r="LFE26" s="28"/>
      <c r="LFF26" s="28"/>
      <c r="LFG26" s="28"/>
      <c r="LFH26" s="28"/>
      <c r="LFI26" s="28"/>
      <c r="LFJ26" s="28"/>
      <c r="LFK26" s="28"/>
      <c r="LFL26" s="28"/>
      <c r="LFM26" s="28"/>
      <c r="LFN26" s="28"/>
      <c r="LFO26" s="28"/>
      <c r="LFP26" s="28"/>
      <c r="LFQ26" s="28"/>
      <c r="LFR26" s="28"/>
      <c r="LFS26" s="28"/>
      <c r="LFT26" s="28"/>
      <c r="LFU26" s="28"/>
      <c r="LFV26" s="28"/>
      <c r="LFW26" s="28"/>
      <c r="LFX26" s="28"/>
      <c r="LFY26" s="28"/>
      <c r="LFZ26" s="28"/>
      <c r="LGA26" s="28"/>
      <c r="LGB26" s="28"/>
      <c r="LGC26" s="28"/>
      <c r="LGD26" s="28"/>
      <c r="LGE26" s="28"/>
      <c r="LGF26" s="28"/>
      <c r="LGG26" s="28"/>
      <c r="LGH26" s="28"/>
      <c r="LGI26" s="28"/>
      <c r="LGJ26" s="28"/>
      <c r="LGK26" s="28"/>
      <c r="LGL26" s="28"/>
      <c r="LGM26" s="28"/>
      <c r="LGN26" s="28"/>
      <c r="LGO26" s="28"/>
      <c r="LGP26" s="28"/>
      <c r="LGQ26" s="28"/>
      <c r="LGR26" s="28"/>
      <c r="LGS26" s="28"/>
      <c r="LGT26" s="28"/>
      <c r="LGU26" s="28"/>
      <c r="LGV26" s="28"/>
      <c r="LGW26" s="28"/>
      <c r="LGX26" s="28"/>
      <c r="LGY26" s="28"/>
      <c r="LGZ26" s="28"/>
      <c r="LHA26" s="28"/>
      <c r="LHB26" s="28"/>
      <c r="LHC26" s="28"/>
      <c r="LHD26" s="28"/>
      <c r="LHE26" s="28"/>
      <c r="LHF26" s="28"/>
      <c r="LHG26" s="28"/>
      <c r="LHH26" s="28"/>
      <c r="LHI26" s="28"/>
      <c r="LHJ26" s="28"/>
      <c r="LHK26" s="28"/>
      <c r="LHL26" s="28"/>
      <c r="LHM26" s="28"/>
      <c r="LHN26" s="28"/>
      <c r="LHO26" s="28"/>
      <c r="LHP26" s="28"/>
      <c r="LHQ26" s="28"/>
      <c r="LHR26" s="28"/>
      <c r="LHS26" s="28"/>
      <c r="LHT26" s="28"/>
      <c r="LHU26" s="28"/>
      <c r="LHV26" s="28"/>
      <c r="LHW26" s="28"/>
      <c r="LHX26" s="28"/>
      <c r="LHY26" s="28"/>
      <c r="LHZ26" s="28"/>
      <c r="LIA26" s="28"/>
      <c r="LIB26" s="28"/>
      <c r="LIC26" s="28"/>
      <c r="LID26" s="28"/>
      <c r="LIE26" s="28"/>
      <c r="LIF26" s="28"/>
      <c r="LIG26" s="28"/>
      <c r="LIH26" s="28"/>
      <c r="LII26" s="28"/>
      <c r="LIJ26" s="28"/>
      <c r="LIK26" s="28"/>
      <c r="LIL26" s="28"/>
      <c r="LIM26" s="28"/>
      <c r="LIN26" s="28"/>
      <c r="LIO26" s="28"/>
      <c r="LIP26" s="28"/>
      <c r="LIQ26" s="28"/>
      <c r="LIR26" s="28"/>
      <c r="LIS26" s="28"/>
      <c r="LIT26" s="28"/>
      <c r="LIU26" s="28"/>
      <c r="LIV26" s="28"/>
      <c r="LIW26" s="28"/>
      <c r="LIX26" s="28"/>
      <c r="LIY26" s="28"/>
      <c r="LIZ26" s="28"/>
      <c r="LJA26" s="28"/>
      <c r="LJB26" s="28"/>
      <c r="LJC26" s="28"/>
      <c r="LJD26" s="28"/>
      <c r="LJE26" s="28"/>
      <c r="LJF26" s="28"/>
      <c r="LJG26" s="28"/>
      <c r="LJH26" s="28"/>
      <c r="LJI26" s="28"/>
      <c r="LJJ26" s="28"/>
      <c r="LJK26" s="28"/>
      <c r="LJL26" s="28"/>
      <c r="LJM26" s="28"/>
      <c r="LJN26" s="28"/>
      <c r="LJO26" s="28"/>
      <c r="LJP26" s="28"/>
      <c r="LJQ26" s="28"/>
      <c r="LJR26" s="28"/>
      <c r="LJS26" s="28"/>
      <c r="LJT26" s="28"/>
      <c r="LJU26" s="28"/>
      <c r="LJV26" s="28"/>
      <c r="LJW26" s="28"/>
      <c r="LJX26" s="28"/>
      <c r="LJY26" s="28"/>
      <c r="LJZ26" s="28"/>
      <c r="LKA26" s="28"/>
      <c r="LKB26" s="28"/>
      <c r="LKC26" s="28"/>
      <c r="LKD26" s="28"/>
      <c r="LKE26" s="28"/>
      <c r="LKF26" s="28"/>
      <c r="LKG26" s="28"/>
      <c r="LKH26" s="28"/>
      <c r="LKI26" s="28"/>
      <c r="LKJ26" s="28"/>
      <c r="LKK26" s="28"/>
      <c r="LKL26" s="28"/>
      <c r="LKM26" s="28"/>
      <c r="LKN26" s="28"/>
      <c r="LKO26" s="28"/>
      <c r="LKP26" s="28"/>
      <c r="LKQ26" s="28"/>
      <c r="LKR26" s="28"/>
      <c r="LKS26" s="28"/>
      <c r="LKT26" s="28"/>
      <c r="LKU26" s="28"/>
      <c r="LKV26" s="28"/>
      <c r="LKW26" s="28"/>
      <c r="LKX26" s="28"/>
      <c r="LKY26" s="28"/>
      <c r="LKZ26" s="28"/>
      <c r="LLA26" s="28"/>
      <c r="LLB26" s="28"/>
      <c r="LLC26" s="28"/>
      <c r="LLD26" s="28"/>
      <c r="LLE26" s="28"/>
      <c r="LLF26" s="28"/>
      <c r="LLG26" s="28"/>
      <c r="LLH26" s="28"/>
      <c r="LLI26" s="28"/>
      <c r="LLJ26" s="28"/>
      <c r="LLK26" s="28"/>
      <c r="LLL26" s="28"/>
      <c r="LLM26" s="28"/>
      <c r="LLN26" s="28"/>
      <c r="LLO26" s="28"/>
      <c r="LLP26" s="28"/>
      <c r="LLQ26" s="28"/>
      <c r="LLR26" s="28"/>
      <c r="LLS26" s="28"/>
      <c r="LLT26" s="28"/>
      <c r="LLU26" s="28"/>
      <c r="LLV26" s="28"/>
      <c r="LLW26" s="28"/>
      <c r="LLX26" s="28"/>
      <c r="LLY26" s="28"/>
      <c r="LLZ26" s="28"/>
      <c r="LMA26" s="28"/>
      <c r="LMB26" s="28"/>
      <c r="LMC26" s="28"/>
      <c r="LMD26" s="28"/>
      <c r="LME26" s="28"/>
      <c r="LMF26" s="28"/>
      <c r="LMG26" s="28"/>
      <c r="LMH26" s="28"/>
      <c r="LMI26" s="28"/>
      <c r="LMJ26" s="28"/>
      <c r="LMK26" s="28"/>
      <c r="LML26" s="28"/>
      <c r="LMM26" s="28"/>
      <c r="LMN26" s="28"/>
      <c r="LMO26" s="28"/>
      <c r="LMP26" s="28"/>
      <c r="LMQ26" s="28"/>
      <c r="LMR26" s="28"/>
      <c r="LMS26" s="28"/>
      <c r="LMT26" s="28"/>
      <c r="LMU26" s="28"/>
      <c r="LMV26" s="28"/>
      <c r="LMW26" s="28"/>
      <c r="LMX26" s="28"/>
      <c r="LMY26" s="28"/>
      <c r="LMZ26" s="28"/>
      <c r="LNA26" s="28"/>
      <c r="LNB26" s="28"/>
      <c r="LNC26" s="28"/>
      <c r="LND26" s="28"/>
      <c r="LNE26" s="28"/>
      <c r="LNF26" s="28"/>
      <c r="LNG26" s="28"/>
      <c r="LNH26" s="28"/>
      <c r="LNI26" s="28"/>
      <c r="LNJ26" s="28"/>
      <c r="LNK26" s="28"/>
      <c r="LNL26" s="28"/>
      <c r="LNM26" s="28"/>
      <c r="LNN26" s="28"/>
      <c r="LNO26" s="28"/>
      <c r="LNP26" s="28"/>
      <c r="LNQ26" s="28"/>
      <c r="LNR26" s="28"/>
      <c r="LNS26" s="28"/>
      <c r="LNT26" s="28"/>
      <c r="LNU26" s="28"/>
      <c r="LNV26" s="28"/>
      <c r="LNW26" s="28"/>
      <c r="LNX26" s="28"/>
      <c r="LNY26" s="28"/>
      <c r="LNZ26" s="28"/>
      <c r="LOA26" s="28"/>
      <c r="LOB26" s="28"/>
      <c r="LOC26" s="28"/>
      <c r="LOD26" s="28"/>
      <c r="LOE26" s="28"/>
      <c r="LOF26" s="28"/>
      <c r="LOG26" s="28"/>
      <c r="LOH26" s="28"/>
      <c r="LOI26" s="28"/>
      <c r="LOJ26" s="28"/>
      <c r="LOK26" s="28"/>
      <c r="LOL26" s="28"/>
      <c r="LOM26" s="28"/>
      <c r="LON26" s="28"/>
      <c r="LOO26" s="28"/>
      <c r="LOP26" s="28"/>
      <c r="LOQ26" s="28"/>
      <c r="LOR26" s="28"/>
      <c r="LOS26" s="28"/>
      <c r="LOT26" s="28"/>
      <c r="LOU26" s="28"/>
      <c r="LOV26" s="28"/>
      <c r="LOW26" s="28"/>
      <c r="LOX26" s="28"/>
      <c r="LOY26" s="28"/>
      <c r="LOZ26" s="28"/>
      <c r="LPA26" s="28"/>
      <c r="LPB26" s="28"/>
      <c r="LPC26" s="28"/>
      <c r="LPD26" s="28"/>
      <c r="LPE26" s="28"/>
      <c r="LPF26" s="28"/>
      <c r="LPG26" s="28"/>
      <c r="LPH26" s="28"/>
      <c r="LPI26" s="28"/>
      <c r="LPJ26" s="28"/>
      <c r="LPK26" s="28"/>
      <c r="LPL26" s="28"/>
      <c r="LPM26" s="28"/>
      <c r="LPN26" s="28"/>
      <c r="LPO26" s="28"/>
      <c r="LPP26" s="28"/>
      <c r="LPQ26" s="28"/>
      <c r="LPR26" s="28"/>
      <c r="LPS26" s="28"/>
      <c r="LPT26" s="28"/>
      <c r="LPU26" s="28"/>
      <c r="LPV26" s="28"/>
      <c r="LPW26" s="28"/>
      <c r="LPX26" s="28"/>
      <c r="LPY26" s="28"/>
      <c r="LPZ26" s="28"/>
      <c r="LQA26" s="28"/>
      <c r="LQB26" s="28"/>
      <c r="LQC26" s="28"/>
      <c r="LQD26" s="28"/>
      <c r="LQE26" s="28"/>
      <c r="LQF26" s="28"/>
      <c r="LQG26" s="28"/>
      <c r="LQH26" s="28"/>
      <c r="LQI26" s="28"/>
      <c r="LQJ26" s="28"/>
      <c r="LQK26" s="28"/>
      <c r="LQL26" s="28"/>
      <c r="LQM26" s="28"/>
      <c r="LQN26" s="28"/>
      <c r="LQO26" s="28"/>
      <c r="LQP26" s="28"/>
      <c r="LQQ26" s="28"/>
      <c r="LQR26" s="28"/>
      <c r="LQS26" s="28"/>
      <c r="LQT26" s="28"/>
      <c r="LQU26" s="28"/>
      <c r="LQV26" s="28"/>
      <c r="LQW26" s="28"/>
      <c r="LQX26" s="28"/>
      <c r="LQY26" s="28"/>
      <c r="LQZ26" s="28"/>
      <c r="LRA26" s="28"/>
      <c r="LRB26" s="28"/>
      <c r="LRC26" s="28"/>
      <c r="LRD26" s="28"/>
      <c r="LRE26" s="28"/>
      <c r="LRF26" s="28"/>
      <c r="LRG26" s="28"/>
      <c r="LRH26" s="28"/>
      <c r="LRI26" s="28"/>
      <c r="LRJ26" s="28"/>
      <c r="LRK26" s="28"/>
      <c r="LRL26" s="28"/>
      <c r="LRM26" s="28"/>
      <c r="LRN26" s="28"/>
      <c r="LRO26" s="28"/>
      <c r="LRP26" s="28"/>
      <c r="LRQ26" s="28"/>
      <c r="LRR26" s="28"/>
      <c r="LRS26" s="28"/>
      <c r="LRT26" s="28"/>
      <c r="LRU26" s="28"/>
      <c r="LRV26" s="28"/>
      <c r="LRW26" s="28"/>
      <c r="LRX26" s="28"/>
      <c r="LRY26" s="28"/>
      <c r="LRZ26" s="28"/>
      <c r="LSA26" s="28"/>
      <c r="LSB26" s="28"/>
      <c r="LSC26" s="28"/>
      <c r="LSD26" s="28"/>
      <c r="LSE26" s="28"/>
      <c r="LSF26" s="28"/>
      <c r="LSG26" s="28"/>
      <c r="LSH26" s="28"/>
      <c r="LSI26" s="28"/>
      <c r="LSJ26" s="28"/>
      <c r="LSK26" s="28"/>
      <c r="LSL26" s="28"/>
      <c r="LSM26" s="28"/>
      <c r="LSN26" s="28"/>
      <c r="LSO26" s="28"/>
      <c r="LSP26" s="28"/>
      <c r="LSQ26" s="28"/>
      <c r="LSR26" s="28"/>
      <c r="LSS26" s="28"/>
      <c r="LST26" s="28"/>
      <c r="LSU26" s="28"/>
      <c r="LSV26" s="28"/>
      <c r="LSW26" s="28"/>
      <c r="LSX26" s="28"/>
      <c r="LSY26" s="28"/>
      <c r="LSZ26" s="28"/>
      <c r="LTA26" s="28"/>
      <c r="LTB26" s="28"/>
      <c r="LTC26" s="28"/>
      <c r="LTD26" s="28"/>
      <c r="LTE26" s="28"/>
      <c r="LTF26" s="28"/>
      <c r="LTG26" s="28"/>
      <c r="LTH26" s="28"/>
      <c r="LTI26" s="28"/>
      <c r="LTJ26" s="28"/>
      <c r="LTK26" s="28"/>
      <c r="LTL26" s="28"/>
      <c r="LTM26" s="28"/>
      <c r="LTN26" s="28"/>
      <c r="LTO26" s="28"/>
      <c r="LTP26" s="28"/>
      <c r="LTQ26" s="28"/>
      <c r="LTR26" s="28"/>
      <c r="LTS26" s="28"/>
      <c r="LTT26" s="28"/>
      <c r="LTU26" s="28"/>
      <c r="LTV26" s="28"/>
      <c r="LTW26" s="28"/>
      <c r="LTX26" s="28"/>
      <c r="LTY26" s="28"/>
      <c r="LTZ26" s="28"/>
      <c r="LUA26" s="28"/>
      <c r="LUB26" s="28"/>
      <c r="LUC26" s="28"/>
      <c r="LUD26" s="28"/>
      <c r="LUE26" s="28"/>
      <c r="LUF26" s="28"/>
      <c r="LUG26" s="28"/>
      <c r="LUH26" s="28"/>
      <c r="LUI26" s="28"/>
      <c r="LUJ26" s="28"/>
      <c r="LUK26" s="28"/>
      <c r="LUL26" s="28"/>
      <c r="LUM26" s="28"/>
      <c r="LUN26" s="28"/>
      <c r="LUO26" s="28"/>
      <c r="LUP26" s="28"/>
      <c r="LUQ26" s="28"/>
      <c r="LUR26" s="28"/>
      <c r="LUS26" s="28"/>
      <c r="LUT26" s="28"/>
      <c r="LUU26" s="28"/>
      <c r="LUV26" s="28"/>
      <c r="LUW26" s="28"/>
      <c r="LUX26" s="28"/>
      <c r="LUY26" s="28"/>
      <c r="LUZ26" s="28"/>
      <c r="LVA26" s="28"/>
      <c r="LVB26" s="28"/>
      <c r="LVC26" s="28"/>
      <c r="LVD26" s="28"/>
      <c r="LVE26" s="28"/>
      <c r="LVF26" s="28"/>
      <c r="LVG26" s="28"/>
      <c r="LVH26" s="28"/>
      <c r="LVI26" s="28"/>
      <c r="LVJ26" s="28"/>
      <c r="LVK26" s="28"/>
      <c r="LVL26" s="28"/>
      <c r="LVM26" s="28"/>
      <c r="LVN26" s="28"/>
      <c r="LVO26" s="28"/>
      <c r="LVP26" s="28"/>
      <c r="LVQ26" s="28"/>
      <c r="LVR26" s="28"/>
      <c r="LVS26" s="28"/>
      <c r="LVT26" s="28"/>
      <c r="LVU26" s="28"/>
      <c r="LVV26" s="28"/>
      <c r="LVW26" s="28"/>
      <c r="LVX26" s="28"/>
      <c r="LVY26" s="28"/>
      <c r="LVZ26" s="28"/>
      <c r="LWA26" s="28"/>
      <c r="LWB26" s="28"/>
      <c r="LWC26" s="28"/>
      <c r="LWD26" s="28"/>
      <c r="LWE26" s="28"/>
      <c r="LWF26" s="28"/>
      <c r="LWG26" s="28"/>
      <c r="LWH26" s="28"/>
      <c r="LWI26" s="28"/>
      <c r="LWJ26" s="28"/>
      <c r="LWK26" s="28"/>
      <c r="LWL26" s="28"/>
      <c r="LWM26" s="28"/>
      <c r="LWN26" s="28"/>
      <c r="LWO26" s="28"/>
      <c r="LWP26" s="28"/>
      <c r="LWQ26" s="28"/>
      <c r="LWR26" s="28"/>
      <c r="LWS26" s="28"/>
      <c r="LWT26" s="28"/>
      <c r="LWU26" s="28"/>
      <c r="LWV26" s="28"/>
      <c r="LWW26" s="28"/>
      <c r="LWX26" s="28"/>
      <c r="LWY26" s="28"/>
      <c r="LWZ26" s="28"/>
      <c r="LXA26" s="28"/>
      <c r="LXB26" s="28"/>
      <c r="LXC26" s="28"/>
      <c r="LXD26" s="28"/>
      <c r="LXE26" s="28"/>
      <c r="LXF26" s="28"/>
      <c r="LXG26" s="28"/>
      <c r="LXH26" s="28"/>
      <c r="LXI26" s="28"/>
      <c r="LXJ26" s="28"/>
      <c r="LXK26" s="28"/>
      <c r="LXL26" s="28"/>
      <c r="LXM26" s="28"/>
      <c r="LXN26" s="28"/>
      <c r="LXO26" s="28"/>
      <c r="LXP26" s="28"/>
      <c r="LXQ26" s="28"/>
      <c r="LXR26" s="28"/>
      <c r="LXS26" s="28"/>
      <c r="LXT26" s="28"/>
      <c r="LXU26" s="28"/>
      <c r="LXV26" s="28"/>
      <c r="LXW26" s="28"/>
      <c r="LXX26" s="28"/>
      <c r="LXY26" s="28"/>
      <c r="LXZ26" s="28"/>
      <c r="LYA26" s="28"/>
      <c r="LYB26" s="28"/>
      <c r="LYC26" s="28"/>
      <c r="LYD26" s="28"/>
      <c r="LYE26" s="28"/>
      <c r="LYF26" s="28"/>
      <c r="LYG26" s="28"/>
      <c r="LYH26" s="28"/>
      <c r="LYI26" s="28"/>
      <c r="LYJ26" s="28"/>
      <c r="LYK26" s="28"/>
      <c r="LYL26" s="28"/>
      <c r="LYM26" s="28"/>
      <c r="LYN26" s="28"/>
      <c r="LYO26" s="28"/>
      <c r="LYP26" s="28"/>
      <c r="LYQ26" s="28"/>
      <c r="LYR26" s="28"/>
      <c r="LYS26" s="28"/>
      <c r="LYT26" s="28"/>
      <c r="LYU26" s="28"/>
      <c r="LYV26" s="28"/>
      <c r="LYW26" s="28"/>
      <c r="LYX26" s="28"/>
      <c r="LYY26" s="28"/>
      <c r="LYZ26" s="28"/>
      <c r="LZA26" s="28"/>
      <c r="LZB26" s="28"/>
      <c r="LZC26" s="28"/>
      <c r="LZD26" s="28"/>
      <c r="LZE26" s="28"/>
      <c r="LZF26" s="28"/>
      <c r="LZG26" s="28"/>
      <c r="LZH26" s="28"/>
      <c r="LZI26" s="28"/>
      <c r="LZJ26" s="28"/>
      <c r="LZK26" s="28"/>
      <c r="LZL26" s="28"/>
      <c r="LZM26" s="28"/>
      <c r="LZN26" s="28"/>
      <c r="LZO26" s="28"/>
      <c r="LZP26" s="28"/>
      <c r="LZQ26" s="28"/>
      <c r="LZR26" s="28"/>
      <c r="LZS26" s="28"/>
      <c r="LZT26" s="28"/>
      <c r="LZU26" s="28"/>
      <c r="LZV26" s="28"/>
      <c r="LZW26" s="28"/>
      <c r="LZX26" s="28"/>
      <c r="LZY26" s="28"/>
      <c r="LZZ26" s="28"/>
      <c r="MAA26" s="28"/>
      <c r="MAB26" s="28"/>
      <c r="MAC26" s="28"/>
      <c r="MAD26" s="28"/>
      <c r="MAE26" s="28"/>
      <c r="MAF26" s="28"/>
      <c r="MAG26" s="28"/>
      <c r="MAH26" s="28"/>
      <c r="MAI26" s="28"/>
      <c r="MAJ26" s="28"/>
      <c r="MAK26" s="28"/>
      <c r="MAL26" s="28"/>
      <c r="MAM26" s="28"/>
      <c r="MAN26" s="28"/>
      <c r="MAO26" s="28"/>
      <c r="MAP26" s="28"/>
      <c r="MAQ26" s="28"/>
      <c r="MAR26" s="28"/>
      <c r="MAS26" s="28"/>
      <c r="MAT26" s="28"/>
      <c r="MAU26" s="28"/>
      <c r="MAV26" s="28"/>
      <c r="MAW26" s="28"/>
      <c r="MAX26" s="28"/>
      <c r="MAY26" s="28"/>
      <c r="MAZ26" s="28"/>
      <c r="MBA26" s="28"/>
      <c r="MBB26" s="28"/>
      <c r="MBC26" s="28"/>
      <c r="MBD26" s="28"/>
      <c r="MBE26" s="28"/>
      <c r="MBF26" s="28"/>
      <c r="MBG26" s="28"/>
      <c r="MBH26" s="28"/>
      <c r="MBI26" s="28"/>
      <c r="MBJ26" s="28"/>
      <c r="MBK26" s="28"/>
      <c r="MBL26" s="28"/>
      <c r="MBM26" s="28"/>
      <c r="MBN26" s="28"/>
      <c r="MBO26" s="28"/>
      <c r="MBP26" s="28"/>
      <c r="MBQ26" s="28"/>
      <c r="MBR26" s="28"/>
      <c r="MBS26" s="28"/>
      <c r="MBT26" s="28"/>
      <c r="MBU26" s="28"/>
      <c r="MBV26" s="28"/>
      <c r="MBW26" s="28"/>
      <c r="MBX26" s="28"/>
      <c r="MBY26" s="28"/>
      <c r="MBZ26" s="28"/>
      <c r="MCA26" s="28"/>
      <c r="MCB26" s="28"/>
      <c r="MCC26" s="28"/>
      <c r="MCD26" s="28"/>
      <c r="MCE26" s="28"/>
      <c r="MCF26" s="28"/>
      <c r="MCG26" s="28"/>
      <c r="MCH26" s="28"/>
      <c r="MCI26" s="28"/>
      <c r="MCJ26" s="28"/>
      <c r="MCK26" s="28"/>
      <c r="MCL26" s="28"/>
      <c r="MCM26" s="28"/>
      <c r="MCN26" s="28"/>
      <c r="MCO26" s="28"/>
      <c r="MCP26" s="28"/>
      <c r="MCQ26" s="28"/>
      <c r="MCR26" s="28"/>
      <c r="MCS26" s="28"/>
      <c r="MCT26" s="28"/>
      <c r="MCU26" s="28"/>
      <c r="MCV26" s="28"/>
      <c r="MCW26" s="28"/>
      <c r="MCX26" s="28"/>
      <c r="MCY26" s="28"/>
      <c r="MCZ26" s="28"/>
      <c r="MDA26" s="28"/>
      <c r="MDB26" s="28"/>
      <c r="MDC26" s="28"/>
      <c r="MDD26" s="28"/>
      <c r="MDE26" s="28"/>
      <c r="MDF26" s="28"/>
      <c r="MDG26" s="28"/>
      <c r="MDH26" s="28"/>
      <c r="MDI26" s="28"/>
      <c r="MDJ26" s="28"/>
      <c r="MDK26" s="28"/>
      <c r="MDL26" s="28"/>
      <c r="MDM26" s="28"/>
      <c r="MDN26" s="28"/>
      <c r="MDO26" s="28"/>
      <c r="MDP26" s="28"/>
      <c r="MDQ26" s="28"/>
      <c r="MDR26" s="28"/>
      <c r="MDS26" s="28"/>
      <c r="MDT26" s="28"/>
      <c r="MDU26" s="28"/>
      <c r="MDV26" s="28"/>
      <c r="MDW26" s="28"/>
      <c r="MDX26" s="28"/>
      <c r="MDY26" s="28"/>
      <c r="MDZ26" s="28"/>
      <c r="MEA26" s="28"/>
      <c r="MEB26" s="28"/>
      <c r="MEC26" s="28"/>
      <c r="MED26" s="28"/>
      <c r="MEE26" s="28"/>
      <c r="MEF26" s="28"/>
      <c r="MEG26" s="28"/>
      <c r="MEH26" s="28"/>
      <c r="MEI26" s="28"/>
      <c r="MEJ26" s="28"/>
      <c r="MEK26" s="28"/>
      <c r="MEL26" s="28"/>
      <c r="MEM26" s="28"/>
      <c r="MEN26" s="28"/>
      <c r="MEO26" s="28"/>
      <c r="MEP26" s="28"/>
      <c r="MEQ26" s="28"/>
      <c r="MER26" s="28"/>
      <c r="MES26" s="28"/>
      <c r="MET26" s="28"/>
      <c r="MEU26" s="28"/>
      <c r="MEV26" s="28"/>
      <c r="MEW26" s="28"/>
      <c r="MEX26" s="28"/>
      <c r="MEY26" s="28"/>
      <c r="MEZ26" s="28"/>
      <c r="MFA26" s="28"/>
      <c r="MFB26" s="28"/>
      <c r="MFC26" s="28"/>
      <c r="MFD26" s="28"/>
      <c r="MFE26" s="28"/>
      <c r="MFF26" s="28"/>
      <c r="MFG26" s="28"/>
      <c r="MFH26" s="28"/>
      <c r="MFI26" s="28"/>
      <c r="MFJ26" s="28"/>
      <c r="MFK26" s="28"/>
      <c r="MFL26" s="28"/>
      <c r="MFM26" s="28"/>
      <c r="MFN26" s="28"/>
      <c r="MFO26" s="28"/>
      <c r="MFP26" s="28"/>
      <c r="MFQ26" s="28"/>
      <c r="MFR26" s="28"/>
      <c r="MFS26" s="28"/>
      <c r="MFT26" s="28"/>
      <c r="MFU26" s="28"/>
      <c r="MFV26" s="28"/>
      <c r="MFW26" s="28"/>
      <c r="MFX26" s="28"/>
      <c r="MFY26" s="28"/>
      <c r="MFZ26" s="28"/>
      <c r="MGA26" s="28"/>
      <c r="MGB26" s="28"/>
      <c r="MGC26" s="28"/>
      <c r="MGD26" s="28"/>
      <c r="MGE26" s="28"/>
      <c r="MGF26" s="28"/>
      <c r="MGG26" s="28"/>
      <c r="MGH26" s="28"/>
      <c r="MGI26" s="28"/>
      <c r="MGJ26" s="28"/>
      <c r="MGK26" s="28"/>
      <c r="MGL26" s="28"/>
      <c r="MGM26" s="28"/>
      <c r="MGN26" s="28"/>
      <c r="MGO26" s="28"/>
      <c r="MGP26" s="28"/>
      <c r="MGQ26" s="28"/>
      <c r="MGR26" s="28"/>
      <c r="MGS26" s="28"/>
      <c r="MGT26" s="28"/>
      <c r="MGU26" s="28"/>
      <c r="MGV26" s="28"/>
      <c r="MGW26" s="28"/>
      <c r="MGX26" s="28"/>
      <c r="MGY26" s="28"/>
      <c r="MGZ26" s="28"/>
      <c r="MHA26" s="28"/>
      <c r="MHB26" s="28"/>
      <c r="MHC26" s="28"/>
      <c r="MHD26" s="28"/>
      <c r="MHE26" s="28"/>
      <c r="MHF26" s="28"/>
      <c r="MHG26" s="28"/>
      <c r="MHH26" s="28"/>
      <c r="MHI26" s="28"/>
      <c r="MHJ26" s="28"/>
      <c r="MHK26" s="28"/>
      <c r="MHL26" s="28"/>
      <c r="MHM26" s="28"/>
      <c r="MHN26" s="28"/>
      <c r="MHO26" s="28"/>
      <c r="MHP26" s="28"/>
      <c r="MHQ26" s="28"/>
      <c r="MHR26" s="28"/>
      <c r="MHS26" s="28"/>
      <c r="MHT26" s="28"/>
      <c r="MHU26" s="28"/>
      <c r="MHV26" s="28"/>
      <c r="MHW26" s="28"/>
      <c r="MHX26" s="28"/>
      <c r="MHY26" s="28"/>
      <c r="MHZ26" s="28"/>
      <c r="MIA26" s="28"/>
      <c r="MIB26" s="28"/>
      <c r="MIC26" s="28"/>
      <c r="MID26" s="28"/>
      <c r="MIE26" s="28"/>
      <c r="MIF26" s="28"/>
      <c r="MIG26" s="28"/>
      <c r="MIH26" s="28"/>
      <c r="MII26" s="28"/>
      <c r="MIJ26" s="28"/>
      <c r="MIK26" s="28"/>
      <c r="MIL26" s="28"/>
      <c r="MIM26" s="28"/>
      <c r="MIN26" s="28"/>
      <c r="MIO26" s="28"/>
      <c r="MIP26" s="28"/>
      <c r="MIQ26" s="28"/>
      <c r="MIR26" s="28"/>
      <c r="MIS26" s="28"/>
      <c r="MIT26" s="28"/>
      <c r="MIU26" s="28"/>
      <c r="MIV26" s="28"/>
      <c r="MIW26" s="28"/>
      <c r="MIX26" s="28"/>
      <c r="MIY26" s="28"/>
      <c r="MIZ26" s="28"/>
      <c r="MJA26" s="28"/>
      <c r="MJB26" s="28"/>
      <c r="MJC26" s="28"/>
      <c r="MJD26" s="28"/>
      <c r="MJE26" s="28"/>
      <c r="MJF26" s="28"/>
      <c r="MJG26" s="28"/>
      <c r="MJH26" s="28"/>
      <c r="MJI26" s="28"/>
      <c r="MJJ26" s="28"/>
      <c r="MJK26" s="28"/>
      <c r="MJL26" s="28"/>
      <c r="MJM26" s="28"/>
      <c r="MJN26" s="28"/>
      <c r="MJO26" s="28"/>
      <c r="MJP26" s="28"/>
      <c r="MJQ26" s="28"/>
      <c r="MJR26" s="28"/>
      <c r="MJS26" s="28"/>
      <c r="MJT26" s="28"/>
      <c r="MJU26" s="28"/>
      <c r="MJV26" s="28"/>
      <c r="MJW26" s="28"/>
      <c r="MJX26" s="28"/>
      <c r="MJY26" s="28"/>
      <c r="MJZ26" s="28"/>
      <c r="MKA26" s="28"/>
      <c r="MKB26" s="28"/>
      <c r="MKC26" s="28"/>
      <c r="MKD26" s="28"/>
      <c r="MKE26" s="28"/>
      <c r="MKF26" s="28"/>
      <c r="MKG26" s="28"/>
      <c r="MKH26" s="28"/>
      <c r="MKI26" s="28"/>
      <c r="MKJ26" s="28"/>
      <c r="MKK26" s="28"/>
      <c r="MKL26" s="28"/>
      <c r="MKM26" s="28"/>
      <c r="MKN26" s="28"/>
      <c r="MKO26" s="28"/>
      <c r="MKP26" s="28"/>
      <c r="MKQ26" s="28"/>
      <c r="MKR26" s="28"/>
      <c r="MKS26" s="28"/>
      <c r="MKT26" s="28"/>
      <c r="MKU26" s="28"/>
      <c r="MKV26" s="28"/>
      <c r="MKW26" s="28"/>
      <c r="MKX26" s="28"/>
      <c r="MKY26" s="28"/>
      <c r="MKZ26" s="28"/>
      <c r="MLA26" s="28"/>
      <c r="MLB26" s="28"/>
      <c r="MLC26" s="28"/>
      <c r="MLD26" s="28"/>
      <c r="MLE26" s="28"/>
      <c r="MLF26" s="28"/>
      <c r="MLG26" s="28"/>
      <c r="MLH26" s="28"/>
      <c r="MLI26" s="28"/>
      <c r="MLJ26" s="28"/>
      <c r="MLK26" s="28"/>
      <c r="MLL26" s="28"/>
      <c r="MLM26" s="28"/>
      <c r="MLN26" s="28"/>
      <c r="MLO26" s="28"/>
      <c r="MLP26" s="28"/>
      <c r="MLQ26" s="28"/>
      <c r="MLR26" s="28"/>
      <c r="MLS26" s="28"/>
      <c r="MLT26" s="28"/>
      <c r="MLU26" s="28"/>
      <c r="MLV26" s="28"/>
      <c r="MLW26" s="28"/>
      <c r="MLX26" s="28"/>
      <c r="MLY26" s="28"/>
      <c r="MLZ26" s="28"/>
      <c r="MMA26" s="28"/>
      <c r="MMB26" s="28"/>
      <c r="MMC26" s="28"/>
      <c r="MMD26" s="28"/>
      <c r="MME26" s="28"/>
      <c r="MMF26" s="28"/>
      <c r="MMG26" s="28"/>
      <c r="MMH26" s="28"/>
      <c r="MMI26" s="28"/>
      <c r="MMJ26" s="28"/>
      <c r="MMK26" s="28"/>
      <c r="MML26" s="28"/>
      <c r="MMM26" s="28"/>
      <c r="MMN26" s="28"/>
      <c r="MMO26" s="28"/>
      <c r="MMP26" s="28"/>
      <c r="MMQ26" s="28"/>
      <c r="MMR26" s="28"/>
      <c r="MMS26" s="28"/>
      <c r="MMT26" s="28"/>
      <c r="MMU26" s="28"/>
      <c r="MMV26" s="28"/>
      <c r="MMW26" s="28"/>
      <c r="MMX26" s="28"/>
      <c r="MMY26" s="28"/>
      <c r="MMZ26" s="28"/>
      <c r="MNA26" s="28"/>
      <c r="MNB26" s="28"/>
      <c r="MNC26" s="28"/>
      <c r="MND26" s="28"/>
      <c r="MNE26" s="28"/>
      <c r="MNF26" s="28"/>
      <c r="MNG26" s="28"/>
      <c r="MNH26" s="28"/>
      <c r="MNI26" s="28"/>
      <c r="MNJ26" s="28"/>
      <c r="MNK26" s="28"/>
      <c r="MNL26" s="28"/>
      <c r="MNM26" s="28"/>
      <c r="MNN26" s="28"/>
      <c r="MNO26" s="28"/>
      <c r="MNP26" s="28"/>
      <c r="MNQ26" s="28"/>
      <c r="MNR26" s="28"/>
      <c r="MNS26" s="28"/>
      <c r="MNT26" s="28"/>
      <c r="MNU26" s="28"/>
      <c r="MNV26" s="28"/>
      <c r="MNW26" s="28"/>
      <c r="MNX26" s="28"/>
      <c r="MNY26" s="28"/>
      <c r="MNZ26" s="28"/>
      <c r="MOA26" s="28"/>
      <c r="MOB26" s="28"/>
      <c r="MOC26" s="28"/>
      <c r="MOD26" s="28"/>
      <c r="MOE26" s="28"/>
      <c r="MOF26" s="28"/>
      <c r="MOG26" s="28"/>
      <c r="MOH26" s="28"/>
      <c r="MOI26" s="28"/>
      <c r="MOJ26" s="28"/>
      <c r="MOK26" s="28"/>
      <c r="MOL26" s="28"/>
      <c r="MOM26" s="28"/>
      <c r="MON26" s="28"/>
      <c r="MOO26" s="28"/>
      <c r="MOP26" s="28"/>
      <c r="MOQ26" s="28"/>
      <c r="MOR26" s="28"/>
      <c r="MOS26" s="28"/>
      <c r="MOT26" s="28"/>
      <c r="MOU26" s="28"/>
      <c r="MOV26" s="28"/>
      <c r="MOW26" s="28"/>
      <c r="MOX26" s="28"/>
      <c r="MOY26" s="28"/>
      <c r="MOZ26" s="28"/>
      <c r="MPA26" s="28"/>
      <c r="MPB26" s="28"/>
      <c r="MPC26" s="28"/>
      <c r="MPD26" s="28"/>
      <c r="MPE26" s="28"/>
      <c r="MPF26" s="28"/>
      <c r="MPG26" s="28"/>
      <c r="MPH26" s="28"/>
      <c r="MPI26" s="28"/>
      <c r="MPJ26" s="28"/>
      <c r="MPK26" s="28"/>
      <c r="MPL26" s="28"/>
      <c r="MPM26" s="28"/>
      <c r="MPN26" s="28"/>
      <c r="MPO26" s="28"/>
      <c r="MPP26" s="28"/>
      <c r="MPQ26" s="28"/>
      <c r="MPR26" s="28"/>
      <c r="MPS26" s="28"/>
      <c r="MPT26" s="28"/>
      <c r="MPU26" s="28"/>
      <c r="MPV26" s="28"/>
      <c r="MPW26" s="28"/>
      <c r="MPX26" s="28"/>
      <c r="MPY26" s="28"/>
      <c r="MPZ26" s="28"/>
      <c r="MQA26" s="28"/>
      <c r="MQB26" s="28"/>
      <c r="MQC26" s="28"/>
      <c r="MQD26" s="28"/>
      <c r="MQE26" s="28"/>
      <c r="MQF26" s="28"/>
      <c r="MQG26" s="28"/>
      <c r="MQH26" s="28"/>
      <c r="MQI26" s="28"/>
      <c r="MQJ26" s="28"/>
      <c r="MQK26" s="28"/>
      <c r="MQL26" s="28"/>
      <c r="MQM26" s="28"/>
      <c r="MQN26" s="28"/>
      <c r="MQO26" s="28"/>
      <c r="MQP26" s="28"/>
      <c r="MQQ26" s="28"/>
      <c r="MQR26" s="28"/>
      <c r="MQS26" s="28"/>
      <c r="MQT26" s="28"/>
      <c r="MQU26" s="28"/>
      <c r="MQV26" s="28"/>
      <c r="MQW26" s="28"/>
      <c r="MQX26" s="28"/>
      <c r="MQY26" s="28"/>
      <c r="MQZ26" s="28"/>
      <c r="MRA26" s="28"/>
      <c r="MRB26" s="28"/>
      <c r="MRC26" s="28"/>
      <c r="MRD26" s="28"/>
      <c r="MRE26" s="28"/>
      <c r="MRF26" s="28"/>
      <c r="MRG26" s="28"/>
      <c r="MRH26" s="28"/>
      <c r="MRI26" s="28"/>
      <c r="MRJ26" s="28"/>
      <c r="MRK26" s="28"/>
      <c r="MRL26" s="28"/>
      <c r="MRM26" s="28"/>
      <c r="MRN26" s="28"/>
      <c r="MRO26" s="28"/>
      <c r="MRP26" s="28"/>
      <c r="MRQ26" s="28"/>
      <c r="MRR26" s="28"/>
      <c r="MRS26" s="28"/>
      <c r="MRT26" s="28"/>
      <c r="MRU26" s="28"/>
      <c r="MRV26" s="28"/>
      <c r="MRW26" s="28"/>
      <c r="MRX26" s="28"/>
      <c r="MRY26" s="28"/>
      <c r="MRZ26" s="28"/>
      <c r="MSA26" s="28"/>
      <c r="MSB26" s="28"/>
      <c r="MSC26" s="28"/>
      <c r="MSD26" s="28"/>
      <c r="MSE26" s="28"/>
      <c r="MSF26" s="28"/>
      <c r="MSG26" s="28"/>
      <c r="MSH26" s="28"/>
      <c r="MSI26" s="28"/>
      <c r="MSJ26" s="28"/>
      <c r="MSK26" s="28"/>
      <c r="MSL26" s="28"/>
      <c r="MSM26" s="28"/>
      <c r="MSN26" s="28"/>
      <c r="MSO26" s="28"/>
      <c r="MSP26" s="28"/>
      <c r="MSQ26" s="28"/>
      <c r="MSR26" s="28"/>
      <c r="MSS26" s="28"/>
      <c r="MST26" s="28"/>
      <c r="MSU26" s="28"/>
      <c r="MSV26" s="28"/>
      <c r="MSW26" s="28"/>
      <c r="MSX26" s="28"/>
      <c r="MSY26" s="28"/>
      <c r="MSZ26" s="28"/>
      <c r="MTA26" s="28"/>
      <c r="MTB26" s="28"/>
      <c r="MTC26" s="28"/>
      <c r="MTD26" s="28"/>
      <c r="MTE26" s="28"/>
      <c r="MTF26" s="28"/>
      <c r="MTG26" s="28"/>
      <c r="MTH26" s="28"/>
      <c r="MTI26" s="28"/>
      <c r="MTJ26" s="28"/>
      <c r="MTK26" s="28"/>
      <c r="MTL26" s="28"/>
      <c r="MTM26" s="28"/>
      <c r="MTN26" s="28"/>
      <c r="MTO26" s="28"/>
      <c r="MTP26" s="28"/>
      <c r="MTQ26" s="28"/>
      <c r="MTR26" s="28"/>
      <c r="MTS26" s="28"/>
      <c r="MTT26" s="28"/>
      <c r="MTU26" s="28"/>
      <c r="MTV26" s="28"/>
      <c r="MTW26" s="28"/>
      <c r="MTX26" s="28"/>
      <c r="MTY26" s="28"/>
      <c r="MTZ26" s="28"/>
      <c r="MUA26" s="28"/>
      <c r="MUB26" s="28"/>
      <c r="MUC26" s="28"/>
      <c r="MUD26" s="28"/>
      <c r="MUE26" s="28"/>
      <c r="MUF26" s="28"/>
      <c r="MUG26" s="28"/>
      <c r="MUH26" s="28"/>
      <c r="MUI26" s="28"/>
      <c r="MUJ26" s="28"/>
      <c r="MUK26" s="28"/>
      <c r="MUL26" s="28"/>
      <c r="MUM26" s="28"/>
      <c r="MUN26" s="28"/>
      <c r="MUO26" s="28"/>
      <c r="MUP26" s="28"/>
      <c r="MUQ26" s="28"/>
      <c r="MUR26" s="28"/>
      <c r="MUS26" s="28"/>
      <c r="MUT26" s="28"/>
      <c r="MUU26" s="28"/>
      <c r="MUV26" s="28"/>
      <c r="MUW26" s="28"/>
      <c r="MUX26" s="28"/>
      <c r="MUY26" s="28"/>
      <c r="MUZ26" s="28"/>
      <c r="MVA26" s="28"/>
      <c r="MVB26" s="28"/>
      <c r="MVC26" s="28"/>
      <c r="MVD26" s="28"/>
      <c r="MVE26" s="28"/>
      <c r="MVF26" s="28"/>
      <c r="MVG26" s="28"/>
      <c r="MVH26" s="28"/>
      <c r="MVI26" s="28"/>
      <c r="MVJ26" s="28"/>
      <c r="MVK26" s="28"/>
      <c r="MVL26" s="28"/>
      <c r="MVM26" s="28"/>
      <c r="MVN26" s="28"/>
      <c r="MVO26" s="28"/>
      <c r="MVP26" s="28"/>
      <c r="MVQ26" s="28"/>
      <c r="MVR26" s="28"/>
      <c r="MVS26" s="28"/>
      <c r="MVT26" s="28"/>
      <c r="MVU26" s="28"/>
      <c r="MVV26" s="28"/>
      <c r="MVW26" s="28"/>
      <c r="MVX26" s="28"/>
      <c r="MVY26" s="28"/>
      <c r="MVZ26" s="28"/>
      <c r="MWA26" s="28"/>
      <c r="MWB26" s="28"/>
      <c r="MWC26" s="28"/>
      <c r="MWD26" s="28"/>
      <c r="MWE26" s="28"/>
      <c r="MWF26" s="28"/>
      <c r="MWG26" s="28"/>
      <c r="MWH26" s="28"/>
      <c r="MWI26" s="28"/>
      <c r="MWJ26" s="28"/>
      <c r="MWK26" s="28"/>
      <c r="MWL26" s="28"/>
      <c r="MWM26" s="28"/>
      <c r="MWN26" s="28"/>
      <c r="MWO26" s="28"/>
      <c r="MWP26" s="28"/>
      <c r="MWQ26" s="28"/>
      <c r="MWR26" s="28"/>
      <c r="MWS26" s="28"/>
      <c r="MWT26" s="28"/>
      <c r="MWU26" s="28"/>
      <c r="MWV26" s="28"/>
      <c r="MWW26" s="28"/>
      <c r="MWX26" s="28"/>
      <c r="MWY26" s="28"/>
      <c r="MWZ26" s="28"/>
      <c r="MXA26" s="28"/>
      <c r="MXB26" s="28"/>
      <c r="MXC26" s="28"/>
      <c r="MXD26" s="28"/>
      <c r="MXE26" s="28"/>
      <c r="MXF26" s="28"/>
      <c r="MXG26" s="28"/>
      <c r="MXH26" s="28"/>
      <c r="MXI26" s="28"/>
      <c r="MXJ26" s="28"/>
      <c r="MXK26" s="28"/>
      <c r="MXL26" s="28"/>
      <c r="MXM26" s="28"/>
      <c r="MXN26" s="28"/>
      <c r="MXO26" s="28"/>
      <c r="MXP26" s="28"/>
      <c r="MXQ26" s="28"/>
      <c r="MXR26" s="28"/>
      <c r="MXS26" s="28"/>
      <c r="MXT26" s="28"/>
      <c r="MXU26" s="28"/>
      <c r="MXV26" s="28"/>
      <c r="MXW26" s="28"/>
      <c r="MXX26" s="28"/>
      <c r="MXY26" s="28"/>
      <c r="MXZ26" s="28"/>
      <c r="MYA26" s="28"/>
      <c r="MYB26" s="28"/>
      <c r="MYC26" s="28"/>
      <c r="MYD26" s="28"/>
      <c r="MYE26" s="28"/>
      <c r="MYF26" s="28"/>
      <c r="MYG26" s="28"/>
      <c r="MYH26" s="28"/>
      <c r="MYI26" s="28"/>
      <c r="MYJ26" s="28"/>
      <c r="MYK26" s="28"/>
      <c r="MYL26" s="28"/>
      <c r="MYM26" s="28"/>
      <c r="MYN26" s="28"/>
      <c r="MYO26" s="28"/>
      <c r="MYP26" s="28"/>
      <c r="MYQ26" s="28"/>
      <c r="MYR26" s="28"/>
      <c r="MYS26" s="28"/>
      <c r="MYT26" s="28"/>
      <c r="MYU26" s="28"/>
      <c r="MYV26" s="28"/>
      <c r="MYW26" s="28"/>
      <c r="MYX26" s="28"/>
      <c r="MYY26" s="28"/>
      <c r="MYZ26" s="28"/>
      <c r="MZA26" s="28"/>
      <c r="MZB26" s="28"/>
      <c r="MZC26" s="28"/>
      <c r="MZD26" s="28"/>
      <c r="MZE26" s="28"/>
      <c r="MZF26" s="28"/>
      <c r="MZG26" s="28"/>
      <c r="MZH26" s="28"/>
      <c r="MZI26" s="28"/>
      <c r="MZJ26" s="28"/>
      <c r="MZK26" s="28"/>
      <c r="MZL26" s="28"/>
      <c r="MZM26" s="28"/>
      <c r="MZN26" s="28"/>
      <c r="MZO26" s="28"/>
      <c r="MZP26" s="28"/>
      <c r="MZQ26" s="28"/>
      <c r="MZR26" s="28"/>
      <c r="MZS26" s="28"/>
      <c r="MZT26" s="28"/>
      <c r="MZU26" s="28"/>
      <c r="MZV26" s="28"/>
      <c r="MZW26" s="28"/>
      <c r="MZX26" s="28"/>
      <c r="MZY26" s="28"/>
      <c r="MZZ26" s="28"/>
      <c r="NAA26" s="28"/>
      <c r="NAB26" s="28"/>
      <c r="NAC26" s="28"/>
      <c r="NAD26" s="28"/>
      <c r="NAE26" s="28"/>
      <c r="NAF26" s="28"/>
      <c r="NAG26" s="28"/>
      <c r="NAH26" s="28"/>
      <c r="NAI26" s="28"/>
      <c r="NAJ26" s="28"/>
      <c r="NAK26" s="28"/>
      <c r="NAL26" s="28"/>
      <c r="NAM26" s="28"/>
      <c r="NAN26" s="28"/>
      <c r="NAO26" s="28"/>
      <c r="NAP26" s="28"/>
      <c r="NAQ26" s="28"/>
      <c r="NAR26" s="28"/>
      <c r="NAS26" s="28"/>
      <c r="NAT26" s="28"/>
      <c r="NAU26" s="28"/>
      <c r="NAV26" s="28"/>
      <c r="NAW26" s="28"/>
      <c r="NAX26" s="28"/>
      <c r="NAY26" s="28"/>
      <c r="NAZ26" s="28"/>
      <c r="NBA26" s="28"/>
      <c r="NBB26" s="28"/>
      <c r="NBC26" s="28"/>
      <c r="NBD26" s="28"/>
      <c r="NBE26" s="28"/>
      <c r="NBF26" s="28"/>
      <c r="NBG26" s="28"/>
      <c r="NBH26" s="28"/>
      <c r="NBI26" s="28"/>
      <c r="NBJ26" s="28"/>
      <c r="NBK26" s="28"/>
      <c r="NBL26" s="28"/>
      <c r="NBM26" s="28"/>
      <c r="NBN26" s="28"/>
      <c r="NBO26" s="28"/>
      <c r="NBP26" s="28"/>
      <c r="NBQ26" s="28"/>
      <c r="NBR26" s="28"/>
      <c r="NBS26" s="28"/>
      <c r="NBT26" s="28"/>
      <c r="NBU26" s="28"/>
      <c r="NBV26" s="28"/>
      <c r="NBW26" s="28"/>
      <c r="NBX26" s="28"/>
      <c r="NBY26" s="28"/>
      <c r="NBZ26" s="28"/>
      <c r="NCA26" s="28"/>
      <c r="NCB26" s="28"/>
      <c r="NCC26" s="28"/>
      <c r="NCD26" s="28"/>
      <c r="NCE26" s="28"/>
      <c r="NCF26" s="28"/>
      <c r="NCG26" s="28"/>
      <c r="NCH26" s="28"/>
      <c r="NCI26" s="28"/>
      <c r="NCJ26" s="28"/>
      <c r="NCK26" s="28"/>
      <c r="NCL26" s="28"/>
      <c r="NCM26" s="28"/>
      <c r="NCN26" s="28"/>
      <c r="NCO26" s="28"/>
      <c r="NCP26" s="28"/>
      <c r="NCQ26" s="28"/>
      <c r="NCR26" s="28"/>
      <c r="NCS26" s="28"/>
      <c r="NCT26" s="28"/>
      <c r="NCU26" s="28"/>
      <c r="NCV26" s="28"/>
      <c r="NCW26" s="28"/>
      <c r="NCX26" s="28"/>
      <c r="NCY26" s="28"/>
      <c r="NCZ26" s="28"/>
      <c r="NDA26" s="28"/>
      <c r="NDB26" s="28"/>
      <c r="NDC26" s="28"/>
      <c r="NDD26" s="28"/>
      <c r="NDE26" s="28"/>
      <c r="NDF26" s="28"/>
      <c r="NDG26" s="28"/>
      <c r="NDH26" s="28"/>
      <c r="NDI26" s="28"/>
      <c r="NDJ26" s="28"/>
      <c r="NDK26" s="28"/>
      <c r="NDL26" s="28"/>
      <c r="NDM26" s="28"/>
      <c r="NDN26" s="28"/>
      <c r="NDO26" s="28"/>
      <c r="NDP26" s="28"/>
      <c r="NDQ26" s="28"/>
      <c r="NDR26" s="28"/>
      <c r="NDS26" s="28"/>
      <c r="NDT26" s="28"/>
      <c r="NDU26" s="28"/>
      <c r="NDV26" s="28"/>
      <c r="NDW26" s="28"/>
      <c r="NDX26" s="28"/>
      <c r="NDY26" s="28"/>
      <c r="NDZ26" s="28"/>
      <c r="NEA26" s="28"/>
      <c r="NEB26" s="28"/>
      <c r="NEC26" s="28"/>
      <c r="NED26" s="28"/>
      <c r="NEE26" s="28"/>
      <c r="NEF26" s="28"/>
      <c r="NEG26" s="28"/>
      <c r="NEH26" s="28"/>
      <c r="NEI26" s="28"/>
      <c r="NEJ26" s="28"/>
      <c r="NEK26" s="28"/>
      <c r="NEL26" s="28"/>
      <c r="NEM26" s="28"/>
      <c r="NEN26" s="28"/>
      <c r="NEO26" s="28"/>
      <c r="NEP26" s="28"/>
      <c r="NEQ26" s="28"/>
      <c r="NER26" s="28"/>
      <c r="NES26" s="28"/>
      <c r="NET26" s="28"/>
      <c r="NEU26" s="28"/>
      <c r="NEV26" s="28"/>
      <c r="NEW26" s="28"/>
      <c r="NEX26" s="28"/>
      <c r="NEY26" s="28"/>
      <c r="NEZ26" s="28"/>
      <c r="NFA26" s="28"/>
      <c r="NFB26" s="28"/>
      <c r="NFC26" s="28"/>
      <c r="NFD26" s="28"/>
      <c r="NFE26" s="28"/>
      <c r="NFF26" s="28"/>
      <c r="NFG26" s="28"/>
      <c r="NFH26" s="28"/>
      <c r="NFI26" s="28"/>
      <c r="NFJ26" s="28"/>
      <c r="NFK26" s="28"/>
      <c r="NFL26" s="28"/>
      <c r="NFM26" s="28"/>
      <c r="NFN26" s="28"/>
      <c r="NFO26" s="28"/>
      <c r="NFP26" s="28"/>
      <c r="NFQ26" s="28"/>
      <c r="NFR26" s="28"/>
      <c r="NFS26" s="28"/>
      <c r="NFT26" s="28"/>
      <c r="NFU26" s="28"/>
      <c r="NFV26" s="28"/>
      <c r="NFW26" s="28"/>
      <c r="NFX26" s="28"/>
      <c r="NFY26" s="28"/>
      <c r="NFZ26" s="28"/>
      <c r="NGA26" s="28"/>
      <c r="NGB26" s="28"/>
      <c r="NGC26" s="28"/>
      <c r="NGD26" s="28"/>
      <c r="NGE26" s="28"/>
      <c r="NGF26" s="28"/>
      <c r="NGG26" s="28"/>
      <c r="NGH26" s="28"/>
      <c r="NGI26" s="28"/>
      <c r="NGJ26" s="28"/>
      <c r="NGK26" s="28"/>
      <c r="NGL26" s="28"/>
      <c r="NGM26" s="28"/>
      <c r="NGN26" s="28"/>
      <c r="NGO26" s="28"/>
      <c r="NGP26" s="28"/>
      <c r="NGQ26" s="28"/>
      <c r="NGR26" s="28"/>
      <c r="NGS26" s="28"/>
      <c r="NGT26" s="28"/>
      <c r="NGU26" s="28"/>
      <c r="NGV26" s="28"/>
      <c r="NGW26" s="28"/>
      <c r="NGX26" s="28"/>
      <c r="NGY26" s="28"/>
      <c r="NGZ26" s="28"/>
      <c r="NHA26" s="28"/>
      <c r="NHB26" s="28"/>
      <c r="NHC26" s="28"/>
      <c r="NHD26" s="28"/>
      <c r="NHE26" s="28"/>
      <c r="NHF26" s="28"/>
      <c r="NHG26" s="28"/>
      <c r="NHH26" s="28"/>
      <c r="NHI26" s="28"/>
      <c r="NHJ26" s="28"/>
      <c r="NHK26" s="28"/>
      <c r="NHL26" s="28"/>
      <c r="NHM26" s="28"/>
      <c r="NHN26" s="28"/>
      <c r="NHO26" s="28"/>
      <c r="NHP26" s="28"/>
      <c r="NHQ26" s="28"/>
      <c r="NHR26" s="28"/>
      <c r="NHS26" s="28"/>
      <c r="NHT26" s="28"/>
      <c r="NHU26" s="28"/>
      <c r="NHV26" s="28"/>
      <c r="NHW26" s="28"/>
      <c r="NHX26" s="28"/>
      <c r="NHY26" s="28"/>
      <c r="NHZ26" s="28"/>
      <c r="NIA26" s="28"/>
      <c r="NIB26" s="28"/>
      <c r="NIC26" s="28"/>
      <c r="NID26" s="28"/>
      <c r="NIE26" s="28"/>
      <c r="NIF26" s="28"/>
      <c r="NIG26" s="28"/>
      <c r="NIH26" s="28"/>
      <c r="NII26" s="28"/>
      <c r="NIJ26" s="28"/>
      <c r="NIK26" s="28"/>
      <c r="NIL26" s="28"/>
      <c r="NIM26" s="28"/>
      <c r="NIN26" s="28"/>
      <c r="NIO26" s="28"/>
      <c r="NIP26" s="28"/>
      <c r="NIQ26" s="28"/>
      <c r="NIR26" s="28"/>
      <c r="NIS26" s="28"/>
      <c r="NIT26" s="28"/>
      <c r="NIU26" s="28"/>
      <c r="NIV26" s="28"/>
      <c r="NIW26" s="28"/>
      <c r="NIX26" s="28"/>
      <c r="NIY26" s="28"/>
      <c r="NIZ26" s="28"/>
      <c r="NJA26" s="28"/>
      <c r="NJB26" s="28"/>
      <c r="NJC26" s="28"/>
      <c r="NJD26" s="28"/>
      <c r="NJE26" s="28"/>
      <c r="NJF26" s="28"/>
      <c r="NJG26" s="28"/>
      <c r="NJH26" s="28"/>
      <c r="NJI26" s="28"/>
      <c r="NJJ26" s="28"/>
      <c r="NJK26" s="28"/>
      <c r="NJL26" s="28"/>
      <c r="NJM26" s="28"/>
      <c r="NJN26" s="28"/>
      <c r="NJO26" s="28"/>
      <c r="NJP26" s="28"/>
      <c r="NJQ26" s="28"/>
      <c r="NJR26" s="28"/>
      <c r="NJS26" s="28"/>
      <c r="NJT26" s="28"/>
      <c r="NJU26" s="28"/>
      <c r="NJV26" s="28"/>
      <c r="NJW26" s="28"/>
      <c r="NJX26" s="28"/>
      <c r="NJY26" s="28"/>
      <c r="NJZ26" s="28"/>
      <c r="NKA26" s="28"/>
      <c r="NKB26" s="28"/>
      <c r="NKC26" s="28"/>
      <c r="NKD26" s="28"/>
      <c r="NKE26" s="28"/>
      <c r="NKF26" s="28"/>
      <c r="NKG26" s="28"/>
      <c r="NKH26" s="28"/>
      <c r="NKI26" s="28"/>
      <c r="NKJ26" s="28"/>
      <c r="NKK26" s="28"/>
      <c r="NKL26" s="28"/>
      <c r="NKM26" s="28"/>
      <c r="NKN26" s="28"/>
      <c r="NKO26" s="28"/>
      <c r="NKP26" s="28"/>
      <c r="NKQ26" s="28"/>
      <c r="NKR26" s="28"/>
      <c r="NKS26" s="28"/>
      <c r="NKT26" s="28"/>
      <c r="NKU26" s="28"/>
      <c r="NKV26" s="28"/>
      <c r="NKW26" s="28"/>
      <c r="NKX26" s="28"/>
      <c r="NKY26" s="28"/>
      <c r="NKZ26" s="28"/>
      <c r="NLA26" s="28"/>
      <c r="NLB26" s="28"/>
      <c r="NLC26" s="28"/>
      <c r="NLD26" s="28"/>
      <c r="NLE26" s="28"/>
      <c r="NLF26" s="28"/>
      <c r="NLG26" s="28"/>
      <c r="NLH26" s="28"/>
      <c r="NLI26" s="28"/>
      <c r="NLJ26" s="28"/>
      <c r="NLK26" s="28"/>
      <c r="NLL26" s="28"/>
      <c r="NLM26" s="28"/>
      <c r="NLN26" s="28"/>
      <c r="NLO26" s="28"/>
      <c r="NLP26" s="28"/>
      <c r="NLQ26" s="28"/>
      <c r="NLR26" s="28"/>
      <c r="NLS26" s="28"/>
      <c r="NLT26" s="28"/>
      <c r="NLU26" s="28"/>
      <c r="NLV26" s="28"/>
      <c r="NLW26" s="28"/>
      <c r="NLX26" s="28"/>
      <c r="NLY26" s="28"/>
      <c r="NLZ26" s="28"/>
      <c r="NMA26" s="28"/>
      <c r="NMB26" s="28"/>
      <c r="NMC26" s="28"/>
      <c r="NMD26" s="28"/>
      <c r="NME26" s="28"/>
      <c r="NMF26" s="28"/>
      <c r="NMG26" s="28"/>
      <c r="NMH26" s="28"/>
      <c r="NMI26" s="28"/>
      <c r="NMJ26" s="28"/>
      <c r="NMK26" s="28"/>
      <c r="NML26" s="28"/>
      <c r="NMM26" s="28"/>
      <c r="NMN26" s="28"/>
      <c r="NMO26" s="28"/>
      <c r="NMP26" s="28"/>
      <c r="NMQ26" s="28"/>
      <c r="NMR26" s="28"/>
      <c r="NMS26" s="28"/>
      <c r="NMT26" s="28"/>
      <c r="NMU26" s="28"/>
      <c r="NMV26" s="28"/>
      <c r="NMW26" s="28"/>
      <c r="NMX26" s="28"/>
      <c r="NMY26" s="28"/>
      <c r="NMZ26" s="28"/>
      <c r="NNA26" s="28"/>
      <c r="NNB26" s="28"/>
      <c r="NNC26" s="28"/>
      <c r="NND26" s="28"/>
      <c r="NNE26" s="28"/>
      <c r="NNF26" s="28"/>
      <c r="NNG26" s="28"/>
      <c r="NNH26" s="28"/>
      <c r="NNI26" s="28"/>
      <c r="NNJ26" s="28"/>
      <c r="NNK26" s="28"/>
      <c r="NNL26" s="28"/>
      <c r="NNM26" s="28"/>
      <c r="NNN26" s="28"/>
      <c r="NNO26" s="28"/>
      <c r="NNP26" s="28"/>
      <c r="NNQ26" s="28"/>
      <c r="NNR26" s="28"/>
      <c r="NNS26" s="28"/>
      <c r="NNT26" s="28"/>
      <c r="NNU26" s="28"/>
      <c r="NNV26" s="28"/>
      <c r="NNW26" s="28"/>
      <c r="NNX26" s="28"/>
      <c r="NNY26" s="28"/>
      <c r="NNZ26" s="28"/>
      <c r="NOA26" s="28"/>
      <c r="NOB26" s="28"/>
      <c r="NOC26" s="28"/>
      <c r="NOD26" s="28"/>
      <c r="NOE26" s="28"/>
      <c r="NOF26" s="28"/>
      <c r="NOG26" s="28"/>
      <c r="NOH26" s="28"/>
      <c r="NOI26" s="28"/>
      <c r="NOJ26" s="28"/>
      <c r="NOK26" s="28"/>
      <c r="NOL26" s="28"/>
      <c r="NOM26" s="28"/>
      <c r="NON26" s="28"/>
      <c r="NOO26" s="28"/>
      <c r="NOP26" s="28"/>
      <c r="NOQ26" s="28"/>
      <c r="NOR26" s="28"/>
      <c r="NOS26" s="28"/>
      <c r="NOT26" s="28"/>
      <c r="NOU26" s="28"/>
      <c r="NOV26" s="28"/>
      <c r="NOW26" s="28"/>
      <c r="NOX26" s="28"/>
      <c r="NOY26" s="28"/>
      <c r="NOZ26" s="28"/>
      <c r="NPA26" s="28"/>
      <c r="NPB26" s="28"/>
      <c r="NPC26" s="28"/>
      <c r="NPD26" s="28"/>
      <c r="NPE26" s="28"/>
      <c r="NPF26" s="28"/>
      <c r="NPG26" s="28"/>
      <c r="NPH26" s="28"/>
      <c r="NPI26" s="28"/>
      <c r="NPJ26" s="28"/>
      <c r="NPK26" s="28"/>
      <c r="NPL26" s="28"/>
      <c r="NPM26" s="28"/>
      <c r="NPN26" s="28"/>
      <c r="NPO26" s="28"/>
      <c r="NPP26" s="28"/>
      <c r="NPQ26" s="28"/>
      <c r="NPR26" s="28"/>
      <c r="NPS26" s="28"/>
      <c r="NPT26" s="28"/>
      <c r="NPU26" s="28"/>
      <c r="NPV26" s="28"/>
      <c r="NPW26" s="28"/>
      <c r="NPX26" s="28"/>
      <c r="NPY26" s="28"/>
      <c r="NPZ26" s="28"/>
      <c r="NQA26" s="28"/>
      <c r="NQB26" s="28"/>
      <c r="NQC26" s="28"/>
      <c r="NQD26" s="28"/>
      <c r="NQE26" s="28"/>
      <c r="NQF26" s="28"/>
      <c r="NQG26" s="28"/>
      <c r="NQH26" s="28"/>
      <c r="NQI26" s="28"/>
      <c r="NQJ26" s="28"/>
      <c r="NQK26" s="28"/>
      <c r="NQL26" s="28"/>
      <c r="NQM26" s="28"/>
      <c r="NQN26" s="28"/>
      <c r="NQO26" s="28"/>
      <c r="NQP26" s="28"/>
      <c r="NQQ26" s="28"/>
      <c r="NQR26" s="28"/>
      <c r="NQS26" s="28"/>
      <c r="NQT26" s="28"/>
      <c r="NQU26" s="28"/>
      <c r="NQV26" s="28"/>
      <c r="NQW26" s="28"/>
      <c r="NQX26" s="28"/>
      <c r="NQY26" s="28"/>
      <c r="NQZ26" s="28"/>
      <c r="NRA26" s="28"/>
      <c r="NRB26" s="28"/>
      <c r="NRC26" s="28"/>
      <c r="NRD26" s="28"/>
      <c r="NRE26" s="28"/>
      <c r="NRF26" s="28"/>
      <c r="NRG26" s="28"/>
      <c r="NRH26" s="28"/>
      <c r="NRI26" s="28"/>
      <c r="NRJ26" s="28"/>
      <c r="NRK26" s="28"/>
      <c r="NRL26" s="28"/>
      <c r="NRM26" s="28"/>
      <c r="NRN26" s="28"/>
      <c r="NRO26" s="28"/>
      <c r="NRP26" s="28"/>
      <c r="NRQ26" s="28"/>
      <c r="NRR26" s="28"/>
      <c r="NRS26" s="28"/>
      <c r="NRT26" s="28"/>
      <c r="NRU26" s="28"/>
      <c r="NRV26" s="28"/>
      <c r="NRW26" s="28"/>
      <c r="NRX26" s="28"/>
      <c r="NRY26" s="28"/>
      <c r="NRZ26" s="28"/>
      <c r="NSA26" s="28"/>
      <c r="NSB26" s="28"/>
      <c r="NSC26" s="28"/>
      <c r="NSD26" s="28"/>
      <c r="NSE26" s="28"/>
      <c r="NSF26" s="28"/>
      <c r="NSG26" s="28"/>
      <c r="NSH26" s="28"/>
      <c r="NSI26" s="28"/>
      <c r="NSJ26" s="28"/>
      <c r="NSK26" s="28"/>
      <c r="NSL26" s="28"/>
      <c r="NSM26" s="28"/>
      <c r="NSN26" s="28"/>
      <c r="NSO26" s="28"/>
      <c r="NSP26" s="28"/>
      <c r="NSQ26" s="28"/>
      <c r="NSR26" s="28"/>
      <c r="NSS26" s="28"/>
      <c r="NST26" s="28"/>
      <c r="NSU26" s="28"/>
      <c r="NSV26" s="28"/>
      <c r="NSW26" s="28"/>
      <c r="NSX26" s="28"/>
      <c r="NSY26" s="28"/>
      <c r="NSZ26" s="28"/>
      <c r="NTA26" s="28"/>
      <c r="NTB26" s="28"/>
      <c r="NTC26" s="28"/>
      <c r="NTD26" s="28"/>
      <c r="NTE26" s="28"/>
      <c r="NTF26" s="28"/>
      <c r="NTG26" s="28"/>
      <c r="NTH26" s="28"/>
      <c r="NTI26" s="28"/>
      <c r="NTJ26" s="28"/>
      <c r="NTK26" s="28"/>
      <c r="NTL26" s="28"/>
      <c r="NTM26" s="28"/>
      <c r="NTN26" s="28"/>
      <c r="NTO26" s="28"/>
      <c r="NTP26" s="28"/>
      <c r="NTQ26" s="28"/>
      <c r="NTR26" s="28"/>
      <c r="NTS26" s="28"/>
      <c r="NTT26" s="28"/>
      <c r="NTU26" s="28"/>
      <c r="NTV26" s="28"/>
      <c r="NTW26" s="28"/>
      <c r="NTX26" s="28"/>
      <c r="NTY26" s="28"/>
      <c r="NTZ26" s="28"/>
      <c r="NUA26" s="28"/>
      <c r="NUB26" s="28"/>
      <c r="NUC26" s="28"/>
      <c r="NUD26" s="28"/>
      <c r="NUE26" s="28"/>
      <c r="NUF26" s="28"/>
      <c r="NUG26" s="28"/>
      <c r="NUH26" s="28"/>
      <c r="NUI26" s="28"/>
      <c r="NUJ26" s="28"/>
      <c r="NUK26" s="28"/>
      <c r="NUL26" s="28"/>
      <c r="NUM26" s="28"/>
      <c r="NUN26" s="28"/>
      <c r="NUO26" s="28"/>
      <c r="NUP26" s="28"/>
      <c r="NUQ26" s="28"/>
      <c r="NUR26" s="28"/>
      <c r="NUS26" s="28"/>
      <c r="NUT26" s="28"/>
      <c r="NUU26" s="28"/>
      <c r="NUV26" s="28"/>
      <c r="NUW26" s="28"/>
      <c r="NUX26" s="28"/>
      <c r="NUY26" s="28"/>
      <c r="NUZ26" s="28"/>
      <c r="NVA26" s="28"/>
      <c r="NVB26" s="28"/>
      <c r="NVC26" s="28"/>
      <c r="NVD26" s="28"/>
      <c r="NVE26" s="28"/>
      <c r="NVF26" s="28"/>
      <c r="NVG26" s="28"/>
      <c r="NVH26" s="28"/>
      <c r="NVI26" s="28"/>
      <c r="NVJ26" s="28"/>
      <c r="NVK26" s="28"/>
      <c r="NVL26" s="28"/>
      <c r="NVM26" s="28"/>
      <c r="NVN26" s="28"/>
      <c r="NVO26" s="28"/>
      <c r="NVP26" s="28"/>
      <c r="NVQ26" s="28"/>
      <c r="NVR26" s="28"/>
      <c r="NVS26" s="28"/>
      <c r="NVT26" s="28"/>
      <c r="NVU26" s="28"/>
      <c r="NVV26" s="28"/>
      <c r="NVW26" s="28"/>
      <c r="NVX26" s="28"/>
      <c r="NVY26" s="28"/>
      <c r="NVZ26" s="28"/>
      <c r="NWA26" s="28"/>
      <c r="NWB26" s="28"/>
      <c r="NWC26" s="28"/>
      <c r="NWD26" s="28"/>
      <c r="NWE26" s="28"/>
      <c r="NWF26" s="28"/>
      <c r="NWG26" s="28"/>
      <c r="NWH26" s="28"/>
      <c r="NWI26" s="28"/>
      <c r="NWJ26" s="28"/>
      <c r="NWK26" s="28"/>
      <c r="NWL26" s="28"/>
      <c r="NWM26" s="28"/>
      <c r="NWN26" s="28"/>
      <c r="NWO26" s="28"/>
      <c r="NWP26" s="28"/>
      <c r="NWQ26" s="28"/>
      <c r="NWR26" s="28"/>
      <c r="NWS26" s="28"/>
      <c r="NWT26" s="28"/>
      <c r="NWU26" s="28"/>
      <c r="NWV26" s="28"/>
      <c r="NWW26" s="28"/>
      <c r="NWX26" s="28"/>
      <c r="NWY26" s="28"/>
      <c r="NWZ26" s="28"/>
      <c r="NXA26" s="28"/>
      <c r="NXB26" s="28"/>
      <c r="NXC26" s="28"/>
      <c r="NXD26" s="28"/>
      <c r="NXE26" s="28"/>
      <c r="NXF26" s="28"/>
      <c r="NXG26" s="28"/>
      <c r="NXH26" s="28"/>
      <c r="NXI26" s="28"/>
      <c r="NXJ26" s="28"/>
      <c r="NXK26" s="28"/>
      <c r="NXL26" s="28"/>
      <c r="NXM26" s="28"/>
      <c r="NXN26" s="28"/>
      <c r="NXO26" s="28"/>
      <c r="NXP26" s="28"/>
      <c r="NXQ26" s="28"/>
      <c r="NXR26" s="28"/>
      <c r="NXS26" s="28"/>
      <c r="NXT26" s="28"/>
      <c r="NXU26" s="28"/>
      <c r="NXV26" s="28"/>
      <c r="NXW26" s="28"/>
      <c r="NXX26" s="28"/>
      <c r="NXY26" s="28"/>
      <c r="NXZ26" s="28"/>
      <c r="NYA26" s="28"/>
      <c r="NYB26" s="28"/>
      <c r="NYC26" s="28"/>
      <c r="NYD26" s="28"/>
      <c r="NYE26" s="28"/>
      <c r="NYF26" s="28"/>
      <c r="NYG26" s="28"/>
      <c r="NYH26" s="28"/>
      <c r="NYI26" s="28"/>
      <c r="NYJ26" s="28"/>
      <c r="NYK26" s="28"/>
      <c r="NYL26" s="28"/>
      <c r="NYM26" s="28"/>
      <c r="NYN26" s="28"/>
      <c r="NYO26" s="28"/>
      <c r="NYP26" s="28"/>
      <c r="NYQ26" s="28"/>
      <c r="NYR26" s="28"/>
      <c r="NYS26" s="28"/>
      <c r="NYT26" s="28"/>
      <c r="NYU26" s="28"/>
      <c r="NYV26" s="28"/>
      <c r="NYW26" s="28"/>
      <c r="NYX26" s="28"/>
      <c r="NYY26" s="28"/>
      <c r="NYZ26" s="28"/>
      <c r="NZA26" s="28"/>
      <c r="NZB26" s="28"/>
      <c r="NZC26" s="28"/>
      <c r="NZD26" s="28"/>
      <c r="NZE26" s="28"/>
      <c r="NZF26" s="28"/>
      <c r="NZG26" s="28"/>
      <c r="NZH26" s="28"/>
      <c r="NZI26" s="28"/>
      <c r="NZJ26" s="28"/>
      <c r="NZK26" s="28"/>
      <c r="NZL26" s="28"/>
      <c r="NZM26" s="28"/>
      <c r="NZN26" s="28"/>
      <c r="NZO26" s="28"/>
      <c r="NZP26" s="28"/>
      <c r="NZQ26" s="28"/>
      <c r="NZR26" s="28"/>
      <c r="NZS26" s="28"/>
      <c r="NZT26" s="28"/>
      <c r="NZU26" s="28"/>
      <c r="NZV26" s="28"/>
      <c r="NZW26" s="28"/>
      <c r="NZX26" s="28"/>
      <c r="NZY26" s="28"/>
      <c r="NZZ26" s="28"/>
      <c r="OAA26" s="28"/>
      <c r="OAB26" s="28"/>
      <c r="OAC26" s="28"/>
      <c r="OAD26" s="28"/>
      <c r="OAE26" s="28"/>
      <c r="OAF26" s="28"/>
      <c r="OAG26" s="28"/>
      <c r="OAH26" s="28"/>
      <c r="OAI26" s="28"/>
      <c r="OAJ26" s="28"/>
      <c r="OAK26" s="28"/>
      <c r="OAL26" s="28"/>
      <c r="OAM26" s="28"/>
      <c r="OAN26" s="28"/>
      <c r="OAO26" s="28"/>
      <c r="OAP26" s="28"/>
      <c r="OAQ26" s="28"/>
      <c r="OAR26" s="28"/>
      <c r="OAS26" s="28"/>
      <c r="OAT26" s="28"/>
      <c r="OAU26" s="28"/>
      <c r="OAV26" s="28"/>
      <c r="OAW26" s="28"/>
      <c r="OAX26" s="28"/>
      <c r="OAY26" s="28"/>
      <c r="OAZ26" s="28"/>
      <c r="OBA26" s="28"/>
      <c r="OBB26" s="28"/>
      <c r="OBC26" s="28"/>
      <c r="OBD26" s="28"/>
      <c r="OBE26" s="28"/>
      <c r="OBF26" s="28"/>
      <c r="OBG26" s="28"/>
      <c r="OBH26" s="28"/>
      <c r="OBI26" s="28"/>
      <c r="OBJ26" s="28"/>
      <c r="OBK26" s="28"/>
      <c r="OBL26" s="28"/>
      <c r="OBM26" s="28"/>
      <c r="OBN26" s="28"/>
      <c r="OBO26" s="28"/>
      <c r="OBP26" s="28"/>
      <c r="OBQ26" s="28"/>
      <c r="OBR26" s="28"/>
      <c r="OBS26" s="28"/>
      <c r="OBT26" s="28"/>
      <c r="OBU26" s="28"/>
      <c r="OBV26" s="28"/>
      <c r="OBW26" s="28"/>
      <c r="OBX26" s="28"/>
      <c r="OBY26" s="28"/>
      <c r="OBZ26" s="28"/>
      <c r="OCA26" s="28"/>
      <c r="OCB26" s="28"/>
      <c r="OCC26" s="28"/>
      <c r="OCD26" s="28"/>
      <c r="OCE26" s="28"/>
      <c r="OCF26" s="28"/>
      <c r="OCG26" s="28"/>
      <c r="OCH26" s="28"/>
      <c r="OCI26" s="28"/>
      <c r="OCJ26" s="28"/>
      <c r="OCK26" s="28"/>
      <c r="OCL26" s="28"/>
      <c r="OCM26" s="28"/>
      <c r="OCN26" s="28"/>
      <c r="OCO26" s="28"/>
      <c r="OCP26" s="28"/>
      <c r="OCQ26" s="28"/>
      <c r="OCR26" s="28"/>
      <c r="OCS26" s="28"/>
      <c r="OCT26" s="28"/>
      <c r="OCU26" s="28"/>
      <c r="OCV26" s="28"/>
      <c r="OCW26" s="28"/>
      <c r="OCX26" s="28"/>
      <c r="OCY26" s="28"/>
      <c r="OCZ26" s="28"/>
      <c r="ODA26" s="28"/>
      <c r="ODB26" s="28"/>
      <c r="ODC26" s="28"/>
      <c r="ODD26" s="28"/>
      <c r="ODE26" s="28"/>
      <c r="ODF26" s="28"/>
      <c r="ODG26" s="28"/>
      <c r="ODH26" s="28"/>
      <c r="ODI26" s="28"/>
      <c r="ODJ26" s="28"/>
      <c r="ODK26" s="28"/>
      <c r="ODL26" s="28"/>
      <c r="ODM26" s="28"/>
      <c r="ODN26" s="28"/>
      <c r="ODO26" s="28"/>
      <c r="ODP26" s="28"/>
      <c r="ODQ26" s="28"/>
      <c r="ODR26" s="28"/>
      <c r="ODS26" s="28"/>
      <c r="ODT26" s="28"/>
      <c r="ODU26" s="28"/>
      <c r="ODV26" s="28"/>
      <c r="ODW26" s="28"/>
      <c r="ODX26" s="28"/>
      <c r="ODY26" s="28"/>
      <c r="ODZ26" s="28"/>
      <c r="OEA26" s="28"/>
      <c r="OEB26" s="28"/>
      <c r="OEC26" s="28"/>
      <c r="OED26" s="28"/>
      <c r="OEE26" s="28"/>
      <c r="OEF26" s="28"/>
      <c r="OEG26" s="28"/>
      <c r="OEH26" s="28"/>
      <c r="OEI26" s="28"/>
      <c r="OEJ26" s="28"/>
      <c r="OEK26" s="28"/>
      <c r="OEL26" s="28"/>
      <c r="OEM26" s="28"/>
      <c r="OEN26" s="28"/>
      <c r="OEO26" s="28"/>
      <c r="OEP26" s="28"/>
      <c r="OEQ26" s="28"/>
      <c r="OER26" s="28"/>
      <c r="OES26" s="28"/>
      <c r="OET26" s="28"/>
      <c r="OEU26" s="28"/>
      <c r="OEV26" s="28"/>
      <c r="OEW26" s="28"/>
      <c r="OEX26" s="28"/>
      <c r="OEY26" s="28"/>
      <c r="OEZ26" s="28"/>
      <c r="OFA26" s="28"/>
      <c r="OFB26" s="28"/>
      <c r="OFC26" s="28"/>
      <c r="OFD26" s="28"/>
      <c r="OFE26" s="28"/>
      <c r="OFF26" s="28"/>
      <c r="OFG26" s="28"/>
      <c r="OFH26" s="28"/>
      <c r="OFI26" s="28"/>
      <c r="OFJ26" s="28"/>
      <c r="OFK26" s="28"/>
      <c r="OFL26" s="28"/>
      <c r="OFM26" s="28"/>
      <c r="OFN26" s="28"/>
      <c r="OFO26" s="28"/>
      <c r="OFP26" s="28"/>
      <c r="OFQ26" s="28"/>
      <c r="OFR26" s="28"/>
      <c r="OFS26" s="28"/>
      <c r="OFT26" s="28"/>
      <c r="OFU26" s="28"/>
      <c r="OFV26" s="28"/>
      <c r="OFW26" s="28"/>
      <c r="OFX26" s="28"/>
      <c r="OFY26" s="28"/>
      <c r="OFZ26" s="28"/>
      <c r="OGA26" s="28"/>
      <c r="OGB26" s="28"/>
      <c r="OGC26" s="28"/>
      <c r="OGD26" s="28"/>
      <c r="OGE26" s="28"/>
      <c r="OGF26" s="28"/>
      <c r="OGG26" s="28"/>
      <c r="OGH26" s="28"/>
      <c r="OGI26" s="28"/>
      <c r="OGJ26" s="28"/>
      <c r="OGK26" s="28"/>
      <c r="OGL26" s="28"/>
      <c r="OGM26" s="28"/>
      <c r="OGN26" s="28"/>
      <c r="OGO26" s="28"/>
      <c r="OGP26" s="28"/>
      <c r="OGQ26" s="28"/>
      <c r="OGR26" s="28"/>
      <c r="OGS26" s="28"/>
      <c r="OGT26" s="28"/>
      <c r="OGU26" s="28"/>
      <c r="OGV26" s="28"/>
      <c r="OGW26" s="28"/>
      <c r="OGX26" s="28"/>
      <c r="OGY26" s="28"/>
      <c r="OGZ26" s="28"/>
      <c r="OHA26" s="28"/>
      <c r="OHB26" s="28"/>
      <c r="OHC26" s="28"/>
      <c r="OHD26" s="28"/>
      <c r="OHE26" s="28"/>
      <c r="OHF26" s="28"/>
      <c r="OHG26" s="28"/>
      <c r="OHH26" s="28"/>
      <c r="OHI26" s="28"/>
      <c r="OHJ26" s="28"/>
      <c r="OHK26" s="28"/>
      <c r="OHL26" s="28"/>
      <c r="OHM26" s="28"/>
      <c r="OHN26" s="28"/>
      <c r="OHO26" s="28"/>
      <c r="OHP26" s="28"/>
      <c r="OHQ26" s="28"/>
      <c r="OHR26" s="28"/>
      <c r="OHS26" s="28"/>
      <c r="OHT26" s="28"/>
      <c r="OHU26" s="28"/>
      <c r="OHV26" s="28"/>
      <c r="OHW26" s="28"/>
      <c r="OHX26" s="28"/>
      <c r="OHY26" s="28"/>
      <c r="OHZ26" s="28"/>
      <c r="OIA26" s="28"/>
      <c r="OIB26" s="28"/>
      <c r="OIC26" s="28"/>
      <c r="OID26" s="28"/>
      <c r="OIE26" s="28"/>
      <c r="OIF26" s="28"/>
      <c r="OIG26" s="28"/>
      <c r="OIH26" s="28"/>
      <c r="OII26" s="28"/>
      <c r="OIJ26" s="28"/>
      <c r="OIK26" s="28"/>
      <c r="OIL26" s="28"/>
      <c r="OIM26" s="28"/>
      <c r="OIN26" s="28"/>
      <c r="OIO26" s="28"/>
      <c r="OIP26" s="28"/>
      <c r="OIQ26" s="28"/>
      <c r="OIR26" s="28"/>
      <c r="OIS26" s="28"/>
      <c r="OIT26" s="28"/>
      <c r="OIU26" s="28"/>
      <c r="OIV26" s="28"/>
      <c r="OIW26" s="28"/>
      <c r="OIX26" s="28"/>
      <c r="OIY26" s="28"/>
      <c r="OIZ26" s="28"/>
      <c r="OJA26" s="28"/>
      <c r="OJB26" s="28"/>
      <c r="OJC26" s="28"/>
      <c r="OJD26" s="28"/>
      <c r="OJE26" s="28"/>
      <c r="OJF26" s="28"/>
      <c r="OJG26" s="28"/>
      <c r="OJH26" s="28"/>
      <c r="OJI26" s="28"/>
      <c r="OJJ26" s="28"/>
      <c r="OJK26" s="28"/>
      <c r="OJL26" s="28"/>
      <c r="OJM26" s="28"/>
      <c r="OJN26" s="28"/>
      <c r="OJO26" s="28"/>
      <c r="OJP26" s="28"/>
      <c r="OJQ26" s="28"/>
      <c r="OJR26" s="28"/>
      <c r="OJS26" s="28"/>
      <c r="OJT26" s="28"/>
      <c r="OJU26" s="28"/>
      <c r="OJV26" s="28"/>
      <c r="OJW26" s="28"/>
      <c r="OJX26" s="28"/>
      <c r="OJY26" s="28"/>
      <c r="OJZ26" s="28"/>
      <c r="OKA26" s="28"/>
      <c r="OKB26" s="28"/>
      <c r="OKC26" s="28"/>
      <c r="OKD26" s="28"/>
      <c r="OKE26" s="28"/>
      <c r="OKF26" s="28"/>
      <c r="OKG26" s="28"/>
      <c r="OKH26" s="28"/>
      <c r="OKI26" s="28"/>
      <c r="OKJ26" s="28"/>
      <c r="OKK26" s="28"/>
      <c r="OKL26" s="28"/>
      <c r="OKM26" s="28"/>
      <c r="OKN26" s="28"/>
      <c r="OKO26" s="28"/>
      <c r="OKP26" s="28"/>
      <c r="OKQ26" s="28"/>
      <c r="OKR26" s="28"/>
      <c r="OKS26" s="28"/>
      <c r="OKT26" s="28"/>
      <c r="OKU26" s="28"/>
      <c r="OKV26" s="28"/>
      <c r="OKW26" s="28"/>
      <c r="OKX26" s="28"/>
      <c r="OKY26" s="28"/>
      <c r="OKZ26" s="28"/>
      <c r="OLA26" s="28"/>
      <c r="OLB26" s="28"/>
      <c r="OLC26" s="28"/>
      <c r="OLD26" s="28"/>
      <c r="OLE26" s="28"/>
      <c r="OLF26" s="28"/>
      <c r="OLG26" s="28"/>
      <c r="OLH26" s="28"/>
      <c r="OLI26" s="28"/>
      <c r="OLJ26" s="28"/>
      <c r="OLK26" s="28"/>
      <c r="OLL26" s="28"/>
      <c r="OLM26" s="28"/>
      <c r="OLN26" s="28"/>
      <c r="OLO26" s="28"/>
      <c r="OLP26" s="28"/>
      <c r="OLQ26" s="28"/>
      <c r="OLR26" s="28"/>
      <c r="OLS26" s="28"/>
      <c r="OLT26" s="28"/>
      <c r="OLU26" s="28"/>
      <c r="OLV26" s="28"/>
      <c r="OLW26" s="28"/>
      <c r="OLX26" s="28"/>
      <c r="OLY26" s="28"/>
      <c r="OLZ26" s="28"/>
      <c r="OMA26" s="28"/>
      <c r="OMB26" s="28"/>
      <c r="OMC26" s="28"/>
      <c r="OMD26" s="28"/>
      <c r="OME26" s="28"/>
      <c r="OMF26" s="28"/>
      <c r="OMG26" s="28"/>
      <c r="OMH26" s="28"/>
      <c r="OMI26" s="28"/>
      <c r="OMJ26" s="28"/>
      <c r="OMK26" s="28"/>
      <c r="OML26" s="28"/>
      <c r="OMM26" s="28"/>
      <c r="OMN26" s="28"/>
      <c r="OMO26" s="28"/>
      <c r="OMP26" s="28"/>
      <c r="OMQ26" s="28"/>
      <c r="OMR26" s="28"/>
      <c r="OMS26" s="28"/>
      <c r="OMT26" s="28"/>
      <c r="OMU26" s="28"/>
      <c r="OMV26" s="28"/>
      <c r="OMW26" s="28"/>
      <c r="OMX26" s="28"/>
      <c r="OMY26" s="28"/>
      <c r="OMZ26" s="28"/>
      <c r="ONA26" s="28"/>
      <c r="ONB26" s="28"/>
      <c r="ONC26" s="28"/>
      <c r="OND26" s="28"/>
      <c r="ONE26" s="28"/>
      <c r="ONF26" s="28"/>
      <c r="ONG26" s="28"/>
      <c r="ONH26" s="28"/>
      <c r="ONI26" s="28"/>
      <c r="ONJ26" s="28"/>
      <c r="ONK26" s="28"/>
      <c r="ONL26" s="28"/>
      <c r="ONM26" s="28"/>
      <c r="ONN26" s="28"/>
      <c r="ONO26" s="28"/>
      <c r="ONP26" s="28"/>
      <c r="ONQ26" s="28"/>
      <c r="ONR26" s="28"/>
      <c r="ONS26" s="28"/>
      <c r="ONT26" s="28"/>
      <c r="ONU26" s="28"/>
      <c r="ONV26" s="28"/>
      <c r="ONW26" s="28"/>
      <c r="ONX26" s="28"/>
      <c r="ONY26" s="28"/>
      <c r="ONZ26" s="28"/>
      <c r="OOA26" s="28"/>
      <c r="OOB26" s="28"/>
      <c r="OOC26" s="28"/>
      <c r="OOD26" s="28"/>
      <c r="OOE26" s="28"/>
      <c r="OOF26" s="28"/>
      <c r="OOG26" s="28"/>
      <c r="OOH26" s="28"/>
      <c r="OOI26" s="28"/>
      <c r="OOJ26" s="28"/>
      <c r="OOK26" s="28"/>
      <c r="OOL26" s="28"/>
      <c r="OOM26" s="28"/>
      <c r="OON26" s="28"/>
      <c r="OOO26" s="28"/>
      <c r="OOP26" s="28"/>
      <c r="OOQ26" s="28"/>
      <c r="OOR26" s="28"/>
      <c r="OOS26" s="28"/>
      <c r="OOT26" s="28"/>
      <c r="OOU26" s="28"/>
      <c r="OOV26" s="28"/>
      <c r="OOW26" s="28"/>
      <c r="OOX26" s="28"/>
      <c r="OOY26" s="28"/>
      <c r="OOZ26" s="28"/>
      <c r="OPA26" s="28"/>
      <c r="OPB26" s="28"/>
      <c r="OPC26" s="28"/>
      <c r="OPD26" s="28"/>
      <c r="OPE26" s="28"/>
      <c r="OPF26" s="28"/>
      <c r="OPG26" s="28"/>
      <c r="OPH26" s="28"/>
      <c r="OPI26" s="28"/>
      <c r="OPJ26" s="28"/>
      <c r="OPK26" s="28"/>
      <c r="OPL26" s="28"/>
      <c r="OPM26" s="28"/>
      <c r="OPN26" s="28"/>
      <c r="OPO26" s="28"/>
      <c r="OPP26" s="28"/>
      <c r="OPQ26" s="28"/>
      <c r="OPR26" s="28"/>
      <c r="OPS26" s="28"/>
      <c r="OPT26" s="28"/>
      <c r="OPU26" s="28"/>
      <c r="OPV26" s="28"/>
      <c r="OPW26" s="28"/>
      <c r="OPX26" s="28"/>
      <c r="OPY26" s="28"/>
      <c r="OPZ26" s="28"/>
      <c r="OQA26" s="28"/>
      <c r="OQB26" s="28"/>
      <c r="OQC26" s="28"/>
      <c r="OQD26" s="28"/>
      <c r="OQE26" s="28"/>
      <c r="OQF26" s="28"/>
      <c r="OQG26" s="28"/>
      <c r="OQH26" s="28"/>
      <c r="OQI26" s="28"/>
      <c r="OQJ26" s="28"/>
      <c r="OQK26" s="28"/>
      <c r="OQL26" s="28"/>
      <c r="OQM26" s="28"/>
      <c r="OQN26" s="28"/>
      <c r="OQO26" s="28"/>
      <c r="OQP26" s="28"/>
      <c r="OQQ26" s="28"/>
      <c r="OQR26" s="28"/>
      <c r="OQS26" s="28"/>
      <c r="OQT26" s="28"/>
      <c r="OQU26" s="28"/>
      <c r="OQV26" s="28"/>
      <c r="OQW26" s="28"/>
      <c r="OQX26" s="28"/>
      <c r="OQY26" s="28"/>
      <c r="OQZ26" s="28"/>
      <c r="ORA26" s="28"/>
      <c r="ORB26" s="28"/>
      <c r="ORC26" s="28"/>
      <c r="ORD26" s="28"/>
      <c r="ORE26" s="28"/>
      <c r="ORF26" s="28"/>
      <c r="ORG26" s="28"/>
      <c r="ORH26" s="28"/>
      <c r="ORI26" s="28"/>
      <c r="ORJ26" s="28"/>
      <c r="ORK26" s="28"/>
      <c r="ORL26" s="28"/>
      <c r="ORM26" s="28"/>
      <c r="ORN26" s="28"/>
      <c r="ORO26" s="28"/>
      <c r="ORP26" s="28"/>
      <c r="ORQ26" s="28"/>
      <c r="ORR26" s="28"/>
      <c r="ORS26" s="28"/>
      <c r="ORT26" s="28"/>
      <c r="ORU26" s="28"/>
      <c r="ORV26" s="28"/>
      <c r="ORW26" s="28"/>
      <c r="ORX26" s="28"/>
      <c r="ORY26" s="28"/>
      <c r="ORZ26" s="28"/>
      <c r="OSA26" s="28"/>
      <c r="OSB26" s="28"/>
      <c r="OSC26" s="28"/>
      <c r="OSD26" s="28"/>
      <c r="OSE26" s="28"/>
      <c r="OSF26" s="28"/>
      <c r="OSG26" s="28"/>
      <c r="OSH26" s="28"/>
      <c r="OSI26" s="28"/>
      <c r="OSJ26" s="28"/>
      <c r="OSK26" s="28"/>
      <c r="OSL26" s="28"/>
      <c r="OSM26" s="28"/>
      <c r="OSN26" s="28"/>
      <c r="OSO26" s="28"/>
      <c r="OSP26" s="28"/>
      <c r="OSQ26" s="28"/>
      <c r="OSR26" s="28"/>
      <c r="OSS26" s="28"/>
      <c r="OST26" s="28"/>
      <c r="OSU26" s="28"/>
      <c r="OSV26" s="28"/>
      <c r="OSW26" s="28"/>
      <c r="OSX26" s="28"/>
      <c r="OSY26" s="28"/>
      <c r="OSZ26" s="28"/>
      <c r="OTA26" s="28"/>
      <c r="OTB26" s="28"/>
      <c r="OTC26" s="28"/>
      <c r="OTD26" s="28"/>
      <c r="OTE26" s="28"/>
      <c r="OTF26" s="28"/>
      <c r="OTG26" s="28"/>
      <c r="OTH26" s="28"/>
      <c r="OTI26" s="28"/>
      <c r="OTJ26" s="28"/>
      <c r="OTK26" s="28"/>
      <c r="OTL26" s="28"/>
      <c r="OTM26" s="28"/>
      <c r="OTN26" s="28"/>
      <c r="OTO26" s="28"/>
      <c r="OTP26" s="28"/>
      <c r="OTQ26" s="28"/>
      <c r="OTR26" s="28"/>
      <c r="OTS26" s="28"/>
      <c r="OTT26" s="28"/>
      <c r="OTU26" s="28"/>
      <c r="OTV26" s="28"/>
      <c r="OTW26" s="28"/>
      <c r="OTX26" s="28"/>
      <c r="OTY26" s="28"/>
      <c r="OTZ26" s="28"/>
      <c r="OUA26" s="28"/>
      <c r="OUB26" s="28"/>
      <c r="OUC26" s="28"/>
      <c r="OUD26" s="28"/>
      <c r="OUE26" s="28"/>
      <c r="OUF26" s="28"/>
      <c r="OUG26" s="28"/>
      <c r="OUH26" s="28"/>
      <c r="OUI26" s="28"/>
      <c r="OUJ26" s="28"/>
      <c r="OUK26" s="28"/>
      <c r="OUL26" s="28"/>
      <c r="OUM26" s="28"/>
      <c r="OUN26" s="28"/>
      <c r="OUO26" s="28"/>
      <c r="OUP26" s="28"/>
      <c r="OUQ26" s="28"/>
      <c r="OUR26" s="28"/>
      <c r="OUS26" s="28"/>
      <c r="OUT26" s="28"/>
      <c r="OUU26" s="28"/>
      <c r="OUV26" s="28"/>
      <c r="OUW26" s="28"/>
      <c r="OUX26" s="28"/>
      <c r="OUY26" s="28"/>
      <c r="OUZ26" s="28"/>
      <c r="OVA26" s="28"/>
      <c r="OVB26" s="28"/>
      <c r="OVC26" s="28"/>
      <c r="OVD26" s="28"/>
      <c r="OVE26" s="28"/>
      <c r="OVF26" s="28"/>
      <c r="OVG26" s="28"/>
      <c r="OVH26" s="28"/>
      <c r="OVI26" s="28"/>
      <c r="OVJ26" s="28"/>
      <c r="OVK26" s="28"/>
      <c r="OVL26" s="28"/>
      <c r="OVM26" s="28"/>
      <c r="OVN26" s="28"/>
      <c r="OVO26" s="28"/>
      <c r="OVP26" s="28"/>
      <c r="OVQ26" s="28"/>
      <c r="OVR26" s="28"/>
      <c r="OVS26" s="28"/>
      <c r="OVT26" s="28"/>
      <c r="OVU26" s="28"/>
      <c r="OVV26" s="28"/>
      <c r="OVW26" s="28"/>
      <c r="OVX26" s="28"/>
      <c r="OVY26" s="28"/>
      <c r="OVZ26" s="28"/>
      <c r="OWA26" s="28"/>
      <c r="OWB26" s="28"/>
      <c r="OWC26" s="28"/>
      <c r="OWD26" s="28"/>
      <c r="OWE26" s="28"/>
      <c r="OWF26" s="28"/>
      <c r="OWG26" s="28"/>
      <c r="OWH26" s="28"/>
      <c r="OWI26" s="28"/>
      <c r="OWJ26" s="28"/>
      <c r="OWK26" s="28"/>
      <c r="OWL26" s="28"/>
      <c r="OWM26" s="28"/>
      <c r="OWN26" s="28"/>
      <c r="OWO26" s="28"/>
      <c r="OWP26" s="28"/>
      <c r="OWQ26" s="28"/>
      <c r="OWR26" s="28"/>
      <c r="OWS26" s="28"/>
      <c r="OWT26" s="28"/>
      <c r="OWU26" s="28"/>
      <c r="OWV26" s="28"/>
      <c r="OWW26" s="28"/>
      <c r="OWX26" s="28"/>
      <c r="OWY26" s="28"/>
      <c r="OWZ26" s="28"/>
      <c r="OXA26" s="28"/>
      <c r="OXB26" s="28"/>
      <c r="OXC26" s="28"/>
      <c r="OXD26" s="28"/>
      <c r="OXE26" s="28"/>
      <c r="OXF26" s="28"/>
      <c r="OXG26" s="28"/>
      <c r="OXH26" s="28"/>
      <c r="OXI26" s="28"/>
      <c r="OXJ26" s="28"/>
      <c r="OXK26" s="28"/>
      <c r="OXL26" s="28"/>
      <c r="OXM26" s="28"/>
      <c r="OXN26" s="28"/>
      <c r="OXO26" s="28"/>
      <c r="OXP26" s="28"/>
      <c r="OXQ26" s="28"/>
      <c r="OXR26" s="28"/>
      <c r="OXS26" s="28"/>
      <c r="OXT26" s="28"/>
      <c r="OXU26" s="28"/>
      <c r="OXV26" s="28"/>
      <c r="OXW26" s="28"/>
      <c r="OXX26" s="28"/>
      <c r="OXY26" s="28"/>
      <c r="OXZ26" s="28"/>
      <c r="OYA26" s="28"/>
      <c r="OYB26" s="28"/>
      <c r="OYC26" s="28"/>
      <c r="OYD26" s="28"/>
      <c r="OYE26" s="28"/>
      <c r="OYF26" s="28"/>
      <c r="OYG26" s="28"/>
      <c r="OYH26" s="28"/>
      <c r="OYI26" s="28"/>
      <c r="OYJ26" s="28"/>
      <c r="OYK26" s="28"/>
      <c r="OYL26" s="28"/>
      <c r="OYM26" s="28"/>
      <c r="OYN26" s="28"/>
      <c r="OYO26" s="28"/>
      <c r="OYP26" s="28"/>
      <c r="OYQ26" s="28"/>
      <c r="OYR26" s="28"/>
      <c r="OYS26" s="28"/>
      <c r="OYT26" s="28"/>
      <c r="OYU26" s="28"/>
      <c r="OYV26" s="28"/>
      <c r="OYW26" s="28"/>
      <c r="OYX26" s="28"/>
      <c r="OYY26" s="28"/>
      <c r="OYZ26" s="28"/>
      <c r="OZA26" s="28"/>
      <c r="OZB26" s="28"/>
      <c r="OZC26" s="28"/>
      <c r="OZD26" s="28"/>
      <c r="OZE26" s="28"/>
      <c r="OZF26" s="28"/>
      <c r="OZG26" s="28"/>
      <c r="OZH26" s="28"/>
      <c r="OZI26" s="28"/>
      <c r="OZJ26" s="28"/>
      <c r="OZK26" s="28"/>
      <c r="OZL26" s="28"/>
      <c r="OZM26" s="28"/>
      <c r="OZN26" s="28"/>
      <c r="OZO26" s="28"/>
      <c r="OZP26" s="28"/>
      <c r="OZQ26" s="28"/>
      <c r="OZR26" s="28"/>
      <c r="OZS26" s="28"/>
      <c r="OZT26" s="28"/>
      <c r="OZU26" s="28"/>
      <c r="OZV26" s="28"/>
      <c r="OZW26" s="28"/>
      <c r="OZX26" s="28"/>
      <c r="OZY26" s="28"/>
      <c r="OZZ26" s="28"/>
      <c r="PAA26" s="28"/>
      <c r="PAB26" s="28"/>
      <c r="PAC26" s="28"/>
      <c r="PAD26" s="28"/>
      <c r="PAE26" s="28"/>
      <c r="PAF26" s="28"/>
      <c r="PAG26" s="28"/>
      <c r="PAH26" s="28"/>
      <c r="PAI26" s="28"/>
      <c r="PAJ26" s="28"/>
      <c r="PAK26" s="28"/>
      <c r="PAL26" s="28"/>
      <c r="PAM26" s="28"/>
      <c r="PAN26" s="28"/>
      <c r="PAO26" s="28"/>
      <c r="PAP26" s="28"/>
      <c r="PAQ26" s="28"/>
      <c r="PAR26" s="28"/>
      <c r="PAS26" s="28"/>
      <c r="PAT26" s="28"/>
      <c r="PAU26" s="28"/>
      <c r="PAV26" s="28"/>
      <c r="PAW26" s="28"/>
      <c r="PAX26" s="28"/>
      <c r="PAY26" s="28"/>
      <c r="PAZ26" s="28"/>
      <c r="PBA26" s="28"/>
      <c r="PBB26" s="28"/>
      <c r="PBC26" s="28"/>
      <c r="PBD26" s="28"/>
      <c r="PBE26" s="28"/>
      <c r="PBF26" s="28"/>
      <c r="PBG26" s="28"/>
      <c r="PBH26" s="28"/>
      <c r="PBI26" s="28"/>
      <c r="PBJ26" s="28"/>
      <c r="PBK26" s="28"/>
      <c r="PBL26" s="28"/>
      <c r="PBM26" s="28"/>
      <c r="PBN26" s="28"/>
      <c r="PBO26" s="28"/>
      <c r="PBP26" s="28"/>
      <c r="PBQ26" s="28"/>
      <c r="PBR26" s="28"/>
      <c r="PBS26" s="28"/>
      <c r="PBT26" s="28"/>
      <c r="PBU26" s="28"/>
      <c r="PBV26" s="28"/>
      <c r="PBW26" s="28"/>
      <c r="PBX26" s="28"/>
      <c r="PBY26" s="28"/>
      <c r="PBZ26" s="28"/>
      <c r="PCA26" s="28"/>
      <c r="PCB26" s="28"/>
      <c r="PCC26" s="28"/>
      <c r="PCD26" s="28"/>
      <c r="PCE26" s="28"/>
      <c r="PCF26" s="28"/>
      <c r="PCG26" s="28"/>
      <c r="PCH26" s="28"/>
      <c r="PCI26" s="28"/>
      <c r="PCJ26" s="28"/>
      <c r="PCK26" s="28"/>
      <c r="PCL26" s="28"/>
      <c r="PCM26" s="28"/>
      <c r="PCN26" s="28"/>
      <c r="PCO26" s="28"/>
      <c r="PCP26" s="28"/>
      <c r="PCQ26" s="28"/>
      <c r="PCR26" s="28"/>
      <c r="PCS26" s="28"/>
      <c r="PCT26" s="28"/>
      <c r="PCU26" s="28"/>
      <c r="PCV26" s="28"/>
      <c r="PCW26" s="28"/>
      <c r="PCX26" s="28"/>
      <c r="PCY26" s="28"/>
      <c r="PCZ26" s="28"/>
      <c r="PDA26" s="28"/>
      <c r="PDB26" s="28"/>
      <c r="PDC26" s="28"/>
      <c r="PDD26" s="28"/>
      <c r="PDE26" s="28"/>
      <c r="PDF26" s="28"/>
      <c r="PDG26" s="28"/>
      <c r="PDH26" s="28"/>
      <c r="PDI26" s="28"/>
      <c r="PDJ26" s="28"/>
      <c r="PDK26" s="28"/>
      <c r="PDL26" s="28"/>
      <c r="PDM26" s="28"/>
      <c r="PDN26" s="28"/>
      <c r="PDO26" s="28"/>
      <c r="PDP26" s="28"/>
      <c r="PDQ26" s="28"/>
      <c r="PDR26" s="28"/>
      <c r="PDS26" s="28"/>
      <c r="PDT26" s="28"/>
      <c r="PDU26" s="28"/>
      <c r="PDV26" s="28"/>
      <c r="PDW26" s="28"/>
      <c r="PDX26" s="28"/>
      <c r="PDY26" s="28"/>
      <c r="PDZ26" s="28"/>
      <c r="PEA26" s="28"/>
      <c r="PEB26" s="28"/>
      <c r="PEC26" s="28"/>
      <c r="PED26" s="28"/>
      <c r="PEE26" s="28"/>
      <c r="PEF26" s="28"/>
      <c r="PEG26" s="28"/>
      <c r="PEH26" s="28"/>
      <c r="PEI26" s="28"/>
      <c r="PEJ26" s="28"/>
      <c r="PEK26" s="28"/>
      <c r="PEL26" s="28"/>
      <c r="PEM26" s="28"/>
      <c r="PEN26" s="28"/>
      <c r="PEO26" s="28"/>
      <c r="PEP26" s="28"/>
      <c r="PEQ26" s="28"/>
      <c r="PER26" s="28"/>
      <c r="PES26" s="28"/>
      <c r="PET26" s="28"/>
      <c r="PEU26" s="28"/>
      <c r="PEV26" s="28"/>
      <c r="PEW26" s="28"/>
      <c r="PEX26" s="28"/>
      <c r="PEY26" s="28"/>
      <c r="PEZ26" s="28"/>
      <c r="PFA26" s="28"/>
      <c r="PFB26" s="28"/>
      <c r="PFC26" s="28"/>
      <c r="PFD26" s="28"/>
      <c r="PFE26" s="28"/>
      <c r="PFF26" s="28"/>
      <c r="PFG26" s="28"/>
      <c r="PFH26" s="28"/>
      <c r="PFI26" s="28"/>
      <c r="PFJ26" s="28"/>
      <c r="PFK26" s="28"/>
      <c r="PFL26" s="28"/>
      <c r="PFM26" s="28"/>
      <c r="PFN26" s="28"/>
      <c r="PFO26" s="28"/>
      <c r="PFP26" s="28"/>
      <c r="PFQ26" s="28"/>
      <c r="PFR26" s="28"/>
      <c r="PFS26" s="28"/>
      <c r="PFT26" s="28"/>
      <c r="PFU26" s="28"/>
      <c r="PFV26" s="28"/>
      <c r="PFW26" s="28"/>
      <c r="PFX26" s="28"/>
      <c r="PFY26" s="28"/>
      <c r="PFZ26" s="28"/>
      <c r="PGA26" s="28"/>
      <c r="PGB26" s="28"/>
      <c r="PGC26" s="28"/>
      <c r="PGD26" s="28"/>
      <c r="PGE26" s="28"/>
      <c r="PGF26" s="28"/>
      <c r="PGG26" s="28"/>
      <c r="PGH26" s="28"/>
      <c r="PGI26" s="28"/>
      <c r="PGJ26" s="28"/>
      <c r="PGK26" s="28"/>
      <c r="PGL26" s="28"/>
      <c r="PGM26" s="28"/>
      <c r="PGN26" s="28"/>
      <c r="PGO26" s="28"/>
      <c r="PGP26" s="28"/>
      <c r="PGQ26" s="28"/>
      <c r="PGR26" s="28"/>
      <c r="PGS26" s="28"/>
      <c r="PGT26" s="28"/>
      <c r="PGU26" s="28"/>
      <c r="PGV26" s="28"/>
      <c r="PGW26" s="28"/>
      <c r="PGX26" s="28"/>
      <c r="PGY26" s="28"/>
      <c r="PGZ26" s="28"/>
      <c r="PHA26" s="28"/>
      <c r="PHB26" s="28"/>
      <c r="PHC26" s="28"/>
      <c r="PHD26" s="28"/>
      <c r="PHE26" s="28"/>
      <c r="PHF26" s="28"/>
      <c r="PHG26" s="28"/>
      <c r="PHH26" s="28"/>
      <c r="PHI26" s="28"/>
      <c r="PHJ26" s="28"/>
      <c r="PHK26" s="28"/>
      <c r="PHL26" s="28"/>
      <c r="PHM26" s="28"/>
      <c r="PHN26" s="28"/>
      <c r="PHO26" s="28"/>
      <c r="PHP26" s="28"/>
      <c r="PHQ26" s="28"/>
      <c r="PHR26" s="28"/>
      <c r="PHS26" s="28"/>
      <c r="PHT26" s="28"/>
      <c r="PHU26" s="28"/>
      <c r="PHV26" s="28"/>
      <c r="PHW26" s="28"/>
      <c r="PHX26" s="28"/>
      <c r="PHY26" s="28"/>
      <c r="PHZ26" s="28"/>
      <c r="PIA26" s="28"/>
      <c r="PIB26" s="28"/>
      <c r="PIC26" s="28"/>
      <c r="PID26" s="28"/>
      <c r="PIE26" s="28"/>
      <c r="PIF26" s="28"/>
      <c r="PIG26" s="28"/>
      <c r="PIH26" s="28"/>
      <c r="PII26" s="28"/>
      <c r="PIJ26" s="28"/>
      <c r="PIK26" s="28"/>
      <c r="PIL26" s="28"/>
      <c r="PIM26" s="28"/>
      <c r="PIN26" s="28"/>
      <c r="PIO26" s="28"/>
      <c r="PIP26" s="28"/>
      <c r="PIQ26" s="28"/>
      <c r="PIR26" s="28"/>
      <c r="PIS26" s="28"/>
      <c r="PIT26" s="28"/>
      <c r="PIU26" s="28"/>
      <c r="PIV26" s="28"/>
      <c r="PIW26" s="28"/>
      <c r="PIX26" s="28"/>
      <c r="PIY26" s="28"/>
      <c r="PIZ26" s="28"/>
      <c r="PJA26" s="28"/>
      <c r="PJB26" s="28"/>
      <c r="PJC26" s="28"/>
      <c r="PJD26" s="28"/>
      <c r="PJE26" s="28"/>
      <c r="PJF26" s="28"/>
      <c r="PJG26" s="28"/>
      <c r="PJH26" s="28"/>
      <c r="PJI26" s="28"/>
      <c r="PJJ26" s="28"/>
      <c r="PJK26" s="28"/>
      <c r="PJL26" s="28"/>
      <c r="PJM26" s="28"/>
      <c r="PJN26" s="28"/>
      <c r="PJO26" s="28"/>
      <c r="PJP26" s="28"/>
      <c r="PJQ26" s="28"/>
      <c r="PJR26" s="28"/>
      <c r="PJS26" s="28"/>
      <c r="PJT26" s="28"/>
      <c r="PJU26" s="28"/>
      <c r="PJV26" s="28"/>
      <c r="PJW26" s="28"/>
      <c r="PJX26" s="28"/>
      <c r="PJY26" s="28"/>
      <c r="PJZ26" s="28"/>
      <c r="PKA26" s="28"/>
      <c r="PKB26" s="28"/>
      <c r="PKC26" s="28"/>
      <c r="PKD26" s="28"/>
      <c r="PKE26" s="28"/>
      <c r="PKF26" s="28"/>
      <c r="PKG26" s="28"/>
      <c r="PKH26" s="28"/>
      <c r="PKI26" s="28"/>
      <c r="PKJ26" s="28"/>
      <c r="PKK26" s="28"/>
      <c r="PKL26" s="28"/>
      <c r="PKM26" s="28"/>
      <c r="PKN26" s="28"/>
      <c r="PKO26" s="28"/>
      <c r="PKP26" s="28"/>
      <c r="PKQ26" s="28"/>
      <c r="PKR26" s="28"/>
      <c r="PKS26" s="28"/>
      <c r="PKT26" s="28"/>
      <c r="PKU26" s="28"/>
      <c r="PKV26" s="28"/>
      <c r="PKW26" s="28"/>
      <c r="PKX26" s="28"/>
      <c r="PKY26" s="28"/>
      <c r="PKZ26" s="28"/>
      <c r="PLA26" s="28"/>
      <c r="PLB26" s="28"/>
      <c r="PLC26" s="28"/>
      <c r="PLD26" s="28"/>
      <c r="PLE26" s="28"/>
      <c r="PLF26" s="28"/>
      <c r="PLG26" s="28"/>
      <c r="PLH26" s="28"/>
      <c r="PLI26" s="28"/>
      <c r="PLJ26" s="28"/>
      <c r="PLK26" s="28"/>
      <c r="PLL26" s="28"/>
      <c r="PLM26" s="28"/>
      <c r="PLN26" s="28"/>
      <c r="PLO26" s="28"/>
      <c r="PLP26" s="28"/>
      <c r="PLQ26" s="28"/>
      <c r="PLR26" s="28"/>
      <c r="PLS26" s="28"/>
      <c r="PLT26" s="28"/>
      <c r="PLU26" s="28"/>
      <c r="PLV26" s="28"/>
      <c r="PLW26" s="28"/>
      <c r="PLX26" s="28"/>
      <c r="PLY26" s="28"/>
      <c r="PLZ26" s="28"/>
      <c r="PMA26" s="28"/>
      <c r="PMB26" s="28"/>
      <c r="PMC26" s="28"/>
      <c r="PMD26" s="28"/>
      <c r="PME26" s="28"/>
      <c r="PMF26" s="28"/>
      <c r="PMG26" s="28"/>
      <c r="PMH26" s="28"/>
      <c r="PMI26" s="28"/>
      <c r="PMJ26" s="28"/>
      <c r="PMK26" s="28"/>
      <c r="PML26" s="28"/>
      <c r="PMM26" s="28"/>
      <c r="PMN26" s="28"/>
      <c r="PMO26" s="28"/>
      <c r="PMP26" s="28"/>
      <c r="PMQ26" s="28"/>
      <c r="PMR26" s="28"/>
      <c r="PMS26" s="28"/>
      <c r="PMT26" s="28"/>
      <c r="PMU26" s="28"/>
      <c r="PMV26" s="28"/>
      <c r="PMW26" s="28"/>
      <c r="PMX26" s="28"/>
      <c r="PMY26" s="28"/>
      <c r="PMZ26" s="28"/>
      <c r="PNA26" s="28"/>
      <c r="PNB26" s="28"/>
      <c r="PNC26" s="28"/>
      <c r="PND26" s="28"/>
      <c r="PNE26" s="28"/>
      <c r="PNF26" s="28"/>
      <c r="PNG26" s="28"/>
      <c r="PNH26" s="28"/>
      <c r="PNI26" s="28"/>
      <c r="PNJ26" s="28"/>
      <c r="PNK26" s="28"/>
      <c r="PNL26" s="28"/>
      <c r="PNM26" s="28"/>
      <c r="PNN26" s="28"/>
      <c r="PNO26" s="28"/>
      <c r="PNP26" s="28"/>
      <c r="PNQ26" s="28"/>
      <c r="PNR26" s="28"/>
      <c r="PNS26" s="28"/>
      <c r="PNT26" s="28"/>
      <c r="PNU26" s="28"/>
      <c r="PNV26" s="28"/>
      <c r="PNW26" s="28"/>
      <c r="PNX26" s="28"/>
      <c r="PNY26" s="28"/>
      <c r="PNZ26" s="28"/>
      <c r="POA26" s="28"/>
      <c r="POB26" s="28"/>
      <c r="POC26" s="28"/>
      <c r="POD26" s="28"/>
      <c r="POE26" s="28"/>
      <c r="POF26" s="28"/>
      <c r="POG26" s="28"/>
      <c r="POH26" s="28"/>
      <c r="POI26" s="28"/>
      <c r="POJ26" s="28"/>
      <c r="POK26" s="28"/>
      <c r="POL26" s="28"/>
      <c r="POM26" s="28"/>
      <c r="PON26" s="28"/>
      <c r="POO26" s="28"/>
      <c r="POP26" s="28"/>
      <c r="POQ26" s="28"/>
      <c r="POR26" s="28"/>
      <c r="POS26" s="28"/>
      <c r="POT26" s="28"/>
      <c r="POU26" s="28"/>
      <c r="POV26" s="28"/>
      <c r="POW26" s="28"/>
      <c r="POX26" s="28"/>
      <c r="POY26" s="28"/>
      <c r="POZ26" s="28"/>
      <c r="PPA26" s="28"/>
      <c r="PPB26" s="28"/>
      <c r="PPC26" s="28"/>
      <c r="PPD26" s="28"/>
      <c r="PPE26" s="28"/>
      <c r="PPF26" s="28"/>
      <c r="PPG26" s="28"/>
      <c r="PPH26" s="28"/>
      <c r="PPI26" s="28"/>
      <c r="PPJ26" s="28"/>
      <c r="PPK26" s="28"/>
      <c r="PPL26" s="28"/>
      <c r="PPM26" s="28"/>
      <c r="PPN26" s="28"/>
      <c r="PPO26" s="28"/>
      <c r="PPP26" s="28"/>
      <c r="PPQ26" s="28"/>
      <c r="PPR26" s="28"/>
      <c r="PPS26" s="28"/>
      <c r="PPT26" s="28"/>
      <c r="PPU26" s="28"/>
      <c r="PPV26" s="28"/>
      <c r="PPW26" s="28"/>
      <c r="PPX26" s="28"/>
      <c r="PPY26" s="28"/>
      <c r="PPZ26" s="28"/>
      <c r="PQA26" s="28"/>
      <c r="PQB26" s="28"/>
      <c r="PQC26" s="28"/>
      <c r="PQD26" s="28"/>
      <c r="PQE26" s="28"/>
      <c r="PQF26" s="28"/>
      <c r="PQG26" s="28"/>
      <c r="PQH26" s="28"/>
      <c r="PQI26" s="28"/>
      <c r="PQJ26" s="28"/>
      <c r="PQK26" s="28"/>
      <c r="PQL26" s="28"/>
      <c r="PQM26" s="28"/>
      <c r="PQN26" s="28"/>
      <c r="PQO26" s="28"/>
      <c r="PQP26" s="28"/>
      <c r="PQQ26" s="28"/>
      <c r="PQR26" s="28"/>
      <c r="PQS26" s="28"/>
      <c r="PQT26" s="28"/>
      <c r="PQU26" s="28"/>
      <c r="PQV26" s="28"/>
      <c r="PQW26" s="28"/>
      <c r="PQX26" s="28"/>
      <c r="PQY26" s="28"/>
      <c r="PQZ26" s="28"/>
      <c r="PRA26" s="28"/>
      <c r="PRB26" s="28"/>
      <c r="PRC26" s="28"/>
      <c r="PRD26" s="28"/>
      <c r="PRE26" s="28"/>
      <c r="PRF26" s="28"/>
      <c r="PRG26" s="28"/>
      <c r="PRH26" s="28"/>
      <c r="PRI26" s="28"/>
      <c r="PRJ26" s="28"/>
      <c r="PRK26" s="28"/>
      <c r="PRL26" s="28"/>
      <c r="PRM26" s="28"/>
      <c r="PRN26" s="28"/>
      <c r="PRO26" s="28"/>
      <c r="PRP26" s="28"/>
      <c r="PRQ26" s="28"/>
      <c r="PRR26" s="28"/>
      <c r="PRS26" s="28"/>
      <c r="PRT26" s="28"/>
      <c r="PRU26" s="28"/>
      <c r="PRV26" s="28"/>
      <c r="PRW26" s="28"/>
      <c r="PRX26" s="28"/>
      <c r="PRY26" s="28"/>
      <c r="PRZ26" s="28"/>
      <c r="PSA26" s="28"/>
      <c r="PSB26" s="28"/>
      <c r="PSC26" s="28"/>
      <c r="PSD26" s="28"/>
      <c r="PSE26" s="28"/>
      <c r="PSF26" s="28"/>
      <c r="PSG26" s="28"/>
      <c r="PSH26" s="28"/>
      <c r="PSI26" s="28"/>
      <c r="PSJ26" s="28"/>
      <c r="PSK26" s="28"/>
      <c r="PSL26" s="28"/>
      <c r="PSM26" s="28"/>
      <c r="PSN26" s="28"/>
      <c r="PSO26" s="28"/>
      <c r="PSP26" s="28"/>
      <c r="PSQ26" s="28"/>
      <c r="PSR26" s="28"/>
      <c r="PSS26" s="28"/>
      <c r="PST26" s="28"/>
      <c r="PSU26" s="28"/>
      <c r="PSV26" s="28"/>
      <c r="PSW26" s="28"/>
      <c r="PSX26" s="28"/>
      <c r="PSY26" s="28"/>
      <c r="PSZ26" s="28"/>
      <c r="PTA26" s="28"/>
      <c r="PTB26" s="28"/>
      <c r="PTC26" s="28"/>
      <c r="PTD26" s="28"/>
      <c r="PTE26" s="28"/>
      <c r="PTF26" s="28"/>
      <c r="PTG26" s="28"/>
      <c r="PTH26" s="28"/>
      <c r="PTI26" s="28"/>
      <c r="PTJ26" s="28"/>
      <c r="PTK26" s="28"/>
      <c r="PTL26" s="28"/>
      <c r="PTM26" s="28"/>
      <c r="PTN26" s="28"/>
      <c r="PTO26" s="28"/>
      <c r="PTP26" s="28"/>
      <c r="PTQ26" s="28"/>
      <c r="PTR26" s="28"/>
      <c r="PTS26" s="28"/>
      <c r="PTT26" s="28"/>
      <c r="PTU26" s="28"/>
      <c r="PTV26" s="28"/>
      <c r="PTW26" s="28"/>
      <c r="PTX26" s="28"/>
      <c r="PTY26" s="28"/>
      <c r="PTZ26" s="28"/>
      <c r="PUA26" s="28"/>
      <c r="PUB26" s="28"/>
      <c r="PUC26" s="28"/>
      <c r="PUD26" s="28"/>
      <c r="PUE26" s="28"/>
      <c r="PUF26" s="28"/>
      <c r="PUG26" s="28"/>
      <c r="PUH26" s="28"/>
      <c r="PUI26" s="28"/>
      <c r="PUJ26" s="28"/>
      <c r="PUK26" s="28"/>
      <c r="PUL26" s="28"/>
      <c r="PUM26" s="28"/>
      <c r="PUN26" s="28"/>
      <c r="PUO26" s="28"/>
      <c r="PUP26" s="28"/>
      <c r="PUQ26" s="28"/>
      <c r="PUR26" s="28"/>
      <c r="PUS26" s="28"/>
      <c r="PUT26" s="28"/>
      <c r="PUU26" s="28"/>
      <c r="PUV26" s="28"/>
      <c r="PUW26" s="28"/>
      <c r="PUX26" s="28"/>
      <c r="PUY26" s="28"/>
      <c r="PUZ26" s="28"/>
      <c r="PVA26" s="28"/>
      <c r="PVB26" s="28"/>
      <c r="PVC26" s="28"/>
      <c r="PVD26" s="28"/>
      <c r="PVE26" s="28"/>
      <c r="PVF26" s="28"/>
      <c r="PVG26" s="28"/>
      <c r="PVH26" s="28"/>
      <c r="PVI26" s="28"/>
      <c r="PVJ26" s="28"/>
      <c r="PVK26" s="28"/>
      <c r="PVL26" s="28"/>
      <c r="PVM26" s="28"/>
      <c r="PVN26" s="28"/>
      <c r="PVO26" s="28"/>
      <c r="PVP26" s="28"/>
      <c r="PVQ26" s="28"/>
      <c r="PVR26" s="28"/>
      <c r="PVS26" s="28"/>
      <c r="PVT26" s="28"/>
      <c r="PVU26" s="28"/>
      <c r="PVV26" s="28"/>
      <c r="PVW26" s="28"/>
      <c r="PVX26" s="28"/>
      <c r="PVY26" s="28"/>
      <c r="PVZ26" s="28"/>
      <c r="PWA26" s="28"/>
      <c r="PWB26" s="28"/>
      <c r="PWC26" s="28"/>
      <c r="PWD26" s="28"/>
      <c r="PWE26" s="28"/>
      <c r="PWF26" s="28"/>
      <c r="PWG26" s="28"/>
      <c r="PWH26" s="28"/>
      <c r="PWI26" s="28"/>
      <c r="PWJ26" s="28"/>
      <c r="PWK26" s="28"/>
      <c r="PWL26" s="28"/>
      <c r="PWM26" s="28"/>
      <c r="PWN26" s="28"/>
      <c r="PWO26" s="28"/>
      <c r="PWP26" s="28"/>
      <c r="PWQ26" s="28"/>
      <c r="PWR26" s="28"/>
      <c r="PWS26" s="28"/>
      <c r="PWT26" s="28"/>
      <c r="PWU26" s="28"/>
      <c r="PWV26" s="28"/>
      <c r="PWW26" s="28"/>
      <c r="PWX26" s="28"/>
      <c r="PWY26" s="28"/>
      <c r="PWZ26" s="28"/>
      <c r="PXA26" s="28"/>
      <c r="PXB26" s="28"/>
      <c r="PXC26" s="28"/>
      <c r="PXD26" s="28"/>
      <c r="PXE26" s="28"/>
      <c r="PXF26" s="28"/>
      <c r="PXG26" s="28"/>
      <c r="PXH26" s="28"/>
      <c r="PXI26" s="28"/>
      <c r="PXJ26" s="28"/>
      <c r="PXK26" s="28"/>
      <c r="PXL26" s="28"/>
      <c r="PXM26" s="28"/>
      <c r="PXN26" s="28"/>
      <c r="PXO26" s="28"/>
      <c r="PXP26" s="28"/>
      <c r="PXQ26" s="28"/>
      <c r="PXR26" s="28"/>
      <c r="PXS26" s="28"/>
      <c r="PXT26" s="28"/>
      <c r="PXU26" s="28"/>
      <c r="PXV26" s="28"/>
      <c r="PXW26" s="28"/>
      <c r="PXX26" s="28"/>
      <c r="PXY26" s="28"/>
      <c r="PXZ26" s="28"/>
      <c r="PYA26" s="28"/>
      <c r="PYB26" s="28"/>
      <c r="PYC26" s="28"/>
      <c r="PYD26" s="28"/>
      <c r="PYE26" s="28"/>
      <c r="PYF26" s="28"/>
      <c r="PYG26" s="28"/>
      <c r="PYH26" s="28"/>
      <c r="PYI26" s="28"/>
      <c r="PYJ26" s="28"/>
      <c r="PYK26" s="28"/>
      <c r="PYL26" s="28"/>
      <c r="PYM26" s="28"/>
      <c r="PYN26" s="28"/>
      <c r="PYO26" s="28"/>
      <c r="PYP26" s="28"/>
      <c r="PYQ26" s="28"/>
      <c r="PYR26" s="28"/>
      <c r="PYS26" s="28"/>
      <c r="PYT26" s="28"/>
      <c r="PYU26" s="28"/>
      <c r="PYV26" s="28"/>
      <c r="PYW26" s="28"/>
      <c r="PYX26" s="28"/>
      <c r="PYY26" s="28"/>
      <c r="PYZ26" s="28"/>
      <c r="PZA26" s="28"/>
      <c r="PZB26" s="28"/>
      <c r="PZC26" s="28"/>
      <c r="PZD26" s="28"/>
      <c r="PZE26" s="28"/>
      <c r="PZF26" s="28"/>
      <c r="PZG26" s="28"/>
      <c r="PZH26" s="28"/>
      <c r="PZI26" s="28"/>
      <c r="PZJ26" s="28"/>
      <c r="PZK26" s="28"/>
      <c r="PZL26" s="28"/>
      <c r="PZM26" s="28"/>
      <c r="PZN26" s="28"/>
      <c r="PZO26" s="28"/>
      <c r="PZP26" s="28"/>
      <c r="PZQ26" s="28"/>
      <c r="PZR26" s="28"/>
      <c r="PZS26" s="28"/>
      <c r="PZT26" s="28"/>
      <c r="PZU26" s="28"/>
      <c r="PZV26" s="28"/>
      <c r="PZW26" s="28"/>
      <c r="PZX26" s="28"/>
      <c r="PZY26" s="28"/>
      <c r="PZZ26" s="28"/>
      <c r="QAA26" s="28"/>
      <c r="QAB26" s="28"/>
      <c r="QAC26" s="28"/>
      <c r="QAD26" s="28"/>
      <c r="QAE26" s="28"/>
      <c r="QAF26" s="28"/>
      <c r="QAG26" s="28"/>
      <c r="QAH26" s="28"/>
      <c r="QAI26" s="28"/>
      <c r="QAJ26" s="28"/>
      <c r="QAK26" s="28"/>
      <c r="QAL26" s="28"/>
      <c r="QAM26" s="28"/>
      <c r="QAN26" s="28"/>
      <c r="QAO26" s="28"/>
      <c r="QAP26" s="28"/>
      <c r="QAQ26" s="28"/>
      <c r="QAR26" s="28"/>
      <c r="QAS26" s="28"/>
      <c r="QAT26" s="28"/>
      <c r="QAU26" s="28"/>
      <c r="QAV26" s="28"/>
      <c r="QAW26" s="28"/>
      <c r="QAX26" s="28"/>
      <c r="QAY26" s="28"/>
      <c r="QAZ26" s="28"/>
      <c r="QBA26" s="28"/>
      <c r="QBB26" s="28"/>
      <c r="QBC26" s="28"/>
      <c r="QBD26" s="28"/>
      <c r="QBE26" s="28"/>
      <c r="QBF26" s="28"/>
      <c r="QBG26" s="28"/>
      <c r="QBH26" s="28"/>
      <c r="QBI26" s="28"/>
      <c r="QBJ26" s="28"/>
      <c r="QBK26" s="28"/>
      <c r="QBL26" s="28"/>
      <c r="QBM26" s="28"/>
      <c r="QBN26" s="28"/>
      <c r="QBO26" s="28"/>
      <c r="QBP26" s="28"/>
      <c r="QBQ26" s="28"/>
      <c r="QBR26" s="28"/>
      <c r="QBS26" s="28"/>
      <c r="QBT26" s="28"/>
      <c r="QBU26" s="28"/>
      <c r="QBV26" s="28"/>
      <c r="QBW26" s="28"/>
      <c r="QBX26" s="28"/>
      <c r="QBY26" s="28"/>
      <c r="QBZ26" s="28"/>
      <c r="QCA26" s="28"/>
      <c r="QCB26" s="28"/>
      <c r="QCC26" s="28"/>
      <c r="QCD26" s="28"/>
      <c r="QCE26" s="28"/>
      <c r="QCF26" s="28"/>
      <c r="QCG26" s="28"/>
      <c r="QCH26" s="28"/>
      <c r="QCI26" s="28"/>
      <c r="QCJ26" s="28"/>
      <c r="QCK26" s="28"/>
      <c r="QCL26" s="28"/>
      <c r="QCM26" s="28"/>
      <c r="QCN26" s="28"/>
      <c r="QCO26" s="28"/>
      <c r="QCP26" s="28"/>
      <c r="QCQ26" s="28"/>
      <c r="QCR26" s="28"/>
      <c r="QCS26" s="28"/>
      <c r="QCT26" s="28"/>
      <c r="QCU26" s="28"/>
      <c r="QCV26" s="28"/>
      <c r="QCW26" s="28"/>
      <c r="QCX26" s="28"/>
      <c r="QCY26" s="28"/>
      <c r="QCZ26" s="28"/>
      <c r="QDA26" s="28"/>
      <c r="QDB26" s="28"/>
      <c r="QDC26" s="28"/>
      <c r="QDD26" s="28"/>
      <c r="QDE26" s="28"/>
      <c r="QDF26" s="28"/>
      <c r="QDG26" s="28"/>
      <c r="QDH26" s="28"/>
      <c r="QDI26" s="28"/>
      <c r="QDJ26" s="28"/>
      <c r="QDK26" s="28"/>
      <c r="QDL26" s="28"/>
      <c r="QDM26" s="28"/>
      <c r="QDN26" s="28"/>
      <c r="QDO26" s="28"/>
      <c r="QDP26" s="28"/>
      <c r="QDQ26" s="28"/>
      <c r="QDR26" s="28"/>
      <c r="QDS26" s="28"/>
      <c r="QDT26" s="28"/>
      <c r="QDU26" s="28"/>
      <c r="QDV26" s="28"/>
      <c r="QDW26" s="28"/>
      <c r="QDX26" s="28"/>
      <c r="QDY26" s="28"/>
      <c r="QDZ26" s="28"/>
      <c r="QEA26" s="28"/>
      <c r="QEB26" s="28"/>
      <c r="QEC26" s="28"/>
      <c r="QED26" s="28"/>
      <c r="QEE26" s="28"/>
      <c r="QEF26" s="28"/>
      <c r="QEG26" s="28"/>
      <c r="QEH26" s="28"/>
      <c r="QEI26" s="28"/>
      <c r="QEJ26" s="28"/>
      <c r="QEK26" s="28"/>
      <c r="QEL26" s="28"/>
      <c r="QEM26" s="28"/>
      <c r="QEN26" s="28"/>
      <c r="QEO26" s="28"/>
      <c r="QEP26" s="28"/>
      <c r="QEQ26" s="28"/>
      <c r="QER26" s="28"/>
      <c r="QES26" s="28"/>
      <c r="QET26" s="28"/>
      <c r="QEU26" s="28"/>
      <c r="QEV26" s="28"/>
      <c r="QEW26" s="28"/>
      <c r="QEX26" s="28"/>
      <c r="QEY26" s="28"/>
      <c r="QEZ26" s="28"/>
      <c r="QFA26" s="28"/>
      <c r="QFB26" s="28"/>
      <c r="QFC26" s="28"/>
      <c r="QFD26" s="28"/>
      <c r="QFE26" s="28"/>
      <c r="QFF26" s="28"/>
      <c r="QFG26" s="28"/>
      <c r="QFH26" s="28"/>
      <c r="QFI26" s="28"/>
      <c r="QFJ26" s="28"/>
      <c r="QFK26" s="28"/>
      <c r="QFL26" s="28"/>
      <c r="QFM26" s="28"/>
      <c r="QFN26" s="28"/>
      <c r="QFO26" s="28"/>
      <c r="QFP26" s="28"/>
      <c r="QFQ26" s="28"/>
      <c r="QFR26" s="28"/>
      <c r="QFS26" s="28"/>
      <c r="QFT26" s="28"/>
      <c r="QFU26" s="28"/>
      <c r="QFV26" s="28"/>
      <c r="QFW26" s="28"/>
      <c r="QFX26" s="28"/>
      <c r="QFY26" s="28"/>
      <c r="QFZ26" s="28"/>
      <c r="QGA26" s="28"/>
      <c r="QGB26" s="28"/>
      <c r="QGC26" s="28"/>
      <c r="QGD26" s="28"/>
      <c r="QGE26" s="28"/>
      <c r="QGF26" s="28"/>
      <c r="QGG26" s="28"/>
      <c r="QGH26" s="28"/>
      <c r="QGI26" s="28"/>
      <c r="QGJ26" s="28"/>
      <c r="QGK26" s="28"/>
      <c r="QGL26" s="28"/>
      <c r="QGM26" s="28"/>
      <c r="QGN26" s="28"/>
      <c r="QGO26" s="28"/>
      <c r="QGP26" s="28"/>
      <c r="QGQ26" s="28"/>
      <c r="QGR26" s="28"/>
      <c r="QGS26" s="28"/>
      <c r="QGT26" s="28"/>
      <c r="QGU26" s="28"/>
      <c r="QGV26" s="28"/>
      <c r="QGW26" s="28"/>
      <c r="QGX26" s="28"/>
      <c r="QGY26" s="28"/>
      <c r="QGZ26" s="28"/>
      <c r="QHA26" s="28"/>
      <c r="QHB26" s="28"/>
      <c r="QHC26" s="28"/>
      <c r="QHD26" s="28"/>
      <c r="QHE26" s="28"/>
      <c r="QHF26" s="28"/>
      <c r="QHG26" s="28"/>
      <c r="QHH26" s="28"/>
      <c r="QHI26" s="28"/>
      <c r="QHJ26" s="28"/>
      <c r="QHK26" s="28"/>
      <c r="QHL26" s="28"/>
      <c r="QHM26" s="28"/>
      <c r="QHN26" s="28"/>
      <c r="QHO26" s="28"/>
      <c r="QHP26" s="28"/>
      <c r="QHQ26" s="28"/>
      <c r="QHR26" s="28"/>
      <c r="QHS26" s="28"/>
      <c r="QHT26" s="28"/>
      <c r="QHU26" s="28"/>
      <c r="QHV26" s="28"/>
      <c r="QHW26" s="28"/>
      <c r="QHX26" s="28"/>
      <c r="QHY26" s="28"/>
      <c r="QHZ26" s="28"/>
      <c r="QIA26" s="28"/>
      <c r="QIB26" s="28"/>
      <c r="QIC26" s="28"/>
      <c r="QID26" s="28"/>
      <c r="QIE26" s="28"/>
      <c r="QIF26" s="28"/>
      <c r="QIG26" s="28"/>
      <c r="QIH26" s="28"/>
      <c r="QII26" s="28"/>
      <c r="QIJ26" s="28"/>
      <c r="QIK26" s="28"/>
      <c r="QIL26" s="28"/>
      <c r="QIM26" s="28"/>
      <c r="QIN26" s="28"/>
      <c r="QIO26" s="28"/>
      <c r="QIP26" s="28"/>
      <c r="QIQ26" s="28"/>
      <c r="QIR26" s="28"/>
      <c r="QIS26" s="28"/>
      <c r="QIT26" s="28"/>
      <c r="QIU26" s="28"/>
      <c r="QIV26" s="28"/>
      <c r="QIW26" s="28"/>
      <c r="QIX26" s="28"/>
      <c r="QIY26" s="28"/>
      <c r="QIZ26" s="28"/>
      <c r="QJA26" s="28"/>
      <c r="QJB26" s="28"/>
      <c r="QJC26" s="28"/>
      <c r="QJD26" s="28"/>
      <c r="QJE26" s="28"/>
      <c r="QJF26" s="28"/>
      <c r="QJG26" s="28"/>
      <c r="QJH26" s="28"/>
      <c r="QJI26" s="28"/>
      <c r="QJJ26" s="28"/>
      <c r="QJK26" s="28"/>
      <c r="QJL26" s="28"/>
      <c r="QJM26" s="28"/>
      <c r="QJN26" s="28"/>
      <c r="QJO26" s="28"/>
      <c r="QJP26" s="28"/>
      <c r="QJQ26" s="28"/>
      <c r="QJR26" s="28"/>
      <c r="QJS26" s="28"/>
      <c r="QJT26" s="28"/>
      <c r="QJU26" s="28"/>
      <c r="QJV26" s="28"/>
      <c r="QJW26" s="28"/>
      <c r="QJX26" s="28"/>
      <c r="QJY26" s="28"/>
      <c r="QJZ26" s="28"/>
      <c r="QKA26" s="28"/>
      <c r="QKB26" s="28"/>
      <c r="QKC26" s="28"/>
      <c r="QKD26" s="28"/>
      <c r="QKE26" s="28"/>
      <c r="QKF26" s="28"/>
      <c r="QKG26" s="28"/>
      <c r="QKH26" s="28"/>
      <c r="QKI26" s="28"/>
      <c r="QKJ26" s="28"/>
      <c r="QKK26" s="28"/>
      <c r="QKL26" s="28"/>
      <c r="QKM26" s="28"/>
      <c r="QKN26" s="28"/>
      <c r="QKO26" s="28"/>
      <c r="QKP26" s="28"/>
      <c r="QKQ26" s="28"/>
      <c r="QKR26" s="28"/>
      <c r="QKS26" s="28"/>
      <c r="QKT26" s="28"/>
      <c r="QKU26" s="28"/>
      <c r="QKV26" s="28"/>
      <c r="QKW26" s="28"/>
      <c r="QKX26" s="28"/>
      <c r="QKY26" s="28"/>
      <c r="QKZ26" s="28"/>
      <c r="QLA26" s="28"/>
      <c r="QLB26" s="28"/>
      <c r="QLC26" s="28"/>
      <c r="QLD26" s="28"/>
      <c r="QLE26" s="28"/>
      <c r="QLF26" s="28"/>
      <c r="QLG26" s="28"/>
      <c r="QLH26" s="28"/>
      <c r="QLI26" s="28"/>
      <c r="QLJ26" s="28"/>
      <c r="QLK26" s="28"/>
      <c r="QLL26" s="28"/>
      <c r="QLM26" s="28"/>
      <c r="QLN26" s="28"/>
      <c r="QLO26" s="28"/>
      <c r="QLP26" s="28"/>
      <c r="QLQ26" s="28"/>
      <c r="QLR26" s="28"/>
      <c r="QLS26" s="28"/>
      <c r="QLT26" s="28"/>
      <c r="QLU26" s="28"/>
      <c r="QLV26" s="28"/>
      <c r="QLW26" s="28"/>
      <c r="QLX26" s="28"/>
      <c r="QLY26" s="28"/>
      <c r="QLZ26" s="28"/>
      <c r="QMA26" s="28"/>
      <c r="QMB26" s="28"/>
      <c r="QMC26" s="28"/>
      <c r="QMD26" s="28"/>
      <c r="QME26" s="28"/>
      <c r="QMF26" s="28"/>
      <c r="QMG26" s="28"/>
      <c r="QMH26" s="28"/>
      <c r="QMI26" s="28"/>
      <c r="QMJ26" s="28"/>
      <c r="QMK26" s="28"/>
      <c r="QML26" s="28"/>
      <c r="QMM26" s="28"/>
      <c r="QMN26" s="28"/>
      <c r="QMO26" s="28"/>
      <c r="QMP26" s="28"/>
      <c r="QMQ26" s="28"/>
      <c r="QMR26" s="28"/>
      <c r="QMS26" s="28"/>
      <c r="QMT26" s="28"/>
      <c r="QMU26" s="28"/>
      <c r="QMV26" s="28"/>
      <c r="QMW26" s="28"/>
      <c r="QMX26" s="28"/>
      <c r="QMY26" s="28"/>
      <c r="QMZ26" s="28"/>
      <c r="QNA26" s="28"/>
      <c r="QNB26" s="28"/>
      <c r="QNC26" s="28"/>
      <c r="QND26" s="28"/>
      <c r="QNE26" s="28"/>
      <c r="QNF26" s="28"/>
      <c r="QNG26" s="28"/>
      <c r="QNH26" s="28"/>
      <c r="QNI26" s="28"/>
      <c r="QNJ26" s="28"/>
      <c r="QNK26" s="28"/>
      <c r="QNL26" s="28"/>
      <c r="QNM26" s="28"/>
      <c r="QNN26" s="28"/>
      <c r="QNO26" s="28"/>
      <c r="QNP26" s="28"/>
      <c r="QNQ26" s="28"/>
      <c r="QNR26" s="28"/>
      <c r="QNS26" s="28"/>
      <c r="QNT26" s="28"/>
      <c r="QNU26" s="28"/>
      <c r="QNV26" s="28"/>
      <c r="QNW26" s="28"/>
      <c r="QNX26" s="28"/>
      <c r="QNY26" s="28"/>
      <c r="QNZ26" s="28"/>
      <c r="QOA26" s="28"/>
      <c r="QOB26" s="28"/>
      <c r="QOC26" s="28"/>
      <c r="QOD26" s="28"/>
      <c r="QOE26" s="28"/>
      <c r="QOF26" s="28"/>
      <c r="QOG26" s="28"/>
      <c r="QOH26" s="28"/>
      <c r="QOI26" s="28"/>
      <c r="QOJ26" s="28"/>
      <c r="QOK26" s="28"/>
      <c r="QOL26" s="28"/>
      <c r="QOM26" s="28"/>
      <c r="QON26" s="28"/>
      <c r="QOO26" s="28"/>
      <c r="QOP26" s="28"/>
      <c r="QOQ26" s="28"/>
      <c r="QOR26" s="28"/>
      <c r="QOS26" s="28"/>
      <c r="QOT26" s="28"/>
      <c r="QOU26" s="28"/>
      <c r="QOV26" s="28"/>
      <c r="QOW26" s="28"/>
      <c r="QOX26" s="28"/>
      <c r="QOY26" s="28"/>
      <c r="QOZ26" s="28"/>
      <c r="QPA26" s="28"/>
      <c r="QPB26" s="28"/>
      <c r="QPC26" s="28"/>
      <c r="QPD26" s="28"/>
      <c r="QPE26" s="28"/>
      <c r="QPF26" s="28"/>
      <c r="QPG26" s="28"/>
      <c r="QPH26" s="28"/>
      <c r="QPI26" s="28"/>
      <c r="QPJ26" s="28"/>
      <c r="QPK26" s="28"/>
      <c r="QPL26" s="28"/>
      <c r="QPM26" s="28"/>
      <c r="QPN26" s="28"/>
      <c r="QPO26" s="28"/>
      <c r="QPP26" s="28"/>
      <c r="QPQ26" s="28"/>
      <c r="QPR26" s="28"/>
      <c r="QPS26" s="28"/>
      <c r="QPT26" s="28"/>
      <c r="QPU26" s="28"/>
      <c r="QPV26" s="28"/>
      <c r="QPW26" s="28"/>
      <c r="QPX26" s="28"/>
      <c r="QPY26" s="28"/>
      <c r="QPZ26" s="28"/>
      <c r="QQA26" s="28"/>
      <c r="QQB26" s="28"/>
      <c r="QQC26" s="28"/>
      <c r="QQD26" s="28"/>
      <c r="QQE26" s="28"/>
      <c r="QQF26" s="28"/>
      <c r="QQG26" s="28"/>
      <c r="QQH26" s="28"/>
      <c r="QQI26" s="28"/>
      <c r="QQJ26" s="28"/>
      <c r="QQK26" s="28"/>
      <c r="QQL26" s="28"/>
      <c r="QQM26" s="28"/>
      <c r="QQN26" s="28"/>
      <c r="QQO26" s="28"/>
      <c r="QQP26" s="28"/>
      <c r="QQQ26" s="28"/>
      <c r="QQR26" s="28"/>
      <c r="QQS26" s="28"/>
      <c r="QQT26" s="28"/>
      <c r="QQU26" s="28"/>
      <c r="QQV26" s="28"/>
      <c r="QQW26" s="28"/>
      <c r="QQX26" s="28"/>
      <c r="QQY26" s="28"/>
      <c r="QQZ26" s="28"/>
      <c r="QRA26" s="28"/>
      <c r="QRB26" s="28"/>
      <c r="QRC26" s="28"/>
      <c r="QRD26" s="28"/>
      <c r="QRE26" s="28"/>
      <c r="QRF26" s="28"/>
      <c r="QRG26" s="28"/>
      <c r="QRH26" s="28"/>
      <c r="QRI26" s="28"/>
      <c r="QRJ26" s="28"/>
      <c r="QRK26" s="28"/>
      <c r="QRL26" s="28"/>
      <c r="QRM26" s="28"/>
      <c r="QRN26" s="28"/>
      <c r="QRO26" s="28"/>
      <c r="QRP26" s="28"/>
      <c r="QRQ26" s="28"/>
      <c r="QRR26" s="28"/>
      <c r="QRS26" s="28"/>
      <c r="QRT26" s="28"/>
      <c r="QRU26" s="28"/>
      <c r="QRV26" s="28"/>
      <c r="QRW26" s="28"/>
      <c r="QRX26" s="28"/>
      <c r="QRY26" s="28"/>
      <c r="QRZ26" s="28"/>
      <c r="QSA26" s="28"/>
      <c r="QSB26" s="28"/>
      <c r="QSC26" s="28"/>
      <c r="QSD26" s="28"/>
      <c r="QSE26" s="28"/>
      <c r="QSF26" s="28"/>
      <c r="QSG26" s="28"/>
      <c r="QSH26" s="28"/>
      <c r="QSI26" s="28"/>
      <c r="QSJ26" s="28"/>
      <c r="QSK26" s="28"/>
      <c r="QSL26" s="28"/>
      <c r="QSM26" s="28"/>
      <c r="QSN26" s="28"/>
      <c r="QSO26" s="28"/>
      <c r="QSP26" s="28"/>
      <c r="QSQ26" s="28"/>
      <c r="QSR26" s="28"/>
      <c r="QSS26" s="28"/>
      <c r="QST26" s="28"/>
      <c r="QSU26" s="28"/>
      <c r="QSV26" s="28"/>
      <c r="QSW26" s="28"/>
      <c r="QSX26" s="28"/>
      <c r="QSY26" s="28"/>
      <c r="QSZ26" s="28"/>
      <c r="QTA26" s="28"/>
      <c r="QTB26" s="28"/>
      <c r="QTC26" s="28"/>
      <c r="QTD26" s="28"/>
      <c r="QTE26" s="28"/>
      <c r="QTF26" s="28"/>
      <c r="QTG26" s="28"/>
      <c r="QTH26" s="28"/>
      <c r="QTI26" s="28"/>
      <c r="QTJ26" s="28"/>
      <c r="QTK26" s="28"/>
      <c r="QTL26" s="28"/>
      <c r="QTM26" s="28"/>
      <c r="QTN26" s="28"/>
      <c r="QTO26" s="28"/>
      <c r="QTP26" s="28"/>
      <c r="QTQ26" s="28"/>
      <c r="QTR26" s="28"/>
      <c r="QTS26" s="28"/>
      <c r="QTT26" s="28"/>
      <c r="QTU26" s="28"/>
      <c r="QTV26" s="28"/>
      <c r="QTW26" s="28"/>
      <c r="QTX26" s="28"/>
      <c r="QTY26" s="28"/>
      <c r="QTZ26" s="28"/>
      <c r="QUA26" s="28"/>
      <c r="QUB26" s="28"/>
      <c r="QUC26" s="28"/>
      <c r="QUD26" s="28"/>
      <c r="QUE26" s="28"/>
      <c r="QUF26" s="28"/>
      <c r="QUG26" s="28"/>
      <c r="QUH26" s="28"/>
      <c r="QUI26" s="28"/>
      <c r="QUJ26" s="28"/>
      <c r="QUK26" s="28"/>
      <c r="QUL26" s="28"/>
      <c r="QUM26" s="28"/>
      <c r="QUN26" s="28"/>
      <c r="QUO26" s="28"/>
      <c r="QUP26" s="28"/>
      <c r="QUQ26" s="28"/>
      <c r="QUR26" s="28"/>
      <c r="QUS26" s="28"/>
      <c r="QUT26" s="28"/>
      <c r="QUU26" s="28"/>
      <c r="QUV26" s="28"/>
      <c r="QUW26" s="28"/>
      <c r="QUX26" s="28"/>
      <c r="QUY26" s="28"/>
      <c r="QUZ26" s="28"/>
      <c r="QVA26" s="28"/>
      <c r="QVB26" s="28"/>
      <c r="QVC26" s="28"/>
      <c r="QVD26" s="28"/>
      <c r="QVE26" s="28"/>
      <c r="QVF26" s="28"/>
      <c r="QVG26" s="28"/>
      <c r="QVH26" s="28"/>
      <c r="QVI26" s="28"/>
      <c r="QVJ26" s="28"/>
      <c r="QVK26" s="28"/>
      <c r="QVL26" s="28"/>
      <c r="QVM26" s="28"/>
      <c r="QVN26" s="28"/>
      <c r="QVO26" s="28"/>
      <c r="QVP26" s="28"/>
      <c r="QVQ26" s="28"/>
      <c r="QVR26" s="28"/>
      <c r="QVS26" s="28"/>
      <c r="QVT26" s="28"/>
      <c r="QVU26" s="28"/>
      <c r="QVV26" s="28"/>
      <c r="QVW26" s="28"/>
      <c r="QVX26" s="28"/>
      <c r="QVY26" s="28"/>
      <c r="QVZ26" s="28"/>
      <c r="QWA26" s="28"/>
      <c r="QWB26" s="28"/>
      <c r="QWC26" s="28"/>
      <c r="QWD26" s="28"/>
      <c r="QWE26" s="28"/>
      <c r="QWF26" s="28"/>
      <c r="QWG26" s="28"/>
      <c r="QWH26" s="28"/>
      <c r="QWI26" s="28"/>
      <c r="QWJ26" s="28"/>
      <c r="QWK26" s="28"/>
      <c r="QWL26" s="28"/>
      <c r="QWM26" s="28"/>
      <c r="QWN26" s="28"/>
      <c r="QWO26" s="28"/>
      <c r="QWP26" s="28"/>
      <c r="QWQ26" s="28"/>
      <c r="QWR26" s="28"/>
      <c r="QWS26" s="28"/>
      <c r="QWT26" s="28"/>
      <c r="QWU26" s="28"/>
      <c r="QWV26" s="28"/>
      <c r="QWW26" s="28"/>
      <c r="QWX26" s="28"/>
      <c r="QWY26" s="28"/>
      <c r="QWZ26" s="28"/>
      <c r="QXA26" s="28"/>
      <c r="QXB26" s="28"/>
      <c r="QXC26" s="28"/>
      <c r="QXD26" s="28"/>
      <c r="QXE26" s="28"/>
      <c r="QXF26" s="28"/>
      <c r="QXG26" s="28"/>
      <c r="QXH26" s="28"/>
      <c r="QXI26" s="28"/>
      <c r="QXJ26" s="28"/>
      <c r="QXK26" s="28"/>
      <c r="QXL26" s="28"/>
      <c r="QXM26" s="28"/>
      <c r="QXN26" s="28"/>
      <c r="QXO26" s="28"/>
      <c r="QXP26" s="28"/>
      <c r="QXQ26" s="28"/>
      <c r="QXR26" s="28"/>
      <c r="QXS26" s="28"/>
      <c r="QXT26" s="28"/>
      <c r="QXU26" s="28"/>
      <c r="QXV26" s="28"/>
      <c r="QXW26" s="28"/>
      <c r="QXX26" s="28"/>
      <c r="QXY26" s="28"/>
      <c r="QXZ26" s="28"/>
      <c r="QYA26" s="28"/>
      <c r="QYB26" s="28"/>
      <c r="QYC26" s="28"/>
      <c r="QYD26" s="28"/>
      <c r="QYE26" s="28"/>
      <c r="QYF26" s="28"/>
      <c r="QYG26" s="28"/>
      <c r="QYH26" s="28"/>
      <c r="QYI26" s="28"/>
      <c r="QYJ26" s="28"/>
      <c r="QYK26" s="28"/>
      <c r="QYL26" s="28"/>
      <c r="QYM26" s="28"/>
      <c r="QYN26" s="28"/>
      <c r="QYO26" s="28"/>
      <c r="QYP26" s="28"/>
      <c r="QYQ26" s="28"/>
      <c r="QYR26" s="28"/>
      <c r="QYS26" s="28"/>
      <c r="QYT26" s="28"/>
      <c r="QYU26" s="28"/>
      <c r="QYV26" s="28"/>
      <c r="QYW26" s="28"/>
      <c r="QYX26" s="28"/>
      <c r="QYY26" s="28"/>
      <c r="QYZ26" s="28"/>
      <c r="QZA26" s="28"/>
      <c r="QZB26" s="28"/>
      <c r="QZC26" s="28"/>
      <c r="QZD26" s="28"/>
      <c r="QZE26" s="28"/>
      <c r="QZF26" s="28"/>
      <c r="QZG26" s="28"/>
      <c r="QZH26" s="28"/>
      <c r="QZI26" s="28"/>
      <c r="QZJ26" s="28"/>
      <c r="QZK26" s="28"/>
      <c r="QZL26" s="28"/>
      <c r="QZM26" s="28"/>
      <c r="QZN26" s="28"/>
      <c r="QZO26" s="28"/>
      <c r="QZP26" s="28"/>
      <c r="QZQ26" s="28"/>
      <c r="QZR26" s="28"/>
      <c r="QZS26" s="28"/>
      <c r="QZT26" s="28"/>
      <c r="QZU26" s="28"/>
      <c r="QZV26" s="28"/>
      <c r="QZW26" s="28"/>
      <c r="QZX26" s="28"/>
      <c r="QZY26" s="28"/>
      <c r="QZZ26" s="28"/>
      <c r="RAA26" s="28"/>
      <c r="RAB26" s="28"/>
      <c r="RAC26" s="28"/>
      <c r="RAD26" s="28"/>
      <c r="RAE26" s="28"/>
      <c r="RAF26" s="28"/>
      <c r="RAG26" s="28"/>
      <c r="RAH26" s="28"/>
      <c r="RAI26" s="28"/>
      <c r="RAJ26" s="28"/>
      <c r="RAK26" s="28"/>
      <c r="RAL26" s="28"/>
      <c r="RAM26" s="28"/>
      <c r="RAN26" s="28"/>
      <c r="RAO26" s="28"/>
      <c r="RAP26" s="28"/>
      <c r="RAQ26" s="28"/>
      <c r="RAR26" s="28"/>
      <c r="RAS26" s="28"/>
      <c r="RAT26" s="28"/>
      <c r="RAU26" s="28"/>
      <c r="RAV26" s="28"/>
      <c r="RAW26" s="28"/>
      <c r="RAX26" s="28"/>
      <c r="RAY26" s="28"/>
      <c r="RAZ26" s="28"/>
      <c r="RBA26" s="28"/>
      <c r="RBB26" s="28"/>
      <c r="RBC26" s="28"/>
      <c r="RBD26" s="28"/>
      <c r="RBE26" s="28"/>
      <c r="RBF26" s="28"/>
      <c r="RBG26" s="28"/>
      <c r="RBH26" s="28"/>
      <c r="RBI26" s="28"/>
      <c r="RBJ26" s="28"/>
      <c r="RBK26" s="28"/>
      <c r="RBL26" s="28"/>
      <c r="RBM26" s="28"/>
      <c r="RBN26" s="28"/>
      <c r="RBO26" s="28"/>
      <c r="RBP26" s="28"/>
      <c r="RBQ26" s="28"/>
      <c r="RBR26" s="28"/>
      <c r="RBS26" s="28"/>
      <c r="RBT26" s="28"/>
      <c r="RBU26" s="28"/>
      <c r="RBV26" s="28"/>
      <c r="RBW26" s="28"/>
      <c r="RBX26" s="28"/>
      <c r="RBY26" s="28"/>
      <c r="RBZ26" s="28"/>
      <c r="RCA26" s="28"/>
      <c r="RCB26" s="28"/>
      <c r="RCC26" s="28"/>
      <c r="RCD26" s="28"/>
      <c r="RCE26" s="28"/>
      <c r="RCF26" s="28"/>
      <c r="RCG26" s="28"/>
      <c r="RCH26" s="28"/>
      <c r="RCI26" s="28"/>
      <c r="RCJ26" s="28"/>
      <c r="RCK26" s="28"/>
      <c r="RCL26" s="28"/>
      <c r="RCM26" s="28"/>
      <c r="RCN26" s="28"/>
      <c r="RCO26" s="28"/>
      <c r="RCP26" s="28"/>
      <c r="RCQ26" s="28"/>
      <c r="RCR26" s="28"/>
      <c r="RCS26" s="28"/>
      <c r="RCT26" s="28"/>
      <c r="RCU26" s="28"/>
      <c r="RCV26" s="28"/>
      <c r="RCW26" s="28"/>
      <c r="RCX26" s="28"/>
      <c r="RCY26" s="28"/>
      <c r="RCZ26" s="28"/>
      <c r="RDA26" s="28"/>
      <c r="RDB26" s="28"/>
      <c r="RDC26" s="28"/>
      <c r="RDD26" s="28"/>
      <c r="RDE26" s="28"/>
      <c r="RDF26" s="28"/>
      <c r="RDG26" s="28"/>
      <c r="RDH26" s="28"/>
      <c r="RDI26" s="28"/>
      <c r="RDJ26" s="28"/>
      <c r="RDK26" s="28"/>
      <c r="RDL26" s="28"/>
      <c r="RDM26" s="28"/>
      <c r="RDN26" s="28"/>
      <c r="RDO26" s="28"/>
      <c r="RDP26" s="28"/>
      <c r="RDQ26" s="28"/>
      <c r="RDR26" s="28"/>
      <c r="RDS26" s="28"/>
      <c r="RDT26" s="28"/>
      <c r="RDU26" s="28"/>
      <c r="RDV26" s="28"/>
      <c r="RDW26" s="28"/>
      <c r="RDX26" s="28"/>
      <c r="RDY26" s="28"/>
      <c r="RDZ26" s="28"/>
      <c r="REA26" s="28"/>
      <c r="REB26" s="28"/>
      <c r="REC26" s="28"/>
      <c r="RED26" s="28"/>
      <c r="REE26" s="28"/>
      <c r="REF26" s="28"/>
      <c r="REG26" s="28"/>
      <c r="REH26" s="28"/>
      <c r="REI26" s="28"/>
      <c r="REJ26" s="28"/>
      <c r="REK26" s="28"/>
      <c r="REL26" s="28"/>
      <c r="REM26" s="28"/>
      <c r="REN26" s="28"/>
      <c r="REO26" s="28"/>
      <c r="REP26" s="28"/>
      <c r="REQ26" s="28"/>
      <c r="RER26" s="28"/>
      <c r="RES26" s="28"/>
      <c r="RET26" s="28"/>
      <c r="REU26" s="28"/>
      <c r="REV26" s="28"/>
      <c r="REW26" s="28"/>
      <c r="REX26" s="28"/>
      <c r="REY26" s="28"/>
      <c r="REZ26" s="28"/>
      <c r="RFA26" s="28"/>
      <c r="RFB26" s="28"/>
      <c r="RFC26" s="28"/>
      <c r="RFD26" s="28"/>
      <c r="RFE26" s="28"/>
      <c r="RFF26" s="28"/>
      <c r="RFG26" s="28"/>
      <c r="RFH26" s="28"/>
      <c r="RFI26" s="28"/>
      <c r="RFJ26" s="28"/>
      <c r="RFK26" s="28"/>
      <c r="RFL26" s="28"/>
      <c r="RFM26" s="28"/>
      <c r="RFN26" s="28"/>
      <c r="RFO26" s="28"/>
      <c r="RFP26" s="28"/>
      <c r="RFQ26" s="28"/>
      <c r="RFR26" s="28"/>
      <c r="RFS26" s="28"/>
      <c r="RFT26" s="28"/>
      <c r="RFU26" s="28"/>
      <c r="RFV26" s="28"/>
      <c r="RFW26" s="28"/>
      <c r="RFX26" s="28"/>
      <c r="RFY26" s="28"/>
      <c r="RFZ26" s="28"/>
      <c r="RGA26" s="28"/>
      <c r="RGB26" s="28"/>
      <c r="RGC26" s="28"/>
      <c r="RGD26" s="28"/>
      <c r="RGE26" s="28"/>
      <c r="RGF26" s="28"/>
      <c r="RGG26" s="28"/>
      <c r="RGH26" s="28"/>
      <c r="RGI26" s="28"/>
      <c r="RGJ26" s="28"/>
      <c r="RGK26" s="28"/>
      <c r="RGL26" s="28"/>
      <c r="RGM26" s="28"/>
      <c r="RGN26" s="28"/>
      <c r="RGO26" s="28"/>
      <c r="RGP26" s="28"/>
      <c r="RGQ26" s="28"/>
      <c r="RGR26" s="28"/>
      <c r="RGS26" s="28"/>
      <c r="RGT26" s="28"/>
      <c r="RGU26" s="28"/>
      <c r="RGV26" s="28"/>
      <c r="RGW26" s="28"/>
      <c r="RGX26" s="28"/>
      <c r="RGY26" s="28"/>
      <c r="RGZ26" s="28"/>
      <c r="RHA26" s="28"/>
      <c r="RHB26" s="28"/>
      <c r="RHC26" s="28"/>
      <c r="RHD26" s="28"/>
      <c r="RHE26" s="28"/>
      <c r="RHF26" s="28"/>
      <c r="RHG26" s="28"/>
      <c r="RHH26" s="28"/>
      <c r="RHI26" s="28"/>
      <c r="RHJ26" s="28"/>
      <c r="RHK26" s="28"/>
      <c r="RHL26" s="28"/>
      <c r="RHM26" s="28"/>
      <c r="RHN26" s="28"/>
      <c r="RHO26" s="28"/>
      <c r="RHP26" s="28"/>
      <c r="RHQ26" s="28"/>
      <c r="RHR26" s="28"/>
      <c r="RHS26" s="28"/>
      <c r="RHT26" s="28"/>
      <c r="RHU26" s="28"/>
      <c r="RHV26" s="28"/>
      <c r="RHW26" s="28"/>
      <c r="RHX26" s="28"/>
      <c r="RHY26" s="28"/>
      <c r="RHZ26" s="28"/>
      <c r="RIA26" s="28"/>
      <c r="RIB26" s="28"/>
      <c r="RIC26" s="28"/>
      <c r="RID26" s="28"/>
      <c r="RIE26" s="28"/>
      <c r="RIF26" s="28"/>
      <c r="RIG26" s="28"/>
      <c r="RIH26" s="28"/>
      <c r="RII26" s="28"/>
      <c r="RIJ26" s="28"/>
      <c r="RIK26" s="28"/>
      <c r="RIL26" s="28"/>
      <c r="RIM26" s="28"/>
      <c r="RIN26" s="28"/>
      <c r="RIO26" s="28"/>
      <c r="RIP26" s="28"/>
      <c r="RIQ26" s="28"/>
      <c r="RIR26" s="28"/>
      <c r="RIS26" s="28"/>
      <c r="RIT26" s="28"/>
      <c r="RIU26" s="28"/>
      <c r="RIV26" s="28"/>
      <c r="RIW26" s="28"/>
      <c r="RIX26" s="28"/>
      <c r="RIY26" s="28"/>
      <c r="RIZ26" s="28"/>
      <c r="RJA26" s="28"/>
      <c r="RJB26" s="28"/>
      <c r="RJC26" s="28"/>
      <c r="RJD26" s="28"/>
      <c r="RJE26" s="28"/>
      <c r="RJF26" s="28"/>
      <c r="RJG26" s="28"/>
      <c r="RJH26" s="28"/>
      <c r="RJI26" s="28"/>
      <c r="RJJ26" s="28"/>
      <c r="RJK26" s="28"/>
      <c r="RJL26" s="28"/>
      <c r="RJM26" s="28"/>
      <c r="RJN26" s="28"/>
      <c r="RJO26" s="28"/>
      <c r="RJP26" s="28"/>
      <c r="RJQ26" s="28"/>
      <c r="RJR26" s="28"/>
      <c r="RJS26" s="28"/>
      <c r="RJT26" s="28"/>
      <c r="RJU26" s="28"/>
      <c r="RJV26" s="28"/>
      <c r="RJW26" s="28"/>
      <c r="RJX26" s="28"/>
      <c r="RJY26" s="28"/>
      <c r="RJZ26" s="28"/>
      <c r="RKA26" s="28"/>
      <c r="RKB26" s="28"/>
      <c r="RKC26" s="28"/>
      <c r="RKD26" s="28"/>
      <c r="RKE26" s="28"/>
      <c r="RKF26" s="28"/>
      <c r="RKG26" s="28"/>
      <c r="RKH26" s="28"/>
      <c r="RKI26" s="28"/>
      <c r="RKJ26" s="28"/>
      <c r="RKK26" s="28"/>
      <c r="RKL26" s="28"/>
      <c r="RKM26" s="28"/>
      <c r="RKN26" s="28"/>
      <c r="RKO26" s="28"/>
      <c r="RKP26" s="28"/>
      <c r="RKQ26" s="28"/>
      <c r="RKR26" s="28"/>
      <c r="RKS26" s="28"/>
      <c r="RKT26" s="28"/>
      <c r="RKU26" s="28"/>
      <c r="RKV26" s="28"/>
      <c r="RKW26" s="28"/>
      <c r="RKX26" s="28"/>
      <c r="RKY26" s="28"/>
      <c r="RKZ26" s="28"/>
      <c r="RLA26" s="28"/>
      <c r="RLB26" s="28"/>
      <c r="RLC26" s="28"/>
      <c r="RLD26" s="28"/>
      <c r="RLE26" s="28"/>
      <c r="RLF26" s="28"/>
      <c r="RLG26" s="28"/>
      <c r="RLH26" s="28"/>
      <c r="RLI26" s="28"/>
      <c r="RLJ26" s="28"/>
      <c r="RLK26" s="28"/>
      <c r="RLL26" s="28"/>
      <c r="RLM26" s="28"/>
      <c r="RLN26" s="28"/>
      <c r="RLO26" s="28"/>
      <c r="RLP26" s="28"/>
      <c r="RLQ26" s="28"/>
      <c r="RLR26" s="28"/>
      <c r="RLS26" s="28"/>
      <c r="RLT26" s="28"/>
      <c r="RLU26" s="28"/>
      <c r="RLV26" s="28"/>
      <c r="RLW26" s="28"/>
      <c r="RLX26" s="28"/>
      <c r="RLY26" s="28"/>
      <c r="RLZ26" s="28"/>
      <c r="RMA26" s="28"/>
      <c r="RMB26" s="28"/>
      <c r="RMC26" s="28"/>
      <c r="RMD26" s="28"/>
      <c r="RME26" s="28"/>
      <c r="RMF26" s="28"/>
      <c r="RMG26" s="28"/>
      <c r="RMH26" s="28"/>
      <c r="RMI26" s="28"/>
      <c r="RMJ26" s="28"/>
      <c r="RMK26" s="28"/>
      <c r="RML26" s="28"/>
      <c r="RMM26" s="28"/>
      <c r="RMN26" s="28"/>
      <c r="RMO26" s="28"/>
      <c r="RMP26" s="28"/>
      <c r="RMQ26" s="28"/>
      <c r="RMR26" s="28"/>
      <c r="RMS26" s="28"/>
      <c r="RMT26" s="28"/>
      <c r="RMU26" s="28"/>
      <c r="RMV26" s="28"/>
      <c r="RMW26" s="28"/>
      <c r="RMX26" s="28"/>
      <c r="RMY26" s="28"/>
      <c r="RMZ26" s="28"/>
      <c r="RNA26" s="28"/>
      <c r="RNB26" s="28"/>
      <c r="RNC26" s="28"/>
      <c r="RND26" s="28"/>
      <c r="RNE26" s="28"/>
      <c r="RNF26" s="28"/>
      <c r="RNG26" s="28"/>
      <c r="RNH26" s="28"/>
      <c r="RNI26" s="28"/>
      <c r="RNJ26" s="28"/>
      <c r="RNK26" s="28"/>
      <c r="RNL26" s="28"/>
      <c r="RNM26" s="28"/>
      <c r="RNN26" s="28"/>
      <c r="RNO26" s="28"/>
      <c r="RNP26" s="28"/>
      <c r="RNQ26" s="28"/>
      <c r="RNR26" s="28"/>
      <c r="RNS26" s="28"/>
      <c r="RNT26" s="28"/>
      <c r="RNU26" s="28"/>
      <c r="RNV26" s="28"/>
      <c r="RNW26" s="28"/>
      <c r="RNX26" s="28"/>
      <c r="RNY26" s="28"/>
      <c r="RNZ26" s="28"/>
      <c r="ROA26" s="28"/>
      <c r="ROB26" s="28"/>
      <c r="ROC26" s="28"/>
      <c r="ROD26" s="28"/>
      <c r="ROE26" s="28"/>
      <c r="ROF26" s="28"/>
      <c r="ROG26" s="28"/>
      <c r="ROH26" s="28"/>
      <c r="ROI26" s="28"/>
      <c r="ROJ26" s="28"/>
      <c r="ROK26" s="28"/>
      <c r="ROL26" s="28"/>
      <c r="ROM26" s="28"/>
      <c r="RON26" s="28"/>
      <c r="ROO26" s="28"/>
      <c r="ROP26" s="28"/>
      <c r="ROQ26" s="28"/>
      <c r="ROR26" s="28"/>
      <c r="ROS26" s="28"/>
      <c r="ROT26" s="28"/>
      <c r="ROU26" s="28"/>
      <c r="ROV26" s="28"/>
      <c r="ROW26" s="28"/>
      <c r="ROX26" s="28"/>
      <c r="ROY26" s="28"/>
      <c r="ROZ26" s="28"/>
      <c r="RPA26" s="28"/>
      <c r="RPB26" s="28"/>
      <c r="RPC26" s="28"/>
      <c r="RPD26" s="28"/>
      <c r="RPE26" s="28"/>
      <c r="RPF26" s="28"/>
      <c r="RPG26" s="28"/>
      <c r="RPH26" s="28"/>
      <c r="RPI26" s="28"/>
      <c r="RPJ26" s="28"/>
      <c r="RPK26" s="28"/>
      <c r="RPL26" s="28"/>
      <c r="RPM26" s="28"/>
      <c r="RPN26" s="28"/>
      <c r="RPO26" s="28"/>
      <c r="RPP26" s="28"/>
      <c r="RPQ26" s="28"/>
      <c r="RPR26" s="28"/>
      <c r="RPS26" s="28"/>
      <c r="RPT26" s="28"/>
      <c r="RPU26" s="28"/>
      <c r="RPV26" s="28"/>
      <c r="RPW26" s="28"/>
      <c r="RPX26" s="28"/>
      <c r="RPY26" s="28"/>
      <c r="RPZ26" s="28"/>
      <c r="RQA26" s="28"/>
      <c r="RQB26" s="28"/>
      <c r="RQC26" s="28"/>
      <c r="RQD26" s="28"/>
      <c r="RQE26" s="28"/>
      <c r="RQF26" s="28"/>
      <c r="RQG26" s="28"/>
      <c r="RQH26" s="28"/>
      <c r="RQI26" s="28"/>
      <c r="RQJ26" s="28"/>
      <c r="RQK26" s="28"/>
      <c r="RQL26" s="28"/>
      <c r="RQM26" s="28"/>
      <c r="RQN26" s="28"/>
      <c r="RQO26" s="28"/>
      <c r="RQP26" s="28"/>
      <c r="RQQ26" s="28"/>
      <c r="RQR26" s="28"/>
      <c r="RQS26" s="28"/>
      <c r="RQT26" s="28"/>
      <c r="RQU26" s="28"/>
      <c r="RQV26" s="28"/>
      <c r="RQW26" s="28"/>
      <c r="RQX26" s="28"/>
      <c r="RQY26" s="28"/>
      <c r="RQZ26" s="28"/>
      <c r="RRA26" s="28"/>
      <c r="RRB26" s="28"/>
      <c r="RRC26" s="28"/>
      <c r="RRD26" s="28"/>
      <c r="RRE26" s="28"/>
      <c r="RRF26" s="28"/>
      <c r="RRG26" s="28"/>
      <c r="RRH26" s="28"/>
      <c r="RRI26" s="28"/>
      <c r="RRJ26" s="28"/>
      <c r="RRK26" s="28"/>
      <c r="RRL26" s="28"/>
      <c r="RRM26" s="28"/>
      <c r="RRN26" s="28"/>
      <c r="RRO26" s="28"/>
      <c r="RRP26" s="28"/>
      <c r="RRQ26" s="28"/>
      <c r="RRR26" s="28"/>
      <c r="RRS26" s="28"/>
      <c r="RRT26" s="28"/>
      <c r="RRU26" s="28"/>
      <c r="RRV26" s="28"/>
      <c r="RRW26" s="28"/>
      <c r="RRX26" s="28"/>
      <c r="RRY26" s="28"/>
      <c r="RRZ26" s="28"/>
      <c r="RSA26" s="28"/>
      <c r="RSB26" s="28"/>
      <c r="RSC26" s="28"/>
      <c r="RSD26" s="28"/>
      <c r="RSE26" s="28"/>
      <c r="RSF26" s="28"/>
      <c r="RSG26" s="28"/>
      <c r="RSH26" s="28"/>
      <c r="RSI26" s="28"/>
      <c r="RSJ26" s="28"/>
      <c r="RSK26" s="28"/>
      <c r="RSL26" s="28"/>
      <c r="RSM26" s="28"/>
      <c r="RSN26" s="28"/>
      <c r="RSO26" s="28"/>
      <c r="RSP26" s="28"/>
      <c r="RSQ26" s="28"/>
      <c r="RSR26" s="28"/>
      <c r="RSS26" s="28"/>
      <c r="RST26" s="28"/>
      <c r="RSU26" s="28"/>
      <c r="RSV26" s="28"/>
      <c r="RSW26" s="28"/>
      <c r="RSX26" s="28"/>
      <c r="RSY26" s="28"/>
      <c r="RSZ26" s="28"/>
      <c r="RTA26" s="28"/>
      <c r="RTB26" s="28"/>
      <c r="RTC26" s="28"/>
      <c r="RTD26" s="28"/>
      <c r="RTE26" s="28"/>
      <c r="RTF26" s="28"/>
      <c r="RTG26" s="28"/>
      <c r="RTH26" s="28"/>
      <c r="RTI26" s="28"/>
      <c r="RTJ26" s="28"/>
      <c r="RTK26" s="28"/>
      <c r="RTL26" s="28"/>
      <c r="RTM26" s="28"/>
      <c r="RTN26" s="28"/>
      <c r="RTO26" s="28"/>
      <c r="RTP26" s="28"/>
      <c r="RTQ26" s="28"/>
      <c r="RTR26" s="28"/>
      <c r="RTS26" s="28"/>
      <c r="RTT26" s="28"/>
      <c r="RTU26" s="28"/>
      <c r="RTV26" s="28"/>
      <c r="RTW26" s="28"/>
      <c r="RTX26" s="28"/>
      <c r="RTY26" s="28"/>
      <c r="RTZ26" s="28"/>
      <c r="RUA26" s="28"/>
      <c r="RUB26" s="28"/>
      <c r="RUC26" s="28"/>
      <c r="RUD26" s="28"/>
      <c r="RUE26" s="28"/>
      <c r="RUF26" s="28"/>
      <c r="RUG26" s="28"/>
      <c r="RUH26" s="28"/>
      <c r="RUI26" s="28"/>
      <c r="RUJ26" s="28"/>
      <c r="RUK26" s="28"/>
      <c r="RUL26" s="28"/>
      <c r="RUM26" s="28"/>
      <c r="RUN26" s="28"/>
      <c r="RUO26" s="28"/>
      <c r="RUP26" s="28"/>
      <c r="RUQ26" s="28"/>
      <c r="RUR26" s="28"/>
      <c r="RUS26" s="28"/>
      <c r="RUT26" s="28"/>
      <c r="RUU26" s="28"/>
      <c r="RUV26" s="28"/>
      <c r="RUW26" s="28"/>
      <c r="RUX26" s="28"/>
      <c r="RUY26" s="28"/>
      <c r="RUZ26" s="28"/>
      <c r="RVA26" s="28"/>
      <c r="RVB26" s="28"/>
      <c r="RVC26" s="28"/>
      <c r="RVD26" s="28"/>
      <c r="RVE26" s="28"/>
      <c r="RVF26" s="28"/>
      <c r="RVG26" s="28"/>
      <c r="RVH26" s="28"/>
      <c r="RVI26" s="28"/>
      <c r="RVJ26" s="28"/>
      <c r="RVK26" s="28"/>
      <c r="RVL26" s="28"/>
      <c r="RVM26" s="28"/>
      <c r="RVN26" s="28"/>
      <c r="RVO26" s="28"/>
      <c r="RVP26" s="28"/>
      <c r="RVQ26" s="28"/>
      <c r="RVR26" s="28"/>
      <c r="RVS26" s="28"/>
      <c r="RVT26" s="28"/>
      <c r="RVU26" s="28"/>
      <c r="RVV26" s="28"/>
      <c r="RVW26" s="28"/>
      <c r="RVX26" s="28"/>
      <c r="RVY26" s="28"/>
      <c r="RVZ26" s="28"/>
      <c r="RWA26" s="28"/>
      <c r="RWB26" s="28"/>
      <c r="RWC26" s="28"/>
      <c r="RWD26" s="28"/>
      <c r="RWE26" s="28"/>
      <c r="RWF26" s="28"/>
      <c r="RWG26" s="28"/>
      <c r="RWH26" s="28"/>
      <c r="RWI26" s="28"/>
      <c r="RWJ26" s="28"/>
      <c r="RWK26" s="28"/>
      <c r="RWL26" s="28"/>
      <c r="RWM26" s="28"/>
      <c r="RWN26" s="28"/>
      <c r="RWO26" s="28"/>
      <c r="RWP26" s="28"/>
      <c r="RWQ26" s="28"/>
      <c r="RWR26" s="28"/>
      <c r="RWS26" s="28"/>
      <c r="RWT26" s="28"/>
      <c r="RWU26" s="28"/>
      <c r="RWV26" s="28"/>
      <c r="RWW26" s="28"/>
      <c r="RWX26" s="28"/>
      <c r="RWY26" s="28"/>
      <c r="RWZ26" s="28"/>
      <c r="RXA26" s="28"/>
      <c r="RXB26" s="28"/>
      <c r="RXC26" s="28"/>
      <c r="RXD26" s="28"/>
      <c r="RXE26" s="28"/>
      <c r="RXF26" s="28"/>
      <c r="RXG26" s="28"/>
      <c r="RXH26" s="28"/>
      <c r="RXI26" s="28"/>
      <c r="RXJ26" s="28"/>
      <c r="RXK26" s="28"/>
      <c r="RXL26" s="28"/>
      <c r="RXM26" s="28"/>
      <c r="RXN26" s="28"/>
      <c r="RXO26" s="28"/>
      <c r="RXP26" s="28"/>
      <c r="RXQ26" s="28"/>
      <c r="RXR26" s="28"/>
      <c r="RXS26" s="28"/>
      <c r="RXT26" s="28"/>
      <c r="RXU26" s="28"/>
      <c r="RXV26" s="28"/>
      <c r="RXW26" s="28"/>
      <c r="RXX26" s="28"/>
      <c r="RXY26" s="28"/>
      <c r="RXZ26" s="28"/>
      <c r="RYA26" s="28"/>
      <c r="RYB26" s="28"/>
      <c r="RYC26" s="28"/>
      <c r="RYD26" s="28"/>
      <c r="RYE26" s="28"/>
      <c r="RYF26" s="28"/>
      <c r="RYG26" s="28"/>
      <c r="RYH26" s="28"/>
      <c r="RYI26" s="28"/>
      <c r="RYJ26" s="28"/>
      <c r="RYK26" s="28"/>
      <c r="RYL26" s="28"/>
      <c r="RYM26" s="28"/>
      <c r="RYN26" s="28"/>
      <c r="RYO26" s="28"/>
      <c r="RYP26" s="28"/>
      <c r="RYQ26" s="28"/>
      <c r="RYR26" s="28"/>
      <c r="RYS26" s="28"/>
      <c r="RYT26" s="28"/>
      <c r="RYU26" s="28"/>
      <c r="RYV26" s="28"/>
      <c r="RYW26" s="28"/>
      <c r="RYX26" s="28"/>
      <c r="RYY26" s="28"/>
      <c r="RYZ26" s="28"/>
      <c r="RZA26" s="28"/>
      <c r="RZB26" s="28"/>
      <c r="RZC26" s="28"/>
      <c r="RZD26" s="28"/>
      <c r="RZE26" s="28"/>
      <c r="RZF26" s="28"/>
      <c r="RZG26" s="28"/>
      <c r="RZH26" s="28"/>
      <c r="RZI26" s="28"/>
      <c r="RZJ26" s="28"/>
      <c r="RZK26" s="28"/>
      <c r="RZL26" s="28"/>
      <c r="RZM26" s="28"/>
      <c r="RZN26" s="28"/>
      <c r="RZO26" s="28"/>
      <c r="RZP26" s="28"/>
      <c r="RZQ26" s="28"/>
      <c r="RZR26" s="28"/>
      <c r="RZS26" s="28"/>
      <c r="RZT26" s="28"/>
      <c r="RZU26" s="28"/>
      <c r="RZV26" s="28"/>
      <c r="RZW26" s="28"/>
      <c r="RZX26" s="28"/>
      <c r="RZY26" s="28"/>
      <c r="RZZ26" s="28"/>
      <c r="SAA26" s="28"/>
      <c r="SAB26" s="28"/>
      <c r="SAC26" s="28"/>
      <c r="SAD26" s="28"/>
      <c r="SAE26" s="28"/>
      <c r="SAF26" s="28"/>
      <c r="SAG26" s="28"/>
      <c r="SAH26" s="28"/>
      <c r="SAI26" s="28"/>
      <c r="SAJ26" s="28"/>
      <c r="SAK26" s="28"/>
      <c r="SAL26" s="28"/>
      <c r="SAM26" s="28"/>
      <c r="SAN26" s="28"/>
      <c r="SAO26" s="28"/>
      <c r="SAP26" s="28"/>
      <c r="SAQ26" s="28"/>
      <c r="SAR26" s="28"/>
      <c r="SAS26" s="28"/>
      <c r="SAT26" s="28"/>
      <c r="SAU26" s="28"/>
      <c r="SAV26" s="28"/>
      <c r="SAW26" s="28"/>
      <c r="SAX26" s="28"/>
      <c r="SAY26" s="28"/>
      <c r="SAZ26" s="28"/>
      <c r="SBA26" s="28"/>
      <c r="SBB26" s="28"/>
      <c r="SBC26" s="28"/>
      <c r="SBD26" s="28"/>
      <c r="SBE26" s="28"/>
      <c r="SBF26" s="28"/>
      <c r="SBG26" s="28"/>
      <c r="SBH26" s="28"/>
      <c r="SBI26" s="28"/>
      <c r="SBJ26" s="28"/>
      <c r="SBK26" s="28"/>
      <c r="SBL26" s="28"/>
      <c r="SBM26" s="28"/>
      <c r="SBN26" s="28"/>
      <c r="SBO26" s="28"/>
      <c r="SBP26" s="28"/>
      <c r="SBQ26" s="28"/>
      <c r="SBR26" s="28"/>
      <c r="SBS26" s="28"/>
      <c r="SBT26" s="28"/>
      <c r="SBU26" s="28"/>
      <c r="SBV26" s="28"/>
      <c r="SBW26" s="28"/>
      <c r="SBX26" s="28"/>
      <c r="SBY26" s="28"/>
      <c r="SBZ26" s="28"/>
      <c r="SCA26" s="28"/>
      <c r="SCB26" s="28"/>
      <c r="SCC26" s="28"/>
      <c r="SCD26" s="28"/>
      <c r="SCE26" s="28"/>
      <c r="SCF26" s="28"/>
      <c r="SCG26" s="28"/>
      <c r="SCH26" s="28"/>
      <c r="SCI26" s="28"/>
      <c r="SCJ26" s="28"/>
      <c r="SCK26" s="28"/>
      <c r="SCL26" s="28"/>
      <c r="SCM26" s="28"/>
      <c r="SCN26" s="28"/>
      <c r="SCO26" s="28"/>
      <c r="SCP26" s="28"/>
      <c r="SCQ26" s="28"/>
      <c r="SCR26" s="28"/>
      <c r="SCS26" s="28"/>
      <c r="SCT26" s="28"/>
      <c r="SCU26" s="28"/>
      <c r="SCV26" s="28"/>
      <c r="SCW26" s="28"/>
      <c r="SCX26" s="28"/>
      <c r="SCY26" s="28"/>
      <c r="SCZ26" s="28"/>
      <c r="SDA26" s="28"/>
      <c r="SDB26" s="28"/>
      <c r="SDC26" s="28"/>
      <c r="SDD26" s="28"/>
      <c r="SDE26" s="28"/>
      <c r="SDF26" s="28"/>
      <c r="SDG26" s="28"/>
      <c r="SDH26" s="28"/>
      <c r="SDI26" s="28"/>
      <c r="SDJ26" s="28"/>
      <c r="SDK26" s="28"/>
      <c r="SDL26" s="28"/>
      <c r="SDM26" s="28"/>
      <c r="SDN26" s="28"/>
      <c r="SDO26" s="28"/>
      <c r="SDP26" s="28"/>
      <c r="SDQ26" s="28"/>
      <c r="SDR26" s="28"/>
      <c r="SDS26" s="28"/>
      <c r="SDT26" s="28"/>
      <c r="SDU26" s="28"/>
      <c r="SDV26" s="28"/>
      <c r="SDW26" s="28"/>
      <c r="SDX26" s="28"/>
      <c r="SDY26" s="28"/>
      <c r="SDZ26" s="28"/>
      <c r="SEA26" s="28"/>
      <c r="SEB26" s="28"/>
      <c r="SEC26" s="28"/>
      <c r="SED26" s="28"/>
      <c r="SEE26" s="28"/>
      <c r="SEF26" s="28"/>
      <c r="SEG26" s="28"/>
      <c r="SEH26" s="28"/>
      <c r="SEI26" s="28"/>
      <c r="SEJ26" s="28"/>
      <c r="SEK26" s="28"/>
      <c r="SEL26" s="28"/>
      <c r="SEM26" s="28"/>
      <c r="SEN26" s="28"/>
      <c r="SEO26" s="28"/>
      <c r="SEP26" s="28"/>
      <c r="SEQ26" s="28"/>
      <c r="SER26" s="28"/>
      <c r="SES26" s="28"/>
      <c r="SET26" s="28"/>
      <c r="SEU26" s="28"/>
      <c r="SEV26" s="28"/>
      <c r="SEW26" s="28"/>
      <c r="SEX26" s="28"/>
      <c r="SEY26" s="28"/>
      <c r="SEZ26" s="28"/>
      <c r="SFA26" s="28"/>
      <c r="SFB26" s="28"/>
      <c r="SFC26" s="28"/>
      <c r="SFD26" s="28"/>
      <c r="SFE26" s="28"/>
      <c r="SFF26" s="28"/>
      <c r="SFG26" s="28"/>
      <c r="SFH26" s="28"/>
      <c r="SFI26" s="28"/>
      <c r="SFJ26" s="28"/>
      <c r="SFK26" s="28"/>
      <c r="SFL26" s="28"/>
      <c r="SFM26" s="28"/>
      <c r="SFN26" s="28"/>
      <c r="SFO26" s="28"/>
      <c r="SFP26" s="28"/>
      <c r="SFQ26" s="28"/>
      <c r="SFR26" s="28"/>
      <c r="SFS26" s="28"/>
      <c r="SFT26" s="28"/>
      <c r="SFU26" s="28"/>
      <c r="SFV26" s="28"/>
      <c r="SFW26" s="28"/>
      <c r="SFX26" s="28"/>
      <c r="SFY26" s="28"/>
      <c r="SFZ26" s="28"/>
      <c r="SGA26" s="28"/>
      <c r="SGB26" s="28"/>
      <c r="SGC26" s="28"/>
      <c r="SGD26" s="28"/>
      <c r="SGE26" s="28"/>
      <c r="SGF26" s="28"/>
      <c r="SGG26" s="28"/>
      <c r="SGH26" s="28"/>
      <c r="SGI26" s="28"/>
      <c r="SGJ26" s="28"/>
      <c r="SGK26" s="28"/>
      <c r="SGL26" s="28"/>
      <c r="SGM26" s="28"/>
      <c r="SGN26" s="28"/>
      <c r="SGO26" s="28"/>
      <c r="SGP26" s="28"/>
      <c r="SGQ26" s="28"/>
      <c r="SGR26" s="28"/>
      <c r="SGS26" s="28"/>
      <c r="SGT26" s="28"/>
      <c r="SGU26" s="28"/>
      <c r="SGV26" s="28"/>
      <c r="SGW26" s="28"/>
      <c r="SGX26" s="28"/>
      <c r="SGY26" s="28"/>
      <c r="SGZ26" s="28"/>
      <c r="SHA26" s="28"/>
      <c r="SHB26" s="28"/>
      <c r="SHC26" s="28"/>
      <c r="SHD26" s="28"/>
      <c r="SHE26" s="28"/>
      <c r="SHF26" s="28"/>
      <c r="SHG26" s="28"/>
      <c r="SHH26" s="28"/>
      <c r="SHI26" s="28"/>
      <c r="SHJ26" s="28"/>
      <c r="SHK26" s="28"/>
      <c r="SHL26" s="28"/>
      <c r="SHM26" s="28"/>
      <c r="SHN26" s="28"/>
      <c r="SHO26" s="28"/>
      <c r="SHP26" s="28"/>
      <c r="SHQ26" s="28"/>
      <c r="SHR26" s="28"/>
      <c r="SHS26" s="28"/>
      <c r="SHT26" s="28"/>
      <c r="SHU26" s="28"/>
      <c r="SHV26" s="28"/>
      <c r="SHW26" s="28"/>
      <c r="SHX26" s="28"/>
      <c r="SHY26" s="28"/>
      <c r="SHZ26" s="28"/>
      <c r="SIA26" s="28"/>
      <c r="SIB26" s="28"/>
      <c r="SIC26" s="28"/>
      <c r="SID26" s="28"/>
      <c r="SIE26" s="28"/>
      <c r="SIF26" s="28"/>
      <c r="SIG26" s="28"/>
      <c r="SIH26" s="28"/>
      <c r="SII26" s="28"/>
      <c r="SIJ26" s="28"/>
      <c r="SIK26" s="28"/>
      <c r="SIL26" s="28"/>
      <c r="SIM26" s="28"/>
      <c r="SIN26" s="28"/>
      <c r="SIO26" s="28"/>
      <c r="SIP26" s="28"/>
      <c r="SIQ26" s="28"/>
      <c r="SIR26" s="28"/>
      <c r="SIS26" s="28"/>
      <c r="SIT26" s="28"/>
      <c r="SIU26" s="28"/>
      <c r="SIV26" s="28"/>
      <c r="SIW26" s="28"/>
      <c r="SIX26" s="28"/>
      <c r="SIY26" s="28"/>
      <c r="SIZ26" s="28"/>
      <c r="SJA26" s="28"/>
      <c r="SJB26" s="28"/>
      <c r="SJC26" s="28"/>
      <c r="SJD26" s="28"/>
      <c r="SJE26" s="28"/>
      <c r="SJF26" s="28"/>
      <c r="SJG26" s="28"/>
      <c r="SJH26" s="28"/>
      <c r="SJI26" s="28"/>
      <c r="SJJ26" s="28"/>
      <c r="SJK26" s="28"/>
      <c r="SJL26" s="28"/>
      <c r="SJM26" s="28"/>
      <c r="SJN26" s="28"/>
      <c r="SJO26" s="28"/>
      <c r="SJP26" s="28"/>
      <c r="SJQ26" s="28"/>
      <c r="SJR26" s="28"/>
      <c r="SJS26" s="28"/>
      <c r="SJT26" s="28"/>
      <c r="SJU26" s="28"/>
      <c r="SJV26" s="28"/>
      <c r="SJW26" s="28"/>
      <c r="SJX26" s="28"/>
      <c r="SJY26" s="28"/>
      <c r="SJZ26" s="28"/>
      <c r="SKA26" s="28"/>
      <c r="SKB26" s="28"/>
      <c r="SKC26" s="28"/>
      <c r="SKD26" s="28"/>
      <c r="SKE26" s="28"/>
      <c r="SKF26" s="28"/>
      <c r="SKG26" s="28"/>
      <c r="SKH26" s="28"/>
      <c r="SKI26" s="28"/>
      <c r="SKJ26" s="28"/>
      <c r="SKK26" s="28"/>
      <c r="SKL26" s="28"/>
      <c r="SKM26" s="28"/>
      <c r="SKN26" s="28"/>
      <c r="SKO26" s="28"/>
      <c r="SKP26" s="28"/>
      <c r="SKQ26" s="28"/>
      <c r="SKR26" s="28"/>
      <c r="SKS26" s="28"/>
      <c r="SKT26" s="28"/>
      <c r="SKU26" s="28"/>
      <c r="SKV26" s="28"/>
      <c r="SKW26" s="28"/>
      <c r="SKX26" s="28"/>
      <c r="SKY26" s="28"/>
      <c r="SKZ26" s="28"/>
      <c r="SLA26" s="28"/>
      <c r="SLB26" s="28"/>
      <c r="SLC26" s="28"/>
      <c r="SLD26" s="28"/>
      <c r="SLE26" s="28"/>
      <c r="SLF26" s="28"/>
      <c r="SLG26" s="28"/>
      <c r="SLH26" s="28"/>
      <c r="SLI26" s="28"/>
      <c r="SLJ26" s="28"/>
      <c r="SLK26" s="28"/>
      <c r="SLL26" s="28"/>
      <c r="SLM26" s="28"/>
      <c r="SLN26" s="28"/>
      <c r="SLO26" s="28"/>
      <c r="SLP26" s="28"/>
      <c r="SLQ26" s="28"/>
      <c r="SLR26" s="28"/>
      <c r="SLS26" s="28"/>
      <c r="SLT26" s="28"/>
      <c r="SLU26" s="28"/>
      <c r="SLV26" s="28"/>
      <c r="SLW26" s="28"/>
      <c r="SLX26" s="28"/>
      <c r="SLY26" s="28"/>
      <c r="SLZ26" s="28"/>
      <c r="SMA26" s="28"/>
      <c r="SMB26" s="28"/>
      <c r="SMC26" s="28"/>
      <c r="SMD26" s="28"/>
      <c r="SME26" s="28"/>
      <c r="SMF26" s="28"/>
      <c r="SMG26" s="28"/>
      <c r="SMH26" s="28"/>
      <c r="SMI26" s="28"/>
      <c r="SMJ26" s="28"/>
      <c r="SMK26" s="28"/>
      <c r="SML26" s="28"/>
      <c r="SMM26" s="28"/>
      <c r="SMN26" s="28"/>
      <c r="SMO26" s="28"/>
      <c r="SMP26" s="28"/>
      <c r="SMQ26" s="28"/>
      <c r="SMR26" s="28"/>
      <c r="SMS26" s="28"/>
      <c r="SMT26" s="28"/>
      <c r="SMU26" s="28"/>
      <c r="SMV26" s="28"/>
      <c r="SMW26" s="28"/>
      <c r="SMX26" s="28"/>
      <c r="SMY26" s="28"/>
      <c r="SMZ26" s="28"/>
      <c r="SNA26" s="28"/>
      <c r="SNB26" s="28"/>
      <c r="SNC26" s="28"/>
      <c r="SND26" s="28"/>
      <c r="SNE26" s="28"/>
      <c r="SNF26" s="28"/>
      <c r="SNG26" s="28"/>
      <c r="SNH26" s="28"/>
      <c r="SNI26" s="28"/>
      <c r="SNJ26" s="28"/>
      <c r="SNK26" s="28"/>
      <c r="SNL26" s="28"/>
      <c r="SNM26" s="28"/>
      <c r="SNN26" s="28"/>
      <c r="SNO26" s="28"/>
      <c r="SNP26" s="28"/>
      <c r="SNQ26" s="28"/>
      <c r="SNR26" s="28"/>
      <c r="SNS26" s="28"/>
      <c r="SNT26" s="28"/>
      <c r="SNU26" s="28"/>
      <c r="SNV26" s="28"/>
      <c r="SNW26" s="28"/>
      <c r="SNX26" s="28"/>
      <c r="SNY26" s="28"/>
      <c r="SNZ26" s="28"/>
      <c r="SOA26" s="28"/>
      <c r="SOB26" s="28"/>
      <c r="SOC26" s="28"/>
      <c r="SOD26" s="28"/>
      <c r="SOE26" s="28"/>
      <c r="SOF26" s="28"/>
      <c r="SOG26" s="28"/>
      <c r="SOH26" s="28"/>
      <c r="SOI26" s="28"/>
      <c r="SOJ26" s="28"/>
      <c r="SOK26" s="28"/>
      <c r="SOL26" s="28"/>
      <c r="SOM26" s="28"/>
      <c r="SON26" s="28"/>
      <c r="SOO26" s="28"/>
      <c r="SOP26" s="28"/>
      <c r="SOQ26" s="28"/>
      <c r="SOR26" s="28"/>
      <c r="SOS26" s="28"/>
      <c r="SOT26" s="28"/>
      <c r="SOU26" s="28"/>
      <c r="SOV26" s="28"/>
      <c r="SOW26" s="28"/>
      <c r="SOX26" s="28"/>
      <c r="SOY26" s="28"/>
      <c r="SOZ26" s="28"/>
      <c r="SPA26" s="28"/>
      <c r="SPB26" s="28"/>
      <c r="SPC26" s="28"/>
      <c r="SPD26" s="28"/>
      <c r="SPE26" s="28"/>
      <c r="SPF26" s="28"/>
      <c r="SPG26" s="28"/>
      <c r="SPH26" s="28"/>
      <c r="SPI26" s="28"/>
      <c r="SPJ26" s="28"/>
      <c r="SPK26" s="28"/>
      <c r="SPL26" s="28"/>
      <c r="SPM26" s="28"/>
      <c r="SPN26" s="28"/>
      <c r="SPO26" s="28"/>
      <c r="SPP26" s="28"/>
      <c r="SPQ26" s="28"/>
      <c r="SPR26" s="28"/>
      <c r="SPS26" s="28"/>
      <c r="SPT26" s="28"/>
      <c r="SPU26" s="28"/>
      <c r="SPV26" s="28"/>
      <c r="SPW26" s="28"/>
      <c r="SPX26" s="28"/>
      <c r="SPY26" s="28"/>
      <c r="SPZ26" s="28"/>
      <c r="SQA26" s="28"/>
      <c r="SQB26" s="28"/>
      <c r="SQC26" s="28"/>
      <c r="SQD26" s="28"/>
      <c r="SQE26" s="28"/>
      <c r="SQF26" s="28"/>
      <c r="SQG26" s="28"/>
      <c r="SQH26" s="28"/>
      <c r="SQI26" s="28"/>
      <c r="SQJ26" s="28"/>
      <c r="SQK26" s="28"/>
      <c r="SQL26" s="28"/>
      <c r="SQM26" s="28"/>
      <c r="SQN26" s="28"/>
      <c r="SQO26" s="28"/>
      <c r="SQP26" s="28"/>
      <c r="SQQ26" s="28"/>
      <c r="SQR26" s="28"/>
      <c r="SQS26" s="28"/>
      <c r="SQT26" s="28"/>
      <c r="SQU26" s="28"/>
      <c r="SQV26" s="28"/>
      <c r="SQW26" s="28"/>
      <c r="SQX26" s="28"/>
      <c r="SQY26" s="28"/>
      <c r="SQZ26" s="28"/>
      <c r="SRA26" s="28"/>
      <c r="SRB26" s="28"/>
      <c r="SRC26" s="28"/>
      <c r="SRD26" s="28"/>
      <c r="SRE26" s="28"/>
      <c r="SRF26" s="28"/>
      <c r="SRG26" s="28"/>
      <c r="SRH26" s="28"/>
      <c r="SRI26" s="28"/>
      <c r="SRJ26" s="28"/>
      <c r="SRK26" s="28"/>
      <c r="SRL26" s="28"/>
      <c r="SRM26" s="28"/>
      <c r="SRN26" s="28"/>
      <c r="SRO26" s="28"/>
      <c r="SRP26" s="28"/>
      <c r="SRQ26" s="28"/>
      <c r="SRR26" s="28"/>
      <c r="SRS26" s="28"/>
      <c r="SRT26" s="28"/>
      <c r="SRU26" s="28"/>
      <c r="SRV26" s="28"/>
      <c r="SRW26" s="28"/>
      <c r="SRX26" s="28"/>
      <c r="SRY26" s="28"/>
      <c r="SRZ26" s="28"/>
      <c r="SSA26" s="28"/>
      <c r="SSB26" s="28"/>
      <c r="SSC26" s="28"/>
      <c r="SSD26" s="28"/>
      <c r="SSE26" s="28"/>
      <c r="SSF26" s="28"/>
      <c r="SSG26" s="28"/>
      <c r="SSH26" s="28"/>
      <c r="SSI26" s="28"/>
      <c r="SSJ26" s="28"/>
      <c r="SSK26" s="28"/>
      <c r="SSL26" s="28"/>
      <c r="SSM26" s="28"/>
      <c r="SSN26" s="28"/>
      <c r="SSO26" s="28"/>
      <c r="SSP26" s="28"/>
      <c r="SSQ26" s="28"/>
      <c r="SSR26" s="28"/>
      <c r="SSS26" s="28"/>
      <c r="SST26" s="28"/>
      <c r="SSU26" s="28"/>
      <c r="SSV26" s="28"/>
      <c r="SSW26" s="28"/>
      <c r="SSX26" s="28"/>
      <c r="SSY26" s="28"/>
      <c r="SSZ26" s="28"/>
      <c r="STA26" s="28"/>
      <c r="STB26" s="28"/>
      <c r="STC26" s="28"/>
      <c r="STD26" s="28"/>
      <c r="STE26" s="28"/>
      <c r="STF26" s="28"/>
      <c r="STG26" s="28"/>
      <c r="STH26" s="28"/>
      <c r="STI26" s="28"/>
      <c r="STJ26" s="28"/>
      <c r="STK26" s="28"/>
      <c r="STL26" s="28"/>
      <c r="STM26" s="28"/>
      <c r="STN26" s="28"/>
      <c r="STO26" s="28"/>
      <c r="STP26" s="28"/>
      <c r="STQ26" s="28"/>
      <c r="STR26" s="28"/>
      <c r="STS26" s="28"/>
      <c r="STT26" s="28"/>
      <c r="STU26" s="28"/>
      <c r="STV26" s="28"/>
      <c r="STW26" s="28"/>
      <c r="STX26" s="28"/>
      <c r="STY26" s="28"/>
      <c r="STZ26" s="28"/>
      <c r="SUA26" s="28"/>
      <c r="SUB26" s="28"/>
      <c r="SUC26" s="28"/>
      <c r="SUD26" s="28"/>
      <c r="SUE26" s="28"/>
      <c r="SUF26" s="28"/>
      <c r="SUG26" s="28"/>
      <c r="SUH26" s="28"/>
      <c r="SUI26" s="28"/>
      <c r="SUJ26" s="28"/>
      <c r="SUK26" s="28"/>
      <c r="SUL26" s="28"/>
      <c r="SUM26" s="28"/>
      <c r="SUN26" s="28"/>
      <c r="SUO26" s="28"/>
      <c r="SUP26" s="28"/>
      <c r="SUQ26" s="28"/>
      <c r="SUR26" s="28"/>
      <c r="SUS26" s="28"/>
      <c r="SUT26" s="28"/>
      <c r="SUU26" s="28"/>
      <c r="SUV26" s="28"/>
      <c r="SUW26" s="28"/>
      <c r="SUX26" s="28"/>
      <c r="SUY26" s="28"/>
      <c r="SUZ26" s="28"/>
      <c r="SVA26" s="28"/>
      <c r="SVB26" s="28"/>
      <c r="SVC26" s="28"/>
      <c r="SVD26" s="28"/>
      <c r="SVE26" s="28"/>
      <c r="SVF26" s="28"/>
      <c r="SVG26" s="28"/>
      <c r="SVH26" s="28"/>
      <c r="SVI26" s="28"/>
      <c r="SVJ26" s="28"/>
      <c r="SVK26" s="28"/>
      <c r="SVL26" s="28"/>
      <c r="SVM26" s="28"/>
      <c r="SVN26" s="28"/>
      <c r="SVO26" s="28"/>
      <c r="SVP26" s="28"/>
      <c r="SVQ26" s="28"/>
      <c r="SVR26" s="28"/>
      <c r="SVS26" s="28"/>
      <c r="SVT26" s="28"/>
      <c r="SVU26" s="28"/>
      <c r="SVV26" s="28"/>
      <c r="SVW26" s="28"/>
      <c r="SVX26" s="28"/>
      <c r="SVY26" s="28"/>
      <c r="SVZ26" s="28"/>
      <c r="SWA26" s="28"/>
      <c r="SWB26" s="28"/>
      <c r="SWC26" s="28"/>
      <c r="SWD26" s="28"/>
      <c r="SWE26" s="28"/>
      <c r="SWF26" s="28"/>
      <c r="SWG26" s="28"/>
      <c r="SWH26" s="28"/>
      <c r="SWI26" s="28"/>
      <c r="SWJ26" s="28"/>
      <c r="SWK26" s="28"/>
      <c r="SWL26" s="28"/>
      <c r="SWM26" s="28"/>
      <c r="SWN26" s="28"/>
      <c r="SWO26" s="28"/>
      <c r="SWP26" s="28"/>
      <c r="SWQ26" s="28"/>
      <c r="SWR26" s="28"/>
      <c r="SWS26" s="28"/>
      <c r="SWT26" s="28"/>
      <c r="SWU26" s="28"/>
      <c r="SWV26" s="28"/>
      <c r="SWW26" s="28"/>
      <c r="SWX26" s="28"/>
      <c r="SWY26" s="28"/>
      <c r="SWZ26" s="28"/>
      <c r="SXA26" s="28"/>
      <c r="SXB26" s="28"/>
      <c r="SXC26" s="28"/>
      <c r="SXD26" s="28"/>
      <c r="SXE26" s="28"/>
      <c r="SXF26" s="28"/>
      <c r="SXG26" s="28"/>
      <c r="SXH26" s="28"/>
      <c r="SXI26" s="28"/>
      <c r="SXJ26" s="28"/>
      <c r="SXK26" s="28"/>
      <c r="SXL26" s="28"/>
      <c r="SXM26" s="28"/>
      <c r="SXN26" s="28"/>
      <c r="SXO26" s="28"/>
      <c r="SXP26" s="28"/>
      <c r="SXQ26" s="28"/>
      <c r="SXR26" s="28"/>
      <c r="SXS26" s="28"/>
      <c r="SXT26" s="28"/>
      <c r="SXU26" s="28"/>
      <c r="SXV26" s="28"/>
      <c r="SXW26" s="28"/>
      <c r="SXX26" s="28"/>
      <c r="SXY26" s="28"/>
      <c r="SXZ26" s="28"/>
      <c r="SYA26" s="28"/>
      <c r="SYB26" s="28"/>
      <c r="SYC26" s="28"/>
      <c r="SYD26" s="28"/>
      <c r="SYE26" s="28"/>
      <c r="SYF26" s="28"/>
      <c r="SYG26" s="28"/>
      <c r="SYH26" s="28"/>
      <c r="SYI26" s="28"/>
      <c r="SYJ26" s="28"/>
      <c r="SYK26" s="28"/>
      <c r="SYL26" s="28"/>
      <c r="SYM26" s="28"/>
      <c r="SYN26" s="28"/>
      <c r="SYO26" s="28"/>
      <c r="SYP26" s="28"/>
      <c r="SYQ26" s="28"/>
      <c r="SYR26" s="28"/>
      <c r="SYS26" s="28"/>
      <c r="SYT26" s="28"/>
      <c r="SYU26" s="28"/>
      <c r="SYV26" s="28"/>
      <c r="SYW26" s="28"/>
      <c r="SYX26" s="28"/>
      <c r="SYY26" s="28"/>
      <c r="SYZ26" s="28"/>
      <c r="SZA26" s="28"/>
      <c r="SZB26" s="28"/>
      <c r="SZC26" s="28"/>
      <c r="SZD26" s="28"/>
      <c r="SZE26" s="28"/>
      <c r="SZF26" s="28"/>
      <c r="SZG26" s="28"/>
      <c r="SZH26" s="28"/>
      <c r="SZI26" s="28"/>
      <c r="SZJ26" s="28"/>
      <c r="SZK26" s="28"/>
      <c r="SZL26" s="28"/>
      <c r="SZM26" s="28"/>
      <c r="SZN26" s="28"/>
      <c r="SZO26" s="28"/>
      <c r="SZP26" s="28"/>
      <c r="SZQ26" s="28"/>
      <c r="SZR26" s="28"/>
      <c r="SZS26" s="28"/>
      <c r="SZT26" s="28"/>
      <c r="SZU26" s="28"/>
      <c r="SZV26" s="28"/>
      <c r="SZW26" s="28"/>
      <c r="SZX26" s="28"/>
      <c r="SZY26" s="28"/>
      <c r="SZZ26" s="28"/>
      <c r="TAA26" s="28"/>
      <c r="TAB26" s="28"/>
      <c r="TAC26" s="28"/>
      <c r="TAD26" s="28"/>
      <c r="TAE26" s="28"/>
      <c r="TAF26" s="28"/>
      <c r="TAG26" s="28"/>
      <c r="TAH26" s="28"/>
      <c r="TAI26" s="28"/>
      <c r="TAJ26" s="28"/>
      <c r="TAK26" s="28"/>
      <c r="TAL26" s="28"/>
      <c r="TAM26" s="28"/>
      <c r="TAN26" s="28"/>
      <c r="TAO26" s="28"/>
      <c r="TAP26" s="28"/>
      <c r="TAQ26" s="28"/>
      <c r="TAR26" s="28"/>
      <c r="TAS26" s="28"/>
      <c r="TAT26" s="28"/>
      <c r="TAU26" s="28"/>
      <c r="TAV26" s="28"/>
      <c r="TAW26" s="28"/>
      <c r="TAX26" s="28"/>
      <c r="TAY26" s="28"/>
      <c r="TAZ26" s="28"/>
      <c r="TBA26" s="28"/>
      <c r="TBB26" s="28"/>
      <c r="TBC26" s="28"/>
      <c r="TBD26" s="28"/>
      <c r="TBE26" s="28"/>
      <c r="TBF26" s="28"/>
      <c r="TBG26" s="28"/>
      <c r="TBH26" s="28"/>
      <c r="TBI26" s="28"/>
      <c r="TBJ26" s="28"/>
      <c r="TBK26" s="28"/>
      <c r="TBL26" s="28"/>
      <c r="TBM26" s="28"/>
      <c r="TBN26" s="28"/>
      <c r="TBO26" s="28"/>
      <c r="TBP26" s="28"/>
      <c r="TBQ26" s="28"/>
      <c r="TBR26" s="28"/>
      <c r="TBS26" s="28"/>
      <c r="TBT26" s="28"/>
      <c r="TBU26" s="28"/>
      <c r="TBV26" s="28"/>
      <c r="TBW26" s="28"/>
      <c r="TBX26" s="28"/>
      <c r="TBY26" s="28"/>
      <c r="TBZ26" s="28"/>
      <c r="TCA26" s="28"/>
      <c r="TCB26" s="28"/>
      <c r="TCC26" s="28"/>
      <c r="TCD26" s="28"/>
      <c r="TCE26" s="28"/>
      <c r="TCF26" s="28"/>
      <c r="TCG26" s="28"/>
      <c r="TCH26" s="28"/>
      <c r="TCI26" s="28"/>
      <c r="TCJ26" s="28"/>
      <c r="TCK26" s="28"/>
      <c r="TCL26" s="28"/>
      <c r="TCM26" s="28"/>
      <c r="TCN26" s="28"/>
      <c r="TCO26" s="28"/>
      <c r="TCP26" s="28"/>
      <c r="TCQ26" s="28"/>
      <c r="TCR26" s="28"/>
      <c r="TCS26" s="28"/>
      <c r="TCT26" s="28"/>
      <c r="TCU26" s="28"/>
      <c r="TCV26" s="28"/>
      <c r="TCW26" s="28"/>
      <c r="TCX26" s="28"/>
      <c r="TCY26" s="28"/>
      <c r="TCZ26" s="28"/>
      <c r="TDA26" s="28"/>
      <c r="TDB26" s="28"/>
      <c r="TDC26" s="28"/>
      <c r="TDD26" s="28"/>
      <c r="TDE26" s="28"/>
      <c r="TDF26" s="28"/>
      <c r="TDG26" s="28"/>
      <c r="TDH26" s="28"/>
      <c r="TDI26" s="28"/>
      <c r="TDJ26" s="28"/>
      <c r="TDK26" s="28"/>
      <c r="TDL26" s="28"/>
      <c r="TDM26" s="28"/>
      <c r="TDN26" s="28"/>
      <c r="TDO26" s="28"/>
      <c r="TDP26" s="28"/>
      <c r="TDQ26" s="28"/>
      <c r="TDR26" s="28"/>
      <c r="TDS26" s="28"/>
      <c r="TDT26" s="28"/>
      <c r="TDU26" s="28"/>
      <c r="TDV26" s="28"/>
      <c r="TDW26" s="28"/>
      <c r="TDX26" s="28"/>
      <c r="TDY26" s="28"/>
      <c r="TDZ26" s="28"/>
      <c r="TEA26" s="28"/>
      <c r="TEB26" s="28"/>
      <c r="TEC26" s="28"/>
      <c r="TED26" s="28"/>
      <c r="TEE26" s="28"/>
      <c r="TEF26" s="28"/>
      <c r="TEG26" s="28"/>
      <c r="TEH26" s="28"/>
      <c r="TEI26" s="28"/>
      <c r="TEJ26" s="28"/>
      <c r="TEK26" s="28"/>
      <c r="TEL26" s="28"/>
      <c r="TEM26" s="28"/>
      <c r="TEN26" s="28"/>
      <c r="TEO26" s="28"/>
      <c r="TEP26" s="28"/>
      <c r="TEQ26" s="28"/>
      <c r="TER26" s="28"/>
      <c r="TES26" s="28"/>
      <c r="TET26" s="28"/>
      <c r="TEU26" s="28"/>
      <c r="TEV26" s="28"/>
      <c r="TEW26" s="28"/>
      <c r="TEX26" s="28"/>
      <c r="TEY26" s="28"/>
      <c r="TEZ26" s="28"/>
      <c r="TFA26" s="28"/>
      <c r="TFB26" s="28"/>
      <c r="TFC26" s="28"/>
      <c r="TFD26" s="28"/>
      <c r="TFE26" s="28"/>
      <c r="TFF26" s="28"/>
      <c r="TFG26" s="28"/>
      <c r="TFH26" s="28"/>
      <c r="TFI26" s="28"/>
      <c r="TFJ26" s="28"/>
      <c r="TFK26" s="28"/>
      <c r="TFL26" s="28"/>
      <c r="TFM26" s="28"/>
      <c r="TFN26" s="28"/>
      <c r="TFO26" s="28"/>
      <c r="TFP26" s="28"/>
      <c r="TFQ26" s="28"/>
      <c r="TFR26" s="28"/>
      <c r="TFS26" s="28"/>
      <c r="TFT26" s="28"/>
      <c r="TFU26" s="28"/>
      <c r="TFV26" s="28"/>
      <c r="TFW26" s="28"/>
      <c r="TFX26" s="28"/>
      <c r="TFY26" s="28"/>
      <c r="TFZ26" s="28"/>
      <c r="TGA26" s="28"/>
      <c r="TGB26" s="28"/>
      <c r="TGC26" s="28"/>
      <c r="TGD26" s="28"/>
      <c r="TGE26" s="28"/>
      <c r="TGF26" s="28"/>
      <c r="TGG26" s="28"/>
      <c r="TGH26" s="28"/>
      <c r="TGI26" s="28"/>
      <c r="TGJ26" s="28"/>
      <c r="TGK26" s="28"/>
      <c r="TGL26" s="28"/>
      <c r="TGM26" s="28"/>
      <c r="TGN26" s="28"/>
      <c r="TGO26" s="28"/>
      <c r="TGP26" s="28"/>
      <c r="TGQ26" s="28"/>
      <c r="TGR26" s="28"/>
      <c r="TGS26" s="28"/>
      <c r="TGT26" s="28"/>
      <c r="TGU26" s="28"/>
      <c r="TGV26" s="28"/>
      <c r="TGW26" s="28"/>
      <c r="TGX26" s="28"/>
      <c r="TGY26" s="28"/>
      <c r="TGZ26" s="28"/>
      <c r="THA26" s="28"/>
      <c r="THB26" s="28"/>
      <c r="THC26" s="28"/>
      <c r="THD26" s="28"/>
      <c r="THE26" s="28"/>
      <c r="THF26" s="28"/>
      <c r="THG26" s="28"/>
      <c r="THH26" s="28"/>
      <c r="THI26" s="28"/>
      <c r="THJ26" s="28"/>
      <c r="THK26" s="28"/>
      <c r="THL26" s="28"/>
      <c r="THM26" s="28"/>
      <c r="THN26" s="28"/>
      <c r="THO26" s="28"/>
      <c r="THP26" s="28"/>
      <c r="THQ26" s="28"/>
      <c r="THR26" s="28"/>
      <c r="THS26" s="28"/>
      <c r="THT26" s="28"/>
      <c r="THU26" s="28"/>
      <c r="THV26" s="28"/>
      <c r="THW26" s="28"/>
      <c r="THX26" s="28"/>
      <c r="THY26" s="28"/>
      <c r="THZ26" s="28"/>
      <c r="TIA26" s="28"/>
      <c r="TIB26" s="28"/>
      <c r="TIC26" s="28"/>
      <c r="TID26" s="28"/>
      <c r="TIE26" s="28"/>
      <c r="TIF26" s="28"/>
      <c r="TIG26" s="28"/>
      <c r="TIH26" s="28"/>
      <c r="TII26" s="28"/>
      <c r="TIJ26" s="28"/>
      <c r="TIK26" s="28"/>
      <c r="TIL26" s="28"/>
      <c r="TIM26" s="28"/>
      <c r="TIN26" s="28"/>
      <c r="TIO26" s="28"/>
      <c r="TIP26" s="28"/>
      <c r="TIQ26" s="28"/>
      <c r="TIR26" s="28"/>
      <c r="TIS26" s="28"/>
      <c r="TIT26" s="28"/>
      <c r="TIU26" s="28"/>
      <c r="TIV26" s="28"/>
      <c r="TIW26" s="28"/>
      <c r="TIX26" s="28"/>
      <c r="TIY26" s="28"/>
      <c r="TIZ26" s="28"/>
      <c r="TJA26" s="28"/>
      <c r="TJB26" s="28"/>
      <c r="TJC26" s="28"/>
      <c r="TJD26" s="28"/>
      <c r="TJE26" s="28"/>
      <c r="TJF26" s="28"/>
      <c r="TJG26" s="28"/>
      <c r="TJH26" s="28"/>
      <c r="TJI26" s="28"/>
      <c r="TJJ26" s="28"/>
      <c r="TJK26" s="28"/>
      <c r="TJL26" s="28"/>
      <c r="TJM26" s="28"/>
      <c r="TJN26" s="28"/>
      <c r="TJO26" s="28"/>
      <c r="TJP26" s="28"/>
      <c r="TJQ26" s="28"/>
      <c r="TJR26" s="28"/>
      <c r="TJS26" s="28"/>
      <c r="TJT26" s="28"/>
      <c r="TJU26" s="28"/>
      <c r="TJV26" s="28"/>
      <c r="TJW26" s="28"/>
      <c r="TJX26" s="28"/>
      <c r="TJY26" s="28"/>
      <c r="TJZ26" s="28"/>
      <c r="TKA26" s="28"/>
      <c r="TKB26" s="28"/>
      <c r="TKC26" s="28"/>
      <c r="TKD26" s="28"/>
      <c r="TKE26" s="28"/>
      <c r="TKF26" s="28"/>
      <c r="TKG26" s="28"/>
      <c r="TKH26" s="28"/>
      <c r="TKI26" s="28"/>
      <c r="TKJ26" s="28"/>
      <c r="TKK26" s="28"/>
      <c r="TKL26" s="28"/>
      <c r="TKM26" s="28"/>
      <c r="TKN26" s="28"/>
      <c r="TKO26" s="28"/>
      <c r="TKP26" s="28"/>
      <c r="TKQ26" s="28"/>
      <c r="TKR26" s="28"/>
      <c r="TKS26" s="28"/>
      <c r="TKT26" s="28"/>
      <c r="TKU26" s="28"/>
      <c r="TKV26" s="28"/>
      <c r="TKW26" s="28"/>
      <c r="TKX26" s="28"/>
      <c r="TKY26" s="28"/>
      <c r="TKZ26" s="28"/>
      <c r="TLA26" s="28"/>
      <c r="TLB26" s="28"/>
      <c r="TLC26" s="28"/>
      <c r="TLD26" s="28"/>
      <c r="TLE26" s="28"/>
      <c r="TLF26" s="28"/>
      <c r="TLG26" s="28"/>
      <c r="TLH26" s="28"/>
      <c r="TLI26" s="28"/>
      <c r="TLJ26" s="28"/>
      <c r="TLK26" s="28"/>
      <c r="TLL26" s="28"/>
      <c r="TLM26" s="28"/>
      <c r="TLN26" s="28"/>
      <c r="TLO26" s="28"/>
      <c r="TLP26" s="28"/>
      <c r="TLQ26" s="28"/>
      <c r="TLR26" s="28"/>
      <c r="TLS26" s="28"/>
      <c r="TLT26" s="28"/>
      <c r="TLU26" s="28"/>
      <c r="TLV26" s="28"/>
      <c r="TLW26" s="28"/>
      <c r="TLX26" s="28"/>
      <c r="TLY26" s="28"/>
      <c r="TLZ26" s="28"/>
      <c r="TMA26" s="28"/>
      <c r="TMB26" s="28"/>
      <c r="TMC26" s="28"/>
      <c r="TMD26" s="28"/>
      <c r="TME26" s="28"/>
      <c r="TMF26" s="28"/>
      <c r="TMG26" s="28"/>
      <c r="TMH26" s="28"/>
      <c r="TMI26" s="28"/>
      <c r="TMJ26" s="28"/>
      <c r="TMK26" s="28"/>
      <c r="TML26" s="28"/>
      <c r="TMM26" s="28"/>
      <c r="TMN26" s="28"/>
      <c r="TMO26" s="28"/>
      <c r="TMP26" s="28"/>
      <c r="TMQ26" s="28"/>
      <c r="TMR26" s="28"/>
      <c r="TMS26" s="28"/>
      <c r="TMT26" s="28"/>
      <c r="TMU26" s="28"/>
      <c r="TMV26" s="28"/>
      <c r="TMW26" s="28"/>
      <c r="TMX26" s="28"/>
      <c r="TMY26" s="28"/>
      <c r="TMZ26" s="28"/>
      <c r="TNA26" s="28"/>
      <c r="TNB26" s="28"/>
      <c r="TNC26" s="28"/>
      <c r="TND26" s="28"/>
      <c r="TNE26" s="28"/>
      <c r="TNF26" s="28"/>
      <c r="TNG26" s="28"/>
      <c r="TNH26" s="28"/>
      <c r="TNI26" s="28"/>
      <c r="TNJ26" s="28"/>
      <c r="TNK26" s="28"/>
      <c r="TNL26" s="28"/>
      <c r="TNM26" s="28"/>
      <c r="TNN26" s="28"/>
      <c r="TNO26" s="28"/>
      <c r="TNP26" s="28"/>
      <c r="TNQ26" s="28"/>
      <c r="TNR26" s="28"/>
      <c r="TNS26" s="28"/>
      <c r="TNT26" s="28"/>
      <c r="TNU26" s="28"/>
      <c r="TNV26" s="28"/>
      <c r="TNW26" s="28"/>
      <c r="TNX26" s="28"/>
      <c r="TNY26" s="28"/>
      <c r="TNZ26" s="28"/>
      <c r="TOA26" s="28"/>
      <c r="TOB26" s="28"/>
      <c r="TOC26" s="28"/>
      <c r="TOD26" s="28"/>
      <c r="TOE26" s="28"/>
      <c r="TOF26" s="28"/>
      <c r="TOG26" s="28"/>
      <c r="TOH26" s="28"/>
      <c r="TOI26" s="28"/>
      <c r="TOJ26" s="28"/>
      <c r="TOK26" s="28"/>
      <c r="TOL26" s="28"/>
      <c r="TOM26" s="28"/>
      <c r="TON26" s="28"/>
      <c r="TOO26" s="28"/>
      <c r="TOP26" s="28"/>
      <c r="TOQ26" s="28"/>
      <c r="TOR26" s="28"/>
      <c r="TOS26" s="28"/>
      <c r="TOT26" s="28"/>
      <c r="TOU26" s="28"/>
      <c r="TOV26" s="28"/>
      <c r="TOW26" s="28"/>
      <c r="TOX26" s="28"/>
      <c r="TOY26" s="28"/>
      <c r="TOZ26" s="28"/>
      <c r="TPA26" s="28"/>
      <c r="TPB26" s="28"/>
      <c r="TPC26" s="28"/>
      <c r="TPD26" s="28"/>
      <c r="TPE26" s="28"/>
      <c r="TPF26" s="28"/>
      <c r="TPG26" s="28"/>
      <c r="TPH26" s="28"/>
      <c r="TPI26" s="28"/>
      <c r="TPJ26" s="28"/>
      <c r="TPK26" s="28"/>
      <c r="TPL26" s="28"/>
      <c r="TPM26" s="28"/>
      <c r="TPN26" s="28"/>
      <c r="TPO26" s="28"/>
      <c r="TPP26" s="28"/>
      <c r="TPQ26" s="28"/>
      <c r="TPR26" s="28"/>
      <c r="TPS26" s="28"/>
      <c r="TPT26" s="28"/>
      <c r="TPU26" s="28"/>
      <c r="TPV26" s="28"/>
      <c r="TPW26" s="28"/>
      <c r="TPX26" s="28"/>
      <c r="TPY26" s="28"/>
      <c r="TPZ26" s="28"/>
      <c r="TQA26" s="28"/>
      <c r="TQB26" s="28"/>
      <c r="TQC26" s="28"/>
      <c r="TQD26" s="28"/>
      <c r="TQE26" s="28"/>
      <c r="TQF26" s="28"/>
      <c r="TQG26" s="28"/>
      <c r="TQH26" s="28"/>
      <c r="TQI26" s="28"/>
      <c r="TQJ26" s="28"/>
      <c r="TQK26" s="28"/>
      <c r="TQL26" s="28"/>
      <c r="TQM26" s="28"/>
      <c r="TQN26" s="28"/>
      <c r="TQO26" s="28"/>
      <c r="TQP26" s="28"/>
      <c r="TQQ26" s="28"/>
      <c r="TQR26" s="28"/>
      <c r="TQS26" s="28"/>
      <c r="TQT26" s="28"/>
      <c r="TQU26" s="28"/>
      <c r="TQV26" s="28"/>
      <c r="TQW26" s="28"/>
      <c r="TQX26" s="28"/>
      <c r="TQY26" s="28"/>
      <c r="TQZ26" s="28"/>
      <c r="TRA26" s="28"/>
      <c r="TRB26" s="28"/>
      <c r="TRC26" s="28"/>
      <c r="TRD26" s="28"/>
      <c r="TRE26" s="28"/>
      <c r="TRF26" s="28"/>
      <c r="TRG26" s="28"/>
      <c r="TRH26" s="28"/>
      <c r="TRI26" s="28"/>
      <c r="TRJ26" s="28"/>
      <c r="TRK26" s="28"/>
      <c r="TRL26" s="28"/>
      <c r="TRM26" s="28"/>
      <c r="TRN26" s="28"/>
      <c r="TRO26" s="28"/>
      <c r="TRP26" s="28"/>
      <c r="TRQ26" s="28"/>
      <c r="TRR26" s="28"/>
      <c r="TRS26" s="28"/>
      <c r="TRT26" s="28"/>
      <c r="TRU26" s="28"/>
      <c r="TRV26" s="28"/>
      <c r="TRW26" s="28"/>
      <c r="TRX26" s="28"/>
      <c r="TRY26" s="28"/>
      <c r="TRZ26" s="28"/>
      <c r="TSA26" s="28"/>
      <c r="TSB26" s="28"/>
      <c r="TSC26" s="28"/>
      <c r="TSD26" s="28"/>
      <c r="TSE26" s="28"/>
      <c r="TSF26" s="28"/>
      <c r="TSG26" s="28"/>
      <c r="TSH26" s="28"/>
      <c r="TSI26" s="28"/>
      <c r="TSJ26" s="28"/>
      <c r="TSK26" s="28"/>
      <c r="TSL26" s="28"/>
      <c r="TSM26" s="28"/>
      <c r="TSN26" s="28"/>
      <c r="TSO26" s="28"/>
      <c r="TSP26" s="28"/>
      <c r="TSQ26" s="28"/>
      <c r="TSR26" s="28"/>
      <c r="TSS26" s="28"/>
      <c r="TST26" s="28"/>
      <c r="TSU26" s="28"/>
      <c r="TSV26" s="28"/>
      <c r="TSW26" s="28"/>
      <c r="TSX26" s="28"/>
      <c r="TSY26" s="28"/>
      <c r="TSZ26" s="28"/>
      <c r="TTA26" s="28"/>
      <c r="TTB26" s="28"/>
      <c r="TTC26" s="28"/>
      <c r="TTD26" s="28"/>
      <c r="TTE26" s="28"/>
      <c r="TTF26" s="28"/>
      <c r="TTG26" s="28"/>
      <c r="TTH26" s="28"/>
      <c r="TTI26" s="28"/>
      <c r="TTJ26" s="28"/>
      <c r="TTK26" s="28"/>
      <c r="TTL26" s="28"/>
      <c r="TTM26" s="28"/>
      <c r="TTN26" s="28"/>
      <c r="TTO26" s="28"/>
      <c r="TTP26" s="28"/>
      <c r="TTQ26" s="28"/>
      <c r="TTR26" s="28"/>
      <c r="TTS26" s="28"/>
      <c r="TTT26" s="28"/>
      <c r="TTU26" s="28"/>
      <c r="TTV26" s="28"/>
      <c r="TTW26" s="28"/>
      <c r="TTX26" s="28"/>
      <c r="TTY26" s="28"/>
      <c r="TTZ26" s="28"/>
      <c r="TUA26" s="28"/>
      <c r="TUB26" s="28"/>
      <c r="TUC26" s="28"/>
      <c r="TUD26" s="28"/>
      <c r="TUE26" s="28"/>
      <c r="TUF26" s="28"/>
      <c r="TUG26" s="28"/>
      <c r="TUH26" s="28"/>
      <c r="TUI26" s="28"/>
      <c r="TUJ26" s="28"/>
      <c r="TUK26" s="28"/>
      <c r="TUL26" s="28"/>
      <c r="TUM26" s="28"/>
      <c r="TUN26" s="28"/>
      <c r="TUO26" s="28"/>
      <c r="TUP26" s="28"/>
      <c r="TUQ26" s="28"/>
      <c r="TUR26" s="28"/>
      <c r="TUS26" s="28"/>
      <c r="TUT26" s="28"/>
      <c r="TUU26" s="28"/>
      <c r="TUV26" s="28"/>
      <c r="TUW26" s="28"/>
      <c r="TUX26" s="28"/>
      <c r="TUY26" s="28"/>
      <c r="TUZ26" s="28"/>
      <c r="TVA26" s="28"/>
      <c r="TVB26" s="28"/>
      <c r="TVC26" s="28"/>
      <c r="TVD26" s="28"/>
      <c r="TVE26" s="28"/>
      <c r="TVF26" s="28"/>
      <c r="TVG26" s="28"/>
      <c r="TVH26" s="28"/>
      <c r="TVI26" s="28"/>
      <c r="TVJ26" s="28"/>
      <c r="TVK26" s="28"/>
      <c r="TVL26" s="28"/>
      <c r="TVM26" s="28"/>
      <c r="TVN26" s="28"/>
      <c r="TVO26" s="28"/>
      <c r="TVP26" s="28"/>
      <c r="TVQ26" s="28"/>
      <c r="TVR26" s="28"/>
      <c r="TVS26" s="28"/>
      <c r="TVT26" s="28"/>
      <c r="TVU26" s="28"/>
      <c r="TVV26" s="28"/>
      <c r="TVW26" s="28"/>
      <c r="TVX26" s="28"/>
      <c r="TVY26" s="28"/>
      <c r="TVZ26" s="28"/>
      <c r="TWA26" s="28"/>
      <c r="TWB26" s="28"/>
      <c r="TWC26" s="28"/>
      <c r="TWD26" s="28"/>
      <c r="TWE26" s="28"/>
      <c r="TWF26" s="28"/>
      <c r="TWG26" s="28"/>
      <c r="TWH26" s="28"/>
      <c r="TWI26" s="28"/>
      <c r="TWJ26" s="28"/>
      <c r="TWK26" s="28"/>
      <c r="TWL26" s="28"/>
      <c r="TWM26" s="28"/>
      <c r="TWN26" s="28"/>
      <c r="TWO26" s="28"/>
      <c r="TWP26" s="28"/>
      <c r="TWQ26" s="28"/>
      <c r="TWR26" s="28"/>
      <c r="TWS26" s="28"/>
      <c r="TWT26" s="28"/>
      <c r="TWU26" s="28"/>
      <c r="TWV26" s="28"/>
      <c r="TWW26" s="28"/>
      <c r="TWX26" s="28"/>
      <c r="TWY26" s="28"/>
      <c r="TWZ26" s="28"/>
      <c r="TXA26" s="28"/>
      <c r="TXB26" s="28"/>
      <c r="TXC26" s="28"/>
      <c r="TXD26" s="28"/>
      <c r="TXE26" s="28"/>
      <c r="TXF26" s="28"/>
      <c r="TXG26" s="28"/>
      <c r="TXH26" s="28"/>
      <c r="TXI26" s="28"/>
      <c r="TXJ26" s="28"/>
      <c r="TXK26" s="28"/>
      <c r="TXL26" s="28"/>
      <c r="TXM26" s="28"/>
      <c r="TXN26" s="28"/>
      <c r="TXO26" s="28"/>
      <c r="TXP26" s="28"/>
      <c r="TXQ26" s="28"/>
      <c r="TXR26" s="28"/>
      <c r="TXS26" s="28"/>
      <c r="TXT26" s="28"/>
      <c r="TXU26" s="28"/>
      <c r="TXV26" s="28"/>
      <c r="TXW26" s="28"/>
      <c r="TXX26" s="28"/>
      <c r="TXY26" s="28"/>
      <c r="TXZ26" s="28"/>
      <c r="TYA26" s="28"/>
      <c r="TYB26" s="28"/>
      <c r="TYC26" s="28"/>
      <c r="TYD26" s="28"/>
      <c r="TYE26" s="28"/>
      <c r="TYF26" s="28"/>
      <c r="TYG26" s="28"/>
      <c r="TYH26" s="28"/>
      <c r="TYI26" s="28"/>
      <c r="TYJ26" s="28"/>
      <c r="TYK26" s="28"/>
      <c r="TYL26" s="28"/>
      <c r="TYM26" s="28"/>
      <c r="TYN26" s="28"/>
      <c r="TYO26" s="28"/>
      <c r="TYP26" s="28"/>
      <c r="TYQ26" s="28"/>
      <c r="TYR26" s="28"/>
      <c r="TYS26" s="28"/>
      <c r="TYT26" s="28"/>
      <c r="TYU26" s="28"/>
      <c r="TYV26" s="28"/>
      <c r="TYW26" s="28"/>
      <c r="TYX26" s="28"/>
      <c r="TYY26" s="28"/>
      <c r="TYZ26" s="28"/>
      <c r="TZA26" s="28"/>
      <c r="TZB26" s="28"/>
      <c r="TZC26" s="28"/>
      <c r="TZD26" s="28"/>
      <c r="TZE26" s="28"/>
      <c r="TZF26" s="28"/>
      <c r="TZG26" s="28"/>
      <c r="TZH26" s="28"/>
      <c r="TZI26" s="28"/>
      <c r="TZJ26" s="28"/>
      <c r="TZK26" s="28"/>
      <c r="TZL26" s="28"/>
      <c r="TZM26" s="28"/>
      <c r="TZN26" s="28"/>
      <c r="TZO26" s="28"/>
      <c r="TZP26" s="28"/>
      <c r="TZQ26" s="28"/>
      <c r="TZR26" s="28"/>
      <c r="TZS26" s="28"/>
      <c r="TZT26" s="28"/>
      <c r="TZU26" s="28"/>
      <c r="TZV26" s="28"/>
      <c r="TZW26" s="28"/>
      <c r="TZX26" s="28"/>
      <c r="TZY26" s="28"/>
      <c r="TZZ26" s="28"/>
      <c r="UAA26" s="28"/>
      <c r="UAB26" s="28"/>
      <c r="UAC26" s="28"/>
      <c r="UAD26" s="28"/>
      <c r="UAE26" s="28"/>
      <c r="UAF26" s="28"/>
      <c r="UAG26" s="28"/>
      <c r="UAH26" s="28"/>
      <c r="UAI26" s="28"/>
      <c r="UAJ26" s="28"/>
      <c r="UAK26" s="28"/>
      <c r="UAL26" s="28"/>
      <c r="UAM26" s="28"/>
      <c r="UAN26" s="28"/>
      <c r="UAO26" s="28"/>
      <c r="UAP26" s="28"/>
      <c r="UAQ26" s="28"/>
      <c r="UAR26" s="28"/>
      <c r="UAS26" s="28"/>
      <c r="UAT26" s="28"/>
      <c r="UAU26" s="28"/>
      <c r="UAV26" s="28"/>
      <c r="UAW26" s="28"/>
      <c r="UAX26" s="28"/>
      <c r="UAY26" s="28"/>
      <c r="UAZ26" s="28"/>
      <c r="UBA26" s="28"/>
      <c r="UBB26" s="28"/>
      <c r="UBC26" s="28"/>
      <c r="UBD26" s="28"/>
      <c r="UBE26" s="28"/>
      <c r="UBF26" s="28"/>
      <c r="UBG26" s="28"/>
      <c r="UBH26" s="28"/>
      <c r="UBI26" s="28"/>
      <c r="UBJ26" s="28"/>
      <c r="UBK26" s="28"/>
      <c r="UBL26" s="28"/>
      <c r="UBM26" s="28"/>
      <c r="UBN26" s="28"/>
      <c r="UBO26" s="28"/>
      <c r="UBP26" s="28"/>
      <c r="UBQ26" s="28"/>
      <c r="UBR26" s="28"/>
      <c r="UBS26" s="28"/>
      <c r="UBT26" s="28"/>
      <c r="UBU26" s="28"/>
      <c r="UBV26" s="28"/>
      <c r="UBW26" s="28"/>
      <c r="UBX26" s="28"/>
      <c r="UBY26" s="28"/>
      <c r="UBZ26" s="28"/>
      <c r="UCA26" s="28"/>
      <c r="UCB26" s="28"/>
      <c r="UCC26" s="28"/>
      <c r="UCD26" s="28"/>
      <c r="UCE26" s="28"/>
      <c r="UCF26" s="28"/>
      <c r="UCG26" s="28"/>
      <c r="UCH26" s="28"/>
      <c r="UCI26" s="28"/>
      <c r="UCJ26" s="28"/>
      <c r="UCK26" s="28"/>
      <c r="UCL26" s="28"/>
      <c r="UCM26" s="28"/>
      <c r="UCN26" s="28"/>
      <c r="UCO26" s="28"/>
      <c r="UCP26" s="28"/>
      <c r="UCQ26" s="28"/>
      <c r="UCR26" s="28"/>
      <c r="UCS26" s="28"/>
      <c r="UCT26" s="28"/>
      <c r="UCU26" s="28"/>
      <c r="UCV26" s="28"/>
      <c r="UCW26" s="28"/>
      <c r="UCX26" s="28"/>
      <c r="UCY26" s="28"/>
      <c r="UCZ26" s="28"/>
      <c r="UDA26" s="28"/>
      <c r="UDB26" s="28"/>
      <c r="UDC26" s="28"/>
      <c r="UDD26" s="28"/>
      <c r="UDE26" s="28"/>
      <c r="UDF26" s="28"/>
      <c r="UDG26" s="28"/>
      <c r="UDH26" s="28"/>
      <c r="UDI26" s="28"/>
      <c r="UDJ26" s="28"/>
      <c r="UDK26" s="28"/>
      <c r="UDL26" s="28"/>
      <c r="UDM26" s="28"/>
      <c r="UDN26" s="28"/>
      <c r="UDO26" s="28"/>
      <c r="UDP26" s="28"/>
      <c r="UDQ26" s="28"/>
      <c r="UDR26" s="28"/>
      <c r="UDS26" s="28"/>
      <c r="UDT26" s="28"/>
      <c r="UDU26" s="28"/>
      <c r="UDV26" s="28"/>
      <c r="UDW26" s="28"/>
      <c r="UDX26" s="28"/>
      <c r="UDY26" s="28"/>
      <c r="UDZ26" s="28"/>
      <c r="UEA26" s="28"/>
      <c r="UEB26" s="28"/>
      <c r="UEC26" s="28"/>
      <c r="UED26" s="28"/>
      <c r="UEE26" s="28"/>
      <c r="UEF26" s="28"/>
      <c r="UEG26" s="28"/>
      <c r="UEH26" s="28"/>
      <c r="UEI26" s="28"/>
      <c r="UEJ26" s="28"/>
      <c r="UEK26" s="28"/>
      <c r="UEL26" s="28"/>
      <c r="UEM26" s="28"/>
      <c r="UEN26" s="28"/>
      <c r="UEO26" s="28"/>
      <c r="UEP26" s="28"/>
      <c r="UEQ26" s="28"/>
      <c r="UER26" s="28"/>
      <c r="UES26" s="28"/>
      <c r="UET26" s="28"/>
      <c r="UEU26" s="28"/>
      <c r="UEV26" s="28"/>
      <c r="UEW26" s="28"/>
      <c r="UEX26" s="28"/>
      <c r="UEY26" s="28"/>
      <c r="UEZ26" s="28"/>
      <c r="UFA26" s="28"/>
      <c r="UFB26" s="28"/>
      <c r="UFC26" s="28"/>
      <c r="UFD26" s="28"/>
      <c r="UFE26" s="28"/>
      <c r="UFF26" s="28"/>
      <c r="UFG26" s="28"/>
      <c r="UFH26" s="28"/>
      <c r="UFI26" s="28"/>
      <c r="UFJ26" s="28"/>
      <c r="UFK26" s="28"/>
      <c r="UFL26" s="28"/>
      <c r="UFM26" s="28"/>
      <c r="UFN26" s="28"/>
      <c r="UFO26" s="28"/>
      <c r="UFP26" s="28"/>
      <c r="UFQ26" s="28"/>
      <c r="UFR26" s="28"/>
      <c r="UFS26" s="28"/>
      <c r="UFT26" s="28"/>
      <c r="UFU26" s="28"/>
      <c r="UFV26" s="28"/>
      <c r="UFW26" s="28"/>
      <c r="UFX26" s="28"/>
      <c r="UFY26" s="28"/>
      <c r="UFZ26" s="28"/>
      <c r="UGA26" s="28"/>
      <c r="UGB26" s="28"/>
      <c r="UGC26" s="28"/>
      <c r="UGD26" s="28"/>
      <c r="UGE26" s="28"/>
      <c r="UGF26" s="28"/>
      <c r="UGG26" s="28"/>
      <c r="UGH26" s="28"/>
      <c r="UGI26" s="28"/>
      <c r="UGJ26" s="28"/>
      <c r="UGK26" s="28"/>
      <c r="UGL26" s="28"/>
      <c r="UGM26" s="28"/>
      <c r="UGN26" s="28"/>
      <c r="UGO26" s="28"/>
      <c r="UGP26" s="28"/>
      <c r="UGQ26" s="28"/>
      <c r="UGR26" s="28"/>
      <c r="UGS26" s="28"/>
      <c r="UGT26" s="28"/>
      <c r="UGU26" s="28"/>
      <c r="UGV26" s="28"/>
      <c r="UGW26" s="28"/>
      <c r="UGX26" s="28"/>
      <c r="UGY26" s="28"/>
      <c r="UGZ26" s="28"/>
      <c r="UHA26" s="28"/>
      <c r="UHB26" s="28"/>
      <c r="UHC26" s="28"/>
      <c r="UHD26" s="28"/>
      <c r="UHE26" s="28"/>
      <c r="UHF26" s="28"/>
      <c r="UHG26" s="28"/>
      <c r="UHH26" s="28"/>
      <c r="UHI26" s="28"/>
      <c r="UHJ26" s="28"/>
      <c r="UHK26" s="28"/>
      <c r="UHL26" s="28"/>
      <c r="UHM26" s="28"/>
      <c r="UHN26" s="28"/>
      <c r="UHO26" s="28"/>
      <c r="UHP26" s="28"/>
      <c r="UHQ26" s="28"/>
      <c r="UHR26" s="28"/>
      <c r="UHS26" s="28"/>
      <c r="UHT26" s="28"/>
      <c r="UHU26" s="28"/>
      <c r="UHV26" s="28"/>
      <c r="UHW26" s="28"/>
      <c r="UHX26" s="28"/>
      <c r="UHY26" s="28"/>
      <c r="UHZ26" s="28"/>
      <c r="UIA26" s="28"/>
      <c r="UIB26" s="28"/>
      <c r="UIC26" s="28"/>
      <c r="UID26" s="28"/>
      <c r="UIE26" s="28"/>
      <c r="UIF26" s="28"/>
      <c r="UIG26" s="28"/>
      <c r="UIH26" s="28"/>
      <c r="UII26" s="28"/>
      <c r="UIJ26" s="28"/>
      <c r="UIK26" s="28"/>
      <c r="UIL26" s="28"/>
      <c r="UIM26" s="28"/>
      <c r="UIN26" s="28"/>
      <c r="UIO26" s="28"/>
      <c r="UIP26" s="28"/>
      <c r="UIQ26" s="28"/>
      <c r="UIR26" s="28"/>
      <c r="UIS26" s="28"/>
      <c r="UIT26" s="28"/>
      <c r="UIU26" s="28"/>
      <c r="UIV26" s="28"/>
      <c r="UIW26" s="28"/>
      <c r="UIX26" s="28"/>
      <c r="UIY26" s="28"/>
      <c r="UIZ26" s="28"/>
      <c r="UJA26" s="28"/>
      <c r="UJB26" s="28"/>
      <c r="UJC26" s="28"/>
      <c r="UJD26" s="28"/>
      <c r="UJE26" s="28"/>
      <c r="UJF26" s="28"/>
      <c r="UJG26" s="28"/>
      <c r="UJH26" s="28"/>
      <c r="UJI26" s="28"/>
      <c r="UJJ26" s="28"/>
      <c r="UJK26" s="28"/>
      <c r="UJL26" s="28"/>
      <c r="UJM26" s="28"/>
      <c r="UJN26" s="28"/>
      <c r="UJO26" s="28"/>
      <c r="UJP26" s="28"/>
      <c r="UJQ26" s="28"/>
      <c r="UJR26" s="28"/>
      <c r="UJS26" s="28"/>
      <c r="UJT26" s="28"/>
      <c r="UJU26" s="28"/>
      <c r="UJV26" s="28"/>
      <c r="UJW26" s="28"/>
      <c r="UJX26" s="28"/>
      <c r="UJY26" s="28"/>
      <c r="UJZ26" s="28"/>
      <c r="UKA26" s="28"/>
      <c r="UKB26" s="28"/>
      <c r="UKC26" s="28"/>
      <c r="UKD26" s="28"/>
      <c r="UKE26" s="28"/>
      <c r="UKF26" s="28"/>
      <c r="UKG26" s="28"/>
      <c r="UKH26" s="28"/>
      <c r="UKI26" s="28"/>
      <c r="UKJ26" s="28"/>
      <c r="UKK26" s="28"/>
      <c r="UKL26" s="28"/>
      <c r="UKM26" s="28"/>
      <c r="UKN26" s="28"/>
      <c r="UKO26" s="28"/>
      <c r="UKP26" s="28"/>
      <c r="UKQ26" s="28"/>
      <c r="UKR26" s="28"/>
      <c r="UKS26" s="28"/>
      <c r="UKT26" s="28"/>
      <c r="UKU26" s="28"/>
      <c r="UKV26" s="28"/>
      <c r="UKW26" s="28"/>
      <c r="UKX26" s="28"/>
      <c r="UKY26" s="28"/>
      <c r="UKZ26" s="28"/>
      <c r="ULA26" s="28"/>
      <c r="ULB26" s="28"/>
      <c r="ULC26" s="28"/>
      <c r="ULD26" s="28"/>
      <c r="ULE26" s="28"/>
      <c r="ULF26" s="28"/>
      <c r="ULG26" s="28"/>
      <c r="ULH26" s="28"/>
      <c r="ULI26" s="28"/>
      <c r="ULJ26" s="28"/>
      <c r="ULK26" s="28"/>
      <c r="ULL26" s="28"/>
      <c r="ULM26" s="28"/>
      <c r="ULN26" s="28"/>
      <c r="ULO26" s="28"/>
      <c r="ULP26" s="28"/>
      <c r="ULQ26" s="28"/>
      <c r="ULR26" s="28"/>
      <c r="ULS26" s="28"/>
      <c r="ULT26" s="28"/>
      <c r="ULU26" s="28"/>
      <c r="ULV26" s="28"/>
      <c r="ULW26" s="28"/>
      <c r="ULX26" s="28"/>
      <c r="ULY26" s="28"/>
      <c r="ULZ26" s="28"/>
      <c r="UMA26" s="28"/>
      <c r="UMB26" s="28"/>
      <c r="UMC26" s="28"/>
      <c r="UMD26" s="28"/>
      <c r="UME26" s="28"/>
      <c r="UMF26" s="28"/>
      <c r="UMG26" s="28"/>
      <c r="UMH26" s="28"/>
      <c r="UMI26" s="28"/>
      <c r="UMJ26" s="28"/>
      <c r="UMK26" s="28"/>
      <c r="UML26" s="28"/>
      <c r="UMM26" s="28"/>
      <c r="UMN26" s="28"/>
      <c r="UMO26" s="28"/>
      <c r="UMP26" s="28"/>
      <c r="UMQ26" s="28"/>
      <c r="UMR26" s="28"/>
      <c r="UMS26" s="28"/>
      <c r="UMT26" s="28"/>
      <c r="UMU26" s="28"/>
      <c r="UMV26" s="28"/>
      <c r="UMW26" s="28"/>
      <c r="UMX26" s="28"/>
      <c r="UMY26" s="28"/>
      <c r="UMZ26" s="28"/>
      <c r="UNA26" s="28"/>
      <c r="UNB26" s="28"/>
      <c r="UNC26" s="28"/>
      <c r="UND26" s="28"/>
      <c r="UNE26" s="28"/>
      <c r="UNF26" s="28"/>
      <c r="UNG26" s="28"/>
      <c r="UNH26" s="28"/>
      <c r="UNI26" s="28"/>
      <c r="UNJ26" s="28"/>
      <c r="UNK26" s="28"/>
      <c r="UNL26" s="28"/>
      <c r="UNM26" s="28"/>
      <c r="UNN26" s="28"/>
      <c r="UNO26" s="28"/>
      <c r="UNP26" s="28"/>
      <c r="UNQ26" s="28"/>
      <c r="UNR26" s="28"/>
      <c r="UNS26" s="28"/>
      <c r="UNT26" s="28"/>
      <c r="UNU26" s="28"/>
      <c r="UNV26" s="28"/>
      <c r="UNW26" s="28"/>
      <c r="UNX26" s="28"/>
      <c r="UNY26" s="28"/>
      <c r="UNZ26" s="28"/>
      <c r="UOA26" s="28"/>
      <c r="UOB26" s="28"/>
      <c r="UOC26" s="28"/>
      <c r="UOD26" s="28"/>
      <c r="UOE26" s="28"/>
      <c r="UOF26" s="28"/>
      <c r="UOG26" s="28"/>
      <c r="UOH26" s="28"/>
      <c r="UOI26" s="28"/>
      <c r="UOJ26" s="28"/>
      <c r="UOK26" s="28"/>
      <c r="UOL26" s="28"/>
      <c r="UOM26" s="28"/>
      <c r="UON26" s="28"/>
      <c r="UOO26" s="28"/>
      <c r="UOP26" s="28"/>
      <c r="UOQ26" s="28"/>
      <c r="UOR26" s="28"/>
      <c r="UOS26" s="28"/>
      <c r="UOT26" s="28"/>
      <c r="UOU26" s="28"/>
      <c r="UOV26" s="28"/>
      <c r="UOW26" s="28"/>
      <c r="UOX26" s="28"/>
      <c r="UOY26" s="28"/>
      <c r="UOZ26" s="28"/>
      <c r="UPA26" s="28"/>
      <c r="UPB26" s="28"/>
      <c r="UPC26" s="28"/>
      <c r="UPD26" s="28"/>
      <c r="UPE26" s="28"/>
      <c r="UPF26" s="28"/>
      <c r="UPG26" s="28"/>
      <c r="UPH26" s="28"/>
      <c r="UPI26" s="28"/>
      <c r="UPJ26" s="28"/>
      <c r="UPK26" s="28"/>
      <c r="UPL26" s="28"/>
      <c r="UPM26" s="28"/>
      <c r="UPN26" s="28"/>
      <c r="UPO26" s="28"/>
      <c r="UPP26" s="28"/>
      <c r="UPQ26" s="28"/>
      <c r="UPR26" s="28"/>
      <c r="UPS26" s="28"/>
      <c r="UPT26" s="28"/>
      <c r="UPU26" s="28"/>
      <c r="UPV26" s="28"/>
      <c r="UPW26" s="28"/>
      <c r="UPX26" s="28"/>
      <c r="UPY26" s="28"/>
      <c r="UPZ26" s="28"/>
      <c r="UQA26" s="28"/>
      <c r="UQB26" s="28"/>
      <c r="UQC26" s="28"/>
      <c r="UQD26" s="28"/>
      <c r="UQE26" s="28"/>
      <c r="UQF26" s="28"/>
      <c r="UQG26" s="28"/>
      <c r="UQH26" s="28"/>
      <c r="UQI26" s="28"/>
      <c r="UQJ26" s="28"/>
      <c r="UQK26" s="28"/>
      <c r="UQL26" s="28"/>
      <c r="UQM26" s="28"/>
      <c r="UQN26" s="28"/>
      <c r="UQO26" s="28"/>
      <c r="UQP26" s="28"/>
      <c r="UQQ26" s="28"/>
      <c r="UQR26" s="28"/>
      <c r="UQS26" s="28"/>
      <c r="UQT26" s="28"/>
      <c r="UQU26" s="28"/>
      <c r="UQV26" s="28"/>
      <c r="UQW26" s="28"/>
      <c r="UQX26" s="28"/>
      <c r="UQY26" s="28"/>
      <c r="UQZ26" s="28"/>
      <c r="URA26" s="28"/>
      <c r="URB26" s="28"/>
      <c r="URC26" s="28"/>
      <c r="URD26" s="28"/>
      <c r="URE26" s="28"/>
      <c r="URF26" s="28"/>
      <c r="URG26" s="28"/>
      <c r="URH26" s="28"/>
      <c r="URI26" s="28"/>
      <c r="URJ26" s="28"/>
      <c r="URK26" s="28"/>
      <c r="URL26" s="28"/>
      <c r="URM26" s="28"/>
      <c r="URN26" s="28"/>
      <c r="URO26" s="28"/>
      <c r="URP26" s="28"/>
      <c r="URQ26" s="28"/>
      <c r="URR26" s="28"/>
      <c r="URS26" s="28"/>
      <c r="URT26" s="28"/>
      <c r="URU26" s="28"/>
      <c r="URV26" s="28"/>
      <c r="URW26" s="28"/>
      <c r="URX26" s="28"/>
      <c r="URY26" s="28"/>
      <c r="URZ26" s="28"/>
      <c r="USA26" s="28"/>
      <c r="USB26" s="28"/>
      <c r="USC26" s="28"/>
      <c r="USD26" s="28"/>
      <c r="USE26" s="28"/>
      <c r="USF26" s="28"/>
      <c r="USG26" s="28"/>
      <c r="USH26" s="28"/>
      <c r="USI26" s="28"/>
      <c r="USJ26" s="28"/>
      <c r="USK26" s="28"/>
      <c r="USL26" s="28"/>
      <c r="USM26" s="28"/>
      <c r="USN26" s="28"/>
      <c r="USO26" s="28"/>
      <c r="USP26" s="28"/>
      <c r="USQ26" s="28"/>
      <c r="USR26" s="28"/>
      <c r="USS26" s="28"/>
      <c r="UST26" s="28"/>
      <c r="USU26" s="28"/>
      <c r="USV26" s="28"/>
      <c r="USW26" s="28"/>
      <c r="USX26" s="28"/>
      <c r="USY26" s="28"/>
      <c r="USZ26" s="28"/>
      <c r="UTA26" s="28"/>
      <c r="UTB26" s="28"/>
      <c r="UTC26" s="28"/>
      <c r="UTD26" s="28"/>
      <c r="UTE26" s="28"/>
      <c r="UTF26" s="28"/>
      <c r="UTG26" s="28"/>
      <c r="UTH26" s="28"/>
      <c r="UTI26" s="28"/>
      <c r="UTJ26" s="28"/>
      <c r="UTK26" s="28"/>
      <c r="UTL26" s="28"/>
      <c r="UTM26" s="28"/>
      <c r="UTN26" s="28"/>
      <c r="UTO26" s="28"/>
      <c r="UTP26" s="28"/>
      <c r="UTQ26" s="28"/>
      <c r="UTR26" s="28"/>
      <c r="UTS26" s="28"/>
      <c r="UTT26" s="28"/>
      <c r="UTU26" s="28"/>
      <c r="UTV26" s="28"/>
      <c r="UTW26" s="28"/>
      <c r="UTX26" s="28"/>
      <c r="UTY26" s="28"/>
      <c r="UTZ26" s="28"/>
      <c r="UUA26" s="28"/>
      <c r="UUB26" s="28"/>
      <c r="UUC26" s="28"/>
      <c r="UUD26" s="28"/>
      <c r="UUE26" s="28"/>
      <c r="UUF26" s="28"/>
      <c r="UUG26" s="28"/>
      <c r="UUH26" s="28"/>
      <c r="UUI26" s="28"/>
      <c r="UUJ26" s="28"/>
      <c r="UUK26" s="28"/>
      <c r="UUL26" s="28"/>
      <c r="UUM26" s="28"/>
      <c r="UUN26" s="28"/>
      <c r="UUO26" s="28"/>
      <c r="UUP26" s="28"/>
      <c r="UUQ26" s="28"/>
      <c r="UUR26" s="28"/>
      <c r="UUS26" s="28"/>
      <c r="UUT26" s="28"/>
      <c r="UUU26" s="28"/>
      <c r="UUV26" s="28"/>
      <c r="UUW26" s="28"/>
      <c r="UUX26" s="28"/>
      <c r="UUY26" s="28"/>
      <c r="UUZ26" s="28"/>
      <c r="UVA26" s="28"/>
      <c r="UVB26" s="28"/>
      <c r="UVC26" s="28"/>
      <c r="UVD26" s="28"/>
      <c r="UVE26" s="28"/>
      <c r="UVF26" s="28"/>
      <c r="UVG26" s="28"/>
      <c r="UVH26" s="28"/>
      <c r="UVI26" s="28"/>
      <c r="UVJ26" s="28"/>
      <c r="UVK26" s="28"/>
      <c r="UVL26" s="28"/>
      <c r="UVM26" s="28"/>
      <c r="UVN26" s="28"/>
      <c r="UVO26" s="28"/>
      <c r="UVP26" s="28"/>
      <c r="UVQ26" s="28"/>
      <c r="UVR26" s="28"/>
      <c r="UVS26" s="28"/>
      <c r="UVT26" s="28"/>
      <c r="UVU26" s="28"/>
      <c r="UVV26" s="28"/>
      <c r="UVW26" s="28"/>
      <c r="UVX26" s="28"/>
      <c r="UVY26" s="28"/>
      <c r="UVZ26" s="28"/>
      <c r="UWA26" s="28"/>
      <c r="UWB26" s="28"/>
      <c r="UWC26" s="28"/>
      <c r="UWD26" s="28"/>
      <c r="UWE26" s="28"/>
      <c r="UWF26" s="28"/>
      <c r="UWG26" s="28"/>
      <c r="UWH26" s="28"/>
      <c r="UWI26" s="28"/>
      <c r="UWJ26" s="28"/>
      <c r="UWK26" s="28"/>
      <c r="UWL26" s="28"/>
      <c r="UWM26" s="28"/>
      <c r="UWN26" s="28"/>
      <c r="UWO26" s="28"/>
      <c r="UWP26" s="28"/>
      <c r="UWQ26" s="28"/>
      <c r="UWR26" s="28"/>
      <c r="UWS26" s="28"/>
      <c r="UWT26" s="28"/>
      <c r="UWU26" s="28"/>
      <c r="UWV26" s="28"/>
      <c r="UWW26" s="28"/>
      <c r="UWX26" s="28"/>
      <c r="UWY26" s="28"/>
      <c r="UWZ26" s="28"/>
      <c r="UXA26" s="28"/>
      <c r="UXB26" s="28"/>
      <c r="UXC26" s="28"/>
      <c r="UXD26" s="28"/>
      <c r="UXE26" s="28"/>
      <c r="UXF26" s="28"/>
      <c r="UXG26" s="28"/>
      <c r="UXH26" s="28"/>
      <c r="UXI26" s="28"/>
      <c r="UXJ26" s="28"/>
      <c r="UXK26" s="28"/>
      <c r="UXL26" s="28"/>
      <c r="UXM26" s="28"/>
      <c r="UXN26" s="28"/>
      <c r="UXO26" s="28"/>
      <c r="UXP26" s="28"/>
      <c r="UXQ26" s="28"/>
      <c r="UXR26" s="28"/>
      <c r="UXS26" s="28"/>
      <c r="UXT26" s="28"/>
      <c r="UXU26" s="28"/>
      <c r="UXV26" s="28"/>
      <c r="UXW26" s="28"/>
      <c r="UXX26" s="28"/>
      <c r="UXY26" s="28"/>
      <c r="UXZ26" s="28"/>
      <c r="UYA26" s="28"/>
      <c r="UYB26" s="28"/>
      <c r="UYC26" s="28"/>
      <c r="UYD26" s="28"/>
      <c r="UYE26" s="28"/>
      <c r="UYF26" s="28"/>
      <c r="UYG26" s="28"/>
      <c r="UYH26" s="28"/>
      <c r="UYI26" s="28"/>
      <c r="UYJ26" s="28"/>
      <c r="UYK26" s="28"/>
      <c r="UYL26" s="28"/>
      <c r="UYM26" s="28"/>
      <c r="UYN26" s="28"/>
      <c r="UYO26" s="28"/>
      <c r="UYP26" s="28"/>
      <c r="UYQ26" s="28"/>
      <c r="UYR26" s="28"/>
      <c r="UYS26" s="28"/>
      <c r="UYT26" s="28"/>
      <c r="UYU26" s="28"/>
      <c r="UYV26" s="28"/>
      <c r="UYW26" s="28"/>
      <c r="UYX26" s="28"/>
      <c r="UYY26" s="28"/>
      <c r="UYZ26" s="28"/>
      <c r="UZA26" s="28"/>
      <c r="UZB26" s="28"/>
      <c r="UZC26" s="28"/>
      <c r="UZD26" s="28"/>
      <c r="UZE26" s="28"/>
      <c r="UZF26" s="28"/>
      <c r="UZG26" s="28"/>
      <c r="UZH26" s="28"/>
      <c r="UZI26" s="28"/>
      <c r="UZJ26" s="28"/>
      <c r="UZK26" s="28"/>
      <c r="UZL26" s="28"/>
      <c r="UZM26" s="28"/>
      <c r="UZN26" s="28"/>
      <c r="UZO26" s="28"/>
      <c r="UZP26" s="28"/>
      <c r="UZQ26" s="28"/>
      <c r="UZR26" s="28"/>
      <c r="UZS26" s="28"/>
      <c r="UZT26" s="28"/>
      <c r="UZU26" s="28"/>
      <c r="UZV26" s="28"/>
      <c r="UZW26" s="28"/>
      <c r="UZX26" s="28"/>
      <c r="UZY26" s="28"/>
      <c r="UZZ26" s="28"/>
      <c r="VAA26" s="28"/>
      <c r="VAB26" s="28"/>
      <c r="VAC26" s="28"/>
      <c r="VAD26" s="28"/>
      <c r="VAE26" s="28"/>
      <c r="VAF26" s="28"/>
      <c r="VAG26" s="28"/>
      <c r="VAH26" s="28"/>
      <c r="VAI26" s="28"/>
      <c r="VAJ26" s="28"/>
      <c r="VAK26" s="28"/>
      <c r="VAL26" s="28"/>
      <c r="VAM26" s="28"/>
      <c r="VAN26" s="28"/>
      <c r="VAO26" s="28"/>
      <c r="VAP26" s="28"/>
      <c r="VAQ26" s="28"/>
      <c r="VAR26" s="28"/>
      <c r="VAS26" s="28"/>
      <c r="VAT26" s="28"/>
      <c r="VAU26" s="28"/>
      <c r="VAV26" s="28"/>
      <c r="VAW26" s="28"/>
      <c r="VAX26" s="28"/>
      <c r="VAY26" s="28"/>
      <c r="VAZ26" s="28"/>
      <c r="VBA26" s="28"/>
      <c r="VBB26" s="28"/>
      <c r="VBC26" s="28"/>
      <c r="VBD26" s="28"/>
      <c r="VBE26" s="28"/>
      <c r="VBF26" s="28"/>
      <c r="VBG26" s="28"/>
      <c r="VBH26" s="28"/>
      <c r="VBI26" s="28"/>
      <c r="VBJ26" s="28"/>
      <c r="VBK26" s="28"/>
      <c r="VBL26" s="28"/>
      <c r="VBM26" s="28"/>
      <c r="VBN26" s="28"/>
      <c r="VBO26" s="28"/>
      <c r="VBP26" s="28"/>
      <c r="VBQ26" s="28"/>
      <c r="VBR26" s="28"/>
      <c r="VBS26" s="28"/>
      <c r="VBT26" s="28"/>
      <c r="VBU26" s="28"/>
      <c r="VBV26" s="28"/>
      <c r="VBW26" s="28"/>
      <c r="VBX26" s="28"/>
      <c r="VBY26" s="28"/>
      <c r="VBZ26" s="28"/>
      <c r="VCA26" s="28"/>
      <c r="VCB26" s="28"/>
      <c r="VCC26" s="28"/>
      <c r="VCD26" s="28"/>
      <c r="VCE26" s="28"/>
      <c r="VCF26" s="28"/>
      <c r="VCG26" s="28"/>
      <c r="VCH26" s="28"/>
      <c r="VCI26" s="28"/>
      <c r="VCJ26" s="28"/>
      <c r="VCK26" s="28"/>
      <c r="VCL26" s="28"/>
      <c r="VCM26" s="28"/>
      <c r="VCN26" s="28"/>
      <c r="VCO26" s="28"/>
      <c r="VCP26" s="28"/>
      <c r="VCQ26" s="28"/>
      <c r="VCR26" s="28"/>
      <c r="VCS26" s="28"/>
      <c r="VCT26" s="28"/>
      <c r="VCU26" s="28"/>
      <c r="VCV26" s="28"/>
      <c r="VCW26" s="28"/>
      <c r="VCX26" s="28"/>
      <c r="VCY26" s="28"/>
      <c r="VCZ26" s="28"/>
      <c r="VDA26" s="28"/>
      <c r="VDB26" s="28"/>
      <c r="VDC26" s="28"/>
      <c r="VDD26" s="28"/>
      <c r="VDE26" s="28"/>
      <c r="VDF26" s="28"/>
      <c r="VDG26" s="28"/>
      <c r="VDH26" s="28"/>
      <c r="VDI26" s="28"/>
      <c r="VDJ26" s="28"/>
      <c r="VDK26" s="28"/>
      <c r="VDL26" s="28"/>
      <c r="VDM26" s="28"/>
      <c r="VDN26" s="28"/>
      <c r="VDO26" s="28"/>
      <c r="VDP26" s="28"/>
      <c r="VDQ26" s="28"/>
      <c r="VDR26" s="28"/>
      <c r="VDS26" s="28"/>
      <c r="VDT26" s="28"/>
      <c r="VDU26" s="28"/>
      <c r="VDV26" s="28"/>
      <c r="VDW26" s="28"/>
      <c r="VDX26" s="28"/>
      <c r="VDY26" s="28"/>
      <c r="VDZ26" s="28"/>
      <c r="VEA26" s="28"/>
      <c r="VEB26" s="28"/>
      <c r="VEC26" s="28"/>
      <c r="VED26" s="28"/>
      <c r="VEE26" s="28"/>
      <c r="VEF26" s="28"/>
      <c r="VEG26" s="28"/>
      <c r="VEH26" s="28"/>
      <c r="VEI26" s="28"/>
      <c r="VEJ26" s="28"/>
      <c r="VEK26" s="28"/>
      <c r="VEL26" s="28"/>
      <c r="VEM26" s="28"/>
      <c r="VEN26" s="28"/>
      <c r="VEO26" s="28"/>
      <c r="VEP26" s="28"/>
      <c r="VEQ26" s="28"/>
      <c r="VER26" s="28"/>
      <c r="VES26" s="28"/>
      <c r="VET26" s="28"/>
      <c r="VEU26" s="28"/>
      <c r="VEV26" s="28"/>
      <c r="VEW26" s="28"/>
      <c r="VEX26" s="28"/>
      <c r="VEY26" s="28"/>
      <c r="VEZ26" s="28"/>
      <c r="VFA26" s="28"/>
      <c r="VFB26" s="28"/>
      <c r="VFC26" s="28"/>
      <c r="VFD26" s="28"/>
      <c r="VFE26" s="28"/>
      <c r="VFF26" s="28"/>
      <c r="VFG26" s="28"/>
      <c r="VFH26" s="28"/>
      <c r="VFI26" s="28"/>
      <c r="VFJ26" s="28"/>
      <c r="VFK26" s="28"/>
      <c r="VFL26" s="28"/>
      <c r="VFM26" s="28"/>
      <c r="VFN26" s="28"/>
      <c r="VFO26" s="28"/>
      <c r="VFP26" s="28"/>
      <c r="VFQ26" s="28"/>
      <c r="VFR26" s="28"/>
      <c r="VFS26" s="28"/>
      <c r="VFT26" s="28"/>
      <c r="VFU26" s="28"/>
      <c r="VFV26" s="28"/>
      <c r="VFW26" s="28"/>
      <c r="VFX26" s="28"/>
      <c r="VFY26" s="28"/>
      <c r="VFZ26" s="28"/>
      <c r="VGA26" s="28"/>
      <c r="VGB26" s="28"/>
      <c r="VGC26" s="28"/>
      <c r="VGD26" s="28"/>
      <c r="VGE26" s="28"/>
      <c r="VGF26" s="28"/>
      <c r="VGG26" s="28"/>
      <c r="VGH26" s="28"/>
      <c r="VGI26" s="28"/>
      <c r="VGJ26" s="28"/>
      <c r="VGK26" s="28"/>
      <c r="VGL26" s="28"/>
      <c r="VGM26" s="28"/>
      <c r="VGN26" s="28"/>
      <c r="VGO26" s="28"/>
      <c r="VGP26" s="28"/>
      <c r="VGQ26" s="28"/>
      <c r="VGR26" s="28"/>
      <c r="VGS26" s="28"/>
      <c r="VGT26" s="28"/>
      <c r="VGU26" s="28"/>
      <c r="VGV26" s="28"/>
      <c r="VGW26" s="28"/>
      <c r="VGX26" s="28"/>
      <c r="VGY26" s="28"/>
      <c r="VGZ26" s="28"/>
      <c r="VHA26" s="28"/>
      <c r="VHB26" s="28"/>
      <c r="VHC26" s="28"/>
      <c r="VHD26" s="28"/>
      <c r="VHE26" s="28"/>
      <c r="VHF26" s="28"/>
      <c r="VHG26" s="28"/>
      <c r="VHH26" s="28"/>
      <c r="VHI26" s="28"/>
      <c r="VHJ26" s="28"/>
      <c r="VHK26" s="28"/>
      <c r="VHL26" s="28"/>
      <c r="VHM26" s="28"/>
      <c r="VHN26" s="28"/>
      <c r="VHO26" s="28"/>
      <c r="VHP26" s="28"/>
      <c r="VHQ26" s="28"/>
      <c r="VHR26" s="28"/>
      <c r="VHS26" s="28"/>
      <c r="VHT26" s="28"/>
      <c r="VHU26" s="28"/>
      <c r="VHV26" s="28"/>
      <c r="VHW26" s="28"/>
      <c r="VHX26" s="28"/>
      <c r="VHY26" s="28"/>
      <c r="VHZ26" s="28"/>
      <c r="VIA26" s="28"/>
      <c r="VIB26" s="28"/>
      <c r="VIC26" s="28"/>
      <c r="VID26" s="28"/>
      <c r="VIE26" s="28"/>
      <c r="VIF26" s="28"/>
      <c r="VIG26" s="28"/>
      <c r="VIH26" s="28"/>
      <c r="VII26" s="28"/>
      <c r="VIJ26" s="28"/>
      <c r="VIK26" s="28"/>
      <c r="VIL26" s="28"/>
      <c r="VIM26" s="28"/>
      <c r="VIN26" s="28"/>
      <c r="VIO26" s="28"/>
      <c r="VIP26" s="28"/>
      <c r="VIQ26" s="28"/>
      <c r="VIR26" s="28"/>
      <c r="VIS26" s="28"/>
      <c r="VIT26" s="28"/>
      <c r="VIU26" s="28"/>
      <c r="VIV26" s="28"/>
      <c r="VIW26" s="28"/>
      <c r="VIX26" s="28"/>
      <c r="VIY26" s="28"/>
      <c r="VIZ26" s="28"/>
      <c r="VJA26" s="28"/>
      <c r="VJB26" s="28"/>
      <c r="VJC26" s="28"/>
      <c r="VJD26" s="28"/>
      <c r="VJE26" s="28"/>
      <c r="VJF26" s="28"/>
      <c r="VJG26" s="28"/>
      <c r="VJH26" s="28"/>
      <c r="VJI26" s="28"/>
      <c r="VJJ26" s="28"/>
      <c r="VJK26" s="28"/>
      <c r="VJL26" s="28"/>
      <c r="VJM26" s="28"/>
      <c r="VJN26" s="28"/>
      <c r="VJO26" s="28"/>
      <c r="VJP26" s="28"/>
      <c r="VJQ26" s="28"/>
      <c r="VJR26" s="28"/>
      <c r="VJS26" s="28"/>
      <c r="VJT26" s="28"/>
      <c r="VJU26" s="28"/>
      <c r="VJV26" s="28"/>
      <c r="VJW26" s="28"/>
      <c r="VJX26" s="28"/>
      <c r="VJY26" s="28"/>
      <c r="VJZ26" s="28"/>
      <c r="VKA26" s="28"/>
      <c r="VKB26" s="28"/>
      <c r="VKC26" s="28"/>
      <c r="VKD26" s="28"/>
      <c r="VKE26" s="28"/>
      <c r="VKF26" s="28"/>
      <c r="VKG26" s="28"/>
      <c r="VKH26" s="28"/>
      <c r="VKI26" s="28"/>
      <c r="VKJ26" s="28"/>
      <c r="VKK26" s="28"/>
      <c r="VKL26" s="28"/>
      <c r="VKM26" s="28"/>
      <c r="VKN26" s="28"/>
      <c r="VKO26" s="28"/>
      <c r="VKP26" s="28"/>
      <c r="VKQ26" s="28"/>
      <c r="VKR26" s="28"/>
      <c r="VKS26" s="28"/>
      <c r="VKT26" s="28"/>
      <c r="VKU26" s="28"/>
      <c r="VKV26" s="28"/>
      <c r="VKW26" s="28"/>
      <c r="VKX26" s="28"/>
      <c r="VKY26" s="28"/>
      <c r="VKZ26" s="28"/>
      <c r="VLA26" s="28"/>
      <c r="VLB26" s="28"/>
      <c r="VLC26" s="28"/>
      <c r="VLD26" s="28"/>
      <c r="VLE26" s="28"/>
      <c r="VLF26" s="28"/>
      <c r="VLG26" s="28"/>
      <c r="VLH26" s="28"/>
      <c r="VLI26" s="28"/>
      <c r="VLJ26" s="28"/>
      <c r="VLK26" s="28"/>
      <c r="VLL26" s="28"/>
      <c r="VLM26" s="28"/>
      <c r="VLN26" s="28"/>
      <c r="VLO26" s="28"/>
      <c r="VLP26" s="28"/>
      <c r="VLQ26" s="28"/>
      <c r="VLR26" s="28"/>
      <c r="VLS26" s="28"/>
      <c r="VLT26" s="28"/>
      <c r="VLU26" s="28"/>
      <c r="VLV26" s="28"/>
      <c r="VLW26" s="28"/>
      <c r="VLX26" s="28"/>
      <c r="VLY26" s="28"/>
      <c r="VLZ26" s="28"/>
      <c r="VMA26" s="28"/>
      <c r="VMB26" s="28"/>
      <c r="VMC26" s="28"/>
      <c r="VMD26" s="28"/>
      <c r="VME26" s="28"/>
      <c r="VMF26" s="28"/>
      <c r="VMG26" s="28"/>
      <c r="VMH26" s="28"/>
      <c r="VMI26" s="28"/>
      <c r="VMJ26" s="28"/>
      <c r="VMK26" s="28"/>
      <c r="VML26" s="28"/>
      <c r="VMM26" s="28"/>
      <c r="VMN26" s="28"/>
      <c r="VMO26" s="28"/>
      <c r="VMP26" s="28"/>
      <c r="VMQ26" s="28"/>
      <c r="VMR26" s="28"/>
      <c r="VMS26" s="28"/>
      <c r="VMT26" s="28"/>
      <c r="VMU26" s="28"/>
      <c r="VMV26" s="28"/>
      <c r="VMW26" s="28"/>
      <c r="VMX26" s="28"/>
      <c r="VMY26" s="28"/>
      <c r="VMZ26" s="28"/>
      <c r="VNA26" s="28"/>
      <c r="VNB26" s="28"/>
      <c r="VNC26" s="28"/>
      <c r="VND26" s="28"/>
      <c r="VNE26" s="28"/>
      <c r="VNF26" s="28"/>
      <c r="VNG26" s="28"/>
      <c r="VNH26" s="28"/>
      <c r="VNI26" s="28"/>
      <c r="VNJ26" s="28"/>
      <c r="VNK26" s="28"/>
      <c r="VNL26" s="28"/>
      <c r="VNM26" s="28"/>
      <c r="VNN26" s="28"/>
      <c r="VNO26" s="28"/>
      <c r="VNP26" s="28"/>
      <c r="VNQ26" s="28"/>
      <c r="VNR26" s="28"/>
      <c r="VNS26" s="28"/>
      <c r="VNT26" s="28"/>
      <c r="VNU26" s="28"/>
      <c r="VNV26" s="28"/>
      <c r="VNW26" s="28"/>
      <c r="VNX26" s="28"/>
      <c r="VNY26" s="28"/>
      <c r="VNZ26" s="28"/>
      <c r="VOA26" s="28"/>
      <c r="VOB26" s="28"/>
      <c r="VOC26" s="28"/>
      <c r="VOD26" s="28"/>
      <c r="VOE26" s="28"/>
      <c r="VOF26" s="28"/>
      <c r="VOG26" s="28"/>
      <c r="VOH26" s="28"/>
      <c r="VOI26" s="28"/>
      <c r="VOJ26" s="28"/>
      <c r="VOK26" s="28"/>
      <c r="VOL26" s="28"/>
      <c r="VOM26" s="28"/>
      <c r="VON26" s="28"/>
      <c r="VOO26" s="28"/>
      <c r="VOP26" s="28"/>
      <c r="VOQ26" s="28"/>
      <c r="VOR26" s="28"/>
      <c r="VOS26" s="28"/>
      <c r="VOT26" s="28"/>
      <c r="VOU26" s="28"/>
      <c r="VOV26" s="28"/>
      <c r="VOW26" s="28"/>
      <c r="VOX26" s="28"/>
      <c r="VOY26" s="28"/>
      <c r="VOZ26" s="28"/>
      <c r="VPA26" s="28"/>
      <c r="VPB26" s="28"/>
      <c r="VPC26" s="28"/>
      <c r="VPD26" s="28"/>
      <c r="VPE26" s="28"/>
      <c r="VPF26" s="28"/>
      <c r="VPG26" s="28"/>
      <c r="VPH26" s="28"/>
      <c r="VPI26" s="28"/>
      <c r="VPJ26" s="28"/>
      <c r="VPK26" s="28"/>
      <c r="VPL26" s="28"/>
      <c r="VPM26" s="28"/>
      <c r="VPN26" s="28"/>
      <c r="VPO26" s="28"/>
      <c r="VPP26" s="28"/>
      <c r="VPQ26" s="28"/>
      <c r="VPR26" s="28"/>
      <c r="VPS26" s="28"/>
      <c r="VPT26" s="28"/>
      <c r="VPU26" s="28"/>
      <c r="VPV26" s="28"/>
      <c r="VPW26" s="28"/>
      <c r="VPX26" s="28"/>
      <c r="VPY26" s="28"/>
      <c r="VPZ26" s="28"/>
      <c r="VQA26" s="28"/>
      <c r="VQB26" s="28"/>
      <c r="VQC26" s="28"/>
      <c r="VQD26" s="28"/>
      <c r="VQE26" s="28"/>
      <c r="VQF26" s="28"/>
      <c r="VQG26" s="28"/>
      <c r="VQH26" s="28"/>
      <c r="VQI26" s="28"/>
      <c r="VQJ26" s="28"/>
      <c r="VQK26" s="28"/>
      <c r="VQL26" s="28"/>
      <c r="VQM26" s="28"/>
      <c r="VQN26" s="28"/>
      <c r="VQO26" s="28"/>
      <c r="VQP26" s="28"/>
      <c r="VQQ26" s="28"/>
      <c r="VQR26" s="28"/>
      <c r="VQS26" s="28"/>
      <c r="VQT26" s="28"/>
      <c r="VQU26" s="28"/>
      <c r="VQV26" s="28"/>
      <c r="VQW26" s="28"/>
      <c r="VQX26" s="28"/>
      <c r="VQY26" s="28"/>
      <c r="VQZ26" s="28"/>
      <c r="VRA26" s="28"/>
      <c r="VRB26" s="28"/>
      <c r="VRC26" s="28"/>
      <c r="VRD26" s="28"/>
      <c r="VRE26" s="28"/>
      <c r="VRF26" s="28"/>
      <c r="VRG26" s="28"/>
      <c r="VRH26" s="28"/>
      <c r="VRI26" s="28"/>
      <c r="VRJ26" s="28"/>
      <c r="VRK26" s="28"/>
      <c r="VRL26" s="28"/>
      <c r="VRM26" s="28"/>
      <c r="VRN26" s="28"/>
      <c r="VRO26" s="28"/>
      <c r="VRP26" s="28"/>
      <c r="VRQ26" s="28"/>
      <c r="VRR26" s="28"/>
      <c r="VRS26" s="28"/>
      <c r="VRT26" s="28"/>
      <c r="VRU26" s="28"/>
      <c r="VRV26" s="28"/>
      <c r="VRW26" s="28"/>
      <c r="VRX26" s="28"/>
      <c r="VRY26" s="28"/>
      <c r="VRZ26" s="28"/>
      <c r="VSA26" s="28"/>
      <c r="VSB26" s="28"/>
      <c r="VSC26" s="28"/>
      <c r="VSD26" s="28"/>
      <c r="VSE26" s="28"/>
      <c r="VSF26" s="28"/>
      <c r="VSG26" s="28"/>
      <c r="VSH26" s="28"/>
      <c r="VSI26" s="28"/>
      <c r="VSJ26" s="28"/>
      <c r="VSK26" s="28"/>
      <c r="VSL26" s="28"/>
      <c r="VSM26" s="28"/>
      <c r="VSN26" s="28"/>
      <c r="VSO26" s="28"/>
      <c r="VSP26" s="28"/>
      <c r="VSQ26" s="28"/>
      <c r="VSR26" s="28"/>
      <c r="VSS26" s="28"/>
      <c r="VST26" s="28"/>
      <c r="VSU26" s="28"/>
      <c r="VSV26" s="28"/>
      <c r="VSW26" s="28"/>
      <c r="VSX26" s="28"/>
      <c r="VSY26" s="28"/>
      <c r="VSZ26" s="28"/>
      <c r="VTA26" s="28"/>
      <c r="VTB26" s="28"/>
      <c r="VTC26" s="28"/>
      <c r="VTD26" s="28"/>
      <c r="VTE26" s="28"/>
      <c r="VTF26" s="28"/>
      <c r="VTG26" s="28"/>
      <c r="VTH26" s="28"/>
      <c r="VTI26" s="28"/>
      <c r="VTJ26" s="28"/>
      <c r="VTK26" s="28"/>
      <c r="VTL26" s="28"/>
      <c r="VTM26" s="28"/>
      <c r="VTN26" s="28"/>
      <c r="VTO26" s="28"/>
      <c r="VTP26" s="28"/>
      <c r="VTQ26" s="28"/>
      <c r="VTR26" s="28"/>
      <c r="VTS26" s="28"/>
      <c r="VTT26" s="28"/>
      <c r="VTU26" s="28"/>
      <c r="VTV26" s="28"/>
      <c r="VTW26" s="28"/>
      <c r="VTX26" s="28"/>
      <c r="VTY26" s="28"/>
      <c r="VTZ26" s="28"/>
      <c r="VUA26" s="28"/>
      <c r="VUB26" s="28"/>
      <c r="VUC26" s="28"/>
      <c r="VUD26" s="28"/>
      <c r="VUE26" s="28"/>
      <c r="VUF26" s="28"/>
      <c r="VUG26" s="28"/>
      <c r="VUH26" s="28"/>
      <c r="VUI26" s="28"/>
      <c r="VUJ26" s="28"/>
      <c r="VUK26" s="28"/>
      <c r="VUL26" s="28"/>
      <c r="VUM26" s="28"/>
      <c r="VUN26" s="28"/>
      <c r="VUO26" s="28"/>
      <c r="VUP26" s="28"/>
      <c r="VUQ26" s="28"/>
      <c r="VUR26" s="28"/>
      <c r="VUS26" s="28"/>
      <c r="VUT26" s="28"/>
      <c r="VUU26" s="28"/>
      <c r="VUV26" s="28"/>
      <c r="VUW26" s="28"/>
      <c r="VUX26" s="28"/>
      <c r="VUY26" s="28"/>
      <c r="VUZ26" s="28"/>
      <c r="VVA26" s="28"/>
      <c r="VVB26" s="28"/>
      <c r="VVC26" s="28"/>
      <c r="VVD26" s="28"/>
      <c r="VVE26" s="28"/>
      <c r="VVF26" s="28"/>
      <c r="VVG26" s="28"/>
      <c r="VVH26" s="28"/>
      <c r="VVI26" s="28"/>
      <c r="VVJ26" s="28"/>
      <c r="VVK26" s="28"/>
      <c r="VVL26" s="28"/>
      <c r="VVM26" s="28"/>
      <c r="VVN26" s="28"/>
      <c r="VVO26" s="28"/>
      <c r="VVP26" s="28"/>
      <c r="VVQ26" s="28"/>
      <c r="VVR26" s="28"/>
      <c r="VVS26" s="28"/>
      <c r="VVT26" s="28"/>
      <c r="VVU26" s="28"/>
      <c r="VVV26" s="28"/>
      <c r="VVW26" s="28"/>
      <c r="VVX26" s="28"/>
      <c r="VVY26" s="28"/>
      <c r="VVZ26" s="28"/>
      <c r="VWA26" s="28"/>
      <c r="VWB26" s="28"/>
      <c r="VWC26" s="28"/>
      <c r="VWD26" s="28"/>
      <c r="VWE26" s="28"/>
      <c r="VWF26" s="28"/>
      <c r="VWG26" s="28"/>
      <c r="VWH26" s="28"/>
      <c r="VWI26" s="28"/>
      <c r="VWJ26" s="28"/>
      <c r="VWK26" s="28"/>
      <c r="VWL26" s="28"/>
      <c r="VWM26" s="28"/>
      <c r="VWN26" s="28"/>
      <c r="VWO26" s="28"/>
      <c r="VWP26" s="28"/>
      <c r="VWQ26" s="28"/>
      <c r="VWR26" s="28"/>
      <c r="VWS26" s="28"/>
      <c r="VWT26" s="28"/>
      <c r="VWU26" s="28"/>
      <c r="VWV26" s="28"/>
      <c r="VWW26" s="28"/>
      <c r="VWX26" s="28"/>
      <c r="VWY26" s="28"/>
      <c r="VWZ26" s="28"/>
      <c r="VXA26" s="28"/>
      <c r="VXB26" s="28"/>
      <c r="VXC26" s="28"/>
      <c r="VXD26" s="28"/>
      <c r="VXE26" s="28"/>
      <c r="VXF26" s="28"/>
      <c r="VXG26" s="28"/>
      <c r="VXH26" s="28"/>
      <c r="VXI26" s="28"/>
      <c r="VXJ26" s="28"/>
      <c r="VXK26" s="28"/>
      <c r="VXL26" s="28"/>
      <c r="VXM26" s="28"/>
      <c r="VXN26" s="28"/>
      <c r="VXO26" s="28"/>
      <c r="VXP26" s="28"/>
      <c r="VXQ26" s="28"/>
      <c r="VXR26" s="28"/>
      <c r="VXS26" s="28"/>
      <c r="VXT26" s="28"/>
      <c r="VXU26" s="28"/>
      <c r="VXV26" s="28"/>
      <c r="VXW26" s="28"/>
      <c r="VXX26" s="28"/>
      <c r="VXY26" s="28"/>
      <c r="VXZ26" s="28"/>
      <c r="VYA26" s="28"/>
      <c r="VYB26" s="28"/>
      <c r="VYC26" s="28"/>
      <c r="VYD26" s="28"/>
      <c r="VYE26" s="28"/>
      <c r="VYF26" s="28"/>
      <c r="VYG26" s="28"/>
      <c r="VYH26" s="28"/>
      <c r="VYI26" s="28"/>
      <c r="VYJ26" s="28"/>
      <c r="VYK26" s="28"/>
      <c r="VYL26" s="28"/>
      <c r="VYM26" s="28"/>
      <c r="VYN26" s="28"/>
      <c r="VYO26" s="28"/>
      <c r="VYP26" s="28"/>
      <c r="VYQ26" s="28"/>
      <c r="VYR26" s="28"/>
      <c r="VYS26" s="28"/>
      <c r="VYT26" s="28"/>
      <c r="VYU26" s="28"/>
      <c r="VYV26" s="28"/>
      <c r="VYW26" s="28"/>
      <c r="VYX26" s="28"/>
      <c r="VYY26" s="28"/>
      <c r="VYZ26" s="28"/>
      <c r="VZA26" s="28"/>
      <c r="VZB26" s="28"/>
      <c r="VZC26" s="28"/>
      <c r="VZD26" s="28"/>
      <c r="VZE26" s="28"/>
      <c r="VZF26" s="28"/>
      <c r="VZG26" s="28"/>
      <c r="VZH26" s="28"/>
      <c r="VZI26" s="28"/>
      <c r="VZJ26" s="28"/>
      <c r="VZK26" s="28"/>
      <c r="VZL26" s="28"/>
      <c r="VZM26" s="28"/>
      <c r="VZN26" s="28"/>
      <c r="VZO26" s="28"/>
      <c r="VZP26" s="28"/>
      <c r="VZQ26" s="28"/>
      <c r="VZR26" s="28"/>
      <c r="VZS26" s="28"/>
      <c r="VZT26" s="28"/>
      <c r="VZU26" s="28"/>
      <c r="VZV26" s="28"/>
      <c r="VZW26" s="28"/>
      <c r="VZX26" s="28"/>
      <c r="VZY26" s="28"/>
      <c r="VZZ26" s="28"/>
      <c r="WAA26" s="28"/>
      <c r="WAB26" s="28"/>
      <c r="WAC26" s="28"/>
      <c r="WAD26" s="28"/>
      <c r="WAE26" s="28"/>
      <c r="WAF26" s="28"/>
      <c r="WAG26" s="28"/>
      <c r="WAH26" s="28"/>
      <c r="WAI26" s="28"/>
      <c r="WAJ26" s="28"/>
      <c r="WAK26" s="28"/>
      <c r="WAL26" s="28"/>
      <c r="WAM26" s="28"/>
      <c r="WAN26" s="28"/>
      <c r="WAO26" s="28"/>
      <c r="WAP26" s="28"/>
      <c r="WAQ26" s="28"/>
      <c r="WAR26" s="28"/>
      <c r="WAS26" s="28"/>
      <c r="WAT26" s="28"/>
      <c r="WAU26" s="28"/>
      <c r="WAV26" s="28"/>
      <c r="WAW26" s="28"/>
      <c r="WAX26" s="28"/>
      <c r="WAY26" s="28"/>
      <c r="WAZ26" s="28"/>
      <c r="WBA26" s="28"/>
      <c r="WBB26" s="28"/>
      <c r="WBC26" s="28"/>
      <c r="WBD26" s="28"/>
      <c r="WBE26" s="28"/>
      <c r="WBF26" s="28"/>
      <c r="WBG26" s="28"/>
      <c r="WBH26" s="28"/>
      <c r="WBI26" s="28"/>
      <c r="WBJ26" s="28"/>
      <c r="WBK26" s="28"/>
      <c r="WBL26" s="28"/>
      <c r="WBM26" s="28"/>
      <c r="WBN26" s="28"/>
      <c r="WBO26" s="28"/>
      <c r="WBP26" s="28"/>
      <c r="WBQ26" s="28"/>
      <c r="WBR26" s="28"/>
      <c r="WBS26" s="28"/>
      <c r="WBT26" s="28"/>
      <c r="WBU26" s="28"/>
      <c r="WBV26" s="28"/>
      <c r="WBW26" s="28"/>
      <c r="WBX26" s="28"/>
      <c r="WBY26" s="28"/>
      <c r="WBZ26" s="28"/>
      <c r="WCA26" s="28"/>
      <c r="WCB26" s="28"/>
      <c r="WCC26" s="28"/>
      <c r="WCD26" s="28"/>
      <c r="WCE26" s="28"/>
      <c r="WCF26" s="28"/>
      <c r="WCG26" s="28"/>
      <c r="WCH26" s="28"/>
      <c r="WCI26" s="28"/>
      <c r="WCJ26" s="28"/>
      <c r="WCK26" s="28"/>
      <c r="WCL26" s="28"/>
      <c r="WCM26" s="28"/>
      <c r="WCN26" s="28"/>
      <c r="WCO26" s="28"/>
      <c r="WCP26" s="28"/>
      <c r="WCQ26" s="28"/>
      <c r="WCR26" s="28"/>
      <c r="WCS26" s="28"/>
      <c r="WCT26" s="28"/>
      <c r="WCU26" s="28"/>
      <c r="WCV26" s="28"/>
      <c r="WCW26" s="28"/>
      <c r="WCX26" s="28"/>
      <c r="WCY26" s="28"/>
      <c r="WCZ26" s="28"/>
      <c r="WDA26" s="28"/>
      <c r="WDB26" s="28"/>
      <c r="WDC26" s="28"/>
      <c r="WDD26" s="28"/>
      <c r="WDE26" s="28"/>
      <c r="WDF26" s="28"/>
      <c r="WDG26" s="28"/>
      <c r="WDH26" s="28"/>
      <c r="WDI26" s="28"/>
      <c r="WDJ26" s="28"/>
      <c r="WDK26" s="28"/>
      <c r="WDL26" s="28"/>
      <c r="WDM26" s="28"/>
      <c r="WDN26" s="28"/>
      <c r="WDO26" s="28"/>
      <c r="WDP26" s="28"/>
      <c r="WDQ26" s="28"/>
      <c r="WDR26" s="28"/>
      <c r="WDS26" s="28"/>
      <c r="WDT26" s="28"/>
      <c r="WDU26" s="28"/>
      <c r="WDV26" s="28"/>
      <c r="WDW26" s="28"/>
      <c r="WDX26" s="28"/>
      <c r="WDY26" s="28"/>
      <c r="WDZ26" s="28"/>
      <c r="WEA26" s="28"/>
      <c r="WEB26" s="28"/>
      <c r="WEC26" s="28"/>
      <c r="WED26" s="28"/>
      <c r="WEE26" s="28"/>
      <c r="WEF26" s="28"/>
      <c r="WEG26" s="28"/>
      <c r="WEH26" s="28"/>
      <c r="WEI26" s="28"/>
      <c r="WEJ26" s="28"/>
      <c r="WEK26" s="28"/>
      <c r="WEL26" s="28"/>
      <c r="WEM26" s="28"/>
      <c r="WEN26" s="28"/>
      <c r="WEO26" s="28"/>
      <c r="WEP26" s="28"/>
      <c r="WEQ26" s="28"/>
      <c r="WER26" s="28"/>
      <c r="WES26" s="28"/>
      <c r="WET26" s="28"/>
      <c r="WEU26" s="28"/>
      <c r="WEV26" s="28"/>
      <c r="WEW26" s="28"/>
      <c r="WEX26" s="28"/>
      <c r="WEY26" s="28"/>
      <c r="WEZ26" s="28"/>
      <c r="WFA26" s="28"/>
      <c r="WFB26" s="28"/>
      <c r="WFC26" s="28"/>
      <c r="WFD26" s="28"/>
      <c r="WFE26" s="28"/>
      <c r="WFF26" s="28"/>
      <c r="WFG26" s="28"/>
      <c r="WFH26" s="28"/>
      <c r="WFI26" s="28"/>
      <c r="WFJ26" s="28"/>
      <c r="WFK26" s="28"/>
      <c r="WFL26" s="28"/>
      <c r="WFM26" s="28"/>
      <c r="WFN26" s="28"/>
      <c r="WFO26" s="28"/>
      <c r="WFP26" s="28"/>
      <c r="WFQ26" s="28"/>
      <c r="WFR26" s="28"/>
      <c r="WFS26" s="28"/>
      <c r="WFT26" s="28"/>
      <c r="WFU26" s="28"/>
      <c r="WFV26" s="28"/>
      <c r="WFW26" s="28"/>
      <c r="WFX26" s="28"/>
      <c r="WFY26" s="28"/>
      <c r="WFZ26" s="28"/>
      <c r="WGA26" s="28"/>
      <c r="WGB26" s="28"/>
      <c r="WGC26" s="28"/>
      <c r="WGD26" s="28"/>
      <c r="WGE26" s="28"/>
      <c r="WGF26" s="28"/>
      <c r="WGG26" s="28"/>
      <c r="WGH26" s="28"/>
      <c r="WGI26" s="28"/>
      <c r="WGJ26" s="28"/>
      <c r="WGK26" s="28"/>
      <c r="WGL26" s="28"/>
      <c r="WGM26" s="28"/>
      <c r="WGN26" s="28"/>
      <c r="WGO26" s="28"/>
      <c r="WGP26" s="28"/>
      <c r="WGQ26" s="28"/>
      <c r="WGR26" s="28"/>
      <c r="WGS26" s="28"/>
      <c r="WGT26" s="28"/>
      <c r="WGU26" s="28"/>
      <c r="WGV26" s="28"/>
      <c r="WGW26" s="28"/>
      <c r="WGX26" s="28"/>
      <c r="WGY26" s="28"/>
      <c r="WGZ26" s="28"/>
      <c r="WHA26" s="28"/>
      <c r="WHB26" s="28"/>
      <c r="WHC26" s="28"/>
      <c r="WHD26" s="28"/>
      <c r="WHE26" s="28"/>
      <c r="WHF26" s="28"/>
      <c r="WHG26" s="28"/>
      <c r="WHH26" s="28"/>
      <c r="WHI26" s="28"/>
      <c r="WHJ26" s="28"/>
      <c r="WHK26" s="28"/>
      <c r="WHL26" s="28"/>
      <c r="WHM26" s="28"/>
      <c r="WHN26" s="28"/>
      <c r="WHO26" s="28"/>
      <c r="WHP26" s="28"/>
      <c r="WHQ26" s="28"/>
      <c r="WHR26" s="28"/>
      <c r="WHS26" s="28"/>
      <c r="WHT26" s="28"/>
      <c r="WHU26" s="28"/>
      <c r="WHV26" s="28"/>
      <c r="WHW26" s="28"/>
      <c r="WHX26" s="28"/>
      <c r="WHY26" s="28"/>
      <c r="WHZ26" s="28"/>
      <c r="WIA26" s="28"/>
      <c r="WIB26" s="28"/>
      <c r="WIC26" s="28"/>
      <c r="WID26" s="28"/>
      <c r="WIE26" s="28"/>
      <c r="WIF26" s="28"/>
      <c r="WIG26" s="28"/>
      <c r="WIH26" s="28"/>
      <c r="WII26" s="28"/>
      <c r="WIJ26" s="28"/>
      <c r="WIK26" s="28"/>
      <c r="WIL26" s="28"/>
      <c r="WIM26" s="28"/>
      <c r="WIN26" s="28"/>
      <c r="WIO26" s="28"/>
      <c r="WIP26" s="28"/>
      <c r="WIQ26" s="28"/>
      <c r="WIR26" s="28"/>
      <c r="WIS26" s="28"/>
      <c r="WIT26" s="28"/>
      <c r="WIU26" s="28"/>
      <c r="WIV26" s="28"/>
      <c r="WIW26" s="28"/>
      <c r="WIX26" s="28"/>
      <c r="WIY26" s="28"/>
      <c r="WIZ26" s="28"/>
      <c r="WJA26" s="28"/>
      <c r="WJB26" s="28"/>
      <c r="WJC26" s="28"/>
      <c r="WJD26" s="28"/>
      <c r="WJE26" s="28"/>
      <c r="WJF26" s="28"/>
      <c r="WJG26" s="28"/>
      <c r="WJH26" s="28"/>
      <c r="WJI26" s="28"/>
      <c r="WJJ26" s="28"/>
      <c r="WJK26" s="28"/>
      <c r="WJL26" s="28"/>
      <c r="WJM26" s="28"/>
      <c r="WJN26" s="28"/>
      <c r="WJO26" s="28"/>
      <c r="WJP26" s="28"/>
      <c r="WJQ26" s="28"/>
      <c r="WJR26" s="28"/>
      <c r="WJS26" s="28"/>
      <c r="WJT26" s="28"/>
      <c r="WJU26" s="28"/>
      <c r="WJV26" s="28"/>
      <c r="WJW26" s="28"/>
      <c r="WJX26" s="28"/>
      <c r="WJY26" s="28"/>
      <c r="WJZ26" s="28"/>
      <c r="WKA26" s="28"/>
      <c r="WKB26" s="28"/>
      <c r="WKC26" s="28"/>
      <c r="WKD26" s="28"/>
      <c r="WKE26" s="28"/>
      <c r="WKF26" s="28"/>
      <c r="WKG26" s="28"/>
      <c r="WKH26" s="28"/>
      <c r="WKI26" s="28"/>
      <c r="WKJ26" s="28"/>
      <c r="WKK26" s="28"/>
      <c r="WKL26" s="28"/>
      <c r="WKM26" s="28"/>
      <c r="WKN26" s="28"/>
      <c r="WKO26" s="28"/>
      <c r="WKP26" s="28"/>
      <c r="WKQ26" s="28"/>
      <c r="WKR26" s="28"/>
      <c r="WKS26" s="28"/>
      <c r="WKT26" s="28"/>
      <c r="WKU26" s="28"/>
      <c r="WKV26" s="28"/>
      <c r="WKW26" s="28"/>
      <c r="WKX26" s="28"/>
      <c r="WKY26" s="28"/>
      <c r="WKZ26" s="28"/>
      <c r="WLA26" s="28"/>
      <c r="WLB26" s="28"/>
      <c r="WLC26" s="28"/>
      <c r="WLD26" s="28"/>
      <c r="WLE26" s="28"/>
      <c r="WLF26" s="28"/>
      <c r="WLG26" s="28"/>
      <c r="WLH26" s="28"/>
      <c r="WLI26" s="28"/>
      <c r="WLJ26" s="28"/>
      <c r="WLK26" s="28"/>
      <c r="WLL26" s="28"/>
      <c r="WLM26" s="28"/>
      <c r="WLN26" s="28"/>
      <c r="WLO26" s="28"/>
      <c r="WLP26" s="28"/>
      <c r="WLQ26" s="28"/>
      <c r="WLR26" s="28"/>
      <c r="WLS26" s="28"/>
      <c r="WLT26" s="28"/>
      <c r="WLU26" s="28"/>
      <c r="WLV26" s="28"/>
      <c r="WLW26" s="28"/>
      <c r="WLX26" s="28"/>
      <c r="WLY26" s="28"/>
      <c r="WLZ26" s="28"/>
      <c r="WMA26" s="28"/>
      <c r="WMB26" s="28"/>
      <c r="WMC26" s="28"/>
      <c r="WMD26" s="28"/>
      <c r="WME26" s="28"/>
      <c r="WMF26" s="28"/>
      <c r="WMG26" s="28"/>
      <c r="WMH26" s="28"/>
      <c r="WMI26" s="28"/>
      <c r="WMJ26" s="28"/>
      <c r="WMK26" s="28"/>
      <c r="WML26" s="28"/>
      <c r="WMM26" s="28"/>
      <c r="WMN26" s="28"/>
      <c r="WMO26" s="28"/>
      <c r="WMP26" s="28"/>
      <c r="WMQ26" s="28"/>
      <c r="WMR26" s="28"/>
      <c r="WMS26" s="28"/>
      <c r="WMT26" s="28"/>
      <c r="WMU26" s="28"/>
      <c r="WMV26" s="28"/>
      <c r="WMW26" s="28"/>
      <c r="WMX26" s="28"/>
      <c r="WMY26" s="28"/>
      <c r="WMZ26" s="28"/>
      <c r="WNA26" s="28"/>
      <c r="WNB26" s="28"/>
      <c r="WNC26" s="28"/>
      <c r="WND26" s="28"/>
      <c r="WNE26" s="28"/>
      <c r="WNF26" s="28"/>
      <c r="WNG26" s="28"/>
      <c r="WNH26" s="28"/>
      <c r="WNI26" s="28"/>
      <c r="WNJ26" s="28"/>
      <c r="WNK26" s="28"/>
      <c r="WNL26" s="28"/>
      <c r="WNM26" s="28"/>
      <c r="WNN26" s="28"/>
      <c r="WNO26" s="28"/>
      <c r="WNP26" s="28"/>
      <c r="WNQ26" s="28"/>
      <c r="WNR26" s="28"/>
      <c r="WNS26" s="28"/>
      <c r="WNT26" s="28"/>
      <c r="WNU26" s="28"/>
      <c r="WNV26" s="28"/>
      <c r="WNW26" s="28"/>
      <c r="WNX26" s="28"/>
      <c r="WNY26" s="28"/>
      <c r="WNZ26" s="28"/>
      <c r="WOA26" s="28"/>
      <c r="WOB26" s="28"/>
      <c r="WOC26" s="28"/>
      <c r="WOD26" s="28"/>
      <c r="WOE26" s="28"/>
      <c r="WOF26" s="28"/>
      <c r="WOG26" s="28"/>
      <c r="WOH26" s="28"/>
      <c r="WOI26" s="28"/>
      <c r="WOJ26" s="28"/>
      <c r="WOK26" s="28"/>
      <c r="WOL26" s="28"/>
      <c r="WOM26" s="28"/>
      <c r="WON26" s="28"/>
      <c r="WOO26" s="28"/>
      <c r="WOP26" s="28"/>
      <c r="WOQ26" s="28"/>
      <c r="WOR26" s="28"/>
      <c r="WOS26" s="28"/>
      <c r="WOT26" s="28"/>
      <c r="WOU26" s="28"/>
      <c r="WOV26" s="28"/>
      <c r="WOW26" s="28"/>
      <c r="WOX26" s="28"/>
      <c r="WOY26" s="28"/>
      <c r="WOZ26" s="28"/>
      <c r="WPA26" s="28"/>
      <c r="WPB26" s="28"/>
      <c r="WPC26" s="28"/>
      <c r="WPD26" s="28"/>
      <c r="WPE26" s="28"/>
      <c r="WPF26" s="28"/>
      <c r="WPG26" s="28"/>
      <c r="WPH26" s="28"/>
      <c r="WPI26" s="28"/>
      <c r="WPJ26" s="28"/>
      <c r="WPK26" s="28"/>
      <c r="WPL26" s="28"/>
      <c r="WPM26" s="28"/>
      <c r="WPN26" s="28"/>
      <c r="WPO26" s="28"/>
      <c r="WPP26" s="28"/>
      <c r="WPQ26" s="28"/>
      <c r="WPR26" s="28"/>
      <c r="WPS26" s="28"/>
      <c r="WPT26" s="28"/>
      <c r="WPU26" s="28"/>
      <c r="WPV26" s="28"/>
      <c r="WPW26" s="28"/>
      <c r="WPX26" s="28"/>
      <c r="WPY26" s="28"/>
      <c r="WPZ26" s="28"/>
      <c r="WQA26" s="28"/>
      <c r="WQB26" s="28"/>
      <c r="WQC26" s="28"/>
      <c r="WQD26" s="28"/>
      <c r="WQE26" s="28"/>
      <c r="WQF26" s="28"/>
      <c r="WQG26" s="28"/>
      <c r="WQH26" s="28"/>
      <c r="WQI26" s="28"/>
      <c r="WQJ26" s="28"/>
      <c r="WQK26" s="28"/>
      <c r="WQL26" s="28"/>
      <c r="WQM26" s="28"/>
      <c r="WQN26" s="28"/>
      <c r="WQO26" s="28"/>
      <c r="WQP26" s="28"/>
      <c r="WQQ26" s="28"/>
      <c r="WQR26" s="28"/>
      <c r="WQS26" s="28"/>
      <c r="WQT26" s="28"/>
      <c r="WQU26" s="28"/>
      <c r="WQV26" s="28"/>
      <c r="WQW26" s="28"/>
      <c r="WQX26" s="28"/>
      <c r="WQY26" s="28"/>
      <c r="WQZ26" s="28"/>
      <c r="WRA26" s="28"/>
      <c r="WRB26" s="28"/>
      <c r="WRC26" s="28"/>
      <c r="WRD26" s="28"/>
      <c r="WRE26" s="28"/>
      <c r="WRF26" s="28"/>
      <c r="WRG26" s="28"/>
      <c r="WRH26" s="28"/>
      <c r="WRI26" s="28"/>
      <c r="WRJ26" s="28"/>
      <c r="WRK26" s="28"/>
      <c r="WRL26" s="28"/>
      <c r="WRM26" s="28"/>
      <c r="WRN26" s="28"/>
      <c r="WRO26" s="28"/>
      <c r="WRP26" s="28"/>
      <c r="WRQ26" s="28"/>
      <c r="WRR26" s="28"/>
      <c r="WRS26" s="28"/>
      <c r="WRT26" s="28"/>
      <c r="WRU26" s="28"/>
      <c r="WRV26" s="28"/>
      <c r="WRW26" s="28"/>
      <c r="WRX26" s="28"/>
      <c r="WRY26" s="28"/>
      <c r="WRZ26" s="28"/>
      <c r="WSA26" s="28"/>
      <c r="WSB26" s="28"/>
      <c r="WSC26" s="28"/>
      <c r="WSD26" s="28"/>
      <c r="WSE26" s="28"/>
      <c r="WSF26" s="28"/>
      <c r="WSG26" s="28"/>
      <c r="WSH26" s="28"/>
      <c r="WSI26" s="28"/>
      <c r="WSJ26" s="28"/>
      <c r="WSK26" s="28"/>
      <c r="WSL26" s="28"/>
      <c r="WSM26" s="28"/>
      <c r="WSN26" s="28"/>
      <c r="WSO26" s="28"/>
      <c r="WSP26" s="28"/>
      <c r="WSQ26" s="28"/>
      <c r="WSR26" s="28"/>
      <c r="WSS26" s="28"/>
      <c r="WST26" s="28"/>
      <c r="WSU26" s="28"/>
      <c r="WSV26" s="28"/>
      <c r="WSW26" s="28"/>
      <c r="WSX26" s="28"/>
      <c r="WSY26" s="28"/>
      <c r="WSZ26" s="28"/>
      <c r="WTA26" s="28"/>
      <c r="WTB26" s="28"/>
      <c r="WTC26" s="28"/>
      <c r="WTD26" s="28"/>
      <c r="WTE26" s="28"/>
      <c r="WTF26" s="28"/>
      <c r="WTG26" s="28"/>
      <c r="WTH26" s="28"/>
      <c r="WTI26" s="28"/>
      <c r="WTJ26" s="28"/>
      <c r="WTK26" s="28"/>
      <c r="WTL26" s="28"/>
      <c r="WTM26" s="28"/>
      <c r="WTN26" s="28"/>
      <c r="WTO26" s="28"/>
      <c r="WTP26" s="28"/>
      <c r="WTQ26" s="28"/>
      <c r="WTR26" s="28"/>
      <c r="WTS26" s="28"/>
      <c r="WTT26" s="28"/>
      <c r="WTU26" s="28"/>
      <c r="WTV26" s="28"/>
      <c r="WTW26" s="28"/>
      <c r="WTX26" s="28"/>
      <c r="WTY26" s="28"/>
      <c r="WTZ26" s="28"/>
      <c r="WUA26" s="28"/>
      <c r="WUB26" s="28"/>
      <c r="WUC26" s="28"/>
      <c r="WUD26" s="28"/>
      <c r="WUE26" s="28"/>
      <c r="WUF26" s="28"/>
      <c r="WUG26" s="28"/>
      <c r="WUH26" s="28"/>
      <c r="WUI26" s="28"/>
      <c r="WUJ26" s="28"/>
      <c r="WUK26" s="28"/>
      <c r="WUL26" s="28"/>
      <c r="WUM26" s="28"/>
      <c r="WUN26" s="28"/>
      <c r="WUO26" s="28"/>
      <c r="WUP26" s="28"/>
      <c r="WUQ26" s="28"/>
      <c r="WUR26" s="28"/>
      <c r="WUS26" s="28"/>
      <c r="WUT26" s="28"/>
      <c r="WUU26" s="28"/>
      <c r="WUV26" s="28"/>
      <c r="WUW26" s="28"/>
      <c r="WUX26" s="28"/>
      <c r="WUY26" s="28"/>
      <c r="WUZ26" s="28"/>
      <c r="WVA26" s="28"/>
      <c r="WVB26" s="28"/>
      <c r="WVC26" s="28"/>
      <c r="WVD26" s="28"/>
      <c r="WVE26" s="28"/>
      <c r="WVF26" s="28"/>
      <c r="WVG26" s="28"/>
      <c r="WVH26" s="28"/>
      <c r="WVI26" s="28"/>
      <c r="WVJ26" s="28"/>
      <c r="WVK26" s="28"/>
      <c r="WVL26" s="28"/>
      <c r="WVM26" s="28"/>
      <c r="WVN26" s="28"/>
      <c r="WVO26" s="28"/>
      <c r="WVP26" s="28"/>
      <c r="WVQ26" s="28"/>
      <c r="WVR26" s="28"/>
      <c r="WVS26" s="28"/>
      <c r="WVT26" s="28"/>
      <c r="WVU26" s="28"/>
      <c r="WVV26" s="28"/>
      <c r="WVW26" s="28"/>
      <c r="WVX26" s="28"/>
      <c r="WVY26" s="28"/>
      <c r="WVZ26" s="28"/>
      <c r="WWA26" s="28"/>
      <c r="WWB26" s="28"/>
      <c r="WWC26" s="28"/>
      <c r="WWD26" s="28"/>
      <c r="WWE26" s="28"/>
      <c r="WWF26" s="28"/>
      <c r="WWG26" s="28"/>
      <c r="WWH26" s="28"/>
      <c r="WWI26" s="28"/>
      <c r="WWJ26" s="28"/>
      <c r="WWK26" s="28"/>
      <c r="WWL26" s="28"/>
      <c r="WWM26" s="28"/>
      <c r="WWN26" s="28"/>
      <c r="WWO26" s="28"/>
      <c r="WWP26" s="28"/>
      <c r="WWQ26" s="28"/>
      <c r="WWR26" s="28"/>
      <c r="WWS26" s="28"/>
      <c r="WWT26" s="28"/>
      <c r="WWU26" s="28"/>
      <c r="WWV26" s="28"/>
      <c r="WWW26" s="28"/>
      <c r="WWX26" s="28"/>
      <c r="WWY26" s="28"/>
      <c r="WWZ26" s="28"/>
      <c r="WXA26" s="28"/>
      <c r="WXB26" s="28"/>
      <c r="WXC26" s="28"/>
      <c r="WXD26" s="28"/>
      <c r="WXE26" s="28"/>
      <c r="WXF26" s="28"/>
      <c r="WXG26" s="28"/>
      <c r="WXH26" s="28"/>
      <c r="WXI26" s="28"/>
      <c r="WXJ26" s="28"/>
      <c r="WXK26" s="28"/>
      <c r="WXL26" s="28"/>
      <c r="WXM26" s="28"/>
      <c r="WXN26" s="28"/>
      <c r="WXO26" s="28"/>
      <c r="WXP26" s="28"/>
      <c r="WXQ26" s="28"/>
      <c r="WXR26" s="28"/>
      <c r="WXS26" s="28"/>
      <c r="WXT26" s="28"/>
      <c r="WXU26" s="28"/>
      <c r="WXV26" s="28"/>
      <c r="WXW26" s="28"/>
      <c r="WXX26" s="28"/>
      <c r="WXY26" s="28"/>
      <c r="WXZ26" s="28"/>
      <c r="WYA26" s="28"/>
      <c r="WYB26" s="28"/>
      <c r="WYC26" s="28"/>
      <c r="WYD26" s="28"/>
      <c r="WYE26" s="28"/>
      <c r="WYF26" s="28"/>
      <c r="WYG26" s="28"/>
      <c r="WYH26" s="28"/>
      <c r="WYI26" s="28"/>
      <c r="WYJ26" s="28"/>
      <c r="WYK26" s="28"/>
      <c r="WYL26" s="28"/>
      <c r="WYM26" s="28"/>
      <c r="WYN26" s="28"/>
      <c r="WYO26" s="28"/>
      <c r="WYP26" s="28"/>
      <c r="WYQ26" s="28"/>
      <c r="WYR26" s="28"/>
      <c r="WYS26" s="28"/>
      <c r="WYT26" s="28"/>
      <c r="WYU26" s="28"/>
      <c r="WYV26" s="28"/>
      <c r="WYW26" s="28"/>
      <c r="WYX26" s="28"/>
      <c r="WYY26" s="28"/>
      <c r="WYZ26" s="28"/>
      <c r="WZA26" s="28"/>
      <c r="WZB26" s="28"/>
      <c r="WZC26" s="28"/>
      <c r="WZD26" s="28"/>
      <c r="WZE26" s="28"/>
      <c r="WZF26" s="28"/>
      <c r="WZG26" s="28"/>
      <c r="WZH26" s="28"/>
      <c r="WZI26" s="28"/>
      <c r="WZJ26" s="28"/>
      <c r="WZK26" s="28"/>
      <c r="WZL26" s="28"/>
      <c r="WZM26" s="28"/>
      <c r="WZN26" s="28"/>
      <c r="WZO26" s="28"/>
      <c r="WZP26" s="28"/>
      <c r="WZQ26" s="28"/>
      <c r="WZR26" s="28"/>
      <c r="WZS26" s="28"/>
      <c r="WZT26" s="28"/>
      <c r="WZU26" s="28"/>
      <c r="WZV26" s="28"/>
      <c r="WZW26" s="28"/>
      <c r="WZX26" s="28"/>
      <c r="WZY26" s="28"/>
      <c r="WZZ26" s="28"/>
      <c r="XAA26" s="28"/>
      <c r="XAB26" s="28"/>
      <c r="XAC26" s="28"/>
      <c r="XAD26" s="28"/>
      <c r="XAE26" s="28"/>
      <c r="XAF26" s="28"/>
      <c r="XAG26" s="28"/>
      <c r="XAH26" s="28"/>
      <c r="XAI26" s="28"/>
      <c r="XAJ26" s="28"/>
      <c r="XAK26" s="28"/>
      <c r="XAL26" s="28"/>
      <c r="XAM26" s="28"/>
      <c r="XAN26" s="28"/>
      <c r="XAO26" s="28"/>
      <c r="XAP26" s="28"/>
      <c r="XAQ26" s="28"/>
      <c r="XAR26" s="28"/>
      <c r="XAS26" s="28"/>
      <c r="XAT26" s="28"/>
      <c r="XAU26" s="28"/>
      <c r="XAV26" s="28"/>
      <c r="XAW26" s="28"/>
      <c r="XAX26" s="28"/>
      <c r="XAY26" s="28"/>
      <c r="XAZ26" s="28"/>
      <c r="XBA26" s="28"/>
      <c r="XBB26" s="28"/>
      <c r="XBC26" s="28"/>
      <c r="XBD26" s="28"/>
      <c r="XBE26" s="28"/>
      <c r="XBF26" s="28"/>
      <c r="XBG26" s="28"/>
      <c r="XBH26" s="28"/>
      <c r="XBI26" s="28"/>
      <c r="XBJ26" s="28"/>
      <c r="XBK26" s="28"/>
      <c r="XBL26" s="28"/>
      <c r="XBM26" s="28"/>
      <c r="XBN26" s="28"/>
      <c r="XBO26" s="28"/>
      <c r="XBP26" s="28"/>
      <c r="XBQ26" s="28"/>
      <c r="XBR26" s="28"/>
      <c r="XBS26" s="28"/>
      <c r="XBT26" s="28"/>
      <c r="XBU26" s="28"/>
      <c r="XBV26" s="28"/>
      <c r="XBW26" s="28"/>
      <c r="XBX26" s="28"/>
      <c r="XBY26" s="28"/>
      <c r="XBZ26" s="28"/>
      <c r="XCA26" s="28"/>
      <c r="XCB26" s="28"/>
      <c r="XCC26" s="28"/>
      <c r="XCD26" s="28"/>
      <c r="XCE26" s="28"/>
      <c r="XCF26" s="28"/>
      <c r="XCG26" s="28"/>
      <c r="XCH26" s="28"/>
      <c r="XCI26" s="28"/>
      <c r="XCJ26" s="28"/>
      <c r="XCK26" s="28"/>
      <c r="XCL26" s="28"/>
      <c r="XCM26" s="28"/>
      <c r="XCN26" s="28"/>
      <c r="XCO26" s="28"/>
      <c r="XCP26" s="28"/>
      <c r="XCQ26" s="28"/>
      <c r="XCR26" s="28"/>
      <c r="XCS26" s="28"/>
      <c r="XCT26" s="28"/>
      <c r="XCU26" s="28"/>
      <c r="XCV26" s="28"/>
      <c r="XCW26" s="28"/>
      <c r="XCX26" s="28"/>
      <c r="XCY26" s="28"/>
      <c r="XCZ26" s="28"/>
      <c r="XDA26" s="28"/>
      <c r="XDB26" s="28"/>
      <c r="XDC26" s="28"/>
      <c r="XDD26" s="28"/>
      <c r="XDE26" s="28"/>
      <c r="XDF26" s="28"/>
      <c r="XDG26" s="28"/>
      <c r="XDH26" s="28"/>
      <c r="XDI26" s="28"/>
      <c r="XDJ26" s="28"/>
      <c r="XDK26" s="28"/>
      <c r="XDL26" s="28"/>
      <c r="XDM26" s="28"/>
      <c r="XDN26" s="28"/>
      <c r="XDO26" s="28"/>
      <c r="XDP26" s="28"/>
      <c r="XDQ26" s="28"/>
      <c r="XDR26" s="28"/>
      <c r="XDS26" s="28"/>
      <c r="XDT26" s="28"/>
      <c r="XDU26" s="28"/>
      <c r="XDV26" s="28"/>
      <c r="XDW26" s="28"/>
      <c r="XDX26" s="28"/>
      <c r="XDY26" s="28"/>
      <c r="XDZ26" s="28"/>
      <c r="XEA26" s="28"/>
      <c r="XEB26" s="28"/>
      <c r="XEC26" s="28"/>
      <c r="XED26" s="28"/>
      <c r="XEE26" s="28"/>
      <c r="XEF26" s="28"/>
      <c r="XEG26" s="28"/>
      <c r="XEH26" s="28"/>
      <c r="XEI26" s="28"/>
      <c r="XEJ26" s="28"/>
      <c r="XEK26" s="28"/>
      <c r="XEL26" s="28"/>
      <c r="XEM26" s="28"/>
      <c r="XEN26" s="28"/>
      <c r="XEO26" s="28"/>
      <c r="XEP26" s="28"/>
      <c r="XEQ26" s="28"/>
      <c r="XER26" s="28"/>
    </row>
    <row r="27" spans="2:16382" ht="15.75" x14ac:dyDescent="0.25">
      <c r="B27" s="235">
        <f>SUM(E30:E31,F25:F31,G25:G31,H25:H31,I25:I31)</f>
        <v>1311.35</v>
      </c>
      <c r="C27" s="47"/>
      <c r="D27" s="175" t="s">
        <v>5</v>
      </c>
      <c r="E27" s="177" t="s">
        <v>41</v>
      </c>
      <c r="F27" s="177">
        <v>154.9</v>
      </c>
      <c r="G27" s="177"/>
      <c r="H27" s="177"/>
      <c r="I27" s="177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A27" s="28"/>
      <c r="CB27" s="28"/>
      <c r="CC27" s="28"/>
      <c r="CD27" s="28"/>
      <c r="CE27" s="28"/>
      <c r="CF27" s="28"/>
      <c r="CG27" s="28"/>
      <c r="CH27" s="28"/>
      <c r="CI27" s="28"/>
      <c r="CJ27" s="28"/>
      <c r="CK27" s="28"/>
      <c r="CL27" s="28"/>
      <c r="CM27" s="28"/>
      <c r="CN27" s="28"/>
      <c r="CO27" s="28"/>
      <c r="CP27" s="28"/>
      <c r="CQ27" s="28"/>
      <c r="CR27" s="28"/>
      <c r="CS27" s="28"/>
      <c r="CT27" s="28"/>
      <c r="CU27" s="28"/>
      <c r="CV27" s="28"/>
      <c r="CW27" s="28"/>
      <c r="CX27" s="28"/>
      <c r="CY27" s="28"/>
      <c r="CZ27" s="28"/>
      <c r="DA27" s="28"/>
      <c r="DB27" s="28"/>
      <c r="DC27" s="28"/>
      <c r="DD27" s="28"/>
      <c r="DE27" s="28"/>
      <c r="DF27" s="28"/>
      <c r="DG27" s="28"/>
      <c r="DH27" s="28"/>
      <c r="DI27" s="28"/>
      <c r="DJ27" s="28"/>
      <c r="DK27" s="28"/>
      <c r="DL27" s="28"/>
      <c r="DM27" s="28"/>
      <c r="DN27" s="28"/>
      <c r="DO27" s="28"/>
      <c r="DP27" s="28"/>
      <c r="DQ27" s="28"/>
      <c r="DR27" s="28"/>
      <c r="DS27" s="28"/>
      <c r="DT27" s="28"/>
      <c r="DU27" s="28"/>
      <c r="DV27" s="28"/>
      <c r="DW27" s="28"/>
      <c r="DX27" s="28"/>
      <c r="DY27" s="28"/>
      <c r="DZ27" s="28"/>
      <c r="EA27" s="28"/>
      <c r="EB27" s="28"/>
      <c r="EC27" s="28"/>
      <c r="ED27" s="28"/>
      <c r="EE27" s="28"/>
      <c r="EF27" s="28"/>
      <c r="EG27" s="28"/>
      <c r="EH27" s="28"/>
      <c r="EI27" s="28"/>
      <c r="EJ27" s="28"/>
      <c r="EK27" s="28"/>
      <c r="EL27" s="28"/>
      <c r="EM27" s="28"/>
      <c r="EN27" s="28"/>
      <c r="EO27" s="28"/>
      <c r="EP27" s="28"/>
      <c r="EQ27" s="28"/>
      <c r="ER27" s="28"/>
      <c r="ES27" s="28"/>
      <c r="ET27" s="28"/>
      <c r="EU27" s="28"/>
      <c r="EV27" s="28"/>
      <c r="EW27" s="28"/>
      <c r="EX27" s="28"/>
      <c r="EY27" s="28"/>
      <c r="EZ27" s="28"/>
      <c r="FA27" s="28"/>
      <c r="FB27" s="28"/>
      <c r="FC27" s="28"/>
      <c r="FD27" s="28"/>
      <c r="FE27" s="28"/>
      <c r="FF27" s="28"/>
      <c r="FG27" s="28"/>
      <c r="FH27" s="28"/>
      <c r="FI27" s="28"/>
      <c r="FJ27" s="28"/>
      <c r="FK27" s="28"/>
      <c r="FL27" s="28"/>
      <c r="FM27" s="28"/>
      <c r="FN27" s="28"/>
      <c r="FO27" s="28"/>
      <c r="FP27" s="28"/>
      <c r="FQ27" s="28"/>
      <c r="FR27" s="28"/>
      <c r="FS27" s="28"/>
      <c r="FT27" s="28"/>
      <c r="FU27" s="28"/>
      <c r="FV27" s="28"/>
      <c r="FW27" s="28"/>
      <c r="FX27" s="28"/>
      <c r="FY27" s="28"/>
      <c r="FZ27" s="28"/>
      <c r="GA27" s="28"/>
      <c r="GB27" s="28"/>
      <c r="GC27" s="28"/>
      <c r="GD27" s="28"/>
      <c r="GE27" s="28"/>
      <c r="GF27" s="28"/>
      <c r="GG27" s="28"/>
      <c r="GH27" s="28"/>
      <c r="GI27" s="28"/>
      <c r="GJ27" s="28"/>
      <c r="GK27" s="28"/>
      <c r="GL27" s="28"/>
      <c r="GM27" s="28"/>
      <c r="GN27" s="28"/>
      <c r="GO27" s="28"/>
      <c r="GP27" s="28"/>
      <c r="GQ27" s="28"/>
      <c r="GR27" s="28"/>
      <c r="GS27" s="28"/>
      <c r="GT27" s="28"/>
      <c r="GU27" s="28"/>
      <c r="GV27" s="28"/>
      <c r="GW27" s="28"/>
      <c r="GX27" s="28"/>
      <c r="GY27" s="28"/>
      <c r="GZ27" s="28"/>
      <c r="HA27" s="28"/>
      <c r="HB27" s="28"/>
      <c r="HC27" s="28"/>
      <c r="HD27" s="28"/>
      <c r="HE27" s="28"/>
      <c r="HF27" s="28"/>
      <c r="HG27" s="28"/>
      <c r="HH27" s="28"/>
      <c r="HI27" s="28"/>
      <c r="HJ27" s="28"/>
      <c r="HK27" s="28"/>
      <c r="HL27" s="28"/>
      <c r="HM27" s="28"/>
      <c r="HN27" s="28"/>
      <c r="HO27" s="28"/>
      <c r="HP27" s="28"/>
      <c r="HQ27" s="28"/>
      <c r="HR27" s="28"/>
      <c r="HS27" s="28"/>
      <c r="HT27" s="28"/>
      <c r="HU27" s="28"/>
      <c r="HV27" s="28"/>
      <c r="HW27" s="28"/>
      <c r="HX27" s="28"/>
      <c r="HY27" s="28"/>
      <c r="HZ27" s="28"/>
      <c r="IA27" s="28"/>
      <c r="IB27" s="28"/>
      <c r="IC27" s="28"/>
      <c r="ID27" s="28"/>
      <c r="IE27" s="28"/>
      <c r="IF27" s="28"/>
      <c r="IG27" s="28"/>
      <c r="IH27" s="28"/>
      <c r="II27" s="28"/>
      <c r="IJ27" s="28"/>
      <c r="IK27" s="28"/>
      <c r="IL27" s="28"/>
      <c r="IM27" s="28"/>
      <c r="IN27" s="28"/>
      <c r="IO27" s="28"/>
      <c r="IP27" s="28"/>
      <c r="IQ27" s="28"/>
      <c r="IR27" s="28"/>
      <c r="IS27" s="28"/>
      <c r="IT27" s="28"/>
      <c r="IU27" s="28"/>
      <c r="IV27" s="28"/>
      <c r="IW27" s="28"/>
      <c r="IX27" s="28"/>
      <c r="IY27" s="28"/>
      <c r="IZ27" s="28"/>
      <c r="JA27" s="28"/>
      <c r="JB27" s="28"/>
      <c r="JC27" s="28"/>
      <c r="JD27" s="28"/>
      <c r="JE27" s="28"/>
      <c r="JF27" s="28"/>
      <c r="JG27" s="28"/>
      <c r="JH27" s="28"/>
      <c r="JI27" s="28"/>
      <c r="JJ27" s="28"/>
      <c r="JK27" s="28"/>
      <c r="JL27" s="28"/>
      <c r="JM27" s="28"/>
      <c r="JN27" s="28"/>
      <c r="JO27" s="28"/>
      <c r="JP27" s="28"/>
      <c r="JQ27" s="28"/>
      <c r="JR27" s="28"/>
      <c r="JS27" s="28"/>
      <c r="JT27" s="28"/>
      <c r="JU27" s="28"/>
      <c r="JV27" s="28"/>
      <c r="JW27" s="28"/>
      <c r="JX27" s="28"/>
      <c r="JY27" s="28"/>
      <c r="JZ27" s="28"/>
      <c r="KA27" s="28"/>
      <c r="KB27" s="28"/>
      <c r="KC27" s="28"/>
      <c r="KD27" s="28"/>
      <c r="KE27" s="28"/>
      <c r="KF27" s="28"/>
      <c r="KG27" s="28"/>
      <c r="KH27" s="28"/>
      <c r="KI27" s="28"/>
      <c r="KJ27" s="28"/>
      <c r="KK27" s="28"/>
      <c r="KL27" s="28"/>
      <c r="KM27" s="28"/>
      <c r="KN27" s="28"/>
      <c r="KO27" s="28"/>
      <c r="KP27" s="28"/>
      <c r="KQ27" s="28"/>
      <c r="KR27" s="28"/>
      <c r="KS27" s="28"/>
      <c r="KT27" s="28"/>
      <c r="KU27" s="28"/>
      <c r="KV27" s="28"/>
      <c r="KW27" s="28"/>
      <c r="KX27" s="28"/>
      <c r="KY27" s="28"/>
      <c r="KZ27" s="28"/>
      <c r="LA27" s="28"/>
      <c r="LB27" s="28"/>
      <c r="LC27" s="28"/>
      <c r="LD27" s="28"/>
      <c r="LE27" s="28"/>
      <c r="LF27" s="28"/>
      <c r="LG27" s="28"/>
      <c r="LH27" s="28"/>
      <c r="LI27" s="28"/>
      <c r="LJ27" s="28"/>
      <c r="LK27" s="28"/>
      <c r="LL27" s="28"/>
      <c r="LM27" s="28"/>
      <c r="LN27" s="28"/>
      <c r="LO27" s="28"/>
      <c r="LP27" s="28"/>
      <c r="LQ27" s="28"/>
      <c r="LR27" s="28"/>
      <c r="LS27" s="28"/>
      <c r="LT27" s="28"/>
      <c r="LU27" s="28"/>
      <c r="LV27" s="28"/>
      <c r="LW27" s="28"/>
      <c r="LX27" s="28"/>
      <c r="LY27" s="28"/>
      <c r="LZ27" s="28"/>
      <c r="MA27" s="28"/>
      <c r="MB27" s="28"/>
      <c r="MC27" s="28"/>
      <c r="MD27" s="28"/>
      <c r="ME27" s="28"/>
      <c r="MF27" s="28"/>
      <c r="MG27" s="28"/>
      <c r="MH27" s="28"/>
      <c r="MI27" s="28"/>
      <c r="MJ27" s="28"/>
      <c r="MK27" s="28"/>
      <c r="ML27" s="28"/>
      <c r="MM27" s="28"/>
      <c r="MN27" s="28"/>
      <c r="MO27" s="28"/>
      <c r="MP27" s="28"/>
      <c r="MQ27" s="28"/>
      <c r="MR27" s="28"/>
      <c r="MS27" s="28"/>
      <c r="MT27" s="28"/>
      <c r="MU27" s="28"/>
      <c r="MV27" s="28"/>
      <c r="MW27" s="28"/>
      <c r="MX27" s="28"/>
      <c r="MY27" s="28"/>
      <c r="MZ27" s="28"/>
      <c r="NA27" s="28"/>
      <c r="NB27" s="28"/>
      <c r="NC27" s="28"/>
      <c r="ND27" s="28"/>
      <c r="NE27" s="28"/>
      <c r="NF27" s="28"/>
      <c r="NG27" s="28"/>
      <c r="NH27" s="28"/>
      <c r="NI27" s="28"/>
      <c r="NJ27" s="28"/>
      <c r="NK27" s="28"/>
      <c r="NL27" s="28"/>
      <c r="NM27" s="28"/>
      <c r="NN27" s="28"/>
      <c r="NO27" s="28"/>
      <c r="NP27" s="28"/>
      <c r="NQ27" s="28"/>
      <c r="NR27" s="28"/>
      <c r="NS27" s="28"/>
      <c r="NT27" s="28"/>
      <c r="NU27" s="28"/>
      <c r="NV27" s="28"/>
      <c r="NW27" s="28"/>
      <c r="NX27" s="28"/>
      <c r="NY27" s="28"/>
      <c r="NZ27" s="28"/>
      <c r="OA27" s="28"/>
      <c r="OB27" s="28"/>
      <c r="OC27" s="28"/>
      <c r="OD27" s="28"/>
      <c r="OE27" s="28"/>
      <c r="OF27" s="28"/>
      <c r="OG27" s="28"/>
      <c r="OH27" s="28"/>
      <c r="OI27" s="28"/>
      <c r="OJ27" s="28"/>
      <c r="OK27" s="28"/>
      <c r="OL27" s="28"/>
      <c r="OM27" s="28"/>
      <c r="ON27" s="28"/>
      <c r="OO27" s="28"/>
      <c r="OP27" s="28"/>
      <c r="OQ27" s="28"/>
      <c r="OR27" s="28"/>
      <c r="OS27" s="28"/>
      <c r="OT27" s="28"/>
      <c r="OU27" s="28"/>
      <c r="OV27" s="28"/>
      <c r="OW27" s="28"/>
      <c r="OX27" s="28"/>
      <c r="OY27" s="28"/>
      <c r="OZ27" s="28"/>
      <c r="PA27" s="28"/>
      <c r="PB27" s="28"/>
      <c r="PC27" s="28"/>
      <c r="PD27" s="28"/>
      <c r="PE27" s="28"/>
      <c r="PF27" s="28"/>
      <c r="PG27" s="28"/>
      <c r="PH27" s="28"/>
      <c r="PI27" s="28"/>
      <c r="PJ27" s="28"/>
      <c r="PK27" s="28"/>
      <c r="PL27" s="28"/>
      <c r="PM27" s="28"/>
      <c r="PN27" s="28"/>
      <c r="PO27" s="28"/>
      <c r="PP27" s="28"/>
      <c r="PQ27" s="28"/>
      <c r="PR27" s="28"/>
      <c r="PS27" s="28"/>
      <c r="PT27" s="28"/>
      <c r="PU27" s="28"/>
      <c r="PV27" s="28"/>
      <c r="PW27" s="28"/>
      <c r="PX27" s="28"/>
      <c r="PY27" s="28"/>
      <c r="PZ27" s="28"/>
      <c r="QA27" s="28"/>
      <c r="QB27" s="28"/>
      <c r="QC27" s="28"/>
      <c r="QD27" s="28"/>
      <c r="QE27" s="28"/>
      <c r="QF27" s="28"/>
      <c r="QG27" s="28"/>
      <c r="QH27" s="28"/>
      <c r="QI27" s="28"/>
      <c r="QJ27" s="28"/>
      <c r="QK27" s="28"/>
      <c r="QL27" s="28"/>
      <c r="QM27" s="28"/>
      <c r="QN27" s="28"/>
      <c r="QO27" s="28"/>
      <c r="QP27" s="28"/>
      <c r="QQ27" s="28"/>
      <c r="QR27" s="28"/>
      <c r="QS27" s="28"/>
      <c r="QT27" s="28"/>
      <c r="QU27" s="28"/>
      <c r="QV27" s="28"/>
      <c r="QW27" s="28"/>
      <c r="QX27" s="28"/>
      <c r="QY27" s="28"/>
      <c r="QZ27" s="28"/>
      <c r="RA27" s="28"/>
      <c r="RB27" s="28"/>
      <c r="RC27" s="28"/>
      <c r="RD27" s="28"/>
      <c r="RE27" s="28"/>
      <c r="RF27" s="28"/>
      <c r="RG27" s="28"/>
      <c r="RH27" s="28"/>
      <c r="RI27" s="28"/>
      <c r="RJ27" s="28"/>
      <c r="RK27" s="28"/>
      <c r="RL27" s="28"/>
      <c r="RM27" s="28"/>
      <c r="RN27" s="28"/>
      <c r="RO27" s="28"/>
      <c r="RP27" s="28"/>
      <c r="RQ27" s="28"/>
      <c r="RR27" s="28"/>
      <c r="RS27" s="28"/>
      <c r="RT27" s="28"/>
      <c r="RU27" s="28"/>
      <c r="RV27" s="28"/>
      <c r="RW27" s="28"/>
      <c r="RX27" s="28"/>
      <c r="RY27" s="28"/>
      <c r="RZ27" s="28"/>
      <c r="SA27" s="28"/>
      <c r="SB27" s="28"/>
      <c r="SC27" s="28"/>
      <c r="SD27" s="28"/>
      <c r="SE27" s="28"/>
      <c r="SF27" s="28"/>
      <c r="SG27" s="28"/>
      <c r="SH27" s="28"/>
      <c r="SI27" s="28"/>
      <c r="SJ27" s="28"/>
      <c r="SK27" s="28"/>
      <c r="SL27" s="28"/>
      <c r="SM27" s="28"/>
      <c r="SN27" s="28"/>
      <c r="SO27" s="28"/>
      <c r="SP27" s="28"/>
      <c r="SQ27" s="28"/>
      <c r="SR27" s="28"/>
      <c r="SS27" s="28"/>
      <c r="ST27" s="28"/>
      <c r="SU27" s="28"/>
      <c r="SV27" s="28"/>
      <c r="SW27" s="28"/>
      <c r="SX27" s="28"/>
      <c r="SY27" s="28"/>
      <c r="SZ27" s="28"/>
      <c r="TA27" s="28"/>
      <c r="TB27" s="28"/>
      <c r="TC27" s="28"/>
      <c r="TD27" s="28"/>
      <c r="TE27" s="28"/>
      <c r="TF27" s="28"/>
      <c r="TG27" s="28"/>
      <c r="TH27" s="28"/>
      <c r="TI27" s="28"/>
      <c r="TJ27" s="28"/>
      <c r="TK27" s="28"/>
      <c r="TL27" s="28"/>
      <c r="TM27" s="28"/>
      <c r="TN27" s="28"/>
      <c r="TO27" s="28"/>
      <c r="TP27" s="28"/>
      <c r="TQ27" s="28"/>
      <c r="TR27" s="28"/>
      <c r="TS27" s="28"/>
      <c r="TT27" s="28"/>
      <c r="TU27" s="28"/>
      <c r="TV27" s="28"/>
      <c r="TW27" s="28"/>
      <c r="TX27" s="28"/>
      <c r="TY27" s="28"/>
      <c r="TZ27" s="28"/>
      <c r="UA27" s="28"/>
      <c r="UB27" s="28"/>
      <c r="UC27" s="28"/>
      <c r="UD27" s="28"/>
      <c r="UE27" s="28"/>
      <c r="UF27" s="28"/>
      <c r="UG27" s="28"/>
      <c r="UH27" s="28"/>
      <c r="UI27" s="28"/>
      <c r="UJ27" s="28"/>
      <c r="UK27" s="28"/>
      <c r="UL27" s="28"/>
      <c r="UM27" s="28"/>
      <c r="UN27" s="28"/>
      <c r="UO27" s="28"/>
      <c r="UP27" s="28"/>
      <c r="UQ27" s="28"/>
      <c r="UR27" s="28"/>
      <c r="US27" s="28"/>
      <c r="UT27" s="28"/>
      <c r="UU27" s="28"/>
      <c r="UV27" s="28"/>
      <c r="UW27" s="28"/>
      <c r="UX27" s="28"/>
      <c r="UY27" s="28"/>
      <c r="UZ27" s="28"/>
      <c r="VA27" s="28"/>
      <c r="VB27" s="28"/>
      <c r="VC27" s="28"/>
      <c r="VD27" s="28"/>
      <c r="VE27" s="28"/>
      <c r="VF27" s="28"/>
      <c r="VG27" s="28"/>
      <c r="VH27" s="28"/>
      <c r="VI27" s="28"/>
      <c r="VJ27" s="28"/>
      <c r="VK27" s="28"/>
      <c r="VL27" s="28"/>
      <c r="VM27" s="28"/>
      <c r="VN27" s="28"/>
      <c r="VO27" s="28"/>
      <c r="VP27" s="28"/>
      <c r="VQ27" s="28"/>
      <c r="VR27" s="28"/>
      <c r="VS27" s="28"/>
      <c r="VT27" s="28"/>
      <c r="VU27" s="28"/>
      <c r="VV27" s="28"/>
      <c r="VW27" s="28"/>
      <c r="VX27" s="28"/>
      <c r="VY27" s="28"/>
      <c r="VZ27" s="28"/>
      <c r="WA27" s="28"/>
      <c r="WB27" s="28"/>
      <c r="WC27" s="28"/>
      <c r="WD27" s="28"/>
      <c r="WE27" s="28"/>
      <c r="WF27" s="28"/>
      <c r="WG27" s="28"/>
      <c r="WH27" s="28"/>
      <c r="WI27" s="28"/>
      <c r="WJ27" s="28"/>
      <c r="WK27" s="28"/>
      <c r="WL27" s="28"/>
      <c r="WM27" s="28"/>
      <c r="WN27" s="28"/>
      <c r="WO27" s="28"/>
      <c r="WP27" s="28"/>
      <c r="WQ27" s="28"/>
      <c r="WR27" s="28"/>
      <c r="WS27" s="28"/>
      <c r="WT27" s="28"/>
      <c r="WU27" s="28"/>
      <c r="WV27" s="28"/>
      <c r="WW27" s="28"/>
      <c r="WX27" s="28"/>
      <c r="WY27" s="28"/>
      <c r="WZ27" s="28"/>
      <c r="XA27" s="28"/>
      <c r="XB27" s="28"/>
      <c r="XC27" s="28"/>
      <c r="XD27" s="28"/>
      <c r="XE27" s="28"/>
      <c r="XF27" s="28"/>
      <c r="XG27" s="28"/>
      <c r="XH27" s="28"/>
      <c r="XI27" s="28"/>
      <c r="XJ27" s="28"/>
      <c r="XK27" s="28"/>
      <c r="XL27" s="28"/>
      <c r="XM27" s="28"/>
      <c r="XN27" s="28"/>
      <c r="XO27" s="28"/>
      <c r="XP27" s="28"/>
      <c r="XQ27" s="28"/>
      <c r="XR27" s="28"/>
      <c r="XS27" s="28"/>
      <c r="XT27" s="28"/>
      <c r="XU27" s="28"/>
      <c r="XV27" s="28"/>
      <c r="XW27" s="28"/>
      <c r="XX27" s="28"/>
      <c r="XY27" s="28"/>
      <c r="XZ27" s="28"/>
      <c r="YA27" s="28"/>
      <c r="YB27" s="28"/>
      <c r="YC27" s="28"/>
      <c r="YD27" s="28"/>
      <c r="YE27" s="28"/>
      <c r="YF27" s="28"/>
      <c r="YG27" s="28"/>
      <c r="YH27" s="28"/>
      <c r="YI27" s="28"/>
      <c r="YJ27" s="28"/>
      <c r="YK27" s="28"/>
      <c r="YL27" s="28"/>
      <c r="YM27" s="28"/>
      <c r="YN27" s="28"/>
      <c r="YO27" s="28"/>
      <c r="YP27" s="28"/>
      <c r="YQ27" s="28"/>
      <c r="YR27" s="28"/>
      <c r="YS27" s="28"/>
      <c r="YT27" s="28"/>
      <c r="YU27" s="28"/>
      <c r="YV27" s="28"/>
      <c r="YW27" s="28"/>
      <c r="YX27" s="28"/>
      <c r="YY27" s="28"/>
      <c r="YZ27" s="28"/>
      <c r="ZA27" s="28"/>
      <c r="ZB27" s="28"/>
      <c r="ZC27" s="28"/>
      <c r="ZD27" s="28"/>
      <c r="ZE27" s="28"/>
      <c r="ZF27" s="28"/>
      <c r="ZG27" s="28"/>
      <c r="ZH27" s="28"/>
      <c r="ZI27" s="28"/>
      <c r="ZJ27" s="28"/>
      <c r="ZK27" s="28"/>
      <c r="ZL27" s="28"/>
      <c r="ZM27" s="28"/>
      <c r="ZN27" s="28"/>
      <c r="ZO27" s="28"/>
      <c r="ZP27" s="28"/>
      <c r="ZQ27" s="28"/>
      <c r="ZR27" s="28"/>
      <c r="ZS27" s="28"/>
      <c r="ZT27" s="28"/>
      <c r="ZU27" s="28"/>
      <c r="ZV27" s="28"/>
      <c r="ZW27" s="28"/>
      <c r="ZX27" s="28"/>
      <c r="ZY27" s="28"/>
      <c r="ZZ27" s="28"/>
      <c r="AAA27" s="28"/>
      <c r="AAB27" s="28"/>
      <c r="AAC27" s="28"/>
      <c r="AAD27" s="28"/>
      <c r="AAE27" s="28"/>
      <c r="AAF27" s="28"/>
      <c r="AAG27" s="28"/>
      <c r="AAH27" s="28"/>
      <c r="AAI27" s="28"/>
      <c r="AAJ27" s="28"/>
      <c r="AAK27" s="28"/>
      <c r="AAL27" s="28"/>
      <c r="AAM27" s="28"/>
      <c r="AAN27" s="28"/>
      <c r="AAO27" s="28"/>
      <c r="AAP27" s="28"/>
      <c r="AAQ27" s="28"/>
      <c r="AAR27" s="28"/>
      <c r="AAS27" s="28"/>
      <c r="AAT27" s="28"/>
      <c r="AAU27" s="28"/>
      <c r="AAV27" s="28"/>
      <c r="AAW27" s="28"/>
      <c r="AAX27" s="28"/>
      <c r="AAY27" s="28"/>
      <c r="AAZ27" s="28"/>
      <c r="ABA27" s="28"/>
      <c r="ABB27" s="28"/>
      <c r="ABC27" s="28"/>
      <c r="ABD27" s="28"/>
      <c r="ABE27" s="28"/>
      <c r="ABF27" s="28"/>
      <c r="ABG27" s="28"/>
      <c r="ABH27" s="28"/>
      <c r="ABI27" s="28"/>
      <c r="ABJ27" s="28"/>
      <c r="ABK27" s="28"/>
      <c r="ABL27" s="28"/>
      <c r="ABM27" s="28"/>
      <c r="ABN27" s="28"/>
      <c r="ABO27" s="28"/>
      <c r="ABP27" s="28"/>
      <c r="ABQ27" s="28"/>
      <c r="ABR27" s="28"/>
      <c r="ABS27" s="28"/>
      <c r="ABT27" s="28"/>
      <c r="ABU27" s="28"/>
      <c r="ABV27" s="28"/>
      <c r="ABW27" s="28"/>
      <c r="ABX27" s="28"/>
      <c r="ABY27" s="28"/>
      <c r="ABZ27" s="28"/>
      <c r="ACA27" s="28"/>
      <c r="ACB27" s="28"/>
      <c r="ACC27" s="28"/>
      <c r="ACD27" s="28"/>
      <c r="ACE27" s="28"/>
      <c r="ACF27" s="28"/>
      <c r="ACG27" s="28"/>
      <c r="ACH27" s="28"/>
      <c r="ACI27" s="28"/>
      <c r="ACJ27" s="28"/>
      <c r="ACK27" s="28"/>
      <c r="ACL27" s="28"/>
      <c r="ACM27" s="28"/>
      <c r="ACN27" s="28"/>
      <c r="ACO27" s="28"/>
      <c r="ACP27" s="28"/>
      <c r="ACQ27" s="28"/>
      <c r="ACR27" s="28"/>
      <c r="ACS27" s="28"/>
      <c r="ACT27" s="28"/>
      <c r="ACU27" s="28"/>
      <c r="ACV27" s="28"/>
      <c r="ACW27" s="28"/>
      <c r="ACX27" s="28"/>
      <c r="ACY27" s="28"/>
      <c r="ACZ27" s="28"/>
      <c r="ADA27" s="28"/>
      <c r="ADB27" s="28"/>
      <c r="ADC27" s="28"/>
      <c r="ADD27" s="28"/>
      <c r="ADE27" s="28"/>
      <c r="ADF27" s="28"/>
      <c r="ADG27" s="28"/>
      <c r="ADH27" s="28"/>
      <c r="ADI27" s="28"/>
      <c r="ADJ27" s="28"/>
      <c r="ADK27" s="28"/>
      <c r="ADL27" s="28"/>
      <c r="ADM27" s="28"/>
      <c r="ADN27" s="28"/>
      <c r="ADO27" s="28"/>
      <c r="ADP27" s="28"/>
      <c r="ADQ27" s="28"/>
      <c r="ADR27" s="28"/>
      <c r="ADS27" s="28"/>
      <c r="ADT27" s="28"/>
      <c r="ADU27" s="28"/>
      <c r="ADV27" s="28"/>
      <c r="ADW27" s="28"/>
      <c r="ADX27" s="28"/>
      <c r="ADY27" s="28"/>
      <c r="ADZ27" s="28"/>
      <c r="AEA27" s="28"/>
      <c r="AEB27" s="28"/>
      <c r="AEC27" s="28"/>
      <c r="AED27" s="28"/>
      <c r="AEE27" s="28"/>
      <c r="AEF27" s="28"/>
      <c r="AEG27" s="28"/>
      <c r="AEH27" s="28"/>
      <c r="AEI27" s="28"/>
      <c r="AEJ27" s="28"/>
      <c r="AEK27" s="28"/>
      <c r="AEL27" s="28"/>
      <c r="AEM27" s="28"/>
      <c r="AEN27" s="28"/>
      <c r="AEO27" s="28"/>
      <c r="AEP27" s="28"/>
      <c r="AEQ27" s="28"/>
      <c r="AER27" s="28"/>
      <c r="AES27" s="28"/>
      <c r="AET27" s="28"/>
      <c r="AEU27" s="28"/>
      <c r="AEV27" s="28"/>
      <c r="AEW27" s="28"/>
      <c r="AEX27" s="28"/>
      <c r="AEY27" s="28"/>
      <c r="AEZ27" s="28"/>
      <c r="AFA27" s="28"/>
      <c r="AFB27" s="28"/>
      <c r="AFC27" s="28"/>
      <c r="AFD27" s="28"/>
      <c r="AFE27" s="28"/>
      <c r="AFF27" s="28"/>
      <c r="AFG27" s="28"/>
      <c r="AFH27" s="28"/>
      <c r="AFI27" s="28"/>
      <c r="AFJ27" s="28"/>
      <c r="AFK27" s="28"/>
      <c r="AFL27" s="28"/>
      <c r="AFM27" s="28"/>
      <c r="AFN27" s="28"/>
      <c r="AFO27" s="28"/>
      <c r="AFP27" s="28"/>
      <c r="AFQ27" s="28"/>
      <c r="AFR27" s="28"/>
      <c r="AFS27" s="28"/>
      <c r="AFT27" s="28"/>
      <c r="AFU27" s="28"/>
      <c r="AFV27" s="28"/>
      <c r="AFW27" s="28"/>
      <c r="AFX27" s="28"/>
      <c r="AFY27" s="28"/>
      <c r="AFZ27" s="28"/>
      <c r="AGA27" s="28"/>
      <c r="AGB27" s="28"/>
      <c r="AGC27" s="28"/>
      <c r="AGD27" s="28"/>
      <c r="AGE27" s="28"/>
      <c r="AGF27" s="28"/>
      <c r="AGG27" s="28"/>
      <c r="AGH27" s="28"/>
      <c r="AGI27" s="28"/>
      <c r="AGJ27" s="28"/>
      <c r="AGK27" s="28"/>
      <c r="AGL27" s="28"/>
      <c r="AGM27" s="28"/>
      <c r="AGN27" s="28"/>
      <c r="AGO27" s="28"/>
      <c r="AGP27" s="28"/>
      <c r="AGQ27" s="28"/>
      <c r="AGR27" s="28"/>
      <c r="AGS27" s="28"/>
      <c r="AGT27" s="28"/>
      <c r="AGU27" s="28"/>
      <c r="AGV27" s="28"/>
      <c r="AGW27" s="28"/>
      <c r="AGX27" s="28"/>
      <c r="AGY27" s="28"/>
      <c r="AGZ27" s="28"/>
      <c r="AHA27" s="28"/>
      <c r="AHB27" s="28"/>
      <c r="AHC27" s="28"/>
      <c r="AHD27" s="28"/>
      <c r="AHE27" s="28"/>
      <c r="AHF27" s="28"/>
      <c r="AHG27" s="28"/>
      <c r="AHH27" s="28"/>
      <c r="AHI27" s="28"/>
      <c r="AHJ27" s="28"/>
      <c r="AHK27" s="28"/>
      <c r="AHL27" s="28"/>
      <c r="AHM27" s="28"/>
      <c r="AHN27" s="28"/>
      <c r="AHO27" s="28"/>
      <c r="AHP27" s="28"/>
      <c r="AHQ27" s="28"/>
      <c r="AHR27" s="28"/>
      <c r="AHS27" s="28"/>
      <c r="AHT27" s="28"/>
      <c r="AHU27" s="28"/>
      <c r="AHV27" s="28"/>
      <c r="AHW27" s="28"/>
      <c r="AHX27" s="28"/>
      <c r="AHY27" s="28"/>
      <c r="AHZ27" s="28"/>
      <c r="AIA27" s="28"/>
      <c r="AIB27" s="28"/>
      <c r="AIC27" s="28"/>
      <c r="AID27" s="28"/>
      <c r="AIE27" s="28"/>
      <c r="AIF27" s="28"/>
      <c r="AIG27" s="28"/>
      <c r="AIH27" s="28"/>
      <c r="AII27" s="28"/>
      <c r="AIJ27" s="28"/>
      <c r="AIK27" s="28"/>
      <c r="AIL27" s="28"/>
      <c r="AIM27" s="28"/>
      <c r="AIN27" s="28"/>
      <c r="AIO27" s="28"/>
      <c r="AIP27" s="28"/>
      <c r="AIQ27" s="28"/>
      <c r="AIR27" s="28"/>
      <c r="AIS27" s="28"/>
      <c r="AIT27" s="28"/>
      <c r="AIU27" s="28"/>
      <c r="AIV27" s="28"/>
      <c r="AIW27" s="28"/>
      <c r="AIX27" s="28"/>
      <c r="AIY27" s="28"/>
      <c r="AIZ27" s="28"/>
      <c r="AJA27" s="28"/>
      <c r="AJB27" s="28"/>
      <c r="AJC27" s="28"/>
      <c r="AJD27" s="28"/>
      <c r="AJE27" s="28"/>
      <c r="AJF27" s="28"/>
      <c r="AJG27" s="28"/>
      <c r="AJH27" s="28"/>
      <c r="AJI27" s="28"/>
      <c r="AJJ27" s="28"/>
      <c r="AJK27" s="28"/>
      <c r="AJL27" s="28"/>
      <c r="AJM27" s="28"/>
      <c r="AJN27" s="28"/>
      <c r="AJO27" s="28"/>
      <c r="AJP27" s="28"/>
      <c r="AJQ27" s="28"/>
      <c r="AJR27" s="28"/>
      <c r="AJS27" s="28"/>
      <c r="AJT27" s="28"/>
      <c r="AJU27" s="28"/>
      <c r="AJV27" s="28"/>
      <c r="AJW27" s="28"/>
      <c r="AJX27" s="28"/>
      <c r="AJY27" s="28"/>
      <c r="AJZ27" s="28"/>
      <c r="AKA27" s="28"/>
      <c r="AKB27" s="28"/>
      <c r="AKC27" s="28"/>
      <c r="AKD27" s="28"/>
      <c r="AKE27" s="28"/>
      <c r="AKF27" s="28"/>
      <c r="AKG27" s="28"/>
      <c r="AKH27" s="28"/>
      <c r="AKI27" s="28"/>
      <c r="AKJ27" s="28"/>
      <c r="AKK27" s="28"/>
      <c r="AKL27" s="28"/>
      <c r="AKM27" s="28"/>
      <c r="AKN27" s="28"/>
      <c r="AKO27" s="28"/>
      <c r="AKP27" s="28"/>
      <c r="AKQ27" s="28"/>
      <c r="AKR27" s="28"/>
      <c r="AKS27" s="28"/>
      <c r="AKT27" s="28"/>
      <c r="AKU27" s="28"/>
      <c r="AKV27" s="28"/>
      <c r="AKW27" s="28"/>
      <c r="AKX27" s="28"/>
      <c r="AKY27" s="28"/>
      <c r="AKZ27" s="28"/>
      <c r="ALA27" s="28"/>
      <c r="ALB27" s="28"/>
      <c r="ALC27" s="28"/>
      <c r="ALD27" s="28"/>
      <c r="ALE27" s="28"/>
      <c r="ALF27" s="28"/>
      <c r="ALG27" s="28"/>
      <c r="ALH27" s="28"/>
      <c r="ALI27" s="28"/>
      <c r="ALJ27" s="28"/>
      <c r="ALK27" s="28"/>
      <c r="ALL27" s="28"/>
      <c r="ALM27" s="28"/>
      <c r="ALN27" s="28"/>
      <c r="ALO27" s="28"/>
      <c r="ALP27" s="28"/>
      <c r="ALQ27" s="28"/>
      <c r="ALR27" s="28"/>
      <c r="ALS27" s="28"/>
      <c r="ALT27" s="28"/>
      <c r="ALU27" s="28"/>
      <c r="ALV27" s="28"/>
      <c r="ALW27" s="28"/>
      <c r="ALX27" s="28"/>
      <c r="ALY27" s="28"/>
      <c r="ALZ27" s="28"/>
      <c r="AMA27" s="28"/>
      <c r="AMB27" s="28"/>
      <c r="AMC27" s="28"/>
      <c r="AMD27" s="28"/>
      <c r="AME27" s="28"/>
      <c r="AMF27" s="28"/>
      <c r="AMG27" s="28"/>
      <c r="AMH27" s="28"/>
      <c r="AMI27" s="28"/>
      <c r="AMJ27" s="28"/>
      <c r="AMK27" s="28"/>
      <c r="AML27" s="28"/>
      <c r="AMM27" s="28"/>
      <c r="AMN27" s="28"/>
      <c r="AMO27" s="28"/>
      <c r="AMP27" s="28"/>
      <c r="AMQ27" s="28"/>
      <c r="AMR27" s="28"/>
      <c r="AMS27" s="28"/>
      <c r="AMT27" s="28"/>
      <c r="AMU27" s="28"/>
      <c r="AMV27" s="28"/>
      <c r="AMW27" s="28"/>
      <c r="AMX27" s="28"/>
      <c r="AMY27" s="28"/>
      <c r="AMZ27" s="28"/>
      <c r="ANA27" s="28"/>
      <c r="ANB27" s="28"/>
      <c r="ANC27" s="28"/>
      <c r="AND27" s="28"/>
      <c r="ANE27" s="28"/>
      <c r="ANF27" s="28"/>
      <c r="ANG27" s="28"/>
      <c r="ANH27" s="28"/>
      <c r="ANI27" s="28"/>
      <c r="ANJ27" s="28"/>
      <c r="ANK27" s="28"/>
      <c r="ANL27" s="28"/>
      <c r="ANM27" s="28"/>
      <c r="ANN27" s="28"/>
      <c r="ANO27" s="28"/>
      <c r="ANP27" s="28"/>
      <c r="ANQ27" s="28"/>
      <c r="ANR27" s="28"/>
      <c r="ANS27" s="28"/>
      <c r="ANT27" s="28"/>
      <c r="ANU27" s="28"/>
      <c r="ANV27" s="28"/>
      <c r="ANW27" s="28"/>
      <c r="ANX27" s="28"/>
      <c r="ANY27" s="28"/>
      <c r="ANZ27" s="28"/>
      <c r="AOA27" s="28"/>
      <c r="AOB27" s="28"/>
      <c r="AOC27" s="28"/>
      <c r="AOD27" s="28"/>
      <c r="AOE27" s="28"/>
      <c r="AOF27" s="28"/>
      <c r="AOG27" s="28"/>
      <c r="AOH27" s="28"/>
      <c r="AOI27" s="28"/>
      <c r="AOJ27" s="28"/>
      <c r="AOK27" s="28"/>
      <c r="AOL27" s="28"/>
      <c r="AOM27" s="28"/>
      <c r="AON27" s="28"/>
      <c r="AOO27" s="28"/>
      <c r="AOP27" s="28"/>
      <c r="AOQ27" s="28"/>
      <c r="AOR27" s="28"/>
      <c r="AOS27" s="28"/>
      <c r="AOT27" s="28"/>
      <c r="AOU27" s="28"/>
      <c r="AOV27" s="28"/>
      <c r="AOW27" s="28"/>
      <c r="AOX27" s="28"/>
      <c r="AOY27" s="28"/>
      <c r="AOZ27" s="28"/>
      <c r="APA27" s="28"/>
      <c r="APB27" s="28"/>
      <c r="APC27" s="28"/>
      <c r="APD27" s="28"/>
      <c r="APE27" s="28"/>
      <c r="APF27" s="28"/>
      <c r="APG27" s="28"/>
      <c r="APH27" s="28"/>
      <c r="API27" s="28"/>
      <c r="APJ27" s="28"/>
      <c r="APK27" s="28"/>
      <c r="APL27" s="28"/>
      <c r="APM27" s="28"/>
      <c r="APN27" s="28"/>
      <c r="APO27" s="28"/>
      <c r="APP27" s="28"/>
      <c r="APQ27" s="28"/>
      <c r="APR27" s="28"/>
      <c r="APS27" s="28"/>
      <c r="APT27" s="28"/>
      <c r="APU27" s="28"/>
      <c r="APV27" s="28"/>
      <c r="APW27" s="28"/>
      <c r="APX27" s="28"/>
      <c r="APY27" s="28"/>
      <c r="APZ27" s="28"/>
      <c r="AQA27" s="28"/>
      <c r="AQB27" s="28"/>
      <c r="AQC27" s="28"/>
      <c r="AQD27" s="28"/>
      <c r="AQE27" s="28"/>
      <c r="AQF27" s="28"/>
      <c r="AQG27" s="28"/>
      <c r="AQH27" s="28"/>
      <c r="AQI27" s="28"/>
      <c r="AQJ27" s="28"/>
      <c r="AQK27" s="28"/>
      <c r="AQL27" s="28"/>
      <c r="AQM27" s="28"/>
      <c r="AQN27" s="28"/>
      <c r="AQO27" s="28"/>
      <c r="AQP27" s="28"/>
      <c r="AQQ27" s="28"/>
      <c r="AQR27" s="28"/>
      <c r="AQS27" s="28"/>
      <c r="AQT27" s="28"/>
      <c r="AQU27" s="28"/>
      <c r="AQV27" s="28"/>
      <c r="AQW27" s="28"/>
      <c r="AQX27" s="28"/>
      <c r="AQY27" s="28"/>
      <c r="AQZ27" s="28"/>
      <c r="ARA27" s="28"/>
      <c r="ARB27" s="28"/>
      <c r="ARC27" s="28"/>
      <c r="ARD27" s="28"/>
      <c r="ARE27" s="28"/>
      <c r="ARF27" s="28"/>
      <c r="ARG27" s="28"/>
      <c r="ARH27" s="28"/>
      <c r="ARI27" s="28"/>
      <c r="ARJ27" s="28"/>
      <c r="ARK27" s="28"/>
      <c r="ARL27" s="28"/>
      <c r="ARM27" s="28"/>
      <c r="ARN27" s="28"/>
      <c r="ARO27" s="28"/>
      <c r="ARP27" s="28"/>
      <c r="ARQ27" s="28"/>
      <c r="ARR27" s="28"/>
      <c r="ARS27" s="28"/>
      <c r="ART27" s="28"/>
      <c r="ARU27" s="28"/>
      <c r="ARV27" s="28"/>
      <c r="ARW27" s="28"/>
      <c r="ARX27" s="28"/>
      <c r="ARY27" s="28"/>
      <c r="ARZ27" s="28"/>
      <c r="ASA27" s="28"/>
      <c r="ASB27" s="28"/>
      <c r="ASC27" s="28"/>
      <c r="ASD27" s="28"/>
      <c r="ASE27" s="28"/>
      <c r="ASF27" s="28"/>
      <c r="ASG27" s="28"/>
      <c r="ASH27" s="28"/>
      <c r="ASI27" s="28"/>
      <c r="ASJ27" s="28"/>
      <c r="ASK27" s="28"/>
      <c r="ASL27" s="28"/>
      <c r="ASM27" s="28"/>
      <c r="ASN27" s="28"/>
      <c r="ASO27" s="28"/>
      <c r="ASP27" s="28"/>
      <c r="ASQ27" s="28"/>
      <c r="ASR27" s="28"/>
      <c r="ASS27" s="28"/>
      <c r="AST27" s="28"/>
      <c r="ASU27" s="28"/>
      <c r="ASV27" s="28"/>
      <c r="ASW27" s="28"/>
      <c r="ASX27" s="28"/>
      <c r="ASY27" s="28"/>
      <c r="ASZ27" s="28"/>
      <c r="ATA27" s="28"/>
      <c r="ATB27" s="28"/>
      <c r="ATC27" s="28"/>
      <c r="ATD27" s="28"/>
      <c r="ATE27" s="28"/>
      <c r="ATF27" s="28"/>
      <c r="ATG27" s="28"/>
      <c r="ATH27" s="28"/>
      <c r="ATI27" s="28"/>
      <c r="ATJ27" s="28"/>
      <c r="ATK27" s="28"/>
      <c r="ATL27" s="28"/>
      <c r="ATM27" s="28"/>
      <c r="ATN27" s="28"/>
      <c r="ATO27" s="28"/>
      <c r="ATP27" s="28"/>
      <c r="ATQ27" s="28"/>
      <c r="ATR27" s="28"/>
      <c r="ATS27" s="28"/>
      <c r="ATT27" s="28"/>
      <c r="ATU27" s="28"/>
      <c r="ATV27" s="28"/>
      <c r="ATW27" s="28"/>
      <c r="ATX27" s="28"/>
      <c r="ATY27" s="28"/>
      <c r="ATZ27" s="28"/>
      <c r="AUA27" s="28"/>
      <c r="AUB27" s="28"/>
      <c r="AUC27" s="28"/>
      <c r="AUD27" s="28"/>
      <c r="AUE27" s="28"/>
      <c r="AUF27" s="28"/>
      <c r="AUG27" s="28"/>
      <c r="AUH27" s="28"/>
      <c r="AUI27" s="28"/>
      <c r="AUJ27" s="28"/>
      <c r="AUK27" s="28"/>
      <c r="AUL27" s="28"/>
      <c r="AUM27" s="28"/>
      <c r="AUN27" s="28"/>
      <c r="AUO27" s="28"/>
      <c r="AUP27" s="28"/>
      <c r="AUQ27" s="28"/>
      <c r="AUR27" s="28"/>
      <c r="AUS27" s="28"/>
      <c r="AUT27" s="28"/>
      <c r="AUU27" s="28"/>
      <c r="AUV27" s="28"/>
      <c r="AUW27" s="28"/>
      <c r="AUX27" s="28"/>
      <c r="AUY27" s="28"/>
      <c r="AUZ27" s="28"/>
      <c r="AVA27" s="28"/>
      <c r="AVB27" s="28"/>
      <c r="AVC27" s="28"/>
      <c r="AVD27" s="28"/>
      <c r="AVE27" s="28"/>
      <c r="AVF27" s="28"/>
      <c r="AVG27" s="28"/>
      <c r="AVH27" s="28"/>
      <c r="AVI27" s="28"/>
      <c r="AVJ27" s="28"/>
      <c r="AVK27" s="28"/>
      <c r="AVL27" s="28"/>
      <c r="AVM27" s="28"/>
      <c r="AVN27" s="28"/>
      <c r="AVO27" s="28"/>
      <c r="AVP27" s="28"/>
      <c r="AVQ27" s="28"/>
      <c r="AVR27" s="28"/>
      <c r="AVS27" s="28"/>
      <c r="AVT27" s="28"/>
      <c r="AVU27" s="28"/>
      <c r="AVV27" s="28"/>
      <c r="AVW27" s="28"/>
      <c r="AVX27" s="28"/>
      <c r="AVY27" s="28"/>
      <c r="AVZ27" s="28"/>
      <c r="AWA27" s="28"/>
      <c r="AWB27" s="28"/>
      <c r="AWC27" s="28"/>
      <c r="AWD27" s="28"/>
      <c r="AWE27" s="28"/>
      <c r="AWF27" s="28"/>
      <c r="AWG27" s="28"/>
      <c r="AWH27" s="28"/>
      <c r="AWI27" s="28"/>
      <c r="AWJ27" s="28"/>
      <c r="AWK27" s="28"/>
      <c r="AWL27" s="28"/>
      <c r="AWM27" s="28"/>
      <c r="AWN27" s="28"/>
      <c r="AWO27" s="28"/>
      <c r="AWP27" s="28"/>
      <c r="AWQ27" s="28"/>
      <c r="AWR27" s="28"/>
      <c r="AWS27" s="28"/>
      <c r="AWT27" s="28"/>
      <c r="AWU27" s="28"/>
      <c r="AWV27" s="28"/>
      <c r="AWW27" s="28"/>
      <c r="AWX27" s="28"/>
      <c r="AWY27" s="28"/>
      <c r="AWZ27" s="28"/>
      <c r="AXA27" s="28"/>
      <c r="AXB27" s="28"/>
      <c r="AXC27" s="28"/>
      <c r="AXD27" s="28"/>
      <c r="AXE27" s="28"/>
      <c r="AXF27" s="28"/>
      <c r="AXG27" s="28"/>
      <c r="AXH27" s="28"/>
      <c r="AXI27" s="28"/>
      <c r="AXJ27" s="28"/>
      <c r="AXK27" s="28"/>
      <c r="AXL27" s="28"/>
      <c r="AXM27" s="28"/>
      <c r="AXN27" s="28"/>
      <c r="AXO27" s="28"/>
      <c r="AXP27" s="28"/>
      <c r="AXQ27" s="28"/>
      <c r="AXR27" s="28"/>
      <c r="AXS27" s="28"/>
      <c r="AXT27" s="28"/>
      <c r="AXU27" s="28"/>
      <c r="AXV27" s="28"/>
      <c r="AXW27" s="28"/>
      <c r="AXX27" s="28"/>
      <c r="AXY27" s="28"/>
      <c r="AXZ27" s="28"/>
      <c r="AYA27" s="28"/>
      <c r="AYB27" s="28"/>
      <c r="AYC27" s="28"/>
      <c r="AYD27" s="28"/>
      <c r="AYE27" s="28"/>
      <c r="AYF27" s="28"/>
      <c r="AYG27" s="28"/>
      <c r="AYH27" s="28"/>
      <c r="AYI27" s="28"/>
      <c r="AYJ27" s="28"/>
      <c r="AYK27" s="28"/>
      <c r="AYL27" s="28"/>
      <c r="AYM27" s="28"/>
      <c r="AYN27" s="28"/>
      <c r="AYO27" s="28"/>
      <c r="AYP27" s="28"/>
      <c r="AYQ27" s="28"/>
      <c r="AYR27" s="28"/>
      <c r="AYS27" s="28"/>
      <c r="AYT27" s="28"/>
      <c r="AYU27" s="28"/>
      <c r="AYV27" s="28"/>
      <c r="AYW27" s="28"/>
      <c r="AYX27" s="28"/>
      <c r="AYY27" s="28"/>
      <c r="AYZ27" s="28"/>
      <c r="AZA27" s="28"/>
      <c r="AZB27" s="28"/>
      <c r="AZC27" s="28"/>
      <c r="AZD27" s="28"/>
      <c r="AZE27" s="28"/>
      <c r="AZF27" s="28"/>
      <c r="AZG27" s="28"/>
      <c r="AZH27" s="28"/>
      <c r="AZI27" s="28"/>
      <c r="AZJ27" s="28"/>
      <c r="AZK27" s="28"/>
      <c r="AZL27" s="28"/>
      <c r="AZM27" s="28"/>
      <c r="AZN27" s="28"/>
      <c r="AZO27" s="28"/>
      <c r="AZP27" s="28"/>
      <c r="AZQ27" s="28"/>
      <c r="AZR27" s="28"/>
      <c r="AZS27" s="28"/>
      <c r="AZT27" s="28"/>
      <c r="AZU27" s="28"/>
      <c r="AZV27" s="28"/>
      <c r="AZW27" s="28"/>
      <c r="AZX27" s="28"/>
      <c r="AZY27" s="28"/>
      <c r="AZZ27" s="28"/>
      <c r="BAA27" s="28"/>
      <c r="BAB27" s="28"/>
      <c r="BAC27" s="28"/>
      <c r="BAD27" s="28"/>
      <c r="BAE27" s="28"/>
      <c r="BAF27" s="28"/>
      <c r="BAG27" s="28"/>
      <c r="BAH27" s="28"/>
      <c r="BAI27" s="28"/>
      <c r="BAJ27" s="28"/>
      <c r="BAK27" s="28"/>
      <c r="BAL27" s="28"/>
      <c r="BAM27" s="28"/>
      <c r="BAN27" s="28"/>
      <c r="BAO27" s="28"/>
      <c r="BAP27" s="28"/>
      <c r="BAQ27" s="28"/>
      <c r="BAR27" s="28"/>
      <c r="BAS27" s="28"/>
      <c r="BAT27" s="28"/>
      <c r="BAU27" s="28"/>
      <c r="BAV27" s="28"/>
      <c r="BAW27" s="28"/>
      <c r="BAX27" s="28"/>
      <c r="BAY27" s="28"/>
      <c r="BAZ27" s="28"/>
      <c r="BBA27" s="28"/>
      <c r="BBB27" s="28"/>
      <c r="BBC27" s="28"/>
      <c r="BBD27" s="28"/>
      <c r="BBE27" s="28"/>
      <c r="BBF27" s="28"/>
      <c r="BBG27" s="28"/>
      <c r="BBH27" s="28"/>
      <c r="BBI27" s="28"/>
      <c r="BBJ27" s="28"/>
      <c r="BBK27" s="28"/>
      <c r="BBL27" s="28"/>
      <c r="BBM27" s="28"/>
      <c r="BBN27" s="28"/>
      <c r="BBO27" s="28"/>
      <c r="BBP27" s="28"/>
      <c r="BBQ27" s="28"/>
      <c r="BBR27" s="28"/>
      <c r="BBS27" s="28"/>
      <c r="BBT27" s="28"/>
      <c r="BBU27" s="28"/>
      <c r="BBV27" s="28"/>
      <c r="BBW27" s="28"/>
      <c r="BBX27" s="28"/>
      <c r="BBY27" s="28"/>
      <c r="BBZ27" s="28"/>
      <c r="BCA27" s="28"/>
      <c r="BCB27" s="28"/>
      <c r="BCC27" s="28"/>
      <c r="BCD27" s="28"/>
      <c r="BCE27" s="28"/>
      <c r="BCF27" s="28"/>
      <c r="BCG27" s="28"/>
      <c r="BCH27" s="28"/>
      <c r="BCI27" s="28"/>
      <c r="BCJ27" s="28"/>
      <c r="BCK27" s="28"/>
      <c r="BCL27" s="28"/>
      <c r="BCM27" s="28"/>
      <c r="BCN27" s="28"/>
      <c r="BCO27" s="28"/>
      <c r="BCP27" s="28"/>
      <c r="BCQ27" s="28"/>
      <c r="BCR27" s="28"/>
      <c r="BCS27" s="28"/>
      <c r="BCT27" s="28"/>
      <c r="BCU27" s="28"/>
      <c r="BCV27" s="28"/>
      <c r="BCW27" s="28"/>
      <c r="BCX27" s="28"/>
      <c r="BCY27" s="28"/>
      <c r="BCZ27" s="28"/>
      <c r="BDA27" s="28"/>
      <c r="BDB27" s="28"/>
      <c r="BDC27" s="28"/>
      <c r="BDD27" s="28"/>
      <c r="BDE27" s="28"/>
      <c r="BDF27" s="28"/>
      <c r="BDG27" s="28"/>
      <c r="BDH27" s="28"/>
      <c r="BDI27" s="28"/>
      <c r="BDJ27" s="28"/>
      <c r="BDK27" s="28"/>
      <c r="BDL27" s="28"/>
      <c r="BDM27" s="28"/>
      <c r="BDN27" s="28"/>
      <c r="BDO27" s="28"/>
      <c r="BDP27" s="28"/>
      <c r="BDQ27" s="28"/>
      <c r="BDR27" s="28"/>
      <c r="BDS27" s="28"/>
      <c r="BDT27" s="28"/>
      <c r="BDU27" s="28"/>
      <c r="BDV27" s="28"/>
      <c r="BDW27" s="28"/>
      <c r="BDX27" s="28"/>
      <c r="BDY27" s="28"/>
      <c r="BDZ27" s="28"/>
      <c r="BEA27" s="28"/>
      <c r="BEB27" s="28"/>
      <c r="BEC27" s="28"/>
      <c r="BED27" s="28"/>
      <c r="BEE27" s="28"/>
      <c r="BEF27" s="28"/>
      <c r="BEG27" s="28"/>
      <c r="BEH27" s="28"/>
      <c r="BEI27" s="28"/>
      <c r="BEJ27" s="28"/>
      <c r="BEK27" s="28"/>
      <c r="BEL27" s="28"/>
      <c r="BEM27" s="28"/>
      <c r="BEN27" s="28"/>
      <c r="BEO27" s="28"/>
      <c r="BEP27" s="28"/>
      <c r="BEQ27" s="28"/>
      <c r="BER27" s="28"/>
      <c r="BES27" s="28"/>
      <c r="BET27" s="28"/>
      <c r="BEU27" s="28"/>
      <c r="BEV27" s="28"/>
      <c r="BEW27" s="28"/>
      <c r="BEX27" s="28"/>
      <c r="BEY27" s="28"/>
      <c r="BEZ27" s="28"/>
      <c r="BFA27" s="28"/>
      <c r="BFB27" s="28"/>
      <c r="BFC27" s="28"/>
      <c r="BFD27" s="28"/>
      <c r="BFE27" s="28"/>
      <c r="BFF27" s="28"/>
      <c r="BFG27" s="28"/>
      <c r="BFH27" s="28"/>
      <c r="BFI27" s="28"/>
      <c r="BFJ27" s="28"/>
      <c r="BFK27" s="28"/>
      <c r="BFL27" s="28"/>
      <c r="BFM27" s="28"/>
      <c r="BFN27" s="28"/>
      <c r="BFO27" s="28"/>
      <c r="BFP27" s="28"/>
      <c r="BFQ27" s="28"/>
      <c r="BFR27" s="28"/>
      <c r="BFS27" s="28"/>
      <c r="BFT27" s="28"/>
      <c r="BFU27" s="28"/>
      <c r="BFV27" s="28"/>
      <c r="BFW27" s="28"/>
      <c r="BFX27" s="28"/>
      <c r="BFY27" s="28"/>
      <c r="BFZ27" s="28"/>
      <c r="BGA27" s="28"/>
      <c r="BGB27" s="28"/>
      <c r="BGC27" s="28"/>
      <c r="BGD27" s="28"/>
      <c r="BGE27" s="28"/>
      <c r="BGF27" s="28"/>
      <c r="BGG27" s="28"/>
      <c r="BGH27" s="28"/>
      <c r="BGI27" s="28"/>
      <c r="BGJ27" s="28"/>
      <c r="BGK27" s="28"/>
      <c r="BGL27" s="28"/>
      <c r="BGM27" s="28"/>
      <c r="BGN27" s="28"/>
      <c r="BGO27" s="28"/>
      <c r="BGP27" s="28"/>
      <c r="BGQ27" s="28"/>
      <c r="BGR27" s="28"/>
      <c r="BGS27" s="28"/>
      <c r="BGT27" s="28"/>
      <c r="BGU27" s="28"/>
      <c r="BGV27" s="28"/>
      <c r="BGW27" s="28"/>
      <c r="BGX27" s="28"/>
      <c r="BGY27" s="28"/>
      <c r="BGZ27" s="28"/>
      <c r="BHA27" s="28"/>
      <c r="BHB27" s="28"/>
      <c r="BHC27" s="28"/>
      <c r="BHD27" s="28"/>
      <c r="BHE27" s="28"/>
      <c r="BHF27" s="28"/>
      <c r="BHG27" s="28"/>
      <c r="BHH27" s="28"/>
      <c r="BHI27" s="28"/>
      <c r="BHJ27" s="28"/>
      <c r="BHK27" s="28"/>
      <c r="BHL27" s="28"/>
      <c r="BHM27" s="28"/>
      <c r="BHN27" s="28"/>
      <c r="BHO27" s="28"/>
      <c r="BHP27" s="28"/>
      <c r="BHQ27" s="28"/>
      <c r="BHR27" s="28"/>
      <c r="BHS27" s="28"/>
      <c r="BHT27" s="28"/>
      <c r="BHU27" s="28"/>
      <c r="BHV27" s="28"/>
      <c r="BHW27" s="28"/>
      <c r="BHX27" s="28"/>
      <c r="BHY27" s="28"/>
      <c r="BHZ27" s="28"/>
      <c r="BIA27" s="28"/>
      <c r="BIB27" s="28"/>
      <c r="BIC27" s="28"/>
      <c r="BID27" s="28"/>
      <c r="BIE27" s="28"/>
      <c r="BIF27" s="28"/>
      <c r="BIG27" s="28"/>
      <c r="BIH27" s="28"/>
      <c r="BII27" s="28"/>
      <c r="BIJ27" s="28"/>
      <c r="BIK27" s="28"/>
      <c r="BIL27" s="28"/>
      <c r="BIM27" s="28"/>
      <c r="BIN27" s="28"/>
      <c r="BIO27" s="28"/>
      <c r="BIP27" s="28"/>
      <c r="BIQ27" s="28"/>
      <c r="BIR27" s="28"/>
      <c r="BIS27" s="28"/>
      <c r="BIT27" s="28"/>
      <c r="BIU27" s="28"/>
      <c r="BIV27" s="28"/>
      <c r="BIW27" s="28"/>
      <c r="BIX27" s="28"/>
      <c r="BIY27" s="28"/>
      <c r="BIZ27" s="28"/>
      <c r="BJA27" s="28"/>
      <c r="BJB27" s="28"/>
      <c r="BJC27" s="28"/>
      <c r="BJD27" s="28"/>
      <c r="BJE27" s="28"/>
      <c r="BJF27" s="28"/>
      <c r="BJG27" s="28"/>
      <c r="BJH27" s="28"/>
      <c r="BJI27" s="28"/>
      <c r="BJJ27" s="28"/>
      <c r="BJK27" s="28"/>
      <c r="BJL27" s="28"/>
      <c r="BJM27" s="28"/>
      <c r="BJN27" s="28"/>
      <c r="BJO27" s="28"/>
      <c r="BJP27" s="28"/>
      <c r="BJQ27" s="28"/>
      <c r="BJR27" s="28"/>
      <c r="BJS27" s="28"/>
      <c r="BJT27" s="28"/>
      <c r="BJU27" s="28"/>
      <c r="BJV27" s="28"/>
      <c r="BJW27" s="28"/>
      <c r="BJX27" s="28"/>
      <c r="BJY27" s="28"/>
      <c r="BJZ27" s="28"/>
      <c r="BKA27" s="28"/>
      <c r="BKB27" s="28"/>
      <c r="BKC27" s="28"/>
      <c r="BKD27" s="28"/>
      <c r="BKE27" s="28"/>
      <c r="BKF27" s="28"/>
      <c r="BKG27" s="28"/>
      <c r="BKH27" s="28"/>
      <c r="BKI27" s="28"/>
      <c r="BKJ27" s="28"/>
      <c r="BKK27" s="28"/>
      <c r="BKL27" s="28"/>
      <c r="BKM27" s="28"/>
      <c r="BKN27" s="28"/>
      <c r="BKO27" s="28"/>
      <c r="BKP27" s="28"/>
      <c r="BKQ27" s="28"/>
      <c r="BKR27" s="28"/>
      <c r="BKS27" s="28"/>
      <c r="BKT27" s="28"/>
      <c r="BKU27" s="28"/>
      <c r="BKV27" s="28"/>
      <c r="BKW27" s="28"/>
      <c r="BKX27" s="28"/>
      <c r="BKY27" s="28"/>
      <c r="BKZ27" s="28"/>
      <c r="BLA27" s="28"/>
      <c r="BLB27" s="28"/>
      <c r="BLC27" s="28"/>
      <c r="BLD27" s="28"/>
      <c r="BLE27" s="28"/>
      <c r="BLF27" s="28"/>
      <c r="BLG27" s="28"/>
      <c r="BLH27" s="28"/>
      <c r="BLI27" s="28"/>
      <c r="BLJ27" s="28"/>
      <c r="BLK27" s="28"/>
      <c r="BLL27" s="28"/>
      <c r="BLM27" s="28"/>
      <c r="BLN27" s="28"/>
      <c r="BLO27" s="28"/>
      <c r="BLP27" s="28"/>
      <c r="BLQ27" s="28"/>
      <c r="BLR27" s="28"/>
      <c r="BLS27" s="28"/>
      <c r="BLT27" s="28"/>
      <c r="BLU27" s="28"/>
      <c r="BLV27" s="28"/>
      <c r="BLW27" s="28"/>
      <c r="BLX27" s="28"/>
      <c r="BLY27" s="28"/>
      <c r="BLZ27" s="28"/>
      <c r="BMA27" s="28"/>
      <c r="BMB27" s="28"/>
      <c r="BMC27" s="28"/>
      <c r="BMD27" s="28"/>
      <c r="BME27" s="28"/>
      <c r="BMF27" s="28"/>
      <c r="BMG27" s="28"/>
      <c r="BMH27" s="28"/>
      <c r="BMI27" s="28"/>
      <c r="BMJ27" s="28"/>
      <c r="BMK27" s="28"/>
      <c r="BML27" s="28"/>
      <c r="BMM27" s="28"/>
      <c r="BMN27" s="28"/>
      <c r="BMO27" s="28"/>
      <c r="BMP27" s="28"/>
      <c r="BMQ27" s="28"/>
      <c r="BMR27" s="28"/>
      <c r="BMS27" s="28"/>
      <c r="BMT27" s="28"/>
      <c r="BMU27" s="28"/>
      <c r="BMV27" s="28"/>
      <c r="BMW27" s="28"/>
      <c r="BMX27" s="28"/>
      <c r="BMY27" s="28"/>
      <c r="BMZ27" s="28"/>
      <c r="BNA27" s="28"/>
      <c r="BNB27" s="28"/>
      <c r="BNC27" s="28"/>
      <c r="BND27" s="28"/>
      <c r="BNE27" s="28"/>
      <c r="BNF27" s="28"/>
      <c r="BNG27" s="28"/>
      <c r="BNH27" s="28"/>
      <c r="BNI27" s="28"/>
      <c r="BNJ27" s="28"/>
      <c r="BNK27" s="28"/>
      <c r="BNL27" s="28"/>
      <c r="BNM27" s="28"/>
      <c r="BNN27" s="28"/>
      <c r="BNO27" s="28"/>
      <c r="BNP27" s="28"/>
      <c r="BNQ27" s="28"/>
      <c r="BNR27" s="28"/>
      <c r="BNS27" s="28"/>
      <c r="BNT27" s="28"/>
      <c r="BNU27" s="28"/>
      <c r="BNV27" s="28"/>
      <c r="BNW27" s="28"/>
      <c r="BNX27" s="28"/>
      <c r="BNY27" s="28"/>
      <c r="BNZ27" s="28"/>
      <c r="BOA27" s="28"/>
      <c r="BOB27" s="28"/>
      <c r="BOC27" s="28"/>
      <c r="BOD27" s="28"/>
      <c r="BOE27" s="28"/>
      <c r="BOF27" s="28"/>
      <c r="BOG27" s="28"/>
      <c r="BOH27" s="28"/>
      <c r="BOI27" s="28"/>
      <c r="BOJ27" s="28"/>
      <c r="BOK27" s="28"/>
      <c r="BOL27" s="28"/>
      <c r="BOM27" s="28"/>
      <c r="BON27" s="28"/>
      <c r="BOO27" s="28"/>
      <c r="BOP27" s="28"/>
      <c r="BOQ27" s="28"/>
      <c r="BOR27" s="28"/>
      <c r="BOS27" s="28"/>
      <c r="BOT27" s="28"/>
      <c r="BOU27" s="28"/>
      <c r="BOV27" s="28"/>
      <c r="BOW27" s="28"/>
      <c r="BOX27" s="28"/>
      <c r="BOY27" s="28"/>
      <c r="BOZ27" s="28"/>
      <c r="BPA27" s="28"/>
      <c r="BPB27" s="28"/>
      <c r="BPC27" s="28"/>
      <c r="BPD27" s="28"/>
      <c r="BPE27" s="28"/>
      <c r="BPF27" s="28"/>
      <c r="BPG27" s="28"/>
      <c r="BPH27" s="28"/>
      <c r="BPI27" s="28"/>
      <c r="BPJ27" s="28"/>
      <c r="BPK27" s="28"/>
      <c r="BPL27" s="28"/>
      <c r="BPM27" s="28"/>
      <c r="BPN27" s="28"/>
      <c r="BPO27" s="28"/>
      <c r="BPP27" s="28"/>
      <c r="BPQ27" s="28"/>
      <c r="BPR27" s="28"/>
      <c r="BPS27" s="28"/>
      <c r="BPT27" s="28"/>
      <c r="BPU27" s="28"/>
      <c r="BPV27" s="28"/>
      <c r="BPW27" s="28"/>
      <c r="BPX27" s="28"/>
      <c r="BPY27" s="28"/>
      <c r="BPZ27" s="28"/>
      <c r="BQA27" s="28"/>
      <c r="BQB27" s="28"/>
      <c r="BQC27" s="28"/>
      <c r="BQD27" s="28"/>
      <c r="BQE27" s="28"/>
      <c r="BQF27" s="28"/>
      <c r="BQG27" s="28"/>
      <c r="BQH27" s="28"/>
      <c r="BQI27" s="28"/>
      <c r="BQJ27" s="28"/>
      <c r="BQK27" s="28"/>
      <c r="BQL27" s="28"/>
      <c r="BQM27" s="28"/>
      <c r="BQN27" s="28"/>
      <c r="BQO27" s="28"/>
      <c r="BQP27" s="28"/>
      <c r="BQQ27" s="28"/>
      <c r="BQR27" s="28"/>
      <c r="BQS27" s="28"/>
      <c r="BQT27" s="28"/>
      <c r="BQU27" s="28"/>
      <c r="BQV27" s="28"/>
      <c r="BQW27" s="28"/>
      <c r="BQX27" s="28"/>
      <c r="BQY27" s="28"/>
      <c r="BQZ27" s="28"/>
      <c r="BRA27" s="28"/>
      <c r="BRB27" s="28"/>
      <c r="BRC27" s="28"/>
      <c r="BRD27" s="28"/>
      <c r="BRE27" s="28"/>
      <c r="BRF27" s="28"/>
      <c r="BRG27" s="28"/>
      <c r="BRH27" s="28"/>
      <c r="BRI27" s="28"/>
      <c r="BRJ27" s="28"/>
      <c r="BRK27" s="28"/>
      <c r="BRL27" s="28"/>
      <c r="BRM27" s="28"/>
      <c r="BRN27" s="28"/>
      <c r="BRO27" s="28"/>
      <c r="BRP27" s="28"/>
      <c r="BRQ27" s="28"/>
      <c r="BRR27" s="28"/>
      <c r="BRS27" s="28"/>
      <c r="BRT27" s="28"/>
      <c r="BRU27" s="28"/>
      <c r="BRV27" s="28"/>
      <c r="BRW27" s="28"/>
      <c r="BRX27" s="28"/>
      <c r="BRY27" s="28"/>
      <c r="BRZ27" s="28"/>
      <c r="BSA27" s="28"/>
      <c r="BSB27" s="28"/>
      <c r="BSC27" s="28"/>
      <c r="BSD27" s="28"/>
      <c r="BSE27" s="28"/>
      <c r="BSF27" s="28"/>
      <c r="BSG27" s="28"/>
      <c r="BSH27" s="28"/>
      <c r="BSI27" s="28"/>
      <c r="BSJ27" s="28"/>
      <c r="BSK27" s="28"/>
      <c r="BSL27" s="28"/>
      <c r="BSM27" s="28"/>
      <c r="BSN27" s="28"/>
      <c r="BSO27" s="28"/>
      <c r="BSP27" s="28"/>
      <c r="BSQ27" s="28"/>
      <c r="BSR27" s="28"/>
      <c r="BSS27" s="28"/>
      <c r="BST27" s="28"/>
      <c r="BSU27" s="28"/>
      <c r="BSV27" s="28"/>
      <c r="BSW27" s="28"/>
      <c r="BSX27" s="28"/>
      <c r="BSY27" s="28"/>
      <c r="BSZ27" s="28"/>
      <c r="BTA27" s="28"/>
      <c r="BTB27" s="28"/>
      <c r="BTC27" s="28"/>
      <c r="BTD27" s="28"/>
      <c r="BTE27" s="28"/>
      <c r="BTF27" s="28"/>
      <c r="BTG27" s="28"/>
      <c r="BTH27" s="28"/>
      <c r="BTI27" s="28"/>
      <c r="BTJ27" s="28"/>
      <c r="BTK27" s="28"/>
      <c r="BTL27" s="28"/>
      <c r="BTM27" s="28"/>
      <c r="BTN27" s="28"/>
      <c r="BTO27" s="28"/>
      <c r="BTP27" s="28"/>
      <c r="BTQ27" s="28"/>
      <c r="BTR27" s="28"/>
      <c r="BTS27" s="28"/>
      <c r="BTT27" s="28"/>
      <c r="BTU27" s="28"/>
      <c r="BTV27" s="28"/>
      <c r="BTW27" s="28"/>
      <c r="BTX27" s="28"/>
      <c r="BTY27" s="28"/>
      <c r="BTZ27" s="28"/>
      <c r="BUA27" s="28"/>
      <c r="BUB27" s="28"/>
      <c r="BUC27" s="28"/>
      <c r="BUD27" s="28"/>
      <c r="BUE27" s="28"/>
      <c r="BUF27" s="28"/>
      <c r="BUG27" s="28"/>
      <c r="BUH27" s="28"/>
      <c r="BUI27" s="28"/>
      <c r="BUJ27" s="28"/>
      <c r="BUK27" s="28"/>
      <c r="BUL27" s="28"/>
      <c r="BUM27" s="28"/>
      <c r="BUN27" s="28"/>
      <c r="BUO27" s="28"/>
      <c r="BUP27" s="28"/>
      <c r="BUQ27" s="28"/>
      <c r="BUR27" s="28"/>
      <c r="BUS27" s="28"/>
      <c r="BUT27" s="28"/>
      <c r="BUU27" s="28"/>
      <c r="BUV27" s="28"/>
      <c r="BUW27" s="28"/>
      <c r="BUX27" s="28"/>
      <c r="BUY27" s="28"/>
      <c r="BUZ27" s="28"/>
      <c r="BVA27" s="28"/>
      <c r="BVB27" s="28"/>
      <c r="BVC27" s="28"/>
      <c r="BVD27" s="28"/>
      <c r="BVE27" s="28"/>
      <c r="BVF27" s="28"/>
      <c r="BVG27" s="28"/>
      <c r="BVH27" s="28"/>
      <c r="BVI27" s="28"/>
      <c r="BVJ27" s="28"/>
      <c r="BVK27" s="28"/>
      <c r="BVL27" s="28"/>
      <c r="BVM27" s="28"/>
      <c r="BVN27" s="28"/>
      <c r="BVO27" s="28"/>
      <c r="BVP27" s="28"/>
      <c r="BVQ27" s="28"/>
      <c r="BVR27" s="28"/>
      <c r="BVS27" s="28"/>
      <c r="BVT27" s="28"/>
      <c r="BVU27" s="28"/>
      <c r="BVV27" s="28"/>
      <c r="BVW27" s="28"/>
      <c r="BVX27" s="28"/>
      <c r="BVY27" s="28"/>
      <c r="BVZ27" s="28"/>
      <c r="BWA27" s="28"/>
      <c r="BWB27" s="28"/>
      <c r="BWC27" s="28"/>
      <c r="BWD27" s="28"/>
      <c r="BWE27" s="28"/>
      <c r="BWF27" s="28"/>
      <c r="BWG27" s="28"/>
      <c r="BWH27" s="28"/>
      <c r="BWI27" s="28"/>
      <c r="BWJ27" s="28"/>
      <c r="BWK27" s="28"/>
      <c r="BWL27" s="28"/>
      <c r="BWM27" s="28"/>
      <c r="BWN27" s="28"/>
      <c r="BWO27" s="28"/>
      <c r="BWP27" s="28"/>
      <c r="BWQ27" s="28"/>
      <c r="BWR27" s="28"/>
      <c r="BWS27" s="28"/>
      <c r="BWT27" s="28"/>
      <c r="BWU27" s="28"/>
      <c r="BWV27" s="28"/>
      <c r="BWW27" s="28"/>
      <c r="BWX27" s="28"/>
      <c r="BWY27" s="28"/>
      <c r="BWZ27" s="28"/>
      <c r="BXA27" s="28"/>
      <c r="BXB27" s="28"/>
      <c r="BXC27" s="28"/>
      <c r="BXD27" s="28"/>
      <c r="BXE27" s="28"/>
      <c r="BXF27" s="28"/>
      <c r="BXG27" s="28"/>
      <c r="BXH27" s="28"/>
      <c r="BXI27" s="28"/>
      <c r="BXJ27" s="28"/>
      <c r="BXK27" s="28"/>
      <c r="BXL27" s="28"/>
      <c r="BXM27" s="28"/>
      <c r="BXN27" s="28"/>
      <c r="BXO27" s="28"/>
      <c r="BXP27" s="28"/>
      <c r="BXQ27" s="28"/>
      <c r="BXR27" s="28"/>
      <c r="BXS27" s="28"/>
      <c r="BXT27" s="28"/>
      <c r="BXU27" s="28"/>
      <c r="BXV27" s="28"/>
      <c r="BXW27" s="28"/>
      <c r="BXX27" s="28"/>
      <c r="BXY27" s="28"/>
      <c r="BXZ27" s="28"/>
      <c r="BYA27" s="28"/>
      <c r="BYB27" s="28"/>
      <c r="BYC27" s="28"/>
      <c r="BYD27" s="28"/>
      <c r="BYE27" s="28"/>
      <c r="BYF27" s="28"/>
      <c r="BYG27" s="28"/>
      <c r="BYH27" s="28"/>
      <c r="BYI27" s="28"/>
      <c r="BYJ27" s="28"/>
      <c r="BYK27" s="28"/>
      <c r="BYL27" s="28"/>
      <c r="BYM27" s="28"/>
      <c r="BYN27" s="28"/>
      <c r="BYO27" s="28"/>
      <c r="BYP27" s="28"/>
      <c r="BYQ27" s="28"/>
      <c r="BYR27" s="28"/>
      <c r="BYS27" s="28"/>
      <c r="BYT27" s="28"/>
      <c r="BYU27" s="28"/>
      <c r="BYV27" s="28"/>
      <c r="BYW27" s="28"/>
      <c r="BYX27" s="28"/>
      <c r="BYY27" s="28"/>
      <c r="BYZ27" s="28"/>
      <c r="BZA27" s="28"/>
      <c r="BZB27" s="28"/>
      <c r="BZC27" s="28"/>
      <c r="BZD27" s="28"/>
      <c r="BZE27" s="28"/>
      <c r="BZF27" s="28"/>
      <c r="BZG27" s="28"/>
      <c r="BZH27" s="28"/>
      <c r="BZI27" s="28"/>
      <c r="BZJ27" s="28"/>
      <c r="BZK27" s="28"/>
      <c r="BZL27" s="28"/>
      <c r="BZM27" s="28"/>
      <c r="BZN27" s="28"/>
      <c r="BZO27" s="28"/>
      <c r="BZP27" s="28"/>
      <c r="BZQ27" s="28"/>
      <c r="BZR27" s="28"/>
      <c r="BZS27" s="28"/>
      <c r="BZT27" s="28"/>
      <c r="BZU27" s="28"/>
      <c r="BZV27" s="28"/>
      <c r="BZW27" s="28"/>
      <c r="BZX27" s="28"/>
      <c r="BZY27" s="28"/>
      <c r="BZZ27" s="28"/>
      <c r="CAA27" s="28"/>
      <c r="CAB27" s="28"/>
      <c r="CAC27" s="28"/>
      <c r="CAD27" s="28"/>
      <c r="CAE27" s="28"/>
      <c r="CAF27" s="28"/>
      <c r="CAG27" s="28"/>
      <c r="CAH27" s="28"/>
      <c r="CAI27" s="28"/>
      <c r="CAJ27" s="28"/>
      <c r="CAK27" s="28"/>
      <c r="CAL27" s="28"/>
      <c r="CAM27" s="28"/>
      <c r="CAN27" s="28"/>
      <c r="CAO27" s="28"/>
      <c r="CAP27" s="28"/>
      <c r="CAQ27" s="28"/>
      <c r="CAR27" s="28"/>
      <c r="CAS27" s="28"/>
      <c r="CAT27" s="28"/>
      <c r="CAU27" s="28"/>
      <c r="CAV27" s="28"/>
      <c r="CAW27" s="28"/>
      <c r="CAX27" s="28"/>
      <c r="CAY27" s="28"/>
      <c r="CAZ27" s="28"/>
      <c r="CBA27" s="28"/>
      <c r="CBB27" s="28"/>
      <c r="CBC27" s="28"/>
      <c r="CBD27" s="28"/>
      <c r="CBE27" s="28"/>
      <c r="CBF27" s="28"/>
      <c r="CBG27" s="28"/>
      <c r="CBH27" s="28"/>
      <c r="CBI27" s="28"/>
      <c r="CBJ27" s="28"/>
      <c r="CBK27" s="28"/>
      <c r="CBL27" s="28"/>
      <c r="CBM27" s="28"/>
      <c r="CBN27" s="28"/>
      <c r="CBO27" s="28"/>
      <c r="CBP27" s="28"/>
      <c r="CBQ27" s="28"/>
      <c r="CBR27" s="28"/>
      <c r="CBS27" s="28"/>
      <c r="CBT27" s="28"/>
      <c r="CBU27" s="28"/>
      <c r="CBV27" s="28"/>
      <c r="CBW27" s="28"/>
      <c r="CBX27" s="28"/>
      <c r="CBY27" s="28"/>
      <c r="CBZ27" s="28"/>
      <c r="CCA27" s="28"/>
      <c r="CCB27" s="28"/>
      <c r="CCC27" s="28"/>
      <c r="CCD27" s="28"/>
      <c r="CCE27" s="28"/>
      <c r="CCF27" s="28"/>
      <c r="CCG27" s="28"/>
      <c r="CCH27" s="28"/>
      <c r="CCI27" s="28"/>
      <c r="CCJ27" s="28"/>
      <c r="CCK27" s="28"/>
      <c r="CCL27" s="28"/>
      <c r="CCM27" s="28"/>
      <c r="CCN27" s="28"/>
      <c r="CCO27" s="28"/>
      <c r="CCP27" s="28"/>
      <c r="CCQ27" s="28"/>
      <c r="CCR27" s="28"/>
      <c r="CCS27" s="28"/>
      <c r="CCT27" s="28"/>
      <c r="CCU27" s="28"/>
      <c r="CCV27" s="28"/>
      <c r="CCW27" s="28"/>
      <c r="CCX27" s="28"/>
      <c r="CCY27" s="28"/>
      <c r="CCZ27" s="28"/>
      <c r="CDA27" s="28"/>
      <c r="CDB27" s="28"/>
      <c r="CDC27" s="28"/>
      <c r="CDD27" s="28"/>
      <c r="CDE27" s="28"/>
      <c r="CDF27" s="28"/>
      <c r="CDG27" s="28"/>
      <c r="CDH27" s="28"/>
      <c r="CDI27" s="28"/>
      <c r="CDJ27" s="28"/>
      <c r="CDK27" s="28"/>
      <c r="CDL27" s="28"/>
      <c r="CDM27" s="28"/>
      <c r="CDN27" s="28"/>
      <c r="CDO27" s="28"/>
      <c r="CDP27" s="28"/>
      <c r="CDQ27" s="28"/>
      <c r="CDR27" s="28"/>
      <c r="CDS27" s="28"/>
      <c r="CDT27" s="28"/>
      <c r="CDU27" s="28"/>
      <c r="CDV27" s="28"/>
      <c r="CDW27" s="28"/>
      <c r="CDX27" s="28"/>
      <c r="CDY27" s="28"/>
      <c r="CDZ27" s="28"/>
      <c r="CEA27" s="28"/>
      <c r="CEB27" s="28"/>
      <c r="CEC27" s="28"/>
      <c r="CED27" s="28"/>
      <c r="CEE27" s="28"/>
      <c r="CEF27" s="28"/>
      <c r="CEG27" s="28"/>
      <c r="CEH27" s="28"/>
      <c r="CEI27" s="28"/>
      <c r="CEJ27" s="28"/>
      <c r="CEK27" s="28"/>
      <c r="CEL27" s="28"/>
      <c r="CEM27" s="28"/>
      <c r="CEN27" s="28"/>
      <c r="CEO27" s="28"/>
      <c r="CEP27" s="28"/>
      <c r="CEQ27" s="28"/>
      <c r="CER27" s="28"/>
      <c r="CES27" s="28"/>
      <c r="CET27" s="28"/>
      <c r="CEU27" s="28"/>
      <c r="CEV27" s="28"/>
      <c r="CEW27" s="28"/>
      <c r="CEX27" s="28"/>
      <c r="CEY27" s="28"/>
      <c r="CEZ27" s="28"/>
      <c r="CFA27" s="28"/>
      <c r="CFB27" s="28"/>
      <c r="CFC27" s="28"/>
      <c r="CFD27" s="28"/>
      <c r="CFE27" s="28"/>
      <c r="CFF27" s="28"/>
      <c r="CFG27" s="28"/>
      <c r="CFH27" s="28"/>
      <c r="CFI27" s="28"/>
      <c r="CFJ27" s="28"/>
      <c r="CFK27" s="28"/>
      <c r="CFL27" s="28"/>
      <c r="CFM27" s="28"/>
      <c r="CFN27" s="28"/>
      <c r="CFO27" s="28"/>
      <c r="CFP27" s="28"/>
      <c r="CFQ27" s="28"/>
      <c r="CFR27" s="28"/>
      <c r="CFS27" s="28"/>
      <c r="CFT27" s="28"/>
      <c r="CFU27" s="28"/>
      <c r="CFV27" s="28"/>
      <c r="CFW27" s="28"/>
      <c r="CFX27" s="28"/>
      <c r="CFY27" s="28"/>
      <c r="CFZ27" s="28"/>
      <c r="CGA27" s="28"/>
      <c r="CGB27" s="28"/>
      <c r="CGC27" s="28"/>
      <c r="CGD27" s="28"/>
      <c r="CGE27" s="28"/>
      <c r="CGF27" s="28"/>
      <c r="CGG27" s="28"/>
      <c r="CGH27" s="28"/>
      <c r="CGI27" s="28"/>
      <c r="CGJ27" s="28"/>
      <c r="CGK27" s="28"/>
      <c r="CGL27" s="28"/>
      <c r="CGM27" s="28"/>
      <c r="CGN27" s="28"/>
      <c r="CGO27" s="28"/>
      <c r="CGP27" s="28"/>
      <c r="CGQ27" s="28"/>
      <c r="CGR27" s="28"/>
      <c r="CGS27" s="28"/>
      <c r="CGT27" s="28"/>
      <c r="CGU27" s="28"/>
      <c r="CGV27" s="28"/>
      <c r="CGW27" s="28"/>
      <c r="CGX27" s="28"/>
      <c r="CGY27" s="28"/>
      <c r="CGZ27" s="28"/>
      <c r="CHA27" s="28"/>
      <c r="CHB27" s="28"/>
      <c r="CHC27" s="28"/>
      <c r="CHD27" s="28"/>
      <c r="CHE27" s="28"/>
      <c r="CHF27" s="28"/>
      <c r="CHG27" s="28"/>
      <c r="CHH27" s="28"/>
      <c r="CHI27" s="28"/>
      <c r="CHJ27" s="28"/>
      <c r="CHK27" s="28"/>
      <c r="CHL27" s="28"/>
      <c r="CHM27" s="28"/>
      <c r="CHN27" s="28"/>
      <c r="CHO27" s="28"/>
      <c r="CHP27" s="28"/>
      <c r="CHQ27" s="28"/>
      <c r="CHR27" s="28"/>
      <c r="CHS27" s="28"/>
      <c r="CHT27" s="28"/>
      <c r="CHU27" s="28"/>
      <c r="CHV27" s="28"/>
      <c r="CHW27" s="28"/>
      <c r="CHX27" s="28"/>
      <c r="CHY27" s="28"/>
      <c r="CHZ27" s="28"/>
      <c r="CIA27" s="28"/>
      <c r="CIB27" s="28"/>
      <c r="CIC27" s="28"/>
      <c r="CID27" s="28"/>
      <c r="CIE27" s="28"/>
      <c r="CIF27" s="28"/>
      <c r="CIG27" s="28"/>
      <c r="CIH27" s="28"/>
      <c r="CII27" s="28"/>
      <c r="CIJ27" s="28"/>
      <c r="CIK27" s="28"/>
      <c r="CIL27" s="28"/>
      <c r="CIM27" s="28"/>
      <c r="CIN27" s="28"/>
      <c r="CIO27" s="28"/>
      <c r="CIP27" s="28"/>
      <c r="CIQ27" s="28"/>
      <c r="CIR27" s="28"/>
      <c r="CIS27" s="28"/>
      <c r="CIT27" s="28"/>
      <c r="CIU27" s="28"/>
      <c r="CIV27" s="28"/>
      <c r="CIW27" s="28"/>
      <c r="CIX27" s="28"/>
      <c r="CIY27" s="28"/>
      <c r="CIZ27" s="28"/>
      <c r="CJA27" s="28"/>
      <c r="CJB27" s="28"/>
      <c r="CJC27" s="28"/>
      <c r="CJD27" s="28"/>
      <c r="CJE27" s="28"/>
      <c r="CJF27" s="28"/>
      <c r="CJG27" s="28"/>
      <c r="CJH27" s="28"/>
      <c r="CJI27" s="28"/>
      <c r="CJJ27" s="28"/>
      <c r="CJK27" s="28"/>
      <c r="CJL27" s="28"/>
      <c r="CJM27" s="28"/>
      <c r="CJN27" s="28"/>
      <c r="CJO27" s="28"/>
      <c r="CJP27" s="28"/>
      <c r="CJQ27" s="28"/>
      <c r="CJR27" s="28"/>
      <c r="CJS27" s="28"/>
      <c r="CJT27" s="28"/>
      <c r="CJU27" s="28"/>
      <c r="CJV27" s="28"/>
      <c r="CJW27" s="28"/>
      <c r="CJX27" s="28"/>
      <c r="CJY27" s="28"/>
      <c r="CJZ27" s="28"/>
      <c r="CKA27" s="28"/>
      <c r="CKB27" s="28"/>
      <c r="CKC27" s="28"/>
      <c r="CKD27" s="28"/>
      <c r="CKE27" s="28"/>
      <c r="CKF27" s="28"/>
      <c r="CKG27" s="28"/>
      <c r="CKH27" s="28"/>
      <c r="CKI27" s="28"/>
      <c r="CKJ27" s="28"/>
      <c r="CKK27" s="28"/>
      <c r="CKL27" s="28"/>
      <c r="CKM27" s="28"/>
      <c r="CKN27" s="28"/>
      <c r="CKO27" s="28"/>
      <c r="CKP27" s="28"/>
      <c r="CKQ27" s="28"/>
      <c r="CKR27" s="28"/>
      <c r="CKS27" s="28"/>
      <c r="CKT27" s="28"/>
      <c r="CKU27" s="28"/>
      <c r="CKV27" s="28"/>
      <c r="CKW27" s="28"/>
      <c r="CKX27" s="28"/>
      <c r="CKY27" s="28"/>
      <c r="CKZ27" s="28"/>
      <c r="CLA27" s="28"/>
      <c r="CLB27" s="28"/>
      <c r="CLC27" s="28"/>
      <c r="CLD27" s="28"/>
      <c r="CLE27" s="28"/>
      <c r="CLF27" s="28"/>
      <c r="CLG27" s="28"/>
      <c r="CLH27" s="28"/>
      <c r="CLI27" s="28"/>
      <c r="CLJ27" s="28"/>
      <c r="CLK27" s="28"/>
      <c r="CLL27" s="28"/>
      <c r="CLM27" s="28"/>
      <c r="CLN27" s="28"/>
      <c r="CLO27" s="28"/>
      <c r="CLP27" s="28"/>
      <c r="CLQ27" s="28"/>
      <c r="CLR27" s="28"/>
      <c r="CLS27" s="28"/>
      <c r="CLT27" s="28"/>
      <c r="CLU27" s="28"/>
      <c r="CLV27" s="28"/>
      <c r="CLW27" s="28"/>
      <c r="CLX27" s="28"/>
      <c r="CLY27" s="28"/>
      <c r="CLZ27" s="28"/>
      <c r="CMA27" s="28"/>
      <c r="CMB27" s="28"/>
      <c r="CMC27" s="28"/>
      <c r="CMD27" s="28"/>
      <c r="CME27" s="28"/>
      <c r="CMF27" s="28"/>
      <c r="CMG27" s="28"/>
      <c r="CMH27" s="28"/>
      <c r="CMI27" s="28"/>
      <c r="CMJ27" s="28"/>
      <c r="CMK27" s="28"/>
      <c r="CML27" s="28"/>
      <c r="CMM27" s="28"/>
      <c r="CMN27" s="28"/>
      <c r="CMO27" s="28"/>
      <c r="CMP27" s="28"/>
      <c r="CMQ27" s="28"/>
      <c r="CMR27" s="28"/>
      <c r="CMS27" s="28"/>
      <c r="CMT27" s="28"/>
      <c r="CMU27" s="28"/>
      <c r="CMV27" s="28"/>
      <c r="CMW27" s="28"/>
      <c r="CMX27" s="28"/>
      <c r="CMY27" s="28"/>
      <c r="CMZ27" s="28"/>
      <c r="CNA27" s="28"/>
      <c r="CNB27" s="28"/>
      <c r="CNC27" s="28"/>
      <c r="CND27" s="28"/>
      <c r="CNE27" s="28"/>
      <c r="CNF27" s="28"/>
      <c r="CNG27" s="28"/>
      <c r="CNH27" s="28"/>
      <c r="CNI27" s="28"/>
      <c r="CNJ27" s="28"/>
      <c r="CNK27" s="28"/>
      <c r="CNL27" s="28"/>
      <c r="CNM27" s="28"/>
      <c r="CNN27" s="28"/>
      <c r="CNO27" s="28"/>
      <c r="CNP27" s="28"/>
      <c r="CNQ27" s="28"/>
      <c r="CNR27" s="28"/>
      <c r="CNS27" s="28"/>
      <c r="CNT27" s="28"/>
      <c r="CNU27" s="28"/>
      <c r="CNV27" s="28"/>
      <c r="CNW27" s="28"/>
      <c r="CNX27" s="28"/>
      <c r="CNY27" s="28"/>
      <c r="CNZ27" s="28"/>
      <c r="COA27" s="28"/>
      <c r="COB27" s="28"/>
      <c r="COC27" s="28"/>
      <c r="COD27" s="28"/>
      <c r="COE27" s="28"/>
      <c r="COF27" s="28"/>
      <c r="COG27" s="28"/>
      <c r="COH27" s="28"/>
      <c r="COI27" s="28"/>
      <c r="COJ27" s="28"/>
      <c r="COK27" s="28"/>
      <c r="COL27" s="28"/>
      <c r="COM27" s="28"/>
      <c r="CON27" s="28"/>
      <c r="COO27" s="28"/>
      <c r="COP27" s="28"/>
      <c r="COQ27" s="28"/>
      <c r="COR27" s="28"/>
      <c r="COS27" s="28"/>
      <c r="COT27" s="28"/>
      <c r="COU27" s="28"/>
      <c r="COV27" s="28"/>
      <c r="COW27" s="28"/>
      <c r="COX27" s="28"/>
      <c r="COY27" s="28"/>
      <c r="COZ27" s="28"/>
      <c r="CPA27" s="28"/>
      <c r="CPB27" s="28"/>
      <c r="CPC27" s="28"/>
      <c r="CPD27" s="28"/>
      <c r="CPE27" s="28"/>
      <c r="CPF27" s="28"/>
      <c r="CPG27" s="28"/>
      <c r="CPH27" s="28"/>
      <c r="CPI27" s="28"/>
      <c r="CPJ27" s="28"/>
      <c r="CPK27" s="28"/>
      <c r="CPL27" s="28"/>
      <c r="CPM27" s="28"/>
      <c r="CPN27" s="28"/>
      <c r="CPO27" s="28"/>
      <c r="CPP27" s="28"/>
      <c r="CPQ27" s="28"/>
      <c r="CPR27" s="28"/>
      <c r="CPS27" s="28"/>
      <c r="CPT27" s="28"/>
      <c r="CPU27" s="28"/>
      <c r="CPV27" s="28"/>
      <c r="CPW27" s="28"/>
      <c r="CPX27" s="28"/>
      <c r="CPY27" s="28"/>
      <c r="CPZ27" s="28"/>
      <c r="CQA27" s="28"/>
      <c r="CQB27" s="28"/>
      <c r="CQC27" s="28"/>
      <c r="CQD27" s="28"/>
      <c r="CQE27" s="28"/>
      <c r="CQF27" s="28"/>
      <c r="CQG27" s="28"/>
      <c r="CQH27" s="28"/>
      <c r="CQI27" s="28"/>
      <c r="CQJ27" s="28"/>
      <c r="CQK27" s="28"/>
      <c r="CQL27" s="28"/>
      <c r="CQM27" s="28"/>
      <c r="CQN27" s="28"/>
      <c r="CQO27" s="28"/>
      <c r="CQP27" s="28"/>
      <c r="CQQ27" s="28"/>
      <c r="CQR27" s="28"/>
      <c r="CQS27" s="28"/>
      <c r="CQT27" s="28"/>
      <c r="CQU27" s="28"/>
      <c r="CQV27" s="28"/>
      <c r="CQW27" s="28"/>
      <c r="CQX27" s="28"/>
      <c r="CQY27" s="28"/>
      <c r="CQZ27" s="28"/>
      <c r="CRA27" s="28"/>
      <c r="CRB27" s="28"/>
      <c r="CRC27" s="28"/>
      <c r="CRD27" s="28"/>
      <c r="CRE27" s="28"/>
      <c r="CRF27" s="28"/>
      <c r="CRG27" s="28"/>
      <c r="CRH27" s="28"/>
      <c r="CRI27" s="28"/>
      <c r="CRJ27" s="28"/>
      <c r="CRK27" s="28"/>
      <c r="CRL27" s="28"/>
      <c r="CRM27" s="28"/>
      <c r="CRN27" s="28"/>
      <c r="CRO27" s="28"/>
      <c r="CRP27" s="28"/>
      <c r="CRQ27" s="28"/>
      <c r="CRR27" s="28"/>
      <c r="CRS27" s="28"/>
      <c r="CRT27" s="28"/>
      <c r="CRU27" s="28"/>
      <c r="CRV27" s="28"/>
      <c r="CRW27" s="28"/>
      <c r="CRX27" s="28"/>
      <c r="CRY27" s="28"/>
      <c r="CRZ27" s="28"/>
      <c r="CSA27" s="28"/>
      <c r="CSB27" s="28"/>
      <c r="CSC27" s="28"/>
      <c r="CSD27" s="28"/>
      <c r="CSE27" s="28"/>
      <c r="CSF27" s="28"/>
      <c r="CSG27" s="28"/>
      <c r="CSH27" s="28"/>
      <c r="CSI27" s="28"/>
      <c r="CSJ27" s="28"/>
      <c r="CSK27" s="28"/>
      <c r="CSL27" s="28"/>
      <c r="CSM27" s="28"/>
      <c r="CSN27" s="28"/>
      <c r="CSO27" s="28"/>
      <c r="CSP27" s="28"/>
      <c r="CSQ27" s="28"/>
      <c r="CSR27" s="28"/>
      <c r="CSS27" s="28"/>
      <c r="CST27" s="28"/>
      <c r="CSU27" s="28"/>
      <c r="CSV27" s="28"/>
      <c r="CSW27" s="28"/>
      <c r="CSX27" s="28"/>
      <c r="CSY27" s="28"/>
      <c r="CSZ27" s="28"/>
      <c r="CTA27" s="28"/>
      <c r="CTB27" s="28"/>
      <c r="CTC27" s="28"/>
      <c r="CTD27" s="28"/>
      <c r="CTE27" s="28"/>
      <c r="CTF27" s="28"/>
      <c r="CTG27" s="28"/>
      <c r="CTH27" s="28"/>
      <c r="CTI27" s="28"/>
      <c r="CTJ27" s="28"/>
      <c r="CTK27" s="28"/>
      <c r="CTL27" s="28"/>
      <c r="CTM27" s="28"/>
      <c r="CTN27" s="28"/>
      <c r="CTO27" s="28"/>
      <c r="CTP27" s="28"/>
      <c r="CTQ27" s="28"/>
      <c r="CTR27" s="28"/>
      <c r="CTS27" s="28"/>
      <c r="CTT27" s="28"/>
      <c r="CTU27" s="28"/>
      <c r="CTV27" s="28"/>
      <c r="CTW27" s="28"/>
      <c r="CTX27" s="28"/>
      <c r="CTY27" s="28"/>
      <c r="CTZ27" s="28"/>
      <c r="CUA27" s="28"/>
      <c r="CUB27" s="28"/>
      <c r="CUC27" s="28"/>
      <c r="CUD27" s="28"/>
      <c r="CUE27" s="28"/>
      <c r="CUF27" s="28"/>
      <c r="CUG27" s="28"/>
      <c r="CUH27" s="28"/>
      <c r="CUI27" s="28"/>
      <c r="CUJ27" s="28"/>
      <c r="CUK27" s="28"/>
      <c r="CUL27" s="28"/>
      <c r="CUM27" s="28"/>
      <c r="CUN27" s="28"/>
      <c r="CUO27" s="28"/>
      <c r="CUP27" s="28"/>
      <c r="CUQ27" s="28"/>
      <c r="CUR27" s="28"/>
      <c r="CUS27" s="28"/>
      <c r="CUT27" s="28"/>
      <c r="CUU27" s="28"/>
      <c r="CUV27" s="28"/>
      <c r="CUW27" s="28"/>
      <c r="CUX27" s="28"/>
      <c r="CUY27" s="28"/>
      <c r="CUZ27" s="28"/>
      <c r="CVA27" s="28"/>
      <c r="CVB27" s="28"/>
      <c r="CVC27" s="28"/>
      <c r="CVD27" s="28"/>
      <c r="CVE27" s="28"/>
      <c r="CVF27" s="28"/>
      <c r="CVG27" s="28"/>
      <c r="CVH27" s="28"/>
      <c r="CVI27" s="28"/>
      <c r="CVJ27" s="28"/>
      <c r="CVK27" s="28"/>
      <c r="CVL27" s="28"/>
      <c r="CVM27" s="28"/>
      <c r="CVN27" s="28"/>
      <c r="CVO27" s="28"/>
      <c r="CVP27" s="28"/>
      <c r="CVQ27" s="28"/>
      <c r="CVR27" s="28"/>
      <c r="CVS27" s="28"/>
      <c r="CVT27" s="28"/>
      <c r="CVU27" s="28"/>
      <c r="CVV27" s="28"/>
      <c r="CVW27" s="28"/>
      <c r="CVX27" s="28"/>
      <c r="CVY27" s="28"/>
      <c r="CVZ27" s="28"/>
      <c r="CWA27" s="28"/>
      <c r="CWB27" s="28"/>
      <c r="CWC27" s="28"/>
      <c r="CWD27" s="28"/>
      <c r="CWE27" s="28"/>
      <c r="CWF27" s="28"/>
      <c r="CWG27" s="28"/>
      <c r="CWH27" s="28"/>
      <c r="CWI27" s="28"/>
      <c r="CWJ27" s="28"/>
      <c r="CWK27" s="28"/>
      <c r="CWL27" s="28"/>
      <c r="CWM27" s="28"/>
      <c r="CWN27" s="28"/>
      <c r="CWO27" s="28"/>
      <c r="CWP27" s="28"/>
      <c r="CWQ27" s="28"/>
      <c r="CWR27" s="28"/>
      <c r="CWS27" s="28"/>
      <c r="CWT27" s="28"/>
      <c r="CWU27" s="28"/>
      <c r="CWV27" s="28"/>
      <c r="CWW27" s="28"/>
      <c r="CWX27" s="28"/>
      <c r="CWY27" s="28"/>
      <c r="CWZ27" s="28"/>
      <c r="CXA27" s="28"/>
      <c r="CXB27" s="28"/>
      <c r="CXC27" s="28"/>
      <c r="CXD27" s="28"/>
      <c r="CXE27" s="28"/>
      <c r="CXF27" s="28"/>
      <c r="CXG27" s="28"/>
      <c r="CXH27" s="28"/>
      <c r="CXI27" s="28"/>
      <c r="CXJ27" s="28"/>
      <c r="CXK27" s="28"/>
      <c r="CXL27" s="28"/>
      <c r="CXM27" s="28"/>
      <c r="CXN27" s="28"/>
      <c r="CXO27" s="28"/>
      <c r="CXP27" s="28"/>
      <c r="CXQ27" s="28"/>
      <c r="CXR27" s="28"/>
      <c r="CXS27" s="28"/>
      <c r="CXT27" s="28"/>
      <c r="CXU27" s="28"/>
      <c r="CXV27" s="28"/>
      <c r="CXW27" s="28"/>
      <c r="CXX27" s="28"/>
      <c r="CXY27" s="28"/>
      <c r="CXZ27" s="28"/>
      <c r="CYA27" s="28"/>
      <c r="CYB27" s="28"/>
      <c r="CYC27" s="28"/>
      <c r="CYD27" s="28"/>
      <c r="CYE27" s="28"/>
      <c r="CYF27" s="28"/>
      <c r="CYG27" s="28"/>
      <c r="CYH27" s="28"/>
      <c r="CYI27" s="28"/>
      <c r="CYJ27" s="28"/>
      <c r="CYK27" s="28"/>
      <c r="CYL27" s="28"/>
      <c r="CYM27" s="28"/>
      <c r="CYN27" s="28"/>
      <c r="CYO27" s="28"/>
      <c r="CYP27" s="28"/>
      <c r="CYQ27" s="28"/>
      <c r="CYR27" s="28"/>
      <c r="CYS27" s="28"/>
      <c r="CYT27" s="28"/>
      <c r="CYU27" s="28"/>
      <c r="CYV27" s="28"/>
      <c r="CYW27" s="28"/>
      <c r="CYX27" s="28"/>
      <c r="CYY27" s="28"/>
      <c r="CYZ27" s="28"/>
      <c r="CZA27" s="28"/>
      <c r="CZB27" s="28"/>
      <c r="CZC27" s="28"/>
      <c r="CZD27" s="28"/>
      <c r="CZE27" s="28"/>
      <c r="CZF27" s="28"/>
      <c r="CZG27" s="28"/>
      <c r="CZH27" s="28"/>
      <c r="CZI27" s="28"/>
      <c r="CZJ27" s="28"/>
      <c r="CZK27" s="28"/>
      <c r="CZL27" s="28"/>
      <c r="CZM27" s="28"/>
      <c r="CZN27" s="28"/>
      <c r="CZO27" s="28"/>
      <c r="CZP27" s="28"/>
      <c r="CZQ27" s="28"/>
      <c r="CZR27" s="28"/>
      <c r="CZS27" s="28"/>
      <c r="CZT27" s="28"/>
      <c r="CZU27" s="28"/>
      <c r="CZV27" s="28"/>
      <c r="CZW27" s="28"/>
      <c r="CZX27" s="28"/>
      <c r="CZY27" s="28"/>
      <c r="CZZ27" s="28"/>
      <c r="DAA27" s="28"/>
      <c r="DAB27" s="28"/>
      <c r="DAC27" s="28"/>
      <c r="DAD27" s="28"/>
      <c r="DAE27" s="28"/>
      <c r="DAF27" s="28"/>
      <c r="DAG27" s="28"/>
      <c r="DAH27" s="28"/>
      <c r="DAI27" s="28"/>
      <c r="DAJ27" s="28"/>
      <c r="DAK27" s="28"/>
      <c r="DAL27" s="28"/>
      <c r="DAM27" s="28"/>
      <c r="DAN27" s="28"/>
      <c r="DAO27" s="28"/>
      <c r="DAP27" s="28"/>
      <c r="DAQ27" s="28"/>
      <c r="DAR27" s="28"/>
      <c r="DAS27" s="28"/>
      <c r="DAT27" s="28"/>
      <c r="DAU27" s="28"/>
      <c r="DAV27" s="28"/>
      <c r="DAW27" s="28"/>
      <c r="DAX27" s="28"/>
      <c r="DAY27" s="28"/>
      <c r="DAZ27" s="28"/>
      <c r="DBA27" s="28"/>
      <c r="DBB27" s="28"/>
      <c r="DBC27" s="28"/>
      <c r="DBD27" s="28"/>
      <c r="DBE27" s="28"/>
      <c r="DBF27" s="28"/>
      <c r="DBG27" s="28"/>
      <c r="DBH27" s="28"/>
      <c r="DBI27" s="28"/>
      <c r="DBJ27" s="28"/>
      <c r="DBK27" s="28"/>
      <c r="DBL27" s="28"/>
      <c r="DBM27" s="28"/>
      <c r="DBN27" s="28"/>
      <c r="DBO27" s="28"/>
      <c r="DBP27" s="28"/>
      <c r="DBQ27" s="28"/>
      <c r="DBR27" s="28"/>
      <c r="DBS27" s="28"/>
      <c r="DBT27" s="28"/>
      <c r="DBU27" s="28"/>
      <c r="DBV27" s="28"/>
      <c r="DBW27" s="28"/>
      <c r="DBX27" s="28"/>
      <c r="DBY27" s="28"/>
      <c r="DBZ27" s="28"/>
      <c r="DCA27" s="28"/>
      <c r="DCB27" s="28"/>
      <c r="DCC27" s="28"/>
      <c r="DCD27" s="28"/>
      <c r="DCE27" s="28"/>
      <c r="DCF27" s="28"/>
      <c r="DCG27" s="28"/>
      <c r="DCH27" s="28"/>
      <c r="DCI27" s="28"/>
      <c r="DCJ27" s="28"/>
      <c r="DCK27" s="28"/>
      <c r="DCL27" s="28"/>
      <c r="DCM27" s="28"/>
      <c r="DCN27" s="28"/>
      <c r="DCO27" s="28"/>
      <c r="DCP27" s="28"/>
      <c r="DCQ27" s="28"/>
      <c r="DCR27" s="28"/>
      <c r="DCS27" s="28"/>
      <c r="DCT27" s="28"/>
      <c r="DCU27" s="28"/>
      <c r="DCV27" s="28"/>
      <c r="DCW27" s="28"/>
      <c r="DCX27" s="28"/>
      <c r="DCY27" s="28"/>
      <c r="DCZ27" s="28"/>
      <c r="DDA27" s="28"/>
      <c r="DDB27" s="28"/>
      <c r="DDC27" s="28"/>
      <c r="DDD27" s="28"/>
      <c r="DDE27" s="28"/>
      <c r="DDF27" s="28"/>
      <c r="DDG27" s="28"/>
      <c r="DDH27" s="28"/>
      <c r="DDI27" s="28"/>
      <c r="DDJ27" s="28"/>
      <c r="DDK27" s="28"/>
      <c r="DDL27" s="28"/>
      <c r="DDM27" s="28"/>
      <c r="DDN27" s="28"/>
      <c r="DDO27" s="28"/>
      <c r="DDP27" s="28"/>
      <c r="DDQ27" s="28"/>
      <c r="DDR27" s="28"/>
      <c r="DDS27" s="28"/>
      <c r="DDT27" s="28"/>
      <c r="DDU27" s="28"/>
      <c r="DDV27" s="28"/>
      <c r="DDW27" s="28"/>
      <c r="DDX27" s="28"/>
      <c r="DDY27" s="28"/>
      <c r="DDZ27" s="28"/>
      <c r="DEA27" s="28"/>
      <c r="DEB27" s="28"/>
      <c r="DEC27" s="28"/>
      <c r="DED27" s="28"/>
      <c r="DEE27" s="28"/>
      <c r="DEF27" s="28"/>
      <c r="DEG27" s="28"/>
      <c r="DEH27" s="28"/>
      <c r="DEI27" s="28"/>
      <c r="DEJ27" s="28"/>
      <c r="DEK27" s="28"/>
      <c r="DEL27" s="28"/>
      <c r="DEM27" s="28"/>
      <c r="DEN27" s="28"/>
      <c r="DEO27" s="28"/>
      <c r="DEP27" s="28"/>
      <c r="DEQ27" s="28"/>
      <c r="DER27" s="28"/>
      <c r="DES27" s="28"/>
      <c r="DET27" s="28"/>
      <c r="DEU27" s="28"/>
      <c r="DEV27" s="28"/>
      <c r="DEW27" s="28"/>
      <c r="DEX27" s="28"/>
      <c r="DEY27" s="28"/>
      <c r="DEZ27" s="28"/>
      <c r="DFA27" s="28"/>
      <c r="DFB27" s="28"/>
      <c r="DFC27" s="28"/>
      <c r="DFD27" s="28"/>
      <c r="DFE27" s="28"/>
      <c r="DFF27" s="28"/>
      <c r="DFG27" s="28"/>
      <c r="DFH27" s="28"/>
      <c r="DFI27" s="28"/>
      <c r="DFJ27" s="28"/>
      <c r="DFK27" s="28"/>
      <c r="DFL27" s="28"/>
      <c r="DFM27" s="28"/>
      <c r="DFN27" s="28"/>
      <c r="DFO27" s="28"/>
      <c r="DFP27" s="28"/>
      <c r="DFQ27" s="28"/>
      <c r="DFR27" s="28"/>
      <c r="DFS27" s="28"/>
      <c r="DFT27" s="28"/>
      <c r="DFU27" s="28"/>
      <c r="DFV27" s="28"/>
      <c r="DFW27" s="28"/>
      <c r="DFX27" s="28"/>
      <c r="DFY27" s="28"/>
      <c r="DFZ27" s="28"/>
      <c r="DGA27" s="28"/>
      <c r="DGB27" s="28"/>
      <c r="DGC27" s="28"/>
      <c r="DGD27" s="28"/>
      <c r="DGE27" s="28"/>
      <c r="DGF27" s="28"/>
      <c r="DGG27" s="28"/>
      <c r="DGH27" s="28"/>
      <c r="DGI27" s="28"/>
      <c r="DGJ27" s="28"/>
      <c r="DGK27" s="28"/>
      <c r="DGL27" s="28"/>
      <c r="DGM27" s="28"/>
      <c r="DGN27" s="28"/>
      <c r="DGO27" s="28"/>
      <c r="DGP27" s="28"/>
      <c r="DGQ27" s="28"/>
      <c r="DGR27" s="28"/>
      <c r="DGS27" s="28"/>
      <c r="DGT27" s="28"/>
      <c r="DGU27" s="28"/>
      <c r="DGV27" s="28"/>
      <c r="DGW27" s="28"/>
      <c r="DGX27" s="28"/>
      <c r="DGY27" s="28"/>
      <c r="DGZ27" s="28"/>
      <c r="DHA27" s="28"/>
      <c r="DHB27" s="28"/>
      <c r="DHC27" s="28"/>
      <c r="DHD27" s="28"/>
      <c r="DHE27" s="28"/>
      <c r="DHF27" s="28"/>
      <c r="DHG27" s="28"/>
      <c r="DHH27" s="28"/>
      <c r="DHI27" s="28"/>
      <c r="DHJ27" s="28"/>
      <c r="DHK27" s="28"/>
      <c r="DHL27" s="28"/>
      <c r="DHM27" s="28"/>
      <c r="DHN27" s="28"/>
      <c r="DHO27" s="28"/>
      <c r="DHP27" s="28"/>
      <c r="DHQ27" s="28"/>
      <c r="DHR27" s="28"/>
      <c r="DHS27" s="28"/>
      <c r="DHT27" s="28"/>
      <c r="DHU27" s="28"/>
      <c r="DHV27" s="28"/>
      <c r="DHW27" s="28"/>
      <c r="DHX27" s="28"/>
      <c r="DHY27" s="28"/>
      <c r="DHZ27" s="28"/>
      <c r="DIA27" s="28"/>
      <c r="DIB27" s="28"/>
      <c r="DIC27" s="28"/>
      <c r="DID27" s="28"/>
      <c r="DIE27" s="28"/>
      <c r="DIF27" s="28"/>
      <c r="DIG27" s="28"/>
      <c r="DIH27" s="28"/>
      <c r="DII27" s="28"/>
      <c r="DIJ27" s="28"/>
      <c r="DIK27" s="28"/>
      <c r="DIL27" s="28"/>
      <c r="DIM27" s="28"/>
      <c r="DIN27" s="28"/>
      <c r="DIO27" s="28"/>
      <c r="DIP27" s="28"/>
      <c r="DIQ27" s="28"/>
      <c r="DIR27" s="28"/>
      <c r="DIS27" s="28"/>
      <c r="DIT27" s="28"/>
      <c r="DIU27" s="28"/>
      <c r="DIV27" s="28"/>
      <c r="DIW27" s="28"/>
      <c r="DIX27" s="28"/>
      <c r="DIY27" s="28"/>
      <c r="DIZ27" s="28"/>
      <c r="DJA27" s="28"/>
      <c r="DJB27" s="28"/>
      <c r="DJC27" s="28"/>
      <c r="DJD27" s="28"/>
      <c r="DJE27" s="28"/>
      <c r="DJF27" s="28"/>
      <c r="DJG27" s="28"/>
      <c r="DJH27" s="28"/>
      <c r="DJI27" s="28"/>
      <c r="DJJ27" s="28"/>
      <c r="DJK27" s="28"/>
      <c r="DJL27" s="28"/>
      <c r="DJM27" s="28"/>
      <c r="DJN27" s="28"/>
      <c r="DJO27" s="28"/>
      <c r="DJP27" s="28"/>
      <c r="DJQ27" s="28"/>
      <c r="DJR27" s="28"/>
      <c r="DJS27" s="28"/>
      <c r="DJT27" s="28"/>
      <c r="DJU27" s="28"/>
      <c r="DJV27" s="28"/>
      <c r="DJW27" s="28"/>
      <c r="DJX27" s="28"/>
      <c r="DJY27" s="28"/>
      <c r="DJZ27" s="28"/>
      <c r="DKA27" s="28"/>
      <c r="DKB27" s="28"/>
      <c r="DKC27" s="28"/>
      <c r="DKD27" s="28"/>
      <c r="DKE27" s="28"/>
      <c r="DKF27" s="28"/>
      <c r="DKG27" s="28"/>
      <c r="DKH27" s="28"/>
      <c r="DKI27" s="28"/>
      <c r="DKJ27" s="28"/>
      <c r="DKK27" s="28"/>
      <c r="DKL27" s="28"/>
      <c r="DKM27" s="28"/>
      <c r="DKN27" s="28"/>
      <c r="DKO27" s="28"/>
      <c r="DKP27" s="28"/>
      <c r="DKQ27" s="28"/>
      <c r="DKR27" s="28"/>
      <c r="DKS27" s="28"/>
      <c r="DKT27" s="28"/>
      <c r="DKU27" s="28"/>
      <c r="DKV27" s="28"/>
      <c r="DKW27" s="28"/>
      <c r="DKX27" s="28"/>
      <c r="DKY27" s="28"/>
      <c r="DKZ27" s="28"/>
      <c r="DLA27" s="28"/>
      <c r="DLB27" s="28"/>
      <c r="DLC27" s="28"/>
      <c r="DLD27" s="28"/>
      <c r="DLE27" s="28"/>
      <c r="DLF27" s="28"/>
      <c r="DLG27" s="28"/>
      <c r="DLH27" s="28"/>
      <c r="DLI27" s="28"/>
      <c r="DLJ27" s="28"/>
      <c r="DLK27" s="28"/>
      <c r="DLL27" s="28"/>
      <c r="DLM27" s="28"/>
      <c r="DLN27" s="28"/>
      <c r="DLO27" s="28"/>
      <c r="DLP27" s="28"/>
      <c r="DLQ27" s="28"/>
      <c r="DLR27" s="28"/>
      <c r="DLS27" s="28"/>
      <c r="DLT27" s="28"/>
      <c r="DLU27" s="28"/>
      <c r="DLV27" s="28"/>
      <c r="DLW27" s="28"/>
      <c r="DLX27" s="28"/>
      <c r="DLY27" s="28"/>
      <c r="DLZ27" s="28"/>
      <c r="DMA27" s="28"/>
      <c r="DMB27" s="28"/>
      <c r="DMC27" s="28"/>
      <c r="DMD27" s="28"/>
      <c r="DME27" s="28"/>
      <c r="DMF27" s="28"/>
      <c r="DMG27" s="28"/>
      <c r="DMH27" s="28"/>
      <c r="DMI27" s="28"/>
      <c r="DMJ27" s="28"/>
      <c r="DMK27" s="28"/>
      <c r="DML27" s="28"/>
      <c r="DMM27" s="28"/>
      <c r="DMN27" s="28"/>
      <c r="DMO27" s="28"/>
      <c r="DMP27" s="28"/>
      <c r="DMQ27" s="28"/>
      <c r="DMR27" s="28"/>
      <c r="DMS27" s="28"/>
      <c r="DMT27" s="28"/>
      <c r="DMU27" s="28"/>
      <c r="DMV27" s="28"/>
      <c r="DMW27" s="28"/>
      <c r="DMX27" s="28"/>
      <c r="DMY27" s="28"/>
      <c r="DMZ27" s="28"/>
      <c r="DNA27" s="28"/>
      <c r="DNB27" s="28"/>
      <c r="DNC27" s="28"/>
      <c r="DND27" s="28"/>
      <c r="DNE27" s="28"/>
      <c r="DNF27" s="28"/>
      <c r="DNG27" s="28"/>
      <c r="DNH27" s="28"/>
      <c r="DNI27" s="28"/>
      <c r="DNJ27" s="28"/>
      <c r="DNK27" s="28"/>
      <c r="DNL27" s="28"/>
      <c r="DNM27" s="28"/>
      <c r="DNN27" s="28"/>
      <c r="DNO27" s="28"/>
      <c r="DNP27" s="28"/>
      <c r="DNQ27" s="28"/>
      <c r="DNR27" s="28"/>
      <c r="DNS27" s="28"/>
      <c r="DNT27" s="28"/>
      <c r="DNU27" s="28"/>
      <c r="DNV27" s="28"/>
      <c r="DNW27" s="28"/>
      <c r="DNX27" s="28"/>
      <c r="DNY27" s="28"/>
      <c r="DNZ27" s="28"/>
      <c r="DOA27" s="28"/>
      <c r="DOB27" s="28"/>
      <c r="DOC27" s="28"/>
      <c r="DOD27" s="28"/>
      <c r="DOE27" s="28"/>
      <c r="DOF27" s="28"/>
      <c r="DOG27" s="28"/>
      <c r="DOH27" s="28"/>
      <c r="DOI27" s="28"/>
      <c r="DOJ27" s="28"/>
      <c r="DOK27" s="28"/>
      <c r="DOL27" s="28"/>
      <c r="DOM27" s="28"/>
      <c r="DON27" s="28"/>
      <c r="DOO27" s="28"/>
      <c r="DOP27" s="28"/>
      <c r="DOQ27" s="28"/>
      <c r="DOR27" s="28"/>
      <c r="DOS27" s="28"/>
      <c r="DOT27" s="28"/>
      <c r="DOU27" s="28"/>
      <c r="DOV27" s="28"/>
      <c r="DOW27" s="28"/>
      <c r="DOX27" s="28"/>
      <c r="DOY27" s="28"/>
      <c r="DOZ27" s="28"/>
      <c r="DPA27" s="28"/>
      <c r="DPB27" s="28"/>
      <c r="DPC27" s="28"/>
      <c r="DPD27" s="28"/>
      <c r="DPE27" s="28"/>
      <c r="DPF27" s="28"/>
      <c r="DPG27" s="28"/>
      <c r="DPH27" s="28"/>
      <c r="DPI27" s="28"/>
      <c r="DPJ27" s="28"/>
      <c r="DPK27" s="28"/>
      <c r="DPL27" s="28"/>
      <c r="DPM27" s="28"/>
      <c r="DPN27" s="28"/>
      <c r="DPO27" s="28"/>
      <c r="DPP27" s="28"/>
      <c r="DPQ27" s="28"/>
      <c r="DPR27" s="28"/>
      <c r="DPS27" s="28"/>
      <c r="DPT27" s="28"/>
      <c r="DPU27" s="28"/>
      <c r="DPV27" s="28"/>
      <c r="DPW27" s="28"/>
      <c r="DPX27" s="28"/>
      <c r="DPY27" s="28"/>
      <c r="DPZ27" s="28"/>
      <c r="DQA27" s="28"/>
      <c r="DQB27" s="28"/>
      <c r="DQC27" s="28"/>
      <c r="DQD27" s="28"/>
      <c r="DQE27" s="28"/>
      <c r="DQF27" s="28"/>
      <c r="DQG27" s="28"/>
      <c r="DQH27" s="28"/>
      <c r="DQI27" s="28"/>
      <c r="DQJ27" s="28"/>
      <c r="DQK27" s="28"/>
      <c r="DQL27" s="28"/>
      <c r="DQM27" s="28"/>
      <c r="DQN27" s="28"/>
      <c r="DQO27" s="28"/>
      <c r="DQP27" s="28"/>
      <c r="DQQ27" s="28"/>
      <c r="DQR27" s="28"/>
      <c r="DQS27" s="28"/>
      <c r="DQT27" s="28"/>
      <c r="DQU27" s="28"/>
      <c r="DQV27" s="28"/>
      <c r="DQW27" s="28"/>
      <c r="DQX27" s="28"/>
      <c r="DQY27" s="28"/>
      <c r="DQZ27" s="28"/>
      <c r="DRA27" s="28"/>
      <c r="DRB27" s="28"/>
      <c r="DRC27" s="28"/>
      <c r="DRD27" s="28"/>
      <c r="DRE27" s="28"/>
      <c r="DRF27" s="28"/>
      <c r="DRG27" s="28"/>
      <c r="DRH27" s="28"/>
      <c r="DRI27" s="28"/>
      <c r="DRJ27" s="28"/>
      <c r="DRK27" s="28"/>
      <c r="DRL27" s="28"/>
      <c r="DRM27" s="28"/>
      <c r="DRN27" s="28"/>
      <c r="DRO27" s="28"/>
      <c r="DRP27" s="28"/>
      <c r="DRQ27" s="28"/>
      <c r="DRR27" s="28"/>
      <c r="DRS27" s="28"/>
      <c r="DRT27" s="28"/>
      <c r="DRU27" s="28"/>
      <c r="DRV27" s="28"/>
      <c r="DRW27" s="28"/>
      <c r="DRX27" s="28"/>
      <c r="DRY27" s="28"/>
      <c r="DRZ27" s="28"/>
      <c r="DSA27" s="28"/>
      <c r="DSB27" s="28"/>
      <c r="DSC27" s="28"/>
      <c r="DSD27" s="28"/>
      <c r="DSE27" s="28"/>
      <c r="DSF27" s="28"/>
      <c r="DSG27" s="28"/>
      <c r="DSH27" s="28"/>
      <c r="DSI27" s="28"/>
      <c r="DSJ27" s="28"/>
      <c r="DSK27" s="28"/>
      <c r="DSL27" s="28"/>
      <c r="DSM27" s="28"/>
      <c r="DSN27" s="28"/>
      <c r="DSO27" s="28"/>
      <c r="DSP27" s="28"/>
      <c r="DSQ27" s="28"/>
      <c r="DSR27" s="28"/>
      <c r="DSS27" s="28"/>
      <c r="DST27" s="28"/>
      <c r="DSU27" s="28"/>
      <c r="DSV27" s="28"/>
      <c r="DSW27" s="28"/>
      <c r="DSX27" s="28"/>
      <c r="DSY27" s="28"/>
      <c r="DSZ27" s="28"/>
      <c r="DTA27" s="28"/>
      <c r="DTB27" s="28"/>
      <c r="DTC27" s="28"/>
      <c r="DTD27" s="28"/>
      <c r="DTE27" s="28"/>
      <c r="DTF27" s="28"/>
      <c r="DTG27" s="28"/>
      <c r="DTH27" s="28"/>
      <c r="DTI27" s="28"/>
      <c r="DTJ27" s="28"/>
      <c r="DTK27" s="28"/>
      <c r="DTL27" s="28"/>
      <c r="DTM27" s="28"/>
      <c r="DTN27" s="28"/>
      <c r="DTO27" s="28"/>
      <c r="DTP27" s="28"/>
      <c r="DTQ27" s="28"/>
      <c r="DTR27" s="28"/>
      <c r="DTS27" s="28"/>
      <c r="DTT27" s="28"/>
      <c r="DTU27" s="28"/>
      <c r="DTV27" s="28"/>
      <c r="DTW27" s="28"/>
      <c r="DTX27" s="28"/>
      <c r="DTY27" s="28"/>
      <c r="DTZ27" s="28"/>
      <c r="DUA27" s="28"/>
      <c r="DUB27" s="28"/>
      <c r="DUC27" s="28"/>
      <c r="DUD27" s="28"/>
      <c r="DUE27" s="28"/>
      <c r="DUF27" s="28"/>
      <c r="DUG27" s="28"/>
      <c r="DUH27" s="28"/>
      <c r="DUI27" s="28"/>
      <c r="DUJ27" s="28"/>
      <c r="DUK27" s="28"/>
      <c r="DUL27" s="28"/>
      <c r="DUM27" s="28"/>
      <c r="DUN27" s="28"/>
      <c r="DUO27" s="28"/>
      <c r="DUP27" s="28"/>
      <c r="DUQ27" s="28"/>
      <c r="DUR27" s="28"/>
      <c r="DUS27" s="28"/>
      <c r="DUT27" s="28"/>
      <c r="DUU27" s="28"/>
      <c r="DUV27" s="28"/>
      <c r="DUW27" s="28"/>
      <c r="DUX27" s="28"/>
      <c r="DUY27" s="28"/>
      <c r="DUZ27" s="28"/>
      <c r="DVA27" s="28"/>
      <c r="DVB27" s="28"/>
      <c r="DVC27" s="28"/>
      <c r="DVD27" s="28"/>
      <c r="DVE27" s="28"/>
      <c r="DVF27" s="28"/>
      <c r="DVG27" s="28"/>
      <c r="DVH27" s="28"/>
      <c r="DVI27" s="28"/>
      <c r="DVJ27" s="28"/>
      <c r="DVK27" s="28"/>
      <c r="DVL27" s="28"/>
      <c r="DVM27" s="28"/>
      <c r="DVN27" s="28"/>
      <c r="DVO27" s="28"/>
      <c r="DVP27" s="28"/>
      <c r="DVQ27" s="28"/>
      <c r="DVR27" s="28"/>
      <c r="DVS27" s="28"/>
      <c r="DVT27" s="28"/>
      <c r="DVU27" s="28"/>
      <c r="DVV27" s="28"/>
      <c r="DVW27" s="28"/>
      <c r="DVX27" s="28"/>
      <c r="DVY27" s="28"/>
      <c r="DVZ27" s="28"/>
      <c r="DWA27" s="28"/>
      <c r="DWB27" s="28"/>
      <c r="DWC27" s="28"/>
      <c r="DWD27" s="28"/>
      <c r="DWE27" s="28"/>
      <c r="DWF27" s="28"/>
      <c r="DWG27" s="28"/>
      <c r="DWH27" s="28"/>
      <c r="DWI27" s="28"/>
      <c r="DWJ27" s="28"/>
      <c r="DWK27" s="28"/>
      <c r="DWL27" s="28"/>
      <c r="DWM27" s="28"/>
      <c r="DWN27" s="28"/>
      <c r="DWO27" s="28"/>
      <c r="DWP27" s="28"/>
      <c r="DWQ27" s="28"/>
      <c r="DWR27" s="28"/>
      <c r="DWS27" s="28"/>
      <c r="DWT27" s="28"/>
      <c r="DWU27" s="28"/>
      <c r="DWV27" s="28"/>
      <c r="DWW27" s="28"/>
      <c r="DWX27" s="28"/>
      <c r="DWY27" s="28"/>
      <c r="DWZ27" s="28"/>
      <c r="DXA27" s="28"/>
      <c r="DXB27" s="28"/>
      <c r="DXC27" s="28"/>
      <c r="DXD27" s="28"/>
      <c r="DXE27" s="28"/>
      <c r="DXF27" s="28"/>
      <c r="DXG27" s="28"/>
      <c r="DXH27" s="28"/>
      <c r="DXI27" s="28"/>
      <c r="DXJ27" s="28"/>
      <c r="DXK27" s="28"/>
      <c r="DXL27" s="28"/>
      <c r="DXM27" s="28"/>
      <c r="DXN27" s="28"/>
      <c r="DXO27" s="28"/>
      <c r="DXP27" s="28"/>
      <c r="DXQ27" s="28"/>
      <c r="DXR27" s="28"/>
      <c r="DXS27" s="28"/>
      <c r="DXT27" s="28"/>
      <c r="DXU27" s="28"/>
      <c r="DXV27" s="28"/>
      <c r="DXW27" s="28"/>
      <c r="DXX27" s="28"/>
      <c r="DXY27" s="28"/>
      <c r="DXZ27" s="28"/>
      <c r="DYA27" s="28"/>
      <c r="DYB27" s="28"/>
      <c r="DYC27" s="28"/>
      <c r="DYD27" s="28"/>
      <c r="DYE27" s="28"/>
      <c r="DYF27" s="28"/>
      <c r="DYG27" s="28"/>
      <c r="DYH27" s="28"/>
      <c r="DYI27" s="28"/>
      <c r="DYJ27" s="28"/>
      <c r="DYK27" s="28"/>
      <c r="DYL27" s="28"/>
      <c r="DYM27" s="28"/>
      <c r="DYN27" s="28"/>
      <c r="DYO27" s="28"/>
      <c r="DYP27" s="28"/>
      <c r="DYQ27" s="28"/>
      <c r="DYR27" s="28"/>
      <c r="DYS27" s="28"/>
      <c r="DYT27" s="28"/>
      <c r="DYU27" s="28"/>
      <c r="DYV27" s="28"/>
      <c r="DYW27" s="28"/>
      <c r="DYX27" s="28"/>
      <c r="DYY27" s="28"/>
      <c r="DYZ27" s="28"/>
      <c r="DZA27" s="28"/>
      <c r="DZB27" s="28"/>
      <c r="DZC27" s="28"/>
      <c r="DZD27" s="28"/>
      <c r="DZE27" s="28"/>
      <c r="DZF27" s="28"/>
      <c r="DZG27" s="28"/>
      <c r="DZH27" s="28"/>
      <c r="DZI27" s="28"/>
      <c r="DZJ27" s="28"/>
      <c r="DZK27" s="28"/>
      <c r="DZL27" s="28"/>
      <c r="DZM27" s="28"/>
      <c r="DZN27" s="28"/>
      <c r="DZO27" s="28"/>
      <c r="DZP27" s="28"/>
      <c r="DZQ27" s="28"/>
      <c r="DZR27" s="28"/>
      <c r="DZS27" s="28"/>
      <c r="DZT27" s="28"/>
      <c r="DZU27" s="28"/>
      <c r="DZV27" s="28"/>
      <c r="DZW27" s="28"/>
      <c r="DZX27" s="28"/>
      <c r="DZY27" s="28"/>
      <c r="DZZ27" s="28"/>
      <c r="EAA27" s="28"/>
      <c r="EAB27" s="28"/>
      <c r="EAC27" s="28"/>
      <c r="EAD27" s="28"/>
      <c r="EAE27" s="28"/>
      <c r="EAF27" s="28"/>
      <c r="EAG27" s="28"/>
      <c r="EAH27" s="28"/>
      <c r="EAI27" s="28"/>
      <c r="EAJ27" s="28"/>
      <c r="EAK27" s="28"/>
      <c r="EAL27" s="28"/>
      <c r="EAM27" s="28"/>
      <c r="EAN27" s="28"/>
      <c r="EAO27" s="28"/>
      <c r="EAP27" s="28"/>
      <c r="EAQ27" s="28"/>
      <c r="EAR27" s="28"/>
      <c r="EAS27" s="28"/>
      <c r="EAT27" s="28"/>
      <c r="EAU27" s="28"/>
      <c r="EAV27" s="28"/>
      <c r="EAW27" s="28"/>
      <c r="EAX27" s="28"/>
      <c r="EAY27" s="28"/>
      <c r="EAZ27" s="28"/>
      <c r="EBA27" s="28"/>
      <c r="EBB27" s="28"/>
      <c r="EBC27" s="28"/>
      <c r="EBD27" s="28"/>
      <c r="EBE27" s="28"/>
      <c r="EBF27" s="28"/>
      <c r="EBG27" s="28"/>
      <c r="EBH27" s="28"/>
      <c r="EBI27" s="28"/>
      <c r="EBJ27" s="28"/>
      <c r="EBK27" s="28"/>
      <c r="EBL27" s="28"/>
      <c r="EBM27" s="28"/>
      <c r="EBN27" s="28"/>
      <c r="EBO27" s="28"/>
      <c r="EBP27" s="28"/>
      <c r="EBQ27" s="28"/>
      <c r="EBR27" s="28"/>
      <c r="EBS27" s="28"/>
      <c r="EBT27" s="28"/>
      <c r="EBU27" s="28"/>
      <c r="EBV27" s="28"/>
      <c r="EBW27" s="28"/>
      <c r="EBX27" s="28"/>
      <c r="EBY27" s="28"/>
      <c r="EBZ27" s="28"/>
      <c r="ECA27" s="28"/>
      <c r="ECB27" s="28"/>
      <c r="ECC27" s="28"/>
      <c r="ECD27" s="28"/>
      <c r="ECE27" s="28"/>
      <c r="ECF27" s="28"/>
      <c r="ECG27" s="28"/>
      <c r="ECH27" s="28"/>
      <c r="ECI27" s="28"/>
      <c r="ECJ27" s="28"/>
      <c r="ECK27" s="28"/>
      <c r="ECL27" s="28"/>
      <c r="ECM27" s="28"/>
      <c r="ECN27" s="28"/>
      <c r="ECO27" s="28"/>
      <c r="ECP27" s="28"/>
      <c r="ECQ27" s="28"/>
      <c r="ECR27" s="28"/>
      <c r="ECS27" s="28"/>
      <c r="ECT27" s="28"/>
      <c r="ECU27" s="28"/>
      <c r="ECV27" s="28"/>
      <c r="ECW27" s="28"/>
      <c r="ECX27" s="28"/>
      <c r="ECY27" s="28"/>
      <c r="ECZ27" s="28"/>
      <c r="EDA27" s="28"/>
      <c r="EDB27" s="28"/>
      <c r="EDC27" s="28"/>
      <c r="EDD27" s="28"/>
      <c r="EDE27" s="28"/>
      <c r="EDF27" s="28"/>
      <c r="EDG27" s="28"/>
      <c r="EDH27" s="28"/>
      <c r="EDI27" s="28"/>
      <c r="EDJ27" s="28"/>
      <c r="EDK27" s="28"/>
      <c r="EDL27" s="28"/>
      <c r="EDM27" s="28"/>
      <c r="EDN27" s="28"/>
      <c r="EDO27" s="28"/>
      <c r="EDP27" s="28"/>
      <c r="EDQ27" s="28"/>
      <c r="EDR27" s="28"/>
      <c r="EDS27" s="28"/>
      <c r="EDT27" s="28"/>
      <c r="EDU27" s="28"/>
      <c r="EDV27" s="28"/>
      <c r="EDW27" s="28"/>
      <c r="EDX27" s="28"/>
      <c r="EDY27" s="28"/>
      <c r="EDZ27" s="28"/>
      <c r="EEA27" s="28"/>
      <c r="EEB27" s="28"/>
      <c r="EEC27" s="28"/>
      <c r="EED27" s="28"/>
      <c r="EEE27" s="28"/>
      <c r="EEF27" s="28"/>
      <c r="EEG27" s="28"/>
      <c r="EEH27" s="28"/>
      <c r="EEI27" s="28"/>
      <c r="EEJ27" s="28"/>
      <c r="EEK27" s="28"/>
      <c r="EEL27" s="28"/>
      <c r="EEM27" s="28"/>
      <c r="EEN27" s="28"/>
      <c r="EEO27" s="28"/>
      <c r="EEP27" s="28"/>
      <c r="EEQ27" s="28"/>
      <c r="EER27" s="28"/>
      <c r="EES27" s="28"/>
      <c r="EET27" s="28"/>
      <c r="EEU27" s="28"/>
      <c r="EEV27" s="28"/>
      <c r="EEW27" s="28"/>
      <c r="EEX27" s="28"/>
      <c r="EEY27" s="28"/>
      <c r="EEZ27" s="28"/>
      <c r="EFA27" s="28"/>
      <c r="EFB27" s="28"/>
      <c r="EFC27" s="28"/>
      <c r="EFD27" s="28"/>
      <c r="EFE27" s="28"/>
      <c r="EFF27" s="28"/>
      <c r="EFG27" s="28"/>
      <c r="EFH27" s="28"/>
      <c r="EFI27" s="28"/>
      <c r="EFJ27" s="28"/>
      <c r="EFK27" s="28"/>
      <c r="EFL27" s="28"/>
      <c r="EFM27" s="28"/>
      <c r="EFN27" s="28"/>
      <c r="EFO27" s="28"/>
      <c r="EFP27" s="28"/>
      <c r="EFQ27" s="28"/>
      <c r="EFR27" s="28"/>
      <c r="EFS27" s="28"/>
      <c r="EFT27" s="28"/>
      <c r="EFU27" s="28"/>
      <c r="EFV27" s="28"/>
      <c r="EFW27" s="28"/>
      <c r="EFX27" s="28"/>
      <c r="EFY27" s="28"/>
      <c r="EFZ27" s="28"/>
      <c r="EGA27" s="28"/>
      <c r="EGB27" s="28"/>
      <c r="EGC27" s="28"/>
      <c r="EGD27" s="28"/>
      <c r="EGE27" s="28"/>
      <c r="EGF27" s="28"/>
      <c r="EGG27" s="28"/>
      <c r="EGH27" s="28"/>
      <c r="EGI27" s="28"/>
      <c r="EGJ27" s="28"/>
      <c r="EGK27" s="28"/>
      <c r="EGL27" s="28"/>
      <c r="EGM27" s="28"/>
      <c r="EGN27" s="28"/>
      <c r="EGO27" s="28"/>
      <c r="EGP27" s="28"/>
      <c r="EGQ27" s="28"/>
      <c r="EGR27" s="28"/>
      <c r="EGS27" s="28"/>
      <c r="EGT27" s="28"/>
      <c r="EGU27" s="28"/>
      <c r="EGV27" s="28"/>
      <c r="EGW27" s="28"/>
      <c r="EGX27" s="28"/>
      <c r="EGY27" s="28"/>
      <c r="EGZ27" s="28"/>
      <c r="EHA27" s="28"/>
      <c r="EHB27" s="28"/>
      <c r="EHC27" s="28"/>
      <c r="EHD27" s="28"/>
      <c r="EHE27" s="28"/>
      <c r="EHF27" s="28"/>
      <c r="EHG27" s="28"/>
      <c r="EHH27" s="28"/>
      <c r="EHI27" s="28"/>
      <c r="EHJ27" s="28"/>
      <c r="EHK27" s="28"/>
      <c r="EHL27" s="28"/>
      <c r="EHM27" s="28"/>
      <c r="EHN27" s="28"/>
      <c r="EHO27" s="28"/>
      <c r="EHP27" s="28"/>
      <c r="EHQ27" s="28"/>
      <c r="EHR27" s="28"/>
      <c r="EHS27" s="28"/>
      <c r="EHT27" s="28"/>
      <c r="EHU27" s="28"/>
      <c r="EHV27" s="28"/>
      <c r="EHW27" s="28"/>
      <c r="EHX27" s="28"/>
      <c r="EHY27" s="28"/>
      <c r="EHZ27" s="28"/>
      <c r="EIA27" s="28"/>
      <c r="EIB27" s="28"/>
      <c r="EIC27" s="28"/>
      <c r="EID27" s="28"/>
      <c r="EIE27" s="28"/>
      <c r="EIF27" s="28"/>
      <c r="EIG27" s="28"/>
      <c r="EIH27" s="28"/>
      <c r="EII27" s="28"/>
      <c r="EIJ27" s="28"/>
      <c r="EIK27" s="28"/>
      <c r="EIL27" s="28"/>
      <c r="EIM27" s="28"/>
      <c r="EIN27" s="28"/>
      <c r="EIO27" s="28"/>
      <c r="EIP27" s="28"/>
      <c r="EIQ27" s="28"/>
      <c r="EIR27" s="28"/>
      <c r="EIS27" s="28"/>
      <c r="EIT27" s="28"/>
      <c r="EIU27" s="28"/>
      <c r="EIV27" s="28"/>
      <c r="EIW27" s="28"/>
      <c r="EIX27" s="28"/>
      <c r="EIY27" s="28"/>
      <c r="EIZ27" s="28"/>
      <c r="EJA27" s="28"/>
      <c r="EJB27" s="28"/>
      <c r="EJC27" s="28"/>
      <c r="EJD27" s="28"/>
      <c r="EJE27" s="28"/>
      <c r="EJF27" s="28"/>
      <c r="EJG27" s="28"/>
      <c r="EJH27" s="28"/>
      <c r="EJI27" s="28"/>
      <c r="EJJ27" s="28"/>
      <c r="EJK27" s="28"/>
      <c r="EJL27" s="28"/>
      <c r="EJM27" s="28"/>
      <c r="EJN27" s="28"/>
      <c r="EJO27" s="28"/>
      <c r="EJP27" s="28"/>
      <c r="EJQ27" s="28"/>
      <c r="EJR27" s="28"/>
      <c r="EJS27" s="28"/>
      <c r="EJT27" s="28"/>
      <c r="EJU27" s="28"/>
      <c r="EJV27" s="28"/>
      <c r="EJW27" s="28"/>
      <c r="EJX27" s="28"/>
      <c r="EJY27" s="28"/>
      <c r="EJZ27" s="28"/>
      <c r="EKA27" s="28"/>
      <c r="EKB27" s="28"/>
      <c r="EKC27" s="28"/>
      <c r="EKD27" s="28"/>
      <c r="EKE27" s="28"/>
      <c r="EKF27" s="28"/>
      <c r="EKG27" s="28"/>
      <c r="EKH27" s="28"/>
      <c r="EKI27" s="28"/>
      <c r="EKJ27" s="28"/>
      <c r="EKK27" s="28"/>
      <c r="EKL27" s="28"/>
      <c r="EKM27" s="28"/>
      <c r="EKN27" s="28"/>
      <c r="EKO27" s="28"/>
      <c r="EKP27" s="28"/>
      <c r="EKQ27" s="28"/>
      <c r="EKR27" s="28"/>
      <c r="EKS27" s="28"/>
      <c r="EKT27" s="28"/>
      <c r="EKU27" s="28"/>
      <c r="EKV27" s="28"/>
      <c r="EKW27" s="28"/>
      <c r="EKX27" s="28"/>
      <c r="EKY27" s="28"/>
      <c r="EKZ27" s="28"/>
      <c r="ELA27" s="28"/>
      <c r="ELB27" s="28"/>
      <c r="ELC27" s="28"/>
      <c r="ELD27" s="28"/>
      <c r="ELE27" s="28"/>
      <c r="ELF27" s="28"/>
      <c r="ELG27" s="28"/>
      <c r="ELH27" s="28"/>
      <c r="ELI27" s="28"/>
      <c r="ELJ27" s="28"/>
      <c r="ELK27" s="28"/>
      <c r="ELL27" s="28"/>
      <c r="ELM27" s="28"/>
      <c r="ELN27" s="28"/>
      <c r="ELO27" s="28"/>
      <c r="ELP27" s="28"/>
      <c r="ELQ27" s="28"/>
      <c r="ELR27" s="28"/>
      <c r="ELS27" s="28"/>
      <c r="ELT27" s="28"/>
      <c r="ELU27" s="28"/>
      <c r="ELV27" s="28"/>
      <c r="ELW27" s="28"/>
      <c r="ELX27" s="28"/>
      <c r="ELY27" s="28"/>
      <c r="ELZ27" s="28"/>
      <c r="EMA27" s="28"/>
      <c r="EMB27" s="28"/>
      <c r="EMC27" s="28"/>
      <c r="EMD27" s="28"/>
      <c r="EME27" s="28"/>
      <c r="EMF27" s="28"/>
      <c r="EMG27" s="28"/>
      <c r="EMH27" s="28"/>
      <c r="EMI27" s="28"/>
      <c r="EMJ27" s="28"/>
      <c r="EMK27" s="28"/>
      <c r="EML27" s="28"/>
      <c r="EMM27" s="28"/>
      <c r="EMN27" s="28"/>
      <c r="EMO27" s="28"/>
      <c r="EMP27" s="28"/>
      <c r="EMQ27" s="28"/>
      <c r="EMR27" s="28"/>
      <c r="EMS27" s="28"/>
      <c r="EMT27" s="28"/>
      <c r="EMU27" s="28"/>
      <c r="EMV27" s="28"/>
      <c r="EMW27" s="28"/>
      <c r="EMX27" s="28"/>
      <c r="EMY27" s="28"/>
      <c r="EMZ27" s="28"/>
      <c r="ENA27" s="28"/>
      <c r="ENB27" s="28"/>
      <c r="ENC27" s="28"/>
      <c r="END27" s="28"/>
      <c r="ENE27" s="28"/>
      <c r="ENF27" s="28"/>
      <c r="ENG27" s="28"/>
      <c r="ENH27" s="28"/>
      <c r="ENI27" s="28"/>
      <c r="ENJ27" s="28"/>
      <c r="ENK27" s="28"/>
      <c r="ENL27" s="28"/>
      <c r="ENM27" s="28"/>
      <c r="ENN27" s="28"/>
      <c r="ENO27" s="28"/>
      <c r="ENP27" s="28"/>
      <c r="ENQ27" s="28"/>
      <c r="ENR27" s="28"/>
      <c r="ENS27" s="28"/>
      <c r="ENT27" s="28"/>
      <c r="ENU27" s="28"/>
      <c r="ENV27" s="28"/>
      <c r="ENW27" s="28"/>
      <c r="ENX27" s="28"/>
      <c r="ENY27" s="28"/>
      <c r="ENZ27" s="28"/>
      <c r="EOA27" s="28"/>
      <c r="EOB27" s="28"/>
      <c r="EOC27" s="28"/>
      <c r="EOD27" s="28"/>
      <c r="EOE27" s="28"/>
      <c r="EOF27" s="28"/>
      <c r="EOG27" s="28"/>
      <c r="EOH27" s="28"/>
      <c r="EOI27" s="28"/>
      <c r="EOJ27" s="28"/>
      <c r="EOK27" s="28"/>
      <c r="EOL27" s="28"/>
      <c r="EOM27" s="28"/>
      <c r="EON27" s="28"/>
      <c r="EOO27" s="28"/>
      <c r="EOP27" s="28"/>
      <c r="EOQ27" s="28"/>
      <c r="EOR27" s="28"/>
      <c r="EOS27" s="28"/>
      <c r="EOT27" s="28"/>
      <c r="EOU27" s="28"/>
      <c r="EOV27" s="28"/>
      <c r="EOW27" s="28"/>
      <c r="EOX27" s="28"/>
      <c r="EOY27" s="28"/>
      <c r="EOZ27" s="28"/>
      <c r="EPA27" s="28"/>
      <c r="EPB27" s="28"/>
      <c r="EPC27" s="28"/>
      <c r="EPD27" s="28"/>
      <c r="EPE27" s="28"/>
      <c r="EPF27" s="28"/>
      <c r="EPG27" s="28"/>
      <c r="EPH27" s="28"/>
      <c r="EPI27" s="28"/>
      <c r="EPJ27" s="28"/>
      <c r="EPK27" s="28"/>
      <c r="EPL27" s="28"/>
      <c r="EPM27" s="28"/>
      <c r="EPN27" s="28"/>
      <c r="EPO27" s="28"/>
      <c r="EPP27" s="28"/>
      <c r="EPQ27" s="28"/>
      <c r="EPR27" s="28"/>
      <c r="EPS27" s="28"/>
      <c r="EPT27" s="28"/>
      <c r="EPU27" s="28"/>
      <c r="EPV27" s="28"/>
      <c r="EPW27" s="28"/>
      <c r="EPX27" s="28"/>
      <c r="EPY27" s="28"/>
      <c r="EPZ27" s="28"/>
      <c r="EQA27" s="28"/>
      <c r="EQB27" s="28"/>
      <c r="EQC27" s="28"/>
      <c r="EQD27" s="28"/>
      <c r="EQE27" s="28"/>
      <c r="EQF27" s="28"/>
      <c r="EQG27" s="28"/>
      <c r="EQH27" s="28"/>
      <c r="EQI27" s="28"/>
      <c r="EQJ27" s="28"/>
      <c r="EQK27" s="28"/>
      <c r="EQL27" s="28"/>
      <c r="EQM27" s="28"/>
      <c r="EQN27" s="28"/>
      <c r="EQO27" s="28"/>
      <c r="EQP27" s="28"/>
      <c r="EQQ27" s="28"/>
      <c r="EQR27" s="28"/>
      <c r="EQS27" s="28"/>
      <c r="EQT27" s="28"/>
      <c r="EQU27" s="28"/>
      <c r="EQV27" s="28"/>
      <c r="EQW27" s="28"/>
      <c r="EQX27" s="28"/>
      <c r="EQY27" s="28"/>
      <c r="EQZ27" s="28"/>
      <c r="ERA27" s="28"/>
      <c r="ERB27" s="28"/>
      <c r="ERC27" s="28"/>
      <c r="ERD27" s="28"/>
      <c r="ERE27" s="28"/>
      <c r="ERF27" s="28"/>
      <c r="ERG27" s="28"/>
      <c r="ERH27" s="28"/>
      <c r="ERI27" s="28"/>
      <c r="ERJ27" s="28"/>
      <c r="ERK27" s="28"/>
      <c r="ERL27" s="28"/>
      <c r="ERM27" s="28"/>
      <c r="ERN27" s="28"/>
      <c r="ERO27" s="28"/>
      <c r="ERP27" s="28"/>
      <c r="ERQ27" s="28"/>
      <c r="ERR27" s="28"/>
      <c r="ERS27" s="28"/>
      <c r="ERT27" s="28"/>
      <c r="ERU27" s="28"/>
      <c r="ERV27" s="28"/>
      <c r="ERW27" s="28"/>
      <c r="ERX27" s="28"/>
      <c r="ERY27" s="28"/>
      <c r="ERZ27" s="28"/>
      <c r="ESA27" s="28"/>
      <c r="ESB27" s="28"/>
      <c r="ESC27" s="28"/>
      <c r="ESD27" s="28"/>
      <c r="ESE27" s="28"/>
      <c r="ESF27" s="28"/>
      <c r="ESG27" s="28"/>
      <c r="ESH27" s="28"/>
      <c r="ESI27" s="28"/>
      <c r="ESJ27" s="28"/>
      <c r="ESK27" s="28"/>
      <c r="ESL27" s="28"/>
      <c r="ESM27" s="28"/>
      <c r="ESN27" s="28"/>
      <c r="ESO27" s="28"/>
      <c r="ESP27" s="28"/>
      <c r="ESQ27" s="28"/>
      <c r="ESR27" s="28"/>
      <c r="ESS27" s="28"/>
      <c r="EST27" s="28"/>
      <c r="ESU27" s="28"/>
      <c r="ESV27" s="28"/>
      <c r="ESW27" s="28"/>
      <c r="ESX27" s="28"/>
      <c r="ESY27" s="28"/>
      <c r="ESZ27" s="28"/>
      <c r="ETA27" s="28"/>
      <c r="ETB27" s="28"/>
      <c r="ETC27" s="28"/>
      <c r="ETD27" s="28"/>
      <c r="ETE27" s="28"/>
      <c r="ETF27" s="28"/>
      <c r="ETG27" s="28"/>
      <c r="ETH27" s="28"/>
      <c r="ETI27" s="28"/>
      <c r="ETJ27" s="28"/>
      <c r="ETK27" s="28"/>
      <c r="ETL27" s="28"/>
      <c r="ETM27" s="28"/>
      <c r="ETN27" s="28"/>
      <c r="ETO27" s="28"/>
      <c r="ETP27" s="28"/>
      <c r="ETQ27" s="28"/>
      <c r="ETR27" s="28"/>
      <c r="ETS27" s="28"/>
      <c r="ETT27" s="28"/>
      <c r="ETU27" s="28"/>
      <c r="ETV27" s="28"/>
      <c r="ETW27" s="28"/>
      <c r="ETX27" s="28"/>
      <c r="ETY27" s="28"/>
      <c r="ETZ27" s="28"/>
      <c r="EUA27" s="28"/>
      <c r="EUB27" s="28"/>
      <c r="EUC27" s="28"/>
      <c r="EUD27" s="28"/>
      <c r="EUE27" s="28"/>
      <c r="EUF27" s="28"/>
      <c r="EUG27" s="28"/>
      <c r="EUH27" s="28"/>
      <c r="EUI27" s="28"/>
      <c r="EUJ27" s="28"/>
      <c r="EUK27" s="28"/>
      <c r="EUL27" s="28"/>
      <c r="EUM27" s="28"/>
      <c r="EUN27" s="28"/>
      <c r="EUO27" s="28"/>
      <c r="EUP27" s="28"/>
      <c r="EUQ27" s="28"/>
      <c r="EUR27" s="28"/>
      <c r="EUS27" s="28"/>
      <c r="EUT27" s="28"/>
      <c r="EUU27" s="28"/>
      <c r="EUV27" s="28"/>
      <c r="EUW27" s="28"/>
      <c r="EUX27" s="28"/>
      <c r="EUY27" s="28"/>
      <c r="EUZ27" s="28"/>
      <c r="EVA27" s="28"/>
      <c r="EVB27" s="28"/>
      <c r="EVC27" s="28"/>
      <c r="EVD27" s="28"/>
      <c r="EVE27" s="28"/>
      <c r="EVF27" s="28"/>
      <c r="EVG27" s="28"/>
      <c r="EVH27" s="28"/>
      <c r="EVI27" s="28"/>
      <c r="EVJ27" s="28"/>
      <c r="EVK27" s="28"/>
      <c r="EVL27" s="28"/>
      <c r="EVM27" s="28"/>
      <c r="EVN27" s="28"/>
      <c r="EVO27" s="28"/>
      <c r="EVP27" s="28"/>
      <c r="EVQ27" s="28"/>
      <c r="EVR27" s="28"/>
      <c r="EVS27" s="28"/>
      <c r="EVT27" s="28"/>
      <c r="EVU27" s="28"/>
      <c r="EVV27" s="28"/>
      <c r="EVW27" s="28"/>
      <c r="EVX27" s="28"/>
      <c r="EVY27" s="28"/>
      <c r="EVZ27" s="28"/>
      <c r="EWA27" s="28"/>
      <c r="EWB27" s="28"/>
      <c r="EWC27" s="28"/>
      <c r="EWD27" s="28"/>
      <c r="EWE27" s="28"/>
      <c r="EWF27" s="28"/>
      <c r="EWG27" s="28"/>
      <c r="EWH27" s="28"/>
      <c r="EWI27" s="28"/>
      <c r="EWJ27" s="28"/>
      <c r="EWK27" s="28"/>
      <c r="EWL27" s="28"/>
      <c r="EWM27" s="28"/>
      <c r="EWN27" s="28"/>
      <c r="EWO27" s="28"/>
      <c r="EWP27" s="28"/>
      <c r="EWQ27" s="28"/>
      <c r="EWR27" s="28"/>
      <c r="EWS27" s="28"/>
      <c r="EWT27" s="28"/>
      <c r="EWU27" s="28"/>
      <c r="EWV27" s="28"/>
      <c r="EWW27" s="28"/>
      <c r="EWX27" s="28"/>
      <c r="EWY27" s="28"/>
      <c r="EWZ27" s="28"/>
      <c r="EXA27" s="28"/>
      <c r="EXB27" s="28"/>
      <c r="EXC27" s="28"/>
      <c r="EXD27" s="28"/>
      <c r="EXE27" s="28"/>
      <c r="EXF27" s="28"/>
      <c r="EXG27" s="28"/>
      <c r="EXH27" s="28"/>
      <c r="EXI27" s="28"/>
      <c r="EXJ27" s="28"/>
      <c r="EXK27" s="28"/>
      <c r="EXL27" s="28"/>
      <c r="EXM27" s="28"/>
      <c r="EXN27" s="28"/>
      <c r="EXO27" s="28"/>
      <c r="EXP27" s="28"/>
      <c r="EXQ27" s="28"/>
      <c r="EXR27" s="28"/>
      <c r="EXS27" s="28"/>
      <c r="EXT27" s="28"/>
      <c r="EXU27" s="28"/>
      <c r="EXV27" s="28"/>
      <c r="EXW27" s="28"/>
      <c r="EXX27" s="28"/>
      <c r="EXY27" s="28"/>
      <c r="EXZ27" s="28"/>
      <c r="EYA27" s="28"/>
      <c r="EYB27" s="28"/>
      <c r="EYC27" s="28"/>
      <c r="EYD27" s="28"/>
      <c r="EYE27" s="28"/>
      <c r="EYF27" s="28"/>
      <c r="EYG27" s="28"/>
      <c r="EYH27" s="28"/>
      <c r="EYI27" s="28"/>
      <c r="EYJ27" s="28"/>
      <c r="EYK27" s="28"/>
      <c r="EYL27" s="28"/>
      <c r="EYM27" s="28"/>
      <c r="EYN27" s="28"/>
      <c r="EYO27" s="28"/>
      <c r="EYP27" s="28"/>
      <c r="EYQ27" s="28"/>
      <c r="EYR27" s="28"/>
      <c r="EYS27" s="28"/>
      <c r="EYT27" s="28"/>
      <c r="EYU27" s="28"/>
      <c r="EYV27" s="28"/>
      <c r="EYW27" s="28"/>
      <c r="EYX27" s="28"/>
      <c r="EYY27" s="28"/>
      <c r="EYZ27" s="28"/>
      <c r="EZA27" s="28"/>
      <c r="EZB27" s="28"/>
      <c r="EZC27" s="28"/>
      <c r="EZD27" s="28"/>
      <c r="EZE27" s="28"/>
      <c r="EZF27" s="28"/>
      <c r="EZG27" s="28"/>
      <c r="EZH27" s="28"/>
      <c r="EZI27" s="28"/>
      <c r="EZJ27" s="28"/>
      <c r="EZK27" s="28"/>
      <c r="EZL27" s="28"/>
      <c r="EZM27" s="28"/>
      <c r="EZN27" s="28"/>
      <c r="EZO27" s="28"/>
      <c r="EZP27" s="28"/>
      <c r="EZQ27" s="28"/>
      <c r="EZR27" s="28"/>
      <c r="EZS27" s="28"/>
      <c r="EZT27" s="28"/>
      <c r="EZU27" s="28"/>
      <c r="EZV27" s="28"/>
      <c r="EZW27" s="28"/>
      <c r="EZX27" s="28"/>
      <c r="EZY27" s="28"/>
      <c r="EZZ27" s="28"/>
      <c r="FAA27" s="28"/>
      <c r="FAB27" s="28"/>
      <c r="FAC27" s="28"/>
      <c r="FAD27" s="28"/>
      <c r="FAE27" s="28"/>
      <c r="FAF27" s="28"/>
      <c r="FAG27" s="28"/>
      <c r="FAH27" s="28"/>
      <c r="FAI27" s="28"/>
      <c r="FAJ27" s="28"/>
      <c r="FAK27" s="28"/>
      <c r="FAL27" s="28"/>
      <c r="FAM27" s="28"/>
      <c r="FAN27" s="28"/>
      <c r="FAO27" s="28"/>
      <c r="FAP27" s="28"/>
      <c r="FAQ27" s="28"/>
      <c r="FAR27" s="28"/>
      <c r="FAS27" s="28"/>
      <c r="FAT27" s="28"/>
      <c r="FAU27" s="28"/>
      <c r="FAV27" s="28"/>
      <c r="FAW27" s="28"/>
      <c r="FAX27" s="28"/>
      <c r="FAY27" s="28"/>
      <c r="FAZ27" s="28"/>
      <c r="FBA27" s="28"/>
      <c r="FBB27" s="28"/>
      <c r="FBC27" s="28"/>
      <c r="FBD27" s="28"/>
      <c r="FBE27" s="28"/>
      <c r="FBF27" s="28"/>
      <c r="FBG27" s="28"/>
      <c r="FBH27" s="28"/>
      <c r="FBI27" s="28"/>
      <c r="FBJ27" s="28"/>
      <c r="FBK27" s="28"/>
      <c r="FBL27" s="28"/>
      <c r="FBM27" s="28"/>
      <c r="FBN27" s="28"/>
      <c r="FBO27" s="28"/>
      <c r="FBP27" s="28"/>
      <c r="FBQ27" s="28"/>
      <c r="FBR27" s="28"/>
      <c r="FBS27" s="28"/>
      <c r="FBT27" s="28"/>
      <c r="FBU27" s="28"/>
      <c r="FBV27" s="28"/>
      <c r="FBW27" s="28"/>
      <c r="FBX27" s="28"/>
      <c r="FBY27" s="28"/>
      <c r="FBZ27" s="28"/>
      <c r="FCA27" s="28"/>
      <c r="FCB27" s="28"/>
      <c r="FCC27" s="28"/>
      <c r="FCD27" s="28"/>
      <c r="FCE27" s="28"/>
      <c r="FCF27" s="28"/>
      <c r="FCG27" s="28"/>
      <c r="FCH27" s="28"/>
      <c r="FCI27" s="28"/>
      <c r="FCJ27" s="28"/>
      <c r="FCK27" s="28"/>
      <c r="FCL27" s="28"/>
      <c r="FCM27" s="28"/>
      <c r="FCN27" s="28"/>
      <c r="FCO27" s="28"/>
      <c r="FCP27" s="28"/>
      <c r="FCQ27" s="28"/>
      <c r="FCR27" s="28"/>
      <c r="FCS27" s="28"/>
      <c r="FCT27" s="28"/>
      <c r="FCU27" s="28"/>
      <c r="FCV27" s="28"/>
      <c r="FCW27" s="28"/>
      <c r="FCX27" s="28"/>
      <c r="FCY27" s="28"/>
      <c r="FCZ27" s="28"/>
      <c r="FDA27" s="28"/>
      <c r="FDB27" s="28"/>
      <c r="FDC27" s="28"/>
      <c r="FDD27" s="28"/>
      <c r="FDE27" s="28"/>
      <c r="FDF27" s="28"/>
      <c r="FDG27" s="28"/>
      <c r="FDH27" s="28"/>
      <c r="FDI27" s="28"/>
      <c r="FDJ27" s="28"/>
      <c r="FDK27" s="28"/>
      <c r="FDL27" s="28"/>
      <c r="FDM27" s="28"/>
      <c r="FDN27" s="28"/>
      <c r="FDO27" s="28"/>
      <c r="FDP27" s="28"/>
      <c r="FDQ27" s="28"/>
      <c r="FDR27" s="28"/>
      <c r="FDS27" s="28"/>
      <c r="FDT27" s="28"/>
      <c r="FDU27" s="28"/>
      <c r="FDV27" s="28"/>
      <c r="FDW27" s="28"/>
      <c r="FDX27" s="28"/>
      <c r="FDY27" s="28"/>
      <c r="FDZ27" s="28"/>
      <c r="FEA27" s="28"/>
      <c r="FEB27" s="28"/>
      <c r="FEC27" s="28"/>
      <c r="FED27" s="28"/>
      <c r="FEE27" s="28"/>
      <c r="FEF27" s="28"/>
      <c r="FEG27" s="28"/>
      <c r="FEH27" s="28"/>
      <c r="FEI27" s="28"/>
      <c r="FEJ27" s="28"/>
      <c r="FEK27" s="28"/>
      <c r="FEL27" s="28"/>
      <c r="FEM27" s="28"/>
      <c r="FEN27" s="28"/>
      <c r="FEO27" s="28"/>
      <c r="FEP27" s="28"/>
      <c r="FEQ27" s="28"/>
      <c r="FER27" s="28"/>
      <c r="FES27" s="28"/>
      <c r="FET27" s="28"/>
      <c r="FEU27" s="28"/>
      <c r="FEV27" s="28"/>
      <c r="FEW27" s="28"/>
      <c r="FEX27" s="28"/>
      <c r="FEY27" s="28"/>
      <c r="FEZ27" s="28"/>
      <c r="FFA27" s="28"/>
      <c r="FFB27" s="28"/>
      <c r="FFC27" s="28"/>
      <c r="FFD27" s="28"/>
      <c r="FFE27" s="28"/>
      <c r="FFF27" s="28"/>
      <c r="FFG27" s="28"/>
      <c r="FFH27" s="28"/>
      <c r="FFI27" s="28"/>
      <c r="FFJ27" s="28"/>
      <c r="FFK27" s="28"/>
      <c r="FFL27" s="28"/>
      <c r="FFM27" s="28"/>
      <c r="FFN27" s="28"/>
      <c r="FFO27" s="28"/>
      <c r="FFP27" s="28"/>
      <c r="FFQ27" s="28"/>
      <c r="FFR27" s="28"/>
      <c r="FFS27" s="28"/>
      <c r="FFT27" s="28"/>
      <c r="FFU27" s="28"/>
      <c r="FFV27" s="28"/>
      <c r="FFW27" s="28"/>
      <c r="FFX27" s="28"/>
      <c r="FFY27" s="28"/>
      <c r="FFZ27" s="28"/>
      <c r="FGA27" s="28"/>
      <c r="FGB27" s="28"/>
      <c r="FGC27" s="28"/>
      <c r="FGD27" s="28"/>
      <c r="FGE27" s="28"/>
      <c r="FGF27" s="28"/>
      <c r="FGG27" s="28"/>
      <c r="FGH27" s="28"/>
      <c r="FGI27" s="28"/>
      <c r="FGJ27" s="28"/>
      <c r="FGK27" s="28"/>
      <c r="FGL27" s="28"/>
      <c r="FGM27" s="28"/>
      <c r="FGN27" s="28"/>
      <c r="FGO27" s="28"/>
      <c r="FGP27" s="28"/>
      <c r="FGQ27" s="28"/>
      <c r="FGR27" s="28"/>
      <c r="FGS27" s="28"/>
      <c r="FGT27" s="28"/>
      <c r="FGU27" s="28"/>
      <c r="FGV27" s="28"/>
      <c r="FGW27" s="28"/>
      <c r="FGX27" s="28"/>
      <c r="FGY27" s="28"/>
      <c r="FGZ27" s="28"/>
      <c r="FHA27" s="28"/>
      <c r="FHB27" s="28"/>
      <c r="FHC27" s="28"/>
      <c r="FHD27" s="28"/>
      <c r="FHE27" s="28"/>
      <c r="FHF27" s="28"/>
      <c r="FHG27" s="28"/>
      <c r="FHH27" s="28"/>
      <c r="FHI27" s="28"/>
      <c r="FHJ27" s="28"/>
      <c r="FHK27" s="28"/>
      <c r="FHL27" s="28"/>
      <c r="FHM27" s="28"/>
      <c r="FHN27" s="28"/>
      <c r="FHO27" s="28"/>
      <c r="FHP27" s="28"/>
      <c r="FHQ27" s="28"/>
      <c r="FHR27" s="28"/>
      <c r="FHS27" s="28"/>
      <c r="FHT27" s="28"/>
      <c r="FHU27" s="28"/>
      <c r="FHV27" s="28"/>
      <c r="FHW27" s="28"/>
      <c r="FHX27" s="28"/>
      <c r="FHY27" s="28"/>
      <c r="FHZ27" s="28"/>
      <c r="FIA27" s="28"/>
      <c r="FIB27" s="28"/>
      <c r="FIC27" s="28"/>
      <c r="FID27" s="28"/>
      <c r="FIE27" s="28"/>
      <c r="FIF27" s="28"/>
      <c r="FIG27" s="28"/>
      <c r="FIH27" s="28"/>
      <c r="FII27" s="28"/>
      <c r="FIJ27" s="28"/>
      <c r="FIK27" s="28"/>
      <c r="FIL27" s="28"/>
      <c r="FIM27" s="28"/>
      <c r="FIN27" s="28"/>
      <c r="FIO27" s="28"/>
      <c r="FIP27" s="28"/>
      <c r="FIQ27" s="28"/>
      <c r="FIR27" s="28"/>
      <c r="FIS27" s="28"/>
      <c r="FIT27" s="28"/>
      <c r="FIU27" s="28"/>
      <c r="FIV27" s="28"/>
      <c r="FIW27" s="28"/>
      <c r="FIX27" s="28"/>
      <c r="FIY27" s="28"/>
      <c r="FIZ27" s="28"/>
      <c r="FJA27" s="28"/>
      <c r="FJB27" s="28"/>
      <c r="FJC27" s="28"/>
      <c r="FJD27" s="28"/>
      <c r="FJE27" s="28"/>
      <c r="FJF27" s="28"/>
      <c r="FJG27" s="28"/>
      <c r="FJH27" s="28"/>
      <c r="FJI27" s="28"/>
      <c r="FJJ27" s="28"/>
      <c r="FJK27" s="28"/>
      <c r="FJL27" s="28"/>
      <c r="FJM27" s="28"/>
      <c r="FJN27" s="28"/>
      <c r="FJO27" s="28"/>
      <c r="FJP27" s="28"/>
      <c r="FJQ27" s="28"/>
      <c r="FJR27" s="28"/>
      <c r="FJS27" s="28"/>
      <c r="FJT27" s="28"/>
      <c r="FJU27" s="28"/>
      <c r="FJV27" s="28"/>
      <c r="FJW27" s="28"/>
      <c r="FJX27" s="28"/>
      <c r="FJY27" s="28"/>
      <c r="FJZ27" s="28"/>
      <c r="FKA27" s="28"/>
      <c r="FKB27" s="28"/>
      <c r="FKC27" s="28"/>
      <c r="FKD27" s="28"/>
      <c r="FKE27" s="28"/>
      <c r="FKF27" s="28"/>
      <c r="FKG27" s="28"/>
      <c r="FKH27" s="28"/>
      <c r="FKI27" s="28"/>
      <c r="FKJ27" s="28"/>
      <c r="FKK27" s="28"/>
      <c r="FKL27" s="28"/>
      <c r="FKM27" s="28"/>
      <c r="FKN27" s="28"/>
      <c r="FKO27" s="28"/>
      <c r="FKP27" s="28"/>
      <c r="FKQ27" s="28"/>
      <c r="FKR27" s="28"/>
      <c r="FKS27" s="28"/>
      <c r="FKT27" s="28"/>
      <c r="FKU27" s="28"/>
      <c r="FKV27" s="28"/>
      <c r="FKW27" s="28"/>
      <c r="FKX27" s="28"/>
      <c r="FKY27" s="28"/>
      <c r="FKZ27" s="28"/>
      <c r="FLA27" s="28"/>
      <c r="FLB27" s="28"/>
      <c r="FLC27" s="28"/>
      <c r="FLD27" s="28"/>
      <c r="FLE27" s="28"/>
      <c r="FLF27" s="28"/>
      <c r="FLG27" s="28"/>
      <c r="FLH27" s="28"/>
      <c r="FLI27" s="28"/>
      <c r="FLJ27" s="28"/>
      <c r="FLK27" s="28"/>
      <c r="FLL27" s="28"/>
      <c r="FLM27" s="28"/>
      <c r="FLN27" s="28"/>
      <c r="FLO27" s="28"/>
      <c r="FLP27" s="28"/>
      <c r="FLQ27" s="28"/>
      <c r="FLR27" s="28"/>
      <c r="FLS27" s="28"/>
      <c r="FLT27" s="28"/>
      <c r="FLU27" s="28"/>
      <c r="FLV27" s="28"/>
      <c r="FLW27" s="28"/>
      <c r="FLX27" s="28"/>
      <c r="FLY27" s="28"/>
      <c r="FLZ27" s="28"/>
      <c r="FMA27" s="28"/>
      <c r="FMB27" s="28"/>
      <c r="FMC27" s="28"/>
      <c r="FMD27" s="28"/>
      <c r="FME27" s="28"/>
      <c r="FMF27" s="28"/>
      <c r="FMG27" s="28"/>
      <c r="FMH27" s="28"/>
      <c r="FMI27" s="28"/>
      <c r="FMJ27" s="28"/>
      <c r="FMK27" s="28"/>
      <c r="FML27" s="28"/>
      <c r="FMM27" s="28"/>
      <c r="FMN27" s="28"/>
      <c r="FMO27" s="28"/>
      <c r="FMP27" s="28"/>
      <c r="FMQ27" s="28"/>
      <c r="FMR27" s="28"/>
      <c r="FMS27" s="28"/>
      <c r="FMT27" s="28"/>
      <c r="FMU27" s="28"/>
      <c r="FMV27" s="28"/>
      <c r="FMW27" s="28"/>
      <c r="FMX27" s="28"/>
      <c r="FMY27" s="28"/>
      <c r="FMZ27" s="28"/>
      <c r="FNA27" s="28"/>
      <c r="FNB27" s="28"/>
      <c r="FNC27" s="28"/>
      <c r="FND27" s="28"/>
      <c r="FNE27" s="28"/>
      <c r="FNF27" s="28"/>
      <c r="FNG27" s="28"/>
      <c r="FNH27" s="28"/>
      <c r="FNI27" s="28"/>
      <c r="FNJ27" s="28"/>
      <c r="FNK27" s="28"/>
      <c r="FNL27" s="28"/>
      <c r="FNM27" s="28"/>
      <c r="FNN27" s="28"/>
      <c r="FNO27" s="28"/>
      <c r="FNP27" s="28"/>
      <c r="FNQ27" s="28"/>
      <c r="FNR27" s="28"/>
      <c r="FNS27" s="28"/>
      <c r="FNT27" s="28"/>
      <c r="FNU27" s="28"/>
      <c r="FNV27" s="28"/>
      <c r="FNW27" s="28"/>
      <c r="FNX27" s="28"/>
      <c r="FNY27" s="28"/>
      <c r="FNZ27" s="28"/>
      <c r="FOA27" s="28"/>
      <c r="FOB27" s="28"/>
      <c r="FOC27" s="28"/>
      <c r="FOD27" s="28"/>
      <c r="FOE27" s="28"/>
      <c r="FOF27" s="28"/>
      <c r="FOG27" s="28"/>
      <c r="FOH27" s="28"/>
      <c r="FOI27" s="28"/>
      <c r="FOJ27" s="28"/>
      <c r="FOK27" s="28"/>
      <c r="FOL27" s="28"/>
      <c r="FOM27" s="28"/>
      <c r="FON27" s="28"/>
      <c r="FOO27" s="28"/>
      <c r="FOP27" s="28"/>
      <c r="FOQ27" s="28"/>
      <c r="FOR27" s="28"/>
      <c r="FOS27" s="28"/>
      <c r="FOT27" s="28"/>
      <c r="FOU27" s="28"/>
      <c r="FOV27" s="28"/>
      <c r="FOW27" s="28"/>
      <c r="FOX27" s="28"/>
      <c r="FOY27" s="28"/>
      <c r="FOZ27" s="28"/>
      <c r="FPA27" s="28"/>
      <c r="FPB27" s="28"/>
      <c r="FPC27" s="28"/>
      <c r="FPD27" s="28"/>
      <c r="FPE27" s="28"/>
      <c r="FPF27" s="28"/>
      <c r="FPG27" s="28"/>
      <c r="FPH27" s="28"/>
      <c r="FPI27" s="28"/>
      <c r="FPJ27" s="28"/>
      <c r="FPK27" s="28"/>
      <c r="FPL27" s="28"/>
      <c r="FPM27" s="28"/>
      <c r="FPN27" s="28"/>
      <c r="FPO27" s="28"/>
      <c r="FPP27" s="28"/>
      <c r="FPQ27" s="28"/>
      <c r="FPR27" s="28"/>
      <c r="FPS27" s="28"/>
      <c r="FPT27" s="28"/>
      <c r="FPU27" s="28"/>
      <c r="FPV27" s="28"/>
      <c r="FPW27" s="28"/>
      <c r="FPX27" s="28"/>
      <c r="FPY27" s="28"/>
      <c r="FPZ27" s="28"/>
      <c r="FQA27" s="28"/>
      <c r="FQB27" s="28"/>
      <c r="FQC27" s="28"/>
      <c r="FQD27" s="28"/>
      <c r="FQE27" s="28"/>
      <c r="FQF27" s="28"/>
      <c r="FQG27" s="28"/>
      <c r="FQH27" s="28"/>
      <c r="FQI27" s="28"/>
      <c r="FQJ27" s="28"/>
      <c r="FQK27" s="28"/>
      <c r="FQL27" s="28"/>
      <c r="FQM27" s="28"/>
      <c r="FQN27" s="28"/>
      <c r="FQO27" s="28"/>
      <c r="FQP27" s="28"/>
      <c r="FQQ27" s="28"/>
      <c r="FQR27" s="28"/>
      <c r="FQS27" s="28"/>
      <c r="FQT27" s="28"/>
      <c r="FQU27" s="28"/>
      <c r="FQV27" s="28"/>
      <c r="FQW27" s="28"/>
      <c r="FQX27" s="28"/>
      <c r="FQY27" s="28"/>
      <c r="FQZ27" s="28"/>
      <c r="FRA27" s="28"/>
      <c r="FRB27" s="28"/>
      <c r="FRC27" s="28"/>
      <c r="FRD27" s="28"/>
      <c r="FRE27" s="28"/>
      <c r="FRF27" s="28"/>
      <c r="FRG27" s="28"/>
      <c r="FRH27" s="28"/>
      <c r="FRI27" s="28"/>
      <c r="FRJ27" s="28"/>
      <c r="FRK27" s="28"/>
      <c r="FRL27" s="28"/>
      <c r="FRM27" s="28"/>
      <c r="FRN27" s="28"/>
      <c r="FRO27" s="28"/>
      <c r="FRP27" s="28"/>
      <c r="FRQ27" s="28"/>
      <c r="FRR27" s="28"/>
      <c r="FRS27" s="28"/>
      <c r="FRT27" s="28"/>
      <c r="FRU27" s="28"/>
      <c r="FRV27" s="28"/>
      <c r="FRW27" s="28"/>
      <c r="FRX27" s="28"/>
      <c r="FRY27" s="28"/>
      <c r="FRZ27" s="28"/>
      <c r="FSA27" s="28"/>
      <c r="FSB27" s="28"/>
      <c r="FSC27" s="28"/>
      <c r="FSD27" s="28"/>
      <c r="FSE27" s="28"/>
      <c r="FSF27" s="28"/>
      <c r="FSG27" s="28"/>
      <c r="FSH27" s="28"/>
      <c r="FSI27" s="28"/>
      <c r="FSJ27" s="28"/>
      <c r="FSK27" s="28"/>
      <c r="FSL27" s="28"/>
      <c r="FSM27" s="28"/>
      <c r="FSN27" s="28"/>
      <c r="FSO27" s="28"/>
      <c r="FSP27" s="28"/>
      <c r="FSQ27" s="28"/>
      <c r="FSR27" s="28"/>
      <c r="FSS27" s="28"/>
      <c r="FST27" s="28"/>
      <c r="FSU27" s="28"/>
      <c r="FSV27" s="28"/>
      <c r="FSW27" s="28"/>
      <c r="FSX27" s="28"/>
      <c r="FSY27" s="28"/>
      <c r="FSZ27" s="28"/>
      <c r="FTA27" s="28"/>
      <c r="FTB27" s="28"/>
      <c r="FTC27" s="28"/>
      <c r="FTD27" s="28"/>
      <c r="FTE27" s="28"/>
      <c r="FTF27" s="28"/>
      <c r="FTG27" s="28"/>
      <c r="FTH27" s="28"/>
      <c r="FTI27" s="28"/>
      <c r="FTJ27" s="28"/>
      <c r="FTK27" s="28"/>
      <c r="FTL27" s="28"/>
      <c r="FTM27" s="28"/>
      <c r="FTN27" s="28"/>
      <c r="FTO27" s="28"/>
      <c r="FTP27" s="28"/>
      <c r="FTQ27" s="28"/>
      <c r="FTR27" s="28"/>
      <c r="FTS27" s="28"/>
      <c r="FTT27" s="28"/>
      <c r="FTU27" s="28"/>
      <c r="FTV27" s="28"/>
      <c r="FTW27" s="28"/>
      <c r="FTX27" s="28"/>
      <c r="FTY27" s="28"/>
      <c r="FTZ27" s="28"/>
      <c r="FUA27" s="28"/>
      <c r="FUB27" s="28"/>
      <c r="FUC27" s="28"/>
      <c r="FUD27" s="28"/>
      <c r="FUE27" s="28"/>
      <c r="FUF27" s="28"/>
      <c r="FUG27" s="28"/>
      <c r="FUH27" s="28"/>
      <c r="FUI27" s="28"/>
      <c r="FUJ27" s="28"/>
      <c r="FUK27" s="28"/>
      <c r="FUL27" s="28"/>
      <c r="FUM27" s="28"/>
      <c r="FUN27" s="28"/>
      <c r="FUO27" s="28"/>
      <c r="FUP27" s="28"/>
      <c r="FUQ27" s="28"/>
      <c r="FUR27" s="28"/>
      <c r="FUS27" s="28"/>
      <c r="FUT27" s="28"/>
      <c r="FUU27" s="28"/>
      <c r="FUV27" s="28"/>
      <c r="FUW27" s="28"/>
      <c r="FUX27" s="28"/>
      <c r="FUY27" s="28"/>
      <c r="FUZ27" s="28"/>
      <c r="FVA27" s="28"/>
      <c r="FVB27" s="28"/>
      <c r="FVC27" s="28"/>
      <c r="FVD27" s="28"/>
      <c r="FVE27" s="28"/>
      <c r="FVF27" s="28"/>
      <c r="FVG27" s="28"/>
      <c r="FVH27" s="28"/>
      <c r="FVI27" s="28"/>
      <c r="FVJ27" s="28"/>
      <c r="FVK27" s="28"/>
      <c r="FVL27" s="28"/>
      <c r="FVM27" s="28"/>
      <c r="FVN27" s="28"/>
      <c r="FVO27" s="28"/>
      <c r="FVP27" s="28"/>
      <c r="FVQ27" s="28"/>
      <c r="FVR27" s="28"/>
      <c r="FVS27" s="28"/>
      <c r="FVT27" s="28"/>
      <c r="FVU27" s="28"/>
      <c r="FVV27" s="28"/>
      <c r="FVW27" s="28"/>
      <c r="FVX27" s="28"/>
      <c r="FVY27" s="28"/>
      <c r="FVZ27" s="28"/>
      <c r="FWA27" s="28"/>
      <c r="FWB27" s="28"/>
      <c r="FWC27" s="28"/>
      <c r="FWD27" s="28"/>
      <c r="FWE27" s="28"/>
      <c r="FWF27" s="28"/>
      <c r="FWG27" s="28"/>
      <c r="FWH27" s="28"/>
      <c r="FWI27" s="28"/>
      <c r="FWJ27" s="28"/>
      <c r="FWK27" s="28"/>
      <c r="FWL27" s="28"/>
      <c r="FWM27" s="28"/>
      <c r="FWN27" s="28"/>
      <c r="FWO27" s="28"/>
      <c r="FWP27" s="28"/>
      <c r="FWQ27" s="28"/>
      <c r="FWR27" s="28"/>
      <c r="FWS27" s="28"/>
      <c r="FWT27" s="28"/>
      <c r="FWU27" s="28"/>
      <c r="FWV27" s="28"/>
      <c r="FWW27" s="28"/>
      <c r="FWX27" s="28"/>
      <c r="FWY27" s="28"/>
      <c r="FWZ27" s="28"/>
      <c r="FXA27" s="28"/>
      <c r="FXB27" s="28"/>
      <c r="FXC27" s="28"/>
      <c r="FXD27" s="28"/>
      <c r="FXE27" s="28"/>
      <c r="FXF27" s="28"/>
      <c r="FXG27" s="28"/>
      <c r="FXH27" s="28"/>
      <c r="FXI27" s="28"/>
      <c r="FXJ27" s="28"/>
      <c r="FXK27" s="28"/>
      <c r="FXL27" s="28"/>
      <c r="FXM27" s="28"/>
      <c r="FXN27" s="28"/>
      <c r="FXO27" s="28"/>
      <c r="FXP27" s="28"/>
      <c r="FXQ27" s="28"/>
      <c r="FXR27" s="28"/>
      <c r="FXS27" s="28"/>
      <c r="FXT27" s="28"/>
      <c r="FXU27" s="28"/>
      <c r="FXV27" s="28"/>
      <c r="FXW27" s="28"/>
      <c r="FXX27" s="28"/>
      <c r="FXY27" s="28"/>
      <c r="FXZ27" s="28"/>
      <c r="FYA27" s="28"/>
      <c r="FYB27" s="28"/>
      <c r="FYC27" s="28"/>
      <c r="FYD27" s="28"/>
      <c r="FYE27" s="28"/>
      <c r="FYF27" s="28"/>
      <c r="FYG27" s="28"/>
      <c r="FYH27" s="28"/>
      <c r="FYI27" s="28"/>
      <c r="FYJ27" s="28"/>
      <c r="FYK27" s="28"/>
      <c r="FYL27" s="28"/>
      <c r="FYM27" s="28"/>
      <c r="FYN27" s="28"/>
      <c r="FYO27" s="28"/>
      <c r="FYP27" s="28"/>
      <c r="FYQ27" s="28"/>
      <c r="FYR27" s="28"/>
      <c r="FYS27" s="28"/>
      <c r="FYT27" s="28"/>
      <c r="FYU27" s="28"/>
      <c r="FYV27" s="28"/>
      <c r="FYW27" s="28"/>
      <c r="FYX27" s="28"/>
      <c r="FYY27" s="28"/>
      <c r="FYZ27" s="28"/>
      <c r="FZA27" s="28"/>
      <c r="FZB27" s="28"/>
      <c r="FZC27" s="28"/>
      <c r="FZD27" s="28"/>
      <c r="FZE27" s="28"/>
      <c r="FZF27" s="28"/>
      <c r="FZG27" s="28"/>
      <c r="FZH27" s="28"/>
      <c r="FZI27" s="28"/>
      <c r="FZJ27" s="28"/>
      <c r="FZK27" s="28"/>
      <c r="FZL27" s="28"/>
      <c r="FZM27" s="28"/>
      <c r="FZN27" s="28"/>
      <c r="FZO27" s="28"/>
      <c r="FZP27" s="28"/>
      <c r="FZQ27" s="28"/>
      <c r="FZR27" s="28"/>
      <c r="FZS27" s="28"/>
      <c r="FZT27" s="28"/>
      <c r="FZU27" s="28"/>
      <c r="FZV27" s="28"/>
      <c r="FZW27" s="28"/>
      <c r="FZX27" s="28"/>
      <c r="FZY27" s="28"/>
      <c r="FZZ27" s="28"/>
      <c r="GAA27" s="28"/>
      <c r="GAB27" s="28"/>
      <c r="GAC27" s="28"/>
      <c r="GAD27" s="28"/>
      <c r="GAE27" s="28"/>
      <c r="GAF27" s="28"/>
      <c r="GAG27" s="28"/>
      <c r="GAH27" s="28"/>
      <c r="GAI27" s="28"/>
      <c r="GAJ27" s="28"/>
      <c r="GAK27" s="28"/>
      <c r="GAL27" s="28"/>
      <c r="GAM27" s="28"/>
      <c r="GAN27" s="28"/>
      <c r="GAO27" s="28"/>
      <c r="GAP27" s="28"/>
      <c r="GAQ27" s="28"/>
      <c r="GAR27" s="28"/>
      <c r="GAS27" s="28"/>
      <c r="GAT27" s="28"/>
      <c r="GAU27" s="28"/>
      <c r="GAV27" s="28"/>
      <c r="GAW27" s="28"/>
      <c r="GAX27" s="28"/>
      <c r="GAY27" s="28"/>
      <c r="GAZ27" s="28"/>
      <c r="GBA27" s="28"/>
      <c r="GBB27" s="28"/>
      <c r="GBC27" s="28"/>
      <c r="GBD27" s="28"/>
      <c r="GBE27" s="28"/>
      <c r="GBF27" s="28"/>
      <c r="GBG27" s="28"/>
      <c r="GBH27" s="28"/>
      <c r="GBI27" s="28"/>
      <c r="GBJ27" s="28"/>
      <c r="GBK27" s="28"/>
      <c r="GBL27" s="28"/>
      <c r="GBM27" s="28"/>
      <c r="GBN27" s="28"/>
      <c r="GBO27" s="28"/>
      <c r="GBP27" s="28"/>
      <c r="GBQ27" s="28"/>
      <c r="GBR27" s="28"/>
      <c r="GBS27" s="28"/>
      <c r="GBT27" s="28"/>
      <c r="GBU27" s="28"/>
      <c r="GBV27" s="28"/>
      <c r="GBW27" s="28"/>
      <c r="GBX27" s="28"/>
      <c r="GBY27" s="28"/>
      <c r="GBZ27" s="28"/>
      <c r="GCA27" s="28"/>
      <c r="GCB27" s="28"/>
      <c r="GCC27" s="28"/>
      <c r="GCD27" s="28"/>
      <c r="GCE27" s="28"/>
      <c r="GCF27" s="28"/>
      <c r="GCG27" s="28"/>
      <c r="GCH27" s="28"/>
      <c r="GCI27" s="28"/>
      <c r="GCJ27" s="28"/>
      <c r="GCK27" s="28"/>
      <c r="GCL27" s="28"/>
      <c r="GCM27" s="28"/>
      <c r="GCN27" s="28"/>
      <c r="GCO27" s="28"/>
      <c r="GCP27" s="28"/>
      <c r="GCQ27" s="28"/>
      <c r="GCR27" s="28"/>
      <c r="GCS27" s="28"/>
      <c r="GCT27" s="28"/>
      <c r="GCU27" s="28"/>
      <c r="GCV27" s="28"/>
      <c r="GCW27" s="28"/>
      <c r="GCX27" s="28"/>
      <c r="GCY27" s="28"/>
      <c r="GCZ27" s="28"/>
      <c r="GDA27" s="28"/>
      <c r="GDB27" s="28"/>
      <c r="GDC27" s="28"/>
      <c r="GDD27" s="28"/>
      <c r="GDE27" s="28"/>
      <c r="GDF27" s="28"/>
      <c r="GDG27" s="28"/>
      <c r="GDH27" s="28"/>
      <c r="GDI27" s="28"/>
      <c r="GDJ27" s="28"/>
      <c r="GDK27" s="28"/>
      <c r="GDL27" s="28"/>
      <c r="GDM27" s="28"/>
      <c r="GDN27" s="28"/>
      <c r="GDO27" s="28"/>
      <c r="GDP27" s="28"/>
      <c r="GDQ27" s="28"/>
      <c r="GDR27" s="28"/>
      <c r="GDS27" s="28"/>
      <c r="GDT27" s="28"/>
      <c r="GDU27" s="28"/>
      <c r="GDV27" s="28"/>
      <c r="GDW27" s="28"/>
      <c r="GDX27" s="28"/>
      <c r="GDY27" s="28"/>
      <c r="GDZ27" s="28"/>
      <c r="GEA27" s="28"/>
      <c r="GEB27" s="28"/>
      <c r="GEC27" s="28"/>
      <c r="GED27" s="28"/>
      <c r="GEE27" s="28"/>
      <c r="GEF27" s="28"/>
      <c r="GEG27" s="28"/>
      <c r="GEH27" s="28"/>
      <c r="GEI27" s="28"/>
      <c r="GEJ27" s="28"/>
      <c r="GEK27" s="28"/>
      <c r="GEL27" s="28"/>
      <c r="GEM27" s="28"/>
      <c r="GEN27" s="28"/>
      <c r="GEO27" s="28"/>
      <c r="GEP27" s="28"/>
      <c r="GEQ27" s="28"/>
      <c r="GER27" s="28"/>
      <c r="GES27" s="28"/>
      <c r="GET27" s="28"/>
      <c r="GEU27" s="28"/>
      <c r="GEV27" s="28"/>
      <c r="GEW27" s="28"/>
      <c r="GEX27" s="28"/>
      <c r="GEY27" s="28"/>
      <c r="GEZ27" s="28"/>
      <c r="GFA27" s="28"/>
      <c r="GFB27" s="28"/>
      <c r="GFC27" s="28"/>
      <c r="GFD27" s="28"/>
      <c r="GFE27" s="28"/>
      <c r="GFF27" s="28"/>
      <c r="GFG27" s="28"/>
      <c r="GFH27" s="28"/>
      <c r="GFI27" s="28"/>
      <c r="GFJ27" s="28"/>
      <c r="GFK27" s="28"/>
      <c r="GFL27" s="28"/>
      <c r="GFM27" s="28"/>
      <c r="GFN27" s="28"/>
      <c r="GFO27" s="28"/>
      <c r="GFP27" s="28"/>
      <c r="GFQ27" s="28"/>
      <c r="GFR27" s="28"/>
      <c r="GFS27" s="28"/>
      <c r="GFT27" s="28"/>
      <c r="GFU27" s="28"/>
      <c r="GFV27" s="28"/>
      <c r="GFW27" s="28"/>
      <c r="GFX27" s="28"/>
      <c r="GFY27" s="28"/>
      <c r="GFZ27" s="28"/>
      <c r="GGA27" s="28"/>
      <c r="GGB27" s="28"/>
      <c r="GGC27" s="28"/>
      <c r="GGD27" s="28"/>
      <c r="GGE27" s="28"/>
      <c r="GGF27" s="28"/>
      <c r="GGG27" s="28"/>
      <c r="GGH27" s="28"/>
      <c r="GGI27" s="28"/>
      <c r="GGJ27" s="28"/>
      <c r="GGK27" s="28"/>
      <c r="GGL27" s="28"/>
      <c r="GGM27" s="28"/>
      <c r="GGN27" s="28"/>
      <c r="GGO27" s="28"/>
      <c r="GGP27" s="28"/>
      <c r="GGQ27" s="28"/>
      <c r="GGR27" s="28"/>
      <c r="GGS27" s="28"/>
      <c r="GGT27" s="28"/>
      <c r="GGU27" s="28"/>
      <c r="GGV27" s="28"/>
      <c r="GGW27" s="28"/>
      <c r="GGX27" s="28"/>
      <c r="GGY27" s="28"/>
      <c r="GGZ27" s="28"/>
      <c r="GHA27" s="28"/>
      <c r="GHB27" s="28"/>
      <c r="GHC27" s="28"/>
      <c r="GHD27" s="28"/>
      <c r="GHE27" s="28"/>
      <c r="GHF27" s="28"/>
      <c r="GHG27" s="28"/>
      <c r="GHH27" s="28"/>
      <c r="GHI27" s="28"/>
      <c r="GHJ27" s="28"/>
      <c r="GHK27" s="28"/>
      <c r="GHL27" s="28"/>
      <c r="GHM27" s="28"/>
      <c r="GHN27" s="28"/>
      <c r="GHO27" s="28"/>
      <c r="GHP27" s="28"/>
      <c r="GHQ27" s="28"/>
      <c r="GHR27" s="28"/>
      <c r="GHS27" s="28"/>
      <c r="GHT27" s="28"/>
      <c r="GHU27" s="28"/>
      <c r="GHV27" s="28"/>
      <c r="GHW27" s="28"/>
      <c r="GHX27" s="28"/>
      <c r="GHY27" s="28"/>
      <c r="GHZ27" s="28"/>
      <c r="GIA27" s="28"/>
      <c r="GIB27" s="28"/>
      <c r="GIC27" s="28"/>
      <c r="GID27" s="28"/>
      <c r="GIE27" s="28"/>
      <c r="GIF27" s="28"/>
      <c r="GIG27" s="28"/>
      <c r="GIH27" s="28"/>
      <c r="GII27" s="28"/>
      <c r="GIJ27" s="28"/>
      <c r="GIK27" s="28"/>
      <c r="GIL27" s="28"/>
      <c r="GIM27" s="28"/>
      <c r="GIN27" s="28"/>
      <c r="GIO27" s="28"/>
      <c r="GIP27" s="28"/>
      <c r="GIQ27" s="28"/>
      <c r="GIR27" s="28"/>
      <c r="GIS27" s="28"/>
      <c r="GIT27" s="28"/>
      <c r="GIU27" s="28"/>
      <c r="GIV27" s="28"/>
      <c r="GIW27" s="28"/>
      <c r="GIX27" s="28"/>
      <c r="GIY27" s="28"/>
      <c r="GIZ27" s="28"/>
      <c r="GJA27" s="28"/>
      <c r="GJB27" s="28"/>
      <c r="GJC27" s="28"/>
      <c r="GJD27" s="28"/>
      <c r="GJE27" s="28"/>
      <c r="GJF27" s="28"/>
      <c r="GJG27" s="28"/>
      <c r="GJH27" s="28"/>
      <c r="GJI27" s="28"/>
      <c r="GJJ27" s="28"/>
      <c r="GJK27" s="28"/>
      <c r="GJL27" s="28"/>
      <c r="GJM27" s="28"/>
      <c r="GJN27" s="28"/>
      <c r="GJO27" s="28"/>
      <c r="GJP27" s="28"/>
      <c r="GJQ27" s="28"/>
      <c r="GJR27" s="28"/>
      <c r="GJS27" s="28"/>
      <c r="GJT27" s="28"/>
      <c r="GJU27" s="28"/>
      <c r="GJV27" s="28"/>
      <c r="GJW27" s="28"/>
      <c r="GJX27" s="28"/>
      <c r="GJY27" s="28"/>
      <c r="GJZ27" s="28"/>
      <c r="GKA27" s="28"/>
      <c r="GKB27" s="28"/>
      <c r="GKC27" s="28"/>
      <c r="GKD27" s="28"/>
      <c r="GKE27" s="28"/>
      <c r="GKF27" s="28"/>
      <c r="GKG27" s="28"/>
      <c r="GKH27" s="28"/>
      <c r="GKI27" s="28"/>
      <c r="GKJ27" s="28"/>
      <c r="GKK27" s="28"/>
      <c r="GKL27" s="28"/>
      <c r="GKM27" s="28"/>
      <c r="GKN27" s="28"/>
      <c r="GKO27" s="28"/>
      <c r="GKP27" s="28"/>
      <c r="GKQ27" s="28"/>
      <c r="GKR27" s="28"/>
      <c r="GKS27" s="28"/>
      <c r="GKT27" s="28"/>
      <c r="GKU27" s="28"/>
      <c r="GKV27" s="28"/>
      <c r="GKW27" s="28"/>
      <c r="GKX27" s="28"/>
      <c r="GKY27" s="28"/>
      <c r="GKZ27" s="28"/>
      <c r="GLA27" s="28"/>
      <c r="GLB27" s="28"/>
      <c r="GLC27" s="28"/>
      <c r="GLD27" s="28"/>
      <c r="GLE27" s="28"/>
      <c r="GLF27" s="28"/>
      <c r="GLG27" s="28"/>
      <c r="GLH27" s="28"/>
      <c r="GLI27" s="28"/>
      <c r="GLJ27" s="28"/>
      <c r="GLK27" s="28"/>
      <c r="GLL27" s="28"/>
      <c r="GLM27" s="28"/>
      <c r="GLN27" s="28"/>
      <c r="GLO27" s="28"/>
      <c r="GLP27" s="28"/>
      <c r="GLQ27" s="28"/>
      <c r="GLR27" s="28"/>
      <c r="GLS27" s="28"/>
      <c r="GLT27" s="28"/>
      <c r="GLU27" s="28"/>
      <c r="GLV27" s="28"/>
      <c r="GLW27" s="28"/>
      <c r="GLX27" s="28"/>
      <c r="GLY27" s="28"/>
      <c r="GLZ27" s="28"/>
      <c r="GMA27" s="28"/>
      <c r="GMB27" s="28"/>
      <c r="GMC27" s="28"/>
      <c r="GMD27" s="28"/>
      <c r="GME27" s="28"/>
      <c r="GMF27" s="28"/>
      <c r="GMG27" s="28"/>
      <c r="GMH27" s="28"/>
      <c r="GMI27" s="28"/>
      <c r="GMJ27" s="28"/>
      <c r="GMK27" s="28"/>
      <c r="GML27" s="28"/>
      <c r="GMM27" s="28"/>
      <c r="GMN27" s="28"/>
      <c r="GMO27" s="28"/>
      <c r="GMP27" s="28"/>
      <c r="GMQ27" s="28"/>
      <c r="GMR27" s="28"/>
      <c r="GMS27" s="28"/>
      <c r="GMT27" s="28"/>
      <c r="GMU27" s="28"/>
      <c r="GMV27" s="28"/>
      <c r="GMW27" s="28"/>
      <c r="GMX27" s="28"/>
      <c r="GMY27" s="28"/>
      <c r="GMZ27" s="28"/>
      <c r="GNA27" s="28"/>
      <c r="GNB27" s="28"/>
      <c r="GNC27" s="28"/>
      <c r="GND27" s="28"/>
      <c r="GNE27" s="28"/>
      <c r="GNF27" s="28"/>
      <c r="GNG27" s="28"/>
      <c r="GNH27" s="28"/>
      <c r="GNI27" s="28"/>
      <c r="GNJ27" s="28"/>
      <c r="GNK27" s="28"/>
      <c r="GNL27" s="28"/>
      <c r="GNM27" s="28"/>
      <c r="GNN27" s="28"/>
      <c r="GNO27" s="28"/>
      <c r="GNP27" s="28"/>
      <c r="GNQ27" s="28"/>
      <c r="GNR27" s="28"/>
      <c r="GNS27" s="28"/>
      <c r="GNT27" s="28"/>
      <c r="GNU27" s="28"/>
      <c r="GNV27" s="28"/>
      <c r="GNW27" s="28"/>
      <c r="GNX27" s="28"/>
      <c r="GNY27" s="28"/>
      <c r="GNZ27" s="28"/>
      <c r="GOA27" s="28"/>
      <c r="GOB27" s="28"/>
      <c r="GOC27" s="28"/>
      <c r="GOD27" s="28"/>
      <c r="GOE27" s="28"/>
      <c r="GOF27" s="28"/>
      <c r="GOG27" s="28"/>
      <c r="GOH27" s="28"/>
      <c r="GOI27" s="28"/>
      <c r="GOJ27" s="28"/>
      <c r="GOK27" s="28"/>
      <c r="GOL27" s="28"/>
      <c r="GOM27" s="28"/>
      <c r="GON27" s="28"/>
      <c r="GOO27" s="28"/>
      <c r="GOP27" s="28"/>
      <c r="GOQ27" s="28"/>
      <c r="GOR27" s="28"/>
      <c r="GOS27" s="28"/>
      <c r="GOT27" s="28"/>
      <c r="GOU27" s="28"/>
      <c r="GOV27" s="28"/>
      <c r="GOW27" s="28"/>
      <c r="GOX27" s="28"/>
      <c r="GOY27" s="28"/>
      <c r="GOZ27" s="28"/>
      <c r="GPA27" s="28"/>
      <c r="GPB27" s="28"/>
      <c r="GPC27" s="28"/>
      <c r="GPD27" s="28"/>
      <c r="GPE27" s="28"/>
      <c r="GPF27" s="28"/>
      <c r="GPG27" s="28"/>
      <c r="GPH27" s="28"/>
      <c r="GPI27" s="28"/>
      <c r="GPJ27" s="28"/>
      <c r="GPK27" s="28"/>
      <c r="GPL27" s="28"/>
      <c r="GPM27" s="28"/>
      <c r="GPN27" s="28"/>
      <c r="GPO27" s="28"/>
      <c r="GPP27" s="28"/>
      <c r="GPQ27" s="28"/>
      <c r="GPR27" s="28"/>
      <c r="GPS27" s="28"/>
      <c r="GPT27" s="28"/>
      <c r="GPU27" s="28"/>
      <c r="GPV27" s="28"/>
      <c r="GPW27" s="28"/>
      <c r="GPX27" s="28"/>
      <c r="GPY27" s="28"/>
      <c r="GPZ27" s="28"/>
      <c r="GQA27" s="28"/>
      <c r="GQB27" s="28"/>
      <c r="GQC27" s="28"/>
      <c r="GQD27" s="28"/>
      <c r="GQE27" s="28"/>
      <c r="GQF27" s="28"/>
      <c r="GQG27" s="28"/>
      <c r="GQH27" s="28"/>
      <c r="GQI27" s="28"/>
      <c r="GQJ27" s="28"/>
      <c r="GQK27" s="28"/>
      <c r="GQL27" s="28"/>
      <c r="GQM27" s="28"/>
      <c r="GQN27" s="28"/>
      <c r="GQO27" s="28"/>
      <c r="GQP27" s="28"/>
      <c r="GQQ27" s="28"/>
      <c r="GQR27" s="28"/>
      <c r="GQS27" s="28"/>
      <c r="GQT27" s="28"/>
      <c r="GQU27" s="28"/>
      <c r="GQV27" s="28"/>
      <c r="GQW27" s="28"/>
      <c r="GQX27" s="28"/>
      <c r="GQY27" s="28"/>
      <c r="GQZ27" s="28"/>
      <c r="GRA27" s="28"/>
      <c r="GRB27" s="28"/>
      <c r="GRC27" s="28"/>
      <c r="GRD27" s="28"/>
      <c r="GRE27" s="28"/>
      <c r="GRF27" s="28"/>
      <c r="GRG27" s="28"/>
      <c r="GRH27" s="28"/>
      <c r="GRI27" s="28"/>
      <c r="GRJ27" s="28"/>
      <c r="GRK27" s="28"/>
      <c r="GRL27" s="28"/>
      <c r="GRM27" s="28"/>
      <c r="GRN27" s="28"/>
      <c r="GRO27" s="28"/>
      <c r="GRP27" s="28"/>
      <c r="GRQ27" s="28"/>
      <c r="GRR27" s="28"/>
      <c r="GRS27" s="28"/>
      <c r="GRT27" s="28"/>
      <c r="GRU27" s="28"/>
      <c r="GRV27" s="28"/>
      <c r="GRW27" s="28"/>
      <c r="GRX27" s="28"/>
      <c r="GRY27" s="28"/>
      <c r="GRZ27" s="28"/>
      <c r="GSA27" s="28"/>
      <c r="GSB27" s="28"/>
      <c r="GSC27" s="28"/>
      <c r="GSD27" s="28"/>
      <c r="GSE27" s="28"/>
      <c r="GSF27" s="28"/>
      <c r="GSG27" s="28"/>
      <c r="GSH27" s="28"/>
      <c r="GSI27" s="28"/>
      <c r="GSJ27" s="28"/>
      <c r="GSK27" s="28"/>
      <c r="GSL27" s="28"/>
      <c r="GSM27" s="28"/>
      <c r="GSN27" s="28"/>
      <c r="GSO27" s="28"/>
      <c r="GSP27" s="28"/>
      <c r="GSQ27" s="28"/>
      <c r="GSR27" s="28"/>
      <c r="GSS27" s="28"/>
      <c r="GST27" s="28"/>
      <c r="GSU27" s="28"/>
      <c r="GSV27" s="28"/>
      <c r="GSW27" s="28"/>
      <c r="GSX27" s="28"/>
      <c r="GSY27" s="28"/>
      <c r="GSZ27" s="28"/>
      <c r="GTA27" s="28"/>
      <c r="GTB27" s="28"/>
      <c r="GTC27" s="28"/>
      <c r="GTD27" s="28"/>
      <c r="GTE27" s="28"/>
      <c r="GTF27" s="28"/>
      <c r="GTG27" s="28"/>
      <c r="GTH27" s="28"/>
      <c r="GTI27" s="28"/>
      <c r="GTJ27" s="28"/>
      <c r="GTK27" s="28"/>
      <c r="GTL27" s="28"/>
      <c r="GTM27" s="28"/>
      <c r="GTN27" s="28"/>
      <c r="GTO27" s="28"/>
      <c r="GTP27" s="28"/>
      <c r="GTQ27" s="28"/>
      <c r="GTR27" s="28"/>
      <c r="GTS27" s="28"/>
      <c r="GTT27" s="28"/>
      <c r="GTU27" s="28"/>
      <c r="GTV27" s="28"/>
      <c r="GTW27" s="28"/>
      <c r="GTX27" s="28"/>
      <c r="GTY27" s="28"/>
      <c r="GTZ27" s="28"/>
      <c r="GUA27" s="28"/>
      <c r="GUB27" s="28"/>
      <c r="GUC27" s="28"/>
      <c r="GUD27" s="28"/>
      <c r="GUE27" s="28"/>
      <c r="GUF27" s="28"/>
      <c r="GUG27" s="28"/>
      <c r="GUH27" s="28"/>
      <c r="GUI27" s="28"/>
      <c r="GUJ27" s="28"/>
      <c r="GUK27" s="28"/>
      <c r="GUL27" s="28"/>
      <c r="GUM27" s="28"/>
      <c r="GUN27" s="28"/>
      <c r="GUO27" s="28"/>
      <c r="GUP27" s="28"/>
      <c r="GUQ27" s="28"/>
      <c r="GUR27" s="28"/>
      <c r="GUS27" s="28"/>
      <c r="GUT27" s="28"/>
      <c r="GUU27" s="28"/>
      <c r="GUV27" s="28"/>
      <c r="GUW27" s="28"/>
      <c r="GUX27" s="28"/>
      <c r="GUY27" s="28"/>
      <c r="GUZ27" s="28"/>
      <c r="GVA27" s="28"/>
      <c r="GVB27" s="28"/>
      <c r="GVC27" s="28"/>
      <c r="GVD27" s="28"/>
      <c r="GVE27" s="28"/>
      <c r="GVF27" s="28"/>
      <c r="GVG27" s="28"/>
      <c r="GVH27" s="28"/>
      <c r="GVI27" s="28"/>
      <c r="GVJ27" s="28"/>
      <c r="GVK27" s="28"/>
      <c r="GVL27" s="28"/>
      <c r="GVM27" s="28"/>
      <c r="GVN27" s="28"/>
      <c r="GVO27" s="28"/>
      <c r="GVP27" s="28"/>
      <c r="GVQ27" s="28"/>
      <c r="GVR27" s="28"/>
      <c r="GVS27" s="28"/>
      <c r="GVT27" s="28"/>
      <c r="GVU27" s="28"/>
      <c r="GVV27" s="28"/>
      <c r="GVW27" s="28"/>
      <c r="GVX27" s="28"/>
      <c r="GVY27" s="28"/>
      <c r="GVZ27" s="28"/>
      <c r="GWA27" s="28"/>
      <c r="GWB27" s="28"/>
      <c r="GWC27" s="28"/>
      <c r="GWD27" s="28"/>
      <c r="GWE27" s="28"/>
      <c r="GWF27" s="28"/>
      <c r="GWG27" s="28"/>
      <c r="GWH27" s="28"/>
      <c r="GWI27" s="28"/>
      <c r="GWJ27" s="28"/>
      <c r="GWK27" s="28"/>
      <c r="GWL27" s="28"/>
      <c r="GWM27" s="28"/>
      <c r="GWN27" s="28"/>
      <c r="GWO27" s="28"/>
      <c r="GWP27" s="28"/>
      <c r="GWQ27" s="28"/>
      <c r="GWR27" s="28"/>
      <c r="GWS27" s="28"/>
      <c r="GWT27" s="28"/>
      <c r="GWU27" s="28"/>
      <c r="GWV27" s="28"/>
      <c r="GWW27" s="28"/>
      <c r="GWX27" s="28"/>
      <c r="GWY27" s="28"/>
      <c r="GWZ27" s="28"/>
      <c r="GXA27" s="28"/>
      <c r="GXB27" s="28"/>
      <c r="GXC27" s="28"/>
      <c r="GXD27" s="28"/>
      <c r="GXE27" s="28"/>
      <c r="GXF27" s="28"/>
      <c r="GXG27" s="28"/>
      <c r="GXH27" s="28"/>
      <c r="GXI27" s="28"/>
      <c r="GXJ27" s="28"/>
      <c r="GXK27" s="28"/>
      <c r="GXL27" s="28"/>
      <c r="GXM27" s="28"/>
      <c r="GXN27" s="28"/>
      <c r="GXO27" s="28"/>
      <c r="GXP27" s="28"/>
      <c r="GXQ27" s="28"/>
      <c r="GXR27" s="28"/>
      <c r="GXS27" s="28"/>
      <c r="GXT27" s="28"/>
      <c r="GXU27" s="28"/>
      <c r="GXV27" s="28"/>
      <c r="GXW27" s="28"/>
      <c r="GXX27" s="28"/>
      <c r="GXY27" s="28"/>
      <c r="GXZ27" s="28"/>
      <c r="GYA27" s="28"/>
      <c r="GYB27" s="28"/>
      <c r="GYC27" s="28"/>
      <c r="GYD27" s="28"/>
      <c r="GYE27" s="28"/>
      <c r="GYF27" s="28"/>
      <c r="GYG27" s="28"/>
      <c r="GYH27" s="28"/>
      <c r="GYI27" s="28"/>
      <c r="GYJ27" s="28"/>
      <c r="GYK27" s="28"/>
      <c r="GYL27" s="28"/>
      <c r="GYM27" s="28"/>
      <c r="GYN27" s="28"/>
      <c r="GYO27" s="28"/>
      <c r="GYP27" s="28"/>
      <c r="GYQ27" s="28"/>
      <c r="GYR27" s="28"/>
      <c r="GYS27" s="28"/>
      <c r="GYT27" s="28"/>
      <c r="GYU27" s="28"/>
      <c r="GYV27" s="28"/>
      <c r="GYW27" s="28"/>
      <c r="GYX27" s="28"/>
      <c r="GYY27" s="28"/>
      <c r="GYZ27" s="28"/>
      <c r="GZA27" s="28"/>
      <c r="GZB27" s="28"/>
      <c r="GZC27" s="28"/>
      <c r="GZD27" s="28"/>
      <c r="GZE27" s="28"/>
      <c r="GZF27" s="28"/>
      <c r="GZG27" s="28"/>
      <c r="GZH27" s="28"/>
      <c r="GZI27" s="28"/>
      <c r="GZJ27" s="28"/>
      <c r="GZK27" s="28"/>
      <c r="GZL27" s="28"/>
      <c r="GZM27" s="28"/>
      <c r="GZN27" s="28"/>
      <c r="GZO27" s="28"/>
      <c r="GZP27" s="28"/>
      <c r="GZQ27" s="28"/>
      <c r="GZR27" s="28"/>
      <c r="GZS27" s="28"/>
      <c r="GZT27" s="28"/>
      <c r="GZU27" s="28"/>
      <c r="GZV27" s="28"/>
      <c r="GZW27" s="28"/>
      <c r="GZX27" s="28"/>
      <c r="GZY27" s="28"/>
      <c r="GZZ27" s="28"/>
      <c r="HAA27" s="28"/>
      <c r="HAB27" s="28"/>
      <c r="HAC27" s="28"/>
      <c r="HAD27" s="28"/>
      <c r="HAE27" s="28"/>
      <c r="HAF27" s="28"/>
      <c r="HAG27" s="28"/>
      <c r="HAH27" s="28"/>
      <c r="HAI27" s="28"/>
      <c r="HAJ27" s="28"/>
      <c r="HAK27" s="28"/>
      <c r="HAL27" s="28"/>
      <c r="HAM27" s="28"/>
      <c r="HAN27" s="28"/>
      <c r="HAO27" s="28"/>
      <c r="HAP27" s="28"/>
      <c r="HAQ27" s="28"/>
      <c r="HAR27" s="28"/>
      <c r="HAS27" s="28"/>
      <c r="HAT27" s="28"/>
      <c r="HAU27" s="28"/>
      <c r="HAV27" s="28"/>
      <c r="HAW27" s="28"/>
      <c r="HAX27" s="28"/>
      <c r="HAY27" s="28"/>
      <c r="HAZ27" s="28"/>
      <c r="HBA27" s="28"/>
      <c r="HBB27" s="28"/>
      <c r="HBC27" s="28"/>
      <c r="HBD27" s="28"/>
      <c r="HBE27" s="28"/>
      <c r="HBF27" s="28"/>
      <c r="HBG27" s="28"/>
      <c r="HBH27" s="28"/>
      <c r="HBI27" s="28"/>
      <c r="HBJ27" s="28"/>
      <c r="HBK27" s="28"/>
      <c r="HBL27" s="28"/>
      <c r="HBM27" s="28"/>
      <c r="HBN27" s="28"/>
      <c r="HBO27" s="28"/>
      <c r="HBP27" s="28"/>
      <c r="HBQ27" s="28"/>
      <c r="HBR27" s="28"/>
      <c r="HBS27" s="28"/>
      <c r="HBT27" s="28"/>
      <c r="HBU27" s="28"/>
      <c r="HBV27" s="28"/>
      <c r="HBW27" s="28"/>
      <c r="HBX27" s="28"/>
      <c r="HBY27" s="28"/>
      <c r="HBZ27" s="28"/>
      <c r="HCA27" s="28"/>
      <c r="HCB27" s="28"/>
      <c r="HCC27" s="28"/>
      <c r="HCD27" s="28"/>
      <c r="HCE27" s="28"/>
      <c r="HCF27" s="28"/>
      <c r="HCG27" s="28"/>
      <c r="HCH27" s="28"/>
      <c r="HCI27" s="28"/>
      <c r="HCJ27" s="28"/>
      <c r="HCK27" s="28"/>
      <c r="HCL27" s="28"/>
      <c r="HCM27" s="28"/>
      <c r="HCN27" s="28"/>
      <c r="HCO27" s="28"/>
      <c r="HCP27" s="28"/>
      <c r="HCQ27" s="28"/>
      <c r="HCR27" s="28"/>
      <c r="HCS27" s="28"/>
      <c r="HCT27" s="28"/>
      <c r="HCU27" s="28"/>
      <c r="HCV27" s="28"/>
      <c r="HCW27" s="28"/>
      <c r="HCX27" s="28"/>
      <c r="HCY27" s="28"/>
      <c r="HCZ27" s="28"/>
      <c r="HDA27" s="28"/>
      <c r="HDB27" s="28"/>
      <c r="HDC27" s="28"/>
      <c r="HDD27" s="28"/>
      <c r="HDE27" s="28"/>
      <c r="HDF27" s="28"/>
      <c r="HDG27" s="28"/>
      <c r="HDH27" s="28"/>
      <c r="HDI27" s="28"/>
      <c r="HDJ27" s="28"/>
      <c r="HDK27" s="28"/>
      <c r="HDL27" s="28"/>
      <c r="HDM27" s="28"/>
      <c r="HDN27" s="28"/>
      <c r="HDO27" s="28"/>
      <c r="HDP27" s="28"/>
      <c r="HDQ27" s="28"/>
      <c r="HDR27" s="28"/>
      <c r="HDS27" s="28"/>
      <c r="HDT27" s="28"/>
      <c r="HDU27" s="28"/>
      <c r="HDV27" s="28"/>
      <c r="HDW27" s="28"/>
      <c r="HDX27" s="28"/>
      <c r="HDY27" s="28"/>
      <c r="HDZ27" s="28"/>
      <c r="HEA27" s="28"/>
      <c r="HEB27" s="28"/>
      <c r="HEC27" s="28"/>
      <c r="HED27" s="28"/>
      <c r="HEE27" s="28"/>
      <c r="HEF27" s="28"/>
      <c r="HEG27" s="28"/>
      <c r="HEH27" s="28"/>
      <c r="HEI27" s="28"/>
      <c r="HEJ27" s="28"/>
      <c r="HEK27" s="28"/>
      <c r="HEL27" s="28"/>
      <c r="HEM27" s="28"/>
      <c r="HEN27" s="28"/>
      <c r="HEO27" s="28"/>
      <c r="HEP27" s="28"/>
      <c r="HEQ27" s="28"/>
      <c r="HER27" s="28"/>
      <c r="HES27" s="28"/>
      <c r="HET27" s="28"/>
      <c r="HEU27" s="28"/>
      <c r="HEV27" s="28"/>
      <c r="HEW27" s="28"/>
      <c r="HEX27" s="28"/>
      <c r="HEY27" s="28"/>
      <c r="HEZ27" s="28"/>
      <c r="HFA27" s="28"/>
      <c r="HFB27" s="28"/>
      <c r="HFC27" s="28"/>
      <c r="HFD27" s="28"/>
      <c r="HFE27" s="28"/>
      <c r="HFF27" s="28"/>
      <c r="HFG27" s="28"/>
      <c r="HFH27" s="28"/>
      <c r="HFI27" s="28"/>
      <c r="HFJ27" s="28"/>
      <c r="HFK27" s="28"/>
      <c r="HFL27" s="28"/>
      <c r="HFM27" s="28"/>
      <c r="HFN27" s="28"/>
      <c r="HFO27" s="28"/>
      <c r="HFP27" s="28"/>
      <c r="HFQ27" s="28"/>
      <c r="HFR27" s="28"/>
      <c r="HFS27" s="28"/>
      <c r="HFT27" s="28"/>
      <c r="HFU27" s="28"/>
      <c r="HFV27" s="28"/>
      <c r="HFW27" s="28"/>
      <c r="HFX27" s="28"/>
      <c r="HFY27" s="28"/>
      <c r="HFZ27" s="28"/>
      <c r="HGA27" s="28"/>
      <c r="HGB27" s="28"/>
      <c r="HGC27" s="28"/>
      <c r="HGD27" s="28"/>
      <c r="HGE27" s="28"/>
      <c r="HGF27" s="28"/>
      <c r="HGG27" s="28"/>
      <c r="HGH27" s="28"/>
      <c r="HGI27" s="28"/>
      <c r="HGJ27" s="28"/>
      <c r="HGK27" s="28"/>
      <c r="HGL27" s="28"/>
      <c r="HGM27" s="28"/>
      <c r="HGN27" s="28"/>
      <c r="HGO27" s="28"/>
      <c r="HGP27" s="28"/>
      <c r="HGQ27" s="28"/>
      <c r="HGR27" s="28"/>
      <c r="HGS27" s="28"/>
      <c r="HGT27" s="28"/>
      <c r="HGU27" s="28"/>
      <c r="HGV27" s="28"/>
      <c r="HGW27" s="28"/>
      <c r="HGX27" s="28"/>
      <c r="HGY27" s="28"/>
      <c r="HGZ27" s="28"/>
      <c r="HHA27" s="28"/>
      <c r="HHB27" s="28"/>
      <c r="HHC27" s="28"/>
      <c r="HHD27" s="28"/>
      <c r="HHE27" s="28"/>
      <c r="HHF27" s="28"/>
      <c r="HHG27" s="28"/>
      <c r="HHH27" s="28"/>
      <c r="HHI27" s="28"/>
      <c r="HHJ27" s="28"/>
      <c r="HHK27" s="28"/>
      <c r="HHL27" s="28"/>
      <c r="HHM27" s="28"/>
      <c r="HHN27" s="28"/>
      <c r="HHO27" s="28"/>
      <c r="HHP27" s="28"/>
      <c r="HHQ27" s="28"/>
      <c r="HHR27" s="28"/>
      <c r="HHS27" s="28"/>
      <c r="HHT27" s="28"/>
      <c r="HHU27" s="28"/>
      <c r="HHV27" s="28"/>
      <c r="HHW27" s="28"/>
      <c r="HHX27" s="28"/>
      <c r="HHY27" s="28"/>
      <c r="HHZ27" s="28"/>
      <c r="HIA27" s="28"/>
      <c r="HIB27" s="28"/>
      <c r="HIC27" s="28"/>
      <c r="HID27" s="28"/>
      <c r="HIE27" s="28"/>
      <c r="HIF27" s="28"/>
      <c r="HIG27" s="28"/>
      <c r="HIH27" s="28"/>
      <c r="HII27" s="28"/>
      <c r="HIJ27" s="28"/>
      <c r="HIK27" s="28"/>
      <c r="HIL27" s="28"/>
      <c r="HIM27" s="28"/>
      <c r="HIN27" s="28"/>
      <c r="HIO27" s="28"/>
      <c r="HIP27" s="28"/>
      <c r="HIQ27" s="28"/>
      <c r="HIR27" s="28"/>
      <c r="HIS27" s="28"/>
      <c r="HIT27" s="28"/>
      <c r="HIU27" s="28"/>
      <c r="HIV27" s="28"/>
      <c r="HIW27" s="28"/>
      <c r="HIX27" s="28"/>
      <c r="HIY27" s="28"/>
      <c r="HIZ27" s="28"/>
      <c r="HJA27" s="28"/>
      <c r="HJB27" s="28"/>
      <c r="HJC27" s="28"/>
      <c r="HJD27" s="28"/>
      <c r="HJE27" s="28"/>
      <c r="HJF27" s="28"/>
      <c r="HJG27" s="28"/>
      <c r="HJH27" s="28"/>
      <c r="HJI27" s="28"/>
      <c r="HJJ27" s="28"/>
      <c r="HJK27" s="28"/>
      <c r="HJL27" s="28"/>
      <c r="HJM27" s="28"/>
      <c r="HJN27" s="28"/>
      <c r="HJO27" s="28"/>
      <c r="HJP27" s="28"/>
      <c r="HJQ27" s="28"/>
      <c r="HJR27" s="28"/>
      <c r="HJS27" s="28"/>
      <c r="HJT27" s="28"/>
      <c r="HJU27" s="28"/>
      <c r="HJV27" s="28"/>
      <c r="HJW27" s="28"/>
      <c r="HJX27" s="28"/>
      <c r="HJY27" s="28"/>
      <c r="HJZ27" s="28"/>
      <c r="HKA27" s="28"/>
      <c r="HKB27" s="28"/>
      <c r="HKC27" s="28"/>
      <c r="HKD27" s="28"/>
      <c r="HKE27" s="28"/>
      <c r="HKF27" s="28"/>
      <c r="HKG27" s="28"/>
      <c r="HKH27" s="28"/>
      <c r="HKI27" s="28"/>
      <c r="HKJ27" s="28"/>
      <c r="HKK27" s="28"/>
      <c r="HKL27" s="28"/>
      <c r="HKM27" s="28"/>
      <c r="HKN27" s="28"/>
      <c r="HKO27" s="28"/>
      <c r="HKP27" s="28"/>
      <c r="HKQ27" s="28"/>
      <c r="HKR27" s="28"/>
      <c r="HKS27" s="28"/>
      <c r="HKT27" s="28"/>
      <c r="HKU27" s="28"/>
      <c r="HKV27" s="28"/>
      <c r="HKW27" s="28"/>
      <c r="HKX27" s="28"/>
      <c r="HKY27" s="28"/>
      <c r="HKZ27" s="28"/>
      <c r="HLA27" s="28"/>
      <c r="HLB27" s="28"/>
      <c r="HLC27" s="28"/>
      <c r="HLD27" s="28"/>
      <c r="HLE27" s="28"/>
      <c r="HLF27" s="28"/>
      <c r="HLG27" s="28"/>
      <c r="HLH27" s="28"/>
      <c r="HLI27" s="28"/>
      <c r="HLJ27" s="28"/>
      <c r="HLK27" s="28"/>
      <c r="HLL27" s="28"/>
      <c r="HLM27" s="28"/>
      <c r="HLN27" s="28"/>
      <c r="HLO27" s="28"/>
      <c r="HLP27" s="28"/>
      <c r="HLQ27" s="28"/>
      <c r="HLR27" s="28"/>
      <c r="HLS27" s="28"/>
      <c r="HLT27" s="28"/>
      <c r="HLU27" s="28"/>
      <c r="HLV27" s="28"/>
      <c r="HLW27" s="28"/>
      <c r="HLX27" s="28"/>
      <c r="HLY27" s="28"/>
      <c r="HLZ27" s="28"/>
      <c r="HMA27" s="28"/>
      <c r="HMB27" s="28"/>
      <c r="HMC27" s="28"/>
      <c r="HMD27" s="28"/>
      <c r="HME27" s="28"/>
      <c r="HMF27" s="28"/>
      <c r="HMG27" s="28"/>
      <c r="HMH27" s="28"/>
      <c r="HMI27" s="28"/>
      <c r="HMJ27" s="28"/>
      <c r="HMK27" s="28"/>
      <c r="HML27" s="28"/>
      <c r="HMM27" s="28"/>
      <c r="HMN27" s="28"/>
      <c r="HMO27" s="28"/>
      <c r="HMP27" s="28"/>
      <c r="HMQ27" s="28"/>
      <c r="HMR27" s="28"/>
      <c r="HMS27" s="28"/>
      <c r="HMT27" s="28"/>
      <c r="HMU27" s="28"/>
      <c r="HMV27" s="28"/>
      <c r="HMW27" s="28"/>
      <c r="HMX27" s="28"/>
      <c r="HMY27" s="28"/>
      <c r="HMZ27" s="28"/>
      <c r="HNA27" s="28"/>
      <c r="HNB27" s="28"/>
      <c r="HNC27" s="28"/>
      <c r="HND27" s="28"/>
      <c r="HNE27" s="28"/>
      <c r="HNF27" s="28"/>
      <c r="HNG27" s="28"/>
      <c r="HNH27" s="28"/>
      <c r="HNI27" s="28"/>
      <c r="HNJ27" s="28"/>
      <c r="HNK27" s="28"/>
      <c r="HNL27" s="28"/>
      <c r="HNM27" s="28"/>
      <c r="HNN27" s="28"/>
      <c r="HNO27" s="28"/>
      <c r="HNP27" s="28"/>
      <c r="HNQ27" s="28"/>
      <c r="HNR27" s="28"/>
      <c r="HNS27" s="28"/>
      <c r="HNT27" s="28"/>
      <c r="HNU27" s="28"/>
      <c r="HNV27" s="28"/>
      <c r="HNW27" s="28"/>
      <c r="HNX27" s="28"/>
      <c r="HNY27" s="28"/>
      <c r="HNZ27" s="28"/>
      <c r="HOA27" s="28"/>
      <c r="HOB27" s="28"/>
      <c r="HOC27" s="28"/>
      <c r="HOD27" s="28"/>
      <c r="HOE27" s="28"/>
      <c r="HOF27" s="28"/>
      <c r="HOG27" s="28"/>
      <c r="HOH27" s="28"/>
      <c r="HOI27" s="28"/>
      <c r="HOJ27" s="28"/>
      <c r="HOK27" s="28"/>
      <c r="HOL27" s="28"/>
      <c r="HOM27" s="28"/>
      <c r="HON27" s="28"/>
      <c r="HOO27" s="28"/>
      <c r="HOP27" s="28"/>
      <c r="HOQ27" s="28"/>
      <c r="HOR27" s="28"/>
      <c r="HOS27" s="28"/>
      <c r="HOT27" s="28"/>
      <c r="HOU27" s="28"/>
      <c r="HOV27" s="28"/>
      <c r="HOW27" s="28"/>
      <c r="HOX27" s="28"/>
      <c r="HOY27" s="28"/>
      <c r="HOZ27" s="28"/>
      <c r="HPA27" s="28"/>
      <c r="HPB27" s="28"/>
      <c r="HPC27" s="28"/>
      <c r="HPD27" s="28"/>
      <c r="HPE27" s="28"/>
      <c r="HPF27" s="28"/>
      <c r="HPG27" s="28"/>
      <c r="HPH27" s="28"/>
      <c r="HPI27" s="28"/>
      <c r="HPJ27" s="28"/>
      <c r="HPK27" s="28"/>
      <c r="HPL27" s="28"/>
      <c r="HPM27" s="28"/>
      <c r="HPN27" s="28"/>
      <c r="HPO27" s="28"/>
      <c r="HPP27" s="28"/>
      <c r="HPQ27" s="28"/>
      <c r="HPR27" s="28"/>
      <c r="HPS27" s="28"/>
      <c r="HPT27" s="28"/>
      <c r="HPU27" s="28"/>
      <c r="HPV27" s="28"/>
      <c r="HPW27" s="28"/>
      <c r="HPX27" s="28"/>
      <c r="HPY27" s="28"/>
      <c r="HPZ27" s="28"/>
      <c r="HQA27" s="28"/>
      <c r="HQB27" s="28"/>
      <c r="HQC27" s="28"/>
      <c r="HQD27" s="28"/>
      <c r="HQE27" s="28"/>
      <c r="HQF27" s="28"/>
      <c r="HQG27" s="28"/>
      <c r="HQH27" s="28"/>
      <c r="HQI27" s="28"/>
      <c r="HQJ27" s="28"/>
      <c r="HQK27" s="28"/>
      <c r="HQL27" s="28"/>
      <c r="HQM27" s="28"/>
      <c r="HQN27" s="28"/>
      <c r="HQO27" s="28"/>
      <c r="HQP27" s="28"/>
      <c r="HQQ27" s="28"/>
      <c r="HQR27" s="28"/>
      <c r="HQS27" s="28"/>
      <c r="HQT27" s="28"/>
      <c r="HQU27" s="28"/>
      <c r="HQV27" s="28"/>
      <c r="HQW27" s="28"/>
      <c r="HQX27" s="28"/>
      <c r="HQY27" s="28"/>
      <c r="HQZ27" s="28"/>
      <c r="HRA27" s="28"/>
      <c r="HRB27" s="28"/>
      <c r="HRC27" s="28"/>
      <c r="HRD27" s="28"/>
      <c r="HRE27" s="28"/>
      <c r="HRF27" s="28"/>
      <c r="HRG27" s="28"/>
      <c r="HRH27" s="28"/>
      <c r="HRI27" s="28"/>
      <c r="HRJ27" s="28"/>
      <c r="HRK27" s="28"/>
      <c r="HRL27" s="28"/>
      <c r="HRM27" s="28"/>
      <c r="HRN27" s="28"/>
      <c r="HRO27" s="28"/>
      <c r="HRP27" s="28"/>
      <c r="HRQ27" s="28"/>
      <c r="HRR27" s="28"/>
      <c r="HRS27" s="28"/>
      <c r="HRT27" s="28"/>
      <c r="HRU27" s="28"/>
      <c r="HRV27" s="28"/>
      <c r="HRW27" s="28"/>
      <c r="HRX27" s="28"/>
      <c r="HRY27" s="28"/>
      <c r="HRZ27" s="28"/>
      <c r="HSA27" s="28"/>
      <c r="HSB27" s="28"/>
      <c r="HSC27" s="28"/>
      <c r="HSD27" s="28"/>
      <c r="HSE27" s="28"/>
      <c r="HSF27" s="28"/>
      <c r="HSG27" s="28"/>
      <c r="HSH27" s="28"/>
      <c r="HSI27" s="28"/>
      <c r="HSJ27" s="28"/>
      <c r="HSK27" s="28"/>
      <c r="HSL27" s="28"/>
      <c r="HSM27" s="28"/>
      <c r="HSN27" s="28"/>
      <c r="HSO27" s="28"/>
      <c r="HSP27" s="28"/>
      <c r="HSQ27" s="28"/>
      <c r="HSR27" s="28"/>
      <c r="HSS27" s="28"/>
      <c r="HST27" s="28"/>
      <c r="HSU27" s="28"/>
      <c r="HSV27" s="28"/>
      <c r="HSW27" s="28"/>
      <c r="HSX27" s="28"/>
      <c r="HSY27" s="28"/>
      <c r="HSZ27" s="28"/>
      <c r="HTA27" s="28"/>
      <c r="HTB27" s="28"/>
      <c r="HTC27" s="28"/>
      <c r="HTD27" s="28"/>
      <c r="HTE27" s="28"/>
      <c r="HTF27" s="28"/>
      <c r="HTG27" s="28"/>
      <c r="HTH27" s="28"/>
      <c r="HTI27" s="28"/>
      <c r="HTJ27" s="28"/>
      <c r="HTK27" s="28"/>
      <c r="HTL27" s="28"/>
      <c r="HTM27" s="28"/>
      <c r="HTN27" s="28"/>
      <c r="HTO27" s="28"/>
      <c r="HTP27" s="28"/>
      <c r="HTQ27" s="28"/>
      <c r="HTR27" s="28"/>
      <c r="HTS27" s="28"/>
      <c r="HTT27" s="28"/>
      <c r="HTU27" s="28"/>
      <c r="HTV27" s="28"/>
      <c r="HTW27" s="28"/>
      <c r="HTX27" s="28"/>
      <c r="HTY27" s="28"/>
      <c r="HTZ27" s="28"/>
      <c r="HUA27" s="28"/>
      <c r="HUB27" s="28"/>
      <c r="HUC27" s="28"/>
      <c r="HUD27" s="28"/>
      <c r="HUE27" s="28"/>
      <c r="HUF27" s="28"/>
      <c r="HUG27" s="28"/>
      <c r="HUH27" s="28"/>
      <c r="HUI27" s="28"/>
      <c r="HUJ27" s="28"/>
      <c r="HUK27" s="28"/>
      <c r="HUL27" s="28"/>
      <c r="HUM27" s="28"/>
      <c r="HUN27" s="28"/>
      <c r="HUO27" s="28"/>
      <c r="HUP27" s="28"/>
      <c r="HUQ27" s="28"/>
      <c r="HUR27" s="28"/>
      <c r="HUS27" s="28"/>
      <c r="HUT27" s="28"/>
      <c r="HUU27" s="28"/>
      <c r="HUV27" s="28"/>
      <c r="HUW27" s="28"/>
      <c r="HUX27" s="28"/>
      <c r="HUY27" s="28"/>
      <c r="HUZ27" s="28"/>
      <c r="HVA27" s="28"/>
      <c r="HVB27" s="28"/>
      <c r="HVC27" s="28"/>
      <c r="HVD27" s="28"/>
      <c r="HVE27" s="28"/>
      <c r="HVF27" s="28"/>
      <c r="HVG27" s="28"/>
      <c r="HVH27" s="28"/>
      <c r="HVI27" s="28"/>
      <c r="HVJ27" s="28"/>
      <c r="HVK27" s="28"/>
      <c r="HVL27" s="28"/>
      <c r="HVM27" s="28"/>
      <c r="HVN27" s="28"/>
      <c r="HVO27" s="28"/>
      <c r="HVP27" s="28"/>
      <c r="HVQ27" s="28"/>
      <c r="HVR27" s="28"/>
      <c r="HVS27" s="28"/>
      <c r="HVT27" s="28"/>
      <c r="HVU27" s="28"/>
      <c r="HVV27" s="28"/>
      <c r="HVW27" s="28"/>
      <c r="HVX27" s="28"/>
      <c r="HVY27" s="28"/>
      <c r="HVZ27" s="28"/>
      <c r="HWA27" s="28"/>
      <c r="HWB27" s="28"/>
      <c r="HWC27" s="28"/>
      <c r="HWD27" s="28"/>
      <c r="HWE27" s="28"/>
      <c r="HWF27" s="28"/>
      <c r="HWG27" s="28"/>
      <c r="HWH27" s="28"/>
      <c r="HWI27" s="28"/>
      <c r="HWJ27" s="28"/>
      <c r="HWK27" s="28"/>
      <c r="HWL27" s="28"/>
      <c r="HWM27" s="28"/>
      <c r="HWN27" s="28"/>
      <c r="HWO27" s="28"/>
      <c r="HWP27" s="28"/>
      <c r="HWQ27" s="28"/>
      <c r="HWR27" s="28"/>
      <c r="HWS27" s="28"/>
      <c r="HWT27" s="28"/>
      <c r="HWU27" s="28"/>
      <c r="HWV27" s="28"/>
      <c r="HWW27" s="28"/>
      <c r="HWX27" s="28"/>
      <c r="HWY27" s="28"/>
      <c r="HWZ27" s="28"/>
      <c r="HXA27" s="28"/>
      <c r="HXB27" s="28"/>
      <c r="HXC27" s="28"/>
      <c r="HXD27" s="28"/>
      <c r="HXE27" s="28"/>
      <c r="HXF27" s="28"/>
      <c r="HXG27" s="28"/>
      <c r="HXH27" s="28"/>
      <c r="HXI27" s="28"/>
      <c r="HXJ27" s="28"/>
      <c r="HXK27" s="28"/>
      <c r="HXL27" s="28"/>
      <c r="HXM27" s="28"/>
      <c r="HXN27" s="28"/>
      <c r="HXO27" s="28"/>
      <c r="HXP27" s="28"/>
      <c r="HXQ27" s="28"/>
      <c r="HXR27" s="28"/>
      <c r="HXS27" s="28"/>
      <c r="HXT27" s="28"/>
      <c r="HXU27" s="28"/>
      <c r="HXV27" s="28"/>
      <c r="HXW27" s="28"/>
      <c r="HXX27" s="28"/>
      <c r="HXY27" s="28"/>
      <c r="HXZ27" s="28"/>
      <c r="HYA27" s="28"/>
      <c r="HYB27" s="28"/>
      <c r="HYC27" s="28"/>
      <c r="HYD27" s="28"/>
      <c r="HYE27" s="28"/>
      <c r="HYF27" s="28"/>
      <c r="HYG27" s="28"/>
      <c r="HYH27" s="28"/>
      <c r="HYI27" s="28"/>
      <c r="HYJ27" s="28"/>
      <c r="HYK27" s="28"/>
      <c r="HYL27" s="28"/>
      <c r="HYM27" s="28"/>
      <c r="HYN27" s="28"/>
      <c r="HYO27" s="28"/>
      <c r="HYP27" s="28"/>
      <c r="HYQ27" s="28"/>
      <c r="HYR27" s="28"/>
      <c r="HYS27" s="28"/>
      <c r="HYT27" s="28"/>
      <c r="HYU27" s="28"/>
      <c r="HYV27" s="28"/>
      <c r="HYW27" s="28"/>
      <c r="HYX27" s="28"/>
      <c r="HYY27" s="28"/>
      <c r="HYZ27" s="28"/>
      <c r="HZA27" s="28"/>
      <c r="HZB27" s="28"/>
      <c r="HZC27" s="28"/>
      <c r="HZD27" s="28"/>
      <c r="HZE27" s="28"/>
      <c r="HZF27" s="28"/>
      <c r="HZG27" s="28"/>
      <c r="HZH27" s="28"/>
      <c r="HZI27" s="28"/>
      <c r="HZJ27" s="28"/>
      <c r="HZK27" s="28"/>
      <c r="HZL27" s="28"/>
      <c r="HZM27" s="28"/>
      <c r="HZN27" s="28"/>
      <c r="HZO27" s="28"/>
      <c r="HZP27" s="28"/>
      <c r="HZQ27" s="28"/>
      <c r="HZR27" s="28"/>
      <c r="HZS27" s="28"/>
      <c r="HZT27" s="28"/>
      <c r="HZU27" s="28"/>
      <c r="HZV27" s="28"/>
      <c r="HZW27" s="28"/>
      <c r="HZX27" s="28"/>
      <c r="HZY27" s="28"/>
      <c r="HZZ27" s="28"/>
      <c r="IAA27" s="28"/>
      <c r="IAB27" s="28"/>
      <c r="IAC27" s="28"/>
      <c r="IAD27" s="28"/>
      <c r="IAE27" s="28"/>
      <c r="IAF27" s="28"/>
      <c r="IAG27" s="28"/>
      <c r="IAH27" s="28"/>
      <c r="IAI27" s="28"/>
      <c r="IAJ27" s="28"/>
      <c r="IAK27" s="28"/>
      <c r="IAL27" s="28"/>
      <c r="IAM27" s="28"/>
      <c r="IAN27" s="28"/>
      <c r="IAO27" s="28"/>
      <c r="IAP27" s="28"/>
      <c r="IAQ27" s="28"/>
      <c r="IAR27" s="28"/>
      <c r="IAS27" s="28"/>
      <c r="IAT27" s="28"/>
      <c r="IAU27" s="28"/>
      <c r="IAV27" s="28"/>
      <c r="IAW27" s="28"/>
      <c r="IAX27" s="28"/>
      <c r="IAY27" s="28"/>
      <c r="IAZ27" s="28"/>
      <c r="IBA27" s="28"/>
      <c r="IBB27" s="28"/>
      <c r="IBC27" s="28"/>
      <c r="IBD27" s="28"/>
      <c r="IBE27" s="28"/>
      <c r="IBF27" s="28"/>
      <c r="IBG27" s="28"/>
      <c r="IBH27" s="28"/>
      <c r="IBI27" s="28"/>
      <c r="IBJ27" s="28"/>
      <c r="IBK27" s="28"/>
      <c r="IBL27" s="28"/>
      <c r="IBM27" s="28"/>
      <c r="IBN27" s="28"/>
      <c r="IBO27" s="28"/>
      <c r="IBP27" s="28"/>
      <c r="IBQ27" s="28"/>
      <c r="IBR27" s="28"/>
      <c r="IBS27" s="28"/>
      <c r="IBT27" s="28"/>
      <c r="IBU27" s="28"/>
      <c r="IBV27" s="28"/>
      <c r="IBW27" s="28"/>
      <c r="IBX27" s="28"/>
      <c r="IBY27" s="28"/>
      <c r="IBZ27" s="28"/>
      <c r="ICA27" s="28"/>
      <c r="ICB27" s="28"/>
      <c r="ICC27" s="28"/>
      <c r="ICD27" s="28"/>
      <c r="ICE27" s="28"/>
      <c r="ICF27" s="28"/>
      <c r="ICG27" s="28"/>
      <c r="ICH27" s="28"/>
      <c r="ICI27" s="28"/>
      <c r="ICJ27" s="28"/>
      <c r="ICK27" s="28"/>
      <c r="ICL27" s="28"/>
      <c r="ICM27" s="28"/>
      <c r="ICN27" s="28"/>
      <c r="ICO27" s="28"/>
      <c r="ICP27" s="28"/>
      <c r="ICQ27" s="28"/>
      <c r="ICR27" s="28"/>
      <c r="ICS27" s="28"/>
      <c r="ICT27" s="28"/>
      <c r="ICU27" s="28"/>
      <c r="ICV27" s="28"/>
      <c r="ICW27" s="28"/>
      <c r="ICX27" s="28"/>
      <c r="ICY27" s="28"/>
      <c r="ICZ27" s="28"/>
      <c r="IDA27" s="28"/>
      <c r="IDB27" s="28"/>
      <c r="IDC27" s="28"/>
      <c r="IDD27" s="28"/>
      <c r="IDE27" s="28"/>
      <c r="IDF27" s="28"/>
      <c r="IDG27" s="28"/>
      <c r="IDH27" s="28"/>
      <c r="IDI27" s="28"/>
      <c r="IDJ27" s="28"/>
      <c r="IDK27" s="28"/>
      <c r="IDL27" s="28"/>
      <c r="IDM27" s="28"/>
      <c r="IDN27" s="28"/>
      <c r="IDO27" s="28"/>
      <c r="IDP27" s="28"/>
      <c r="IDQ27" s="28"/>
      <c r="IDR27" s="28"/>
      <c r="IDS27" s="28"/>
      <c r="IDT27" s="28"/>
      <c r="IDU27" s="28"/>
      <c r="IDV27" s="28"/>
      <c r="IDW27" s="28"/>
      <c r="IDX27" s="28"/>
      <c r="IDY27" s="28"/>
      <c r="IDZ27" s="28"/>
      <c r="IEA27" s="28"/>
      <c r="IEB27" s="28"/>
      <c r="IEC27" s="28"/>
      <c r="IED27" s="28"/>
      <c r="IEE27" s="28"/>
      <c r="IEF27" s="28"/>
      <c r="IEG27" s="28"/>
      <c r="IEH27" s="28"/>
      <c r="IEI27" s="28"/>
      <c r="IEJ27" s="28"/>
      <c r="IEK27" s="28"/>
      <c r="IEL27" s="28"/>
      <c r="IEM27" s="28"/>
      <c r="IEN27" s="28"/>
      <c r="IEO27" s="28"/>
      <c r="IEP27" s="28"/>
      <c r="IEQ27" s="28"/>
      <c r="IER27" s="28"/>
      <c r="IES27" s="28"/>
      <c r="IET27" s="28"/>
      <c r="IEU27" s="28"/>
      <c r="IEV27" s="28"/>
      <c r="IEW27" s="28"/>
      <c r="IEX27" s="28"/>
      <c r="IEY27" s="28"/>
      <c r="IEZ27" s="28"/>
      <c r="IFA27" s="28"/>
      <c r="IFB27" s="28"/>
      <c r="IFC27" s="28"/>
      <c r="IFD27" s="28"/>
      <c r="IFE27" s="28"/>
      <c r="IFF27" s="28"/>
      <c r="IFG27" s="28"/>
      <c r="IFH27" s="28"/>
      <c r="IFI27" s="28"/>
      <c r="IFJ27" s="28"/>
      <c r="IFK27" s="28"/>
      <c r="IFL27" s="28"/>
      <c r="IFM27" s="28"/>
      <c r="IFN27" s="28"/>
      <c r="IFO27" s="28"/>
      <c r="IFP27" s="28"/>
      <c r="IFQ27" s="28"/>
      <c r="IFR27" s="28"/>
      <c r="IFS27" s="28"/>
      <c r="IFT27" s="28"/>
      <c r="IFU27" s="28"/>
      <c r="IFV27" s="28"/>
      <c r="IFW27" s="28"/>
      <c r="IFX27" s="28"/>
      <c r="IFY27" s="28"/>
      <c r="IFZ27" s="28"/>
      <c r="IGA27" s="28"/>
      <c r="IGB27" s="28"/>
      <c r="IGC27" s="28"/>
      <c r="IGD27" s="28"/>
      <c r="IGE27" s="28"/>
      <c r="IGF27" s="28"/>
      <c r="IGG27" s="28"/>
      <c r="IGH27" s="28"/>
      <c r="IGI27" s="28"/>
      <c r="IGJ27" s="28"/>
      <c r="IGK27" s="28"/>
      <c r="IGL27" s="28"/>
      <c r="IGM27" s="28"/>
      <c r="IGN27" s="28"/>
      <c r="IGO27" s="28"/>
      <c r="IGP27" s="28"/>
      <c r="IGQ27" s="28"/>
      <c r="IGR27" s="28"/>
      <c r="IGS27" s="28"/>
      <c r="IGT27" s="28"/>
      <c r="IGU27" s="28"/>
      <c r="IGV27" s="28"/>
      <c r="IGW27" s="28"/>
      <c r="IGX27" s="28"/>
      <c r="IGY27" s="28"/>
      <c r="IGZ27" s="28"/>
      <c r="IHA27" s="28"/>
      <c r="IHB27" s="28"/>
      <c r="IHC27" s="28"/>
      <c r="IHD27" s="28"/>
      <c r="IHE27" s="28"/>
      <c r="IHF27" s="28"/>
      <c r="IHG27" s="28"/>
      <c r="IHH27" s="28"/>
      <c r="IHI27" s="28"/>
      <c r="IHJ27" s="28"/>
      <c r="IHK27" s="28"/>
      <c r="IHL27" s="28"/>
      <c r="IHM27" s="28"/>
      <c r="IHN27" s="28"/>
      <c r="IHO27" s="28"/>
      <c r="IHP27" s="28"/>
      <c r="IHQ27" s="28"/>
      <c r="IHR27" s="28"/>
      <c r="IHS27" s="28"/>
      <c r="IHT27" s="28"/>
      <c r="IHU27" s="28"/>
      <c r="IHV27" s="28"/>
      <c r="IHW27" s="28"/>
      <c r="IHX27" s="28"/>
      <c r="IHY27" s="28"/>
      <c r="IHZ27" s="28"/>
      <c r="IIA27" s="28"/>
      <c r="IIB27" s="28"/>
      <c r="IIC27" s="28"/>
      <c r="IID27" s="28"/>
      <c r="IIE27" s="28"/>
      <c r="IIF27" s="28"/>
      <c r="IIG27" s="28"/>
      <c r="IIH27" s="28"/>
      <c r="III27" s="28"/>
      <c r="IIJ27" s="28"/>
      <c r="IIK27" s="28"/>
      <c r="IIL27" s="28"/>
      <c r="IIM27" s="28"/>
      <c r="IIN27" s="28"/>
      <c r="IIO27" s="28"/>
      <c r="IIP27" s="28"/>
      <c r="IIQ27" s="28"/>
      <c r="IIR27" s="28"/>
      <c r="IIS27" s="28"/>
      <c r="IIT27" s="28"/>
      <c r="IIU27" s="28"/>
      <c r="IIV27" s="28"/>
      <c r="IIW27" s="28"/>
      <c r="IIX27" s="28"/>
      <c r="IIY27" s="28"/>
      <c r="IIZ27" s="28"/>
      <c r="IJA27" s="28"/>
      <c r="IJB27" s="28"/>
      <c r="IJC27" s="28"/>
      <c r="IJD27" s="28"/>
      <c r="IJE27" s="28"/>
      <c r="IJF27" s="28"/>
      <c r="IJG27" s="28"/>
      <c r="IJH27" s="28"/>
      <c r="IJI27" s="28"/>
      <c r="IJJ27" s="28"/>
      <c r="IJK27" s="28"/>
      <c r="IJL27" s="28"/>
      <c r="IJM27" s="28"/>
      <c r="IJN27" s="28"/>
      <c r="IJO27" s="28"/>
      <c r="IJP27" s="28"/>
      <c r="IJQ27" s="28"/>
      <c r="IJR27" s="28"/>
      <c r="IJS27" s="28"/>
      <c r="IJT27" s="28"/>
      <c r="IJU27" s="28"/>
      <c r="IJV27" s="28"/>
      <c r="IJW27" s="28"/>
      <c r="IJX27" s="28"/>
      <c r="IJY27" s="28"/>
      <c r="IJZ27" s="28"/>
      <c r="IKA27" s="28"/>
      <c r="IKB27" s="28"/>
      <c r="IKC27" s="28"/>
      <c r="IKD27" s="28"/>
      <c r="IKE27" s="28"/>
      <c r="IKF27" s="28"/>
      <c r="IKG27" s="28"/>
      <c r="IKH27" s="28"/>
      <c r="IKI27" s="28"/>
      <c r="IKJ27" s="28"/>
      <c r="IKK27" s="28"/>
      <c r="IKL27" s="28"/>
      <c r="IKM27" s="28"/>
      <c r="IKN27" s="28"/>
      <c r="IKO27" s="28"/>
      <c r="IKP27" s="28"/>
      <c r="IKQ27" s="28"/>
      <c r="IKR27" s="28"/>
      <c r="IKS27" s="28"/>
      <c r="IKT27" s="28"/>
      <c r="IKU27" s="28"/>
      <c r="IKV27" s="28"/>
      <c r="IKW27" s="28"/>
      <c r="IKX27" s="28"/>
      <c r="IKY27" s="28"/>
      <c r="IKZ27" s="28"/>
      <c r="ILA27" s="28"/>
      <c r="ILB27" s="28"/>
      <c r="ILC27" s="28"/>
      <c r="ILD27" s="28"/>
      <c r="ILE27" s="28"/>
      <c r="ILF27" s="28"/>
      <c r="ILG27" s="28"/>
      <c r="ILH27" s="28"/>
      <c r="ILI27" s="28"/>
      <c r="ILJ27" s="28"/>
      <c r="ILK27" s="28"/>
      <c r="ILL27" s="28"/>
      <c r="ILM27" s="28"/>
      <c r="ILN27" s="28"/>
      <c r="ILO27" s="28"/>
      <c r="ILP27" s="28"/>
      <c r="ILQ27" s="28"/>
      <c r="ILR27" s="28"/>
      <c r="ILS27" s="28"/>
      <c r="ILT27" s="28"/>
      <c r="ILU27" s="28"/>
      <c r="ILV27" s="28"/>
      <c r="ILW27" s="28"/>
      <c r="ILX27" s="28"/>
      <c r="ILY27" s="28"/>
      <c r="ILZ27" s="28"/>
      <c r="IMA27" s="28"/>
      <c r="IMB27" s="28"/>
      <c r="IMC27" s="28"/>
      <c r="IMD27" s="28"/>
      <c r="IME27" s="28"/>
      <c r="IMF27" s="28"/>
      <c r="IMG27" s="28"/>
      <c r="IMH27" s="28"/>
      <c r="IMI27" s="28"/>
      <c r="IMJ27" s="28"/>
      <c r="IMK27" s="28"/>
      <c r="IML27" s="28"/>
      <c r="IMM27" s="28"/>
      <c r="IMN27" s="28"/>
      <c r="IMO27" s="28"/>
      <c r="IMP27" s="28"/>
      <c r="IMQ27" s="28"/>
      <c r="IMR27" s="28"/>
      <c r="IMS27" s="28"/>
      <c r="IMT27" s="28"/>
      <c r="IMU27" s="28"/>
      <c r="IMV27" s="28"/>
      <c r="IMW27" s="28"/>
      <c r="IMX27" s="28"/>
      <c r="IMY27" s="28"/>
      <c r="IMZ27" s="28"/>
      <c r="INA27" s="28"/>
      <c r="INB27" s="28"/>
      <c r="INC27" s="28"/>
      <c r="IND27" s="28"/>
      <c r="INE27" s="28"/>
      <c r="INF27" s="28"/>
      <c r="ING27" s="28"/>
      <c r="INH27" s="28"/>
      <c r="INI27" s="28"/>
      <c r="INJ27" s="28"/>
      <c r="INK27" s="28"/>
      <c r="INL27" s="28"/>
      <c r="INM27" s="28"/>
      <c r="INN27" s="28"/>
      <c r="INO27" s="28"/>
      <c r="INP27" s="28"/>
      <c r="INQ27" s="28"/>
      <c r="INR27" s="28"/>
      <c r="INS27" s="28"/>
      <c r="INT27" s="28"/>
      <c r="INU27" s="28"/>
      <c r="INV27" s="28"/>
      <c r="INW27" s="28"/>
      <c r="INX27" s="28"/>
      <c r="INY27" s="28"/>
      <c r="INZ27" s="28"/>
      <c r="IOA27" s="28"/>
      <c r="IOB27" s="28"/>
      <c r="IOC27" s="28"/>
      <c r="IOD27" s="28"/>
      <c r="IOE27" s="28"/>
      <c r="IOF27" s="28"/>
      <c r="IOG27" s="28"/>
      <c r="IOH27" s="28"/>
      <c r="IOI27" s="28"/>
      <c r="IOJ27" s="28"/>
      <c r="IOK27" s="28"/>
      <c r="IOL27" s="28"/>
      <c r="IOM27" s="28"/>
      <c r="ION27" s="28"/>
      <c r="IOO27" s="28"/>
      <c r="IOP27" s="28"/>
      <c r="IOQ27" s="28"/>
      <c r="IOR27" s="28"/>
      <c r="IOS27" s="28"/>
      <c r="IOT27" s="28"/>
      <c r="IOU27" s="28"/>
      <c r="IOV27" s="28"/>
      <c r="IOW27" s="28"/>
      <c r="IOX27" s="28"/>
      <c r="IOY27" s="28"/>
      <c r="IOZ27" s="28"/>
      <c r="IPA27" s="28"/>
      <c r="IPB27" s="28"/>
      <c r="IPC27" s="28"/>
      <c r="IPD27" s="28"/>
      <c r="IPE27" s="28"/>
      <c r="IPF27" s="28"/>
      <c r="IPG27" s="28"/>
      <c r="IPH27" s="28"/>
      <c r="IPI27" s="28"/>
      <c r="IPJ27" s="28"/>
      <c r="IPK27" s="28"/>
      <c r="IPL27" s="28"/>
      <c r="IPM27" s="28"/>
      <c r="IPN27" s="28"/>
      <c r="IPO27" s="28"/>
      <c r="IPP27" s="28"/>
      <c r="IPQ27" s="28"/>
      <c r="IPR27" s="28"/>
      <c r="IPS27" s="28"/>
      <c r="IPT27" s="28"/>
      <c r="IPU27" s="28"/>
      <c r="IPV27" s="28"/>
      <c r="IPW27" s="28"/>
      <c r="IPX27" s="28"/>
      <c r="IPY27" s="28"/>
      <c r="IPZ27" s="28"/>
      <c r="IQA27" s="28"/>
      <c r="IQB27" s="28"/>
      <c r="IQC27" s="28"/>
      <c r="IQD27" s="28"/>
      <c r="IQE27" s="28"/>
      <c r="IQF27" s="28"/>
      <c r="IQG27" s="28"/>
      <c r="IQH27" s="28"/>
      <c r="IQI27" s="28"/>
      <c r="IQJ27" s="28"/>
      <c r="IQK27" s="28"/>
      <c r="IQL27" s="28"/>
      <c r="IQM27" s="28"/>
      <c r="IQN27" s="28"/>
      <c r="IQO27" s="28"/>
      <c r="IQP27" s="28"/>
      <c r="IQQ27" s="28"/>
      <c r="IQR27" s="28"/>
      <c r="IQS27" s="28"/>
      <c r="IQT27" s="28"/>
      <c r="IQU27" s="28"/>
      <c r="IQV27" s="28"/>
      <c r="IQW27" s="28"/>
      <c r="IQX27" s="28"/>
      <c r="IQY27" s="28"/>
      <c r="IQZ27" s="28"/>
      <c r="IRA27" s="28"/>
      <c r="IRB27" s="28"/>
      <c r="IRC27" s="28"/>
      <c r="IRD27" s="28"/>
      <c r="IRE27" s="28"/>
      <c r="IRF27" s="28"/>
      <c r="IRG27" s="28"/>
      <c r="IRH27" s="28"/>
      <c r="IRI27" s="28"/>
      <c r="IRJ27" s="28"/>
      <c r="IRK27" s="28"/>
      <c r="IRL27" s="28"/>
      <c r="IRM27" s="28"/>
      <c r="IRN27" s="28"/>
      <c r="IRO27" s="28"/>
      <c r="IRP27" s="28"/>
      <c r="IRQ27" s="28"/>
      <c r="IRR27" s="28"/>
      <c r="IRS27" s="28"/>
      <c r="IRT27" s="28"/>
      <c r="IRU27" s="28"/>
      <c r="IRV27" s="28"/>
      <c r="IRW27" s="28"/>
      <c r="IRX27" s="28"/>
      <c r="IRY27" s="28"/>
      <c r="IRZ27" s="28"/>
      <c r="ISA27" s="28"/>
      <c r="ISB27" s="28"/>
      <c r="ISC27" s="28"/>
      <c r="ISD27" s="28"/>
      <c r="ISE27" s="28"/>
      <c r="ISF27" s="28"/>
      <c r="ISG27" s="28"/>
      <c r="ISH27" s="28"/>
      <c r="ISI27" s="28"/>
      <c r="ISJ27" s="28"/>
      <c r="ISK27" s="28"/>
      <c r="ISL27" s="28"/>
      <c r="ISM27" s="28"/>
      <c r="ISN27" s="28"/>
      <c r="ISO27" s="28"/>
      <c r="ISP27" s="28"/>
      <c r="ISQ27" s="28"/>
      <c r="ISR27" s="28"/>
      <c r="ISS27" s="28"/>
      <c r="IST27" s="28"/>
      <c r="ISU27" s="28"/>
      <c r="ISV27" s="28"/>
      <c r="ISW27" s="28"/>
      <c r="ISX27" s="28"/>
      <c r="ISY27" s="28"/>
      <c r="ISZ27" s="28"/>
      <c r="ITA27" s="28"/>
      <c r="ITB27" s="28"/>
      <c r="ITC27" s="28"/>
      <c r="ITD27" s="28"/>
      <c r="ITE27" s="28"/>
      <c r="ITF27" s="28"/>
      <c r="ITG27" s="28"/>
      <c r="ITH27" s="28"/>
      <c r="ITI27" s="28"/>
      <c r="ITJ27" s="28"/>
      <c r="ITK27" s="28"/>
      <c r="ITL27" s="28"/>
      <c r="ITM27" s="28"/>
      <c r="ITN27" s="28"/>
      <c r="ITO27" s="28"/>
      <c r="ITP27" s="28"/>
      <c r="ITQ27" s="28"/>
      <c r="ITR27" s="28"/>
      <c r="ITS27" s="28"/>
      <c r="ITT27" s="28"/>
      <c r="ITU27" s="28"/>
      <c r="ITV27" s="28"/>
      <c r="ITW27" s="28"/>
      <c r="ITX27" s="28"/>
      <c r="ITY27" s="28"/>
      <c r="ITZ27" s="28"/>
      <c r="IUA27" s="28"/>
      <c r="IUB27" s="28"/>
      <c r="IUC27" s="28"/>
      <c r="IUD27" s="28"/>
      <c r="IUE27" s="28"/>
      <c r="IUF27" s="28"/>
      <c r="IUG27" s="28"/>
      <c r="IUH27" s="28"/>
      <c r="IUI27" s="28"/>
      <c r="IUJ27" s="28"/>
      <c r="IUK27" s="28"/>
      <c r="IUL27" s="28"/>
      <c r="IUM27" s="28"/>
      <c r="IUN27" s="28"/>
      <c r="IUO27" s="28"/>
      <c r="IUP27" s="28"/>
      <c r="IUQ27" s="28"/>
      <c r="IUR27" s="28"/>
      <c r="IUS27" s="28"/>
      <c r="IUT27" s="28"/>
      <c r="IUU27" s="28"/>
      <c r="IUV27" s="28"/>
      <c r="IUW27" s="28"/>
      <c r="IUX27" s="28"/>
      <c r="IUY27" s="28"/>
      <c r="IUZ27" s="28"/>
      <c r="IVA27" s="28"/>
      <c r="IVB27" s="28"/>
      <c r="IVC27" s="28"/>
      <c r="IVD27" s="28"/>
      <c r="IVE27" s="28"/>
      <c r="IVF27" s="28"/>
      <c r="IVG27" s="28"/>
      <c r="IVH27" s="28"/>
      <c r="IVI27" s="28"/>
      <c r="IVJ27" s="28"/>
      <c r="IVK27" s="28"/>
      <c r="IVL27" s="28"/>
      <c r="IVM27" s="28"/>
      <c r="IVN27" s="28"/>
      <c r="IVO27" s="28"/>
      <c r="IVP27" s="28"/>
      <c r="IVQ27" s="28"/>
      <c r="IVR27" s="28"/>
      <c r="IVS27" s="28"/>
      <c r="IVT27" s="28"/>
      <c r="IVU27" s="28"/>
      <c r="IVV27" s="28"/>
      <c r="IVW27" s="28"/>
      <c r="IVX27" s="28"/>
      <c r="IVY27" s="28"/>
      <c r="IVZ27" s="28"/>
      <c r="IWA27" s="28"/>
      <c r="IWB27" s="28"/>
      <c r="IWC27" s="28"/>
      <c r="IWD27" s="28"/>
      <c r="IWE27" s="28"/>
      <c r="IWF27" s="28"/>
      <c r="IWG27" s="28"/>
      <c r="IWH27" s="28"/>
      <c r="IWI27" s="28"/>
      <c r="IWJ27" s="28"/>
      <c r="IWK27" s="28"/>
      <c r="IWL27" s="28"/>
      <c r="IWM27" s="28"/>
      <c r="IWN27" s="28"/>
      <c r="IWO27" s="28"/>
      <c r="IWP27" s="28"/>
      <c r="IWQ27" s="28"/>
      <c r="IWR27" s="28"/>
      <c r="IWS27" s="28"/>
      <c r="IWT27" s="28"/>
      <c r="IWU27" s="28"/>
      <c r="IWV27" s="28"/>
      <c r="IWW27" s="28"/>
      <c r="IWX27" s="28"/>
      <c r="IWY27" s="28"/>
      <c r="IWZ27" s="28"/>
      <c r="IXA27" s="28"/>
      <c r="IXB27" s="28"/>
      <c r="IXC27" s="28"/>
      <c r="IXD27" s="28"/>
      <c r="IXE27" s="28"/>
      <c r="IXF27" s="28"/>
      <c r="IXG27" s="28"/>
      <c r="IXH27" s="28"/>
      <c r="IXI27" s="28"/>
      <c r="IXJ27" s="28"/>
      <c r="IXK27" s="28"/>
      <c r="IXL27" s="28"/>
      <c r="IXM27" s="28"/>
      <c r="IXN27" s="28"/>
      <c r="IXO27" s="28"/>
      <c r="IXP27" s="28"/>
      <c r="IXQ27" s="28"/>
      <c r="IXR27" s="28"/>
      <c r="IXS27" s="28"/>
      <c r="IXT27" s="28"/>
      <c r="IXU27" s="28"/>
      <c r="IXV27" s="28"/>
      <c r="IXW27" s="28"/>
      <c r="IXX27" s="28"/>
      <c r="IXY27" s="28"/>
      <c r="IXZ27" s="28"/>
      <c r="IYA27" s="28"/>
      <c r="IYB27" s="28"/>
      <c r="IYC27" s="28"/>
      <c r="IYD27" s="28"/>
      <c r="IYE27" s="28"/>
      <c r="IYF27" s="28"/>
      <c r="IYG27" s="28"/>
      <c r="IYH27" s="28"/>
      <c r="IYI27" s="28"/>
      <c r="IYJ27" s="28"/>
      <c r="IYK27" s="28"/>
      <c r="IYL27" s="28"/>
      <c r="IYM27" s="28"/>
      <c r="IYN27" s="28"/>
      <c r="IYO27" s="28"/>
      <c r="IYP27" s="28"/>
      <c r="IYQ27" s="28"/>
      <c r="IYR27" s="28"/>
      <c r="IYS27" s="28"/>
      <c r="IYT27" s="28"/>
      <c r="IYU27" s="28"/>
      <c r="IYV27" s="28"/>
      <c r="IYW27" s="28"/>
      <c r="IYX27" s="28"/>
      <c r="IYY27" s="28"/>
      <c r="IYZ27" s="28"/>
      <c r="IZA27" s="28"/>
      <c r="IZB27" s="28"/>
      <c r="IZC27" s="28"/>
      <c r="IZD27" s="28"/>
      <c r="IZE27" s="28"/>
      <c r="IZF27" s="28"/>
      <c r="IZG27" s="28"/>
      <c r="IZH27" s="28"/>
      <c r="IZI27" s="28"/>
      <c r="IZJ27" s="28"/>
      <c r="IZK27" s="28"/>
      <c r="IZL27" s="28"/>
      <c r="IZM27" s="28"/>
      <c r="IZN27" s="28"/>
      <c r="IZO27" s="28"/>
      <c r="IZP27" s="28"/>
      <c r="IZQ27" s="28"/>
      <c r="IZR27" s="28"/>
      <c r="IZS27" s="28"/>
      <c r="IZT27" s="28"/>
      <c r="IZU27" s="28"/>
      <c r="IZV27" s="28"/>
      <c r="IZW27" s="28"/>
      <c r="IZX27" s="28"/>
      <c r="IZY27" s="28"/>
      <c r="IZZ27" s="28"/>
      <c r="JAA27" s="28"/>
      <c r="JAB27" s="28"/>
      <c r="JAC27" s="28"/>
      <c r="JAD27" s="28"/>
      <c r="JAE27" s="28"/>
      <c r="JAF27" s="28"/>
      <c r="JAG27" s="28"/>
      <c r="JAH27" s="28"/>
      <c r="JAI27" s="28"/>
      <c r="JAJ27" s="28"/>
      <c r="JAK27" s="28"/>
      <c r="JAL27" s="28"/>
      <c r="JAM27" s="28"/>
      <c r="JAN27" s="28"/>
      <c r="JAO27" s="28"/>
      <c r="JAP27" s="28"/>
      <c r="JAQ27" s="28"/>
      <c r="JAR27" s="28"/>
      <c r="JAS27" s="28"/>
      <c r="JAT27" s="28"/>
      <c r="JAU27" s="28"/>
      <c r="JAV27" s="28"/>
      <c r="JAW27" s="28"/>
      <c r="JAX27" s="28"/>
      <c r="JAY27" s="28"/>
      <c r="JAZ27" s="28"/>
      <c r="JBA27" s="28"/>
      <c r="JBB27" s="28"/>
      <c r="JBC27" s="28"/>
      <c r="JBD27" s="28"/>
      <c r="JBE27" s="28"/>
      <c r="JBF27" s="28"/>
      <c r="JBG27" s="28"/>
      <c r="JBH27" s="28"/>
      <c r="JBI27" s="28"/>
      <c r="JBJ27" s="28"/>
      <c r="JBK27" s="28"/>
      <c r="JBL27" s="28"/>
      <c r="JBM27" s="28"/>
      <c r="JBN27" s="28"/>
      <c r="JBO27" s="28"/>
      <c r="JBP27" s="28"/>
      <c r="JBQ27" s="28"/>
      <c r="JBR27" s="28"/>
      <c r="JBS27" s="28"/>
      <c r="JBT27" s="28"/>
      <c r="JBU27" s="28"/>
      <c r="JBV27" s="28"/>
      <c r="JBW27" s="28"/>
      <c r="JBX27" s="28"/>
      <c r="JBY27" s="28"/>
      <c r="JBZ27" s="28"/>
      <c r="JCA27" s="28"/>
      <c r="JCB27" s="28"/>
      <c r="JCC27" s="28"/>
      <c r="JCD27" s="28"/>
      <c r="JCE27" s="28"/>
      <c r="JCF27" s="28"/>
      <c r="JCG27" s="28"/>
      <c r="JCH27" s="28"/>
      <c r="JCI27" s="28"/>
      <c r="JCJ27" s="28"/>
      <c r="JCK27" s="28"/>
      <c r="JCL27" s="28"/>
      <c r="JCM27" s="28"/>
      <c r="JCN27" s="28"/>
      <c r="JCO27" s="28"/>
      <c r="JCP27" s="28"/>
      <c r="JCQ27" s="28"/>
      <c r="JCR27" s="28"/>
      <c r="JCS27" s="28"/>
      <c r="JCT27" s="28"/>
      <c r="JCU27" s="28"/>
      <c r="JCV27" s="28"/>
      <c r="JCW27" s="28"/>
      <c r="JCX27" s="28"/>
      <c r="JCY27" s="28"/>
      <c r="JCZ27" s="28"/>
      <c r="JDA27" s="28"/>
      <c r="JDB27" s="28"/>
      <c r="JDC27" s="28"/>
      <c r="JDD27" s="28"/>
      <c r="JDE27" s="28"/>
      <c r="JDF27" s="28"/>
      <c r="JDG27" s="28"/>
      <c r="JDH27" s="28"/>
      <c r="JDI27" s="28"/>
      <c r="JDJ27" s="28"/>
      <c r="JDK27" s="28"/>
      <c r="JDL27" s="28"/>
      <c r="JDM27" s="28"/>
      <c r="JDN27" s="28"/>
      <c r="JDO27" s="28"/>
      <c r="JDP27" s="28"/>
      <c r="JDQ27" s="28"/>
      <c r="JDR27" s="28"/>
      <c r="JDS27" s="28"/>
      <c r="JDT27" s="28"/>
      <c r="JDU27" s="28"/>
      <c r="JDV27" s="28"/>
      <c r="JDW27" s="28"/>
      <c r="JDX27" s="28"/>
      <c r="JDY27" s="28"/>
      <c r="JDZ27" s="28"/>
      <c r="JEA27" s="28"/>
      <c r="JEB27" s="28"/>
      <c r="JEC27" s="28"/>
      <c r="JED27" s="28"/>
      <c r="JEE27" s="28"/>
      <c r="JEF27" s="28"/>
      <c r="JEG27" s="28"/>
      <c r="JEH27" s="28"/>
      <c r="JEI27" s="28"/>
      <c r="JEJ27" s="28"/>
      <c r="JEK27" s="28"/>
      <c r="JEL27" s="28"/>
      <c r="JEM27" s="28"/>
      <c r="JEN27" s="28"/>
      <c r="JEO27" s="28"/>
      <c r="JEP27" s="28"/>
      <c r="JEQ27" s="28"/>
      <c r="JER27" s="28"/>
      <c r="JES27" s="28"/>
      <c r="JET27" s="28"/>
      <c r="JEU27" s="28"/>
      <c r="JEV27" s="28"/>
      <c r="JEW27" s="28"/>
      <c r="JEX27" s="28"/>
      <c r="JEY27" s="28"/>
      <c r="JEZ27" s="28"/>
      <c r="JFA27" s="28"/>
      <c r="JFB27" s="28"/>
      <c r="JFC27" s="28"/>
      <c r="JFD27" s="28"/>
      <c r="JFE27" s="28"/>
      <c r="JFF27" s="28"/>
      <c r="JFG27" s="28"/>
      <c r="JFH27" s="28"/>
      <c r="JFI27" s="28"/>
      <c r="JFJ27" s="28"/>
      <c r="JFK27" s="28"/>
      <c r="JFL27" s="28"/>
      <c r="JFM27" s="28"/>
      <c r="JFN27" s="28"/>
      <c r="JFO27" s="28"/>
      <c r="JFP27" s="28"/>
      <c r="JFQ27" s="28"/>
      <c r="JFR27" s="28"/>
      <c r="JFS27" s="28"/>
      <c r="JFT27" s="28"/>
      <c r="JFU27" s="28"/>
      <c r="JFV27" s="28"/>
      <c r="JFW27" s="28"/>
      <c r="JFX27" s="28"/>
      <c r="JFY27" s="28"/>
      <c r="JFZ27" s="28"/>
      <c r="JGA27" s="28"/>
      <c r="JGB27" s="28"/>
      <c r="JGC27" s="28"/>
      <c r="JGD27" s="28"/>
      <c r="JGE27" s="28"/>
      <c r="JGF27" s="28"/>
      <c r="JGG27" s="28"/>
      <c r="JGH27" s="28"/>
      <c r="JGI27" s="28"/>
      <c r="JGJ27" s="28"/>
      <c r="JGK27" s="28"/>
      <c r="JGL27" s="28"/>
      <c r="JGM27" s="28"/>
      <c r="JGN27" s="28"/>
      <c r="JGO27" s="28"/>
      <c r="JGP27" s="28"/>
      <c r="JGQ27" s="28"/>
      <c r="JGR27" s="28"/>
      <c r="JGS27" s="28"/>
      <c r="JGT27" s="28"/>
      <c r="JGU27" s="28"/>
      <c r="JGV27" s="28"/>
      <c r="JGW27" s="28"/>
      <c r="JGX27" s="28"/>
      <c r="JGY27" s="28"/>
      <c r="JGZ27" s="28"/>
      <c r="JHA27" s="28"/>
      <c r="JHB27" s="28"/>
      <c r="JHC27" s="28"/>
      <c r="JHD27" s="28"/>
      <c r="JHE27" s="28"/>
      <c r="JHF27" s="28"/>
      <c r="JHG27" s="28"/>
      <c r="JHH27" s="28"/>
      <c r="JHI27" s="28"/>
      <c r="JHJ27" s="28"/>
      <c r="JHK27" s="28"/>
      <c r="JHL27" s="28"/>
      <c r="JHM27" s="28"/>
      <c r="JHN27" s="28"/>
      <c r="JHO27" s="28"/>
      <c r="JHP27" s="28"/>
      <c r="JHQ27" s="28"/>
      <c r="JHR27" s="28"/>
      <c r="JHS27" s="28"/>
      <c r="JHT27" s="28"/>
      <c r="JHU27" s="28"/>
      <c r="JHV27" s="28"/>
      <c r="JHW27" s="28"/>
      <c r="JHX27" s="28"/>
      <c r="JHY27" s="28"/>
      <c r="JHZ27" s="28"/>
      <c r="JIA27" s="28"/>
      <c r="JIB27" s="28"/>
      <c r="JIC27" s="28"/>
      <c r="JID27" s="28"/>
      <c r="JIE27" s="28"/>
      <c r="JIF27" s="28"/>
      <c r="JIG27" s="28"/>
      <c r="JIH27" s="28"/>
      <c r="JII27" s="28"/>
      <c r="JIJ27" s="28"/>
      <c r="JIK27" s="28"/>
      <c r="JIL27" s="28"/>
      <c r="JIM27" s="28"/>
      <c r="JIN27" s="28"/>
      <c r="JIO27" s="28"/>
      <c r="JIP27" s="28"/>
      <c r="JIQ27" s="28"/>
      <c r="JIR27" s="28"/>
      <c r="JIS27" s="28"/>
      <c r="JIT27" s="28"/>
      <c r="JIU27" s="28"/>
      <c r="JIV27" s="28"/>
      <c r="JIW27" s="28"/>
      <c r="JIX27" s="28"/>
      <c r="JIY27" s="28"/>
      <c r="JIZ27" s="28"/>
      <c r="JJA27" s="28"/>
      <c r="JJB27" s="28"/>
      <c r="JJC27" s="28"/>
      <c r="JJD27" s="28"/>
      <c r="JJE27" s="28"/>
      <c r="JJF27" s="28"/>
      <c r="JJG27" s="28"/>
      <c r="JJH27" s="28"/>
      <c r="JJI27" s="28"/>
      <c r="JJJ27" s="28"/>
      <c r="JJK27" s="28"/>
      <c r="JJL27" s="28"/>
      <c r="JJM27" s="28"/>
      <c r="JJN27" s="28"/>
      <c r="JJO27" s="28"/>
      <c r="JJP27" s="28"/>
      <c r="JJQ27" s="28"/>
      <c r="JJR27" s="28"/>
      <c r="JJS27" s="28"/>
      <c r="JJT27" s="28"/>
      <c r="JJU27" s="28"/>
      <c r="JJV27" s="28"/>
      <c r="JJW27" s="28"/>
      <c r="JJX27" s="28"/>
      <c r="JJY27" s="28"/>
      <c r="JJZ27" s="28"/>
      <c r="JKA27" s="28"/>
      <c r="JKB27" s="28"/>
      <c r="JKC27" s="28"/>
      <c r="JKD27" s="28"/>
      <c r="JKE27" s="28"/>
      <c r="JKF27" s="28"/>
      <c r="JKG27" s="28"/>
      <c r="JKH27" s="28"/>
      <c r="JKI27" s="28"/>
      <c r="JKJ27" s="28"/>
      <c r="JKK27" s="28"/>
      <c r="JKL27" s="28"/>
      <c r="JKM27" s="28"/>
      <c r="JKN27" s="28"/>
      <c r="JKO27" s="28"/>
      <c r="JKP27" s="28"/>
      <c r="JKQ27" s="28"/>
      <c r="JKR27" s="28"/>
      <c r="JKS27" s="28"/>
      <c r="JKT27" s="28"/>
      <c r="JKU27" s="28"/>
      <c r="JKV27" s="28"/>
      <c r="JKW27" s="28"/>
      <c r="JKX27" s="28"/>
      <c r="JKY27" s="28"/>
      <c r="JKZ27" s="28"/>
      <c r="JLA27" s="28"/>
      <c r="JLB27" s="28"/>
      <c r="JLC27" s="28"/>
      <c r="JLD27" s="28"/>
      <c r="JLE27" s="28"/>
      <c r="JLF27" s="28"/>
      <c r="JLG27" s="28"/>
      <c r="JLH27" s="28"/>
      <c r="JLI27" s="28"/>
      <c r="JLJ27" s="28"/>
      <c r="JLK27" s="28"/>
      <c r="JLL27" s="28"/>
      <c r="JLM27" s="28"/>
      <c r="JLN27" s="28"/>
      <c r="JLO27" s="28"/>
      <c r="JLP27" s="28"/>
      <c r="JLQ27" s="28"/>
      <c r="JLR27" s="28"/>
      <c r="JLS27" s="28"/>
      <c r="JLT27" s="28"/>
      <c r="JLU27" s="28"/>
      <c r="JLV27" s="28"/>
      <c r="JLW27" s="28"/>
      <c r="JLX27" s="28"/>
      <c r="JLY27" s="28"/>
      <c r="JLZ27" s="28"/>
      <c r="JMA27" s="28"/>
      <c r="JMB27" s="28"/>
      <c r="JMC27" s="28"/>
      <c r="JMD27" s="28"/>
      <c r="JME27" s="28"/>
      <c r="JMF27" s="28"/>
      <c r="JMG27" s="28"/>
      <c r="JMH27" s="28"/>
      <c r="JMI27" s="28"/>
      <c r="JMJ27" s="28"/>
      <c r="JMK27" s="28"/>
      <c r="JML27" s="28"/>
      <c r="JMM27" s="28"/>
      <c r="JMN27" s="28"/>
      <c r="JMO27" s="28"/>
      <c r="JMP27" s="28"/>
      <c r="JMQ27" s="28"/>
      <c r="JMR27" s="28"/>
      <c r="JMS27" s="28"/>
      <c r="JMT27" s="28"/>
      <c r="JMU27" s="28"/>
      <c r="JMV27" s="28"/>
      <c r="JMW27" s="28"/>
      <c r="JMX27" s="28"/>
      <c r="JMY27" s="28"/>
      <c r="JMZ27" s="28"/>
      <c r="JNA27" s="28"/>
      <c r="JNB27" s="28"/>
      <c r="JNC27" s="28"/>
      <c r="JND27" s="28"/>
      <c r="JNE27" s="28"/>
      <c r="JNF27" s="28"/>
      <c r="JNG27" s="28"/>
      <c r="JNH27" s="28"/>
      <c r="JNI27" s="28"/>
      <c r="JNJ27" s="28"/>
      <c r="JNK27" s="28"/>
      <c r="JNL27" s="28"/>
      <c r="JNM27" s="28"/>
      <c r="JNN27" s="28"/>
      <c r="JNO27" s="28"/>
      <c r="JNP27" s="28"/>
      <c r="JNQ27" s="28"/>
      <c r="JNR27" s="28"/>
      <c r="JNS27" s="28"/>
      <c r="JNT27" s="28"/>
      <c r="JNU27" s="28"/>
      <c r="JNV27" s="28"/>
      <c r="JNW27" s="28"/>
      <c r="JNX27" s="28"/>
      <c r="JNY27" s="28"/>
      <c r="JNZ27" s="28"/>
      <c r="JOA27" s="28"/>
      <c r="JOB27" s="28"/>
      <c r="JOC27" s="28"/>
      <c r="JOD27" s="28"/>
      <c r="JOE27" s="28"/>
      <c r="JOF27" s="28"/>
      <c r="JOG27" s="28"/>
      <c r="JOH27" s="28"/>
      <c r="JOI27" s="28"/>
      <c r="JOJ27" s="28"/>
      <c r="JOK27" s="28"/>
      <c r="JOL27" s="28"/>
      <c r="JOM27" s="28"/>
      <c r="JON27" s="28"/>
      <c r="JOO27" s="28"/>
      <c r="JOP27" s="28"/>
      <c r="JOQ27" s="28"/>
      <c r="JOR27" s="28"/>
      <c r="JOS27" s="28"/>
      <c r="JOT27" s="28"/>
      <c r="JOU27" s="28"/>
      <c r="JOV27" s="28"/>
      <c r="JOW27" s="28"/>
      <c r="JOX27" s="28"/>
      <c r="JOY27" s="28"/>
      <c r="JOZ27" s="28"/>
      <c r="JPA27" s="28"/>
      <c r="JPB27" s="28"/>
      <c r="JPC27" s="28"/>
      <c r="JPD27" s="28"/>
      <c r="JPE27" s="28"/>
      <c r="JPF27" s="28"/>
      <c r="JPG27" s="28"/>
      <c r="JPH27" s="28"/>
      <c r="JPI27" s="28"/>
      <c r="JPJ27" s="28"/>
      <c r="JPK27" s="28"/>
      <c r="JPL27" s="28"/>
      <c r="JPM27" s="28"/>
      <c r="JPN27" s="28"/>
      <c r="JPO27" s="28"/>
      <c r="JPP27" s="28"/>
      <c r="JPQ27" s="28"/>
      <c r="JPR27" s="28"/>
      <c r="JPS27" s="28"/>
      <c r="JPT27" s="28"/>
      <c r="JPU27" s="28"/>
      <c r="JPV27" s="28"/>
      <c r="JPW27" s="28"/>
      <c r="JPX27" s="28"/>
      <c r="JPY27" s="28"/>
      <c r="JPZ27" s="28"/>
      <c r="JQA27" s="28"/>
      <c r="JQB27" s="28"/>
      <c r="JQC27" s="28"/>
      <c r="JQD27" s="28"/>
      <c r="JQE27" s="28"/>
      <c r="JQF27" s="28"/>
      <c r="JQG27" s="28"/>
      <c r="JQH27" s="28"/>
      <c r="JQI27" s="28"/>
      <c r="JQJ27" s="28"/>
      <c r="JQK27" s="28"/>
      <c r="JQL27" s="28"/>
      <c r="JQM27" s="28"/>
      <c r="JQN27" s="28"/>
      <c r="JQO27" s="28"/>
      <c r="JQP27" s="28"/>
      <c r="JQQ27" s="28"/>
      <c r="JQR27" s="28"/>
      <c r="JQS27" s="28"/>
      <c r="JQT27" s="28"/>
      <c r="JQU27" s="28"/>
      <c r="JQV27" s="28"/>
      <c r="JQW27" s="28"/>
      <c r="JQX27" s="28"/>
      <c r="JQY27" s="28"/>
      <c r="JQZ27" s="28"/>
      <c r="JRA27" s="28"/>
      <c r="JRB27" s="28"/>
      <c r="JRC27" s="28"/>
      <c r="JRD27" s="28"/>
      <c r="JRE27" s="28"/>
      <c r="JRF27" s="28"/>
      <c r="JRG27" s="28"/>
      <c r="JRH27" s="28"/>
      <c r="JRI27" s="28"/>
      <c r="JRJ27" s="28"/>
      <c r="JRK27" s="28"/>
      <c r="JRL27" s="28"/>
      <c r="JRM27" s="28"/>
      <c r="JRN27" s="28"/>
      <c r="JRO27" s="28"/>
      <c r="JRP27" s="28"/>
      <c r="JRQ27" s="28"/>
      <c r="JRR27" s="28"/>
      <c r="JRS27" s="28"/>
      <c r="JRT27" s="28"/>
      <c r="JRU27" s="28"/>
      <c r="JRV27" s="28"/>
      <c r="JRW27" s="28"/>
      <c r="JRX27" s="28"/>
      <c r="JRY27" s="28"/>
      <c r="JRZ27" s="28"/>
      <c r="JSA27" s="28"/>
      <c r="JSB27" s="28"/>
      <c r="JSC27" s="28"/>
      <c r="JSD27" s="28"/>
      <c r="JSE27" s="28"/>
      <c r="JSF27" s="28"/>
      <c r="JSG27" s="28"/>
      <c r="JSH27" s="28"/>
      <c r="JSI27" s="28"/>
      <c r="JSJ27" s="28"/>
      <c r="JSK27" s="28"/>
      <c r="JSL27" s="28"/>
      <c r="JSM27" s="28"/>
      <c r="JSN27" s="28"/>
      <c r="JSO27" s="28"/>
      <c r="JSP27" s="28"/>
      <c r="JSQ27" s="28"/>
      <c r="JSR27" s="28"/>
      <c r="JSS27" s="28"/>
      <c r="JST27" s="28"/>
      <c r="JSU27" s="28"/>
      <c r="JSV27" s="28"/>
      <c r="JSW27" s="28"/>
      <c r="JSX27" s="28"/>
      <c r="JSY27" s="28"/>
      <c r="JSZ27" s="28"/>
      <c r="JTA27" s="28"/>
      <c r="JTB27" s="28"/>
      <c r="JTC27" s="28"/>
      <c r="JTD27" s="28"/>
      <c r="JTE27" s="28"/>
      <c r="JTF27" s="28"/>
      <c r="JTG27" s="28"/>
      <c r="JTH27" s="28"/>
      <c r="JTI27" s="28"/>
      <c r="JTJ27" s="28"/>
      <c r="JTK27" s="28"/>
      <c r="JTL27" s="28"/>
      <c r="JTM27" s="28"/>
      <c r="JTN27" s="28"/>
      <c r="JTO27" s="28"/>
      <c r="JTP27" s="28"/>
      <c r="JTQ27" s="28"/>
      <c r="JTR27" s="28"/>
      <c r="JTS27" s="28"/>
      <c r="JTT27" s="28"/>
      <c r="JTU27" s="28"/>
      <c r="JTV27" s="28"/>
      <c r="JTW27" s="28"/>
      <c r="JTX27" s="28"/>
      <c r="JTY27" s="28"/>
      <c r="JTZ27" s="28"/>
      <c r="JUA27" s="28"/>
      <c r="JUB27" s="28"/>
      <c r="JUC27" s="28"/>
      <c r="JUD27" s="28"/>
      <c r="JUE27" s="28"/>
      <c r="JUF27" s="28"/>
      <c r="JUG27" s="28"/>
      <c r="JUH27" s="28"/>
      <c r="JUI27" s="28"/>
      <c r="JUJ27" s="28"/>
      <c r="JUK27" s="28"/>
      <c r="JUL27" s="28"/>
      <c r="JUM27" s="28"/>
      <c r="JUN27" s="28"/>
      <c r="JUO27" s="28"/>
      <c r="JUP27" s="28"/>
      <c r="JUQ27" s="28"/>
      <c r="JUR27" s="28"/>
      <c r="JUS27" s="28"/>
      <c r="JUT27" s="28"/>
      <c r="JUU27" s="28"/>
      <c r="JUV27" s="28"/>
      <c r="JUW27" s="28"/>
      <c r="JUX27" s="28"/>
      <c r="JUY27" s="28"/>
      <c r="JUZ27" s="28"/>
      <c r="JVA27" s="28"/>
      <c r="JVB27" s="28"/>
      <c r="JVC27" s="28"/>
      <c r="JVD27" s="28"/>
      <c r="JVE27" s="28"/>
      <c r="JVF27" s="28"/>
      <c r="JVG27" s="28"/>
      <c r="JVH27" s="28"/>
      <c r="JVI27" s="28"/>
      <c r="JVJ27" s="28"/>
      <c r="JVK27" s="28"/>
      <c r="JVL27" s="28"/>
      <c r="JVM27" s="28"/>
      <c r="JVN27" s="28"/>
      <c r="JVO27" s="28"/>
      <c r="JVP27" s="28"/>
      <c r="JVQ27" s="28"/>
      <c r="JVR27" s="28"/>
      <c r="JVS27" s="28"/>
      <c r="JVT27" s="28"/>
      <c r="JVU27" s="28"/>
      <c r="JVV27" s="28"/>
      <c r="JVW27" s="28"/>
      <c r="JVX27" s="28"/>
      <c r="JVY27" s="28"/>
      <c r="JVZ27" s="28"/>
      <c r="JWA27" s="28"/>
      <c r="JWB27" s="28"/>
      <c r="JWC27" s="28"/>
      <c r="JWD27" s="28"/>
      <c r="JWE27" s="28"/>
      <c r="JWF27" s="28"/>
      <c r="JWG27" s="28"/>
      <c r="JWH27" s="28"/>
      <c r="JWI27" s="28"/>
      <c r="JWJ27" s="28"/>
      <c r="JWK27" s="28"/>
      <c r="JWL27" s="28"/>
      <c r="JWM27" s="28"/>
      <c r="JWN27" s="28"/>
      <c r="JWO27" s="28"/>
      <c r="JWP27" s="28"/>
      <c r="JWQ27" s="28"/>
      <c r="JWR27" s="28"/>
      <c r="JWS27" s="28"/>
      <c r="JWT27" s="28"/>
      <c r="JWU27" s="28"/>
      <c r="JWV27" s="28"/>
      <c r="JWW27" s="28"/>
      <c r="JWX27" s="28"/>
      <c r="JWY27" s="28"/>
      <c r="JWZ27" s="28"/>
      <c r="JXA27" s="28"/>
      <c r="JXB27" s="28"/>
      <c r="JXC27" s="28"/>
      <c r="JXD27" s="28"/>
      <c r="JXE27" s="28"/>
      <c r="JXF27" s="28"/>
      <c r="JXG27" s="28"/>
      <c r="JXH27" s="28"/>
      <c r="JXI27" s="28"/>
      <c r="JXJ27" s="28"/>
      <c r="JXK27" s="28"/>
      <c r="JXL27" s="28"/>
      <c r="JXM27" s="28"/>
      <c r="JXN27" s="28"/>
      <c r="JXO27" s="28"/>
      <c r="JXP27" s="28"/>
      <c r="JXQ27" s="28"/>
      <c r="JXR27" s="28"/>
      <c r="JXS27" s="28"/>
      <c r="JXT27" s="28"/>
      <c r="JXU27" s="28"/>
      <c r="JXV27" s="28"/>
      <c r="JXW27" s="28"/>
      <c r="JXX27" s="28"/>
      <c r="JXY27" s="28"/>
      <c r="JXZ27" s="28"/>
      <c r="JYA27" s="28"/>
      <c r="JYB27" s="28"/>
      <c r="JYC27" s="28"/>
      <c r="JYD27" s="28"/>
      <c r="JYE27" s="28"/>
      <c r="JYF27" s="28"/>
      <c r="JYG27" s="28"/>
      <c r="JYH27" s="28"/>
      <c r="JYI27" s="28"/>
      <c r="JYJ27" s="28"/>
      <c r="JYK27" s="28"/>
      <c r="JYL27" s="28"/>
      <c r="JYM27" s="28"/>
      <c r="JYN27" s="28"/>
      <c r="JYO27" s="28"/>
      <c r="JYP27" s="28"/>
      <c r="JYQ27" s="28"/>
      <c r="JYR27" s="28"/>
      <c r="JYS27" s="28"/>
      <c r="JYT27" s="28"/>
      <c r="JYU27" s="28"/>
      <c r="JYV27" s="28"/>
      <c r="JYW27" s="28"/>
      <c r="JYX27" s="28"/>
      <c r="JYY27" s="28"/>
      <c r="JYZ27" s="28"/>
      <c r="JZA27" s="28"/>
      <c r="JZB27" s="28"/>
      <c r="JZC27" s="28"/>
      <c r="JZD27" s="28"/>
      <c r="JZE27" s="28"/>
      <c r="JZF27" s="28"/>
      <c r="JZG27" s="28"/>
      <c r="JZH27" s="28"/>
      <c r="JZI27" s="28"/>
      <c r="JZJ27" s="28"/>
      <c r="JZK27" s="28"/>
      <c r="JZL27" s="28"/>
      <c r="JZM27" s="28"/>
      <c r="JZN27" s="28"/>
      <c r="JZO27" s="28"/>
      <c r="JZP27" s="28"/>
      <c r="JZQ27" s="28"/>
      <c r="JZR27" s="28"/>
      <c r="JZS27" s="28"/>
      <c r="JZT27" s="28"/>
      <c r="JZU27" s="28"/>
      <c r="JZV27" s="28"/>
      <c r="JZW27" s="28"/>
      <c r="JZX27" s="28"/>
      <c r="JZY27" s="28"/>
      <c r="JZZ27" s="28"/>
      <c r="KAA27" s="28"/>
      <c r="KAB27" s="28"/>
      <c r="KAC27" s="28"/>
      <c r="KAD27" s="28"/>
      <c r="KAE27" s="28"/>
      <c r="KAF27" s="28"/>
      <c r="KAG27" s="28"/>
      <c r="KAH27" s="28"/>
      <c r="KAI27" s="28"/>
      <c r="KAJ27" s="28"/>
      <c r="KAK27" s="28"/>
      <c r="KAL27" s="28"/>
      <c r="KAM27" s="28"/>
      <c r="KAN27" s="28"/>
      <c r="KAO27" s="28"/>
      <c r="KAP27" s="28"/>
      <c r="KAQ27" s="28"/>
      <c r="KAR27" s="28"/>
      <c r="KAS27" s="28"/>
      <c r="KAT27" s="28"/>
      <c r="KAU27" s="28"/>
      <c r="KAV27" s="28"/>
      <c r="KAW27" s="28"/>
      <c r="KAX27" s="28"/>
      <c r="KAY27" s="28"/>
      <c r="KAZ27" s="28"/>
      <c r="KBA27" s="28"/>
      <c r="KBB27" s="28"/>
      <c r="KBC27" s="28"/>
      <c r="KBD27" s="28"/>
      <c r="KBE27" s="28"/>
      <c r="KBF27" s="28"/>
      <c r="KBG27" s="28"/>
      <c r="KBH27" s="28"/>
      <c r="KBI27" s="28"/>
      <c r="KBJ27" s="28"/>
      <c r="KBK27" s="28"/>
      <c r="KBL27" s="28"/>
      <c r="KBM27" s="28"/>
      <c r="KBN27" s="28"/>
      <c r="KBO27" s="28"/>
      <c r="KBP27" s="28"/>
      <c r="KBQ27" s="28"/>
      <c r="KBR27" s="28"/>
      <c r="KBS27" s="28"/>
      <c r="KBT27" s="28"/>
      <c r="KBU27" s="28"/>
      <c r="KBV27" s="28"/>
      <c r="KBW27" s="28"/>
      <c r="KBX27" s="28"/>
      <c r="KBY27" s="28"/>
      <c r="KBZ27" s="28"/>
      <c r="KCA27" s="28"/>
      <c r="KCB27" s="28"/>
      <c r="KCC27" s="28"/>
      <c r="KCD27" s="28"/>
      <c r="KCE27" s="28"/>
      <c r="KCF27" s="28"/>
      <c r="KCG27" s="28"/>
      <c r="KCH27" s="28"/>
      <c r="KCI27" s="28"/>
      <c r="KCJ27" s="28"/>
      <c r="KCK27" s="28"/>
      <c r="KCL27" s="28"/>
      <c r="KCM27" s="28"/>
      <c r="KCN27" s="28"/>
      <c r="KCO27" s="28"/>
      <c r="KCP27" s="28"/>
      <c r="KCQ27" s="28"/>
      <c r="KCR27" s="28"/>
      <c r="KCS27" s="28"/>
      <c r="KCT27" s="28"/>
      <c r="KCU27" s="28"/>
      <c r="KCV27" s="28"/>
      <c r="KCW27" s="28"/>
      <c r="KCX27" s="28"/>
      <c r="KCY27" s="28"/>
      <c r="KCZ27" s="28"/>
      <c r="KDA27" s="28"/>
      <c r="KDB27" s="28"/>
      <c r="KDC27" s="28"/>
      <c r="KDD27" s="28"/>
      <c r="KDE27" s="28"/>
      <c r="KDF27" s="28"/>
      <c r="KDG27" s="28"/>
      <c r="KDH27" s="28"/>
      <c r="KDI27" s="28"/>
      <c r="KDJ27" s="28"/>
      <c r="KDK27" s="28"/>
      <c r="KDL27" s="28"/>
      <c r="KDM27" s="28"/>
      <c r="KDN27" s="28"/>
      <c r="KDO27" s="28"/>
      <c r="KDP27" s="28"/>
      <c r="KDQ27" s="28"/>
      <c r="KDR27" s="28"/>
      <c r="KDS27" s="28"/>
      <c r="KDT27" s="28"/>
      <c r="KDU27" s="28"/>
      <c r="KDV27" s="28"/>
      <c r="KDW27" s="28"/>
      <c r="KDX27" s="28"/>
      <c r="KDY27" s="28"/>
      <c r="KDZ27" s="28"/>
      <c r="KEA27" s="28"/>
      <c r="KEB27" s="28"/>
      <c r="KEC27" s="28"/>
      <c r="KED27" s="28"/>
      <c r="KEE27" s="28"/>
      <c r="KEF27" s="28"/>
      <c r="KEG27" s="28"/>
      <c r="KEH27" s="28"/>
      <c r="KEI27" s="28"/>
      <c r="KEJ27" s="28"/>
      <c r="KEK27" s="28"/>
      <c r="KEL27" s="28"/>
      <c r="KEM27" s="28"/>
      <c r="KEN27" s="28"/>
      <c r="KEO27" s="28"/>
      <c r="KEP27" s="28"/>
      <c r="KEQ27" s="28"/>
      <c r="KER27" s="28"/>
      <c r="KES27" s="28"/>
      <c r="KET27" s="28"/>
      <c r="KEU27" s="28"/>
      <c r="KEV27" s="28"/>
      <c r="KEW27" s="28"/>
      <c r="KEX27" s="28"/>
      <c r="KEY27" s="28"/>
      <c r="KEZ27" s="28"/>
      <c r="KFA27" s="28"/>
      <c r="KFB27" s="28"/>
      <c r="KFC27" s="28"/>
      <c r="KFD27" s="28"/>
      <c r="KFE27" s="28"/>
      <c r="KFF27" s="28"/>
      <c r="KFG27" s="28"/>
      <c r="KFH27" s="28"/>
      <c r="KFI27" s="28"/>
      <c r="KFJ27" s="28"/>
      <c r="KFK27" s="28"/>
      <c r="KFL27" s="28"/>
      <c r="KFM27" s="28"/>
      <c r="KFN27" s="28"/>
      <c r="KFO27" s="28"/>
      <c r="KFP27" s="28"/>
      <c r="KFQ27" s="28"/>
      <c r="KFR27" s="28"/>
      <c r="KFS27" s="28"/>
      <c r="KFT27" s="28"/>
      <c r="KFU27" s="28"/>
      <c r="KFV27" s="28"/>
      <c r="KFW27" s="28"/>
      <c r="KFX27" s="28"/>
      <c r="KFY27" s="28"/>
      <c r="KFZ27" s="28"/>
      <c r="KGA27" s="28"/>
      <c r="KGB27" s="28"/>
      <c r="KGC27" s="28"/>
      <c r="KGD27" s="28"/>
      <c r="KGE27" s="28"/>
      <c r="KGF27" s="28"/>
      <c r="KGG27" s="28"/>
      <c r="KGH27" s="28"/>
      <c r="KGI27" s="28"/>
      <c r="KGJ27" s="28"/>
      <c r="KGK27" s="28"/>
      <c r="KGL27" s="28"/>
      <c r="KGM27" s="28"/>
      <c r="KGN27" s="28"/>
      <c r="KGO27" s="28"/>
      <c r="KGP27" s="28"/>
      <c r="KGQ27" s="28"/>
      <c r="KGR27" s="28"/>
      <c r="KGS27" s="28"/>
      <c r="KGT27" s="28"/>
      <c r="KGU27" s="28"/>
      <c r="KGV27" s="28"/>
      <c r="KGW27" s="28"/>
      <c r="KGX27" s="28"/>
      <c r="KGY27" s="28"/>
      <c r="KGZ27" s="28"/>
      <c r="KHA27" s="28"/>
      <c r="KHB27" s="28"/>
      <c r="KHC27" s="28"/>
      <c r="KHD27" s="28"/>
      <c r="KHE27" s="28"/>
      <c r="KHF27" s="28"/>
      <c r="KHG27" s="28"/>
      <c r="KHH27" s="28"/>
      <c r="KHI27" s="28"/>
      <c r="KHJ27" s="28"/>
      <c r="KHK27" s="28"/>
      <c r="KHL27" s="28"/>
      <c r="KHM27" s="28"/>
      <c r="KHN27" s="28"/>
      <c r="KHO27" s="28"/>
      <c r="KHP27" s="28"/>
      <c r="KHQ27" s="28"/>
      <c r="KHR27" s="28"/>
      <c r="KHS27" s="28"/>
      <c r="KHT27" s="28"/>
      <c r="KHU27" s="28"/>
      <c r="KHV27" s="28"/>
      <c r="KHW27" s="28"/>
      <c r="KHX27" s="28"/>
      <c r="KHY27" s="28"/>
      <c r="KHZ27" s="28"/>
      <c r="KIA27" s="28"/>
      <c r="KIB27" s="28"/>
      <c r="KIC27" s="28"/>
      <c r="KID27" s="28"/>
      <c r="KIE27" s="28"/>
      <c r="KIF27" s="28"/>
      <c r="KIG27" s="28"/>
      <c r="KIH27" s="28"/>
      <c r="KII27" s="28"/>
      <c r="KIJ27" s="28"/>
      <c r="KIK27" s="28"/>
      <c r="KIL27" s="28"/>
      <c r="KIM27" s="28"/>
      <c r="KIN27" s="28"/>
      <c r="KIO27" s="28"/>
      <c r="KIP27" s="28"/>
      <c r="KIQ27" s="28"/>
      <c r="KIR27" s="28"/>
      <c r="KIS27" s="28"/>
      <c r="KIT27" s="28"/>
      <c r="KIU27" s="28"/>
      <c r="KIV27" s="28"/>
      <c r="KIW27" s="28"/>
      <c r="KIX27" s="28"/>
      <c r="KIY27" s="28"/>
      <c r="KIZ27" s="28"/>
      <c r="KJA27" s="28"/>
      <c r="KJB27" s="28"/>
      <c r="KJC27" s="28"/>
      <c r="KJD27" s="28"/>
      <c r="KJE27" s="28"/>
      <c r="KJF27" s="28"/>
      <c r="KJG27" s="28"/>
      <c r="KJH27" s="28"/>
      <c r="KJI27" s="28"/>
      <c r="KJJ27" s="28"/>
      <c r="KJK27" s="28"/>
      <c r="KJL27" s="28"/>
      <c r="KJM27" s="28"/>
      <c r="KJN27" s="28"/>
      <c r="KJO27" s="28"/>
      <c r="KJP27" s="28"/>
      <c r="KJQ27" s="28"/>
      <c r="KJR27" s="28"/>
      <c r="KJS27" s="28"/>
      <c r="KJT27" s="28"/>
      <c r="KJU27" s="28"/>
      <c r="KJV27" s="28"/>
      <c r="KJW27" s="28"/>
      <c r="KJX27" s="28"/>
      <c r="KJY27" s="28"/>
      <c r="KJZ27" s="28"/>
      <c r="KKA27" s="28"/>
      <c r="KKB27" s="28"/>
      <c r="KKC27" s="28"/>
      <c r="KKD27" s="28"/>
      <c r="KKE27" s="28"/>
      <c r="KKF27" s="28"/>
      <c r="KKG27" s="28"/>
      <c r="KKH27" s="28"/>
      <c r="KKI27" s="28"/>
      <c r="KKJ27" s="28"/>
      <c r="KKK27" s="28"/>
      <c r="KKL27" s="28"/>
      <c r="KKM27" s="28"/>
      <c r="KKN27" s="28"/>
      <c r="KKO27" s="28"/>
      <c r="KKP27" s="28"/>
      <c r="KKQ27" s="28"/>
      <c r="KKR27" s="28"/>
      <c r="KKS27" s="28"/>
      <c r="KKT27" s="28"/>
      <c r="KKU27" s="28"/>
      <c r="KKV27" s="28"/>
      <c r="KKW27" s="28"/>
      <c r="KKX27" s="28"/>
      <c r="KKY27" s="28"/>
      <c r="KKZ27" s="28"/>
      <c r="KLA27" s="28"/>
      <c r="KLB27" s="28"/>
      <c r="KLC27" s="28"/>
      <c r="KLD27" s="28"/>
      <c r="KLE27" s="28"/>
      <c r="KLF27" s="28"/>
      <c r="KLG27" s="28"/>
      <c r="KLH27" s="28"/>
      <c r="KLI27" s="28"/>
      <c r="KLJ27" s="28"/>
      <c r="KLK27" s="28"/>
      <c r="KLL27" s="28"/>
      <c r="KLM27" s="28"/>
      <c r="KLN27" s="28"/>
      <c r="KLO27" s="28"/>
      <c r="KLP27" s="28"/>
      <c r="KLQ27" s="28"/>
      <c r="KLR27" s="28"/>
      <c r="KLS27" s="28"/>
      <c r="KLT27" s="28"/>
      <c r="KLU27" s="28"/>
      <c r="KLV27" s="28"/>
      <c r="KLW27" s="28"/>
      <c r="KLX27" s="28"/>
      <c r="KLY27" s="28"/>
      <c r="KLZ27" s="28"/>
      <c r="KMA27" s="28"/>
      <c r="KMB27" s="28"/>
      <c r="KMC27" s="28"/>
      <c r="KMD27" s="28"/>
      <c r="KME27" s="28"/>
      <c r="KMF27" s="28"/>
      <c r="KMG27" s="28"/>
      <c r="KMH27" s="28"/>
      <c r="KMI27" s="28"/>
      <c r="KMJ27" s="28"/>
      <c r="KMK27" s="28"/>
      <c r="KML27" s="28"/>
      <c r="KMM27" s="28"/>
      <c r="KMN27" s="28"/>
      <c r="KMO27" s="28"/>
      <c r="KMP27" s="28"/>
      <c r="KMQ27" s="28"/>
      <c r="KMR27" s="28"/>
      <c r="KMS27" s="28"/>
      <c r="KMT27" s="28"/>
      <c r="KMU27" s="28"/>
      <c r="KMV27" s="28"/>
      <c r="KMW27" s="28"/>
      <c r="KMX27" s="28"/>
      <c r="KMY27" s="28"/>
      <c r="KMZ27" s="28"/>
      <c r="KNA27" s="28"/>
      <c r="KNB27" s="28"/>
      <c r="KNC27" s="28"/>
      <c r="KND27" s="28"/>
      <c r="KNE27" s="28"/>
      <c r="KNF27" s="28"/>
      <c r="KNG27" s="28"/>
      <c r="KNH27" s="28"/>
      <c r="KNI27" s="28"/>
      <c r="KNJ27" s="28"/>
      <c r="KNK27" s="28"/>
      <c r="KNL27" s="28"/>
      <c r="KNM27" s="28"/>
      <c r="KNN27" s="28"/>
      <c r="KNO27" s="28"/>
      <c r="KNP27" s="28"/>
      <c r="KNQ27" s="28"/>
      <c r="KNR27" s="28"/>
      <c r="KNS27" s="28"/>
      <c r="KNT27" s="28"/>
      <c r="KNU27" s="28"/>
      <c r="KNV27" s="28"/>
      <c r="KNW27" s="28"/>
      <c r="KNX27" s="28"/>
      <c r="KNY27" s="28"/>
      <c r="KNZ27" s="28"/>
      <c r="KOA27" s="28"/>
      <c r="KOB27" s="28"/>
      <c r="KOC27" s="28"/>
      <c r="KOD27" s="28"/>
      <c r="KOE27" s="28"/>
      <c r="KOF27" s="28"/>
      <c r="KOG27" s="28"/>
      <c r="KOH27" s="28"/>
      <c r="KOI27" s="28"/>
      <c r="KOJ27" s="28"/>
      <c r="KOK27" s="28"/>
      <c r="KOL27" s="28"/>
      <c r="KOM27" s="28"/>
      <c r="KON27" s="28"/>
      <c r="KOO27" s="28"/>
      <c r="KOP27" s="28"/>
      <c r="KOQ27" s="28"/>
      <c r="KOR27" s="28"/>
      <c r="KOS27" s="28"/>
      <c r="KOT27" s="28"/>
      <c r="KOU27" s="28"/>
      <c r="KOV27" s="28"/>
      <c r="KOW27" s="28"/>
      <c r="KOX27" s="28"/>
      <c r="KOY27" s="28"/>
      <c r="KOZ27" s="28"/>
      <c r="KPA27" s="28"/>
      <c r="KPB27" s="28"/>
      <c r="KPC27" s="28"/>
      <c r="KPD27" s="28"/>
      <c r="KPE27" s="28"/>
      <c r="KPF27" s="28"/>
      <c r="KPG27" s="28"/>
      <c r="KPH27" s="28"/>
      <c r="KPI27" s="28"/>
      <c r="KPJ27" s="28"/>
      <c r="KPK27" s="28"/>
      <c r="KPL27" s="28"/>
      <c r="KPM27" s="28"/>
      <c r="KPN27" s="28"/>
      <c r="KPO27" s="28"/>
      <c r="KPP27" s="28"/>
      <c r="KPQ27" s="28"/>
      <c r="KPR27" s="28"/>
      <c r="KPS27" s="28"/>
      <c r="KPT27" s="28"/>
      <c r="KPU27" s="28"/>
      <c r="KPV27" s="28"/>
      <c r="KPW27" s="28"/>
      <c r="KPX27" s="28"/>
      <c r="KPY27" s="28"/>
      <c r="KPZ27" s="28"/>
      <c r="KQA27" s="28"/>
      <c r="KQB27" s="28"/>
      <c r="KQC27" s="28"/>
      <c r="KQD27" s="28"/>
      <c r="KQE27" s="28"/>
      <c r="KQF27" s="28"/>
      <c r="KQG27" s="28"/>
      <c r="KQH27" s="28"/>
      <c r="KQI27" s="28"/>
      <c r="KQJ27" s="28"/>
      <c r="KQK27" s="28"/>
      <c r="KQL27" s="28"/>
      <c r="KQM27" s="28"/>
      <c r="KQN27" s="28"/>
      <c r="KQO27" s="28"/>
      <c r="KQP27" s="28"/>
      <c r="KQQ27" s="28"/>
      <c r="KQR27" s="28"/>
      <c r="KQS27" s="28"/>
      <c r="KQT27" s="28"/>
      <c r="KQU27" s="28"/>
      <c r="KQV27" s="28"/>
      <c r="KQW27" s="28"/>
      <c r="KQX27" s="28"/>
      <c r="KQY27" s="28"/>
      <c r="KQZ27" s="28"/>
      <c r="KRA27" s="28"/>
      <c r="KRB27" s="28"/>
      <c r="KRC27" s="28"/>
      <c r="KRD27" s="28"/>
      <c r="KRE27" s="28"/>
      <c r="KRF27" s="28"/>
      <c r="KRG27" s="28"/>
      <c r="KRH27" s="28"/>
      <c r="KRI27" s="28"/>
      <c r="KRJ27" s="28"/>
      <c r="KRK27" s="28"/>
      <c r="KRL27" s="28"/>
      <c r="KRM27" s="28"/>
      <c r="KRN27" s="28"/>
      <c r="KRO27" s="28"/>
      <c r="KRP27" s="28"/>
      <c r="KRQ27" s="28"/>
      <c r="KRR27" s="28"/>
      <c r="KRS27" s="28"/>
      <c r="KRT27" s="28"/>
      <c r="KRU27" s="28"/>
      <c r="KRV27" s="28"/>
      <c r="KRW27" s="28"/>
      <c r="KRX27" s="28"/>
      <c r="KRY27" s="28"/>
      <c r="KRZ27" s="28"/>
      <c r="KSA27" s="28"/>
      <c r="KSB27" s="28"/>
      <c r="KSC27" s="28"/>
      <c r="KSD27" s="28"/>
      <c r="KSE27" s="28"/>
      <c r="KSF27" s="28"/>
      <c r="KSG27" s="28"/>
      <c r="KSH27" s="28"/>
      <c r="KSI27" s="28"/>
      <c r="KSJ27" s="28"/>
      <c r="KSK27" s="28"/>
      <c r="KSL27" s="28"/>
      <c r="KSM27" s="28"/>
      <c r="KSN27" s="28"/>
      <c r="KSO27" s="28"/>
      <c r="KSP27" s="28"/>
      <c r="KSQ27" s="28"/>
      <c r="KSR27" s="28"/>
      <c r="KSS27" s="28"/>
      <c r="KST27" s="28"/>
      <c r="KSU27" s="28"/>
      <c r="KSV27" s="28"/>
      <c r="KSW27" s="28"/>
      <c r="KSX27" s="28"/>
      <c r="KSY27" s="28"/>
      <c r="KSZ27" s="28"/>
      <c r="KTA27" s="28"/>
      <c r="KTB27" s="28"/>
      <c r="KTC27" s="28"/>
      <c r="KTD27" s="28"/>
      <c r="KTE27" s="28"/>
      <c r="KTF27" s="28"/>
      <c r="KTG27" s="28"/>
      <c r="KTH27" s="28"/>
      <c r="KTI27" s="28"/>
      <c r="KTJ27" s="28"/>
      <c r="KTK27" s="28"/>
      <c r="KTL27" s="28"/>
      <c r="KTM27" s="28"/>
      <c r="KTN27" s="28"/>
      <c r="KTO27" s="28"/>
      <c r="KTP27" s="28"/>
      <c r="KTQ27" s="28"/>
      <c r="KTR27" s="28"/>
      <c r="KTS27" s="28"/>
      <c r="KTT27" s="28"/>
      <c r="KTU27" s="28"/>
      <c r="KTV27" s="28"/>
      <c r="KTW27" s="28"/>
      <c r="KTX27" s="28"/>
      <c r="KTY27" s="28"/>
      <c r="KTZ27" s="28"/>
      <c r="KUA27" s="28"/>
      <c r="KUB27" s="28"/>
      <c r="KUC27" s="28"/>
      <c r="KUD27" s="28"/>
      <c r="KUE27" s="28"/>
      <c r="KUF27" s="28"/>
      <c r="KUG27" s="28"/>
      <c r="KUH27" s="28"/>
      <c r="KUI27" s="28"/>
      <c r="KUJ27" s="28"/>
      <c r="KUK27" s="28"/>
      <c r="KUL27" s="28"/>
      <c r="KUM27" s="28"/>
      <c r="KUN27" s="28"/>
      <c r="KUO27" s="28"/>
      <c r="KUP27" s="28"/>
      <c r="KUQ27" s="28"/>
      <c r="KUR27" s="28"/>
      <c r="KUS27" s="28"/>
      <c r="KUT27" s="28"/>
      <c r="KUU27" s="28"/>
      <c r="KUV27" s="28"/>
      <c r="KUW27" s="28"/>
      <c r="KUX27" s="28"/>
      <c r="KUY27" s="28"/>
      <c r="KUZ27" s="28"/>
      <c r="KVA27" s="28"/>
      <c r="KVB27" s="28"/>
      <c r="KVC27" s="28"/>
      <c r="KVD27" s="28"/>
      <c r="KVE27" s="28"/>
      <c r="KVF27" s="28"/>
      <c r="KVG27" s="28"/>
      <c r="KVH27" s="28"/>
      <c r="KVI27" s="28"/>
      <c r="KVJ27" s="28"/>
      <c r="KVK27" s="28"/>
      <c r="KVL27" s="28"/>
      <c r="KVM27" s="28"/>
      <c r="KVN27" s="28"/>
      <c r="KVO27" s="28"/>
      <c r="KVP27" s="28"/>
      <c r="KVQ27" s="28"/>
      <c r="KVR27" s="28"/>
      <c r="KVS27" s="28"/>
      <c r="KVT27" s="28"/>
      <c r="KVU27" s="28"/>
      <c r="KVV27" s="28"/>
      <c r="KVW27" s="28"/>
      <c r="KVX27" s="28"/>
      <c r="KVY27" s="28"/>
      <c r="KVZ27" s="28"/>
      <c r="KWA27" s="28"/>
      <c r="KWB27" s="28"/>
      <c r="KWC27" s="28"/>
      <c r="KWD27" s="28"/>
      <c r="KWE27" s="28"/>
      <c r="KWF27" s="28"/>
      <c r="KWG27" s="28"/>
      <c r="KWH27" s="28"/>
      <c r="KWI27" s="28"/>
      <c r="KWJ27" s="28"/>
      <c r="KWK27" s="28"/>
      <c r="KWL27" s="28"/>
      <c r="KWM27" s="28"/>
      <c r="KWN27" s="28"/>
      <c r="KWO27" s="28"/>
      <c r="KWP27" s="28"/>
      <c r="KWQ27" s="28"/>
      <c r="KWR27" s="28"/>
      <c r="KWS27" s="28"/>
      <c r="KWT27" s="28"/>
      <c r="KWU27" s="28"/>
      <c r="KWV27" s="28"/>
      <c r="KWW27" s="28"/>
      <c r="KWX27" s="28"/>
      <c r="KWY27" s="28"/>
      <c r="KWZ27" s="28"/>
      <c r="KXA27" s="28"/>
      <c r="KXB27" s="28"/>
      <c r="KXC27" s="28"/>
      <c r="KXD27" s="28"/>
      <c r="KXE27" s="28"/>
      <c r="KXF27" s="28"/>
      <c r="KXG27" s="28"/>
      <c r="KXH27" s="28"/>
      <c r="KXI27" s="28"/>
      <c r="KXJ27" s="28"/>
      <c r="KXK27" s="28"/>
      <c r="KXL27" s="28"/>
      <c r="KXM27" s="28"/>
      <c r="KXN27" s="28"/>
      <c r="KXO27" s="28"/>
      <c r="KXP27" s="28"/>
      <c r="KXQ27" s="28"/>
      <c r="KXR27" s="28"/>
      <c r="KXS27" s="28"/>
      <c r="KXT27" s="28"/>
      <c r="KXU27" s="28"/>
      <c r="KXV27" s="28"/>
      <c r="KXW27" s="28"/>
      <c r="KXX27" s="28"/>
      <c r="KXY27" s="28"/>
      <c r="KXZ27" s="28"/>
      <c r="KYA27" s="28"/>
      <c r="KYB27" s="28"/>
      <c r="KYC27" s="28"/>
      <c r="KYD27" s="28"/>
      <c r="KYE27" s="28"/>
      <c r="KYF27" s="28"/>
      <c r="KYG27" s="28"/>
      <c r="KYH27" s="28"/>
      <c r="KYI27" s="28"/>
      <c r="KYJ27" s="28"/>
      <c r="KYK27" s="28"/>
      <c r="KYL27" s="28"/>
      <c r="KYM27" s="28"/>
      <c r="KYN27" s="28"/>
      <c r="KYO27" s="28"/>
      <c r="KYP27" s="28"/>
      <c r="KYQ27" s="28"/>
      <c r="KYR27" s="28"/>
      <c r="KYS27" s="28"/>
      <c r="KYT27" s="28"/>
      <c r="KYU27" s="28"/>
      <c r="KYV27" s="28"/>
      <c r="KYW27" s="28"/>
      <c r="KYX27" s="28"/>
      <c r="KYY27" s="28"/>
      <c r="KYZ27" s="28"/>
      <c r="KZA27" s="28"/>
      <c r="KZB27" s="28"/>
      <c r="KZC27" s="28"/>
      <c r="KZD27" s="28"/>
      <c r="KZE27" s="28"/>
      <c r="KZF27" s="28"/>
      <c r="KZG27" s="28"/>
      <c r="KZH27" s="28"/>
      <c r="KZI27" s="28"/>
      <c r="KZJ27" s="28"/>
      <c r="KZK27" s="28"/>
      <c r="KZL27" s="28"/>
      <c r="KZM27" s="28"/>
      <c r="KZN27" s="28"/>
      <c r="KZO27" s="28"/>
      <c r="KZP27" s="28"/>
      <c r="KZQ27" s="28"/>
      <c r="KZR27" s="28"/>
      <c r="KZS27" s="28"/>
      <c r="KZT27" s="28"/>
      <c r="KZU27" s="28"/>
      <c r="KZV27" s="28"/>
      <c r="KZW27" s="28"/>
      <c r="KZX27" s="28"/>
      <c r="KZY27" s="28"/>
      <c r="KZZ27" s="28"/>
      <c r="LAA27" s="28"/>
      <c r="LAB27" s="28"/>
      <c r="LAC27" s="28"/>
      <c r="LAD27" s="28"/>
      <c r="LAE27" s="28"/>
      <c r="LAF27" s="28"/>
      <c r="LAG27" s="28"/>
      <c r="LAH27" s="28"/>
      <c r="LAI27" s="28"/>
      <c r="LAJ27" s="28"/>
      <c r="LAK27" s="28"/>
      <c r="LAL27" s="28"/>
      <c r="LAM27" s="28"/>
      <c r="LAN27" s="28"/>
      <c r="LAO27" s="28"/>
      <c r="LAP27" s="28"/>
      <c r="LAQ27" s="28"/>
      <c r="LAR27" s="28"/>
      <c r="LAS27" s="28"/>
      <c r="LAT27" s="28"/>
      <c r="LAU27" s="28"/>
      <c r="LAV27" s="28"/>
      <c r="LAW27" s="28"/>
      <c r="LAX27" s="28"/>
      <c r="LAY27" s="28"/>
      <c r="LAZ27" s="28"/>
      <c r="LBA27" s="28"/>
      <c r="LBB27" s="28"/>
      <c r="LBC27" s="28"/>
      <c r="LBD27" s="28"/>
      <c r="LBE27" s="28"/>
      <c r="LBF27" s="28"/>
      <c r="LBG27" s="28"/>
      <c r="LBH27" s="28"/>
      <c r="LBI27" s="28"/>
      <c r="LBJ27" s="28"/>
      <c r="LBK27" s="28"/>
      <c r="LBL27" s="28"/>
      <c r="LBM27" s="28"/>
      <c r="LBN27" s="28"/>
      <c r="LBO27" s="28"/>
      <c r="LBP27" s="28"/>
      <c r="LBQ27" s="28"/>
      <c r="LBR27" s="28"/>
      <c r="LBS27" s="28"/>
      <c r="LBT27" s="28"/>
      <c r="LBU27" s="28"/>
      <c r="LBV27" s="28"/>
      <c r="LBW27" s="28"/>
      <c r="LBX27" s="28"/>
      <c r="LBY27" s="28"/>
      <c r="LBZ27" s="28"/>
      <c r="LCA27" s="28"/>
      <c r="LCB27" s="28"/>
      <c r="LCC27" s="28"/>
      <c r="LCD27" s="28"/>
      <c r="LCE27" s="28"/>
      <c r="LCF27" s="28"/>
      <c r="LCG27" s="28"/>
      <c r="LCH27" s="28"/>
      <c r="LCI27" s="28"/>
      <c r="LCJ27" s="28"/>
      <c r="LCK27" s="28"/>
      <c r="LCL27" s="28"/>
      <c r="LCM27" s="28"/>
      <c r="LCN27" s="28"/>
      <c r="LCO27" s="28"/>
      <c r="LCP27" s="28"/>
      <c r="LCQ27" s="28"/>
      <c r="LCR27" s="28"/>
      <c r="LCS27" s="28"/>
      <c r="LCT27" s="28"/>
      <c r="LCU27" s="28"/>
      <c r="LCV27" s="28"/>
      <c r="LCW27" s="28"/>
      <c r="LCX27" s="28"/>
      <c r="LCY27" s="28"/>
      <c r="LCZ27" s="28"/>
      <c r="LDA27" s="28"/>
      <c r="LDB27" s="28"/>
      <c r="LDC27" s="28"/>
      <c r="LDD27" s="28"/>
      <c r="LDE27" s="28"/>
      <c r="LDF27" s="28"/>
      <c r="LDG27" s="28"/>
      <c r="LDH27" s="28"/>
      <c r="LDI27" s="28"/>
      <c r="LDJ27" s="28"/>
      <c r="LDK27" s="28"/>
      <c r="LDL27" s="28"/>
      <c r="LDM27" s="28"/>
      <c r="LDN27" s="28"/>
      <c r="LDO27" s="28"/>
      <c r="LDP27" s="28"/>
      <c r="LDQ27" s="28"/>
      <c r="LDR27" s="28"/>
      <c r="LDS27" s="28"/>
      <c r="LDT27" s="28"/>
      <c r="LDU27" s="28"/>
      <c r="LDV27" s="28"/>
      <c r="LDW27" s="28"/>
      <c r="LDX27" s="28"/>
      <c r="LDY27" s="28"/>
      <c r="LDZ27" s="28"/>
      <c r="LEA27" s="28"/>
      <c r="LEB27" s="28"/>
      <c r="LEC27" s="28"/>
      <c r="LED27" s="28"/>
      <c r="LEE27" s="28"/>
      <c r="LEF27" s="28"/>
      <c r="LEG27" s="28"/>
      <c r="LEH27" s="28"/>
      <c r="LEI27" s="28"/>
      <c r="LEJ27" s="28"/>
      <c r="LEK27" s="28"/>
      <c r="LEL27" s="28"/>
      <c r="LEM27" s="28"/>
      <c r="LEN27" s="28"/>
      <c r="LEO27" s="28"/>
      <c r="LEP27" s="28"/>
      <c r="LEQ27" s="28"/>
      <c r="LER27" s="28"/>
      <c r="LES27" s="28"/>
      <c r="LET27" s="28"/>
      <c r="LEU27" s="28"/>
      <c r="LEV27" s="28"/>
      <c r="LEW27" s="28"/>
      <c r="LEX27" s="28"/>
      <c r="LEY27" s="28"/>
      <c r="LEZ27" s="28"/>
      <c r="LFA27" s="28"/>
      <c r="LFB27" s="28"/>
      <c r="LFC27" s="28"/>
      <c r="LFD27" s="28"/>
      <c r="LFE27" s="28"/>
      <c r="LFF27" s="28"/>
      <c r="LFG27" s="28"/>
      <c r="LFH27" s="28"/>
      <c r="LFI27" s="28"/>
      <c r="LFJ27" s="28"/>
      <c r="LFK27" s="28"/>
      <c r="LFL27" s="28"/>
      <c r="LFM27" s="28"/>
      <c r="LFN27" s="28"/>
      <c r="LFO27" s="28"/>
      <c r="LFP27" s="28"/>
      <c r="LFQ27" s="28"/>
      <c r="LFR27" s="28"/>
      <c r="LFS27" s="28"/>
      <c r="LFT27" s="28"/>
      <c r="LFU27" s="28"/>
      <c r="LFV27" s="28"/>
      <c r="LFW27" s="28"/>
      <c r="LFX27" s="28"/>
      <c r="LFY27" s="28"/>
      <c r="LFZ27" s="28"/>
      <c r="LGA27" s="28"/>
      <c r="LGB27" s="28"/>
      <c r="LGC27" s="28"/>
      <c r="LGD27" s="28"/>
      <c r="LGE27" s="28"/>
      <c r="LGF27" s="28"/>
      <c r="LGG27" s="28"/>
      <c r="LGH27" s="28"/>
      <c r="LGI27" s="28"/>
      <c r="LGJ27" s="28"/>
      <c r="LGK27" s="28"/>
      <c r="LGL27" s="28"/>
      <c r="LGM27" s="28"/>
      <c r="LGN27" s="28"/>
      <c r="LGO27" s="28"/>
      <c r="LGP27" s="28"/>
      <c r="LGQ27" s="28"/>
      <c r="LGR27" s="28"/>
      <c r="LGS27" s="28"/>
      <c r="LGT27" s="28"/>
      <c r="LGU27" s="28"/>
      <c r="LGV27" s="28"/>
      <c r="LGW27" s="28"/>
      <c r="LGX27" s="28"/>
      <c r="LGY27" s="28"/>
      <c r="LGZ27" s="28"/>
      <c r="LHA27" s="28"/>
      <c r="LHB27" s="28"/>
      <c r="LHC27" s="28"/>
      <c r="LHD27" s="28"/>
      <c r="LHE27" s="28"/>
      <c r="LHF27" s="28"/>
      <c r="LHG27" s="28"/>
      <c r="LHH27" s="28"/>
      <c r="LHI27" s="28"/>
      <c r="LHJ27" s="28"/>
      <c r="LHK27" s="28"/>
      <c r="LHL27" s="28"/>
      <c r="LHM27" s="28"/>
      <c r="LHN27" s="28"/>
      <c r="LHO27" s="28"/>
      <c r="LHP27" s="28"/>
      <c r="LHQ27" s="28"/>
      <c r="LHR27" s="28"/>
      <c r="LHS27" s="28"/>
      <c r="LHT27" s="28"/>
      <c r="LHU27" s="28"/>
      <c r="LHV27" s="28"/>
      <c r="LHW27" s="28"/>
      <c r="LHX27" s="28"/>
      <c r="LHY27" s="28"/>
      <c r="LHZ27" s="28"/>
      <c r="LIA27" s="28"/>
      <c r="LIB27" s="28"/>
      <c r="LIC27" s="28"/>
      <c r="LID27" s="28"/>
      <c r="LIE27" s="28"/>
      <c r="LIF27" s="28"/>
      <c r="LIG27" s="28"/>
      <c r="LIH27" s="28"/>
      <c r="LII27" s="28"/>
      <c r="LIJ27" s="28"/>
      <c r="LIK27" s="28"/>
      <c r="LIL27" s="28"/>
      <c r="LIM27" s="28"/>
      <c r="LIN27" s="28"/>
      <c r="LIO27" s="28"/>
      <c r="LIP27" s="28"/>
      <c r="LIQ27" s="28"/>
      <c r="LIR27" s="28"/>
      <c r="LIS27" s="28"/>
      <c r="LIT27" s="28"/>
      <c r="LIU27" s="28"/>
      <c r="LIV27" s="28"/>
      <c r="LIW27" s="28"/>
      <c r="LIX27" s="28"/>
      <c r="LIY27" s="28"/>
      <c r="LIZ27" s="28"/>
      <c r="LJA27" s="28"/>
      <c r="LJB27" s="28"/>
      <c r="LJC27" s="28"/>
      <c r="LJD27" s="28"/>
      <c r="LJE27" s="28"/>
      <c r="LJF27" s="28"/>
      <c r="LJG27" s="28"/>
      <c r="LJH27" s="28"/>
      <c r="LJI27" s="28"/>
      <c r="LJJ27" s="28"/>
      <c r="LJK27" s="28"/>
      <c r="LJL27" s="28"/>
      <c r="LJM27" s="28"/>
      <c r="LJN27" s="28"/>
      <c r="LJO27" s="28"/>
      <c r="LJP27" s="28"/>
      <c r="LJQ27" s="28"/>
      <c r="LJR27" s="28"/>
      <c r="LJS27" s="28"/>
      <c r="LJT27" s="28"/>
      <c r="LJU27" s="28"/>
      <c r="LJV27" s="28"/>
      <c r="LJW27" s="28"/>
      <c r="LJX27" s="28"/>
      <c r="LJY27" s="28"/>
      <c r="LJZ27" s="28"/>
      <c r="LKA27" s="28"/>
      <c r="LKB27" s="28"/>
      <c r="LKC27" s="28"/>
      <c r="LKD27" s="28"/>
      <c r="LKE27" s="28"/>
      <c r="LKF27" s="28"/>
      <c r="LKG27" s="28"/>
      <c r="LKH27" s="28"/>
      <c r="LKI27" s="28"/>
      <c r="LKJ27" s="28"/>
      <c r="LKK27" s="28"/>
      <c r="LKL27" s="28"/>
      <c r="LKM27" s="28"/>
      <c r="LKN27" s="28"/>
      <c r="LKO27" s="28"/>
      <c r="LKP27" s="28"/>
      <c r="LKQ27" s="28"/>
      <c r="LKR27" s="28"/>
      <c r="LKS27" s="28"/>
      <c r="LKT27" s="28"/>
      <c r="LKU27" s="28"/>
      <c r="LKV27" s="28"/>
      <c r="LKW27" s="28"/>
      <c r="LKX27" s="28"/>
      <c r="LKY27" s="28"/>
      <c r="LKZ27" s="28"/>
      <c r="LLA27" s="28"/>
      <c r="LLB27" s="28"/>
      <c r="LLC27" s="28"/>
      <c r="LLD27" s="28"/>
      <c r="LLE27" s="28"/>
      <c r="LLF27" s="28"/>
      <c r="LLG27" s="28"/>
      <c r="LLH27" s="28"/>
      <c r="LLI27" s="28"/>
      <c r="LLJ27" s="28"/>
      <c r="LLK27" s="28"/>
      <c r="LLL27" s="28"/>
      <c r="LLM27" s="28"/>
      <c r="LLN27" s="28"/>
      <c r="LLO27" s="28"/>
      <c r="LLP27" s="28"/>
      <c r="LLQ27" s="28"/>
      <c r="LLR27" s="28"/>
      <c r="LLS27" s="28"/>
      <c r="LLT27" s="28"/>
      <c r="LLU27" s="28"/>
      <c r="LLV27" s="28"/>
      <c r="LLW27" s="28"/>
      <c r="LLX27" s="28"/>
      <c r="LLY27" s="28"/>
      <c r="LLZ27" s="28"/>
      <c r="LMA27" s="28"/>
      <c r="LMB27" s="28"/>
      <c r="LMC27" s="28"/>
      <c r="LMD27" s="28"/>
      <c r="LME27" s="28"/>
      <c r="LMF27" s="28"/>
      <c r="LMG27" s="28"/>
      <c r="LMH27" s="28"/>
      <c r="LMI27" s="28"/>
      <c r="LMJ27" s="28"/>
      <c r="LMK27" s="28"/>
      <c r="LML27" s="28"/>
      <c r="LMM27" s="28"/>
      <c r="LMN27" s="28"/>
      <c r="LMO27" s="28"/>
      <c r="LMP27" s="28"/>
      <c r="LMQ27" s="28"/>
      <c r="LMR27" s="28"/>
      <c r="LMS27" s="28"/>
      <c r="LMT27" s="28"/>
      <c r="LMU27" s="28"/>
      <c r="LMV27" s="28"/>
      <c r="LMW27" s="28"/>
      <c r="LMX27" s="28"/>
      <c r="LMY27" s="28"/>
      <c r="LMZ27" s="28"/>
      <c r="LNA27" s="28"/>
      <c r="LNB27" s="28"/>
      <c r="LNC27" s="28"/>
      <c r="LND27" s="28"/>
      <c r="LNE27" s="28"/>
      <c r="LNF27" s="28"/>
      <c r="LNG27" s="28"/>
      <c r="LNH27" s="28"/>
      <c r="LNI27" s="28"/>
      <c r="LNJ27" s="28"/>
      <c r="LNK27" s="28"/>
      <c r="LNL27" s="28"/>
      <c r="LNM27" s="28"/>
      <c r="LNN27" s="28"/>
      <c r="LNO27" s="28"/>
      <c r="LNP27" s="28"/>
      <c r="LNQ27" s="28"/>
      <c r="LNR27" s="28"/>
      <c r="LNS27" s="28"/>
      <c r="LNT27" s="28"/>
      <c r="LNU27" s="28"/>
      <c r="LNV27" s="28"/>
      <c r="LNW27" s="28"/>
      <c r="LNX27" s="28"/>
      <c r="LNY27" s="28"/>
      <c r="LNZ27" s="28"/>
      <c r="LOA27" s="28"/>
      <c r="LOB27" s="28"/>
      <c r="LOC27" s="28"/>
      <c r="LOD27" s="28"/>
      <c r="LOE27" s="28"/>
      <c r="LOF27" s="28"/>
      <c r="LOG27" s="28"/>
      <c r="LOH27" s="28"/>
      <c r="LOI27" s="28"/>
      <c r="LOJ27" s="28"/>
      <c r="LOK27" s="28"/>
      <c r="LOL27" s="28"/>
      <c r="LOM27" s="28"/>
      <c r="LON27" s="28"/>
      <c r="LOO27" s="28"/>
      <c r="LOP27" s="28"/>
      <c r="LOQ27" s="28"/>
      <c r="LOR27" s="28"/>
      <c r="LOS27" s="28"/>
      <c r="LOT27" s="28"/>
      <c r="LOU27" s="28"/>
      <c r="LOV27" s="28"/>
      <c r="LOW27" s="28"/>
      <c r="LOX27" s="28"/>
      <c r="LOY27" s="28"/>
      <c r="LOZ27" s="28"/>
      <c r="LPA27" s="28"/>
      <c r="LPB27" s="28"/>
      <c r="LPC27" s="28"/>
      <c r="LPD27" s="28"/>
      <c r="LPE27" s="28"/>
      <c r="LPF27" s="28"/>
      <c r="LPG27" s="28"/>
      <c r="LPH27" s="28"/>
      <c r="LPI27" s="28"/>
      <c r="LPJ27" s="28"/>
      <c r="LPK27" s="28"/>
      <c r="LPL27" s="28"/>
      <c r="LPM27" s="28"/>
      <c r="LPN27" s="28"/>
      <c r="LPO27" s="28"/>
      <c r="LPP27" s="28"/>
      <c r="LPQ27" s="28"/>
      <c r="LPR27" s="28"/>
      <c r="LPS27" s="28"/>
      <c r="LPT27" s="28"/>
      <c r="LPU27" s="28"/>
      <c r="LPV27" s="28"/>
      <c r="LPW27" s="28"/>
      <c r="LPX27" s="28"/>
      <c r="LPY27" s="28"/>
      <c r="LPZ27" s="28"/>
      <c r="LQA27" s="28"/>
      <c r="LQB27" s="28"/>
      <c r="LQC27" s="28"/>
      <c r="LQD27" s="28"/>
      <c r="LQE27" s="28"/>
      <c r="LQF27" s="28"/>
      <c r="LQG27" s="28"/>
      <c r="LQH27" s="28"/>
      <c r="LQI27" s="28"/>
      <c r="LQJ27" s="28"/>
      <c r="LQK27" s="28"/>
      <c r="LQL27" s="28"/>
      <c r="LQM27" s="28"/>
      <c r="LQN27" s="28"/>
      <c r="LQO27" s="28"/>
      <c r="LQP27" s="28"/>
      <c r="LQQ27" s="28"/>
      <c r="LQR27" s="28"/>
      <c r="LQS27" s="28"/>
      <c r="LQT27" s="28"/>
      <c r="LQU27" s="28"/>
      <c r="LQV27" s="28"/>
      <c r="LQW27" s="28"/>
      <c r="LQX27" s="28"/>
      <c r="LQY27" s="28"/>
      <c r="LQZ27" s="28"/>
      <c r="LRA27" s="28"/>
      <c r="LRB27" s="28"/>
      <c r="LRC27" s="28"/>
      <c r="LRD27" s="28"/>
      <c r="LRE27" s="28"/>
      <c r="LRF27" s="28"/>
      <c r="LRG27" s="28"/>
      <c r="LRH27" s="28"/>
      <c r="LRI27" s="28"/>
      <c r="LRJ27" s="28"/>
      <c r="LRK27" s="28"/>
      <c r="LRL27" s="28"/>
      <c r="LRM27" s="28"/>
      <c r="LRN27" s="28"/>
      <c r="LRO27" s="28"/>
      <c r="LRP27" s="28"/>
      <c r="LRQ27" s="28"/>
      <c r="LRR27" s="28"/>
      <c r="LRS27" s="28"/>
      <c r="LRT27" s="28"/>
      <c r="LRU27" s="28"/>
      <c r="LRV27" s="28"/>
      <c r="LRW27" s="28"/>
      <c r="LRX27" s="28"/>
      <c r="LRY27" s="28"/>
      <c r="LRZ27" s="28"/>
      <c r="LSA27" s="28"/>
      <c r="LSB27" s="28"/>
      <c r="LSC27" s="28"/>
      <c r="LSD27" s="28"/>
      <c r="LSE27" s="28"/>
      <c r="LSF27" s="28"/>
      <c r="LSG27" s="28"/>
      <c r="LSH27" s="28"/>
      <c r="LSI27" s="28"/>
      <c r="LSJ27" s="28"/>
      <c r="LSK27" s="28"/>
      <c r="LSL27" s="28"/>
      <c r="LSM27" s="28"/>
      <c r="LSN27" s="28"/>
      <c r="LSO27" s="28"/>
      <c r="LSP27" s="28"/>
      <c r="LSQ27" s="28"/>
      <c r="LSR27" s="28"/>
      <c r="LSS27" s="28"/>
      <c r="LST27" s="28"/>
      <c r="LSU27" s="28"/>
      <c r="LSV27" s="28"/>
      <c r="LSW27" s="28"/>
      <c r="LSX27" s="28"/>
      <c r="LSY27" s="28"/>
      <c r="LSZ27" s="28"/>
      <c r="LTA27" s="28"/>
      <c r="LTB27" s="28"/>
      <c r="LTC27" s="28"/>
      <c r="LTD27" s="28"/>
      <c r="LTE27" s="28"/>
      <c r="LTF27" s="28"/>
      <c r="LTG27" s="28"/>
      <c r="LTH27" s="28"/>
      <c r="LTI27" s="28"/>
      <c r="LTJ27" s="28"/>
      <c r="LTK27" s="28"/>
      <c r="LTL27" s="28"/>
      <c r="LTM27" s="28"/>
      <c r="LTN27" s="28"/>
      <c r="LTO27" s="28"/>
      <c r="LTP27" s="28"/>
      <c r="LTQ27" s="28"/>
      <c r="LTR27" s="28"/>
      <c r="LTS27" s="28"/>
      <c r="LTT27" s="28"/>
      <c r="LTU27" s="28"/>
      <c r="LTV27" s="28"/>
      <c r="LTW27" s="28"/>
      <c r="LTX27" s="28"/>
      <c r="LTY27" s="28"/>
      <c r="LTZ27" s="28"/>
      <c r="LUA27" s="28"/>
      <c r="LUB27" s="28"/>
      <c r="LUC27" s="28"/>
      <c r="LUD27" s="28"/>
      <c r="LUE27" s="28"/>
      <c r="LUF27" s="28"/>
      <c r="LUG27" s="28"/>
      <c r="LUH27" s="28"/>
      <c r="LUI27" s="28"/>
      <c r="LUJ27" s="28"/>
      <c r="LUK27" s="28"/>
      <c r="LUL27" s="28"/>
      <c r="LUM27" s="28"/>
      <c r="LUN27" s="28"/>
      <c r="LUO27" s="28"/>
      <c r="LUP27" s="28"/>
      <c r="LUQ27" s="28"/>
      <c r="LUR27" s="28"/>
      <c r="LUS27" s="28"/>
      <c r="LUT27" s="28"/>
      <c r="LUU27" s="28"/>
      <c r="LUV27" s="28"/>
      <c r="LUW27" s="28"/>
      <c r="LUX27" s="28"/>
      <c r="LUY27" s="28"/>
      <c r="LUZ27" s="28"/>
      <c r="LVA27" s="28"/>
      <c r="LVB27" s="28"/>
      <c r="LVC27" s="28"/>
      <c r="LVD27" s="28"/>
      <c r="LVE27" s="28"/>
      <c r="LVF27" s="28"/>
      <c r="LVG27" s="28"/>
      <c r="LVH27" s="28"/>
      <c r="LVI27" s="28"/>
      <c r="LVJ27" s="28"/>
      <c r="LVK27" s="28"/>
      <c r="LVL27" s="28"/>
      <c r="LVM27" s="28"/>
      <c r="LVN27" s="28"/>
      <c r="LVO27" s="28"/>
      <c r="LVP27" s="28"/>
      <c r="LVQ27" s="28"/>
      <c r="LVR27" s="28"/>
      <c r="LVS27" s="28"/>
      <c r="LVT27" s="28"/>
      <c r="LVU27" s="28"/>
      <c r="LVV27" s="28"/>
      <c r="LVW27" s="28"/>
      <c r="LVX27" s="28"/>
      <c r="LVY27" s="28"/>
      <c r="LVZ27" s="28"/>
      <c r="LWA27" s="28"/>
      <c r="LWB27" s="28"/>
      <c r="LWC27" s="28"/>
      <c r="LWD27" s="28"/>
      <c r="LWE27" s="28"/>
      <c r="LWF27" s="28"/>
      <c r="LWG27" s="28"/>
      <c r="LWH27" s="28"/>
      <c r="LWI27" s="28"/>
      <c r="LWJ27" s="28"/>
      <c r="LWK27" s="28"/>
      <c r="LWL27" s="28"/>
      <c r="LWM27" s="28"/>
      <c r="LWN27" s="28"/>
      <c r="LWO27" s="28"/>
      <c r="LWP27" s="28"/>
      <c r="LWQ27" s="28"/>
      <c r="LWR27" s="28"/>
      <c r="LWS27" s="28"/>
      <c r="LWT27" s="28"/>
      <c r="LWU27" s="28"/>
      <c r="LWV27" s="28"/>
      <c r="LWW27" s="28"/>
      <c r="LWX27" s="28"/>
      <c r="LWY27" s="28"/>
      <c r="LWZ27" s="28"/>
      <c r="LXA27" s="28"/>
      <c r="LXB27" s="28"/>
      <c r="LXC27" s="28"/>
      <c r="LXD27" s="28"/>
      <c r="LXE27" s="28"/>
      <c r="LXF27" s="28"/>
      <c r="LXG27" s="28"/>
      <c r="LXH27" s="28"/>
      <c r="LXI27" s="28"/>
      <c r="LXJ27" s="28"/>
      <c r="LXK27" s="28"/>
      <c r="LXL27" s="28"/>
      <c r="LXM27" s="28"/>
      <c r="LXN27" s="28"/>
      <c r="LXO27" s="28"/>
      <c r="LXP27" s="28"/>
      <c r="LXQ27" s="28"/>
      <c r="LXR27" s="28"/>
      <c r="LXS27" s="28"/>
      <c r="LXT27" s="28"/>
      <c r="LXU27" s="28"/>
      <c r="LXV27" s="28"/>
      <c r="LXW27" s="28"/>
      <c r="LXX27" s="28"/>
      <c r="LXY27" s="28"/>
      <c r="LXZ27" s="28"/>
      <c r="LYA27" s="28"/>
      <c r="LYB27" s="28"/>
      <c r="LYC27" s="28"/>
      <c r="LYD27" s="28"/>
      <c r="LYE27" s="28"/>
      <c r="LYF27" s="28"/>
      <c r="LYG27" s="28"/>
      <c r="LYH27" s="28"/>
      <c r="LYI27" s="28"/>
      <c r="LYJ27" s="28"/>
      <c r="LYK27" s="28"/>
      <c r="LYL27" s="28"/>
      <c r="LYM27" s="28"/>
      <c r="LYN27" s="28"/>
      <c r="LYO27" s="28"/>
      <c r="LYP27" s="28"/>
      <c r="LYQ27" s="28"/>
      <c r="LYR27" s="28"/>
      <c r="LYS27" s="28"/>
      <c r="LYT27" s="28"/>
      <c r="LYU27" s="28"/>
      <c r="LYV27" s="28"/>
      <c r="LYW27" s="28"/>
      <c r="LYX27" s="28"/>
      <c r="LYY27" s="28"/>
      <c r="LYZ27" s="28"/>
      <c r="LZA27" s="28"/>
      <c r="LZB27" s="28"/>
      <c r="LZC27" s="28"/>
      <c r="LZD27" s="28"/>
      <c r="LZE27" s="28"/>
      <c r="LZF27" s="28"/>
      <c r="LZG27" s="28"/>
      <c r="LZH27" s="28"/>
      <c r="LZI27" s="28"/>
      <c r="LZJ27" s="28"/>
      <c r="LZK27" s="28"/>
      <c r="LZL27" s="28"/>
      <c r="LZM27" s="28"/>
      <c r="LZN27" s="28"/>
      <c r="LZO27" s="28"/>
      <c r="LZP27" s="28"/>
      <c r="LZQ27" s="28"/>
      <c r="LZR27" s="28"/>
      <c r="LZS27" s="28"/>
      <c r="LZT27" s="28"/>
      <c r="LZU27" s="28"/>
      <c r="LZV27" s="28"/>
      <c r="LZW27" s="28"/>
      <c r="LZX27" s="28"/>
      <c r="LZY27" s="28"/>
      <c r="LZZ27" s="28"/>
      <c r="MAA27" s="28"/>
      <c r="MAB27" s="28"/>
      <c r="MAC27" s="28"/>
      <c r="MAD27" s="28"/>
      <c r="MAE27" s="28"/>
      <c r="MAF27" s="28"/>
      <c r="MAG27" s="28"/>
      <c r="MAH27" s="28"/>
      <c r="MAI27" s="28"/>
      <c r="MAJ27" s="28"/>
      <c r="MAK27" s="28"/>
      <c r="MAL27" s="28"/>
      <c r="MAM27" s="28"/>
      <c r="MAN27" s="28"/>
      <c r="MAO27" s="28"/>
      <c r="MAP27" s="28"/>
      <c r="MAQ27" s="28"/>
      <c r="MAR27" s="28"/>
      <c r="MAS27" s="28"/>
      <c r="MAT27" s="28"/>
      <c r="MAU27" s="28"/>
      <c r="MAV27" s="28"/>
      <c r="MAW27" s="28"/>
      <c r="MAX27" s="28"/>
      <c r="MAY27" s="28"/>
      <c r="MAZ27" s="28"/>
      <c r="MBA27" s="28"/>
      <c r="MBB27" s="28"/>
      <c r="MBC27" s="28"/>
      <c r="MBD27" s="28"/>
      <c r="MBE27" s="28"/>
      <c r="MBF27" s="28"/>
      <c r="MBG27" s="28"/>
      <c r="MBH27" s="28"/>
      <c r="MBI27" s="28"/>
      <c r="MBJ27" s="28"/>
      <c r="MBK27" s="28"/>
      <c r="MBL27" s="28"/>
      <c r="MBM27" s="28"/>
      <c r="MBN27" s="28"/>
      <c r="MBO27" s="28"/>
      <c r="MBP27" s="28"/>
      <c r="MBQ27" s="28"/>
      <c r="MBR27" s="28"/>
      <c r="MBS27" s="28"/>
      <c r="MBT27" s="28"/>
      <c r="MBU27" s="28"/>
      <c r="MBV27" s="28"/>
      <c r="MBW27" s="28"/>
      <c r="MBX27" s="28"/>
      <c r="MBY27" s="28"/>
      <c r="MBZ27" s="28"/>
      <c r="MCA27" s="28"/>
      <c r="MCB27" s="28"/>
      <c r="MCC27" s="28"/>
      <c r="MCD27" s="28"/>
      <c r="MCE27" s="28"/>
      <c r="MCF27" s="28"/>
      <c r="MCG27" s="28"/>
      <c r="MCH27" s="28"/>
      <c r="MCI27" s="28"/>
      <c r="MCJ27" s="28"/>
      <c r="MCK27" s="28"/>
      <c r="MCL27" s="28"/>
      <c r="MCM27" s="28"/>
      <c r="MCN27" s="28"/>
      <c r="MCO27" s="28"/>
      <c r="MCP27" s="28"/>
      <c r="MCQ27" s="28"/>
      <c r="MCR27" s="28"/>
      <c r="MCS27" s="28"/>
      <c r="MCT27" s="28"/>
      <c r="MCU27" s="28"/>
      <c r="MCV27" s="28"/>
      <c r="MCW27" s="28"/>
      <c r="MCX27" s="28"/>
      <c r="MCY27" s="28"/>
      <c r="MCZ27" s="28"/>
      <c r="MDA27" s="28"/>
      <c r="MDB27" s="28"/>
      <c r="MDC27" s="28"/>
      <c r="MDD27" s="28"/>
      <c r="MDE27" s="28"/>
      <c r="MDF27" s="28"/>
      <c r="MDG27" s="28"/>
      <c r="MDH27" s="28"/>
      <c r="MDI27" s="28"/>
      <c r="MDJ27" s="28"/>
      <c r="MDK27" s="28"/>
      <c r="MDL27" s="28"/>
      <c r="MDM27" s="28"/>
      <c r="MDN27" s="28"/>
      <c r="MDO27" s="28"/>
      <c r="MDP27" s="28"/>
      <c r="MDQ27" s="28"/>
      <c r="MDR27" s="28"/>
      <c r="MDS27" s="28"/>
      <c r="MDT27" s="28"/>
      <c r="MDU27" s="28"/>
      <c r="MDV27" s="28"/>
      <c r="MDW27" s="28"/>
      <c r="MDX27" s="28"/>
      <c r="MDY27" s="28"/>
      <c r="MDZ27" s="28"/>
      <c r="MEA27" s="28"/>
      <c r="MEB27" s="28"/>
      <c r="MEC27" s="28"/>
      <c r="MED27" s="28"/>
      <c r="MEE27" s="28"/>
      <c r="MEF27" s="28"/>
      <c r="MEG27" s="28"/>
      <c r="MEH27" s="28"/>
      <c r="MEI27" s="28"/>
      <c r="MEJ27" s="28"/>
      <c r="MEK27" s="28"/>
      <c r="MEL27" s="28"/>
      <c r="MEM27" s="28"/>
      <c r="MEN27" s="28"/>
      <c r="MEO27" s="28"/>
      <c r="MEP27" s="28"/>
      <c r="MEQ27" s="28"/>
      <c r="MER27" s="28"/>
      <c r="MES27" s="28"/>
      <c r="MET27" s="28"/>
      <c r="MEU27" s="28"/>
      <c r="MEV27" s="28"/>
      <c r="MEW27" s="28"/>
      <c r="MEX27" s="28"/>
      <c r="MEY27" s="28"/>
      <c r="MEZ27" s="28"/>
      <c r="MFA27" s="28"/>
      <c r="MFB27" s="28"/>
      <c r="MFC27" s="28"/>
      <c r="MFD27" s="28"/>
      <c r="MFE27" s="28"/>
      <c r="MFF27" s="28"/>
      <c r="MFG27" s="28"/>
      <c r="MFH27" s="28"/>
      <c r="MFI27" s="28"/>
      <c r="MFJ27" s="28"/>
      <c r="MFK27" s="28"/>
      <c r="MFL27" s="28"/>
      <c r="MFM27" s="28"/>
      <c r="MFN27" s="28"/>
      <c r="MFO27" s="28"/>
      <c r="MFP27" s="28"/>
      <c r="MFQ27" s="28"/>
      <c r="MFR27" s="28"/>
      <c r="MFS27" s="28"/>
      <c r="MFT27" s="28"/>
      <c r="MFU27" s="28"/>
      <c r="MFV27" s="28"/>
      <c r="MFW27" s="28"/>
      <c r="MFX27" s="28"/>
      <c r="MFY27" s="28"/>
      <c r="MFZ27" s="28"/>
      <c r="MGA27" s="28"/>
      <c r="MGB27" s="28"/>
      <c r="MGC27" s="28"/>
      <c r="MGD27" s="28"/>
      <c r="MGE27" s="28"/>
      <c r="MGF27" s="28"/>
      <c r="MGG27" s="28"/>
      <c r="MGH27" s="28"/>
      <c r="MGI27" s="28"/>
      <c r="MGJ27" s="28"/>
      <c r="MGK27" s="28"/>
      <c r="MGL27" s="28"/>
      <c r="MGM27" s="28"/>
      <c r="MGN27" s="28"/>
      <c r="MGO27" s="28"/>
      <c r="MGP27" s="28"/>
      <c r="MGQ27" s="28"/>
      <c r="MGR27" s="28"/>
      <c r="MGS27" s="28"/>
      <c r="MGT27" s="28"/>
      <c r="MGU27" s="28"/>
      <c r="MGV27" s="28"/>
      <c r="MGW27" s="28"/>
      <c r="MGX27" s="28"/>
      <c r="MGY27" s="28"/>
      <c r="MGZ27" s="28"/>
      <c r="MHA27" s="28"/>
      <c r="MHB27" s="28"/>
      <c r="MHC27" s="28"/>
      <c r="MHD27" s="28"/>
      <c r="MHE27" s="28"/>
      <c r="MHF27" s="28"/>
      <c r="MHG27" s="28"/>
      <c r="MHH27" s="28"/>
      <c r="MHI27" s="28"/>
      <c r="MHJ27" s="28"/>
      <c r="MHK27" s="28"/>
      <c r="MHL27" s="28"/>
      <c r="MHM27" s="28"/>
      <c r="MHN27" s="28"/>
      <c r="MHO27" s="28"/>
      <c r="MHP27" s="28"/>
      <c r="MHQ27" s="28"/>
      <c r="MHR27" s="28"/>
      <c r="MHS27" s="28"/>
      <c r="MHT27" s="28"/>
      <c r="MHU27" s="28"/>
      <c r="MHV27" s="28"/>
      <c r="MHW27" s="28"/>
      <c r="MHX27" s="28"/>
      <c r="MHY27" s="28"/>
      <c r="MHZ27" s="28"/>
      <c r="MIA27" s="28"/>
      <c r="MIB27" s="28"/>
      <c r="MIC27" s="28"/>
      <c r="MID27" s="28"/>
      <c r="MIE27" s="28"/>
      <c r="MIF27" s="28"/>
      <c r="MIG27" s="28"/>
      <c r="MIH27" s="28"/>
      <c r="MII27" s="28"/>
      <c r="MIJ27" s="28"/>
      <c r="MIK27" s="28"/>
      <c r="MIL27" s="28"/>
      <c r="MIM27" s="28"/>
      <c r="MIN27" s="28"/>
      <c r="MIO27" s="28"/>
      <c r="MIP27" s="28"/>
      <c r="MIQ27" s="28"/>
      <c r="MIR27" s="28"/>
      <c r="MIS27" s="28"/>
      <c r="MIT27" s="28"/>
      <c r="MIU27" s="28"/>
      <c r="MIV27" s="28"/>
      <c r="MIW27" s="28"/>
      <c r="MIX27" s="28"/>
      <c r="MIY27" s="28"/>
      <c r="MIZ27" s="28"/>
      <c r="MJA27" s="28"/>
      <c r="MJB27" s="28"/>
      <c r="MJC27" s="28"/>
      <c r="MJD27" s="28"/>
      <c r="MJE27" s="28"/>
      <c r="MJF27" s="28"/>
      <c r="MJG27" s="28"/>
      <c r="MJH27" s="28"/>
      <c r="MJI27" s="28"/>
      <c r="MJJ27" s="28"/>
      <c r="MJK27" s="28"/>
      <c r="MJL27" s="28"/>
      <c r="MJM27" s="28"/>
      <c r="MJN27" s="28"/>
      <c r="MJO27" s="28"/>
      <c r="MJP27" s="28"/>
      <c r="MJQ27" s="28"/>
      <c r="MJR27" s="28"/>
      <c r="MJS27" s="28"/>
      <c r="MJT27" s="28"/>
      <c r="MJU27" s="28"/>
      <c r="MJV27" s="28"/>
      <c r="MJW27" s="28"/>
      <c r="MJX27" s="28"/>
      <c r="MJY27" s="28"/>
      <c r="MJZ27" s="28"/>
      <c r="MKA27" s="28"/>
      <c r="MKB27" s="28"/>
      <c r="MKC27" s="28"/>
      <c r="MKD27" s="28"/>
      <c r="MKE27" s="28"/>
      <c r="MKF27" s="28"/>
      <c r="MKG27" s="28"/>
      <c r="MKH27" s="28"/>
      <c r="MKI27" s="28"/>
      <c r="MKJ27" s="28"/>
      <c r="MKK27" s="28"/>
      <c r="MKL27" s="28"/>
      <c r="MKM27" s="28"/>
      <c r="MKN27" s="28"/>
      <c r="MKO27" s="28"/>
      <c r="MKP27" s="28"/>
      <c r="MKQ27" s="28"/>
      <c r="MKR27" s="28"/>
      <c r="MKS27" s="28"/>
      <c r="MKT27" s="28"/>
      <c r="MKU27" s="28"/>
      <c r="MKV27" s="28"/>
      <c r="MKW27" s="28"/>
      <c r="MKX27" s="28"/>
      <c r="MKY27" s="28"/>
      <c r="MKZ27" s="28"/>
      <c r="MLA27" s="28"/>
      <c r="MLB27" s="28"/>
      <c r="MLC27" s="28"/>
      <c r="MLD27" s="28"/>
      <c r="MLE27" s="28"/>
      <c r="MLF27" s="28"/>
      <c r="MLG27" s="28"/>
      <c r="MLH27" s="28"/>
      <c r="MLI27" s="28"/>
      <c r="MLJ27" s="28"/>
      <c r="MLK27" s="28"/>
      <c r="MLL27" s="28"/>
      <c r="MLM27" s="28"/>
      <c r="MLN27" s="28"/>
      <c r="MLO27" s="28"/>
      <c r="MLP27" s="28"/>
      <c r="MLQ27" s="28"/>
      <c r="MLR27" s="28"/>
      <c r="MLS27" s="28"/>
      <c r="MLT27" s="28"/>
      <c r="MLU27" s="28"/>
      <c r="MLV27" s="28"/>
      <c r="MLW27" s="28"/>
      <c r="MLX27" s="28"/>
      <c r="MLY27" s="28"/>
      <c r="MLZ27" s="28"/>
      <c r="MMA27" s="28"/>
      <c r="MMB27" s="28"/>
      <c r="MMC27" s="28"/>
      <c r="MMD27" s="28"/>
      <c r="MME27" s="28"/>
      <c r="MMF27" s="28"/>
      <c r="MMG27" s="28"/>
      <c r="MMH27" s="28"/>
      <c r="MMI27" s="28"/>
      <c r="MMJ27" s="28"/>
      <c r="MMK27" s="28"/>
      <c r="MML27" s="28"/>
      <c r="MMM27" s="28"/>
      <c r="MMN27" s="28"/>
      <c r="MMO27" s="28"/>
      <c r="MMP27" s="28"/>
      <c r="MMQ27" s="28"/>
      <c r="MMR27" s="28"/>
      <c r="MMS27" s="28"/>
      <c r="MMT27" s="28"/>
      <c r="MMU27" s="28"/>
      <c r="MMV27" s="28"/>
      <c r="MMW27" s="28"/>
      <c r="MMX27" s="28"/>
      <c r="MMY27" s="28"/>
      <c r="MMZ27" s="28"/>
      <c r="MNA27" s="28"/>
      <c r="MNB27" s="28"/>
      <c r="MNC27" s="28"/>
      <c r="MND27" s="28"/>
      <c r="MNE27" s="28"/>
      <c r="MNF27" s="28"/>
      <c r="MNG27" s="28"/>
      <c r="MNH27" s="28"/>
      <c r="MNI27" s="28"/>
      <c r="MNJ27" s="28"/>
      <c r="MNK27" s="28"/>
      <c r="MNL27" s="28"/>
      <c r="MNM27" s="28"/>
      <c r="MNN27" s="28"/>
      <c r="MNO27" s="28"/>
      <c r="MNP27" s="28"/>
      <c r="MNQ27" s="28"/>
      <c r="MNR27" s="28"/>
      <c r="MNS27" s="28"/>
      <c r="MNT27" s="28"/>
      <c r="MNU27" s="28"/>
      <c r="MNV27" s="28"/>
      <c r="MNW27" s="28"/>
      <c r="MNX27" s="28"/>
      <c r="MNY27" s="28"/>
      <c r="MNZ27" s="28"/>
      <c r="MOA27" s="28"/>
      <c r="MOB27" s="28"/>
      <c r="MOC27" s="28"/>
      <c r="MOD27" s="28"/>
      <c r="MOE27" s="28"/>
      <c r="MOF27" s="28"/>
      <c r="MOG27" s="28"/>
      <c r="MOH27" s="28"/>
      <c r="MOI27" s="28"/>
      <c r="MOJ27" s="28"/>
      <c r="MOK27" s="28"/>
      <c r="MOL27" s="28"/>
      <c r="MOM27" s="28"/>
      <c r="MON27" s="28"/>
      <c r="MOO27" s="28"/>
      <c r="MOP27" s="28"/>
      <c r="MOQ27" s="28"/>
      <c r="MOR27" s="28"/>
      <c r="MOS27" s="28"/>
      <c r="MOT27" s="28"/>
      <c r="MOU27" s="28"/>
      <c r="MOV27" s="28"/>
      <c r="MOW27" s="28"/>
      <c r="MOX27" s="28"/>
      <c r="MOY27" s="28"/>
      <c r="MOZ27" s="28"/>
      <c r="MPA27" s="28"/>
      <c r="MPB27" s="28"/>
      <c r="MPC27" s="28"/>
      <c r="MPD27" s="28"/>
      <c r="MPE27" s="28"/>
      <c r="MPF27" s="28"/>
      <c r="MPG27" s="28"/>
      <c r="MPH27" s="28"/>
      <c r="MPI27" s="28"/>
      <c r="MPJ27" s="28"/>
      <c r="MPK27" s="28"/>
      <c r="MPL27" s="28"/>
      <c r="MPM27" s="28"/>
      <c r="MPN27" s="28"/>
      <c r="MPO27" s="28"/>
      <c r="MPP27" s="28"/>
      <c r="MPQ27" s="28"/>
      <c r="MPR27" s="28"/>
      <c r="MPS27" s="28"/>
      <c r="MPT27" s="28"/>
      <c r="MPU27" s="28"/>
      <c r="MPV27" s="28"/>
      <c r="MPW27" s="28"/>
      <c r="MPX27" s="28"/>
      <c r="MPY27" s="28"/>
      <c r="MPZ27" s="28"/>
      <c r="MQA27" s="28"/>
      <c r="MQB27" s="28"/>
      <c r="MQC27" s="28"/>
      <c r="MQD27" s="28"/>
      <c r="MQE27" s="28"/>
      <c r="MQF27" s="28"/>
      <c r="MQG27" s="28"/>
      <c r="MQH27" s="28"/>
      <c r="MQI27" s="28"/>
      <c r="MQJ27" s="28"/>
      <c r="MQK27" s="28"/>
      <c r="MQL27" s="28"/>
      <c r="MQM27" s="28"/>
      <c r="MQN27" s="28"/>
      <c r="MQO27" s="28"/>
      <c r="MQP27" s="28"/>
      <c r="MQQ27" s="28"/>
      <c r="MQR27" s="28"/>
      <c r="MQS27" s="28"/>
      <c r="MQT27" s="28"/>
      <c r="MQU27" s="28"/>
      <c r="MQV27" s="28"/>
      <c r="MQW27" s="28"/>
      <c r="MQX27" s="28"/>
      <c r="MQY27" s="28"/>
      <c r="MQZ27" s="28"/>
      <c r="MRA27" s="28"/>
      <c r="MRB27" s="28"/>
      <c r="MRC27" s="28"/>
      <c r="MRD27" s="28"/>
      <c r="MRE27" s="28"/>
      <c r="MRF27" s="28"/>
      <c r="MRG27" s="28"/>
      <c r="MRH27" s="28"/>
      <c r="MRI27" s="28"/>
      <c r="MRJ27" s="28"/>
      <c r="MRK27" s="28"/>
      <c r="MRL27" s="28"/>
      <c r="MRM27" s="28"/>
      <c r="MRN27" s="28"/>
      <c r="MRO27" s="28"/>
      <c r="MRP27" s="28"/>
      <c r="MRQ27" s="28"/>
      <c r="MRR27" s="28"/>
      <c r="MRS27" s="28"/>
      <c r="MRT27" s="28"/>
      <c r="MRU27" s="28"/>
      <c r="MRV27" s="28"/>
      <c r="MRW27" s="28"/>
      <c r="MRX27" s="28"/>
      <c r="MRY27" s="28"/>
      <c r="MRZ27" s="28"/>
      <c r="MSA27" s="28"/>
      <c r="MSB27" s="28"/>
      <c r="MSC27" s="28"/>
      <c r="MSD27" s="28"/>
      <c r="MSE27" s="28"/>
      <c r="MSF27" s="28"/>
      <c r="MSG27" s="28"/>
      <c r="MSH27" s="28"/>
      <c r="MSI27" s="28"/>
      <c r="MSJ27" s="28"/>
      <c r="MSK27" s="28"/>
      <c r="MSL27" s="28"/>
      <c r="MSM27" s="28"/>
      <c r="MSN27" s="28"/>
      <c r="MSO27" s="28"/>
      <c r="MSP27" s="28"/>
      <c r="MSQ27" s="28"/>
      <c r="MSR27" s="28"/>
      <c r="MSS27" s="28"/>
      <c r="MST27" s="28"/>
      <c r="MSU27" s="28"/>
      <c r="MSV27" s="28"/>
      <c r="MSW27" s="28"/>
      <c r="MSX27" s="28"/>
      <c r="MSY27" s="28"/>
      <c r="MSZ27" s="28"/>
      <c r="MTA27" s="28"/>
      <c r="MTB27" s="28"/>
      <c r="MTC27" s="28"/>
      <c r="MTD27" s="28"/>
      <c r="MTE27" s="28"/>
      <c r="MTF27" s="28"/>
      <c r="MTG27" s="28"/>
      <c r="MTH27" s="28"/>
      <c r="MTI27" s="28"/>
      <c r="MTJ27" s="28"/>
      <c r="MTK27" s="28"/>
      <c r="MTL27" s="28"/>
      <c r="MTM27" s="28"/>
      <c r="MTN27" s="28"/>
      <c r="MTO27" s="28"/>
      <c r="MTP27" s="28"/>
      <c r="MTQ27" s="28"/>
      <c r="MTR27" s="28"/>
      <c r="MTS27" s="28"/>
      <c r="MTT27" s="28"/>
      <c r="MTU27" s="28"/>
      <c r="MTV27" s="28"/>
      <c r="MTW27" s="28"/>
      <c r="MTX27" s="28"/>
      <c r="MTY27" s="28"/>
      <c r="MTZ27" s="28"/>
      <c r="MUA27" s="28"/>
      <c r="MUB27" s="28"/>
      <c r="MUC27" s="28"/>
      <c r="MUD27" s="28"/>
      <c r="MUE27" s="28"/>
      <c r="MUF27" s="28"/>
      <c r="MUG27" s="28"/>
      <c r="MUH27" s="28"/>
      <c r="MUI27" s="28"/>
      <c r="MUJ27" s="28"/>
      <c r="MUK27" s="28"/>
      <c r="MUL27" s="28"/>
      <c r="MUM27" s="28"/>
      <c r="MUN27" s="28"/>
      <c r="MUO27" s="28"/>
      <c r="MUP27" s="28"/>
      <c r="MUQ27" s="28"/>
      <c r="MUR27" s="28"/>
      <c r="MUS27" s="28"/>
      <c r="MUT27" s="28"/>
      <c r="MUU27" s="28"/>
      <c r="MUV27" s="28"/>
      <c r="MUW27" s="28"/>
      <c r="MUX27" s="28"/>
      <c r="MUY27" s="28"/>
      <c r="MUZ27" s="28"/>
      <c r="MVA27" s="28"/>
      <c r="MVB27" s="28"/>
      <c r="MVC27" s="28"/>
      <c r="MVD27" s="28"/>
      <c r="MVE27" s="28"/>
      <c r="MVF27" s="28"/>
      <c r="MVG27" s="28"/>
      <c r="MVH27" s="28"/>
      <c r="MVI27" s="28"/>
      <c r="MVJ27" s="28"/>
      <c r="MVK27" s="28"/>
      <c r="MVL27" s="28"/>
      <c r="MVM27" s="28"/>
      <c r="MVN27" s="28"/>
      <c r="MVO27" s="28"/>
      <c r="MVP27" s="28"/>
      <c r="MVQ27" s="28"/>
      <c r="MVR27" s="28"/>
      <c r="MVS27" s="28"/>
      <c r="MVT27" s="28"/>
      <c r="MVU27" s="28"/>
      <c r="MVV27" s="28"/>
      <c r="MVW27" s="28"/>
      <c r="MVX27" s="28"/>
      <c r="MVY27" s="28"/>
      <c r="MVZ27" s="28"/>
      <c r="MWA27" s="28"/>
      <c r="MWB27" s="28"/>
      <c r="MWC27" s="28"/>
      <c r="MWD27" s="28"/>
      <c r="MWE27" s="28"/>
      <c r="MWF27" s="28"/>
      <c r="MWG27" s="28"/>
      <c r="MWH27" s="28"/>
      <c r="MWI27" s="28"/>
      <c r="MWJ27" s="28"/>
      <c r="MWK27" s="28"/>
      <c r="MWL27" s="28"/>
      <c r="MWM27" s="28"/>
      <c r="MWN27" s="28"/>
      <c r="MWO27" s="28"/>
      <c r="MWP27" s="28"/>
      <c r="MWQ27" s="28"/>
      <c r="MWR27" s="28"/>
      <c r="MWS27" s="28"/>
      <c r="MWT27" s="28"/>
      <c r="MWU27" s="28"/>
      <c r="MWV27" s="28"/>
      <c r="MWW27" s="28"/>
      <c r="MWX27" s="28"/>
      <c r="MWY27" s="28"/>
      <c r="MWZ27" s="28"/>
      <c r="MXA27" s="28"/>
      <c r="MXB27" s="28"/>
      <c r="MXC27" s="28"/>
      <c r="MXD27" s="28"/>
      <c r="MXE27" s="28"/>
      <c r="MXF27" s="28"/>
      <c r="MXG27" s="28"/>
      <c r="MXH27" s="28"/>
      <c r="MXI27" s="28"/>
      <c r="MXJ27" s="28"/>
      <c r="MXK27" s="28"/>
      <c r="MXL27" s="28"/>
      <c r="MXM27" s="28"/>
      <c r="MXN27" s="28"/>
      <c r="MXO27" s="28"/>
      <c r="MXP27" s="28"/>
      <c r="MXQ27" s="28"/>
      <c r="MXR27" s="28"/>
      <c r="MXS27" s="28"/>
      <c r="MXT27" s="28"/>
      <c r="MXU27" s="28"/>
      <c r="MXV27" s="28"/>
      <c r="MXW27" s="28"/>
      <c r="MXX27" s="28"/>
      <c r="MXY27" s="28"/>
      <c r="MXZ27" s="28"/>
      <c r="MYA27" s="28"/>
      <c r="MYB27" s="28"/>
      <c r="MYC27" s="28"/>
      <c r="MYD27" s="28"/>
      <c r="MYE27" s="28"/>
      <c r="MYF27" s="28"/>
      <c r="MYG27" s="28"/>
      <c r="MYH27" s="28"/>
      <c r="MYI27" s="28"/>
      <c r="MYJ27" s="28"/>
      <c r="MYK27" s="28"/>
      <c r="MYL27" s="28"/>
      <c r="MYM27" s="28"/>
      <c r="MYN27" s="28"/>
      <c r="MYO27" s="28"/>
      <c r="MYP27" s="28"/>
      <c r="MYQ27" s="28"/>
      <c r="MYR27" s="28"/>
      <c r="MYS27" s="28"/>
      <c r="MYT27" s="28"/>
      <c r="MYU27" s="28"/>
      <c r="MYV27" s="28"/>
      <c r="MYW27" s="28"/>
      <c r="MYX27" s="28"/>
      <c r="MYY27" s="28"/>
      <c r="MYZ27" s="28"/>
      <c r="MZA27" s="28"/>
      <c r="MZB27" s="28"/>
      <c r="MZC27" s="28"/>
      <c r="MZD27" s="28"/>
      <c r="MZE27" s="28"/>
      <c r="MZF27" s="28"/>
      <c r="MZG27" s="28"/>
      <c r="MZH27" s="28"/>
      <c r="MZI27" s="28"/>
      <c r="MZJ27" s="28"/>
      <c r="MZK27" s="28"/>
      <c r="MZL27" s="28"/>
      <c r="MZM27" s="28"/>
      <c r="MZN27" s="28"/>
      <c r="MZO27" s="28"/>
      <c r="MZP27" s="28"/>
      <c r="MZQ27" s="28"/>
      <c r="MZR27" s="28"/>
      <c r="MZS27" s="28"/>
      <c r="MZT27" s="28"/>
      <c r="MZU27" s="28"/>
      <c r="MZV27" s="28"/>
      <c r="MZW27" s="28"/>
      <c r="MZX27" s="28"/>
      <c r="MZY27" s="28"/>
      <c r="MZZ27" s="28"/>
      <c r="NAA27" s="28"/>
      <c r="NAB27" s="28"/>
      <c r="NAC27" s="28"/>
      <c r="NAD27" s="28"/>
      <c r="NAE27" s="28"/>
      <c r="NAF27" s="28"/>
      <c r="NAG27" s="28"/>
      <c r="NAH27" s="28"/>
      <c r="NAI27" s="28"/>
      <c r="NAJ27" s="28"/>
      <c r="NAK27" s="28"/>
      <c r="NAL27" s="28"/>
      <c r="NAM27" s="28"/>
      <c r="NAN27" s="28"/>
      <c r="NAO27" s="28"/>
      <c r="NAP27" s="28"/>
      <c r="NAQ27" s="28"/>
      <c r="NAR27" s="28"/>
      <c r="NAS27" s="28"/>
      <c r="NAT27" s="28"/>
      <c r="NAU27" s="28"/>
      <c r="NAV27" s="28"/>
      <c r="NAW27" s="28"/>
      <c r="NAX27" s="28"/>
      <c r="NAY27" s="28"/>
      <c r="NAZ27" s="28"/>
      <c r="NBA27" s="28"/>
      <c r="NBB27" s="28"/>
      <c r="NBC27" s="28"/>
      <c r="NBD27" s="28"/>
      <c r="NBE27" s="28"/>
      <c r="NBF27" s="28"/>
      <c r="NBG27" s="28"/>
      <c r="NBH27" s="28"/>
      <c r="NBI27" s="28"/>
      <c r="NBJ27" s="28"/>
      <c r="NBK27" s="28"/>
      <c r="NBL27" s="28"/>
      <c r="NBM27" s="28"/>
      <c r="NBN27" s="28"/>
      <c r="NBO27" s="28"/>
      <c r="NBP27" s="28"/>
      <c r="NBQ27" s="28"/>
      <c r="NBR27" s="28"/>
      <c r="NBS27" s="28"/>
      <c r="NBT27" s="28"/>
      <c r="NBU27" s="28"/>
      <c r="NBV27" s="28"/>
      <c r="NBW27" s="28"/>
      <c r="NBX27" s="28"/>
      <c r="NBY27" s="28"/>
      <c r="NBZ27" s="28"/>
      <c r="NCA27" s="28"/>
      <c r="NCB27" s="28"/>
      <c r="NCC27" s="28"/>
      <c r="NCD27" s="28"/>
      <c r="NCE27" s="28"/>
      <c r="NCF27" s="28"/>
      <c r="NCG27" s="28"/>
      <c r="NCH27" s="28"/>
      <c r="NCI27" s="28"/>
      <c r="NCJ27" s="28"/>
      <c r="NCK27" s="28"/>
      <c r="NCL27" s="28"/>
      <c r="NCM27" s="28"/>
      <c r="NCN27" s="28"/>
      <c r="NCO27" s="28"/>
      <c r="NCP27" s="28"/>
      <c r="NCQ27" s="28"/>
      <c r="NCR27" s="28"/>
      <c r="NCS27" s="28"/>
      <c r="NCT27" s="28"/>
      <c r="NCU27" s="28"/>
      <c r="NCV27" s="28"/>
      <c r="NCW27" s="28"/>
      <c r="NCX27" s="28"/>
      <c r="NCY27" s="28"/>
      <c r="NCZ27" s="28"/>
      <c r="NDA27" s="28"/>
      <c r="NDB27" s="28"/>
      <c r="NDC27" s="28"/>
      <c r="NDD27" s="28"/>
      <c r="NDE27" s="28"/>
      <c r="NDF27" s="28"/>
      <c r="NDG27" s="28"/>
      <c r="NDH27" s="28"/>
      <c r="NDI27" s="28"/>
      <c r="NDJ27" s="28"/>
      <c r="NDK27" s="28"/>
      <c r="NDL27" s="28"/>
      <c r="NDM27" s="28"/>
      <c r="NDN27" s="28"/>
      <c r="NDO27" s="28"/>
      <c r="NDP27" s="28"/>
      <c r="NDQ27" s="28"/>
      <c r="NDR27" s="28"/>
      <c r="NDS27" s="28"/>
      <c r="NDT27" s="28"/>
      <c r="NDU27" s="28"/>
      <c r="NDV27" s="28"/>
      <c r="NDW27" s="28"/>
      <c r="NDX27" s="28"/>
      <c r="NDY27" s="28"/>
      <c r="NDZ27" s="28"/>
      <c r="NEA27" s="28"/>
      <c r="NEB27" s="28"/>
      <c r="NEC27" s="28"/>
      <c r="NED27" s="28"/>
      <c r="NEE27" s="28"/>
      <c r="NEF27" s="28"/>
      <c r="NEG27" s="28"/>
      <c r="NEH27" s="28"/>
      <c r="NEI27" s="28"/>
      <c r="NEJ27" s="28"/>
      <c r="NEK27" s="28"/>
      <c r="NEL27" s="28"/>
      <c r="NEM27" s="28"/>
      <c r="NEN27" s="28"/>
      <c r="NEO27" s="28"/>
      <c r="NEP27" s="28"/>
      <c r="NEQ27" s="28"/>
      <c r="NER27" s="28"/>
      <c r="NES27" s="28"/>
      <c r="NET27" s="28"/>
      <c r="NEU27" s="28"/>
      <c r="NEV27" s="28"/>
      <c r="NEW27" s="28"/>
      <c r="NEX27" s="28"/>
      <c r="NEY27" s="28"/>
      <c r="NEZ27" s="28"/>
      <c r="NFA27" s="28"/>
      <c r="NFB27" s="28"/>
      <c r="NFC27" s="28"/>
      <c r="NFD27" s="28"/>
      <c r="NFE27" s="28"/>
      <c r="NFF27" s="28"/>
      <c r="NFG27" s="28"/>
      <c r="NFH27" s="28"/>
      <c r="NFI27" s="28"/>
      <c r="NFJ27" s="28"/>
      <c r="NFK27" s="28"/>
      <c r="NFL27" s="28"/>
      <c r="NFM27" s="28"/>
      <c r="NFN27" s="28"/>
      <c r="NFO27" s="28"/>
      <c r="NFP27" s="28"/>
      <c r="NFQ27" s="28"/>
      <c r="NFR27" s="28"/>
      <c r="NFS27" s="28"/>
      <c r="NFT27" s="28"/>
      <c r="NFU27" s="28"/>
      <c r="NFV27" s="28"/>
      <c r="NFW27" s="28"/>
      <c r="NFX27" s="28"/>
      <c r="NFY27" s="28"/>
      <c r="NFZ27" s="28"/>
      <c r="NGA27" s="28"/>
      <c r="NGB27" s="28"/>
      <c r="NGC27" s="28"/>
      <c r="NGD27" s="28"/>
      <c r="NGE27" s="28"/>
      <c r="NGF27" s="28"/>
      <c r="NGG27" s="28"/>
      <c r="NGH27" s="28"/>
      <c r="NGI27" s="28"/>
      <c r="NGJ27" s="28"/>
      <c r="NGK27" s="28"/>
      <c r="NGL27" s="28"/>
      <c r="NGM27" s="28"/>
      <c r="NGN27" s="28"/>
      <c r="NGO27" s="28"/>
      <c r="NGP27" s="28"/>
      <c r="NGQ27" s="28"/>
      <c r="NGR27" s="28"/>
      <c r="NGS27" s="28"/>
      <c r="NGT27" s="28"/>
      <c r="NGU27" s="28"/>
      <c r="NGV27" s="28"/>
      <c r="NGW27" s="28"/>
      <c r="NGX27" s="28"/>
      <c r="NGY27" s="28"/>
      <c r="NGZ27" s="28"/>
      <c r="NHA27" s="28"/>
      <c r="NHB27" s="28"/>
      <c r="NHC27" s="28"/>
      <c r="NHD27" s="28"/>
      <c r="NHE27" s="28"/>
      <c r="NHF27" s="28"/>
      <c r="NHG27" s="28"/>
      <c r="NHH27" s="28"/>
      <c r="NHI27" s="28"/>
      <c r="NHJ27" s="28"/>
      <c r="NHK27" s="28"/>
      <c r="NHL27" s="28"/>
      <c r="NHM27" s="28"/>
      <c r="NHN27" s="28"/>
      <c r="NHO27" s="28"/>
      <c r="NHP27" s="28"/>
      <c r="NHQ27" s="28"/>
      <c r="NHR27" s="28"/>
      <c r="NHS27" s="28"/>
      <c r="NHT27" s="28"/>
      <c r="NHU27" s="28"/>
      <c r="NHV27" s="28"/>
      <c r="NHW27" s="28"/>
      <c r="NHX27" s="28"/>
      <c r="NHY27" s="28"/>
      <c r="NHZ27" s="28"/>
      <c r="NIA27" s="28"/>
      <c r="NIB27" s="28"/>
      <c r="NIC27" s="28"/>
      <c r="NID27" s="28"/>
      <c r="NIE27" s="28"/>
      <c r="NIF27" s="28"/>
      <c r="NIG27" s="28"/>
      <c r="NIH27" s="28"/>
      <c r="NII27" s="28"/>
      <c r="NIJ27" s="28"/>
      <c r="NIK27" s="28"/>
      <c r="NIL27" s="28"/>
      <c r="NIM27" s="28"/>
      <c r="NIN27" s="28"/>
      <c r="NIO27" s="28"/>
      <c r="NIP27" s="28"/>
      <c r="NIQ27" s="28"/>
      <c r="NIR27" s="28"/>
      <c r="NIS27" s="28"/>
      <c r="NIT27" s="28"/>
      <c r="NIU27" s="28"/>
      <c r="NIV27" s="28"/>
      <c r="NIW27" s="28"/>
      <c r="NIX27" s="28"/>
      <c r="NIY27" s="28"/>
      <c r="NIZ27" s="28"/>
      <c r="NJA27" s="28"/>
      <c r="NJB27" s="28"/>
      <c r="NJC27" s="28"/>
      <c r="NJD27" s="28"/>
      <c r="NJE27" s="28"/>
      <c r="NJF27" s="28"/>
      <c r="NJG27" s="28"/>
      <c r="NJH27" s="28"/>
      <c r="NJI27" s="28"/>
      <c r="NJJ27" s="28"/>
      <c r="NJK27" s="28"/>
      <c r="NJL27" s="28"/>
      <c r="NJM27" s="28"/>
      <c r="NJN27" s="28"/>
      <c r="NJO27" s="28"/>
      <c r="NJP27" s="28"/>
      <c r="NJQ27" s="28"/>
      <c r="NJR27" s="28"/>
      <c r="NJS27" s="28"/>
      <c r="NJT27" s="28"/>
      <c r="NJU27" s="28"/>
      <c r="NJV27" s="28"/>
      <c r="NJW27" s="28"/>
      <c r="NJX27" s="28"/>
      <c r="NJY27" s="28"/>
      <c r="NJZ27" s="28"/>
      <c r="NKA27" s="28"/>
      <c r="NKB27" s="28"/>
      <c r="NKC27" s="28"/>
      <c r="NKD27" s="28"/>
      <c r="NKE27" s="28"/>
      <c r="NKF27" s="28"/>
      <c r="NKG27" s="28"/>
      <c r="NKH27" s="28"/>
      <c r="NKI27" s="28"/>
      <c r="NKJ27" s="28"/>
      <c r="NKK27" s="28"/>
      <c r="NKL27" s="28"/>
      <c r="NKM27" s="28"/>
      <c r="NKN27" s="28"/>
      <c r="NKO27" s="28"/>
      <c r="NKP27" s="28"/>
      <c r="NKQ27" s="28"/>
      <c r="NKR27" s="28"/>
      <c r="NKS27" s="28"/>
      <c r="NKT27" s="28"/>
      <c r="NKU27" s="28"/>
      <c r="NKV27" s="28"/>
      <c r="NKW27" s="28"/>
      <c r="NKX27" s="28"/>
      <c r="NKY27" s="28"/>
      <c r="NKZ27" s="28"/>
      <c r="NLA27" s="28"/>
      <c r="NLB27" s="28"/>
      <c r="NLC27" s="28"/>
      <c r="NLD27" s="28"/>
      <c r="NLE27" s="28"/>
      <c r="NLF27" s="28"/>
      <c r="NLG27" s="28"/>
      <c r="NLH27" s="28"/>
      <c r="NLI27" s="28"/>
      <c r="NLJ27" s="28"/>
      <c r="NLK27" s="28"/>
      <c r="NLL27" s="28"/>
      <c r="NLM27" s="28"/>
      <c r="NLN27" s="28"/>
      <c r="NLO27" s="28"/>
      <c r="NLP27" s="28"/>
      <c r="NLQ27" s="28"/>
      <c r="NLR27" s="28"/>
      <c r="NLS27" s="28"/>
      <c r="NLT27" s="28"/>
      <c r="NLU27" s="28"/>
      <c r="NLV27" s="28"/>
      <c r="NLW27" s="28"/>
      <c r="NLX27" s="28"/>
      <c r="NLY27" s="28"/>
      <c r="NLZ27" s="28"/>
      <c r="NMA27" s="28"/>
      <c r="NMB27" s="28"/>
      <c r="NMC27" s="28"/>
      <c r="NMD27" s="28"/>
      <c r="NME27" s="28"/>
      <c r="NMF27" s="28"/>
      <c r="NMG27" s="28"/>
      <c r="NMH27" s="28"/>
      <c r="NMI27" s="28"/>
      <c r="NMJ27" s="28"/>
      <c r="NMK27" s="28"/>
      <c r="NML27" s="28"/>
      <c r="NMM27" s="28"/>
      <c r="NMN27" s="28"/>
      <c r="NMO27" s="28"/>
      <c r="NMP27" s="28"/>
      <c r="NMQ27" s="28"/>
      <c r="NMR27" s="28"/>
      <c r="NMS27" s="28"/>
      <c r="NMT27" s="28"/>
      <c r="NMU27" s="28"/>
      <c r="NMV27" s="28"/>
      <c r="NMW27" s="28"/>
      <c r="NMX27" s="28"/>
      <c r="NMY27" s="28"/>
      <c r="NMZ27" s="28"/>
      <c r="NNA27" s="28"/>
      <c r="NNB27" s="28"/>
      <c r="NNC27" s="28"/>
      <c r="NND27" s="28"/>
      <c r="NNE27" s="28"/>
      <c r="NNF27" s="28"/>
      <c r="NNG27" s="28"/>
      <c r="NNH27" s="28"/>
      <c r="NNI27" s="28"/>
      <c r="NNJ27" s="28"/>
      <c r="NNK27" s="28"/>
      <c r="NNL27" s="28"/>
      <c r="NNM27" s="28"/>
      <c r="NNN27" s="28"/>
      <c r="NNO27" s="28"/>
      <c r="NNP27" s="28"/>
      <c r="NNQ27" s="28"/>
      <c r="NNR27" s="28"/>
      <c r="NNS27" s="28"/>
      <c r="NNT27" s="28"/>
      <c r="NNU27" s="28"/>
      <c r="NNV27" s="28"/>
      <c r="NNW27" s="28"/>
      <c r="NNX27" s="28"/>
      <c r="NNY27" s="28"/>
      <c r="NNZ27" s="28"/>
      <c r="NOA27" s="28"/>
      <c r="NOB27" s="28"/>
      <c r="NOC27" s="28"/>
      <c r="NOD27" s="28"/>
      <c r="NOE27" s="28"/>
      <c r="NOF27" s="28"/>
      <c r="NOG27" s="28"/>
      <c r="NOH27" s="28"/>
      <c r="NOI27" s="28"/>
      <c r="NOJ27" s="28"/>
      <c r="NOK27" s="28"/>
      <c r="NOL27" s="28"/>
      <c r="NOM27" s="28"/>
      <c r="NON27" s="28"/>
      <c r="NOO27" s="28"/>
      <c r="NOP27" s="28"/>
      <c r="NOQ27" s="28"/>
      <c r="NOR27" s="28"/>
      <c r="NOS27" s="28"/>
      <c r="NOT27" s="28"/>
      <c r="NOU27" s="28"/>
      <c r="NOV27" s="28"/>
      <c r="NOW27" s="28"/>
      <c r="NOX27" s="28"/>
      <c r="NOY27" s="28"/>
      <c r="NOZ27" s="28"/>
      <c r="NPA27" s="28"/>
      <c r="NPB27" s="28"/>
      <c r="NPC27" s="28"/>
      <c r="NPD27" s="28"/>
      <c r="NPE27" s="28"/>
      <c r="NPF27" s="28"/>
      <c r="NPG27" s="28"/>
      <c r="NPH27" s="28"/>
      <c r="NPI27" s="28"/>
      <c r="NPJ27" s="28"/>
      <c r="NPK27" s="28"/>
      <c r="NPL27" s="28"/>
      <c r="NPM27" s="28"/>
      <c r="NPN27" s="28"/>
      <c r="NPO27" s="28"/>
      <c r="NPP27" s="28"/>
      <c r="NPQ27" s="28"/>
      <c r="NPR27" s="28"/>
      <c r="NPS27" s="28"/>
      <c r="NPT27" s="28"/>
      <c r="NPU27" s="28"/>
      <c r="NPV27" s="28"/>
      <c r="NPW27" s="28"/>
      <c r="NPX27" s="28"/>
      <c r="NPY27" s="28"/>
      <c r="NPZ27" s="28"/>
      <c r="NQA27" s="28"/>
      <c r="NQB27" s="28"/>
      <c r="NQC27" s="28"/>
      <c r="NQD27" s="28"/>
      <c r="NQE27" s="28"/>
      <c r="NQF27" s="28"/>
      <c r="NQG27" s="28"/>
      <c r="NQH27" s="28"/>
      <c r="NQI27" s="28"/>
      <c r="NQJ27" s="28"/>
      <c r="NQK27" s="28"/>
      <c r="NQL27" s="28"/>
      <c r="NQM27" s="28"/>
      <c r="NQN27" s="28"/>
      <c r="NQO27" s="28"/>
      <c r="NQP27" s="28"/>
      <c r="NQQ27" s="28"/>
      <c r="NQR27" s="28"/>
      <c r="NQS27" s="28"/>
      <c r="NQT27" s="28"/>
      <c r="NQU27" s="28"/>
      <c r="NQV27" s="28"/>
      <c r="NQW27" s="28"/>
      <c r="NQX27" s="28"/>
      <c r="NQY27" s="28"/>
      <c r="NQZ27" s="28"/>
      <c r="NRA27" s="28"/>
      <c r="NRB27" s="28"/>
      <c r="NRC27" s="28"/>
      <c r="NRD27" s="28"/>
      <c r="NRE27" s="28"/>
      <c r="NRF27" s="28"/>
      <c r="NRG27" s="28"/>
      <c r="NRH27" s="28"/>
      <c r="NRI27" s="28"/>
      <c r="NRJ27" s="28"/>
      <c r="NRK27" s="28"/>
      <c r="NRL27" s="28"/>
      <c r="NRM27" s="28"/>
      <c r="NRN27" s="28"/>
      <c r="NRO27" s="28"/>
      <c r="NRP27" s="28"/>
      <c r="NRQ27" s="28"/>
      <c r="NRR27" s="28"/>
      <c r="NRS27" s="28"/>
      <c r="NRT27" s="28"/>
      <c r="NRU27" s="28"/>
      <c r="NRV27" s="28"/>
      <c r="NRW27" s="28"/>
      <c r="NRX27" s="28"/>
      <c r="NRY27" s="28"/>
      <c r="NRZ27" s="28"/>
      <c r="NSA27" s="28"/>
      <c r="NSB27" s="28"/>
      <c r="NSC27" s="28"/>
      <c r="NSD27" s="28"/>
      <c r="NSE27" s="28"/>
      <c r="NSF27" s="28"/>
      <c r="NSG27" s="28"/>
      <c r="NSH27" s="28"/>
      <c r="NSI27" s="28"/>
      <c r="NSJ27" s="28"/>
      <c r="NSK27" s="28"/>
      <c r="NSL27" s="28"/>
      <c r="NSM27" s="28"/>
      <c r="NSN27" s="28"/>
      <c r="NSO27" s="28"/>
      <c r="NSP27" s="28"/>
      <c r="NSQ27" s="28"/>
      <c r="NSR27" s="28"/>
      <c r="NSS27" s="28"/>
      <c r="NST27" s="28"/>
      <c r="NSU27" s="28"/>
      <c r="NSV27" s="28"/>
      <c r="NSW27" s="28"/>
      <c r="NSX27" s="28"/>
      <c r="NSY27" s="28"/>
      <c r="NSZ27" s="28"/>
      <c r="NTA27" s="28"/>
      <c r="NTB27" s="28"/>
      <c r="NTC27" s="28"/>
      <c r="NTD27" s="28"/>
      <c r="NTE27" s="28"/>
      <c r="NTF27" s="28"/>
      <c r="NTG27" s="28"/>
      <c r="NTH27" s="28"/>
      <c r="NTI27" s="28"/>
      <c r="NTJ27" s="28"/>
      <c r="NTK27" s="28"/>
      <c r="NTL27" s="28"/>
      <c r="NTM27" s="28"/>
      <c r="NTN27" s="28"/>
      <c r="NTO27" s="28"/>
      <c r="NTP27" s="28"/>
      <c r="NTQ27" s="28"/>
      <c r="NTR27" s="28"/>
      <c r="NTS27" s="28"/>
      <c r="NTT27" s="28"/>
      <c r="NTU27" s="28"/>
      <c r="NTV27" s="28"/>
      <c r="NTW27" s="28"/>
      <c r="NTX27" s="28"/>
      <c r="NTY27" s="28"/>
      <c r="NTZ27" s="28"/>
      <c r="NUA27" s="28"/>
      <c r="NUB27" s="28"/>
      <c r="NUC27" s="28"/>
      <c r="NUD27" s="28"/>
      <c r="NUE27" s="28"/>
      <c r="NUF27" s="28"/>
      <c r="NUG27" s="28"/>
      <c r="NUH27" s="28"/>
      <c r="NUI27" s="28"/>
      <c r="NUJ27" s="28"/>
      <c r="NUK27" s="28"/>
      <c r="NUL27" s="28"/>
      <c r="NUM27" s="28"/>
      <c r="NUN27" s="28"/>
      <c r="NUO27" s="28"/>
      <c r="NUP27" s="28"/>
      <c r="NUQ27" s="28"/>
      <c r="NUR27" s="28"/>
      <c r="NUS27" s="28"/>
      <c r="NUT27" s="28"/>
      <c r="NUU27" s="28"/>
      <c r="NUV27" s="28"/>
      <c r="NUW27" s="28"/>
      <c r="NUX27" s="28"/>
      <c r="NUY27" s="28"/>
      <c r="NUZ27" s="28"/>
      <c r="NVA27" s="28"/>
      <c r="NVB27" s="28"/>
      <c r="NVC27" s="28"/>
      <c r="NVD27" s="28"/>
      <c r="NVE27" s="28"/>
      <c r="NVF27" s="28"/>
      <c r="NVG27" s="28"/>
      <c r="NVH27" s="28"/>
      <c r="NVI27" s="28"/>
      <c r="NVJ27" s="28"/>
      <c r="NVK27" s="28"/>
      <c r="NVL27" s="28"/>
      <c r="NVM27" s="28"/>
      <c r="NVN27" s="28"/>
      <c r="NVO27" s="28"/>
      <c r="NVP27" s="28"/>
      <c r="NVQ27" s="28"/>
      <c r="NVR27" s="28"/>
      <c r="NVS27" s="28"/>
      <c r="NVT27" s="28"/>
      <c r="NVU27" s="28"/>
      <c r="NVV27" s="28"/>
      <c r="NVW27" s="28"/>
      <c r="NVX27" s="28"/>
      <c r="NVY27" s="28"/>
      <c r="NVZ27" s="28"/>
      <c r="NWA27" s="28"/>
      <c r="NWB27" s="28"/>
      <c r="NWC27" s="28"/>
      <c r="NWD27" s="28"/>
      <c r="NWE27" s="28"/>
      <c r="NWF27" s="28"/>
      <c r="NWG27" s="28"/>
      <c r="NWH27" s="28"/>
      <c r="NWI27" s="28"/>
      <c r="NWJ27" s="28"/>
      <c r="NWK27" s="28"/>
      <c r="NWL27" s="28"/>
      <c r="NWM27" s="28"/>
      <c r="NWN27" s="28"/>
      <c r="NWO27" s="28"/>
      <c r="NWP27" s="28"/>
      <c r="NWQ27" s="28"/>
      <c r="NWR27" s="28"/>
      <c r="NWS27" s="28"/>
      <c r="NWT27" s="28"/>
      <c r="NWU27" s="28"/>
      <c r="NWV27" s="28"/>
      <c r="NWW27" s="28"/>
      <c r="NWX27" s="28"/>
      <c r="NWY27" s="28"/>
      <c r="NWZ27" s="28"/>
      <c r="NXA27" s="28"/>
      <c r="NXB27" s="28"/>
      <c r="NXC27" s="28"/>
      <c r="NXD27" s="28"/>
      <c r="NXE27" s="28"/>
      <c r="NXF27" s="28"/>
      <c r="NXG27" s="28"/>
      <c r="NXH27" s="28"/>
      <c r="NXI27" s="28"/>
      <c r="NXJ27" s="28"/>
      <c r="NXK27" s="28"/>
      <c r="NXL27" s="28"/>
      <c r="NXM27" s="28"/>
      <c r="NXN27" s="28"/>
      <c r="NXO27" s="28"/>
      <c r="NXP27" s="28"/>
      <c r="NXQ27" s="28"/>
      <c r="NXR27" s="28"/>
      <c r="NXS27" s="28"/>
      <c r="NXT27" s="28"/>
      <c r="NXU27" s="28"/>
      <c r="NXV27" s="28"/>
      <c r="NXW27" s="28"/>
      <c r="NXX27" s="28"/>
      <c r="NXY27" s="28"/>
      <c r="NXZ27" s="28"/>
      <c r="NYA27" s="28"/>
      <c r="NYB27" s="28"/>
      <c r="NYC27" s="28"/>
      <c r="NYD27" s="28"/>
      <c r="NYE27" s="28"/>
      <c r="NYF27" s="28"/>
      <c r="NYG27" s="28"/>
      <c r="NYH27" s="28"/>
      <c r="NYI27" s="28"/>
      <c r="NYJ27" s="28"/>
      <c r="NYK27" s="28"/>
      <c r="NYL27" s="28"/>
      <c r="NYM27" s="28"/>
      <c r="NYN27" s="28"/>
      <c r="NYO27" s="28"/>
      <c r="NYP27" s="28"/>
      <c r="NYQ27" s="28"/>
      <c r="NYR27" s="28"/>
      <c r="NYS27" s="28"/>
      <c r="NYT27" s="28"/>
      <c r="NYU27" s="28"/>
      <c r="NYV27" s="28"/>
      <c r="NYW27" s="28"/>
      <c r="NYX27" s="28"/>
      <c r="NYY27" s="28"/>
      <c r="NYZ27" s="28"/>
      <c r="NZA27" s="28"/>
      <c r="NZB27" s="28"/>
      <c r="NZC27" s="28"/>
      <c r="NZD27" s="28"/>
      <c r="NZE27" s="28"/>
      <c r="NZF27" s="28"/>
      <c r="NZG27" s="28"/>
      <c r="NZH27" s="28"/>
      <c r="NZI27" s="28"/>
      <c r="NZJ27" s="28"/>
      <c r="NZK27" s="28"/>
      <c r="NZL27" s="28"/>
      <c r="NZM27" s="28"/>
      <c r="NZN27" s="28"/>
      <c r="NZO27" s="28"/>
      <c r="NZP27" s="28"/>
      <c r="NZQ27" s="28"/>
      <c r="NZR27" s="28"/>
      <c r="NZS27" s="28"/>
      <c r="NZT27" s="28"/>
      <c r="NZU27" s="28"/>
      <c r="NZV27" s="28"/>
      <c r="NZW27" s="28"/>
      <c r="NZX27" s="28"/>
      <c r="NZY27" s="28"/>
      <c r="NZZ27" s="28"/>
      <c r="OAA27" s="28"/>
      <c r="OAB27" s="28"/>
      <c r="OAC27" s="28"/>
      <c r="OAD27" s="28"/>
      <c r="OAE27" s="28"/>
      <c r="OAF27" s="28"/>
      <c r="OAG27" s="28"/>
      <c r="OAH27" s="28"/>
      <c r="OAI27" s="28"/>
      <c r="OAJ27" s="28"/>
      <c r="OAK27" s="28"/>
      <c r="OAL27" s="28"/>
      <c r="OAM27" s="28"/>
      <c r="OAN27" s="28"/>
      <c r="OAO27" s="28"/>
      <c r="OAP27" s="28"/>
      <c r="OAQ27" s="28"/>
      <c r="OAR27" s="28"/>
      <c r="OAS27" s="28"/>
      <c r="OAT27" s="28"/>
      <c r="OAU27" s="28"/>
      <c r="OAV27" s="28"/>
      <c r="OAW27" s="28"/>
      <c r="OAX27" s="28"/>
      <c r="OAY27" s="28"/>
      <c r="OAZ27" s="28"/>
      <c r="OBA27" s="28"/>
      <c r="OBB27" s="28"/>
      <c r="OBC27" s="28"/>
      <c r="OBD27" s="28"/>
      <c r="OBE27" s="28"/>
      <c r="OBF27" s="28"/>
      <c r="OBG27" s="28"/>
      <c r="OBH27" s="28"/>
      <c r="OBI27" s="28"/>
      <c r="OBJ27" s="28"/>
      <c r="OBK27" s="28"/>
      <c r="OBL27" s="28"/>
      <c r="OBM27" s="28"/>
      <c r="OBN27" s="28"/>
      <c r="OBO27" s="28"/>
      <c r="OBP27" s="28"/>
      <c r="OBQ27" s="28"/>
      <c r="OBR27" s="28"/>
      <c r="OBS27" s="28"/>
      <c r="OBT27" s="28"/>
      <c r="OBU27" s="28"/>
      <c r="OBV27" s="28"/>
      <c r="OBW27" s="28"/>
      <c r="OBX27" s="28"/>
      <c r="OBY27" s="28"/>
      <c r="OBZ27" s="28"/>
      <c r="OCA27" s="28"/>
      <c r="OCB27" s="28"/>
      <c r="OCC27" s="28"/>
      <c r="OCD27" s="28"/>
      <c r="OCE27" s="28"/>
      <c r="OCF27" s="28"/>
      <c r="OCG27" s="28"/>
      <c r="OCH27" s="28"/>
      <c r="OCI27" s="28"/>
      <c r="OCJ27" s="28"/>
      <c r="OCK27" s="28"/>
      <c r="OCL27" s="28"/>
      <c r="OCM27" s="28"/>
      <c r="OCN27" s="28"/>
      <c r="OCO27" s="28"/>
      <c r="OCP27" s="28"/>
      <c r="OCQ27" s="28"/>
      <c r="OCR27" s="28"/>
      <c r="OCS27" s="28"/>
      <c r="OCT27" s="28"/>
      <c r="OCU27" s="28"/>
      <c r="OCV27" s="28"/>
      <c r="OCW27" s="28"/>
      <c r="OCX27" s="28"/>
      <c r="OCY27" s="28"/>
      <c r="OCZ27" s="28"/>
      <c r="ODA27" s="28"/>
      <c r="ODB27" s="28"/>
      <c r="ODC27" s="28"/>
      <c r="ODD27" s="28"/>
      <c r="ODE27" s="28"/>
      <c r="ODF27" s="28"/>
      <c r="ODG27" s="28"/>
      <c r="ODH27" s="28"/>
      <c r="ODI27" s="28"/>
      <c r="ODJ27" s="28"/>
      <c r="ODK27" s="28"/>
      <c r="ODL27" s="28"/>
      <c r="ODM27" s="28"/>
      <c r="ODN27" s="28"/>
      <c r="ODO27" s="28"/>
      <c r="ODP27" s="28"/>
      <c r="ODQ27" s="28"/>
      <c r="ODR27" s="28"/>
      <c r="ODS27" s="28"/>
      <c r="ODT27" s="28"/>
      <c r="ODU27" s="28"/>
      <c r="ODV27" s="28"/>
      <c r="ODW27" s="28"/>
      <c r="ODX27" s="28"/>
      <c r="ODY27" s="28"/>
      <c r="ODZ27" s="28"/>
      <c r="OEA27" s="28"/>
      <c r="OEB27" s="28"/>
      <c r="OEC27" s="28"/>
      <c r="OED27" s="28"/>
      <c r="OEE27" s="28"/>
      <c r="OEF27" s="28"/>
      <c r="OEG27" s="28"/>
      <c r="OEH27" s="28"/>
      <c r="OEI27" s="28"/>
      <c r="OEJ27" s="28"/>
      <c r="OEK27" s="28"/>
      <c r="OEL27" s="28"/>
      <c r="OEM27" s="28"/>
      <c r="OEN27" s="28"/>
      <c r="OEO27" s="28"/>
      <c r="OEP27" s="28"/>
      <c r="OEQ27" s="28"/>
      <c r="OER27" s="28"/>
      <c r="OES27" s="28"/>
      <c r="OET27" s="28"/>
      <c r="OEU27" s="28"/>
      <c r="OEV27" s="28"/>
      <c r="OEW27" s="28"/>
      <c r="OEX27" s="28"/>
      <c r="OEY27" s="28"/>
      <c r="OEZ27" s="28"/>
      <c r="OFA27" s="28"/>
      <c r="OFB27" s="28"/>
      <c r="OFC27" s="28"/>
      <c r="OFD27" s="28"/>
      <c r="OFE27" s="28"/>
      <c r="OFF27" s="28"/>
      <c r="OFG27" s="28"/>
      <c r="OFH27" s="28"/>
      <c r="OFI27" s="28"/>
      <c r="OFJ27" s="28"/>
      <c r="OFK27" s="28"/>
      <c r="OFL27" s="28"/>
      <c r="OFM27" s="28"/>
      <c r="OFN27" s="28"/>
      <c r="OFO27" s="28"/>
      <c r="OFP27" s="28"/>
      <c r="OFQ27" s="28"/>
      <c r="OFR27" s="28"/>
      <c r="OFS27" s="28"/>
      <c r="OFT27" s="28"/>
      <c r="OFU27" s="28"/>
      <c r="OFV27" s="28"/>
      <c r="OFW27" s="28"/>
      <c r="OFX27" s="28"/>
      <c r="OFY27" s="28"/>
      <c r="OFZ27" s="28"/>
      <c r="OGA27" s="28"/>
      <c r="OGB27" s="28"/>
      <c r="OGC27" s="28"/>
      <c r="OGD27" s="28"/>
      <c r="OGE27" s="28"/>
      <c r="OGF27" s="28"/>
      <c r="OGG27" s="28"/>
      <c r="OGH27" s="28"/>
      <c r="OGI27" s="28"/>
      <c r="OGJ27" s="28"/>
      <c r="OGK27" s="28"/>
      <c r="OGL27" s="28"/>
      <c r="OGM27" s="28"/>
      <c r="OGN27" s="28"/>
      <c r="OGO27" s="28"/>
      <c r="OGP27" s="28"/>
      <c r="OGQ27" s="28"/>
      <c r="OGR27" s="28"/>
      <c r="OGS27" s="28"/>
      <c r="OGT27" s="28"/>
      <c r="OGU27" s="28"/>
      <c r="OGV27" s="28"/>
      <c r="OGW27" s="28"/>
      <c r="OGX27" s="28"/>
      <c r="OGY27" s="28"/>
      <c r="OGZ27" s="28"/>
      <c r="OHA27" s="28"/>
      <c r="OHB27" s="28"/>
      <c r="OHC27" s="28"/>
      <c r="OHD27" s="28"/>
      <c r="OHE27" s="28"/>
      <c r="OHF27" s="28"/>
      <c r="OHG27" s="28"/>
      <c r="OHH27" s="28"/>
      <c r="OHI27" s="28"/>
      <c r="OHJ27" s="28"/>
      <c r="OHK27" s="28"/>
      <c r="OHL27" s="28"/>
      <c r="OHM27" s="28"/>
      <c r="OHN27" s="28"/>
      <c r="OHO27" s="28"/>
      <c r="OHP27" s="28"/>
      <c r="OHQ27" s="28"/>
      <c r="OHR27" s="28"/>
      <c r="OHS27" s="28"/>
      <c r="OHT27" s="28"/>
      <c r="OHU27" s="28"/>
      <c r="OHV27" s="28"/>
      <c r="OHW27" s="28"/>
      <c r="OHX27" s="28"/>
      <c r="OHY27" s="28"/>
      <c r="OHZ27" s="28"/>
      <c r="OIA27" s="28"/>
      <c r="OIB27" s="28"/>
      <c r="OIC27" s="28"/>
      <c r="OID27" s="28"/>
      <c r="OIE27" s="28"/>
      <c r="OIF27" s="28"/>
      <c r="OIG27" s="28"/>
      <c r="OIH27" s="28"/>
      <c r="OII27" s="28"/>
      <c r="OIJ27" s="28"/>
      <c r="OIK27" s="28"/>
      <c r="OIL27" s="28"/>
      <c r="OIM27" s="28"/>
      <c r="OIN27" s="28"/>
      <c r="OIO27" s="28"/>
      <c r="OIP27" s="28"/>
      <c r="OIQ27" s="28"/>
      <c r="OIR27" s="28"/>
      <c r="OIS27" s="28"/>
      <c r="OIT27" s="28"/>
      <c r="OIU27" s="28"/>
      <c r="OIV27" s="28"/>
      <c r="OIW27" s="28"/>
      <c r="OIX27" s="28"/>
      <c r="OIY27" s="28"/>
      <c r="OIZ27" s="28"/>
      <c r="OJA27" s="28"/>
      <c r="OJB27" s="28"/>
      <c r="OJC27" s="28"/>
      <c r="OJD27" s="28"/>
      <c r="OJE27" s="28"/>
      <c r="OJF27" s="28"/>
      <c r="OJG27" s="28"/>
      <c r="OJH27" s="28"/>
      <c r="OJI27" s="28"/>
      <c r="OJJ27" s="28"/>
      <c r="OJK27" s="28"/>
      <c r="OJL27" s="28"/>
      <c r="OJM27" s="28"/>
      <c r="OJN27" s="28"/>
      <c r="OJO27" s="28"/>
      <c r="OJP27" s="28"/>
      <c r="OJQ27" s="28"/>
      <c r="OJR27" s="28"/>
      <c r="OJS27" s="28"/>
      <c r="OJT27" s="28"/>
      <c r="OJU27" s="28"/>
      <c r="OJV27" s="28"/>
      <c r="OJW27" s="28"/>
      <c r="OJX27" s="28"/>
      <c r="OJY27" s="28"/>
      <c r="OJZ27" s="28"/>
      <c r="OKA27" s="28"/>
      <c r="OKB27" s="28"/>
      <c r="OKC27" s="28"/>
      <c r="OKD27" s="28"/>
      <c r="OKE27" s="28"/>
      <c r="OKF27" s="28"/>
      <c r="OKG27" s="28"/>
      <c r="OKH27" s="28"/>
      <c r="OKI27" s="28"/>
      <c r="OKJ27" s="28"/>
      <c r="OKK27" s="28"/>
      <c r="OKL27" s="28"/>
      <c r="OKM27" s="28"/>
      <c r="OKN27" s="28"/>
      <c r="OKO27" s="28"/>
      <c r="OKP27" s="28"/>
      <c r="OKQ27" s="28"/>
      <c r="OKR27" s="28"/>
      <c r="OKS27" s="28"/>
      <c r="OKT27" s="28"/>
      <c r="OKU27" s="28"/>
      <c r="OKV27" s="28"/>
      <c r="OKW27" s="28"/>
      <c r="OKX27" s="28"/>
      <c r="OKY27" s="28"/>
      <c r="OKZ27" s="28"/>
      <c r="OLA27" s="28"/>
      <c r="OLB27" s="28"/>
      <c r="OLC27" s="28"/>
      <c r="OLD27" s="28"/>
      <c r="OLE27" s="28"/>
      <c r="OLF27" s="28"/>
      <c r="OLG27" s="28"/>
      <c r="OLH27" s="28"/>
      <c r="OLI27" s="28"/>
      <c r="OLJ27" s="28"/>
      <c r="OLK27" s="28"/>
      <c r="OLL27" s="28"/>
      <c r="OLM27" s="28"/>
      <c r="OLN27" s="28"/>
      <c r="OLO27" s="28"/>
      <c r="OLP27" s="28"/>
      <c r="OLQ27" s="28"/>
      <c r="OLR27" s="28"/>
      <c r="OLS27" s="28"/>
      <c r="OLT27" s="28"/>
      <c r="OLU27" s="28"/>
      <c r="OLV27" s="28"/>
      <c r="OLW27" s="28"/>
      <c r="OLX27" s="28"/>
      <c r="OLY27" s="28"/>
      <c r="OLZ27" s="28"/>
      <c r="OMA27" s="28"/>
      <c r="OMB27" s="28"/>
      <c r="OMC27" s="28"/>
      <c r="OMD27" s="28"/>
      <c r="OME27" s="28"/>
      <c r="OMF27" s="28"/>
      <c r="OMG27" s="28"/>
      <c r="OMH27" s="28"/>
      <c r="OMI27" s="28"/>
      <c r="OMJ27" s="28"/>
      <c r="OMK27" s="28"/>
      <c r="OML27" s="28"/>
      <c r="OMM27" s="28"/>
      <c r="OMN27" s="28"/>
      <c r="OMO27" s="28"/>
      <c r="OMP27" s="28"/>
      <c r="OMQ27" s="28"/>
      <c r="OMR27" s="28"/>
      <c r="OMS27" s="28"/>
      <c r="OMT27" s="28"/>
      <c r="OMU27" s="28"/>
      <c r="OMV27" s="28"/>
      <c r="OMW27" s="28"/>
      <c r="OMX27" s="28"/>
      <c r="OMY27" s="28"/>
      <c r="OMZ27" s="28"/>
      <c r="ONA27" s="28"/>
      <c r="ONB27" s="28"/>
      <c r="ONC27" s="28"/>
      <c r="OND27" s="28"/>
      <c r="ONE27" s="28"/>
      <c r="ONF27" s="28"/>
      <c r="ONG27" s="28"/>
      <c r="ONH27" s="28"/>
      <c r="ONI27" s="28"/>
      <c r="ONJ27" s="28"/>
      <c r="ONK27" s="28"/>
      <c r="ONL27" s="28"/>
      <c r="ONM27" s="28"/>
      <c r="ONN27" s="28"/>
      <c r="ONO27" s="28"/>
      <c r="ONP27" s="28"/>
      <c r="ONQ27" s="28"/>
      <c r="ONR27" s="28"/>
      <c r="ONS27" s="28"/>
      <c r="ONT27" s="28"/>
      <c r="ONU27" s="28"/>
      <c r="ONV27" s="28"/>
      <c r="ONW27" s="28"/>
      <c r="ONX27" s="28"/>
      <c r="ONY27" s="28"/>
      <c r="ONZ27" s="28"/>
      <c r="OOA27" s="28"/>
      <c r="OOB27" s="28"/>
      <c r="OOC27" s="28"/>
      <c r="OOD27" s="28"/>
      <c r="OOE27" s="28"/>
      <c r="OOF27" s="28"/>
      <c r="OOG27" s="28"/>
      <c r="OOH27" s="28"/>
      <c r="OOI27" s="28"/>
      <c r="OOJ27" s="28"/>
      <c r="OOK27" s="28"/>
      <c r="OOL27" s="28"/>
      <c r="OOM27" s="28"/>
      <c r="OON27" s="28"/>
      <c r="OOO27" s="28"/>
      <c r="OOP27" s="28"/>
      <c r="OOQ27" s="28"/>
      <c r="OOR27" s="28"/>
      <c r="OOS27" s="28"/>
      <c r="OOT27" s="28"/>
      <c r="OOU27" s="28"/>
      <c r="OOV27" s="28"/>
      <c r="OOW27" s="28"/>
      <c r="OOX27" s="28"/>
      <c r="OOY27" s="28"/>
      <c r="OOZ27" s="28"/>
      <c r="OPA27" s="28"/>
      <c r="OPB27" s="28"/>
      <c r="OPC27" s="28"/>
      <c r="OPD27" s="28"/>
      <c r="OPE27" s="28"/>
      <c r="OPF27" s="28"/>
      <c r="OPG27" s="28"/>
      <c r="OPH27" s="28"/>
      <c r="OPI27" s="28"/>
      <c r="OPJ27" s="28"/>
      <c r="OPK27" s="28"/>
      <c r="OPL27" s="28"/>
      <c r="OPM27" s="28"/>
      <c r="OPN27" s="28"/>
      <c r="OPO27" s="28"/>
      <c r="OPP27" s="28"/>
      <c r="OPQ27" s="28"/>
      <c r="OPR27" s="28"/>
      <c r="OPS27" s="28"/>
      <c r="OPT27" s="28"/>
      <c r="OPU27" s="28"/>
      <c r="OPV27" s="28"/>
      <c r="OPW27" s="28"/>
      <c r="OPX27" s="28"/>
      <c r="OPY27" s="28"/>
      <c r="OPZ27" s="28"/>
      <c r="OQA27" s="28"/>
      <c r="OQB27" s="28"/>
      <c r="OQC27" s="28"/>
      <c r="OQD27" s="28"/>
      <c r="OQE27" s="28"/>
      <c r="OQF27" s="28"/>
      <c r="OQG27" s="28"/>
      <c r="OQH27" s="28"/>
      <c r="OQI27" s="28"/>
      <c r="OQJ27" s="28"/>
      <c r="OQK27" s="28"/>
      <c r="OQL27" s="28"/>
      <c r="OQM27" s="28"/>
      <c r="OQN27" s="28"/>
      <c r="OQO27" s="28"/>
      <c r="OQP27" s="28"/>
      <c r="OQQ27" s="28"/>
      <c r="OQR27" s="28"/>
      <c r="OQS27" s="28"/>
      <c r="OQT27" s="28"/>
      <c r="OQU27" s="28"/>
      <c r="OQV27" s="28"/>
      <c r="OQW27" s="28"/>
      <c r="OQX27" s="28"/>
      <c r="OQY27" s="28"/>
      <c r="OQZ27" s="28"/>
      <c r="ORA27" s="28"/>
      <c r="ORB27" s="28"/>
      <c r="ORC27" s="28"/>
      <c r="ORD27" s="28"/>
      <c r="ORE27" s="28"/>
      <c r="ORF27" s="28"/>
      <c r="ORG27" s="28"/>
      <c r="ORH27" s="28"/>
      <c r="ORI27" s="28"/>
      <c r="ORJ27" s="28"/>
      <c r="ORK27" s="28"/>
      <c r="ORL27" s="28"/>
      <c r="ORM27" s="28"/>
      <c r="ORN27" s="28"/>
      <c r="ORO27" s="28"/>
      <c r="ORP27" s="28"/>
      <c r="ORQ27" s="28"/>
      <c r="ORR27" s="28"/>
      <c r="ORS27" s="28"/>
      <c r="ORT27" s="28"/>
      <c r="ORU27" s="28"/>
      <c r="ORV27" s="28"/>
      <c r="ORW27" s="28"/>
      <c r="ORX27" s="28"/>
      <c r="ORY27" s="28"/>
      <c r="ORZ27" s="28"/>
      <c r="OSA27" s="28"/>
      <c r="OSB27" s="28"/>
      <c r="OSC27" s="28"/>
      <c r="OSD27" s="28"/>
      <c r="OSE27" s="28"/>
      <c r="OSF27" s="28"/>
      <c r="OSG27" s="28"/>
      <c r="OSH27" s="28"/>
      <c r="OSI27" s="28"/>
      <c r="OSJ27" s="28"/>
      <c r="OSK27" s="28"/>
      <c r="OSL27" s="28"/>
      <c r="OSM27" s="28"/>
      <c r="OSN27" s="28"/>
      <c r="OSO27" s="28"/>
      <c r="OSP27" s="28"/>
      <c r="OSQ27" s="28"/>
      <c r="OSR27" s="28"/>
      <c r="OSS27" s="28"/>
      <c r="OST27" s="28"/>
      <c r="OSU27" s="28"/>
      <c r="OSV27" s="28"/>
      <c r="OSW27" s="28"/>
      <c r="OSX27" s="28"/>
      <c r="OSY27" s="28"/>
      <c r="OSZ27" s="28"/>
      <c r="OTA27" s="28"/>
      <c r="OTB27" s="28"/>
      <c r="OTC27" s="28"/>
      <c r="OTD27" s="28"/>
      <c r="OTE27" s="28"/>
      <c r="OTF27" s="28"/>
      <c r="OTG27" s="28"/>
      <c r="OTH27" s="28"/>
      <c r="OTI27" s="28"/>
      <c r="OTJ27" s="28"/>
      <c r="OTK27" s="28"/>
      <c r="OTL27" s="28"/>
      <c r="OTM27" s="28"/>
      <c r="OTN27" s="28"/>
      <c r="OTO27" s="28"/>
      <c r="OTP27" s="28"/>
      <c r="OTQ27" s="28"/>
      <c r="OTR27" s="28"/>
      <c r="OTS27" s="28"/>
      <c r="OTT27" s="28"/>
      <c r="OTU27" s="28"/>
      <c r="OTV27" s="28"/>
      <c r="OTW27" s="28"/>
      <c r="OTX27" s="28"/>
      <c r="OTY27" s="28"/>
      <c r="OTZ27" s="28"/>
      <c r="OUA27" s="28"/>
      <c r="OUB27" s="28"/>
      <c r="OUC27" s="28"/>
      <c r="OUD27" s="28"/>
      <c r="OUE27" s="28"/>
      <c r="OUF27" s="28"/>
      <c r="OUG27" s="28"/>
      <c r="OUH27" s="28"/>
      <c r="OUI27" s="28"/>
      <c r="OUJ27" s="28"/>
      <c r="OUK27" s="28"/>
      <c r="OUL27" s="28"/>
      <c r="OUM27" s="28"/>
      <c r="OUN27" s="28"/>
      <c r="OUO27" s="28"/>
      <c r="OUP27" s="28"/>
      <c r="OUQ27" s="28"/>
      <c r="OUR27" s="28"/>
      <c r="OUS27" s="28"/>
      <c r="OUT27" s="28"/>
      <c r="OUU27" s="28"/>
      <c r="OUV27" s="28"/>
      <c r="OUW27" s="28"/>
      <c r="OUX27" s="28"/>
      <c r="OUY27" s="28"/>
      <c r="OUZ27" s="28"/>
      <c r="OVA27" s="28"/>
      <c r="OVB27" s="28"/>
      <c r="OVC27" s="28"/>
      <c r="OVD27" s="28"/>
      <c r="OVE27" s="28"/>
      <c r="OVF27" s="28"/>
      <c r="OVG27" s="28"/>
      <c r="OVH27" s="28"/>
      <c r="OVI27" s="28"/>
      <c r="OVJ27" s="28"/>
      <c r="OVK27" s="28"/>
      <c r="OVL27" s="28"/>
      <c r="OVM27" s="28"/>
      <c r="OVN27" s="28"/>
      <c r="OVO27" s="28"/>
      <c r="OVP27" s="28"/>
      <c r="OVQ27" s="28"/>
      <c r="OVR27" s="28"/>
      <c r="OVS27" s="28"/>
      <c r="OVT27" s="28"/>
      <c r="OVU27" s="28"/>
      <c r="OVV27" s="28"/>
      <c r="OVW27" s="28"/>
      <c r="OVX27" s="28"/>
      <c r="OVY27" s="28"/>
      <c r="OVZ27" s="28"/>
      <c r="OWA27" s="28"/>
      <c r="OWB27" s="28"/>
      <c r="OWC27" s="28"/>
      <c r="OWD27" s="28"/>
      <c r="OWE27" s="28"/>
      <c r="OWF27" s="28"/>
      <c r="OWG27" s="28"/>
      <c r="OWH27" s="28"/>
      <c r="OWI27" s="28"/>
      <c r="OWJ27" s="28"/>
      <c r="OWK27" s="28"/>
      <c r="OWL27" s="28"/>
      <c r="OWM27" s="28"/>
      <c r="OWN27" s="28"/>
      <c r="OWO27" s="28"/>
      <c r="OWP27" s="28"/>
      <c r="OWQ27" s="28"/>
      <c r="OWR27" s="28"/>
      <c r="OWS27" s="28"/>
      <c r="OWT27" s="28"/>
      <c r="OWU27" s="28"/>
      <c r="OWV27" s="28"/>
      <c r="OWW27" s="28"/>
      <c r="OWX27" s="28"/>
      <c r="OWY27" s="28"/>
      <c r="OWZ27" s="28"/>
      <c r="OXA27" s="28"/>
      <c r="OXB27" s="28"/>
      <c r="OXC27" s="28"/>
      <c r="OXD27" s="28"/>
      <c r="OXE27" s="28"/>
      <c r="OXF27" s="28"/>
      <c r="OXG27" s="28"/>
      <c r="OXH27" s="28"/>
      <c r="OXI27" s="28"/>
      <c r="OXJ27" s="28"/>
      <c r="OXK27" s="28"/>
      <c r="OXL27" s="28"/>
      <c r="OXM27" s="28"/>
      <c r="OXN27" s="28"/>
      <c r="OXO27" s="28"/>
      <c r="OXP27" s="28"/>
      <c r="OXQ27" s="28"/>
      <c r="OXR27" s="28"/>
      <c r="OXS27" s="28"/>
      <c r="OXT27" s="28"/>
      <c r="OXU27" s="28"/>
      <c r="OXV27" s="28"/>
      <c r="OXW27" s="28"/>
      <c r="OXX27" s="28"/>
      <c r="OXY27" s="28"/>
      <c r="OXZ27" s="28"/>
      <c r="OYA27" s="28"/>
      <c r="OYB27" s="28"/>
      <c r="OYC27" s="28"/>
      <c r="OYD27" s="28"/>
      <c r="OYE27" s="28"/>
      <c r="OYF27" s="28"/>
      <c r="OYG27" s="28"/>
      <c r="OYH27" s="28"/>
      <c r="OYI27" s="28"/>
      <c r="OYJ27" s="28"/>
      <c r="OYK27" s="28"/>
      <c r="OYL27" s="28"/>
      <c r="OYM27" s="28"/>
      <c r="OYN27" s="28"/>
      <c r="OYO27" s="28"/>
      <c r="OYP27" s="28"/>
      <c r="OYQ27" s="28"/>
      <c r="OYR27" s="28"/>
      <c r="OYS27" s="28"/>
      <c r="OYT27" s="28"/>
      <c r="OYU27" s="28"/>
      <c r="OYV27" s="28"/>
      <c r="OYW27" s="28"/>
      <c r="OYX27" s="28"/>
      <c r="OYY27" s="28"/>
      <c r="OYZ27" s="28"/>
      <c r="OZA27" s="28"/>
      <c r="OZB27" s="28"/>
      <c r="OZC27" s="28"/>
      <c r="OZD27" s="28"/>
      <c r="OZE27" s="28"/>
      <c r="OZF27" s="28"/>
      <c r="OZG27" s="28"/>
      <c r="OZH27" s="28"/>
      <c r="OZI27" s="28"/>
      <c r="OZJ27" s="28"/>
      <c r="OZK27" s="28"/>
      <c r="OZL27" s="28"/>
      <c r="OZM27" s="28"/>
      <c r="OZN27" s="28"/>
      <c r="OZO27" s="28"/>
      <c r="OZP27" s="28"/>
      <c r="OZQ27" s="28"/>
      <c r="OZR27" s="28"/>
      <c r="OZS27" s="28"/>
      <c r="OZT27" s="28"/>
      <c r="OZU27" s="28"/>
      <c r="OZV27" s="28"/>
      <c r="OZW27" s="28"/>
      <c r="OZX27" s="28"/>
      <c r="OZY27" s="28"/>
      <c r="OZZ27" s="28"/>
      <c r="PAA27" s="28"/>
      <c r="PAB27" s="28"/>
      <c r="PAC27" s="28"/>
      <c r="PAD27" s="28"/>
      <c r="PAE27" s="28"/>
      <c r="PAF27" s="28"/>
      <c r="PAG27" s="28"/>
      <c r="PAH27" s="28"/>
      <c r="PAI27" s="28"/>
      <c r="PAJ27" s="28"/>
      <c r="PAK27" s="28"/>
      <c r="PAL27" s="28"/>
      <c r="PAM27" s="28"/>
      <c r="PAN27" s="28"/>
      <c r="PAO27" s="28"/>
      <c r="PAP27" s="28"/>
      <c r="PAQ27" s="28"/>
      <c r="PAR27" s="28"/>
      <c r="PAS27" s="28"/>
      <c r="PAT27" s="28"/>
      <c r="PAU27" s="28"/>
      <c r="PAV27" s="28"/>
      <c r="PAW27" s="28"/>
      <c r="PAX27" s="28"/>
      <c r="PAY27" s="28"/>
      <c r="PAZ27" s="28"/>
      <c r="PBA27" s="28"/>
      <c r="PBB27" s="28"/>
      <c r="PBC27" s="28"/>
      <c r="PBD27" s="28"/>
      <c r="PBE27" s="28"/>
      <c r="PBF27" s="28"/>
      <c r="PBG27" s="28"/>
      <c r="PBH27" s="28"/>
      <c r="PBI27" s="28"/>
      <c r="PBJ27" s="28"/>
      <c r="PBK27" s="28"/>
      <c r="PBL27" s="28"/>
      <c r="PBM27" s="28"/>
      <c r="PBN27" s="28"/>
      <c r="PBO27" s="28"/>
      <c r="PBP27" s="28"/>
      <c r="PBQ27" s="28"/>
      <c r="PBR27" s="28"/>
      <c r="PBS27" s="28"/>
      <c r="PBT27" s="28"/>
      <c r="PBU27" s="28"/>
      <c r="PBV27" s="28"/>
      <c r="PBW27" s="28"/>
      <c r="PBX27" s="28"/>
      <c r="PBY27" s="28"/>
      <c r="PBZ27" s="28"/>
      <c r="PCA27" s="28"/>
      <c r="PCB27" s="28"/>
      <c r="PCC27" s="28"/>
      <c r="PCD27" s="28"/>
      <c r="PCE27" s="28"/>
      <c r="PCF27" s="28"/>
      <c r="PCG27" s="28"/>
      <c r="PCH27" s="28"/>
      <c r="PCI27" s="28"/>
      <c r="PCJ27" s="28"/>
      <c r="PCK27" s="28"/>
      <c r="PCL27" s="28"/>
      <c r="PCM27" s="28"/>
      <c r="PCN27" s="28"/>
      <c r="PCO27" s="28"/>
      <c r="PCP27" s="28"/>
      <c r="PCQ27" s="28"/>
      <c r="PCR27" s="28"/>
      <c r="PCS27" s="28"/>
      <c r="PCT27" s="28"/>
      <c r="PCU27" s="28"/>
      <c r="PCV27" s="28"/>
      <c r="PCW27" s="28"/>
      <c r="PCX27" s="28"/>
      <c r="PCY27" s="28"/>
      <c r="PCZ27" s="28"/>
      <c r="PDA27" s="28"/>
      <c r="PDB27" s="28"/>
      <c r="PDC27" s="28"/>
      <c r="PDD27" s="28"/>
      <c r="PDE27" s="28"/>
      <c r="PDF27" s="28"/>
      <c r="PDG27" s="28"/>
      <c r="PDH27" s="28"/>
      <c r="PDI27" s="28"/>
      <c r="PDJ27" s="28"/>
      <c r="PDK27" s="28"/>
      <c r="PDL27" s="28"/>
      <c r="PDM27" s="28"/>
      <c r="PDN27" s="28"/>
      <c r="PDO27" s="28"/>
      <c r="PDP27" s="28"/>
      <c r="PDQ27" s="28"/>
      <c r="PDR27" s="28"/>
      <c r="PDS27" s="28"/>
      <c r="PDT27" s="28"/>
      <c r="PDU27" s="28"/>
      <c r="PDV27" s="28"/>
      <c r="PDW27" s="28"/>
      <c r="PDX27" s="28"/>
      <c r="PDY27" s="28"/>
      <c r="PDZ27" s="28"/>
      <c r="PEA27" s="28"/>
      <c r="PEB27" s="28"/>
      <c r="PEC27" s="28"/>
      <c r="PED27" s="28"/>
      <c r="PEE27" s="28"/>
      <c r="PEF27" s="28"/>
      <c r="PEG27" s="28"/>
      <c r="PEH27" s="28"/>
      <c r="PEI27" s="28"/>
      <c r="PEJ27" s="28"/>
      <c r="PEK27" s="28"/>
      <c r="PEL27" s="28"/>
      <c r="PEM27" s="28"/>
      <c r="PEN27" s="28"/>
      <c r="PEO27" s="28"/>
      <c r="PEP27" s="28"/>
      <c r="PEQ27" s="28"/>
      <c r="PER27" s="28"/>
      <c r="PES27" s="28"/>
      <c r="PET27" s="28"/>
      <c r="PEU27" s="28"/>
      <c r="PEV27" s="28"/>
      <c r="PEW27" s="28"/>
      <c r="PEX27" s="28"/>
      <c r="PEY27" s="28"/>
      <c r="PEZ27" s="28"/>
      <c r="PFA27" s="28"/>
      <c r="PFB27" s="28"/>
      <c r="PFC27" s="28"/>
      <c r="PFD27" s="28"/>
      <c r="PFE27" s="28"/>
      <c r="PFF27" s="28"/>
      <c r="PFG27" s="28"/>
      <c r="PFH27" s="28"/>
      <c r="PFI27" s="28"/>
      <c r="PFJ27" s="28"/>
      <c r="PFK27" s="28"/>
      <c r="PFL27" s="28"/>
      <c r="PFM27" s="28"/>
      <c r="PFN27" s="28"/>
      <c r="PFO27" s="28"/>
      <c r="PFP27" s="28"/>
      <c r="PFQ27" s="28"/>
      <c r="PFR27" s="28"/>
      <c r="PFS27" s="28"/>
      <c r="PFT27" s="28"/>
      <c r="PFU27" s="28"/>
      <c r="PFV27" s="28"/>
      <c r="PFW27" s="28"/>
      <c r="PFX27" s="28"/>
      <c r="PFY27" s="28"/>
      <c r="PFZ27" s="28"/>
      <c r="PGA27" s="28"/>
      <c r="PGB27" s="28"/>
      <c r="PGC27" s="28"/>
      <c r="PGD27" s="28"/>
      <c r="PGE27" s="28"/>
      <c r="PGF27" s="28"/>
      <c r="PGG27" s="28"/>
      <c r="PGH27" s="28"/>
      <c r="PGI27" s="28"/>
      <c r="PGJ27" s="28"/>
      <c r="PGK27" s="28"/>
      <c r="PGL27" s="28"/>
      <c r="PGM27" s="28"/>
      <c r="PGN27" s="28"/>
      <c r="PGO27" s="28"/>
      <c r="PGP27" s="28"/>
      <c r="PGQ27" s="28"/>
      <c r="PGR27" s="28"/>
      <c r="PGS27" s="28"/>
      <c r="PGT27" s="28"/>
      <c r="PGU27" s="28"/>
      <c r="PGV27" s="28"/>
      <c r="PGW27" s="28"/>
      <c r="PGX27" s="28"/>
      <c r="PGY27" s="28"/>
      <c r="PGZ27" s="28"/>
      <c r="PHA27" s="28"/>
      <c r="PHB27" s="28"/>
      <c r="PHC27" s="28"/>
      <c r="PHD27" s="28"/>
      <c r="PHE27" s="28"/>
      <c r="PHF27" s="28"/>
      <c r="PHG27" s="28"/>
      <c r="PHH27" s="28"/>
      <c r="PHI27" s="28"/>
      <c r="PHJ27" s="28"/>
      <c r="PHK27" s="28"/>
      <c r="PHL27" s="28"/>
      <c r="PHM27" s="28"/>
      <c r="PHN27" s="28"/>
      <c r="PHO27" s="28"/>
      <c r="PHP27" s="28"/>
      <c r="PHQ27" s="28"/>
      <c r="PHR27" s="28"/>
      <c r="PHS27" s="28"/>
      <c r="PHT27" s="28"/>
      <c r="PHU27" s="28"/>
      <c r="PHV27" s="28"/>
      <c r="PHW27" s="28"/>
      <c r="PHX27" s="28"/>
      <c r="PHY27" s="28"/>
      <c r="PHZ27" s="28"/>
      <c r="PIA27" s="28"/>
      <c r="PIB27" s="28"/>
      <c r="PIC27" s="28"/>
      <c r="PID27" s="28"/>
      <c r="PIE27" s="28"/>
      <c r="PIF27" s="28"/>
      <c r="PIG27" s="28"/>
      <c r="PIH27" s="28"/>
      <c r="PII27" s="28"/>
      <c r="PIJ27" s="28"/>
      <c r="PIK27" s="28"/>
      <c r="PIL27" s="28"/>
      <c r="PIM27" s="28"/>
      <c r="PIN27" s="28"/>
      <c r="PIO27" s="28"/>
      <c r="PIP27" s="28"/>
      <c r="PIQ27" s="28"/>
      <c r="PIR27" s="28"/>
      <c r="PIS27" s="28"/>
      <c r="PIT27" s="28"/>
      <c r="PIU27" s="28"/>
      <c r="PIV27" s="28"/>
      <c r="PIW27" s="28"/>
      <c r="PIX27" s="28"/>
      <c r="PIY27" s="28"/>
      <c r="PIZ27" s="28"/>
      <c r="PJA27" s="28"/>
      <c r="PJB27" s="28"/>
      <c r="PJC27" s="28"/>
      <c r="PJD27" s="28"/>
      <c r="PJE27" s="28"/>
      <c r="PJF27" s="28"/>
      <c r="PJG27" s="28"/>
      <c r="PJH27" s="28"/>
      <c r="PJI27" s="28"/>
      <c r="PJJ27" s="28"/>
      <c r="PJK27" s="28"/>
      <c r="PJL27" s="28"/>
      <c r="PJM27" s="28"/>
      <c r="PJN27" s="28"/>
      <c r="PJO27" s="28"/>
      <c r="PJP27" s="28"/>
      <c r="PJQ27" s="28"/>
      <c r="PJR27" s="28"/>
      <c r="PJS27" s="28"/>
      <c r="PJT27" s="28"/>
      <c r="PJU27" s="28"/>
      <c r="PJV27" s="28"/>
      <c r="PJW27" s="28"/>
      <c r="PJX27" s="28"/>
      <c r="PJY27" s="28"/>
      <c r="PJZ27" s="28"/>
      <c r="PKA27" s="28"/>
      <c r="PKB27" s="28"/>
      <c r="PKC27" s="28"/>
      <c r="PKD27" s="28"/>
      <c r="PKE27" s="28"/>
      <c r="PKF27" s="28"/>
      <c r="PKG27" s="28"/>
      <c r="PKH27" s="28"/>
      <c r="PKI27" s="28"/>
      <c r="PKJ27" s="28"/>
      <c r="PKK27" s="28"/>
      <c r="PKL27" s="28"/>
      <c r="PKM27" s="28"/>
      <c r="PKN27" s="28"/>
      <c r="PKO27" s="28"/>
      <c r="PKP27" s="28"/>
      <c r="PKQ27" s="28"/>
      <c r="PKR27" s="28"/>
      <c r="PKS27" s="28"/>
      <c r="PKT27" s="28"/>
      <c r="PKU27" s="28"/>
      <c r="PKV27" s="28"/>
      <c r="PKW27" s="28"/>
      <c r="PKX27" s="28"/>
      <c r="PKY27" s="28"/>
      <c r="PKZ27" s="28"/>
      <c r="PLA27" s="28"/>
      <c r="PLB27" s="28"/>
      <c r="PLC27" s="28"/>
      <c r="PLD27" s="28"/>
      <c r="PLE27" s="28"/>
      <c r="PLF27" s="28"/>
      <c r="PLG27" s="28"/>
      <c r="PLH27" s="28"/>
      <c r="PLI27" s="28"/>
      <c r="PLJ27" s="28"/>
      <c r="PLK27" s="28"/>
      <c r="PLL27" s="28"/>
      <c r="PLM27" s="28"/>
      <c r="PLN27" s="28"/>
      <c r="PLO27" s="28"/>
      <c r="PLP27" s="28"/>
      <c r="PLQ27" s="28"/>
      <c r="PLR27" s="28"/>
      <c r="PLS27" s="28"/>
      <c r="PLT27" s="28"/>
      <c r="PLU27" s="28"/>
      <c r="PLV27" s="28"/>
      <c r="PLW27" s="28"/>
      <c r="PLX27" s="28"/>
      <c r="PLY27" s="28"/>
      <c r="PLZ27" s="28"/>
      <c r="PMA27" s="28"/>
      <c r="PMB27" s="28"/>
      <c r="PMC27" s="28"/>
      <c r="PMD27" s="28"/>
      <c r="PME27" s="28"/>
      <c r="PMF27" s="28"/>
      <c r="PMG27" s="28"/>
      <c r="PMH27" s="28"/>
      <c r="PMI27" s="28"/>
      <c r="PMJ27" s="28"/>
      <c r="PMK27" s="28"/>
      <c r="PML27" s="28"/>
      <c r="PMM27" s="28"/>
      <c r="PMN27" s="28"/>
      <c r="PMO27" s="28"/>
      <c r="PMP27" s="28"/>
      <c r="PMQ27" s="28"/>
      <c r="PMR27" s="28"/>
      <c r="PMS27" s="28"/>
      <c r="PMT27" s="28"/>
      <c r="PMU27" s="28"/>
      <c r="PMV27" s="28"/>
      <c r="PMW27" s="28"/>
      <c r="PMX27" s="28"/>
      <c r="PMY27" s="28"/>
      <c r="PMZ27" s="28"/>
      <c r="PNA27" s="28"/>
      <c r="PNB27" s="28"/>
      <c r="PNC27" s="28"/>
      <c r="PND27" s="28"/>
      <c r="PNE27" s="28"/>
      <c r="PNF27" s="28"/>
      <c r="PNG27" s="28"/>
      <c r="PNH27" s="28"/>
      <c r="PNI27" s="28"/>
      <c r="PNJ27" s="28"/>
      <c r="PNK27" s="28"/>
      <c r="PNL27" s="28"/>
      <c r="PNM27" s="28"/>
      <c r="PNN27" s="28"/>
      <c r="PNO27" s="28"/>
      <c r="PNP27" s="28"/>
      <c r="PNQ27" s="28"/>
      <c r="PNR27" s="28"/>
      <c r="PNS27" s="28"/>
      <c r="PNT27" s="28"/>
      <c r="PNU27" s="28"/>
      <c r="PNV27" s="28"/>
      <c r="PNW27" s="28"/>
      <c r="PNX27" s="28"/>
      <c r="PNY27" s="28"/>
      <c r="PNZ27" s="28"/>
      <c r="POA27" s="28"/>
      <c r="POB27" s="28"/>
      <c r="POC27" s="28"/>
      <c r="POD27" s="28"/>
      <c r="POE27" s="28"/>
      <c r="POF27" s="28"/>
      <c r="POG27" s="28"/>
      <c r="POH27" s="28"/>
      <c r="POI27" s="28"/>
      <c r="POJ27" s="28"/>
      <c r="POK27" s="28"/>
      <c r="POL27" s="28"/>
      <c r="POM27" s="28"/>
      <c r="PON27" s="28"/>
      <c r="POO27" s="28"/>
      <c r="POP27" s="28"/>
      <c r="POQ27" s="28"/>
      <c r="POR27" s="28"/>
      <c r="POS27" s="28"/>
      <c r="POT27" s="28"/>
      <c r="POU27" s="28"/>
      <c r="POV27" s="28"/>
      <c r="POW27" s="28"/>
      <c r="POX27" s="28"/>
      <c r="POY27" s="28"/>
      <c r="POZ27" s="28"/>
      <c r="PPA27" s="28"/>
      <c r="PPB27" s="28"/>
      <c r="PPC27" s="28"/>
      <c r="PPD27" s="28"/>
      <c r="PPE27" s="28"/>
      <c r="PPF27" s="28"/>
      <c r="PPG27" s="28"/>
      <c r="PPH27" s="28"/>
      <c r="PPI27" s="28"/>
      <c r="PPJ27" s="28"/>
      <c r="PPK27" s="28"/>
      <c r="PPL27" s="28"/>
      <c r="PPM27" s="28"/>
      <c r="PPN27" s="28"/>
      <c r="PPO27" s="28"/>
      <c r="PPP27" s="28"/>
      <c r="PPQ27" s="28"/>
      <c r="PPR27" s="28"/>
      <c r="PPS27" s="28"/>
      <c r="PPT27" s="28"/>
      <c r="PPU27" s="28"/>
      <c r="PPV27" s="28"/>
      <c r="PPW27" s="28"/>
      <c r="PPX27" s="28"/>
      <c r="PPY27" s="28"/>
      <c r="PPZ27" s="28"/>
      <c r="PQA27" s="28"/>
      <c r="PQB27" s="28"/>
      <c r="PQC27" s="28"/>
      <c r="PQD27" s="28"/>
      <c r="PQE27" s="28"/>
      <c r="PQF27" s="28"/>
      <c r="PQG27" s="28"/>
      <c r="PQH27" s="28"/>
      <c r="PQI27" s="28"/>
      <c r="PQJ27" s="28"/>
      <c r="PQK27" s="28"/>
      <c r="PQL27" s="28"/>
      <c r="PQM27" s="28"/>
      <c r="PQN27" s="28"/>
      <c r="PQO27" s="28"/>
      <c r="PQP27" s="28"/>
      <c r="PQQ27" s="28"/>
      <c r="PQR27" s="28"/>
      <c r="PQS27" s="28"/>
      <c r="PQT27" s="28"/>
      <c r="PQU27" s="28"/>
      <c r="PQV27" s="28"/>
      <c r="PQW27" s="28"/>
      <c r="PQX27" s="28"/>
      <c r="PQY27" s="28"/>
      <c r="PQZ27" s="28"/>
      <c r="PRA27" s="28"/>
      <c r="PRB27" s="28"/>
      <c r="PRC27" s="28"/>
      <c r="PRD27" s="28"/>
      <c r="PRE27" s="28"/>
      <c r="PRF27" s="28"/>
      <c r="PRG27" s="28"/>
      <c r="PRH27" s="28"/>
      <c r="PRI27" s="28"/>
      <c r="PRJ27" s="28"/>
      <c r="PRK27" s="28"/>
      <c r="PRL27" s="28"/>
      <c r="PRM27" s="28"/>
      <c r="PRN27" s="28"/>
      <c r="PRO27" s="28"/>
      <c r="PRP27" s="28"/>
      <c r="PRQ27" s="28"/>
      <c r="PRR27" s="28"/>
      <c r="PRS27" s="28"/>
      <c r="PRT27" s="28"/>
      <c r="PRU27" s="28"/>
      <c r="PRV27" s="28"/>
      <c r="PRW27" s="28"/>
      <c r="PRX27" s="28"/>
      <c r="PRY27" s="28"/>
      <c r="PRZ27" s="28"/>
      <c r="PSA27" s="28"/>
      <c r="PSB27" s="28"/>
      <c r="PSC27" s="28"/>
      <c r="PSD27" s="28"/>
      <c r="PSE27" s="28"/>
      <c r="PSF27" s="28"/>
      <c r="PSG27" s="28"/>
      <c r="PSH27" s="28"/>
      <c r="PSI27" s="28"/>
      <c r="PSJ27" s="28"/>
      <c r="PSK27" s="28"/>
      <c r="PSL27" s="28"/>
      <c r="PSM27" s="28"/>
      <c r="PSN27" s="28"/>
      <c r="PSO27" s="28"/>
      <c r="PSP27" s="28"/>
      <c r="PSQ27" s="28"/>
      <c r="PSR27" s="28"/>
      <c r="PSS27" s="28"/>
      <c r="PST27" s="28"/>
      <c r="PSU27" s="28"/>
      <c r="PSV27" s="28"/>
      <c r="PSW27" s="28"/>
      <c r="PSX27" s="28"/>
      <c r="PSY27" s="28"/>
      <c r="PSZ27" s="28"/>
      <c r="PTA27" s="28"/>
      <c r="PTB27" s="28"/>
      <c r="PTC27" s="28"/>
      <c r="PTD27" s="28"/>
      <c r="PTE27" s="28"/>
      <c r="PTF27" s="28"/>
      <c r="PTG27" s="28"/>
      <c r="PTH27" s="28"/>
      <c r="PTI27" s="28"/>
      <c r="PTJ27" s="28"/>
      <c r="PTK27" s="28"/>
      <c r="PTL27" s="28"/>
      <c r="PTM27" s="28"/>
      <c r="PTN27" s="28"/>
      <c r="PTO27" s="28"/>
      <c r="PTP27" s="28"/>
      <c r="PTQ27" s="28"/>
      <c r="PTR27" s="28"/>
      <c r="PTS27" s="28"/>
      <c r="PTT27" s="28"/>
      <c r="PTU27" s="28"/>
      <c r="PTV27" s="28"/>
      <c r="PTW27" s="28"/>
      <c r="PTX27" s="28"/>
      <c r="PTY27" s="28"/>
      <c r="PTZ27" s="28"/>
      <c r="PUA27" s="28"/>
      <c r="PUB27" s="28"/>
      <c r="PUC27" s="28"/>
      <c r="PUD27" s="28"/>
      <c r="PUE27" s="28"/>
      <c r="PUF27" s="28"/>
      <c r="PUG27" s="28"/>
      <c r="PUH27" s="28"/>
      <c r="PUI27" s="28"/>
      <c r="PUJ27" s="28"/>
      <c r="PUK27" s="28"/>
      <c r="PUL27" s="28"/>
      <c r="PUM27" s="28"/>
      <c r="PUN27" s="28"/>
      <c r="PUO27" s="28"/>
      <c r="PUP27" s="28"/>
      <c r="PUQ27" s="28"/>
      <c r="PUR27" s="28"/>
      <c r="PUS27" s="28"/>
      <c r="PUT27" s="28"/>
      <c r="PUU27" s="28"/>
      <c r="PUV27" s="28"/>
      <c r="PUW27" s="28"/>
      <c r="PUX27" s="28"/>
      <c r="PUY27" s="28"/>
      <c r="PUZ27" s="28"/>
      <c r="PVA27" s="28"/>
      <c r="PVB27" s="28"/>
      <c r="PVC27" s="28"/>
      <c r="PVD27" s="28"/>
      <c r="PVE27" s="28"/>
      <c r="PVF27" s="28"/>
      <c r="PVG27" s="28"/>
      <c r="PVH27" s="28"/>
      <c r="PVI27" s="28"/>
      <c r="PVJ27" s="28"/>
      <c r="PVK27" s="28"/>
      <c r="PVL27" s="28"/>
      <c r="PVM27" s="28"/>
      <c r="PVN27" s="28"/>
      <c r="PVO27" s="28"/>
      <c r="PVP27" s="28"/>
      <c r="PVQ27" s="28"/>
      <c r="PVR27" s="28"/>
      <c r="PVS27" s="28"/>
      <c r="PVT27" s="28"/>
      <c r="PVU27" s="28"/>
      <c r="PVV27" s="28"/>
      <c r="PVW27" s="28"/>
      <c r="PVX27" s="28"/>
      <c r="PVY27" s="28"/>
      <c r="PVZ27" s="28"/>
      <c r="PWA27" s="28"/>
      <c r="PWB27" s="28"/>
      <c r="PWC27" s="28"/>
      <c r="PWD27" s="28"/>
      <c r="PWE27" s="28"/>
      <c r="PWF27" s="28"/>
      <c r="PWG27" s="28"/>
      <c r="PWH27" s="28"/>
      <c r="PWI27" s="28"/>
      <c r="PWJ27" s="28"/>
      <c r="PWK27" s="28"/>
      <c r="PWL27" s="28"/>
      <c r="PWM27" s="28"/>
      <c r="PWN27" s="28"/>
      <c r="PWO27" s="28"/>
      <c r="PWP27" s="28"/>
      <c r="PWQ27" s="28"/>
      <c r="PWR27" s="28"/>
      <c r="PWS27" s="28"/>
      <c r="PWT27" s="28"/>
      <c r="PWU27" s="28"/>
      <c r="PWV27" s="28"/>
      <c r="PWW27" s="28"/>
      <c r="PWX27" s="28"/>
      <c r="PWY27" s="28"/>
      <c r="PWZ27" s="28"/>
      <c r="PXA27" s="28"/>
      <c r="PXB27" s="28"/>
      <c r="PXC27" s="28"/>
      <c r="PXD27" s="28"/>
      <c r="PXE27" s="28"/>
      <c r="PXF27" s="28"/>
      <c r="PXG27" s="28"/>
      <c r="PXH27" s="28"/>
      <c r="PXI27" s="28"/>
      <c r="PXJ27" s="28"/>
      <c r="PXK27" s="28"/>
      <c r="PXL27" s="28"/>
      <c r="PXM27" s="28"/>
      <c r="PXN27" s="28"/>
      <c r="PXO27" s="28"/>
      <c r="PXP27" s="28"/>
      <c r="PXQ27" s="28"/>
      <c r="PXR27" s="28"/>
      <c r="PXS27" s="28"/>
      <c r="PXT27" s="28"/>
      <c r="PXU27" s="28"/>
      <c r="PXV27" s="28"/>
      <c r="PXW27" s="28"/>
      <c r="PXX27" s="28"/>
      <c r="PXY27" s="28"/>
      <c r="PXZ27" s="28"/>
      <c r="PYA27" s="28"/>
      <c r="PYB27" s="28"/>
      <c r="PYC27" s="28"/>
      <c r="PYD27" s="28"/>
      <c r="PYE27" s="28"/>
      <c r="PYF27" s="28"/>
      <c r="PYG27" s="28"/>
      <c r="PYH27" s="28"/>
      <c r="PYI27" s="28"/>
      <c r="PYJ27" s="28"/>
      <c r="PYK27" s="28"/>
      <c r="PYL27" s="28"/>
      <c r="PYM27" s="28"/>
      <c r="PYN27" s="28"/>
      <c r="PYO27" s="28"/>
      <c r="PYP27" s="28"/>
      <c r="PYQ27" s="28"/>
      <c r="PYR27" s="28"/>
      <c r="PYS27" s="28"/>
      <c r="PYT27" s="28"/>
      <c r="PYU27" s="28"/>
      <c r="PYV27" s="28"/>
      <c r="PYW27" s="28"/>
      <c r="PYX27" s="28"/>
      <c r="PYY27" s="28"/>
      <c r="PYZ27" s="28"/>
      <c r="PZA27" s="28"/>
      <c r="PZB27" s="28"/>
      <c r="PZC27" s="28"/>
      <c r="PZD27" s="28"/>
      <c r="PZE27" s="28"/>
      <c r="PZF27" s="28"/>
      <c r="PZG27" s="28"/>
      <c r="PZH27" s="28"/>
      <c r="PZI27" s="28"/>
      <c r="PZJ27" s="28"/>
      <c r="PZK27" s="28"/>
      <c r="PZL27" s="28"/>
      <c r="PZM27" s="28"/>
      <c r="PZN27" s="28"/>
      <c r="PZO27" s="28"/>
      <c r="PZP27" s="28"/>
      <c r="PZQ27" s="28"/>
      <c r="PZR27" s="28"/>
      <c r="PZS27" s="28"/>
      <c r="PZT27" s="28"/>
      <c r="PZU27" s="28"/>
      <c r="PZV27" s="28"/>
      <c r="PZW27" s="28"/>
      <c r="PZX27" s="28"/>
      <c r="PZY27" s="28"/>
      <c r="PZZ27" s="28"/>
      <c r="QAA27" s="28"/>
      <c r="QAB27" s="28"/>
      <c r="QAC27" s="28"/>
      <c r="QAD27" s="28"/>
      <c r="QAE27" s="28"/>
      <c r="QAF27" s="28"/>
      <c r="QAG27" s="28"/>
      <c r="QAH27" s="28"/>
      <c r="QAI27" s="28"/>
      <c r="QAJ27" s="28"/>
      <c r="QAK27" s="28"/>
      <c r="QAL27" s="28"/>
      <c r="QAM27" s="28"/>
      <c r="QAN27" s="28"/>
      <c r="QAO27" s="28"/>
      <c r="QAP27" s="28"/>
      <c r="QAQ27" s="28"/>
      <c r="QAR27" s="28"/>
      <c r="QAS27" s="28"/>
      <c r="QAT27" s="28"/>
      <c r="QAU27" s="28"/>
      <c r="QAV27" s="28"/>
      <c r="QAW27" s="28"/>
      <c r="QAX27" s="28"/>
      <c r="QAY27" s="28"/>
      <c r="QAZ27" s="28"/>
      <c r="QBA27" s="28"/>
      <c r="QBB27" s="28"/>
      <c r="QBC27" s="28"/>
      <c r="QBD27" s="28"/>
      <c r="QBE27" s="28"/>
      <c r="QBF27" s="28"/>
      <c r="QBG27" s="28"/>
      <c r="QBH27" s="28"/>
      <c r="QBI27" s="28"/>
      <c r="QBJ27" s="28"/>
      <c r="QBK27" s="28"/>
      <c r="QBL27" s="28"/>
      <c r="QBM27" s="28"/>
      <c r="QBN27" s="28"/>
      <c r="QBO27" s="28"/>
      <c r="QBP27" s="28"/>
      <c r="QBQ27" s="28"/>
      <c r="QBR27" s="28"/>
      <c r="QBS27" s="28"/>
      <c r="QBT27" s="28"/>
      <c r="QBU27" s="28"/>
      <c r="QBV27" s="28"/>
      <c r="QBW27" s="28"/>
      <c r="QBX27" s="28"/>
      <c r="QBY27" s="28"/>
      <c r="QBZ27" s="28"/>
      <c r="QCA27" s="28"/>
      <c r="QCB27" s="28"/>
      <c r="QCC27" s="28"/>
      <c r="QCD27" s="28"/>
      <c r="QCE27" s="28"/>
      <c r="QCF27" s="28"/>
      <c r="QCG27" s="28"/>
      <c r="QCH27" s="28"/>
      <c r="QCI27" s="28"/>
      <c r="QCJ27" s="28"/>
      <c r="QCK27" s="28"/>
      <c r="QCL27" s="28"/>
      <c r="QCM27" s="28"/>
      <c r="QCN27" s="28"/>
      <c r="QCO27" s="28"/>
      <c r="QCP27" s="28"/>
      <c r="QCQ27" s="28"/>
      <c r="QCR27" s="28"/>
      <c r="QCS27" s="28"/>
      <c r="QCT27" s="28"/>
      <c r="QCU27" s="28"/>
      <c r="QCV27" s="28"/>
      <c r="QCW27" s="28"/>
      <c r="QCX27" s="28"/>
      <c r="QCY27" s="28"/>
      <c r="QCZ27" s="28"/>
      <c r="QDA27" s="28"/>
      <c r="QDB27" s="28"/>
      <c r="QDC27" s="28"/>
      <c r="QDD27" s="28"/>
      <c r="QDE27" s="28"/>
      <c r="QDF27" s="28"/>
      <c r="QDG27" s="28"/>
      <c r="QDH27" s="28"/>
      <c r="QDI27" s="28"/>
      <c r="QDJ27" s="28"/>
      <c r="QDK27" s="28"/>
      <c r="QDL27" s="28"/>
      <c r="QDM27" s="28"/>
      <c r="QDN27" s="28"/>
      <c r="QDO27" s="28"/>
      <c r="QDP27" s="28"/>
      <c r="QDQ27" s="28"/>
      <c r="QDR27" s="28"/>
      <c r="QDS27" s="28"/>
      <c r="QDT27" s="28"/>
      <c r="QDU27" s="28"/>
      <c r="QDV27" s="28"/>
      <c r="QDW27" s="28"/>
      <c r="QDX27" s="28"/>
      <c r="QDY27" s="28"/>
      <c r="QDZ27" s="28"/>
      <c r="QEA27" s="28"/>
      <c r="QEB27" s="28"/>
      <c r="QEC27" s="28"/>
      <c r="QED27" s="28"/>
      <c r="QEE27" s="28"/>
      <c r="QEF27" s="28"/>
      <c r="QEG27" s="28"/>
      <c r="QEH27" s="28"/>
      <c r="QEI27" s="28"/>
      <c r="QEJ27" s="28"/>
      <c r="QEK27" s="28"/>
      <c r="QEL27" s="28"/>
      <c r="QEM27" s="28"/>
      <c r="QEN27" s="28"/>
      <c r="QEO27" s="28"/>
      <c r="QEP27" s="28"/>
      <c r="QEQ27" s="28"/>
      <c r="QER27" s="28"/>
      <c r="QES27" s="28"/>
      <c r="QET27" s="28"/>
      <c r="QEU27" s="28"/>
      <c r="QEV27" s="28"/>
      <c r="QEW27" s="28"/>
      <c r="QEX27" s="28"/>
      <c r="QEY27" s="28"/>
      <c r="QEZ27" s="28"/>
      <c r="QFA27" s="28"/>
      <c r="QFB27" s="28"/>
      <c r="QFC27" s="28"/>
      <c r="QFD27" s="28"/>
      <c r="QFE27" s="28"/>
      <c r="QFF27" s="28"/>
      <c r="QFG27" s="28"/>
      <c r="QFH27" s="28"/>
      <c r="QFI27" s="28"/>
      <c r="QFJ27" s="28"/>
      <c r="QFK27" s="28"/>
      <c r="QFL27" s="28"/>
      <c r="QFM27" s="28"/>
      <c r="QFN27" s="28"/>
      <c r="QFO27" s="28"/>
      <c r="QFP27" s="28"/>
      <c r="QFQ27" s="28"/>
      <c r="QFR27" s="28"/>
      <c r="QFS27" s="28"/>
      <c r="QFT27" s="28"/>
      <c r="QFU27" s="28"/>
      <c r="QFV27" s="28"/>
      <c r="QFW27" s="28"/>
      <c r="QFX27" s="28"/>
      <c r="QFY27" s="28"/>
      <c r="QFZ27" s="28"/>
      <c r="QGA27" s="28"/>
      <c r="QGB27" s="28"/>
      <c r="QGC27" s="28"/>
      <c r="QGD27" s="28"/>
      <c r="QGE27" s="28"/>
      <c r="QGF27" s="28"/>
      <c r="QGG27" s="28"/>
      <c r="QGH27" s="28"/>
      <c r="QGI27" s="28"/>
      <c r="QGJ27" s="28"/>
      <c r="QGK27" s="28"/>
      <c r="QGL27" s="28"/>
      <c r="QGM27" s="28"/>
      <c r="QGN27" s="28"/>
      <c r="QGO27" s="28"/>
      <c r="QGP27" s="28"/>
      <c r="QGQ27" s="28"/>
      <c r="QGR27" s="28"/>
      <c r="QGS27" s="28"/>
      <c r="QGT27" s="28"/>
      <c r="QGU27" s="28"/>
      <c r="QGV27" s="28"/>
      <c r="QGW27" s="28"/>
      <c r="QGX27" s="28"/>
      <c r="QGY27" s="28"/>
      <c r="QGZ27" s="28"/>
      <c r="QHA27" s="28"/>
      <c r="QHB27" s="28"/>
      <c r="QHC27" s="28"/>
      <c r="QHD27" s="28"/>
      <c r="QHE27" s="28"/>
      <c r="QHF27" s="28"/>
      <c r="QHG27" s="28"/>
      <c r="QHH27" s="28"/>
      <c r="QHI27" s="28"/>
      <c r="QHJ27" s="28"/>
      <c r="QHK27" s="28"/>
      <c r="QHL27" s="28"/>
      <c r="QHM27" s="28"/>
      <c r="QHN27" s="28"/>
      <c r="QHO27" s="28"/>
      <c r="QHP27" s="28"/>
      <c r="QHQ27" s="28"/>
      <c r="QHR27" s="28"/>
      <c r="QHS27" s="28"/>
      <c r="QHT27" s="28"/>
      <c r="QHU27" s="28"/>
      <c r="QHV27" s="28"/>
      <c r="QHW27" s="28"/>
      <c r="QHX27" s="28"/>
      <c r="QHY27" s="28"/>
      <c r="QHZ27" s="28"/>
      <c r="QIA27" s="28"/>
      <c r="QIB27" s="28"/>
      <c r="QIC27" s="28"/>
      <c r="QID27" s="28"/>
      <c r="QIE27" s="28"/>
      <c r="QIF27" s="28"/>
      <c r="QIG27" s="28"/>
      <c r="QIH27" s="28"/>
      <c r="QII27" s="28"/>
      <c r="QIJ27" s="28"/>
      <c r="QIK27" s="28"/>
      <c r="QIL27" s="28"/>
      <c r="QIM27" s="28"/>
      <c r="QIN27" s="28"/>
      <c r="QIO27" s="28"/>
      <c r="QIP27" s="28"/>
      <c r="QIQ27" s="28"/>
      <c r="QIR27" s="28"/>
      <c r="QIS27" s="28"/>
      <c r="QIT27" s="28"/>
      <c r="QIU27" s="28"/>
      <c r="QIV27" s="28"/>
      <c r="QIW27" s="28"/>
      <c r="QIX27" s="28"/>
      <c r="QIY27" s="28"/>
      <c r="QIZ27" s="28"/>
      <c r="QJA27" s="28"/>
      <c r="QJB27" s="28"/>
      <c r="QJC27" s="28"/>
      <c r="QJD27" s="28"/>
      <c r="QJE27" s="28"/>
      <c r="QJF27" s="28"/>
      <c r="QJG27" s="28"/>
      <c r="QJH27" s="28"/>
      <c r="QJI27" s="28"/>
      <c r="QJJ27" s="28"/>
      <c r="QJK27" s="28"/>
      <c r="QJL27" s="28"/>
      <c r="QJM27" s="28"/>
      <c r="QJN27" s="28"/>
      <c r="QJO27" s="28"/>
      <c r="QJP27" s="28"/>
      <c r="QJQ27" s="28"/>
      <c r="QJR27" s="28"/>
      <c r="QJS27" s="28"/>
      <c r="QJT27" s="28"/>
      <c r="QJU27" s="28"/>
      <c r="QJV27" s="28"/>
      <c r="QJW27" s="28"/>
      <c r="QJX27" s="28"/>
      <c r="QJY27" s="28"/>
      <c r="QJZ27" s="28"/>
      <c r="QKA27" s="28"/>
      <c r="QKB27" s="28"/>
      <c r="QKC27" s="28"/>
      <c r="QKD27" s="28"/>
      <c r="QKE27" s="28"/>
      <c r="QKF27" s="28"/>
      <c r="QKG27" s="28"/>
      <c r="QKH27" s="28"/>
      <c r="QKI27" s="28"/>
      <c r="QKJ27" s="28"/>
      <c r="QKK27" s="28"/>
      <c r="QKL27" s="28"/>
      <c r="QKM27" s="28"/>
      <c r="QKN27" s="28"/>
      <c r="QKO27" s="28"/>
      <c r="QKP27" s="28"/>
      <c r="QKQ27" s="28"/>
      <c r="QKR27" s="28"/>
      <c r="QKS27" s="28"/>
      <c r="QKT27" s="28"/>
      <c r="QKU27" s="28"/>
      <c r="QKV27" s="28"/>
      <c r="QKW27" s="28"/>
      <c r="QKX27" s="28"/>
      <c r="QKY27" s="28"/>
      <c r="QKZ27" s="28"/>
      <c r="QLA27" s="28"/>
      <c r="QLB27" s="28"/>
      <c r="QLC27" s="28"/>
      <c r="QLD27" s="28"/>
      <c r="QLE27" s="28"/>
      <c r="QLF27" s="28"/>
      <c r="QLG27" s="28"/>
      <c r="QLH27" s="28"/>
      <c r="QLI27" s="28"/>
      <c r="QLJ27" s="28"/>
      <c r="QLK27" s="28"/>
      <c r="QLL27" s="28"/>
      <c r="QLM27" s="28"/>
      <c r="QLN27" s="28"/>
      <c r="QLO27" s="28"/>
      <c r="QLP27" s="28"/>
      <c r="QLQ27" s="28"/>
      <c r="QLR27" s="28"/>
      <c r="QLS27" s="28"/>
      <c r="QLT27" s="28"/>
      <c r="QLU27" s="28"/>
      <c r="QLV27" s="28"/>
      <c r="QLW27" s="28"/>
      <c r="QLX27" s="28"/>
      <c r="QLY27" s="28"/>
      <c r="QLZ27" s="28"/>
      <c r="QMA27" s="28"/>
      <c r="QMB27" s="28"/>
      <c r="QMC27" s="28"/>
      <c r="QMD27" s="28"/>
      <c r="QME27" s="28"/>
      <c r="QMF27" s="28"/>
      <c r="QMG27" s="28"/>
      <c r="QMH27" s="28"/>
      <c r="QMI27" s="28"/>
      <c r="QMJ27" s="28"/>
      <c r="QMK27" s="28"/>
      <c r="QML27" s="28"/>
      <c r="QMM27" s="28"/>
      <c r="QMN27" s="28"/>
      <c r="QMO27" s="28"/>
      <c r="QMP27" s="28"/>
      <c r="QMQ27" s="28"/>
      <c r="QMR27" s="28"/>
      <c r="QMS27" s="28"/>
      <c r="QMT27" s="28"/>
      <c r="QMU27" s="28"/>
      <c r="QMV27" s="28"/>
      <c r="QMW27" s="28"/>
      <c r="QMX27" s="28"/>
      <c r="QMY27" s="28"/>
      <c r="QMZ27" s="28"/>
      <c r="QNA27" s="28"/>
      <c r="QNB27" s="28"/>
      <c r="QNC27" s="28"/>
      <c r="QND27" s="28"/>
      <c r="QNE27" s="28"/>
      <c r="QNF27" s="28"/>
      <c r="QNG27" s="28"/>
      <c r="QNH27" s="28"/>
      <c r="QNI27" s="28"/>
      <c r="QNJ27" s="28"/>
      <c r="QNK27" s="28"/>
      <c r="QNL27" s="28"/>
      <c r="QNM27" s="28"/>
      <c r="QNN27" s="28"/>
      <c r="QNO27" s="28"/>
      <c r="QNP27" s="28"/>
      <c r="QNQ27" s="28"/>
      <c r="QNR27" s="28"/>
      <c r="QNS27" s="28"/>
      <c r="QNT27" s="28"/>
      <c r="QNU27" s="28"/>
      <c r="QNV27" s="28"/>
      <c r="QNW27" s="28"/>
      <c r="QNX27" s="28"/>
      <c r="QNY27" s="28"/>
      <c r="QNZ27" s="28"/>
      <c r="QOA27" s="28"/>
      <c r="QOB27" s="28"/>
      <c r="QOC27" s="28"/>
      <c r="QOD27" s="28"/>
      <c r="QOE27" s="28"/>
      <c r="QOF27" s="28"/>
      <c r="QOG27" s="28"/>
      <c r="QOH27" s="28"/>
      <c r="QOI27" s="28"/>
      <c r="QOJ27" s="28"/>
      <c r="QOK27" s="28"/>
      <c r="QOL27" s="28"/>
      <c r="QOM27" s="28"/>
      <c r="QON27" s="28"/>
      <c r="QOO27" s="28"/>
      <c r="QOP27" s="28"/>
      <c r="QOQ27" s="28"/>
      <c r="QOR27" s="28"/>
      <c r="QOS27" s="28"/>
      <c r="QOT27" s="28"/>
      <c r="QOU27" s="28"/>
      <c r="QOV27" s="28"/>
      <c r="QOW27" s="28"/>
      <c r="QOX27" s="28"/>
      <c r="QOY27" s="28"/>
      <c r="QOZ27" s="28"/>
      <c r="QPA27" s="28"/>
      <c r="QPB27" s="28"/>
      <c r="QPC27" s="28"/>
      <c r="QPD27" s="28"/>
      <c r="QPE27" s="28"/>
      <c r="QPF27" s="28"/>
      <c r="QPG27" s="28"/>
      <c r="QPH27" s="28"/>
      <c r="QPI27" s="28"/>
      <c r="QPJ27" s="28"/>
      <c r="QPK27" s="28"/>
      <c r="QPL27" s="28"/>
      <c r="QPM27" s="28"/>
      <c r="QPN27" s="28"/>
      <c r="QPO27" s="28"/>
      <c r="QPP27" s="28"/>
      <c r="QPQ27" s="28"/>
      <c r="QPR27" s="28"/>
      <c r="QPS27" s="28"/>
      <c r="QPT27" s="28"/>
      <c r="QPU27" s="28"/>
      <c r="QPV27" s="28"/>
      <c r="QPW27" s="28"/>
      <c r="QPX27" s="28"/>
      <c r="QPY27" s="28"/>
      <c r="QPZ27" s="28"/>
      <c r="QQA27" s="28"/>
      <c r="QQB27" s="28"/>
      <c r="QQC27" s="28"/>
      <c r="QQD27" s="28"/>
      <c r="QQE27" s="28"/>
      <c r="QQF27" s="28"/>
      <c r="QQG27" s="28"/>
      <c r="QQH27" s="28"/>
      <c r="QQI27" s="28"/>
      <c r="QQJ27" s="28"/>
      <c r="QQK27" s="28"/>
      <c r="QQL27" s="28"/>
      <c r="QQM27" s="28"/>
      <c r="QQN27" s="28"/>
      <c r="QQO27" s="28"/>
      <c r="QQP27" s="28"/>
      <c r="QQQ27" s="28"/>
      <c r="QQR27" s="28"/>
      <c r="QQS27" s="28"/>
      <c r="QQT27" s="28"/>
      <c r="QQU27" s="28"/>
      <c r="QQV27" s="28"/>
      <c r="QQW27" s="28"/>
      <c r="QQX27" s="28"/>
      <c r="QQY27" s="28"/>
      <c r="QQZ27" s="28"/>
      <c r="QRA27" s="28"/>
      <c r="QRB27" s="28"/>
      <c r="QRC27" s="28"/>
      <c r="QRD27" s="28"/>
      <c r="QRE27" s="28"/>
      <c r="QRF27" s="28"/>
      <c r="QRG27" s="28"/>
      <c r="QRH27" s="28"/>
      <c r="QRI27" s="28"/>
      <c r="QRJ27" s="28"/>
      <c r="QRK27" s="28"/>
      <c r="QRL27" s="28"/>
      <c r="QRM27" s="28"/>
      <c r="QRN27" s="28"/>
      <c r="QRO27" s="28"/>
      <c r="QRP27" s="28"/>
      <c r="QRQ27" s="28"/>
      <c r="QRR27" s="28"/>
      <c r="QRS27" s="28"/>
      <c r="QRT27" s="28"/>
      <c r="QRU27" s="28"/>
      <c r="QRV27" s="28"/>
      <c r="QRW27" s="28"/>
      <c r="QRX27" s="28"/>
      <c r="QRY27" s="28"/>
      <c r="QRZ27" s="28"/>
      <c r="QSA27" s="28"/>
      <c r="QSB27" s="28"/>
      <c r="QSC27" s="28"/>
      <c r="QSD27" s="28"/>
      <c r="QSE27" s="28"/>
      <c r="QSF27" s="28"/>
      <c r="QSG27" s="28"/>
      <c r="QSH27" s="28"/>
      <c r="QSI27" s="28"/>
      <c r="QSJ27" s="28"/>
      <c r="QSK27" s="28"/>
      <c r="QSL27" s="28"/>
      <c r="QSM27" s="28"/>
      <c r="QSN27" s="28"/>
      <c r="QSO27" s="28"/>
      <c r="QSP27" s="28"/>
      <c r="QSQ27" s="28"/>
      <c r="QSR27" s="28"/>
      <c r="QSS27" s="28"/>
      <c r="QST27" s="28"/>
      <c r="QSU27" s="28"/>
      <c r="QSV27" s="28"/>
      <c r="QSW27" s="28"/>
      <c r="QSX27" s="28"/>
      <c r="QSY27" s="28"/>
      <c r="QSZ27" s="28"/>
      <c r="QTA27" s="28"/>
      <c r="QTB27" s="28"/>
      <c r="QTC27" s="28"/>
      <c r="QTD27" s="28"/>
      <c r="QTE27" s="28"/>
      <c r="QTF27" s="28"/>
      <c r="QTG27" s="28"/>
      <c r="QTH27" s="28"/>
      <c r="QTI27" s="28"/>
      <c r="QTJ27" s="28"/>
      <c r="QTK27" s="28"/>
      <c r="QTL27" s="28"/>
      <c r="QTM27" s="28"/>
      <c r="QTN27" s="28"/>
      <c r="QTO27" s="28"/>
      <c r="QTP27" s="28"/>
      <c r="QTQ27" s="28"/>
      <c r="QTR27" s="28"/>
      <c r="QTS27" s="28"/>
      <c r="QTT27" s="28"/>
      <c r="QTU27" s="28"/>
      <c r="QTV27" s="28"/>
      <c r="QTW27" s="28"/>
      <c r="QTX27" s="28"/>
      <c r="QTY27" s="28"/>
      <c r="QTZ27" s="28"/>
      <c r="QUA27" s="28"/>
      <c r="QUB27" s="28"/>
      <c r="QUC27" s="28"/>
      <c r="QUD27" s="28"/>
      <c r="QUE27" s="28"/>
      <c r="QUF27" s="28"/>
      <c r="QUG27" s="28"/>
      <c r="QUH27" s="28"/>
      <c r="QUI27" s="28"/>
      <c r="QUJ27" s="28"/>
      <c r="QUK27" s="28"/>
      <c r="QUL27" s="28"/>
      <c r="QUM27" s="28"/>
      <c r="QUN27" s="28"/>
      <c r="QUO27" s="28"/>
      <c r="QUP27" s="28"/>
      <c r="QUQ27" s="28"/>
      <c r="QUR27" s="28"/>
      <c r="QUS27" s="28"/>
      <c r="QUT27" s="28"/>
      <c r="QUU27" s="28"/>
      <c r="QUV27" s="28"/>
      <c r="QUW27" s="28"/>
      <c r="QUX27" s="28"/>
      <c r="QUY27" s="28"/>
      <c r="QUZ27" s="28"/>
      <c r="QVA27" s="28"/>
      <c r="QVB27" s="28"/>
      <c r="QVC27" s="28"/>
      <c r="QVD27" s="28"/>
      <c r="QVE27" s="28"/>
      <c r="QVF27" s="28"/>
      <c r="QVG27" s="28"/>
      <c r="QVH27" s="28"/>
      <c r="QVI27" s="28"/>
      <c r="QVJ27" s="28"/>
      <c r="QVK27" s="28"/>
      <c r="QVL27" s="28"/>
      <c r="QVM27" s="28"/>
      <c r="QVN27" s="28"/>
      <c r="QVO27" s="28"/>
      <c r="QVP27" s="28"/>
      <c r="QVQ27" s="28"/>
      <c r="QVR27" s="28"/>
      <c r="QVS27" s="28"/>
      <c r="QVT27" s="28"/>
      <c r="QVU27" s="28"/>
      <c r="QVV27" s="28"/>
      <c r="QVW27" s="28"/>
      <c r="QVX27" s="28"/>
      <c r="QVY27" s="28"/>
      <c r="QVZ27" s="28"/>
      <c r="QWA27" s="28"/>
      <c r="QWB27" s="28"/>
      <c r="QWC27" s="28"/>
      <c r="QWD27" s="28"/>
      <c r="QWE27" s="28"/>
      <c r="QWF27" s="28"/>
      <c r="QWG27" s="28"/>
      <c r="QWH27" s="28"/>
      <c r="QWI27" s="28"/>
      <c r="QWJ27" s="28"/>
      <c r="QWK27" s="28"/>
      <c r="QWL27" s="28"/>
      <c r="QWM27" s="28"/>
      <c r="QWN27" s="28"/>
      <c r="QWO27" s="28"/>
      <c r="QWP27" s="28"/>
      <c r="QWQ27" s="28"/>
      <c r="QWR27" s="28"/>
      <c r="QWS27" s="28"/>
      <c r="QWT27" s="28"/>
      <c r="QWU27" s="28"/>
      <c r="QWV27" s="28"/>
      <c r="QWW27" s="28"/>
      <c r="QWX27" s="28"/>
      <c r="QWY27" s="28"/>
      <c r="QWZ27" s="28"/>
      <c r="QXA27" s="28"/>
      <c r="QXB27" s="28"/>
      <c r="QXC27" s="28"/>
      <c r="QXD27" s="28"/>
      <c r="QXE27" s="28"/>
      <c r="QXF27" s="28"/>
      <c r="QXG27" s="28"/>
      <c r="QXH27" s="28"/>
      <c r="QXI27" s="28"/>
      <c r="QXJ27" s="28"/>
      <c r="QXK27" s="28"/>
      <c r="QXL27" s="28"/>
      <c r="QXM27" s="28"/>
      <c r="QXN27" s="28"/>
      <c r="QXO27" s="28"/>
      <c r="QXP27" s="28"/>
      <c r="QXQ27" s="28"/>
      <c r="QXR27" s="28"/>
      <c r="QXS27" s="28"/>
      <c r="QXT27" s="28"/>
      <c r="QXU27" s="28"/>
      <c r="QXV27" s="28"/>
      <c r="QXW27" s="28"/>
      <c r="QXX27" s="28"/>
      <c r="QXY27" s="28"/>
      <c r="QXZ27" s="28"/>
      <c r="QYA27" s="28"/>
      <c r="QYB27" s="28"/>
      <c r="QYC27" s="28"/>
      <c r="QYD27" s="28"/>
      <c r="QYE27" s="28"/>
      <c r="QYF27" s="28"/>
      <c r="QYG27" s="28"/>
      <c r="QYH27" s="28"/>
      <c r="QYI27" s="28"/>
      <c r="QYJ27" s="28"/>
      <c r="QYK27" s="28"/>
      <c r="QYL27" s="28"/>
      <c r="QYM27" s="28"/>
      <c r="QYN27" s="28"/>
      <c r="QYO27" s="28"/>
      <c r="QYP27" s="28"/>
      <c r="QYQ27" s="28"/>
      <c r="QYR27" s="28"/>
      <c r="QYS27" s="28"/>
      <c r="QYT27" s="28"/>
      <c r="QYU27" s="28"/>
      <c r="QYV27" s="28"/>
      <c r="QYW27" s="28"/>
      <c r="QYX27" s="28"/>
      <c r="QYY27" s="28"/>
      <c r="QYZ27" s="28"/>
      <c r="QZA27" s="28"/>
      <c r="QZB27" s="28"/>
      <c r="QZC27" s="28"/>
      <c r="QZD27" s="28"/>
      <c r="QZE27" s="28"/>
      <c r="QZF27" s="28"/>
      <c r="QZG27" s="28"/>
      <c r="QZH27" s="28"/>
      <c r="QZI27" s="28"/>
      <c r="QZJ27" s="28"/>
      <c r="QZK27" s="28"/>
      <c r="QZL27" s="28"/>
      <c r="QZM27" s="28"/>
      <c r="QZN27" s="28"/>
      <c r="QZO27" s="28"/>
      <c r="QZP27" s="28"/>
      <c r="QZQ27" s="28"/>
      <c r="QZR27" s="28"/>
      <c r="QZS27" s="28"/>
      <c r="QZT27" s="28"/>
      <c r="QZU27" s="28"/>
      <c r="QZV27" s="28"/>
      <c r="QZW27" s="28"/>
      <c r="QZX27" s="28"/>
      <c r="QZY27" s="28"/>
      <c r="QZZ27" s="28"/>
      <c r="RAA27" s="28"/>
      <c r="RAB27" s="28"/>
      <c r="RAC27" s="28"/>
      <c r="RAD27" s="28"/>
      <c r="RAE27" s="28"/>
      <c r="RAF27" s="28"/>
      <c r="RAG27" s="28"/>
      <c r="RAH27" s="28"/>
      <c r="RAI27" s="28"/>
      <c r="RAJ27" s="28"/>
      <c r="RAK27" s="28"/>
      <c r="RAL27" s="28"/>
      <c r="RAM27" s="28"/>
      <c r="RAN27" s="28"/>
      <c r="RAO27" s="28"/>
      <c r="RAP27" s="28"/>
      <c r="RAQ27" s="28"/>
      <c r="RAR27" s="28"/>
      <c r="RAS27" s="28"/>
      <c r="RAT27" s="28"/>
      <c r="RAU27" s="28"/>
      <c r="RAV27" s="28"/>
      <c r="RAW27" s="28"/>
      <c r="RAX27" s="28"/>
      <c r="RAY27" s="28"/>
      <c r="RAZ27" s="28"/>
      <c r="RBA27" s="28"/>
      <c r="RBB27" s="28"/>
      <c r="RBC27" s="28"/>
      <c r="RBD27" s="28"/>
      <c r="RBE27" s="28"/>
      <c r="RBF27" s="28"/>
      <c r="RBG27" s="28"/>
      <c r="RBH27" s="28"/>
      <c r="RBI27" s="28"/>
      <c r="RBJ27" s="28"/>
      <c r="RBK27" s="28"/>
      <c r="RBL27" s="28"/>
      <c r="RBM27" s="28"/>
      <c r="RBN27" s="28"/>
      <c r="RBO27" s="28"/>
      <c r="RBP27" s="28"/>
      <c r="RBQ27" s="28"/>
      <c r="RBR27" s="28"/>
      <c r="RBS27" s="28"/>
      <c r="RBT27" s="28"/>
      <c r="RBU27" s="28"/>
      <c r="RBV27" s="28"/>
      <c r="RBW27" s="28"/>
      <c r="RBX27" s="28"/>
      <c r="RBY27" s="28"/>
      <c r="RBZ27" s="28"/>
      <c r="RCA27" s="28"/>
      <c r="RCB27" s="28"/>
      <c r="RCC27" s="28"/>
      <c r="RCD27" s="28"/>
      <c r="RCE27" s="28"/>
      <c r="RCF27" s="28"/>
      <c r="RCG27" s="28"/>
      <c r="RCH27" s="28"/>
      <c r="RCI27" s="28"/>
      <c r="RCJ27" s="28"/>
      <c r="RCK27" s="28"/>
      <c r="RCL27" s="28"/>
      <c r="RCM27" s="28"/>
      <c r="RCN27" s="28"/>
      <c r="RCO27" s="28"/>
      <c r="RCP27" s="28"/>
      <c r="RCQ27" s="28"/>
      <c r="RCR27" s="28"/>
      <c r="RCS27" s="28"/>
      <c r="RCT27" s="28"/>
      <c r="RCU27" s="28"/>
      <c r="RCV27" s="28"/>
      <c r="RCW27" s="28"/>
      <c r="RCX27" s="28"/>
      <c r="RCY27" s="28"/>
      <c r="RCZ27" s="28"/>
      <c r="RDA27" s="28"/>
      <c r="RDB27" s="28"/>
      <c r="RDC27" s="28"/>
      <c r="RDD27" s="28"/>
      <c r="RDE27" s="28"/>
      <c r="RDF27" s="28"/>
      <c r="RDG27" s="28"/>
      <c r="RDH27" s="28"/>
      <c r="RDI27" s="28"/>
      <c r="RDJ27" s="28"/>
      <c r="RDK27" s="28"/>
      <c r="RDL27" s="28"/>
      <c r="RDM27" s="28"/>
      <c r="RDN27" s="28"/>
      <c r="RDO27" s="28"/>
      <c r="RDP27" s="28"/>
      <c r="RDQ27" s="28"/>
      <c r="RDR27" s="28"/>
      <c r="RDS27" s="28"/>
      <c r="RDT27" s="28"/>
      <c r="RDU27" s="28"/>
      <c r="RDV27" s="28"/>
      <c r="RDW27" s="28"/>
      <c r="RDX27" s="28"/>
      <c r="RDY27" s="28"/>
      <c r="RDZ27" s="28"/>
      <c r="REA27" s="28"/>
      <c r="REB27" s="28"/>
      <c r="REC27" s="28"/>
      <c r="RED27" s="28"/>
      <c r="REE27" s="28"/>
      <c r="REF27" s="28"/>
      <c r="REG27" s="28"/>
      <c r="REH27" s="28"/>
      <c r="REI27" s="28"/>
      <c r="REJ27" s="28"/>
      <c r="REK27" s="28"/>
      <c r="REL27" s="28"/>
      <c r="REM27" s="28"/>
      <c r="REN27" s="28"/>
      <c r="REO27" s="28"/>
      <c r="REP27" s="28"/>
      <c r="REQ27" s="28"/>
      <c r="RER27" s="28"/>
      <c r="RES27" s="28"/>
      <c r="RET27" s="28"/>
      <c r="REU27" s="28"/>
      <c r="REV27" s="28"/>
      <c r="REW27" s="28"/>
      <c r="REX27" s="28"/>
      <c r="REY27" s="28"/>
      <c r="REZ27" s="28"/>
      <c r="RFA27" s="28"/>
      <c r="RFB27" s="28"/>
      <c r="RFC27" s="28"/>
      <c r="RFD27" s="28"/>
      <c r="RFE27" s="28"/>
      <c r="RFF27" s="28"/>
      <c r="RFG27" s="28"/>
      <c r="RFH27" s="28"/>
      <c r="RFI27" s="28"/>
      <c r="RFJ27" s="28"/>
      <c r="RFK27" s="28"/>
      <c r="RFL27" s="28"/>
      <c r="RFM27" s="28"/>
      <c r="RFN27" s="28"/>
      <c r="RFO27" s="28"/>
      <c r="RFP27" s="28"/>
      <c r="RFQ27" s="28"/>
      <c r="RFR27" s="28"/>
      <c r="RFS27" s="28"/>
      <c r="RFT27" s="28"/>
      <c r="RFU27" s="28"/>
      <c r="RFV27" s="28"/>
      <c r="RFW27" s="28"/>
      <c r="RFX27" s="28"/>
      <c r="RFY27" s="28"/>
      <c r="RFZ27" s="28"/>
      <c r="RGA27" s="28"/>
      <c r="RGB27" s="28"/>
      <c r="RGC27" s="28"/>
      <c r="RGD27" s="28"/>
      <c r="RGE27" s="28"/>
      <c r="RGF27" s="28"/>
      <c r="RGG27" s="28"/>
      <c r="RGH27" s="28"/>
      <c r="RGI27" s="28"/>
      <c r="RGJ27" s="28"/>
      <c r="RGK27" s="28"/>
      <c r="RGL27" s="28"/>
      <c r="RGM27" s="28"/>
      <c r="RGN27" s="28"/>
      <c r="RGO27" s="28"/>
      <c r="RGP27" s="28"/>
      <c r="RGQ27" s="28"/>
      <c r="RGR27" s="28"/>
      <c r="RGS27" s="28"/>
      <c r="RGT27" s="28"/>
      <c r="RGU27" s="28"/>
      <c r="RGV27" s="28"/>
      <c r="RGW27" s="28"/>
      <c r="RGX27" s="28"/>
      <c r="RGY27" s="28"/>
      <c r="RGZ27" s="28"/>
      <c r="RHA27" s="28"/>
      <c r="RHB27" s="28"/>
      <c r="RHC27" s="28"/>
      <c r="RHD27" s="28"/>
      <c r="RHE27" s="28"/>
      <c r="RHF27" s="28"/>
      <c r="RHG27" s="28"/>
      <c r="RHH27" s="28"/>
      <c r="RHI27" s="28"/>
      <c r="RHJ27" s="28"/>
      <c r="RHK27" s="28"/>
      <c r="RHL27" s="28"/>
      <c r="RHM27" s="28"/>
      <c r="RHN27" s="28"/>
      <c r="RHO27" s="28"/>
      <c r="RHP27" s="28"/>
      <c r="RHQ27" s="28"/>
      <c r="RHR27" s="28"/>
      <c r="RHS27" s="28"/>
      <c r="RHT27" s="28"/>
      <c r="RHU27" s="28"/>
      <c r="RHV27" s="28"/>
      <c r="RHW27" s="28"/>
      <c r="RHX27" s="28"/>
      <c r="RHY27" s="28"/>
      <c r="RHZ27" s="28"/>
      <c r="RIA27" s="28"/>
      <c r="RIB27" s="28"/>
      <c r="RIC27" s="28"/>
      <c r="RID27" s="28"/>
      <c r="RIE27" s="28"/>
      <c r="RIF27" s="28"/>
      <c r="RIG27" s="28"/>
      <c r="RIH27" s="28"/>
      <c r="RII27" s="28"/>
      <c r="RIJ27" s="28"/>
      <c r="RIK27" s="28"/>
      <c r="RIL27" s="28"/>
      <c r="RIM27" s="28"/>
      <c r="RIN27" s="28"/>
      <c r="RIO27" s="28"/>
      <c r="RIP27" s="28"/>
      <c r="RIQ27" s="28"/>
      <c r="RIR27" s="28"/>
      <c r="RIS27" s="28"/>
      <c r="RIT27" s="28"/>
      <c r="RIU27" s="28"/>
      <c r="RIV27" s="28"/>
      <c r="RIW27" s="28"/>
      <c r="RIX27" s="28"/>
      <c r="RIY27" s="28"/>
      <c r="RIZ27" s="28"/>
      <c r="RJA27" s="28"/>
      <c r="RJB27" s="28"/>
      <c r="RJC27" s="28"/>
      <c r="RJD27" s="28"/>
      <c r="RJE27" s="28"/>
      <c r="RJF27" s="28"/>
      <c r="RJG27" s="28"/>
      <c r="RJH27" s="28"/>
      <c r="RJI27" s="28"/>
      <c r="RJJ27" s="28"/>
      <c r="RJK27" s="28"/>
      <c r="RJL27" s="28"/>
      <c r="RJM27" s="28"/>
      <c r="RJN27" s="28"/>
      <c r="RJO27" s="28"/>
      <c r="RJP27" s="28"/>
      <c r="RJQ27" s="28"/>
      <c r="RJR27" s="28"/>
      <c r="RJS27" s="28"/>
      <c r="RJT27" s="28"/>
      <c r="RJU27" s="28"/>
      <c r="RJV27" s="28"/>
      <c r="RJW27" s="28"/>
      <c r="RJX27" s="28"/>
      <c r="RJY27" s="28"/>
      <c r="RJZ27" s="28"/>
      <c r="RKA27" s="28"/>
      <c r="RKB27" s="28"/>
      <c r="RKC27" s="28"/>
      <c r="RKD27" s="28"/>
      <c r="RKE27" s="28"/>
      <c r="RKF27" s="28"/>
      <c r="RKG27" s="28"/>
      <c r="RKH27" s="28"/>
      <c r="RKI27" s="28"/>
      <c r="RKJ27" s="28"/>
      <c r="RKK27" s="28"/>
      <c r="RKL27" s="28"/>
      <c r="RKM27" s="28"/>
      <c r="RKN27" s="28"/>
      <c r="RKO27" s="28"/>
      <c r="RKP27" s="28"/>
      <c r="RKQ27" s="28"/>
      <c r="RKR27" s="28"/>
      <c r="RKS27" s="28"/>
      <c r="RKT27" s="28"/>
      <c r="RKU27" s="28"/>
      <c r="RKV27" s="28"/>
      <c r="RKW27" s="28"/>
      <c r="RKX27" s="28"/>
      <c r="RKY27" s="28"/>
      <c r="RKZ27" s="28"/>
      <c r="RLA27" s="28"/>
      <c r="RLB27" s="28"/>
      <c r="RLC27" s="28"/>
      <c r="RLD27" s="28"/>
      <c r="RLE27" s="28"/>
      <c r="RLF27" s="28"/>
      <c r="RLG27" s="28"/>
      <c r="RLH27" s="28"/>
      <c r="RLI27" s="28"/>
      <c r="RLJ27" s="28"/>
      <c r="RLK27" s="28"/>
      <c r="RLL27" s="28"/>
      <c r="RLM27" s="28"/>
      <c r="RLN27" s="28"/>
      <c r="RLO27" s="28"/>
      <c r="RLP27" s="28"/>
      <c r="RLQ27" s="28"/>
      <c r="RLR27" s="28"/>
      <c r="RLS27" s="28"/>
      <c r="RLT27" s="28"/>
      <c r="RLU27" s="28"/>
      <c r="RLV27" s="28"/>
      <c r="RLW27" s="28"/>
      <c r="RLX27" s="28"/>
      <c r="RLY27" s="28"/>
      <c r="RLZ27" s="28"/>
      <c r="RMA27" s="28"/>
      <c r="RMB27" s="28"/>
      <c r="RMC27" s="28"/>
      <c r="RMD27" s="28"/>
      <c r="RME27" s="28"/>
      <c r="RMF27" s="28"/>
      <c r="RMG27" s="28"/>
      <c r="RMH27" s="28"/>
      <c r="RMI27" s="28"/>
      <c r="RMJ27" s="28"/>
      <c r="RMK27" s="28"/>
      <c r="RML27" s="28"/>
      <c r="RMM27" s="28"/>
      <c r="RMN27" s="28"/>
      <c r="RMO27" s="28"/>
      <c r="RMP27" s="28"/>
      <c r="RMQ27" s="28"/>
      <c r="RMR27" s="28"/>
      <c r="RMS27" s="28"/>
      <c r="RMT27" s="28"/>
      <c r="RMU27" s="28"/>
      <c r="RMV27" s="28"/>
      <c r="RMW27" s="28"/>
      <c r="RMX27" s="28"/>
      <c r="RMY27" s="28"/>
      <c r="RMZ27" s="28"/>
      <c r="RNA27" s="28"/>
      <c r="RNB27" s="28"/>
      <c r="RNC27" s="28"/>
      <c r="RND27" s="28"/>
      <c r="RNE27" s="28"/>
      <c r="RNF27" s="28"/>
      <c r="RNG27" s="28"/>
      <c r="RNH27" s="28"/>
      <c r="RNI27" s="28"/>
      <c r="RNJ27" s="28"/>
      <c r="RNK27" s="28"/>
      <c r="RNL27" s="28"/>
      <c r="RNM27" s="28"/>
      <c r="RNN27" s="28"/>
      <c r="RNO27" s="28"/>
      <c r="RNP27" s="28"/>
      <c r="RNQ27" s="28"/>
      <c r="RNR27" s="28"/>
      <c r="RNS27" s="28"/>
      <c r="RNT27" s="28"/>
      <c r="RNU27" s="28"/>
      <c r="RNV27" s="28"/>
      <c r="RNW27" s="28"/>
      <c r="RNX27" s="28"/>
      <c r="RNY27" s="28"/>
      <c r="RNZ27" s="28"/>
      <c r="ROA27" s="28"/>
      <c r="ROB27" s="28"/>
      <c r="ROC27" s="28"/>
      <c r="ROD27" s="28"/>
      <c r="ROE27" s="28"/>
      <c r="ROF27" s="28"/>
      <c r="ROG27" s="28"/>
      <c r="ROH27" s="28"/>
      <c r="ROI27" s="28"/>
      <c r="ROJ27" s="28"/>
      <c r="ROK27" s="28"/>
      <c r="ROL27" s="28"/>
      <c r="ROM27" s="28"/>
      <c r="RON27" s="28"/>
      <c r="ROO27" s="28"/>
      <c r="ROP27" s="28"/>
      <c r="ROQ27" s="28"/>
      <c r="ROR27" s="28"/>
      <c r="ROS27" s="28"/>
      <c r="ROT27" s="28"/>
      <c r="ROU27" s="28"/>
      <c r="ROV27" s="28"/>
      <c r="ROW27" s="28"/>
      <c r="ROX27" s="28"/>
      <c r="ROY27" s="28"/>
      <c r="ROZ27" s="28"/>
      <c r="RPA27" s="28"/>
      <c r="RPB27" s="28"/>
      <c r="RPC27" s="28"/>
      <c r="RPD27" s="28"/>
      <c r="RPE27" s="28"/>
      <c r="RPF27" s="28"/>
      <c r="RPG27" s="28"/>
      <c r="RPH27" s="28"/>
      <c r="RPI27" s="28"/>
      <c r="RPJ27" s="28"/>
      <c r="RPK27" s="28"/>
      <c r="RPL27" s="28"/>
      <c r="RPM27" s="28"/>
      <c r="RPN27" s="28"/>
      <c r="RPO27" s="28"/>
      <c r="RPP27" s="28"/>
      <c r="RPQ27" s="28"/>
      <c r="RPR27" s="28"/>
      <c r="RPS27" s="28"/>
      <c r="RPT27" s="28"/>
      <c r="RPU27" s="28"/>
      <c r="RPV27" s="28"/>
      <c r="RPW27" s="28"/>
      <c r="RPX27" s="28"/>
      <c r="RPY27" s="28"/>
      <c r="RPZ27" s="28"/>
      <c r="RQA27" s="28"/>
      <c r="RQB27" s="28"/>
      <c r="RQC27" s="28"/>
      <c r="RQD27" s="28"/>
      <c r="RQE27" s="28"/>
      <c r="RQF27" s="28"/>
      <c r="RQG27" s="28"/>
      <c r="RQH27" s="28"/>
      <c r="RQI27" s="28"/>
      <c r="RQJ27" s="28"/>
      <c r="RQK27" s="28"/>
      <c r="RQL27" s="28"/>
      <c r="RQM27" s="28"/>
      <c r="RQN27" s="28"/>
      <c r="RQO27" s="28"/>
      <c r="RQP27" s="28"/>
      <c r="RQQ27" s="28"/>
      <c r="RQR27" s="28"/>
      <c r="RQS27" s="28"/>
      <c r="RQT27" s="28"/>
      <c r="RQU27" s="28"/>
      <c r="RQV27" s="28"/>
      <c r="RQW27" s="28"/>
      <c r="RQX27" s="28"/>
      <c r="RQY27" s="28"/>
      <c r="RQZ27" s="28"/>
      <c r="RRA27" s="28"/>
      <c r="RRB27" s="28"/>
      <c r="RRC27" s="28"/>
      <c r="RRD27" s="28"/>
      <c r="RRE27" s="28"/>
      <c r="RRF27" s="28"/>
      <c r="RRG27" s="28"/>
      <c r="RRH27" s="28"/>
      <c r="RRI27" s="28"/>
      <c r="RRJ27" s="28"/>
      <c r="RRK27" s="28"/>
      <c r="RRL27" s="28"/>
      <c r="RRM27" s="28"/>
      <c r="RRN27" s="28"/>
      <c r="RRO27" s="28"/>
      <c r="RRP27" s="28"/>
      <c r="RRQ27" s="28"/>
      <c r="RRR27" s="28"/>
      <c r="RRS27" s="28"/>
      <c r="RRT27" s="28"/>
      <c r="RRU27" s="28"/>
      <c r="RRV27" s="28"/>
      <c r="RRW27" s="28"/>
      <c r="RRX27" s="28"/>
      <c r="RRY27" s="28"/>
      <c r="RRZ27" s="28"/>
      <c r="RSA27" s="28"/>
      <c r="RSB27" s="28"/>
      <c r="RSC27" s="28"/>
      <c r="RSD27" s="28"/>
      <c r="RSE27" s="28"/>
      <c r="RSF27" s="28"/>
      <c r="RSG27" s="28"/>
      <c r="RSH27" s="28"/>
      <c r="RSI27" s="28"/>
      <c r="RSJ27" s="28"/>
      <c r="RSK27" s="28"/>
      <c r="RSL27" s="28"/>
      <c r="RSM27" s="28"/>
      <c r="RSN27" s="28"/>
      <c r="RSO27" s="28"/>
      <c r="RSP27" s="28"/>
      <c r="RSQ27" s="28"/>
      <c r="RSR27" s="28"/>
      <c r="RSS27" s="28"/>
      <c r="RST27" s="28"/>
      <c r="RSU27" s="28"/>
      <c r="RSV27" s="28"/>
      <c r="RSW27" s="28"/>
      <c r="RSX27" s="28"/>
      <c r="RSY27" s="28"/>
      <c r="RSZ27" s="28"/>
      <c r="RTA27" s="28"/>
      <c r="RTB27" s="28"/>
      <c r="RTC27" s="28"/>
      <c r="RTD27" s="28"/>
      <c r="RTE27" s="28"/>
      <c r="RTF27" s="28"/>
      <c r="RTG27" s="28"/>
      <c r="RTH27" s="28"/>
      <c r="RTI27" s="28"/>
      <c r="RTJ27" s="28"/>
      <c r="RTK27" s="28"/>
      <c r="RTL27" s="28"/>
      <c r="RTM27" s="28"/>
      <c r="RTN27" s="28"/>
      <c r="RTO27" s="28"/>
      <c r="RTP27" s="28"/>
      <c r="RTQ27" s="28"/>
      <c r="RTR27" s="28"/>
      <c r="RTS27" s="28"/>
      <c r="RTT27" s="28"/>
      <c r="RTU27" s="28"/>
      <c r="RTV27" s="28"/>
      <c r="RTW27" s="28"/>
      <c r="RTX27" s="28"/>
      <c r="RTY27" s="28"/>
      <c r="RTZ27" s="28"/>
      <c r="RUA27" s="28"/>
      <c r="RUB27" s="28"/>
      <c r="RUC27" s="28"/>
      <c r="RUD27" s="28"/>
      <c r="RUE27" s="28"/>
      <c r="RUF27" s="28"/>
      <c r="RUG27" s="28"/>
      <c r="RUH27" s="28"/>
      <c r="RUI27" s="28"/>
      <c r="RUJ27" s="28"/>
      <c r="RUK27" s="28"/>
      <c r="RUL27" s="28"/>
      <c r="RUM27" s="28"/>
      <c r="RUN27" s="28"/>
      <c r="RUO27" s="28"/>
      <c r="RUP27" s="28"/>
      <c r="RUQ27" s="28"/>
      <c r="RUR27" s="28"/>
      <c r="RUS27" s="28"/>
      <c r="RUT27" s="28"/>
      <c r="RUU27" s="28"/>
      <c r="RUV27" s="28"/>
      <c r="RUW27" s="28"/>
      <c r="RUX27" s="28"/>
      <c r="RUY27" s="28"/>
      <c r="RUZ27" s="28"/>
      <c r="RVA27" s="28"/>
      <c r="RVB27" s="28"/>
      <c r="RVC27" s="28"/>
      <c r="RVD27" s="28"/>
      <c r="RVE27" s="28"/>
      <c r="RVF27" s="28"/>
      <c r="RVG27" s="28"/>
      <c r="RVH27" s="28"/>
      <c r="RVI27" s="28"/>
      <c r="RVJ27" s="28"/>
      <c r="RVK27" s="28"/>
      <c r="RVL27" s="28"/>
      <c r="RVM27" s="28"/>
      <c r="RVN27" s="28"/>
      <c r="RVO27" s="28"/>
      <c r="RVP27" s="28"/>
      <c r="RVQ27" s="28"/>
      <c r="RVR27" s="28"/>
      <c r="RVS27" s="28"/>
      <c r="RVT27" s="28"/>
      <c r="RVU27" s="28"/>
      <c r="RVV27" s="28"/>
      <c r="RVW27" s="28"/>
      <c r="RVX27" s="28"/>
      <c r="RVY27" s="28"/>
      <c r="RVZ27" s="28"/>
      <c r="RWA27" s="28"/>
      <c r="RWB27" s="28"/>
      <c r="RWC27" s="28"/>
      <c r="RWD27" s="28"/>
      <c r="RWE27" s="28"/>
      <c r="RWF27" s="28"/>
      <c r="RWG27" s="28"/>
      <c r="RWH27" s="28"/>
      <c r="RWI27" s="28"/>
      <c r="RWJ27" s="28"/>
      <c r="RWK27" s="28"/>
      <c r="RWL27" s="28"/>
      <c r="RWM27" s="28"/>
      <c r="RWN27" s="28"/>
      <c r="RWO27" s="28"/>
      <c r="RWP27" s="28"/>
      <c r="RWQ27" s="28"/>
      <c r="RWR27" s="28"/>
      <c r="RWS27" s="28"/>
      <c r="RWT27" s="28"/>
      <c r="RWU27" s="28"/>
      <c r="RWV27" s="28"/>
      <c r="RWW27" s="28"/>
      <c r="RWX27" s="28"/>
      <c r="RWY27" s="28"/>
      <c r="RWZ27" s="28"/>
      <c r="RXA27" s="28"/>
      <c r="RXB27" s="28"/>
      <c r="RXC27" s="28"/>
      <c r="RXD27" s="28"/>
      <c r="RXE27" s="28"/>
      <c r="RXF27" s="28"/>
      <c r="RXG27" s="28"/>
      <c r="RXH27" s="28"/>
      <c r="RXI27" s="28"/>
      <c r="RXJ27" s="28"/>
      <c r="RXK27" s="28"/>
      <c r="RXL27" s="28"/>
      <c r="RXM27" s="28"/>
      <c r="RXN27" s="28"/>
      <c r="RXO27" s="28"/>
      <c r="RXP27" s="28"/>
      <c r="RXQ27" s="28"/>
      <c r="RXR27" s="28"/>
      <c r="RXS27" s="28"/>
      <c r="RXT27" s="28"/>
      <c r="RXU27" s="28"/>
      <c r="RXV27" s="28"/>
      <c r="RXW27" s="28"/>
      <c r="RXX27" s="28"/>
      <c r="RXY27" s="28"/>
      <c r="RXZ27" s="28"/>
      <c r="RYA27" s="28"/>
      <c r="RYB27" s="28"/>
      <c r="RYC27" s="28"/>
      <c r="RYD27" s="28"/>
      <c r="RYE27" s="28"/>
      <c r="RYF27" s="28"/>
      <c r="RYG27" s="28"/>
      <c r="RYH27" s="28"/>
      <c r="RYI27" s="28"/>
      <c r="RYJ27" s="28"/>
      <c r="RYK27" s="28"/>
      <c r="RYL27" s="28"/>
      <c r="RYM27" s="28"/>
      <c r="RYN27" s="28"/>
      <c r="RYO27" s="28"/>
      <c r="RYP27" s="28"/>
      <c r="RYQ27" s="28"/>
      <c r="RYR27" s="28"/>
      <c r="RYS27" s="28"/>
      <c r="RYT27" s="28"/>
      <c r="RYU27" s="28"/>
      <c r="RYV27" s="28"/>
      <c r="RYW27" s="28"/>
      <c r="RYX27" s="28"/>
      <c r="RYY27" s="28"/>
      <c r="RYZ27" s="28"/>
      <c r="RZA27" s="28"/>
      <c r="RZB27" s="28"/>
      <c r="RZC27" s="28"/>
      <c r="RZD27" s="28"/>
      <c r="RZE27" s="28"/>
      <c r="RZF27" s="28"/>
      <c r="RZG27" s="28"/>
      <c r="RZH27" s="28"/>
      <c r="RZI27" s="28"/>
      <c r="RZJ27" s="28"/>
      <c r="RZK27" s="28"/>
      <c r="RZL27" s="28"/>
      <c r="RZM27" s="28"/>
      <c r="RZN27" s="28"/>
      <c r="RZO27" s="28"/>
      <c r="RZP27" s="28"/>
      <c r="RZQ27" s="28"/>
      <c r="RZR27" s="28"/>
      <c r="RZS27" s="28"/>
      <c r="RZT27" s="28"/>
      <c r="RZU27" s="28"/>
      <c r="RZV27" s="28"/>
      <c r="RZW27" s="28"/>
      <c r="RZX27" s="28"/>
      <c r="RZY27" s="28"/>
      <c r="RZZ27" s="28"/>
      <c r="SAA27" s="28"/>
      <c r="SAB27" s="28"/>
      <c r="SAC27" s="28"/>
      <c r="SAD27" s="28"/>
      <c r="SAE27" s="28"/>
      <c r="SAF27" s="28"/>
      <c r="SAG27" s="28"/>
      <c r="SAH27" s="28"/>
      <c r="SAI27" s="28"/>
      <c r="SAJ27" s="28"/>
      <c r="SAK27" s="28"/>
      <c r="SAL27" s="28"/>
      <c r="SAM27" s="28"/>
      <c r="SAN27" s="28"/>
      <c r="SAO27" s="28"/>
      <c r="SAP27" s="28"/>
      <c r="SAQ27" s="28"/>
      <c r="SAR27" s="28"/>
      <c r="SAS27" s="28"/>
      <c r="SAT27" s="28"/>
      <c r="SAU27" s="28"/>
      <c r="SAV27" s="28"/>
      <c r="SAW27" s="28"/>
      <c r="SAX27" s="28"/>
      <c r="SAY27" s="28"/>
      <c r="SAZ27" s="28"/>
      <c r="SBA27" s="28"/>
      <c r="SBB27" s="28"/>
      <c r="SBC27" s="28"/>
      <c r="SBD27" s="28"/>
      <c r="SBE27" s="28"/>
      <c r="SBF27" s="28"/>
      <c r="SBG27" s="28"/>
      <c r="SBH27" s="28"/>
      <c r="SBI27" s="28"/>
      <c r="SBJ27" s="28"/>
      <c r="SBK27" s="28"/>
      <c r="SBL27" s="28"/>
      <c r="SBM27" s="28"/>
      <c r="SBN27" s="28"/>
      <c r="SBO27" s="28"/>
      <c r="SBP27" s="28"/>
      <c r="SBQ27" s="28"/>
      <c r="SBR27" s="28"/>
      <c r="SBS27" s="28"/>
      <c r="SBT27" s="28"/>
      <c r="SBU27" s="28"/>
      <c r="SBV27" s="28"/>
      <c r="SBW27" s="28"/>
      <c r="SBX27" s="28"/>
      <c r="SBY27" s="28"/>
      <c r="SBZ27" s="28"/>
      <c r="SCA27" s="28"/>
      <c r="SCB27" s="28"/>
      <c r="SCC27" s="28"/>
      <c r="SCD27" s="28"/>
      <c r="SCE27" s="28"/>
      <c r="SCF27" s="28"/>
      <c r="SCG27" s="28"/>
      <c r="SCH27" s="28"/>
      <c r="SCI27" s="28"/>
      <c r="SCJ27" s="28"/>
      <c r="SCK27" s="28"/>
      <c r="SCL27" s="28"/>
      <c r="SCM27" s="28"/>
      <c r="SCN27" s="28"/>
      <c r="SCO27" s="28"/>
      <c r="SCP27" s="28"/>
      <c r="SCQ27" s="28"/>
      <c r="SCR27" s="28"/>
      <c r="SCS27" s="28"/>
      <c r="SCT27" s="28"/>
      <c r="SCU27" s="28"/>
      <c r="SCV27" s="28"/>
      <c r="SCW27" s="28"/>
      <c r="SCX27" s="28"/>
      <c r="SCY27" s="28"/>
      <c r="SCZ27" s="28"/>
      <c r="SDA27" s="28"/>
      <c r="SDB27" s="28"/>
      <c r="SDC27" s="28"/>
      <c r="SDD27" s="28"/>
      <c r="SDE27" s="28"/>
      <c r="SDF27" s="28"/>
      <c r="SDG27" s="28"/>
      <c r="SDH27" s="28"/>
      <c r="SDI27" s="28"/>
      <c r="SDJ27" s="28"/>
      <c r="SDK27" s="28"/>
      <c r="SDL27" s="28"/>
      <c r="SDM27" s="28"/>
      <c r="SDN27" s="28"/>
      <c r="SDO27" s="28"/>
      <c r="SDP27" s="28"/>
      <c r="SDQ27" s="28"/>
      <c r="SDR27" s="28"/>
      <c r="SDS27" s="28"/>
      <c r="SDT27" s="28"/>
      <c r="SDU27" s="28"/>
      <c r="SDV27" s="28"/>
      <c r="SDW27" s="28"/>
      <c r="SDX27" s="28"/>
      <c r="SDY27" s="28"/>
      <c r="SDZ27" s="28"/>
      <c r="SEA27" s="28"/>
      <c r="SEB27" s="28"/>
      <c r="SEC27" s="28"/>
      <c r="SED27" s="28"/>
      <c r="SEE27" s="28"/>
      <c r="SEF27" s="28"/>
      <c r="SEG27" s="28"/>
      <c r="SEH27" s="28"/>
      <c r="SEI27" s="28"/>
      <c r="SEJ27" s="28"/>
      <c r="SEK27" s="28"/>
      <c r="SEL27" s="28"/>
      <c r="SEM27" s="28"/>
      <c r="SEN27" s="28"/>
      <c r="SEO27" s="28"/>
      <c r="SEP27" s="28"/>
      <c r="SEQ27" s="28"/>
      <c r="SER27" s="28"/>
      <c r="SES27" s="28"/>
      <c r="SET27" s="28"/>
      <c r="SEU27" s="28"/>
      <c r="SEV27" s="28"/>
      <c r="SEW27" s="28"/>
      <c r="SEX27" s="28"/>
      <c r="SEY27" s="28"/>
      <c r="SEZ27" s="28"/>
      <c r="SFA27" s="28"/>
      <c r="SFB27" s="28"/>
      <c r="SFC27" s="28"/>
      <c r="SFD27" s="28"/>
      <c r="SFE27" s="28"/>
      <c r="SFF27" s="28"/>
      <c r="SFG27" s="28"/>
      <c r="SFH27" s="28"/>
      <c r="SFI27" s="28"/>
      <c r="SFJ27" s="28"/>
      <c r="SFK27" s="28"/>
      <c r="SFL27" s="28"/>
      <c r="SFM27" s="28"/>
      <c r="SFN27" s="28"/>
      <c r="SFO27" s="28"/>
      <c r="SFP27" s="28"/>
      <c r="SFQ27" s="28"/>
      <c r="SFR27" s="28"/>
      <c r="SFS27" s="28"/>
      <c r="SFT27" s="28"/>
      <c r="SFU27" s="28"/>
      <c r="SFV27" s="28"/>
      <c r="SFW27" s="28"/>
      <c r="SFX27" s="28"/>
      <c r="SFY27" s="28"/>
      <c r="SFZ27" s="28"/>
      <c r="SGA27" s="28"/>
      <c r="SGB27" s="28"/>
      <c r="SGC27" s="28"/>
      <c r="SGD27" s="28"/>
      <c r="SGE27" s="28"/>
      <c r="SGF27" s="28"/>
      <c r="SGG27" s="28"/>
      <c r="SGH27" s="28"/>
      <c r="SGI27" s="28"/>
      <c r="SGJ27" s="28"/>
      <c r="SGK27" s="28"/>
      <c r="SGL27" s="28"/>
      <c r="SGM27" s="28"/>
      <c r="SGN27" s="28"/>
      <c r="SGO27" s="28"/>
      <c r="SGP27" s="28"/>
      <c r="SGQ27" s="28"/>
      <c r="SGR27" s="28"/>
      <c r="SGS27" s="28"/>
      <c r="SGT27" s="28"/>
      <c r="SGU27" s="28"/>
      <c r="SGV27" s="28"/>
      <c r="SGW27" s="28"/>
      <c r="SGX27" s="28"/>
      <c r="SGY27" s="28"/>
      <c r="SGZ27" s="28"/>
      <c r="SHA27" s="28"/>
      <c r="SHB27" s="28"/>
      <c r="SHC27" s="28"/>
      <c r="SHD27" s="28"/>
      <c r="SHE27" s="28"/>
      <c r="SHF27" s="28"/>
      <c r="SHG27" s="28"/>
      <c r="SHH27" s="28"/>
      <c r="SHI27" s="28"/>
      <c r="SHJ27" s="28"/>
      <c r="SHK27" s="28"/>
      <c r="SHL27" s="28"/>
      <c r="SHM27" s="28"/>
      <c r="SHN27" s="28"/>
      <c r="SHO27" s="28"/>
      <c r="SHP27" s="28"/>
      <c r="SHQ27" s="28"/>
      <c r="SHR27" s="28"/>
      <c r="SHS27" s="28"/>
      <c r="SHT27" s="28"/>
      <c r="SHU27" s="28"/>
      <c r="SHV27" s="28"/>
      <c r="SHW27" s="28"/>
      <c r="SHX27" s="28"/>
      <c r="SHY27" s="28"/>
      <c r="SHZ27" s="28"/>
      <c r="SIA27" s="28"/>
      <c r="SIB27" s="28"/>
      <c r="SIC27" s="28"/>
      <c r="SID27" s="28"/>
      <c r="SIE27" s="28"/>
      <c r="SIF27" s="28"/>
      <c r="SIG27" s="28"/>
      <c r="SIH27" s="28"/>
      <c r="SII27" s="28"/>
      <c r="SIJ27" s="28"/>
      <c r="SIK27" s="28"/>
      <c r="SIL27" s="28"/>
      <c r="SIM27" s="28"/>
      <c r="SIN27" s="28"/>
      <c r="SIO27" s="28"/>
      <c r="SIP27" s="28"/>
      <c r="SIQ27" s="28"/>
      <c r="SIR27" s="28"/>
      <c r="SIS27" s="28"/>
      <c r="SIT27" s="28"/>
      <c r="SIU27" s="28"/>
      <c r="SIV27" s="28"/>
      <c r="SIW27" s="28"/>
      <c r="SIX27" s="28"/>
      <c r="SIY27" s="28"/>
      <c r="SIZ27" s="28"/>
      <c r="SJA27" s="28"/>
      <c r="SJB27" s="28"/>
      <c r="SJC27" s="28"/>
      <c r="SJD27" s="28"/>
      <c r="SJE27" s="28"/>
      <c r="SJF27" s="28"/>
      <c r="SJG27" s="28"/>
      <c r="SJH27" s="28"/>
      <c r="SJI27" s="28"/>
      <c r="SJJ27" s="28"/>
      <c r="SJK27" s="28"/>
      <c r="SJL27" s="28"/>
      <c r="SJM27" s="28"/>
      <c r="SJN27" s="28"/>
      <c r="SJO27" s="28"/>
      <c r="SJP27" s="28"/>
      <c r="SJQ27" s="28"/>
      <c r="SJR27" s="28"/>
      <c r="SJS27" s="28"/>
      <c r="SJT27" s="28"/>
      <c r="SJU27" s="28"/>
      <c r="SJV27" s="28"/>
      <c r="SJW27" s="28"/>
      <c r="SJX27" s="28"/>
      <c r="SJY27" s="28"/>
      <c r="SJZ27" s="28"/>
      <c r="SKA27" s="28"/>
      <c r="SKB27" s="28"/>
      <c r="SKC27" s="28"/>
      <c r="SKD27" s="28"/>
      <c r="SKE27" s="28"/>
      <c r="SKF27" s="28"/>
      <c r="SKG27" s="28"/>
      <c r="SKH27" s="28"/>
      <c r="SKI27" s="28"/>
      <c r="SKJ27" s="28"/>
      <c r="SKK27" s="28"/>
      <c r="SKL27" s="28"/>
      <c r="SKM27" s="28"/>
      <c r="SKN27" s="28"/>
      <c r="SKO27" s="28"/>
      <c r="SKP27" s="28"/>
      <c r="SKQ27" s="28"/>
      <c r="SKR27" s="28"/>
      <c r="SKS27" s="28"/>
      <c r="SKT27" s="28"/>
      <c r="SKU27" s="28"/>
      <c r="SKV27" s="28"/>
      <c r="SKW27" s="28"/>
      <c r="SKX27" s="28"/>
      <c r="SKY27" s="28"/>
      <c r="SKZ27" s="28"/>
      <c r="SLA27" s="28"/>
      <c r="SLB27" s="28"/>
      <c r="SLC27" s="28"/>
      <c r="SLD27" s="28"/>
      <c r="SLE27" s="28"/>
      <c r="SLF27" s="28"/>
      <c r="SLG27" s="28"/>
      <c r="SLH27" s="28"/>
      <c r="SLI27" s="28"/>
      <c r="SLJ27" s="28"/>
      <c r="SLK27" s="28"/>
      <c r="SLL27" s="28"/>
      <c r="SLM27" s="28"/>
      <c r="SLN27" s="28"/>
      <c r="SLO27" s="28"/>
      <c r="SLP27" s="28"/>
      <c r="SLQ27" s="28"/>
      <c r="SLR27" s="28"/>
      <c r="SLS27" s="28"/>
      <c r="SLT27" s="28"/>
      <c r="SLU27" s="28"/>
      <c r="SLV27" s="28"/>
      <c r="SLW27" s="28"/>
      <c r="SLX27" s="28"/>
      <c r="SLY27" s="28"/>
      <c r="SLZ27" s="28"/>
      <c r="SMA27" s="28"/>
      <c r="SMB27" s="28"/>
      <c r="SMC27" s="28"/>
      <c r="SMD27" s="28"/>
      <c r="SME27" s="28"/>
      <c r="SMF27" s="28"/>
      <c r="SMG27" s="28"/>
      <c r="SMH27" s="28"/>
      <c r="SMI27" s="28"/>
      <c r="SMJ27" s="28"/>
      <c r="SMK27" s="28"/>
      <c r="SML27" s="28"/>
      <c r="SMM27" s="28"/>
      <c r="SMN27" s="28"/>
      <c r="SMO27" s="28"/>
      <c r="SMP27" s="28"/>
      <c r="SMQ27" s="28"/>
      <c r="SMR27" s="28"/>
      <c r="SMS27" s="28"/>
      <c r="SMT27" s="28"/>
      <c r="SMU27" s="28"/>
      <c r="SMV27" s="28"/>
      <c r="SMW27" s="28"/>
      <c r="SMX27" s="28"/>
      <c r="SMY27" s="28"/>
      <c r="SMZ27" s="28"/>
      <c r="SNA27" s="28"/>
      <c r="SNB27" s="28"/>
      <c r="SNC27" s="28"/>
      <c r="SND27" s="28"/>
      <c r="SNE27" s="28"/>
      <c r="SNF27" s="28"/>
      <c r="SNG27" s="28"/>
      <c r="SNH27" s="28"/>
      <c r="SNI27" s="28"/>
      <c r="SNJ27" s="28"/>
      <c r="SNK27" s="28"/>
      <c r="SNL27" s="28"/>
      <c r="SNM27" s="28"/>
      <c r="SNN27" s="28"/>
      <c r="SNO27" s="28"/>
      <c r="SNP27" s="28"/>
      <c r="SNQ27" s="28"/>
      <c r="SNR27" s="28"/>
      <c r="SNS27" s="28"/>
      <c r="SNT27" s="28"/>
      <c r="SNU27" s="28"/>
      <c r="SNV27" s="28"/>
      <c r="SNW27" s="28"/>
      <c r="SNX27" s="28"/>
      <c r="SNY27" s="28"/>
      <c r="SNZ27" s="28"/>
      <c r="SOA27" s="28"/>
      <c r="SOB27" s="28"/>
      <c r="SOC27" s="28"/>
      <c r="SOD27" s="28"/>
      <c r="SOE27" s="28"/>
      <c r="SOF27" s="28"/>
      <c r="SOG27" s="28"/>
      <c r="SOH27" s="28"/>
      <c r="SOI27" s="28"/>
      <c r="SOJ27" s="28"/>
      <c r="SOK27" s="28"/>
      <c r="SOL27" s="28"/>
      <c r="SOM27" s="28"/>
      <c r="SON27" s="28"/>
      <c r="SOO27" s="28"/>
      <c r="SOP27" s="28"/>
      <c r="SOQ27" s="28"/>
      <c r="SOR27" s="28"/>
      <c r="SOS27" s="28"/>
      <c r="SOT27" s="28"/>
      <c r="SOU27" s="28"/>
      <c r="SOV27" s="28"/>
      <c r="SOW27" s="28"/>
      <c r="SOX27" s="28"/>
      <c r="SOY27" s="28"/>
      <c r="SOZ27" s="28"/>
      <c r="SPA27" s="28"/>
      <c r="SPB27" s="28"/>
      <c r="SPC27" s="28"/>
      <c r="SPD27" s="28"/>
      <c r="SPE27" s="28"/>
      <c r="SPF27" s="28"/>
      <c r="SPG27" s="28"/>
      <c r="SPH27" s="28"/>
      <c r="SPI27" s="28"/>
      <c r="SPJ27" s="28"/>
      <c r="SPK27" s="28"/>
      <c r="SPL27" s="28"/>
      <c r="SPM27" s="28"/>
      <c r="SPN27" s="28"/>
      <c r="SPO27" s="28"/>
      <c r="SPP27" s="28"/>
      <c r="SPQ27" s="28"/>
      <c r="SPR27" s="28"/>
      <c r="SPS27" s="28"/>
      <c r="SPT27" s="28"/>
      <c r="SPU27" s="28"/>
      <c r="SPV27" s="28"/>
      <c r="SPW27" s="28"/>
      <c r="SPX27" s="28"/>
      <c r="SPY27" s="28"/>
      <c r="SPZ27" s="28"/>
      <c r="SQA27" s="28"/>
      <c r="SQB27" s="28"/>
      <c r="SQC27" s="28"/>
      <c r="SQD27" s="28"/>
      <c r="SQE27" s="28"/>
      <c r="SQF27" s="28"/>
      <c r="SQG27" s="28"/>
      <c r="SQH27" s="28"/>
      <c r="SQI27" s="28"/>
      <c r="SQJ27" s="28"/>
      <c r="SQK27" s="28"/>
      <c r="SQL27" s="28"/>
      <c r="SQM27" s="28"/>
      <c r="SQN27" s="28"/>
      <c r="SQO27" s="28"/>
      <c r="SQP27" s="28"/>
      <c r="SQQ27" s="28"/>
      <c r="SQR27" s="28"/>
      <c r="SQS27" s="28"/>
      <c r="SQT27" s="28"/>
      <c r="SQU27" s="28"/>
      <c r="SQV27" s="28"/>
      <c r="SQW27" s="28"/>
      <c r="SQX27" s="28"/>
      <c r="SQY27" s="28"/>
      <c r="SQZ27" s="28"/>
      <c r="SRA27" s="28"/>
      <c r="SRB27" s="28"/>
      <c r="SRC27" s="28"/>
      <c r="SRD27" s="28"/>
      <c r="SRE27" s="28"/>
      <c r="SRF27" s="28"/>
      <c r="SRG27" s="28"/>
      <c r="SRH27" s="28"/>
      <c r="SRI27" s="28"/>
      <c r="SRJ27" s="28"/>
      <c r="SRK27" s="28"/>
      <c r="SRL27" s="28"/>
      <c r="SRM27" s="28"/>
      <c r="SRN27" s="28"/>
      <c r="SRO27" s="28"/>
      <c r="SRP27" s="28"/>
      <c r="SRQ27" s="28"/>
      <c r="SRR27" s="28"/>
      <c r="SRS27" s="28"/>
      <c r="SRT27" s="28"/>
      <c r="SRU27" s="28"/>
      <c r="SRV27" s="28"/>
      <c r="SRW27" s="28"/>
      <c r="SRX27" s="28"/>
      <c r="SRY27" s="28"/>
      <c r="SRZ27" s="28"/>
      <c r="SSA27" s="28"/>
      <c r="SSB27" s="28"/>
      <c r="SSC27" s="28"/>
      <c r="SSD27" s="28"/>
      <c r="SSE27" s="28"/>
      <c r="SSF27" s="28"/>
      <c r="SSG27" s="28"/>
      <c r="SSH27" s="28"/>
      <c r="SSI27" s="28"/>
      <c r="SSJ27" s="28"/>
      <c r="SSK27" s="28"/>
      <c r="SSL27" s="28"/>
      <c r="SSM27" s="28"/>
      <c r="SSN27" s="28"/>
      <c r="SSO27" s="28"/>
      <c r="SSP27" s="28"/>
      <c r="SSQ27" s="28"/>
      <c r="SSR27" s="28"/>
      <c r="SSS27" s="28"/>
      <c r="SST27" s="28"/>
      <c r="SSU27" s="28"/>
      <c r="SSV27" s="28"/>
      <c r="SSW27" s="28"/>
      <c r="SSX27" s="28"/>
      <c r="SSY27" s="28"/>
      <c r="SSZ27" s="28"/>
      <c r="STA27" s="28"/>
      <c r="STB27" s="28"/>
      <c r="STC27" s="28"/>
      <c r="STD27" s="28"/>
      <c r="STE27" s="28"/>
      <c r="STF27" s="28"/>
      <c r="STG27" s="28"/>
      <c r="STH27" s="28"/>
      <c r="STI27" s="28"/>
      <c r="STJ27" s="28"/>
      <c r="STK27" s="28"/>
      <c r="STL27" s="28"/>
      <c r="STM27" s="28"/>
      <c r="STN27" s="28"/>
      <c r="STO27" s="28"/>
      <c r="STP27" s="28"/>
      <c r="STQ27" s="28"/>
      <c r="STR27" s="28"/>
      <c r="STS27" s="28"/>
      <c r="STT27" s="28"/>
      <c r="STU27" s="28"/>
      <c r="STV27" s="28"/>
      <c r="STW27" s="28"/>
      <c r="STX27" s="28"/>
      <c r="STY27" s="28"/>
      <c r="STZ27" s="28"/>
      <c r="SUA27" s="28"/>
      <c r="SUB27" s="28"/>
      <c r="SUC27" s="28"/>
      <c r="SUD27" s="28"/>
      <c r="SUE27" s="28"/>
      <c r="SUF27" s="28"/>
      <c r="SUG27" s="28"/>
      <c r="SUH27" s="28"/>
      <c r="SUI27" s="28"/>
      <c r="SUJ27" s="28"/>
      <c r="SUK27" s="28"/>
      <c r="SUL27" s="28"/>
      <c r="SUM27" s="28"/>
      <c r="SUN27" s="28"/>
      <c r="SUO27" s="28"/>
      <c r="SUP27" s="28"/>
      <c r="SUQ27" s="28"/>
      <c r="SUR27" s="28"/>
      <c r="SUS27" s="28"/>
      <c r="SUT27" s="28"/>
      <c r="SUU27" s="28"/>
      <c r="SUV27" s="28"/>
      <c r="SUW27" s="28"/>
      <c r="SUX27" s="28"/>
      <c r="SUY27" s="28"/>
      <c r="SUZ27" s="28"/>
      <c r="SVA27" s="28"/>
      <c r="SVB27" s="28"/>
      <c r="SVC27" s="28"/>
      <c r="SVD27" s="28"/>
      <c r="SVE27" s="28"/>
      <c r="SVF27" s="28"/>
      <c r="SVG27" s="28"/>
      <c r="SVH27" s="28"/>
      <c r="SVI27" s="28"/>
      <c r="SVJ27" s="28"/>
      <c r="SVK27" s="28"/>
      <c r="SVL27" s="28"/>
      <c r="SVM27" s="28"/>
      <c r="SVN27" s="28"/>
      <c r="SVO27" s="28"/>
      <c r="SVP27" s="28"/>
      <c r="SVQ27" s="28"/>
      <c r="SVR27" s="28"/>
      <c r="SVS27" s="28"/>
      <c r="SVT27" s="28"/>
      <c r="SVU27" s="28"/>
      <c r="SVV27" s="28"/>
      <c r="SVW27" s="28"/>
      <c r="SVX27" s="28"/>
      <c r="SVY27" s="28"/>
      <c r="SVZ27" s="28"/>
      <c r="SWA27" s="28"/>
      <c r="SWB27" s="28"/>
      <c r="SWC27" s="28"/>
      <c r="SWD27" s="28"/>
      <c r="SWE27" s="28"/>
      <c r="SWF27" s="28"/>
      <c r="SWG27" s="28"/>
      <c r="SWH27" s="28"/>
      <c r="SWI27" s="28"/>
      <c r="SWJ27" s="28"/>
      <c r="SWK27" s="28"/>
      <c r="SWL27" s="28"/>
      <c r="SWM27" s="28"/>
      <c r="SWN27" s="28"/>
      <c r="SWO27" s="28"/>
      <c r="SWP27" s="28"/>
      <c r="SWQ27" s="28"/>
      <c r="SWR27" s="28"/>
      <c r="SWS27" s="28"/>
      <c r="SWT27" s="28"/>
      <c r="SWU27" s="28"/>
      <c r="SWV27" s="28"/>
      <c r="SWW27" s="28"/>
      <c r="SWX27" s="28"/>
      <c r="SWY27" s="28"/>
      <c r="SWZ27" s="28"/>
      <c r="SXA27" s="28"/>
      <c r="SXB27" s="28"/>
      <c r="SXC27" s="28"/>
      <c r="SXD27" s="28"/>
      <c r="SXE27" s="28"/>
      <c r="SXF27" s="28"/>
      <c r="SXG27" s="28"/>
      <c r="SXH27" s="28"/>
      <c r="SXI27" s="28"/>
      <c r="SXJ27" s="28"/>
      <c r="SXK27" s="28"/>
      <c r="SXL27" s="28"/>
      <c r="SXM27" s="28"/>
      <c r="SXN27" s="28"/>
      <c r="SXO27" s="28"/>
      <c r="SXP27" s="28"/>
      <c r="SXQ27" s="28"/>
      <c r="SXR27" s="28"/>
      <c r="SXS27" s="28"/>
      <c r="SXT27" s="28"/>
      <c r="SXU27" s="28"/>
      <c r="SXV27" s="28"/>
      <c r="SXW27" s="28"/>
      <c r="SXX27" s="28"/>
      <c r="SXY27" s="28"/>
      <c r="SXZ27" s="28"/>
      <c r="SYA27" s="28"/>
      <c r="SYB27" s="28"/>
      <c r="SYC27" s="28"/>
      <c r="SYD27" s="28"/>
      <c r="SYE27" s="28"/>
      <c r="SYF27" s="28"/>
      <c r="SYG27" s="28"/>
      <c r="SYH27" s="28"/>
      <c r="SYI27" s="28"/>
      <c r="SYJ27" s="28"/>
      <c r="SYK27" s="28"/>
      <c r="SYL27" s="28"/>
      <c r="SYM27" s="28"/>
      <c r="SYN27" s="28"/>
      <c r="SYO27" s="28"/>
      <c r="SYP27" s="28"/>
      <c r="SYQ27" s="28"/>
      <c r="SYR27" s="28"/>
      <c r="SYS27" s="28"/>
      <c r="SYT27" s="28"/>
      <c r="SYU27" s="28"/>
      <c r="SYV27" s="28"/>
      <c r="SYW27" s="28"/>
      <c r="SYX27" s="28"/>
      <c r="SYY27" s="28"/>
      <c r="SYZ27" s="28"/>
      <c r="SZA27" s="28"/>
      <c r="SZB27" s="28"/>
      <c r="SZC27" s="28"/>
      <c r="SZD27" s="28"/>
      <c r="SZE27" s="28"/>
      <c r="SZF27" s="28"/>
      <c r="SZG27" s="28"/>
      <c r="SZH27" s="28"/>
      <c r="SZI27" s="28"/>
      <c r="SZJ27" s="28"/>
      <c r="SZK27" s="28"/>
      <c r="SZL27" s="28"/>
      <c r="SZM27" s="28"/>
      <c r="SZN27" s="28"/>
      <c r="SZO27" s="28"/>
      <c r="SZP27" s="28"/>
      <c r="SZQ27" s="28"/>
      <c r="SZR27" s="28"/>
      <c r="SZS27" s="28"/>
      <c r="SZT27" s="28"/>
      <c r="SZU27" s="28"/>
      <c r="SZV27" s="28"/>
      <c r="SZW27" s="28"/>
      <c r="SZX27" s="28"/>
      <c r="SZY27" s="28"/>
      <c r="SZZ27" s="28"/>
      <c r="TAA27" s="28"/>
      <c r="TAB27" s="28"/>
      <c r="TAC27" s="28"/>
      <c r="TAD27" s="28"/>
      <c r="TAE27" s="28"/>
      <c r="TAF27" s="28"/>
      <c r="TAG27" s="28"/>
      <c r="TAH27" s="28"/>
      <c r="TAI27" s="28"/>
      <c r="TAJ27" s="28"/>
      <c r="TAK27" s="28"/>
      <c r="TAL27" s="28"/>
      <c r="TAM27" s="28"/>
      <c r="TAN27" s="28"/>
      <c r="TAO27" s="28"/>
      <c r="TAP27" s="28"/>
      <c r="TAQ27" s="28"/>
      <c r="TAR27" s="28"/>
      <c r="TAS27" s="28"/>
      <c r="TAT27" s="28"/>
      <c r="TAU27" s="28"/>
      <c r="TAV27" s="28"/>
      <c r="TAW27" s="28"/>
      <c r="TAX27" s="28"/>
      <c r="TAY27" s="28"/>
      <c r="TAZ27" s="28"/>
      <c r="TBA27" s="28"/>
      <c r="TBB27" s="28"/>
      <c r="TBC27" s="28"/>
      <c r="TBD27" s="28"/>
      <c r="TBE27" s="28"/>
      <c r="TBF27" s="28"/>
      <c r="TBG27" s="28"/>
      <c r="TBH27" s="28"/>
      <c r="TBI27" s="28"/>
      <c r="TBJ27" s="28"/>
      <c r="TBK27" s="28"/>
      <c r="TBL27" s="28"/>
      <c r="TBM27" s="28"/>
      <c r="TBN27" s="28"/>
      <c r="TBO27" s="28"/>
      <c r="TBP27" s="28"/>
      <c r="TBQ27" s="28"/>
      <c r="TBR27" s="28"/>
      <c r="TBS27" s="28"/>
      <c r="TBT27" s="28"/>
      <c r="TBU27" s="28"/>
      <c r="TBV27" s="28"/>
      <c r="TBW27" s="28"/>
      <c r="TBX27" s="28"/>
      <c r="TBY27" s="28"/>
      <c r="TBZ27" s="28"/>
      <c r="TCA27" s="28"/>
      <c r="TCB27" s="28"/>
      <c r="TCC27" s="28"/>
      <c r="TCD27" s="28"/>
      <c r="TCE27" s="28"/>
      <c r="TCF27" s="28"/>
      <c r="TCG27" s="28"/>
      <c r="TCH27" s="28"/>
      <c r="TCI27" s="28"/>
      <c r="TCJ27" s="28"/>
      <c r="TCK27" s="28"/>
      <c r="TCL27" s="28"/>
      <c r="TCM27" s="28"/>
      <c r="TCN27" s="28"/>
      <c r="TCO27" s="28"/>
      <c r="TCP27" s="28"/>
      <c r="TCQ27" s="28"/>
      <c r="TCR27" s="28"/>
      <c r="TCS27" s="28"/>
      <c r="TCT27" s="28"/>
      <c r="TCU27" s="28"/>
      <c r="TCV27" s="28"/>
      <c r="TCW27" s="28"/>
      <c r="TCX27" s="28"/>
      <c r="TCY27" s="28"/>
      <c r="TCZ27" s="28"/>
      <c r="TDA27" s="28"/>
      <c r="TDB27" s="28"/>
      <c r="TDC27" s="28"/>
      <c r="TDD27" s="28"/>
      <c r="TDE27" s="28"/>
      <c r="TDF27" s="28"/>
      <c r="TDG27" s="28"/>
      <c r="TDH27" s="28"/>
      <c r="TDI27" s="28"/>
      <c r="TDJ27" s="28"/>
      <c r="TDK27" s="28"/>
      <c r="TDL27" s="28"/>
      <c r="TDM27" s="28"/>
      <c r="TDN27" s="28"/>
      <c r="TDO27" s="28"/>
      <c r="TDP27" s="28"/>
      <c r="TDQ27" s="28"/>
      <c r="TDR27" s="28"/>
      <c r="TDS27" s="28"/>
      <c r="TDT27" s="28"/>
      <c r="TDU27" s="28"/>
      <c r="TDV27" s="28"/>
      <c r="TDW27" s="28"/>
      <c r="TDX27" s="28"/>
      <c r="TDY27" s="28"/>
      <c r="TDZ27" s="28"/>
      <c r="TEA27" s="28"/>
      <c r="TEB27" s="28"/>
      <c r="TEC27" s="28"/>
      <c r="TED27" s="28"/>
      <c r="TEE27" s="28"/>
      <c r="TEF27" s="28"/>
      <c r="TEG27" s="28"/>
      <c r="TEH27" s="28"/>
      <c r="TEI27" s="28"/>
      <c r="TEJ27" s="28"/>
      <c r="TEK27" s="28"/>
      <c r="TEL27" s="28"/>
      <c r="TEM27" s="28"/>
      <c r="TEN27" s="28"/>
      <c r="TEO27" s="28"/>
      <c r="TEP27" s="28"/>
      <c r="TEQ27" s="28"/>
      <c r="TER27" s="28"/>
      <c r="TES27" s="28"/>
      <c r="TET27" s="28"/>
      <c r="TEU27" s="28"/>
      <c r="TEV27" s="28"/>
      <c r="TEW27" s="28"/>
      <c r="TEX27" s="28"/>
      <c r="TEY27" s="28"/>
      <c r="TEZ27" s="28"/>
      <c r="TFA27" s="28"/>
      <c r="TFB27" s="28"/>
      <c r="TFC27" s="28"/>
      <c r="TFD27" s="28"/>
      <c r="TFE27" s="28"/>
      <c r="TFF27" s="28"/>
      <c r="TFG27" s="28"/>
      <c r="TFH27" s="28"/>
      <c r="TFI27" s="28"/>
      <c r="TFJ27" s="28"/>
      <c r="TFK27" s="28"/>
      <c r="TFL27" s="28"/>
      <c r="TFM27" s="28"/>
      <c r="TFN27" s="28"/>
      <c r="TFO27" s="28"/>
      <c r="TFP27" s="28"/>
      <c r="TFQ27" s="28"/>
      <c r="TFR27" s="28"/>
      <c r="TFS27" s="28"/>
      <c r="TFT27" s="28"/>
      <c r="TFU27" s="28"/>
      <c r="TFV27" s="28"/>
      <c r="TFW27" s="28"/>
      <c r="TFX27" s="28"/>
      <c r="TFY27" s="28"/>
      <c r="TFZ27" s="28"/>
      <c r="TGA27" s="28"/>
      <c r="TGB27" s="28"/>
      <c r="TGC27" s="28"/>
      <c r="TGD27" s="28"/>
      <c r="TGE27" s="28"/>
      <c r="TGF27" s="28"/>
      <c r="TGG27" s="28"/>
      <c r="TGH27" s="28"/>
      <c r="TGI27" s="28"/>
      <c r="TGJ27" s="28"/>
      <c r="TGK27" s="28"/>
      <c r="TGL27" s="28"/>
      <c r="TGM27" s="28"/>
      <c r="TGN27" s="28"/>
      <c r="TGO27" s="28"/>
      <c r="TGP27" s="28"/>
      <c r="TGQ27" s="28"/>
      <c r="TGR27" s="28"/>
      <c r="TGS27" s="28"/>
      <c r="TGT27" s="28"/>
      <c r="TGU27" s="28"/>
      <c r="TGV27" s="28"/>
      <c r="TGW27" s="28"/>
      <c r="TGX27" s="28"/>
      <c r="TGY27" s="28"/>
      <c r="TGZ27" s="28"/>
      <c r="THA27" s="28"/>
      <c r="THB27" s="28"/>
      <c r="THC27" s="28"/>
      <c r="THD27" s="28"/>
      <c r="THE27" s="28"/>
      <c r="THF27" s="28"/>
      <c r="THG27" s="28"/>
      <c r="THH27" s="28"/>
      <c r="THI27" s="28"/>
      <c r="THJ27" s="28"/>
      <c r="THK27" s="28"/>
      <c r="THL27" s="28"/>
      <c r="THM27" s="28"/>
      <c r="THN27" s="28"/>
      <c r="THO27" s="28"/>
      <c r="THP27" s="28"/>
      <c r="THQ27" s="28"/>
      <c r="THR27" s="28"/>
      <c r="THS27" s="28"/>
      <c r="THT27" s="28"/>
      <c r="THU27" s="28"/>
      <c r="THV27" s="28"/>
      <c r="THW27" s="28"/>
      <c r="THX27" s="28"/>
      <c r="THY27" s="28"/>
      <c r="THZ27" s="28"/>
      <c r="TIA27" s="28"/>
      <c r="TIB27" s="28"/>
      <c r="TIC27" s="28"/>
      <c r="TID27" s="28"/>
      <c r="TIE27" s="28"/>
      <c r="TIF27" s="28"/>
      <c r="TIG27" s="28"/>
      <c r="TIH27" s="28"/>
      <c r="TII27" s="28"/>
      <c r="TIJ27" s="28"/>
      <c r="TIK27" s="28"/>
      <c r="TIL27" s="28"/>
      <c r="TIM27" s="28"/>
      <c r="TIN27" s="28"/>
      <c r="TIO27" s="28"/>
      <c r="TIP27" s="28"/>
      <c r="TIQ27" s="28"/>
      <c r="TIR27" s="28"/>
      <c r="TIS27" s="28"/>
      <c r="TIT27" s="28"/>
      <c r="TIU27" s="28"/>
      <c r="TIV27" s="28"/>
      <c r="TIW27" s="28"/>
      <c r="TIX27" s="28"/>
      <c r="TIY27" s="28"/>
      <c r="TIZ27" s="28"/>
      <c r="TJA27" s="28"/>
      <c r="TJB27" s="28"/>
      <c r="TJC27" s="28"/>
      <c r="TJD27" s="28"/>
      <c r="TJE27" s="28"/>
      <c r="TJF27" s="28"/>
      <c r="TJG27" s="28"/>
      <c r="TJH27" s="28"/>
      <c r="TJI27" s="28"/>
      <c r="TJJ27" s="28"/>
      <c r="TJK27" s="28"/>
      <c r="TJL27" s="28"/>
      <c r="TJM27" s="28"/>
      <c r="TJN27" s="28"/>
      <c r="TJO27" s="28"/>
      <c r="TJP27" s="28"/>
      <c r="TJQ27" s="28"/>
      <c r="TJR27" s="28"/>
      <c r="TJS27" s="28"/>
      <c r="TJT27" s="28"/>
      <c r="TJU27" s="28"/>
      <c r="TJV27" s="28"/>
      <c r="TJW27" s="28"/>
      <c r="TJX27" s="28"/>
      <c r="TJY27" s="28"/>
      <c r="TJZ27" s="28"/>
      <c r="TKA27" s="28"/>
      <c r="TKB27" s="28"/>
      <c r="TKC27" s="28"/>
      <c r="TKD27" s="28"/>
      <c r="TKE27" s="28"/>
      <c r="TKF27" s="28"/>
      <c r="TKG27" s="28"/>
      <c r="TKH27" s="28"/>
      <c r="TKI27" s="28"/>
      <c r="TKJ27" s="28"/>
      <c r="TKK27" s="28"/>
      <c r="TKL27" s="28"/>
      <c r="TKM27" s="28"/>
      <c r="TKN27" s="28"/>
      <c r="TKO27" s="28"/>
      <c r="TKP27" s="28"/>
      <c r="TKQ27" s="28"/>
      <c r="TKR27" s="28"/>
      <c r="TKS27" s="28"/>
      <c r="TKT27" s="28"/>
      <c r="TKU27" s="28"/>
      <c r="TKV27" s="28"/>
      <c r="TKW27" s="28"/>
      <c r="TKX27" s="28"/>
      <c r="TKY27" s="28"/>
      <c r="TKZ27" s="28"/>
      <c r="TLA27" s="28"/>
      <c r="TLB27" s="28"/>
      <c r="TLC27" s="28"/>
      <c r="TLD27" s="28"/>
      <c r="TLE27" s="28"/>
      <c r="TLF27" s="28"/>
      <c r="TLG27" s="28"/>
      <c r="TLH27" s="28"/>
      <c r="TLI27" s="28"/>
      <c r="TLJ27" s="28"/>
      <c r="TLK27" s="28"/>
      <c r="TLL27" s="28"/>
      <c r="TLM27" s="28"/>
      <c r="TLN27" s="28"/>
      <c r="TLO27" s="28"/>
      <c r="TLP27" s="28"/>
      <c r="TLQ27" s="28"/>
      <c r="TLR27" s="28"/>
      <c r="TLS27" s="28"/>
      <c r="TLT27" s="28"/>
      <c r="TLU27" s="28"/>
      <c r="TLV27" s="28"/>
      <c r="TLW27" s="28"/>
      <c r="TLX27" s="28"/>
      <c r="TLY27" s="28"/>
      <c r="TLZ27" s="28"/>
      <c r="TMA27" s="28"/>
      <c r="TMB27" s="28"/>
      <c r="TMC27" s="28"/>
      <c r="TMD27" s="28"/>
      <c r="TME27" s="28"/>
      <c r="TMF27" s="28"/>
      <c r="TMG27" s="28"/>
      <c r="TMH27" s="28"/>
      <c r="TMI27" s="28"/>
      <c r="TMJ27" s="28"/>
      <c r="TMK27" s="28"/>
      <c r="TML27" s="28"/>
      <c r="TMM27" s="28"/>
      <c r="TMN27" s="28"/>
      <c r="TMO27" s="28"/>
      <c r="TMP27" s="28"/>
      <c r="TMQ27" s="28"/>
      <c r="TMR27" s="28"/>
      <c r="TMS27" s="28"/>
      <c r="TMT27" s="28"/>
      <c r="TMU27" s="28"/>
      <c r="TMV27" s="28"/>
      <c r="TMW27" s="28"/>
      <c r="TMX27" s="28"/>
      <c r="TMY27" s="28"/>
      <c r="TMZ27" s="28"/>
      <c r="TNA27" s="28"/>
      <c r="TNB27" s="28"/>
      <c r="TNC27" s="28"/>
      <c r="TND27" s="28"/>
      <c r="TNE27" s="28"/>
      <c r="TNF27" s="28"/>
      <c r="TNG27" s="28"/>
      <c r="TNH27" s="28"/>
      <c r="TNI27" s="28"/>
      <c r="TNJ27" s="28"/>
      <c r="TNK27" s="28"/>
      <c r="TNL27" s="28"/>
      <c r="TNM27" s="28"/>
      <c r="TNN27" s="28"/>
      <c r="TNO27" s="28"/>
      <c r="TNP27" s="28"/>
      <c r="TNQ27" s="28"/>
      <c r="TNR27" s="28"/>
      <c r="TNS27" s="28"/>
      <c r="TNT27" s="28"/>
      <c r="TNU27" s="28"/>
      <c r="TNV27" s="28"/>
      <c r="TNW27" s="28"/>
      <c r="TNX27" s="28"/>
      <c r="TNY27" s="28"/>
      <c r="TNZ27" s="28"/>
      <c r="TOA27" s="28"/>
      <c r="TOB27" s="28"/>
      <c r="TOC27" s="28"/>
      <c r="TOD27" s="28"/>
      <c r="TOE27" s="28"/>
      <c r="TOF27" s="28"/>
      <c r="TOG27" s="28"/>
      <c r="TOH27" s="28"/>
      <c r="TOI27" s="28"/>
      <c r="TOJ27" s="28"/>
      <c r="TOK27" s="28"/>
      <c r="TOL27" s="28"/>
      <c r="TOM27" s="28"/>
      <c r="TON27" s="28"/>
      <c r="TOO27" s="28"/>
      <c r="TOP27" s="28"/>
      <c r="TOQ27" s="28"/>
      <c r="TOR27" s="28"/>
      <c r="TOS27" s="28"/>
      <c r="TOT27" s="28"/>
      <c r="TOU27" s="28"/>
      <c r="TOV27" s="28"/>
      <c r="TOW27" s="28"/>
      <c r="TOX27" s="28"/>
      <c r="TOY27" s="28"/>
      <c r="TOZ27" s="28"/>
      <c r="TPA27" s="28"/>
      <c r="TPB27" s="28"/>
      <c r="TPC27" s="28"/>
      <c r="TPD27" s="28"/>
      <c r="TPE27" s="28"/>
      <c r="TPF27" s="28"/>
      <c r="TPG27" s="28"/>
      <c r="TPH27" s="28"/>
      <c r="TPI27" s="28"/>
      <c r="TPJ27" s="28"/>
      <c r="TPK27" s="28"/>
      <c r="TPL27" s="28"/>
      <c r="TPM27" s="28"/>
      <c r="TPN27" s="28"/>
      <c r="TPO27" s="28"/>
      <c r="TPP27" s="28"/>
      <c r="TPQ27" s="28"/>
      <c r="TPR27" s="28"/>
      <c r="TPS27" s="28"/>
      <c r="TPT27" s="28"/>
      <c r="TPU27" s="28"/>
      <c r="TPV27" s="28"/>
      <c r="TPW27" s="28"/>
      <c r="TPX27" s="28"/>
      <c r="TPY27" s="28"/>
      <c r="TPZ27" s="28"/>
      <c r="TQA27" s="28"/>
      <c r="TQB27" s="28"/>
      <c r="TQC27" s="28"/>
      <c r="TQD27" s="28"/>
      <c r="TQE27" s="28"/>
      <c r="TQF27" s="28"/>
      <c r="TQG27" s="28"/>
      <c r="TQH27" s="28"/>
      <c r="TQI27" s="28"/>
      <c r="TQJ27" s="28"/>
      <c r="TQK27" s="28"/>
      <c r="TQL27" s="28"/>
      <c r="TQM27" s="28"/>
      <c r="TQN27" s="28"/>
      <c r="TQO27" s="28"/>
      <c r="TQP27" s="28"/>
      <c r="TQQ27" s="28"/>
      <c r="TQR27" s="28"/>
      <c r="TQS27" s="28"/>
      <c r="TQT27" s="28"/>
      <c r="TQU27" s="28"/>
      <c r="TQV27" s="28"/>
      <c r="TQW27" s="28"/>
      <c r="TQX27" s="28"/>
      <c r="TQY27" s="28"/>
      <c r="TQZ27" s="28"/>
      <c r="TRA27" s="28"/>
      <c r="TRB27" s="28"/>
      <c r="TRC27" s="28"/>
      <c r="TRD27" s="28"/>
      <c r="TRE27" s="28"/>
      <c r="TRF27" s="28"/>
      <c r="TRG27" s="28"/>
      <c r="TRH27" s="28"/>
      <c r="TRI27" s="28"/>
      <c r="TRJ27" s="28"/>
      <c r="TRK27" s="28"/>
      <c r="TRL27" s="28"/>
      <c r="TRM27" s="28"/>
      <c r="TRN27" s="28"/>
      <c r="TRO27" s="28"/>
      <c r="TRP27" s="28"/>
      <c r="TRQ27" s="28"/>
      <c r="TRR27" s="28"/>
      <c r="TRS27" s="28"/>
      <c r="TRT27" s="28"/>
      <c r="TRU27" s="28"/>
      <c r="TRV27" s="28"/>
      <c r="TRW27" s="28"/>
      <c r="TRX27" s="28"/>
      <c r="TRY27" s="28"/>
      <c r="TRZ27" s="28"/>
      <c r="TSA27" s="28"/>
      <c r="TSB27" s="28"/>
      <c r="TSC27" s="28"/>
      <c r="TSD27" s="28"/>
      <c r="TSE27" s="28"/>
      <c r="TSF27" s="28"/>
      <c r="TSG27" s="28"/>
      <c r="TSH27" s="28"/>
      <c r="TSI27" s="28"/>
      <c r="TSJ27" s="28"/>
      <c r="TSK27" s="28"/>
      <c r="TSL27" s="28"/>
      <c r="TSM27" s="28"/>
      <c r="TSN27" s="28"/>
      <c r="TSO27" s="28"/>
      <c r="TSP27" s="28"/>
      <c r="TSQ27" s="28"/>
      <c r="TSR27" s="28"/>
      <c r="TSS27" s="28"/>
      <c r="TST27" s="28"/>
      <c r="TSU27" s="28"/>
      <c r="TSV27" s="28"/>
      <c r="TSW27" s="28"/>
      <c r="TSX27" s="28"/>
      <c r="TSY27" s="28"/>
      <c r="TSZ27" s="28"/>
      <c r="TTA27" s="28"/>
      <c r="TTB27" s="28"/>
      <c r="TTC27" s="28"/>
      <c r="TTD27" s="28"/>
      <c r="TTE27" s="28"/>
      <c r="TTF27" s="28"/>
      <c r="TTG27" s="28"/>
      <c r="TTH27" s="28"/>
      <c r="TTI27" s="28"/>
      <c r="TTJ27" s="28"/>
      <c r="TTK27" s="28"/>
      <c r="TTL27" s="28"/>
      <c r="TTM27" s="28"/>
      <c r="TTN27" s="28"/>
      <c r="TTO27" s="28"/>
      <c r="TTP27" s="28"/>
      <c r="TTQ27" s="28"/>
      <c r="TTR27" s="28"/>
      <c r="TTS27" s="28"/>
      <c r="TTT27" s="28"/>
      <c r="TTU27" s="28"/>
      <c r="TTV27" s="28"/>
      <c r="TTW27" s="28"/>
      <c r="TTX27" s="28"/>
      <c r="TTY27" s="28"/>
      <c r="TTZ27" s="28"/>
      <c r="TUA27" s="28"/>
      <c r="TUB27" s="28"/>
      <c r="TUC27" s="28"/>
      <c r="TUD27" s="28"/>
      <c r="TUE27" s="28"/>
      <c r="TUF27" s="28"/>
      <c r="TUG27" s="28"/>
      <c r="TUH27" s="28"/>
      <c r="TUI27" s="28"/>
      <c r="TUJ27" s="28"/>
      <c r="TUK27" s="28"/>
      <c r="TUL27" s="28"/>
      <c r="TUM27" s="28"/>
      <c r="TUN27" s="28"/>
      <c r="TUO27" s="28"/>
      <c r="TUP27" s="28"/>
      <c r="TUQ27" s="28"/>
      <c r="TUR27" s="28"/>
      <c r="TUS27" s="28"/>
      <c r="TUT27" s="28"/>
      <c r="TUU27" s="28"/>
      <c r="TUV27" s="28"/>
      <c r="TUW27" s="28"/>
      <c r="TUX27" s="28"/>
      <c r="TUY27" s="28"/>
      <c r="TUZ27" s="28"/>
      <c r="TVA27" s="28"/>
      <c r="TVB27" s="28"/>
      <c r="TVC27" s="28"/>
      <c r="TVD27" s="28"/>
      <c r="TVE27" s="28"/>
      <c r="TVF27" s="28"/>
      <c r="TVG27" s="28"/>
      <c r="TVH27" s="28"/>
      <c r="TVI27" s="28"/>
      <c r="TVJ27" s="28"/>
      <c r="TVK27" s="28"/>
      <c r="TVL27" s="28"/>
      <c r="TVM27" s="28"/>
      <c r="TVN27" s="28"/>
      <c r="TVO27" s="28"/>
      <c r="TVP27" s="28"/>
      <c r="TVQ27" s="28"/>
      <c r="TVR27" s="28"/>
      <c r="TVS27" s="28"/>
      <c r="TVT27" s="28"/>
      <c r="TVU27" s="28"/>
      <c r="TVV27" s="28"/>
      <c r="TVW27" s="28"/>
      <c r="TVX27" s="28"/>
      <c r="TVY27" s="28"/>
      <c r="TVZ27" s="28"/>
      <c r="TWA27" s="28"/>
      <c r="TWB27" s="28"/>
      <c r="TWC27" s="28"/>
      <c r="TWD27" s="28"/>
      <c r="TWE27" s="28"/>
      <c r="TWF27" s="28"/>
      <c r="TWG27" s="28"/>
      <c r="TWH27" s="28"/>
      <c r="TWI27" s="28"/>
      <c r="TWJ27" s="28"/>
      <c r="TWK27" s="28"/>
      <c r="TWL27" s="28"/>
      <c r="TWM27" s="28"/>
      <c r="TWN27" s="28"/>
      <c r="TWO27" s="28"/>
      <c r="TWP27" s="28"/>
      <c r="TWQ27" s="28"/>
      <c r="TWR27" s="28"/>
      <c r="TWS27" s="28"/>
      <c r="TWT27" s="28"/>
      <c r="TWU27" s="28"/>
      <c r="TWV27" s="28"/>
      <c r="TWW27" s="28"/>
      <c r="TWX27" s="28"/>
      <c r="TWY27" s="28"/>
      <c r="TWZ27" s="28"/>
      <c r="TXA27" s="28"/>
      <c r="TXB27" s="28"/>
      <c r="TXC27" s="28"/>
      <c r="TXD27" s="28"/>
      <c r="TXE27" s="28"/>
      <c r="TXF27" s="28"/>
      <c r="TXG27" s="28"/>
      <c r="TXH27" s="28"/>
      <c r="TXI27" s="28"/>
      <c r="TXJ27" s="28"/>
      <c r="TXK27" s="28"/>
      <c r="TXL27" s="28"/>
      <c r="TXM27" s="28"/>
      <c r="TXN27" s="28"/>
      <c r="TXO27" s="28"/>
      <c r="TXP27" s="28"/>
      <c r="TXQ27" s="28"/>
      <c r="TXR27" s="28"/>
      <c r="TXS27" s="28"/>
      <c r="TXT27" s="28"/>
      <c r="TXU27" s="28"/>
      <c r="TXV27" s="28"/>
      <c r="TXW27" s="28"/>
      <c r="TXX27" s="28"/>
      <c r="TXY27" s="28"/>
      <c r="TXZ27" s="28"/>
      <c r="TYA27" s="28"/>
      <c r="TYB27" s="28"/>
      <c r="TYC27" s="28"/>
      <c r="TYD27" s="28"/>
      <c r="TYE27" s="28"/>
      <c r="TYF27" s="28"/>
      <c r="TYG27" s="28"/>
      <c r="TYH27" s="28"/>
      <c r="TYI27" s="28"/>
      <c r="TYJ27" s="28"/>
      <c r="TYK27" s="28"/>
      <c r="TYL27" s="28"/>
      <c r="TYM27" s="28"/>
      <c r="TYN27" s="28"/>
      <c r="TYO27" s="28"/>
      <c r="TYP27" s="28"/>
      <c r="TYQ27" s="28"/>
      <c r="TYR27" s="28"/>
      <c r="TYS27" s="28"/>
      <c r="TYT27" s="28"/>
      <c r="TYU27" s="28"/>
      <c r="TYV27" s="28"/>
      <c r="TYW27" s="28"/>
      <c r="TYX27" s="28"/>
      <c r="TYY27" s="28"/>
      <c r="TYZ27" s="28"/>
      <c r="TZA27" s="28"/>
      <c r="TZB27" s="28"/>
      <c r="TZC27" s="28"/>
      <c r="TZD27" s="28"/>
      <c r="TZE27" s="28"/>
      <c r="TZF27" s="28"/>
      <c r="TZG27" s="28"/>
      <c r="TZH27" s="28"/>
      <c r="TZI27" s="28"/>
      <c r="TZJ27" s="28"/>
      <c r="TZK27" s="28"/>
      <c r="TZL27" s="28"/>
      <c r="TZM27" s="28"/>
      <c r="TZN27" s="28"/>
      <c r="TZO27" s="28"/>
      <c r="TZP27" s="28"/>
      <c r="TZQ27" s="28"/>
      <c r="TZR27" s="28"/>
      <c r="TZS27" s="28"/>
      <c r="TZT27" s="28"/>
      <c r="TZU27" s="28"/>
      <c r="TZV27" s="28"/>
      <c r="TZW27" s="28"/>
      <c r="TZX27" s="28"/>
      <c r="TZY27" s="28"/>
      <c r="TZZ27" s="28"/>
      <c r="UAA27" s="28"/>
      <c r="UAB27" s="28"/>
      <c r="UAC27" s="28"/>
      <c r="UAD27" s="28"/>
      <c r="UAE27" s="28"/>
      <c r="UAF27" s="28"/>
      <c r="UAG27" s="28"/>
      <c r="UAH27" s="28"/>
      <c r="UAI27" s="28"/>
      <c r="UAJ27" s="28"/>
      <c r="UAK27" s="28"/>
      <c r="UAL27" s="28"/>
      <c r="UAM27" s="28"/>
      <c r="UAN27" s="28"/>
      <c r="UAO27" s="28"/>
      <c r="UAP27" s="28"/>
      <c r="UAQ27" s="28"/>
      <c r="UAR27" s="28"/>
      <c r="UAS27" s="28"/>
      <c r="UAT27" s="28"/>
      <c r="UAU27" s="28"/>
      <c r="UAV27" s="28"/>
      <c r="UAW27" s="28"/>
      <c r="UAX27" s="28"/>
      <c r="UAY27" s="28"/>
      <c r="UAZ27" s="28"/>
      <c r="UBA27" s="28"/>
      <c r="UBB27" s="28"/>
      <c r="UBC27" s="28"/>
      <c r="UBD27" s="28"/>
      <c r="UBE27" s="28"/>
      <c r="UBF27" s="28"/>
      <c r="UBG27" s="28"/>
      <c r="UBH27" s="28"/>
      <c r="UBI27" s="28"/>
      <c r="UBJ27" s="28"/>
      <c r="UBK27" s="28"/>
      <c r="UBL27" s="28"/>
      <c r="UBM27" s="28"/>
      <c r="UBN27" s="28"/>
      <c r="UBO27" s="28"/>
      <c r="UBP27" s="28"/>
      <c r="UBQ27" s="28"/>
      <c r="UBR27" s="28"/>
      <c r="UBS27" s="28"/>
      <c r="UBT27" s="28"/>
      <c r="UBU27" s="28"/>
      <c r="UBV27" s="28"/>
      <c r="UBW27" s="28"/>
      <c r="UBX27" s="28"/>
      <c r="UBY27" s="28"/>
      <c r="UBZ27" s="28"/>
      <c r="UCA27" s="28"/>
      <c r="UCB27" s="28"/>
      <c r="UCC27" s="28"/>
      <c r="UCD27" s="28"/>
      <c r="UCE27" s="28"/>
      <c r="UCF27" s="28"/>
      <c r="UCG27" s="28"/>
      <c r="UCH27" s="28"/>
      <c r="UCI27" s="28"/>
      <c r="UCJ27" s="28"/>
      <c r="UCK27" s="28"/>
      <c r="UCL27" s="28"/>
      <c r="UCM27" s="28"/>
      <c r="UCN27" s="28"/>
      <c r="UCO27" s="28"/>
      <c r="UCP27" s="28"/>
      <c r="UCQ27" s="28"/>
      <c r="UCR27" s="28"/>
      <c r="UCS27" s="28"/>
      <c r="UCT27" s="28"/>
      <c r="UCU27" s="28"/>
      <c r="UCV27" s="28"/>
      <c r="UCW27" s="28"/>
      <c r="UCX27" s="28"/>
      <c r="UCY27" s="28"/>
      <c r="UCZ27" s="28"/>
      <c r="UDA27" s="28"/>
      <c r="UDB27" s="28"/>
      <c r="UDC27" s="28"/>
      <c r="UDD27" s="28"/>
      <c r="UDE27" s="28"/>
      <c r="UDF27" s="28"/>
      <c r="UDG27" s="28"/>
      <c r="UDH27" s="28"/>
      <c r="UDI27" s="28"/>
      <c r="UDJ27" s="28"/>
      <c r="UDK27" s="28"/>
      <c r="UDL27" s="28"/>
      <c r="UDM27" s="28"/>
      <c r="UDN27" s="28"/>
      <c r="UDO27" s="28"/>
      <c r="UDP27" s="28"/>
      <c r="UDQ27" s="28"/>
      <c r="UDR27" s="28"/>
      <c r="UDS27" s="28"/>
      <c r="UDT27" s="28"/>
      <c r="UDU27" s="28"/>
      <c r="UDV27" s="28"/>
      <c r="UDW27" s="28"/>
      <c r="UDX27" s="28"/>
      <c r="UDY27" s="28"/>
      <c r="UDZ27" s="28"/>
      <c r="UEA27" s="28"/>
      <c r="UEB27" s="28"/>
      <c r="UEC27" s="28"/>
      <c r="UED27" s="28"/>
      <c r="UEE27" s="28"/>
      <c r="UEF27" s="28"/>
      <c r="UEG27" s="28"/>
      <c r="UEH27" s="28"/>
      <c r="UEI27" s="28"/>
      <c r="UEJ27" s="28"/>
      <c r="UEK27" s="28"/>
      <c r="UEL27" s="28"/>
      <c r="UEM27" s="28"/>
      <c r="UEN27" s="28"/>
      <c r="UEO27" s="28"/>
      <c r="UEP27" s="28"/>
      <c r="UEQ27" s="28"/>
      <c r="UER27" s="28"/>
      <c r="UES27" s="28"/>
      <c r="UET27" s="28"/>
      <c r="UEU27" s="28"/>
      <c r="UEV27" s="28"/>
      <c r="UEW27" s="28"/>
      <c r="UEX27" s="28"/>
      <c r="UEY27" s="28"/>
      <c r="UEZ27" s="28"/>
      <c r="UFA27" s="28"/>
      <c r="UFB27" s="28"/>
      <c r="UFC27" s="28"/>
      <c r="UFD27" s="28"/>
      <c r="UFE27" s="28"/>
      <c r="UFF27" s="28"/>
      <c r="UFG27" s="28"/>
      <c r="UFH27" s="28"/>
      <c r="UFI27" s="28"/>
      <c r="UFJ27" s="28"/>
      <c r="UFK27" s="28"/>
      <c r="UFL27" s="28"/>
      <c r="UFM27" s="28"/>
      <c r="UFN27" s="28"/>
      <c r="UFO27" s="28"/>
      <c r="UFP27" s="28"/>
      <c r="UFQ27" s="28"/>
      <c r="UFR27" s="28"/>
      <c r="UFS27" s="28"/>
      <c r="UFT27" s="28"/>
      <c r="UFU27" s="28"/>
      <c r="UFV27" s="28"/>
      <c r="UFW27" s="28"/>
      <c r="UFX27" s="28"/>
      <c r="UFY27" s="28"/>
      <c r="UFZ27" s="28"/>
      <c r="UGA27" s="28"/>
      <c r="UGB27" s="28"/>
      <c r="UGC27" s="28"/>
      <c r="UGD27" s="28"/>
      <c r="UGE27" s="28"/>
      <c r="UGF27" s="28"/>
      <c r="UGG27" s="28"/>
      <c r="UGH27" s="28"/>
      <c r="UGI27" s="28"/>
      <c r="UGJ27" s="28"/>
      <c r="UGK27" s="28"/>
      <c r="UGL27" s="28"/>
      <c r="UGM27" s="28"/>
      <c r="UGN27" s="28"/>
      <c r="UGO27" s="28"/>
      <c r="UGP27" s="28"/>
      <c r="UGQ27" s="28"/>
      <c r="UGR27" s="28"/>
      <c r="UGS27" s="28"/>
      <c r="UGT27" s="28"/>
      <c r="UGU27" s="28"/>
      <c r="UGV27" s="28"/>
      <c r="UGW27" s="28"/>
      <c r="UGX27" s="28"/>
      <c r="UGY27" s="28"/>
      <c r="UGZ27" s="28"/>
      <c r="UHA27" s="28"/>
      <c r="UHB27" s="28"/>
      <c r="UHC27" s="28"/>
      <c r="UHD27" s="28"/>
      <c r="UHE27" s="28"/>
      <c r="UHF27" s="28"/>
      <c r="UHG27" s="28"/>
      <c r="UHH27" s="28"/>
      <c r="UHI27" s="28"/>
      <c r="UHJ27" s="28"/>
      <c r="UHK27" s="28"/>
      <c r="UHL27" s="28"/>
      <c r="UHM27" s="28"/>
      <c r="UHN27" s="28"/>
      <c r="UHO27" s="28"/>
      <c r="UHP27" s="28"/>
      <c r="UHQ27" s="28"/>
      <c r="UHR27" s="28"/>
      <c r="UHS27" s="28"/>
      <c r="UHT27" s="28"/>
      <c r="UHU27" s="28"/>
      <c r="UHV27" s="28"/>
      <c r="UHW27" s="28"/>
      <c r="UHX27" s="28"/>
      <c r="UHY27" s="28"/>
      <c r="UHZ27" s="28"/>
      <c r="UIA27" s="28"/>
      <c r="UIB27" s="28"/>
      <c r="UIC27" s="28"/>
      <c r="UID27" s="28"/>
      <c r="UIE27" s="28"/>
      <c r="UIF27" s="28"/>
      <c r="UIG27" s="28"/>
      <c r="UIH27" s="28"/>
      <c r="UII27" s="28"/>
      <c r="UIJ27" s="28"/>
      <c r="UIK27" s="28"/>
      <c r="UIL27" s="28"/>
      <c r="UIM27" s="28"/>
      <c r="UIN27" s="28"/>
      <c r="UIO27" s="28"/>
      <c r="UIP27" s="28"/>
      <c r="UIQ27" s="28"/>
      <c r="UIR27" s="28"/>
      <c r="UIS27" s="28"/>
      <c r="UIT27" s="28"/>
      <c r="UIU27" s="28"/>
      <c r="UIV27" s="28"/>
      <c r="UIW27" s="28"/>
      <c r="UIX27" s="28"/>
      <c r="UIY27" s="28"/>
      <c r="UIZ27" s="28"/>
      <c r="UJA27" s="28"/>
      <c r="UJB27" s="28"/>
      <c r="UJC27" s="28"/>
      <c r="UJD27" s="28"/>
      <c r="UJE27" s="28"/>
      <c r="UJF27" s="28"/>
      <c r="UJG27" s="28"/>
      <c r="UJH27" s="28"/>
      <c r="UJI27" s="28"/>
      <c r="UJJ27" s="28"/>
      <c r="UJK27" s="28"/>
      <c r="UJL27" s="28"/>
      <c r="UJM27" s="28"/>
      <c r="UJN27" s="28"/>
      <c r="UJO27" s="28"/>
      <c r="UJP27" s="28"/>
      <c r="UJQ27" s="28"/>
      <c r="UJR27" s="28"/>
      <c r="UJS27" s="28"/>
      <c r="UJT27" s="28"/>
      <c r="UJU27" s="28"/>
      <c r="UJV27" s="28"/>
      <c r="UJW27" s="28"/>
      <c r="UJX27" s="28"/>
      <c r="UJY27" s="28"/>
      <c r="UJZ27" s="28"/>
      <c r="UKA27" s="28"/>
      <c r="UKB27" s="28"/>
      <c r="UKC27" s="28"/>
      <c r="UKD27" s="28"/>
      <c r="UKE27" s="28"/>
      <c r="UKF27" s="28"/>
      <c r="UKG27" s="28"/>
      <c r="UKH27" s="28"/>
      <c r="UKI27" s="28"/>
      <c r="UKJ27" s="28"/>
      <c r="UKK27" s="28"/>
      <c r="UKL27" s="28"/>
      <c r="UKM27" s="28"/>
      <c r="UKN27" s="28"/>
      <c r="UKO27" s="28"/>
      <c r="UKP27" s="28"/>
      <c r="UKQ27" s="28"/>
      <c r="UKR27" s="28"/>
      <c r="UKS27" s="28"/>
      <c r="UKT27" s="28"/>
      <c r="UKU27" s="28"/>
      <c r="UKV27" s="28"/>
      <c r="UKW27" s="28"/>
      <c r="UKX27" s="28"/>
      <c r="UKY27" s="28"/>
      <c r="UKZ27" s="28"/>
      <c r="ULA27" s="28"/>
      <c r="ULB27" s="28"/>
      <c r="ULC27" s="28"/>
      <c r="ULD27" s="28"/>
      <c r="ULE27" s="28"/>
      <c r="ULF27" s="28"/>
      <c r="ULG27" s="28"/>
      <c r="ULH27" s="28"/>
      <c r="ULI27" s="28"/>
      <c r="ULJ27" s="28"/>
      <c r="ULK27" s="28"/>
      <c r="ULL27" s="28"/>
      <c r="ULM27" s="28"/>
      <c r="ULN27" s="28"/>
      <c r="ULO27" s="28"/>
      <c r="ULP27" s="28"/>
      <c r="ULQ27" s="28"/>
      <c r="ULR27" s="28"/>
      <c r="ULS27" s="28"/>
      <c r="ULT27" s="28"/>
      <c r="ULU27" s="28"/>
      <c r="ULV27" s="28"/>
      <c r="ULW27" s="28"/>
      <c r="ULX27" s="28"/>
      <c r="ULY27" s="28"/>
      <c r="ULZ27" s="28"/>
      <c r="UMA27" s="28"/>
      <c r="UMB27" s="28"/>
      <c r="UMC27" s="28"/>
      <c r="UMD27" s="28"/>
      <c r="UME27" s="28"/>
      <c r="UMF27" s="28"/>
      <c r="UMG27" s="28"/>
      <c r="UMH27" s="28"/>
      <c r="UMI27" s="28"/>
      <c r="UMJ27" s="28"/>
      <c r="UMK27" s="28"/>
      <c r="UML27" s="28"/>
      <c r="UMM27" s="28"/>
      <c r="UMN27" s="28"/>
      <c r="UMO27" s="28"/>
      <c r="UMP27" s="28"/>
      <c r="UMQ27" s="28"/>
      <c r="UMR27" s="28"/>
      <c r="UMS27" s="28"/>
      <c r="UMT27" s="28"/>
      <c r="UMU27" s="28"/>
      <c r="UMV27" s="28"/>
      <c r="UMW27" s="28"/>
      <c r="UMX27" s="28"/>
      <c r="UMY27" s="28"/>
      <c r="UMZ27" s="28"/>
      <c r="UNA27" s="28"/>
      <c r="UNB27" s="28"/>
      <c r="UNC27" s="28"/>
      <c r="UND27" s="28"/>
      <c r="UNE27" s="28"/>
      <c r="UNF27" s="28"/>
      <c r="UNG27" s="28"/>
      <c r="UNH27" s="28"/>
      <c r="UNI27" s="28"/>
      <c r="UNJ27" s="28"/>
      <c r="UNK27" s="28"/>
      <c r="UNL27" s="28"/>
      <c r="UNM27" s="28"/>
      <c r="UNN27" s="28"/>
      <c r="UNO27" s="28"/>
      <c r="UNP27" s="28"/>
      <c r="UNQ27" s="28"/>
      <c r="UNR27" s="28"/>
      <c r="UNS27" s="28"/>
      <c r="UNT27" s="28"/>
      <c r="UNU27" s="28"/>
      <c r="UNV27" s="28"/>
      <c r="UNW27" s="28"/>
      <c r="UNX27" s="28"/>
      <c r="UNY27" s="28"/>
      <c r="UNZ27" s="28"/>
      <c r="UOA27" s="28"/>
      <c r="UOB27" s="28"/>
      <c r="UOC27" s="28"/>
      <c r="UOD27" s="28"/>
      <c r="UOE27" s="28"/>
      <c r="UOF27" s="28"/>
      <c r="UOG27" s="28"/>
      <c r="UOH27" s="28"/>
      <c r="UOI27" s="28"/>
      <c r="UOJ27" s="28"/>
      <c r="UOK27" s="28"/>
      <c r="UOL27" s="28"/>
      <c r="UOM27" s="28"/>
      <c r="UON27" s="28"/>
      <c r="UOO27" s="28"/>
      <c r="UOP27" s="28"/>
      <c r="UOQ27" s="28"/>
      <c r="UOR27" s="28"/>
      <c r="UOS27" s="28"/>
      <c r="UOT27" s="28"/>
      <c r="UOU27" s="28"/>
      <c r="UOV27" s="28"/>
      <c r="UOW27" s="28"/>
      <c r="UOX27" s="28"/>
      <c r="UOY27" s="28"/>
      <c r="UOZ27" s="28"/>
      <c r="UPA27" s="28"/>
      <c r="UPB27" s="28"/>
      <c r="UPC27" s="28"/>
      <c r="UPD27" s="28"/>
      <c r="UPE27" s="28"/>
      <c r="UPF27" s="28"/>
      <c r="UPG27" s="28"/>
      <c r="UPH27" s="28"/>
      <c r="UPI27" s="28"/>
      <c r="UPJ27" s="28"/>
      <c r="UPK27" s="28"/>
      <c r="UPL27" s="28"/>
      <c r="UPM27" s="28"/>
      <c r="UPN27" s="28"/>
      <c r="UPO27" s="28"/>
      <c r="UPP27" s="28"/>
      <c r="UPQ27" s="28"/>
      <c r="UPR27" s="28"/>
      <c r="UPS27" s="28"/>
      <c r="UPT27" s="28"/>
      <c r="UPU27" s="28"/>
      <c r="UPV27" s="28"/>
      <c r="UPW27" s="28"/>
      <c r="UPX27" s="28"/>
      <c r="UPY27" s="28"/>
      <c r="UPZ27" s="28"/>
      <c r="UQA27" s="28"/>
      <c r="UQB27" s="28"/>
      <c r="UQC27" s="28"/>
      <c r="UQD27" s="28"/>
      <c r="UQE27" s="28"/>
      <c r="UQF27" s="28"/>
      <c r="UQG27" s="28"/>
      <c r="UQH27" s="28"/>
      <c r="UQI27" s="28"/>
      <c r="UQJ27" s="28"/>
      <c r="UQK27" s="28"/>
      <c r="UQL27" s="28"/>
      <c r="UQM27" s="28"/>
      <c r="UQN27" s="28"/>
      <c r="UQO27" s="28"/>
      <c r="UQP27" s="28"/>
      <c r="UQQ27" s="28"/>
      <c r="UQR27" s="28"/>
      <c r="UQS27" s="28"/>
      <c r="UQT27" s="28"/>
      <c r="UQU27" s="28"/>
      <c r="UQV27" s="28"/>
      <c r="UQW27" s="28"/>
      <c r="UQX27" s="28"/>
      <c r="UQY27" s="28"/>
      <c r="UQZ27" s="28"/>
      <c r="URA27" s="28"/>
      <c r="URB27" s="28"/>
      <c r="URC27" s="28"/>
      <c r="URD27" s="28"/>
      <c r="URE27" s="28"/>
      <c r="URF27" s="28"/>
      <c r="URG27" s="28"/>
      <c r="URH27" s="28"/>
      <c r="URI27" s="28"/>
      <c r="URJ27" s="28"/>
      <c r="URK27" s="28"/>
      <c r="URL27" s="28"/>
      <c r="URM27" s="28"/>
      <c r="URN27" s="28"/>
      <c r="URO27" s="28"/>
      <c r="URP27" s="28"/>
      <c r="URQ27" s="28"/>
      <c r="URR27" s="28"/>
      <c r="URS27" s="28"/>
      <c r="URT27" s="28"/>
      <c r="URU27" s="28"/>
      <c r="URV27" s="28"/>
      <c r="URW27" s="28"/>
      <c r="URX27" s="28"/>
      <c r="URY27" s="28"/>
      <c r="URZ27" s="28"/>
      <c r="USA27" s="28"/>
      <c r="USB27" s="28"/>
      <c r="USC27" s="28"/>
      <c r="USD27" s="28"/>
      <c r="USE27" s="28"/>
      <c r="USF27" s="28"/>
      <c r="USG27" s="28"/>
      <c r="USH27" s="28"/>
      <c r="USI27" s="28"/>
      <c r="USJ27" s="28"/>
      <c r="USK27" s="28"/>
      <c r="USL27" s="28"/>
      <c r="USM27" s="28"/>
      <c r="USN27" s="28"/>
      <c r="USO27" s="28"/>
      <c r="USP27" s="28"/>
      <c r="USQ27" s="28"/>
      <c r="USR27" s="28"/>
      <c r="USS27" s="28"/>
      <c r="UST27" s="28"/>
      <c r="USU27" s="28"/>
      <c r="USV27" s="28"/>
      <c r="USW27" s="28"/>
      <c r="USX27" s="28"/>
      <c r="USY27" s="28"/>
      <c r="USZ27" s="28"/>
      <c r="UTA27" s="28"/>
      <c r="UTB27" s="28"/>
      <c r="UTC27" s="28"/>
      <c r="UTD27" s="28"/>
      <c r="UTE27" s="28"/>
      <c r="UTF27" s="28"/>
      <c r="UTG27" s="28"/>
      <c r="UTH27" s="28"/>
      <c r="UTI27" s="28"/>
      <c r="UTJ27" s="28"/>
      <c r="UTK27" s="28"/>
      <c r="UTL27" s="28"/>
      <c r="UTM27" s="28"/>
      <c r="UTN27" s="28"/>
      <c r="UTO27" s="28"/>
      <c r="UTP27" s="28"/>
      <c r="UTQ27" s="28"/>
      <c r="UTR27" s="28"/>
      <c r="UTS27" s="28"/>
      <c r="UTT27" s="28"/>
      <c r="UTU27" s="28"/>
      <c r="UTV27" s="28"/>
      <c r="UTW27" s="28"/>
      <c r="UTX27" s="28"/>
      <c r="UTY27" s="28"/>
      <c r="UTZ27" s="28"/>
      <c r="UUA27" s="28"/>
      <c r="UUB27" s="28"/>
      <c r="UUC27" s="28"/>
      <c r="UUD27" s="28"/>
      <c r="UUE27" s="28"/>
      <c r="UUF27" s="28"/>
      <c r="UUG27" s="28"/>
      <c r="UUH27" s="28"/>
      <c r="UUI27" s="28"/>
      <c r="UUJ27" s="28"/>
      <c r="UUK27" s="28"/>
      <c r="UUL27" s="28"/>
      <c r="UUM27" s="28"/>
      <c r="UUN27" s="28"/>
      <c r="UUO27" s="28"/>
      <c r="UUP27" s="28"/>
      <c r="UUQ27" s="28"/>
      <c r="UUR27" s="28"/>
      <c r="UUS27" s="28"/>
      <c r="UUT27" s="28"/>
      <c r="UUU27" s="28"/>
      <c r="UUV27" s="28"/>
      <c r="UUW27" s="28"/>
      <c r="UUX27" s="28"/>
      <c r="UUY27" s="28"/>
      <c r="UUZ27" s="28"/>
      <c r="UVA27" s="28"/>
      <c r="UVB27" s="28"/>
      <c r="UVC27" s="28"/>
      <c r="UVD27" s="28"/>
      <c r="UVE27" s="28"/>
      <c r="UVF27" s="28"/>
      <c r="UVG27" s="28"/>
      <c r="UVH27" s="28"/>
      <c r="UVI27" s="28"/>
      <c r="UVJ27" s="28"/>
      <c r="UVK27" s="28"/>
      <c r="UVL27" s="28"/>
      <c r="UVM27" s="28"/>
      <c r="UVN27" s="28"/>
      <c r="UVO27" s="28"/>
      <c r="UVP27" s="28"/>
      <c r="UVQ27" s="28"/>
      <c r="UVR27" s="28"/>
      <c r="UVS27" s="28"/>
      <c r="UVT27" s="28"/>
      <c r="UVU27" s="28"/>
      <c r="UVV27" s="28"/>
      <c r="UVW27" s="28"/>
      <c r="UVX27" s="28"/>
      <c r="UVY27" s="28"/>
      <c r="UVZ27" s="28"/>
      <c r="UWA27" s="28"/>
      <c r="UWB27" s="28"/>
      <c r="UWC27" s="28"/>
      <c r="UWD27" s="28"/>
      <c r="UWE27" s="28"/>
      <c r="UWF27" s="28"/>
      <c r="UWG27" s="28"/>
      <c r="UWH27" s="28"/>
      <c r="UWI27" s="28"/>
      <c r="UWJ27" s="28"/>
      <c r="UWK27" s="28"/>
      <c r="UWL27" s="28"/>
      <c r="UWM27" s="28"/>
      <c r="UWN27" s="28"/>
      <c r="UWO27" s="28"/>
      <c r="UWP27" s="28"/>
      <c r="UWQ27" s="28"/>
      <c r="UWR27" s="28"/>
      <c r="UWS27" s="28"/>
      <c r="UWT27" s="28"/>
      <c r="UWU27" s="28"/>
      <c r="UWV27" s="28"/>
      <c r="UWW27" s="28"/>
      <c r="UWX27" s="28"/>
      <c r="UWY27" s="28"/>
      <c r="UWZ27" s="28"/>
      <c r="UXA27" s="28"/>
      <c r="UXB27" s="28"/>
      <c r="UXC27" s="28"/>
      <c r="UXD27" s="28"/>
      <c r="UXE27" s="28"/>
      <c r="UXF27" s="28"/>
      <c r="UXG27" s="28"/>
      <c r="UXH27" s="28"/>
      <c r="UXI27" s="28"/>
      <c r="UXJ27" s="28"/>
      <c r="UXK27" s="28"/>
      <c r="UXL27" s="28"/>
      <c r="UXM27" s="28"/>
      <c r="UXN27" s="28"/>
      <c r="UXO27" s="28"/>
      <c r="UXP27" s="28"/>
      <c r="UXQ27" s="28"/>
      <c r="UXR27" s="28"/>
      <c r="UXS27" s="28"/>
      <c r="UXT27" s="28"/>
      <c r="UXU27" s="28"/>
      <c r="UXV27" s="28"/>
      <c r="UXW27" s="28"/>
      <c r="UXX27" s="28"/>
      <c r="UXY27" s="28"/>
      <c r="UXZ27" s="28"/>
      <c r="UYA27" s="28"/>
      <c r="UYB27" s="28"/>
      <c r="UYC27" s="28"/>
      <c r="UYD27" s="28"/>
      <c r="UYE27" s="28"/>
      <c r="UYF27" s="28"/>
      <c r="UYG27" s="28"/>
      <c r="UYH27" s="28"/>
      <c r="UYI27" s="28"/>
      <c r="UYJ27" s="28"/>
      <c r="UYK27" s="28"/>
      <c r="UYL27" s="28"/>
      <c r="UYM27" s="28"/>
      <c r="UYN27" s="28"/>
      <c r="UYO27" s="28"/>
      <c r="UYP27" s="28"/>
      <c r="UYQ27" s="28"/>
      <c r="UYR27" s="28"/>
      <c r="UYS27" s="28"/>
      <c r="UYT27" s="28"/>
      <c r="UYU27" s="28"/>
      <c r="UYV27" s="28"/>
      <c r="UYW27" s="28"/>
      <c r="UYX27" s="28"/>
      <c r="UYY27" s="28"/>
      <c r="UYZ27" s="28"/>
      <c r="UZA27" s="28"/>
      <c r="UZB27" s="28"/>
      <c r="UZC27" s="28"/>
      <c r="UZD27" s="28"/>
      <c r="UZE27" s="28"/>
      <c r="UZF27" s="28"/>
      <c r="UZG27" s="28"/>
      <c r="UZH27" s="28"/>
      <c r="UZI27" s="28"/>
      <c r="UZJ27" s="28"/>
      <c r="UZK27" s="28"/>
      <c r="UZL27" s="28"/>
      <c r="UZM27" s="28"/>
      <c r="UZN27" s="28"/>
      <c r="UZO27" s="28"/>
      <c r="UZP27" s="28"/>
      <c r="UZQ27" s="28"/>
      <c r="UZR27" s="28"/>
      <c r="UZS27" s="28"/>
      <c r="UZT27" s="28"/>
      <c r="UZU27" s="28"/>
      <c r="UZV27" s="28"/>
      <c r="UZW27" s="28"/>
      <c r="UZX27" s="28"/>
      <c r="UZY27" s="28"/>
      <c r="UZZ27" s="28"/>
      <c r="VAA27" s="28"/>
      <c r="VAB27" s="28"/>
      <c r="VAC27" s="28"/>
      <c r="VAD27" s="28"/>
      <c r="VAE27" s="28"/>
      <c r="VAF27" s="28"/>
      <c r="VAG27" s="28"/>
      <c r="VAH27" s="28"/>
      <c r="VAI27" s="28"/>
      <c r="VAJ27" s="28"/>
      <c r="VAK27" s="28"/>
      <c r="VAL27" s="28"/>
      <c r="VAM27" s="28"/>
      <c r="VAN27" s="28"/>
      <c r="VAO27" s="28"/>
      <c r="VAP27" s="28"/>
      <c r="VAQ27" s="28"/>
      <c r="VAR27" s="28"/>
      <c r="VAS27" s="28"/>
      <c r="VAT27" s="28"/>
      <c r="VAU27" s="28"/>
      <c r="VAV27" s="28"/>
      <c r="VAW27" s="28"/>
      <c r="VAX27" s="28"/>
      <c r="VAY27" s="28"/>
      <c r="VAZ27" s="28"/>
      <c r="VBA27" s="28"/>
      <c r="VBB27" s="28"/>
      <c r="VBC27" s="28"/>
      <c r="VBD27" s="28"/>
      <c r="VBE27" s="28"/>
      <c r="VBF27" s="28"/>
      <c r="VBG27" s="28"/>
      <c r="VBH27" s="28"/>
      <c r="VBI27" s="28"/>
      <c r="VBJ27" s="28"/>
      <c r="VBK27" s="28"/>
      <c r="VBL27" s="28"/>
      <c r="VBM27" s="28"/>
      <c r="VBN27" s="28"/>
      <c r="VBO27" s="28"/>
      <c r="VBP27" s="28"/>
      <c r="VBQ27" s="28"/>
      <c r="VBR27" s="28"/>
      <c r="VBS27" s="28"/>
      <c r="VBT27" s="28"/>
      <c r="VBU27" s="28"/>
      <c r="VBV27" s="28"/>
      <c r="VBW27" s="28"/>
      <c r="VBX27" s="28"/>
      <c r="VBY27" s="28"/>
      <c r="VBZ27" s="28"/>
      <c r="VCA27" s="28"/>
      <c r="VCB27" s="28"/>
      <c r="VCC27" s="28"/>
      <c r="VCD27" s="28"/>
      <c r="VCE27" s="28"/>
      <c r="VCF27" s="28"/>
      <c r="VCG27" s="28"/>
      <c r="VCH27" s="28"/>
      <c r="VCI27" s="28"/>
      <c r="VCJ27" s="28"/>
      <c r="VCK27" s="28"/>
      <c r="VCL27" s="28"/>
      <c r="VCM27" s="28"/>
      <c r="VCN27" s="28"/>
      <c r="VCO27" s="28"/>
      <c r="VCP27" s="28"/>
      <c r="VCQ27" s="28"/>
      <c r="VCR27" s="28"/>
      <c r="VCS27" s="28"/>
      <c r="VCT27" s="28"/>
      <c r="VCU27" s="28"/>
      <c r="VCV27" s="28"/>
      <c r="VCW27" s="28"/>
      <c r="VCX27" s="28"/>
      <c r="VCY27" s="28"/>
      <c r="VCZ27" s="28"/>
      <c r="VDA27" s="28"/>
      <c r="VDB27" s="28"/>
      <c r="VDC27" s="28"/>
      <c r="VDD27" s="28"/>
      <c r="VDE27" s="28"/>
      <c r="VDF27" s="28"/>
      <c r="VDG27" s="28"/>
      <c r="VDH27" s="28"/>
      <c r="VDI27" s="28"/>
      <c r="VDJ27" s="28"/>
      <c r="VDK27" s="28"/>
      <c r="VDL27" s="28"/>
      <c r="VDM27" s="28"/>
      <c r="VDN27" s="28"/>
      <c r="VDO27" s="28"/>
      <c r="VDP27" s="28"/>
      <c r="VDQ27" s="28"/>
      <c r="VDR27" s="28"/>
      <c r="VDS27" s="28"/>
      <c r="VDT27" s="28"/>
      <c r="VDU27" s="28"/>
      <c r="VDV27" s="28"/>
      <c r="VDW27" s="28"/>
      <c r="VDX27" s="28"/>
      <c r="VDY27" s="28"/>
      <c r="VDZ27" s="28"/>
      <c r="VEA27" s="28"/>
      <c r="VEB27" s="28"/>
      <c r="VEC27" s="28"/>
      <c r="VED27" s="28"/>
      <c r="VEE27" s="28"/>
      <c r="VEF27" s="28"/>
      <c r="VEG27" s="28"/>
      <c r="VEH27" s="28"/>
      <c r="VEI27" s="28"/>
      <c r="VEJ27" s="28"/>
      <c r="VEK27" s="28"/>
      <c r="VEL27" s="28"/>
      <c r="VEM27" s="28"/>
      <c r="VEN27" s="28"/>
      <c r="VEO27" s="28"/>
      <c r="VEP27" s="28"/>
      <c r="VEQ27" s="28"/>
      <c r="VER27" s="28"/>
      <c r="VES27" s="28"/>
      <c r="VET27" s="28"/>
      <c r="VEU27" s="28"/>
      <c r="VEV27" s="28"/>
      <c r="VEW27" s="28"/>
      <c r="VEX27" s="28"/>
      <c r="VEY27" s="28"/>
      <c r="VEZ27" s="28"/>
      <c r="VFA27" s="28"/>
      <c r="VFB27" s="28"/>
      <c r="VFC27" s="28"/>
      <c r="VFD27" s="28"/>
      <c r="VFE27" s="28"/>
      <c r="VFF27" s="28"/>
      <c r="VFG27" s="28"/>
      <c r="VFH27" s="28"/>
      <c r="VFI27" s="28"/>
      <c r="VFJ27" s="28"/>
      <c r="VFK27" s="28"/>
      <c r="VFL27" s="28"/>
      <c r="VFM27" s="28"/>
      <c r="VFN27" s="28"/>
      <c r="VFO27" s="28"/>
      <c r="VFP27" s="28"/>
      <c r="VFQ27" s="28"/>
      <c r="VFR27" s="28"/>
      <c r="VFS27" s="28"/>
      <c r="VFT27" s="28"/>
      <c r="VFU27" s="28"/>
      <c r="VFV27" s="28"/>
      <c r="VFW27" s="28"/>
      <c r="VFX27" s="28"/>
      <c r="VFY27" s="28"/>
      <c r="VFZ27" s="28"/>
      <c r="VGA27" s="28"/>
      <c r="VGB27" s="28"/>
      <c r="VGC27" s="28"/>
      <c r="VGD27" s="28"/>
      <c r="VGE27" s="28"/>
      <c r="VGF27" s="28"/>
      <c r="VGG27" s="28"/>
      <c r="VGH27" s="28"/>
      <c r="VGI27" s="28"/>
      <c r="VGJ27" s="28"/>
      <c r="VGK27" s="28"/>
      <c r="VGL27" s="28"/>
      <c r="VGM27" s="28"/>
      <c r="VGN27" s="28"/>
      <c r="VGO27" s="28"/>
      <c r="VGP27" s="28"/>
      <c r="VGQ27" s="28"/>
      <c r="VGR27" s="28"/>
      <c r="VGS27" s="28"/>
      <c r="VGT27" s="28"/>
      <c r="VGU27" s="28"/>
      <c r="VGV27" s="28"/>
      <c r="VGW27" s="28"/>
      <c r="VGX27" s="28"/>
      <c r="VGY27" s="28"/>
      <c r="VGZ27" s="28"/>
      <c r="VHA27" s="28"/>
      <c r="VHB27" s="28"/>
      <c r="VHC27" s="28"/>
      <c r="VHD27" s="28"/>
      <c r="VHE27" s="28"/>
      <c r="VHF27" s="28"/>
      <c r="VHG27" s="28"/>
      <c r="VHH27" s="28"/>
      <c r="VHI27" s="28"/>
      <c r="VHJ27" s="28"/>
      <c r="VHK27" s="28"/>
      <c r="VHL27" s="28"/>
      <c r="VHM27" s="28"/>
      <c r="VHN27" s="28"/>
      <c r="VHO27" s="28"/>
      <c r="VHP27" s="28"/>
      <c r="VHQ27" s="28"/>
      <c r="VHR27" s="28"/>
      <c r="VHS27" s="28"/>
      <c r="VHT27" s="28"/>
      <c r="VHU27" s="28"/>
      <c r="VHV27" s="28"/>
      <c r="VHW27" s="28"/>
      <c r="VHX27" s="28"/>
      <c r="VHY27" s="28"/>
      <c r="VHZ27" s="28"/>
      <c r="VIA27" s="28"/>
      <c r="VIB27" s="28"/>
      <c r="VIC27" s="28"/>
      <c r="VID27" s="28"/>
      <c r="VIE27" s="28"/>
      <c r="VIF27" s="28"/>
      <c r="VIG27" s="28"/>
      <c r="VIH27" s="28"/>
      <c r="VII27" s="28"/>
      <c r="VIJ27" s="28"/>
      <c r="VIK27" s="28"/>
      <c r="VIL27" s="28"/>
      <c r="VIM27" s="28"/>
      <c r="VIN27" s="28"/>
      <c r="VIO27" s="28"/>
      <c r="VIP27" s="28"/>
      <c r="VIQ27" s="28"/>
      <c r="VIR27" s="28"/>
      <c r="VIS27" s="28"/>
      <c r="VIT27" s="28"/>
      <c r="VIU27" s="28"/>
      <c r="VIV27" s="28"/>
      <c r="VIW27" s="28"/>
      <c r="VIX27" s="28"/>
      <c r="VIY27" s="28"/>
      <c r="VIZ27" s="28"/>
      <c r="VJA27" s="28"/>
      <c r="VJB27" s="28"/>
      <c r="VJC27" s="28"/>
      <c r="VJD27" s="28"/>
      <c r="VJE27" s="28"/>
      <c r="VJF27" s="28"/>
      <c r="VJG27" s="28"/>
      <c r="VJH27" s="28"/>
      <c r="VJI27" s="28"/>
      <c r="VJJ27" s="28"/>
      <c r="VJK27" s="28"/>
      <c r="VJL27" s="28"/>
      <c r="VJM27" s="28"/>
      <c r="VJN27" s="28"/>
      <c r="VJO27" s="28"/>
      <c r="VJP27" s="28"/>
      <c r="VJQ27" s="28"/>
      <c r="VJR27" s="28"/>
      <c r="VJS27" s="28"/>
      <c r="VJT27" s="28"/>
      <c r="VJU27" s="28"/>
      <c r="VJV27" s="28"/>
      <c r="VJW27" s="28"/>
      <c r="VJX27" s="28"/>
      <c r="VJY27" s="28"/>
      <c r="VJZ27" s="28"/>
      <c r="VKA27" s="28"/>
      <c r="VKB27" s="28"/>
      <c r="VKC27" s="28"/>
      <c r="VKD27" s="28"/>
      <c r="VKE27" s="28"/>
      <c r="VKF27" s="28"/>
      <c r="VKG27" s="28"/>
      <c r="VKH27" s="28"/>
      <c r="VKI27" s="28"/>
      <c r="VKJ27" s="28"/>
      <c r="VKK27" s="28"/>
      <c r="VKL27" s="28"/>
      <c r="VKM27" s="28"/>
      <c r="VKN27" s="28"/>
      <c r="VKO27" s="28"/>
      <c r="VKP27" s="28"/>
      <c r="VKQ27" s="28"/>
      <c r="VKR27" s="28"/>
      <c r="VKS27" s="28"/>
      <c r="VKT27" s="28"/>
      <c r="VKU27" s="28"/>
      <c r="VKV27" s="28"/>
      <c r="VKW27" s="28"/>
      <c r="VKX27" s="28"/>
      <c r="VKY27" s="28"/>
      <c r="VKZ27" s="28"/>
      <c r="VLA27" s="28"/>
      <c r="VLB27" s="28"/>
      <c r="VLC27" s="28"/>
      <c r="VLD27" s="28"/>
      <c r="VLE27" s="28"/>
      <c r="VLF27" s="28"/>
      <c r="VLG27" s="28"/>
      <c r="VLH27" s="28"/>
      <c r="VLI27" s="28"/>
      <c r="VLJ27" s="28"/>
      <c r="VLK27" s="28"/>
      <c r="VLL27" s="28"/>
      <c r="VLM27" s="28"/>
      <c r="VLN27" s="28"/>
      <c r="VLO27" s="28"/>
      <c r="VLP27" s="28"/>
      <c r="VLQ27" s="28"/>
      <c r="VLR27" s="28"/>
      <c r="VLS27" s="28"/>
      <c r="VLT27" s="28"/>
      <c r="VLU27" s="28"/>
      <c r="VLV27" s="28"/>
      <c r="VLW27" s="28"/>
      <c r="VLX27" s="28"/>
      <c r="VLY27" s="28"/>
      <c r="VLZ27" s="28"/>
      <c r="VMA27" s="28"/>
      <c r="VMB27" s="28"/>
      <c r="VMC27" s="28"/>
      <c r="VMD27" s="28"/>
      <c r="VME27" s="28"/>
      <c r="VMF27" s="28"/>
      <c r="VMG27" s="28"/>
      <c r="VMH27" s="28"/>
      <c r="VMI27" s="28"/>
      <c r="VMJ27" s="28"/>
      <c r="VMK27" s="28"/>
      <c r="VML27" s="28"/>
      <c r="VMM27" s="28"/>
      <c r="VMN27" s="28"/>
      <c r="VMO27" s="28"/>
      <c r="VMP27" s="28"/>
      <c r="VMQ27" s="28"/>
      <c r="VMR27" s="28"/>
      <c r="VMS27" s="28"/>
      <c r="VMT27" s="28"/>
      <c r="VMU27" s="28"/>
      <c r="VMV27" s="28"/>
      <c r="VMW27" s="28"/>
      <c r="VMX27" s="28"/>
      <c r="VMY27" s="28"/>
      <c r="VMZ27" s="28"/>
      <c r="VNA27" s="28"/>
      <c r="VNB27" s="28"/>
      <c r="VNC27" s="28"/>
      <c r="VND27" s="28"/>
      <c r="VNE27" s="28"/>
      <c r="VNF27" s="28"/>
      <c r="VNG27" s="28"/>
      <c r="VNH27" s="28"/>
      <c r="VNI27" s="28"/>
      <c r="VNJ27" s="28"/>
      <c r="VNK27" s="28"/>
      <c r="VNL27" s="28"/>
      <c r="VNM27" s="28"/>
      <c r="VNN27" s="28"/>
      <c r="VNO27" s="28"/>
      <c r="VNP27" s="28"/>
      <c r="VNQ27" s="28"/>
      <c r="VNR27" s="28"/>
      <c r="VNS27" s="28"/>
      <c r="VNT27" s="28"/>
      <c r="VNU27" s="28"/>
      <c r="VNV27" s="28"/>
      <c r="VNW27" s="28"/>
      <c r="VNX27" s="28"/>
      <c r="VNY27" s="28"/>
      <c r="VNZ27" s="28"/>
      <c r="VOA27" s="28"/>
      <c r="VOB27" s="28"/>
      <c r="VOC27" s="28"/>
      <c r="VOD27" s="28"/>
      <c r="VOE27" s="28"/>
      <c r="VOF27" s="28"/>
      <c r="VOG27" s="28"/>
      <c r="VOH27" s="28"/>
      <c r="VOI27" s="28"/>
      <c r="VOJ27" s="28"/>
      <c r="VOK27" s="28"/>
      <c r="VOL27" s="28"/>
      <c r="VOM27" s="28"/>
      <c r="VON27" s="28"/>
      <c r="VOO27" s="28"/>
      <c r="VOP27" s="28"/>
      <c r="VOQ27" s="28"/>
      <c r="VOR27" s="28"/>
      <c r="VOS27" s="28"/>
      <c r="VOT27" s="28"/>
      <c r="VOU27" s="28"/>
      <c r="VOV27" s="28"/>
      <c r="VOW27" s="28"/>
      <c r="VOX27" s="28"/>
      <c r="VOY27" s="28"/>
      <c r="VOZ27" s="28"/>
      <c r="VPA27" s="28"/>
      <c r="VPB27" s="28"/>
      <c r="VPC27" s="28"/>
      <c r="VPD27" s="28"/>
      <c r="VPE27" s="28"/>
      <c r="VPF27" s="28"/>
      <c r="VPG27" s="28"/>
      <c r="VPH27" s="28"/>
      <c r="VPI27" s="28"/>
      <c r="VPJ27" s="28"/>
      <c r="VPK27" s="28"/>
      <c r="VPL27" s="28"/>
      <c r="VPM27" s="28"/>
      <c r="VPN27" s="28"/>
      <c r="VPO27" s="28"/>
      <c r="VPP27" s="28"/>
      <c r="VPQ27" s="28"/>
      <c r="VPR27" s="28"/>
      <c r="VPS27" s="28"/>
      <c r="VPT27" s="28"/>
      <c r="VPU27" s="28"/>
      <c r="VPV27" s="28"/>
      <c r="VPW27" s="28"/>
      <c r="VPX27" s="28"/>
      <c r="VPY27" s="28"/>
      <c r="VPZ27" s="28"/>
      <c r="VQA27" s="28"/>
      <c r="VQB27" s="28"/>
      <c r="VQC27" s="28"/>
      <c r="VQD27" s="28"/>
      <c r="VQE27" s="28"/>
      <c r="VQF27" s="28"/>
      <c r="VQG27" s="28"/>
      <c r="VQH27" s="28"/>
      <c r="VQI27" s="28"/>
      <c r="VQJ27" s="28"/>
      <c r="VQK27" s="28"/>
      <c r="VQL27" s="28"/>
      <c r="VQM27" s="28"/>
      <c r="VQN27" s="28"/>
      <c r="VQO27" s="28"/>
      <c r="VQP27" s="28"/>
      <c r="VQQ27" s="28"/>
      <c r="VQR27" s="28"/>
      <c r="VQS27" s="28"/>
      <c r="VQT27" s="28"/>
      <c r="VQU27" s="28"/>
      <c r="VQV27" s="28"/>
      <c r="VQW27" s="28"/>
      <c r="VQX27" s="28"/>
      <c r="VQY27" s="28"/>
      <c r="VQZ27" s="28"/>
      <c r="VRA27" s="28"/>
      <c r="VRB27" s="28"/>
      <c r="VRC27" s="28"/>
      <c r="VRD27" s="28"/>
      <c r="VRE27" s="28"/>
      <c r="VRF27" s="28"/>
      <c r="VRG27" s="28"/>
      <c r="VRH27" s="28"/>
      <c r="VRI27" s="28"/>
      <c r="VRJ27" s="28"/>
      <c r="VRK27" s="28"/>
      <c r="VRL27" s="28"/>
      <c r="VRM27" s="28"/>
      <c r="VRN27" s="28"/>
      <c r="VRO27" s="28"/>
      <c r="VRP27" s="28"/>
      <c r="VRQ27" s="28"/>
      <c r="VRR27" s="28"/>
      <c r="VRS27" s="28"/>
      <c r="VRT27" s="28"/>
      <c r="VRU27" s="28"/>
      <c r="VRV27" s="28"/>
      <c r="VRW27" s="28"/>
      <c r="VRX27" s="28"/>
      <c r="VRY27" s="28"/>
      <c r="VRZ27" s="28"/>
      <c r="VSA27" s="28"/>
      <c r="VSB27" s="28"/>
      <c r="VSC27" s="28"/>
      <c r="VSD27" s="28"/>
      <c r="VSE27" s="28"/>
      <c r="VSF27" s="28"/>
      <c r="VSG27" s="28"/>
      <c r="VSH27" s="28"/>
      <c r="VSI27" s="28"/>
      <c r="VSJ27" s="28"/>
      <c r="VSK27" s="28"/>
      <c r="VSL27" s="28"/>
      <c r="VSM27" s="28"/>
      <c r="VSN27" s="28"/>
      <c r="VSO27" s="28"/>
      <c r="VSP27" s="28"/>
      <c r="VSQ27" s="28"/>
      <c r="VSR27" s="28"/>
      <c r="VSS27" s="28"/>
      <c r="VST27" s="28"/>
      <c r="VSU27" s="28"/>
      <c r="VSV27" s="28"/>
      <c r="VSW27" s="28"/>
      <c r="VSX27" s="28"/>
      <c r="VSY27" s="28"/>
      <c r="VSZ27" s="28"/>
      <c r="VTA27" s="28"/>
      <c r="VTB27" s="28"/>
      <c r="VTC27" s="28"/>
      <c r="VTD27" s="28"/>
      <c r="VTE27" s="28"/>
      <c r="VTF27" s="28"/>
      <c r="VTG27" s="28"/>
      <c r="VTH27" s="28"/>
      <c r="VTI27" s="28"/>
      <c r="VTJ27" s="28"/>
      <c r="VTK27" s="28"/>
      <c r="VTL27" s="28"/>
      <c r="VTM27" s="28"/>
      <c r="VTN27" s="28"/>
      <c r="VTO27" s="28"/>
      <c r="VTP27" s="28"/>
      <c r="VTQ27" s="28"/>
      <c r="VTR27" s="28"/>
      <c r="VTS27" s="28"/>
      <c r="VTT27" s="28"/>
      <c r="VTU27" s="28"/>
      <c r="VTV27" s="28"/>
      <c r="VTW27" s="28"/>
      <c r="VTX27" s="28"/>
      <c r="VTY27" s="28"/>
      <c r="VTZ27" s="28"/>
      <c r="VUA27" s="28"/>
      <c r="VUB27" s="28"/>
      <c r="VUC27" s="28"/>
      <c r="VUD27" s="28"/>
      <c r="VUE27" s="28"/>
      <c r="VUF27" s="28"/>
      <c r="VUG27" s="28"/>
      <c r="VUH27" s="28"/>
      <c r="VUI27" s="28"/>
      <c r="VUJ27" s="28"/>
      <c r="VUK27" s="28"/>
      <c r="VUL27" s="28"/>
      <c r="VUM27" s="28"/>
      <c r="VUN27" s="28"/>
      <c r="VUO27" s="28"/>
      <c r="VUP27" s="28"/>
      <c r="VUQ27" s="28"/>
      <c r="VUR27" s="28"/>
      <c r="VUS27" s="28"/>
      <c r="VUT27" s="28"/>
      <c r="VUU27" s="28"/>
      <c r="VUV27" s="28"/>
      <c r="VUW27" s="28"/>
      <c r="VUX27" s="28"/>
      <c r="VUY27" s="28"/>
      <c r="VUZ27" s="28"/>
      <c r="VVA27" s="28"/>
      <c r="VVB27" s="28"/>
      <c r="VVC27" s="28"/>
      <c r="VVD27" s="28"/>
      <c r="VVE27" s="28"/>
      <c r="VVF27" s="28"/>
      <c r="VVG27" s="28"/>
      <c r="VVH27" s="28"/>
      <c r="VVI27" s="28"/>
      <c r="VVJ27" s="28"/>
      <c r="VVK27" s="28"/>
      <c r="VVL27" s="28"/>
      <c r="VVM27" s="28"/>
      <c r="VVN27" s="28"/>
      <c r="VVO27" s="28"/>
      <c r="VVP27" s="28"/>
      <c r="VVQ27" s="28"/>
      <c r="VVR27" s="28"/>
      <c r="VVS27" s="28"/>
      <c r="VVT27" s="28"/>
      <c r="VVU27" s="28"/>
      <c r="VVV27" s="28"/>
      <c r="VVW27" s="28"/>
      <c r="VVX27" s="28"/>
      <c r="VVY27" s="28"/>
      <c r="VVZ27" s="28"/>
      <c r="VWA27" s="28"/>
      <c r="VWB27" s="28"/>
      <c r="VWC27" s="28"/>
      <c r="VWD27" s="28"/>
      <c r="VWE27" s="28"/>
      <c r="VWF27" s="28"/>
      <c r="VWG27" s="28"/>
      <c r="VWH27" s="28"/>
      <c r="VWI27" s="28"/>
      <c r="VWJ27" s="28"/>
      <c r="VWK27" s="28"/>
      <c r="VWL27" s="28"/>
      <c r="VWM27" s="28"/>
      <c r="VWN27" s="28"/>
      <c r="VWO27" s="28"/>
      <c r="VWP27" s="28"/>
      <c r="VWQ27" s="28"/>
      <c r="VWR27" s="28"/>
      <c r="VWS27" s="28"/>
      <c r="VWT27" s="28"/>
      <c r="VWU27" s="28"/>
      <c r="VWV27" s="28"/>
      <c r="VWW27" s="28"/>
      <c r="VWX27" s="28"/>
      <c r="VWY27" s="28"/>
      <c r="VWZ27" s="28"/>
      <c r="VXA27" s="28"/>
      <c r="VXB27" s="28"/>
      <c r="VXC27" s="28"/>
      <c r="VXD27" s="28"/>
      <c r="VXE27" s="28"/>
      <c r="VXF27" s="28"/>
      <c r="VXG27" s="28"/>
      <c r="VXH27" s="28"/>
      <c r="VXI27" s="28"/>
      <c r="VXJ27" s="28"/>
      <c r="VXK27" s="28"/>
      <c r="VXL27" s="28"/>
      <c r="VXM27" s="28"/>
      <c r="VXN27" s="28"/>
      <c r="VXO27" s="28"/>
      <c r="VXP27" s="28"/>
      <c r="VXQ27" s="28"/>
      <c r="VXR27" s="28"/>
      <c r="VXS27" s="28"/>
      <c r="VXT27" s="28"/>
      <c r="VXU27" s="28"/>
      <c r="VXV27" s="28"/>
      <c r="VXW27" s="28"/>
      <c r="VXX27" s="28"/>
      <c r="VXY27" s="28"/>
      <c r="VXZ27" s="28"/>
      <c r="VYA27" s="28"/>
      <c r="VYB27" s="28"/>
      <c r="VYC27" s="28"/>
      <c r="VYD27" s="28"/>
      <c r="VYE27" s="28"/>
      <c r="VYF27" s="28"/>
      <c r="VYG27" s="28"/>
      <c r="VYH27" s="28"/>
      <c r="VYI27" s="28"/>
      <c r="VYJ27" s="28"/>
      <c r="VYK27" s="28"/>
      <c r="VYL27" s="28"/>
      <c r="VYM27" s="28"/>
      <c r="VYN27" s="28"/>
      <c r="VYO27" s="28"/>
      <c r="VYP27" s="28"/>
      <c r="VYQ27" s="28"/>
      <c r="VYR27" s="28"/>
      <c r="VYS27" s="28"/>
      <c r="VYT27" s="28"/>
      <c r="VYU27" s="28"/>
      <c r="VYV27" s="28"/>
      <c r="VYW27" s="28"/>
      <c r="VYX27" s="28"/>
      <c r="VYY27" s="28"/>
      <c r="VYZ27" s="28"/>
      <c r="VZA27" s="28"/>
      <c r="VZB27" s="28"/>
      <c r="VZC27" s="28"/>
      <c r="VZD27" s="28"/>
      <c r="VZE27" s="28"/>
      <c r="VZF27" s="28"/>
      <c r="VZG27" s="28"/>
      <c r="VZH27" s="28"/>
      <c r="VZI27" s="28"/>
      <c r="VZJ27" s="28"/>
      <c r="VZK27" s="28"/>
      <c r="VZL27" s="28"/>
      <c r="VZM27" s="28"/>
      <c r="VZN27" s="28"/>
      <c r="VZO27" s="28"/>
      <c r="VZP27" s="28"/>
      <c r="VZQ27" s="28"/>
      <c r="VZR27" s="28"/>
      <c r="VZS27" s="28"/>
      <c r="VZT27" s="28"/>
      <c r="VZU27" s="28"/>
      <c r="VZV27" s="28"/>
      <c r="VZW27" s="28"/>
      <c r="VZX27" s="28"/>
      <c r="VZY27" s="28"/>
      <c r="VZZ27" s="28"/>
      <c r="WAA27" s="28"/>
      <c r="WAB27" s="28"/>
      <c r="WAC27" s="28"/>
      <c r="WAD27" s="28"/>
      <c r="WAE27" s="28"/>
      <c r="WAF27" s="28"/>
      <c r="WAG27" s="28"/>
      <c r="WAH27" s="28"/>
      <c r="WAI27" s="28"/>
      <c r="WAJ27" s="28"/>
      <c r="WAK27" s="28"/>
      <c r="WAL27" s="28"/>
      <c r="WAM27" s="28"/>
      <c r="WAN27" s="28"/>
      <c r="WAO27" s="28"/>
      <c r="WAP27" s="28"/>
      <c r="WAQ27" s="28"/>
      <c r="WAR27" s="28"/>
      <c r="WAS27" s="28"/>
      <c r="WAT27" s="28"/>
      <c r="WAU27" s="28"/>
      <c r="WAV27" s="28"/>
      <c r="WAW27" s="28"/>
      <c r="WAX27" s="28"/>
      <c r="WAY27" s="28"/>
      <c r="WAZ27" s="28"/>
      <c r="WBA27" s="28"/>
      <c r="WBB27" s="28"/>
      <c r="WBC27" s="28"/>
      <c r="WBD27" s="28"/>
      <c r="WBE27" s="28"/>
      <c r="WBF27" s="28"/>
      <c r="WBG27" s="28"/>
      <c r="WBH27" s="28"/>
      <c r="WBI27" s="28"/>
      <c r="WBJ27" s="28"/>
      <c r="WBK27" s="28"/>
      <c r="WBL27" s="28"/>
      <c r="WBM27" s="28"/>
      <c r="WBN27" s="28"/>
      <c r="WBO27" s="28"/>
      <c r="WBP27" s="28"/>
      <c r="WBQ27" s="28"/>
      <c r="WBR27" s="28"/>
      <c r="WBS27" s="28"/>
      <c r="WBT27" s="28"/>
      <c r="WBU27" s="28"/>
      <c r="WBV27" s="28"/>
      <c r="WBW27" s="28"/>
      <c r="WBX27" s="28"/>
      <c r="WBY27" s="28"/>
      <c r="WBZ27" s="28"/>
      <c r="WCA27" s="28"/>
      <c r="WCB27" s="28"/>
      <c r="WCC27" s="28"/>
      <c r="WCD27" s="28"/>
      <c r="WCE27" s="28"/>
      <c r="WCF27" s="28"/>
      <c r="WCG27" s="28"/>
      <c r="WCH27" s="28"/>
      <c r="WCI27" s="28"/>
      <c r="WCJ27" s="28"/>
      <c r="WCK27" s="28"/>
      <c r="WCL27" s="28"/>
      <c r="WCM27" s="28"/>
      <c r="WCN27" s="28"/>
      <c r="WCO27" s="28"/>
      <c r="WCP27" s="28"/>
      <c r="WCQ27" s="28"/>
      <c r="WCR27" s="28"/>
      <c r="WCS27" s="28"/>
      <c r="WCT27" s="28"/>
      <c r="WCU27" s="28"/>
      <c r="WCV27" s="28"/>
      <c r="WCW27" s="28"/>
      <c r="WCX27" s="28"/>
      <c r="WCY27" s="28"/>
      <c r="WCZ27" s="28"/>
      <c r="WDA27" s="28"/>
      <c r="WDB27" s="28"/>
      <c r="WDC27" s="28"/>
      <c r="WDD27" s="28"/>
      <c r="WDE27" s="28"/>
      <c r="WDF27" s="28"/>
      <c r="WDG27" s="28"/>
      <c r="WDH27" s="28"/>
      <c r="WDI27" s="28"/>
      <c r="WDJ27" s="28"/>
      <c r="WDK27" s="28"/>
      <c r="WDL27" s="28"/>
      <c r="WDM27" s="28"/>
      <c r="WDN27" s="28"/>
      <c r="WDO27" s="28"/>
      <c r="WDP27" s="28"/>
      <c r="WDQ27" s="28"/>
      <c r="WDR27" s="28"/>
      <c r="WDS27" s="28"/>
      <c r="WDT27" s="28"/>
      <c r="WDU27" s="28"/>
      <c r="WDV27" s="28"/>
      <c r="WDW27" s="28"/>
      <c r="WDX27" s="28"/>
      <c r="WDY27" s="28"/>
      <c r="WDZ27" s="28"/>
      <c r="WEA27" s="28"/>
      <c r="WEB27" s="28"/>
      <c r="WEC27" s="28"/>
      <c r="WED27" s="28"/>
      <c r="WEE27" s="28"/>
      <c r="WEF27" s="28"/>
      <c r="WEG27" s="28"/>
      <c r="WEH27" s="28"/>
      <c r="WEI27" s="28"/>
      <c r="WEJ27" s="28"/>
      <c r="WEK27" s="28"/>
      <c r="WEL27" s="28"/>
      <c r="WEM27" s="28"/>
      <c r="WEN27" s="28"/>
      <c r="WEO27" s="28"/>
      <c r="WEP27" s="28"/>
      <c r="WEQ27" s="28"/>
      <c r="WER27" s="28"/>
      <c r="WES27" s="28"/>
      <c r="WET27" s="28"/>
      <c r="WEU27" s="28"/>
      <c r="WEV27" s="28"/>
      <c r="WEW27" s="28"/>
      <c r="WEX27" s="28"/>
      <c r="WEY27" s="28"/>
      <c r="WEZ27" s="28"/>
      <c r="WFA27" s="28"/>
      <c r="WFB27" s="28"/>
      <c r="WFC27" s="28"/>
      <c r="WFD27" s="28"/>
      <c r="WFE27" s="28"/>
      <c r="WFF27" s="28"/>
      <c r="WFG27" s="28"/>
      <c r="WFH27" s="28"/>
      <c r="WFI27" s="28"/>
      <c r="WFJ27" s="28"/>
      <c r="WFK27" s="28"/>
      <c r="WFL27" s="28"/>
      <c r="WFM27" s="28"/>
      <c r="WFN27" s="28"/>
      <c r="WFO27" s="28"/>
      <c r="WFP27" s="28"/>
      <c r="WFQ27" s="28"/>
      <c r="WFR27" s="28"/>
      <c r="WFS27" s="28"/>
      <c r="WFT27" s="28"/>
      <c r="WFU27" s="28"/>
      <c r="WFV27" s="28"/>
      <c r="WFW27" s="28"/>
      <c r="WFX27" s="28"/>
      <c r="WFY27" s="28"/>
      <c r="WFZ27" s="28"/>
      <c r="WGA27" s="28"/>
      <c r="WGB27" s="28"/>
      <c r="WGC27" s="28"/>
      <c r="WGD27" s="28"/>
      <c r="WGE27" s="28"/>
      <c r="WGF27" s="28"/>
      <c r="WGG27" s="28"/>
      <c r="WGH27" s="28"/>
      <c r="WGI27" s="28"/>
      <c r="WGJ27" s="28"/>
      <c r="WGK27" s="28"/>
      <c r="WGL27" s="28"/>
      <c r="WGM27" s="28"/>
      <c r="WGN27" s="28"/>
      <c r="WGO27" s="28"/>
      <c r="WGP27" s="28"/>
      <c r="WGQ27" s="28"/>
      <c r="WGR27" s="28"/>
      <c r="WGS27" s="28"/>
      <c r="WGT27" s="28"/>
      <c r="WGU27" s="28"/>
      <c r="WGV27" s="28"/>
      <c r="WGW27" s="28"/>
      <c r="WGX27" s="28"/>
      <c r="WGY27" s="28"/>
      <c r="WGZ27" s="28"/>
      <c r="WHA27" s="28"/>
      <c r="WHB27" s="28"/>
      <c r="WHC27" s="28"/>
      <c r="WHD27" s="28"/>
      <c r="WHE27" s="28"/>
      <c r="WHF27" s="28"/>
      <c r="WHG27" s="28"/>
      <c r="WHH27" s="28"/>
      <c r="WHI27" s="28"/>
      <c r="WHJ27" s="28"/>
      <c r="WHK27" s="28"/>
      <c r="WHL27" s="28"/>
      <c r="WHM27" s="28"/>
      <c r="WHN27" s="28"/>
      <c r="WHO27" s="28"/>
      <c r="WHP27" s="28"/>
      <c r="WHQ27" s="28"/>
      <c r="WHR27" s="28"/>
      <c r="WHS27" s="28"/>
      <c r="WHT27" s="28"/>
      <c r="WHU27" s="28"/>
      <c r="WHV27" s="28"/>
      <c r="WHW27" s="28"/>
      <c r="WHX27" s="28"/>
      <c r="WHY27" s="28"/>
      <c r="WHZ27" s="28"/>
      <c r="WIA27" s="28"/>
      <c r="WIB27" s="28"/>
      <c r="WIC27" s="28"/>
      <c r="WID27" s="28"/>
      <c r="WIE27" s="28"/>
      <c r="WIF27" s="28"/>
      <c r="WIG27" s="28"/>
      <c r="WIH27" s="28"/>
      <c r="WII27" s="28"/>
      <c r="WIJ27" s="28"/>
      <c r="WIK27" s="28"/>
      <c r="WIL27" s="28"/>
      <c r="WIM27" s="28"/>
      <c r="WIN27" s="28"/>
      <c r="WIO27" s="28"/>
      <c r="WIP27" s="28"/>
      <c r="WIQ27" s="28"/>
      <c r="WIR27" s="28"/>
      <c r="WIS27" s="28"/>
      <c r="WIT27" s="28"/>
      <c r="WIU27" s="28"/>
      <c r="WIV27" s="28"/>
      <c r="WIW27" s="28"/>
      <c r="WIX27" s="28"/>
      <c r="WIY27" s="28"/>
      <c r="WIZ27" s="28"/>
      <c r="WJA27" s="28"/>
      <c r="WJB27" s="28"/>
      <c r="WJC27" s="28"/>
      <c r="WJD27" s="28"/>
      <c r="WJE27" s="28"/>
      <c r="WJF27" s="28"/>
      <c r="WJG27" s="28"/>
      <c r="WJH27" s="28"/>
      <c r="WJI27" s="28"/>
      <c r="WJJ27" s="28"/>
      <c r="WJK27" s="28"/>
      <c r="WJL27" s="28"/>
      <c r="WJM27" s="28"/>
      <c r="WJN27" s="28"/>
      <c r="WJO27" s="28"/>
      <c r="WJP27" s="28"/>
      <c r="WJQ27" s="28"/>
      <c r="WJR27" s="28"/>
      <c r="WJS27" s="28"/>
      <c r="WJT27" s="28"/>
      <c r="WJU27" s="28"/>
      <c r="WJV27" s="28"/>
      <c r="WJW27" s="28"/>
      <c r="WJX27" s="28"/>
      <c r="WJY27" s="28"/>
      <c r="WJZ27" s="28"/>
      <c r="WKA27" s="28"/>
      <c r="WKB27" s="28"/>
      <c r="WKC27" s="28"/>
      <c r="WKD27" s="28"/>
      <c r="WKE27" s="28"/>
      <c r="WKF27" s="28"/>
      <c r="WKG27" s="28"/>
      <c r="WKH27" s="28"/>
      <c r="WKI27" s="28"/>
      <c r="WKJ27" s="28"/>
      <c r="WKK27" s="28"/>
      <c r="WKL27" s="28"/>
      <c r="WKM27" s="28"/>
      <c r="WKN27" s="28"/>
      <c r="WKO27" s="28"/>
      <c r="WKP27" s="28"/>
      <c r="WKQ27" s="28"/>
      <c r="WKR27" s="28"/>
      <c r="WKS27" s="28"/>
      <c r="WKT27" s="28"/>
      <c r="WKU27" s="28"/>
      <c r="WKV27" s="28"/>
      <c r="WKW27" s="28"/>
      <c r="WKX27" s="28"/>
      <c r="WKY27" s="28"/>
      <c r="WKZ27" s="28"/>
      <c r="WLA27" s="28"/>
      <c r="WLB27" s="28"/>
      <c r="WLC27" s="28"/>
      <c r="WLD27" s="28"/>
      <c r="WLE27" s="28"/>
      <c r="WLF27" s="28"/>
      <c r="WLG27" s="28"/>
      <c r="WLH27" s="28"/>
      <c r="WLI27" s="28"/>
      <c r="WLJ27" s="28"/>
      <c r="WLK27" s="28"/>
      <c r="WLL27" s="28"/>
      <c r="WLM27" s="28"/>
      <c r="WLN27" s="28"/>
      <c r="WLO27" s="28"/>
      <c r="WLP27" s="28"/>
      <c r="WLQ27" s="28"/>
      <c r="WLR27" s="28"/>
      <c r="WLS27" s="28"/>
      <c r="WLT27" s="28"/>
      <c r="WLU27" s="28"/>
      <c r="WLV27" s="28"/>
      <c r="WLW27" s="28"/>
      <c r="WLX27" s="28"/>
      <c r="WLY27" s="28"/>
      <c r="WLZ27" s="28"/>
      <c r="WMA27" s="28"/>
      <c r="WMB27" s="28"/>
      <c r="WMC27" s="28"/>
      <c r="WMD27" s="28"/>
      <c r="WME27" s="28"/>
      <c r="WMF27" s="28"/>
      <c r="WMG27" s="28"/>
      <c r="WMH27" s="28"/>
      <c r="WMI27" s="28"/>
      <c r="WMJ27" s="28"/>
      <c r="WMK27" s="28"/>
      <c r="WML27" s="28"/>
      <c r="WMM27" s="28"/>
      <c r="WMN27" s="28"/>
      <c r="WMO27" s="28"/>
      <c r="WMP27" s="28"/>
      <c r="WMQ27" s="28"/>
      <c r="WMR27" s="28"/>
      <c r="WMS27" s="28"/>
      <c r="WMT27" s="28"/>
      <c r="WMU27" s="28"/>
      <c r="WMV27" s="28"/>
      <c r="WMW27" s="28"/>
      <c r="WMX27" s="28"/>
      <c r="WMY27" s="28"/>
      <c r="WMZ27" s="28"/>
      <c r="WNA27" s="28"/>
      <c r="WNB27" s="28"/>
      <c r="WNC27" s="28"/>
      <c r="WND27" s="28"/>
      <c r="WNE27" s="28"/>
      <c r="WNF27" s="28"/>
      <c r="WNG27" s="28"/>
      <c r="WNH27" s="28"/>
      <c r="WNI27" s="28"/>
      <c r="WNJ27" s="28"/>
      <c r="WNK27" s="28"/>
      <c r="WNL27" s="28"/>
      <c r="WNM27" s="28"/>
      <c r="WNN27" s="28"/>
      <c r="WNO27" s="28"/>
      <c r="WNP27" s="28"/>
      <c r="WNQ27" s="28"/>
      <c r="WNR27" s="28"/>
      <c r="WNS27" s="28"/>
      <c r="WNT27" s="28"/>
      <c r="WNU27" s="28"/>
      <c r="WNV27" s="28"/>
      <c r="WNW27" s="28"/>
      <c r="WNX27" s="28"/>
      <c r="WNY27" s="28"/>
      <c r="WNZ27" s="28"/>
      <c r="WOA27" s="28"/>
      <c r="WOB27" s="28"/>
      <c r="WOC27" s="28"/>
      <c r="WOD27" s="28"/>
      <c r="WOE27" s="28"/>
      <c r="WOF27" s="28"/>
      <c r="WOG27" s="28"/>
      <c r="WOH27" s="28"/>
      <c r="WOI27" s="28"/>
      <c r="WOJ27" s="28"/>
      <c r="WOK27" s="28"/>
      <c r="WOL27" s="28"/>
      <c r="WOM27" s="28"/>
      <c r="WON27" s="28"/>
      <c r="WOO27" s="28"/>
      <c r="WOP27" s="28"/>
      <c r="WOQ27" s="28"/>
      <c r="WOR27" s="28"/>
      <c r="WOS27" s="28"/>
      <c r="WOT27" s="28"/>
      <c r="WOU27" s="28"/>
      <c r="WOV27" s="28"/>
      <c r="WOW27" s="28"/>
      <c r="WOX27" s="28"/>
      <c r="WOY27" s="28"/>
      <c r="WOZ27" s="28"/>
      <c r="WPA27" s="28"/>
      <c r="WPB27" s="28"/>
      <c r="WPC27" s="28"/>
      <c r="WPD27" s="28"/>
      <c r="WPE27" s="28"/>
      <c r="WPF27" s="28"/>
      <c r="WPG27" s="28"/>
      <c r="WPH27" s="28"/>
      <c r="WPI27" s="28"/>
      <c r="WPJ27" s="28"/>
      <c r="WPK27" s="28"/>
      <c r="WPL27" s="28"/>
      <c r="WPM27" s="28"/>
      <c r="WPN27" s="28"/>
      <c r="WPO27" s="28"/>
      <c r="WPP27" s="28"/>
      <c r="WPQ27" s="28"/>
      <c r="WPR27" s="28"/>
      <c r="WPS27" s="28"/>
      <c r="WPT27" s="28"/>
      <c r="WPU27" s="28"/>
      <c r="WPV27" s="28"/>
      <c r="WPW27" s="28"/>
      <c r="WPX27" s="28"/>
      <c r="WPY27" s="28"/>
      <c r="WPZ27" s="28"/>
      <c r="WQA27" s="28"/>
      <c r="WQB27" s="28"/>
      <c r="WQC27" s="28"/>
      <c r="WQD27" s="28"/>
      <c r="WQE27" s="28"/>
      <c r="WQF27" s="28"/>
      <c r="WQG27" s="28"/>
      <c r="WQH27" s="28"/>
      <c r="WQI27" s="28"/>
      <c r="WQJ27" s="28"/>
      <c r="WQK27" s="28"/>
      <c r="WQL27" s="28"/>
      <c r="WQM27" s="28"/>
      <c r="WQN27" s="28"/>
      <c r="WQO27" s="28"/>
      <c r="WQP27" s="28"/>
      <c r="WQQ27" s="28"/>
      <c r="WQR27" s="28"/>
      <c r="WQS27" s="28"/>
      <c r="WQT27" s="28"/>
      <c r="WQU27" s="28"/>
      <c r="WQV27" s="28"/>
      <c r="WQW27" s="28"/>
      <c r="WQX27" s="28"/>
      <c r="WQY27" s="28"/>
      <c r="WQZ27" s="28"/>
      <c r="WRA27" s="28"/>
      <c r="WRB27" s="28"/>
      <c r="WRC27" s="28"/>
      <c r="WRD27" s="28"/>
      <c r="WRE27" s="28"/>
      <c r="WRF27" s="28"/>
      <c r="WRG27" s="28"/>
      <c r="WRH27" s="28"/>
      <c r="WRI27" s="28"/>
      <c r="WRJ27" s="28"/>
      <c r="WRK27" s="28"/>
      <c r="WRL27" s="28"/>
      <c r="WRM27" s="28"/>
      <c r="WRN27" s="28"/>
      <c r="WRO27" s="28"/>
      <c r="WRP27" s="28"/>
      <c r="WRQ27" s="28"/>
      <c r="WRR27" s="28"/>
      <c r="WRS27" s="28"/>
      <c r="WRT27" s="28"/>
      <c r="WRU27" s="28"/>
      <c r="WRV27" s="28"/>
      <c r="WRW27" s="28"/>
      <c r="WRX27" s="28"/>
      <c r="WRY27" s="28"/>
      <c r="WRZ27" s="28"/>
      <c r="WSA27" s="28"/>
      <c r="WSB27" s="28"/>
      <c r="WSC27" s="28"/>
      <c r="WSD27" s="28"/>
      <c r="WSE27" s="28"/>
      <c r="WSF27" s="28"/>
      <c r="WSG27" s="28"/>
      <c r="WSH27" s="28"/>
      <c r="WSI27" s="28"/>
      <c r="WSJ27" s="28"/>
      <c r="WSK27" s="28"/>
      <c r="WSL27" s="28"/>
      <c r="WSM27" s="28"/>
      <c r="WSN27" s="28"/>
      <c r="WSO27" s="28"/>
      <c r="WSP27" s="28"/>
      <c r="WSQ27" s="28"/>
      <c r="WSR27" s="28"/>
      <c r="WSS27" s="28"/>
      <c r="WST27" s="28"/>
      <c r="WSU27" s="28"/>
      <c r="WSV27" s="28"/>
      <c r="WSW27" s="28"/>
      <c r="WSX27" s="28"/>
      <c r="WSY27" s="28"/>
      <c r="WSZ27" s="28"/>
      <c r="WTA27" s="28"/>
      <c r="WTB27" s="28"/>
      <c r="WTC27" s="28"/>
      <c r="WTD27" s="28"/>
      <c r="WTE27" s="28"/>
      <c r="WTF27" s="28"/>
      <c r="WTG27" s="28"/>
      <c r="WTH27" s="28"/>
      <c r="WTI27" s="28"/>
      <c r="WTJ27" s="28"/>
      <c r="WTK27" s="28"/>
      <c r="WTL27" s="28"/>
      <c r="WTM27" s="28"/>
      <c r="WTN27" s="28"/>
      <c r="WTO27" s="28"/>
      <c r="WTP27" s="28"/>
      <c r="WTQ27" s="28"/>
      <c r="WTR27" s="28"/>
      <c r="WTS27" s="28"/>
      <c r="WTT27" s="28"/>
      <c r="WTU27" s="28"/>
      <c r="WTV27" s="28"/>
      <c r="WTW27" s="28"/>
      <c r="WTX27" s="28"/>
      <c r="WTY27" s="28"/>
      <c r="WTZ27" s="28"/>
      <c r="WUA27" s="28"/>
      <c r="WUB27" s="28"/>
      <c r="WUC27" s="28"/>
      <c r="WUD27" s="28"/>
      <c r="WUE27" s="28"/>
      <c r="WUF27" s="28"/>
      <c r="WUG27" s="28"/>
      <c r="WUH27" s="28"/>
      <c r="WUI27" s="28"/>
      <c r="WUJ27" s="28"/>
      <c r="WUK27" s="28"/>
      <c r="WUL27" s="28"/>
      <c r="WUM27" s="28"/>
      <c r="WUN27" s="28"/>
      <c r="WUO27" s="28"/>
      <c r="WUP27" s="28"/>
      <c r="WUQ27" s="28"/>
      <c r="WUR27" s="28"/>
      <c r="WUS27" s="28"/>
      <c r="WUT27" s="28"/>
      <c r="WUU27" s="28"/>
      <c r="WUV27" s="28"/>
      <c r="WUW27" s="28"/>
      <c r="WUX27" s="28"/>
      <c r="WUY27" s="28"/>
      <c r="WUZ27" s="28"/>
      <c r="WVA27" s="28"/>
      <c r="WVB27" s="28"/>
      <c r="WVC27" s="28"/>
      <c r="WVD27" s="28"/>
      <c r="WVE27" s="28"/>
      <c r="WVF27" s="28"/>
      <c r="WVG27" s="28"/>
      <c r="WVH27" s="28"/>
      <c r="WVI27" s="28"/>
      <c r="WVJ27" s="28"/>
      <c r="WVK27" s="28"/>
      <c r="WVL27" s="28"/>
      <c r="WVM27" s="28"/>
      <c r="WVN27" s="28"/>
      <c r="WVO27" s="28"/>
      <c r="WVP27" s="28"/>
      <c r="WVQ27" s="28"/>
      <c r="WVR27" s="28"/>
      <c r="WVS27" s="28"/>
      <c r="WVT27" s="28"/>
      <c r="WVU27" s="28"/>
      <c r="WVV27" s="28"/>
      <c r="WVW27" s="28"/>
      <c r="WVX27" s="28"/>
      <c r="WVY27" s="28"/>
      <c r="WVZ27" s="28"/>
      <c r="WWA27" s="28"/>
      <c r="WWB27" s="28"/>
      <c r="WWC27" s="28"/>
      <c r="WWD27" s="28"/>
      <c r="WWE27" s="28"/>
      <c r="WWF27" s="28"/>
      <c r="WWG27" s="28"/>
      <c r="WWH27" s="28"/>
      <c r="WWI27" s="28"/>
      <c r="WWJ27" s="28"/>
      <c r="WWK27" s="28"/>
      <c r="WWL27" s="28"/>
      <c r="WWM27" s="28"/>
      <c r="WWN27" s="28"/>
      <c r="WWO27" s="28"/>
      <c r="WWP27" s="28"/>
      <c r="WWQ27" s="28"/>
      <c r="WWR27" s="28"/>
      <c r="WWS27" s="28"/>
      <c r="WWT27" s="28"/>
      <c r="WWU27" s="28"/>
      <c r="WWV27" s="28"/>
      <c r="WWW27" s="28"/>
      <c r="WWX27" s="28"/>
      <c r="WWY27" s="28"/>
      <c r="WWZ27" s="28"/>
      <c r="WXA27" s="28"/>
      <c r="WXB27" s="28"/>
      <c r="WXC27" s="28"/>
      <c r="WXD27" s="28"/>
      <c r="WXE27" s="28"/>
      <c r="WXF27" s="28"/>
      <c r="WXG27" s="28"/>
      <c r="WXH27" s="28"/>
      <c r="WXI27" s="28"/>
      <c r="WXJ27" s="28"/>
      <c r="WXK27" s="28"/>
      <c r="WXL27" s="28"/>
      <c r="WXM27" s="28"/>
      <c r="WXN27" s="28"/>
      <c r="WXO27" s="28"/>
      <c r="WXP27" s="28"/>
      <c r="WXQ27" s="28"/>
      <c r="WXR27" s="28"/>
      <c r="WXS27" s="28"/>
      <c r="WXT27" s="28"/>
      <c r="WXU27" s="28"/>
      <c r="WXV27" s="28"/>
      <c r="WXW27" s="28"/>
      <c r="WXX27" s="28"/>
      <c r="WXY27" s="28"/>
      <c r="WXZ27" s="28"/>
      <c r="WYA27" s="28"/>
      <c r="WYB27" s="28"/>
      <c r="WYC27" s="28"/>
      <c r="WYD27" s="28"/>
      <c r="WYE27" s="28"/>
      <c r="WYF27" s="28"/>
      <c r="WYG27" s="28"/>
      <c r="WYH27" s="28"/>
      <c r="WYI27" s="28"/>
      <c r="WYJ27" s="28"/>
      <c r="WYK27" s="28"/>
      <c r="WYL27" s="28"/>
      <c r="WYM27" s="28"/>
      <c r="WYN27" s="28"/>
      <c r="WYO27" s="28"/>
      <c r="WYP27" s="28"/>
      <c r="WYQ27" s="28"/>
      <c r="WYR27" s="28"/>
      <c r="WYS27" s="28"/>
      <c r="WYT27" s="28"/>
      <c r="WYU27" s="28"/>
      <c r="WYV27" s="28"/>
      <c r="WYW27" s="28"/>
      <c r="WYX27" s="28"/>
      <c r="WYY27" s="28"/>
      <c r="WYZ27" s="28"/>
      <c r="WZA27" s="28"/>
      <c r="WZB27" s="28"/>
      <c r="WZC27" s="28"/>
      <c r="WZD27" s="28"/>
      <c r="WZE27" s="28"/>
      <c r="WZF27" s="28"/>
      <c r="WZG27" s="28"/>
      <c r="WZH27" s="28"/>
      <c r="WZI27" s="28"/>
      <c r="WZJ27" s="28"/>
      <c r="WZK27" s="28"/>
      <c r="WZL27" s="28"/>
      <c r="WZM27" s="28"/>
      <c r="WZN27" s="28"/>
      <c r="WZO27" s="28"/>
      <c r="WZP27" s="28"/>
      <c r="WZQ27" s="28"/>
      <c r="WZR27" s="28"/>
      <c r="WZS27" s="28"/>
      <c r="WZT27" s="28"/>
      <c r="WZU27" s="28"/>
      <c r="WZV27" s="28"/>
      <c r="WZW27" s="28"/>
      <c r="WZX27" s="28"/>
      <c r="WZY27" s="28"/>
      <c r="WZZ27" s="28"/>
      <c r="XAA27" s="28"/>
      <c r="XAB27" s="28"/>
      <c r="XAC27" s="28"/>
      <c r="XAD27" s="28"/>
      <c r="XAE27" s="28"/>
      <c r="XAF27" s="28"/>
      <c r="XAG27" s="28"/>
      <c r="XAH27" s="28"/>
      <c r="XAI27" s="28"/>
      <c r="XAJ27" s="28"/>
      <c r="XAK27" s="28"/>
      <c r="XAL27" s="28"/>
      <c r="XAM27" s="28"/>
      <c r="XAN27" s="28"/>
      <c r="XAO27" s="28"/>
      <c r="XAP27" s="28"/>
      <c r="XAQ27" s="28"/>
      <c r="XAR27" s="28"/>
      <c r="XAS27" s="28"/>
      <c r="XAT27" s="28"/>
      <c r="XAU27" s="28"/>
      <c r="XAV27" s="28"/>
      <c r="XAW27" s="28"/>
      <c r="XAX27" s="28"/>
      <c r="XAY27" s="28"/>
      <c r="XAZ27" s="28"/>
      <c r="XBA27" s="28"/>
      <c r="XBB27" s="28"/>
      <c r="XBC27" s="28"/>
      <c r="XBD27" s="28"/>
      <c r="XBE27" s="28"/>
      <c r="XBF27" s="28"/>
      <c r="XBG27" s="28"/>
      <c r="XBH27" s="28"/>
      <c r="XBI27" s="28"/>
      <c r="XBJ27" s="28"/>
      <c r="XBK27" s="28"/>
      <c r="XBL27" s="28"/>
      <c r="XBM27" s="28"/>
      <c r="XBN27" s="28"/>
      <c r="XBO27" s="28"/>
      <c r="XBP27" s="28"/>
      <c r="XBQ27" s="28"/>
      <c r="XBR27" s="28"/>
      <c r="XBS27" s="28"/>
      <c r="XBT27" s="28"/>
      <c r="XBU27" s="28"/>
      <c r="XBV27" s="28"/>
      <c r="XBW27" s="28"/>
      <c r="XBX27" s="28"/>
      <c r="XBY27" s="28"/>
      <c r="XBZ27" s="28"/>
      <c r="XCA27" s="28"/>
      <c r="XCB27" s="28"/>
      <c r="XCC27" s="28"/>
      <c r="XCD27" s="28"/>
      <c r="XCE27" s="28"/>
      <c r="XCF27" s="28"/>
      <c r="XCG27" s="28"/>
      <c r="XCH27" s="28"/>
      <c r="XCI27" s="28"/>
      <c r="XCJ27" s="28"/>
      <c r="XCK27" s="28"/>
      <c r="XCL27" s="28"/>
      <c r="XCM27" s="28"/>
      <c r="XCN27" s="28"/>
      <c r="XCO27" s="28"/>
      <c r="XCP27" s="28"/>
      <c r="XCQ27" s="28"/>
      <c r="XCR27" s="28"/>
      <c r="XCS27" s="28"/>
      <c r="XCT27" s="28"/>
      <c r="XCU27" s="28"/>
      <c r="XCV27" s="28"/>
      <c r="XCW27" s="28"/>
      <c r="XCX27" s="28"/>
      <c r="XCY27" s="28"/>
      <c r="XCZ27" s="28"/>
      <c r="XDA27" s="28"/>
      <c r="XDB27" s="28"/>
      <c r="XDC27" s="28"/>
      <c r="XDD27" s="28"/>
      <c r="XDE27" s="28"/>
      <c r="XDF27" s="28"/>
      <c r="XDG27" s="28"/>
      <c r="XDH27" s="28"/>
      <c r="XDI27" s="28"/>
      <c r="XDJ27" s="28"/>
      <c r="XDK27" s="28"/>
      <c r="XDL27" s="28"/>
      <c r="XDM27" s="28"/>
      <c r="XDN27" s="28"/>
      <c r="XDO27" s="28"/>
      <c r="XDP27" s="28"/>
      <c r="XDQ27" s="28"/>
      <c r="XDR27" s="28"/>
      <c r="XDS27" s="28"/>
      <c r="XDT27" s="28"/>
      <c r="XDU27" s="28"/>
      <c r="XDV27" s="28"/>
      <c r="XDW27" s="28"/>
      <c r="XDX27" s="28"/>
      <c r="XDY27" s="28"/>
      <c r="XDZ27" s="28"/>
      <c r="XEA27" s="28"/>
      <c r="XEB27" s="28"/>
      <c r="XEC27" s="28"/>
      <c r="XED27" s="28"/>
      <c r="XEE27" s="28"/>
      <c r="XEF27" s="28"/>
      <c r="XEG27" s="28"/>
      <c r="XEH27" s="28"/>
      <c r="XEI27" s="28"/>
      <c r="XEJ27" s="28"/>
      <c r="XEK27" s="28"/>
      <c r="XEL27" s="28"/>
      <c r="XEM27" s="28"/>
      <c r="XEN27" s="28"/>
      <c r="XEO27" s="28"/>
      <c r="XEP27" s="28"/>
      <c r="XEQ27" s="28"/>
      <c r="XER27" s="28"/>
    </row>
    <row r="28" spans="2:16382" ht="15" customHeight="1" x14ac:dyDescent="0.25">
      <c r="B28" s="236"/>
      <c r="C28" s="47"/>
      <c r="D28" s="175" t="s">
        <v>6</v>
      </c>
      <c r="E28" s="177">
        <v>240</v>
      </c>
      <c r="F28" s="177">
        <v>120</v>
      </c>
      <c r="G28" s="177"/>
      <c r="H28" s="177"/>
      <c r="I28" s="177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  <c r="BR28" s="28"/>
      <c r="BS28" s="28"/>
      <c r="BT28" s="28"/>
      <c r="BU28" s="28"/>
      <c r="BV28" s="28"/>
      <c r="BW28" s="28"/>
      <c r="BX28" s="28"/>
      <c r="BY28" s="28"/>
      <c r="BZ28" s="28"/>
      <c r="CA28" s="28"/>
      <c r="CB28" s="28"/>
      <c r="CC28" s="28"/>
      <c r="CD28" s="28"/>
      <c r="CE28" s="28"/>
      <c r="CF28" s="28"/>
      <c r="CG28" s="28"/>
      <c r="CH28" s="28"/>
      <c r="CI28" s="28"/>
      <c r="CJ28" s="28"/>
      <c r="CK28" s="28"/>
      <c r="CL28" s="28"/>
      <c r="CM28" s="28"/>
      <c r="CN28" s="28"/>
      <c r="CO28" s="28"/>
      <c r="CP28" s="28"/>
      <c r="CQ28" s="28"/>
      <c r="CR28" s="28"/>
      <c r="CS28" s="28"/>
      <c r="CT28" s="28"/>
      <c r="CU28" s="28"/>
      <c r="CV28" s="28"/>
      <c r="CW28" s="28"/>
      <c r="CX28" s="28"/>
      <c r="CY28" s="28"/>
      <c r="CZ28" s="28"/>
      <c r="DA28" s="28"/>
      <c r="DB28" s="28"/>
      <c r="DC28" s="28"/>
      <c r="DD28" s="28"/>
      <c r="DE28" s="28"/>
      <c r="DF28" s="28"/>
      <c r="DG28" s="28"/>
      <c r="DH28" s="28"/>
      <c r="DI28" s="28"/>
      <c r="DJ28" s="28"/>
      <c r="DK28" s="28"/>
      <c r="DL28" s="28"/>
      <c r="DM28" s="28"/>
      <c r="DN28" s="28"/>
      <c r="DO28" s="28"/>
      <c r="DP28" s="28"/>
      <c r="DQ28" s="28"/>
      <c r="DR28" s="28"/>
      <c r="DS28" s="28"/>
      <c r="DT28" s="28"/>
      <c r="DU28" s="28"/>
      <c r="DV28" s="28"/>
      <c r="DW28" s="28"/>
      <c r="DX28" s="28"/>
      <c r="DY28" s="28"/>
      <c r="DZ28" s="28"/>
      <c r="EA28" s="28"/>
      <c r="EB28" s="28"/>
      <c r="EC28" s="28"/>
      <c r="ED28" s="28"/>
      <c r="EE28" s="28"/>
      <c r="EF28" s="28"/>
      <c r="EG28" s="28"/>
      <c r="EH28" s="28"/>
      <c r="EI28" s="28"/>
      <c r="EJ28" s="28"/>
      <c r="EK28" s="28"/>
      <c r="EL28" s="28"/>
      <c r="EM28" s="28"/>
      <c r="EN28" s="28"/>
      <c r="EO28" s="28"/>
      <c r="EP28" s="28"/>
      <c r="EQ28" s="28"/>
      <c r="ER28" s="28"/>
      <c r="ES28" s="28"/>
      <c r="ET28" s="28"/>
      <c r="EU28" s="28"/>
      <c r="EV28" s="28"/>
      <c r="EW28" s="28"/>
      <c r="EX28" s="28"/>
      <c r="EY28" s="28"/>
      <c r="EZ28" s="28"/>
      <c r="FA28" s="28"/>
      <c r="FB28" s="28"/>
      <c r="FC28" s="28"/>
      <c r="FD28" s="28"/>
      <c r="FE28" s="28"/>
      <c r="FF28" s="28"/>
      <c r="FG28" s="28"/>
      <c r="FH28" s="28"/>
      <c r="FI28" s="28"/>
      <c r="FJ28" s="28"/>
      <c r="FK28" s="28"/>
      <c r="FL28" s="28"/>
      <c r="FM28" s="28"/>
      <c r="FN28" s="28"/>
      <c r="FO28" s="28"/>
      <c r="FP28" s="28"/>
      <c r="FQ28" s="28"/>
      <c r="FR28" s="28"/>
      <c r="FS28" s="28"/>
      <c r="FT28" s="28"/>
      <c r="FU28" s="28"/>
      <c r="FV28" s="28"/>
      <c r="FW28" s="28"/>
      <c r="FX28" s="28"/>
      <c r="FY28" s="28"/>
      <c r="FZ28" s="28"/>
      <c r="GA28" s="28"/>
      <c r="GB28" s="28"/>
      <c r="GC28" s="28"/>
      <c r="GD28" s="28"/>
      <c r="GE28" s="28"/>
      <c r="GF28" s="28"/>
      <c r="GG28" s="28"/>
      <c r="GH28" s="28"/>
      <c r="GI28" s="28"/>
      <c r="GJ28" s="28"/>
      <c r="GK28" s="28"/>
      <c r="GL28" s="28"/>
      <c r="GM28" s="28"/>
      <c r="GN28" s="28"/>
      <c r="GO28" s="28"/>
      <c r="GP28" s="28"/>
      <c r="GQ28" s="28"/>
      <c r="GR28" s="28"/>
      <c r="GS28" s="28"/>
      <c r="GT28" s="28"/>
      <c r="GU28" s="28"/>
      <c r="GV28" s="28"/>
      <c r="GW28" s="28"/>
      <c r="GX28" s="28"/>
      <c r="GY28" s="28"/>
      <c r="GZ28" s="28"/>
      <c r="HA28" s="28"/>
      <c r="HB28" s="28"/>
      <c r="HC28" s="28"/>
      <c r="HD28" s="28"/>
      <c r="HE28" s="28"/>
      <c r="HF28" s="28"/>
      <c r="HG28" s="28"/>
      <c r="HH28" s="28"/>
      <c r="HI28" s="28"/>
      <c r="HJ28" s="28"/>
      <c r="HK28" s="28"/>
      <c r="HL28" s="28"/>
      <c r="HM28" s="28"/>
      <c r="HN28" s="28"/>
      <c r="HO28" s="28"/>
      <c r="HP28" s="28"/>
      <c r="HQ28" s="28"/>
      <c r="HR28" s="28"/>
      <c r="HS28" s="28"/>
      <c r="HT28" s="28"/>
      <c r="HU28" s="28"/>
      <c r="HV28" s="28"/>
      <c r="HW28" s="28"/>
      <c r="HX28" s="28"/>
      <c r="HY28" s="28"/>
      <c r="HZ28" s="28"/>
      <c r="IA28" s="28"/>
      <c r="IB28" s="28"/>
      <c r="IC28" s="28"/>
      <c r="ID28" s="28"/>
      <c r="IE28" s="28"/>
      <c r="IF28" s="28"/>
      <c r="IG28" s="28"/>
      <c r="IH28" s="28"/>
      <c r="II28" s="28"/>
      <c r="IJ28" s="28"/>
      <c r="IK28" s="28"/>
      <c r="IL28" s="28"/>
      <c r="IM28" s="28"/>
      <c r="IN28" s="28"/>
      <c r="IO28" s="28"/>
      <c r="IP28" s="28"/>
      <c r="IQ28" s="28"/>
      <c r="IR28" s="28"/>
      <c r="IS28" s="28"/>
      <c r="IT28" s="28"/>
      <c r="IU28" s="28"/>
      <c r="IV28" s="28"/>
      <c r="IW28" s="28"/>
      <c r="IX28" s="28"/>
      <c r="IY28" s="28"/>
      <c r="IZ28" s="28"/>
      <c r="JA28" s="28"/>
      <c r="JB28" s="28"/>
      <c r="JC28" s="28"/>
      <c r="JD28" s="28"/>
      <c r="JE28" s="28"/>
      <c r="JF28" s="28"/>
      <c r="JG28" s="28"/>
      <c r="JH28" s="28"/>
      <c r="JI28" s="28"/>
      <c r="JJ28" s="28"/>
      <c r="JK28" s="28"/>
      <c r="JL28" s="28"/>
      <c r="JM28" s="28"/>
      <c r="JN28" s="28"/>
      <c r="JO28" s="28"/>
      <c r="JP28" s="28"/>
      <c r="JQ28" s="28"/>
      <c r="JR28" s="28"/>
      <c r="JS28" s="28"/>
      <c r="JT28" s="28"/>
      <c r="JU28" s="28"/>
      <c r="JV28" s="28"/>
      <c r="JW28" s="28"/>
      <c r="JX28" s="28"/>
      <c r="JY28" s="28"/>
      <c r="JZ28" s="28"/>
      <c r="KA28" s="28"/>
      <c r="KB28" s="28"/>
      <c r="KC28" s="28"/>
      <c r="KD28" s="28"/>
      <c r="KE28" s="28"/>
      <c r="KF28" s="28"/>
      <c r="KG28" s="28"/>
      <c r="KH28" s="28"/>
      <c r="KI28" s="28"/>
      <c r="KJ28" s="28"/>
      <c r="KK28" s="28"/>
      <c r="KL28" s="28"/>
      <c r="KM28" s="28"/>
      <c r="KN28" s="28"/>
      <c r="KO28" s="28"/>
      <c r="KP28" s="28"/>
      <c r="KQ28" s="28"/>
      <c r="KR28" s="28"/>
      <c r="KS28" s="28"/>
      <c r="KT28" s="28"/>
      <c r="KU28" s="28"/>
      <c r="KV28" s="28"/>
      <c r="KW28" s="28"/>
      <c r="KX28" s="28"/>
      <c r="KY28" s="28"/>
      <c r="KZ28" s="28"/>
      <c r="LA28" s="28"/>
      <c r="LB28" s="28"/>
      <c r="LC28" s="28"/>
      <c r="LD28" s="28"/>
      <c r="LE28" s="28"/>
      <c r="LF28" s="28"/>
      <c r="LG28" s="28"/>
      <c r="LH28" s="28"/>
      <c r="LI28" s="28"/>
      <c r="LJ28" s="28"/>
      <c r="LK28" s="28"/>
      <c r="LL28" s="28"/>
      <c r="LM28" s="28"/>
      <c r="LN28" s="28"/>
      <c r="LO28" s="28"/>
      <c r="LP28" s="28"/>
      <c r="LQ28" s="28"/>
      <c r="LR28" s="28"/>
      <c r="LS28" s="28"/>
      <c r="LT28" s="28"/>
      <c r="LU28" s="28"/>
      <c r="LV28" s="28"/>
      <c r="LW28" s="28"/>
      <c r="LX28" s="28"/>
      <c r="LY28" s="28"/>
      <c r="LZ28" s="28"/>
      <c r="MA28" s="28"/>
      <c r="MB28" s="28"/>
      <c r="MC28" s="28"/>
      <c r="MD28" s="28"/>
      <c r="ME28" s="28"/>
      <c r="MF28" s="28"/>
      <c r="MG28" s="28"/>
      <c r="MH28" s="28"/>
      <c r="MI28" s="28"/>
      <c r="MJ28" s="28"/>
      <c r="MK28" s="28"/>
      <c r="ML28" s="28"/>
      <c r="MM28" s="28"/>
      <c r="MN28" s="28"/>
      <c r="MO28" s="28"/>
      <c r="MP28" s="28"/>
      <c r="MQ28" s="28"/>
      <c r="MR28" s="28"/>
      <c r="MS28" s="28"/>
      <c r="MT28" s="28"/>
      <c r="MU28" s="28"/>
      <c r="MV28" s="28"/>
      <c r="MW28" s="28"/>
      <c r="MX28" s="28"/>
      <c r="MY28" s="28"/>
      <c r="MZ28" s="28"/>
      <c r="NA28" s="28"/>
      <c r="NB28" s="28"/>
      <c r="NC28" s="28"/>
      <c r="ND28" s="28"/>
      <c r="NE28" s="28"/>
      <c r="NF28" s="28"/>
      <c r="NG28" s="28"/>
      <c r="NH28" s="28"/>
      <c r="NI28" s="28"/>
      <c r="NJ28" s="28"/>
      <c r="NK28" s="28"/>
      <c r="NL28" s="28"/>
      <c r="NM28" s="28"/>
      <c r="NN28" s="28"/>
      <c r="NO28" s="28"/>
      <c r="NP28" s="28"/>
      <c r="NQ28" s="28"/>
      <c r="NR28" s="28"/>
      <c r="NS28" s="28"/>
      <c r="NT28" s="28"/>
      <c r="NU28" s="28"/>
      <c r="NV28" s="28"/>
      <c r="NW28" s="28"/>
      <c r="NX28" s="28"/>
      <c r="NY28" s="28"/>
      <c r="NZ28" s="28"/>
      <c r="OA28" s="28"/>
      <c r="OB28" s="28"/>
      <c r="OC28" s="28"/>
      <c r="OD28" s="28"/>
      <c r="OE28" s="28"/>
      <c r="OF28" s="28"/>
      <c r="OG28" s="28"/>
      <c r="OH28" s="28"/>
      <c r="OI28" s="28"/>
      <c r="OJ28" s="28"/>
      <c r="OK28" s="28"/>
      <c r="OL28" s="28"/>
      <c r="OM28" s="28"/>
      <c r="ON28" s="28"/>
      <c r="OO28" s="28"/>
      <c r="OP28" s="28"/>
      <c r="OQ28" s="28"/>
      <c r="OR28" s="28"/>
      <c r="OS28" s="28"/>
      <c r="OT28" s="28"/>
      <c r="OU28" s="28"/>
      <c r="OV28" s="28"/>
      <c r="OW28" s="28"/>
      <c r="OX28" s="28"/>
      <c r="OY28" s="28"/>
      <c r="OZ28" s="28"/>
      <c r="PA28" s="28"/>
      <c r="PB28" s="28"/>
      <c r="PC28" s="28"/>
      <c r="PD28" s="28"/>
      <c r="PE28" s="28"/>
      <c r="PF28" s="28"/>
      <c r="PG28" s="28"/>
      <c r="PH28" s="28"/>
      <c r="PI28" s="28"/>
      <c r="PJ28" s="28"/>
      <c r="PK28" s="28"/>
      <c r="PL28" s="28"/>
      <c r="PM28" s="28"/>
      <c r="PN28" s="28"/>
      <c r="PO28" s="28"/>
      <c r="PP28" s="28"/>
      <c r="PQ28" s="28"/>
      <c r="PR28" s="28"/>
      <c r="PS28" s="28"/>
      <c r="PT28" s="28"/>
      <c r="PU28" s="28"/>
      <c r="PV28" s="28"/>
      <c r="PW28" s="28"/>
      <c r="PX28" s="28"/>
      <c r="PY28" s="28"/>
      <c r="PZ28" s="28"/>
      <c r="QA28" s="28"/>
      <c r="QB28" s="28"/>
      <c r="QC28" s="28"/>
      <c r="QD28" s="28"/>
      <c r="QE28" s="28"/>
      <c r="QF28" s="28"/>
      <c r="QG28" s="28"/>
      <c r="QH28" s="28"/>
      <c r="QI28" s="28"/>
      <c r="QJ28" s="28"/>
      <c r="QK28" s="28"/>
      <c r="QL28" s="28"/>
      <c r="QM28" s="28"/>
      <c r="QN28" s="28"/>
      <c r="QO28" s="28"/>
      <c r="QP28" s="28"/>
      <c r="QQ28" s="28"/>
      <c r="QR28" s="28"/>
      <c r="QS28" s="28"/>
      <c r="QT28" s="28"/>
      <c r="QU28" s="28"/>
      <c r="QV28" s="28"/>
      <c r="QW28" s="28"/>
      <c r="QX28" s="28"/>
      <c r="QY28" s="28"/>
      <c r="QZ28" s="28"/>
      <c r="RA28" s="28"/>
      <c r="RB28" s="28"/>
      <c r="RC28" s="28"/>
      <c r="RD28" s="28"/>
      <c r="RE28" s="28"/>
      <c r="RF28" s="28"/>
      <c r="RG28" s="28"/>
      <c r="RH28" s="28"/>
      <c r="RI28" s="28"/>
      <c r="RJ28" s="28"/>
      <c r="RK28" s="28"/>
      <c r="RL28" s="28"/>
      <c r="RM28" s="28"/>
      <c r="RN28" s="28"/>
      <c r="RO28" s="28"/>
      <c r="RP28" s="28"/>
      <c r="RQ28" s="28"/>
      <c r="RR28" s="28"/>
      <c r="RS28" s="28"/>
      <c r="RT28" s="28"/>
      <c r="RU28" s="28"/>
      <c r="RV28" s="28"/>
      <c r="RW28" s="28"/>
      <c r="RX28" s="28"/>
      <c r="RY28" s="28"/>
      <c r="RZ28" s="28"/>
      <c r="SA28" s="28"/>
      <c r="SB28" s="28"/>
      <c r="SC28" s="28"/>
      <c r="SD28" s="28"/>
      <c r="SE28" s="28"/>
      <c r="SF28" s="28"/>
      <c r="SG28" s="28"/>
      <c r="SH28" s="28"/>
      <c r="SI28" s="28"/>
      <c r="SJ28" s="28"/>
      <c r="SK28" s="28"/>
      <c r="SL28" s="28"/>
      <c r="SM28" s="28"/>
      <c r="SN28" s="28"/>
      <c r="SO28" s="28"/>
      <c r="SP28" s="28"/>
      <c r="SQ28" s="28"/>
      <c r="SR28" s="28"/>
      <c r="SS28" s="28"/>
      <c r="ST28" s="28"/>
      <c r="SU28" s="28"/>
      <c r="SV28" s="28"/>
      <c r="SW28" s="28"/>
      <c r="SX28" s="28"/>
      <c r="SY28" s="28"/>
      <c r="SZ28" s="28"/>
      <c r="TA28" s="28"/>
      <c r="TB28" s="28"/>
      <c r="TC28" s="28"/>
      <c r="TD28" s="28"/>
      <c r="TE28" s="28"/>
      <c r="TF28" s="28"/>
      <c r="TG28" s="28"/>
      <c r="TH28" s="28"/>
      <c r="TI28" s="28"/>
      <c r="TJ28" s="28"/>
      <c r="TK28" s="28"/>
      <c r="TL28" s="28"/>
      <c r="TM28" s="28"/>
      <c r="TN28" s="28"/>
      <c r="TO28" s="28"/>
      <c r="TP28" s="28"/>
      <c r="TQ28" s="28"/>
      <c r="TR28" s="28"/>
      <c r="TS28" s="28"/>
      <c r="TT28" s="28"/>
      <c r="TU28" s="28"/>
      <c r="TV28" s="28"/>
      <c r="TW28" s="28"/>
      <c r="TX28" s="28"/>
      <c r="TY28" s="28"/>
      <c r="TZ28" s="28"/>
      <c r="UA28" s="28"/>
      <c r="UB28" s="28"/>
      <c r="UC28" s="28"/>
      <c r="UD28" s="28"/>
      <c r="UE28" s="28"/>
      <c r="UF28" s="28"/>
      <c r="UG28" s="28"/>
      <c r="UH28" s="28"/>
      <c r="UI28" s="28"/>
      <c r="UJ28" s="28"/>
      <c r="UK28" s="28"/>
      <c r="UL28" s="28"/>
      <c r="UM28" s="28"/>
      <c r="UN28" s="28"/>
      <c r="UO28" s="28"/>
      <c r="UP28" s="28"/>
      <c r="UQ28" s="28"/>
      <c r="UR28" s="28"/>
      <c r="US28" s="28"/>
      <c r="UT28" s="28"/>
      <c r="UU28" s="28"/>
      <c r="UV28" s="28"/>
      <c r="UW28" s="28"/>
      <c r="UX28" s="28"/>
      <c r="UY28" s="28"/>
      <c r="UZ28" s="28"/>
      <c r="VA28" s="28"/>
      <c r="VB28" s="28"/>
      <c r="VC28" s="28"/>
      <c r="VD28" s="28"/>
      <c r="VE28" s="28"/>
      <c r="VF28" s="28"/>
      <c r="VG28" s="28"/>
      <c r="VH28" s="28"/>
      <c r="VI28" s="28"/>
      <c r="VJ28" s="28"/>
      <c r="VK28" s="28"/>
      <c r="VL28" s="28"/>
      <c r="VM28" s="28"/>
      <c r="VN28" s="28"/>
      <c r="VO28" s="28"/>
      <c r="VP28" s="28"/>
      <c r="VQ28" s="28"/>
      <c r="VR28" s="28"/>
      <c r="VS28" s="28"/>
      <c r="VT28" s="28"/>
      <c r="VU28" s="28"/>
      <c r="VV28" s="28"/>
      <c r="VW28" s="28"/>
      <c r="VX28" s="28"/>
      <c r="VY28" s="28"/>
      <c r="VZ28" s="28"/>
      <c r="WA28" s="28"/>
      <c r="WB28" s="28"/>
      <c r="WC28" s="28"/>
      <c r="WD28" s="28"/>
      <c r="WE28" s="28"/>
      <c r="WF28" s="28"/>
      <c r="WG28" s="28"/>
      <c r="WH28" s="28"/>
      <c r="WI28" s="28"/>
      <c r="WJ28" s="28"/>
      <c r="WK28" s="28"/>
      <c r="WL28" s="28"/>
      <c r="WM28" s="28"/>
      <c r="WN28" s="28"/>
      <c r="WO28" s="28"/>
      <c r="WP28" s="28"/>
      <c r="WQ28" s="28"/>
      <c r="WR28" s="28"/>
      <c r="WS28" s="28"/>
      <c r="WT28" s="28"/>
      <c r="WU28" s="28"/>
      <c r="WV28" s="28"/>
      <c r="WW28" s="28"/>
      <c r="WX28" s="28"/>
      <c r="WY28" s="28"/>
      <c r="WZ28" s="28"/>
      <c r="XA28" s="28"/>
      <c r="XB28" s="28"/>
      <c r="XC28" s="28"/>
      <c r="XD28" s="28"/>
      <c r="XE28" s="28"/>
      <c r="XF28" s="28"/>
      <c r="XG28" s="28"/>
      <c r="XH28" s="28"/>
      <c r="XI28" s="28"/>
      <c r="XJ28" s="28"/>
      <c r="XK28" s="28"/>
      <c r="XL28" s="28"/>
      <c r="XM28" s="28"/>
      <c r="XN28" s="28"/>
      <c r="XO28" s="28"/>
      <c r="XP28" s="28"/>
      <c r="XQ28" s="28"/>
      <c r="XR28" s="28"/>
      <c r="XS28" s="28"/>
      <c r="XT28" s="28"/>
      <c r="XU28" s="28"/>
      <c r="XV28" s="28"/>
      <c r="XW28" s="28"/>
      <c r="XX28" s="28"/>
      <c r="XY28" s="28"/>
      <c r="XZ28" s="28"/>
      <c r="YA28" s="28"/>
      <c r="YB28" s="28"/>
      <c r="YC28" s="28"/>
      <c r="YD28" s="28"/>
      <c r="YE28" s="28"/>
      <c r="YF28" s="28"/>
      <c r="YG28" s="28"/>
      <c r="YH28" s="28"/>
      <c r="YI28" s="28"/>
      <c r="YJ28" s="28"/>
      <c r="YK28" s="28"/>
      <c r="YL28" s="28"/>
      <c r="YM28" s="28"/>
      <c r="YN28" s="28"/>
      <c r="YO28" s="28"/>
      <c r="YP28" s="28"/>
      <c r="YQ28" s="28"/>
      <c r="YR28" s="28"/>
      <c r="YS28" s="28"/>
      <c r="YT28" s="28"/>
      <c r="YU28" s="28"/>
      <c r="YV28" s="28"/>
      <c r="YW28" s="28"/>
      <c r="YX28" s="28"/>
      <c r="YY28" s="28"/>
      <c r="YZ28" s="28"/>
      <c r="ZA28" s="28"/>
      <c r="ZB28" s="28"/>
      <c r="ZC28" s="28"/>
      <c r="ZD28" s="28"/>
      <c r="ZE28" s="28"/>
      <c r="ZF28" s="28"/>
      <c r="ZG28" s="28"/>
      <c r="ZH28" s="28"/>
      <c r="ZI28" s="28"/>
      <c r="ZJ28" s="28"/>
      <c r="ZK28" s="28"/>
      <c r="ZL28" s="28"/>
      <c r="ZM28" s="28"/>
      <c r="ZN28" s="28"/>
      <c r="ZO28" s="28"/>
      <c r="ZP28" s="28"/>
      <c r="ZQ28" s="28"/>
      <c r="ZR28" s="28"/>
      <c r="ZS28" s="28"/>
      <c r="ZT28" s="28"/>
      <c r="ZU28" s="28"/>
      <c r="ZV28" s="28"/>
      <c r="ZW28" s="28"/>
      <c r="ZX28" s="28"/>
      <c r="ZY28" s="28"/>
      <c r="ZZ28" s="28"/>
      <c r="AAA28" s="28"/>
      <c r="AAB28" s="28"/>
      <c r="AAC28" s="28"/>
      <c r="AAD28" s="28"/>
      <c r="AAE28" s="28"/>
      <c r="AAF28" s="28"/>
      <c r="AAG28" s="28"/>
      <c r="AAH28" s="28"/>
      <c r="AAI28" s="28"/>
      <c r="AAJ28" s="28"/>
      <c r="AAK28" s="28"/>
      <c r="AAL28" s="28"/>
      <c r="AAM28" s="28"/>
      <c r="AAN28" s="28"/>
      <c r="AAO28" s="28"/>
      <c r="AAP28" s="28"/>
      <c r="AAQ28" s="28"/>
      <c r="AAR28" s="28"/>
      <c r="AAS28" s="28"/>
      <c r="AAT28" s="28"/>
      <c r="AAU28" s="28"/>
      <c r="AAV28" s="28"/>
      <c r="AAW28" s="28"/>
      <c r="AAX28" s="28"/>
      <c r="AAY28" s="28"/>
      <c r="AAZ28" s="28"/>
      <c r="ABA28" s="28"/>
      <c r="ABB28" s="28"/>
      <c r="ABC28" s="28"/>
      <c r="ABD28" s="28"/>
      <c r="ABE28" s="28"/>
      <c r="ABF28" s="28"/>
      <c r="ABG28" s="28"/>
      <c r="ABH28" s="28"/>
      <c r="ABI28" s="28"/>
      <c r="ABJ28" s="28"/>
      <c r="ABK28" s="28"/>
      <c r="ABL28" s="28"/>
      <c r="ABM28" s="28"/>
      <c r="ABN28" s="28"/>
      <c r="ABO28" s="28"/>
      <c r="ABP28" s="28"/>
      <c r="ABQ28" s="28"/>
      <c r="ABR28" s="28"/>
      <c r="ABS28" s="28"/>
      <c r="ABT28" s="28"/>
      <c r="ABU28" s="28"/>
      <c r="ABV28" s="28"/>
      <c r="ABW28" s="28"/>
      <c r="ABX28" s="28"/>
      <c r="ABY28" s="28"/>
      <c r="ABZ28" s="28"/>
      <c r="ACA28" s="28"/>
      <c r="ACB28" s="28"/>
      <c r="ACC28" s="28"/>
      <c r="ACD28" s="28"/>
      <c r="ACE28" s="28"/>
      <c r="ACF28" s="28"/>
      <c r="ACG28" s="28"/>
      <c r="ACH28" s="28"/>
      <c r="ACI28" s="28"/>
      <c r="ACJ28" s="28"/>
      <c r="ACK28" s="28"/>
      <c r="ACL28" s="28"/>
      <c r="ACM28" s="28"/>
      <c r="ACN28" s="28"/>
      <c r="ACO28" s="28"/>
      <c r="ACP28" s="28"/>
      <c r="ACQ28" s="28"/>
      <c r="ACR28" s="28"/>
      <c r="ACS28" s="28"/>
      <c r="ACT28" s="28"/>
      <c r="ACU28" s="28"/>
      <c r="ACV28" s="28"/>
      <c r="ACW28" s="28"/>
      <c r="ACX28" s="28"/>
      <c r="ACY28" s="28"/>
      <c r="ACZ28" s="28"/>
      <c r="ADA28" s="28"/>
      <c r="ADB28" s="28"/>
      <c r="ADC28" s="28"/>
      <c r="ADD28" s="28"/>
      <c r="ADE28" s="28"/>
      <c r="ADF28" s="28"/>
      <c r="ADG28" s="28"/>
      <c r="ADH28" s="28"/>
      <c r="ADI28" s="28"/>
      <c r="ADJ28" s="28"/>
      <c r="ADK28" s="28"/>
      <c r="ADL28" s="28"/>
      <c r="ADM28" s="28"/>
      <c r="ADN28" s="28"/>
      <c r="ADO28" s="28"/>
      <c r="ADP28" s="28"/>
      <c r="ADQ28" s="28"/>
      <c r="ADR28" s="28"/>
      <c r="ADS28" s="28"/>
      <c r="ADT28" s="28"/>
      <c r="ADU28" s="28"/>
      <c r="ADV28" s="28"/>
      <c r="ADW28" s="28"/>
      <c r="ADX28" s="28"/>
      <c r="ADY28" s="28"/>
      <c r="ADZ28" s="28"/>
      <c r="AEA28" s="28"/>
      <c r="AEB28" s="28"/>
      <c r="AEC28" s="28"/>
      <c r="AED28" s="28"/>
      <c r="AEE28" s="28"/>
      <c r="AEF28" s="28"/>
      <c r="AEG28" s="28"/>
      <c r="AEH28" s="28"/>
      <c r="AEI28" s="28"/>
      <c r="AEJ28" s="28"/>
      <c r="AEK28" s="28"/>
      <c r="AEL28" s="28"/>
      <c r="AEM28" s="28"/>
      <c r="AEN28" s="28"/>
      <c r="AEO28" s="28"/>
      <c r="AEP28" s="28"/>
      <c r="AEQ28" s="28"/>
      <c r="AER28" s="28"/>
      <c r="AES28" s="28"/>
      <c r="AET28" s="28"/>
      <c r="AEU28" s="28"/>
      <c r="AEV28" s="28"/>
      <c r="AEW28" s="28"/>
      <c r="AEX28" s="28"/>
      <c r="AEY28" s="28"/>
      <c r="AEZ28" s="28"/>
      <c r="AFA28" s="28"/>
      <c r="AFB28" s="28"/>
      <c r="AFC28" s="28"/>
      <c r="AFD28" s="28"/>
      <c r="AFE28" s="28"/>
      <c r="AFF28" s="28"/>
      <c r="AFG28" s="28"/>
      <c r="AFH28" s="28"/>
      <c r="AFI28" s="28"/>
      <c r="AFJ28" s="28"/>
      <c r="AFK28" s="28"/>
      <c r="AFL28" s="28"/>
      <c r="AFM28" s="28"/>
      <c r="AFN28" s="28"/>
      <c r="AFO28" s="28"/>
      <c r="AFP28" s="28"/>
      <c r="AFQ28" s="28"/>
      <c r="AFR28" s="28"/>
      <c r="AFS28" s="28"/>
      <c r="AFT28" s="28"/>
      <c r="AFU28" s="28"/>
      <c r="AFV28" s="28"/>
      <c r="AFW28" s="28"/>
      <c r="AFX28" s="28"/>
      <c r="AFY28" s="28"/>
      <c r="AFZ28" s="28"/>
      <c r="AGA28" s="28"/>
      <c r="AGB28" s="28"/>
      <c r="AGC28" s="28"/>
      <c r="AGD28" s="28"/>
      <c r="AGE28" s="28"/>
      <c r="AGF28" s="28"/>
      <c r="AGG28" s="28"/>
      <c r="AGH28" s="28"/>
      <c r="AGI28" s="28"/>
      <c r="AGJ28" s="28"/>
      <c r="AGK28" s="28"/>
      <c r="AGL28" s="28"/>
      <c r="AGM28" s="28"/>
      <c r="AGN28" s="28"/>
      <c r="AGO28" s="28"/>
      <c r="AGP28" s="28"/>
      <c r="AGQ28" s="28"/>
      <c r="AGR28" s="28"/>
      <c r="AGS28" s="28"/>
      <c r="AGT28" s="28"/>
      <c r="AGU28" s="28"/>
      <c r="AGV28" s="28"/>
      <c r="AGW28" s="28"/>
      <c r="AGX28" s="28"/>
      <c r="AGY28" s="28"/>
      <c r="AGZ28" s="28"/>
      <c r="AHA28" s="28"/>
      <c r="AHB28" s="28"/>
      <c r="AHC28" s="28"/>
      <c r="AHD28" s="28"/>
      <c r="AHE28" s="28"/>
      <c r="AHF28" s="28"/>
      <c r="AHG28" s="28"/>
      <c r="AHH28" s="28"/>
      <c r="AHI28" s="28"/>
      <c r="AHJ28" s="28"/>
      <c r="AHK28" s="28"/>
      <c r="AHL28" s="28"/>
      <c r="AHM28" s="28"/>
      <c r="AHN28" s="28"/>
      <c r="AHO28" s="28"/>
      <c r="AHP28" s="28"/>
      <c r="AHQ28" s="28"/>
      <c r="AHR28" s="28"/>
      <c r="AHS28" s="28"/>
      <c r="AHT28" s="28"/>
      <c r="AHU28" s="28"/>
      <c r="AHV28" s="28"/>
      <c r="AHW28" s="28"/>
      <c r="AHX28" s="28"/>
      <c r="AHY28" s="28"/>
      <c r="AHZ28" s="28"/>
      <c r="AIA28" s="28"/>
      <c r="AIB28" s="28"/>
      <c r="AIC28" s="28"/>
      <c r="AID28" s="28"/>
      <c r="AIE28" s="28"/>
      <c r="AIF28" s="28"/>
      <c r="AIG28" s="28"/>
      <c r="AIH28" s="28"/>
      <c r="AII28" s="28"/>
      <c r="AIJ28" s="28"/>
      <c r="AIK28" s="28"/>
      <c r="AIL28" s="28"/>
      <c r="AIM28" s="28"/>
      <c r="AIN28" s="28"/>
      <c r="AIO28" s="28"/>
      <c r="AIP28" s="28"/>
      <c r="AIQ28" s="28"/>
      <c r="AIR28" s="28"/>
      <c r="AIS28" s="28"/>
      <c r="AIT28" s="28"/>
      <c r="AIU28" s="28"/>
      <c r="AIV28" s="28"/>
      <c r="AIW28" s="28"/>
      <c r="AIX28" s="28"/>
      <c r="AIY28" s="28"/>
      <c r="AIZ28" s="28"/>
      <c r="AJA28" s="28"/>
      <c r="AJB28" s="28"/>
      <c r="AJC28" s="28"/>
      <c r="AJD28" s="28"/>
      <c r="AJE28" s="28"/>
      <c r="AJF28" s="28"/>
      <c r="AJG28" s="28"/>
      <c r="AJH28" s="28"/>
      <c r="AJI28" s="28"/>
      <c r="AJJ28" s="28"/>
      <c r="AJK28" s="28"/>
      <c r="AJL28" s="28"/>
      <c r="AJM28" s="28"/>
      <c r="AJN28" s="28"/>
      <c r="AJO28" s="28"/>
      <c r="AJP28" s="28"/>
      <c r="AJQ28" s="28"/>
      <c r="AJR28" s="28"/>
      <c r="AJS28" s="28"/>
      <c r="AJT28" s="28"/>
      <c r="AJU28" s="28"/>
      <c r="AJV28" s="28"/>
      <c r="AJW28" s="28"/>
      <c r="AJX28" s="28"/>
      <c r="AJY28" s="28"/>
      <c r="AJZ28" s="28"/>
      <c r="AKA28" s="28"/>
      <c r="AKB28" s="28"/>
      <c r="AKC28" s="28"/>
      <c r="AKD28" s="28"/>
      <c r="AKE28" s="28"/>
      <c r="AKF28" s="28"/>
      <c r="AKG28" s="28"/>
      <c r="AKH28" s="28"/>
      <c r="AKI28" s="28"/>
      <c r="AKJ28" s="28"/>
      <c r="AKK28" s="28"/>
      <c r="AKL28" s="28"/>
      <c r="AKM28" s="28"/>
      <c r="AKN28" s="28"/>
      <c r="AKO28" s="28"/>
      <c r="AKP28" s="28"/>
      <c r="AKQ28" s="28"/>
      <c r="AKR28" s="28"/>
      <c r="AKS28" s="28"/>
      <c r="AKT28" s="28"/>
      <c r="AKU28" s="28"/>
      <c r="AKV28" s="28"/>
      <c r="AKW28" s="28"/>
      <c r="AKX28" s="28"/>
      <c r="AKY28" s="28"/>
      <c r="AKZ28" s="28"/>
      <c r="ALA28" s="28"/>
      <c r="ALB28" s="28"/>
      <c r="ALC28" s="28"/>
      <c r="ALD28" s="28"/>
      <c r="ALE28" s="28"/>
      <c r="ALF28" s="28"/>
      <c r="ALG28" s="28"/>
      <c r="ALH28" s="28"/>
      <c r="ALI28" s="28"/>
      <c r="ALJ28" s="28"/>
      <c r="ALK28" s="28"/>
      <c r="ALL28" s="28"/>
      <c r="ALM28" s="28"/>
      <c r="ALN28" s="28"/>
      <c r="ALO28" s="28"/>
      <c r="ALP28" s="28"/>
      <c r="ALQ28" s="28"/>
      <c r="ALR28" s="28"/>
      <c r="ALS28" s="28"/>
      <c r="ALT28" s="28"/>
      <c r="ALU28" s="28"/>
      <c r="ALV28" s="28"/>
      <c r="ALW28" s="28"/>
      <c r="ALX28" s="28"/>
      <c r="ALY28" s="28"/>
      <c r="ALZ28" s="28"/>
      <c r="AMA28" s="28"/>
      <c r="AMB28" s="28"/>
      <c r="AMC28" s="28"/>
      <c r="AMD28" s="28"/>
      <c r="AME28" s="28"/>
      <c r="AMF28" s="28"/>
      <c r="AMG28" s="28"/>
      <c r="AMH28" s="28"/>
      <c r="AMI28" s="28"/>
      <c r="AMJ28" s="28"/>
      <c r="AMK28" s="28"/>
      <c r="AML28" s="28"/>
      <c r="AMM28" s="28"/>
      <c r="AMN28" s="28"/>
      <c r="AMO28" s="28"/>
      <c r="AMP28" s="28"/>
      <c r="AMQ28" s="28"/>
      <c r="AMR28" s="28"/>
      <c r="AMS28" s="28"/>
      <c r="AMT28" s="28"/>
      <c r="AMU28" s="28"/>
      <c r="AMV28" s="28"/>
      <c r="AMW28" s="28"/>
      <c r="AMX28" s="28"/>
      <c r="AMY28" s="28"/>
      <c r="AMZ28" s="28"/>
      <c r="ANA28" s="28"/>
      <c r="ANB28" s="28"/>
      <c r="ANC28" s="28"/>
      <c r="AND28" s="28"/>
      <c r="ANE28" s="28"/>
      <c r="ANF28" s="28"/>
      <c r="ANG28" s="28"/>
      <c r="ANH28" s="28"/>
      <c r="ANI28" s="28"/>
      <c r="ANJ28" s="28"/>
      <c r="ANK28" s="28"/>
      <c r="ANL28" s="28"/>
      <c r="ANM28" s="28"/>
      <c r="ANN28" s="28"/>
      <c r="ANO28" s="28"/>
      <c r="ANP28" s="28"/>
      <c r="ANQ28" s="28"/>
      <c r="ANR28" s="28"/>
      <c r="ANS28" s="28"/>
      <c r="ANT28" s="28"/>
      <c r="ANU28" s="28"/>
      <c r="ANV28" s="28"/>
      <c r="ANW28" s="28"/>
      <c r="ANX28" s="28"/>
      <c r="ANY28" s="28"/>
      <c r="ANZ28" s="28"/>
      <c r="AOA28" s="28"/>
      <c r="AOB28" s="28"/>
      <c r="AOC28" s="28"/>
      <c r="AOD28" s="28"/>
      <c r="AOE28" s="28"/>
      <c r="AOF28" s="28"/>
      <c r="AOG28" s="28"/>
      <c r="AOH28" s="28"/>
      <c r="AOI28" s="28"/>
      <c r="AOJ28" s="28"/>
      <c r="AOK28" s="28"/>
      <c r="AOL28" s="28"/>
      <c r="AOM28" s="28"/>
      <c r="AON28" s="28"/>
      <c r="AOO28" s="28"/>
      <c r="AOP28" s="28"/>
      <c r="AOQ28" s="28"/>
      <c r="AOR28" s="28"/>
      <c r="AOS28" s="28"/>
      <c r="AOT28" s="28"/>
      <c r="AOU28" s="28"/>
      <c r="AOV28" s="28"/>
      <c r="AOW28" s="28"/>
      <c r="AOX28" s="28"/>
      <c r="AOY28" s="28"/>
      <c r="AOZ28" s="28"/>
      <c r="APA28" s="28"/>
      <c r="APB28" s="28"/>
      <c r="APC28" s="28"/>
      <c r="APD28" s="28"/>
      <c r="APE28" s="28"/>
      <c r="APF28" s="28"/>
      <c r="APG28" s="28"/>
      <c r="APH28" s="28"/>
      <c r="API28" s="28"/>
      <c r="APJ28" s="28"/>
      <c r="APK28" s="28"/>
      <c r="APL28" s="28"/>
      <c r="APM28" s="28"/>
      <c r="APN28" s="28"/>
      <c r="APO28" s="28"/>
      <c r="APP28" s="28"/>
      <c r="APQ28" s="28"/>
      <c r="APR28" s="28"/>
      <c r="APS28" s="28"/>
      <c r="APT28" s="28"/>
      <c r="APU28" s="28"/>
      <c r="APV28" s="28"/>
      <c r="APW28" s="28"/>
      <c r="APX28" s="28"/>
      <c r="APY28" s="28"/>
      <c r="APZ28" s="28"/>
      <c r="AQA28" s="28"/>
      <c r="AQB28" s="28"/>
      <c r="AQC28" s="28"/>
      <c r="AQD28" s="28"/>
      <c r="AQE28" s="28"/>
      <c r="AQF28" s="28"/>
      <c r="AQG28" s="28"/>
      <c r="AQH28" s="28"/>
      <c r="AQI28" s="28"/>
      <c r="AQJ28" s="28"/>
      <c r="AQK28" s="28"/>
      <c r="AQL28" s="28"/>
      <c r="AQM28" s="28"/>
      <c r="AQN28" s="28"/>
      <c r="AQO28" s="28"/>
      <c r="AQP28" s="28"/>
      <c r="AQQ28" s="28"/>
      <c r="AQR28" s="28"/>
      <c r="AQS28" s="28"/>
      <c r="AQT28" s="28"/>
      <c r="AQU28" s="28"/>
      <c r="AQV28" s="28"/>
      <c r="AQW28" s="28"/>
      <c r="AQX28" s="28"/>
      <c r="AQY28" s="28"/>
      <c r="AQZ28" s="28"/>
      <c r="ARA28" s="28"/>
      <c r="ARB28" s="28"/>
      <c r="ARC28" s="28"/>
      <c r="ARD28" s="28"/>
      <c r="ARE28" s="28"/>
      <c r="ARF28" s="28"/>
      <c r="ARG28" s="28"/>
      <c r="ARH28" s="28"/>
      <c r="ARI28" s="28"/>
      <c r="ARJ28" s="28"/>
      <c r="ARK28" s="28"/>
      <c r="ARL28" s="28"/>
      <c r="ARM28" s="28"/>
      <c r="ARN28" s="28"/>
      <c r="ARO28" s="28"/>
      <c r="ARP28" s="28"/>
      <c r="ARQ28" s="28"/>
      <c r="ARR28" s="28"/>
      <c r="ARS28" s="28"/>
      <c r="ART28" s="28"/>
      <c r="ARU28" s="28"/>
      <c r="ARV28" s="28"/>
      <c r="ARW28" s="28"/>
      <c r="ARX28" s="28"/>
      <c r="ARY28" s="28"/>
      <c r="ARZ28" s="28"/>
      <c r="ASA28" s="28"/>
      <c r="ASB28" s="28"/>
      <c r="ASC28" s="28"/>
      <c r="ASD28" s="28"/>
      <c r="ASE28" s="28"/>
      <c r="ASF28" s="28"/>
      <c r="ASG28" s="28"/>
      <c r="ASH28" s="28"/>
      <c r="ASI28" s="28"/>
      <c r="ASJ28" s="28"/>
      <c r="ASK28" s="28"/>
      <c r="ASL28" s="28"/>
      <c r="ASM28" s="28"/>
      <c r="ASN28" s="28"/>
      <c r="ASO28" s="28"/>
      <c r="ASP28" s="28"/>
      <c r="ASQ28" s="28"/>
      <c r="ASR28" s="28"/>
      <c r="ASS28" s="28"/>
      <c r="AST28" s="28"/>
      <c r="ASU28" s="28"/>
      <c r="ASV28" s="28"/>
      <c r="ASW28" s="28"/>
      <c r="ASX28" s="28"/>
      <c r="ASY28" s="28"/>
      <c r="ASZ28" s="28"/>
      <c r="ATA28" s="28"/>
      <c r="ATB28" s="28"/>
      <c r="ATC28" s="28"/>
      <c r="ATD28" s="28"/>
      <c r="ATE28" s="28"/>
      <c r="ATF28" s="28"/>
      <c r="ATG28" s="28"/>
      <c r="ATH28" s="28"/>
      <c r="ATI28" s="28"/>
      <c r="ATJ28" s="28"/>
      <c r="ATK28" s="28"/>
      <c r="ATL28" s="28"/>
      <c r="ATM28" s="28"/>
      <c r="ATN28" s="28"/>
      <c r="ATO28" s="28"/>
      <c r="ATP28" s="28"/>
      <c r="ATQ28" s="28"/>
      <c r="ATR28" s="28"/>
      <c r="ATS28" s="28"/>
      <c r="ATT28" s="28"/>
      <c r="ATU28" s="28"/>
      <c r="ATV28" s="28"/>
      <c r="ATW28" s="28"/>
      <c r="ATX28" s="28"/>
      <c r="ATY28" s="28"/>
      <c r="ATZ28" s="28"/>
      <c r="AUA28" s="28"/>
      <c r="AUB28" s="28"/>
      <c r="AUC28" s="28"/>
      <c r="AUD28" s="28"/>
      <c r="AUE28" s="28"/>
      <c r="AUF28" s="28"/>
      <c r="AUG28" s="28"/>
      <c r="AUH28" s="28"/>
      <c r="AUI28" s="28"/>
      <c r="AUJ28" s="28"/>
      <c r="AUK28" s="28"/>
      <c r="AUL28" s="28"/>
      <c r="AUM28" s="28"/>
      <c r="AUN28" s="28"/>
      <c r="AUO28" s="28"/>
      <c r="AUP28" s="28"/>
      <c r="AUQ28" s="28"/>
      <c r="AUR28" s="28"/>
      <c r="AUS28" s="28"/>
      <c r="AUT28" s="28"/>
      <c r="AUU28" s="28"/>
      <c r="AUV28" s="28"/>
      <c r="AUW28" s="28"/>
      <c r="AUX28" s="28"/>
      <c r="AUY28" s="28"/>
      <c r="AUZ28" s="28"/>
      <c r="AVA28" s="28"/>
      <c r="AVB28" s="28"/>
      <c r="AVC28" s="28"/>
      <c r="AVD28" s="28"/>
      <c r="AVE28" s="28"/>
      <c r="AVF28" s="28"/>
      <c r="AVG28" s="28"/>
      <c r="AVH28" s="28"/>
      <c r="AVI28" s="28"/>
      <c r="AVJ28" s="28"/>
      <c r="AVK28" s="28"/>
      <c r="AVL28" s="28"/>
      <c r="AVM28" s="28"/>
      <c r="AVN28" s="28"/>
      <c r="AVO28" s="28"/>
      <c r="AVP28" s="28"/>
      <c r="AVQ28" s="28"/>
      <c r="AVR28" s="28"/>
      <c r="AVS28" s="28"/>
      <c r="AVT28" s="28"/>
      <c r="AVU28" s="28"/>
      <c r="AVV28" s="28"/>
      <c r="AVW28" s="28"/>
      <c r="AVX28" s="28"/>
      <c r="AVY28" s="28"/>
      <c r="AVZ28" s="28"/>
      <c r="AWA28" s="28"/>
      <c r="AWB28" s="28"/>
      <c r="AWC28" s="28"/>
      <c r="AWD28" s="28"/>
      <c r="AWE28" s="28"/>
      <c r="AWF28" s="28"/>
      <c r="AWG28" s="28"/>
      <c r="AWH28" s="28"/>
      <c r="AWI28" s="28"/>
      <c r="AWJ28" s="28"/>
      <c r="AWK28" s="28"/>
      <c r="AWL28" s="28"/>
      <c r="AWM28" s="28"/>
      <c r="AWN28" s="28"/>
      <c r="AWO28" s="28"/>
      <c r="AWP28" s="28"/>
      <c r="AWQ28" s="28"/>
      <c r="AWR28" s="28"/>
      <c r="AWS28" s="28"/>
      <c r="AWT28" s="28"/>
      <c r="AWU28" s="28"/>
      <c r="AWV28" s="28"/>
      <c r="AWW28" s="28"/>
      <c r="AWX28" s="28"/>
      <c r="AWY28" s="28"/>
      <c r="AWZ28" s="28"/>
      <c r="AXA28" s="28"/>
      <c r="AXB28" s="28"/>
      <c r="AXC28" s="28"/>
      <c r="AXD28" s="28"/>
      <c r="AXE28" s="28"/>
      <c r="AXF28" s="28"/>
      <c r="AXG28" s="28"/>
      <c r="AXH28" s="28"/>
      <c r="AXI28" s="28"/>
      <c r="AXJ28" s="28"/>
      <c r="AXK28" s="28"/>
      <c r="AXL28" s="28"/>
      <c r="AXM28" s="28"/>
      <c r="AXN28" s="28"/>
      <c r="AXO28" s="28"/>
      <c r="AXP28" s="28"/>
      <c r="AXQ28" s="28"/>
      <c r="AXR28" s="28"/>
      <c r="AXS28" s="28"/>
      <c r="AXT28" s="28"/>
      <c r="AXU28" s="28"/>
      <c r="AXV28" s="28"/>
      <c r="AXW28" s="28"/>
      <c r="AXX28" s="28"/>
      <c r="AXY28" s="28"/>
      <c r="AXZ28" s="28"/>
      <c r="AYA28" s="28"/>
      <c r="AYB28" s="28"/>
      <c r="AYC28" s="28"/>
      <c r="AYD28" s="28"/>
      <c r="AYE28" s="28"/>
      <c r="AYF28" s="28"/>
      <c r="AYG28" s="28"/>
      <c r="AYH28" s="28"/>
      <c r="AYI28" s="28"/>
      <c r="AYJ28" s="28"/>
      <c r="AYK28" s="28"/>
      <c r="AYL28" s="28"/>
      <c r="AYM28" s="28"/>
      <c r="AYN28" s="28"/>
      <c r="AYO28" s="28"/>
      <c r="AYP28" s="28"/>
      <c r="AYQ28" s="28"/>
      <c r="AYR28" s="28"/>
      <c r="AYS28" s="28"/>
      <c r="AYT28" s="28"/>
      <c r="AYU28" s="28"/>
      <c r="AYV28" s="28"/>
      <c r="AYW28" s="28"/>
      <c r="AYX28" s="28"/>
      <c r="AYY28" s="28"/>
      <c r="AYZ28" s="28"/>
      <c r="AZA28" s="28"/>
      <c r="AZB28" s="28"/>
      <c r="AZC28" s="28"/>
      <c r="AZD28" s="28"/>
      <c r="AZE28" s="28"/>
      <c r="AZF28" s="28"/>
      <c r="AZG28" s="28"/>
      <c r="AZH28" s="28"/>
      <c r="AZI28" s="28"/>
      <c r="AZJ28" s="28"/>
      <c r="AZK28" s="28"/>
      <c r="AZL28" s="28"/>
      <c r="AZM28" s="28"/>
      <c r="AZN28" s="28"/>
      <c r="AZO28" s="28"/>
      <c r="AZP28" s="28"/>
      <c r="AZQ28" s="28"/>
      <c r="AZR28" s="28"/>
      <c r="AZS28" s="28"/>
      <c r="AZT28" s="28"/>
      <c r="AZU28" s="28"/>
      <c r="AZV28" s="28"/>
      <c r="AZW28" s="28"/>
      <c r="AZX28" s="28"/>
      <c r="AZY28" s="28"/>
      <c r="AZZ28" s="28"/>
      <c r="BAA28" s="28"/>
      <c r="BAB28" s="28"/>
      <c r="BAC28" s="28"/>
      <c r="BAD28" s="28"/>
      <c r="BAE28" s="28"/>
      <c r="BAF28" s="28"/>
      <c r="BAG28" s="28"/>
      <c r="BAH28" s="28"/>
      <c r="BAI28" s="28"/>
      <c r="BAJ28" s="28"/>
      <c r="BAK28" s="28"/>
      <c r="BAL28" s="28"/>
      <c r="BAM28" s="28"/>
      <c r="BAN28" s="28"/>
      <c r="BAO28" s="28"/>
      <c r="BAP28" s="28"/>
      <c r="BAQ28" s="28"/>
      <c r="BAR28" s="28"/>
      <c r="BAS28" s="28"/>
      <c r="BAT28" s="28"/>
      <c r="BAU28" s="28"/>
      <c r="BAV28" s="28"/>
      <c r="BAW28" s="28"/>
      <c r="BAX28" s="28"/>
      <c r="BAY28" s="28"/>
      <c r="BAZ28" s="28"/>
      <c r="BBA28" s="28"/>
      <c r="BBB28" s="28"/>
      <c r="BBC28" s="28"/>
      <c r="BBD28" s="28"/>
      <c r="BBE28" s="28"/>
      <c r="BBF28" s="28"/>
      <c r="BBG28" s="28"/>
      <c r="BBH28" s="28"/>
      <c r="BBI28" s="28"/>
      <c r="BBJ28" s="28"/>
      <c r="BBK28" s="28"/>
      <c r="BBL28" s="28"/>
      <c r="BBM28" s="28"/>
      <c r="BBN28" s="28"/>
      <c r="BBO28" s="28"/>
      <c r="BBP28" s="28"/>
      <c r="BBQ28" s="28"/>
      <c r="BBR28" s="28"/>
      <c r="BBS28" s="28"/>
      <c r="BBT28" s="28"/>
      <c r="BBU28" s="28"/>
      <c r="BBV28" s="28"/>
      <c r="BBW28" s="28"/>
      <c r="BBX28" s="28"/>
      <c r="BBY28" s="28"/>
      <c r="BBZ28" s="28"/>
      <c r="BCA28" s="28"/>
      <c r="BCB28" s="28"/>
      <c r="BCC28" s="28"/>
      <c r="BCD28" s="28"/>
      <c r="BCE28" s="28"/>
      <c r="BCF28" s="28"/>
      <c r="BCG28" s="28"/>
      <c r="BCH28" s="28"/>
      <c r="BCI28" s="28"/>
      <c r="BCJ28" s="28"/>
      <c r="BCK28" s="28"/>
      <c r="BCL28" s="28"/>
      <c r="BCM28" s="28"/>
      <c r="BCN28" s="28"/>
      <c r="BCO28" s="28"/>
      <c r="BCP28" s="28"/>
      <c r="BCQ28" s="28"/>
      <c r="BCR28" s="28"/>
      <c r="BCS28" s="28"/>
      <c r="BCT28" s="28"/>
      <c r="BCU28" s="28"/>
      <c r="BCV28" s="28"/>
      <c r="BCW28" s="28"/>
      <c r="BCX28" s="28"/>
      <c r="BCY28" s="28"/>
      <c r="BCZ28" s="28"/>
      <c r="BDA28" s="28"/>
      <c r="BDB28" s="28"/>
      <c r="BDC28" s="28"/>
      <c r="BDD28" s="28"/>
      <c r="BDE28" s="28"/>
      <c r="BDF28" s="28"/>
      <c r="BDG28" s="28"/>
      <c r="BDH28" s="28"/>
      <c r="BDI28" s="28"/>
      <c r="BDJ28" s="28"/>
      <c r="BDK28" s="28"/>
      <c r="BDL28" s="28"/>
      <c r="BDM28" s="28"/>
      <c r="BDN28" s="28"/>
      <c r="BDO28" s="28"/>
      <c r="BDP28" s="28"/>
      <c r="BDQ28" s="28"/>
      <c r="BDR28" s="28"/>
      <c r="BDS28" s="28"/>
      <c r="BDT28" s="28"/>
      <c r="BDU28" s="28"/>
      <c r="BDV28" s="28"/>
      <c r="BDW28" s="28"/>
      <c r="BDX28" s="28"/>
      <c r="BDY28" s="28"/>
      <c r="BDZ28" s="28"/>
      <c r="BEA28" s="28"/>
      <c r="BEB28" s="28"/>
      <c r="BEC28" s="28"/>
      <c r="BED28" s="28"/>
      <c r="BEE28" s="28"/>
      <c r="BEF28" s="28"/>
      <c r="BEG28" s="28"/>
      <c r="BEH28" s="28"/>
      <c r="BEI28" s="28"/>
      <c r="BEJ28" s="28"/>
      <c r="BEK28" s="28"/>
      <c r="BEL28" s="28"/>
      <c r="BEM28" s="28"/>
      <c r="BEN28" s="28"/>
      <c r="BEO28" s="28"/>
      <c r="BEP28" s="28"/>
      <c r="BEQ28" s="28"/>
      <c r="BER28" s="28"/>
      <c r="BES28" s="28"/>
      <c r="BET28" s="28"/>
      <c r="BEU28" s="28"/>
      <c r="BEV28" s="28"/>
      <c r="BEW28" s="28"/>
      <c r="BEX28" s="28"/>
      <c r="BEY28" s="28"/>
      <c r="BEZ28" s="28"/>
      <c r="BFA28" s="28"/>
      <c r="BFB28" s="28"/>
      <c r="BFC28" s="28"/>
      <c r="BFD28" s="28"/>
      <c r="BFE28" s="28"/>
      <c r="BFF28" s="28"/>
      <c r="BFG28" s="28"/>
      <c r="BFH28" s="28"/>
      <c r="BFI28" s="28"/>
      <c r="BFJ28" s="28"/>
      <c r="BFK28" s="28"/>
      <c r="BFL28" s="28"/>
      <c r="BFM28" s="28"/>
      <c r="BFN28" s="28"/>
      <c r="BFO28" s="28"/>
      <c r="BFP28" s="28"/>
      <c r="BFQ28" s="28"/>
      <c r="BFR28" s="28"/>
      <c r="BFS28" s="28"/>
      <c r="BFT28" s="28"/>
      <c r="BFU28" s="28"/>
      <c r="BFV28" s="28"/>
      <c r="BFW28" s="28"/>
      <c r="BFX28" s="28"/>
      <c r="BFY28" s="28"/>
      <c r="BFZ28" s="28"/>
      <c r="BGA28" s="28"/>
      <c r="BGB28" s="28"/>
      <c r="BGC28" s="28"/>
      <c r="BGD28" s="28"/>
      <c r="BGE28" s="28"/>
      <c r="BGF28" s="28"/>
      <c r="BGG28" s="28"/>
      <c r="BGH28" s="28"/>
      <c r="BGI28" s="28"/>
      <c r="BGJ28" s="28"/>
      <c r="BGK28" s="28"/>
      <c r="BGL28" s="28"/>
      <c r="BGM28" s="28"/>
      <c r="BGN28" s="28"/>
      <c r="BGO28" s="28"/>
      <c r="BGP28" s="28"/>
      <c r="BGQ28" s="28"/>
      <c r="BGR28" s="28"/>
      <c r="BGS28" s="28"/>
      <c r="BGT28" s="28"/>
      <c r="BGU28" s="28"/>
      <c r="BGV28" s="28"/>
      <c r="BGW28" s="28"/>
      <c r="BGX28" s="28"/>
      <c r="BGY28" s="28"/>
      <c r="BGZ28" s="28"/>
      <c r="BHA28" s="28"/>
      <c r="BHB28" s="28"/>
      <c r="BHC28" s="28"/>
      <c r="BHD28" s="28"/>
      <c r="BHE28" s="28"/>
      <c r="BHF28" s="28"/>
      <c r="BHG28" s="28"/>
      <c r="BHH28" s="28"/>
      <c r="BHI28" s="28"/>
      <c r="BHJ28" s="28"/>
      <c r="BHK28" s="28"/>
      <c r="BHL28" s="28"/>
      <c r="BHM28" s="28"/>
      <c r="BHN28" s="28"/>
      <c r="BHO28" s="28"/>
      <c r="BHP28" s="28"/>
      <c r="BHQ28" s="28"/>
      <c r="BHR28" s="28"/>
      <c r="BHS28" s="28"/>
      <c r="BHT28" s="28"/>
      <c r="BHU28" s="28"/>
      <c r="BHV28" s="28"/>
      <c r="BHW28" s="28"/>
      <c r="BHX28" s="28"/>
      <c r="BHY28" s="28"/>
      <c r="BHZ28" s="28"/>
      <c r="BIA28" s="28"/>
      <c r="BIB28" s="28"/>
      <c r="BIC28" s="28"/>
      <c r="BID28" s="28"/>
      <c r="BIE28" s="28"/>
      <c r="BIF28" s="28"/>
      <c r="BIG28" s="28"/>
      <c r="BIH28" s="28"/>
      <c r="BII28" s="28"/>
      <c r="BIJ28" s="28"/>
      <c r="BIK28" s="28"/>
      <c r="BIL28" s="28"/>
      <c r="BIM28" s="28"/>
      <c r="BIN28" s="28"/>
      <c r="BIO28" s="28"/>
      <c r="BIP28" s="28"/>
      <c r="BIQ28" s="28"/>
      <c r="BIR28" s="28"/>
      <c r="BIS28" s="28"/>
      <c r="BIT28" s="28"/>
      <c r="BIU28" s="28"/>
      <c r="BIV28" s="28"/>
      <c r="BIW28" s="28"/>
      <c r="BIX28" s="28"/>
      <c r="BIY28" s="28"/>
      <c r="BIZ28" s="28"/>
      <c r="BJA28" s="28"/>
      <c r="BJB28" s="28"/>
      <c r="BJC28" s="28"/>
      <c r="BJD28" s="28"/>
      <c r="BJE28" s="28"/>
      <c r="BJF28" s="28"/>
      <c r="BJG28" s="28"/>
      <c r="BJH28" s="28"/>
      <c r="BJI28" s="28"/>
      <c r="BJJ28" s="28"/>
      <c r="BJK28" s="28"/>
      <c r="BJL28" s="28"/>
      <c r="BJM28" s="28"/>
      <c r="BJN28" s="28"/>
      <c r="BJO28" s="28"/>
      <c r="BJP28" s="28"/>
      <c r="BJQ28" s="28"/>
      <c r="BJR28" s="28"/>
      <c r="BJS28" s="28"/>
      <c r="BJT28" s="28"/>
      <c r="BJU28" s="28"/>
      <c r="BJV28" s="28"/>
      <c r="BJW28" s="28"/>
      <c r="BJX28" s="28"/>
      <c r="BJY28" s="28"/>
      <c r="BJZ28" s="28"/>
      <c r="BKA28" s="28"/>
      <c r="BKB28" s="28"/>
      <c r="BKC28" s="28"/>
      <c r="BKD28" s="28"/>
      <c r="BKE28" s="28"/>
      <c r="BKF28" s="28"/>
      <c r="BKG28" s="28"/>
      <c r="BKH28" s="28"/>
      <c r="BKI28" s="28"/>
      <c r="BKJ28" s="28"/>
      <c r="BKK28" s="28"/>
      <c r="BKL28" s="28"/>
      <c r="BKM28" s="28"/>
      <c r="BKN28" s="28"/>
      <c r="BKO28" s="28"/>
      <c r="BKP28" s="28"/>
      <c r="BKQ28" s="28"/>
      <c r="BKR28" s="28"/>
      <c r="BKS28" s="28"/>
      <c r="BKT28" s="28"/>
      <c r="BKU28" s="28"/>
      <c r="BKV28" s="28"/>
      <c r="BKW28" s="28"/>
      <c r="BKX28" s="28"/>
      <c r="BKY28" s="28"/>
      <c r="BKZ28" s="28"/>
      <c r="BLA28" s="28"/>
      <c r="BLB28" s="28"/>
      <c r="BLC28" s="28"/>
      <c r="BLD28" s="28"/>
      <c r="BLE28" s="28"/>
      <c r="BLF28" s="28"/>
      <c r="BLG28" s="28"/>
      <c r="BLH28" s="28"/>
      <c r="BLI28" s="28"/>
      <c r="BLJ28" s="28"/>
      <c r="BLK28" s="28"/>
      <c r="BLL28" s="28"/>
      <c r="BLM28" s="28"/>
      <c r="BLN28" s="28"/>
      <c r="BLO28" s="28"/>
      <c r="BLP28" s="28"/>
      <c r="BLQ28" s="28"/>
      <c r="BLR28" s="28"/>
      <c r="BLS28" s="28"/>
      <c r="BLT28" s="28"/>
      <c r="BLU28" s="28"/>
      <c r="BLV28" s="28"/>
      <c r="BLW28" s="28"/>
      <c r="BLX28" s="28"/>
      <c r="BLY28" s="28"/>
      <c r="BLZ28" s="28"/>
      <c r="BMA28" s="28"/>
      <c r="BMB28" s="28"/>
      <c r="BMC28" s="28"/>
      <c r="BMD28" s="28"/>
      <c r="BME28" s="28"/>
      <c r="BMF28" s="28"/>
      <c r="BMG28" s="28"/>
      <c r="BMH28" s="28"/>
      <c r="BMI28" s="28"/>
      <c r="BMJ28" s="28"/>
      <c r="BMK28" s="28"/>
      <c r="BML28" s="28"/>
      <c r="BMM28" s="28"/>
      <c r="BMN28" s="28"/>
      <c r="BMO28" s="28"/>
      <c r="BMP28" s="28"/>
      <c r="BMQ28" s="28"/>
      <c r="BMR28" s="28"/>
      <c r="BMS28" s="28"/>
      <c r="BMT28" s="28"/>
      <c r="BMU28" s="28"/>
      <c r="BMV28" s="28"/>
      <c r="BMW28" s="28"/>
      <c r="BMX28" s="28"/>
      <c r="BMY28" s="28"/>
      <c r="BMZ28" s="28"/>
      <c r="BNA28" s="28"/>
      <c r="BNB28" s="28"/>
      <c r="BNC28" s="28"/>
      <c r="BND28" s="28"/>
      <c r="BNE28" s="28"/>
      <c r="BNF28" s="28"/>
      <c r="BNG28" s="28"/>
      <c r="BNH28" s="28"/>
      <c r="BNI28" s="28"/>
      <c r="BNJ28" s="28"/>
      <c r="BNK28" s="28"/>
      <c r="BNL28" s="28"/>
      <c r="BNM28" s="28"/>
      <c r="BNN28" s="28"/>
      <c r="BNO28" s="28"/>
      <c r="BNP28" s="28"/>
      <c r="BNQ28" s="28"/>
      <c r="BNR28" s="28"/>
      <c r="BNS28" s="28"/>
      <c r="BNT28" s="28"/>
      <c r="BNU28" s="28"/>
      <c r="BNV28" s="28"/>
      <c r="BNW28" s="28"/>
      <c r="BNX28" s="28"/>
      <c r="BNY28" s="28"/>
      <c r="BNZ28" s="28"/>
      <c r="BOA28" s="28"/>
      <c r="BOB28" s="28"/>
      <c r="BOC28" s="28"/>
      <c r="BOD28" s="28"/>
      <c r="BOE28" s="28"/>
      <c r="BOF28" s="28"/>
      <c r="BOG28" s="28"/>
      <c r="BOH28" s="28"/>
      <c r="BOI28" s="28"/>
      <c r="BOJ28" s="28"/>
      <c r="BOK28" s="28"/>
      <c r="BOL28" s="28"/>
      <c r="BOM28" s="28"/>
      <c r="BON28" s="28"/>
      <c r="BOO28" s="28"/>
      <c r="BOP28" s="28"/>
      <c r="BOQ28" s="28"/>
      <c r="BOR28" s="28"/>
      <c r="BOS28" s="28"/>
      <c r="BOT28" s="28"/>
      <c r="BOU28" s="28"/>
      <c r="BOV28" s="28"/>
      <c r="BOW28" s="28"/>
      <c r="BOX28" s="28"/>
      <c r="BOY28" s="28"/>
      <c r="BOZ28" s="28"/>
      <c r="BPA28" s="28"/>
      <c r="BPB28" s="28"/>
      <c r="BPC28" s="28"/>
      <c r="BPD28" s="28"/>
      <c r="BPE28" s="28"/>
      <c r="BPF28" s="28"/>
      <c r="BPG28" s="28"/>
      <c r="BPH28" s="28"/>
      <c r="BPI28" s="28"/>
      <c r="BPJ28" s="28"/>
      <c r="BPK28" s="28"/>
      <c r="BPL28" s="28"/>
      <c r="BPM28" s="28"/>
      <c r="BPN28" s="28"/>
      <c r="BPO28" s="28"/>
      <c r="BPP28" s="28"/>
      <c r="BPQ28" s="28"/>
      <c r="BPR28" s="28"/>
      <c r="BPS28" s="28"/>
      <c r="BPT28" s="28"/>
      <c r="BPU28" s="28"/>
      <c r="BPV28" s="28"/>
      <c r="BPW28" s="28"/>
      <c r="BPX28" s="28"/>
      <c r="BPY28" s="28"/>
      <c r="BPZ28" s="28"/>
      <c r="BQA28" s="28"/>
      <c r="BQB28" s="28"/>
      <c r="BQC28" s="28"/>
      <c r="BQD28" s="28"/>
      <c r="BQE28" s="28"/>
      <c r="BQF28" s="28"/>
      <c r="BQG28" s="28"/>
      <c r="BQH28" s="28"/>
      <c r="BQI28" s="28"/>
      <c r="BQJ28" s="28"/>
      <c r="BQK28" s="28"/>
      <c r="BQL28" s="28"/>
      <c r="BQM28" s="28"/>
      <c r="BQN28" s="28"/>
      <c r="BQO28" s="28"/>
      <c r="BQP28" s="28"/>
      <c r="BQQ28" s="28"/>
      <c r="BQR28" s="28"/>
      <c r="BQS28" s="28"/>
      <c r="BQT28" s="28"/>
      <c r="BQU28" s="28"/>
      <c r="BQV28" s="28"/>
      <c r="BQW28" s="28"/>
      <c r="BQX28" s="28"/>
      <c r="BQY28" s="28"/>
      <c r="BQZ28" s="28"/>
      <c r="BRA28" s="28"/>
      <c r="BRB28" s="28"/>
      <c r="BRC28" s="28"/>
      <c r="BRD28" s="28"/>
      <c r="BRE28" s="28"/>
      <c r="BRF28" s="28"/>
      <c r="BRG28" s="28"/>
      <c r="BRH28" s="28"/>
      <c r="BRI28" s="28"/>
      <c r="BRJ28" s="28"/>
      <c r="BRK28" s="28"/>
      <c r="BRL28" s="28"/>
      <c r="BRM28" s="28"/>
      <c r="BRN28" s="28"/>
      <c r="BRO28" s="28"/>
      <c r="BRP28" s="28"/>
      <c r="BRQ28" s="28"/>
      <c r="BRR28" s="28"/>
      <c r="BRS28" s="28"/>
      <c r="BRT28" s="28"/>
      <c r="BRU28" s="28"/>
      <c r="BRV28" s="28"/>
      <c r="BRW28" s="28"/>
      <c r="BRX28" s="28"/>
      <c r="BRY28" s="28"/>
      <c r="BRZ28" s="28"/>
      <c r="BSA28" s="28"/>
      <c r="BSB28" s="28"/>
      <c r="BSC28" s="28"/>
      <c r="BSD28" s="28"/>
      <c r="BSE28" s="28"/>
      <c r="BSF28" s="28"/>
      <c r="BSG28" s="28"/>
      <c r="BSH28" s="28"/>
      <c r="BSI28" s="28"/>
      <c r="BSJ28" s="28"/>
      <c r="BSK28" s="28"/>
      <c r="BSL28" s="28"/>
      <c r="BSM28" s="28"/>
      <c r="BSN28" s="28"/>
      <c r="BSO28" s="28"/>
      <c r="BSP28" s="28"/>
      <c r="BSQ28" s="28"/>
      <c r="BSR28" s="28"/>
      <c r="BSS28" s="28"/>
      <c r="BST28" s="28"/>
      <c r="BSU28" s="28"/>
      <c r="BSV28" s="28"/>
      <c r="BSW28" s="28"/>
      <c r="BSX28" s="28"/>
      <c r="BSY28" s="28"/>
      <c r="BSZ28" s="28"/>
      <c r="BTA28" s="28"/>
      <c r="BTB28" s="28"/>
      <c r="BTC28" s="28"/>
      <c r="BTD28" s="28"/>
      <c r="BTE28" s="28"/>
      <c r="BTF28" s="28"/>
      <c r="BTG28" s="28"/>
      <c r="BTH28" s="28"/>
      <c r="BTI28" s="28"/>
      <c r="BTJ28" s="28"/>
      <c r="BTK28" s="28"/>
      <c r="BTL28" s="28"/>
      <c r="BTM28" s="28"/>
      <c r="BTN28" s="28"/>
      <c r="BTO28" s="28"/>
      <c r="BTP28" s="28"/>
      <c r="BTQ28" s="28"/>
      <c r="BTR28" s="28"/>
      <c r="BTS28" s="28"/>
      <c r="BTT28" s="28"/>
      <c r="BTU28" s="28"/>
      <c r="BTV28" s="28"/>
      <c r="BTW28" s="28"/>
      <c r="BTX28" s="28"/>
      <c r="BTY28" s="28"/>
      <c r="BTZ28" s="28"/>
      <c r="BUA28" s="28"/>
      <c r="BUB28" s="28"/>
      <c r="BUC28" s="28"/>
      <c r="BUD28" s="28"/>
      <c r="BUE28" s="28"/>
      <c r="BUF28" s="28"/>
      <c r="BUG28" s="28"/>
      <c r="BUH28" s="28"/>
      <c r="BUI28" s="28"/>
      <c r="BUJ28" s="28"/>
      <c r="BUK28" s="28"/>
      <c r="BUL28" s="28"/>
      <c r="BUM28" s="28"/>
      <c r="BUN28" s="28"/>
      <c r="BUO28" s="28"/>
      <c r="BUP28" s="28"/>
      <c r="BUQ28" s="28"/>
      <c r="BUR28" s="28"/>
      <c r="BUS28" s="28"/>
      <c r="BUT28" s="28"/>
      <c r="BUU28" s="28"/>
      <c r="BUV28" s="28"/>
      <c r="BUW28" s="28"/>
      <c r="BUX28" s="28"/>
      <c r="BUY28" s="28"/>
      <c r="BUZ28" s="28"/>
      <c r="BVA28" s="28"/>
      <c r="BVB28" s="28"/>
      <c r="BVC28" s="28"/>
      <c r="BVD28" s="28"/>
      <c r="BVE28" s="28"/>
      <c r="BVF28" s="28"/>
      <c r="BVG28" s="28"/>
      <c r="BVH28" s="28"/>
      <c r="BVI28" s="28"/>
      <c r="BVJ28" s="28"/>
      <c r="BVK28" s="28"/>
      <c r="BVL28" s="28"/>
      <c r="BVM28" s="28"/>
      <c r="BVN28" s="28"/>
      <c r="BVO28" s="28"/>
      <c r="BVP28" s="28"/>
      <c r="BVQ28" s="28"/>
      <c r="BVR28" s="28"/>
      <c r="BVS28" s="28"/>
      <c r="BVT28" s="28"/>
      <c r="BVU28" s="28"/>
      <c r="BVV28" s="28"/>
      <c r="BVW28" s="28"/>
      <c r="BVX28" s="28"/>
      <c r="BVY28" s="28"/>
      <c r="BVZ28" s="28"/>
      <c r="BWA28" s="28"/>
      <c r="BWB28" s="28"/>
      <c r="BWC28" s="28"/>
      <c r="BWD28" s="28"/>
      <c r="BWE28" s="28"/>
      <c r="BWF28" s="28"/>
      <c r="BWG28" s="28"/>
      <c r="BWH28" s="28"/>
      <c r="BWI28" s="28"/>
      <c r="BWJ28" s="28"/>
      <c r="BWK28" s="28"/>
      <c r="BWL28" s="28"/>
      <c r="BWM28" s="28"/>
      <c r="BWN28" s="28"/>
      <c r="BWO28" s="28"/>
      <c r="BWP28" s="28"/>
      <c r="BWQ28" s="28"/>
      <c r="BWR28" s="28"/>
      <c r="BWS28" s="28"/>
      <c r="BWT28" s="28"/>
      <c r="BWU28" s="28"/>
      <c r="BWV28" s="28"/>
      <c r="BWW28" s="28"/>
      <c r="BWX28" s="28"/>
      <c r="BWY28" s="28"/>
      <c r="BWZ28" s="28"/>
      <c r="BXA28" s="28"/>
      <c r="BXB28" s="28"/>
      <c r="BXC28" s="28"/>
      <c r="BXD28" s="28"/>
      <c r="BXE28" s="28"/>
      <c r="BXF28" s="28"/>
      <c r="BXG28" s="28"/>
      <c r="BXH28" s="28"/>
      <c r="BXI28" s="28"/>
      <c r="BXJ28" s="28"/>
      <c r="BXK28" s="28"/>
      <c r="BXL28" s="28"/>
      <c r="BXM28" s="28"/>
      <c r="BXN28" s="28"/>
      <c r="BXO28" s="28"/>
      <c r="BXP28" s="28"/>
      <c r="BXQ28" s="28"/>
      <c r="BXR28" s="28"/>
      <c r="BXS28" s="28"/>
      <c r="BXT28" s="28"/>
      <c r="BXU28" s="28"/>
      <c r="BXV28" s="28"/>
      <c r="BXW28" s="28"/>
      <c r="BXX28" s="28"/>
      <c r="BXY28" s="28"/>
      <c r="BXZ28" s="28"/>
      <c r="BYA28" s="28"/>
      <c r="BYB28" s="28"/>
      <c r="BYC28" s="28"/>
      <c r="BYD28" s="28"/>
      <c r="BYE28" s="28"/>
      <c r="BYF28" s="28"/>
      <c r="BYG28" s="28"/>
      <c r="BYH28" s="28"/>
      <c r="BYI28" s="28"/>
      <c r="BYJ28" s="28"/>
      <c r="BYK28" s="28"/>
      <c r="BYL28" s="28"/>
      <c r="BYM28" s="28"/>
      <c r="BYN28" s="28"/>
      <c r="BYO28" s="28"/>
      <c r="BYP28" s="28"/>
      <c r="BYQ28" s="28"/>
      <c r="BYR28" s="28"/>
      <c r="BYS28" s="28"/>
      <c r="BYT28" s="28"/>
      <c r="BYU28" s="28"/>
      <c r="BYV28" s="28"/>
      <c r="BYW28" s="28"/>
      <c r="BYX28" s="28"/>
      <c r="BYY28" s="28"/>
      <c r="BYZ28" s="28"/>
      <c r="BZA28" s="28"/>
      <c r="BZB28" s="28"/>
      <c r="BZC28" s="28"/>
      <c r="BZD28" s="28"/>
      <c r="BZE28" s="28"/>
      <c r="BZF28" s="28"/>
      <c r="BZG28" s="28"/>
      <c r="BZH28" s="28"/>
      <c r="BZI28" s="28"/>
      <c r="BZJ28" s="28"/>
      <c r="BZK28" s="28"/>
      <c r="BZL28" s="28"/>
      <c r="BZM28" s="28"/>
      <c r="BZN28" s="28"/>
      <c r="BZO28" s="28"/>
      <c r="BZP28" s="28"/>
      <c r="BZQ28" s="28"/>
      <c r="BZR28" s="28"/>
      <c r="BZS28" s="28"/>
      <c r="BZT28" s="28"/>
      <c r="BZU28" s="28"/>
      <c r="BZV28" s="28"/>
      <c r="BZW28" s="28"/>
      <c r="BZX28" s="28"/>
      <c r="BZY28" s="28"/>
      <c r="BZZ28" s="28"/>
      <c r="CAA28" s="28"/>
      <c r="CAB28" s="28"/>
      <c r="CAC28" s="28"/>
      <c r="CAD28" s="28"/>
      <c r="CAE28" s="28"/>
      <c r="CAF28" s="28"/>
      <c r="CAG28" s="28"/>
      <c r="CAH28" s="28"/>
      <c r="CAI28" s="28"/>
      <c r="CAJ28" s="28"/>
      <c r="CAK28" s="28"/>
      <c r="CAL28" s="28"/>
      <c r="CAM28" s="28"/>
      <c r="CAN28" s="28"/>
      <c r="CAO28" s="28"/>
      <c r="CAP28" s="28"/>
      <c r="CAQ28" s="28"/>
      <c r="CAR28" s="28"/>
      <c r="CAS28" s="28"/>
      <c r="CAT28" s="28"/>
      <c r="CAU28" s="28"/>
      <c r="CAV28" s="28"/>
      <c r="CAW28" s="28"/>
      <c r="CAX28" s="28"/>
      <c r="CAY28" s="28"/>
      <c r="CAZ28" s="28"/>
      <c r="CBA28" s="28"/>
      <c r="CBB28" s="28"/>
      <c r="CBC28" s="28"/>
      <c r="CBD28" s="28"/>
      <c r="CBE28" s="28"/>
      <c r="CBF28" s="28"/>
      <c r="CBG28" s="28"/>
      <c r="CBH28" s="28"/>
      <c r="CBI28" s="28"/>
      <c r="CBJ28" s="28"/>
      <c r="CBK28" s="28"/>
      <c r="CBL28" s="28"/>
      <c r="CBM28" s="28"/>
      <c r="CBN28" s="28"/>
      <c r="CBO28" s="28"/>
      <c r="CBP28" s="28"/>
      <c r="CBQ28" s="28"/>
      <c r="CBR28" s="28"/>
      <c r="CBS28" s="28"/>
      <c r="CBT28" s="28"/>
      <c r="CBU28" s="28"/>
      <c r="CBV28" s="28"/>
      <c r="CBW28" s="28"/>
      <c r="CBX28" s="28"/>
      <c r="CBY28" s="28"/>
      <c r="CBZ28" s="28"/>
      <c r="CCA28" s="28"/>
      <c r="CCB28" s="28"/>
      <c r="CCC28" s="28"/>
      <c r="CCD28" s="28"/>
      <c r="CCE28" s="28"/>
      <c r="CCF28" s="28"/>
      <c r="CCG28" s="28"/>
      <c r="CCH28" s="28"/>
      <c r="CCI28" s="28"/>
      <c r="CCJ28" s="28"/>
      <c r="CCK28" s="28"/>
      <c r="CCL28" s="28"/>
      <c r="CCM28" s="28"/>
      <c r="CCN28" s="28"/>
      <c r="CCO28" s="28"/>
      <c r="CCP28" s="28"/>
      <c r="CCQ28" s="28"/>
      <c r="CCR28" s="28"/>
      <c r="CCS28" s="28"/>
      <c r="CCT28" s="28"/>
      <c r="CCU28" s="28"/>
      <c r="CCV28" s="28"/>
      <c r="CCW28" s="28"/>
      <c r="CCX28" s="28"/>
      <c r="CCY28" s="28"/>
      <c r="CCZ28" s="28"/>
      <c r="CDA28" s="28"/>
      <c r="CDB28" s="28"/>
      <c r="CDC28" s="28"/>
      <c r="CDD28" s="28"/>
      <c r="CDE28" s="28"/>
      <c r="CDF28" s="28"/>
      <c r="CDG28" s="28"/>
      <c r="CDH28" s="28"/>
      <c r="CDI28" s="28"/>
      <c r="CDJ28" s="28"/>
      <c r="CDK28" s="28"/>
      <c r="CDL28" s="28"/>
      <c r="CDM28" s="28"/>
      <c r="CDN28" s="28"/>
      <c r="CDO28" s="28"/>
      <c r="CDP28" s="28"/>
      <c r="CDQ28" s="28"/>
      <c r="CDR28" s="28"/>
      <c r="CDS28" s="28"/>
      <c r="CDT28" s="28"/>
      <c r="CDU28" s="28"/>
      <c r="CDV28" s="28"/>
      <c r="CDW28" s="28"/>
      <c r="CDX28" s="28"/>
      <c r="CDY28" s="28"/>
      <c r="CDZ28" s="28"/>
      <c r="CEA28" s="28"/>
      <c r="CEB28" s="28"/>
      <c r="CEC28" s="28"/>
      <c r="CED28" s="28"/>
      <c r="CEE28" s="28"/>
      <c r="CEF28" s="28"/>
      <c r="CEG28" s="28"/>
      <c r="CEH28" s="28"/>
      <c r="CEI28" s="28"/>
      <c r="CEJ28" s="28"/>
      <c r="CEK28" s="28"/>
      <c r="CEL28" s="28"/>
      <c r="CEM28" s="28"/>
      <c r="CEN28" s="28"/>
      <c r="CEO28" s="28"/>
      <c r="CEP28" s="28"/>
      <c r="CEQ28" s="28"/>
      <c r="CER28" s="28"/>
      <c r="CES28" s="28"/>
      <c r="CET28" s="28"/>
      <c r="CEU28" s="28"/>
      <c r="CEV28" s="28"/>
      <c r="CEW28" s="28"/>
      <c r="CEX28" s="28"/>
      <c r="CEY28" s="28"/>
      <c r="CEZ28" s="28"/>
      <c r="CFA28" s="28"/>
      <c r="CFB28" s="28"/>
      <c r="CFC28" s="28"/>
      <c r="CFD28" s="28"/>
      <c r="CFE28" s="28"/>
      <c r="CFF28" s="28"/>
      <c r="CFG28" s="28"/>
      <c r="CFH28" s="28"/>
      <c r="CFI28" s="28"/>
      <c r="CFJ28" s="28"/>
      <c r="CFK28" s="28"/>
      <c r="CFL28" s="28"/>
      <c r="CFM28" s="28"/>
      <c r="CFN28" s="28"/>
      <c r="CFO28" s="28"/>
      <c r="CFP28" s="28"/>
      <c r="CFQ28" s="28"/>
      <c r="CFR28" s="28"/>
      <c r="CFS28" s="28"/>
      <c r="CFT28" s="28"/>
      <c r="CFU28" s="28"/>
      <c r="CFV28" s="28"/>
      <c r="CFW28" s="28"/>
      <c r="CFX28" s="28"/>
      <c r="CFY28" s="28"/>
      <c r="CFZ28" s="28"/>
      <c r="CGA28" s="28"/>
      <c r="CGB28" s="28"/>
      <c r="CGC28" s="28"/>
      <c r="CGD28" s="28"/>
      <c r="CGE28" s="28"/>
      <c r="CGF28" s="28"/>
      <c r="CGG28" s="28"/>
      <c r="CGH28" s="28"/>
      <c r="CGI28" s="28"/>
      <c r="CGJ28" s="28"/>
      <c r="CGK28" s="28"/>
      <c r="CGL28" s="28"/>
      <c r="CGM28" s="28"/>
      <c r="CGN28" s="28"/>
      <c r="CGO28" s="28"/>
      <c r="CGP28" s="28"/>
      <c r="CGQ28" s="28"/>
      <c r="CGR28" s="28"/>
      <c r="CGS28" s="28"/>
      <c r="CGT28" s="28"/>
      <c r="CGU28" s="28"/>
      <c r="CGV28" s="28"/>
      <c r="CGW28" s="28"/>
      <c r="CGX28" s="28"/>
      <c r="CGY28" s="28"/>
      <c r="CGZ28" s="28"/>
      <c r="CHA28" s="28"/>
      <c r="CHB28" s="28"/>
      <c r="CHC28" s="28"/>
      <c r="CHD28" s="28"/>
      <c r="CHE28" s="28"/>
      <c r="CHF28" s="28"/>
      <c r="CHG28" s="28"/>
      <c r="CHH28" s="28"/>
      <c r="CHI28" s="28"/>
      <c r="CHJ28" s="28"/>
      <c r="CHK28" s="28"/>
      <c r="CHL28" s="28"/>
      <c r="CHM28" s="28"/>
      <c r="CHN28" s="28"/>
      <c r="CHO28" s="28"/>
      <c r="CHP28" s="28"/>
      <c r="CHQ28" s="28"/>
      <c r="CHR28" s="28"/>
      <c r="CHS28" s="28"/>
      <c r="CHT28" s="28"/>
      <c r="CHU28" s="28"/>
      <c r="CHV28" s="28"/>
      <c r="CHW28" s="28"/>
      <c r="CHX28" s="28"/>
      <c r="CHY28" s="28"/>
      <c r="CHZ28" s="28"/>
      <c r="CIA28" s="28"/>
      <c r="CIB28" s="28"/>
      <c r="CIC28" s="28"/>
      <c r="CID28" s="28"/>
      <c r="CIE28" s="28"/>
      <c r="CIF28" s="28"/>
      <c r="CIG28" s="28"/>
      <c r="CIH28" s="28"/>
      <c r="CII28" s="28"/>
      <c r="CIJ28" s="28"/>
      <c r="CIK28" s="28"/>
      <c r="CIL28" s="28"/>
      <c r="CIM28" s="28"/>
      <c r="CIN28" s="28"/>
      <c r="CIO28" s="28"/>
      <c r="CIP28" s="28"/>
      <c r="CIQ28" s="28"/>
      <c r="CIR28" s="28"/>
      <c r="CIS28" s="28"/>
      <c r="CIT28" s="28"/>
      <c r="CIU28" s="28"/>
      <c r="CIV28" s="28"/>
      <c r="CIW28" s="28"/>
      <c r="CIX28" s="28"/>
      <c r="CIY28" s="28"/>
      <c r="CIZ28" s="28"/>
      <c r="CJA28" s="28"/>
      <c r="CJB28" s="28"/>
      <c r="CJC28" s="28"/>
      <c r="CJD28" s="28"/>
      <c r="CJE28" s="28"/>
      <c r="CJF28" s="28"/>
      <c r="CJG28" s="28"/>
      <c r="CJH28" s="28"/>
      <c r="CJI28" s="28"/>
      <c r="CJJ28" s="28"/>
      <c r="CJK28" s="28"/>
      <c r="CJL28" s="28"/>
      <c r="CJM28" s="28"/>
      <c r="CJN28" s="28"/>
      <c r="CJO28" s="28"/>
      <c r="CJP28" s="28"/>
      <c r="CJQ28" s="28"/>
      <c r="CJR28" s="28"/>
      <c r="CJS28" s="28"/>
      <c r="CJT28" s="28"/>
      <c r="CJU28" s="28"/>
      <c r="CJV28" s="28"/>
      <c r="CJW28" s="28"/>
      <c r="CJX28" s="28"/>
      <c r="CJY28" s="28"/>
      <c r="CJZ28" s="28"/>
      <c r="CKA28" s="28"/>
      <c r="CKB28" s="28"/>
      <c r="CKC28" s="28"/>
      <c r="CKD28" s="28"/>
      <c r="CKE28" s="28"/>
      <c r="CKF28" s="28"/>
      <c r="CKG28" s="28"/>
      <c r="CKH28" s="28"/>
      <c r="CKI28" s="28"/>
      <c r="CKJ28" s="28"/>
      <c r="CKK28" s="28"/>
      <c r="CKL28" s="28"/>
      <c r="CKM28" s="28"/>
      <c r="CKN28" s="28"/>
      <c r="CKO28" s="28"/>
      <c r="CKP28" s="28"/>
      <c r="CKQ28" s="28"/>
      <c r="CKR28" s="28"/>
      <c r="CKS28" s="28"/>
      <c r="CKT28" s="28"/>
      <c r="CKU28" s="28"/>
      <c r="CKV28" s="28"/>
      <c r="CKW28" s="28"/>
      <c r="CKX28" s="28"/>
      <c r="CKY28" s="28"/>
      <c r="CKZ28" s="28"/>
      <c r="CLA28" s="28"/>
      <c r="CLB28" s="28"/>
      <c r="CLC28" s="28"/>
      <c r="CLD28" s="28"/>
      <c r="CLE28" s="28"/>
      <c r="CLF28" s="28"/>
      <c r="CLG28" s="28"/>
      <c r="CLH28" s="28"/>
      <c r="CLI28" s="28"/>
      <c r="CLJ28" s="28"/>
      <c r="CLK28" s="28"/>
      <c r="CLL28" s="28"/>
      <c r="CLM28" s="28"/>
      <c r="CLN28" s="28"/>
      <c r="CLO28" s="28"/>
      <c r="CLP28" s="28"/>
      <c r="CLQ28" s="28"/>
      <c r="CLR28" s="28"/>
      <c r="CLS28" s="28"/>
      <c r="CLT28" s="28"/>
      <c r="CLU28" s="28"/>
      <c r="CLV28" s="28"/>
      <c r="CLW28" s="28"/>
      <c r="CLX28" s="28"/>
      <c r="CLY28" s="28"/>
      <c r="CLZ28" s="28"/>
      <c r="CMA28" s="28"/>
      <c r="CMB28" s="28"/>
      <c r="CMC28" s="28"/>
      <c r="CMD28" s="28"/>
      <c r="CME28" s="28"/>
      <c r="CMF28" s="28"/>
      <c r="CMG28" s="28"/>
      <c r="CMH28" s="28"/>
      <c r="CMI28" s="28"/>
      <c r="CMJ28" s="28"/>
      <c r="CMK28" s="28"/>
      <c r="CML28" s="28"/>
      <c r="CMM28" s="28"/>
      <c r="CMN28" s="28"/>
      <c r="CMO28" s="28"/>
      <c r="CMP28" s="28"/>
      <c r="CMQ28" s="28"/>
      <c r="CMR28" s="28"/>
      <c r="CMS28" s="28"/>
      <c r="CMT28" s="28"/>
      <c r="CMU28" s="28"/>
      <c r="CMV28" s="28"/>
      <c r="CMW28" s="28"/>
      <c r="CMX28" s="28"/>
      <c r="CMY28" s="28"/>
      <c r="CMZ28" s="28"/>
      <c r="CNA28" s="28"/>
      <c r="CNB28" s="28"/>
      <c r="CNC28" s="28"/>
      <c r="CND28" s="28"/>
      <c r="CNE28" s="28"/>
      <c r="CNF28" s="28"/>
      <c r="CNG28" s="28"/>
      <c r="CNH28" s="28"/>
      <c r="CNI28" s="28"/>
      <c r="CNJ28" s="28"/>
      <c r="CNK28" s="28"/>
      <c r="CNL28" s="28"/>
      <c r="CNM28" s="28"/>
      <c r="CNN28" s="28"/>
      <c r="CNO28" s="28"/>
      <c r="CNP28" s="28"/>
      <c r="CNQ28" s="28"/>
      <c r="CNR28" s="28"/>
      <c r="CNS28" s="28"/>
      <c r="CNT28" s="28"/>
      <c r="CNU28" s="28"/>
      <c r="CNV28" s="28"/>
      <c r="CNW28" s="28"/>
      <c r="CNX28" s="28"/>
      <c r="CNY28" s="28"/>
      <c r="CNZ28" s="28"/>
      <c r="COA28" s="28"/>
      <c r="COB28" s="28"/>
      <c r="COC28" s="28"/>
      <c r="COD28" s="28"/>
      <c r="COE28" s="28"/>
      <c r="COF28" s="28"/>
      <c r="COG28" s="28"/>
      <c r="COH28" s="28"/>
      <c r="COI28" s="28"/>
      <c r="COJ28" s="28"/>
      <c r="COK28" s="28"/>
      <c r="COL28" s="28"/>
      <c r="COM28" s="28"/>
      <c r="CON28" s="28"/>
      <c r="COO28" s="28"/>
      <c r="COP28" s="28"/>
      <c r="COQ28" s="28"/>
      <c r="COR28" s="28"/>
      <c r="COS28" s="28"/>
      <c r="COT28" s="28"/>
      <c r="COU28" s="28"/>
      <c r="COV28" s="28"/>
      <c r="COW28" s="28"/>
      <c r="COX28" s="28"/>
      <c r="COY28" s="28"/>
      <c r="COZ28" s="28"/>
      <c r="CPA28" s="28"/>
      <c r="CPB28" s="28"/>
      <c r="CPC28" s="28"/>
      <c r="CPD28" s="28"/>
      <c r="CPE28" s="28"/>
      <c r="CPF28" s="28"/>
      <c r="CPG28" s="28"/>
      <c r="CPH28" s="28"/>
      <c r="CPI28" s="28"/>
      <c r="CPJ28" s="28"/>
      <c r="CPK28" s="28"/>
      <c r="CPL28" s="28"/>
      <c r="CPM28" s="28"/>
      <c r="CPN28" s="28"/>
      <c r="CPO28" s="28"/>
      <c r="CPP28" s="28"/>
      <c r="CPQ28" s="28"/>
      <c r="CPR28" s="28"/>
      <c r="CPS28" s="28"/>
      <c r="CPT28" s="28"/>
      <c r="CPU28" s="28"/>
      <c r="CPV28" s="28"/>
      <c r="CPW28" s="28"/>
      <c r="CPX28" s="28"/>
      <c r="CPY28" s="28"/>
      <c r="CPZ28" s="28"/>
      <c r="CQA28" s="28"/>
      <c r="CQB28" s="28"/>
      <c r="CQC28" s="28"/>
      <c r="CQD28" s="28"/>
      <c r="CQE28" s="28"/>
      <c r="CQF28" s="28"/>
      <c r="CQG28" s="28"/>
      <c r="CQH28" s="28"/>
      <c r="CQI28" s="28"/>
      <c r="CQJ28" s="28"/>
      <c r="CQK28" s="28"/>
      <c r="CQL28" s="28"/>
      <c r="CQM28" s="28"/>
      <c r="CQN28" s="28"/>
      <c r="CQO28" s="28"/>
      <c r="CQP28" s="28"/>
      <c r="CQQ28" s="28"/>
      <c r="CQR28" s="28"/>
      <c r="CQS28" s="28"/>
      <c r="CQT28" s="28"/>
      <c r="CQU28" s="28"/>
      <c r="CQV28" s="28"/>
      <c r="CQW28" s="28"/>
      <c r="CQX28" s="28"/>
      <c r="CQY28" s="28"/>
      <c r="CQZ28" s="28"/>
      <c r="CRA28" s="28"/>
      <c r="CRB28" s="28"/>
      <c r="CRC28" s="28"/>
      <c r="CRD28" s="28"/>
      <c r="CRE28" s="28"/>
      <c r="CRF28" s="28"/>
      <c r="CRG28" s="28"/>
      <c r="CRH28" s="28"/>
      <c r="CRI28" s="28"/>
      <c r="CRJ28" s="28"/>
      <c r="CRK28" s="28"/>
      <c r="CRL28" s="28"/>
      <c r="CRM28" s="28"/>
      <c r="CRN28" s="28"/>
      <c r="CRO28" s="28"/>
      <c r="CRP28" s="28"/>
      <c r="CRQ28" s="28"/>
      <c r="CRR28" s="28"/>
      <c r="CRS28" s="28"/>
      <c r="CRT28" s="28"/>
      <c r="CRU28" s="28"/>
      <c r="CRV28" s="28"/>
      <c r="CRW28" s="28"/>
      <c r="CRX28" s="28"/>
      <c r="CRY28" s="28"/>
      <c r="CRZ28" s="28"/>
      <c r="CSA28" s="28"/>
      <c r="CSB28" s="28"/>
      <c r="CSC28" s="28"/>
      <c r="CSD28" s="28"/>
      <c r="CSE28" s="28"/>
      <c r="CSF28" s="28"/>
      <c r="CSG28" s="28"/>
      <c r="CSH28" s="28"/>
      <c r="CSI28" s="28"/>
      <c r="CSJ28" s="28"/>
      <c r="CSK28" s="28"/>
      <c r="CSL28" s="28"/>
      <c r="CSM28" s="28"/>
      <c r="CSN28" s="28"/>
      <c r="CSO28" s="28"/>
      <c r="CSP28" s="28"/>
      <c r="CSQ28" s="28"/>
      <c r="CSR28" s="28"/>
      <c r="CSS28" s="28"/>
      <c r="CST28" s="28"/>
      <c r="CSU28" s="28"/>
      <c r="CSV28" s="28"/>
      <c r="CSW28" s="28"/>
      <c r="CSX28" s="28"/>
      <c r="CSY28" s="28"/>
      <c r="CSZ28" s="28"/>
      <c r="CTA28" s="28"/>
      <c r="CTB28" s="28"/>
      <c r="CTC28" s="28"/>
      <c r="CTD28" s="28"/>
      <c r="CTE28" s="28"/>
      <c r="CTF28" s="28"/>
      <c r="CTG28" s="28"/>
      <c r="CTH28" s="28"/>
      <c r="CTI28" s="28"/>
      <c r="CTJ28" s="28"/>
      <c r="CTK28" s="28"/>
      <c r="CTL28" s="28"/>
      <c r="CTM28" s="28"/>
      <c r="CTN28" s="28"/>
      <c r="CTO28" s="28"/>
      <c r="CTP28" s="28"/>
      <c r="CTQ28" s="28"/>
      <c r="CTR28" s="28"/>
      <c r="CTS28" s="28"/>
      <c r="CTT28" s="28"/>
      <c r="CTU28" s="28"/>
      <c r="CTV28" s="28"/>
      <c r="CTW28" s="28"/>
      <c r="CTX28" s="28"/>
      <c r="CTY28" s="28"/>
      <c r="CTZ28" s="28"/>
      <c r="CUA28" s="28"/>
      <c r="CUB28" s="28"/>
      <c r="CUC28" s="28"/>
      <c r="CUD28" s="28"/>
      <c r="CUE28" s="28"/>
      <c r="CUF28" s="28"/>
      <c r="CUG28" s="28"/>
      <c r="CUH28" s="28"/>
      <c r="CUI28" s="28"/>
      <c r="CUJ28" s="28"/>
      <c r="CUK28" s="28"/>
      <c r="CUL28" s="28"/>
      <c r="CUM28" s="28"/>
      <c r="CUN28" s="28"/>
      <c r="CUO28" s="28"/>
      <c r="CUP28" s="28"/>
      <c r="CUQ28" s="28"/>
      <c r="CUR28" s="28"/>
      <c r="CUS28" s="28"/>
      <c r="CUT28" s="28"/>
      <c r="CUU28" s="28"/>
      <c r="CUV28" s="28"/>
      <c r="CUW28" s="28"/>
      <c r="CUX28" s="28"/>
      <c r="CUY28" s="28"/>
      <c r="CUZ28" s="28"/>
      <c r="CVA28" s="28"/>
      <c r="CVB28" s="28"/>
      <c r="CVC28" s="28"/>
      <c r="CVD28" s="28"/>
      <c r="CVE28" s="28"/>
      <c r="CVF28" s="28"/>
      <c r="CVG28" s="28"/>
      <c r="CVH28" s="28"/>
      <c r="CVI28" s="28"/>
      <c r="CVJ28" s="28"/>
      <c r="CVK28" s="28"/>
      <c r="CVL28" s="28"/>
      <c r="CVM28" s="28"/>
      <c r="CVN28" s="28"/>
      <c r="CVO28" s="28"/>
      <c r="CVP28" s="28"/>
      <c r="CVQ28" s="28"/>
      <c r="CVR28" s="28"/>
      <c r="CVS28" s="28"/>
      <c r="CVT28" s="28"/>
      <c r="CVU28" s="28"/>
      <c r="CVV28" s="28"/>
      <c r="CVW28" s="28"/>
      <c r="CVX28" s="28"/>
      <c r="CVY28" s="28"/>
      <c r="CVZ28" s="28"/>
      <c r="CWA28" s="28"/>
      <c r="CWB28" s="28"/>
      <c r="CWC28" s="28"/>
      <c r="CWD28" s="28"/>
      <c r="CWE28" s="28"/>
      <c r="CWF28" s="28"/>
      <c r="CWG28" s="28"/>
      <c r="CWH28" s="28"/>
      <c r="CWI28" s="28"/>
      <c r="CWJ28" s="28"/>
      <c r="CWK28" s="28"/>
      <c r="CWL28" s="28"/>
      <c r="CWM28" s="28"/>
      <c r="CWN28" s="28"/>
      <c r="CWO28" s="28"/>
      <c r="CWP28" s="28"/>
      <c r="CWQ28" s="28"/>
      <c r="CWR28" s="28"/>
      <c r="CWS28" s="28"/>
      <c r="CWT28" s="28"/>
      <c r="CWU28" s="28"/>
      <c r="CWV28" s="28"/>
      <c r="CWW28" s="28"/>
      <c r="CWX28" s="28"/>
      <c r="CWY28" s="28"/>
      <c r="CWZ28" s="28"/>
      <c r="CXA28" s="28"/>
      <c r="CXB28" s="28"/>
      <c r="CXC28" s="28"/>
      <c r="CXD28" s="28"/>
      <c r="CXE28" s="28"/>
      <c r="CXF28" s="28"/>
      <c r="CXG28" s="28"/>
      <c r="CXH28" s="28"/>
      <c r="CXI28" s="28"/>
      <c r="CXJ28" s="28"/>
      <c r="CXK28" s="28"/>
      <c r="CXL28" s="28"/>
      <c r="CXM28" s="28"/>
      <c r="CXN28" s="28"/>
      <c r="CXO28" s="28"/>
      <c r="CXP28" s="28"/>
      <c r="CXQ28" s="28"/>
      <c r="CXR28" s="28"/>
      <c r="CXS28" s="28"/>
      <c r="CXT28" s="28"/>
      <c r="CXU28" s="28"/>
      <c r="CXV28" s="28"/>
      <c r="CXW28" s="28"/>
      <c r="CXX28" s="28"/>
      <c r="CXY28" s="28"/>
      <c r="CXZ28" s="28"/>
      <c r="CYA28" s="28"/>
      <c r="CYB28" s="28"/>
      <c r="CYC28" s="28"/>
      <c r="CYD28" s="28"/>
      <c r="CYE28" s="28"/>
      <c r="CYF28" s="28"/>
      <c r="CYG28" s="28"/>
      <c r="CYH28" s="28"/>
      <c r="CYI28" s="28"/>
      <c r="CYJ28" s="28"/>
      <c r="CYK28" s="28"/>
      <c r="CYL28" s="28"/>
      <c r="CYM28" s="28"/>
      <c r="CYN28" s="28"/>
      <c r="CYO28" s="28"/>
      <c r="CYP28" s="28"/>
      <c r="CYQ28" s="28"/>
      <c r="CYR28" s="28"/>
      <c r="CYS28" s="28"/>
      <c r="CYT28" s="28"/>
      <c r="CYU28" s="28"/>
      <c r="CYV28" s="28"/>
      <c r="CYW28" s="28"/>
      <c r="CYX28" s="28"/>
      <c r="CYY28" s="28"/>
      <c r="CYZ28" s="28"/>
      <c r="CZA28" s="28"/>
      <c r="CZB28" s="28"/>
      <c r="CZC28" s="28"/>
      <c r="CZD28" s="28"/>
      <c r="CZE28" s="28"/>
      <c r="CZF28" s="28"/>
      <c r="CZG28" s="28"/>
      <c r="CZH28" s="28"/>
      <c r="CZI28" s="28"/>
      <c r="CZJ28" s="28"/>
      <c r="CZK28" s="28"/>
      <c r="CZL28" s="28"/>
      <c r="CZM28" s="28"/>
      <c r="CZN28" s="28"/>
      <c r="CZO28" s="28"/>
      <c r="CZP28" s="28"/>
      <c r="CZQ28" s="28"/>
      <c r="CZR28" s="28"/>
      <c r="CZS28" s="28"/>
      <c r="CZT28" s="28"/>
      <c r="CZU28" s="28"/>
      <c r="CZV28" s="28"/>
      <c r="CZW28" s="28"/>
      <c r="CZX28" s="28"/>
      <c r="CZY28" s="28"/>
      <c r="CZZ28" s="28"/>
      <c r="DAA28" s="28"/>
      <c r="DAB28" s="28"/>
      <c r="DAC28" s="28"/>
      <c r="DAD28" s="28"/>
      <c r="DAE28" s="28"/>
      <c r="DAF28" s="28"/>
      <c r="DAG28" s="28"/>
      <c r="DAH28" s="28"/>
      <c r="DAI28" s="28"/>
      <c r="DAJ28" s="28"/>
      <c r="DAK28" s="28"/>
      <c r="DAL28" s="28"/>
      <c r="DAM28" s="28"/>
      <c r="DAN28" s="28"/>
      <c r="DAO28" s="28"/>
      <c r="DAP28" s="28"/>
      <c r="DAQ28" s="28"/>
      <c r="DAR28" s="28"/>
      <c r="DAS28" s="28"/>
      <c r="DAT28" s="28"/>
      <c r="DAU28" s="28"/>
      <c r="DAV28" s="28"/>
      <c r="DAW28" s="28"/>
      <c r="DAX28" s="28"/>
      <c r="DAY28" s="28"/>
      <c r="DAZ28" s="28"/>
      <c r="DBA28" s="28"/>
      <c r="DBB28" s="28"/>
      <c r="DBC28" s="28"/>
      <c r="DBD28" s="28"/>
      <c r="DBE28" s="28"/>
      <c r="DBF28" s="28"/>
      <c r="DBG28" s="28"/>
      <c r="DBH28" s="28"/>
      <c r="DBI28" s="28"/>
      <c r="DBJ28" s="28"/>
      <c r="DBK28" s="28"/>
      <c r="DBL28" s="28"/>
      <c r="DBM28" s="28"/>
      <c r="DBN28" s="28"/>
      <c r="DBO28" s="28"/>
      <c r="DBP28" s="28"/>
      <c r="DBQ28" s="28"/>
      <c r="DBR28" s="28"/>
      <c r="DBS28" s="28"/>
      <c r="DBT28" s="28"/>
      <c r="DBU28" s="28"/>
      <c r="DBV28" s="28"/>
      <c r="DBW28" s="28"/>
      <c r="DBX28" s="28"/>
      <c r="DBY28" s="28"/>
      <c r="DBZ28" s="28"/>
      <c r="DCA28" s="28"/>
      <c r="DCB28" s="28"/>
      <c r="DCC28" s="28"/>
      <c r="DCD28" s="28"/>
      <c r="DCE28" s="28"/>
      <c r="DCF28" s="28"/>
      <c r="DCG28" s="28"/>
      <c r="DCH28" s="28"/>
      <c r="DCI28" s="28"/>
      <c r="DCJ28" s="28"/>
      <c r="DCK28" s="28"/>
      <c r="DCL28" s="28"/>
      <c r="DCM28" s="28"/>
      <c r="DCN28" s="28"/>
      <c r="DCO28" s="28"/>
      <c r="DCP28" s="28"/>
      <c r="DCQ28" s="28"/>
      <c r="DCR28" s="28"/>
      <c r="DCS28" s="28"/>
      <c r="DCT28" s="28"/>
      <c r="DCU28" s="28"/>
      <c r="DCV28" s="28"/>
      <c r="DCW28" s="28"/>
      <c r="DCX28" s="28"/>
      <c r="DCY28" s="28"/>
      <c r="DCZ28" s="28"/>
      <c r="DDA28" s="28"/>
      <c r="DDB28" s="28"/>
      <c r="DDC28" s="28"/>
      <c r="DDD28" s="28"/>
      <c r="DDE28" s="28"/>
      <c r="DDF28" s="28"/>
      <c r="DDG28" s="28"/>
      <c r="DDH28" s="28"/>
      <c r="DDI28" s="28"/>
      <c r="DDJ28" s="28"/>
      <c r="DDK28" s="28"/>
      <c r="DDL28" s="28"/>
      <c r="DDM28" s="28"/>
      <c r="DDN28" s="28"/>
      <c r="DDO28" s="28"/>
      <c r="DDP28" s="28"/>
      <c r="DDQ28" s="28"/>
      <c r="DDR28" s="28"/>
      <c r="DDS28" s="28"/>
      <c r="DDT28" s="28"/>
      <c r="DDU28" s="28"/>
      <c r="DDV28" s="28"/>
      <c r="DDW28" s="28"/>
      <c r="DDX28" s="28"/>
      <c r="DDY28" s="28"/>
      <c r="DDZ28" s="28"/>
      <c r="DEA28" s="28"/>
      <c r="DEB28" s="28"/>
      <c r="DEC28" s="28"/>
      <c r="DED28" s="28"/>
      <c r="DEE28" s="28"/>
      <c r="DEF28" s="28"/>
      <c r="DEG28" s="28"/>
      <c r="DEH28" s="28"/>
      <c r="DEI28" s="28"/>
      <c r="DEJ28" s="28"/>
      <c r="DEK28" s="28"/>
      <c r="DEL28" s="28"/>
      <c r="DEM28" s="28"/>
      <c r="DEN28" s="28"/>
      <c r="DEO28" s="28"/>
      <c r="DEP28" s="28"/>
      <c r="DEQ28" s="28"/>
      <c r="DER28" s="28"/>
      <c r="DES28" s="28"/>
      <c r="DET28" s="28"/>
      <c r="DEU28" s="28"/>
      <c r="DEV28" s="28"/>
      <c r="DEW28" s="28"/>
      <c r="DEX28" s="28"/>
      <c r="DEY28" s="28"/>
      <c r="DEZ28" s="28"/>
      <c r="DFA28" s="28"/>
      <c r="DFB28" s="28"/>
      <c r="DFC28" s="28"/>
      <c r="DFD28" s="28"/>
      <c r="DFE28" s="28"/>
      <c r="DFF28" s="28"/>
      <c r="DFG28" s="28"/>
      <c r="DFH28" s="28"/>
      <c r="DFI28" s="28"/>
      <c r="DFJ28" s="28"/>
      <c r="DFK28" s="28"/>
      <c r="DFL28" s="28"/>
      <c r="DFM28" s="28"/>
      <c r="DFN28" s="28"/>
      <c r="DFO28" s="28"/>
      <c r="DFP28" s="28"/>
      <c r="DFQ28" s="28"/>
      <c r="DFR28" s="28"/>
      <c r="DFS28" s="28"/>
      <c r="DFT28" s="28"/>
      <c r="DFU28" s="28"/>
      <c r="DFV28" s="28"/>
      <c r="DFW28" s="28"/>
      <c r="DFX28" s="28"/>
      <c r="DFY28" s="28"/>
      <c r="DFZ28" s="28"/>
      <c r="DGA28" s="28"/>
      <c r="DGB28" s="28"/>
      <c r="DGC28" s="28"/>
      <c r="DGD28" s="28"/>
      <c r="DGE28" s="28"/>
      <c r="DGF28" s="28"/>
      <c r="DGG28" s="28"/>
      <c r="DGH28" s="28"/>
      <c r="DGI28" s="28"/>
      <c r="DGJ28" s="28"/>
      <c r="DGK28" s="28"/>
      <c r="DGL28" s="28"/>
      <c r="DGM28" s="28"/>
      <c r="DGN28" s="28"/>
      <c r="DGO28" s="28"/>
      <c r="DGP28" s="28"/>
      <c r="DGQ28" s="28"/>
      <c r="DGR28" s="28"/>
      <c r="DGS28" s="28"/>
      <c r="DGT28" s="28"/>
      <c r="DGU28" s="28"/>
      <c r="DGV28" s="28"/>
      <c r="DGW28" s="28"/>
      <c r="DGX28" s="28"/>
      <c r="DGY28" s="28"/>
      <c r="DGZ28" s="28"/>
      <c r="DHA28" s="28"/>
      <c r="DHB28" s="28"/>
      <c r="DHC28" s="28"/>
      <c r="DHD28" s="28"/>
      <c r="DHE28" s="28"/>
      <c r="DHF28" s="28"/>
      <c r="DHG28" s="28"/>
      <c r="DHH28" s="28"/>
      <c r="DHI28" s="28"/>
      <c r="DHJ28" s="28"/>
      <c r="DHK28" s="28"/>
      <c r="DHL28" s="28"/>
      <c r="DHM28" s="28"/>
      <c r="DHN28" s="28"/>
      <c r="DHO28" s="28"/>
      <c r="DHP28" s="28"/>
      <c r="DHQ28" s="28"/>
      <c r="DHR28" s="28"/>
      <c r="DHS28" s="28"/>
      <c r="DHT28" s="28"/>
      <c r="DHU28" s="28"/>
      <c r="DHV28" s="28"/>
      <c r="DHW28" s="28"/>
      <c r="DHX28" s="28"/>
      <c r="DHY28" s="28"/>
      <c r="DHZ28" s="28"/>
      <c r="DIA28" s="28"/>
      <c r="DIB28" s="28"/>
      <c r="DIC28" s="28"/>
      <c r="DID28" s="28"/>
      <c r="DIE28" s="28"/>
      <c r="DIF28" s="28"/>
      <c r="DIG28" s="28"/>
      <c r="DIH28" s="28"/>
      <c r="DII28" s="28"/>
      <c r="DIJ28" s="28"/>
      <c r="DIK28" s="28"/>
      <c r="DIL28" s="28"/>
      <c r="DIM28" s="28"/>
      <c r="DIN28" s="28"/>
      <c r="DIO28" s="28"/>
      <c r="DIP28" s="28"/>
      <c r="DIQ28" s="28"/>
      <c r="DIR28" s="28"/>
      <c r="DIS28" s="28"/>
      <c r="DIT28" s="28"/>
      <c r="DIU28" s="28"/>
      <c r="DIV28" s="28"/>
      <c r="DIW28" s="28"/>
      <c r="DIX28" s="28"/>
      <c r="DIY28" s="28"/>
      <c r="DIZ28" s="28"/>
      <c r="DJA28" s="28"/>
      <c r="DJB28" s="28"/>
      <c r="DJC28" s="28"/>
      <c r="DJD28" s="28"/>
      <c r="DJE28" s="28"/>
      <c r="DJF28" s="28"/>
      <c r="DJG28" s="28"/>
      <c r="DJH28" s="28"/>
      <c r="DJI28" s="28"/>
      <c r="DJJ28" s="28"/>
      <c r="DJK28" s="28"/>
      <c r="DJL28" s="28"/>
      <c r="DJM28" s="28"/>
      <c r="DJN28" s="28"/>
      <c r="DJO28" s="28"/>
      <c r="DJP28" s="28"/>
      <c r="DJQ28" s="28"/>
      <c r="DJR28" s="28"/>
      <c r="DJS28" s="28"/>
      <c r="DJT28" s="28"/>
      <c r="DJU28" s="28"/>
      <c r="DJV28" s="28"/>
      <c r="DJW28" s="28"/>
      <c r="DJX28" s="28"/>
      <c r="DJY28" s="28"/>
      <c r="DJZ28" s="28"/>
      <c r="DKA28" s="28"/>
      <c r="DKB28" s="28"/>
      <c r="DKC28" s="28"/>
      <c r="DKD28" s="28"/>
      <c r="DKE28" s="28"/>
      <c r="DKF28" s="28"/>
      <c r="DKG28" s="28"/>
      <c r="DKH28" s="28"/>
      <c r="DKI28" s="28"/>
      <c r="DKJ28" s="28"/>
      <c r="DKK28" s="28"/>
      <c r="DKL28" s="28"/>
      <c r="DKM28" s="28"/>
      <c r="DKN28" s="28"/>
      <c r="DKO28" s="28"/>
      <c r="DKP28" s="28"/>
      <c r="DKQ28" s="28"/>
      <c r="DKR28" s="28"/>
      <c r="DKS28" s="28"/>
      <c r="DKT28" s="28"/>
      <c r="DKU28" s="28"/>
      <c r="DKV28" s="28"/>
      <c r="DKW28" s="28"/>
      <c r="DKX28" s="28"/>
      <c r="DKY28" s="28"/>
      <c r="DKZ28" s="28"/>
      <c r="DLA28" s="28"/>
      <c r="DLB28" s="28"/>
      <c r="DLC28" s="28"/>
      <c r="DLD28" s="28"/>
      <c r="DLE28" s="28"/>
      <c r="DLF28" s="28"/>
      <c r="DLG28" s="28"/>
      <c r="DLH28" s="28"/>
      <c r="DLI28" s="28"/>
      <c r="DLJ28" s="28"/>
      <c r="DLK28" s="28"/>
      <c r="DLL28" s="28"/>
      <c r="DLM28" s="28"/>
      <c r="DLN28" s="28"/>
      <c r="DLO28" s="28"/>
      <c r="DLP28" s="28"/>
      <c r="DLQ28" s="28"/>
      <c r="DLR28" s="28"/>
      <c r="DLS28" s="28"/>
      <c r="DLT28" s="28"/>
      <c r="DLU28" s="28"/>
      <c r="DLV28" s="28"/>
      <c r="DLW28" s="28"/>
      <c r="DLX28" s="28"/>
      <c r="DLY28" s="28"/>
      <c r="DLZ28" s="28"/>
      <c r="DMA28" s="28"/>
      <c r="DMB28" s="28"/>
      <c r="DMC28" s="28"/>
      <c r="DMD28" s="28"/>
      <c r="DME28" s="28"/>
      <c r="DMF28" s="28"/>
      <c r="DMG28" s="28"/>
      <c r="DMH28" s="28"/>
      <c r="DMI28" s="28"/>
      <c r="DMJ28" s="28"/>
      <c r="DMK28" s="28"/>
      <c r="DML28" s="28"/>
      <c r="DMM28" s="28"/>
      <c r="DMN28" s="28"/>
      <c r="DMO28" s="28"/>
      <c r="DMP28" s="28"/>
      <c r="DMQ28" s="28"/>
      <c r="DMR28" s="28"/>
      <c r="DMS28" s="28"/>
      <c r="DMT28" s="28"/>
      <c r="DMU28" s="28"/>
      <c r="DMV28" s="28"/>
      <c r="DMW28" s="28"/>
      <c r="DMX28" s="28"/>
      <c r="DMY28" s="28"/>
      <c r="DMZ28" s="28"/>
      <c r="DNA28" s="28"/>
      <c r="DNB28" s="28"/>
      <c r="DNC28" s="28"/>
      <c r="DND28" s="28"/>
      <c r="DNE28" s="28"/>
      <c r="DNF28" s="28"/>
      <c r="DNG28" s="28"/>
      <c r="DNH28" s="28"/>
      <c r="DNI28" s="28"/>
      <c r="DNJ28" s="28"/>
      <c r="DNK28" s="28"/>
      <c r="DNL28" s="28"/>
      <c r="DNM28" s="28"/>
      <c r="DNN28" s="28"/>
      <c r="DNO28" s="28"/>
      <c r="DNP28" s="28"/>
      <c r="DNQ28" s="28"/>
      <c r="DNR28" s="28"/>
      <c r="DNS28" s="28"/>
      <c r="DNT28" s="28"/>
      <c r="DNU28" s="28"/>
      <c r="DNV28" s="28"/>
      <c r="DNW28" s="28"/>
      <c r="DNX28" s="28"/>
      <c r="DNY28" s="28"/>
      <c r="DNZ28" s="28"/>
      <c r="DOA28" s="28"/>
      <c r="DOB28" s="28"/>
      <c r="DOC28" s="28"/>
      <c r="DOD28" s="28"/>
      <c r="DOE28" s="28"/>
      <c r="DOF28" s="28"/>
      <c r="DOG28" s="28"/>
      <c r="DOH28" s="28"/>
      <c r="DOI28" s="28"/>
      <c r="DOJ28" s="28"/>
      <c r="DOK28" s="28"/>
      <c r="DOL28" s="28"/>
      <c r="DOM28" s="28"/>
      <c r="DON28" s="28"/>
      <c r="DOO28" s="28"/>
      <c r="DOP28" s="28"/>
      <c r="DOQ28" s="28"/>
      <c r="DOR28" s="28"/>
      <c r="DOS28" s="28"/>
      <c r="DOT28" s="28"/>
      <c r="DOU28" s="28"/>
      <c r="DOV28" s="28"/>
      <c r="DOW28" s="28"/>
      <c r="DOX28" s="28"/>
      <c r="DOY28" s="28"/>
      <c r="DOZ28" s="28"/>
      <c r="DPA28" s="28"/>
      <c r="DPB28" s="28"/>
      <c r="DPC28" s="28"/>
      <c r="DPD28" s="28"/>
      <c r="DPE28" s="28"/>
      <c r="DPF28" s="28"/>
      <c r="DPG28" s="28"/>
      <c r="DPH28" s="28"/>
      <c r="DPI28" s="28"/>
      <c r="DPJ28" s="28"/>
      <c r="DPK28" s="28"/>
      <c r="DPL28" s="28"/>
      <c r="DPM28" s="28"/>
      <c r="DPN28" s="28"/>
      <c r="DPO28" s="28"/>
      <c r="DPP28" s="28"/>
      <c r="DPQ28" s="28"/>
      <c r="DPR28" s="28"/>
      <c r="DPS28" s="28"/>
      <c r="DPT28" s="28"/>
      <c r="DPU28" s="28"/>
      <c r="DPV28" s="28"/>
      <c r="DPW28" s="28"/>
      <c r="DPX28" s="28"/>
      <c r="DPY28" s="28"/>
      <c r="DPZ28" s="28"/>
      <c r="DQA28" s="28"/>
      <c r="DQB28" s="28"/>
      <c r="DQC28" s="28"/>
      <c r="DQD28" s="28"/>
      <c r="DQE28" s="28"/>
      <c r="DQF28" s="28"/>
      <c r="DQG28" s="28"/>
      <c r="DQH28" s="28"/>
      <c r="DQI28" s="28"/>
      <c r="DQJ28" s="28"/>
      <c r="DQK28" s="28"/>
      <c r="DQL28" s="28"/>
      <c r="DQM28" s="28"/>
      <c r="DQN28" s="28"/>
      <c r="DQO28" s="28"/>
      <c r="DQP28" s="28"/>
      <c r="DQQ28" s="28"/>
      <c r="DQR28" s="28"/>
      <c r="DQS28" s="28"/>
      <c r="DQT28" s="28"/>
      <c r="DQU28" s="28"/>
      <c r="DQV28" s="28"/>
      <c r="DQW28" s="28"/>
      <c r="DQX28" s="28"/>
      <c r="DQY28" s="28"/>
      <c r="DQZ28" s="28"/>
      <c r="DRA28" s="28"/>
      <c r="DRB28" s="28"/>
      <c r="DRC28" s="28"/>
      <c r="DRD28" s="28"/>
      <c r="DRE28" s="28"/>
      <c r="DRF28" s="28"/>
      <c r="DRG28" s="28"/>
      <c r="DRH28" s="28"/>
      <c r="DRI28" s="28"/>
      <c r="DRJ28" s="28"/>
      <c r="DRK28" s="28"/>
      <c r="DRL28" s="28"/>
      <c r="DRM28" s="28"/>
      <c r="DRN28" s="28"/>
      <c r="DRO28" s="28"/>
      <c r="DRP28" s="28"/>
      <c r="DRQ28" s="28"/>
      <c r="DRR28" s="28"/>
      <c r="DRS28" s="28"/>
      <c r="DRT28" s="28"/>
      <c r="DRU28" s="28"/>
      <c r="DRV28" s="28"/>
      <c r="DRW28" s="28"/>
      <c r="DRX28" s="28"/>
      <c r="DRY28" s="28"/>
      <c r="DRZ28" s="28"/>
      <c r="DSA28" s="28"/>
      <c r="DSB28" s="28"/>
      <c r="DSC28" s="28"/>
      <c r="DSD28" s="28"/>
      <c r="DSE28" s="28"/>
      <c r="DSF28" s="28"/>
      <c r="DSG28" s="28"/>
      <c r="DSH28" s="28"/>
      <c r="DSI28" s="28"/>
      <c r="DSJ28" s="28"/>
      <c r="DSK28" s="28"/>
      <c r="DSL28" s="28"/>
      <c r="DSM28" s="28"/>
      <c r="DSN28" s="28"/>
      <c r="DSO28" s="28"/>
      <c r="DSP28" s="28"/>
      <c r="DSQ28" s="28"/>
      <c r="DSR28" s="28"/>
      <c r="DSS28" s="28"/>
      <c r="DST28" s="28"/>
      <c r="DSU28" s="28"/>
      <c r="DSV28" s="28"/>
      <c r="DSW28" s="28"/>
      <c r="DSX28" s="28"/>
      <c r="DSY28" s="28"/>
      <c r="DSZ28" s="28"/>
      <c r="DTA28" s="28"/>
      <c r="DTB28" s="28"/>
      <c r="DTC28" s="28"/>
      <c r="DTD28" s="28"/>
      <c r="DTE28" s="28"/>
      <c r="DTF28" s="28"/>
      <c r="DTG28" s="28"/>
      <c r="DTH28" s="28"/>
      <c r="DTI28" s="28"/>
      <c r="DTJ28" s="28"/>
      <c r="DTK28" s="28"/>
      <c r="DTL28" s="28"/>
      <c r="DTM28" s="28"/>
      <c r="DTN28" s="28"/>
      <c r="DTO28" s="28"/>
      <c r="DTP28" s="28"/>
      <c r="DTQ28" s="28"/>
      <c r="DTR28" s="28"/>
      <c r="DTS28" s="28"/>
      <c r="DTT28" s="28"/>
      <c r="DTU28" s="28"/>
      <c r="DTV28" s="28"/>
      <c r="DTW28" s="28"/>
      <c r="DTX28" s="28"/>
      <c r="DTY28" s="28"/>
      <c r="DTZ28" s="28"/>
      <c r="DUA28" s="28"/>
      <c r="DUB28" s="28"/>
      <c r="DUC28" s="28"/>
      <c r="DUD28" s="28"/>
      <c r="DUE28" s="28"/>
      <c r="DUF28" s="28"/>
      <c r="DUG28" s="28"/>
      <c r="DUH28" s="28"/>
      <c r="DUI28" s="28"/>
      <c r="DUJ28" s="28"/>
      <c r="DUK28" s="28"/>
      <c r="DUL28" s="28"/>
      <c r="DUM28" s="28"/>
      <c r="DUN28" s="28"/>
      <c r="DUO28" s="28"/>
      <c r="DUP28" s="28"/>
      <c r="DUQ28" s="28"/>
      <c r="DUR28" s="28"/>
      <c r="DUS28" s="28"/>
      <c r="DUT28" s="28"/>
      <c r="DUU28" s="28"/>
      <c r="DUV28" s="28"/>
      <c r="DUW28" s="28"/>
      <c r="DUX28" s="28"/>
      <c r="DUY28" s="28"/>
      <c r="DUZ28" s="28"/>
      <c r="DVA28" s="28"/>
      <c r="DVB28" s="28"/>
      <c r="DVC28" s="28"/>
      <c r="DVD28" s="28"/>
      <c r="DVE28" s="28"/>
      <c r="DVF28" s="28"/>
      <c r="DVG28" s="28"/>
      <c r="DVH28" s="28"/>
      <c r="DVI28" s="28"/>
      <c r="DVJ28" s="28"/>
      <c r="DVK28" s="28"/>
      <c r="DVL28" s="28"/>
      <c r="DVM28" s="28"/>
      <c r="DVN28" s="28"/>
      <c r="DVO28" s="28"/>
      <c r="DVP28" s="28"/>
      <c r="DVQ28" s="28"/>
      <c r="DVR28" s="28"/>
      <c r="DVS28" s="28"/>
      <c r="DVT28" s="28"/>
      <c r="DVU28" s="28"/>
      <c r="DVV28" s="28"/>
      <c r="DVW28" s="28"/>
      <c r="DVX28" s="28"/>
      <c r="DVY28" s="28"/>
      <c r="DVZ28" s="28"/>
      <c r="DWA28" s="28"/>
      <c r="DWB28" s="28"/>
      <c r="DWC28" s="28"/>
      <c r="DWD28" s="28"/>
      <c r="DWE28" s="28"/>
      <c r="DWF28" s="28"/>
      <c r="DWG28" s="28"/>
      <c r="DWH28" s="28"/>
      <c r="DWI28" s="28"/>
      <c r="DWJ28" s="28"/>
      <c r="DWK28" s="28"/>
      <c r="DWL28" s="28"/>
      <c r="DWM28" s="28"/>
      <c r="DWN28" s="28"/>
      <c r="DWO28" s="28"/>
      <c r="DWP28" s="28"/>
      <c r="DWQ28" s="28"/>
      <c r="DWR28" s="28"/>
      <c r="DWS28" s="28"/>
      <c r="DWT28" s="28"/>
      <c r="DWU28" s="28"/>
      <c r="DWV28" s="28"/>
      <c r="DWW28" s="28"/>
      <c r="DWX28" s="28"/>
      <c r="DWY28" s="28"/>
      <c r="DWZ28" s="28"/>
      <c r="DXA28" s="28"/>
      <c r="DXB28" s="28"/>
      <c r="DXC28" s="28"/>
      <c r="DXD28" s="28"/>
      <c r="DXE28" s="28"/>
      <c r="DXF28" s="28"/>
      <c r="DXG28" s="28"/>
      <c r="DXH28" s="28"/>
      <c r="DXI28" s="28"/>
      <c r="DXJ28" s="28"/>
      <c r="DXK28" s="28"/>
      <c r="DXL28" s="28"/>
      <c r="DXM28" s="28"/>
      <c r="DXN28" s="28"/>
      <c r="DXO28" s="28"/>
      <c r="DXP28" s="28"/>
      <c r="DXQ28" s="28"/>
      <c r="DXR28" s="28"/>
      <c r="DXS28" s="28"/>
      <c r="DXT28" s="28"/>
      <c r="DXU28" s="28"/>
      <c r="DXV28" s="28"/>
      <c r="DXW28" s="28"/>
      <c r="DXX28" s="28"/>
      <c r="DXY28" s="28"/>
      <c r="DXZ28" s="28"/>
      <c r="DYA28" s="28"/>
      <c r="DYB28" s="28"/>
      <c r="DYC28" s="28"/>
      <c r="DYD28" s="28"/>
      <c r="DYE28" s="28"/>
      <c r="DYF28" s="28"/>
      <c r="DYG28" s="28"/>
      <c r="DYH28" s="28"/>
      <c r="DYI28" s="28"/>
      <c r="DYJ28" s="28"/>
      <c r="DYK28" s="28"/>
      <c r="DYL28" s="28"/>
      <c r="DYM28" s="28"/>
      <c r="DYN28" s="28"/>
      <c r="DYO28" s="28"/>
      <c r="DYP28" s="28"/>
      <c r="DYQ28" s="28"/>
      <c r="DYR28" s="28"/>
      <c r="DYS28" s="28"/>
      <c r="DYT28" s="28"/>
      <c r="DYU28" s="28"/>
      <c r="DYV28" s="28"/>
      <c r="DYW28" s="28"/>
      <c r="DYX28" s="28"/>
      <c r="DYY28" s="28"/>
      <c r="DYZ28" s="28"/>
      <c r="DZA28" s="28"/>
      <c r="DZB28" s="28"/>
      <c r="DZC28" s="28"/>
      <c r="DZD28" s="28"/>
      <c r="DZE28" s="28"/>
      <c r="DZF28" s="28"/>
      <c r="DZG28" s="28"/>
      <c r="DZH28" s="28"/>
      <c r="DZI28" s="28"/>
      <c r="DZJ28" s="28"/>
      <c r="DZK28" s="28"/>
      <c r="DZL28" s="28"/>
      <c r="DZM28" s="28"/>
      <c r="DZN28" s="28"/>
      <c r="DZO28" s="28"/>
      <c r="DZP28" s="28"/>
      <c r="DZQ28" s="28"/>
      <c r="DZR28" s="28"/>
      <c r="DZS28" s="28"/>
      <c r="DZT28" s="28"/>
      <c r="DZU28" s="28"/>
      <c r="DZV28" s="28"/>
      <c r="DZW28" s="28"/>
      <c r="DZX28" s="28"/>
      <c r="DZY28" s="28"/>
      <c r="DZZ28" s="28"/>
      <c r="EAA28" s="28"/>
      <c r="EAB28" s="28"/>
      <c r="EAC28" s="28"/>
      <c r="EAD28" s="28"/>
      <c r="EAE28" s="28"/>
      <c r="EAF28" s="28"/>
      <c r="EAG28" s="28"/>
      <c r="EAH28" s="28"/>
      <c r="EAI28" s="28"/>
      <c r="EAJ28" s="28"/>
      <c r="EAK28" s="28"/>
      <c r="EAL28" s="28"/>
      <c r="EAM28" s="28"/>
      <c r="EAN28" s="28"/>
      <c r="EAO28" s="28"/>
      <c r="EAP28" s="28"/>
      <c r="EAQ28" s="28"/>
      <c r="EAR28" s="28"/>
      <c r="EAS28" s="28"/>
      <c r="EAT28" s="28"/>
      <c r="EAU28" s="28"/>
      <c r="EAV28" s="28"/>
      <c r="EAW28" s="28"/>
      <c r="EAX28" s="28"/>
      <c r="EAY28" s="28"/>
      <c r="EAZ28" s="28"/>
      <c r="EBA28" s="28"/>
      <c r="EBB28" s="28"/>
      <c r="EBC28" s="28"/>
      <c r="EBD28" s="28"/>
      <c r="EBE28" s="28"/>
      <c r="EBF28" s="28"/>
      <c r="EBG28" s="28"/>
      <c r="EBH28" s="28"/>
      <c r="EBI28" s="28"/>
      <c r="EBJ28" s="28"/>
      <c r="EBK28" s="28"/>
      <c r="EBL28" s="28"/>
      <c r="EBM28" s="28"/>
      <c r="EBN28" s="28"/>
      <c r="EBO28" s="28"/>
      <c r="EBP28" s="28"/>
      <c r="EBQ28" s="28"/>
      <c r="EBR28" s="28"/>
      <c r="EBS28" s="28"/>
      <c r="EBT28" s="28"/>
      <c r="EBU28" s="28"/>
      <c r="EBV28" s="28"/>
      <c r="EBW28" s="28"/>
      <c r="EBX28" s="28"/>
      <c r="EBY28" s="28"/>
      <c r="EBZ28" s="28"/>
      <c r="ECA28" s="28"/>
      <c r="ECB28" s="28"/>
      <c r="ECC28" s="28"/>
      <c r="ECD28" s="28"/>
      <c r="ECE28" s="28"/>
      <c r="ECF28" s="28"/>
      <c r="ECG28" s="28"/>
      <c r="ECH28" s="28"/>
      <c r="ECI28" s="28"/>
      <c r="ECJ28" s="28"/>
      <c r="ECK28" s="28"/>
      <c r="ECL28" s="28"/>
      <c r="ECM28" s="28"/>
      <c r="ECN28" s="28"/>
      <c r="ECO28" s="28"/>
      <c r="ECP28" s="28"/>
      <c r="ECQ28" s="28"/>
      <c r="ECR28" s="28"/>
      <c r="ECS28" s="28"/>
      <c r="ECT28" s="28"/>
      <c r="ECU28" s="28"/>
      <c r="ECV28" s="28"/>
      <c r="ECW28" s="28"/>
      <c r="ECX28" s="28"/>
      <c r="ECY28" s="28"/>
      <c r="ECZ28" s="28"/>
      <c r="EDA28" s="28"/>
      <c r="EDB28" s="28"/>
      <c r="EDC28" s="28"/>
      <c r="EDD28" s="28"/>
      <c r="EDE28" s="28"/>
      <c r="EDF28" s="28"/>
      <c r="EDG28" s="28"/>
      <c r="EDH28" s="28"/>
      <c r="EDI28" s="28"/>
      <c r="EDJ28" s="28"/>
      <c r="EDK28" s="28"/>
      <c r="EDL28" s="28"/>
      <c r="EDM28" s="28"/>
      <c r="EDN28" s="28"/>
      <c r="EDO28" s="28"/>
      <c r="EDP28" s="28"/>
      <c r="EDQ28" s="28"/>
      <c r="EDR28" s="28"/>
      <c r="EDS28" s="28"/>
      <c r="EDT28" s="28"/>
      <c r="EDU28" s="28"/>
      <c r="EDV28" s="28"/>
      <c r="EDW28" s="28"/>
      <c r="EDX28" s="28"/>
      <c r="EDY28" s="28"/>
      <c r="EDZ28" s="28"/>
      <c r="EEA28" s="28"/>
      <c r="EEB28" s="28"/>
      <c r="EEC28" s="28"/>
      <c r="EED28" s="28"/>
      <c r="EEE28" s="28"/>
      <c r="EEF28" s="28"/>
      <c r="EEG28" s="28"/>
      <c r="EEH28" s="28"/>
      <c r="EEI28" s="28"/>
      <c r="EEJ28" s="28"/>
      <c r="EEK28" s="28"/>
      <c r="EEL28" s="28"/>
      <c r="EEM28" s="28"/>
      <c r="EEN28" s="28"/>
      <c r="EEO28" s="28"/>
      <c r="EEP28" s="28"/>
      <c r="EEQ28" s="28"/>
      <c r="EER28" s="28"/>
      <c r="EES28" s="28"/>
      <c r="EET28" s="28"/>
      <c r="EEU28" s="28"/>
      <c r="EEV28" s="28"/>
      <c r="EEW28" s="28"/>
      <c r="EEX28" s="28"/>
      <c r="EEY28" s="28"/>
      <c r="EEZ28" s="28"/>
      <c r="EFA28" s="28"/>
      <c r="EFB28" s="28"/>
      <c r="EFC28" s="28"/>
      <c r="EFD28" s="28"/>
      <c r="EFE28" s="28"/>
      <c r="EFF28" s="28"/>
      <c r="EFG28" s="28"/>
      <c r="EFH28" s="28"/>
      <c r="EFI28" s="28"/>
      <c r="EFJ28" s="28"/>
      <c r="EFK28" s="28"/>
      <c r="EFL28" s="28"/>
      <c r="EFM28" s="28"/>
      <c r="EFN28" s="28"/>
      <c r="EFO28" s="28"/>
      <c r="EFP28" s="28"/>
      <c r="EFQ28" s="28"/>
      <c r="EFR28" s="28"/>
      <c r="EFS28" s="28"/>
      <c r="EFT28" s="28"/>
      <c r="EFU28" s="28"/>
      <c r="EFV28" s="28"/>
      <c r="EFW28" s="28"/>
      <c r="EFX28" s="28"/>
      <c r="EFY28" s="28"/>
      <c r="EFZ28" s="28"/>
      <c r="EGA28" s="28"/>
      <c r="EGB28" s="28"/>
      <c r="EGC28" s="28"/>
      <c r="EGD28" s="28"/>
      <c r="EGE28" s="28"/>
      <c r="EGF28" s="28"/>
      <c r="EGG28" s="28"/>
      <c r="EGH28" s="28"/>
      <c r="EGI28" s="28"/>
      <c r="EGJ28" s="28"/>
      <c r="EGK28" s="28"/>
      <c r="EGL28" s="28"/>
      <c r="EGM28" s="28"/>
      <c r="EGN28" s="28"/>
      <c r="EGO28" s="28"/>
      <c r="EGP28" s="28"/>
      <c r="EGQ28" s="28"/>
      <c r="EGR28" s="28"/>
      <c r="EGS28" s="28"/>
      <c r="EGT28" s="28"/>
      <c r="EGU28" s="28"/>
      <c r="EGV28" s="28"/>
      <c r="EGW28" s="28"/>
      <c r="EGX28" s="28"/>
      <c r="EGY28" s="28"/>
      <c r="EGZ28" s="28"/>
      <c r="EHA28" s="28"/>
      <c r="EHB28" s="28"/>
      <c r="EHC28" s="28"/>
      <c r="EHD28" s="28"/>
      <c r="EHE28" s="28"/>
      <c r="EHF28" s="28"/>
      <c r="EHG28" s="28"/>
      <c r="EHH28" s="28"/>
      <c r="EHI28" s="28"/>
      <c r="EHJ28" s="28"/>
      <c r="EHK28" s="28"/>
      <c r="EHL28" s="28"/>
      <c r="EHM28" s="28"/>
      <c r="EHN28" s="28"/>
      <c r="EHO28" s="28"/>
      <c r="EHP28" s="28"/>
      <c r="EHQ28" s="28"/>
      <c r="EHR28" s="28"/>
      <c r="EHS28" s="28"/>
      <c r="EHT28" s="28"/>
      <c r="EHU28" s="28"/>
      <c r="EHV28" s="28"/>
      <c r="EHW28" s="28"/>
      <c r="EHX28" s="28"/>
      <c r="EHY28" s="28"/>
      <c r="EHZ28" s="28"/>
      <c r="EIA28" s="28"/>
      <c r="EIB28" s="28"/>
      <c r="EIC28" s="28"/>
      <c r="EID28" s="28"/>
      <c r="EIE28" s="28"/>
      <c r="EIF28" s="28"/>
      <c r="EIG28" s="28"/>
      <c r="EIH28" s="28"/>
      <c r="EII28" s="28"/>
      <c r="EIJ28" s="28"/>
      <c r="EIK28" s="28"/>
      <c r="EIL28" s="28"/>
      <c r="EIM28" s="28"/>
      <c r="EIN28" s="28"/>
      <c r="EIO28" s="28"/>
      <c r="EIP28" s="28"/>
      <c r="EIQ28" s="28"/>
      <c r="EIR28" s="28"/>
      <c r="EIS28" s="28"/>
      <c r="EIT28" s="28"/>
      <c r="EIU28" s="28"/>
      <c r="EIV28" s="28"/>
      <c r="EIW28" s="28"/>
      <c r="EIX28" s="28"/>
      <c r="EIY28" s="28"/>
      <c r="EIZ28" s="28"/>
      <c r="EJA28" s="28"/>
      <c r="EJB28" s="28"/>
      <c r="EJC28" s="28"/>
      <c r="EJD28" s="28"/>
      <c r="EJE28" s="28"/>
      <c r="EJF28" s="28"/>
      <c r="EJG28" s="28"/>
      <c r="EJH28" s="28"/>
      <c r="EJI28" s="28"/>
      <c r="EJJ28" s="28"/>
      <c r="EJK28" s="28"/>
      <c r="EJL28" s="28"/>
      <c r="EJM28" s="28"/>
      <c r="EJN28" s="28"/>
      <c r="EJO28" s="28"/>
      <c r="EJP28" s="28"/>
      <c r="EJQ28" s="28"/>
      <c r="EJR28" s="28"/>
      <c r="EJS28" s="28"/>
      <c r="EJT28" s="28"/>
      <c r="EJU28" s="28"/>
      <c r="EJV28" s="28"/>
      <c r="EJW28" s="28"/>
      <c r="EJX28" s="28"/>
      <c r="EJY28" s="28"/>
      <c r="EJZ28" s="28"/>
      <c r="EKA28" s="28"/>
      <c r="EKB28" s="28"/>
      <c r="EKC28" s="28"/>
      <c r="EKD28" s="28"/>
      <c r="EKE28" s="28"/>
      <c r="EKF28" s="28"/>
      <c r="EKG28" s="28"/>
      <c r="EKH28" s="28"/>
      <c r="EKI28" s="28"/>
      <c r="EKJ28" s="28"/>
      <c r="EKK28" s="28"/>
      <c r="EKL28" s="28"/>
      <c r="EKM28" s="28"/>
      <c r="EKN28" s="28"/>
      <c r="EKO28" s="28"/>
      <c r="EKP28" s="28"/>
      <c r="EKQ28" s="28"/>
      <c r="EKR28" s="28"/>
      <c r="EKS28" s="28"/>
      <c r="EKT28" s="28"/>
      <c r="EKU28" s="28"/>
      <c r="EKV28" s="28"/>
      <c r="EKW28" s="28"/>
      <c r="EKX28" s="28"/>
      <c r="EKY28" s="28"/>
      <c r="EKZ28" s="28"/>
      <c r="ELA28" s="28"/>
      <c r="ELB28" s="28"/>
      <c r="ELC28" s="28"/>
      <c r="ELD28" s="28"/>
      <c r="ELE28" s="28"/>
      <c r="ELF28" s="28"/>
      <c r="ELG28" s="28"/>
      <c r="ELH28" s="28"/>
      <c r="ELI28" s="28"/>
      <c r="ELJ28" s="28"/>
      <c r="ELK28" s="28"/>
      <c r="ELL28" s="28"/>
      <c r="ELM28" s="28"/>
      <c r="ELN28" s="28"/>
      <c r="ELO28" s="28"/>
      <c r="ELP28" s="28"/>
      <c r="ELQ28" s="28"/>
      <c r="ELR28" s="28"/>
      <c r="ELS28" s="28"/>
      <c r="ELT28" s="28"/>
      <c r="ELU28" s="28"/>
      <c r="ELV28" s="28"/>
      <c r="ELW28" s="28"/>
      <c r="ELX28" s="28"/>
      <c r="ELY28" s="28"/>
      <c r="ELZ28" s="28"/>
      <c r="EMA28" s="28"/>
      <c r="EMB28" s="28"/>
      <c r="EMC28" s="28"/>
      <c r="EMD28" s="28"/>
      <c r="EME28" s="28"/>
      <c r="EMF28" s="28"/>
      <c r="EMG28" s="28"/>
      <c r="EMH28" s="28"/>
      <c r="EMI28" s="28"/>
      <c r="EMJ28" s="28"/>
      <c r="EMK28" s="28"/>
      <c r="EML28" s="28"/>
      <c r="EMM28" s="28"/>
      <c r="EMN28" s="28"/>
      <c r="EMO28" s="28"/>
      <c r="EMP28" s="28"/>
      <c r="EMQ28" s="28"/>
      <c r="EMR28" s="28"/>
      <c r="EMS28" s="28"/>
      <c r="EMT28" s="28"/>
      <c r="EMU28" s="28"/>
      <c r="EMV28" s="28"/>
      <c r="EMW28" s="28"/>
      <c r="EMX28" s="28"/>
      <c r="EMY28" s="28"/>
      <c r="EMZ28" s="28"/>
      <c r="ENA28" s="28"/>
      <c r="ENB28" s="28"/>
      <c r="ENC28" s="28"/>
      <c r="END28" s="28"/>
      <c r="ENE28" s="28"/>
      <c r="ENF28" s="28"/>
      <c r="ENG28" s="28"/>
      <c r="ENH28" s="28"/>
      <c r="ENI28" s="28"/>
      <c r="ENJ28" s="28"/>
      <c r="ENK28" s="28"/>
      <c r="ENL28" s="28"/>
      <c r="ENM28" s="28"/>
      <c r="ENN28" s="28"/>
      <c r="ENO28" s="28"/>
      <c r="ENP28" s="28"/>
      <c r="ENQ28" s="28"/>
      <c r="ENR28" s="28"/>
      <c r="ENS28" s="28"/>
      <c r="ENT28" s="28"/>
      <c r="ENU28" s="28"/>
      <c r="ENV28" s="28"/>
      <c r="ENW28" s="28"/>
      <c r="ENX28" s="28"/>
      <c r="ENY28" s="28"/>
      <c r="ENZ28" s="28"/>
      <c r="EOA28" s="28"/>
      <c r="EOB28" s="28"/>
      <c r="EOC28" s="28"/>
      <c r="EOD28" s="28"/>
      <c r="EOE28" s="28"/>
      <c r="EOF28" s="28"/>
      <c r="EOG28" s="28"/>
      <c r="EOH28" s="28"/>
      <c r="EOI28" s="28"/>
      <c r="EOJ28" s="28"/>
      <c r="EOK28" s="28"/>
      <c r="EOL28" s="28"/>
      <c r="EOM28" s="28"/>
      <c r="EON28" s="28"/>
      <c r="EOO28" s="28"/>
      <c r="EOP28" s="28"/>
      <c r="EOQ28" s="28"/>
      <c r="EOR28" s="28"/>
      <c r="EOS28" s="28"/>
      <c r="EOT28" s="28"/>
      <c r="EOU28" s="28"/>
      <c r="EOV28" s="28"/>
      <c r="EOW28" s="28"/>
      <c r="EOX28" s="28"/>
      <c r="EOY28" s="28"/>
      <c r="EOZ28" s="28"/>
      <c r="EPA28" s="28"/>
      <c r="EPB28" s="28"/>
      <c r="EPC28" s="28"/>
      <c r="EPD28" s="28"/>
      <c r="EPE28" s="28"/>
      <c r="EPF28" s="28"/>
      <c r="EPG28" s="28"/>
      <c r="EPH28" s="28"/>
      <c r="EPI28" s="28"/>
      <c r="EPJ28" s="28"/>
      <c r="EPK28" s="28"/>
      <c r="EPL28" s="28"/>
      <c r="EPM28" s="28"/>
      <c r="EPN28" s="28"/>
      <c r="EPO28" s="28"/>
      <c r="EPP28" s="28"/>
      <c r="EPQ28" s="28"/>
      <c r="EPR28" s="28"/>
      <c r="EPS28" s="28"/>
      <c r="EPT28" s="28"/>
      <c r="EPU28" s="28"/>
      <c r="EPV28" s="28"/>
      <c r="EPW28" s="28"/>
      <c r="EPX28" s="28"/>
      <c r="EPY28" s="28"/>
      <c r="EPZ28" s="28"/>
      <c r="EQA28" s="28"/>
      <c r="EQB28" s="28"/>
      <c r="EQC28" s="28"/>
      <c r="EQD28" s="28"/>
      <c r="EQE28" s="28"/>
      <c r="EQF28" s="28"/>
      <c r="EQG28" s="28"/>
      <c r="EQH28" s="28"/>
      <c r="EQI28" s="28"/>
      <c r="EQJ28" s="28"/>
      <c r="EQK28" s="28"/>
      <c r="EQL28" s="28"/>
      <c r="EQM28" s="28"/>
      <c r="EQN28" s="28"/>
      <c r="EQO28" s="28"/>
      <c r="EQP28" s="28"/>
      <c r="EQQ28" s="28"/>
      <c r="EQR28" s="28"/>
      <c r="EQS28" s="28"/>
      <c r="EQT28" s="28"/>
      <c r="EQU28" s="28"/>
      <c r="EQV28" s="28"/>
      <c r="EQW28" s="28"/>
      <c r="EQX28" s="28"/>
      <c r="EQY28" s="28"/>
      <c r="EQZ28" s="28"/>
      <c r="ERA28" s="28"/>
      <c r="ERB28" s="28"/>
      <c r="ERC28" s="28"/>
      <c r="ERD28" s="28"/>
      <c r="ERE28" s="28"/>
      <c r="ERF28" s="28"/>
      <c r="ERG28" s="28"/>
      <c r="ERH28" s="28"/>
      <c r="ERI28" s="28"/>
      <c r="ERJ28" s="28"/>
      <c r="ERK28" s="28"/>
      <c r="ERL28" s="28"/>
      <c r="ERM28" s="28"/>
      <c r="ERN28" s="28"/>
      <c r="ERO28" s="28"/>
      <c r="ERP28" s="28"/>
      <c r="ERQ28" s="28"/>
      <c r="ERR28" s="28"/>
      <c r="ERS28" s="28"/>
      <c r="ERT28" s="28"/>
      <c r="ERU28" s="28"/>
      <c r="ERV28" s="28"/>
      <c r="ERW28" s="28"/>
      <c r="ERX28" s="28"/>
      <c r="ERY28" s="28"/>
      <c r="ERZ28" s="28"/>
      <c r="ESA28" s="28"/>
      <c r="ESB28" s="28"/>
      <c r="ESC28" s="28"/>
      <c r="ESD28" s="28"/>
      <c r="ESE28" s="28"/>
      <c r="ESF28" s="28"/>
      <c r="ESG28" s="28"/>
      <c r="ESH28" s="28"/>
      <c r="ESI28" s="28"/>
      <c r="ESJ28" s="28"/>
      <c r="ESK28" s="28"/>
      <c r="ESL28" s="28"/>
      <c r="ESM28" s="28"/>
      <c r="ESN28" s="28"/>
      <c r="ESO28" s="28"/>
      <c r="ESP28" s="28"/>
      <c r="ESQ28" s="28"/>
      <c r="ESR28" s="28"/>
      <c r="ESS28" s="28"/>
      <c r="EST28" s="28"/>
      <c r="ESU28" s="28"/>
      <c r="ESV28" s="28"/>
      <c r="ESW28" s="28"/>
      <c r="ESX28" s="28"/>
      <c r="ESY28" s="28"/>
      <c r="ESZ28" s="28"/>
      <c r="ETA28" s="28"/>
      <c r="ETB28" s="28"/>
      <c r="ETC28" s="28"/>
      <c r="ETD28" s="28"/>
      <c r="ETE28" s="28"/>
      <c r="ETF28" s="28"/>
      <c r="ETG28" s="28"/>
      <c r="ETH28" s="28"/>
      <c r="ETI28" s="28"/>
      <c r="ETJ28" s="28"/>
      <c r="ETK28" s="28"/>
      <c r="ETL28" s="28"/>
      <c r="ETM28" s="28"/>
      <c r="ETN28" s="28"/>
      <c r="ETO28" s="28"/>
      <c r="ETP28" s="28"/>
      <c r="ETQ28" s="28"/>
      <c r="ETR28" s="28"/>
      <c r="ETS28" s="28"/>
      <c r="ETT28" s="28"/>
      <c r="ETU28" s="28"/>
      <c r="ETV28" s="28"/>
      <c r="ETW28" s="28"/>
      <c r="ETX28" s="28"/>
      <c r="ETY28" s="28"/>
      <c r="ETZ28" s="28"/>
      <c r="EUA28" s="28"/>
      <c r="EUB28" s="28"/>
      <c r="EUC28" s="28"/>
      <c r="EUD28" s="28"/>
      <c r="EUE28" s="28"/>
      <c r="EUF28" s="28"/>
      <c r="EUG28" s="28"/>
      <c r="EUH28" s="28"/>
      <c r="EUI28" s="28"/>
      <c r="EUJ28" s="28"/>
      <c r="EUK28" s="28"/>
      <c r="EUL28" s="28"/>
      <c r="EUM28" s="28"/>
      <c r="EUN28" s="28"/>
      <c r="EUO28" s="28"/>
      <c r="EUP28" s="28"/>
      <c r="EUQ28" s="28"/>
      <c r="EUR28" s="28"/>
      <c r="EUS28" s="28"/>
      <c r="EUT28" s="28"/>
      <c r="EUU28" s="28"/>
      <c r="EUV28" s="28"/>
      <c r="EUW28" s="28"/>
      <c r="EUX28" s="28"/>
      <c r="EUY28" s="28"/>
      <c r="EUZ28" s="28"/>
      <c r="EVA28" s="28"/>
      <c r="EVB28" s="28"/>
      <c r="EVC28" s="28"/>
      <c r="EVD28" s="28"/>
      <c r="EVE28" s="28"/>
      <c r="EVF28" s="28"/>
      <c r="EVG28" s="28"/>
      <c r="EVH28" s="28"/>
      <c r="EVI28" s="28"/>
      <c r="EVJ28" s="28"/>
      <c r="EVK28" s="28"/>
      <c r="EVL28" s="28"/>
      <c r="EVM28" s="28"/>
      <c r="EVN28" s="28"/>
      <c r="EVO28" s="28"/>
      <c r="EVP28" s="28"/>
      <c r="EVQ28" s="28"/>
      <c r="EVR28" s="28"/>
      <c r="EVS28" s="28"/>
      <c r="EVT28" s="28"/>
      <c r="EVU28" s="28"/>
      <c r="EVV28" s="28"/>
      <c r="EVW28" s="28"/>
      <c r="EVX28" s="28"/>
      <c r="EVY28" s="28"/>
      <c r="EVZ28" s="28"/>
      <c r="EWA28" s="28"/>
      <c r="EWB28" s="28"/>
      <c r="EWC28" s="28"/>
      <c r="EWD28" s="28"/>
      <c r="EWE28" s="28"/>
      <c r="EWF28" s="28"/>
      <c r="EWG28" s="28"/>
      <c r="EWH28" s="28"/>
      <c r="EWI28" s="28"/>
      <c r="EWJ28" s="28"/>
      <c r="EWK28" s="28"/>
      <c r="EWL28" s="28"/>
      <c r="EWM28" s="28"/>
      <c r="EWN28" s="28"/>
      <c r="EWO28" s="28"/>
      <c r="EWP28" s="28"/>
      <c r="EWQ28" s="28"/>
      <c r="EWR28" s="28"/>
      <c r="EWS28" s="28"/>
      <c r="EWT28" s="28"/>
      <c r="EWU28" s="28"/>
      <c r="EWV28" s="28"/>
      <c r="EWW28" s="28"/>
      <c r="EWX28" s="28"/>
      <c r="EWY28" s="28"/>
      <c r="EWZ28" s="28"/>
      <c r="EXA28" s="28"/>
      <c r="EXB28" s="28"/>
      <c r="EXC28" s="28"/>
      <c r="EXD28" s="28"/>
      <c r="EXE28" s="28"/>
      <c r="EXF28" s="28"/>
      <c r="EXG28" s="28"/>
      <c r="EXH28" s="28"/>
      <c r="EXI28" s="28"/>
      <c r="EXJ28" s="28"/>
      <c r="EXK28" s="28"/>
      <c r="EXL28" s="28"/>
      <c r="EXM28" s="28"/>
      <c r="EXN28" s="28"/>
      <c r="EXO28" s="28"/>
      <c r="EXP28" s="28"/>
      <c r="EXQ28" s="28"/>
      <c r="EXR28" s="28"/>
      <c r="EXS28" s="28"/>
      <c r="EXT28" s="28"/>
      <c r="EXU28" s="28"/>
      <c r="EXV28" s="28"/>
      <c r="EXW28" s="28"/>
      <c r="EXX28" s="28"/>
      <c r="EXY28" s="28"/>
      <c r="EXZ28" s="28"/>
      <c r="EYA28" s="28"/>
      <c r="EYB28" s="28"/>
      <c r="EYC28" s="28"/>
      <c r="EYD28" s="28"/>
      <c r="EYE28" s="28"/>
      <c r="EYF28" s="28"/>
      <c r="EYG28" s="28"/>
      <c r="EYH28" s="28"/>
      <c r="EYI28" s="28"/>
      <c r="EYJ28" s="28"/>
      <c r="EYK28" s="28"/>
      <c r="EYL28" s="28"/>
      <c r="EYM28" s="28"/>
      <c r="EYN28" s="28"/>
      <c r="EYO28" s="28"/>
      <c r="EYP28" s="28"/>
      <c r="EYQ28" s="28"/>
      <c r="EYR28" s="28"/>
      <c r="EYS28" s="28"/>
      <c r="EYT28" s="28"/>
      <c r="EYU28" s="28"/>
      <c r="EYV28" s="28"/>
      <c r="EYW28" s="28"/>
      <c r="EYX28" s="28"/>
      <c r="EYY28" s="28"/>
      <c r="EYZ28" s="28"/>
      <c r="EZA28" s="28"/>
      <c r="EZB28" s="28"/>
      <c r="EZC28" s="28"/>
      <c r="EZD28" s="28"/>
      <c r="EZE28" s="28"/>
      <c r="EZF28" s="28"/>
      <c r="EZG28" s="28"/>
      <c r="EZH28" s="28"/>
      <c r="EZI28" s="28"/>
      <c r="EZJ28" s="28"/>
      <c r="EZK28" s="28"/>
      <c r="EZL28" s="28"/>
      <c r="EZM28" s="28"/>
      <c r="EZN28" s="28"/>
      <c r="EZO28" s="28"/>
      <c r="EZP28" s="28"/>
      <c r="EZQ28" s="28"/>
      <c r="EZR28" s="28"/>
      <c r="EZS28" s="28"/>
      <c r="EZT28" s="28"/>
      <c r="EZU28" s="28"/>
      <c r="EZV28" s="28"/>
      <c r="EZW28" s="28"/>
      <c r="EZX28" s="28"/>
      <c r="EZY28" s="28"/>
      <c r="EZZ28" s="28"/>
      <c r="FAA28" s="28"/>
      <c r="FAB28" s="28"/>
      <c r="FAC28" s="28"/>
      <c r="FAD28" s="28"/>
      <c r="FAE28" s="28"/>
      <c r="FAF28" s="28"/>
      <c r="FAG28" s="28"/>
      <c r="FAH28" s="28"/>
      <c r="FAI28" s="28"/>
      <c r="FAJ28" s="28"/>
      <c r="FAK28" s="28"/>
      <c r="FAL28" s="28"/>
      <c r="FAM28" s="28"/>
      <c r="FAN28" s="28"/>
      <c r="FAO28" s="28"/>
      <c r="FAP28" s="28"/>
      <c r="FAQ28" s="28"/>
      <c r="FAR28" s="28"/>
      <c r="FAS28" s="28"/>
      <c r="FAT28" s="28"/>
      <c r="FAU28" s="28"/>
      <c r="FAV28" s="28"/>
      <c r="FAW28" s="28"/>
      <c r="FAX28" s="28"/>
      <c r="FAY28" s="28"/>
      <c r="FAZ28" s="28"/>
      <c r="FBA28" s="28"/>
      <c r="FBB28" s="28"/>
      <c r="FBC28" s="28"/>
      <c r="FBD28" s="28"/>
      <c r="FBE28" s="28"/>
      <c r="FBF28" s="28"/>
      <c r="FBG28" s="28"/>
      <c r="FBH28" s="28"/>
      <c r="FBI28" s="28"/>
      <c r="FBJ28" s="28"/>
      <c r="FBK28" s="28"/>
      <c r="FBL28" s="28"/>
      <c r="FBM28" s="28"/>
      <c r="FBN28" s="28"/>
      <c r="FBO28" s="28"/>
      <c r="FBP28" s="28"/>
      <c r="FBQ28" s="28"/>
      <c r="FBR28" s="28"/>
      <c r="FBS28" s="28"/>
      <c r="FBT28" s="28"/>
      <c r="FBU28" s="28"/>
      <c r="FBV28" s="28"/>
      <c r="FBW28" s="28"/>
      <c r="FBX28" s="28"/>
      <c r="FBY28" s="28"/>
      <c r="FBZ28" s="28"/>
      <c r="FCA28" s="28"/>
      <c r="FCB28" s="28"/>
      <c r="FCC28" s="28"/>
      <c r="FCD28" s="28"/>
      <c r="FCE28" s="28"/>
      <c r="FCF28" s="28"/>
      <c r="FCG28" s="28"/>
      <c r="FCH28" s="28"/>
      <c r="FCI28" s="28"/>
      <c r="FCJ28" s="28"/>
      <c r="FCK28" s="28"/>
      <c r="FCL28" s="28"/>
      <c r="FCM28" s="28"/>
      <c r="FCN28" s="28"/>
      <c r="FCO28" s="28"/>
      <c r="FCP28" s="28"/>
      <c r="FCQ28" s="28"/>
      <c r="FCR28" s="28"/>
      <c r="FCS28" s="28"/>
      <c r="FCT28" s="28"/>
      <c r="FCU28" s="28"/>
      <c r="FCV28" s="28"/>
      <c r="FCW28" s="28"/>
      <c r="FCX28" s="28"/>
      <c r="FCY28" s="28"/>
      <c r="FCZ28" s="28"/>
      <c r="FDA28" s="28"/>
      <c r="FDB28" s="28"/>
      <c r="FDC28" s="28"/>
      <c r="FDD28" s="28"/>
      <c r="FDE28" s="28"/>
      <c r="FDF28" s="28"/>
      <c r="FDG28" s="28"/>
      <c r="FDH28" s="28"/>
      <c r="FDI28" s="28"/>
      <c r="FDJ28" s="28"/>
      <c r="FDK28" s="28"/>
      <c r="FDL28" s="28"/>
      <c r="FDM28" s="28"/>
      <c r="FDN28" s="28"/>
      <c r="FDO28" s="28"/>
      <c r="FDP28" s="28"/>
      <c r="FDQ28" s="28"/>
      <c r="FDR28" s="28"/>
      <c r="FDS28" s="28"/>
      <c r="FDT28" s="28"/>
      <c r="FDU28" s="28"/>
      <c r="FDV28" s="28"/>
      <c r="FDW28" s="28"/>
      <c r="FDX28" s="28"/>
      <c r="FDY28" s="28"/>
      <c r="FDZ28" s="28"/>
      <c r="FEA28" s="28"/>
      <c r="FEB28" s="28"/>
      <c r="FEC28" s="28"/>
      <c r="FED28" s="28"/>
      <c r="FEE28" s="28"/>
      <c r="FEF28" s="28"/>
      <c r="FEG28" s="28"/>
      <c r="FEH28" s="28"/>
      <c r="FEI28" s="28"/>
      <c r="FEJ28" s="28"/>
      <c r="FEK28" s="28"/>
      <c r="FEL28" s="28"/>
      <c r="FEM28" s="28"/>
      <c r="FEN28" s="28"/>
      <c r="FEO28" s="28"/>
      <c r="FEP28" s="28"/>
      <c r="FEQ28" s="28"/>
      <c r="FER28" s="28"/>
      <c r="FES28" s="28"/>
      <c r="FET28" s="28"/>
      <c r="FEU28" s="28"/>
      <c r="FEV28" s="28"/>
      <c r="FEW28" s="28"/>
      <c r="FEX28" s="28"/>
      <c r="FEY28" s="28"/>
      <c r="FEZ28" s="28"/>
      <c r="FFA28" s="28"/>
      <c r="FFB28" s="28"/>
      <c r="FFC28" s="28"/>
      <c r="FFD28" s="28"/>
      <c r="FFE28" s="28"/>
      <c r="FFF28" s="28"/>
      <c r="FFG28" s="28"/>
      <c r="FFH28" s="28"/>
      <c r="FFI28" s="28"/>
      <c r="FFJ28" s="28"/>
      <c r="FFK28" s="28"/>
      <c r="FFL28" s="28"/>
      <c r="FFM28" s="28"/>
      <c r="FFN28" s="28"/>
      <c r="FFO28" s="28"/>
      <c r="FFP28" s="28"/>
      <c r="FFQ28" s="28"/>
      <c r="FFR28" s="28"/>
      <c r="FFS28" s="28"/>
      <c r="FFT28" s="28"/>
      <c r="FFU28" s="28"/>
      <c r="FFV28" s="28"/>
      <c r="FFW28" s="28"/>
      <c r="FFX28" s="28"/>
      <c r="FFY28" s="28"/>
      <c r="FFZ28" s="28"/>
      <c r="FGA28" s="28"/>
      <c r="FGB28" s="28"/>
      <c r="FGC28" s="28"/>
      <c r="FGD28" s="28"/>
      <c r="FGE28" s="28"/>
      <c r="FGF28" s="28"/>
      <c r="FGG28" s="28"/>
      <c r="FGH28" s="28"/>
      <c r="FGI28" s="28"/>
      <c r="FGJ28" s="28"/>
      <c r="FGK28" s="28"/>
      <c r="FGL28" s="28"/>
      <c r="FGM28" s="28"/>
      <c r="FGN28" s="28"/>
      <c r="FGO28" s="28"/>
      <c r="FGP28" s="28"/>
      <c r="FGQ28" s="28"/>
      <c r="FGR28" s="28"/>
      <c r="FGS28" s="28"/>
      <c r="FGT28" s="28"/>
      <c r="FGU28" s="28"/>
      <c r="FGV28" s="28"/>
      <c r="FGW28" s="28"/>
      <c r="FGX28" s="28"/>
      <c r="FGY28" s="28"/>
      <c r="FGZ28" s="28"/>
      <c r="FHA28" s="28"/>
      <c r="FHB28" s="28"/>
      <c r="FHC28" s="28"/>
      <c r="FHD28" s="28"/>
      <c r="FHE28" s="28"/>
      <c r="FHF28" s="28"/>
      <c r="FHG28" s="28"/>
      <c r="FHH28" s="28"/>
      <c r="FHI28" s="28"/>
      <c r="FHJ28" s="28"/>
      <c r="FHK28" s="28"/>
      <c r="FHL28" s="28"/>
      <c r="FHM28" s="28"/>
      <c r="FHN28" s="28"/>
      <c r="FHO28" s="28"/>
      <c r="FHP28" s="28"/>
      <c r="FHQ28" s="28"/>
      <c r="FHR28" s="28"/>
      <c r="FHS28" s="28"/>
      <c r="FHT28" s="28"/>
      <c r="FHU28" s="28"/>
      <c r="FHV28" s="28"/>
      <c r="FHW28" s="28"/>
      <c r="FHX28" s="28"/>
      <c r="FHY28" s="28"/>
      <c r="FHZ28" s="28"/>
      <c r="FIA28" s="28"/>
      <c r="FIB28" s="28"/>
      <c r="FIC28" s="28"/>
      <c r="FID28" s="28"/>
      <c r="FIE28" s="28"/>
      <c r="FIF28" s="28"/>
      <c r="FIG28" s="28"/>
      <c r="FIH28" s="28"/>
      <c r="FII28" s="28"/>
      <c r="FIJ28" s="28"/>
      <c r="FIK28" s="28"/>
      <c r="FIL28" s="28"/>
      <c r="FIM28" s="28"/>
      <c r="FIN28" s="28"/>
      <c r="FIO28" s="28"/>
      <c r="FIP28" s="28"/>
      <c r="FIQ28" s="28"/>
      <c r="FIR28" s="28"/>
      <c r="FIS28" s="28"/>
      <c r="FIT28" s="28"/>
      <c r="FIU28" s="28"/>
      <c r="FIV28" s="28"/>
      <c r="FIW28" s="28"/>
      <c r="FIX28" s="28"/>
      <c r="FIY28" s="28"/>
      <c r="FIZ28" s="28"/>
      <c r="FJA28" s="28"/>
      <c r="FJB28" s="28"/>
      <c r="FJC28" s="28"/>
      <c r="FJD28" s="28"/>
      <c r="FJE28" s="28"/>
      <c r="FJF28" s="28"/>
      <c r="FJG28" s="28"/>
      <c r="FJH28" s="28"/>
      <c r="FJI28" s="28"/>
      <c r="FJJ28" s="28"/>
      <c r="FJK28" s="28"/>
      <c r="FJL28" s="28"/>
      <c r="FJM28" s="28"/>
      <c r="FJN28" s="28"/>
      <c r="FJO28" s="28"/>
      <c r="FJP28" s="28"/>
      <c r="FJQ28" s="28"/>
      <c r="FJR28" s="28"/>
      <c r="FJS28" s="28"/>
      <c r="FJT28" s="28"/>
      <c r="FJU28" s="28"/>
      <c r="FJV28" s="28"/>
      <c r="FJW28" s="28"/>
      <c r="FJX28" s="28"/>
      <c r="FJY28" s="28"/>
      <c r="FJZ28" s="28"/>
      <c r="FKA28" s="28"/>
      <c r="FKB28" s="28"/>
      <c r="FKC28" s="28"/>
      <c r="FKD28" s="28"/>
      <c r="FKE28" s="28"/>
      <c r="FKF28" s="28"/>
      <c r="FKG28" s="28"/>
      <c r="FKH28" s="28"/>
      <c r="FKI28" s="28"/>
      <c r="FKJ28" s="28"/>
      <c r="FKK28" s="28"/>
      <c r="FKL28" s="28"/>
      <c r="FKM28" s="28"/>
      <c r="FKN28" s="28"/>
      <c r="FKO28" s="28"/>
      <c r="FKP28" s="28"/>
      <c r="FKQ28" s="28"/>
      <c r="FKR28" s="28"/>
      <c r="FKS28" s="28"/>
      <c r="FKT28" s="28"/>
      <c r="FKU28" s="28"/>
      <c r="FKV28" s="28"/>
      <c r="FKW28" s="28"/>
      <c r="FKX28" s="28"/>
      <c r="FKY28" s="28"/>
      <c r="FKZ28" s="28"/>
      <c r="FLA28" s="28"/>
      <c r="FLB28" s="28"/>
      <c r="FLC28" s="28"/>
      <c r="FLD28" s="28"/>
      <c r="FLE28" s="28"/>
      <c r="FLF28" s="28"/>
      <c r="FLG28" s="28"/>
      <c r="FLH28" s="28"/>
      <c r="FLI28" s="28"/>
      <c r="FLJ28" s="28"/>
      <c r="FLK28" s="28"/>
      <c r="FLL28" s="28"/>
      <c r="FLM28" s="28"/>
      <c r="FLN28" s="28"/>
      <c r="FLO28" s="28"/>
      <c r="FLP28" s="28"/>
      <c r="FLQ28" s="28"/>
      <c r="FLR28" s="28"/>
      <c r="FLS28" s="28"/>
      <c r="FLT28" s="28"/>
      <c r="FLU28" s="28"/>
      <c r="FLV28" s="28"/>
      <c r="FLW28" s="28"/>
      <c r="FLX28" s="28"/>
      <c r="FLY28" s="28"/>
      <c r="FLZ28" s="28"/>
      <c r="FMA28" s="28"/>
      <c r="FMB28" s="28"/>
      <c r="FMC28" s="28"/>
      <c r="FMD28" s="28"/>
      <c r="FME28" s="28"/>
      <c r="FMF28" s="28"/>
      <c r="FMG28" s="28"/>
      <c r="FMH28" s="28"/>
      <c r="FMI28" s="28"/>
      <c r="FMJ28" s="28"/>
      <c r="FMK28" s="28"/>
      <c r="FML28" s="28"/>
      <c r="FMM28" s="28"/>
      <c r="FMN28" s="28"/>
      <c r="FMO28" s="28"/>
      <c r="FMP28" s="28"/>
      <c r="FMQ28" s="28"/>
      <c r="FMR28" s="28"/>
      <c r="FMS28" s="28"/>
      <c r="FMT28" s="28"/>
      <c r="FMU28" s="28"/>
      <c r="FMV28" s="28"/>
      <c r="FMW28" s="28"/>
      <c r="FMX28" s="28"/>
      <c r="FMY28" s="28"/>
      <c r="FMZ28" s="28"/>
      <c r="FNA28" s="28"/>
      <c r="FNB28" s="28"/>
      <c r="FNC28" s="28"/>
      <c r="FND28" s="28"/>
      <c r="FNE28" s="28"/>
      <c r="FNF28" s="28"/>
      <c r="FNG28" s="28"/>
      <c r="FNH28" s="28"/>
      <c r="FNI28" s="28"/>
      <c r="FNJ28" s="28"/>
      <c r="FNK28" s="28"/>
      <c r="FNL28" s="28"/>
      <c r="FNM28" s="28"/>
      <c r="FNN28" s="28"/>
      <c r="FNO28" s="28"/>
      <c r="FNP28" s="28"/>
      <c r="FNQ28" s="28"/>
      <c r="FNR28" s="28"/>
      <c r="FNS28" s="28"/>
      <c r="FNT28" s="28"/>
      <c r="FNU28" s="28"/>
      <c r="FNV28" s="28"/>
      <c r="FNW28" s="28"/>
      <c r="FNX28" s="28"/>
      <c r="FNY28" s="28"/>
      <c r="FNZ28" s="28"/>
      <c r="FOA28" s="28"/>
      <c r="FOB28" s="28"/>
      <c r="FOC28" s="28"/>
      <c r="FOD28" s="28"/>
      <c r="FOE28" s="28"/>
      <c r="FOF28" s="28"/>
      <c r="FOG28" s="28"/>
      <c r="FOH28" s="28"/>
      <c r="FOI28" s="28"/>
      <c r="FOJ28" s="28"/>
      <c r="FOK28" s="28"/>
      <c r="FOL28" s="28"/>
      <c r="FOM28" s="28"/>
      <c r="FON28" s="28"/>
      <c r="FOO28" s="28"/>
      <c r="FOP28" s="28"/>
      <c r="FOQ28" s="28"/>
      <c r="FOR28" s="28"/>
      <c r="FOS28" s="28"/>
      <c r="FOT28" s="28"/>
      <c r="FOU28" s="28"/>
      <c r="FOV28" s="28"/>
      <c r="FOW28" s="28"/>
      <c r="FOX28" s="28"/>
      <c r="FOY28" s="28"/>
      <c r="FOZ28" s="28"/>
      <c r="FPA28" s="28"/>
      <c r="FPB28" s="28"/>
      <c r="FPC28" s="28"/>
      <c r="FPD28" s="28"/>
      <c r="FPE28" s="28"/>
      <c r="FPF28" s="28"/>
      <c r="FPG28" s="28"/>
      <c r="FPH28" s="28"/>
      <c r="FPI28" s="28"/>
      <c r="FPJ28" s="28"/>
      <c r="FPK28" s="28"/>
      <c r="FPL28" s="28"/>
      <c r="FPM28" s="28"/>
      <c r="FPN28" s="28"/>
      <c r="FPO28" s="28"/>
      <c r="FPP28" s="28"/>
      <c r="FPQ28" s="28"/>
      <c r="FPR28" s="28"/>
      <c r="FPS28" s="28"/>
      <c r="FPT28" s="28"/>
      <c r="FPU28" s="28"/>
      <c r="FPV28" s="28"/>
      <c r="FPW28" s="28"/>
      <c r="FPX28" s="28"/>
      <c r="FPY28" s="28"/>
      <c r="FPZ28" s="28"/>
      <c r="FQA28" s="28"/>
      <c r="FQB28" s="28"/>
      <c r="FQC28" s="28"/>
      <c r="FQD28" s="28"/>
      <c r="FQE28" s="28"/>
      <c r="FQF28" s="28"/>
      <c r="FQG28" s="28"/>
      <c r="FQH28" s="28"/>
      <c r="FQI28" s="28"/>
      <c r="FQJ28" s="28"/>
      <c r="FQK28" s="28"/>
      <c r="FQL28" s="28"/>
      <c r="FQM28" s="28"/>
      <c r="FQN28" s="28"/>
      <c r="FQO28" s="28"/>
      <c r="FQP28" s="28"/>
      <c r="FQQ28" s="28"/>
      <c r="FQR28" s="28"/>
      <c r="FQS28" s="28"/>
      <c r="FQT28" s="28"/>
      <c r="FQU28" s="28"/>
      <c r="FQV28" s="28"/>
      <c r="FQW28" s="28"/>
      <c r="FQX28" s="28"/>
      <c r="FQY28" s="28"/>
      <c r="FQZ28" s="28"/>
      <c r="FRA28" s="28"/>
      <c r="FRB28" s="28"/>
      <c r="FRC28" s="28"/>
      <c r="FRD28" s="28"/>
      <c r="FRE28" s="28"/>
      <c r="FRF28" s="28"/>
      <c r="FRG28" s="28"/>
      <c r="FRH28" s="28"/>
      <c r="FRI28" s="28"/>
      <c r="FRJ28" s="28"/>
      <c r="FRK28" s="28"/>
      <c r="FRL28" s="28"/>
      <c r="FRM28" s="28"/>
      <c r="FRN28" s="28"/>
      <c r="FRO28" s="28"/>
      <c r="FRP28" s="28"/>
      <c r="FRQ28" s="28"/>
      <c r="FRR28" s="28"/>
      <c r="FRS28" s="28"/>
      <c r="FRT28" s="28"/>
      <c r="FRU28" s="28"/>
      <c r="FRV28" s="28"/>
      <c r="FRW28" s="28"/>
      <c r="FRX28" s="28"/>
      <c r="FRY28" s="28"/>
      <c r="FRZ28" s="28"/>
      <c r="FSA28" s="28"/>
      <c r="FSB28" s="28"/>
      <c r="FSC28" s="28"/>
      <c r="FSD28" s="28"/>
      <c r="FSE28" s="28"/>
      <c r="FSF28" s="28"/>
      <c r="FSG28" s="28"/>
      <c r="FSH28" s="28"/>
      <c r="FSI28" s="28"/>
      <c r="FSJ28" s="28"/>
      <c r="FSK28" s="28"/>
      <c r="FSL28" s="28"/>
      <c r="FSM28" s="28"/>
      <c r="FSN28" s="28"/>
      <c r="FSO28" s="28"/>
      <c r="FSP28" s="28"/>
      <c r="FSQ28" s="28"/>
      <c r="FSR28" s="28"/>
      <c r="FSS28" s="28"/>
      <c r="FST28" s="28"/>
      <c r="FSU28" s="28"/>
      <c r="FSV28" s="28"/>
      <c r="FSW28" s="28"/>
      <c r="FSX28" s="28"/>
      <c r="FSY28" s="28"/>
      <c r="FSZ28" s="28"/>
      <c r="FTA28" s="28"/>
      <c r="FTB28" s="28"/>
      <c r="FTC28" s="28"/>
      <c r="FTD28" s="28"/>
      <c r="FTE28" s="28"/>
      <c r="FTF28" s="28"/>
      <c r="FTG28" s="28"/>
      <c r="FTH28" s="28"/>
      <c r="FTI28" s="28"/>
      <c r="FTJ28" s="28"/>
      <c r="FTK28" s="28"/>
      <c r="FTL28" s="28"/>
      <c r="FTM28" s="28"/>
      <c r="FTN28" s="28"/>
      <c r="FTO28" s="28"/>
      <c r="FTP28" s="28"/>
      <c r="FTQ28" s="28"/>
      <c r="FTR28" s="28"/>
      <c r="FTS28" s="28"/>
      <c r="FTT28" s="28"/>
      <c r="FTU28" s="28"/>
      <c r="FTV28" s="28"/>
      <c r="FTW28" s="28"/>
      <c r="FTX28" s="28"/>
      <c r="FTY28" s="28"/>
      <c r="FTZ28" s="28"/>
      <c r="FUA28" s="28"/>
      <c r="FUB28" s="28"/>
      <c r="FUC28" s="28"/>
      <c r="FUD28" s="28"/>
      <c r="FUE28" s="28"/>
      <c r="FUF28" s="28"/>
      <c r="FUG28" s="28"/>
      <c r="FUH28" s="28"/>
      <c r="FUI28" s="28"/>
      <c r="FUJ28" s="28"/>
      <c r="FUK28" s="28"/>
      <c r="FUL28" s="28"/>
      <c r="FUM28" s="28"/>
      <c r="FUN28" s="28"/>
      <c r="FUO28" s="28"/>
      <c r="FUP28" s="28"/>
      <c r="FUQ28" s="28"/>
      <c r="FUR28" s="28"/>
      <c r="FUS28" s="28"/>
      <c r="FUT28" s="28"/>
      <c r="FUU28" s="28"/>
      <c r="FUV28" s="28"/>
      <c r="FUW28" s="28"/>
      <c r="FUX28" s="28"/>
      <c r="FUY28" s="28"/>
      <c r="FUZ28" s="28"/>
      <c r="FVA28" s="28"/>
      <c r="FVB28" s="28"/>
      <c r="FVC28" s="28"/>
      <c r="FVD28" s="28"/>
      <c r="FVE28" s="28"/>
      <c r="FVF28" s="28"/>
      <c r="FVG28" s="28"/>
      <c r="FVH28" s="28"/>
      <c r="FVI28" s="28"/>
      <c r="FVJ28" s="28"/>
      <c r="FVK28" s="28"/>
      <c r="FVL28" s="28"/>
      <c r="FVM28" s="28"/>
      <c r="FVN28" s="28"/>
      <c r="FVO28" s="28"/>
      <c r="FVP28" s="28"/>
      <c r="FVQ28" s="28"/>
      <c r="FVR28" s="28"/>
      <c r="FVS28" s="28"/>
      <c r="FVT28" s="28"/>
      <c r="FVU28" s="28"/>
      <c r="FVV28" s="28"/>
      <c r="FVW28" s="28"/>
      <c r="FVX28" s="28"/>
      <c r="FVY28" s="28"/>
      <c r="FVZ28" s="28"/>
      <c r="FWA28" s="28"/>
      <c r="FWB28" s="28"/>
      <c r="FWC28" s="28"/>
      <c r="FWD28" s="28"/>
      <c r="FWE28" s="28"/>
      <c r="FWF28" s="28"/>
      <c r="FWG28" s="28"/>
      <c r="FWH28" s="28"/>
      <c r="FWI28" s="28"/>
      <c r="FWJ28" s="28"/>
      <c r="FWK28" s="28"/>
      <c r="FWL28" s="28"/>
      <c r="FWM28" s="28"/>
      <c r="FWN28" s="28"/>
      <c r="FWO28" s="28"/>
      <c r="FWP28" s="28"/>
      <c r="FWQ28" s="28"/>
      <c r="FWR28" s="28"/>
      <c r="FWS28" s="28"/>
      <c r="FWT28" s="28"/>
      <c r="FWU28" s="28"/>
      <c r="FWV28" s="28"/>
      <c r="FWW28" s="28"/>
      <c r="FWX28" s="28"/>
      <c r="FWY28" s="28"/>
      <c r="FWZ28" s="28"/>
      <c r="FXA28" s="28"/>
      <c r="FXB28" s="28"/>
      <c r="FXC28" s="28"/>
      <c r="FXD28" s="28"/>
      <c r="FXE28" s="28"/>
      <c r="FXF28" s="28"/>
      <c r="FXG28" s="28"/>
      <c r="FXH28" s="28"/>
      <c r="FXI28" s="28"/>
      <c r="FXJ28" s="28"/>
      <c r="FXK28" s="28"/>
      <c r="FXL28" s="28"/>
      <c r="FXM28" s="28"/>
      <c r="FXN28" s="28"/>
      <c r="FXO28" s="28"/>
      <c r="FXP28" s="28"/>
      <c r="FXQ28" s="28"/>
      <c r="FXR28" s="28"/>
      <c r="FXS28" s="28"/>
      <c r="FXT28" s="28"/>
      <c r="FXU28" s="28"/>
      <c r="FXV28" s="28"/>
      <c r="FXW28" s="28"/>
      <c r="FXX28" s="28"/>
      <c r="FXY28" s="28"/>
      <c r="FXZ28" s="28"/>
      <c r="FYA28" s="28"/>
      <c r="FYB28" s="28"/>
      <c r="FYC28" s="28"/>
      <c r="FYD28" s="28"/>
      <c r="FYE28" s="28"/>
      <c r="FYF28" s="28"/>
      <c r="FYG28" s="28"/>
      <c r="FYH28" s="28"/>
      <c r="FYI28" s="28"/>
      <c r="FYJ28" s="28"/>
      <c r="FYK28" s="28"/>
      <c r="FYL28" s="28"/>
      <c r="FYM28" s="28"/>
      <c r="FYN28" s="28"/>
      <c r="FYO28" s="28"/>
      <c r="FYP28" s="28"/>
      <c r="FYQ28" s="28"/>
      <c r="FYR28" s="28"/>
      <c r="FYS28" s="28"/>
      <c r="FYT28" s="28"/>
      <c r="FYU28" s="28"/>
      <c r="FYV28" s="28"/>
      <c r="FYW28" s="28"/>
      <c r="FYX28" s="28"/>
      <c r="FYY28" s="28"/>
      <c r="FYZ28" s="28"/>
      <c r="FZA28" s="28"/>
      <c r="FZB28" s="28"/>
      <c r="FZC28" s="28"/>
      <c r="FZD28" s="28"/>
      <c r="FZE28" s="28"/>
      <c r="FZF28" s="28"/>
      <c r="FZG28" s="28"/>
      <c r="FZH28" s="28"/>
      <c r="FZI28" s="28"/>
      <c r="FZJ28" s="28"/>
      <c r="FZK28" s="28"/>
      <c r="FZL28" s="28"/>
      <c r="FZM28" s="28"/>
      <c r="FZN28" s="28"/>
      <c r="FZO28" s="28"/>
      <c r="FZP28" s="28"/>
      <c r="FZQ28" s="28"/>
      <c r="FZR28" s="28"/>
      <c r="FZS28" s="28"/>
      <c r="FZT28" s="28"/>
      <c r="FZU28" s="28"/>
      <c r="FZV28" s="28"/>
      <c r="FZW28" s="28"/>
      <c r="FZX28" s="28"/>
      <c r="FZY28" s="28"/>
      <c r="FZZ28" s="28"/>
      <c r="GAA28" s="28"/>
      <c r="GAB28" s="28"/>
      <c r="GAC28" s="28"/>
      <c r="GAD28" s="28"/>
      <c r="GAE28" s="28"/>
      <c r="GAF28" s="28"/>
      <c r="GAG28" s="28"/>
      <c r="GAH28" s="28"/>
      <c r="GAI28" s="28"/>
      <c r="GAJ28" s="28"/>
      <c r="GAK28" s="28"/>
      <c r="GAL28" s="28"/>
      <c r="GAM28" s="28"/>
      <c r="GAN28" s="28"/>
      <c r="GAO28" s="28"/>
      <c r="GAP28" s="28"/>
      <c r="GAQ28" s="28"/>
      <c r="GAR28" s="28"/>
      <c r="GAS28" s="28"/>
      <c r="GAT28" s="28"/>
      <c r="GAU28" s="28"/>
      <c r="GAV28" s="28"/>
      <c r="GAW28" s="28"/>
      <c r="GAX28" s="28"/>
      <c r="GAY28" s="28"/>
      <c r="GAZ28" s="28"/>
      <c r="GBA28" s="28"/>
      <c r="GBB28" s="28"/>
      <c r="GBC28" s="28"/>
      <c r="GBD28" s="28"/>
      <c r="GBE28" s="28"/>
      <c r="GBF28" s="28"/>
      <c r="GBG28" s="28"/>
      <c r="GBH28" s="28"/>
      <c r="GBI28" s="28"/>
      <c r="GBJ28" s="28"/>
      <c r="GBK28" s="28"/>
      <c r="GBL28" s="28"/>
      <c r="GBM28" s="28"/>
      <c r="GBN28" s="28"/>
      <c r="GBO28" s="28"/>
      <c r="GBP28" s="28"/>
      <c r="GBQ28" s="28"/>
      <c r="GBR28" s="28"/>
      <c r="GBS28" s="28"/>
      <c r="GBT28" s="28"/>
      <c r="GBU28" s="28"/>
      <c r="GBV28" s="28"/>
      <c r="GBW28" s="28"/>
      <c r="GBX28" s="28"/>
      <c r="GBY28" s="28"/>
      <c r="GBZ28" s="28"/>
      <c r="GCA28" s="28"/>
      <c r="GCB28" s="28"/>
      <c r="GCC28" s="28"/>
      <c r="GCD28" s="28"/>
      <c r="GCE28" s="28"/>
      <c r="GCF28" s="28"/>
      <c r="GCG28" s="28"/>
      <c r="GCH28" s="28"/>
      <c r="GCI28" s="28"/>
      <c r="GCJ28" s="28"/>
      <c r="GCK28" s="28"/>
      <c r="GCL28" s="28"/>
      <c r="GCM28" s="28"/>
      <c r="GCN28" s="28"/>
      <c r="GCO28" s="28"/>
      <c r="GCP28" s="28"/>
      <c r="GCQ28" s="28"/>
      <c r="GCR28" s="28"/>
      <c r="GCS28" s="28"/>
      <c r="GCT28" s="28"/>
      <c r="GCU28" s="28"/>
      <c r="GCV28" s="28"/>
      <c r="GCW28" s="28"/>
      <c r="GCX28" s="28"/>
      <c r="GCY28" s="28"/>
      <c r="GCZ28" s="28"/>
      <c r="GDA28" s="28"/>
      <c r="GDB28" s="28"/>
      <c r="GDC28" s="28"/>
      <c r="GDD28" s="28"/>
      <c r="GDE28" s="28"/>
      <c r="GDF28" s="28"/>
      <c r="GDG28" s="28"/>
      <c r="GDH28" s="28"/>
      <c r="GDI28" s="28"/>
      <c r="GDJ28" s="28"/>
      <c r="GDK28" s="28"/>
      <c r="GDL28" s="28"/>
      <c r="GDM28" s="28"/>
      <c r="GDN28" s="28"/>
      <c r="GDO28" s="28"/>
      <c r="GDP28" s="28"/>
      <c r="GDQ28" s="28"/>
      <c r="GDR28" s="28"/>
      <c r="GDS28" s="28"/>
      <c r="GDT28" s="28"/>
      <c r="GDU28" s="28"/>
      <c r="GDV28" s="28"/>
      <c r="GDW28" s="28"/>
      <c r="GDX28" s="28"/>
      <c r="GDY28" s="28"/>
      <c r="GDZ28" s="28"/>
      <c r="GEA28" s="28"/>
      <c r="GEB28" s="28"/>
      <c r="GEC28" s="28"/>
      <c r="GED28" s="28"/>
      <c r="GEE28" s="28"/>
      <c r="GEF28" s="28"/>
      <c r="GEG28" s="28"/>
      <c r="GEH28" s="28"/>
      <c r="GEI28" s="28"/>
      <c r="GEJ28" s="28"/>
      <c r="GEK28" s="28"/>
      <c r="GEL28" s="28"/>
      <c r="GEM28" s="28"/>
      <c r="GEN28" s="28"/>
      <c r="GEO28" s="28"/>
      <c r="GEP28" s="28"/>
      <c r="GEQ28" s="28"/>
      <c r="GER28" s="28"/>
      <c r="GES28" s="28"/>
      <c r="GET28" s="28"/>
      <c r="GEU28" s="28"/>
      <c r="GEV28" s="28"/>
      <c r="GEW28" s="28"/>
      <c r="GEX28" s="28"/>
      <c r="GEY28" s="28"/>
      <c r="GEZ28" s="28"/>
      <c r="GFA28" s="28"/>
      <c r="GFB28" s="28"/>
      <c r="GFC28" s="28"/>
      <c r="GFD28" s="28"/>
      <c r="GFE28" s="28"/>
      <c r="GFF28" s="28"/>
      <c r="GFG28" s="28"/>
      <c r="GFH28" s="28"/>
      <c r="GFI28" s="28"/>
      <c r="GFJ28" s="28"/>
      <c r="GFK28" s="28"/>
      <c r="GFL28" s="28"/>
      <c r="GFM28" s="28"/>
      <c r="GFN28" s="28"/>
      <c r="GFO28" s="28"/>
      <c r="GFP28" s="28"/>
      <c r="GFQ28" s="28"/>
      <c r="GFR28" s="28"/>
      <c r="GFS28" s="28"/>
      <c r="GFT28" s="28"/>
      <c r="GFU28" s="28"/>
      <c r="GFV28" s="28"/>
      <c r="GFW28" s="28"/>
      <c r="GFX28" s="28"/>
      <c r="GFY28" s="28"/>
      <c r="GFZ28" s="28"/>
      <c r="GGA28" s="28"/>
      <c r="GGB28" s="28"/>
      <c r="GGC28" s="28"/>
      <c r="GGD28" s="28"/>
      <c r="GGE28" s="28"/>
      <c r="GGF28" s="28"/>
      <c r="GGG28" s="28"/>
      <c r="GGH28" s="28"/>
      <c r="GGI28" s="28"/>
      <c r="GGJ28" s="28"/>
      <c r="GGK28" s="28"/>
      <c r="GGL28" s="28"/>
      <c r="GGM28" s="28"/>
      <c r="GGN28" s="28"/>
      <c r="GGO28" s="28"/>
      <c r="GGP28" s="28"/>
      <c r="GGQ28" s="28"/>
      <c r="GGR28" s="28"/>
      <c r="GGS28" s="28"/>
      <c r="GGT28" s="28"/>
      <c r="GGU28" s="28"/>
      <c r="GGV28" s="28"/>
      <c r="GGW28" s="28"/>
      <c r="GGX28" s="28"/>
      <c r="GGY28" s="28"/>
      <c r="GGZ28" s="28"/>
      <c r="GHA28" s="28"/>
      <c r="GHB28" s="28"/>
      <c r="GHC28" s="28"/>
      <c r="GHD28" s="28"/>
      <c r="GHE28" s="28"/>
      <c r="GHF28" s="28"/>
      <c r="GHG28" s="28"/>
      <c r="GHH28" s="28"/>
      <c r="GHI28" s="28"/>
      <c r="GHJ28" s="28"/>
      <c r="GHK28" s="28"/>
      <c r="GHL28" s="28"/>
      <c r="GHM28" s="28"/>
      <c r="GHN28" s="28"/>
      <c r="GHO28" s="28"/>
      <c r="GHP28" s="28"/>
      <c r="GHQ28" s="28"/>
      <c r="GHR28" s="28"/>
      <c r="GHS28" s="28"/>
      <c r="GHT28" s="28"/>
      <c r="GHU28" s="28"/>
      <c r="GHV28" s="28"/>
      <c r="GHW28" s="28"/>
      <c r="GHX28" s="28"/>
      <c r="GHY28" s="28"/>
      <c r="GHZ28" s="28"/>
      <c r="GIA28" s="28"/>
      <c r="GIB28" s="28"/>
      <c r="GIC28" s="28"/>
      <c r="GID28" s="28"/>
      <c r="GIE28" s="28"/>
      <c r="GIF28" s="28"/>
      <c r="GIG28" s="28"/>
      <c r="GIH28" s="28"/>
      <c r="GII28" s="28"/>
      <c r="GIJ28" s="28"/>
      <c r="GIK28" s="28"/>
      <c r="GIL28" s="28"/>
      <c r="GIM28" s="28"/>
      <c r="GIN28" s="28"/>
      <c r="GIO28" s="28"/>
      <c r="GIP28" s="28"/>
      <c r="GIQ28" s="28"/>
      <c r="GIR28" s="28"/>
      <c r="GIS28" s="28"/>
      <c r="GIT28" s="28"/>
      <c r="GIU28" s="28"/>
      <c r="GIV28" s="28"/>
      <c r="GIW28" s="28"/>
      <c r="GIX28" s="28"/>
      <c r="GIY28" s="28"/>
      <c r="GIZ28" s="28"/>
      <c r="GJA28" s="28"/>
      <c r="GJB28" s="28"/>
      <c r="GJC28" s="28"/>
      <c r="GJD28" s="28"/>
      <c r="GJE28" s="28"/>
      <c r="GJF28" s="28"/>
      <c r="GJG28" s="28"/>
      <c r="GJH28" s="28"/>
      <c r="GJI28" s="28"/>
      <c r="GJJ28" s="28"/>
      <c r="GJK28" s="28"/>
      <c r="GJL28" s="28"/>
      <c r="GJM28" s="28"/>
      <c r="GJN28" s="28"/>
      <c r="GJO28" s="28"/>
      <c r="GJP28" s="28"/>
      <c r="GJQ28" s="28"/>
      <c r="GJR28" s="28"/>
      <c r="GJS28" s="28"/>
      <c r="GJT28" s="28"/>
      <c r="GJU28" s="28"/>
      <c r="GJV28" s="28"/>
      <c r="GJW28" s="28"/>
      <c r="GJX28" s="28"/>
      <c r="GJY28" s="28"/>
      <c r="GJZ28" s="28"/>
      <c r="GKA28" s="28"/>
      <c r="GKB28" s="28"/>
      <c r="GKC28" s="28"/>
      <c r="GKD28" s="28"/>
      <c r="GKE28" s="28"/>
      <c r="GKF28" s="28"/>
      <c r="GKG28" s="28"/>
      <c r="GKH28" s="28"/>
      <c r="GKI28" s="28"/>
      <c r="GKJ28" s="28"/>
      <c r="GKK28" s="28"/>
      <c r="GKL28" s="28"/>
      <c r="GKM28" s="28"/>
      <c r="GKN28" s="28"/>
      <c r="GKO28" s="28"/>
      <c r="GKP28" s="28"/>
      <c r="GKQ28" s="28"/>
      <c r="GKR28" s="28"/>
      <c r="GKS28" s="28"/>
      <c r="GKT28" s="28"/>
      <c r="GKU28" s="28"/>
      <c r="GKV28" s="28"/>
      <c r="GKW28" s="28"/>
      <c r="GKX28" s="28"/>
      <c r="GKY28" s="28"/>
      <c r="GKZ28" s="28"/>
      <c r="GLA28" s="28"/>
      <c r="GLB28" s="28"/>
      <c r="GLC28" s="28"/>
      <c r="GLD28" s="28"/>
      <c r="GLE28" s="28"/>
      <c r="GLF28" s="28"/>
      <c r="GLG28" s="28"/>
      <c r="GLH28" s="28"/>
      <c r="GLI28" s="28"/>
      <c r="GLJ28" s="28"/>
      <c r="GLK28" s="28"/>
      <c r="GLL28" s="28"/>
      <c r="GLM28" s="28"/>
      <c r="GLN28" s="28"/>
      <c r="GLO28" s="28"/>
      <c r="GLP28" s="28"/>
      <c r="GLQ28" s="28"/>
      <c r="GLR28" s="28"/>
      <c r="GLS28" s="28"/>
      <c r="GLT28" s="28"/>
      <c r="GLU28" s="28"/>
      <c r="GLV28" s="28"/>
      <c r="GLW28" s="28"/>
      <c r="GLX28" s="28"/>
      <c r="GLY28" s="28"/>
      <c r="GLZ28" s="28"/>
      <c r="GMA28" s="28"/>
      <c r="GMB28" s="28"/>
      <c r="GMC28" s="28"/>
      <c r="GMD28" s="28"/>
      <c r="GME28" s="28"/>
      <c r="GMF28" s="28"/>
      <c r="GMG28" s="28"/>
      <c r="GMH28" s="28"/>
      <c r="GMI28" s="28"/>
      <c r="GMJ28" s="28"/>
      <c r="GMK28" s="28"/>
      <c r="GML28" s="28"/>
      <c r="GMM28" s="28"/>
      <c r="GMN28" s="28"/>
      <c r="GMO28" s="28"/>
      <c r="GMP28" s="28"/>
      <c r="GMQ28" s="28"/>
      <c r="GMR28" s="28"/>
      <c r="GMS28" s="28"/>
      <c r="GMT28" s="28"/>
      <c r="GMU28" s="28"/>
      <c r="GMV28" s="28"/>
      <c r="GMW28" s="28"/>
      <c r="GMX28" s="28"/>
      <c r="GMY28" s="28"/>
      <c r="GMZ28" s="28"/>
      <c r="GNA28" s="28"/>
      <c r="GNB28" s="28"/>
      <c r="GNC28" s="28"/>
      <c r="GND28" s="28"/>
      <c r="GNE28" s="28"/>
      <c r="GNF28" s="28"/>
      <c r="GNG28" s="28"/>
      <c r="GNH28" s="28"/>
      <c r="GNI28" s="28"/>
      <c r="GNJ28" s="28"/>
      <c r="GNK28" s="28"/>
      <c r="GNL28" s="28"/>
      <c r="GNM28" s="28"/>
      <c r="GNN28" s="28"/>
      <c r="GNO28" s="28"/>
      <c r="GNP28" s="28"/>
      <c r="GNQ28" s="28"/>
      <c r="GNR28" s="28"/>
      <c r="GNS28" s="28"/>
      <c r="GNT28" s="28"/>
      <c r="GNU28" s="28"/>
      <c r="GNV28" s="28"/>
      <c r="GNW28" s="28"/>
      <c r="GNX28" s="28"/>
      <c r="GNY28" s="28"/>
      <c r="GNZ28" s="28"/>
      <c r="GOA28" s="28"/>
      <c r="GOB28" s="28"/>
      <c r="GOC28" s="28"/>
      <c r="GOD28" s="28"/>
      <c r="GOE28" s="28"/>
      <c r="GOF28" s="28"/>
      <c r="GOG28" s="28"/>
      <c r="GOH28" s="28"/>
      <c r="GOI28" s="28"/>
      <c r="GOJ28" s="28"/>
      <c r="GOK28" s="28"/>
      <c r="GOL28" s="28"/>
      <c r="GOM28" s="28"/>
      <c r="GON28" s="28"/>
      <c r="GOO28" s="28"/>
      <c r="GOP28" s="28"/>
      <c r="GOQ28" s="28"/>
      <c r="GOR28" s="28"/>
      <c r="GOS28" s="28"/>
      <c r="GOT28" s="28"/>
      <c r="GOU28" s="28"/>
      <c r="GOV28" s="28"/>
      <c r="GOW28" s="28"/>
      <c r="GOX28" s="28"/>
      <c r="GOY28" s="28"/>
      <c r="GOZ28" s="28"/>
      <c r="GPA28" s="28"/>
      <c r="GPB28" s="28"/>
      <c r="GPC28" s="28"/>
      <c r="GPD28" s="28"/>
      <c r="GPE28" s="28"/>
      <c r="GPF28" s="28"/>
      <c r="GPG28" s="28"/>
      <c r="GPH28" s="28"/>
      <c r="GPI28" s="28"/>
      <c r="GPJ28" s="28"/>
      <c r="GPK28" s="28"/>
      <c r="GPL28" s="28"/>
      <c r="GPM28" s="28"/>
      <c r="GPN28" s="28"/>
      <c r="GPO28" s="28"/>
      <c r="GPP28" s="28"/>
      <c r="GPQ28" s="28"/>
      <c r="GPR28" s="28"/>
      <c r="GPS28" s="28"/>
      <c r="GPT28" s="28"/>
      <c r="GPU28" s="28"/>
      <c r="GPV28" s="28"/>
      <c r="GPW28" s="28"/>
      <c r="GPX28" s="28"/>
      <c r="GPY28" s="28"/>
      <c r="GPZ28" s="28"/>
      <c r="GQA28" s="28"/>
      <c r="GQB28" s="28"/>
      <c r="GQC28" s="28"/>
      <c r="GQD28" s="28"/>
      <c r="GQE28" s="28"/>
      <c r="GQF28" s="28"/>
      <c r="GQG28" s="28"/>
      <c r="GQH28" s="28"/>
      <c r="GQI28" s="28"/>
      <c r="GQJ28" s="28"/>
      <c r="GQK28" s="28"/>
      <c r="GQL28" s="28"/>
      <c r="GQM28" s="28"/>
      <c r="GQN28" s="28"/>
      <c r="GQO28" s="28"/>
      <c r="GQP28" s="28"/>
      <c r="GQQ28" s="28"/>
      <c r="GQR28" s="28"/>
      <c r="GQS28" s="28"/>
      <c r="GQT28" s="28"/>
      <c r="GQU28" s="28"/>
      <c r="GQV28" s="28"/>
      <c r="GQW28" s="28"/>
      <c r="GQX28" s="28"/>
      <c r="GQY28" s="28"/>
      <c r="GQZ28" s="28"/>
      <c r="GRA28" s="28"/>
      <c r="GRB28" s="28"/>
      <c r="GRC28" s="28"/>
      <c r="GRD28" s="28"/>
      <c r="GRE28" s="28"/>
      <c r="GRF28" s="28"/>
      <c r="GRG28" s="28"/>
      <c r="GRH28" s="28"/>
      <c r="GRI28" s="28"/>
      <c r="GRJ28" s="28"/>
      <c r="GRK28" s="28"/>
      <c r="GRL28" s="28"/>
      <c r="GRM28" s="28"/>
      <c r="GRN28" s="28"/>
      <c r="GRO28" s="28"/>
      <c r="GRP28" s="28"/>
      <c r="GRQ28" s="28"/>
      <c r="GRR28" s="28"/>
      <c r="GRS28" s="28"/>
      <c r="GRT28" s="28"/>
      <c r="GRU28" s="28"/>
      <c r="GRV28" s="28"/>
      <c r="GRW28" s="28"/>
      <c r="GRX28" s="28"/>
      <c r="GRY28" s="28"/>
      <c r="GRZ28" s="28"/>
      <c r="GSA28" s="28"/>
      <c r="GSB28" s="28"/>
      <c r="GSC28" s="28"/>
      <c r="GSD28" s="28"/>
      <c r="GSE28" s="28"/>
      <c r="GSF28" s="28"/>
      <c r="GSG28" s="28"/>
      <c r="GSH28" s="28"/>
      <c r="GSI28" s="28"/>
      <c r="GSJ28" s="28"/>
      <c r="GSK28" s="28"/>
      <c r="GSL28" s="28"/>
      <c r="GSM28" s="28"/>
      <c r="GSN28" s="28"/>
      <c r="GSO28" s="28"/>
      <c r="GSP28" s="28"/>
      <c r="GSQ28" s="28"/>
      <c r="GSR28" s="28"/>
      <c r="GSS28" s="28"/>
      <c r="GST28" s="28"/>
      <c r="GSU28" s="28"/>
      <c r="GSV28" s="28"/>
      <c r="GSW28" s="28"/>
      <c r="GSX28" s="28"/>
      <c r="GSY28" s="28"/>
      <c r="GSZ28" s="28"/>
      <c r="GTA28" s="28"/>
      <c r="GTB28" s="28"/>
      <c r="GTC28" s="28"/>
      <c r="GTD28" s="28"/>
      <c r="GTE28" s="28"/>
      <c r="GTF28" s="28"/>
      <c r="GTG28" s="28"/>
      <c r="GTH28" s="28"/>
      <c r="GTI28" s="28"/>
      <c r="GTJ28" s="28"/>
      <c r="GTK28" s="28"/>
      <c r="GTL28" s="28"/>
      <c r="GTM28" s="28"/>
      <c r="GTN28" s="28"/>
      <c r="GTO28" s="28"/>
      <c r="GTP28" s="28"/>
      <c r="GTQ28" s="28"/>
      <c r="GTR28" s="28"/>
      <c r="GTS28" s="28"/>
      <c r="GTT28" s="28"/>
      <c r="GTU28" s="28"/>
      <c r="GTV28" s="28"/>
      <c r="GTW28" s="28"/>
      <c r="GTX28" s="28"/>
      <c r="GTY28" s="28"/>
      <c r="GTZ28" s="28"/>
      <c r="GUA28" s="28"/>
      <c r="GUB28" s="28"/>
      <c r="GUC28" s="28"/>
      <c r="GUD28" s="28"/>
      <c r="GUE28" s="28"/>
      <c r="GUF28" s="28"/>
      <c r="GUG28" s="28"/>
      <c r="GUH28" s="28"/>
      <c r="GUI28" s="28"/>
      <c r="GUJ28" s="28"/>
      <c r="GUK28" s="28"/>
      <c r="GUL28" s="28"/>
      <c r="GUM28" s="28"/>
      <c r="GUN28" s="28"/>
      <c r="GUO28" s="28"/>
      <c r="GUP28" s="28"/>
      <c r="GUQ28" s="28"/>
      <c r="GUR28" s="28"/>
      <c r="GUS28" s="28"/>
      <c r="GUT28" s="28"/>
      <c r="GUU28" s="28"/>
      <c r="GUV28" s="28"/>
      <c r="GUW28" s="28"/>
      <c r="GUX28" s="28"/>
      <c r="GUY28" s="28"/>
      <c r="GUZ28" s="28"/>
      <c r="GVA28" s="28"/>
      <c r="GVB28" s="28"/>
      <c r="GVC28" s="28"/>
      <c r="GVD28" s="28"/>
      <c r="GVE28" s="28"/>
      <c r="GVF28" s="28"/>
      <c r="GVG28" s="28"/>
      <c r="GVH28" s="28"/>
      <c r="GVI28" s="28"/>
      <c r="GVJ28" s="28"/>
      <c r="GVK28" s="28"/>
      <c r="GVL28" s="28"/>
      <c r="GVM28" s="28"/>
      <c r="GVN28" s="28"/>
      <c r="GVO28" s="28"/>
      <c r="GVP28" s="28"/>
      <c r="GVQ28" s="28"/>
      <c r="GVR28" s="28"/>
      <c r="GVS28" s="28"/>
      <c r="GVT28" s="28"/>
      <c r="GVU28" s="28"/>
      <c r="GVV28" s="28"/>
      <c r="GVW28" s="28"/>
      <c r="GVX28" s="28"/>
      <c r="GVY28" s="28"/>
      <c r="GVZ28" s="28"/>
      <c r="GWA28" s="28"/>
      <c r="GWB28" s="28"/>
      <c r="GWC28" s="28"/>
      <c r="GWD28" s="28"/>
      <c r="GWE28" s="28"/>
      <c r="GWF28" s="28"/>
      <c r="GWG28" s="28"/>
      <c r="GWH28" s="28"/>
      <c r="GWI28" s="28"/>
      <c r="GWJ28" s="28"/>
      <c r="GWK28" s="28"/>
      <c r="GWL28" s="28"/>
      <c r="GWM28" s="28"/>
      <c r="GWN28" s="28"/>
      <c r="GWO28" s="28"/>
      <c r="GWP28" s="28"/>
      <c r="GWQ28" s="28"/>
      <c r="GWR28" s="28"/>
      <c r="GWS28" s="28"/>
      <c r="GWT28" s="28"/>
      <c r="GWU28" s="28"/>
      <c r="GWV28" s="28"/>
      <c r="GWW28" s="28"/>
      <c r="GWX28" s="28"/>
      <c r="GWY28" s="28"/>
      <c r="GWZ28" s="28"/>
      <c r="GXA28" s="28"/>
      <c r="GXB28" s="28"/>
      <c r="GXC28" s="28"/>
      <c r="GXD28" s="28"/>
      <c r="GXE28" s="28"/>
      <c r="GXF28" s="28"/>
      <c r="GXG28" s="28"/>
      <c r="GXH28" s="28"/>
      <c r="GXI28" s="28"/>
      <c r="GXJ28" s="28"/>
      <c r="GXK28" s="28"/>
      <c r="GXL28" s="28"/>
      <c r="GXM28" s="28"/>
      <c r="GXN28" s="28"/>
      <c r="GXO28" s="28"/>
      <c r="GXP28" s="28"/>
      <c r="GXQ28" s="28"/>
      <c r="GXR28" s="28"/>
      <c r="GXS28" s="28"/>
      <c r="GXT28" s="28"/>
      <c r="GXU28" s="28"/>
      <c r="GXV28" s="28"/>
      <c r="GXW28" s="28"/>
      <c r="GXX28" s="28"/>
      <c r="GXY28" s="28"/>
      <c r="GXZ28" s="28"/>
      <c r="GYA28" s="28"/>
      <c r="GYB28" s="28"/>
      <c r="GYC28" s="28"/>
      <c r="GYD28" s="28"/>
      <c r="GYE28" s="28"/>
      <c r="GYF28" s="28"/>
      <c r="GYG28" s="28"/>
      <c r="GYH28" s="28"/>
      <c r="GYI28" s="28"/>
      <c r="GYJ28" s="28"/>
      <c r="GYK28" s="28"/>
      <c r="GYL28" s="28"/>
      <c r="GYM28" s="28"/>
      <c r="GYN28" s="28"/>
      <c r="GYO28" s="28"/>
      <c r="GYP28" s="28"/>
      <c r="GYQ28" s="28"/>
      <c r="GYR28" s="28"/>
      <c r="GYS28" s="28"/>
      <c r="GYT28" s="28"/>
      <c r="GYU28" s="28"/>
      <c r="GYV28" s="28"/>
      <c r="GYW28" s="28"/>
      <c r="GYX28" s="28"/>
      <c r="GYY28" s="28"/>
      <c r="GYZ28" s="28"/>
      <c r="GZA28" s="28"/>
      <c r="GZB28" s="28"/>
      <c r="GZC28" s="28"/>
      <c r="GZD28" s="28"/>
      <c r="GZE28" s="28"/>
      <c r="GZF28" s="28"/>
      <c r="GZG28" s="28"/>
      <c r="GZH28" s="28"/>
      <c r="GZI28" s="28"/>
      <c r="GZJ28" s="28"/>
      <c r="GZK28" s="28"/>
      <c r="GZL28" s="28"/>
      <c r="GZM28" s="28"/>
      <c r="GZN28" s="28"/>
      <c r="GZO28" s="28"/>
      <c r="GZP28" s="28"/>
      <c r="GZQ28" s="28"/>
      <c r="GZR28" s="28"/>
      <c r="GZS28" s="28"/>
      <c r="GZT28" s="28"/>
      <c r="GZU28" s="28"/>
      <c r="GZV28" s="28"/>
      <c r="GZW28" s="28"/>
      <c r="GZX28" s="28"/>
      <c r="GZY28" s="28"/>
      <c r="GZZ28" s="28"/>
      <c r="HAA28" s="28"/>
      <c r="HAB28" s="28"/>
      <c r="HAC28" s="28"/>
      <c r="HAD28" s="28"/>
      <c r="HAE28" s="28"/>
      <c r="HAF28" s="28"/>
      <c r="HAG28" s="28"/>
      <c r="HAH28" s="28"/>
      <c r="HAI28" s="28"/>
      <c r="HAJ28" s="28"/>
      <c r="HAK28" s="28"/>
      <c r="HAL28" s="28"/>
      <c r="HAM28" s="28"/>
      <c r="HAN28" s="28"/>
      <c r="HAO28" s="28"/>
      <c r="HAP28" s="28"/>
      <c r="HAQ28" s="28"/>
      <c r="HAR28" s="28"/>
      <c r="HAS28" s="28"/>
      <c r="HAT28" s="28"/>
      <c r="HAU28" s="28"/>
      <c r="HAV28" s="28"/>
      <c r="HAW28" s="28"/>
      <c r="HAX28" s="28"/>
      <c r="HAY28" s="28"/>
      <c r="HAZ28" s="28"/>
      <c r="HBA28" s="28"/>
      <c r="HBB28" s="28"/>
      <c r="HBC28" s="28"/>
      <c r="HBD28" s="28"/>
      <c r="HBE28" s="28"/>
      <c r="HBF28" s="28"/>
      <c r="HBG28" s="28"/>
      <c r="HBH28" s="28"/>
      <c r="HBI28" s="28"/>
      <c r="HBJ28" s="28"/>
      <c r="HBK28" s="28"/>
      <c r="HBL28" s="28"/>
      <c r="HBM28" s="28"/>
      <c r="HBN28" s="28"/>
      <c r="HBO28" s="28"/>
      <c r="HBP28" s="28"/>
      <c r="HBQ28" s="28"/>
      <c r="HBR28" s="28"/>
      <c r="HBS28" s="28"/>
      <c r="HBT28" s="28"/>
      <c r="HBU28" s="28"/>
      <c r="HBV28" s="28"/>
      <c r="HBW28" s="28"/>
      <c r="HBX28" s="28"/>
      <c r="HBY28" s="28"/>
      <c r="HBZ28" s="28"/>
      <c r="HCA28" s="28"/>
      <c r="HCB28" s="28"/>
      <c r="HCC28" s="28"/>
      <c r="HCD28" s="28"/>
      <c r="HCE28" s="28"/>
      <c r="HCF28" s="28"/>
      <c r="HCG28" s="28"/>
      <c r="HCH28" s="28"/>
      <c r="HCI28" s="28"/>
      <c r="HCJ28" s="28"/>
      <c r="HCK28" s="28"/>
      <c r="HCL28" s="28"/>
      <c r="HCM28" s="28"/>
      <c r="HCN28" s="28"/>
      <c r="HCO28" s="28"/>
      <c r="HCP28" s="28"/>
      <c r="HCQ28" s="28"/>
      <c r="HCR28" s="28"/>
      <c r="HCS28" s="28"/>
      <c r="HCT28" s="28"/>
      <c r="HCU28" s="28"/>
      <c r="HCV28" s="28"/>
      <c r="HCW28" s="28"/>
      <c r="HCX28" s="28"/>
      <c r="HCY28" s="28"/>
      <c r="HCZ28" s="28"/>
      <c r="HDA28" s="28"/>
      <c r="HDB28" s="28"/>
      <c r="HDC28" s="28"/>
      <c r="HDD28" s="28"/>
      <c r="HDE28" s="28"/>
      <c r="HDF28" s="28"/>
      <c r="HDG28" s="28"/>
      <c r="HDH28" s="28"/>
      <c r="HDI28" s="28"/>
      <c r="HDJ28" s="28"/>
      <c r="HDK28" s="28"/>
      <c r="HDL28" s="28"/>
      <c r="HDM28" s="28"/>
      <c r="HDN28" s="28"/>
      <c r="HDO28" s="28"/>
      <c r="HDP28" s="28"/>
      <c r="HDQ28" s="28"/>
      <c r="HDR28" s="28"/>
      <c r="HDS28" s="28"/>
      <c r="HDT28" s="28"/>
      <c r="HDU28" s="28"/>
      <c r="HDV28" s="28"/>
      <c r="HDW28" s="28"/>
      <c r="HDX28" s="28"/>
      <c r="HDY28" s="28"/>
      <c r="HDZ28" s="28"/>
      <c r="HEA28" s="28"/>
      <c r="HEB28" s="28"/>
      <c r="HEC28" s="28"/>
      <c r="HED28" s="28"/>
      <c r="HEE28" s="28"/>
      <c r="HEF28" s="28"/>
      <c r="HEG28" s="28"/>
      <c r="HEH28" s="28"/>
      <c r="HEI28" s="28"/>
      <c r="HEJ28" s="28"/>
      <c r="HEK28" s="28"/>
      <c r="HEL28" s="28"/>
      <c r="HEM28" s="28"/>
      <c r="HEN28" s="28"/>
      <c r="HEO28" s="28"/>
      <c r="HEP28" s="28"/>
      <c r="HEQ28" s="28"/>
      <c r="HER28" s="28"/>
      <c r="HES28" s="28"/>
      <c r="HET28" s="28"/>
      <c r="HEU28" s="28"/>
      <c r="HEV28" s="28"/>
      <c r="HEW28" s="28"/>
      <c r="HEX28" s="28"/>
      <c r="HEY28" s="28"/>
      <c r="HEZ28" s="28"/>
      <c r="HFA28" s="28"/>
      <c r="HFB28" s="28"/>
      <c r="HFC28" s="28"/>
      <c r="HFD28" s="28"/>
      <c r="HFE28" s="28"/>
      <c r="HFF28" s="28"/>
      <c r="HFG28" s="28"/>
      <c r="HFH28" s="28"/>
      <c r="HFI28" s="28"/>
      <c r="HFJ28" s="28"/>
      <c r="HFK28" s="28"/>
      <c r="HFL28" s="28"/>
      <c r="HFM28" s="28"/>
      <c r="HFN28" s="28"/>
      <c r="HFO28" s="28"/>
      <c r="HFP28" s="28"/>
      <c r="HFQ28" s="28"/>
      <c r="HFR28" s="28"/>
      <c r="HFS28" s="28"/>
      <c r="HFT28" s="28"/>
      <c r="HFU28" s="28"/>
      <c r="HFV28" s="28"/>
      <c r="HFW28" s="28"/>
      <c r="HFX28" s="28"/>
      <c r="HFY28" s="28"/>
      <c r="HFZ28" s="28"/>
      <c r="HGA28" s="28"/>
      <c r="HGB28" s="28"/>
      <c r="HGC28" s="28"/>
      <c r="HGD28" s="28"/>
      <c r="HGE28" s="28"/>
      <c r="HGF28" s="28"/>
      <c r="HGG28" s="28"/>
      <c r="HGH28" s="28"/>
      <c r="HGI28" s="28"/>
      <c r="HGJ28" s="28"/>
      <c r="HGK28" s="28"/>
      <c r="HGL28" s="28"/>
      <c r="HGM28" s="28"/>
      <c r="HGN28" s="28"/>
      <c r="HGO28" s="28"/>
      <c r="HGP28" s="28"/>
      <c r="HGQ28" s="28"/>
      <c r="HGR28" s="28"/>
      <c r="HGS28" s="28"/>
      <c r="HGT28" s="28"/>
      <c r="HGU28" s="28"/>
      <c r="HGV28" s="28"/>
      <c r="HGW28" s="28"/>
      <c r="HGX28" s="28"/>
      <c r="HGY28" s="28"/>
      <c r="HGZ28" s="28"/>
      <c r="HHA28" s="28"/>
      <c r="HHB28" s="28"/>
      <c r="HHC28" s="28"/>
      <c r="HHD28" s="28"/>
      <c r="HHE28" s="28"/>
      <c r="HHF28" s="28"/>
      <c r="HHG28" s="28"/>
      <c r="HHH28" s="28"/>
      <c r="HHI28" s="28"/>
      <c r="HHJ28" s="28"/>
      <c r="HHK28" s="28"/>
      <c r="HHL28" s="28"/>
      <c r="HHM28" s="28"/>
      <c r="HHN28" s="28"/>
      <c r="HHO28" s="28"/>
      <c r="HHP28" s="28"/>
      <c r="HHQ28" s="28"/>
      <c r="HHR28" s="28"/>
      <c r="HHS28" s="28"/>
      <c r="HHT28" s="28"/>
      <c r="HHU28" s="28"/>
      <c r="HHV28" s="28"/>
      <c r="HHW28" s="28"/>
      <c r="HHX28" s="28"/>
      <c r="HHY28" s="28"/>
      <c r="HHZ28" s="28"/>
      <c r="HIA28" s="28"/>
      <c r="HIB28" s="28"/>
      <c r="HIC28" s="28"/>
      <c r="HID28" s="28"/>
      <c r="HIE28" s="28"/>
      <c r="HIF28" s="28"/>
      <c r="HIG28" s="28"/>
      <c r="HIH28" s="28"/>
      <c r="HII28" s="28"/>
      <c r="HIJ28" s="28"/>
      <c r="HIK28" s="28"/>
      <c r="HIL28" s="28"/>
      <c r="HIM28" s="28"/>
      <c r="HIN28" s="28"/>
      <c r="HIO28" s="28"/>
      <c r="HIP28" s="28"/>
      <c r="HIQ28" s="28"/>
      <c r="HIR28" s="28"/>
      <c r="HIS28" s="28"/>
      <c r="HIT28" s="28"/>
      <c r="HIU28" s="28"/>
      <c r="HIV28" s="28"/>
      <c r="HIW28" s="28"/>
      <c r="HIX28" s="28"/>
      <c r="HIY28" s="28"/>
      <c r="HIZ28" s="28"/>
      <c r="HJA28" s="28"/>
      <c r="HJB28" s="28"/>
      <c r="HJC28" s="28"/>
      <c r="HJD28" s="28"/>
      <c r="HJE28" s="28"/>
      <c r="HJF28" s="28"/>
      <c r="HJG28" s="28"/>
      <c r="HJH28" s="28"/>
      <c r="HJI28" s="28"/>
      <c r="HJJ28" s="28"/>
      <c r="HJK28" s="28"/>
      <c r="HJL28" s="28"/>
      <c r="HJM28" s="28"/>
      <c r="HJN28" s="28"/>
      <c r="HJO28" s="28"/>
      <c r="HJP28" s="28"/>
      <c r="HJQ28" s="28"/>
      <c r="HJR28" s="28"/>
      <c r="HJS28" s="28"/>
      <c r="HJT28" s="28"/>
      <c r="HJU28" s="28"/>
      <c r="HJV28" s="28"/>
      <c r="HJW28" s="28"/>
      <c r="HJX28" s="28"/>
      <c r="HJY28" s="28"/>
      <c r="HJZ28" s="28"/>
      <c r="HKA28" s="28"/>
      <c r="HKB28" s="28"/>
      <c r="HKC28" s="28"/>
      <c r="HKD28" s="28"/>
      <c r="HKE28" s="28"/>
      <c r="HKF28" s="28"/>
      <c r="HKG28" s="28"/>
      <c r="HKH28" s="28"/>
      <c r="HKI28" s="28"/>
      <c r="HKJ28" s="28"/>
      <c r="HKK28" s="28"/>
      <c r="HKL28" s="28"/>
      <c r="HKM28" s="28"/>
      <c r="HKN28" s="28"/>
      <c r="HKO28" s="28"/>
      <c r="HKP28" s="28"/>
      <c r="HKQ28" s="28"/>
      <c r="HKR28" s="28"/>
      <c r="HKS28" s="28"/>
      <c r="HKT28" s="28"/>
      <c r="HKU28" s="28"/>
      <c r="HKV28" s="28"/>
      <c r="HKW28" s="28"/>
      <c r="HKX28" s="28"/>
      <c r="HKY28" s="28"/>
      <c r="HKZ28" s="28"/>
      <c r="HLA28" s="28"/>
      <c r="HLB28" s="28"/>
      <c r="HLC28" s="28"/>
      <c r="HLD28" s="28"/>
      <c r="HLE28" s="28"/>
      <c r="HLF28" s="28"/>
      <c r="HLG28" s="28"/>
      <c r="HLH28" s="28"/>
      <c r="HLI28" s="28"/>
      <c r="HLJ28" s="28"/>
      <c r="HLK28" s="28"/>
      <c r="HLL28" s="28"/>
      <c r="HLM28" s="28"/>
      <c r="HLN28" s="28"/>
      <c r="HLO28" s="28"/>
      <c r="HLP28" s="28"/>
      <c r="HLQ28" s="28"/>
      <c r="HLR28" s="28"/>
      <c r="HLS28" s="28"/>
      <c r="HLT28" s="28"/>
      <c r="HLU28" s="28"/>
      <c r="HLV28" s="28"/>
      <c r="HLW28" s="28"/>
      <c r="HLX28" s="28"/>
      <c r="HLY28" s="28"/>
      <c r="HLZ28" s="28"/>
      <c r="HMA28" s="28"/>
      <c r="HMB28" s="28"/>
      <c r="HMC28" s="28"/>
      <c r="HMD28" s="28"/>
      <c r="HME28" s="28"/>
      <c r="HMF28" s="28"/>
      <c r="HMG28" s="28"/>
      <c r="HMH28" s="28"/>
      <c r="HMI28" s="28"/>
      <c r="HMJ28" s="28"/>
      <c r="HMK28" s="28"/>
      <c r="HML28" s="28"/>
      <c r="HMM28" s="28"/>
      <c r="HMN28" s="28"/>
      <c r="HMO28" s="28"/>
      <c r="HMP28" s="28"/>
      <c r="HMQ28" s="28"/>
      <c r="HMR28" s="28"/>
      <c r="HMS28" s="28"/>
      <c r="HMT28" s="28"/>
      <c r="HMU28" s="28"/>
      <c r="HMV28" s="28"/>
      <c r="HMW28" s="28"/>
      <c r="HMX28" s="28"/>
      <c r="HMY28" s="28"/>
      <c r="HMZ28" s="28"/>
      <c r="HNA28" s="28"/>
      <c r="HNB28" s="28"/>
      <c r="HNC28" s="28"/>
      <c r="HND28" s="28"/>
      <c r="HNE28" s="28"/>
      <c r="HNF28" s="28"/>
      <c r="HNG28" s="28"/>
      <c r="HNH28" s="28"/>
      <c r="HNI28" s="28"/>
      <c r="HNJ28" s="28"/>
      <c r="HNK28" s="28"/>
      <c r="HNL28" s="28"/>
      <c r="HNM28" s="28"/>
      <c r="HNN28" s="28"/>
      <c r="HNO28" s="28"/>
      <c r="HNP28" s="28"/>
      <c r="HNQ28" s="28"/>
      <c r="HNR28" s="28"/>
      <c r="HNS28" s="28"/>
      <c r="HNT28" s="28"/>
      <c r="HNU28" s="28"/>
      <c r="HNV28" s="28"/>
      <c r="HNW28" s="28"/>
      <c r="HNX28" s="28"/>
      <c r="HNY28" s="28"/>
      <c r="HNZ28" s="28"/>
      <c r="HOA28" s="28"/>
      <c r="HOB28" s="28"/>
      <c r="HOC28" s="28"/>
      <c r="HOD28" s="28"/>
      <c r="HOE28" s="28"/>
      <c r="HOF28" s="28"/>
      <c r="HOG28" s="28"/>
      <c r="HOH28" s="28"/>
      <c r="HOI28" s="28"/>
      <c r="HOJ28" s="28"/>
      <c r="HOK28" s="28"/>
      <c r="HOL28" s="28"/>
      <c r="HOM28" s="28"/>
      <c r="HON28" s="28"/>
      <c r="HOO28" s="28"/>
      <c r="HOP28" s="28"/>
      <c r="HOQ28" s="28"/>
      <c r="HOR28" s="28"/>
      <c r="HOS28" s="28"/>
      <c r="HOT28" s="28"/>
      <c r="HOU28" s="28"/>
      <c r="HOV28" s="28"/>
      <c r="HOW28" s="28"/>
      <c r="HOX28" s="28"/>
      <c r="HOY28" s="28"/>
      <c r="HOZ28" s="28"/>
      <c r="HPA28" s="28"/>
      <c r="HPB28" s="28"/>
      <c r="HPC28" s="28"/>
      <c r="HPD28" s="28"/>
      <c r="HPE28" s="28"/>
      <c r="HPF28" s="28"/>
      <c r="HPG28" s="28"/>
      <c r="HPH28" s="28"/>
      <c r="HPI28" s="28"/>
      <c r="HPJ28" s="28"/>
      <c r="HPK28" s="28"/>
      <c r="HPL28" s="28"/>
      <c r="HPM28" s="28"/>
      <c r="HPN28" s="28"/>
      <c r="HPO28" s="28"/>
      <c r="HPP28" s="28"/>
      <c r="HPQ28" s="28"/>
      <c r="HPR28" s="28"/>
      <c r="HPS28" s="28"/>
      <c r="HPT28" s="28"/>
      <c r="HPU28" s="28"/>
      <c r="HPV28" s="28"/>
      <c r="HPW28" s="28"/>
      <c r="HPX28" s="28"/>
      <c r="HPY28" s="28"/>
      <c r="HPZ28" s="28"/>
      <c r="HQA28" s="28"/>
      <c r="HQB28" s="28"/>
      <c r="HQC28" s="28"/>
      <c r="HQD28" s="28"/>
      <c r="HQE28" s="28"/>
      <c r="HQF28" s="28"/>
      <c r="HQG28" s="28"/>
      <c r="HQH28" s="28"/>
      <c r="HQI28" s="28"/>
      <c r="HQJ28" s="28"/>
      <c r="HQK28" s="28"/>
      <c r="HQL28" s="28"/>
      <c r="HQM28" s="28"/>
      <c r="HQN28" s="28"/>
      <c r="HQO28" s="28"/>
      <c r="HQP28" s="28"/>
      <c r="HQQ28" s="28"/>
      <c r="HQR28" s="28"/>
      <c r="HQS28" s="28"/>
      <c r="HQT28" s="28"/>
      <c r="HQU28" s="28"/>
      <c r="HQV28" s="28"/>
      <c r="HQW28" s="28"/>
      <c r="HQX28" s="28"/>
      <c r="HQY28" s="28"/>
      <c r="HQZ28" s="28"/>
      <c r="HRA28" s="28"/>
      <c r="HRB28" s="28"/>
      <c r="HRC28" s="28"/>
      <c r="HRD28" s="28"/>
      <c r="HRE28" s="28"/>
      <c r="HRF28" s="28"/>
      <c r="HRG28" s="28"/>
      <c r="HRH28" s="28"/>
      <c r="HRI28" s="28"/>
      <c r="HRJ28" s="28"/>
      <c r="HRK28" s="28"/>
      <c r="HRL28" s="28"/>
      <c r="HRM28" s="28"/>
      <c r="HRN28" s="28"/>
      <c r="HRO28" s="28"/>
      <c r="HRP28" s="28"/>
      <c r="HRQ28" s="28"/>
      <c r="HRR28" s="28"/>
      <c r="HRS28" s="28"/>
      <c r="HRT28" s="28"/>
      <c r="HRU28" s="28"/>
      <c r="HRV28" s="28"/>
      <c r="HRW28" s="28"/>
      <c r="HRX28" s="28"/>
      <c r="HRY28" s="28"/>
      <c r="HRZ28" s="28"/>
      <c r="HSA28" s="28"/>
      <c r="HSB28" s="28"/>
      <c r="HSC28" s="28"/>
      <c r="HSD28" s="28"/>
      <c r="HSE28" s="28"/>
      <c r="HSF28" s="28"/>
      <c r="HSG28" s="28"/>
      <c r="HSH28" s="28"/>
      <c r="HSI28" s="28"/>
      <c r="HSJ28" s="28"/>
      <c r="HSK28" s="28"/>
      <c r="HSL28" s="28"/>
      <c r="HSM28" s="28"/>
      <c r="HSN28" s="28"/>
      <c r="HSO28" s="28"/>
      <c r="HSP28" s="28"/>
      <c r="HSQ28" s="28"/>
      <c r="HSR28" s="28"/>
      <c r="HSS28" s="28"/>
      <c r="HST28" s="28"/>
      <c r="HSU28" s="28"/>
      <c r="HSV28" s="28"/>
      <c r="HSW28" s="28"/>
      <c r="HSX28" s="28"/>
      <c r="HSY28" s="28"/>
      <c r="HSZ28" s="28"/>
      <c r="HTA28" s="28"/>
      <c r="HTB28" s="28"/>
      <c r="HTC28" s="28"/>
      <c r="HTD28" s="28"/>
      <c r="HTE28" s="28"/>
      <c r="HTF28" s="28"/>
      <c r="HTG28" s="28"/>
      <c r="HTH28" s="28"/>
      <c r="HTI28" s="28"/>
      <c r="HTJ28" s="28"/>
      <c r="HTK28" s="28"/>
      <c r="HTL28" s="28"/>
      <c r="HTM28" s="28"/>
      <c r="HTN28" s="28"/>
      <c r="HTO28" s="28"/>
      <c r="HTP28" s="28"/>
      <c r="HTQ28" s="28"/>
      <c r="HTR28" s="28"/>
      <c r="HTS28" s="28"/>
      <c r="HTT28" s="28"/>
      <c r="HTU28" s="28"/>
      <c r="HTV28" s="28"/>
      <c r="HTW28" s="28"/>
      <c r="HTX28" s="28"/>
      <c r="HTY28" s="28"/>
      <c r="HTZ28" s="28"/>
      <c r="HUA28" s="28"/>
      <c r="HUB28" s="28"/>
      <c r="HUC28" s="28"/>
      <c r="HUD28" s="28"/>
      <c r="HUE28" s="28"/>
      <c r="HUF28" s="28"/>
      <c r="HUG28" s="28"/>
      <c r="HUH28" s="28"/>
      <c r="HUI28" s="28"/>
      <c r="HUJ28" s="28"/>
      <c r="HUK28" s="28"/>
      <c r="HUL28" s="28"/>
      <c r="HUM28" s="28"/>
      <c r="HUN28" s="28"/>
      <c r="HUO28" s="28"/>
      <c r="HUP28" s="28"/>
      <c r="HUQ28" s="28"/>
      <c r="HUR28" s="28"/>
      <c r="HUS28" s="28"/>
      <c r="HUT28" s="28"/>
      <c r="HUU28" s="28"/>
      <c r="HUV28" s="28"/>
      <c r="HUW28" s="28"/>
      <c r="HUX28" s="28"/>
      <c r="HUY28" s="28"/>
      <c r="HUZ28" s="28"/>
      <c r="HVA28" s="28"/>
      <c r="HVB28" s="28"/>
      <c r="HVC28" s="28"/>
      <c r="HVD28" s="28"/>
      <c r="HVE28" s="28"/>
      <c r="HVF28" s="28"/>
      <c r="HVG28" s="28"/>
      <c r="HVH28" s="28"/>
      <c r="HVI28" s="28"/>
      <c r="HVJ28" s="28"/>
      <c r="HVK28" s="28"/>
      <c r="HVL28" s="28"/>
      <c r="HVM28" s="28"/>
      <c r="HVN28" s="28"/>
      <c r="HVO28" s="28"/>
      <c r="HVP28" s="28"/>
      <c r="HVQ28" s="28"/>
      <c r="HVR28" s="28"/>
      <c r="HVS28" s="28"/>
      <c r="HVT28" s="28"/>
      <c r="HVU28" s="28"/>
      <c r="HVV28" s="28"/>
      <c r="HVW28" s="28"/>
      <c r="HVX28" s="28"/>
      <c r="HVY28" s="28"/>
      <c r="HVZ28" s="28"/>
      <c r="HWA28" s="28"/>
      <c r="HWB28" s="28"/>
      <c r="HWC28" s="28"/>
      <c r="HWD28" s="28"/>
      <c r="HWE28" s="28"/>
      <c r="HWF28" s="28"/>
      <c r="HWG28" s="28"/>
      <c r="HWH28" s="28"/>
      <c r="HWI28" s="28"/>
      <c r="HWJ28" s="28"/>
      <c r="HWK28" s="28"/>
      <c r="HWL28" s="28"/>
      <c r="HWM28" s="28"/>
      <c r="HWN28" s="28"/>
      <c r="HWO28" s="28"/>
      <c r="HWP28" s="28"/>
      <c r="HWQ28" s="28"/>
      <c r="HWR28" s="28"/>
      <c r="HWS28" s="28"/>
      <c r="HWT28" s="28"/>
      <c r="HWU28" s="28"/>
      <c r="HWV28" s="28"/>
      <c r="HWW28" s="28"/>
      <c r="HWX28" s="28"/>
      <c r="HWY28" s="28"/>
      <c r="HWZ28" s="28"/>
      <c r="HXA28" s="28"/>
      <c r="HXB28" s="28"/>
      <c r="HXC28" s="28"/>
      <c r="HXD28" s="28"/>
      <c r="HXE28" s="28"/>
      <c r="HXF28" s="28"/>
      <c r="HXG28" s="28"/>
      <c r="HXH28" s="28"/>
      <c r="HXI28" s="28"/>
      <c r="HXJ28" s="28"/>
      <c r="HXK28" s="28"/>
      <c r="HXL28" s="28"/>
      <c r="HXM28" s="28"/>
      <c r="HXN28" s="28"/>
      <c r="HXO28" s="28"/>
      <c r="HXP28" s="28"/>
      <c r="HXQ28" s="28"/>
      <c r="HXR28" s="28"/>
      <c r="HXS28" s="28"/>
      <c r="HXT28" s="28"/>
      <c r="HXU28" s="28"/>
      <c r="HXV28" s="28"/>
      <c r="HXW28" s="28"/>
      <c r="HXX28" s="28"/>
      <c r="HXY28" s="28"/>
      <c r="HXZ28" s="28"/>
      <c r="HYA28" s="28"/>
      <c r="HYB28" s="28"/>
      <c r="HYC28" s="28"/>
      <c r="HYD28" s="28"/>
      <c r="HYE28" s="28"/>
      <c r="HYF28" s="28"/>
      <c r="HYG28" s="28"/>
      <c r="HYH28" s="28"/>
      <c r="HYI28" s="28"/>
      <c r="HYJ28" s="28"/>
      <c r="HYK28" s="28"/>
      <c r="HYL28" s="28"/>
      <c r="HYM28" s="28"/>
      <c r="HYN28" s="28"/>
      <c r="HYO28" s="28"/>
      <c r="HYP28" s="28"/>
      <c r="HYQ28" s="28"/>
      <c r="HYR28" s="28"/>
      <c r="HYS28" s="28"/>
      <c r="HYT28" s="28"/>
      <c r="HYU28" s="28"/>
      <c r="HYV28" s="28"/>
      <c r="HYW28" s="28"/>
      <c r="HYX28" s="28"/>
      <c r="HYY28" s="28"/>
      <c r="HYZ28" s="28"/>
      <c r="HZA28" s="28"/>
      <c r="HZB28" s="28"/>
      <c r="HZC28" s="28"/>
      <c r="HZD28" s="28"/>
      <c r="HZE28" s="28"/>
      <c r="HZF28" s="28"/>
      <c r="HZG28" s="28"/>
      <c r="HZH28" s="28"/>
      <c r="HZI28" s="28"/>
      <c r="HZJ28" s="28"/>
      <c r="HZK28" s="28"/>
      <c r="HZL28" s="28"/>
      <c r="HZM28" s="28"/>
      <c r="HZN28" s="28"/>
      <c r="HZO28" s="28"/>
      <c r="HZP28" s="28"/>
      <c r="HZQ28" s="28"/>
      <c r="HZR28" s="28"/>
      <c r="HZS28" s="28"/>
      <c r="HZT28" s="28"/>
      <c r="HZU28" s="28"/>
      <c r="HZV28" s="28"/>
      <c r="HZW28" s="28"/>
      <c r="HZX28" s="28"/>
      <c r="HZY28" s="28"/>
      <c r="HZZ28" s="28"/>
      <c r="IAA28" s="28"/>
      <c r="IAB28" s="28"/>
      <c r="IAC28" s="28"/>
      <c r="IAD28" s="28"/>
      <c r="IAE28" s="28"/>
      <c r="IAF28" s="28"/>
      <c r="IAG28" s="28"/>
      <c r="IAH28" s="28"/>
      <c r="IAI28" s="28"/>
      <c r="IAJ28" s="28"/>
      <c r="IAK28" s="28"/>
      <c r="IAL28" s="28"/>
      <c r="IAM28" s="28"/>
      <c r="IAN28" s="28"/>
      <c r="IAO28" s="28"/>
      <c r="IAP28" s="28"/>
      <c r="IAQ28" s="28"/>
      <c r="IAR28" s="28"/>
      <c r="IAS28" s="28"/>
      <c r="IAT28" s="28"/>
      <c r="IAU28" s="28"/>
      <c r="IAV28" s="28"/>
      <c r="IAW28" s="28"/>
      <c r="IAX28" s="28"/>
      <c r="IAY28" s="28"/>
      <c r="IAZ28" s="28"/>
      <c r="IBA28" s="28"/>
      <c r="IBB28" s="28"/>
      <c r="IBC28" s="28"/>
      <c r="IBD28" s="28"/>
      <c r="IBE28" s="28"/>
      <c r="IBF28" s="28"/>
      <c r="IBG28" s="28"/>
      <c r="IBH28" s="28"/>
      <c r="IBI28" s="28"/>
      <c r="IBJ28" s="28"/>
      <c r="IBK28" s="28"/>
      <c r="IBL28" s="28"/>
      <c r="IBM28" s="28"/>
      <c r="IBN28" s="28"/>
      <c r="IBO28" s="28"/>
      <c r="IBP28" s="28"/>
      <c r="IBQ28" s="28"/>
      <c r="IBR28" s="28"/>
      <c r="IBS28" s="28"/>
      <c r="IBT28" s="28"/>
      <c r="IBU28" s="28"/>
      <c r="IBV28" s="28"/>
      <c r="IBW28" s="28"/>
      <c r="IBX28" s="28"/>
      <c r="IBY28" s="28"/>
      <c r="IBZ28" s="28"/>
      <c r="ICA28" s="28"/>
      <c r="ICB28" s="28"/>
      <c r="ICC28" s="28"/>
      <c r="ICD28" s="28"/>
      <c r="ICE28" s="28"/>
      <c r="ICF28" s="28"/>
      <c r="ICG28" s="28"/>
      <c r="ICH28" s="28"/>
      <c r="ICI28" s="28"/>
      <c r="ICJ28" s="28"/>
      <c r="ICK28" s="28"/>
      <c r="ICL28" s="28"/>
      <c r="ICM28" s="28"/>
      <c r="ICN28" s="28"/>
      <c r="ICO28" s="28"/>
      <c r="ICP28" s="28"/>
      <c r="ICQ28" s="28"/>
      <c r="ICR28" s="28"/>
      <c r="ICS28" s="28"/>
      <c r="ICT28" s="28"/>
      <c r="ICU28" s="28"/>
      <c r="ICV28" s="28"/>
      <c r="ICW28" s="28"/>
      <c r="ICX28" s="28"/>
      <c r="ICY28" s="28"/>
      <c r="ICZ28" s="28"/>
      <c r="IDA28" s="28"/>
      <c r="IDB28" s="28"/>
      <c r="IDC28" s="28"/>
      <c r="IDD28" s="28"/>
      <c r="IDE28" s="28"/>
      <c r="IDF28" s="28"/>
      <c r="IDG28" s="28"/>
      <c r="IDH28" s="28"/>
      <c r="IDI28" s="28"/>
      <c r="IDJ28" s="28"/>
      <c r="IDK28" s="28"/>
      <c r="IDL28" s="28"/>
      <c r="IDM28" s="28"/>
      <c r="IDN28" s="28"/>
      <c r="IDO28" s="28"/>
      <c r="IDP28" s="28"/>
      <c r="IDQ28" s="28"/>
      <c r="IDR28" s="28"/>
      <c r="IDS28" s="28"/>
      <c r="IDT28" s="28"/>
      <c r="IDU28" s="28"/>
      <c r="IDV28" s="28"/>
      <c r="IDW28" s="28"/>
      <c r="IDX28" s="28"/>
      <c r="IDY28" s="28"/>
      <c r="IDZ28" s="28"/>
      <c r="IEA28" s="28"/>
      <c r="IEB28" s="28"/>
      <c r="IEC28" s="28"/>
      <c r="IED28" s="28"/>
      <c r="IEE28" s="28"/>
      <c r="IEF28" s="28"/>
      <c r="IEG28" s="28"/>
      <c r="IEH28" s="28"/>
      <c r="IEI28" s="28"/>
      <c r="IEJ28" s="28"/>
      <c r="IEK28" s="28"/>
      <c r="IEL28" s="28"/>
      <c r="IEM28" s="28"/>
      <c r="IEN28" s="28"/>
      <c r="IEO28" s="28"/>
      <c r="IEP28" s="28"/>
      <c r="IEQ28" s="28"/>
      <c r="IER28" s="28"/>
      <c r="IES28" s="28"/>
      <c r="IET28" s="28"/>
      <c r="IEU28" s="28"/>
      <c r="IEV28" s="28"/>
      <c r="IEW28" s="28"/>
      <c r="IEX28" s="28"/>
      <c r="IEY28" s="28"/>
      <c r="IEZ28" s="28"/>
      <c r="IFA28" s="28"/>
      <c r="IFB28" s="28"/>
      <c r="IFC28" s="28"/>
      <c r="IFD28" s="28"/>
      <c r="IFE28" s="28"/>
      <c r="IFF28" s="28"/>
      <c r="IFG28" s="28"/>
      <c r="IFH28" s="28"/>
      <c r="IFI28" s="28"/>
      <c r="IFJ28" s="28"/>
      <c r="IFK28" s="28"/>
      <c r="IFL28" s="28"/>
      <c r="IFM28" s="28"/>
      <c r="IFN28" s="28"/>
      <c r="IFO28" s="28"/>
      <c r="IFP28" s="28"/>
      <c r="IFQ28" s="28"/>
      <c r="IFR28" s="28"/>
      <c r="IFS28" s="28"/>
      <c r="IFT28" s="28"/>
      <c r="IFU28" s="28"/>
      <c r="IFV28" s="28"/>
      <c r="IFW28" s="28"/>
      <c r="IFX28" s="28"/>
      <c r="IFY28" s="28"/>
      <c r="IFZ28" s="28"/>
      <c r="IGA28" s="28"/>
      <c r="IGB28" s="28"/>
      <c r="IGC28" s="28"/>
      <c r="IGD28" s="28"/>
      <c r="IGE28" s="28"/>
      <c r="IGF28" s="28"/>
      <c r="IGG28" s="28"/>
      <c r="IGH28" s="28"/>
      <c r="IGI28" s="28"/>
      <c r="IGJ28" s="28"/>
      <c r="IGK28" s="28"/>
      <c r="IGL28" s="28"/>
      <c r="IGM28" s="28"/>
      <c r="IGN28" s="28"/>
      <c r="IGO28" s="28"/>
      <c r="IGP28" s="28"/>
      <c r="IGQ28" s="28"/>
      <c r="IGR28" s="28"/>
      <c r="IGS28" s="28"/>
      <c r="IGT28" s="28"/>
      <c r="IGU28" s="28"/>
      <c r="IGV28" s="28"/>
      <c r="IGW28" s="28"/>
      <c r="IGX28" s="28"/>
      <c r="IGY28" s="28"/>
      <c r="IGZ28" s="28"/>
      <c r="IHA28" s="28"/>
      <c r="IHB28" s="28"/>
      <c r="IHC28" s="28"/>
      <c r="IHD28" s="28"/>
      <c r="IHE28" s="28"/>
      <c r="IHF28" s="28"/>
      <c r="IHG28" s="28"/>
      <c r="IHH28" s="28"/>
      <c r="IHI28" s="28"/>
      <c r="IHJ28" s="28"/>
      <c r="IHK28" s="28"/>
      <c r="IHL28" s="28"/>
      <c r="IHM28" s="28"/>
      <c r="IHN28" s="28"/>
      <c r="IHO28" s="28"/>
      <c r="IHP28" s="28"/>
      <c r="IHQ28" s="28"/>
      <c r="IHR28" s="28"/>
      <c r="IHS28" s="28"/>
      <c r="IHT28" s="28"/>
      <c r="IHU28" s="28"/>
      <c r="IHV28" s="28"/>
      <c r="IHW28" s="28"/>
      <c r="IHX28" s="28"/>
      <c r="IHY28" s="28"/>
      <c r="IHZ28" s="28"/>
      <c r="IIA28" s="28"/>
      <c r="IIB28" s="28"/>
      <c r="IIC28" s="28"/>
      <c r="IID28" s="28"/>
      <c r="IIE28" s="28"/>
      <c r="IIF28" s="28"/>
      <c r="IIG28" s="28"/>
      <c r="IIH28" s="28"/>
      <c r="III28" s="28"/>
      <c r="IIJ28" s="28"/>
      <c r="IIK28" s="28"/>
      <c r="IIL28" s="28"/>
      <c r="IIM28" s="28"/>
      <c r="IIN28" s="28"/>
      <c r="IIO28" s="28"/>
      <c r="IIP28" s="28"/>
      <c r="IIQ28" s="28"/>
      <c r="IIR28" s="28"/>
      <c r="IIS28" s="28"/>
      <c r="IIT28" s="28"/>
      <c r="IIU28" s="28"/>
      <c r="IIV28" s="28"/>
      <c r="IIW28" s="28"/>
      <c r="IIX28" s="28"/>
      <c r="IIY28" s="28"/>
      <c r="IIZ28" s="28"/>
      <c r="IJA28" s="28"/>
      <c r="IJB28" s="28"/>
      <c r="IJC28" s="28"/>
      <c r="IJD28" s="28"/>
      <c r="IJE28" s="28"/>
      <c r="IJF28" s="28"/>
      <c r="IJG28" s="28"/>
      <c r="IJH28" s="28"/>
      <c r="IJI28" s="28"/>
      <c r="IJJ28" s="28"/>
      <c r="IJK28" s="28"/>
      <c r="IJL28" s="28"/>
      <c r="IJM28" s="28"/>
      <c r="IJN28" s="28"/>
      <c r="IJO28" s="28"/>
      <c r="IJP28" s="28"/>
      <c r="IJQ28" s="28"/>
      <c r="IJR28" s="28"/>
      <c r="IJS28" s="28"/>
      <c r="IJT28" s="28"/>
      <c r="IJU28" s="28"/>
      <c r="IJV28" s="28"/>
      <c r="IJW28" s="28"/>
      <c r="IJX28" s="28"/>
      <c r="IJY28" s="28"/>
      <c r="IJZ28" s="28"/>
      <c r="IKA28" s="28"/>
      <c r="IKB28" s="28"/>
      <c r="IKC28" s="28"/>
      <c r="IKD28" s="28"/>
      <c r="IKE28" s="28"/>
      <c r="IKF28" s="28"/>
      <c r="IKG28" s="28"/>
      <c r="IKH28" s="28"/>
      <c r="IKI28" s="28"/>
      <c r="IKJ28" s="28"/>
      <c r="IKK28" s="28"/>
      <c r="IKL28" s="28"/>
      <c r="IKM28" s="28"/>
      <c r="IKN28" s="28"/>
      <c r="IKO28" s="28"/>
      <c r="IKP28" s="28"/>
      <c r="IKQ28" s="28"/>
      <c r="IKR28" s="28"/>
      <c r="IKS28" s="28"/>
      <c r="IKT28" s="28"/>
      <c r="IKU28" s="28"/>
      <c r="IKV28" s="28"/>
      <c r="IKW28" s="28"/>
      <c r="IKX28" s="28"/>
      <c r="IKY28" s="28"/>
      <c r="IKZ28" s="28"/>
      <c r="ILA28" s="28"/>
      <c r="ILB28" s="28"/>
      <c r="ILC28" s="28"/>
      <c r="ILD28" s="28"/>
      <c r="ILE28" s="28"/>
      <c r="ILF28" s="28"/>
      <c r="ILG28" s="28"/>
      <c r="ILH28" s="28"/>
      <c r="ILI28" s="28"/>
      <c r="ILJ28" s="28"/>
      <c r="ILK28" s="28"/>
      <c r="ILL28" s="28"/>
      <c r="ILM28" s="28"/>
      <c r="ILN28" s="28"/>
      <c r="ILO28" s="28"/>
      <c r="ILP28" s="28"/>
      <c r="ILQ28" s="28"/>
      <c r="ILR28" s="28"/>
      <c r="ILS28" s="28"/>
      <c r="ILT28" s="28"/>
      <c r="ILU28" s="28"/>
      <c r="ILV28" s="28"/>
      <c r="ILW28" s="28"/>
      <c r="ILX28" s="28"/>
      <c r="ILY28" s="28"/>
      <c r="ILZ28" s="28"/>
      <c r="IMA28" s="28"/>
      <c r="IMB28" s="28"/>
      <c r="IMC28" s="28"/>
      <c r="IMD28" s="28"/>
      <c r="IME28" s="28"/>
      <c r="IMF28" s="28"/>
      <c r="IMG28" s="28"/>
      <c r="IMH28" s="28"/>
      <c r="IMI28" s="28"/>
      <c r="IMJ28" s="28"/>
      <c r="IMK28" s="28"/>
      <c r="IML28" s="28"/>
      <c r="IMM28" s="28"/>
      <c r="IMN28" s="28"/>
      <c r="IMO28" s="28"/>
      <c r="IMP28" s="28"/>
      <c r="IMQ28" s="28"/>
      <c r="IMR28" s="28"/>
      <c r="IMS28" s="28"/>
      <c r="IMT28" s="28"/>
      <c r="IMU28" s="28"/>
      <c r="IMV28" s="28"/>
      <c r="IMW28" s="28"/>
      <c r="IMX28" s="28"/>
      <c r="IMY28" s="28"/>
      <c r="IMZ28" s="28"/>
      <c r="INA28" s="28"/>
      <c r="INB28" s="28"/>
      <c r="INC28" s="28"/>
      <c r="IND28" s="28"/>
      <c r="INE28" s="28"/>
      <c r="INF28" s="28"/>
      <c r="ING28" s="28"/>
      <c r="INH28" s="28"/>
      <c r="INI28" s="28"/>
      <c r="INJ28" s="28"/>
      <c r="INK28" s="28"/>
      <c r="INL28" s="28"/>
      <c r="INM28" s="28"/>
      <c r="INN28" s="28"/>
      <c r="INO28" s="28"/>
      <c r="INP28" s="28"/>
      <c r="INQ28" s="28"/>
      <c r="INR28" s="28"/>
      <c r="INS28" s="28"/>
      <c r="INT28" s="28"/>
      <c r="INU28" s="28"/>
      <c r="INV28" s="28"/>
      <c r="INW28" s="28"/>
      <c r="INX28" s="28"/>
      <c r="INY28" s="28"/>
      <c r="INZ28" s="28"/>
      <c r="IOA28" s="28"/>
      <c r="IOB28" s="28"/>
      <c r="IOC28" s="28"/>
      <c r="IOD28" s="28"/>
      <c r="IOE28" s="28"/>
      <c r="IOF28" s="28"/>
      <c r="IOG28" s="28"/>
      <c r="IOH28" s="28"/>
      <c r="IOI28" s="28"/>
      <c r="IOJ28" s="28"/>
      <c r="IOK28" s="28"/>
      <c r="IOL28" s="28"/>
      <c r="IOM28" s="28"/>
      <c r="ION28" s="28"/>
      <c r="IOO28" s="28"/>
      <c r="IOP28" s="28"/>
      <c r="IOQ28" s="28"/>
      <c r="IOR28" s="28"/>
      <c r="IOS28" s="28"/>
      <c r="IOT28" s="28"/>
      <c r="IOU28" s="28"/>
      <c r="IOV28" s="28"/>
      <c r="IOW28" s="28"/>
      <c r="IOX28" s="28"/>
      <c r="IOY28" s="28"/>
      <c r="IOZ28" s="28"/>
      <c r="IPA28" s="28"/>
      <c r="IPB28" s="28"/>
      <c r="IPC28" s="28"/>
      <c r="IPD28" s="28"/>
      <c r="IPE28" s="28"/>
      <c r="IPF28" s="28"/>
      <c r="IPG28" s="28"/>
      <c r="IPH28" s="28"/>
      <c r="IPI28" s="28"/>
      <c r="IPJ28" s="28"/>
      <c r="IPK28" s="28"/>
      <c r="IPL28" s="28"/>
      <c r="IPM28" s="28"/>
      <c r="IPN28" s="28"/>
      <c r="IPO28" s="28"/>
      <c r="IPP28" s="28"/>
      <c r="IPQ28" s="28"/>
      <c r="IPR28" s="28"/>
      <c r="IPS28" s="28"/>
      <c r="IPT28" s="28"/>
      <c r="IPU28" s="28"/>
      <c r="IPV28" s="28"/>
      <c r="IPW28" s="28"/>
      <c r="IPX28" s="28"/>
      <c r="IPY28" s="28"/>
      <c r="IPZ28" s="28"/>
      <c r="IQA28" s="28"/>
      <c r="IQB28" s="28"/>
      <c r="IQC28" s="28"/>
      <c r="IQD28" s="28"/>
      <c r="IQE28" s="28"/>
      <c r="IQF28" s="28"/>
      <c r="IQG28" s="28"/>
      <c r="IQH28" s="28"/>
      <c r="IQI28" s="28"/>
      <c r="IQJ28" s="28"/>
      <c r="IQK28" s="28"/>
      <c r="IQL28" s="28"/>
      <c r="IQM28" s="28"/>
      <c r="IQN28" s="28"/>
      <c r="IQO28" s="28"/>
      <c r="IQP28" s="28"/>
      <c r="IQQ28" s="28"/>
      <c r="IQR28" s="28"/>
      <c r="IQS28" s="28"/>
      <c r="IQT28" s="28"/>
      <c r="IQU28" s="28"/>
      <c r="IQV28" s="28"/>
      <c r="IQW28" s="28"/>
      <c r="IQX28" s="28"/>
      <c r="IQY28" s="28"/>
      <c r="IQZ28" s="28"/>
      <c r="IRA28" s="28"/>
      <c r="IRB28" s="28"/>
      <c r="IRC28" s="28"/>
      <c r="IRD28" s="28"/>
      <c r="IRE28" s="28"/>
      <c r="IRF28" s="28"/>
      <c r="IRG28" s="28"/>
      <c r="IRH28" s="28"/>
      <c r="IRI28" s="28"/>
      <c r="IRJ28" s="28"/>
      <c r="IRK28" s="28"/>
      <c r="IRL28" s="28"/>
      <c r="IRM28" s="28"/>
      <c r="IRN28" s="28"/>
      <c r="IRO28" s="28"/>
      <c r="IRP28" s="28"/>
      <c r="IRQ28" s="28"/>
      <c r="IRR28" s="28"/>
      <c r="IRS28" s="28"/>
      <c r="IRT28" s="28"/>
      <c r="IRU28" s="28"/>
      <c r="IRV28" s="28"/>
      <c r="IRW28" s="28"/>
      <c r="IRX28" s="28"/>
      <c r="IRY28" s="28"/>
      <c r="IRZ28" s="28"/>
      <c r="ISA28" s="28"/>
      <c r="ISB28" s="28"/>
      <c r="ISC28" s="28"/>
      <c r="ISD28" s="28"/>
      <c r="ISE28" s="28"/>
      <c r="ISF28" s="28"/>
      <c r="ISG28" s="28"/>
      <c r="ISH28" s="28"/>
      <c r="ISI28" s="28"/>
      <c r="ISJ28" s="28"/>
      <c r="ISK28" s="28"/>
      <c r="ISL28" s="28"/>
      <c r="ISM28" s="28"/>
      <c r="ISN28" s="28"/>
      <c r="ISO28" s="28"/>
      <c r="ISP28" s="28"/>
      <c r="ISQ28" s="28"/>
      <c r="ISR28" s="28"/>
      <c r="ISS28" s="28"/>
      <c r="IST28" s="28"/>
      <c r="ISU28" s="28"/>
      <c r="ISV28" s="28"/>
      <c r="ISW28" s="28"/>
      <c r="ISX28" s="28"/>
      <c r="ISY28" s="28"/>
      <c r="ISZ28" s="28"/>
      <c r="ITA28" s="28"/>
      <c r="ITB28" s="28"/>
      <c r="ITC28" s="28"/>
      <c r="ITD28" s="28"/>
      <c r="ITE28" s="28"/>
      <c r="ITF28" s="28"/>
      <c r="ITG28" s="28"/>
      <c r="ITH28" s="28"/>
      <c r="ITI28" s="28"/>
      <c r="ITJ28" s="28"/>
      <c r="ITK28" s="28"/>
      <c r="ITL28" s="28"/>
      <c r="ITM28" s="28"/>
      <c r="ITN28" s="28"/>
      <c r="ITO28" s="28"/>
      <c r="ITP28" s="28"/>
      <c r="ITQ28" s="28"/>
      <c r="ITR28" s="28"/>
      <c r="ITS28" s="28"/>
      <c r="ITT28" s="28"/>
      <c r="ITU28" s="28"/>
      <c r="ITV28" s="28"/>
      <c r="ITW28" s="28"/>
      <c r="ITX28" s="28"/>
      <c r="ITY28" s="28"/>
      <c r="ITZ28" s="28"/>
      <c r="IUA28" s="28"/>
      <c r="IUB28" s="28"/>
      <c r="IUC28" s="28"/>
      <c r="IUD28" s="28"/>
      <c r="IUE28" s="28"/>
      <c r="IUF28" s="28"/>
      <c r="IUG28" s="28"/>
      <c r="IUH28" s="28"/>
      <c r="IUI28" s="28"/>
      <c r="IUJ28" s="28"/>
      <c r="IUK28" s="28"/>
      <c r="IUL28" s="28"/>
      <c r="IUM28" s="28"/>
      <c r="IUN28" s="28"/>
      <c r="IUO28" s="28"/>
      <c r="IUP28" s="28"/>
      <c r="IUQ28" s="28"/>
      <c r="IUR28" s="28"/>
      <c r="IUS28" s="28"/>
      <c r="IUT28" s="28"/>
      <c r="IUU28" s="28"/>
      <c r="IUV28" s="28"/>
      <c r="IUW28" s="28"/>
      <c r="IUX28" s="28"/>
      <c r="IUY28" s="28"/>
      <c r="IUZ28" s="28"/>
      <c r="IVA28" s="28"/>
      <c r="IVB28" s="28"/>
      <c r="IVC28" s="28"/>
      <c r="IVD28" s="28"/>
      <c r="IVE28" s="28"/>
      <c r="IVF28" s="28"/>
      <c r="IVG28" s="28"/>
      <c r="IVH28" s="28"/>
      <c r="IVI28" s="28"/>
      <c r="IVJ28" s="28"/>
      <c r="IVK28" s="28"/>
      <c r="IVL28" s="28"/>
      <c r="IVM28" s="28"/>
      <c r="IVN28" s="28"/>
      <c r="IVO28" s="28"/>
      <c r="IVP28" s="28"/>
      <c r="IVQ28" s="28"/>
      <c r="IVR28" s="28"/>
      <c r="IVS28" s="28"/>
      <c r="IVT28" s="28"/>
      <c r="IVU28" s="28"/>
      <c r="IVV28" s="28"/>
      <c r="IVW28" s="28"/>
      <c r="IVX28" s="28"/>
      <c r="IVY28" s="28"/>
      <c r="IVZ28" s="28"/>
      <c r="IWA28" s="28"/>
      <c r="IWB28" s="28"/>
      <c r="IWC28" s="28"/>
      <c r="IWD28" s="28"/>
      <c r="IWE28" s="28"/>
      <c r="IWF28" s="28"/>
      <c r="IWG28" s="28"/>
      <c r="IWH28" s="28"/>
      <c r="IWI28" s="28"/>
      <c r="IWJ28" s="28"/>
      <c r="IWK28" s="28"/>
      <c r="IWL28" s="28"/>
      <c r="IWM28" s="28"/>
      <c r="IWN28" s="28"/>
      <c r="IWO28" s="28"/>
      <c r="IWP28" s="28"/>
      <c r="IWQ28" s="28"/>
      <c r="IWR28" s="28"/>
      <c r="IWS28" s="28"/>
      <c r="IWT28" s="28"/>
      <c r="IWU28" s="28"/>
      <c r="IWV28" s="28"/>
      <c r="IWW28" s="28"/>
      <c r="IWX28" s="28"/>
      <c r="IWY28" s="28"/>
      <c r="IWZ28" s="28"/>
      <c r="IXA28" s="28"/>
      <c r="IXB28" s="28"/>
      <c r="IXC28" s="28"/>
      <c r="IXD28" s="28"/>
      <c r="IXE28" s="28"/>
      <c r="IXF28" s="28"/>
      <c r="IXG28" s="28"/>
      <c r="IXH28" s="28"/>
      <c r="IXI28" s="28"/>
      <c r="IXJ28" s="28"/>
      <c r="IXK28" s="28"/>
      <c r="IXL28" s="28"/>
      <c r="IXM28" s="28"/>
      <c r="IXN28" s="28"/>
      <c r="IXO28" s="28"/>
      <c r="IXP28" s="28"/>
      <c r="IXQ28" s="28"/>
      <c r="IXR28" s="28"/>
      <c r="IXS28" s="28"/>
      <c r="IXT28" s="28"/>
      <c r="IXU28" s="28"/>
      <c r="IXV28" s="28"/>
      <c r="IXW28" s="28"/>
      <c r="IXX28" s="28"/>
      <c r="IXY28" s="28"/>
      <c r="IXZ28" s="28"/>
      <c r="IYA28" s="28"/>
      <c r="IYB28" s="28"/>
      <c r="IYC28" s="28"/>
      <c r="IYD28" s="28"/>
      <c r="IYE28" s="28"/>
      <c r="IYF28" s="28"/>
      <c r="IYG28" s="28"/>
      <c r="IYH28" s="28"/>
      <c r="IYI28" s="28"/>
      <c r="IYJ28" s="28"/>
      <c r="IYK28" s="28"/>
      <c r="IYL28" s="28"/>
      <c r="IYM28" s="28"/>
      <c r="IYN28" s="28"/>
      <c r="IYO28" s="28"/>
      <c r="IYP28" s="28"/>
      <c r="IYQ28" s="28"/>
      <c r="IYR28" s="28"/>
      <c r="IYS28" s="28"/>
      <c r="IYT28" s="28"/>
      <c r="IYU28" s="28"/>
      <c r="IYV28" s="28"/>
      <c r="IYW28" s="28"/>
      <c r="IYX28" s="28"/>
      <c r="IYY28" s="28"/>
      <c r="IYZ28" s="28"/>
      <c r="IZA28" s="28"/>
      <c r="IZB28" s="28"/>
      <c r="IZC28" s="28"/>
      <c r="IZD28" s="28"/>
      <c r="IZE28" s="28"/>
      <c r="IZF28" s="28"/>
      <c r="IZG28" s="28"/>
      <c r="IZH28" s="28"/>
      <c r="IZI28" s="28"/>
      <c r="IZJ28" s="28"/>
      <c r="IZK28" s="28"/>
      <c r="IZL28" s="28"/>
      <c r="IZM28" s="28"/>
      <c r="IZN28" s="28"/>
      <c r="IZO28" s="28"/>
      <c r="IZP28" s="28"/>
      <c r="IZQ28" s="28"/>
      <c r="IZR28" s="28"/>
      <c r="IZS28" s="28"/>
      <c r="IZT28" s="28"/>
      <c r="IZU28" s="28"/>
      <c r="IZV28" s="28"/>
      <c r="IZW28" s="28"/>
      <c r="IZX28" s="28"/>
      <c r="IZY28" s="28"/>
      <c r="IZZ28" s="28"/>
      <c r="JAA28" s="28"/>
      <c r="JAB28" s="28"/>
      <c r="JAC28" s="28"/>
      <c r="JAD28" s="28"/>
      <c r="JAE28" s="28"/>
      <c r="JAF28" s="28"/>
      <c r="JAG28" s="28"/>
      <c r="JAH28" s="28"/>
      <c r="JAI28" s="28"/>
      <c r="JAJ28" s="28"/>
      <c r="JAK28" s="28"/>
      <c r="JAL28" s="28"/>
      <c r="JAM28" s="28"/>
      <c r="JAN28" s="28"/>
      <c r="JAO28" s="28"/>
      <c r="JAP28" s="28"/>
      <c r="JAQ28" s="28"/>
      <c r="JAR28" s="28"/>
      <c r="JAS28" s="28"/>
      <c r="JAT28" s="28"/>
      <c r="JAU28" s="28"/>
      <c r="JAV28" s="28"/>
      <c r="JAW28" s="28"/>
      <c r="JAX28" s="28"/>
      <c r="JAY28" s="28"/>
      <c r="JAZ28" s="28"/>
      <c r="JBA28" s="28"/>
      <c r="JBB28" s="28"/>
      <c r="JBC28" s="28"/>
      <c r="JBD28" s="28"/>
      <c r="JBE28" s="28"/>
      <c r="JBF28" s="28"/>
      <c r="JBG28" s="28"/>
      <c r="JBH28" s="28"/>
      <c r="JBI28" s="28"/>
      <c r="JBJ28" s="28"/>
      <c r="JBK28" s="28"/>
      <c r="JBL28" s="28"/>
      <c r="JBM28" s="28"/>
      <c r="JBN28" s="28"/>
      <c r="JBO28" s="28"/>
      <c r="JBP28" s="28"/>
      <c r="JBQ28" s="28"/>
      <c r="JBR28" s="28"/>
      <c r="JBS28" s="28"/>
      <c r="JBT28" s="28"/>
      <c r="JBU28" s="28"/>
      <c r="JBV28" s="28"/>
      <c r="JBW28" s="28"/>
      <c r="JBX28" s="28"/>
      <c r="JBY28" s="28"/>
      <c r="JBZ28" s="28"/>
      <c r="JCA28" s="28"/>
      <c r="JCB28" s="28"/>
      <c r="JCC28" s="28"/>
      <c r="JCD28" s="28"/>
      <c r="JCE28" s="28"/>
      <c r="JCF28" s="28"/>
      <c r="JCG28" s="28"/>
      <c r="JCH28" s="28"/>
      <c r="JCI28" s="28"/>
      <c r="JCJ28" s="28"/>
      <c r="JCK28" s="28"/>
      <c r="JCL28" s="28"/>
      <c r="JCM28" s="28"/>
      <c r="JCN28" s="28"/>
      <c r="JCO28" s="28"/>
      <c r="JCP28" s="28"/>
      <c r="JCQ28" s="28"/>
      <c r="JCR28" s="28"/>
      <c r="JCS28" s="28"/>
      <c r="JCT28" s="28"/>
      <c r="JCU28" s="28"/>
      <c r="JCV28" s="28"/>
      <c r="JCW28" s="28"/>
      <c r="JCX28" s="28"/>
      <c r="JCY28" s="28"/>
      <c r="JCZ28" s="28"/>
      <c r="JDA28" s="28"/>
      <c r="JDB28" s="28"/>
      <c r="JDC28" s="28"/>
      <c r="JDD28" s="28"/>
      <c r="JDE28" s="28"/>
      <c r="JDF28" s="28"/>
      <c r="JDG28" s="28"/>
      <c r="JDH28" s="28"/>
      <c r="JDI28" s="28"/>
      <c r="JDJ28" s="28"/>
      <c r="JDK28" s="28"/>
      <c r="JDL28" s="28"/>
      <c r="JDM28" s="28"/>
      <c r="JDN28" s="28"/>
      <c r="JDO28" s="28"/>
      <c r="JDP28" s="28"/>
      <c r="JDQ28" s="28"/>
      <c r="JDR28" s="28"/>
      <c r="JDS28" s="28"/>
      <c r="JDT28" s="28"/>
      <c r="JDU28" s="28"/>
      <c r="JDV28" s="28"/>
      <c r="JDW28" s="28"/>
      <c r="JDX28" s="28"/>
      <c r="JDY28" s="28"/>
      <c r="JDZ28" s="28"/>
      <c r="JEA28" s="28"/>
      <c r="JEB28" s="28"/>
      <c r="JEC28" s="28"/>
      <c r="JED28" s="28"/>
      <c r="JEE28" s="28"/>
      <c r="JEF28" s="28"/>
      <c r="JEG28" s="28"/>
      <c r="JEH28" s="28"/>
      <c r="JEI28" s="28"/>
      <c r="JEJ28" s="28"/>
      <c r="JEK28" s="28"/>
      <c r="JEL28" s="28"/>
      <c r="JEM28" s="28"/>
      <c r="JEN28" s="28"/>
      <c r="JEO28" s="28"/>
      <c r="JEP28" s="28"/>
      <c r="JEQ28" s="28"/>
      <c r="JER28" s="28"/>
      <c r="JES28" s="28"/>
      <c r="JET28" s="28"/>
      <c r="JEU28" s="28"/>
      <c r="JEV28" s="28"/>
      <c r="JEW28" s="28"/>
      <c r="JEX28" s="28"/>
      <c r="JEY28" s="28"/>
      <c r="JEZ28" s="28"/>
      <c r="JFA28" s="28"/>
      <c r="JFB28" s="28"/>
      <c r="JFC28" s="28"/>
      <c r="JFD28" s="28"/>
      <c r="JFE28" s="28"/>
      <c r="JFF28" s="28"/>
      <c r="JFG28" s="28"/>
      <c r="JFH28" s="28"/>
      <c r="JFI28" s="28"/>
      <c r="JFJ28" s="28"/>
      <c r="JFK28" s="28"/>
      <c r="JFL28" s="28"/>
      <c r="JFM28" s="28"/>
      <c r="JFN28" s="28"/>
      <c r="JFO28" s="28"/>
      <c r="JFP28" s="28"/>
      <c r="JFQ28" s="28"/>
      <c r="JFR28" s="28"/>
      <c r="JFS28" s="28"/>
      <c r="JFT28" s="28"/>
      <c r="JFU28" s="28"/>
      <c r="JFV28" s="28"/>
      <c r="JFW28" s="28"/>
      <c r="JFX28" s="28"/>
      <c r="JFY28" s="28"/>
      <c r="JFZ28" s="28"/>
      <c r="JGA28" s="28"/>
      <c r="JGB28" s="28"/>
      <c r="JGC28" s="28"/>
      <c r="JGD28" s="28"/>
      <c r="JGE28" s="28"/>
      <c r="JGF28" s="28"/>
      <c r="JGG28" s="28"/>
      <c r="JGH28" s="28"/>
      <c r="JGI28" s="28"/>
      <c r="JGJ28" s="28"/>
      <c r="JGK28" s="28"/>
      <c r="JGL28" s="28"/>
      <c r="JGM28" s="28"/>
      <c r="JGN28" s="28"/>
      <c r="JGO28" s="28"/>
      <c r="JGP28" s="28"/>
      <c r="JGQ28" s="28"/>
      <c r="JGR28" s="28"/>
      <c r="JGS28" s="28"/>
      <c r="JGT28" s="28"/>
      <c r="JGU28" s="28"/>
      <c r="JGV28" s="28"/>
      <c r="JGW28" s="28"/>
      <c r="JGX28" s="28"/>
      <c r="JGY28" s="28"/>
      <c r="JGZ28" s="28"/>
      <c r="JHA28" s="28"/>
      <c r="JHB28" s="28"/>
      <c r="JHC28" s="28"/>
      <c r="JHD28" s="28"/>
      <c r="JHE28" s="28"/>
      <c r="JHF28" s="28"/>
      <c r="JHG28" s="28"/>
      <c r="JHH28" s="28"/>
      <c r="JHI28" s="28"/>
      <c r="JHJ28" s="28"/>
      <c r="JHK28" s="28"/>
      <c r="JHL28" s="28"/>
      <c r="JHM28" s="28"/>
      <c r="JHN28" s="28"/>
      <c r="JHO28" s="28"/>
      <c r="JHP28" s="28"/>
      <c r="JHQ28" s="28"/>
      <c r="JHR28" s="28"/>
      <c r="JHS28" s="28"/>
      <c r="JHT28" s="28"/>
      <c r="JHU28" s="28"/>
      <c r="JHV28" s="28"/>
      <c r="JHW28" s="28"/>
      <c r="JHX28" s="28"/>
      <c r="JHY28" s="28"/>
      <c r="JHZ28" s="28"/>
      <c r="JIA28" s="28"/>
      <c r="JIB28" s="28"/>
      <c r="JIC28" s="28"/>
      <c r="JID28" s="28"/>
      <c r="JIE28" s="28"/>
      <c r="JIF28" s="28"/>
      <c r="JIG28" s="28"/>
      <c r="JIH28" s="28"/>
      <c r="JII28" s="28"/>
      <c r="JIJ28" s="28"/>
      <c r="JIK28" s="28"/>
      <c r="JIL28" s="28"/>
      <c r="JIM28" s="28"/>
      <c r="JIN28" s="28"/>
      <c r="JIO28" s="28"/>
      <c r="JIP28" s="28"/>
      <c r="JIQ28" s="28"/>
      <c r="JIR28" s="28"/>
      <c r="JIS28" s="28"/>
      <c r="JIT28" s="28"/>
      <c r="JIU28" s="28"/>
      <c r="JIV28" s="28"/>
      <c r="JIW28" s="28"/>
      <c r="JIX28" s="28"/>
      <c r="JIY28" s="28"/>
      <c r="JIZ28" s="28"/>
      <c r="JJA28" s="28"/>
      <c r="JJB28" s="28"/>
      <c r="JJC28" s="28"/>
      <c r="JJD28" s="28"/>
      <c r="JJE28" s="28"/>
      <c r="JJF28" s="28"/>
      <c r="JJG28" s="28"/>
      <c r="JJH28" s="28"/>
      <c r="JJI28" s="28"/>
      <c r="JJJ28" s="28"/>
      <c r="JJK28" s="28"/>
      <c r="JJL28" s="28"/>
      <c r="JJM28" s="28"/>
      <c r="JJN28" s="28"/>
      <c r="JJO28" s="28"/>
      <c r="JJP28" s="28"/>
      <c r="JJQ28" s="28"/>
      <c r="JJR28" s="28"/>
      <c r="JJS28" s="28"/>
      <c r="JJT28" s="28"/>
      <c r="JJU28" s="28"/>
      <c r="JJV28" s="28"/>
      <c r="JJW28" s="28"/>
      <c r="JJX28" s="28"/>
      <c r="JJY28" s="28"/>
      <c r="JJZ28" s="28"/>
      <c r="JKA28" s="28"/>
      <c r="JKB28" s="28"/>
      <c r="JKC28" s="28"/>
      <c r="JKD28" s="28"/>
      <c r="JKE28" s="28"/>
      <c r="JKF28" s="28"/>
      <c r="JKG28" s="28"/>
      <c r="JKH28" s="28"/>
      <c r="JKI28" s="28"/>
      <c r="JKJ28" s="28"/>
      <c r="JKK28" s="28"/>
      <c r="JKL28" s="28"/>
      <c r="JKM28" s="28"/>
      <c r="JKN28" s="28"/>
      <c r="JKO28" s="28"/>
      <c r="JKP28" s="28"/>
      <c r="JKQ28" s="28"/>
      <c r="JKR28" s="28"/>
      <c r="JKS28" s="28"/>
      <c r="JKT28" s="28"/>
      <c r="JKU28" s="28"/>
      <c r="JKV28" s="28"/>
      <c r="JKW28" s="28"/>
      <c r="JKX28" s="28"/>
      <c r="JKY28" s="28"/>
      <c r="JKZ28" s="28"/>
      <c r="JLA28" s="28"/>
      <c r="JLB28" s="28"/>
      <c r="JLC28" s="28"/>
      <c r="JLD28" s="28"/>
      <c r="JLE28" s="28"/>
      <c r="JLF28" s="28"/>
      <c r="JLG28" s="28"/>
      <c r="JLH28" s="28"/>
      <c r="JLI28" s="28"/>
      <c r="JLJ28" s="28"/>
      <c r="JLK28" s="28"/>
      <c r="JLL28" s="28"/>
      <c r="JLM28" s="28"/>
      <c r="JLN28" s="28"/>
      <c r="JLO28" s="28"/>
      <c r="JLP28" s="28"/>
      <c r="JLQ28" s="28"/>
      <c r="JLR28" s="28"/>
      <c r="JLS28" s="28"/>
      <c r="JLT28" s="28"/>
      <c r="JLU28" s="28"/>
      <c r="JLV28" s="28"/>
      <c r="JLW28" s="28"/>
      <c r="JLX28" s="28"/>
      <c r="JLY28" s="28"/>
      <c r="JLZ28" s="28"/>
      <c r="JMA28" s="28"/>
      <c r="JMB28" s="28"/>
      <c r="JMC28" s="28"/>
      <c r="JMD28" s="28"/>
      <c r="JME28" s="28"/>
      <c r="JMF28" s="28"/>
      <c r="JMG28" s="28"/>
      <c r="JMH28" s="28"/>
      <c r="JMI28" s="28"/>
      <c r="JMJ28" s="28"/>
      <c r="JMK28" s="28"/>
      <c r="JML28" s="28"/>
      <c r="JMM28" s="28"/>
      <c r="JMN28" s="28"/>
      <c r="JMO28" s="28"/>
      <c r="JMP28" s="28"/>
      <c r="JMQ28" s="28"/>
      <c r="JMR28" s="28"/>
      <c r="JMS28" s="28"/>
      <c r="JMT28" s="28"/>
      <c r="JMU28" s="28"/>
      <c r="JMV28" s="28"/>
      <c r="JMW28" s="28"/>
      <c r="JMX28" s="28"/>
      <c r="JMY28" s="28"/>
      <c r="JMZ28" s="28"/>
      <c r="JNA28" s="28"/>
      <c r="JNB28" s="28"/>
      <c r="JNC28" s="28"/>
      <c r="JND28" s="28"/>
      <c r="JNE28" s="28"/>
      <c r="JNF28" s="28"/>
      <c r="JNG28" s="28"/>
      <c r="JNH28" s="28"/>
      <c r="JNI28" s="28"/>
      <c r="JNJ28" s="28"/>
      <c r="JNK28" s="28"/>
      <c r="JNL28" s="28"/>
      <c r="JNM28" s="28"/>
      <c r="JNN28" s="28"/>
      <c r="JNO28" s="28"/>
      <c r="JNP28" s="28"/>
      <c r="JNQ28" s="28"/>
      <c r="JNR28" s="28"/>
      <c r="JNS28" s="28"/>
      <c r="JNT28" s="28"/>
      <c r="JNU28" s="28"/>
      <c r="JNV28" s="28"/>
      <c r="JNW28" s="28"/>
      <c r="JNX28" s="28"/>
      <c r="JNY28" s="28"/>
      <c r="JNZ28" s="28"/>
      <c r="JOA28" s="28"/>
      <c r="JOB28" s="28"/>
      <c r="JOC28" s="28"/>
      <c r="JOD28" s="28"/>
      <c r="JOE28" s="28"/>
      <c r="JOF28" s="28"/>
      <c r="JOG28" s="28"/>
      <c r="JOH28" s="28"/>
      <c r="JOI28" s="28"/>
      <c r="JOJ28" s="28"/>
      <c r="JOK28" s="28"/>
      <c r="JOL28" s="28"/>
      <c r="JOM28" s="28"/>
      <c r="JON28" s="28"/>
      <c r="JOO28" s="28"/>
      <c r="JOP28" s="28"/>
      <c r="JOQ28" s="28"/>
      <c r="JOR28" s="28"/>
      <c r="JOS28" s="28"/>
      <c r="JOT28" s="28"/>
      <c r="JOU28" s="28"/>
      <c r="JOV28" s="28"/>
      <c r="JOW28" s="28"/>
      <c r="JOX28" s="28"/>
      <c r="JOY28" s="28"/>
      <c r="JOZ28" s="28"/>
      <c r="JPA28" s="28"/>
      <c r="JPB28" s="28"/>
      <c r="JPC28" s="28"/>
      <c r="JPD28" s="28"/>
      <c r="JPE28" s="28"/>
      <c r="JPF28" s="28"/>
      <c r="JPG28" s="28"/>
      <c r="JPH28" s="28"/>
      <c r="JPI28" s="28"/>
      <c r="JPJ28" s="28"/>
      <c r="JPK28" s="28"/>
      <c r="JPL28" s="28"/>
      <c r="JPM28" s="28"/>
      <c r="JPN28" s="28"/>
      <c r="JPO28" s="28"/>
      <c r="JPP28" s="28"/>
      <c r="JPQ28" s="28"/>
      <c r="JPR28" s="28"/>
      <c r="JPS28" s="28"/>
      <c r="JPT28" s="28"/>
      <c r="JPU28" s="28"/>
      <c r="JPV28" s="28"/>
      <c r="JPW28" s="28"/>
      <c r="JPX28" s="28"/>
      <c r="JPY28" s="28"/>
      <c r="JPZ28" s="28"/>
      <c r="JQA28" s="28"/>
      <c r="JQB28" s="28"/>
      <c r="JQC28" s="28"/>
      <c r="JQD28" s="28"/>
      <c r="JQE28" s="28"/>
      <c r="JQF28" s="28"/>
      <c r="JQG28" s="28"/>
      <c r="JQH28" s="28"/>
      <c r="JQI28" s="28"/>
      <c r="JQJ28" s="28"/>
      <c r="JQK28" s="28"/>
      <c r="JQL28" s="28"/>
      <c r="JQM28" s="28"/>
      <c r="JQN28" s="28"/>
      <c r="JQO28" s="28"/>
      <c r="JQP28" s="28"/>
      <c r="JQQ28" s="28"/>
      <c r="JQR28" s="28"/>
      <c r="JQS28" s="28"/>
      <c r="JQT28" s="28"/>
      <c r="JQU28" s="28"/>
      <c r="JQV28" s="28"/>
      <c r="JQW28" s="28"/>
      <c r="JQX28" s="28"/>
      <c r="JQY28" s="28"/>
      <c r="JQZ28" s="28"/>
      <c r="JRA28" s="28"/>
      <c r="JRB28" s="28"/>
      <c r="JRC28" s="28"/>
      <c r="JRD28" s="28"/>
      <c r="JRE28" s="28"/>
      <c r="JRF28" s="28"/>
      <c r="JRG28" s="28"/>
      <c r="JRH28" s="28"/>
      <c r="JRI28" s="28"/>
      <c r="JRJ28" s="28"/>
      <c r="JRK28" s="28"/>
      <c r="JRL28" s="28"/>
      <c r="JRM28" s="28"/>
      <c r="JRN28" s="28"/>
      <c r="JRO28" s="28"/>
      <c r="JRP28" s="28"/>
      <c r="JRQ28" s="28"/>
      <c r="JRR28" s="28"/>
      <c r="JRS28" s="28"/>
      <c r="JRT28" s="28"/>
      <c r="JRU28" s="28"/>
      <c r="JRV28" s="28"/>
      <c r="JRW28" s="28"/>
      <c r="JRX28" s="28"/>
      <c r="JRY28" s="28"/>
      <c r="JRZ28" s="28"/>
      <c r="JSA28" s="28"/>
      <c r="JSB28" s="28"/>
      <c r="JSC28" s="28"/>
      <c r="JSD28" s="28"/>
      <c r="JSE28" s="28"/>
      <c r="JSF28" s="28"/>
      <c r="JSG28" s="28"/>
      <c r="JSH28" s="28"/>
      <c r="JSI28" s="28"/>
      <c r="JSJ28" s="28"/>
      <c r="JSK28" s="28"/>
      <c r="JSL28" s="28"/>
      <c r="JSM28" s="28"/>
      <c r="JSN28" s="28"/>
      <c r="JSO28" s="28"/>
      <c r="JSP28" s="28"/>
      <c r="JSQ28" s="28"/>
      <c r="JSR28" s="28"/>
      <c r="JSS28" s="28"/>
      <c r="JST28" s="28"/>
      <c r="JSU28" s="28"/>
      <c r="JSV28" s="28"/>
      <c r="JSW28" s="28"/>
      <c r="JSX28" s="28"/>
      <c r="JSY28" s="28"/>
      <c r="JSZ28" s="28"/>
      <c r="JTA28" s="28"/>
      <c r="JTB28" s="28"/>
      <c r="JTC28" s="28"/>
      <c r="JTD28" s="28"/>
      <c r="JTE28" s="28"/>
      <c r="JTF28" s="28"/>
      <c r="JTG28" s="28"/>
      <c r="JTH28" s="28"/>
      <c r="JTI28" s="28"/>
      <c r="JTJ28" s="28"/>
      <c r="JTK28" s="28"/>
      <c r="JTL28" s="28"/>
      <c r="JTM28" s="28"/>
      <c r="JTN28" s="28"/>
      <c r="JTO28" s="28"/>
      <c r="JTP28" s="28"/>
      <c r="JTQ28" s="28"/>
      <c r="JTR28" s="28"/>
      <c r="JTS28" s="28"/>
      <c r="JTT28" s="28"/>
      <c r="JTU28" s="28"/>
      <c r="JTV28" s="28"/>
      <c r="JTW28" s="28"/>
      <c r="JTX28" s="28"/>
      <c r="JTY28" s="28"/>
      <c r="JTZ28" s="28"/>
      <c r="JUA28" s="28"/>
      <c r="JUB28" s="28"/>
      <c r="JUC28" s="28"/>
      <c r="JUD28" s="28"/>
      <c r="JUE28" s="28"/>
      <c r="JUF28" s="28"/>
      <c r="JUG28" s="28"/>
      <c r="JUH28" s="28"/>
      <c r="JUI28" s="28"/>
      <c r="JUJ28" s="28"/>
      <c r="JUK28" s="28"/>
      <c r="JUL28" s="28"/>
      <c r="JUM28" s="28"/>
      <c r="JUN28" s="28"/>
      <c r="JUO28" s="28"/>
      <c r="JUP28" s="28"/>
      <c r="JUQ28" s="28"/>
      <c r="JUR28" s="28"/>
      <c r="JUS28" s="28"/>
      <c r="JUT28" s="28"/>
      <c r="JUU28" s="28"/>
      <c r="JUV28" s="28"/>
      <c r="JUW28" s="28"/>
      <c r="JUX28" s="28"/>
      <c r="JUY28" s="28"/>
      <c r="JUZ28" s="28"/>
      <c r="JVA28" s="28"/>
      <c r="JVB28" s="28"/>
      <c r="JVC28" s="28"/>
      <c r="JVD28" s="28"/>
      <c r="JVE28" s="28"/>
      <c r="JVF28" s="28"/>
      <c r="JVG28" s="28"/>
      <c r="JVH28" s="28"/>
      <c r="JVI28" s="28"/>
      <c r="JVJ28" s="28"/>
      <c r="JVK28" s="28"/>
      <c r="JVL28" s="28"/>
      <c r="JVM28" s="28"/>
      <c r="JVN28" s="28"/>
      <c r="JVO28" s="28"/>
      <c r="JVP28" s="28"/>
      <c r="JVQ28" s="28"/>
      <c r="JVR28" s="28"/>
      <c r="JVS28" s="28"/>
      <c r="JVT28" s="28"/>
      <c r="JVU28" s="28"/>
      <c r="JVV28" s="28"/>
      <c r="JVW28" s="28"/>
      <c r="JVX28" s="28"/>
      <c r="JVY28" s="28"/>
      <c r="JVZ28" s="28"/>
      <c r="JWA28" s="28"/>
      <c r="JWB28" s="28"/>
      <c r="JWC28" s="28"/>
      <c r="JWD28" s="28"/>
      <c r="JWE28" s="28"/>
      <c r="JWF28" s="28"/>
      <c r="JWG28" s="28"/>
      <c r="JWH28" s="28"/>
      <c r="JWI28" s="28"/>
      <c r="JWJ28" s="28"/>
      <c r="JWK28" s="28"/>
      <c r="JWL28" s="28"/>
      <c r="JWM28" s="28"/>
      <c r="JWN28" s="28"/>
      <c r="JWO28" s="28"/>
      <c r="JWP28" s="28"/>
      <c r="JWQ28" s="28"/>
      <c r="JWR28" s="28"/>
      <c r="JWS28" s="28"/>
      <c r="JWT28" s="28"/>
      <c r="JWU28" s="28"/>
      <c r="JWV28" s="28"/>
      <c r="JWW28" s="28"/>
      <c r="JWX28" s="28"/>
      <c r="JWY28" s="28"/>
      <c r="JWZ28" s="28"/>
      <c r="JXA28" s="28"/>
      <c r="JXB28" s="28"/>
      <c r="JXC28" s="28"/>
      <c r="JXD28" s="28"/>
      <c r="JXE28" s="28"/>
      <c r="JXF28" s="28"/>
      <c r="JXG28" s="28"/>
      <c r="JXH28" s="28"/>
      <c r="JXI28" s="28"/>
      <c r="JXJ28" s="28"/>
      <c r="JXK28" s="28"/>
      <c r="JXL28" s="28"/>
      <c r="JXM28" s="28"/>
      <c r="JXN28" s="28"/>
      <c r="JXO28" s="28"/>
      <c r="JXP28" s="28"/>
      <c r="JXQ28" s="28"/>
      <c r="JXR28" s="28"/>
      <c r="JXS28" s="28"/>
      <c r="JXT28" s="28"/>
      <c r="JXU28" s="28"/>
      <c r="JXV28" s="28"/>
      <c r="JXW28" s="28"/>
      <c r="JXX28" s="28"/>
      <c r="JXY28" s="28"/>
      <c r="JXZ28" s="28"/>
      <c r="JYA28" s="28"/>
      <c r="JYB28" s="28"/>
      <c r="JYC28" s="28"/>
      <c r="JYD28" s="28"/>
      <c r="JYE28" s="28"/>
      <c r="JYF28" s="28"/>
      <c r="JYG28" s="28"/>
      <c r="JYH28" s="28"/>
      <c r="JYI28" s="28"/>
      <c r="JYJ28" s="28"/>
      <c r="JYK28" s="28"/>
      <c r="JYL28" s="28"/>
      <c r="JYM28" s="28"/>
      <c r="JYN28" s="28"/>
      <c r="JYO28" s="28"/>
      <c r="JYP28" s="28"/>
      <c r="JYQ28" s="28"/>
      <c r="JYR28" s="28"/>
      <c r="JYS28" s="28"/>
      <c r="JYT28" s="28"/>
      <c r="JYU28" s="28"/>
      <c r="JYV28" s="28"/>
      <c r="JYW28" s="28"/>
      <c r="JYX28" s="28"/>
      <c r="JYY28" s="28"/>
      <c r="JYZ28" s="28"/>
      <c r="JZA28" s="28"/>
      <c r="JZB28" s="28"/>
      <c r="JZC28" s="28"/>
      <c r="JZD28" s="28"/>
      <c r="JZE28" s="28"/>
      <c r="JZF28" s="28"/>
      <c r="JZG28" s="28"/>
      <c r="JZH28" s="28"/>
      <c r="JZI28" s="28"/>
      <c r="JZJ28" s="28"/>
      <c r="JZK28" s="28"/>
      <c r="JZL28" s="28"/>
      <c r="JZM28" s="28"/>
      <c r="JZN28" s="28"/>
      <c r="JZO28" s="28"/>
      <c r="JZP28" s="28"/>
      <c r="JZQ28" s="28"/>
      <c r="JZR28" s="28"/>
      <c r="JZS28" s="28"/>
      <c r="JZT28" s="28"/>
      <c r="JZU28" s="28"/>
      <c r="JZV28" s="28"/>
      <c r="JZW28" s="28"/>
      <c r="JZX28" s="28"/>
      <c r="JZY28" s="28"/>
      <c r="JZZ28" s="28"/>
      <c r="KAA28" s="28"/>
      <c r="KAB28" s="28"/>
      <c r="KAC28" s="28"/>
      <c r="KAD28" s="28"/>
      <c r="KAE28" s="28"/>
      <c r="KAF28" s="28"/>
      <c r="KAG28" s="28"/>
      <c r="KAH28" s="28"/>
      <c r="KAI28" s="28"/>
      <c r="KAJ28" s="28"/>
      <c r="KAK28" s="28"/>
      <c r="KAL28" s="28"/>
      <c r="KAM28" s="28"/>
      <c r="KAN28" s="28"/>
      <c r="KAO28" s="28"/>
      <c r="KAP28" s="28"/>
      <c r="KAQ28" s="28"/>
      <c r="KAR28" s="28"/>
      <c r="KAS28" s="28"/>
      <c r="KAT28" s="28"/>
      <c r="KAU28" s="28"/>
      <c r="KAV28" s="28"/>
      <c r="KAW28" s="28"/>
      <c r="KAX28" s="28"/>
      <c r="KAY28" s="28"/>
      <c r="KAZ28" s="28"/>
      <c r="KBA28" s="28"/>
      <c r="KBB28" s="28"/>
      <c r="KBC28" s="28"/>
      <c r="KBD28" s="28"/>
      <c r="KBE28" s="28"/>
      <c r="KBF28" s="28"/>
      <c r="KBG28" s="28"/>
      <c r="KBH28" s="28"/>
      <c r="KBI28" s="28"/>
      <c r="KBJ28" s="28"/>
      <c r="KBK28" s="28"/>
      <c r="KBL28" s="28"/>
      <c r="KBM28" s="28"/>
      <c r="KBN28" s="28"/>
      <c r="KBO28" s="28"/>
      <c r="KBP28" s="28"/>
      <c r="KBQ28" s="28"/>
      <c r="KBR28" s="28"/>
      <c r="KBS28" s="28"/>
      <c r="KBT28" s="28"/>
      <c r="KBU28" s="28"/>
      <c r="KBV28" s="28"/>
      <c r="KBW28" s="28"/>
      <c r="KBX28" s="28"/>
      <c r="KBY28" s="28"/>
      <c r="KBZ28" s="28"/>
      <c r="KCA28" s="28"/>
      <c r="KCB28" s="28"/>
      <c r="KCC28" s="28"/>
      <c r="KCD28" s="28"/>
      <c r="KCE28" s="28"/>
      <c r="KCF28" s="28"/>
      <c r="KCG28" s="28"/>
      <c r="KCH28" s="28"/>
      <c r="KCI28" s="28"/>
      <c r="KCJ28" s="28"/>
      <c r="KCK28" s="28"/>
      <c r="KCL28" s="28"/>
      <c r="KCM28" s="28"/>
      <c r="KCN28" s="28"/>
      <c r="KCO28" s="28"/>
      <c r="KCP28" s="28"/>
      <c r="KCQ28" s="28"/>
      <c r="KCR28" s="28"/>
      <c r="KCS28" s="28"/>
      <c r="KCT28" s="28"/>
      <c r="KCU28" s="28"/>
      <c r="KCV28" s="28"/>
      <c r="KCW28" s="28"/>
      <c r="KCX28" s="28"/>
      <c r="KCY28" s="28"/>
      <c r="KCZ28" s="28"/>
      <c r="KDA28" s="28"/>
      <c r="KDB28" s="28"/>
      <c r="KDC28" s="28"/>
      <c r="KDD28" s="28"/>
      <c r="KDE28" s="28"/>
      <c r="KDF28" s="28"/>
      <c r="KDG28" s="28"/>
      <c r="KDH28" s="28"/>
      <c r="KDI28" s="28"/>
      <c r="KDJ28" s="28"/>
      <c r="KDK28" s="28"/>
      <c r="KDL28" s="28"/>
      <c r="KDM28" s="28"/>
      <c r="KDN28" s="28"/>
      <c r="KDO28" s="28"/>
      <c r="KDP28" s="28"/>
      <c r="KDQ28" s="28"/>
      <c r="KDR28" s="28"/>
      <c r="KDS28" s="28"/>
      <c r="KDT28" s="28"/>
      <c r="KDU28" s="28"/>
      <c r="KDV28" s="28"/>
      <c r="KDW28" s="28"/>
      <c r="KDX28" s="28"/>
      <c r="KDY28" s="28"/>
      <c r="KDZ28" s="28"/>
      <c r="KEA28" s="28"/>
      <c r="KEB28" s="28"/>
      <c r="KEC28" s="28"/>
      <c r="KED28" s="28"/>
      <c r="KEE28" s="28"/>
      <c r="KEF28" s="28"/>
      <c r="KEG28" s="28"/>
      <c r="KEH28" s="28"/>
      <c r="KEI28" s="28"/>
      <c r="KEJ28" s="28"/>
      <c r="KEK28" s="28"/>
      <c r="KEL28" s="28"/>
      <c r="KEM28" s="28"/>
      <c r="KEN28" s="28"/>
      <c r="KEO28" s="28"/>
      <c r="KEP28" s="28"/>
      <c r="KEQ28" s="28"/>
      <c r="KER28" s="28"/>
      <c r="KES28" s="28"/>
      <c r="KET28" s="28"/>
      <c r="KEU28" s="28"/>
      <c r="KEV28" s="28"/>
      <c r="KEW28" s="28"/>
      <c r="KEX28" s="28"/>
      <c r="KEY28" s="28"/>
      <c r="KEZ28" s="28"/>
      <c r="KFA28" s="28"/>
      <c r="KFB28" s="28"/>
      <c r="KFC28" s="28"/>
      <c r="KFD28" s="28"/>
      <c r="KFE28" s="28"/>
      <c r="KFF28" s="28"/>
      <c r="KFG28" s="28"/>
      <c r="KFH28" s="28"/>
      <c r="KFI28" s="28"/>
      <c r="KFJ28" s="28"/>
      <c r="KFK28" s="28"/>
      <c r="KFL28" s="28"/>
      <c r="KFM28" s="28"/>
      <c r="KFN28" s="28"/>
      <c r="KFO28" s="28"/>
      <c r="KFP28" s="28"/>
      <c r="KFQ28" s="28"/>
      <c r="KFR28" s="28"/>
      <c r="KFS28" s="28"/>
      <c r="KFT28" s="28"/>
      <c r="KFU28" s="28"/>
      <c r="KFV28" s="28"/>
      <c r="KFW28" s="28"/>
      <c r="KFX28" s="28"/>
      <c r="KFY28" s="28"/>
      <c r="KFZ28" s="28"/>
      <c r="KGA28" s="28"/>
      <c r="KGB28" s="28"/>
      <c r="KGC28" s="28"/>
      <c r="KGD28" s="28"/>
      <c r="KGE28" s="28"/>
      <c r="KGF28" s="28"/>
      <c r="KGG28" s="28"/>
      <c r="KGH28" s="28"/>
      <c r="KGI28" s="28"/>
      <c r="KGJ28" s="28"/>
      <c r="KGK28" s="28"/>
      <c r="KGL28" s="28"/>
      <c r="KGM28" s="28"/>
      <c r="KGN28" s="28"/>
      <c r="KGO28" s="28"/>
      <c r="KGP28" s="28"/>
      <c r="KGQ28" s="28"/>
      <c r="KGR28" s="28"/>
      <c r="KGS28" s="28"/>
      <c r="KGT28" s="28"/>
      <c r="KGU28" s="28"/>
      <c r="KGV28" s="28"/>
      <c r="KGW28" s="28"/>
      <c r="KGX28" s="28"/>
      <c r="KGY28" s="28"/>
      <c r="KGZ28" s="28"/>
      <c r="KHA28" s="28"/>
      <c r="KHB28" s="28"/>
      <c r="KHC28" s="28"/>
      <c r="KHD28" s="28"/>
      <c r="KHE28" s="28"/>
      <c r="KHF28" s="28"/>
      <c r="KHG28" s="28"/>
      <c r="KHH28" s="28"/>
      <c r="KHI28" s="28"/>
      <c r="KHJ28" s="28"/>
      <c r="KHK28" s="28"/>
      <c r="KHL28" s="28"/>
      <c r="KHM28" s="28"/>
      <c r="KHN28" s="28"/>
      <c r="KHO28" s="28"/>
      <c r="KHP28" s="28"/>
      <c r="KHQ28" s="28"/>
      <c r="KHR28" s="28"/>
      <c r="KHS28" s="28"/>
      <c r="KHT28" s="28"/>
      <c r="KHU28" s="28"/>
      <c r="KHV28" s="28"/>
      <c r="KHW28" s="28"/>
      <c r="KHX28" s="28"/>
      <c r="KHY28" s="28"/>
      <c r="KHZ28" s="28"/>
      <c r="KIA28" s="28"/>
      <c r="KIB28" s="28"/>
      <c r="KIC28" s="28"/>
      <c r="KID28" s="28"/>
      <c r="KIE28" s="28"/>
      <c r="KIF28" s="28"/>
      <c r="KIG28" s="28"/>
      <c r="KIH28" s="28"/>
      <c r="KII28" s="28"/>
      <c r="KIJ28" s="28"/>
      <c r="KIK28" s="28"/>
      <c r="KIL28" s="28"/>
      <c r="KIM28" s="28"/>
      <c r="KIN28" s="28"/>
      <c r="KIO28" s="28"/>
      <c r="KIP28" s="28"/>
      <c r="KIQ28" s="28"/>
      <c r="KIR28" s="28"/>
      <c r="KIS28" s="28"/>
      <c r="KIT28" s="28"/>
      <c r="KIU28" s="28"/>
      <c r="KIV28" s="28"/>
      <c r="KIW28" s="28"/>
      <c r="KIX28" s="28"/>
      <c r="KIY28" s="28"/>
      <c r="KIZ28" s="28"/>
      <c r="KJA28" s="28"/>
      <c r="KJB28" s="28"/>
      <c r="KJC28" s="28"/>
      <c r="KJD28" s="28"/>
      <c r="KJE28" s="28"/>
      <c r="KJF28" s="28"/>
      <c r="KJG28" s="28"/>
      <c r="KJH28" s="28"/>
      <c r="KJI28" s="28"/>
      <c r="KJJ28" s="28"/>
      <c r="KJK28" s="28"/>
      <c r="KJL28" s="28"/>
      <c r="KJM28" s="28"/>
      <c r="KJN28" s="28"/>
      <c r="KJO28" s="28"/>
      <c r="KJP28" s="28"/>
      <c r="KJQ28" s="28"/>
      <c r="KJR28" s="28"/>
      <c r="KJS28" s="28"/>
      <c r="KJT28" s="28"/>
      <c r="KJU28" s="28"/>
      <c r="KJV28" s="28"/>
      <c r="KJW28" s="28"/>
      <c r="KJX28" s="28"/>
      <c r="KJY28" s="28"/>
      <c r="KJZ28" s="28"/>
      <c r="KKA28" s="28"/>
      <c r="KKB28" s="28"/>
      <c r="KKC28" s="28"/>
      <c r="KKD28" s="28"/>
      <c r="KKE28" s="28"/>
      <c r="KKF28" s="28"/>
      <c r="KKG28" s="28"/>
      <c r="KKH28" s="28"/>
      <c r="KKI28" s="28"/>
      <c r="KKJ28" s="28"/>
      <c r="KKK28" s="28"/>
      <c r="KKL28" s="28"/>
      <c r="KKM28" s="28"/>
      <c r="KKN28" s="28"/>
      <c r="KKO28" s="28"/>
      <c r="KKP28" s="28"/>
      <c r="KKQ28" s="28"/>
      <c r="KKR28" s="28"/>
      <c r="KKS28" s="28"/>
      <c r="KKT28" s="28"/>
      <c r="KKU28" s="28"/>
      <c r="KKV28" s="28"/>
      <c r="KKW28" s="28"/>
      <c r="KKX28" s="28"/>
      <c r="KKY28" s="28"/>
      <c r="KKZ28" s="28"/>
      <c r="KLA28" s="28"/>
      <c r="KLB28" s="28"/>
      <c r="KLC28" s="28"/>
      <c r="KLD28" s="28"/>
      <c r="KLE28" s="28"/>
      <c r="KLF28" s="28"/>
      <c r="KLG28" s="28"/>
      <c r="KLH28" s="28"/>
      <c r="KLI28" s="28"/>
      <c r="KLJ28" s="28"/>
      <c r="KLK28" s="28"/>
      <c r="KLL28" s="28"/>
      <c r="KLM28" s="28"/>
      <c r="KLN28" s="28"/>
      <c r="KLO28" s="28"/>
      <c r="KLP28" s="28"/>
      <c r="KLQ28" s="28"/>
      <c r="KLR28" s="28"/>
      <c r="KLS28" s="28"/>
      <c r="KLT28" s="28"/>
      <c r="KLU28" s="28"/>
      <c r="KLV28" s="28"/>
      <c r="KLW28" s="28"/>
      <c r="KLX28" s="28"/>
      <c r="KLY28" s="28"/>
      <c r="KLZ28" s="28"/>
      <c r="KMA28" s="28"/>
      <c r="KMB28" s="28"/>
      <c r="KMC28" s="28"/>
      <c r="KMD28" s="28"/>
      <c r="KME28" s="28"/>
      <c r="KMF28" s="28"/>
      <c r="KMG28" s="28"/>
      <c r="KMH28" s="28"/>
      <c r="KMI28" s="28"/>
      <c r="KMJ28" s="28"/>
      <c r="KMK28" s="28"/>
      <c r="KML28" s="28"/>
      <c r="KMM28" s="28"/>
      <c r="KMN28" s="28"/>
      <c r="KMO28" s="28"/>
      <c r="KMP28" s="28"/>
      <c r="KMQ28" s="28"/>
      <c r="KMR28" s="28"/>
      <c r="KMS28" s="28"/>
      <c r="KMT28" s="28"/>
      <c r="KMU28" s="28"/>
      <c r="KMV28" s="28"/>
      <c r="KMW28" s="28"/>
      <c r="KMX28" s="28"/>
      <c r="KMY28" s="28"/>
      <c r="KMZ28" s="28"/>
      <c r="KNA28" s="28"/>
      <c r="KNB28" s="28"/>
      <c r="KNC28" s="28"/>
      <c r="KND28" s="28"/>
      <c r="KNE28" s="28"/>
      <c r="KNF28" s="28"/>
      <c r="KNG28" s="28"/>
      <c r="KNH28" s="28"/>
      <c r="KNI28" s="28"/>
      <c r="KNJ28" s="28"/>
      <c r="KNK28" s="28"/>
      <c r="KNL28" s="28"/>
      <c r="KNM28" s="28"/>
      <c r="KNN28" s="28"/>
      <c r="KNO28" s="28"/>
      <c r="KNP28" s="28"/>
      <c r="KNQ28" s="28"/>
      <c r="KNR28" s="28"/>
      <c r="KNS28" s="28"/>
      <c r="KNT28" s="28"/>
      <c r="KNU28" s="28"/>
      <c r="KNV28" s="28"/>
      <c r="KNW28" s="28"/>
      <c r="KNX28" s="28"/>
      <c r="KNY28" s="28"/>
      <c r="KNZ28" s="28"/>
      <c r="KOA28" s="28"/>
      <c r="KOB28" s="28"/>
      <c r="KOC28" s="28"/>
      <c r="KOD28" s="28"/>
      <c r="KOE28" s="28"/>
      <c r="KOF28" s="28"/>
      <c r="KOG28" s="28"/>
      <c r="KOH28" s="28"/>
      <c r="KOI28" s="28"/>
      <c r="KOJ28" s="28"/>
      <c r="KOK28" s="28"/>
      <c r="KOL28" s="28"/>
      <c r="KOM28" s="28"/>
      <c r="KON28" s="28"/>
      <c r="KOO28" s="28"/>
      <c r="KOP28" s="28"/>
      <c r="KOQ28" s="28"/>
      <c r="KOR28" s="28"/>
      <c r="KOS28" s="28"/>
      <c r="KOT28" s="28"/>
      <c r="KOU28" s="28"/>
      <c r="KOV28" s="28"/>
      <c r="KOW28" s="28"/>
      <c r="KOX28" s="28"/>
      <c r="KOY28" s="28"/>
      <c r="KOZ28" s="28"/>
      <c r="KPA28" s="28"/>
      <c r="KPB28" s="28"/>
      <c r="KPC28" s="28"/>
      <c r="KPD28" s="28"/>
      <c r="KPE28" s="28"/>
      <c r="KPF28" s="28"/>
      <c r="KPG28" s="28"/>
      <c r="KPH28" s="28"/>
      <c r="KPI28" s="28"/>
      <c r="KPJ28" s="28"/>
      <c r="KPK28" s="28"/>
      <c r="KPL28" s="28"/>
      <c r="KPM28" s="28"/>
      <c r="KPN28" s="28"/>
      <c r="KPO28" s="28"/>
      <c r="KPP28" s="28"/>
      <c r="KPQ28" s="28"/>
      <c r="KPR28" s="28"/>
      <c r="KPS28" s="28"/>
      <c r="KPT28" s="28"/>
      <c r="KPU28" s="28"/>
      <c r="KPV28" s="28"/>
      <c r="KPW28" s="28"/>
      <c r="KPX28" s="28"/>
      <c r="KPY28" s="28"/>
      <c r="KPZ28" s="28"/>
      <c r="KQA28" s="28"/>
      <c r="KQB28" s="28"/>
      <c r="KQC28" s="28"/>
      <c r="KQD28" s="28"/>
      <c r="KQE28" s="28"/>
      <c r="KQF28" s="28"/>
      <c r="KQG28" s="28"/>
      <c r="KQH28" s="28"/>
      <c r="KQI28" s="28"/>
      <c r="KQJ28" s="28"/>
      <c r="KQK28" s="28"/>
      <c r="KQL28" s="28"/>
      <c r="KQM28" s="28"/>
      <c r="KQN28" s="28"/>
      <c r="KQO28" s="28"/>
      <c r="KQP28" s="28"/>
      <c r="KQQ28" s="28"/>
      <c r="KQR28" s="28"/>
      <c r="KQS28" s="28"/>
      <c r="KQT28" s="28"/>
      <c r="KQU28" s="28"/>
      <c r="KQV28" s="28"/>
      <c r="KQW28" s="28"/>
      <c r="KQX28" s="28"/>
      <c r="KQY28" s="28"/>
      <c r="KQZ28" s="28"/>
      <c r="KRA28" s="28"/>
      <c r="KRB28" s="28"/>
      <c r="KRC28" s="28"/>
      <c r="KRD28" s="28"/>
      <c r="KRE28" s="28"/>
      <c r="KRF28" s="28"/>
      <c r="KRG28" s="28"/>
      <c r="KRH28" s="28"/>
      <c r="KRI28" s="28"/>
      <c r="KRJ28" s="28"/>
      <c r="KRK28" s="28"/>
      <c r="KRL28" s="28"/>
      <c r="KRM28" s="28"/>
      <c r="KRN28" s="28"/>
      <c r="KRO28" s="28"/>
      <c r="KRP28" s="28"/>
      <c r="KRQ28" s="28"/>
      <c r="KRR28" s="28"/>
      <c r="KRS28" s="28"/>
      <c r="KRT28" s="28"/>
      <c r="KRU28" s="28"/>
      <c r="KRV28" s="28"/>
      <c r="KRW28" s="28"/>
      <c r="KRX28" s="28"/>
      <c r="KRY28" s="28"/>
      <c r="KRZ28" s="28"/>
      <c r="KSA28" s="28"/>
      <c r="KSB28" s="28"/>
      <c r="KSC28" s="28"/>
      <c r="KSD28" s="28"/>
      <c r="KSE28" s="28"/>
      <c r="KSF28" s="28"/>
      <c r="KSG28" s="28"/>
      <c r="KSH28" s="28"/>
      <c r="KSI28" s="28"/>
      <c r="KSJ28" s="28"/>
      <c r="KSK28" s="28"/>
      <c r="KSL28" s="28"/>
      <c r="KSM28" s="28"/>
      <c r="KSN28" s="28"/>
      <c r="KSO28" s="28"/>
      <c r="KSP28" s="28"/>
      <c r="KSQ28" s="28"/>
      <c r="KSR28" s="28"/>
      <c r="KSS28" s="28"/>
      <c r="KST28" s="28"/>
      <c r="KSU28" s="28"/>
      <c r="KSV28" s="28"/>
      <c r="KSW28" s="28"/>
      <c r="KSX28" s="28"/>
      <c r="KSY28" s="28"/>
      <c r="KSZ28" s="28"/>
      <c r="KTA28" s="28"/>
      <c r="KTB28" s="28"/>
      <c r="KTC28" s="28"/>
      <c r="KTD28" s="28"/>
      <c r="KTE28" s="28"/>
      <c r="KTF28" s="28"/>
      <c r="KTG28" s="28"/>
      <c r="KTH28" s="28"/>
      <c r="KTI28" s="28"/>
      <c r="KTJ28" s="28"/>
      <c r="KTK28" s="28"/>
      <c r="KTL28" s="28"/>
      <c r="KTM28" s="28"/>
      <c r="KTN28" s="28"/>
      <c r="KTO28" s="28"/>
      <c r="KTP28" s="28"/>
      <c r="KTQ28" s="28"/>
      <c r="KTR28" s="28"/>
      <c r="KTS28" s="28"/>
      <c r="KTT28" s="28"/>
      <c r="KTU28" s="28"/>
      <c r="KTV28" s="28"/>
      <c r="KTW28" s="28"/>
      <c r="KTX28" s="28"/>
      <c r="KTY28" s="28"/>
      <c r="KTZ28" s="28"/>
      <c r="KUA28" s="28"/>
      <c r="KUB28" s="28"/>
      <c r="KUC28" s="28"/>
      <c r="KUD28" s="28"/>
      <c r="KUE28" s="28"/>
      <c r="KUF28" s="28"/>
      <c r="KUG28" s="28"/>
      <c r="KUH28" s="28"/>
      <c r="KUI28" s="28"/>
      <c r="KUJ28" s="28"/>
      <c r="KUK28" s="28"/>
      <c r="KUL28" s="28"/>
      <c r="KUM28" s="28"/>
      <c r="KUN28" s="28"/>
      <c r="KUO28" s="28"/>
      <c r="KUP28" s="28"/>
      <c r="KUQ28" s="28"/>
      <c r="KUR28" s="28"/>
      <c r="KUS28" s="28"/>
      <c r="KUT28" s="28"/>
      <c r="KUU28" s="28"/>
      <c r="KUV28" s="28"/>
      <c r="KUW28" s="28"/>
      <c r="KUX28" s="28"/>
      <c r="KUY28" s="28"/>
      <c r="KUZ28" s="28"/>
      <c r="KVA28" s="28"/>
      <c r="KVB28" s="28"/>
      <c r="KVC28" s="28"/>
      <c r="KVD28" s="28"/>
      <c r="KVE28" s="28"/>
      <c r="KVF28" s="28"/>
      <c r="KVG28" s="28"/>
      <c r="KVH28" s="28"/>
      <c r="KVI28" s="28"/>
      <c r="KVJ28" s="28"/>
      <c r="KVK28" s="28"/>
      <c r="KVL28" s="28"/>
      <c r="KVM28" s="28"/>
      <c r="KVN28" s="28"/>
      <c r="KVO28" s="28"/>
      <c r="KVP28" s="28"/>
      <c r="KVQ28" s="28"/>
      <c r="KVR28" s="28"/>
      <c r="KVS28" s="28"/>
      <c r="KVT28" s="28"/>
      <c r="KVU28" s="28"/>
      <c r="KVV28" s="28"/>
      <c r="KVW28" s="28"/>
      <c r="KVX28" s="28"/>
      <c r="KVY28" s="28"/>
      <c r="KVZ28" s="28"/>
      <c r="KWA28" s="28"/>
      <c r="KWB28" s="28"/>
      <c r="KWC28" s="28"/>
      <c r="KWD28" s="28"/>
      <c r="KWE28" s="28"/>
      <c r="KWF28" s="28"/>
      <c r="KWG28" s="28"/>
      <c r="KWH28" s="28"/>
      <c r="KWI28" s="28"/>
      <c r="KWJ28" s="28"/>
      <c r="KWK28" s="28"/>
      <c r="KWL28" s="28"/>
      <c r="KWM28" s="28"/>
      <c r="KWN28" s="28"/>
      <c r="KWO28" s="28"/>
      <c r="KWP28" s="28"/>
      <c r="KWQ28" s="28"/>
      <c r="KWR28" s="28"/>
      <c r="KWS28" s="28"/>
      <c r="KWT28" s="28"/>
      <c r="KWU28" s="28"/>
      <c r="KWV28" s="28"/>
      <c r="KWW28" s="28"/>
      <c r="KWX28" s="28"/>
      <c r="KWY28" s="28"/>
      <c r="KWZ28" s="28"/>
      <c r="KXA28" s="28"/>
      <c r="KXB28" s="28"/>
      <c r="KXC28" s="28"/>
      <c r="KXD28" s="28"/>
      <c r="KXE28" s="28"/>
      <c r="KXF28" s="28"/>
      <c r="KXG28" s="28"/>
      <c r="KXH28" s="28"/>
      <c r="KXI28" s="28"/>
      <c r="KXJ28" s="28"/>
      <c r="KXK28" s="28"/>
      <c r="KXL28" s="28"/>
      <c r="KXM28" s="28"/>
      <c r="KXN28" s="28"/>
      <c r="KXO28" s="28"/>
      <c r="KXP28" s="28"/>
      <c r="KXQ28" s="28"/>
      <c r="KXR28" s="28"/>
      <c r="KXS28" s="28"/>
      <c r="KXT28" s="28"/>
      <c r="KXU28" s="28"/>
      <c r="KXV28" s="28"/>
      <c r="KXW28" s="28"/>
      <c r="KXX28" s="28"/>
      <c r="KXY28" s="28"/>
      <c r="KXZ28" s="28"/>
      <c r="KYA28" s="28"/>
      <c r="KYB28" s="28"/>
      <c r="KYC28" s="28"/>
      <c r="KYD28" s="28"/>
      <c r="KYE28" s="28"/>
      <c r="KYF28" s="28"/>
      <c r="KYG28" s="28"/>
      <c r="KYH28" s="28"/>
      <c r="KYI28" s="28"/>
      <c r="KYJ28" s="28"/>
      <c r="KYK28" s="28"/>
      <c r="KYL28" s="28"/>
      <c r="KYM28" s="28"/>
      <c r="KYN28" s="28"/>
      <c r="KYO28" s="28"/>
      <c r="KYP28" s="28"/>
      <c r="KYQ28" s="28"/>
      <c r="KYR28" s="28"/>
      <c r="KYS28" s="28"/>
      <c r="KYT28" s="28"/>
      <c r="KYU28" s="28"/>
      <c r="KYV28" s="28"/>
      <c r="KYW28" s="28"/>
      <c r="KYX28" s="28"/>
      <c r="KYY28" s="28"/>
      <c r="KYZ28" s="28"/>
      <c r="KZA28" s="28"/>
      <c r="KZB28" s="28"/>
      <c r="KZC28" s="28"/>
      <c r="KZD28" s="28"/>
      <c r="KZE28" s="28"/>
      <c r="KZF28" s="28"/>
      <c r="KZG28" s="28"/>
      <c r="KZH28" s="28"/>
      <c r="KZI28" s="28"/>
      <c r="KZJ28" s="28"/>
      <c r="KZK28" s="28"/>
      <c r="KZL28" s="28"/>
      <c r="KZM28" s="28"/>
      <c r="KZN28" s="28"/>
      <c r="KZO28" s="28"/>
      <c r="KZP28" s="28"/>
      <c r="KZQ28" s="28"/>
      <c r="KZR28" s="28"/>
      <c r="KZS28" s="28"/>
      <c r="KZT28" s="28"/>
      <c r="KZU28" s="28"/>
      <c r="KZV28" s="28"/>
      <c r="KZW28" s="28"/>
      <c r="KZX28" s="28"/>
      <c r="KZY28" s="28"/>
      <c r="KZZ28" s="28"/>
      <c r="LAA28" s="28"/>
      <c r="LAB28" s="28"/>
      <c r="LAC28" s="28"/>
      <c r="LAD28" s="28"/>
      <c r="LAE28" s="28"/>
      <c r="LAF28" s="28"/>
      <c r="LAG28" s="28"/>
      <c r="LAH28" s="28"/>
      <c r="LAI28" s="28"/>
      <c r="LAJ28" s="28"/>
      <c r="LAK28" s="28"/>
      <c r="LAL28" s="28"/>
      <c r="LAM28" s="28"/>
      <c r="LAN28" s="28"/>
      <c r="LAO28" s="28"/>
      <c r="LAP28" s="28"/>
      <c r="LAQ28" s="28"/>
      <c r="LAR28" s="28"/>
      <c r="LAS28" s="28"/>
      <c r="LAT28" s="28"/>
      <c r="LAU28" s="28"/>
      <c r="LAV28" s="28"/>
      <c r="LAW28" s="28"/>
      <c r="LAX28" s="28"/>
      <c r="LAY28" s="28"/>
      <c r="LAZ28" s="28"/>
      <c r="LBA28" s="28"/>
      <c r="LBB28" s="28"/>
      <c r="LBC28" s="28"/>
      <c r="LBD28" s="28"/>
      <c r="LBE28" s="28"/>
      <c r="LBF28" s="28"/>
      <c r="LBG28" s="28"/>
      <c r="LBH28" s="28"/>
      <c r="LBI28" s="28"/>
      <c r="LBJ28" s="28"/>
      <c r="LBK28" s="28"/>
      <c r="LBL28" s="28"/>
      <c r="LBM28" s="28"/>
      <c r="LBN28" s="28"/>
      <c r="LBO28" s="28"/>
      <c r="LBP28" s="28"/>
      <c r="LBQ28" s="28"/>
      <c r="LBR28" s="28"/>
      <c r="LBS28" s="28"/>
      <c r="LBT28" s="28"/>
      <c r="LBU28" s="28"/>
      <c r="LBV28" s="28"/>
      <c r="LBW28" s="28"/>
      <c r="LBX28" s="28"/>
      <c r="LBY28" s="28"/>
      <c r="LBZ28" s="28"/>
      <c r="LCA28" s="28"/>
      <c r="LCB28" s="28"/>
      <c r="LCC28" s="28"/>
      <c r="LCD28" s="28"/>
      <c r="LCE28" s="28"/>
      <c r="LCF28" s="28"/>
      <c r="LCG28" s="28"/>
      <c r="LCH28" s="28"/>
      <c r="LCI28" s="28"/>
      <c r="LCJ28" s="28"/>
      <c r="LCK28" s="28"/>
      <c r="LCL28" s="28"/>
      <c r="LCM28" s="28"/>
      <c r="LCN28" s="28"/>
      <c r="LCO28" s="28"/>
      <c r="LCP28" s="28"/>
      <c r="LCQ28" s="28"/>
      <c r="LCR28" s="28"/>
      <c r="LCS28" s="28"/>
      <c r="LCT28" s="28"/>
      <c r="LCU28" s="28"/>
      <c r="LCV28" s="28"/>
      <c r="LCW28" s="28"/>
      <c r="LCX28" s="28"/>
      <c r="LCY28" s="28"/>
      <c r="LCZ28" s="28"/>
      <c r="LDA28" s="28"/>
      <c r="LDB28" s="28"/>
      <c r="LDC28" s="28"/>
      <c r="LDD28" s="28"/>
      <c r="LDE28" s="28"/>
      <c r="LDF28" s="28"/>
      <c r="LDG28" s="28"/>
      <c r="LDH28" s="28"/>
      <c r="LDI28" s="28"/>
      <c r="LDJ28" s="28"/>
      <c r="LDK28" s="28"/>
      <c r="LDL28" s="28"/>
      <c r="LDM28" s="28"/>
      <c r="LDN28" s="28"/>
      <c r="LDO28" s="28"/>
      <c r="LDP28" s="28"/>
      <c r="LDQ28" s="28"/>
      <c r="LDR28" s="28"/>
      <c r="LDS28" s="28"/>
      <c r="LDT28" s="28"/>
      <c r="LDU28" s="28"/>
      <c r="LDV28" s="28"/>
      <c r="LDW28" s="28"/>
      <c r="LDX28" s="28"/>
      <c r="LDY28" s="28"/>
      <c r="LDZ28" s="28"/>
      <c r="LEA28" s="28"/>
      <c r="LEB28" s="28"/>
      <c r="LEC28" s="28"/>
      <c r="LED28" s="28"/>
      <c r="LEE28" s="28"/>
      <c r="LEF28" s="28"/>
      <c r="LEG28" s="28"/>
      <c r="LEH28" s="28"/>
      <c r="LEI28" s="28"/>
      <c r="LEJ28" s="28"/>
      <c r="LEK28" s="28"/>
      <c r="LEL28" s="28"/>
      <c r="LEM28" s="28"/>
      <c r="LEN28" s="28"/>
      <c r="LEO28" s="28"/>
      <c r="LEP28" s="28"/>
      <c r="LEQ28" s="28"/>
      <c r="LER28" s="28"/>
      <c r="LES28" s="28"/>
      <c r="LET28" s="28"/>
      <c r="LEU28" s="28"/>
      <c r="LEV28" s="28"/>
      <c r="LEW28" s="28"/>
      <c r="LEX28" s="28"/>
      <c r="LEY28" s="28"/>
      <c r="LEZ28" s="28"/>
      <c r="LFA28" s="28"/>
      <c r="LFB28" s="28"/>
      <c r="LFC28" s="28"/>
      <c r="LFD28" s="28"/>
      <c r="LFE28" s="28"/>
      <c r="LFF28" s="28"/>
      <c r="LFG28" s="28"/>
      <c r="LFH28" s="28"/>
      <c r="LFI28" s="28"/>
      <c r="LFJ28" s="28"/>
      <c r="LFK28" s="28"/>
      <c r="LFL28" s="28"/>
      <c r="LFM28" s="28"/>
      <c r="LFN28" s="28"/>
      <c r="LFO28" s="28"/>
      <c r="LFP28" s="28"/>
      <c r="LFQ28" s="28"/>
      <c r="LFR28" s="28"/>
      <c r="LFS28" s="28"/>
      <c r="LFT28" s="28"/>
      <c r="LFU28" s="28"/>
      <c r="LFV28" s="28"/>
      <c r="LFW28" s="28"/>
      <c r="LFX28" s="28"/>
      <c r="LFY28" s="28"/>
      <c r="LFZ28" s="28"/>
      <c r="LGA28" s="28"/>
      <c r="LGB28" s="28"/>
      <c r="LGC28" s="28"/>
      <c r="LGD28" s="28"/>
      <c r="LGE28" s="28"/>
      <c r="LGF28" s="28"/>
      <c r="LGG28" s="28"/>
      <c r="LGH28" s="28"/>
      <c r="LGI28" s="28"/>
      <c r="LGJ28" s="28"/>
      <c r="LGK28" s="28"/>
      <c r="LGL28" s="28"/>
      <c r="LGM28" s="28"/>
      <c r="LGN28" s="28"/>
      <c r="LGO28" s="28"/>
      <c r="LGP28" s="28"/>
      <c r="LGQ28" s="28"/>
      <c r="LGR28" s="28"/>
      <c r="LGS28" s="28"/>
      <c r="LGT28" s="28"/>
      <c r="LGU28" s="28"/>
      <c r="LGV28" s="28"/>
      <c r="LGW28" s="28"/>
      <c r="LGX28" s="28"/>
      <c r="LGY28" s="28"/>
      <c r="LGZ28" s="28"/>
      <c r="LHA28" s="28"/>
      <c r="LHB28" s="28"/>
      <c r="LHC28" s="28"/>
      <c r="LHD28" s="28"/>
      <c r="LHE28" s="28"/>
      <c r="LHF28" s="28"/>
      <c r="LHG28" s="28"/>
      <c r="LHH28" s="28"/>
      <c r="LHI28" s="28"/>
      <c r="LHJ28" s="28"/>
      <c r="LHK28" s="28"/>
      <c r="LHL28" s="28"/>
      <c r="LHM28" s="28"/>
      <c r="LHN28" s="28"/>
      <c r="LHO28" s="28"/>
      <c r="LHP28" s="28"/>
      <c r="LHQ28" s="28"/>
      <c r="LHR28" s="28"/>
      <c r="LHS28" s="28"/>
      <c r="LHT28" s="28"/>
      <c r="LHU28" s="28"/>
      <c r="LHV28" s="28"/>
      <c r="LHW28" s="28"/>
      <c r="LHX28" s="28"/>
      <c r="LHY28" s="28"/>
      <c r="LHZ28" s="28"/>
      <c r="LIA28" s="28"/>
      <c r="LIB28" s="28"/>
      <c r="LIC28" s="28"/>
      <c r="LID28" s="28"/>
      <c r="LIE28" s="28"/>
      <c r="LIF28" s="28"/>
      <c r="LIG28" s="28"/>
      <c r="LIH28" s="28"/>
      <c r="LII28" s="28"/>
      <c r="LIJ28" s="28"/>
      <c r="LIK28" s="28"/>
      <c r="LIL28" s="28"/>
      <c r="LIM28" s="28"/>
      <c r="LIN28" s="28"/>
      <c r="LIO28" s="28"/>
      <c r="LIP28" s="28"/>
      <c r="LIQ28" s="28"/>
      <c r="LIR28" s="28"/>
      <c r="LIS28" s="28"/>
      <c r="LIT28" s="28"/>
      <c r="LIU28" s="28"/>
      <c r="LIV28" s="28"/>
      <c r="LIW28" s="28"/>
      <c r="LIX28" s="28"/>
      <c r="LIY28" s="28"/>
      <c r="LIZ28" s="28"/>
      <c r="LJA28" s="28"/>
      <c r="LJB28" s="28"/>
      <c r="LJC28" s="28"/>
      <c r="LJD28" s="28"/>
      <c r="LJE28" s="28"/>
      <c r="LJF28" s="28"/>
      <c r="LJG28" s="28"/>
      <c r="LJH28" s="28"/>
      <c r="LJI28" s="28"/>
      <c r="LJJ28" s="28"/>
      <c r="LJK28" s="28"/>
      <c r="LJL28" s="28"/>
      <c r="LJM28" s="28"/>
      <c r="LJN28" s="28"/>
      <c r="LJO28" s="28"/>
      <c r="LJP28" s="28"/>
      <c r="LJQ28" s="28"/>
      <c r="LJR28" s="28"/>
      <c r="LJS28" s="28"/>
      <c r="LJT28" s="28"/>
      <c r="LJU28" s="28"/>
      <c r="LJV28" s="28"/>
      <c r="LJW28" s="28"/>
      <c r="LJX28" s="28"/>
      <c r="LJY28" s="28"/>
      <c r="LJZ28" s="28"/>
      <c r="LKA28" s="28"/>
      <c r="LKB28" s="28"/>
      <c r="LKC28" s="28"/>
      <c r="LKD28" s="28"/>
      <c r="LKE28" s="28"/>
      <c r="LKF28" s="28"/>
      <c r="LKG28" s="28"/>
      <c r="LKH28" s="28"/>
      <c r="LKI28" s="28"/>
      <c r="LKJ28" s="28"/>
      <c r="LKK28" s="28"/>
      <c r="LKL28" s="28"/>
      <c r="LKM28" s="28"/>
      <c r="LKN28" s="28"/>
      <c r="LKO28" s="28"/>
      <c r="LKP28" s="28"/>
      <c r="LKQ28" s="28"/>
      <c r="LKR28" s="28"/>
      <c r="LKS28" s="28"/>
      <c r="LKT28" s="28"/>
      <c r="LKU28" s="28"/>
      <c r="LKV28" s="28"/>
      <c r="LKW28" s="28"/>
      <c r="LKX28" s="28"/>
      <c r="LKY28" s="28"/>
      <c r="LKZ28" s="28"/>
      <c r="LLA28" s="28"/>
      <c r="LLB28" s="28"/>
      <c r="LLC28" s="28"/>
      <c r="LLD28" s="28"/>
      <c r="LLE28" s="28"/>
      <c r="LLF28" s="28"/>
      <c r="LLG28" s="28"/>
      <c r="LLH28" s="28"/>
      <c r="LLI28" s="28"/>
      <c r="LLJ28" s="28"/>
      <c r="LLK28" s="28"/>
      <c r="LLL28" s="28"/>
      <c r="LLM28" s="28"/>
      <c r="LLN28" s="28"/>
      <c r="LLO28" s="28"/>
      <c r="LLP28" s="28"/>
      <c r="LLQ28" s="28"/>
      <c r="LLR28" s="28"/>
      <c r="LLS28" s="28"/>
      <c r="LLT28" s="28"/>
      <c r="LLU28" s="28"/>
      <c r="LLV28" s="28"/>
      <c r="LLW28" s="28"/>
      <c r="LLX28" s="28"/>
      <c r="LLY28" s="28"/>
      <c r="LLZ28" s="28"/>
      <c r="LMA28" s="28"/>
      <c r="LMB28" s="28"/>
      <c r="LMC28" s="28"/>
      <c r="LMD28" s="28"/>
      <c r="LME28" s="28"/>
      <c r="LMF28" s="28"/>
      <c r="LMG28" s="28"/>
      <c r="LMH28" s="28"/>
      <c r="LMI28" s="28"/>
      <c r="LMJ28" s="28"/>
      <c r="LMK28" s="28"/>
      <c r="LML28" s="28"/>
      <c r="LMM28" s="28"/>
      <c r="LMN28" s="28"/>
      <c r="LMO28" s="28"/>
      <c r="LMP28" s="28"/>
      <c r="LMQ28" s="28"/>
      <c r="LMR28" s="28"/>
      <c r="LMS28" s="28"/>
      <c r="LMT28" s="28"/>
      <c r="LMU28" s="28"/>
      <c r="LMV28" s="28"/>
      <c r="LMW28" s="28"/>
      <c r="LMX28" s="28"/>
      <c r="LMY28" s="28"/>
      <c r="LMZ28" s="28"/>
      <c r="LNA28" s="28"/>
      <c r="LNB28" s="28"/>
      <c r="LNC28" s="28"/>
      <c r="LND28" s="28"/>
      <c r="LNE28" s="28"/>
      <c r="LNF28" s="28"/>
      <c r="LNG28" s="28"/>
      <c r="LNH28" s="28"/>
      <c r="LNI28" s="28"/>
      <c r="LNJ28" s="28"/>
      <c r="LNK28" s="28"/>
      <c r="LNL28" s="28"/>
      <c r="LNM28" s="28"/>
      <c r="LNN28" s="28"/>
      <c r="LNO28" s="28"/>
      <c r="LNP28" s="28"/>
      <c r="LNQ28" s="28"/>
      <c r="LNR28" s="28"/>
      <c r="LNS28" s="28"/>
      <c r="LNT28" s="28"/>
      <c r="LNU28" s="28"/>
      <c r="LNV28" s="28"/>
      <c r="LNW28" s="28"/>
      <c r="LNX28" s="28"/>
      <c r="LNY28" s="28"/>
      <c r="LNZ28" s="28"/>
      <c r="LOA28" s="28"/>
      <c r="LOB28" s="28"/>
      <c r="LOC28" s="28"/>
      <c r="LOD28" s="28"/>
      <c r="LOE28" s="28"/>
      <c r="LOF28" s="28"/>
      <c r="LOG28" s="28"/>
      <c r="LOH28" s="28"/>
      <c r="LOI28" s="28"/>
      <c r="LOJ28" s="28"/>
      <c r="LOK28" s="28"/>
      <c r="LOL28" s="28"/>
      <c r="LOM28" s="28"/>
      <c r="LON28" s="28"/>
      <c r="LOO28" s="28"/>
      <c r="LOP28" s="28"/>
      <c r="LOQ28" s="28"/>
      <c r="LOR28" s="28"/>
      <c r="LOS28" s="28"/>
      <c r="LOT28" s="28"/>
      <c r="LOU28" s="28"/>
      <c r="LOV28" s="28"/>
      <c r="LOW28" s="28"/>
      <c r="LOX28" s="28"/>
      <c r="LOY28" s="28"/>
      <c r="LOZ28" s="28"/>
      <c r="LPA28" s="28"/>
      <c r="LPB28" s="28"/>
      <c r="LPC28" s="28"/>
      <c r="LPD28" s="28"/>
      <c r="LPE28" s="28"/>
      <c r="LPF28" s="28"/>
      <c r="LPG28" s="28"/>
      <c r="LPH28" s="28"/>
      <c r="LPI28" s="28"/>
      <c r="LPJ28" s="28"/>
      <c r="LPK28" s="28"/>
      <c r="LPL28" s="28"/>
      <c r="LPM28" s="28"/>
      <c r="LPN28" s="28"/>
      <c r="LPO28" s="28"/>
      <c r="LPP28" s="28"/>
      <c r="LPQ28" s="28"/>
      <c r="LPR28" s="28"/>
      <c r="LPS28" s="28"/>
      <c r="LPT28" s="28"/>
      <c r="LPU28" s="28"/>
      <c r="LPV28" s="28"/>
      <c r="LPW28" s="28"/>
      <c r="LPX28" s="28"/>
      <c r="LPY28" s="28"/>
      <c r="LPZ28" s="28"/>
      <c r="LQA28" s="28"/>
      <c r="LQB28" s="28"/>
      <c r="LQC28" s="28"/>
      <c r="LQD28" s="28"/>
      <c r="LQE28" s="28"/>
      <c r="LQF28" s="28"/>
      <c r="LQG28" s="28"/>
      <c r="LQH28" s="28"/>
      <c r="LQI28" s="28"/>
      <c r="LQJ28" s="28"/>
      <c r="LQK28" s="28"/>
      <c r="LQL28" s="28"/>
      <c r="LQM28" s="28"/>
      <c r="LQN28" s="28"/>
      <c r="LQO28" s="28"/>
      <c r="LQP28" s="28"/>
      <c r="LQQ28" s="28"/>
      <c r="LQR28" s="28"/>
      <c r="LQS28" s="28"/>
      <c r="LQT28" s="28"/>
      <c r="LQU28" s="28"/>
      <c r="LQV28" s="28"/>
      <c r="LQW28" s="28"/>
      <c r="LQX28" s="28"/>
      <c r="LQY28" s="28"/>
      <c r="LQZ28" s="28"/>
      <c r="LRA28" s="28"/>
      <c r="LRB28" s="28"/>
      <c r="LRC28" s="28"/>
      <c r="LRD28" s="28"/>
      <c r="LRE28" s="28"/>
      <c r="LRF28" s="28"/>
      <c r="LRG28" s="28"/>
      <c r="LRH28" s="28"/>
      <c r="LRI28" s="28"/>
      <c r="LRJ28" s="28"/>
      <c r="LRK28" s="28"/>
      <c r="LRL28" s="28"/>
      <c r="LRM28" s="28"/>
      <c r="LRN28" s="28"/>
      <c r="LRO28" s="28"/>
      <c r="LRP28" s="28"/>
      <c r="LRQ28" s="28"/>
      <c r="LRR28" s="28"/>
      <c r="LRS28" s="28"/>
      <c r="LRT28" s="28"/>
      <c r="LRU28" s="28"/>
      <c r="LRV28" s="28"/>
      <c r="LRW28" s="28"/>
      <c r="LRX28" s="28"/>
      <c r="LRY28" s="28"/>
      <c r="LRZ28" s="28"/>
      <c r="LSA28" s="28"/>
      <c r="LSB28" s="28"/>
      <c r="LSC28" s="28"/>
      <c r="LSD28" s="28"/>
      <c r="LSE28" s="28"/>
      <c r="LSF28" s="28"/>
      <c r="LSG28" s="28"/>
      <c r="LSH28" s="28"/>
      <c r="LSI28" s="28"/>
      <c r="LSJ28" s="28"/>
      <c r="LSK28" s="28"/>
      <c r="LSL28" s="28"/>
      <c r="LSM28" s="28"/>
      <c r="LSN28" s="28"/>
      <c r="LSO28" s="28"/>
      <c r="LSP28" s="28"/>
      <c r="LSQ28" s="28"/>
      <c r="LSR28" s="28"/>
      <c r="LSS28" s="28"/>
      <c r="LST28" s="28"/>
      <c r="LSU28" s="28"/>
      <c r="LSV28" s="28"/>
      <c r="LSW28" s="28"/>
      <c r="LSX28" s="28"/>
      <c r="LSY28" s="28"/>
      <c r="LSZ28" s="28"/>
      <c r="LTA28" s="28"/>
      <c r="LTB28" s="28"/>
      <c r="LTC28" s="28"/>
      <c r="LTD28" s="28"/>
      <c r="LTE28" s="28"/>
      <c r="LTF28" s="28"/>
      <c r="LTG28" s="28"/>
      <c r="LTH28" s="28"/>
      <c r="LTI28" s="28"/>
      <c r="LTJ28" s="28"/>
      <c r="LTK28" s="28"/>
      <c r="LTL28" s="28"/>
      <c r="LTM28" s="28"/>
      <c r="LTN28" s="28"/>
      <c r="LTO28" s="28"/>
      <c r="LTP28" s="28"/>
      <c r="LTQ28" s="28"/>
      <c r="LTR28" s="28"/>
      <c r="LTS28" s="28"/>
      <c r="LTT28" s="28"/>
      <c r="LTU28" s="28"/>
      <c r="LTV28" s="28"/>
      <c r="LTW28" s="28"/>
      <c r="LTX28" s="28"/>
      <c r="LTY28" s="28"/>
      <c r="LTZ28" s="28"/>
      <c r="LUA28" s="28"/>
      <c r="LUB28" s="28"/>
      <c r="LUC28" s="28"/>
      <c r="LUD28" s="28"/>
      <c r="LUE28" s="28"/>
      <c r="LUF28" s="28"/>
      <c r="LUG28" s="28"/>
      <c r="LUH28" s="28"/>
      <c r="LUI28" s="28"/>
      <c r="LUJ28" s="28"/>
      <c r="LUK28" s="28"/>
      <c r="LUL28" s="28"/>
      <c r="LUM28" s="28"/>
      <c r="LUN28" s="28"/>
      <c r="LUO28" s="28"/>
      <c r="LUP28" s="28"/>
      <c r="LUQ28" s="28"/>
      <c r="LUR28" s="28"/>
      <c r="LUS28" s="28"/>
      <c r="LUT28" s="28"/>
      <c r="LUU28" s="28"/>
      <c r="LUV28" s="28"/>
      <c r="LUW28" s="28"/>
      <c r="LUX28" s="28"/>
      <c r="LUY28" s="28"/>
      <c r="LUZ28" s="28"/>
      <c r="LVA28" s="28"/>
      <c r="LVB28" s="28"/>
      <c r="LVC28" s="28"/>
      <c r="LVD28" s="28"/>
      <c r="LVE28" s="28"/>
      <c r="LVF28" s="28"/>
      <c r="LVG28" s="28"/>
      <c r="LVH28" s="28"/>
      <c r="LVI28" s="28"/>
      <c r="LVJ28" s="28"/>
      <c r="LVK28" s="28"/>
      <c r="LVL28" s="28"/>
      <c r="LVM28" s="28"/>
      <c r="LVN28" s="28"/>
      <c r="LVO28" s="28"/>
      <c r="LVP28" s="28"/>
      <c r="LVQ28" s="28"/>
      <c r="LVR28" s="28"/>
      <c r="LVS28" s="28"/>
      <c r="LVT28" s="28"/>
      <c r="LVU28" s="28"/>
      <c r="LVV28" s="28"/>
      <c r="LVW28" s="28"/>
      <c r="LVX28" s="28"/>
      <c r="LVY28" s="28"/>
      <c r="LVZ28" s="28"/>
      <c r="LWA28" s="28"/>
      <c r="LWB28" s="28"/>
      <c r="LWC28" s="28"/>
      <c r="LWD28" s="28"/>
      <c r="LWE28" s="28"/>
      <c r="LWF28" s="28"/>
      <c r="LWG28" s="28"/>
      <c r="LWH28" s="28"/>
      <c r="LWI28" s="28"/>
      <c r="LWJ28" s="28"/>
      <c r="LWK28" s="28"/>
      <c r="LWL28" s="28"/>
      <c r="LWM28" s="28"/>
      <c r="LWN28" s="28"/>
      <c r="LWO28" s="28"/>
      <c r="LWP28" s="28"/>
      <c r="LWQ28" s="28"/>
      <c r="LWR28" s="28"/>
      <c r="LWS28" s="28"/>
      <c r="LWT28" s="28"/>
      <c r="LWU28" s="28"/>
      <c r="LWV28" s="28"/>
      <c r="LWW28" s="28"/>
      <c r="LWX28" s="28"/>
      <c r="LWY28" s="28"/>
      <c r="LWZ28" s="28"/>
      <c r="LXA28" s="28"/>
      <c r="LXB28" s="28"/>
      <c r="LXC28" s="28"/>
      <c r="LXD28" s="28"/>
      <c r="LXE28" s="28"/>
      <c r="LXF28" s="28"/>
      <c r="LXG28" s="28"/>
      <c r="LXH28" s="28"/>
      <c r="LXI28" s="28"/>
      <c r="LXJ28" s="28"/>
      <c r="LXK28" s="28"/>
      <c r="LXL28" s="28"/>
      <c r="LXM28" s="28"/>
      <c r="LXN28" s="28"/>
      <c r="LXO28" s="28"/>
      <c r="LXP28" s="28"/>
      <c r="LXQ28" s="28"/>
      <c r="LXR28" s="28"/>
      <c r="LXS28" s="28"/>
      <c r="LXT28" s="28"/>
      <c r="LXU28" s="28"/>
      <c r="LXV28" s="28"/>
      <c r="LXW28" s="28"/>
      <c r="LXX28" s="28"/>
      <c r="LXY28" s="28"/>
      <c r="LXZ28" s="28"/>
      <c r="LYA28" s="28"/>
      <c r="LYB28" s="28"/>
      <c r="LYC28" s="28"/>
      <c r="LYD28" s="28"/>
      <c r="LYE28" s="28"/>
      <c r="LYF28" s="28"/>
      <c r="LYG28" s="28"/>
      <c r="LYH28" s="28"/>
      <c r="LYI28" s="28"/>
      <c r="LYJ28" s="28"/>
      <c r="LYK28" s="28"/>
      <c r="LYL28" s="28"/>
      <c r="LYM28" s="28"/>
      <c r="LYN28" s="28"/>
      <c r="LYO28" s="28"/>
      <c r="LYP28" s="28"/>
      <c r="LYQ28" s="28"/>
      <c r="LYR28" s="28"/>
      <c r="LYS28" s="28"/>
      <c r="LYT28" s="28"/>
      <c r="LYU28" s="28"/>
      <c r="LYV28" s="28"/>
      <c r="LYW28" s="28"/>
      <c r="LYX28" s="28"/>
      <c r="LYY28" s="28"/>
      <c r="LYZ28" s="28"/>
      <c r="LZA28" s="28"/>
      <c r="LZB28" s="28"/>
      <c r="LZC28" s="28"/>
      <c r="LZD28" s="28"/>
      <c r="LZE28" s="28"/>
      <c r="LZF28" s="28"/>
      <c r="LZG28" s="28"/>
      <c r="LZH28" s="28"/>
      <c r="LZI28" s="28"/>
      <c r="LZJ28" s="28"/>
      <c r="LZK28" s="28"/>
      <c r="LZL28" s="28"/>
      <c r="LZM28" s="28"/>
      <c r="LZN28" s="28"/>
      <c r="LZO28" s="28"/>
      <c r="LZP28" s="28"/>
      <c r="LZQ28" s="28"/>
      <c r="LZR28" s="28"/>
      <c r="LZS28" s="28"/>
      <c r="LZT28" s="28"/>
      <c r="LZU28" s="28"/>
      <c r="LZV28" s="28"/>
      <c r="LZW28" s="28"/>
      <c r="LZX28" s="28"/>
      <c r="LZY28" s="28"/>
      <c r="LZZ28" s="28"/>
      <c r="MAA28" s="28"/>
      <c r="MAB28" s="28"/>
      <c r="MAC28" s="28"/>
      <c r="MAD28" s="28"/>
      <c r="MAE28" s="28"/>
      <c r="MAF28" s="28"/>
      <c r="MAG28" s="28"/>
      <c r="MAH28" s="28"/>
      <c r="MAI28" s="28"/>
      <c r="MAJ28" s="28"/>
      <c r="MAK28" s="28"/>
      <c r="MAL28" s="28"/>
      <c r="MAM28" s="28"/>
      <c r="MAN28" s="28"/>
      <c r="MAO28" s="28"/>
      <c r="MAP28" s="28"/>
      <c r="MAQ28" s="28"/>
      <c r="MAR28" s="28"/>
      <c r="MAS28" s="28"/>
      <c r="MAT28" s="28"/>
      <c r="MAU28" s="28"/>
      <c r="MAV28" s="28"/>
      <c r="MAW28" s="28"/>
      <c r="MAX28" s="28"/>
      <c r="MAY28" s="28"/>
      <c r="MAZ28" s="28"/>
      <c r="MBA28" s="28"/>
      <c r="MBB28" s="28"/>
      <c r="MBC28" s="28"/>
      <c r="MBD28" s="28"/>
      <c r="MBE28" s="28"/>
      <c r="MBF28" s="28"/>
      <c r="MBG28" s="28"/>
      <c r="MBH28" s="28"/>
      <c r="MBI28" s="28"/>
      <c r="MBJ28" s="28"/>
      <c r="MBK28" s="28"/>
      <c r="MBL28" s="28"/>
      <c r="MBM28" s="28"/>
      <c r="MBN28" s="28"/>
      <c r="MBO28" s="28"/>
      <c r="MBP28" s="28"/>
      <c r="MBQ28" s="28"/>
      <c r="MBR28" s="28"/>
      <c r="MBS28" s="28"/>
      <c r="MBT28" s="28"/>
      <c r="MBU28" s="28"/>
      <c r="MBV28" s="28"/>
      <c r="MBW28" s="28"/>
      <c r="MBX28" s="28"/>
      <c r="MBY28" s="28"/>
      <c r="MBZ28" s="28"/>
      <c r="MCA28" s="28"/>
      <c r="MCB28" s="28"/>
      <c r="MCC28" s="28"/>
      <c r="MCD28" s="28"/>
      <c r="MCE28" s="28"/>
      <c r="MCF28" s="28"/>
      <c r="MCG28" s="28"/>
      <c r="MCH28" s="28"/>
      <c r="MCI28" s="28"/>
      <c r="MCJ28" s="28"/>
      <c r="MCK28" s="28"/>
      <c r="MCL28" s="28"/>
      <c r="MCM28" s="28"/>
      <c r="MCN28" s="28"/>
      <c r="MCO28" s="28"/>
      <c r="MCP28" s="28"/>
      <c r="MCQ28" s="28"/>
      <c r="MCR28" s="28"/>
      <c r="MCS28" s="28"/>
      <c r="MCT28" s="28"/>
      <c r="MCU28" s="28"/>
      <c r="MCV28" s="28"/>
      <c r="MCW28" s="28"/>
      <c r="MCX28" s="28"/>
      <c r="MCY28" s="28"/>
      <c r="MCZ28" s="28"/>
      <c r="MDA28" s="28"/>
      <c r="MDB28" s="28"/>
      <c r="MDC28" s="28"/>
      <c r="MDD28" s="28"/>
      <c r="MDE28" s="28"/>
      <c r="MDF28" s="28"/>
      <c r="MDG28" s="28"/>
      <c r="MDH28" s="28"/>
      <c r="MDI28" s="28"/>
      <c r="MDJ28" s="28"/>
      <c r="MDK28" s="28"/>
      <c r="MDL28" s="28"/>
      <c r="MDM28" s="28"/>
      <c r="MDN28" s="28"/>
      <c r="MDO28" s="28"/>
      <c r="MDP28" s="28"/>
      <c r="MDQ28" s="28"/>
      <c r="MDR28" s="28"/>
      <c r="MDS28" s="28"/>
      <c r="MDT28" s="28"/>
      <c r="MDU28" s="28"/>
      <c r="MDV28" s="28"/>
      <c r="MDW28" s="28"/>
      <c r="MDX28" s="28"/>
      <c r="MDY28" s="28"/>
      <c r="MDZ28" s="28"/>
      <c r="MEA28" s="28"/>
      <c r="MEB28" s="28"/>
      <c r="MEC28" s="28"/>
      <c r="MED28" s="28"/>
      <c r="MEE28" s="28"/>
      <c r="MEF28" s="28"/>
      <c r="MEG28" s="28"/>
      <c r="MEH28" s="28"/>
      <c r="MEI28" s="28"/>
      <c r="MEJ28" s="28"/>
      <c r="MEK28" s="28"/>
      <c r="MEL28" s="28"/>
      <c r="MEM28" s="28"/>
      <c r="MEN28" s="28"/>
      <c r="MEO28" s="28"/>
      <c r="MEP28" s="28"/>
      <c r="MEQ28" s="28"/>
      <c r="MER28" s="28"/>
      <c r="MES28" s="28"/>
      <c r="MET28" s="28"/>
      <c r="MEU28" s="28"/>
      <c r="MEV28" s="28"/>
      <c r="MEW28" s="28"/>
      <c r="MEX28" s="28"/>
      <c r="MEY28" s="28"/>
      <c r="MEZ28" s="28"/>
      <c r="MFA28" s="28"/>
      <c r="MFB28" s="28"/>
      <c r="MFC28" s="28"/>
      <c r="MFD28" s="28"/>
      <c r="MFE28" s="28"/>
      <c r="MFF28" s="28"/>
      <c r="MFG28" s="28"/>
      <c r="MFH28" s="28"/>
      <c r="MFI28" s="28"/>
      <c r="MFJ28" s="28"/>
      <c r="MFK28" s="28"/>
      <c r="MFL28" s="28"/>
      <c r="MFM28" s="28"/>
      <c r="MFN28" s="28"/>
      <c r="MFO28" s="28"/>
      <c r="MFP28" s="28"/>
      <c r="MFQ28" s="28"/>
      <c r="MFR28" s="28"/>
      <c r="MFS28" s="28"/>
      <c r="MFT28" s="28"/>
      <c r="MFU28" s="28"/>
      <c r="MFV28" s="28"/>
      <c r="MFW28" s="28"/>
      <c r="MFX28" s="28"/>
      <c r="MFY28" s="28"/>
      <c r="MFZ28" s="28"/>
      <c r="MGA28" s="28"/>
      <c r="MGB28" s="28"/>
      <c r="MGC28" s="28"/>
      <c r="MGD28" s="28"/>
      <c r="MGE28" s="28"/>
      <c r="MGF28" s="28"/>
      <c r="MGG28" s="28"/>
      <c r="MGH28" s="28"/>
      <c r="MGI28" s="28"/>
      <c r="MGJ28" s="28"/>
      <c r="MGK28" s="28"/>
      <c r="MGL28" s="28"/>
      <c r="MGM28" s="28"/>
      <c r="MGN28" s="28"/>
      <c r="MGO28" s="28"/>
      <c r="MGP28" s="28"/>
      <c r="MGQ28" s="28"/>
      <c r="MGR28" s="28"/>
      <c r="MGS28" s="28"/>
      <c r="MGT28" s="28"/>
      <c r="MGU28" s="28"/>
      <c r="MGV28" s="28"/>
      <c r="MGW28" s="28"/>
      <c r="MGX28" s="28"/>
      <c r="MGY28" s="28"/>
      <c r="MGZ28" s="28"/>
      <c r="MHA28" s="28"/>
      <c r="MHB28" s="28"/>
      <c r="MHC28" s="28"/>
      <c r="MHD28" s="28"/>
      <c r="MHE28" s="28"/>
      <c r="MHF28" s="28"/>
      <c r="MHG28" s="28"/>
      <c r="MHH28" s="28"/>
      <c r="MHI28" s="28"/>
      <c r="MHJ28" s="28"/>
      <c r="MHK28" s="28"/>
      <c r="MHL28" s="28"/>
      <c r="MHM28" s="28"/>
      <c r="MHN28" s="28"/>
      <c r="MHO28" s="28"/>
      <c r="MHP28" s="28"/>
      <c r="MHQ28" s="28"/>
      <c r="MHR28" s="28"/>
      <c r="MHS28" s="28"/>
      <c r="MHT28" s="28"/>
      <c r="MHU28" s="28"/>
      <c r="MHV28" s="28"/>
      <c r="MHW28" s="28"/>
      <c r="MHX28" s="28"/>
      <c r="MHY28" s="28"/>
      <c r="MHZ28" s="28"/>
      <c r="MIA28" s="28"/>
      <c r="MIB28" s="28"/>
      <c r="MIC28" s="28"/>
      <c r="MID28" s="28"/>
      <c r="MIE28" s="28"/>
      <c r="MIF28" s="28"/>
      <c r="MIG28" s="28"/>
      <c r="MIH28" s="28"/>
      <c r="MII28" s="28"/>
      <c r="MIJ28" s="28"/>
      <c r="MIK28" s="28"/>
      <c r="MIL28" s="28"/>
      <c r="MIM28" s="28"/>
      <c r="MIN28" s="28"/>
      <c r="MIO28" s="28"/>
      <c r="MIP28" s="28"/>
      <c r="MIQ28" s="28"/>
      <c r="MIR28" s="28"/>
      <c r="MIS28" s="28"/>
      <c r="MIT28" s="28"/>
      <c r="MIU28" s="28"/>
      <c r="MIV28" s="28"/>
      <c r="MIW28" s="28"/>
      <c r="MIX28" s="28"/>
      <c r="MIY28" s="28"/>
      <c r="MIZ28" s="28"/>
      <c r="MJA28" s="28"/>
      <c r="MJB28" s="28"/>
      <c r="MJC28" s="28"/>
      <c r="MJD28" s="28"/>
      <c r="MJE28" s="28"/>
      <c r="MJF28" s="28"/>
      <c r="MJG28" s="28"/>
      <c r="MJH28" s="28"/>
      <c r="MJI28" s="28"/>
      <c r="MJJ28" s="28"/>
      <c r="MJK28" s="28"/>
      <c r="MJL28" s="28"/>
      <c r="MJM28" s="28"/>
      <c r="MJN28" s="28"/>
      <c r="MJO28" s="28"/>
      <c r="MJP28" s="28"/>
      <c r="MJQ28" s="28"/>
      <c r="MJR28" s="28"/>
      <c r="MJS28" s="28"/>
      <c r="MJT28" s="28"/>
      <c r="MJU28" s="28"/>
      <c r="MJV28" s="28"/>
      <c r="MJW28" s="28"/>
      <c r="MJX28" s="28"/>
      <c r="MJY28" s="28"/>
      <c r="MJZ28" s="28"/>
      <c r="MKA28" s="28"/>
      <c r="MKB28" s="28"/>
      <c r="MKC28" s="28"/>
      <c r="MKD28" s="28"/>
      <c r="MKE28" s="28"/>
      <c r="MKF28" s="28"/>
      <c r="MKG28" s="28"/>
      <c r="MKH28" s="28"/>
      <c r="MKI28" s="28"/>
      <c r="MKJ28" s="28"/>
      <c r="MKK28" s="28"/>
      <c r="MKL28" s="28"/>
      <c r="MKM28" s="28"/>
      <c r="MKN28" s="28"/>
      <c r="MKO28" s="28"/>
      <c r="MKP28" s="28"/>
      <c r="MKQ28" s="28"/>
      <c r="MKR28" s="28"/>
      <c r="MKS28" s="28"/>
      <c r="MKT28" s="28"/>
      <c r="MKU28" s="28"/>
      <c r="MKV28" s="28"/>
      <c r="MKW28" s="28"/>
      <c r="MKX28" s="28"/>
      <c r="MKY28" s="28"/>
      <c r="MKZ28" s="28"/>
      <c r="MLA28" s="28"/>
      <c r="MLB28" s="28"/>
      <c r="MLC28" s="28"/>
      <c r="MLD28" s="28"/>
      <c r="MLE28" s="28"/>
      <c r="MLF28" s="28"/>
      <c r="MLG28" s="28"/>
      <c r="MLH28" s="28"/>
      <c r="MLI28" s="28"/>
      <c r="MLJ28" s="28"/>
      <c r="MLK28" s="28"/>
      <c r="MLL28" s="28"/>
      <c r="MLM28" s="28"/>
      <c r="MLN28" s="28"/>
      <c r="MLO28" s="28"/>
      <c r="MLP28" s="28"/>
      <c r="MLQ28" s="28"/>
      <c r="MLR28" s="28"/>
      <c r="MLS28" s="28"/>
      <c r="MLT28" s="28"/>
      <c r="MLU28" s="28"/>
      <c r="MLV28" s="28"/>
      <c r="MLW28" s="28"/>
      <c r="MLX28" s="28"/>
      <c r="MLY28" s="28"/>
      <c r="MLZ28" s="28"/>
      <c r="MMA28" s="28"/>
      <c r="MMB28" s="28"/>
      <c r="MMC28" s="28"/>
      <c r="MMD28" s="28"/>
      <c r="MME28" s="28"/>
      <c r="MMF28" s="28"/>
      <c r="MMG28" s="28"/>
      <c r="MMH28" s="28"/>
      <c r="MMI28" s="28"/>
      <c r="MMJ28" s="28"/>
      <c r="MMK28" s="28"/>
      <c r="MML28" s="28"/>
      <c r="MMM28" s="28"/>
      <c r="MMN28" s="28"/>
      <c r="MMO28" s="28"/>
      <c r="MMP28" s="28"/>
      <c r="MMQ28" s="28"/>
      <c r="MMR28" s="28"/>
      <c r="MMS28" s="28"/>
      <c r="MMT28" s="28"/>
      <c r="MMU28" s="28"/>
      <c r="MMV28" s="28"/>
      <c r="MMW28" s="28"/>
      <c r="MMX28" s="28"/>
      <c r="MMY28" s="28"/>
      <c r="MMZ28" s="28"/>
      <c r="MNA28" s="28"/>
      <c r="MNB28" s="28"/>
      <c r="MNC28" s="28"/>
      <c r="MND28" s="28"/>
      <c r="MNE28" s="28"/>
      <c r="MNF28" s="28"/>
      <c r="MNG28" s="28"/>
      <c r="MNH28" s="28"/>
      <c r="MNI28" s="28"/>
      <c r="MNJ28" s="28"/>
      <c r="MNK28" s="28"/>
      <c r="MNL28" s="28"/>
      <c r="MNM28" s="28"/>
      <c r="MNN28" s="28"/>
      <c r="MNO28" s="28"/>
      <c r="MNP28" s="28"/>
      <c r="MNQ28" s="28"/>
      <c r="MNR28" s="28"/>
      <c r="MNS28" s="28"/>
      <c r="MNT28" s="28"/>
      <c r="MNU28" s="28"/>
      <c r="MNV28" s="28"/>
      <c r="MNW28" s="28"/>
      <c r="MNX28" s="28"/>
      <c r="MNY28" s="28"/>
      <c r="MNZ28" s="28"/>
      <c r="MOA28" s="28"/>
      <c r="MOB28" s="28"/>
      <c r="MOC28" s="28"/>
      <c r="MOD28" s="28"/>
      <c r="MOE28" s="28"/>
      <c r="MOF28" s="28"/>
      <c r="MOG28" s="28"/>
      <c r="MOH28" s="28"/>
      <c r="MOI28" s="28"/>
      <c r="MOJ28" s="28"/>
      <c r="MOK28" s="28"/>
      <c r="MOL28" s="28"/>
      <c r="MOM28" s="28"/>
      <c r="MON28" s="28"/>
      <c r="MOO28" s="28"/>
      <c r="MOP28" s="28"/>
      <c r="MOQ28" s="28"/>
      <c r="MOR28" s="28"/>
      <c r="MOS28" s="28"/>
      <c r="MOT28" s="28"/>
      <c r="MOU28" s="28"/>
      <c r="MOV28" s="28"/>
      <c r="MOW28" s="28"/>
      <c r="MOX28" s="28"/>
      <c r="MOY28" s="28"/>
      <c r="MOZ28" s="28"/>
      <c r="MPA28" s="28"/>
      <c r="MPB28" s="28"/>
      <c r="MPC28" s="28"/>
      <c r="MPD28" s="28"/>
      <c r="MPE28" s="28"/>
      <c r="MPF28" s="28"/>
      <c r="MPG28" s="28"/>
      <c r="MPH28" s="28"/>
      <c r="MPI28" s="28"/>
      <c r="MPJ28" s="28"/>
      <c r="MPK28" s="28"/>
      <c r="MPL28" s="28"/>
      <c r="MPM28" s="28"/>
      <c r="MPN28" s="28"/>
      <c r="MPO28" s="28"/>
      <c r="MPP28" s="28"/>
      <c r="MPQ28" s="28"/>
      <c r="MPR28" s="28"/>
      <c r="MPS28" s="28"/>
      <c r="MPT28" s="28"/>
      <c r="MPU28" s="28"/>
      <c r="MPV28" s="28"/>
      <c r="MPW28" s="28"/>
      <c r="MPX28" s="28"/>
      <c r="MPY28" s="28"/>
      <c r="MPZ28" s="28"/>
      <c r="MQA28" s="28"/>
      <c r="MQB28" s="28"/>
      <c r="MQC28" s="28"/>
      <c r="MQD28" s="28"/>
      <c r="MQE28" s="28"/>
      <c r="MQF28" s="28"/>
      <c r="MQG28" s="28"/>
      <c r="MQH28" s="28"/>
      <c r="MQI28" s="28"/>
      <c r="MQJ28" s="28"/>
      <c r="MQK28" s="28"/>
      <c r="MQL28" s="28"/>
      <c r="MQM28" s="28"/>
      <c r="MQN28" s="28"/>
      <c r="MQO28" s="28"/>
      <c r="MQP28" s="28"/>
      <c r="MQQ28" s="28"/>
      <c r="MQR28" s="28"/>
      <c r="MQS28" s="28"/>
      <c r="MQT28" s="28"/>
      <c r="MQU28" s="28"/>
      <c r="MQV28" s="28"/>
      <c r="MQW28" s="28"/>
      <c r="MQX28" s="28"/>
      <c r="MQY28" s="28"/>
      <c r="MQZ28" s="28"/>
      <c r="MRA28" s="28"/>
      <c r="MRB28" s="28"/>
      <c r="MRC28" s="28"/>
      <c r="MRD28" s="28"/>
      <c r="MRE28" s="28"/>
      <c r="MRF28" s="28"/>
      <c r="MRG28" s="28"/>
      <c r="MRH28" s="28"/>
      <c r="MRI28" s="28"/>
      <c r="MRJ28" s="28"/>
      <c r="MRK28" s="28"/>
      <c r="MRL28" s="28"/>
      <c r="MRM28" s="28"/>
      <c r="MRN28" s="28"/>
      <c r="MRO28" s="28"/>
      <c r="MRP28" s="28"/>
      <c r="MRQ28" s="28"/>
      <c r="MRR28" s="28"/>
      <c r="MRS28" s="28"/>
      <c r="MRT28" s="28"/>
      <c r="MRU28" s="28"/>
      <c r="MRV28" s="28"/>
      <c r="MRW28" s="28"/>
      <c r="MRX28" s="28"/>
      <c r="MRY28" s="28"/>
      <c r="MRZ28" s="28"/>
      <c r="MSA28" s="28"/>
      <c r="MSB28" s="28"/>
      <c r="MSC28" s="28"/>
      <c r="MSD28" s="28"/>
      <c r="MSE28" s="28"/>
      <c r="MSF28" s="28"/>
      <c r="MSG28" s="28"/>
      <c r="MSH28" s="28"/>
      <c r="MSI28" s="28"/>
      <c r="MSJ28" s="28"/>
      <c r="MSK28" s="28"/>
      <c r="MSL28" s="28"/>
      <c r="MSM28" s="28"/>
      <c r="MSN28" s="28"/>
      <c r="MSO28" s="28"/>
      <c r="MSP28" s="28"/>
      <c r="MSQ28" s="28"/>
      <c r="MSR28" s="28"/>
      <c r="MSS28" s="28"/>
      <c r="MST28" s="28"/>
      <c r="MSU28" s="28"/>
      <c r="MSV28" s="28"/>
      <c r="MSW28" s="28"/>
      <c r="MSX28" s="28"/>
      <c r="MSY28" s="28"/>
      <c r="MSZ28" s="28"/>
      <c r="MTA28" s="28"/>
      <c r="MTB28" s="28"/>
      <c r="MTC28" s="28"/>
      <c r="MTD28" s="28"/>
      <c r="MTE28" s="28"/>
      <c r="MTF28" s="28"/>
      <c r="MTG28" s="28"/>
      <c r="MTH28" s="28"/>
      <c r="MTI28" s="28"/>
      <c r="MTJ28" s="28"/>
      <c r="MTK28" s="28"/>
      <c r="MTL28" s="28"/>
      <c r="MTM28" s="28"/>
      <c r="MTN28" s="28"/>
      <c r="MTO28" s="28"/>
      <c r="MTP28" s="28"/>
      <c r="MTQ28" s="28"/>
      <c r="MTR28" s="28"/>
      <c r="MTS28" s="28"/>
      <c r="MTT28" s="28"/>
      <c r="MTU28" s="28"/>
      <c r="MTV28" s="28"/>
      <c r="MTW28" s="28"/>
      <c r="MTX28" s="28"/>
      <c r="MTY28" s="28"/>
      <c r="MTZ28" s="28"/>
      <c r="MUA28" s="28"/>
      <c r="MUB28" s="28"/>
      <c r="MUC28" s="28"/>
      <c r="MUD28" s="28"/>
      <c r="MUE28" s="28"/>
      <c r="MUF28" s="28"/>
      <c r="MUG28" s="28"/>
      <c r="MUH28" s="28"/>
      <c r="MUI28" s="28"/>
      <c r="MUJ28" s="28"/>
      <c r="MUK28" s="28"/>
      <c r="MUL28" s="28"/>
      <c r="MUM28" s="28"/>
      <c r="MUN28" s="28"/>
      <c r="MUO28" s="28"/>
      <c r="MUP28" s="28"/>
      <c r="MUQ28" s="28"/>
      <c r="MUR28" s="28"/>
      <c r="MUS28" s="28"/>
      <c r="MUT28" s="28"/>
      <c r="MUU28" s="28"/>
      <c r="MUV28" s="28"/>
      <c r="MUW28" s="28"/>
      <c r="MUX28" s="28"/>
      <c r="MUY28" s="28"/>
      <c r="MUZ28" s="28"/>
      <c r="MVA28" s="28"/>
      <c r="MVB28" s="28"/>
      <c r="MVC28" s="28"/>
      <c r="MVD28" s="28"/>
      <c r="MVE28" s="28"/>
      <c r="MVF28" s="28"/>
      <c r="MVG28" s="28"/>
      <c r="MVH28" s="28"/>
      <c r="MVI28" s="28"/>
      <c r="MVJ28" s="28"/>
      <c r="MVK28" s="28"/>
      <c r="MVL28" s="28"/>
      <c r="MVM28" s="28"/>
      <c r="MVN28" s="28"/>
      <c r="MVO28" s="28"/>
      <c r="MVP28" s="28"/>
      <c r="MVQ28" s="28"/>
      <c r="MVR28" s="28"/>
      <c r="MVS28" s="28"/>
      <c r="MVT28" s="28"/>
      <c r="MVU28" s="28"/>
      <c r="MVV28" s="28"/>
      <c r="MVW28" s="28"/>
      <c r="MVX28" s="28"/>
      <c r="MVY28" s="28"/>
      <c r="MVZ28" s="28"/>
      <c r="MWA28" s="28"/>
      <c r="MWB28" s="28"/>
      <c r="MWC28" s="28"/>
      <c r="MWD28" s="28"/>
      <c r="MWE28" s="28"/>
      <c r="MWF28" s="28"/>
      <c r="MWG28" s="28"/>
      <c r="MWH28" s="28"/>
      <c r="MWI28" s="28"/>
      <c r="MWJ28" s="28"/>
      <c r="MWK28" s="28"/>
      <c r="MWL28" s="28"/>
      <c r="MWM28" s="28"/>
      <c r="MWN28" s="28"/>
      <c r="MWO28" s="28"/>
      <c r="MWP28" s="28"/>
      <c r="MWQ28" s="28"/>
      <c r="MWR28" s="28"/>
      <c r="MWS28" s="28"/>
      <c r="MWT28" s="28"/>
      <c r="MWU28" s="28"/>
      <c r="MWV28" s="28"/>
      <c r="MWW28" s="28"/>
      <c r="MWX28" s="28"/>
      <c r="MWY28" s="28"/>
      <c r="MWZ28" s="28"/>
      <c r="MXA28" s="28"/>
      <c r="MXB28" s="28"/>
      <c r="MXC28" s="28"/>
      <c r="MXD28" s="28"/>
      <c r="MXE28" s="28"/>
      <c r="MXF28" s="28"/>
      <c r="MXG28" s="28"/>
      <c r="MXH28" s="28"/>
      <c r="MXI28" s="28"/>
      <c r="MXJ28" s="28"/>
      <c r="MXK28" s="28"/>
      <c r="MXL28" s="28"/>
      <c r="MXM28" s="28"/>
      <c r="MXN28" s="28"/>
      <c r="MXO28" s="28"/>
      <c r="MXP28" s="28"/>
      <c r="MXQ28" s="28"/>
      <c r="MXR28" s="28"/>
      <c r="MXS28" s="28"/>
      <c r="MXT28" s="28"/>
      <c r="MXU28" s="28"/>
      <c r="MXV28" s="28"/>
      <c r="MXW28" s="28"/>
      <c r="MXX28" s="28"/>
      <c r="MXY28" s="28"/>
      <c r="MXZ28" s="28"/>
      <c r="MYA28" s="28"/>
      <c r="MYB28" s="28"/>
      <c r="MYC28" s="28"/>
      <c r="MYD28" s="28"/>
      <c r="MYE28" s="28"/>
      <c r="MYF28" s="28"/>
      <c r="MYG28" s="28"/>
      <c r="MYH28" s="28"/>
      <c r="MYI28" s="28"/>
      <c r="MYJ28" s="28"/>
      <c r="MYK28" s="28"/>
      <c r="MYL28" s="28"/>
      <c r="MYM28" s="28"/>
      <c r="MYN28" s="28"/>
      <c r="MYO28" s="28"/>
      <c r="MYP28" s="28"/>
      <c r="MYQ28" s="28"/>
      <c r="MYR28" s="28"/>
      <c r="MYS28" s="28"/>
      <c r="MYT28" s="28"/>
      <c r="MYU28" s="28"/>
      <c r="MYV28" s="28"/>
      <c r="MYW28" s="28"/>
      <c r="MYX28" s="28"/>
      <c r="MYY28" s="28"/>
      <c r="MYZ28" s="28"/>
      <c r="MZA28" s="28"/>
      <c r="MZB28" s="28"/>
      <c r="MZC28" s="28"/>
      <c r="MZD28" s="28"/>
      <c r="MZE28" s="28"/>
      <c r="MZF28" s="28"/>
      <c r="MZG28" s="28"/>
      <c r="MZH28" s="28"/>
      <c r="MZI28" s="28"/>
      <c r="MZJ28" s="28"/>
      <c r="MZK28" s="28"/>
      <c r="MZL28" s="28"/>
      <c r="MZM28" s="28"/>
      <c r="MZN28" s="28"/>
      <c r="MZO28" s="28"/>
      <c r="MZP28" s="28"/>
      <c r="MZQ28" s="28"/>
      <c r="MZR28" s="28"/>
      <c r="MZS28" s="28"/>
      <c r="MZT28" s="28"/>
      <c r="MZU28" s="28"/>
      <c r="MZV28" s="28"/>
      <c r="MZW28" s="28"/>
      <c r="MZX28" s="28"/>
      <c r="MZY28" s="28"/>
      <c r="MZZ28" s="28"/>
      <c r="NAA28" s="28"/>
      <c r="NAB28" s="28"/>
      <c r="NAC28" s="28"/>
      <c r="NAD28" s="28"/>
      <c r="NAE28" s="28"/>
      <c r="NAF28" s="28"/>
      <c r="NAG28" s="28"/>
      <c r="NAH28" s="28"/>
      <c r="NAI28" s="28"/>
      <c r="NAJ28" s="28"/>
      <c r="NAK28" s="28"/>
      <c r="NAL28" s="28"/>
      <c r="NAM28" s="28"/>
      <c r="NAN28" s="28"/>
      <c r="NAO28" s="28"/>
      <c r="NAP28" s="28"/>
      <c r="NAQ28" s="28"/>
      <c r="NAR28" s="28"/>
      <c r="NAS28" s="28"/>
      <c r="NAT28" s="28"/>
      <c r="NAU28" s="28"/>
      <c r="NAV28" s="28"/>
      <c r="NAW28" s="28"/>
      <c r="NAX28" s="28"/>
      <c r="NAY28" s="28"/>
      <c r="NAZ28" s="28"/>
      <c r="NBA28" s="28"/>
      <c r="NBB28" s="28"/>
      <c r="NBC28" s="28"/>
      <c r="NBD28" s="28"/>
      <c r="NBE28" s="28"/>
      <c r="NBF28" s="28"/>
      <c r="NBG28" s="28"/>
      <c r="NBH28" s="28"/>
      <c r="NBI28" s="28"/>
      <c r="NBJ28" s="28"/>
      <c r="NBK28" s="28"/>
      <c r="NBL28" s="28"/>
      <c r="NBM28" s="28"/>
      <c r="NBN28" s="28"/>
      <c r="NBO28" s="28"/>
      <c r="NBP28" s="28"/>
      <c r="NBQ28" s="28"/>
      <c r="NBR28" s="28"/>
      <c r="NBS28" s="28"/>
      <c r="NBT28" s="28"/>
      <c r="NBU28" s="28"/>
      <c r="NBV28" s="28"/>
      <c r="NBW28" s="28"/>
      <c r="NBX28" s="28"/>
      <c r="NBY28" s="28"/>
      <c r="NBZ28" s="28"/>
      <c r="NCA28" s="28"/>
      <c r="NCB28" s="28"/>
      <c r="NCC28" s="28"/>
      <c r="NCD28" s="28"/>
      <c r="NCE28" s="28"/>
      <c r="NCF28" s="28"/>
      <c r="NCG28" s="28"/>
      <c r="NCH28" s="28"/>
      <c r="NCI28" s="28"/>
      <c r="NCJ28" s="28"/>
      <c r="NCK28" s="28"/>
      <c r="NCL28" s="28"/>
      <c r="NCM28" s="28"/>
      <c r="NCN28" s="28"/>
      <c r="NCO28" s="28"/>
      <c r="NCP28" s="28"/>
      <c r="NCQ28" s="28"/>
      <c r="NCR28" s="28"/>
      <c r="NCS28" s="28"/>
      <c r="NCT28" s="28"/>
      <c r="NCU28" s="28"/>
      <c r="NCV28" s="28"/>
      <c r="NCW28" s="28"/>
      <c r="NCX28" s="28"/>
      <c r="NCY28" s="28"/>
      <c r="NCZ28" s="28"/>
      <c r="NDA28" s="28"/>
      <c r="NDB28" s="28"/>
      <c r="NDC28" s="28"/>
      <c r="NDD28" s="28"/>
      <c r="NDE28" s="28"/>
      <c r="NDF28" s="28"/>
      <c r="NDG28" s="28"/>
      <c r="NDH28" s="28"/>
      <c r="NDI28" s="28"/>
      <c r="NDJ28" s="28"/>
      <c r="NDK28" s="28"/>
      <c r="NDL28" s="28"/>
      <c r="NDM28" s="28"/>
      <c r="NDN28" s="28"/>
      <c r="NDO28" s="28"/>
      <c r="NDP28" s="28"/>
      <c r="NDQ28" s="28"/>
      <c r="NDR28" s="28"/>
      <c r="NDS28" s="28"/>
      <c r="NDT28" s="28"/>
      <c r="NDU28" s="28"/>
      <c r="NDV28" s="28"/>
      <c r="NDW28" s="28"/>
      <c r="NDX28" s="28"/>
      <c r="NDY28" s="28"/>
      <c r="NDZ28" s="28"/>
      <c r="NEA28" s="28"/>
      <c r="NEB28" s="28"/>
      <c r="NEC28" s="28"/>
      <c r="NED28" s="28"/>
      <c r="NEE28" s="28"/>
      <c r="NEF28" s="28"/>
      <c r="NEG28" s="28"/>
      <c r="NEH28" s="28"/>
      <c r="NEI28" s="28"/>
      <c r="NEJ28" s="28"/>
      <c r="NEK28" s="28"/>
      <c r="NEL28" s="28"/>
      <c r="NEM28" s="28"/>
      <c r="NEN28" s="28"/>
      <c r="NEO28" s="28"/>
      <c r="NEP28" s="28"/>
      <c r="NEQ28" s="28"/>
      <c r="NER28" s="28"/>
      <c r="NES28" s="28"/>
      <c r="NET28" s="28"/>
      <c r="NEU28" s="28"/>
      <c r="NEV28" s="28"/>
      <c r="NEW28" s="28"/>
      <c r="NEX28" s="28"/>
      <c r="NEY28" s="28"/>
      <c r="NEZ28" s="28"/>
      <c r="NFA28" s="28"/>
      <c r="NFB28" s="28"/>
      <c r="NFC28" s="28"/>
      <c r="NFD28" s="28"/>
      <c r="NFE28" s="28"/>
      <c r="NFF28" s="28"/>
      <c r="NFG28" s="28"/>
      <c r="NFH28" s="28"/>
      <c r="NFI28" s="28"/>
      <c r="NFJ28" s="28"/>
      <c r="NFK28" s="28"/>
      <c r="NFL28" s="28"/>
      <c r="NFM28" s="28"/>
      <c r="NFN28" s="28"/>
      <c r="NFO28" s="28"/>
      <c r="NFP28" s="28"/>
      <c r="NFQ28" s="28"/>
      <c r="NFR28" s="28"/>
      <c r="NFS28" s="28"/>
      <c r="NFT28" s="28"/>
      <c r="NFU28" s="28"/>
      <c r="NFV28" s="28"/>
      <c r="NFW28" s="28"/>
      <c r="NFX28" s="28"/>
      <c r="NFY28" s="28"/>
      <c r="NFZ28" s="28"/>
      <c r="NGA28" s="28"/>
      <c r="NGB28" s="28"/>
      <c r="NGC28" s="28"/>
      <c r="NGD28" s="28"/>
      <c r="NGE28" s="28"/>
      <c r="NGF28" s="28"/>
      <c r="NGG28" s="28"/>
      <c r="NGH28" s="28"/>
      <c r="NGI28" s="28"/>
      <c r="NGJ28" s="28"/>
      <c r="NGK28" s="28"/>
      <c r="NGL28" s="28"/>
      <c r="NGM28" s="28"/>
      <c r="NGN28" s="28"/>
      <c r="NGO28" s="28"/>
      <c r="NGP28" s="28"/>
      <c r="NGQ28" s="28"/>
      <c r="NGR28" s="28"/>
      <c r="NGS28" s="28"/>
      <c r="NGT28" s="28"/>
      <c r="NGU28" s="28"/>
      <c r="NGV28" s="28"/>
      <c r="NGW28" s="28"/>
      <c r="NGX28" s="28"/>
      <c r="NGY28" s="28"/>
      <c r="NGZ28" s="28"/>
      <c r="NHA28" s="28"/>
      <c r="NHB28" s="28"/>
      <c r="NHC28" s="28"/>
      <c r="NHD28" s="28"/>
      <c r="NHE28" s="28"/>
      <c r="NHF28" s="28"/>
      <c r="NHG28" s="28"/>
      <c r="NHH28" s="28"/>
      <c r="NHI28" s="28"/>
      <c r="NHJ28" s="28"/>
      <c r="NHK28" s="28"/>
      <c r="NHL28" s="28"/>
      <c r="NHM28" s="28"/>
      <c r="NHN28" s="28"/>
      <c r="NHO28" s="28"/>
      <c r="NHP28" s="28"/>
      <c r="NHQ28" s="28"/>
      <c r="NHR28" s="28"/>
      <c r="NHS28" s="28"/>
      <c r="NHT28" s="28"/>
      <c r="NHU28" s="28"/>
      <c r="NHV28" s="28"/>
      <c r="NHW28" s="28"/>
      <c r="NHX28" s="28"/>
      <c r="NHY28" s="28"/>
      <c r="NHZ28" s="28"/>
      <c r="NIA28" s="28"/>
      <c r="NIB28" s="28"/>
      <c r="NIC28" s="28"/>
      <c r="NID28" s="28"/>
      <c r="NIE28" s="28"/>
      <c r="NIF28" s="28"/>
      <c r="NIG28" s="28"/>
      <c r="NIH28" s="28"/>
      <c r="NII28" s="28"/>
      <c r="NIJ28" s="28"/>
      <c r="NIK28" s="28"/>
      <c r="NIL28" s="28"/>
      <c r="NIM28" s="28"/>
      <c r="NIN28" s="28"/>
      <c r="NIO28" s="28"/>
      <c r="NIP28" s="28"/>
      <c r="NIQ28" s="28"/>
      <c r="NIR28" s="28"/>
      <c r="NIS28" s="28"/>
      <c r="NIT28" s="28"/>
      <c r="NIU28" s="28"/>
      <c r="NIV28" s="28"/>
      <c r="NIW28" s="28"/>
      <c r="NIX28" s="28"/>
      <c r="NIY28" s="28"/>
      <c r="NIZ28" s="28"/>
      <c r="NJA28" s="28"/>
      <c r="NJB28" s="28"/>
      <c r="NJC28" s="28"/>
      <c r="NJD28" s="28"/>
      <c r="NJE28" s="28"/>
      <c r="NJF28" s="28"/>
      <c r="NJG28" s="28"/>
      <c r="NJH28" s="28"/>
      <c r="NJI28" s="28"/>
      <c r="NJJ28" s="28"/>
      <c r="NJK28" s="28"/>
      <c r="NJL28" s="28"/>
      <c r="NJM28" s="28"/>
      <c r="NJN28" s="28"/>
      <c r="NJO28" s="28"/>
      <c r="NJP28" s="28"/>
      <c r="NJQ28" s="28"/>
      <c r="NJR28" s="28"/>
      <c r="NJS28" s="28"/>
      <c r="NJT28" s="28"/>
      <c r="NJU28" s="28"/>
      <c r="NJV28" s="28"/>
      <c r="NJW28" s="28"/>
      <c r="NJX28" s="28"/>
      <c r="NJY28" s="28"/>
      <c r="NJZ28" s="28"/>
      <c r="NKA28" s="28"/>
      <c r="NKB28" s="28"/>
      <c r="NKC28" s="28"/>
      <c r="NKD28" s="28"/>
      <c r="NKE28" s="28"/>
      <c r="NKF28" s="28"/>
      <c r="NKG28" s="28"/>
      <c r="NKH28" s="28"/>
      <c r="NKI28" s="28"/>
      <c r="NKJ28" s="28"/>
      <c r="NKK28" s="28"/>
      <c r="NKL28" s="28"/>
      <c r="NKM28" s="28"/>
      <c r="NKN28" s="28"/>
      <c r="NKO28" s="28"/>
      <c r="NKP28" s="28"/>
      <c r="NKQ28" s="28"/>
      <c r="NKR28" s="28"/>
      <c r="NKS28" s="28"/>
      <c r="NKT28" s="28"/>
      <c r="NKU28" s="28"/>
      <c r="NKV28" s="28"/>
      <c r="NKW28" s="28"/>
      <c r="NKX28" s="28"/>
      <c r="NKY28" s="28"/>
      <c r="NKZ28" s="28"/>
      <c r="NLA28" s="28"/>
      <c r="NLB28" s="28"/>
      <c r="NLC28" s="28"/>
      <c r="NLD28" s="28"/>
      <c r="NLE28" s="28"/>
      <c r="NLF28" s="28"/>
      <c r="NLG28" s="28"/>
      <c r="NLH28" s="28"/>
      <c r="NLI28" s="28"/>
      <c r="NLJ28" s="28"/>
      <c r="NLK28" s="28"/>
      <c r="NLL28" s="28"/>
      <c r="NLM28" s="28"/>
      <c r="NLN28" s="28"/>
      <c r="NLO28" s="28"/>
      <c r="NLP28" s="28"/>
      <c r="NLQ28" s="28"/>
      <c r="NLR28" s="28"/>
      <c r="NLS28" s="28"/>
      <c r="NLT28" s="28"/>
      <c r="NLU28" s="28"/>
      <c r="NLV28" s="28"/>
      <c r="NLW28" s="28"/>
      <c r="NLX28" s="28"/>
      <c r="NLY28" s="28"/>
      <c r="NLZ28" s="28"/>
      <c r="NMA28" s="28"/>
      <c r="NMB28" s="28"/>
      <c r="NMC28" s="28"/>
      <c r="NMD28" s="28"/>
      <c r="NME28" s="28"/>
      <c r="NMF28" s="28"/>
      <c r="NMG28" s="28"/>
      <c r="NMH28" s="28"/>
      <c r="NMI28" s="28"/>
      <c r="NMJ28" s="28"/>
      <c r="NMK28" s="28"/>
      <c r="NML28" s="28"/>
      <c r="NMM28" s="28"/>
      <c r="NMN28" s="28"/>
      <c r="NMO28" s="28"/>
      <c r="NMP28" s="28"/>
      <c r="NMQ28" s="28"/>
      <c r="NMR28" s="28"/>
      <c r="NMS28" s="28"/>
      <c r="NMT28" s="28"/>
      <c r="NMU28" s="28"/>
      <c r="NMV28" s="28"/>
      <c r="NMW28" s="28"/>
      <c r="NMX28" s="28"/>
      <c r="NMY28" s="28"/>
      <c r="NMZ28" s="28"/>
      <c r="NNA28" s="28"/>
      <c r="NNB28" s="28"/>
      <c r="NNC28" s="28"/>
      <c r="NND28" s="28"/>
      <c r="NNE28" s="28"/>
      <c r="NNF28" s="28"/>
      <c r="NNG28" s="28"/>
      <c r="NNH28" s="28"/>
      <c r="NNI28" s="28"/>
      <c r="NNJ28" s="28"/>
      <c r="NNK28" s="28"/>
      <c r="NNL28" s="28"/>
      <c r="NNM28" s="28"/>
      <c r="NNN28" s="28"/>
      <c r="NNO28" s="28"/>
      <c r="NNP28" s="28"/>
      <c r="NNQ28" s="28"/>
      <c r="NNR28" s="28"/>
      <c r="NNS28" s="28"/>
      <c r="NNT28" s="28"/>
      <c r="NNU28" s="28"/>
      <c r="NNV28" s="28"/>
      <c r="NNW28" s="28"/>
      <c r="NNX28" s="28"/>
      <c r="NNY28" s="28"/>
      <c r="NNZ28" s="28"/>
      <c r="NOA28" s="28"/>
      <c r="NOB28" s="28"/>
      <c r="NOC28" s="28"/>
      <c r="NOD28" s="28"/>
      <c r="NOE28" s="28"/>
      <c r="NOF28" s="28"/>
      <c r="NOG28" s="28"/>
      <c r="NOH28" s="28"/>
      <c r="NOI28" s="28"/>
      <c r="NOJ28" s="28"/>
      <c r="NOK28" s="28"/>
      <c r="NOL28" s="28"/>
      <c r="NOM28" s="28"/>
      <c r="NON28" s="28"/>
      <c r="NOO28" s="28"/>
      <c r="NOP28" s="28"/>
      <c r="NOQ28" s="28"/>
      <c r="NOR28" s="28"/>
      <c r="NOS28" s="28"/>
      <c r="NOT28" s="28"/>
      <c r="NOU28" s="28"/>
      <c r="NOV28" s="28"/>
      <c r="NOW28" s="28"/>
      <c r="NOX28" s="28"/>
      <c r="NOY28" s="28"/>
      <c r="NOZ28" s="28"/>
      <c r="NPA28" s="28"/>
      <c r="NPB28" s="28"/>
      <c r="NPC28" s="28"/>
      <c r="NPD28" s="28"/>
      <c r="NPE28" s="28"/>
      <c r="NPF28" s="28"/>
      <c r="NPG28" s="28"/>
      <c r="NPH28" s="28"/>
      <c r="NPI28" s="28"/>
      <c r="NPJ28" s="28"/>
      <c r="NPK28" s="28"/>
      <c r="NPL28" s="28"/>
      <c r="NPM28" s="28"/>
      <c r="NPN28" s="28"/>
      <c r="NPO28" s="28"/>
      <c r="NPP28" s="28"/>
      <c r="NPQ28" s="28"/>
      <c r="NPR28" s="28"/>
      <c r="NPS28" s="28"/>
      <c r="NPT28" s="28"/>
      <c r="NPU28" s="28"/>
      <c r="NPV28" s="28"/>
      <c r="NPW28" s="28"/>
      <c r="NPX28" s="28"/>
      <c r="NPY28" s="28"/>
      <c r="NPZ28" s="28"/>
      <c r="NQA28" s="28"/>
      <c r="NQB28" s="28"/>
      <c r="NQC28" s="28"/>
      <c r="NQD28" s="28"/>
      <c r="NQE28" s="28"/>
      <c r="NQF28" s="28"/>
      <c r="NQG28" s="28"/>
      <c r="NQH28" s="28"/>
      <c r="NQI28" s="28"/>
      <c r="NQJ28" s="28"/>
      <c r="NQK28" s="28"/>
      <c r="NQL28" s="28"/>
      <c r="NQM28" s="28"/>
      <c r="NQN28" s="28"/>
      <c r="NQO28" s="28"/>
      <c r="NQP28" s="28"/>
      <c r="NQQ28" s="28"/>
      <c r="NQR28" s="28"/>
      <c r="NQS28" s="28"/>
      <c r="NQT28" s="28"/>
      <c r="NQU28" s="28"/>
      <c r="NQV28" s="28"/>
      <c r="NQW28" s="28"/>
      <c r="NQX28" s="28"/>
      <c r="NQY28" s="28"/>
      <c r="NQZ28" s="28"/>
      <c r="NRA28" s="28"/>
      <c r="NRB28" s="28"/>
      <c r="NRC28" s="28"/>
      <c r="NRD28" s="28"/>
      <c r="NRE28" s="28"/>
      <c r="NRF28" s="28"/>
      <c r="NRG28" s="28"/>
      <c r="NRH28" s="28"/>
      <c r="NRI28" s="28"/>
      <c r="NRJ28" s="28"/>
      <c r="NRK28" s="28"/>
      <c r="NRL28" s="28"/>
      <c r="NRM28" s="28"/>
      <c r="NRN28" s="28"/>
      <c r="NRO28" s="28"/>
      <c r="NRP28" s="28"/>
      <c r="NRQ28" s="28"/>
      <c r="NRR28" s="28"/>
      <c r="NRS28" s="28"/>
      <c r="NRT28" s="28"/>
      <c r="NRU28" s="28"/>
      <c r="NRV28" s="28"/>
      <c r="NRW28" s="28"/>
      <c r="NRX28" s="28"/>
      <c r="NRY28" s="28"/>
      <c r="NRZ28" s="28"/>
      <c r="NSA28" s="28"/>
      <c r="NSB28" s="28"/>
      <c r="NSC28" s="28"/>
      <c r="NSD28" s="28"/>
      <c r="NSE28" s="28"/>
      <c r="NSF28" s="28"/>
      <c r="NSG28" s="28"/>
      <c r="NSH28" s="28"/>
      <c r="NSI28" s="28"/>
      <c r="NSJ28" s="28"/>
      <c r="NSK28" s="28"/>
      <c r="NSL28" s="28"/>
      <c r="NSM28" s="28"/>
      <c r="NSN28" s="28"/>
      <c r="NSO28" s="28"/>
      <c r="NSP28" s="28"/>
      <c r="NSQ28" s="28"/>
      <c r="NSR28" s="28"/>
      <c r="NSS28" s="28"/>
      <c r="NST28" s="28"/>
      <c r="NSU28" s="28"/>
      <c r="NSV28" s="28"/>
      <c r="NSW28" s="28"/>
      <c r="NSX28" s="28"/>
      <c r="NSY28" s="28"/>
      <c r="NSZ28" s="28"/>
      <c r="NTA28" s="28"/>
      <c r="NTB28" s="28"/>
      <c r="NTC28" s="28"/>
      <c r="NTD28" s="28"/>
      <c r="NTE28" s="28"/>
      <c r="NTF28" s="28"/>
      <c r="NTG28" s="28"/>
      <c r="NTH28" s="28"/>
      <c r="NTI28" s="28"/>
      <c r="NTJ28" s="28"/>
      <c r="NTK28" s="28"/>
      <c r="NTL28" s="28"/>
      <c r="NTM28" s="28"/>
      <c r="NTN28" s="28"/>
      <c r="NTO28" s="28"/>
      <c r="NTP28" s="28"/>
      <c r="NTQ28" s="28"/>
      <c r="NTR28" s="28"/>
      <c r="NTS28" s="28"/>
      <c r="NTT28" s="28"/>
      <c r="NTU28" s="28"/>
      <c r="NTV28" s="28"/>
      <c r="NTW28" s="28"/>
      <c r="NTX28" s="28"/>
      <c r="NTY28" s="28"/>
      <c r="NTZ28" s="28"/>
      <c r="NUA28" s="28"/>
      <c r="NUB28" s="28"/>
      <c r="NUC28" s="28"/>
      <c r="NUD28" s="28"/>
      <c r="NUE28" s="28"/>
      <c r="NUF28" s="28"/>
      <c r="NUG28" s="28"/>
      <c r="NUH28" s="28"/>
      <c r="NUI28" s="28"/>
      <c r="NUJ28" s="28"/>
      <c r="NUK28" s="28"/>
      <c r="NUL28" s="28"/>
      <c r="NUM28" s="28"/>
      <c r="NUN28" s="28"/>
      <c r="NUO28" s="28"/>
      <c r="NUP28" s="28"/>
      <c r="NUQ28" s="28"/>
      <c r="NUR28" s="28"/>
      <c r="NUS28" s="28"/>
      <c r="NUT28" s="28"/>
      <c r="NUU28" s="28"/>
      <c r="NUV28" s="28"/>
      <c r="NUW28" s="28"/>
      <c r="NUX28" s="28"/>
      <c r="NUY28" s="28"/>
      <c r="NUZ28" s="28"/>
      <c r="NVA28" s="28"/>
      <c r="NVB28" s="28"/>
      <c r="NVC28" s="28"/>
      <c r="NVD28" s="28"/>
      <c r="NVE28" s="28"/>
      <c r="NVF28" s="28"/>
      <c r="NVG28" s="28"/>
      <c r="NVH28" s="28"/>
      <c r="NVI28" s="28"/>
      <c r="NVJ28" s="28"/>
      <c r="NVK28" s="28"/>
      <c r="NVL28" s="28"/>
      <c r="NVM28" s="28"/>
      <c r="NVN28" s="28"/>
      <c r="NVO28" s="28"/>
      <c r="NVP28" s="28"/>
      <c r="NVQ28" s="28"/>
      <c r="NVR28" s="28"/>
      <c r="NVS28" s="28"/>
      <c r="NVT28" s="28"/>
      <c r="NVU28" s="28"/>
      <c r="NVV28" s="28"/>
      <c r="NVW28" s="28"/>
      <c r="NVX28" s="28"/>
      <c r="NVY28" s="28"/>
      <c r="NVZ28" s="28"/>
      <c r="NWA28" s="28"/>
      <c r="NWB28" s="28"/>
      <c r="NWC28" s="28"/>
      <c r="NWD28" s="28"/>
      <c r="NWE28" s="28"/>
      <c r="NWF28" s="28"/>
      <c r="NWG28" s="28"/>
      <c r="NWH28" s="28"/>
      <c r="NWI28" s="28"/>
      <c r="NWJ28" s="28"/>
      <c r="NWK28" s="28"/>
      <c r="NWL28" s="28"/>
      <c r="NWM28" s="28"/>
      <c r="NWN28" s="28"/>
      <c r="NWO28" s="28"/>
      <c r="NWP28" s="28"/>
      <c r="NWQ28" s="28"/>
      <c r="NWR28" s="28"/>
      <c r="NWS28" s="28"/>
      <c r="NWT28" s="28"/>
      <c r="NWU28" s="28"/>
      <c r="NWV28" s="28"/>
      <c r="NWW28" s="28"/>
      <c r="NWX28" s="28"/>
      <c r="NWY28" s="28"/>
      <c r="NWZ28" s="28"/>
      <c r="NXA28" s="28"/>
      <c r="NXB28" s="28"/>
      <c r="NXC28" s="28"/>
      <c r="NXD28" s="28"/>
      <c r="NXE28" s="28"/>
      <c r="NXF28" s="28"/>
      <c r="NXG28" s="28"/>
      <c r="NXH28" s="28"/>
      <c r="NXI28" s="28"/>
      <c r="NXJ28" s="28"/>
      <c r="NXK28" s="28"/>
      <c r="NXL28" s="28"/>
      <c r="NXM28" s="28"/>
      <c r="NXN28" s="28"/>
      <c r="NXO28" s="28"/>
      <c r="NXP28" s="28"/>
      <c r="NXQ28" s="28"/>
      <c r="NXR28" s="28"/>
      <c r="NXS28" s="28"/>
      <c r="NXT28" s="28"/>
      <c r="NXU28" s="28"/>
      <c r="NXV28" s="28"/>
      <c r="NXW28" s="28"/>
      <c r="NXX28" s="28"/>
      <c r="NXY28" s="28"/>
      <c r="NXZ28" s="28"/>
      <c r="NYA28" s="28"/>
      <c r="NYB28" s="28"/>
      <c r="NYC28" s="28"/>
      <c r="NYD28" s="28"/>
      <c r="NYE28" s="28"/>
      <c r="NYF28" s="28"/>
      <c r="NYG28" s="28"/>
      <c r="NYH28" s="28"/>
      <c r="NYI28" s="28"/>
      <c r="NYJ28" s="28"/>
      <c r="NYK28" s="28"/>
      <c r="NYL28" s="28"/>
      <c r="NYM28" s="28"/>
      <c r="NYN28" s="28"/>
      <c r="NYO28" s="28"/>
      <c r="NYP28" s="28"/>
      <c r="NYQ28" s="28"/>
      <c r="NYR28" s="28"/>
      <c r="NYS28" s="28"/>
      <c r="NYT28" s="28"/>
      <c r="NYU28" s="28"/>
      <c r="NYV28" s="28"/>
      <c r="NYW28" s="28"/>
      <c r="NYX28" s="28"/>
      <c r="NYY28" s="28"/>
      <c r="NYZ28" s="28"/>
      <c r="NZA28" s="28"/>
      <c r="NZB28" s="28"/>
      <c r="NZC28" s="28"/>
      <c r="NZD28" s="28"/>
      <c r="NZE28" s="28"/>
      <c r="NZF28" s="28"/>
      <c r="NZG28" s="28"/>
      <c r="NZH28" s="28"/>
      <c r="NZI28" s="28"/>
      <c r="NZJ28" s="28"/>
      <c r="NZK28" s="28"/>
      <c r="NZL28" s="28"/>
      <c r="NZM28" s="28"/>
      <c r="NZN28" s="28"/>
      <c r="NZO28" s="28"/>
      <c r="NZP28" s="28"/>
      <c r="NZQ28" s="28"/>
      <c r="NZR28" s="28"/>
      <c r="NZS28" s="28"/>
      <c r="NZT28" s="28"/>
      <c r="NZU28" s="28"/>
      <c r="NZV28" s="28"/>
      <c r="NZW28" s="28"/>
      <c r="NZX28" s="28"/>
      <c r="NZY28" s="28"/>
      <c r="NZZ28" s="28"/>
      <c r="OAA28" s="28"/>
      <c r="OAB28" s="28"/>
      <c r="OAC28" s="28"/>
      <c r="OAD28" s="28"/>
      <c r="OAE28" s="28"/>
      <c r="OAF28" s="28"/>
      <c r="OAG28" s="28"/>
      <c r="OAH28" s="28"/>
      <c r="OAI28" s="28"/>
      <c r="OAJ28" s="28"/>
      <c r="OAK28" s="28"/>
      <c r="OAL28" s="28"/>
      <c r="OAM28" s="28"/>
      <c r="OAN28" s="28"/>
      <c r="OAO28" s="28"/>
      <c r="OAP28" s="28"/>
      <c r="OAQ28" s="28"/>
      <c r="OAR28" s="28"/>
      <c r="OAS28" s="28"/>
      <c r="OAT28" s="28"/>
      <c r="OAU28" s="28"/>
      <c r="OAV28" s="28"/>
      <c r="OAW28" s="28"/>
      <c r="OAX28" s="28"/>
      <c r="OAY28" s="28"/>
      <c r="OAZ28" s="28"/>
      <c r="OBA28" s="28"/>
      <c r="OBB28" s="28"/>
      <c r="OBC28" s="28"/>
      <c r="OBD28" s="28"/>
      <c r="OBE28" s="28"/>
      <c r="OBF28" s="28"/>
      <c r="OBG28" s="28"/>
      <c r="OBH28" s="28"/>
      <c r="OBI28" s="28"/>
      <c r="OBJ28" s="28"/>
      <c r="OBK28" s="28"/>
      <c r="OBL28" s="28"/>
      <c r="OBM28" s="28"/>
      <c r="OBN28" s="28"/>
      <c r="OBO28" s="28"/>
      <c r="OBP28" s="28"/>
      <c r="OBQ28" s="28"/>
      <c r="OBR28" s="28"/>
      <c r="OBS28" s="28"/>
      <c r="OBT28" s="28"/>
      <c r="OBU28" s="28"/>
      <c r="OBV28" s="28"/>
      <c r="OBW28" s="28"/>
      <c r="OBX28" s="28"/>
      <c r="OBY28" s="28"/>
      <c r="OBZ28" s="28"/>
      <c r="OCA28" s="28"/>
      <c r="OCB28" s="28"/>
      <c r="OCC28" s="28"/>
      <c r="OCD28" s="28"/>
      <c r="OCE28" s="28"/>
      <c r="OCF28" s="28"/>
      <c r="OCG28" s="28"/>
      <c r="OCH28" s="28"/>
      <c r="OCI28" s="28"/>
      <c r="OCJ28" s="28"/>
      <c r="OCK28" s="28"/>
      <c r="OCL28" s="28"/>
      <c r="OCM28" s="28"/>
      <c r="OCN28" s="28"/>
      <c r="OCO28" s="28"/>
      <c r="OCP28" s="28"/>
      <c r="OCQ28" s="28"/>
      <c r="OCR28" s="28"/>
      <c r="OCS28" s="28"/>
      <c r="OCT28" s="28"/>
      <c r="OCU28" s="28"/>
      <c r="OCV28" s="28"/>
      <c r="OCW28" s="28"/>
      <c r="OCX28" s="28"/>
      <c r="OCY28" s="28"/>
      <c r="OCZ28" s="28"/>
      <c r="ODA28" s="28"/>
      <c r="ODB28" s="28"/>
      <c r="ODC28" s="28"/>
      <c r="ODD28" s="28"/>
      <c r="ODE28" s="28"/>
      <c r="ODF28" s="28"/>
      <c r="ODG28" s="28"/>
      <c r="ODH28" s="28"/>
      <c r="ODI28" s="28"/>
      <c r="ODJ28" s="28"/>
      <c r="ODK28" s="28"/>
      <c r="ODL28" s="28"/>
      <c r="ODM28" s="28"/>
      <c r="ODN28" s="28"/>
      <c r="ODO28" s="28"/>
      <c r="ODP28" s="28"/>
      <c r="ODQ28" s="28"/>
      <c r="ODR28" s="28"/>
      <c r="ODS28" s="28"/>
      <c r="ODT28" s="28"/>
      <c r="ODU28" s="28"/>
      <c r="ODV28" s="28"/>
      <c r="ODW28" s="28"/>
      <c r="ODX28" s="28"/>
      <c r="ODY28" s="28"/>
      <c r="ODZ28" s="28"/>
      <c r="OEA28" s="28"/>
      <c r="OEB28" s="28"/>
      <c r="OEC28" s="28"/>
      <c r="OED28" s="28"/>
      <c r="OEE28" s="28"/>
      <c r="OEF28" s="28"/>
      <c r="OEG28" s="28"/>
      <c r="OEH28" s="28"/>
      <c r="OEI28" s="28"/>
      <c r="OEJ28" s="28"/>
      <c r="OEK28" s="28"/>
      <c r="OEL28" s="28"/>
      <c r="OEM28" s="28"/>
      <c r="OEN28" s="28"/>
      <c r="OEO28" s="28"/>
      <c r="OEP28" s="28"/>
      <c r="OEQ28" s="28"/>
      <c r="OER28" s="28"/>
      <c r="OES28" s="28"/>
      <c r="OET28" s="28"/>
      <c r="OEU28" s="28"/>
      <c r="OEV28" s="28"/>
      <c r="OEW28" s="28"/>
      <c r="OEX28" s="28"/>
      <c r="OEY28" s="28"/>
      <c r="OEZ28" s="28"/>
      <c r="OFA28" s="28"/>
      <c r="OFB28" s="28"/>
      <c r="OFC28" s="28"/>
      <c r="OFD28" s="28"/>
      <c r="OFE28" s="28"/>
      <c r="OFF28" s="28"/>
      <c r="OFG28" s="28"/>
      <c r="OFH28" s="28"/>
      <c r="OFI28" s="28"/>
      <c r="OFJ28" s="28"/>
      <c r="OFK28" s="28"/>
      <c r="OFL28" s="28"/>
      <c r="OFM28" s="28"/>
      <c r="OFN28" s="28"/>
      <c r="OFO28" s="28"/>
      <c r="OFP28" s="28"/>
      <c r="OFQ28" s="28"/>
      <c r="OFR28" s="28"/>
      <c r="OFS28" s="28"/>
      <c r="OFT28" s="28"/>
      <c r="OFU28" s="28"/>
      <c r="OFV28" s="28"/>
      <c r="OFW28" s="28"/>
      <c r="OFX28" s="28"/>
      <c r="OFY28" s="28"/>
      <c r="OFZ28" s="28"/>
      <c r="OGA28" s="28"/>
      <c r="OGB28" s="28"/>
      <c r="OGC28" s="28"/>
      <c r="OGD28" s="28"/>
      <c r="OGE28" s="28"/>
      <c r="OGF28" s="28"/>
      <c r="OGG28" s="28"/>
      <c r="OGH28" s="28"/>
      <c r="OGI28" s="28"/>
      <c r="OGJ28" s="28"/>
      <c r="OGK28" s="28"/>
      <c r="OGL28" s="28"/>
      <c r="OGM28" s="28"/>
      <c r="OGN28" s="28"/>
      <c r="OGO28" s="28"/>
      <c r="OGP28" s="28"/>
      <c r="OGQ28" s="28"/>
      <c r="OGR28" s="28"/>
      <c r="OGS28" s="28"/>
      <c r="OGT28" s="28"/>
      <c r="OGU28" s="28"/>
      <c r="OGV28" s="28"/>
      <c r="OGW28" s="28"/>
      <c r="OGX28" s="28"/>
      <c r="OGY28" s="28"/>
      <c r="OGZ28" s="28"/>
      <c r="OHA28" s="28"/>
      <c r="OHB28" s="28"/>
      <c r="OHC28" s="28"/>
      <c r="OHD28" s="28"/>
      <c r="OHE28" s="28"/>
      <c r="OHF28" s="28"/>
      <c r="OHG28" s="28"/>
      <c r="OHH28" s="28"/>
      <c r="OHI28" s="28"/>
      <c r="OHJ28" s="28"/>
      <c r="OHK28" s="28"/>
      <c r="OHL28" s="28"/>
      <c r="OHM28" s="28"/>
      <c r="OHN28" s="28"/>
      <c r="OHO28" s="28"/>
      <c r="OHP28" s="28"/>
      <c r="OHQ28" s="28"/>
      <c r="OHR28" s="28"/>
      <c r="OHS28" s="28"/>
      <c r="OHT28" s="28"/>
      <c r="OHU28" s="28"/>
      <c r="OHV28" s="28"/>
      <c r="OHW28" s="28"/>
      <c r="OHX28" s="28"/>
      <c r="OHY28" s="28"/>
      <c r="OHZ28" s="28"/>
      <c r="OIA28" s="28"/>
      <c r="OIB28" s="28"/>
      <c r="OIC28" s="28"/>
      <c r="OID28" s="28"/>
      <c r="OIE28" s="28"/>
      <c r="OIF28" s="28"/>
      <c r="OIG28" s="28"/>
      <c r="OIH28" s="28"/>
      <c r="OII28" s="28"/>
      <c r="OIJ28" s="28"/>
      <c r="OIK28" s="28"/>
      <c r="OIL28" s="28"/>
      <c r="OIM28" s="28"/>
      <c r="OIN28" s="28"/>
      <c r="OIO28" s="28"/>
      <c r="OIP28" s="28"/>
      <c r="OIQ28" s="28"/>
      <c r="OIR28" s="28"/>
      <c r="OIS28" s="28"/>
      <c r="OIT28" s="28"/>
      <c r="OIU28" s="28"/>
      <c r="OIV28" s="28"/>
      <c r="OIW28" s="28"/>
      <c r="OIX28" s="28"/>
      <c r="OIY28" s="28"/>
      <c r="OIZ28" s="28"/>
      <c r="OJA28" s="28"/>
      <c r="OJB28" s="28"/>
      <c r="OJC28" s="28"/>
      <c r="OJD28" s="28"/>
      <c r="OJE28" s="28"/>
      <c r="OJF28" s="28"/>
      <c r="OJG28" s="28"/>
      <c r="OJH28" s="28"/>
      <c r="OJI28" s="28"/>
      <c r="OJJ28" s="28"/>
      <c r="OJK28" s="28"/>
      <c r="OJL28" s="28"/>
      <c r="OJM28" s="28"/>
      <c r="OJN28" s="28"/>
      <c r="OJO28" s="28"/>
      <c r="OJP28" s="28"/>
      <c r="OJQ28" s="28"/>
      <c r="OJR28" s="28"/>
      <c r="OJS28" s="28"/>
      <c r="OJT28" s="28"/>
      <c r="OJU28" s="28"/>
      <c r="OJV28" s="28"/>
      <c r="OJW28" s="28"/>
      <c r="OJX28" s="28"/>
      <c r="OJY28" s="28"/>
      <c r="OJZ28" s="28"/>
      <c r="OKA28" s="28"/>
      <c r="OKB28" s="28"/>
      <c r="OKC28" s="28"/>
      <c r="OKD28" s="28"/>
      <c r="OKE28" s="28"/>
      <c r="OKF28" s="28"/>
      <c r="OKG28" s="28"/>
      <c r="OKH28" s="28"/>
      <c r="OKI28" s="28"/>
      <c r="OKJ28" s="28"/>
      <c r="OKK28" s="28"/>
      <c r="OKL28" s="28"/>
      <c r="OKM28" s="28"/>
      <c r="OKN28" s="28"/>
      <c r="OKO28" s="28"/>
      <c r="OKP28" s="28"/>
      <c r="OKQ28" s="28"/>
      <c r="OKR28" s="28"/>
      <c r="OKS28" s="28"/>
      <c r="OKT28" s="28"/>
      <c r="OKU28" s="28"/>
      <c r="OKV28" s="28"/>
      <c r="OKW28" s="28"/>
      <c r="OKX28" s="28"/>
      <c r="OKY28" s="28"/>
      <c r="OKZ28" s="28"/>
      <c r="OLA28" s="28"/>
      <c r="OLB28" s="28"/>
      <c r="OLC28" s="28"/>
      <c r="OLD28" s="28"/>
      <c r="OLE28" s="28"/>
      <c r="OLF28" s="28"/>
      <c r="OLG28" s="28"/>
      <c r="OLH28" s="28"/>
      <c r="OLI28" s="28"/>
      <c r="OLJ28" s="28"/>
      <c r="OLK28" s="28"/>
      <c r="OLL28" s="28"/>
      <c r="OLM28" s="28"/>
      <c r="OLN28" s="28"/>
      <c r="OLO28" s="28"/>
      <c r="OLP28" s="28"/>
      <c r="OLQ28" s="28"/>
      <c r="OLR28" s="28"/>
      <c r="OLS28" s="28"/>
      <c r="OLT28" s="28"/>
      <c r="OLU28" s="28"/>
      <c r="OLV28" s="28"/>
      <c r="OLW28" s="28"/>
      <c r="OLX28" s="28"/>
      <c r="OLY28" s="28"/>
      <c r="OLZ28" s="28"/>
      <c r="OMA28" s="28"/>
      <c r="OMB28" s="28"/>
      <c r="OMC28" s="28"/>
      <c r="OMD28" s="28"/>
      <c r="OME28" s="28"/>
      <c r="OMF28" s="28"/>
      <c r="OMG28" s="28"/>
      <c r="OMH28" s="28"/>
      <c r="OMI28" s="28"/>
      <c r="OMJ28" s="28"/>
      <c r="OMK28" s="28"/>
      <c r="OML28" s="28"/>
      <c r="OMM28" s="28"/>
      <c r="OMN28" s="28"/>
      <c r="OMO28" s="28"/>
      <c r="OMP28" s="28"/>
      <c r="OMQ28" s="28"/>
      <c r="OMR28" s="28"/>
      <c r="OMS28" s="28"/>
      <c r="OMT28" s="28"/>
      <c r="OMU28" s="28"/>
      <c r="OMV28" s="28"/>
      <c r="OMW28" s="28"/>
      <c r="OMX28" s="28"/>
      <c r="OMY28" s="28"/>
      <c r="OMZ28" s="28"/>
      <c r="ONA28" s="28"/>
      <c r="ONB28" s="28"/>
      <c r="ONC28" s="28"/>
      <c r="OND28" s="28"/>
      <c r="ONE28" s="28"/>
      <c r="ONF28" s="28"/>
      <c r="ONG28" s="28"/>
      <c r="ONH28" s="28"/>
      <c r="ONI28" s="28"/>
      <c r="ONJ28" s="28"/>
      <c r="ONK28" s="28"/>
      <c r="ONL28" s="28"/>
      <c r="ONM28" s="28"/>
      <c r="ONN28" s="28"/>
      <c r="ONO28" s="28"/>
      <c r="ONP28" s="28"/>
      <c r="ONQ28" s="28"/>
      <c r="ONR28" s="28"/>
      <c r="ONS28" s="28"/>
      <c r="ONT28" s="28"/>
      <c r="ONU28" s="28"/>
      <c r="ONV28" s="28"/>
      <c r="ONW28" s="28"/>
      <c r="ONX28" s="28"/>
      <c r="ONY28" s="28"/>
      <c r="ONZ28" s="28"/>
      <c r="OOA28" s="28"/>
      <c r="OOB28" s="28"/>
      <c r="OOC28" s="28"/>
      <c r="OOD28" s="28"/>
      <c r="OOE28" s="28"/>
      <c r="OOF28" s="28"/>
      <c r="OOG28" s="28"/>
      <c r="OOH28" s="28"/>
      <c r="OOI28" s="28"/>
      <c r="OOJ28" s="28"/>
      <c r="OOK28" s="28"/>
      <c r="OOL28" s="28"/>
      <c r="OOM28" s="28"/>
      <c r="OON28" s="28"/>
      <c r="OOO28" s="28"/>
      <c r="OOP28" s="28"/>
      <c r="OOQ28" s="28"/>
      <c r="OOR28" s="28"/>
      <c r="OOS28" s="28"/>
      <c r="OOT28" s="28"/>
      <c r="OOU28" s="28"/>
      <c r="OOV28" s="28"/>
      <c r="OOW28" s="28"/>
      <c r="OOX28" s="28"/>
      <c r="OOY28" s="28"/>
      <c r="OOZ28" s="28"/>
      <c r="OPA28" s="28"/>
      <c r="OPB28" s="28"/>
      <c r="OPC28" s="28"/>
      <c r="OPD28" s="28"/>
      <c r="OPE28" s="28"/>
      <c r="OPF28" s="28"/>
      <c r="OPG28" s="28"/>
      <c r="OPH28" s="28"/>
      <c r="OPI28" s="28"/>
      <c r="OPJ28" s="28"/>
      <c r="OPK28" s="28"/>
      <c r="OPL28" s="28"/>
      <c r="OPM28" s="28"/>
      <c r="OPN28" s="28"/>
      <c r="OPO28" s="28"/>
      <c r="OPP28" s="28"/>
      <c r="OPQ28" s="28"/>
      <c r="OPR28" s="28"/>
      <c r="OPS28" s="28"/>
      <c r="OPT28" s="28"/>
      <c r="OPU28" s="28"/>
      <c r="OPV28" s="28"/>
      <c r="OPW28" s="28"/>
      <c r="OPX28" s="28"/>
      <c r="OPY28" s="28"/>
      <c r="OPZ28" s="28"/>
      <c r="OQA28" s="28"/>
      <c r="OQB28" s="28"/>
      <c r="OQC28" s="28"/>
      <c r="OQD28" s="28"/>
      <c r="OQE28" s="28"/>
      <c r="OQF28" s="28"/>
      <c r="OQG28" s="28"/>
      <c r="OQH28" s="28"/>
      <c r="OQI28" s="28"/>
      <c r="OQJ28" s="28"/>
      <c r="OQK28" s="28"/>
      <c r="OQL28" s="28"/>
      <c r="OQM28" s="28"/>
      <c r="OQN28" s="28"/>
      <c r="OQO28" s="28"/>
      <c r="OQP28" s="28"/>
      <c r="OQQ28" s="28"/>
      <c r="OQR28" s="28"/>
      <c r="OQS28" s="28"/>
      <c r="OQT28" s="28"/>
      <c r="OQU28" s="28"/>
      <c r="OQV28" s="28"/>
      <c r="OQW28" s="28"/>
      <c r="OQX28" s="28"/>
      <c r="OQY28" s="28"/>
      <c r="OQZ28" s="28"/>
      <c r="ORA28" s="28"/>
      <c r="ORB28" s="28"/>
      <c r="ORC28" s="28"/>
      <c r="ORD28" s="28"/>
      <c r="ORE28" s="28"/>
      <c r="ORF28" s="28"/>
      <c r="ORG28" s="28"/>
      <c r="ORH28" s="28"/>
      <c r="ORI28" s="28"/>
      <c r="ORJ28" s="28"/>
      <c r="ORK28" s="28"/>
      <c r="ORL28" s="28"/>
      <c r="ORM28" s="28"/>
      <c r="ORN28" s="28"/>
      <c r="ORO28" s="28"/>
      <c r="ORP28" s="28"/>
      <c r="ORQ28" s="28"/>
      <c r="ORR28" s="28"/>
      <c r="ORS28" s="28"/>
      <c r="ORT28" s="28"/>
      <c r="ORU28" s="28"/>
      <c r="ORV28" s="28"/>
      <c r="ORW28" s="28"/>
      <c r="ORX28" s="28"/>
      <c r="ORY28" s="28"/>
      <c r="ORZ28" s="28"/>
      <c r="OSA28" s="28"/>
      <c r="OSB28" s="28"/>
      <c r="OSC28" s="28"/>
      <c r="OSD28" s="28"/>
      <c r="OSE28" s="28"/>
      <c r="OSF28" s="28"/>
      <c r="OSG28" s="28"/>
      <c r="OSH28" s="28"/>
      <c r="OSI28" s="28"/>
      <c r="OSJ28" s="28"/>
      <c r="OSK28" s="28"/>
      <c r="OSL28" s="28"/>
      <c r="OSM28" s="28"/>
      <c r="OSN28" s="28"/>
      <c r="OSO28" s="28"/>
      <c r="OSP28" s="28"/>
      <c r="OSQ28" s="28"/>
      <c r="OSR28" s="28"/>
      <c r="OSS28" s="28"/>
      <c r="OST28" s="28"/>
      <c r="OSU28" s="28"/>
      <c r="OSV28" s="28"/>
      <c r="OSW28" s="28"/>
      <c r="OSX28" s="28"/>
      <c r="OSY28" s="28"/>
      <c r="OSZ28" s="28"/>
      <c r="OTA28" s="28"/>
      <c r="OTB28" s="28"/>
      <c r="OTC28" s="28"/>
      <c r="OTD28" s="28"/>
      <c r="OTE28" s="28"/>
      <c r="OTF28" s="28"/>
      <c r="OTG28" s="28"/>
      <c r="OTH28" s="28"/>
      <c r="OTI28" s="28"/>
      <c r="OTJ28" s="28"/>
      <c r="OTK28" s="28"/>
      <c r="OTL28" s="28"/>
      <c r="OTM28" s="28"/>
      <c r="OTN28" s="28"/>
      <c r="OTO28" s="28"/>
      <c r="OTP28" s="28"/>
      <c r="OTQ28" s="28"/>
      <c r="OTR28" s="28"/>
      <c r="OTS28" s="28"/>
      <c r="OTT28" s="28"/>
      <c r="OTU28" s="28"/>
      <c r="OTV28" s="28"/>
      <c r="OTW28" s="28"/>
      <c r="OTX28" s="28"/>
      <c r="OTY28" s="28"/>
      <c r="OTZ28" s="28"/>
      <c r="OUA28" s="28"/>
      <c r="OUB28" s="28"/>
      <c r="OUC28" s="28"/>
      <c r="OUD28" s="28"/>
      <c r="OUE28" s="28"/>
      <c r="OUF28" s="28"/>
      <c r="OUG28" s="28"/>
      <c r="OUH28" s="28"/>
      <c r="OUI28" s="28"/>
      <c r="OUJ28" s="28"/>
      <c r="OUK28" s="28"/>
      <c r="OUL28" s="28"/>
      <c r="OUM28" s="28"/>
      <c r="OUN28" s="28"/>
      <c r="OUO28" s="28"/>
      <c r="OUP28" s="28"/>
      <c r="OUQ28" s="28"/>
      <c r="OUR28" s="28"/>
      <c r="OUS28" s="28"/>
      <c r="OUT28" s="28"/>
      <c r="OUU28" s="28"/>
      <c r="OUV28" s="28"/>
      <c r="OUW28" s="28"/>
      <c r="OUX28" s="28"/>
      <c r="OUY28" s="28"/>
      <c r="OUZ28" s="28"/>
      <c r="OVA28" s="28"/>
      <c r="OVB28" s="28"/>
      <c r="OVC28" s="28"/>
      <c r="OVD28" s="28"/>
      <c r="OVE28" s="28"/>
      <c r="OVF28" s="28"/>
      <c r="OVG28" s="28"/>
      <c r="OVH28" s="28"/>
      <c r="OVI28" s="28"/>
      <c r="OVJ28" s="28"/>
      <c r="OVK28" s="28"/>
      <c r="OVL28" s="28"/>
      <c r="OVM28" s="28"/>
      <c r="OVN28" s="28"/>
      <c r="OVO28" s="28"/>
      <c r="OVP28" s="28"/>
      <c r="OVQ28" s="28"/>
      <c r="OVR28" s="28"/>
      <c r="OVS28" s="28"/>
      <c r="OVT28" s="28"/>
      <c r="OVU28" s="28"/>
      <c r="OVV28" s="28"/>
      <c r="OVW28" s="28"/>
      <c r="OVX28" s="28"/>
      <c r="OVY28" s="28"/>
      <c r="OVZ28" s="28"/>
      <c r="OWA28" s="28"/>
      <c r="OWB28" s="28"/>
      <c r="OWC28" s="28"/>
      <c r="OWD28" s="28"/>
      <c r="OWE28" s="28"/>
      <c r="OWF28" s="28"/>
      <c r="OWG28" s="28"/>
      <c r="OWH28" s="28"/>
      <c r="OWI28" s="28"/>
      <c r="OWJ28" s="28"/>
      <c r="OWK28" s="28"/>
      <c r="OWL28" s="28"/>
      <c r="OWM28" s="28"/>
      <c r="OWN28" s="28"/>
      <c r="OWO28" s="28"/>
      <c r="OWP28" s="28"/>
      <c r="OWQ28" s="28"/>
      <c r="OWR28" s="28"/>
      <c r="OWS28" s="28"/>
      <c r="OWT28" s="28"/>
      <c r="OWU28" s="28"/>
      <c r="OWV28" s="28"/>
      <c r="OWW28" s="28"/>
      <c r="OWX28" s="28"/>
      <c r="OWY28" s="28"/>
      <c r="OWZ28" s="28"/>
      <c r="OXA28" s="28"/>
      <c r="OXB28" s="28"/>
      <c r="OXC28" s="28"/>
      <c r="OXD28" s="28"/>
      <c r="OXE28" s="28"/>
      <c r="OXF28" s="28"/>
      <c r="OXG28" s="28"/>
      <c r="OXH28" s="28"/>
      <c r="OXI28" s="28"/>
      <c r="OXJ28" s="28"/>
      <c r="OXK28" s="28"/>
      <c r="OXL28" s="28"/>
      <c r="OXM28" s="28"/>
      <c r="OXN28" s="28"/>
      <c r="OXO28" s="28"/>
      <c r="OXP28" s="28"/>
      <c r="OXQ28" s="28"/>
      <c r="OXR28" s="28"/>
      <c r="OXS28" s="28"/>
      <c r="OXT28" s="28"/>
      <c r="OXU28" s="28"/>
      <c r="OXV28" s="28"/>
      <c r="OXW28" s="28"/>
      <c r="OXX28" s="28"/>
      <c r="OXY28" s="28"/>
      <c r="OXZ28" s="28"/>
      <c r="OYA28" s="28"/>
      <c r="OYB28" s="28"/>
      <c r="OYC28" s="28"/>
      <c r="OYD28" s="28"/>
      <c r="OYE28" s="28"/>
      <c r="OYF28" s="28"/>
      <c r="OYG28" s="28"/>
      <c r="OYH28" s="28"/>
      <c r="OYI28" s="28"/>
      <c r="OYJ28" s="28"/>
      <c r="OYK28" s="28"/>
      <c r="OYL28" s="28"/>
      <c r="OYM28" s="28"/>
      <c r="OYN28" s="28"/>
      <c r="OYO28" s="28"/>
      <c r="OYP28" s="28"/>
      <c r="OYQ28" s="28"/>
      <c r="OYR28" s="28"/>
      <c r="OYS28" s="28"/>
      <c r="OYT28" s="28"/>
      <c r="OYU28" s="28"/>
      <c r="OYV28" s="28"/>
      <c r="OYW28" s="28"/>
      <c r="OYX28" s="28"/>
      <c r="OYY28" s="28"/>
      <c r="OYZ28" s="28"/>
      <c r="OZA28" s="28"/>
      <c r="OZB28" s="28"/>
      <c r="OZC28" s="28"/>
      <c r="OZD28" s="28"/>
      <c r="OZE28" s="28"/>
      <c r="OZF28" s="28"/>
      <c r="OZG28" s="28"/>
      <c r="OZH28" s="28"/>
      <c r="OZI28" s="28"/>
      <c r="OZJ28" s="28"/>
      <c r="OZK28" s="28"/>
      <c r="OZL28" s="28"/>
      <c r="OZM28" s="28"/>
      <c r="OZN28" s="28"/>
      <c r="OZO28" s="28"/>
      <c r="OZP28" s="28"/>
      <c r="OZQ28" s="28"/>
      <c r="OZR28" s="28"/>
      <c r="OZS28" s="28"/>
      <c r="OZT28" s="28"/>
      <c r="OZU28" s="28"/>
      <c r="OZV28" s="28"/>
      <c r="OZW28" s="28"/>
      <c r="OZX28" s="28"/>
      <c r="OZY28" s="28"/>
      <c r="OZZ28" s="28"/>
      <c r="PAA28" s="28"/>
      <c r="PAB28" s="28"/>
      <c r="PAC28" s="28"/>
      <c r="PAD28" s="28"/>
      <c r="PAE28" s="28"/>
      <c r="PAF28" s="28"/>
      <c r="PAG28" s="28"/>
      <c r="PAH28" s="28"/>
      <c r="PAI28" s="28"/>
      <c r="PAJ28" s="28"/>
      <c r="PAK28" s="28"/>
      <c r="PAL28" s="28"/>
      <c r="PAM28" s="28"/>
      <c r="PAN28" s="28"/>
      <c r="PAO28" s="28"/>
      <c r="PAP28" s="28"/>
      <c r="PAQ28" s="28"/>
      <c r="PAR28" s="28"/>
      <c r="PAS28" s="28"/>
      <c r="PAT28" s="28"/>
      <c r="PAU28" s="28"/>
      <c r="PAV28" s="28"/>
      <c r="PAW28" s="28"/>
      <c r="PAX28" s="28"/>
      <c r="PAY28" s="28"/>
      <c r="PAZ28" s="28"/>
      <c r="PBA28" s="28"/>
      <c r="PBB28" s="28"/>
      <c r="PBC28" s="28"/>
      <c r="PBD28" s="28"/>
      <c r="PBE28" s="28"/>
      <c r="PBF28" s="28"/>
      <c r="PBG28" s="28"/>
      <c r="PBH28" s="28"/>
      <c r="PBI28" s="28"/>
      <c r="PBJ28" s="28"/>
      <c r="PBK28" s="28"/>
      <c r="PBL28" s="28"/>
      <c r="PBM28" s="28"/>
      <c r="PBN28" s="28"/>
      <c r="PBO28" s="28"/>
      <c r="PBP28" s="28"/>
      <c r="PBQ28" s="28"/>
      <c r="PBR28" s="28"/>
      <c r="PBS28" s="28"/>
      <c r="PBT28" s="28"/>
      <c r="PBU28" s="28"/>
      <c r="PBV28" s="28"/>
      <c r="PBW28" s="28"/>
      <c r="PBX28" s="28"/>
      <c r="PBY28" s="28"/>
      <c r="PBZ28" s="28"/>
      <c r="PCA28" s="28"/>
      <c r="PCB28" s="28"/>
      <c r="PCC28" s="28"/>
      <c r="PCD28" s="28"/>
      <c r="PCE28" s="28"/>
      <c r="PCF28" s="28"/>
      <c r="PCG28" s="28"/>
      <c r="PCH28" s="28"/>
      <c r="PCI28" s="28"/>
      <c r="PCJ28" s="28"/>
      <c r="PCK28" s="28"/>
      <c r="PCL28" s="28"/>
      <c r="PCM28" s="28"/>
      <c r="PCN28" s="28"/>
      <c r="PCO28" s="28"/>
      <c r="PCP28" s="28"/>
      <c r="PCQ28" s="28"/>
      <c r="PCR28" s="28"/>
      <c r="PCS28" s="28"/>
      <c r="PCT28" s="28"/>
      <c r="PCU28" s="28"/>
      <c r="PCV28" s="28"/>
      <c r="PCW28" s="28"/>
      <c r="PCX28" s="28"/>
      <c r="PCY28" s="28"/>
      <c r="PCZ28" s="28"/>
      <c r="PDA28" s="28"/>
      <c r="PDB28" s="28"/>
      <c r="PDC28" s="28"/>
      <c r="PDD28" s="28"/>
      <c r="PDE28" s="28"/>
      <c r="PDF28" s="28"/>
      <c r="PDG28" s="28"/>
      <c r="PDH28" s="28"/>
      <c r="PDI28" s="28"/>
      <c r="PDJ28" s="28"/>
      <c r="PDK28" s="28"/>
      <c r="PDL28" s="28"/>
      <c r="PDM28" s="28"/>
      <c r="PDN28" s="28"/>
      <c r="PDO28" s="28"/>
      <c r="PDP28" s="28"/>
      <c r="PDQ28" s="28"/>
      <c r="PDR28" s="28"/>
      <c r="PDS28" s="28"/>
      <c r="PDT28" s="28"/>
      <c r="PDU28" s="28"/>
      <c r="PDV28" s="28"/>
      <c r="PDW28" s="28"/>
      <c r="PDX28" s="28"/>
      <c r="PDY28" s="28"/>
      <c r="PDZ28" s="28"/>
      <c r="PEA28" s="28"/>
      <c r="PEB28" s="28"/>
      <c r="PEC28" s="28"/>
      <c r="PED28" s="28"/>
      <c r="PEE28" s="28"/>
      <c r="PEF28" s="28"/>
      <c r="PEG28" s="28"/>
      <c r="PEH28" s="28"/>
      <c r="PEI28" s="28"/>
      <c r="PEJ28" s="28"/>
      <c r="PEK28" s="28"/>
      <c r="PEL28" s="28"/>
      <c r="PEM28" s="28"/>
      <c r="PEN28" s="28"/>
      <c r="PEO28" s="28"/>
      <c r="PEP28" s="28"/>
      <c r="PEQ28" s="28"/>
      <c r="PER28" s="28"/>
      <c r="PES28" s="28"/>
      <c r="PET28" s="28"/>
      <c r="PEU28" s="28"/>
      <c r="PEV28" s="28"/>
      <c r="PEW28" s="28"/>
      <c r="PEX28" s="28"/>
      <c r="PEY28" s="28"/>
      <c r="PEZ28" s="28"/>
      <c r="PFA28" s="28"/>
      <c r="PFB28" s="28"/>
      <c r="PFC28" s="28"/>
      <c r="PFD28" s="28"/>
      <c r="PFE28" s="28"/>
      <c r="PFF28" s="28"/>
      <c r="PFG28" s="28"/>
      <c r="PFH28" s="28"/>
      <c r="PFI28" s="28"/>
      <c r="PFJ28" s="28"/>
      <c r="PFK28" s="28"/>
      <c r="PFL28" s="28"/>
      <c r="PFM28" s="28"/>
      <c r="PFN28" s="28"/>
      <c r="PFO28" s="28"/>
      <c r="PFP28" s="28"/>
      <c r="PFQ28" s="28"/>
      <c r="PFR28" s="28"/>
      <c r="PFS28" s="28"/>
      <c r="PFT28" s="28"/>
      <c r="PFU28" s="28"/>
      <c r="PFV28" s="28"/>
      <c r="PFW28" s="28"/>
      <c r="PFX28" s="28"/>
      <c r="PFY28" s="28"/>
      <c r="PFZ28" s="28"/>
      <c r="PGA28" s="28"/>
      <c r="PGB28" s="28"/>
      <c r="PGC28" s="28"/>
      <c r="PGD28" s="28"/>
      <c r="PGE28" s="28"/>
      <c r="PGF28" s="28"/>
      <c r="PGG28" s="28"/>
      <c r="PGH28" s="28"/>
      <c r="PGI28" s="28"/>
      <c r="PGJ28" s="28"/>
      <c r="PGK28" s="28"/>
      <c r="PGL28" s="28"/>
      <c r="PGM28" s="28"/>
      <c r="PGN28" s="28"/>
      <c r="PGO28" s="28"/>
      <c r="PGP28" s="28"/>
      <c r="PGQ28" s="28"/>
      <c r="PGR28" s="28"/>
      <c r="PGS28" s="28"/>
      <c r="PGT28" s="28"/>
      <c r="PGU28" s="28"/>
      <c r="PGV28" s="28"/>
      <c r="PGW28" s="28"/>
      <c r="PGX28" s="28"/>
      <c r="PGY28" s="28"/>
      <c r="PGZ28" s="28"/>
      <c r="PHA28" s="28"/>
      <c r="PHB28" s="28"/>
      <c r="PHC28" s="28"/>
      <c r="PHD28" s="28"/>
      <c r="PHE28" s="28"/>
      <c r="PHF28" s="28"/>
      <c r="PHG28" s="28"/>
      <c r="PHH28" s="28"/>
      <c r="PHI28" s="28"/>
      <c r="PHJ28" s="28"/>
      <c r="PHK28" s="28"/>
      <c r="PHL28" s="28"/>
      <c r="PHM28" s="28"/>
      <c r="PHN28" s="28"/>
      <c r="PHO28" s="28"/>
      <c r="PHP28" s="28"/>
      <c r="PHQ28" s="28"/>
      <c r="PHR28" s="28"/>
      <c r="PHS28" s="28"/>
      <c r="PHT28" s="28"/>
      <c r="PHU28" s="28"/>
      <c r="PHV28" s="28"/>
      <c r="PHW28" s="28"/>
      <c r="PHX28" s="28"/>
      <c r="PHY28" s="28"/>
      <c r="PHZ28" s="28"/>
      <c r="PIA28" s="28"/>
      <c r="PIB28" s="28"/>
      <c r="PIC28" s="28"/>
      <c r="PID28" s="28"/>
      <c r="PIE28" s="28"/>
      <c r="PIF28" s="28"/>
      <c r="PIG28" s="28"/>
      <c r="PIH28" s="28"/>
      <c r="PII28" s="28"/>
      <c r="PIJ28" s="28"/>
      <c r="PIK28" s="28"/>
      <c r="PIL28" s="28"/>
      <c r="PIM28" s="28"/>
      <c r="PIN28" s="28"/>
      <c r="PIO28" s="28"/>
      <c r="PIP28" s="28"/>
      <c r="PIQ28" s="28"/>
      <c r="PIR28" s="28"/>
      <c r="PIS28" s="28"/>
      <c r="PIT28" s="28"/>
      <c r="PIU28" s="28"/>
      <c r="PIV28" s="28"/>
      <c r="PIW28" s="28"/>
      <c r="PIX28" s="28"/>
      <c r="PIY28" s="28"/>
      <c r="PIZ28" s="28"/>
      <c r="PJA28" s="28"/>
      <c r="PJB28" s="28"/>
      <c r="PJC28" s="28"/>
      <c r="PJD28" s="28"/>
      <c r="PJE28" s="28"/>
      <c r="PJF28" s="28"/>
      <c r="PJG28" s="28"/>
      <c r="PJH28" s="28"/>
      <c r="PJI28" s="28"/>
      <c r="PJJ28" s="28"/>
      <c r="PJK28" s="28"/>
      <c r="PJL28" s="28"/>
      <c r="PJM28" s="28"/>
      <c r="PJN28" s="28"/>
      <c r="PJO28" s="28"/>
      <c r="PJP28" s="28"/>
      <c r="PJQ28" s="28"/>
      <c r="PJR28" s="28"/>
      <c r="PJS28" s="28"/>
      <c r="PJT28" s="28"/>
      <c r="PJU28" s="28"/>
      <c r="PJV28" s="28"/>
      <c r="PJW28" s="28"/>
      <c r="PJX28" s="28"/>
      <c r="PJY28" s="28"/>
      <c r="PJZ28" s="28"/>
      <c r="PKA28" s="28"/>
      <c r="PKB28" s="28"/>
      <c r="PKC28" s="28"/>
      <c r="PKD28" s="28"/>
      <c r="PKE28" s="28"/>
      <c r="PKF28" s="28"/>
      <c r="PKG28" s="28"/>
      <c r="PKH28" s="28"/>
      <c r="PKI28" s="28"/>
      <c r="PKJ28" s="28"/>
      <c r="PKK28" s="28"/>
      <c r="PKL28" s="28"/>
      <c r="PKM28" s="28"/>
      <c r="PKN28" s="28"/>
      <c r="PKO28" s="28"/>
      <c r="PKP28" s="28"/>
      <c r="PKQ28" s="28"/>
      <c r="PKR28" s="28"/>
      <c r="PKS28" s="28"/>
      <c r="PKT28" s="28"/>
      <c r="PKU28" s="28"/>
      <c r="PKV28" s="28"/>
      <c r="PKW28" s="28"/>
      <c r="PKX28" s="28"/>
      <c r="PKY28" s="28"/>
      <c r="PKZ28" s="28"/>
      <c r="PLA28" s="28"/>
      <c r="PLB28" s="28"/>
      <c r="PLC28" s="28"/>
      <c r="PLD28" s="28"/>
      <c r="PLE28" s="28"/>
      <c r="PLF28" s="28"/>
      <c r="PLG28" s="28"/>
      <c r="PLH28" s="28"/>
      <c r="PLI28" s="28"/>
      <c r="PLJ28" s="28"/>
      <c r="PLK28" s="28"/>
      <c r="PLL28" s="28"/>
      <c r="PLM28" s="28"/>
      <c r="PLN28" s="28"/>
      <c r="PLO28" s="28"/>
      <c r="PLP28" s="28"/>
      <c r="PLQ28" s="28"/>
      <c r="PLR28" s="28"/>
      <c r="PLS28" s="28"/>
      <c r="PLT28" s="28"/>
      <c r="PLU28" s="28"/>
      <c r="PLV28" s="28"/>
      <c r="PLW28" s="28"/>
      <c r="PLX28" s="28"/>
      <c r="PLY28" s="28"/>
      <c r="PLZ28" s="28"/>
      <c r="PMA28" s="28"/>
      <c r="PMB28" s="28"/>
      <c r="PMC28" s="28"/>
      <c r="PMD28" s="28"/>
      <c r="PME28" s="28"/>
      <c r="PMF28" s="28"/>
      <c r="PMG28" s="28"/>
      <c r="PMH28" s="28"/>
      <c r="PMI28" s="28"/>
      <c r="PMJ28" s="28"/>
      <c r="PMK28" s="28"/>
      <c r="PML28" s="28"/>
      <c r="PMM28" s="28"/>
      <c r="PMN28" s="28"/>
      <c r="PMO28" s="28"/>
      <c r="PMP28" s="28"/>
      <c r="PMQ28" s="28"/>
      <c r="PMR28" s="28"/>
      <c r="PMS28" s="28"/>
      <c r="PMT28" s="28"/>
      <c r="PMU28" s="28"/>
      <c r="PMV28" s="28"/>
      <c r="PMW28" s="28"/>
      <c r="PMX28" s="28"/>
      <c r="PMY28" s="28"/>
      <c r="PMZ28" s="28"/>
      <c r="PNA28" s="28"/>
      <c r="PNB28" s="28"/>
      <c r="PNC28" s="28"/>
      <c r="PND28" s="28"/>
      <c r="PNE28" s="28"/>
      <c r="PNF28" s="28"/>
      <c r="PNG28" s="28"/>
      <c r="PNH28" s="28"/>
      <c r="PNI28" s="28"/>
      <c r="PNJ28" s="28"/>
      <c r="PNK28" s="28"/>
      <c r="PNL28" s="28"/>
      <c r="PNM28" s="28"/>
      <c r="PNN28" s="28"/>
      <c r="PNO28" s="28"/>
      <c r="PNP28" s="28"/>
      <c r="PNQ28" s="28"/>
      <c r="PNR28" s="28"/>
      <c r="PNS28" s="28"/>
      <c r="PNT28" s="28"/>
      <c r="PNU28" s="28"/>
      <c r="PNV28" s="28"/>
      <c r="PNW28" s="28"/>
      <c r="PNX28" s="28"/>
      <c r="PNY28" s="28"/>
      <c r="PNZ28" s="28"/>
      <c r="POA28" s="28"/>
      <c r="POB28" s="28"/>
      <c r="POC28" s="28"/>
      <c r="POD28" s="28"/>
      <c r="POE28" s="28"/>
      <c r="POF28" s="28"/>
      <c r="POG28" s="28"/>
      <c r="POH28" s="28"/>
      <c r="POI28" s="28"/>
      <c r="POJ28" s="28"/>
      <c r="POK28" s="28"/>
      <c r="POL28" s="28"/>
      <c r="POM28" s="28"/>
      <c r="PON28" s="28"/>
      <c r="POO28" s="28"/>
      <c r="POP28" s="28"/>
      <c r="POQ28" s="28"/>
      <c r="POR28" s="28"/>
      <c r="POS28" s="28"/>
      <c r="POT28" s="28"/>
      <c r="POU28" s="28"/>
      <c r="POV28" s="28"/>
      <c r="POW28" s="28"/>
      <c r="POX28" s="28"/>
      <c r="POY28" s="28"/>
      <c r="POZ28" s="28"/>
      <c r="PPA28" s="28"/>
      <c r="PPB28" s="28"/>
      <c r="PPC28" s="28"/>
      <c r="PPD28" s="28"/>
      <c r="PPE28" s="28"/>
      <c r="PPF28" s="28"/>
      <c r="PPG28" s="28"/>
      <c r="PPH28" s="28"/>
      <c r="PPI28" s="28"/>
      <c r="PPJ28" s="28"/>
      <c r="PPK28" s="28"/>
      <c r="PPL28" s="28"/>
      <c r="PPM28" s="28"/>
      <c r="PPN28" s="28"/>
      <c r="PPO28" s="28"/>
      <c r="PPP28" s="28"/>
      <c r="PPQ28" s="28"/>
      <c r="PPR28" s="28"/>
      <c r="PPS28" s="28"/>
      <c r="PPT28" s="28"/>
      <c r="PPU28" s="28"/>
      <c r="PPV28" s="28"/>
      <c r="PPW28" s="28"/>
      <c r="PPX28" s="28"/>
      <c r="PPY28" s="28"/>
      <c r="PPZ28" s="28"/>
      <c r="PQA28" s="28"/>
      <c r="PQB28" s="28"/>
      <c r="PQC28" s="28"/>
      <c r="PQD28" s="28"/>
      <c r="PQE28" s="28"/>
      <c r="PQF28" s="28"/>
      <c r="PQG28" s="28"/>
      <c r="PQH28" s="28"/>
      <c r="PQI28" s="28"/>
      <c r="PQJ28" s="28"/>
      <c r="PQK28" s="28"/>
      <c r="PQL28" s="28"/>
      <c r="PQM28" s="28"/>
      <c r="PQN28" s="28"/>
      <c r="PQO28" s="28"/>
      <c r="PQP28" s="28"/>
      <c r="PQQ28" s="28"/>
      <c r="PQR28" s="28"/>
      <c r="PQS28" s="28"/>
      <c r="PQT28" s="28"/>
      <c r="PQU28" s="28"/>
      <c r="PQV28" s="28"/>
      <c r="PQW28" s="28"/>
      <c r="PQX28" s="28"/>
      <c r="PQY28" s="28"/>
      <c r="PQZ28" s="28"/>
      <c r="PRA28" s="28"/>
      <c r="PRB28" s="28"/>
      <c r="PRC28" s="28"/>
      <c r="PRD28" s="28"/>
      <c r="PRE28" s="28"/>
      <c r="PRF28" s="28"/>
      <c r="PRG28" s="28"/>
      <c r="PRH28" s="28"/>
      <c r="PRI28" s="28"/>
      <c r="PRJ28" s="28"/>
      <c r="PRK28" s="28"/>
      <c r="PRL28" s="28"/>
      <c r="PRM28" s="28"/>
      <c r="PRN28" s="28"/>
      <c r="PRO28" s="28"/>
      <c r="PRP28" s="28"/>
      <c r="PRQ28" s="28"/>
      <c r="PRR28" s="28"/>
      <c r="PRS28" s="28"/>
      <c r="PRT28" s="28"/>
      <c r="PRU28" s="28"/>
      <c r="PRV28" s="28"/>
      <c r="PRW28" s="28"/>
      <c r="PRX28" s="28"/>
      <c r="PRY28" s="28"/>
      <c r="PRZ28" s="28"/>
      <c r="PSA28" s="28"/>
      <c r="PSB28" s="28"/>
      <c r="PSC28" s="28"/>
      <c r="PSD28" s="28"/>
      <c r="PSE28" s="28"/>
      <c r="PSF28" s="28"/>
      <c r="PSG28" s="28"/>
      <c r="PSH28" s="28"/>
      <c r="PSI28" s="28"/>
      <c r="PSJ28" s="28"/>
      <c r="PSK28" s="28"/>
      <c r="PSL28" s="28"/>
      <c r="PSM28" s="28"/>
      <c r="PSN28" s="28"/>
      <c r="PSO28" s="28"/>
      <c r="PSP28" s="28"/>
      <c r="PSQ28" s="28"/>
      <c r="PSR28" s="28"/>
      <c r="PSS28" s="28"/>
      <c r="PST28" s="28"/>
      <c r="PSU28" s="28"/>
      <c r="PSV28" s="28"/>
      <c r="PSW28" s="28"/>
      <c r="PSX28" s="28"/>
      <c r="PSY28" s="28"/>
      <c r="PSZ28" s="28"/>
      <c r="PTA28" s="28"/>
      <c r="PTB28" s="28"/>
      <c r="PTC28" s="28"/>
      <c r="PTD28" s="28"/>
      <c r="PTE28" s="28"/>
      <c r="PTF28" s="28"/>
      <c r="PTG28" s="28"/>
      <c r="PTH28" s="28"/>
      <c r="PTI28" s="28"/>
      <c r="PTJ28" s="28"/>
      <c r="PTK28" s="28"/>
      <c r="PTL28" s="28"/>
      <c r="PTM28" s="28"/>
      <c r="PTN28" s="28"/>
      <c r="PTO28" s="28"/>
      <c r="PTP28" s="28"/>
      <c r="PTQ28" s="28"/>
      <c r="PTR28" s="28"/>
      <c r="PTS28" s="28"/>
      <c r="PTT28" s="28"/>
      <c r="PTU28" s="28"/>
      <c r="PTV28" s="28"/>
      <c r="PTW28" s="28"/>
      <c r="PTX28" s="28"/>
      <c r="PTY28" s="28"/>
      <c r="PTZ28" s="28"/>
      <c r="PUA28" s="28"/>
      <c r="PUB28" s="28"/>
      <c r="PUC28" s="28"/>
      <c r="PUD28" s="28"/>
      <c r="PUE28" s="28"/>
      <c r="PUF28" s="28"/>
      <c r="PUG28" s="28"/>
      <c r="PUH28" s="28"/>
      <c r="PUI28" s="28"/>
      <c r="PUJ28" s="28"/>
      <c r="PUK28" s="28"/>
      <c r="PUL28" s="28"/>
      <c r="PUM28" s="28"/>
      <c r="PUN28" s="28"/>
      <c r="PUO28" s="28"/>
      <c r="PUP28" s="28"/>
      <c r="PUQ28" s="28"/>
      <c r="PUR28" s="28"/>
      <c r="PUS28" s="28"/>
      <c r="PUT28" s="28"/>
      <c r="PUU28" s="28"/>
      <c r="PUV28" s="28"/>
      <c r="PUW28" s="28"/>
      <c r="PUX28" s="28"/>
      <c r="PUY28" s="28"/>
      <c r="PUZ28" s="28"/>
      <c r="PVA28" s="28"/>
      <c r="PVB28" s="28"/>
      <c r="PVC28" s="28"/>
      <c r="PVD28" s="28"/>
      <c r="PVE28" s="28"/>
      <c r="PVF28" s="28"/>
      <c r="PVG28" s="28"/>
      <c r="PVH28" s="28"/>
      <c r="PVI28" s="28"/>
      <c r="PVJ28" s="28"/>
      <c r="PVK28" s="28"/>
      <c r="PVL28" s="28"/>
      <c r="PVM28" s="28"/>
      <c r="PVN28" s="28"/>
      <c r="PVO28" s="28"/>
      <c r="PVP28" s="28"/>
      <c r="PVQ28" s="28"/>
      <c r="PVR28" s="28"/>
      <c r="PVS28" s="28"/>
      <c r="PVT28" s="28"/>
      <c r="PVU28" s="28"/>
      <c r="PVV28" s="28"/>
      <c r="PVW28" s="28"/>
      <c r="PVX28" s="28"/>
      <c r="PVY28" s="28"/>
      <c r="PVZ28" s="28"/>
      <c r="PWA28" s="28"/>
      <c r="PWB28" s="28"/>
      <c r="PWC28" s="28"/>
      <c r="PWD28" s="28"/>
      <c r="PWE28" s="28"/>
      <c r="PWF28" s="28"/>
      <c r="PWG28" s="28"/>
      <c r="PWH28" s="28"/>
      <c r="PWI28" s="28"/>
      <c r="PWJ28" s="28"/>
      <c r="PWK28" s="28"/>
      <c r="PWL28" s="28"/>
      <c r="PWM28" s="28"/>
      <c r="PWN28" s="28"/>
      <c r="PWO28" s="28"/>
      <c r="PWP28" s="28"/>
      <c r="PWQ28" s="28"/>
      <c r="PWR28" s="28"/>
      <c r="PWS28" s="28"/>
      <c r="PWT28" s="28"/>
      <c r="PWU28" s="28"/>
      <c r="PWV28" s="28"/>
      <c r="PWW28" s="28"/>
      <c r="PWX28" s="28"/>
      <c r="PWY28" s="28"/>
      <c r="PWZ28" s="28"/>
      <c r="PXA28" s="28"/>
      <c r="PXB28" s="28"/>
      <c r="PXC28" s="28"/>
      <c r="PXD28" s="28"/>
      <c r="PXE28" s="28"/>
      <c r="PXF28" s="28"/>
      <c r="PXG28" s="28"/>
      <c r="PXH28" s="28"/>
      <c r="PXI28" s="28"/>
      <c r="PXJ28" s="28"/>
      <c r="PXK28" s="28"/>
      <c r="PXL28" s="28"/>
      <c r="PXM28" s="28"/>
      <c r="PXN28" s="28"/>
      <c r="PXO28" s="28"/>
      <c r="PXP28" s="28"/>
      <c r="PXQ28" s="28"/>
      <c r="PXR28" s="28"/>
      <c r="PXS28" s="28"/>
      <c r="PXT28" s="28"/>
      <c r="PXU28" s="28"/>
      <c r="PXV28" s="28"/>
      <c r="PXW28" s="28"/>
      <c r="PXX28" s="28"/>
      <c r="PXY28" s="28"/>
      <c r="PXZ28" s="28"/>
      <c r="PYA28" s="28"/>
      <c r="PYB28" s="28"/>
      <c r="PYC28" s="28"/>
      <c r="PYD28" s="28"/>
      <c r="PYE28" s="28"/>
      <c r="PYF28" s="28"/>
      <c r="PYG28" s="28"/>
      <c r="PYH28" s="28"/>
      <c r="PYI28" s="28"/>
      <c r="PYJ28" s="28"/>
      <c r="PYK28" s="28"/>
      <c r="PYL28" s="28"/>
      <c r="PYM28" s="28"/>
      <c r="PYN28" s="28"/>
      <c r="PYO28" s="28"/>
      <c r="PYP28" s="28"/>
      <c r="PYQ28" s="28"/>
      <c r="PYR28" s="28"/>
      <c r="PYS28" s="28"/>
      <c r="PYT28" s="28"/>
      <c r="PYU28" s="28"/>
      <c r="PYV28" s="28"/>
      <c r="PYW28" s="28"/>
      <c r="PYX28" s="28"/>
      <c r="PYY28" s="28"/>
      <c r="PYZ28" s="28"/>
      <c r="PZA28" s="28"/>
      <c r="PZB28" s="28"/>
      <c r="PZC28" s="28"/>
      <c r="PZD28" s="28"/>
      <c r="PZE28" s="28"/>
      <c r="PZF28" s="28"/>
      <c r="PZG28" s="28"/>
      <c r="PZH28" s="28"/>
      <c r="PZI28" s="28"/>
      <c r="PZJ28" s="28"/>
      <c r="PZK28" s="28"/>
      <c r="PZL28" s="28"/>
      <c r="PZM28" s="28"/>
      <c r="PZN28" s="28"/>
      <c r="PZO28" s="28"/>
      <c r="PZP28" s="28"/>
      <c r="PZQ28" s="28"/>
      <c r="PZR28" s="28"/>
      <c r="PZS28" s="28"/>
      <c r="PZT28" s="28"/>
      <c r="PZU28" s="28"/>
      <c r="PZV28" s="28"/>
      <c r="PZW28" s="28"/>
      <c r="PZX28" s="28"/>
      <c r="PZY28" s="28"/>
      <c r="PZZ28" s="28"/>
      <c r="QAA28" s="28"/>
      <c r="QAB28" s="28"/>
      <c r="QAC28" s="28"/>
      <c r="QAD28" s="28"/>
      <c r="QAE28" s="28"/>
      <c r="QAF28" s="28"/>
      <c r="QAG28" s="28"/>
      <c r="QAH28" s="28"/>
      <c r="QAI28" s="28"/>
      <c r="QAJ28" s="28"/>
      <c r="QAK28" s="28"/>
      <c r="QAL28" s="28"/>
      <c r="QAM28" s="28"/>
      <c r="QAN28" s="28"/>
      <c r="QAO28" s="28"/>
      <c r="QAP28" s="28"/>
      <c r="QAQ28" s="28"/>
      <c r="QAR28" s="28"/>
      <c r="QAS28" s="28"/>
      <c r="QAT28" s="28"/>
      <c r="QAU28" s="28"/>
      <c r="QAV28" s="28"/>
      <c r="QAW28" s="28"/>
      <c r="QAX28" s="28"/>
      <c r="QAY28" s="28"/>
      <c r="QAZ28" s="28"/>
      <c r="QBA28" s="28"/>
      <c r="QBB28" s="28"/>
      <c r="QBC28" s="28"/>
      <c r="QBD28" s="28"/>
      <c r="QBE28" s="28"/>
      <c r="QBF28" s="28"/>
      <c r="QBG28" s="28"/>
      <c r="QBH28" s="28"/>
      <c r="QBI28" s="28"/>
      <c r="QBJ28" s="28"/>
      <c r="QBK28" s="28"/>
      <c r="QBL28" s="28"/>
      <c r="QBM28" s="28"/>
      <c r="QBN28" s="28"/>
      <c r="QBO28" s="28"/>
      <c r="QBP28" s="28"/>
      <c r="QBQ28" s="28"/>
      <c r="QBR28" s="28"/>
      <c r="QBS28" s="28"/>
      <c r="QBT28" s="28"/>
      <c r="QBU28" s="28"/>
      <c r="QBV28" s="28"/>
      <c r="QBW28" s="28"/>
      <c r="QBX28" s="28"/>
      <c r="QBY28" s="28"/>
      <c r="QBZ28" s="28"/>
      <c r="QCA28" s="28"/>
      <c r="QCB28" s="28"/>
      <c r="QCC28" s="28"/>
      <c r="QCD28" s="28"/>
      <c r="QCE28" s="28"/>
      <c r="QCF28" s="28"/>
      <c r="QCG28" s="28"/>
      <c r="QCH28" s="28"/>
      <c r="QCI28" s="28"/>
      <c r="QCJ28" s="28"/>
      <c r="QCK28" s="28"/>
      <c r="QCL28" s="28"/>
      <c r="QCM28" s="28"/>
      <c r="QCN28" s="28"/>
      <c r="QCO28" s="28"/>
      <c r="QCP28" s="28"/>
      <c r="QCQ28" s="28"/>
      <c r="QCR28" s="28"/>
      <c r="QCS28" s="28"/>
      <c r="QCT28" s="28"/>
      <c r="QCU28" s="28"/>
      <c r="QCV28" s="28"/>
      <c r="QCW28" s="28"/>
      <c r="QCX28" s="28"/>
      <c r="QCY28" s="28"/>
      <c r="QCZ28" s="28"/>
      <c r="QDA28" s="28"/>
      <c r="QDB28" s="28"/>
      <c r="QDC28" s="28"/>
      <c r="QDD28" s="28"/>
      <c r="QDE28" s="28"/>
      <c r="QDF28" s="28"/>
      <c r="QDG28" s="28"/>
      <c r="QDH28" s="28"/>
      <c r="QDI28" s="28"/>
      <c r="QDJ28" s="28"/>
      <c r="QDK28" s="28"/>
      <c r="QDL28" s="28"/>
      <c r="QDM28" s="28"/>
      <c r="QDN28" s="28"/>
      <c r="QDO28" s="28"/>
      <c r="QDP28" s="28"/>
      <c r="QDQ28" s="28"/>
      <c r="QDR28" s="28"/>
      <c r="QDS28" s="28"/>
      <c r="QDT28" s="28"/>
      <c r="QDU28" s="28"/>
      <c r="QDV28" s="28"/>
      <c r="QDW28" s="28"/>
      <c r="QDX28" s="28"/>
      <c r="QDY28" s="28"/>
      <c r="QDZ28" s="28"/>
      <c r="QEA28" s="28"/>
      <c r="QEB28" s="28"/>
      <c r="QEC28" s="28"/>
      <c r="QED28" s="28"/>
      <c r="QEE28" s="28"/>
      <c r="QEF28" s="28"/>
      <c r="QEG28" s="28"/>
      <c r="QEH28" s="28"/>
      <c r="QEI28" s="28"/>
      <c r="QEJ28" s="28"/>
      <c r="QEK28" s="28"/>
      <c r="QEL28" s="28"/>
      <c r="QEM28" s="28"/>
      <c r="QEN28" s="28"/>
      <c r="QEO28" s="28"/>
      <c r="QEP28" s="28"/>
      <c r="QEQ28" s="28"/>
      <c r="QER28" s="28"/>
      <c r="QES28" s="28"/>
      <c r="QET28" s="28"/>
      <c r="QEU28" s="28"/>
      <c r="QEV28" s="28"/>
      <c r="QEW28" s="28"/>
      <c r="QEX28" s="28"/>
      <c r="QEY28" s="28"/>
      <c r="QEZ28" s="28"/>
      <c r="QFA28" s="28"/>
      <c r="QFB28" s="28"/>
      <c r="QFC28" s="28"/>
      <c r="QFD28" s="28"/>
      <c r="QFE28" s="28"/>
      <c r="QFF28" s="28"/>
      <c r="QFG28" s="28"/>
      <c r="QFH28" s="28"/>
      <c r="QFI28" s="28"/>
      <c r="QFJ28" s="28"/>
      <c r="QFK28" s="28"/>
      <c r="QFL28" s="28"/>
      <c r="QFM28" s="28"/>
      <c r="QFN28" s="28"/>
      <c r="QFO28" s="28"/>
      <c r="QFP28" s="28"/>
      <c r="QFQ28" s="28"/>
      <c r="QFR28" s="28"/>
      <c r="QFS28" s="28"/>
      <c r="QFT28" s="28"/>
      <c r="QFU28" s="28"/>
      <c r="QFV28" s="28"/>
      <c r="QFW28" s="28"/>
      <c r="QFX28" s="28"/>
      <c r="QFY28" s="28"/>
      <c r="QFZ28" s="28"/>
      <c r="QGA28" s="28"/>
      <c r="QGB28" s="28"/>
      <c r="QGC28" s="28"/>
      <c r="QGD28" s="28"/>
      <c r="QGE28" s="28"/>
      <c r="QGF28" s="28"/>
      <c r="QGG28" s="28"/>
      <c r="QGH28" s="28"/>
      <c r="QGI28" s="28"/>
      <c r="QGJ28" s="28"/>
      <c r="QGK28" s="28"/>
      <c r="QGL28" s="28"/>
      <c r="QGM28" s="28"/>
      <c r="QGN28" s="28"/>
      <c r="QGO28" s="28"/>
      <c r="QGP28" s="28"/>
      <c r="QGQ28" s="28"/>
      <c r="QGR28" s="28"/>
      <c r="QGS28" s="28"/>
      <c r="QGT28" s="28"/>
      <c r="QGU28" s="28"/>
      <c r="QGV28" s="28"/>
      <c r="QGW28" s="28"/>
      <c r="QGX28" s="28"/>
      <c r="QGY28" s="28"/>
      <c r="QGZ28" s="28"/>
      <c r="QHA28" s="28"/>
      <c r="QHB28" s="28"/>
      <c r="QHC28" s="28"/>
      <c r="QHD28" s="28"/>
      <c r="QHE28" s="28"/>
      <c r="QHF28" s="28"/>
      <c r="QHG28" s="28"/>
      <c r="QHH28" s="28"/>
      <c r="QHI28" s="28"/>
      <c r="QHJ28" s="28"/>
      <c r="QHK28" s="28"/>
      <c r="QHL28" s="28"/>
      <c r="QHM28" s="28"/>
      <c r="QHN28" s="28"/>
      <c r="QHO28" s="28"/>
      <c r="QHP28" s="28"/>
      <c r="QHQ28" s="28"/>
      <c r="QHR28" s="28"/>
      <c r="QHS28" s="28"/>
      <c r="QHT28" s="28"/>
      <c r="QHU28" s="28"/>
      <c r="QHV28" s="28"/>
      <c r="QHW28" s="28"/>
      <c r="QHX28" s="28"/>
      <c r="QHY28" s="28"/>
      <c r="QHZ28" s="28"/>
      <c r="QIA28" s="28"/>
      <c r="QIB28" s="28"/>
      <c r="QIC28" s="28"/>
      <c r="QID28" s="28"/>
      <c r="QIE28" s="28"/>
      <c r="QIF28" s="28"/>
      <c r="QIG28" s="28"/>
      <c r="QIH28" s="28"/>
      <c r="QII28" s="28"/>
      <c r="QIJ28" s="28"/>
      <c r="QIK28" s="28"/>
      <c r="QIL28" s="28"/>
      <c r="QIM28" s="28"/>
      <c r="QIN28" s="28"/>
      <c r="QIO28" s="28"/>
      <c r="QIP28" s="28"/>
      <c r="QIQ28" s="28"/>
      <c r="QIR28" s="28"/>
      <c r="QIS28" s="28"/>
      <c r="QIT28" s="28"/>
      <c r="QIU28" s="28"/>
      <c r="QIV28" s="28"/>
      <c r="QIW28" s="28"/>
      <c r="QIX28" s="28"/>
      <c r="QIY28" s="28"/>
      <c r="QIZ28" s="28"/>
      <c r="QJA28" s="28"/>
      <c r="QJB28" s="28"/>
      <c r="QJC28" s="28"/>
      <c r="QJD28" s="28"/>
      <c r="QJE28" s="28"/>
      <c r="QJF28" s="28"/>
      <c r="QJG28" s="28"/>
      <c r="QJH28" s="28"/>
      <c r="QJI28" s="28"/>
      <c r="QJJ28" s="28"/>
      <c r="QJK28" s="28"/>
      <c r="QJL28" s="28"/>
      <c r="QJM28" s="28"/>
      <c r="QJN28" s="28"/>
      <c r="QJO28" s="28"/>
      <c r="QJP28" s="28"/>
      <c r="QJQ28" s="28"/>
      <c r="QJR28" s="28"/>
      <c r="QJS28" s="28"/>
      <c r="QJT28" s="28"/>
      <c r="QJU28" s="28"/>
      <c r="QJV28" s="28"/>
      <c r="QJW28" s="28"/>
      <c r="QJX28" s="28"/>
      <c r="QJY28" s="28"/>
      <c r="QJZ28" s="28"/>
      <c r="QKA28" s="28"/>
      <c r="QKB28" s="28"/>
      <c r="QKC28" s="28"/>
      <c r="QKD28" s="28"/>
      <c r="QKE28" s="28"/>
      <c r="QKF28" s="28"/>
      <c r="QKG28" s="28"/>
      <c r="QKH28" s="28"/>
      <c r="QKI28" s="28"/>
      <c r="QKJ28" s="28"/>
      <c r="QKK28" s="28"/>
      <c r="QKL28" s="28"/>
      <c r="QKM28" s="28"/>
      <c r="QKN28" s="28"/>
      <c r="QKO28" s="28"/>
      <c r="QKP28" s="28"/>
      <c r="QKQ28" s="28"/>
      <c r="QKR28" s="28"/>
      <c r="QKS28" s="28"/>
      <c r="QKT28" s="28"/>
      <c r="QKU28" s="28"/>
      <c r="QKV28" s="28"/>
      <c r="QKW28" s="28"/>
      <c r="QKX28" s="28"/>
      <c r="QKY28" s="28"/>
      <c r="QKZ28" s="28"/>
      <c r="QLA28" s="28"/>
      <c r="QLB28" s="28"/>
      <c r="QLC28" s="28"/>
      <c r="QLD28" s="28"/>
      <c r="QLE28" s="28"/>
      <c r="QLF28" s="28"/>
      <c r="QLG28" s="28"/>
      <c r="QLH28" s="28"/>
      <c r="QLI28" s="28"/>
      <c r="QLJ28" s="28"/>
      <c r="QLK28" s="28"/>
      <c r="QLL28" s="28"/>
      <c r="QLM28" s="28"/>
      <c r="QLN28" s="28"/>
      <c r="QLO28" s="28"/>
      <c r="QLP28" s="28"/>
      <c r="QLQ28" s="28"/>
      <c r="QLR28" s="28"/>
      <c r="QLS28" s="28"/>
      <c r="QLT28" s="28"/>
      <c r="QLU28" s="28"/>
      <c r="QLV28" s="28"/>
      <c r="QLW28" s="28"/>
      <c r="QLX28" s="28"/>
      <c r="QLY28" s="28"/>
      <c r="QLZ28" s="28"/>
      <c r="QMA28" s="28"/>
      <c r="QMB28" s="28"/>
      <c r="QMC28" s="28"/>
      <c r="QMD28" s="28"/>
      <c r="QME28" s="28"/>
      <c r="QMF28" s="28"/>
      <c r="QMG28" s="28"/>
      <c r="QMH28" s="28"/>
      <c r="QMI28" s="28"/>
      <c r="QMJ28" s="28"/>
      <c r="QMK28" s="28"/>
      <c r="QML28" s="28"/>
      <c r="QMM28" s="28"/>
      <c r="QMN28" s="28"/>
      <c r="QMO28" s="28"/>
      <c r="QMP28" s="28"/>
      <c r="QMQ28" s="28"/>
      <c r="QMR28" s="28"/>
      <c r="QMS28" s="28"/>
      <c r="QMT28" s="28"/>
      <c r="QMU28" s="28"/>
      <c r="QMV28" s="28"/>
      <c r="QMW28" s="28"/>
      <c r="QMX28" s="28"/>
      <c r="QMY28" s="28"/>
      <c r="QMZ28" s="28"/>
      <c r="QNA28" s="28"/>
      <c r="QNB28" s="28"/>
      <c r="QNC28" s="28"/>
      <c r="QND28" s="28"/>
      <c r="QNE28" s="28"/>
      <c r="QNF28" s="28"/>
      <c r="QNG28" s="28"/>
      <c r="QNH28" s="28"/>
      <c r="QNI28" s="28"/>
      <c r="QNJ28" s="28"/>
      <c r="QNK28" s="28"/>
      <c r="QNL28" s="28"/>
      <c r="QNM28" s="28"/>
      <c r="QNN28" s="28"/>
      <c r="QNO28" s="28"/>
      <c r="QNP28" s="28"/>
      <c r="QNQ28" s="28"/>
      <c r="QNR28" s="28"/>
      <c r="QNS28" s="28"/>
      <c r="QNT28" s="28"/>
      <c r="QNU28" s="28"/>
      <c r="QNV28" s="28"/>
      <c r="QNW28" s="28"/>
      <c r="QNX28" s="28"/>
      <c r="QNY28" s="28"/>
      <c r="QNZ28" s="28"/>
      <c r="QOA28" s="28"/>
      <c r="QOB28" s="28"/>
      <c r="QOC28" s="28"/>
      <c r="QOD28" s="28"/>
      <c r="QOE28" s="28"/>
      <c r="QOF28" s="28"/>
      <c r="QOG28" s="28"/>
      <c r="QOH28" s="28"/>
      <c r="QOI28" s="28"/>
      <c r="QOJ28" s="28"/>
      <c r="QOK28" s="28"/>
      <c r="QOL28" s="28"/>
      <c r="QOM28" s="28"/>
      <c r="QON28" s="28"/>
      <c r="QOO28" s="28"/>
      <c r="QOP28" s="28"/>
      <c r="QOQ28" s="28"/>
      <c r="QOR28" s="28"/>
      <c r="QOS28" s="28"/>
      <c r="QOT28" s="28"/>
      <c r="QOU28" s="28"/>
      <c r="QOV28" s="28"/>
      <c r="QOW28" s="28"/>
      <c r="QOX28" s="28"/>
      <c r="QOY28" s="28"/>
      <c r="QOZ28" s="28"/>
      <c r="QPA28" s="28"/>
      <c r="QPB28" s="28"/>
      <c r="QPC28" s="28"/>
      <c r="QPD28" s="28"/>
      <c r="QPE28" s="28"/>
      <c r="QPF28" s="28"/>
      <c r="QPG28" s="28"/>
      <c r="QPH28" s="28"/>
      <c r="QPI28" s="28"/>
      <c r="QPJ28" s="28"/>
      <c r="QPK28" s="28"/>
      <c r="QPL28" s="28"/>
      <c r="QPM28" s="28"/>
      <c r="QPN28" s="28"/>
      <c r="QPO28" s="28"/>
      <c r="QPP28" s="28"/>
      <c r="QPQ28" s="28"/>
      <c r="QPR28" s="28"/>
      <c r="QPS28" s="28"/>
      <c r="QPT28" s="28"/>
      <c r="QPU28" s="28"/>
      <c r="QPV28" s="28"/>
      <c r="QPW28" s="28"/>
      <c r="QPX28" s="28"/>
      <c r="QPY28" s="28"/>
      <c r="QPZ28" s="28"/>
      <c r="QQA28" s="28"/>
      <c r="QQB28" s="28"/>
      <c r="QQC28" s="28"/>
      <c r="QQD28" s="28"/>
      <c r="QQE28" s="28"/>
      <c r="QQF28" s="28"/>
      <c r="QQG28" s="28"/>
      <c r="QQH28" s="28"/>
      <c r="QQI28" s="28"/>
      <c r="QQJ28" s="28"/>
      <c r="QQK28" s="28"/>
      <c r="QQL28" s="28"/>
      <c r="QQM28" s="28"/>
      <c r="QQN28" s="28"/>
      <c r="QQO28" s="28"/>
      <c r="QQP28" s="28"/>
      <c r="QQQ28" s="28"/>
      <c r="QQR28" s="28"/>
      <c r="QQS28" s="28"/>
      <c r="QQT28" s="28"/>
      <c r="QQU28" s="28"/>
      <c r="QQV28" s="28"/>
      <c r="QQW28" s="28"/>
      <c r="QQX28" s="28"/>
      <c r="QQY28" s="28"/>
      <c r="QQZ28" s="28"/>
      <c r="QRA28" s="28"/>
      <c r="QRB28" s="28"/>
      <c r="QRC28" s="28"/>
      <c r="QRD28" s="28"/>
      <c r="QRE28" s="28"/>
      <c r="QRF28" s="28"/>
      <c r="QRG28" s="28"/>
      <c r="QRH28" s="28"/>
      <c r="QRI28" s="28"/>
      <c r="QRJ28" s="28"/>
      <c r="QRK28" s="28"/>
      <c r="QRL28" s="28"/>
      <c r="QRM28" s="28"/>
      <c r="QRN28" s="28"/>
      <c r="QRO28" s="28"/>
      <c r="QRP28" s="28"/>
      <c r="QRQ28" s="28"/>
      <c r="QRR28" s="28"/>
      <c r="QRS28" s="28"/>
      <c r="QRT28" s="28"/>
      <c r="QRU28" s="28"/>
      <c r="QRV28" s="28"/>
      <c r="QRW28" s="28"/>
      <c r="QRX28" s="28"/>
      <c r="QRY28" s="28"/>
      <c r="QRZ28" s="28"/>
      <c r="QSA28" s="28"/>
      <c r="QSB28" s="28"/>
      <c r="QSC28" s="28"/>
      <c r="QSD28" s="28"/>
      <c r="QSE28" s="28"/>
      <c r="QSF28" s="28"/>
      <c r="QSG28" s="28"/>
      <c r="QSH28" s="28"/>
      <c r="QSI28" s="28"/>
      <c r="QSJ28" s="28"/>
      <c r="QSK28" s="28"/>
      <c r="QSL28" s="28"/>
      <c r="QSM28" s="28"/>
      <c r="QSN28" s="28"/>
      <c r="QSO28" s="28"/>
      <c r="QSP28" s="28"/>
      <c r="QSQ28" s="28"/>
      <c r="QSR28" s="28"/>
      <c r="QSS28" s="28"/>
      <c r="QST28" s="28"/>
      <c r="QSU28" s="28"/>
      <c r="QSV28" s="28"/>
      <c r="QSW28" s="28"/>
      <c r="QSX28" s="28"/>
      <c r="QSY28" s="28"/>
      <c r="QSZ28" s="28"/>
      <c r="QTA28" s="28"/>
      <c r="QTB28" s="28"/>
      <c r="QTC28" s="28"/>
      <c r="QTD28" s="28"/>
      <c r="QTE28" s="28"/>
      <c r="QTF28" s="28"/>
      <c r="QTG28" s="28"/>
      <c r="QTH28" s="28"/>
      <c r="QTI28" s="28"/>
      <c r="QTJ28" s="28"/>
      <c r="QTK28" s="28"/>
      <c r="QTL28" s="28"/>
      <c r="QTM28" s="28"/>
      <c r="QTN28" s="28"/>
      <c r="QTO28" s="28"/>
      <c r="QTP28" s="28"/>
      <c r="QTQ28" s="28"/>
      <c r="QTR28" s="28"/>
      <c r="QTS28" s="28"/>
      <c r="QTT28" s="28"/>
      <c r="QTU28" s="28"/>
      <c r="QTV28" s="28"/>
      <c r="QTW28" s="28"/>
      <c r="QTX28" s="28"/>
      <c r="QTY28" s="28"/>
      <c r="QTZ28" s="28"/>
      <c r="QUA28" s="28"/>
      <c r="QUB28" s="28"/>
      <c r="QUC28" s="28"/>
      <c r="QUD28" s="28"/>
      <c r="QUE28" s="28"/>
      <c r="QUF28" s="28"/>
      <c r="QUG28" s="28"/>
      <c r="QUH28" s="28"/>
      <c r="QUI28" s="28"/>
      <c r="QUJ28" s="28"/>
      <c r="QUK28" s="28"/>
      <c r="QUL28" s="28"/>
      <c r="QUM28" s="28"/>
      <c r="QUN28" s="28"/>
      <c r="QUO28" s="28"/>
      <c r="QUP28" s="28"/>
      <c r="QUQ28" s="28"/>
      <c r="QUR28" s="28"/>
      <c r="QUS28" s="28"/>
      <c r="QUT28" s="28"/>
      <c r="QUU28" s="28"/>
      <c r="QUV28" s="28"/>
      <c r="QUW28" s="28"/>
      <c r="QUX28" s="28"/>
      <c r="QUY28" s="28"/>
      <c r="QUZ28" s="28"/>
      <c r="QVA28" s="28"/>
      <c r="QVB28" s="28"/>
      <c r="QVC28" s="28"/>
      <c r="QVD28" s="28"/>
      <c r="QVE28" s="28"/>
      <c r="QVF28" s="28"/>
      <c r="QVG28" s="28"/>
      <c r="QVH28" s="28"/>
      <c r="QVI28" s="28"/>
      <c r="QVJ28" s="28"/>
      <c r="QVK28" s="28"/>
      <c r="QVL28" s="28"/>
      <c r="QVM28" s="28"/>
      <c r="QVN28" s="28"/>
      <c r="QVO28" s="28"/>
      <c r="QVP28" s="28"/>
      <c r="QVQ28" s="28"/>
      <c r="QVR28" s="28"/>
      <c r="QVS28" s="28"/>
      <c r="QVT28" s="28"/>
      <c r="QVU28" s="28"/>
      <c r="QVV28" s="28"/>
      <c r="QVW28" s="28"/>
      <c r="QVX28" s="28"/>
      <c r="QVY28" s="28"/>
      <c r="QVZ28" s="28"/>
      <c r="QWA28" s="28"/>
      <c r="QWB28" s="28"/>
      <c r="QWC28" s="28"/>
      <c r="QWD28" s="28"/>
      <c r="QWE28" s="28"/>
      <c r="QWF28" s="28"/>
      <c r="QWG28" s="28"/>
      <c r="QWH28" s="28"/>
      <c r="QWI28" s="28"/>
      <c r="QWJ28" s="28"/>
      <c r="QWK28" s="28"/>
      <c r="QWL28" s="28"/>
      <c r="QWM28" s="28"/>
      <c r="QWN28" s="28"/>
      <c r="QWO28" s="28"/>
      <c r="QWP28" s="28"/>
      <c r="QWQ28" s="28"/>
      <c r="QWR28" s="28"/>
      <c r="QWS28" s="28"/>
      <c r="QWT28" s="28"/>
      <c r="QWU28" s="28"/>
      <c r="QWV28" s="28"/>
      <c r="QWW28" s="28"/>
      <c r="QWX28" s="28"/>
      <c r="QWY28" s="28"/>
      <c r="QWZ28" s="28"/>
      <c r="QXA28" s="28"/>
      <c r="QXB28" s="28"/>
      <c r="QXC28" s="28"/>
      <c r="QXD28" s="28"/>
      <c r="QXE28" s="28"/>
      <c r="QXF28" s="28"/>
      <c r="QXG28" s="28"/>
      <c r="QXH28" s="28"/>
      <c r="QXI28" s="28"/>
      <c r="QXJ28" s="28"/>
      <c r="QXK28" s="28"/>
      <c r="QXL28" s="28"/>
      <c r="QXM28" s="28"/>
      <c r="QXN28" s="28"/>
      <c r="QXO28" s="28"/>
      <c r="QXP28" s="28"/>
      <c r="QXQ28" s="28"/>
      <c r="QXR28" s="28"/>
      <c r="QXS28" s="28"/>
      <c r="QXT28" s="28"/>
      <c r="QXU28" s="28"/>
      <c r="QXV28" s="28"/>
      <c r="QXW28" s="28"/>
      <c r="QXX28" s="28"/>
      <c r="QXY28" s="28"/>
      <c r="QXZ28" s="28"/>
      <c r="QYA28" s="28"/>
      <c r="QYB28" s="28"/>
      <c r="QYC28" s="28"/>
      <c r="QYD28" s="28"/>
      <c r="QYE28" s="28"/>
      <c r="QYF28" s="28"/>
      <c r="QYG28" s="28"/>
      <c r="QYH28" s="28"/>
      <c r="QYI28" s="28"/>
      <c r="QYJ28" s="28"/>
      <c r="QYK28" s="28"/>
      <c r="QYL28" s="28"/>
      <c r="QYM28" s="28"/>
      <c r="QYN28" s="28"/>
      <c r="QYO28" s="28"/>
      <c r="QYP28" s="28"/>
      <c r="QYQ28" s="28"/>
      <c r="QYR28" s="28"/>
      <c r="QYS28" s="28"/>
      <c r="QYT28" s="28"/>
      <c r="QYU28" s="28"/>
      <c r="QYV28" s="28"/>
      <c r="QYW28" s="28"/>
      <c r="QYX28" s="28"/>
      <c r="QYY28" s="28"/>
      <c r="QYZ28" s="28"/>
      <c r="QZA28" s="28"/>
      <c r="QZB28" s="28"/>
      <c r="QZC28" s="28"/>
      <c r="QZD28" s="28"/>
      <c r="QZE28" s="28"/>
      <c r="QZF28" s="28"/>
      <c r="QZG28" s="28"/>
      <c r="QZH28" s="28"/>
      <c r="QZI28" s="28"/>
      <c r="QZJ28" s="28"/>
      <c r="QZK28" s="28"/>
      <c r="QZL28" s="28"/>
      <c r="QZM28" s="28"/>
      <c r="QZN28" s="28"/>
      <c r="QZO28" s="28"/>
      <c r="QZP28" s="28"/>
      <c r="QZQ28" s="28"/>
      <c r="QZR28" s="28"/>
      <c r="QZS28" s="28"/>
      <c r="QZT28" s="28"/>
      <c r="QZU28" s="28"/>
      <c r="QZV28" s="28"/>
      <c r="QZW28" s="28"/>
      <c r="QZX28" s="28"/>
      <c r="QZY28" s="28"/>
      <c r="QZZ28" s="28"/>
      <c r="RAA28" s="28"/>
      <c r="RAB28" s="28"/>
      <c r="RAC28" s="28"/>
      <c r="RAD28" s="28"/>
      <c r="RAE28" s="28"/>
      <c r="RAF28" s="28"/>
      <c r="RAG28" s="28"/>
      <c r="RAH28" s="28"/>
      <c r="RAI28" s="28"/>
      <c r="RAJ28" s="28"/>
      <c r="RAK28" s="28"/>
      <c r="RAL28" s="28"/>
      <c r="RAM28" s="28"/>
      <c r="RAN28" s="28"/>
      <c r="RAO28" s="28"/>
      <c r="RAP28" s="28"/>
      <c r="RAQ28" s="28"/>
      <c r="RAR28" s="28"/>
      <c r="RAS28" s="28"/>
      <c r="RAT28" s="28"/>
      <c r="RAU28" s="28"/>
      <c r="RAV28" s="28"/>
      <c r="RAW28" s="28"/>
      <c r="RAX28" s="28"/>
      <c r="RAY28" s="28"/>
      <c r="RAZ28" s="28"/>
      <c r="RBA28" s="28"/>
      <c r="RBB28" s="28"/>
      <c r="RBC28" s="28"/>
      <c r="RBD28" s="28"/>
      <c r="RBE28" s="28"/>
      <c r="RBF28" s="28"/>
      <c r="RBG28" s="28"/>
      <c r="RBH28" s="28"/>
      <c r="RBI28" s="28"/>
      <c r="RBJ28" s="28"/>
      <c r="RBK28" s="28"/>
      <c r="RBL28" s="28"/>
      <c r="RBM28" s="28"/>
      <c r="RBN28" s="28"/>
      <c r="RBO28" s="28"/>
      <c r="RBP28" s="28"/>
      <c r="RBQ28" s="28"/>
      <c r="RBR28" s="28"/>
      <c r="RBS28" s="28"/>
      <c r="RBT28" s="28"/>
      <c r="RBU28" s="28"/>
      <c r="RBV28" s="28"/>
      <c r="RBW28" s="28"/>
      <c r="RBX28" s="28"/>
      <c r="RBY28" s="28"/>
      <c r="RBZ28" s="28"/>
      <c r="RCA28" s="28"/>
      <c r="RCB28" s="28"/>
      <c r="RCC28" s="28"/>
      <c r="RCD28" s="28"/>
      <c r="RCE28" s="28"/>
      <c r="RCF28" s="28"/>
      <c r="RCG28" s="28"/>
      <c r="RCH28" s="28"/>
      <c r="RCI28" s="28"/>
      <c r="RCJ28" s="28"/>
      <c r="RCK28" s="28"/>
      <c r="RCL28" s="28"/>
      <c r="RCM28" s="28"/>
      <c r="RCN28" s="28"/>
      <c r="RCO28" s="28"/>
      <c r="RCP28" s="28"/>
      <c r="RCQ28" s="28"/>
      <c r="RCR28" s="28"/>
      <c r="RCS28" s="28"/>
      <c r="RCT28" s="28"/>
      <c r="RCU28" s="28"/>
      <c r="RCV28" s="28"/>
      <c r="RCW28" s="28"/>
      <c r="RCX28" s="28"/>
      <c r="RCY28" s="28"/>
      <c r="RCZ28" s="28"/>
      <c r="RDA28" s="28"/>
      <c r="RDB28" s="28"/>
      <c r="RDC28" s="28"/>
      <c r="RDD28" s="28"/>
      <c r="RDE28" s="28"/>
      <c r="RDF28" s="28"/>
      <c r="RDG28" s="28"/>
      <c r="RDH28" s="28"/>
      <c r="RDI28" s="28"/>
      <c r="RDJ28" s="28"/>
      <c r="RDK28" s="28"/>
      <c r="RDL28" s="28"/>
      <c r="RDM28" s="28"/>
      <c r="RDN28" s="28"/>
      <c r="RDO28" s="28"/>
      <c r="RDP28" s="28"/>
      <c r="RDQ28" s="28"/>
      <c r="RDR28" s="28"/>
      <c r="RDS28" s="28"/>
      <c r="RDT28" s="28"/>
      <c r="RDU28" s="28"/>
      <c r="RDV28" s="28"/>
      <c r="RDW28" s="28"/>
      <c r="RDX28" s="28"/>
      <c r="RDY28" s="28"/>
      <c r="RDZ28" s="28"/>
      <c r="REA28" s="28"/>
      <c r="REB28" s="28"/>
      <c r="REC28" s="28"/>
      <c r="RED28" s="28"/>
      <c r="REE28" s="28"/>
      <c r="REF28" s="28"/>
      <c r="REG28" s="28"/>
      <c r="REH28" s="28"/>
      <c r="REI28" s="28"/>
      <c r="REJ28" s="28"/>
      <c r="REK28" s="28"/>
      <c r="REL28" s="28"/>
      <c r="REM28" s="28"/>
      <c r="REN28" s="28"/>
      <c r="REO28" s="28"/>
      <c r="REP28" s="28"/>
      <c r="REQ28" s="28"/>
      <c r="RER28" s="28"/>
      <c r="RES28" s="28"/>
      <c r="RET28" s="28"/>
      <c r="REU28" s="28"/>
      <c r="REV28" s="28"/>
      <c r="REW28" s="28"/>
      <c r="REX28" s="28"/>
      <c r="REY28" s="28"/>
      <c r="REZ28" s="28"/>
      <c r="RFA28" s="28"/>
      <c r="RFB28" s="28"/>
      <c r="RFC28" s="28"/>
      <c r="RFD28" s="28"/>
      <c r="RFE28" s="28"/>
      <c r="RFF28" s="28"/>
      <c r="RFG28" s="28"/>
      <c r="RFH28" s="28"/>
      <c r="RFI28" s="28"/>
      <c r="RFJ28" s="28"/>
      <c r="RFK28" s="28"/>
      <c r="RFL28" s="28"/>
      <c r="RFM28" s="28"/>
      <c r="RFN28" s="28"/>
      <c r="RFO28" s="28"/>
      <c r="RFP28" s="28"/>
      <c r="RFQ28" s="28"/>
      <c r="RFR28" s="28"/>
      <c r="RFS28" s="28"/>
      <c r="RFT28" s="28"/>
      <c r="RFU28" s="28"/>
      <c r="RFV28" s="28"/>
      <c r="RFW28" s="28"/>
      <c r="RFX28" s="28"/>
      <c r="RFY28" s="28"/>
      <c r="RFZ28" s="28"/>
      <c r="RGA28" s="28"/>
      <c r="RGB28" s="28"/>
      <c r="RGC28" s="28"/>
      <c r="RGD28" s="28"/>
      <c r="RGE28" s="28"/>
      <c r="RGF28" s="28"/>
      <c r="RGG28" s="28"/>
      <c r="RGH28" s="28"/>
      <c r="RGI28" s="28"/>
      <c r="RGJ28" s="28"/>
      <c r="RGK28" s="28"/>
      <c r="RGL28" s="28"/>
      <c r="RGM28" s="28"/>
      <c r="RGN28" s="28"/>
      <c r="RGO28" s="28"/>
      <c r="RGP28" s="28"/>
      <c r="RGQ28" s="28"/>
      <c r="RGR28" s="28"/>
      <c r="RGS28" s="28"/>
      <c r="RGT28" s="28"/>
      <c r="RGU28" s="28"/>
      <c r="RGV28" s="28"/>
      <c r="RGW28" s="28"/>
      <c r="RGX28" s="28"/>
      <c r="RGY28" s="28"/>
      <c r="RGZ28" s="28"/>
      <c r="RHA28" s="28"/>
      <c r="RHB28" s="28"/>
      <c r="RHC28" s="28"/>
      <c r="RHD28" s="28"/>
      <c r="RHE28" s="28"/>
      <c r="RHF28" s="28"/>
      <c r="RHG28" s="28"/>
      <c r="RHH28" s="28"/>
      <c r="RHI28" s="28"/>
      <c r="RHJ28" s="28"/>
      <c r="RHK28" s="28"/>
      <c r="RHL28" s="28"/>
      <c r="RHM28" s="28"/>
      <c r="RHN28" s="28"/>
      <c r="RHO28" s="28"/>
      <c r="RHP28" s="28"/>
      <c r="RHQ28" s="28"/>
      <c r="RHR28" s="28"/>
      <c r="RHS28" s="28"/>
      <c r="RHT28" s="28"/>
      <c r="RHU28" s="28"/>
      <c r="RHV28" s="28"/>
      <c r="RHW28" s="28"/>
      <c r="RHX28" s="28"/>
      <c r="RHY28" s="28"/>
      <c r="RHZ28" s="28"/>
      <c r="RIA28" s="28"/>
      <c r="RIB28" s="28"/>
      <c r="RIC28" s="28"/>
      <c r="RID28" s="28"/>
      <c r="RIE28" s="28"/>
      <c r="RIF28" s="28"/>
      <c r="RIG28" s="28"/>
      <c r="RIH28" s="28"/>
      <c r="RII28" s="28"/>
      <c r="RIJ28" s="28"/>
      <c r="RIK28" s="28"/>
      <c r="RIL28" s="28"/>
      <c r="RIM28" s="28"/>
      <c r="RIN28" s="28"/>
      <c r="RIO28" s="28"/>
      <c r="RIP28" s="28"/>
      <c r="RIQ28" s="28"/>
      <c r="RIR28" s="28"/>
      <c r="RIS28" s="28"/>
      <c r="RIT28" s="28"/>
      <c r="RIU28" s="28"/>
      <c r="RIV28" s="28"/>
      <c r="RIW28" s="28"/>
      <c r="RIX28" s="28"/>
      <c r="RIY28" s="28"/>
      <c r="RIZ28" s="28"/>
      <c r="RJA28" s="28"/>
      <c r="RJB28" s="28"/>
      <c r="RJC28" s="28"/>
      <c r="RJD28" s="28"/>
      <c r="RJE28" s="28"/>
      <c r="RJF28" s="28"/>
      <c r="RJG28" s="28"/>
      <c r="RJH28" s="28"/>
      <c r="RJI28" s="28"/>
      <c r="RJJ28" s="28"/>
      <c r="RJK28" s="28"/>
      <c r="RJL28" s="28"/>
      <c r="RJM28" s="28"/>
      <c r="RJN28" s="28"/>
      <c r="RJO28" s="28"/>
      <c r="RJP28" s="28"/>
      <c r="RJQ28" s="28"/>
      <c r="RJR28" s="28"/>
      <c r="RJS28" s="28"/>
      <c r="RJT28" s="28"/>
      <c r="RJU28" s="28"/>
      <c r="RJV28" s="28"/>
      <c r="RJW28" s="28"/>
      <c r="RJX28" s="28"/>
      <c r="RJY28" s="28"/>
      <c r="RJZ28" s="28"/>
      <c r="RKA28" s="28"/>
      <c r="RKB28" s="28"/>
      <c r="RKC28" s="28"/>
      <c r="RKD28" s="28"/>
      <c r="RKE28" s="28"/>
      <c r="RKF28" s="28"/>
      <c r="RKG28" s="28"/>
      <c r="RKH28" s="28"/>
      <c r="RKI28" s="28"/>
      <c r="RKJ28" s="28"/>
      <c r="RKK28" s="28"/>
      <c r="RKL28" s="28"/>
      <c r="RKM28" s="28"/>
      <c r="RKN28" s="28"/>
      <c r="RKO28" s="28"/>
      <c r="RKP28" s="28"/>
      <c r="RKQ28" s="28"/>
      <c r="RKR28" s="28"/>
      <c r="RKS28" s="28"/>
      <c r="RKT28" s="28"/>
      <c r="RKU28" s="28"/>
      <c r="RKV28" s="28"/>
      <c r="RKW28" s="28"/>
      <c r="RKX28" s="28"/>
      <c r="RKY28" s="28"/>
      <c r="RKZ28" s="28"/>
      <c r="RLA28" s="28"/>
      <c r="RLB28" s="28"/>
      <c r="RLC28" s="28"/>
      <c r="RLD28" s="28"/>
      <c r="RLE28" s="28"/>
      <c r="RLF28" s="28"/>
      <c r="RLG28" s="28"/>
      <c r="RLH28" s="28"/>
      <c r="RLI28" s="28"/>
      <c r="RLJ28" s="28"/>
      <c r="RLK28" s="28"/>
      <c r="RLL28" s="28"/>
      <c r="RLM28" s="28"/>
      <c r="RLN28" s="28"/>
      <c r="RLO28" s="28"/>
      <c r="RLP28" s="28"/>
      <c r="RLQ28" s="28"/>
      <c r="RLR28" s="28"/>
      <c r="RLS28" s="28"/>
      <c r="RLT28" s="28"/>
      <c r="RLU28" s="28"/>
      <c r="RLV28" s="28"/>
      <c r="RLW28" s="28"/>
      <c r="RLX28" s="28"/>
      <c r="RLY28" s="28"/>
      <c r="RLZ28" s="28"/>
      <c r="RMA28" s="28"/>
      <c r="RMB28" s="28"/>
      <c r="RMC28" s="28"/>
      <c r="RMD28" s="28"/>
      <c r="RME28" s="28"/>
      <c r="RMF28" s="28"/>
      <c r="RMG28" s="28"/>
      <c r="RMH28" s="28"/>
      <c r="RMI28" s="28"/>
      <c r="RMJ28" s="28"/>
      <c r="RMK28" s="28"/>
      <c r="RML28" s="28"/>
      <c r="RMM28" s="28"/>
      <c r="RMN28" s="28"/>
      <c r="RMO28" s="28"/>
      <c r="RMP28" s="28"/>
      <c r="RMQ28" s="28"/>
      <c r="RMR28" s="28"/>
      <c r="RMS28" s="28"/>
      <c r="RMT28" s="28"/>
      <c r="RMU28" s="28"/>
      <c r="RMV28" s="28"/>
      <c r="RMW28" s="28"/>
      <c r="RMX28" s="28"/>
      <c r="RMY28" s="28"/>
      <c r="RMZ28" s="28"/>
      <c r="RNA28" s="28"/>
      <c r="RNB28" s="28"/>
      <c r="RNC28" s="28"/>
      <c r="RND28" s="28"/>
      <c r="RNE28" s="28"/>
      <c r="RNF28" s="28"/>
      <c r="RNG28" s="28"/>
      <c r="RNH28" s="28"/>
      <c r="RNI28" s="28"/>
      <c r="RNJ28" s="28"/>
      <c r="RNK28" s="28"/>
      <c r="RNL28" s="28"/>
      <c r="RNM28" s="28"/>
      <c r="RNN28" s="28"/>
      <c r="RNO28" s="28"/>
      <c r="RNP28" s="28"/>
      <c r="RNQ28" s="28"/>
      <c r="RNR28" s="28"/>
      <c r="RNS28" s="28"/>
      <c r="RNT28" s="28"/>
      <c r="RNU28" s="28"/>
      <c r="RNV28" s="28"/>
      <c r="RNW28" s="28"/>
      <c r="RNX28" s="28"/>
      <c r="RNY28" s="28"/>
      <c r="RNZ28" s="28"/>
      <c r="ROA28" s="28"/>
      <c r="ROB28" s="28"/>
      <c r="ROC28" s="28"/>
      <c r="ROD28" s="28"/>
      <c r="ROE28" s="28"/>
      <c r="ROF28" s="28"/>
      <c r="ROG28" s="28"/>
      <c r="ROH28" s="28"/>
      <c r="ROI28" s="28"/>
      <c r="ROJ28" s="28"/>
      <c r="ROK28" s="28"/>
      <c r="ROL28" s="28"/>
      <c r="ROM28" s="28"/>
      <c r="RON28" s="28"/>
      <c r="ROO28" s="28"/>
      <c r="ROP28" s="28"/>
      <c r="ROQ28" s="28"/>
      <c r="ROR28" s="28"/>
      <c r="ROS28" s="28"/>
      <c r="ROT28" s="28"/>
      <c r="ROU28" s="28"/>
      <c r="ROV28" s="28"/>
      <c r="ROW28" s="28"/>
      <c r="ROX28" s="28"/>
      <c r="ROY28" s="28"/>
      <c r="ROZ28" s="28"/>
      <c r="RPA28" s="28"/>
      <c r="RPB28" s="28"/>
      <c r="RPC28" s="28"/>
      <c r="RPD28" s="28"/>
      <c r="RPE28" s="28"/>
      <c r="RPF28" s="28"/>
      <c r="RPG28" s="28"/>
      <c r="RPH28" s="28"/>
      <c r="RPI28" s="28"/>
      <c r="RPJ28" s="28"/>
      <c r="RPK28" s="28"/>
      <c r="RPL28" s="28"/>
      <c r="RPM28" s="28"/>
      <c r="RPN28" s="28"/>
      <c r="RPO28" s="28"/>
      <c r="RPP28" s="28"/>
      <c r="RPQ28" s="28"/>
      <c r="RPR28" s="28"/>
      <c r="RPS28" s="28"/>
      <c r="RPT28" s="28"/>
      <c r="RPU28" s="28"/>
      <c r="RPV28" s="28"/>
      <c r="RPW28" s="28"/>
      <c r="RPX28" s="28"/>
      <c r="RPY28" s="28"/>
      <c r="RPZ28" s="28"/>
      <c r="RQA28" s="28"/>
      <c r="RQB28" s="28"/>
      <c r="RQC28" s="28"/>
      <c r="RQD28" s="28"/>
      <c r="RQE28" s="28"/>
      <c r="RQF28" s="28"/>
      <c r="RQG28" s="28"/>
      <c r="RQH28" s="28"/>
      <c r="RQI28" s="28"/>
      <c r="RQJ28" s="28"/>
      <c r="RQK28" s="28"/>
      <c r="RQL28" s="28"/>
      <c r="RQM28" s="28"/>
      <c r="RQN28" s="28"/>
      <c r="RQO28" s="28"/>
      <c r="RQP28" s="28"/>
      <c r="RQQ28" s="28"/>
      <c r="RQR28" s="28"/>
      <c r="RQS28" s="28"/>
      <c r="RQT28" s="28"/>
      <c r="RQU28" s="28"/>
      <c r="RQV28" s="28"/>
      <c r="RQW28" s="28"/>
      <c r="RQX28" s="28"/>
      <c r="RQY28" s="28"/>
      <c r="RQZ28" s="28"/>
      <c r="RRA28" s="28"/>
      <c r="RRB28" s="28"/>
      <c r="RRC28" s="28"/>
      <c r="RRD28" s="28"/>
      <c r="RRE28" s="28"/>
      <c r="RRF28" s="28"/>
      <c r="RRG28" s="28"/>
      <c r="RRH28" s="28"/>
      <c r="RRI28" s="28"/>
      <c r="RRJ28" s="28"/>
      <c r="RRK28" s="28"/>
      <c r="RRL28" s="28"/>
      <c r="RRM28" s="28"/>
      <c r="RRN28" s="28"/>
      <c r="RRO28" s="28"/>
      <c r="RRP28" s="28"/>
      <c r="RRQ28" s="28"/>
      <c r="RRR28" s="28"/>
      <c r="RRS28" s="28"/>
      <c r="RRT28" s="28"/>
      <c r="RRU28" s="28"/>
      <c r="RRV28" s="28"/>
      <c r="RRW28" s="28"/>
      <c r="RRX28" s="28"/>
      <c r="RRY28" s="28"/>
      <c r="RRZ28" s="28"/>
      <c r="RSA28" s="28"/>
      <c r="RSB28" s="28"/>
      <c r="RSC28" s="28"/>
      <c r="RSD28" s="28"/>
      <c r="RSE28" s="28"/>
      <c r="RSF28" s="28"/>
      <c r="RSG28" s="28"/>
      <c r="RSH28" s="28"/>
      <c r="RSI28" s="28"/>
      <c r="RSJ28" s="28"/>
      <c r="RSK28" s="28"/>
      <c r="RSL28" s="28"/>
      <c r="RSM28" s="28"/>
      <c r="RSN28" s="28"/>
      <c r="RSO28" s="28"/>
      <c r="RSP28" s="28"/>
      <c r="RSQ28" s="28"/>
      <c r="RSR28" s="28"/>
      <c r="RSS28" s="28"/>
      <c r="RST28" s="28"/>
      <c r="RSU28" s="28"/>
      <c r="RSV28" s="28"/>
      <c r="RSW28" s="28"/>
      <c r="RSX28" s="28"/>
      <c r="RSY28" s="28"/>
      <c r="RSZ28" s="28"/>
      <c r="RTA28" s="28"/>
      <c r="RTB28" s="28"/>
      <c r="RTC28" s="28"/>
      <c r="RTD28" s="28"/>
      <c r="RTE28" s="28"/>
      <c r="RTF28" s="28"/>
      <c r="RTG28" s="28"/>
      <c r="RTH28" s="28"/>
      <c r="RTI28" s="28"/>
      <c r="RTJ28" s="28"/>
      <c r="RTK28" s="28"/>
      <c r="RTL28" s="28"/>
      <c r="RTM28" s="28"/>
      <c r="RTN28" s="28"/>
      <c r="RTO28" s="28"/>
      <c r="RTP28" s="28"/>
      <c r="RTQ28" s="28"/>
      <c r="RTR28" s="28"/>
      <c r="RTS28" s="28"/>
      <c r="RTT28" s="28"/>
      <c r="RTU28" s="28"/>
      <c r="RTV28" s="28"/>
      <c r="RTW28" s="28"/>
      <c r="RTX28" s="28"/>
      <c r="RTY28" s="28"/>
      <c r="RTZ28" s="28"/>
      <c r="RUA28" s="28"/>
      <c r="RUB28" s="28"/>
      <c r="RUC28" s="28"/>
      <c r="RUD28" s="28"/>
      <c r="RUE28" s="28"/>
      <c r="RUF28" s="28"/>
      <c r="RUG28" s="28"/>
      <c r="RUH28" s="28"/>
      <c r="RUI28" s="28"/>
      <c r="RUJ28" s="28"/>
      <c r="RUK28" s="28"/>
      <c r="RUL28" s="28"/>
      <c r="RUM28" s="28"/>
      <c r="RUN28" s="28"/>
      <c r="RUO28" s="28"/>
      <c r="RUP28" s="28"/>
      <c r="RUQ28" s="28"/>
      <c r="RUR28" s="28"/>
      <c r="RUS28" s="28"/>
      <c r="RUT28" s="28"/>
      <c r="RUU28" s="28"/>
      <c r="RUV28" s="28"/>
      <c r="RUW28" s="28"/>
      <c r="RUX28" s="28"/>
      <c r="RUY28" s="28"/>
      <c r="RUZ28" s="28"/>
      <c r="RVA28" s="28"/>
      <c r="RVB28" s="28"/>
      <c r="RVC28" s="28"/>
      <c r="RVD28" s="28"/>
      <c r="RVE28" s="28"/>
      <c r="RVF28" s="28"/>
      <c r="RVG28" s="28"/>
      <c r="RVH28" s="28"/>
      <c r="RVI28" s="28"/>
      <c r="RVJ28" s="28"/>
      <c r="RVK28" s="28"/>
      <c r="RVL28" s="28"/>
      <c r="RVM28" s="28"/>
      <c r="RVN28" s="28"/>
      <c r="RVO28" s="28"/>
      <c r="RVP28" s="28"/>
      <c r="RVQ28" s="28"/>
      <c r="RVR28" s="28"/>
      <c r="RVS28" s="28"/>
      <c r="RVT28" s="28"/>
      <c r="RVU28" s="28"/>
      <c r="RVV28" s="28"/>
      <c r="RVW28" s="28"/>
      <c r="RVX28" s="28"/>
      <c r="RVY28" s="28"/>
      <c r="RVZ28" s="28"/>
      <c r="RWA28" s="28"/>
      <c r="RWB28" s="28"/>
      <c r="RWC28" s="28"/>
      <c r="RWD28" s="28"/>
      <c r="RWE28" s="28"/>
      <c r="RWF28" s="28"/>
      <c r="RWG28" s="28"/>
      <c r="RWH28" s="28"/>
      <c r="RWI28" s="28"/>
      <c r="RWJ28" s="28"/>
      <c r="RWK28" s="28"/>
      <c r="RWL28" s="28"/>
      <c r="RWM28" s="28"/>
      <c r="RWN28" s="28"/>
      <c r="RWO28" s="28"/>
      <c r="RWP28" s="28"/>
      <c r="RWQ28" s="28"/>
      <c r="RWR28" s="28"/>
      <c r="RWS28" s="28"/>
      <c r="RWT28" s="28"/>
      <c r="RWU28" s="28"/>
      <c r="RWV28" s="28"/>
      <c r="RWW28" s="28"/>
      <c r="RWX28" s="28"/>
      <c r="RWY28" s="28"/>
      <c r="RWZ28" s="28"/>
      <c r="RXA28" s="28"/>
      <c r="RXB28" s="28"/>
      <c r="RXC28" s="28"/>
      <c r="RXD28" s="28"/>
      <c r="RXE28" s="28"/>
      <c r="RXF28" s="28"/>
      <c r="RXG28" s="28"/>
      <c r="RXH28" s="28"/>
      <c r="RXI28" s="28"/>
      <c r="RXJ28" s="28"/>
      <c r="RXK28" s="28"/>
      <c r="RXL28" s="28"/>
      <c r="RXM28" s="28"/>
      <c r="RXN28" s="28"/>
      <c r="RXO28" s="28"/>
      <c r="RXP28" s="28"/>
      <c r="RXQ28" s="28"/>
      <c r="RXR28" s="28"/>
      <c r="RXS28" s="28"/>
      <c r="RXT28" s="28"/>
      <c r="RXU28" s="28"/>
      <c r="RXV28" s="28"/>
      <c r="RXW28" s="28"/>
      <c r="RXX28" s="28"/>
      <c r="RXY28" s="28"/>
      <c r="RXZ28" s="28"/>
      <c r="RYA28" s="28"/>
      <c r="RYB28" s="28"/>
      <c r="RYC28" s="28"/>
      <c r="RYD28" s="28"/>
      <c r="RYE28" s="28"/>
      <c r="RYF28" s="28"/>
      <c r="RYG28" s="28"/>
      <c r="RYH28" s="28"/>
      <c r="RYI28" s="28"/>
      <c r="RYJ28" s="28"/>
      <c r="RYK28" s="28"/>
      <c r="RYL28" s="28"/>
      <c r="RYM28" s="28"/>
      <c r="RYN28" s="28"/>
      <c r="RYO28" s="28"/>
      <c r="RYP28" s="28"/>
      <c r="RYQ28" s="28"/>
      <c r="RYR28" s="28"/>
      <c r="RYS28" s="28"/>
      <c r="RYT28" s="28"/>
      <c r="RYU28" s="28"/>
      <c r="RYV28" s="28"/>
      <c r="RYW28" s="28"/>
      <c r="RYX28" s="28"/>
      <c r="RYY28" s="28"/>
      <c r="RYZ28" s="28"/>
      <c r="RZA28" s="28"/>
      <c r="RZB28" s="28"/>
      <c r="RZC28" s="28"/>
      <c r="RZD28" s="28"/>
      <c r="RZE28" s="28"/>
      <c r="RZF28" s="28"/>
      <c r="RZG28" s="28"/>
      <c r="RZH28" s="28"/>
      <c r="RZI28" s="28"/>
      <c r="RZJ28" s="28"/>
      <c r="RZK28" s="28"/>
      <c r="RZL28" s="28"/>
      <c r="RZM28" s="28"/>
      <c r="RZN28" s="28"/>
      <c r="RZO28" s="28"/>
      <c r="RZP28" s="28"/>
      <c r="RZQ28" s="28"/>
      <c r="RZR28" s="28"/>
      <c r="RZS28" s="28"/>
      <c r="RZT28" s="28"/>
      <c r="RZU28" s="28"/>
      <c r="RZV28" s="28"/>
      <c r="RZW28" s="28"/>
      <c r="RZX28" s="28"/>
      <c r="RZY28" s="28"/>
      <c r="RZZ28" s="28"/>
      <c r="SAA28" s="28"/>
      <c r="SAB28" s="28"/>
      <c r="SAC28" s="28"/>
      <c r="SAD28" s="28"/>
      <c r="SAE28" s="28"/>
      <c r="SAF28" s="28"/>
      <c r="SAG28" s="28"/>
      <c r="SAH28" s="28"/>
      <c r="SAI28" s="28"/>
      <c r="SAJ28" s="28"/>
      <c r="SAK28" s="28"/>
      <c r="SAL28" s="28"/>
      <c r="SAM28" s="28"/>
      <c r="SAN28" s="28"/>
      <c r="SAO28" s="28"/>
      <c r="SAP28" s="28"/>
      <c r="SAQ28" s="28"/>
      <c r="SAR28" s="28"/>
      <c r="SAS28" s="28"/>
      <c r="SAT28" s="28"/>
      <c r="SAU28" s="28"/>
      <c r="SAV28" s="28"/>
      <c r="SAW28" s="28"/>
      <c r="SAX28" s="28"/>
      <c r="SAY28" s="28"/>
      <c r="SAZ28" s="28"/>
      <c r="SBA28" s="28"/>
      <c r="SBB28" s="28"/>
      <c r="SBC28" s="28"/>
      <c r="SBD28" s="28"/>
      <c r="SBE28" s="28"/>
      <c r="SBF28" s="28"/>
      <c r="SBG28" s="28"/>
      <c r="SBH28" s="28"/>
      <c r="SBI28" s="28"/>
      <c r="SBJ28" s="28"/>
      <c r="SBK28" s="28"/>
      <c r="SBL28" s="28"/>
      <c r="SBM28" s="28"/>
      <c r="SBN28" s="28"/>
      <c r="SBO28" s="28"/>
      <c r="SBP28" s="28"/>
      <c r="SBQ28" s="28"/>
      <c r="SBR28" s="28"/>
      <c r="SBS28" s="28"/>
      <c r="SBT28" s="28"/>
      <c r="SBU28" s="28"/>
      <c r="SBV28" s="28"/>
      <c r="SBW28" s="28"/>
      <c r="SBX28" s="28"/>
      <c r="SBY28" s="28"/>
      <c r="SBZ28" s="28"/>
      <c r="SCA28" s="28"/>
      <c r="SCB28" s="28"/>
      <c r="SCC28" s="28"/>
      <c r="SCD28" s="28"/>
      <c r="SCE28" s="28"/>
      <c r="SCF28" s="28"/>
      <c r="SCG28" s="28"/>
      <c r="SCH28" s="28"/>
      <c r="SCI28" s="28"/>
      <c r="SCJ28" s="28"/>
      <c r="SCK28" s="28"/>
      <c r="SCL28" s="28"/>
      <c r="SCM28" s="28"/>
      <c r="SCN28" s="28"/>
      <c r="SCO28" s="28"/>
      <c r="SCP28" s="28"/>
      <c r="SCQ28" s="28"/>
      <c r="SCR28" s="28"/>
      <c r="SCS28" s="28"/>
      <c r="SCT28" s="28"/>
      <c r="SCU28" s="28"/>
      <c r="SCV28" s="28"/>
      <c r="SCW28" s="28"/>
      <c r="SCX28" s="28"/>
      <c r="SCY28" s="28"/>
      <c r="SCZ28" s="28"/>
      <c r="SDA28" s="28"/>
      <c r="SDB28" s="28"/>
      <c r="SDC28" s="28"/>
      <c r="SDD28" s="28"/>
      <c r="SDE28" s="28"/>
      <c r="SDF28" s="28"/>
      <c r="SDG28" s="28"/>
      <c r="SDH28" s="28"/>
      <c r="SDI28" s="28"/>
      <c r="SDJ28" s="28"/>
      <c r="SDK28" s="28"/>
      <c r="SDL28" s="28"/>
      <c r="SDM28" s="28"/>
      <c r="SDN28" s="28"/>
      <c r="SDO28" s="28"/>
      <c r="SDP28" s="28"/>
      <c r="SDQ28" s="28"/>
      <c r="SDR28" s="28"/>
      <c r="SDS28" s="28"/>
      <c r="SDT28" s="28"/>
      <c r="SDU28" s="28"/>
      <c r="SDV28" s="28"/>
      <c r="SDW28" s="28"/>
      <c r="SDX28" s="28"/>
      <c r="SDY28" s="28"/>
      <c r="SDZ28" s="28"/>
      <c r="SEA28" s="28"/>
      <c r="SEB28" s="28"/>
      <c r="SEC28" s="28"/>
      <c r="SED28" s="28"/>
      <c r="SEE28" s="28"/>
      <c r="SEF28" s="28"/>
      <c r="SEG28" s="28"/>
      <c r="SEH28" s="28"/>
      <c r="SEI28" s="28"/>
      <c r="SEJ28" s="28"/>
      <c r="SEK28" s="28"/>
      <c r="SEL28" s="28"/>
      <c r="SEM28" s="28"/>
      <c r="SEN28" s="28"/>
      <c r="SEO28" s="28"/>
      <c r="SEP28" s="28"/>
      <c r="SEQ28" s="28"/>
      <c r="SER28" s="28"/>
      <c r="SES28" s="28"/>
      <c r="SET28" s="28"/>
      <c r="SEU28" s="28"/>
      <c r="SEV28" s="28"/>
      <c r="SEW28" s="28"/>
      <c r="SEX28" s="28"/>
      <c r="SEY28" s="28"/>
      <c r="SEZ28" s="28"/>
      <c r="SFA28" s="28"/>
      <c r="SFB28" s="28"/>
      <c r="SFC28" s="28"/>
      <c r="SFD28" s="28"/>
      <c r="SFE28" s="28"/>
      <c r="SFF28" s="28"/>
      <c r="SFG28" s="28"/>
      <c r="SFH28" s="28"/>
      <c r="SFI28" s="28"/>
      <c r="SFJ28" s="28"/>
      <c r="SFK28" s="28"/>
      <c r="SFL28" s="28"/>
      <c r="SFM28" s="28"/>
      <c r="SFN28" s="28"/>
      <c r="SFO28" s="28"/>
      <c r="SFP28" s="28"/>
      <c r="SFQ28" s="28"/>
      <c r="SFR28" s="28"/>
      <c r="SFS28" s="28"/>
      <c r="SFT28" s="28"/>
      <c r="SFU28" s="28"/>
      <c r="SFV28" s="28"/>
      <c r="SFW28" s="28"/>
      <c r="SFX28" s="28"/>
      <c r="SFY28" s="28"/>
      <c r="SFZ28" s="28"/>
      <c r="SGA28" s="28"/>
      <c r="SGB28" s="28"/>
      <c r="SGC28" s="28"/>
      <c r="SGD28" s="28"/>
      <c r="SGE28" s="28"/>
      <c r="SGF28" s="28"/>
      <c r="SGG28" s="28"/>
      <c r="SGH28" s="28"/>
      <c r="SGI28" s="28"/>
      <c r="SGJ28" s="28"/>
      <c r="SGK28" s="28"/>
      <c r="SGL28" s="28"/>
      <c r="SGM28" s="28"/>
      <c r="SGN28" s="28"/>
      <c r="SGO28" s="28"/>
      <c r="SGP28" s="28"/>
      <c r="SGQ28" s="28"/>
      <c r="SGR28" s="28"/>
      <c r="SGS28" s="28"/>
      <c r="SGT28" s="28"/>
      <c r="SGU28" s="28"/>
      <c r="SGV28" s="28"/>
      <c r="SGW28" s="28"/>
      <c r="SGX28" s="28"/>
      <c r="SGY28" s="28"/>
      <c r="SGZ28" s="28"/>
      <c r="SHA28" s="28"/>
      <c r="SHB28" s="28"/>
      <c r="SHC28" s="28"/>
      <c r="SHD28" s="28"/>
      <c r="SHE28" s="28"/>
      <c r="SHF28" s="28"/>
      <c r="SHG28" s="28"/>
      <c r="SHH28" s="28"/>
      <c r="SHI28" s="28"/>
      <c r="SHJ28" s="28"/>
      <c r="SHK28" s="28"/>
      <c r="SHL28" s="28"/>
      <c r="SHM28" s="28"/>
      <c r="SHN28" s="28"/>
      <c r="SHO28" s="28"/>
      <c r="SHP28" s="28"/>
      <c r="SHQ28" s="28"/>
      <c r="SHR28" s="28"/>
      <c r="SHS28" s="28"/>
      <c r="SHT28" s="28"/>
      <c r="SHU28" s="28"/>
      <c r="SHV28" s="28"/>
      <c r="SHW28" s="28"/>
      <c r="SHX28" s="28"/>
      <c r="SHY28" s="28"/>
      <c r="SHZ28" s="28"/>
      <c r="SIA28" s="28"/>
      <c r="SIB28" s="28"/>
      <c r="SIC28" s="28"/>
      <c r="SID28" s="28"/>
      <c r="SIE28" s="28"/>
      <c r="SIF28" s="28"/>
      <c r="SIG28" s="28"/>
      <c r="SIH28" s="28"/>
      <c r="SII28" s="28"/>
      <c r="SIJ28" s="28"/>
      <c r="SIK28" s="28"/>
      <c r="SIL28" s="28"/>
      <c r="SIM28" s="28"/>
      <c r="SIN28" s="28"/>
      <c r="SIO28" s="28"/>
      <c r="SIP28" s="28"/>
      <c r="SIQ28" s="28"/>
      <c r="SIR28" s="28"/>
      <c r="SIS28" s="28"/>
      <c r="SIT28" s="28"/>
      <c r="SIU28" s="28"/>
      <c r="SIV28" s="28"/>
      <c r="SIW28" s="28"/>
      <c r="SIX28" s="28"/>
      <c r="SIY28" s="28"/>
      <c r="SIZ28" s="28"/>
      <c r="SJA28" s="28"/>
      <c r="SJB28" s="28"/>
      <c r="SJC28" s="28"/>
      <c r="SJD28" s="28"/>
      <c r="SJE28" s="28"/>
      <c r="SJF28" s="28"/>
      <c r="SJG28" s="28"/>
      <c r="SJH28" s="28"/>
      <c r="SJI28" s="28"/>
      <c r="SJJ28" s="28"/>
      <c r="SJK28" s="28"/>
      <c r="SJL28" s="28"/>
      <c r="SJM28" s="28"/>
      <c r="SJN28" s="28"/>
      <c r="SJO28" s="28"/>
      <c r="SJP28" s="28"/>
      <c r="SJQ28" s="28"/>
      <c r="SJR28" s="28"/>
      <c r="SJS28" s="28"/>
      <c r="SJT28" s="28"/>
      <c r="SJU28" s="28"/>
      <c r="SJV28" s="28"/>
      <c r="SJW28" s="28"/>
      <c r="SJX28" s="28"/>
      <c r="SJY28" s="28"/>
      <c r="SJZ28" s="28"/>
      <c r="SKA28" s="28"/>
      <c r="SKB28" s="28"/>
      <c r="SKC28" s="28"/>
      <c r="SKD28" s="28"/>
      <c r="SKE28" s="28"/>
      <c r="SKF28" s="28"/>
      <c r="SKG28" s="28"/>
      <c r="SKH28" s="28"/>
      <c r="SKI28" s="28"/>
      <c r="SKJ28" s="28"/>
      <c r="SKK28" s="28"/>
      <c r="SKL28" s="28"/>
      <c r="SKM28" s="28"/>
      <c r="SKN28" s="28"/>
      <c r="SKO28" s="28"/>
      <c r="SKP28" s="28"/>
      <c r="SKQ28" s="28"/>
      <c r="SKR28" s="28"/>
      <c r="SKS28" s="28"/>
      <c r="SKT28" s="28"/>
      <c r="SKU28" s="28"/>
      <c r="SKV28" s="28"/>
      <c r="SKW28" s="28"/>
      <c r="SKX28" s="28"/>
      <c r="SKY28" s="28"/>
      <c r="SKZ28" s="28"/>
      <c r="SLA28" s="28"/>
      <c r="SLB28" s="28"/>
      <c r="SLC28" s="28"/>
      <c r="SLD28" s="28"/>
      <c r="SLE28" s="28"/>
      <c r="SLF28" s="28"/>
      <c r="SLG28" s="28"/>
      <c r="SLH28" s="28"/>
      <c r="SLI28" s="28"/>
      <c r="SLJ28" s="28"/>
      <c r="SLK28" s="28"/>
      <c r="SLL28" s="28"/>
      <c r="SLM28" s="28"/>
      <c r="SLN28" s="28"/>
      <c r="SLO28" s="28"/>
      <c r="SLP28" s="28"/>
      <c r="SLQ28" s="28"/>
      <c r="SLR28" s="28"/>
      <c r="SLS28" s="28"/>
      <c r="SLT28" s="28"/>
      <c r="SLU28" s="28"/>
      <c r="SLV28" s="28"/>
      <c r="SLW28" s="28"/>
      <c r="SLX28" s="28"/>
      <c r="SLY28" s="28"/>
      <c r="SLZ28" s="28"/>
      <c r="SMA28" s="28"/>
      <c r="SMB28" s="28"/>
      <c r="SMC28" s="28"/>
      <c r="SMD28" s="28"/>
      <c r="SME28" s="28"/>
      <c r="SMF28" s="28"/>
      <c r="SMG28" s="28"/>
      <c r="SMH28" s="28"/>
      <c r="SMI28" s="28"/>
      <c r="SMJ28" s="28"/>
      <c r="SMK28" s="28"/>
      <c r="SML28" s="28"/>
      <c r="SMM28" s="28"/>
      <c r="SMN28" s="28"/>
      <c r="SMO28" s="28"/>
      <c r="SMP28" s="28"/>
      <c r="SMQ28" s="28"/>
      <c r="SMR28" s="28"/>
      <c r="SMS28" s="28"/>
      <c r="SMT28" s="28"/>
      <c r="SMU28" s="28"/>
      <c r="SMV28" s="28"/>
      <c r="SMW28" s="28"/>
      <c r="SMX28" s="28"/>
      <c r="SMY28" s="28"/>
      <c r="SMZ28" s="28"/>
      <c r="SNA28" s="28"/>
      <c r="SNB28" s="28"/>
      <c r="SNC28" s="28"/>
      <c r="SND28" s="28"/>
      <c r="SNE28" s="28"/>
      <c r="SNF28" s="28"/>
      <c r="SNG28" s="28"/>
      <c r="SNH28" s="28"/>
      <c r="SNI28" s="28"/>
      <c r="SNJ28" s="28"/>
      <c r="SNK28" s="28"/>
      <c r="SNL28" s="28"/>
      <c r="SNM28" s="28"/>
      <c r="SNN28" s="28"/>
      <c r="SNO28" s="28"/>
      <c r="SNP28" s="28"/>
      <c r="SNQ28" s="28"/>
      <c r="SNR28" s="28"/>
      <c r="SNS28" s="28"/>
      <c r="SNT28" s="28"/>
      <c r="SNU28" s="28"/>
      <c r="SNV28" s="28"/>
      <c r="SNW28" s="28"/>
      <c r="SNX28" s="28"/>
      <c r="SNY28" s="28"/>
      <c r="SNZ28" s="28"/>
      <c r="SOA28" s="28"/>
      <c r="SOB28" s="28"/>
      <c r="SOC28" s="28"/>
      <c r="SOD28" s="28"/>
      <c r="SOE28" s="28"/>
      <c r="SOF28" s="28"/>
      <c r="SOG28" s="28"/>
      <c r="SOH28" s="28"/>
      <c r="SOI28" s="28"/>
      <c r="SOJ28" s="28"/>
      <c r="SOK28" s="28"/>
      <c r="SOL28" s="28"/>
      <c r="SOM28" s="28"/>
      <c r="SON28" s="28"/>
      <c r="SOO28" s="28"/>
      <c r="SOP28" s="28"/>
      <c r="SOQ28" s="28"/>
      <c r="SOR28" s="28"/>
      <c r="SOS28" s="28"/>
      <c r="SOT28" s="28"/>
      <c r="SOU28" s="28"/>
      <c r="SOV28" s="28"/>
      <c r="SOW28" s="28"/>
      <c r="SOX28" s="28"/>
      <c r="SOY28" s="28"/>
      <c r="SOZ28" s="28"/>
      <c r="SPA28" s="28"/>
      <c r="SPB28" s="28"/>
      <c r="SPC28" s="28"/>
      <c r="SPD28" s="28"/>
      <c r="SPE28" s="28"/>
      <c r="SPF28" s="28"/>
      <c r="SPG28" s="28"/>
      <c r="SPH28" s="28"/>
      <c r="SPI28" s="28"/>
      <c r="SPJ28" s="28"/>
      <c r="SPK28" s="28"/>
      <c r="SPL28" s="28"/>
      <c r="SPM28" s="28"/>
      <c r="SPN28" s="28"/>
      <c r="SPO28" s="28"/>
      <c r="SPP28" s="28"/>
      <c r="SPQ28" s="28"/>
      <c r="SPR28" s="28"/>
      <c r="SPS28" s="28"/>
      <c r="SPT28" s="28"/>
      <c r="SPU28" s="28"/>
      <c r="SPV28" s="28"/>
      <c r="SPW28" s="28"/>
      <c r="SPX28" s="28"/>
      <c r="SPY28" s="28"/>
      <c r="SPZ28" s="28"/>
      <c r="SQA28" s="28"/>
      <c r="SQB28" s="28"/>
      <c r="SQC28" s="28"/>
      <c r="SQD28" s="28"/>
      <c r="SQE28" s="28"/>
      <c r="SQF28" s="28"/>
      <c r="SQG28" s="28"/>
      <c r="SQH28" s="28"/>
      <c r="SQI28" s="28"/>
      <c r="SQJ28" s="28"/>
      <c r="SQK28" s="28"/>
      <c r="SQL28" s="28"/>
      <c r="SQM28" s="28"/>
      <c r="SQN28" s="28"/>
      <c r="SQO28" s="28"/>
      <c r="SQP28" s="28"/>
      <c r="SQQ28" s="28"/>
      <c r="SQR28" s="28"/>
      <c r="SQS28" s="28"/>
      <c r="SQT28" s="28"/>
      <c r="SQU28" s="28"/>
      <c r="SQV28" s="28"/>
      <c r="SQW28" s="28"/>
      <c r="SQX28" s="28"/>
      <c r="SQY28" s="28"/>
      <c r="SQZ28" s="28"/>
      <c r="SRA28" s="28"/>
      <c r="SRB28" s="28"/>
      <c r="SRC28" s="28"/>
      <c r="SRD28" s="28"/>
      <c r="SRE28" s="28"/>
      <c r="SRF28" s="28"/>
      <c r="SRG28" s="28"/>
      <c r="SRH28" s="28"/>
      <c r="SRI28" s="28"/>
      <c r="SRJ28" s="28"/>
      <c r="SRK28" s="28"/>
      <c r="SRL28" s="28"/>
      <c r="SRM28" s="28"/>
      <c r="SRN28" s="28"/>
      <c r="SRO28" s="28"/>
      <c r="SRP28" s="28"/>
      <c r="SRQ28" s="28"/>
      <c r="SRR28" s="28"/>
      <c r="SRS28" s="28"/>
      <c r="SRT28" s="28"/>
      <c r="SRU28" s="28"/>
      <c r="SRV28" s="28"/>
      <c r="SRW28" s="28"/>
      <c r="SRX28" s="28"/>
      <c r="SRY28" s="28"/>
      <c r="SRZ28" s="28"/>
      <c r="SSA28" s="28"/>
      <c r="SSB28" s="28"/>
      <c r="SSC28" s="28"/>
      <c r="SSD28" s="28"/>
      <c r="SSE28" s="28"/>
      <c r="SSF28" s="28"/>
      <c r="SSG28" s="28"/>
      <c r="SSH28" s="28"/>
      <c r="SSI28" s="28"/>
      <c r="SSJ28" s="28"/>
      <c r="SSK28" s="28"/>
      <c r="SSL28" s="28"/>
      <c r="SSM28" s="28"/>
      <c r="SSN28" s="28"/>
      <c r="SSO28" s="28"/>
      <c r="SSP28" s="28"/>
      <c r="SSQ28" s="28"/>
      <c r="SSR28" s="28"/>
      <c r="SSS28" s="28"/>
      <c r="SST28" s="28"/>
      <c r="SSU28" s="28"/>
      <c r="SSV28" s="28"/>
      <c r="SSW28" s="28"/>
      <c r="SSX28" s="28"/>
      <c r="SSY28" s="28"/>
      <c r="SSZ28" s="28"/>
      <c r="STA28" s="28"/>
      <c r="STB28" s="28"/>
      <c r="STC28" s="28"/>
      <c r="STD28" s="28"/>
      <c r="STE28" s="28"/>
      <c r="STF28" s="28"/>
      <c r="STG28" s="28"/>
      <c r="STH28" s="28"/>
      <c r="STI28" s="28"/>
      <c r="STJ28" s="28"/>
      <c r="STK28" s="28"/>
      <c r="STL28" s="28"/>
      <c r="STM28" s="28"/>
      <c r="STN28" s="28"/>
      <c r="STO28" s="28"/>
      <c r="STP28" s="28"/>
      <c r="STQ28" s="28"/>
      <c r="STR28" s="28"/>
      <c r="STS28" s="28"/>
      <c r="STT28" s="28"/>
      <c r="STU28" s="28"/>
      <c r="STV28" s="28"/>
      <c r="STW28" s="28"/>
      <c r="STX28" s="28"/>
      <c r="STY28" s="28"/>
      <c r="STZ28" s="28"/>
      <c r="SUA28" s="28"/>
      <c r="SUB28" s="28"/>
      <c r="SUC28" s="28"/>
      <c r="SUD28" s="28"/>
      <c r="SUE28" s="28"/>
      <c r="SUF28" s="28"/>
      <c r="SUG28" s="28"/>
      <c r="SUH28" s="28"/>
      <c r="SUI28" s="28"/>
      <c r="SUJ28" s="28"/>
      <c r="SUK28" s="28"/>
      <c r="SUL28" s="28"/>
      <c r="SUM28" s="28"/>
      <c r="SUN28" s="28"/>
      <c r="SUO28" s="28"/>
      <c r="SUP28" s="28"/>
      <c r="SUQ28" s="28"/>
      <c r="SUR28" s="28"/>
      <c r="SUS28" s="28"/>
      <c r="SUT28" s="28"/>
      <c r="SUU28" s="28"/>
      <c r="SUV28" s="28"/>
      <c r="SUW28" s="28"/>
      <c r="SUX28" s="28"/>
      <c r="SUY28" s="28"/>
      <c r="SUZ28" s="28"/>
      <c r="SVA28" s="28"/>
      <c r="SVB28" s="28"/>
      <c r="SVC28" s="28"/>
      <c r="SVD28" s="28"/>
      <c r="SVE28" s="28"/>
      <c r="SVF28" s="28"/>
      <c r="SVG28" s="28"/>
      <c r="SVH28" s="28"/>
      <c r="SVI28" s="28"/>
      <c r="SVJ28" s="28"/>
      <c r="SVK28" s="28"/>
      <c r="SVL28" s="28"/>
      <c r="SVM28" s="28"/>
      <c r="SVN28" s="28"/>
      <c r="SVO28" s="28"/>
      <c r="SVP28" s="28"/>
      <c r="SVQ28" s="28"/>
      <c r="SVR28" s="28"/>
      <c r="SVS28" s="28"/>
      <c r="SVT28" s="28"/>
      <c r="SVU28" s="28"/>
      <c r="SVV28" s="28"/>
      <c r="SVW28" s="28"/>
      <c r="SVX28" s="28"/>
      <c r="SVY28" s="28"/>
      <c r="SVZ28" s="28"/>
      <c r="SWA28" s="28"/>
      <c r="SWB28" s="28"/>
      <c r="SWC28" s="28"/>
      <c r="SWD28" s="28"/>
      <c r="SWE28" s="28"/>
      <c r="SWF28" s="28"/>
      <c r="SWG28" s="28"/>
      <c r="SWH28" s="28"/>
      <c r="SWI28" s="28"/>
      <c r="SWJ28" s="28"/>
      <c r="SWK28" s="28"/>
      <c r="SWL28" s="28"/>
      <c r="SWM28" s="28"/>
      <c r="SWN28" s="28"/>
      <c r="SWO28" s="28"/>
      <c r="SWP28" s="28"/>
      <c r="SWQ28" s="28"/>
      <c r="SWR28" s="28"/>
      <c r="SWS28" s="28"/>
      <c r="SWT28" s="28"/>
      <c r="SWU28" s="28"/>
      <c r="SWV28" s="28"/>
      <c r="SWW28" s="28"/>
      <c r="SWX28" s="28"/>
      <c r="SWY28" s="28"/>
      <c r="SWZ28" s="28"/>
      <c r="SXA28" s="28"/>
      <c r="SXB28" s="28"/>
      <c r="SXC28" s="28"/>
      <c r="SXD28" s="28"/>
      <c r="SXE28" s="28"/>
      <c r="SXF28" s="28"/>
      <c r="SXG28" s="28"/>
      <c r="SXH28" s="28"/>
      <c r="SXI28" s="28"/>
      <c r="SXJ28" s="28"/>
      <c r="SXK28" s="28"/>
      <c r="SXL28" s="28"/>
      <c r="SXM28" s="28"/>
      <c r="SXN28" s="28"/>
      <c r="SXO28" s="28"/>
      <c r="SXP28" s="28"/>
      <c r="SXQ28" s="28"/>
      <c r="SXR28" s="28"/>
      <c r="SXS28" s="28"/>
      <c r="SXT28" s="28"/>
      <c r="SXU28" s="28"/>
      <c r="SXV28" s="28"/>
      <c r="SXW28" s="28"/>
      <c r="SXX28" s="28"/>
      <c r="SXY28" s="28"/>
      <c r="SXZ28" s="28"/>
      <c r="SYA28" s="28"/>
      <c r="SYB28" s="28"/>
      <c r="SYC28" s="28"/>
      <c r="SYD28" s="28"/>
      <c r="SYE28" s="28"/>
      <c r="SYF28" s="28"/>
      <c r="SYG28" s="28"/>
      <c r="SYH28" s="28"/>
      <c r="SYI28" s="28"/>
      <c r="SYJ28" s="28"/>
      <c r="SYK28" s="28"/>
      <c r="SYL28" s="28"/>
      <c r="SYM28" s="28"/>
      <c r="SYN28" s="28"/>
      <c r="SYO28" s="28"/>
      <c r="SYP28" s="28"/>
      <c r="SYQ28" s="28"/>
      <c r="SYR28" s="28"/>
      <c r="SYS28" s="28"/>
      <c r="SYT28" s="28"/>
      <c r="SYU28" s="28"/>
      <c r="SYV28" s="28"/>
      <c r="SYW28" s="28"/>
      <c r="SYX28" s="28"/>
      <c r="SYY28" s="28"/>
      <c r="SYZ28" s="28"/>
      <c r="SZA28" s="28"/>
      <c r="SZB28" s="28"/>
      <c r="SZC28" s="28"/>
      <c r="SZD28" s="28"/>
      <c r="SZE28" s="28"/>
      <c r="SZF28" s="28"/>
      <c r="SZG28" s="28"/>
      <c r="SZH28" s="28"/>
      <c r="SZI28" s="28"/>
      <c r="SZJ28" s="28"/>
      <c r="SZK28" s="28"/>
      <c r="SZL28" s="28"/>
      <c r="SZM28" s="28"/>
      <c r="SZN28" s="28"/>
      <c r="SZO28" s="28"/>
      <c r="SZP28" s="28"/>
      <c r="SZQ28" s="28"/>
      <c r="SZR28" s="28"/>
      <c r="SZS28" s="28"/>
      <c r="SZT28" s="28"/>
      <c r="SZU28" s="28"/>
      <c r="SZV28" s="28"/>
      <c r="SZW28" s="28"/>
      <c r="SZX28" s="28"/>
      <c r="SZY28" s="28"/>
      <c r="SZZ28" s="28"/>
      <c r="TAA28" s="28"/>
      <c r="TAB28" s="28"/>
      <c r="TAC28" s="28"/>
      <c r="TAD28" s="28"/>
      <c r="TAE28" s="28"/>
      <c r="TAF28" s="28"/>
      <c r="TAG28" s="28"/>
      <c r="TAH28" s="28"/>
      <c r="TAI28" s="28"/>
      <c r="TAJ28" s="28"/>
      <c r="TAK28" s="28"/>
      <c r="TAL28" s="28"/>
      <c r="TAM28" s="28"/>
      <c r="TAN28" s="28"/>
      <c r="TAO28" s="28"/>
      <c r="TAP28" s="28"/>
      <c r="TAQ28" s="28"/>
      <c r="TAR28" s="28"/>
      <c r="TAS28" s="28"/>
      <c r="TAT28" s="28"/>
      <c r="TAU28" s="28"/>
      <c r="TAV28" s="28"/>
      <c r="TAW28" s="28"/>
      <c r="TAX28" s="28"/>
      <c r="TAY28" s="28"/>
      <c r="TAZ28" s="28"/>
      <c r="TBA28" s="28"/>
      <c r="TBB28" s="28"/>
      <c r="TBC28" s="28"/>
      <c r="TBD28" s="28"/>
      <c r="TBE28" s="28"/>
      <c r="TBF28" s="28"/>
      <c r="TBG28" s="28"/>
      <c r="TBH28" s="28"/>
      <c r="TBI28" s="28"/>
      <c r="TBJ28" s="28"/>
      <c r="TBK28" s="28"/>
      <c r="TBL28" s="28"/>
      <c r="TBM28" s="28"/>
      <c r="TBN28" s="28"/>
      <c r="TBO28" s="28"/>
      <c r="TBP28" s="28"/>
      <c r="TBQ28" s="28"/>
      <c r="TBR28" s="28"/>
      <c r="TBS28" s="28"/>
      <c r="TBT28" s="28"/>
      <c r="TBU28" s="28"/>
      <c r="TBV28" s="28"/>
      <c r="TBW28" s="28"/>
      <c r="TBX28" s="28"/>
      <c r="TBY28" s="28"/>
      <c r="TBZ28" s="28"/>
      <c r="TCA28" s="28"/>
      <c r="TCB28" s="28"/>
      <c r="TCC28" s="28"/>
      <c r="TCD28" s="28"/>
      <c r="TCE28" s="28"/>
      <c r="TCF28" s="28"/>
      <c r="TCG28" s="28"/>
      <c r="TCH28" s="28"/>
      <c r="TCI28" s="28"/>
      <c r="TCJ28" s="28"/>
      <c r="TCK28" s="28"/>
      <c r="TCL28" s="28"/>
      <c r="TCM28" s="28"/>
      <c r="TCN28" s="28"/>
      <c r="TCO28" s="28"/>
      <c r="TCP28" s="28"/>
      <c r="TCQ28" s="28"/>
      <c r="TCR28" s="28"/>
      <c r="TCS28" s="28"/>
      <c r="TCT28" s="28"/>
      <c r="TCU28" s="28"/>
      <c r="TCV28" s="28"/>
      <c r="TCW28" s="28"/>
      <c r="TCX28" s="28"/>
      <c r="TCY28" s="28"/>
      <c r="TCZ28" s="28"/>
      <c r="TDA28" s="28"/>
      <c r="TDB28" s="28"/>
      <c r="TDC28" s="28"/>
      <c r="TDD28" s="28"/>
      <c r="TDE28" s="28"/>
      <c r="TDF28" s="28"/>
      <c r="TDG28" s="28"/>
      <c r="TDH28" s="28"/>
      <c r="TDI28" s="28"/>
      <c r="TDJ28" s="28"/>
      <c r="TDK28" s="28"/>
      <c r="TDL28" s="28"/>
      <c r="TDM28" s="28"/>
      <c r="TDN28" s="28"/>
      <c r="TDO28" s="28"/>
      <c r="TDP28" s="28"/>
      <c r="TDQ28" s="28"/>
      <c r="TDR28" s="28"/>
      <c r="TDS28" s="28"/>
      <c r="TDT28" s="28"/>
      <c r="TDU28" s="28"/>
      <c r="TDV28" s="28"/>
      <c r="TDW28" s="28"/>
      <c r="TDX28" s="28"/>
      <c r="TDY28" s="28"/>
      <c r="TDZ28" s="28"/>
      <c r="TEA28" s="28"/>
      <c r="TEB28" s="28"/>
      <c r="TEC28" s="28"/>
      <c r="TED28" s="28"/>
      <c r="TEE28" s="28"/>
      <c r="TEF28" s="28"/>
      <c r="TEG28" s="28"/>
      <c r="TEH28" s="28"/>
      <c r="TEI28" s="28"/>
      <c r="TEJ28" s="28"/>
      <c r="TEK28" s="28"/>
      <c r="TEL28" s="28"/>
      <c r="TEM28" s="28"/>
      <c r="TEN28" s="28"/>
      <c r="TEO28" s="28"/>
      <c r="TEP28" s="28"/>
      <c r="TEQ28" s="28"/>
      <c r="TER28" s="28"/>
      <c r="TES28" s="28"/>
      <c r="TET28" s="28"/>
      <c r="TEU28" s="28"/>
      <c r="TEV28" s="28"/>
      <c r="TEW28" s="28"/>
      <c r="TEX28" s="28"/>
      <c r="TEY28" s="28"/>
      <c r="TEZ28" s="28"/>
      <c r="TFA28" s="28"/>
      <c r="TFB28" s="28"/>
      <c r="TFC28" s="28"/>
      <c r="TFD28" s="28"/>
      <c r="TFE28" s="28"/>
      <c r="TFF28" s="28"/>
      <c r="TFG28" s="28"/>
      <c r="TFH28" s="28"/>
      <c r="TFI28" s="28"/>
      <c r="TFJ28" s="28"/>
      <c r="TFK28" s="28"/>
      <c r="TFL28" s="28"/>
      <c r="TFM28" s="28"/>
      <c r="TFN28" s="28"/>
      <c r="TFO28" s="28"/>
      <c r="TFP28" s="28"/>
      <c r="TFQ28" s="28"/>
      <c r="TFR28" s="28"/>
      <c r="TFS28" s="28"/>
      <c r="TFT28" s="28"/>
      <c r="TFU28" s="28"/>
      <c r="TFV28" s="28"/>
      <c r="TFW28" s="28"/>
      <c r="TFX28" s="28"/>
      <c r="TFY28" s="28"/>
      <c r="TFZ28" s="28"/>
      <c r="TGA28" s="28"/>
      <c r="TGB28" s="28"/>
      <c r="TGC28" s="28"/>
      <c r="TGD28" s="28"/>
      <c r="TGE28" s="28"/>
      <c r="TGF28" s="28"/>
      <c r="TGG28" s="28"/>
      <c r="TGH28" s="28"/>
      <c r="TGI28" s="28"/>
      <c r="TGJ28" s="28"/>
      <c r="TGK28" s="28"/>
      <c r="TGL28" s="28"/>
      <c r="TGM28" s="28"/>
      <c r="TGN28" s="28"/>
      <c r="TGO28" s="28"/>
      <c r="TGP28" s="28"/>
      <c r="TGQ28" s="28"/>
      <c r="TGR28" s="28"/>
      <c r="TGS28" s="28"/>
      <c r="TGT28" s="28"/>
      <c r="TGU28" s="28"/>
      <c r="TGV28" s="28"/>
      <c r="TGW28" s="28"/>
      <c r="TGX28" s="28"/>
      <c r="TGY28" s="28"/>
      <c r="TGZ28" s="28"/>
      <c r="THA28" s="28"/>
      <c r="THB28" s="28"/>
      <c r="THC28" s="28"/>
      <c r="THD28" s="28"/>
      <c r="THE28" s="28"/>
      <c r="THF28" s="28"/>
      <c r="THG28" s="28"/>
      <c r="THH28" s="28"/>
      <c r="THI28" s="28"/>
      <c r="THJ28" s="28"/>
      <c r="THK28" s="28"/>
      <c r="THL28" s="28"/>
      <c r="THM28" s="28"/>
      <c r="THN28" s="28"/>
      <c r="THO28" s="28"/>
      <c r="THP28" s="28"/>
      <c r="THQ28" s="28"/>
      <c r="THR28" s="28"/>
      <c r="THS28" s="28"/>
      <c r="THT28" s="28"/>
      <c r="THU28" s="28"/>
      <c r="THV28" s="28"/>
      <c r="THW28" s="28"/>
      <c r="THX28" s="28"/>
      <c r="THY28" s="28"/>
      <c r="THZ28" s="28"/>
      <c r="TIA28" s="28"/>
      <c r="TIB28" s="28"/>
      <c r="TIC28" s="28"/>
      <c r="TID28" s="28"/>
      <c r="TIE28" s="28"/>
      <c r="TIF28" s="28"/>
      <c r="TIG28" s="28"/>
      <c r="TIH28" s="28"/>
      <c r="TII28" s="28"/>
      <c r="TIJ28" s="28"/>
      <c r="TIK28" s="28"/>
      <c r="TIL28" s="28"/>
      <c r="TIM28" s="28"/>
      <c r="TIN28" s="28"/>
      <c r="TIO28" s="28"/>
      <c r="TIP28" s="28"/>
      <c r="TIQ28" s="28"/>
      <c r="TIR28" s="28"/>
      <c r="TIS28" s="28"/>
      <c r="TIT28" s="28"/>
      <c r="TIU28" s="28"/>
      <c r="TIV28" s="28"/>
      <c r="TIW28" s="28"/>
      <c r="TIX28" s="28"/>
      <c r="TIY28" s="28"/>
      <c r="TIZ28" s="28"/>
      <c r="TJA28" s="28"/>
      <c r="TJB28" s="28"/>
      <c r="TJC28" s="28"/>
      <c r="TJD28" s="28"/>
      <c r="TJE28" s="28"/>
      <c r="TJF28" s="28"/>
      <c r="TJG28" s="28"/>
      <c r="TJH28" s="28"/>
      <c r="TJI28" s="28"/>
      <c r="TJJ28" s="28"/>
      <c r="TJK28" s="28"/>
      <c r="TJL28" s="28"/>
      <c r="TJM28" s="28"/>
      <c r="TJN28" s="28"/>
      <c r="TJO28" s="28"/>
      <c r="TJP28" s="28"/>
      <c r="TJQ28" s="28"/>
      <c r="TJR28" s="28"/>
      <c r="TJS28" s="28"/>
      <c r="TJT28" s="28"/>
      <c r="TJU28" s="28"/>
      <c r="TJV28" s="28"/>
      <c r="TJW28" s="28"/>
      <c r="TJX28" s="28"/>
      <c r="TJY28" s="28"/>
      <c r="TJZ28" s="28"/>
      <c r="TKA28" s="28"/>
      <c r="TKB28" s="28"/>
      <c r="TKC28" s="28"/>
      <c r="TKD28" s="28"/>
      <c r="TKE28" s="28"/>
      <c r="TKF28" s="28"/>
      <c r="TKG28" s="28"/>
      <c r="TKH28" s="28"/>
      <c r="TKI28" s="28"/>
      <c r="TKJ28" s="28"/>
      <c r="TKK28" s="28"/>
      <c r="TKL28" s="28"/>
      <c r="TKM28" s="28"/>
      <c r="TKN28" s="28"/>
      <c r="TKO28" s="28"/>
      <c r="TKP28" s="28"/>
      <c r="TKQ28" s="28"/>
      <c r="TKR28" s="28"/>
      <c r="TKS28" s="28"/>
      <c r="TKT28" s="28"/>
      <c r="TKU28" s="28"/>
      <c r="TKV28" s="28"/>
      <c r="TKW28" s="28"/>
      <c r="TKX28" s="28"/>
      <c r="TKY28" s="28"/>
      <c r="TKZ28" s="28"/>
      <c r="TLA28" s="28"/>
      <c r="TLB28" s="28"/>
      <c r="TLC28" s="28"/>
      <c r="TLD28" s="28"/>
      <c r="TLE28" s="28"/>
      <c r="TLF28" s="28"/>
      <c r="TLG28" s="28"/>
      <c r="TLH28" s="28"/>
      <c r="TLI28" s="28"/>
      <c r="TLJ28" s="28"/>
      <c r="TLK28" s="28"/>
      <c r="TLL28" s="28"/>
      <c r="TLM28" s="28"/>
      <c r="TLN28" s="28"/>
      <c r="TLO28" s="28"/>
      <c r="TLP28" s="28"/>
      <c r="TLQ28" s="28"/>
      <c r="TLR28" s="28"/>
      <c r="TLS28" s="28"/>
      <c r="TLT28" s="28"/>
      <c r="TLU28" s="28"/>
      <c r="TLV28" s="28"/>
      <c r="TLW28" s="28"/>
      <c r="TLX28" s="28"/>
      <c r="TLY28" s="28"/>
      <c r="TLZ28" s="28"/>
      <c r="TMA28" s="28"/>
      <c r="TMB28" s="28"/>
      <c r="TMC28" s="28"/>
      <c r="TMD28" s="28"/>
      <c r="TME28" s="28"/>
      <c r="TMF28" s="28"/>
      <c r="TMG28" s="28"/>
      <c r="TMH28" s="28"/>
      <c r="TMI28" s="28"/>
      <c r="TMJ28" s="28"/>
      <c r="TMK28" s="28"/>
      <c r="TML28" s="28"/>
      <c r="TMM28" s="28"/>
      <c r="TMN28" s="28"/>
      <c r="TMO28" s="28"/>
      <c r="TMP28" s="28"/>
      <c r="TMQ28" s="28"/>
      <c r="TMR28" s="28"/>
      <c r="TMS28" s="28"/>
      <c r="TMT28" s="28"/>
      <c r="TMU28" s="28"/>
      <c r="TMV28" s="28"/>
      <c r="TMW28" s="28"/>
      <c r="TMX28" s="28"/>
      <c r="TMY28" s="28"/>
      <c r="TMZ28" s="28"/>
      <c r="TNA28" s="28"/>
      <c r="TNB28" s="28"/>
      <c r="TNC28" s="28"/>
      <c r="TND28" s="28"/>
      <c r="TNE28" s="28"/>
      <c r="TNF28" s="28"/>
      <c r="TNG28" s="28"/>
      <c r="TNH28" s="28"/>
      <c r="TNI28" s="28"/>
      <c r="TNJ28" s="28"/>
      <c r="TNK28" s="28"/>
      <c r="TNL28" s="28"/>
      <c r="TNM28" s="28"/>
      <c r="TNN28" s="28"/>
      <c r="TNO28" s="28"/>
      <c r="TNP28" s="28"/>
      <c r="TNQ28" s="28"/>
      <c r="TNR28" s="28"/>
      <c r="TNS28" s="28"/>
      <c r="TNT28" s="28"/>
      <c r="TNU28" s="28"/>
      <c r="TNV28" s="28"/>
      <c r="TNW28" s="28"/>
      <c r="TNX28" s="28"/>
      <c r="TNY28" s="28"/>
      <c r="TNZ28" s="28"/>
      <c r="TOA28" s="28"/>
      <c r="TOB28" s="28"/>
      <c r="TOC28" s="28"/>
      <c r="TOD28" s="28"/>
      <c r="TOE28" s="28"/>
      <c r="TOF28" s="28"/>
      <c r="TOG28" s="28"/>
      <c r="TOH28" s="28"/>
      <c r="TOI28" s="28"/>
      <c r="TOJ28" s="28"/>
      <c r="TOK28" s="28"/>
      <c r="TOL28" s="28"/>
      <c r="TOM28" s="28"/>
      <c r="TON28" s="28"/>
      <c r="TOO28" s="28"/>
      <c r="TOP28" s="28"/>
      <c r="TOQ28" s="28"/>
      <c r="TOR28" s="28"/>
      <c r="TOS28" s="28"/>
      <c r="TOT28" s="28"/>
      <c r="TOU28" s="28"/>
      <c r="TOV28" s="28"/>
      <c r="TOW28" s="28"/>
      <c r="TOX28" s="28"/>
      <c r="TOY28" s="28"/>
      <c r="TOZ28" s="28"/>
      <c r="TPA28" s="28"/>
      <c r="TPB28" s="28"/>
      <c r="TPC28" s="28"/>
      <c r="TPD28" s="28"/>
      <c r="TPE28" s="28"/>
      <c r="TPF28" s="28"/>
      <c r="TPG28" s="28"/>
      <c r="TPH28" s="28"/>
      <c r="TPI28" s="28"/>
      <c r="TPJ28" s="28"/>
      <c r="TPK28" s="28"/>
      <c r="TPL28" s="28"/>
      <c r="TPM28" s="28"/>
      <c r="TPN28" s="28"/>
      <c r="TPO28" s="28"/>
      <c r="TPP28" s="28"/>
      <c r="TPQ28" s="28"/>
      <c r="TPR28" s="28"/>
      <c r="TPS28" s="28"/>
      <c r="TPT28" s="28"/>
      <c r="TPU28" s="28"/>
      <c r="TPV28" s="28"/>
      <c r="TPW28" s="28"/>
      <c r="TPX28" s="28"/>
      <c r="TPY28" s="28"/>
      <c r="TPZ28" s="28"/>
      <c r="TQA28" s="28"/>
      <c r="TQB28" s="28"/>
      <c r="TQC28" s="28"/>
      <c r="TQD28" s="28"/>
      <c r="TQE28" s="28"/>
      <c r="TQF28" s="28"/>
      <c r="TQG28" s="28"/>
      <c r="TQH28" s="28"/>
      <c r="TQI28" s="28"/>
      <c r="TQJ28" s="28"/>
      <c r="TQK28" s="28"/>
      <c r="TQL28" s="28"/>
      <c r="TQM28" s="28"/>
      <c r="TQN28" s="28"/>
      <c r="TQO28" s="28"/>
      <c r="TQP28" s="28"/>
      <c r="TQQ28" s="28"/>
      <c r="TQR28" s="28"/>
      <c r="TQS28" s="28"/>
      <c r="TQT28" s="28"/>
      <c r="TQU28" s="28"/>
      <c r="TQV28" s="28"/>
      <c r="TQW28" s="28"/>
      <c r="TQX28" s="28"/>
      <c r="TQY28" s="28"/>
      <c r="TQZ28" s="28"/>
      <c r="TRA28" s="28"/>
      <c r="TRB28" s="28"/>
      <c r="TRC28" s="28"/>
      <c r="TRD28" s="28"/>
      <c r="TRE28" s="28"/>
      <c r="TRF28" s="28"/>
      <c r="TRG28" s="28"/>
      <c r="TRH28" s="28"/>
      <c r="TRI28" s="28"/>
      <c r="TRJ28" s="28"/>
      <c r="TRK28" s="28"/>
      <c r="TRL28" s="28"/>
      <c r="TRM28" s="28"/>
      <c r="TRN28" s="28"/>
      <c r="TRO28" s="28"/>
      <c r="TRP28" s="28"/>
      <c r="TRQ28" s="28"/>
      <c r="TRR28" s="28"/>
      <c r="TRS28" s="28"/>
      <c r="TRT28" s="28"/>
      <c r="TRU28" s="28"/>
      <c r="TRV28" s="28"/>
      <c r="TRW28" s="28"/>
      <c r="TRX28" s="28"/>
      <c r="TRY28" s="28"/>
      <c r="TRZ28" s="28"/>
      <c r="TSA28" s="28"/>
      <c r="TSB28" s="28"/>
      <c r="TSC28" s="28"/>
      <c r="TSD28" s="28"/>
      <c r="TSE28" s="28"/>
      <c r="TSF28" s="28"/>
      <c r="TSG28" s="28"/>
      <c r="TSH28" s="28"/>
      <c r="TSI28" s="28"/>
      <c r="TSJ28" s="28"/>
      <c r="TSK28" s="28"/>
      <c r="TSL28" s="28"/>
      <c r="TSM28" s="28"/>
      <c r="TSN28" s="28"/>
      <c r="TSO28" s="28"/>
      <c r="TSP28" s="28"/>
      <c r="TSQ28" s="28"/>
      <c r="TSR28" s="28"/>
      <c r="TSS28" s="28"/>
      <c r="TST28" s="28"/>
      <c r="TSU28" s="28"/>
      <c r="TSV28" s="28"/>
      <c r="TSW28" s="28"/>
      <c r="TSX28" s="28"/>
      <c r="TSY28" s="28"/>
      <c r="TSZ28" s="28"/>
      <c r="TTA28" s="28"/>
      <c r="TTB28" s="28"/>
      <c r="TTC28" s="28"/>
      <c r="TTD28" s="28"/>
      <c r="TTE28" s="28"/>
      <c r="TTF28" s="28"/>
      <c r="TTG28" s="28"/>
      <c r="TTH28" s="28"/>
      <c r="TTI28" s="28"/>
      <c r="TTJ28" s="28"/>
      <c r="TTK28" s="28"/>
      <c r="TTL28" s="28"/>
      <c r="TTM28" s="28"/>
      <c r="TTN28" s="28"/>
      <c r="TTO28" s="28"/>
      <c r="TTP28" s="28"/>
      <c r="TTQ28" s="28"/>
      <c r="TTR28" s="28"/>
      <c r="TTS28" s="28"/>
      <c r="TTT28" s="28"/>
      <c r="TTU28" s="28"/>
      <c r="TTV28" s="28"/>
      <c r="TTW28" s="28"/>
      <c r="TTX28" s="28"/>
      <c r="TTY28" s="28"/>
      <c r="TTZ28" s="28"/>
      <c r="TUA28" s="28"/>
      <c r="TUB28" s="28"/>
      <c r="TUC28" s="28"/>
      <c r="TUD28" s="28"/>
      <c r="TUE28" s="28"/>
      <c r="TUF28" s="28"/>
      <c r="TUG28" s="28"/>
      <c r="TUH28" s="28"/>
      <c r="TUI28" s="28"/>
      <c r="TUJ28" s="28"/>
      <c r="TUK28" s="28"/>
      <c r="TUL28" s="28"/>
      <c r="TUM28" s="28"/>
      <c r="TUN28" s="28"/>
      <c r="TUO28" s="28"/>
      <c r="TUP28" s="28"/>
      <c r="TUQ28" s="28"/>
      <c r="TUR28" s="28"/>
      <c r="TUS28" s="28"/>
      <c r="TUT28" s="28"/>
      <c r="TUU28" s="28"/>
      <c r="TUV28" s="28"/>
      <c r="TUW28" s="28"/>
      <c r="TUX28" s="28"/>
      <c r="TUY28" s="28"/>
      <c r="TUZ28" s="28"/>
      <c r="TVA28" s="28"/>
      <c r="TVB28" s="28"/>
      <c r="TVC28" s="28"/>
      <c r="TVD28" s="28"/>
      <c r="TVE28" s="28"/>
      <c r="TVF28" s="28"/>
      <c r="TVG28" s="28"/>
      <c r="TVH28" s="28"/>
      <c r="TVI28" s="28"/>
      <c r="TVJ28" s="28"/>
      <c r="TVK28" s="28"/>
      <c r="TVL28" s="28"/>
      <c r="TVM28" s="28"/>
      <c r="TVN28" s="28"/>
      <c r="TVO28" s="28"/>
      <c r="TVP28" s="28"/>
      <c r="TVQ28" s="28"/>
      <c r="TVR28" s="28"/>
      <c r="TVS28" s="28"/>
      <c r="TVT28" s="28"/>
      <c r="TVU28" s="28"/>
      <c r="TVV28" s="28"/>
      <c r="TVW28" s="28"/>
      <c r="TVX28" s="28"/>
      <c r="TVY28" s="28"/>
      <c r="TVZ28" s="28"/>
      <c r="TWA28" s="28"/>
      <c r="TWB28" s="28"/>
      <c r="TWC28" s="28"/>
      <c r="TWD28" s="28"/>
      <c r="TWE28" s="28"/>
      <c r="TWF28" s="28"/>
      <c r="TWG28" s="28"/>
      <c r="TWH28" s="28"/>
      <c r="TWI28" s="28"/>
      <c r="TWJ28" s="28"/>
      <c r="TWK28" s="28"/>
      <c r="TWL28" s="28"/>
      <c r="TWM28" s="28"/>
      <c r="TWN28" s="28"/>
      <c r="TWO28" s="28"/>
      <c r="TWP28" s="28"/>
      <c r="TWQ28" s="28"/>
      <c r="TWR28" s="28"/>
      <c r="TWS28" s="28"/>
      <c r="TWT28" s="28"/>
      <c r="TWU28" s="28"/>
      <c r="TWV28" s="28"/>
      <c r="TWW28" s="28"/>
      <c r="TWX28" s="28"/>
      <c r="TWY28" s="28"/>
      <c r="TWZ28" s="28"/>
      <c r="TXA28" s="28"/>
      <c r="TXB28" s="28"/>
      <c r="TXC28" s="28"/>
      <c r="TXD28" s="28"/>
      <c r="TXE28" s="28"/>
      <c r="TXF28" s="28"/>
      <c r="TXG28" s="28"/>
      <c r="TXH28" s="28"/>
      <c r="TXI28" s="28"/>
      <c r="TXJ28" s="28"/>
      <c r="TXK28" s="28"/>
      <c r="TXL28" s="28"/>
      <c r="TXM28" s="28"/>
      <c r="TXN28" s="28"/>
      <c r="TXO28" s="28"/>
      <c r="TXP28" s="28"/>
      <c r="TXQ28" s="28"/>
      <c r="TXR28" s="28"/>
      <c r="TXS28" s="28"/>
      <c r="TXT28" s="28"/>
      <c r="TXU28" s="28"/>
      <c r="TXV28" s="28"/>
      <c r="TXW28" s="28"/>
      <c r="TXX28" s="28"/>
      <c r="TXY28" s="28"/>
      <c r="TXZ28" s="28"/>
      <c r="TYA28" s="28"/>
      <c r="TYB28" s="28"/>
      <c r="TYC28" s="28"/>
      <c r="TYD28" s="28"/>
      <c r="TYE28" s="28"/>
      <c r="TYF28" s="28"/>
      <c r="TYG28" s="28"/>
      <c r="TYH28" s="28"/>
      <c r="TYI28" s="28"/>
      <c r="TYJ28" s="28"/>
      <c r="TYK28" s="28"/>
      <c r="TYL28" s="28"/>
      <c r="TYM28" s="28"/>
      <c r="TYN28" s="28"/>
      <c r="TYO28" s="28"/>
      <c r="TYP28" s="28"/>
      <c r="TYQ28" s="28"/>
      <c r="TYR28" s="28"/>
      <c r="TYS28" s="28"/>
      <c r="TYT28" s="28"/>
      <c r="TYU28" s="28"/>
      <c r="TYV28" s="28"/>
      <c r="TYW28" s="28"/>
      <c r="TYX28" s="28"/>
      <c r="TYY28" s="28"/>
      <c r="TYZ28" s="28"/>
      <c r="TZA28" s="28"/>
      <c r="TZB28" s="28"/>
      <c r="TZC28" s="28"/>
      <c r="TZD28" s="28"/>
      <c r="TZE28" s="28"/>
      <c r="TZF28" s="28"/>
      <c r="TZG28" s="28"/>
      <c r="TZH28" s="28"/>
      <c r="TZI28" s="28"/>
      <c r="TZJ28" s="28"/>
      <c r="TZK28" s="28"/>
      <c r="TZL28" s="28"/>
      <c r="TZM28" s="28"/>
      <c r="TZN28" s="28"/>
      <c r="TZO28" s="28"/>
      <c r="TZP28" s="28"/>
      <c r="TZQ28" s="28"/>
      <c r="TZR28" s="28"/>
      <c r="TZS28" s="28"/>
      <c r="TZT28" s="28"/>
      <c r="TZU28" s="28"/>
      <c r="TZV28" s="28"/>
      <c r="TZW28" s="28"/>
      <c r="TZX28" s="28"/>
      <c r="TZY28" s="28"/>
      <c r="TZZ28" s="28"/>
      <c r="UAA28" s="28"/>
      <c r="UAB28" s="28"/>
      <c r="UAC28" s="28"/>
      <c r="UAD28" s="28"/>
      <c r="UAE28" s="28"/>
      <c r="UAF28" s="28"/>
      <c r="UAG28" s="28"/>
      <c r="UAH28" s="28"/>
      <c r="UAI28" s="28"/>
      <c r="UAJ28" s="28"/>
      <c r="UAK28" s="28"/>
      <c r="UAL28" s="28"/>
      <c r="UAM28" s="28"/>
      <c r="UAN28" s="28"/>
      <c r="UAO28" s="28"/>
      <c r="UAP28" s="28"/>
      <c r="UAQ28" s="28"/>
      <c r="UAR28" s="28"/>
      <c r="UAS28" s="28"/>
      <c r="UAT28" s="28"/>
      <c r="UAU28" s="28"/>
      <c r="UAV28" s="28"/>
      <c r="UAW28" s="28"/>
      <c r="UAX28" s="28"/>
      <c r="UAY28" s="28"/>
      <c r="UAZ28" s="28"/>
      <c r="UBA28" s="28"/>
      <c r="UBB28" s="28"/>
      <c r="UBC28" s="28"/>
      <c r="UBD28" s="28"/>
      <c r="UBE28" s="28"/>
      <c r="UBF28" s="28"/>
      <c r="UBG28" s="28"/>
      <c r="UBH28" s="28"/>
      <c r="UBI28" s="28"/>
      <c r="UBJ28" s="28"/>
      <c r="UBK28" s="28"/>
      <c r="UBL28" s="28"/>
      <c r="UBM28" s="28"/>
      <c r="UBN28" s="28"/>
      <c r="UBO28" s="28"/>
      <c r="UBP28" s="28"/>
      <c r="UBQ28" s="28"/>
      <c r="UBR28" s="28"/>
      <c r="UBS28" s="28"/>
      <c r="UBT28" s="28"/>
      <c r="UBU28" s="28"/>
      <c r="UBV28" s="28"/>
      <c r="UBW28" s="28"/>
      <c r="UBX28" s="28"/>
      <c r="UBY28" s="28"/>
      <c r="UBZ28" s="28"/>
      <c r="UCA28" s="28"/>
      <c r="UCB28" s="28"/>
      <c r="UCC28" s="28"/>
      <c r="UCD28" s="28"/>
      <c r="UCE28" s="28"/>
      <c r="UCF28" s="28"/>
      <c r="UCG28" s="28"/>
      <c r="UCH28" s="28"/>
      <c r="UCI28" s="28"/>
      <c r="UCJ28" s="28"/>
      <c r="UCK28" s="28"/>
      <c r="UCL28" s="28"/>
      <c r="UCM28" s="28"/>
      <c r="UCN28" s="28"/>
      <c r="UCO28" s="28"/>
      <c r="UCP28" s="28"/>
      <c r="UCQ28" s="28"/>
      <c r="UCR28" s="28"/>
      <c r="UCS28" s="28"/>
      <c r="UCT28" s="28"/>
      <c r="UCU28" s="28"/>
      <c r="UCV28" s="28"/>
      <c r="UCW28" s="28"/>
      <c r="UCX28" s="28"/>
      <c r="UCY28" s="28"/>
      <c r="UCZ28" s="28"/>
      <c r="UDA28" s="28"/>
      <c r="UDB28" s="28"/>
      <c r="UDC28" s="28"/>
      <c r="UDD28" s="28"/>
      <c r="UDE28" s="28"/>
      <c r="UDF28" s="28"/>
      <c r="UDG28" s="28"/>
      <c r="UDH28" s="28"/>
      <c r="UDI28" s="28"/>
      <c r="UDJ28" s="28"/>
      <c r="UDK28" s="28"/>
      <c r="UDL28" s="28"/>
      <c r="UDM28" s="28"/>
      <c r="UDN28" s="28"/>
      <c r="UDO28" s="28"/>
      <c r="UDP28" s="28"/>
      <c r="UDQ28" s="28"/>
      <c r="UDR28" s="28"/>
      <c r="UDS28" s="28"/>
      <c r="UDT28" s="28"/>
      <c r="UDU28" s="28"/>
      <c r="UDV28" s="28"/>
      <c r="UDW28" s="28"/>
      <c r="UDX28" s="28"/>
      <c r="UDY28" s="28"/>
      <c r="UDZ28" s="28"/>
      <c r="UEA28" s="28"/>
      <c r="UEB28" s="28"/>
      <c r="UEC28" s="28"/>
      <c r="UED28" s="28"/>
      <c r="UEE28" s="28"/>
      <c r="UEF28" s="28"/>
      <c r="UEG28" s="28"/>
      <c r="UEH28" s="28"/>
      <c r="UEI28" s="28"/>
      <c r="UEJ28" s="28"/>
      <c r="UEK28" s="28"/>
      <c r="UEL28" s="28"/>
      <c r="UEM28" s="28"/>
      <c r="UEN28" s="28"/>
      <c r="UEO28" s="28"/>
      <c r="UEP28" s="28"/>
      <c r="UEQ28" s="28"/>
      <c r="UER28" s="28"/>
      <c r="UES28" s="28"/>
      <c r="UET28" s="28"/>
      <c r="UEU28" s="28"/>
      <c r="UEV28" s="28"/>
      <c r="UEW28" s="28"/>
      <c r="UEX28" s="28"/>
      <c r="UEY28" s="28"/>
      <c r="UEZ28" s="28"/>
      <c r="UFA28" s="28"/>
      <c r="UFB28" s="28"/>
      <c r="UFC28" s="28"/>
      <c r="UFD28" s="28"/>
      <c r="UFE28" s="28"/>
      <c r="UFF28" s="28"/>
      <c r="UFG28" s="28"/>
      <c r="UFH28" s="28"/>
      <c r="UFI28" s="28"/>
      <c r="UFJ28" s="28"/>
      <c r="UFK28" s="28"/>
      <c r="UFL28" s="28"/>
      <c r="UFM28" s="28"/>
      <c r="UFN28" s="28"/>
      <c r="UFO28" s="28"/>
      <c r="UFP28" s="28"/>
      <c r="UFQ28" s="28"/>
      <c r="UFR28" s="28"/>
      <c r="UFS28" s="28"/>
      <c r="UFT28" s="28"/>
      <c r="UFU28" s="28"/>
      <c r="UFV28" s="28"/>
      <c r="UFW28" s="28"/>
      <c r="UFX28" s="28"/>
      <c r="UFY28" s="28"/>
      <c r="UFZ28" s="28"/>
      <c r="UGA28" s="28"/>
      <c r="UGB28" s="28"/>
      <c r="UGC28" s="28"/>
      <c r="UGD28" s="28"/>
      <c r="UGE28" s="28"/>
      <c r="UGF28" s="28"/>
      <c r="UGG28" s="28"/>
      <c r="UGH28" s="28"/>
      <c r="UGI28" s="28"/>
      <c r="UGJ28" s="28"/>
      <c r="UGK28" s="28"/>
      <c r="UGL28" s="28"/>
      <c r="UGM28" s="28"/>
      <c r="UGN28" s="28"/>
      <c r="UGO28" s="28"/>
      <c r="UGP28" s="28"/>
      <c r="UGQ28" s="28"/>
      <c r="UGR28" s="28"/>
      <c r="UGS28" s="28"/>
      <c r="UGT28" s="28"/>
      <c r="UGU28" s="28"/>
      <c r="UGV28" s="28"/>
      <c r="UGW28" s="28"/>
      <c r="UGX28" s="28"/>
      <c r="UGY28" s="28"/>
      <c r="UGZ28" s="28"/>
      <c r="UHA28" s="28"/>
      <c r="UHB28" s="28"/>
      <c r="UHC28" s="28"/>
      <c r="UHD28" s="28"/>
      <c r="UHE28" s="28"/>
      <c r="UHF28" s="28"/>
      <c r="UHG28" s="28"/>
      <c r="UHH28" s="28"/>
      <c r="UHI28" s="28"/>
      <c r="UHJ28" s="28"/>
      <c r="UHK28" s="28"/>
      <c r="UHL28" s="28"/>
      <c r="UHM28" s="28"/>
      <c r="UHN28" s="28"/>
      <c r="UHO28" s="28"/>
      <c r="UHP28" s="28"/>
      <c r="UHQ28" s="28"/>
      <c r="UHR28" s="28"/>
      <c r="UHS28" s="28"/>
      <c r="UHT28" s="28"/>
      <c r="UHU28" s="28"/>
      <c r="UHV28" s="28"/>
      <c r="UHW28" s="28"/>
      <c r="UHX28" s="28"/>
      <c r="UHY28" s="28"/>
      <c r="UHZ28" s="28"/>
      <c r="UIA28" s="28"/>
      <c r="UIB28" s="28"/>
      <c r="UIC28" s="28"/>
      <c r="UID28" s="28"/>
      <c r="UIE28" s="28"/>
      <c r="UIF28" s="28"/>
      <c r="UIG28" s="28"/>
      <c r="UIH28" s="28"/>
      <c r="UII28" s="28"/>
      <c r="UIJ28" s="28"/>
      <c r="UIK28" s="28"/>
      <c r="UIL28" s="28"/>
      <c r="UIM28" s="28"/>
      <c r="UIN28" s="28"/>
      <c r="UIO28" s="28"/>
      <c r="UIP28" s="28"/>
      <c r="UIQ28" s="28"/>
      <c r="UIR28" s="28"/>
      <c r="UIS28" s="28"/>
      <c r="UIT28" s="28"/>
      <c r="UIU28" s="28"/>
      <c r="UIV28" s="28"/>
      <c r="UIW28" s="28"/>
      <c r="UIX28" s="28"/>
      <c r="UIY28" s="28"/>
      <c r="UIZ28" s="28"/>
      <c r="UJA28" s="28"/>
      <c r="UJB28" s="28"/>
      <c r="UJC28" s="28"/>
      <c r="UJD28" s="28"/>
      <c r="UJE28" s="28"/>
      <c r="UJF28" s="28"/>
      <c r="UJG28" s="28"/>
      <c r="UJH28" s="28"/>
      <c r="UJI28" s="28"/>
      <c r="UJJ28" s="28"/>
      <c r="UJK28" s="28"/>
      <c r="UJL28" s="28"/>
      <c r="UJM28" s="28"/>
      <c r="UJN28" s="28"/>
      <c r="UJO28" s="28"/>
      <c r="UJP28" s="28"/>
      <c r="UJQ28" s="28"/>
      <c r="UJR28" s="28"/>
      <c r="UJS28" s="28"/>
      <c r="UJT28" s="28"/>
      <c r="UJU28" s="28"/>
      <c r="UJV28" s="28"/>
      <c r="UJW28" s="28"/>
      <c r="UJX28" s="28"/>
      <c r="UJY28" s="28"/>
      <c r="UJZ28" s="28"/>
      <c r="UKA28" s="28"/>
      <c r="UKB28" s="28"/>
      <c r="UKC28" s="28"/>
      <c r="UKD28" s="28"/>
      <c r="UKE28" s="28"/>
      <c r="UKF28" s="28"/>
      <c r="UKG28" s="28"/>
      <c r="UKH28" s="28"/>
      <c r="UKI28" s="28"/>
      <c r="UKJ28" s="28"/>
      <c r="UKK28" s="28"/>
      <c r="UKL28" s="28"/>
      <c r="UKM28" s="28"/>
      <c r="UKN28" s="28"/>
      <c r="UKO28" s="28"/>
      <c r="UKP28" s="28"/>
      <c r="UKQ28" s="28"/>
      <c r="UKR28" s="28"/>
      <c r="UKS28" s="28"/>
      <c r="UKT28" s="28"/>
      <c r="UKU28" s="28"/>
      <c r="UKV28" s="28"/>
      <c r="UKW28" s="28"/>
      <c r="UKX28" s="28"/>
      <c r="UKY28" s="28"/>
      <c r="UKZ28" s="28"/>
      <c r="ULA28" s="28"/>
      <c r="ULB28" s="28"/>
      <c r="ULC28" s="28"/>
      <c r="ULD28" s="28"/>
      <c r="ULE28" s="28"/>
      <c r="ULF28" s="28"/>
      <c r="ULG28" s="28"/>
      <c r="ULH28" s="28"/>
      <c r="ULI28" s="28"/>
      <c r="ULJ28" s="28"/>
      <c r="ULK28" s="28"/>
      <c r="ULL28" s="28"/>
      <c r="ULM28" s="28"/>
      <c r="ULN28" s="28"/>
      <c r="ULO28" s="28"/>
      <c r="ULP28" s="28"/>
      <c r="ULQ28" s="28"/>
      <c r="ULR28" s="28"/>
      <c r="ULS28" s="28"/>
      <c r="ULT28" s="28"/>
      <c r="ULU28" s="28"/>
      <c r="ULV28" s="28"/>
      <c r="ULW28" s="28"/>
      <c r="ULX28" s="28"/>
      <c r="ULY28" s="28"/>
      <c r="ULZ28" s="28"/>
      <c r="UMA28" s="28"/>
      <c r="UMB28" s="28"/>
      <c r="UMC28" s="28"/>
      <c r="UMD28" s="28"/>
      <c r="UME28" s="28"/>
      <c r="UMF28" s="28"/>
      <c r="UMG28" s="28"/>
      <c r="UMH28" s="28"/>
      <c r="UMI28" s="28"/>
      <c r="UMJ28" s="28"/>
      <c r="UMK28" s="28"/>
      <c r="UML28" s="28"/>
      <c r="UMM28" s="28"/>
      <c r="UMN28" s="28"/>
      <c r="UMO28" s="28"/>
      <c r="UMP28" s="28"/>
      <c r="UMQ28" s="28"/>
      <c r="UMR28" s="28"/>
      <c r="UMS28" s="28"/>
      <c r="UMT28" s="28"/>
      <c r="UMU28" s="28"/>
      <c r="UMV28" s="28"/>
      <c r="UMW28" s="28"/>
      <c r="UMX28" s="28"/>
      <c r="UMY28" s="28"/>
      <c r="UMZ28" s="28"/>
      <c r="UNA28" s="28"/>
      <c r="UNB28" s="28"/>
      <c r="UNC28" s="28"/>
      <c r="UND28" s="28"/>
      <c r="UNE28" s="28"/>
      <c r="UNF28" s="28"/>
      <c r="UNG28" s="28"/>
      <c r="UNH28" s="28"/>
      <c r="UNI28" s="28"/>
      <c r="UNJ28" s="28"/>
      <c r="UNK28" s="28"/>
      <c r="UNL28" s="28"/>
      <c r="UNM28" s="28"/>
      <c r="UNN28" s="28"/>
      <c r="UNO28" s="28"/>
      <c r="UNP28" s="28"/>
      <c r="UNQ28" s="28"/>
      <c r="UNR28" s="28"/>
      <c r="UNS28" s="28"/>
      <c r="UNT28" s="28"/>
      <c r="UNU28" s="28"/>
      <c r="UNV28" s="28"/>
      <c r="UNW28" s="28"/>
      <c r="UNX28" s="28"/>
      <c r="UNY28" s="28"/>
      <c r="UNZ28" s="28"/>
      <c r="UOA28" s="28"/>
      <c r="UOB28" s="28"/>
      <c r="UOC28" s="28"/>
      <c r="UOD28" s="28"/>
      <c r="UOE28" s="28"/>
      <c r="UOF28" s="28"/>
      <c r="UOG28" s="28"/>
      <c r="UOH28" s="28"/>
      <c r="UOI28" s="28"/>
      <c r="UOJ28" s="28"/>
      <c r="UOK28" s="28"/>
      <c r="UOL28" s="28"/>
      <c r="UOM28" s="28"/>
      <c r="UON28" s="28"/>
      <c r="UOO28" s="28"/>
      <c r="UOP28" s="28"/>
      <c r="UOQ28" s="28"/>
      <c r="UOR28" s="28"/>
      <c r="UOS28" s="28"/>
      <c r="UOT28" s="28"/>
      <c r="UOU28" s="28"/>
      <c r="UOV28" s="28"/>
      <c r="UOW28" s="28"/>
      <c r="UOX28" s="28"/>
      <c r="UOY28" s="28"/>
      <c r="UOZ28" s="28"/>
      <c r="UPA28" s="28"/>
      <c r="UPB28" s="28"/>
      <c r="UPC28" s="28"/>
      <c r="UPD28" s="28"/>
      <c r="UPE28" s="28"/>
      <c r="UPF28" s="28"/>
      <c r="UPG28" s="28"/>
      <c r="UPH28" s="28"/>
      <c r="UPI28" s="28"/>
      <c r="UPJ28" s="28"/>
      <c r="UPK28" s="28"/>
      <c r="UPL28" s="28"/>
      <c r="UPM28" s="28"/>
      <c r="UPN28" s="28"/>
      <c r="UPO28" s="28"/>
      <c r="UPP28" s="28"/>
      <c r="UPQ28" s="28"/>
      <c r="UPR28" s="28"/>
      <c r="UPS28" s="28"/>
      <c r="UPT28" s="28"/>
      <c r="UPU28" s="28"/>
      <c r="UPV28" s="28"/>
      <c r="UPW28" s="28"/>
      <c r="UPX28" s="28"/>
      <c r="UPY28" s="28"/>
      <c r="UPZ28" s="28"/>
      <c r="UQA28" s="28"/>
      <c r="UQB28" s="28"/>
      <c r="UQC28" s="28"/>
      <c r="UQD28" s="28"/>
      <c r="UQE28" s="28"/>
      <c r="UQF28" s="28"/>
      <c r="UQG28" s="28"/>
      <c r="UQH28" s="28"/>
      <c r="UQI28" s="28"/>
      <c r="UQJ28" s="28"/>
      <c r="UQK28" s="28"/>
      <c r="UQL28" s="28"/>
      <c r="UQM28" s="28"/>
      <c r="UQN28" s="28"/>
      <c r="UQO28" s="28"/>
      <c r="UQP28" s="28"/>
      <c r="UQQ28" s="28"/>
      <c r="UQR28" s="28"/>
      <c r="UQS28" s="28"/>
      <c r="UQT28" s="28"/>
      <c r="UQU28" s="28"/>
      <c r="UQV28" s="28"/>
      <c r="UQW28" s="28"/>
      <c r="UQX28" s="28"/>
      <c r="UQY28" s="28"/>
      <c r="UQZ28" s="28"/>
      <c r="URA28" s="28"/>
      <c r="URB28" s="28"/>
      <c r="URC28" s="28"/>
      <c r="URD28" s="28"/>
      <c r="URE28" s="28"/>
      <c r="URF28" s="28"/>
      <c r="URG28" s="28"/>
      <c r="URH28" s="28"/>
      <c r="URI28" s="28"/>
      <c r="URJ28" s="28"/>
      <c r="URK28" s="28"/>
      <c r="URL28" s="28"/>
      <c r="URM28" s="28"/>
      <c r="URN28" s="28"/>
      <c r="URO28" s="28"/>
      <c r="URP28" s="28"/>
      <c r="URQ28" s="28"/>
      <c r="URR28" s="28"/>
      <c r="URS28" s="28"/>
      <c r="URT28" s="28"/>
      <c r="URU28" s="28"/>
      <c r="URV28" s="28"/>
      <c r="URW28" s="28"/>
      <c r="URX28" s="28"/>
      <c r="URY28" s="28"/>
      <c r="URZ28" s="28"/>
      <c r="USA28" s="28"/>
      <c r="USB28" s="28"/>
      <c r="USC28" s="28"/>
      <c r="USD28" s="28"/>
      <c r="USE28" s="28"/>
      <c r="USF28" s="28"/>
      <c r="USG28" s="28"/>
      <c r="USH28" s="28"/>
      <c r="USI28" s="28"/>
      <c r="USJ28" s="28"/>
      <c r="USK28" s="28"/>
      <c r="USL28" s="28"/>
      <c r="USM28" s="28"/>
      <c r="USN28" s="28"/>
      <c r="USO28" s="28"/>
      <c r="USP28" s="28"/>
      <c r="USQ28" s="28"/>
      <c r="USR28" s="28"/>
      <c r="USS28" s="28"/>
      <c r="UST28" s="28"/>
      <c r="USU28" s="28"/>
      <c r="USV28" s="28"/>
      <c r="USW28" s="28"/>
      <c r="USX28" s="28"/>
      <c r="USY28" s="28"/>
      <c r="USZ28" s="28"/>
      <c r="UTA28" s="28"/>
      <c r="UTB28" s="28"/>
      <c r="UTC28" s="28"/>
      <c r="UTD28" s="28"/>
      <c r="UTE28" s="28"/>
      <c r="UTF28" s="28"/>
      <c r="UTG28" s="28"/>
      <c r="UTH28" s="28"/>
      <c r="UTI28" s="28"/>
      <c r="UTJ28" s="28"/>
      <c r="UTK28" s="28"/>
      <c r="UTL28" s="28"/>
      <c r="UTM28" s="28"/>
      <c r="UTN28" s="28"/>
      <c r="UTO28" s="28"/>
      <c r="UTP28" s="28"/>
      <c r="UTQ28" s="28"/>
      <c r="UTR28" s="28"/>
      <c r="UTS28" s="28"/>
      <c r="UTT28" s="28"/>
      <c r="UTU28" s="28"/>
      <c r="UTV28" s="28"/>
      <c r="UTW28" s="28"/>
      <c r="UTX28" s="28"/>
      <c r="UTY28" s="28"/>
      <c r="UTZ28" s="28"/>
      <c r="UUA28" s="28"/>
      <c r="UUB28" s="28"/>
      <c r="UUC28" s="28"/>
      <c r="UUD28" s="28"/>
      <c r="UUE28" s="28"/>
      <c r="UUF28" s="28"/>
      <c r="UUG28" s="28"/>
      <c r="UUH28" s="28"/>
      <c r="UUI28" s="28"/>
      <c r="UUJ28" s="28"/>
      <c r="UUK28" s="28"/>
      <c r="UUL28" s="28"/>
      <c r="UUM28" s="28"/>
      <c r="UUN28" s="28"/>
      <c r="UUO28" s="28"/>
      <c r="UUP28" s="28"/>
      <c r="UUQ28" s="28"/>
      <c r="UUR28" s="28"/>
      <c r="UUS28" s="28"/>
      <c r="UUT28" s="28"/>
      <c r="UUU28" s="28"/>
      <c r="UUV28" s="28"/>
      <c r="UUW28" s="28"/>
      <c r="UUX28" s="28"/>
      <c r="UUY28" s="28"/>
      <c r="UUZ28" s="28"/>
      <c r="UVA28" s="28"/>
      <c r="UVB28" s="28"/>
      <c r="UVC28" s="28"/>
      <c r="UVD28" s="28"/>
      <c r="UVE28" s="28"/>
      <c r="UVF28" s="28"/>
      <c r="UVG28" s="28"/>
      <c r="UVH28" s="28"/>
      <c r="UVI28" s="28"/>
      <c r="UVJ28" s="28"/>
      <c r="UVK28" s="28"/>
      <c r="UVL28" s="28"/>
      <c r="UVM28" s="28"/>
      <c r="UVN28" s="28"/>
      <c r="UVO28" s="28"/>
      <c r="UVP28" s="28"/>
      <c r="UVQ28" s="28"/>
      <c r="UVR28" s="28"/>
      <c r="UVS28" s="28"/>
      <c r="UVT28" s="28"/>
      <c r="UVU28" s="28"/>
      <c r="UVV28" s="28"/>
      <c r="UVW28" s="28"/>
      <c r="UVX28" s="28"/>
      <c r="UVY28" s="28"/>
      <c r="UVZ28" s="28"/>
      <c r="UWA28" s="28"/>
      <c r="UWB28" s="28"/>
      <c r="UWC28" s="28"/>
      <c r="UWD28" s="28"/>
      <c r="UWE28" s="28"/>
      <c r="UWF28" s="28"/>
      <c r="UWG28" s="28"/>
      <c r="UWH28" s="28"/>
      <c r="UWI28" s="28"/>
      <c r="UWJ28" s="28"/>
      <c r="UWK28" s="28"/>
      <c r="UWL28" s="28"/>
      <c r="UWM28" s="28"/>
      <c r="UWN28" s="28"/>
      <c r="UWO28" s="28"/>
      <c r="UWP28" s="28"/>
      <c r="UWQ28" s="28"/>
      <c r="UWR28" s="28"/>
      <c r="UWS28" s="28"/>
      <c r="UWT28" s="28"/>
      <c r="UWU28" s="28"/>
      <c r="UWV28" s="28"/>
      <c r="UWW28" s="28"/>
      <c r="UWX28" s="28"/>
      <c r="UWY28" s="28"/>
      <c r="UWZ28" s="28"/>
      <c r="UXA28" s="28"/>
      <c r="UXB28" s="28"/>
      <c r="UXC28" s="28"/>
      <c r="UXD28" s="28"/>
      <c r="UXE28" s="28"/>
      <c r="UXF28" s="28"/>
      <c r="UXG28" s="28"/>
      <c r="UXH28" s="28"/>
      <c r="UXI28" s="28"/>
      <c r="UXJ28" s="28"/>
      <c r="UXK28" s="28"/>
      <c r="UXL28" s="28"/>
      <c r="UXM28" s="28"/>
      <c r="UXN28" s="28"/>
      <c r="UXO28" s="28"/>
      <c r="UXP28" s="28"/>
      <c r="UXQ28" s="28"/>
      <c r="UXR28" s="28"/>
      <c r="UXS28" s="28"/>
      <c r="UXT28" s="28"/>
      <c r="UXU28" s="28"/>
      <c r="UXV28" s="28"/>
      <c r="UXW28" s="28"/>
      <c r="UXX28" s="28"/>
      <c r="UXY28" s="28"/>
      <c r="UXZ28" s="28"/>
      <c r="UYA28" s="28"/>
      <c r="UYB28" s="28"/>
      <c r="UYC28" s="28"/>
      <c r="UYD28" s="28"/>
      <c r="UYE28" s="28"/>
      <c r="UYF28" s="28"/>
      <c r="UYG28" s="28"/>
      <c r="UYH28" s="28"/>
      <c r="UYI28" s="28"/>
      <c r="UYJ28" s="28"/>
      <c r="UYK28" s="28"/>
      <c r="UYL28" s="28"/>
      <c r="UYM28" s="28"/>
      <c r="UYN28" s="28"/>
      <c r="UYO28" s="28"/>
      <c r="UYP28" s="28"/>
      <c r="UYQ28" s="28"/>
      <c r="UYR28" s="28"/>
      <c r="UYS28" s="28"/>
      <c r="UYT28" s="28"/>
      <c r="UYU28" s="28"/>
      <c r="UYV28" s="28"/>
      <c r="UYW28" s="28"/>
      <c r="UYX28" s="28"/>
      <c r="UYY28" s="28"/>
      <c r="UYZ28" s="28"/>
      <c r="UZA28" s="28"/>
      <c r="UZB28" s="28"/>
      <c r="UZC28" s="28"/>
      <c r="UZD28" s="28"/>
      <c r="UZE28" s="28"/>
      <c r="UZF28" s="28"/>
      <c r="UZG28" s="28"/>
      <c r="UZH28" s="28"/>
      <c r="UZI28" s="28"/>
      <c r="UZJ28" s="28"/>
      <c r="UZK28" s="28"/>
      <c r="UZL28" s="28"/>
      <c r="UZM28" s="28"/>
      <c r="UZN28" s="28"/>
      <c r="UZO28" s="28"/>
      <c r="UZP28" s="28"/>
      <c r="UZQ28" s="28"/>
      <c r="UZR28" s="28"/>
      <c r="UZS28" s="28"/>
      <c r="UZT28" s="28"/>
      <c r="UZU28" s="28"/>
      <c r="UZV28" s="28"/>
      <c r="UZW28" s="28"/>
      <c r="UZX28" s="28"/>
      <c r="UZY28" s="28"/>
      <c r="UZZ28" s="28"/>
      <c r="VAA28" s="28"/>
      <c r="VAB28" s="28"/>
      <c r="VAC28" s="28"/>
      <c r="VAD28" s="28"/>
      <c r="VAE28" s="28"/>
      <c r="VAF28" s="28"/>
      <c r="VAG28" s="28"/>
      <c r="VAH28" s="28"/>
      <c r="VAI28" s="28"/>
      <c r="VAJ28" s="28"/>
      <c r="VAK28" s="28"/>
      <c r="VAL28" s="28"/>
      <c r="VAM28" s="28"/>
      <c r="VAN28" s="28"/>
      <c r="VAO28" s="28"/>
      <c r="VAP28" s="28"/>
      <c r="VAQ28" s="28"/>
      <c r="VAR28" s="28"/>
      <c r="VAS28" s="28"/>
      <c r="VAT28" s="28"/>
      <c r="VAU28" s="28"/>
      <c r="VAV28" s="28"/>
      <c r="VAW28" s="28"/>
      <c r="VAX28" s="28"/>
      <c r="VAY28" s="28"/>
      <c r="VAZ28" s="28"/>
      <c r="VBA28" s="28"/>
      <c r="VBB28" s="28"/>
      <c r="VBC28" s="28"/>
      <c r="VBD28" s="28"/>
      <c r="VBE28" s="28"/>
      <c r="VBF28" s="28"/>
      <c r="VBG28" s="28"/>
      <c r="VBH28" s="28"/>
      <c r="VBI28" s="28"/>
      <c r="VBJ28" s="28"/>
      <c r="VBK28" s="28"/>
      <c r="VBL28" s="28"/>
      <c r="VBM28" s="28"/>
      <c r="VBN28" s="28"/>
      <c r="VBO28" s="28"/>
      <c r="VBP28" s="28"/>
      <c r="VBQ28" s="28"/>
      <c r="VBR28" s="28"/>
      <c r="VBS28" s="28"/>
      <c r="VBT28" s="28"/>
      <c r="VBU28" s="28"/>
      <c r="VBV28" s="28"/>
      <c r="VBW28" s="28"/>
      <c r="VBX28" s="28"/>
      <c r="VBY28" s="28"/>
      <c r="VBZ28" s="28"/>
      <c r="VCA28" s="28"/>
      <c r="VCB28" s="28"/>
      <c r="VCC28" s="28"/>
      <c r="VCD28" s="28"/>
      <c r="VCE28" s="28"/>
      <c r="VCF28" s="28"/>
      <c r="VCG28" s="28"/>
      <c r="VCH28" s="28"/>
      <c r="VCI28" s="28"/>
      <c r="VCJ28" s="28"/>
      <c r="VCK28" s="28"/>
      <c r="VCL28" s="28"/>
      <c r="VCM28" s="28"/>
      <c r="VCN28" s="28"/>
      <c r="VCO28" s="28"/>
      <c r="VCP28" s="28"/>
      <c r="VCQ28" s="28"/>
      <c r="VCR28" s="28"/>
      <c r="VCS28" s="28"/>
      <c r="VCT28" s="28"/>
      <c r="VCU28" s="28"/>
      <c r="VCV28" s="28"/>
      <c r="VCW28" s="28"/>
      <c r="VCX28" s="28"/>
      <c r="VCY28" s="28"/>
      <c r="VCZ28" s="28"/>
      <c r="VDA28" s="28"/>
      <c r="VDB28" s="28"/>
      <c r="VDC28" s="28"/>
      <c r="VDD28" s="28"/>
      <c r="VDE28" s="28"/>
      <c r="VDF28" s="28"/>
      <c r="VDG28" s="28"/>
      <c r="VDH28" s="28"/>
      <c r="VDI28" s="28"/>
      <c r="VDJ28" s="28"/>
      <c r="VDK28" s="28"/>
      <c r="VDL28" s="28"/>
      <c r="VDM28" s="28"/>
      <c r="VDN28" s="28"/>
      <c r="VDO28" s="28"/>
      <c r="VDP28" s="28"/>
      <c r="VDQ28" s="28"/>
      <c r="VDR28" s="28"/>
      <c r="VDS28" s="28"/>
      <c r="VDT28" s="28"/>
      <c r="VDU28" s="28"/>
      <c r="VDV28" s="28"/>
      <c r="VDW28" s="28"/>
      <c r="VDX28" s="28"/>
      <c r="VDY28" s="28"/>
      <c r="VDZ28" s="28"/>
      <c r="VEA28" s="28"/>
      <c r="VEB28" s="28"/>
      <c r="VEC28" s="28"/>
      <c r="VED28" s="28"/>
      <c r="VEE28" s="28"/>
      <c r="VEF28" s="28"/>
      <c r="VEG28" s="28"/>
      <c r="VEH28" s="28"/>
      <c r="VEI28" s="28"/>
      <c r="VEJ28" s="28"/>
      <c r="VEK28" s="28"/>
      <c r="VEL28" s="28"/>
      <c r="VEM28" s="28"/>
      <c r="VEN28" s="28"/>
      <c r="VEO28" s="28"/>
      <c r="VEP28" s="28"/>
      <c r="VEQ28" s="28"/>
      <c r="VER28" s="28"/>
      <c r="VES28" s="28"/>
      <c r="VET28" s="28"/>
      <c r="VEU28" s="28"/>
      <c r="VEV28" s="28"/>
      <c r="VEW28" s="28"/>
      <c r="VEX28" s="28"/>
      <c r="VEY28" s="28"/>
      <c r="VEZ28" s="28"/>
      <c r="VFA28" s="28"/>
      <c r="VFB28" s="28"/>
      <c r="VFC28" s="28"/>
      <c r="VFD28" s="28"/>
      <c r="VFE28" s="28"/>
      <c r="VFF28" s="28"/>
      <c r="VFG28" s="28"/>
      <c r="VFH28" s="28"/>
      <c r="VFI28" s="28"/>
      <c r="VFJ28" s="28"/>
      <c r="VFK28" s="28"/>
      <c r="VFL28" s="28"/>
      <c r="VFM28" s="28"/>
      <c r="VFN28" s="28"/>
      <c r="VFO28" s="28"/>
      <c r="VFP28" s="28"/>
      <c r="VFQ28" s="28"/>
      <c r="VFR28" s="28"/>
      <c r="VFS28" s="28"/>
      <c r="VFT28" s="28"/>
      <c r="VFU28" s="28"/>
      <c r="VFV28" s="28"/>
      <c r="VFW28" s="28"/>
      <c r="VFX28" s="28"/>
      <c r="VFY28" s="28"/>
      <c r="VFZ28" s="28"/>
      <c r="VGA28" s="28"/>
      <c r="VGB28" s="28"/>
      <c r="VGC28" s="28"/>
      <c r="VGD28" s="28"/>
      <c r="VGE28" s="28"/>
      <c r="VGF28" s="28"/>
      <c r="VGG28" s="28"/>
      <c r="VGH28" s="28"/>
      <c r="VGI28" s="28"/>
      <c r="VGJ28" s="28"/>
      <c r="VGK28" s="28"/>
      <c r="VGL28" s="28"/>
      <c r="VGM28" s="28"/>
      <c r="VGN28" s="28"/>
      <c r="VGO28" s="28"/>
      <c r="VGP28" s="28"/>
      <c r="VGQ28" s="28"/>
      <c r="VGR28" s="28"/>
      <c r="VGS28" s="28"/>
      <c r="VGT28" s="28"/>
      <c r="VGU28" s="28"/>
      <c r="VGV28" s="28"/>
      <c r="VGW28" s="28"/>
      <c r="VGX28" s="28"/>
      <c r="VGY28" s="28"/>
      <c r="VGZ28" s="28"/>
      <c r="VHA28" s="28"/>
      <c r="VHB28" s="28"/>
      <c r="VHC28" s="28"/>
      <c r="VHD28" s="28"/>
      <c r="VHE28" s="28"/>
      <c r="VHF28" s="28"/>
      <c r="VHG28" s="28"/>
      <c r="VHH28" s="28"/>
      <c r="VHI28" s="28"/>
      <c r="VHJ28" s="28"/>
      <c r="VHK28" s="28"/>
      <c r="VHL28" s="28"/>
      <c r="VHM28" s="28"/>
      <c r="VHN28" s="28"/>
      <c r="VHO28" s="28"/>
      <c r="VHP28" s="28"/>
      <c r="VHQ28" s="28"/>
      <c r="VHR28" s="28"/>
      <c r="VHS28" s="28"/>
      <c r="VHT28" s="28"/>
      <c r="VHU28" s="28"/>
      <c r="VHV28" s="28"/>
      <c r="VHW28" s="28"/>
      <c r="VHX28" s="28"/>
      <c r="VHY28" s="28"/>
      <c r="VHZ28" s="28"/>
      <c r="VIA28" s="28"/>
      <c r="VIB28" s="28"/>
      <c r="VIC28" s="28"/>
      <c r="VID28" s="28"/>
      <c r="VIE28" s="28"/>
      <c r="VIF28" s="28"/>
      <c r="VIG28" s="28"/>
      <c r="VIH28" s="28"/>
      <c r="VII28" s="28"/>
      <c r="VIJ28" s="28"/>
      <c r="VIK28" s="28"/>
      <c r="VIL28" s="28"/>
      <c r="VIM28" s="28"/>
      <c r="VIN28" s="28"/>
      <c r="VIO28" s="28"/>
      <c r="VIP28" s="28"/>
      <c r="VIQ28" s="28"/>
      <c r="VIR28" s="28"/>
      <c r="VIS28" s="28"/>
      <c r="VIT28" s="28"/>
      <c r="VIU28" s="28"/>
      <c r="VIV28" s="28"/>
      <c r="VIW28" s="28"/>
      <c r="VIX28" s="28"/>
      <c r="VIY28" s="28"/>
      <c r="VIZ28" s="28"/>
      <c r="VJA28" s="28"/>
      <c r="VJB28" s="28"/>
      <c r="VJC28" s="28"/>
      <c r="VJD28" s="28"/>
      <c r="VJE28" s="28"/>
      <c r="VJF28" s="28"/>
      <c r="VJG28" s="28"/>
      <c r="VJH28" s="28"/>
      <c r="VJI28" s="28"/>
      <c r="VJJ28" s="28"/>
      <c r="VJK28" s="28"/>
      <c r="VJL28" s="28"/>
      <c r="VJM28" s="28"/>
      <c r="VJN28" s="28"/>
      <c r="VJO28" s="28"/>
      <c r="VJP28" s="28"/>
      <c r="VJQ28" s="28"/>
      <c r="VJR28" s="28"/>
      <c r="VJS28" s="28"/>
      <c r="VJT28" s="28"/>
      <c r="VJU28" s="28"/>
      <c r="VJV28" s="28"/>
      <c r="VJW28" s="28"/>
      <c r="VJX28" s="28"/>
      <c r="VJY28" s="28"/>
      <c r="VJZ28" s="28"/>
      <c r="VKA28" s="28"/>
      <c r="VKB28" s="28"/>
      <c r="VKC28" s="28"/>
      <c r="VKD28" s="28"/>
      <c r="VKE28" s="28"/>
      <c r="VKF28" s="28"/>
      <c r="VKG28" s="28"/>
      <c r="VKH28" s="28"/>
      <c r="VKI28" s="28"/>
      <c r="VKJ28" s="28"/>
      <c r="VKK28" s="28"/>
      <c r="VKL28" s="28"/>
      <c r="VKM28" s="28"/>
      <c r="VKN28" s="28"/>
      <c r="VKO28" s="28"/>
      <c r="VKP28" s="28"/>
      <c r="VKQ28" s="28"/>
      <c r="VKR28" s="28"/>
      <c r="VKS28" s="28"/>
      <c r="VKT28" s="28"/>
      <c r="VKU28" s="28"/>
      <c r="VKV28" s="28"/>
      <c r="VKW28" s="28"/>
      <c r="VKX28" s="28"/>
      <c r="VKY28" s="28"/>
      <c r="VKZ28" s="28"/>
      <c r="VLA28" s="28"/>
      <c r="VLB28" s="28"/>
      <c r="VLC28" s="28"/>
      <c r="VLD28" s="28"/>
      <c r="VLE28" s="28"/>
      <c r="VLF28" s="28"/>
      <c r="VLG28" s="28"/>
      <c r="VLH28" s="28"/>
      <c r="VLI28" s="28"/>
      <c r="VLJ28" s="28"/>
      <c r="VLK28" s="28"/>
      <c r="VLL28" s="28"/>
      <c r="VLM28" s="28"/>
      <c r="VLN28" s="28"/>
      <c r="VLO28" s="28"/>
      <c r="VLP28" s="28"/>
      <c r="VLQ28" s="28"/>
      <c r="VLR28" s="28"/>
      <c r="VLS28" s="28"/>
      <c r="VLT28" s="28"/>
      <c r="VLU28" s="28"/>
      <c r="VLV28" s="28"/>
      <c r="VLW28" s="28"/>
      <c r="VLX28" s="28"/>
      <c r="VLY28" s="28"/>
      <c r="VLZ28" s="28"/>
      <c r="VMA28" s="28"/>
      <c r="VMB28" s="28"/>
      <c r="VMC28" s="28"/>
      <c r="VMD28" s="28"/>
      <c r="VME28" s="28"/>
      <c r="VMF28" s="28"/>
      <c r="VMG28" s="28"/>
      <c r="VMH28" s="28"/>
      <c r="VMI28" s="28"/>
      <c r="VMJ28" s="28"/>
      <c r="VMK28" s="28"/>
      <c r="VML28" s="28"/>
      <c r="VMM28" s="28"/>
      <c r="VMN28" s="28"/>
      <c r="VMO28" s="28"/>
      <c r="VMP28" s="28"/>
      <c r="VMQ28" s="28"/>
      <c r="VMR28" s="28"/>
      <c r="VMS28" s="28"/>
      <c r="VMT28" s="28"/>
      <c r="VMU28" s="28"/>
      <c r="VMV28" s="28"/>
      <c r="VMW28" s="28"/>
      <c r="VMX28" s="28"/>
      <c r="VMY28" s="28"/>
      <c r="VMZ28" s="28"/>
      <c r="VNA28" s="28"/>
      <c r="VNB28" s="28"/>
      <c r="VNC28" s="28"/>
      <c r="VND28" s="28"/>
      <c r="VNE28" s="28"/>
      <c r="VNF28" s="28"/>
      <c r="VNG28" s="28"/>
      <c r="VNH28" s="28"/>
      <c r="VNI28" s="28"/>
      <c r="VNJ28" s="28"/>
      <c r="VNK28" s="28"/>
      <c r="VNL28" s="28"/>
      <c r="VNM28" s="28"/>
      <c r="VNN28" s="28"/>
      <c r="VNO28" s="28"/>
      <c r="VNP28" s="28"/>
      <c r="VNQ28" s="28"/>
      <c r="VNR28" s="28"/>
      <c r="VNS28" s="28"/>
      <c r="VNT28" s="28"/>
      <c r="VNU28" s="28"/>
      <c r="VNV28" s="28"/>
      <c r="VNW28" s="28"/>
      <c r="VNX28" s="28"/>
      <c r="VNY28" s="28"/>
      <c r="VNZ28" s="28"/>
      <c r="VOA28" s="28"/>
      <c r="VOB28" s="28"/>
      <c r="VOC28" s="28"/>
      <c r="VOD28" s="28"/>
      <c r="VOE28" s="28"/>
      <c r="VOF28" s="28"/>
      <c r="VOG28" s="28"/>
      <c r="VOH28" s="28"/>
      <c r="VOI28" s="28"/>
      <c r="VOJ28" s="28"/>
      <c r="VOK28" s="28"/>
      <c r="VOL28" s="28"/>
      <c r="VOM28" s="28"/>
      <c r="VON28" s="28"/>
      <c r="VOO28" s="28"/>
      <c r="VOP28" s="28"/>
      <c r="VOQ28" s="28"/>
      <c r="VOR28" s="28"/>
      <c r="VOS28" s="28"/>
      <c r="VOT28" s="28"/>
      <c r="VOU28" s="28"/>
      <c r="VOV28" s="28"/>
      <c r="VOW28" s="28"/>
      <c r="VOX28" s="28"/>
      <c r="VOY28" s="28"/>
      <c r="VOZ28" s="28"/>
      <c r="VPA28" s="28"/>
      <c r="VPB28" s="28"/>
      <c r="VPC28" s="28"/>
      <c r="VPD28" s="28"/>
      <c r="VPE28" s="28"/>
      <c r="VPF28" s="28"/>
      <c r="VPG28" s="28"/>
      <c r="VPH28" s="28"/>
      <c r="VPI28" s="28"/>
      <c r="VPJ28" s="28"/>
      <c r="VPK28" s="28"/>
      <c r="VPL28" s="28"/>
      <c r="VPM28" s="28"/>
      <c r="VPN28" s="28"/>
      <c r="VPO28" s="28"/>
      <c r="VPP28" s="28"/>
      <c r="VPQ28" s="28"/>
      <c r="VPR28" s="28"/>
      <c r="VPS28" s="28"/>
      <c r="VPT28" s="28"/>
      <c r="VPU28" s="28"/>
      <c r="VPV28" s="28"/>
      <c r="VPW28" s="28"/>
      <c r="VPX28" s="28"/>
      <c r="VPY28" s="28"/>
      <c r="VPZ28" s="28"/>
      <c r="VQA28" s="28"/>
      <c r="VQB28" s="28"/>
      <c r="VQC28" s="28"/>
      <c r="VQD28" s="28"/>
      <c r="VQE28" s="28"/>
      <c r="VQF28" s="28"/>
      <c r="VQG28" s="28"/>
      <c r="VQH28" s="28"/>
      <c r="VQI28" s="28"/>
      <c r="VQJ28" s="28"/>
      <c r="VQK28" s="28"/>
      <c r="VQL28" s="28"/>
      <c r="VQM28" s="28"/>
      <c r="VQN28" s="28"/>
      <c r="VQO28" s="28"/>
      <c r="VQP28" s="28"/>
      <c r="VQQ28" s="28"/>
      <c r="VQR28" s="28"/>
      <c r="VQS28" s="28"/>
      <c r="VQT28" s="28"/>
      <c r="VQU28" s="28"/>
      <c r="VQV28" s="28"/>
      <c r="VQW28" s="28"/>
      <c r="VQX28" s="28"/>
      <c r="VQY28" s="28"/>
      <c r="VQZ28" s="28"/>
      <c r="VRA28" s="28"/>
      <c r="VRB28" s="28"/>
      <c r="VRC28" s="28"/>
      <c r="VRD28" s="28"/>
      <c r="VRE28" s="28"/>
      <c r="VRF28" s="28"/>
      <c r="VRG28" s="28"/>
      <c r="VRH28" s="28"/>
      <c r="VRI28" s="28"/>
      <c r="VRJ28" s="28"/>
      <c r="VRK28" s="28"/>
      <c r="VRL28" s="28"/>
      <c r="VRM28" s="28"/>
      <c r="VRN28" s="28"/>
      <c r="VRO28" s="28"/>
      <c r="VRP28" s="28"/>
      <c r="VRQ28" s="28"/>
      <c r="VRR28" s="28"/>
      <c r="VRS28" s="28"/>
      <c r="VRT28" s="28"/>
      <c r="VRU28" s="28"/>
      <c r="VRV28" s="28"/>
      <c r="VRW28" s="28"/>
      <c r="VRX28" s="28"/>
      <c r="VRY28" s="28"/>
      <c r="VRZ28" s="28"/>
      <c r="VSA28" s="28"/>
      <c r="VSB28" s="28"/>
      <c r="VSC28" s="28"/>
      <c r="VSD28" s="28"/>
      <c r="VSE28" s="28"/>
      <c r="VSF28" s="28"/>
      <c r="VSG28" s="28"/>
      <c r="VSH28" s="28"/>
      <c r="VSI28" s="28"/>
      <c r="VSJ28" s="28"/>
      <c r="VSK28" s="28"/>
      <c r="VSL28" s="28"/>
      <c r="VSM28" s="28"/>
      <c r="VSN28" s="28"/>
      <c r="VSO28" s="28"/>
      <c r="VSP28" s="28"/>
      <c r="VSQ28" s="28"/>
      <c r="VSR28" s="28"/>
      <c r="VSS28" s="28"/>
      <c r="VST28" s="28"/>
      <c r="VSU28" s="28"/>
      <c r="VSV28" s="28"/>
      <c r="VSW28" s="28"/>
      <c r="VSX28" s="28"/>
      <c r="VSY28" s="28"/>
      <c r="VSZ28" s="28"/>
      <c r="VTA28" s="28"/>
      <c r="VTB28" s="28"/>
      <c r="VTC28" s="28"/>
      <c r="VTD28" s="28"/>
      <c r="VTE28" s="28"/>
      <c r="VTF28" s="28"/>
      <c r="VTG28" s="28"/>
      <c r="VTH28" s="28"/>
      <c r="VTI28" s="28"/>
      <c r="VTJ28" s="28"/>
      <c r="VTK28" s="28"/>
      <c r="VTL28" s="28"/>
      <c r="VTM28" s="28"/>
      <c r="VTN28" s="28"/>
      <c r="VTO28" s="28"/>
      <c r="VTP28" s="28"/>
      <c r="VTQ28" s="28"/>
      <c r="VTR28" s="28"/>
      <c r="VTS28" s="28"/>
      <c r="VTT28" s="28"/>
      <c r="VTU28" s="28"/>
      <c r="VTV28" s="28"/>
      <c r="VTW28" s="28"/>
      <c r="VTX28" s="28"/>
      <c r="VTY28" s="28"/>
      <c r="VTZ28" s="28"/>
      <c r="VUA28" s="28"/>
      <c r="VUB28" s="28"/>
      <c r="VUC28" s="28"/>
      <c r="VUD28" s="28"/>
      <c r="VUE28" s="28"/>
      <c r="VUF28" s="28"/>
      <c r="VUG28" s="28"/>
      <c r="VUH28" s="28"/>
      <c r="VUI28" s="28"/>
      <c r="VUJ28" s="28"/>
      <c r="VUK28" s="28"/>
      <c r="VUL28" s="28"/>
      <c r="VUM28" s="28"/>
      <c r="VUN28" s="28"/>
      <c r="VUO28" s="28"/>
      <c r="VUP28" s="28"/>
      <c r="VUQ28" s="28"/>
      <c r="VUR28" s="28"/>
      <c r="VUS28" s="28"/>
      <c r="VUT28" s="28"/>
      <c r="VUU28" s="28"/>
      <c r="VUV28" s="28"/>
      <c r="VUW28" s="28"/>
      <c r="VUX28" s="28"/>
      <c r="VUY28" s="28"/>
      <c r="VUZ28" s="28"/>
      <c r="VVA28" s="28"/>
      <c r="VVB28" s="28"/>
      <c r="VVC28" s="28"/>
      <c r="VVD28" s="28"/>
      <c r="VVE28" s="28"/>
      <c r="VVF28" s="28"/>
      <c r="VVG28" s="28"/>
      <c r="VVH28" s="28"/>
      <c r="VVI28" s="28"/>
      <c r="VVJ28" s="28"/>
      <c r="VVK28" s="28"/>
      <c r="VVL28" s="28"/>
      <c r="VVM28" s="28"/>
      <c r="VVN28" s="28"/>
      <c r="VVO28" s="28"/>
      <c r="VVP28" s="28"/>
      <c r="VVQ28" s="28"/>
      <c r="VVR28" s="28"/>
      <c r="VVS28" s="28"/>
      <c r="VVT28" s="28"/>
      <c r="VVU28" s="28"/>
      <c r="VVV28" s="28"/>
      <c r="VVW28" s="28"/>
      <c r="VVX28" s="28"/>
      <c r="VVY28" s="28"/>
      <c r="VVZ28" s="28"/>
      <c r="VWA28" s="28"/>
      <c r="VWB28" s="28"/>
      <c r="VWC28" s="28"/>
      <c r="VWD28" s="28"/>
      <c r="VWE28" s="28"/>
      <c r="VWF28" s="28"/>
      <c r="VWG28" s="28"/>
      <c r="VWH28" s="28"/>
      <c r="VWI28" s="28"/>
      <c r="VWJ28" s="28"/>
      <c r="VWK28" s="28"/>
      <c r="VWL28" s="28"/>
      <c r="VWM28" s="28"/>
      <c r="VWN28" s="28"/>
      <c r="VWO28" s="28"/>
      <c r="VWP28" s="28"/>
      <c r="VWQ28" s="28"/>
      <c r="VWR28" s="28"/>
      <c r="VWS28" s="28"/>
      <c r="VWT28" s="28"/>
      <c r="VWU28" s="28"/>
      <c r="VWV28" s="28"/>
      <c r="VWW28" s="28"/>
      <c r="VWX28" s="28"/>
      <c r="VWY28" s="28"/>
      <c r="VWZ28" s="28"/>
      <c r="VXA28" s="28"/>
      <c r="VXB28" s="28"/>
      <c r="VXC28" s="28"/>
      <c r="VXD28" s="28"/>
      <c r="VXE28" s="28"/>
      <c r="VXF28" s="28"/>
      <c r="VXG28" s="28"/>
      <c r="VXH28" s="28"/>
      <c r="VXI28" s="28"/>
      <c r="VXJ28" s="28"/>
      <c r="VXK28" s="28"/>
      <c r="VXL28" s="28"/>
      <c r="VXM28" s="28"/>
      <c r="VXN28" s="28"/>
      <c r="VXO28" s="28"/>
      <c r="VXP28" s="28"/>
      <c r="VXQ28" s="28"/>
      <c r="VXR28" s="28"/>
      <c r="VXS28" s="28"/>
      <c r="VXT28" s="28"/>
      <c r="VXU28" s="28"/>
      <c r="VXV28" s="28"/>
      <c r="VXW28" s="28"/>
      <c r="VXX28" s="28"/>
      <c r="VXY28" s="28"/>
      <c r="VXZ28" s="28"/>
      <c r="VYA28" s="28"/>
      <c r="VYB28" s="28"/>
      <c r="VYC28" s="28"/>
      <c r="VYD28" s="28"/>
      <c r="VYE28" s="28"/>
      <c r="VYF28" s="28"/>
      <c r="VYG28" s="28"/>
      <c r="VYH28" s="28"/>
      <c r="VYI28" s="28"/>
      <c r="VYJ28" s="28"/>
      <c r="VYK28" s="28"/>
      <c r="VYL28" s="28"/>
      <c r="VYM28" s="28"/>
      <c r="VYN28" s="28"/>
      <c r="VYO28" s="28"/>
      <c r="VYP28" s="28"/>
      <c r="VYQ28" s="28"/>
      <c r="VYR28" s="28"/>
      <c r="VYS28" s="28"/>
      <c r="VYT28" s="28"/>
      <c r="VYU28" s="28"/>
      <c r="VYV28" s="28"/>
      <c r="VYW28" s="28"/>
      <c r="VYX28" s="28"/>
      <c r="VYY28" s="28"/>
      <c r="VYZ28" s="28"/>
      <c r="VZA28" s="28"/>
      <c r="VZB28" s="28"/>
      <c r="VZC28" s="28"/>
      <c r="VZD28" s="28"/>
      <c r="VZE28" s="28"/>
      <c r="VZF28" s="28"/>
      <c r="VZG28" s="28"/>
      <c r="VZH28" s="28"/>
      <c r="VZI28" s="28"/>
      <c r="VZJ28" s="28"/>
      <c r="VZK28" s="28"/>
      <c r="VZL28" s="28"/>
      <c r="VZM28" s="28"/>
      <c r="VZN28" s="28"/>
      <c r="VZO28" s="28"/>
      <c r="VZP28" s="28"/>
      <c r="VZQ28" s="28"/>
      <c r="VZR28" s="28"/>
      <c r="VZS28" s="28"/>
      <c r="VZT28" s="28"/>
      <c r="VZU28" s="28"/>
      <c r="VZV28" s="28"/>
      <c r="VZW28" s="28"/>
      <c r="VZX28" s="28"/>
      <c r="VZY28" s="28"/>
      <c r="VZZ28" s="28"/>
      <c r="WAA28" s="28"/>
      <c r="WAB28" s="28"/>
      <c r="WAC28" s="28"/>
      <c r="WAD28" s="28"/>
      <c r="WAE28" s="28"/>
      <c r="WAF28" s="28"/>
      <c r="WAG28" s="28"/>
      <c r="WAH28" s="28"/>
      <c r="WAI28" s="28"/>
      <c r="WAJ28" s="28"/>
      <c r="WAK28" s="28"/>
      <c r="WAL28" s="28"/>
      <c r="WAM28" s="28"/>
      <c r="WAN28" s="28"/>
      <c r="WAO28" s="28"/>
      <c r="WAP28" s="28"/>
      <c r="WAQ28" s="28"/>
      <c r="WAR28" s="28"/>
      <c r="WAS28" s="28"/>
      <c r="WAT28" s="28"/>
      <c r="WAU28" s="28"/>
      <c r="WAV28" s="28"/>
      <c r="WAW28" s="28"/>
      <c r="WAX28" s="28"/>
      <c r="WAY28" s="28"/>
      <c r="WAZ28" s="28"/>
      <c r="WBA28" s="28"/>
      <c r="WBB28" s="28"/>
      <c r="WBC28" s="28"/>
      <c r="WBD28" s="28"/>
      <c r="WBE28" s="28"/>
      <c r="WBF28" s="28"/>
      <c r="WBG28" s="28"/>
      <c r="WBH28" s="28"/>
      <c r="WBI28" s="28"/>
      <c r="WBJ28" s="28"/>
      <c r="WBK28" s="28"/>
      <c r="WBL28" s="28"/>
      <c r="WBM28" s="28"/>
      <c r="WBN28" s="28"/>
      <c r="WBO28" s="28"/>
      <c r="WBP28" s="28"/>
      <c r="WBQ28" s="28"/>
      <c r="WBR28" s="28"/>
      <c r="WBS28" s="28"/>
      <c r="WBT28" s="28"/>
      <c r="WBU28" s="28"/>
      <c r="WBV28" s="28"/>
      <c r="WBW28" s="28"/>
      <c r="WBX28" s="28"/>
      <c r="WBY28" s="28"/>
      <c r="WBZ28" s="28"/>
      <c r="WCA28" s="28"/>
      <c r="WCB28" s="28"/>
      <c r="WCC28" s="28"/>
      <c r="WCD28" s="28"/>
      <c r="WCE28" s="28"/>
      <c r="WCF28" s="28"/>
      <c r="WCG28" s="28"/>
      <c r="WCH28" s="28"/>
      <c r="WCI28" s="28"/>
      <c r="WCJ28" s="28"/>
      <c r="WCK28" s="28"/>
      <c r="WCL28" s="28"/>
      <c r="WCM28" s="28"/>
      <c r="WCN28" s="28"/>
      <c r="WCO28" s="28"/>
      <c r="WCP28" s="28"/>
      <c r="WCQ28" s="28"/>
      <c r="WCR28" s="28"/>
      <c r="WCS28" s="28"/>
      <c r="WCT28" s="28"/>
      <c r="WCU28" s="28"/>
      <c r="WCV28" s="28"/>
      <c r="WCW28" s="28"/>
      <c r="WCX28" s="28"/>
      <c r="WCY28" s="28"/>
      <c r="WCZ28" s="28"/>
      <c r="WDA28" s="28"/>
      <c r="WDB28" s="28"/>
      <c r="WDC28" s="28"/>
      <c r="WDD28" s="28"/>
      <c r="WDE28" s="28"/>
      <c r="WDF28" s="28"/>
      <c r="WDG28" s="28"/>
      <c r="WDH28" s="28"/>
      <c r="WDI28" s="28"/>
      <c r="WDJ28" s="28"/>
      <c r="WDK28" s="28"/>
      <c r="WDL28" s="28"/>
      <c r="WDM28" s="28"/>
      <c r="WDN28" s="28"/>
      <c r="WDO28" s="28"/>
      <c r="WDP28" s="28"/>
      <c r="WDQ28" s="28"/>
      <c r="WDR28" s="28"/>
      <c r="WDS28" s="28"/>
      <c r="WDT28" s="28"/>
      <c r="WDU28" s="28"/>
      <c r="WDV28" s="28"/>
      <c r="WDW28" s="28"/>
      <c r="WDX28" s="28"/>
      <c r="WDY28" s="28"/>
      <c r="WDZ28" s="28"/>
      <c r="WEA28" s="28"/>
      <c r="WEB28" s="28"/>
      <c r="WEC28" s="28"/>
      <c r="WED28" s="28"/>
      <c r="WEE28" s="28"/>
      <c r="WEF28" s="28"/>
      <c r="WEG28" s="28"/>
      <c r="WEH28" s="28"/>
      <c r="WEI28" s="28"/>
      <c r="WEJ28" s="28"/>
      <c r="WEK28" s="28"/>
      <c r="WEL28" s="28"/>
      <c r="WEM28" s="28"/>
      <c r="WEN28" s="28"/>
      <c r="WEO28" s="28"/>
      <c r="WEP28" s="28"/>
      <c r="WEQ28" s="28"/>
      <c r="WER28" s="28"/>
      <c r="WES28" s="28"/>
      <c r="WET28" s="28"/>
      <c r="WEU28" s="28"/>
      <c r="WEV28" s="28"/>
      <c r="WEW28" s="28"/>
      <c r="WEX28" s="28"/>
      <c r="WEY28" s="28"/>
      <c r="WEZ28" s="28"/>
      <c r="WFA28" s="28"/>
      <c r="WFB28" s="28"/>
      <c r="WFC28" s="28"/>
      <c r="WFD28" s="28"/>
      <c r="WFE28" s="28"/>
      <c r="WFF28" s="28"/>
      <c r="WFG28" s="28"/>
      <c r="WFH28" s="28"/>
      <c r="WFI28" s="28"/>
      <c r="WFJ28" s="28"/>
      <c r="WFK28" s="28"/>
      <c r="WFL28" s="28"/>
      <c r="WFM28" s="28"/>
      <c r="WFN28" s="28"/>
      <c r="WFO28" s="28"/>
      <c r="WFP28" s="28"/>
      <c r="WFQ28" s="28"/>
      <c r="WFR28" s="28"/>
      <c r="WFS28" s="28"/>
      <c r="WFT28" s="28"/>
      <c r="WFU28" s="28"/>
      <c r="WFV28" s="28"/>
      <c r="WFW28" s="28"/>
      <c r="WFX28" s="28"/>
      <c r="WFY28" s="28"/>
      <c r="WFZ28" s="28"/>
      <c r="WGA28" s="28"/>
      <c r="WGB28" s="28"/>
      <c r="WGC28" s="28"/>
      <c r="WGD28" s="28"/>
      <c r="WGE28" s="28"/>
      <c r="WGF28" s="28"/>
      <c r="WGG28" s="28"/>
      <c r="WGH28" s="28"/>
      <c r="WGI28" s="28"/>
      <c r="WGJ28" s="28"/>
      <c r="WGK28" s="28"/>
      <c r="WGL28" s="28"/>
      <c r="WGM28" s="28"/>
      <c r="WGN28" s="28"/>
      <c r="WGO28" s="28"/>
      <c r="WGP28" s="28"/>
      <c r="WGQ28" s="28"/>
      <c r="WGR28" s="28"/>
      <c r="WGS28" s="28"/>
      <c r="WGT28" s="28"/>
      <c r="WGU28" s="28"/>
      <c r="WGV28" s="28"/>
      <c r="WGW28" s="28"/>
      <c r="WGX28" s="28"/>
      <c r="WGY28" s="28"/>
      <c r="WGZ28" s="28"/>
      <c r="WHA28" s="28"/>
      <c r="WHB28" s="28"/>
      <c r="WHC28" s="28"/>
      <c r="WHD28" s="28"/>
      <c r="WHE28" s="28"/>
      <c r="WHF28" s="28"/>
      <c r="WHG28" s="28"/>
      <c r="WHH28" s="28"/>
      <c r="WHI28" s="28"/>
      <c r="WHJ28" s="28"/>
      <c r="WHK28" s="28"/>
      <c r="WHL28" s="28"/>
      <c r="WHM28" s="28"/>
      <c r="WHN28" s="28"/>
      <c r="WHO28" s="28"/>
      <c r="WHP28" s="28"/>
      <c r="WHQ28" s="28"/>
      <c r="WHR28" s="28"/>
      <c r="WHS28" s="28"/>
      <c r="WHT28" s="28"/>
      <c r="WHU28" s="28"/>
      <c r="WHV28" s="28"/>
      <c r="WHW28" s="28"/>
      <c r="WHX28" s="28"/>
      <c r="WHY28" s="28"/>
      <c r="WHZ28" s="28"/>
      <c r="WIA28" s="28"/>
      <c r="WIB28" s="28"/>
      <c r="WIC28" s="28"/>
      <c r="WID28" s="28"/>
      <c r="WIE28" s="28"/>
      <c r="WIF28" s="28"/>
      <c r="WIG28" s="28"/>
      <c r="WIH28" s="28"/>
      <c r="WII28" s="28"/>
      <c r="WIJ28" s="28"/>
      <c r="WIK28" s="28"/>
      <c r="WIL28" s="28"/>
      <c r="WIM28" s="28"/>
      <c r="WIN28" s="28"/>
      <c r="WIO28" s="28"/>
      <c r="WIP28" s="28"/>
      <c r="WIQ28" s="28"/>
      <c r="WIR28" s="28"/>
      <c r="WIS28" s="28"/>
      <c r="WIT28" s="28"/>
      <c r="WIU28" s="28"/>
      <c r="WIV28" s="28"/>
      <c r="WIW28" s="28"/>
      <c r="WIX28" s="28"/>
      <c r="WIY28" s="28"/>
      <c r="WIZ28" s="28"/>
      <c r="WJA28" s="28"/>
      <c r="WJB28" s="28"/>
      <c r="WJC28" s="28"/>
      <c r="WJD28" s="28"/>
      <c r="WJE28" s="28"/>
      <c r="WJF28" s="28"/>
      <c r="WJG28" s="28"/>
      <c r="WJH28" s="28"/>
      <c r="WJI28" s="28"/>
      <c r="WJJ28" s="28"/>
      <c r="WJK28" s="28"/>
      <c r="WJL28" s="28"/>
      <c r="WJM28" s="28"/>
      <c r="WJN28" s="28"/>
      <c r="WJO28" s="28"/>
      <c r="WJP28" s="28"/>
      <c r="WJQ28" s="28"/>
      <c r="WJR28" s="28"/>
      <c r="WJS28" s="28"/>
      <c r="WJT28" s="28"/>
      <c r="WJU28" s="28"/>
      <c r="WJV28" s="28"/>
      <c r="WJW28" s="28"/>
      <c r="WJX28" s="28"/>
      <c r="WJY28" s="28"/>
      <c r="WJZ28" s="28"/>
      <c r="WKA28" s="28"/>
      <c r="WKB28" s="28"/>
      <c r="WKC28" s="28"/>
      <c r="WKD28" s="28"/>
      <c r="WKE28" s="28"/>
      <c r="WKF28" s="28"/>
      <c r="WKG28" s="28"/>
      <c r="WKH28" s="28"/>
      <c r="WKI28" s="28"/>
      <c r="WKJ28" s="28"/>
      <c r="WKK28" s="28"/>
      <c r="WKL28" s="28"/>
      <c r="WKM28" s="28"/>
      <c r="WKN28" s="28"/>
      <c r="WKO28" s="28"/>
      <c r="WKP28" s="28"/>
      <c r="WKQ28" s="28"/>
      <c r="WKR28" s="28"/>
      <c r="WKS28" s="28"/>
      <c r="WKT28" s="28"/>
      <c r="WKU28" s="28"/>
      <c r="WKV28" s="28"/>
      <c r="WKW28" s="28"/>
      <c r="WKX28" s="28"/>
      <c r="WKY28" s="28"/>
      <c r="WKZ28" s="28"/>
      <c r="WLA28" s="28"/>
      <c r="WLB28" s="28"/>
      <c r="WLC28" s="28"/>
      <c r="WLD28" s="28"/>
      <c r="WLE28" s="28"/>
      <c r="WLF28" s="28"/>
      <c r="WLG28" s="28"/>
      <c r="WLH28" s="28"/>
      <c r="WLI28" s="28"/>
      <c r="WLJ28" s="28"/>
      <c r="WLK28" s="28"/>
      <c r="WLL28" s="28"/>
      <c r="WLM28" s="28"/>
      <c r="WLN28" s="28"/>
      <c r="WLO28" s="28"/>
      <c r="WLP28" s="28"/>
      <c r="WLQ28" s="28"/>
      <c r="WLR28" s="28"/>
      <c r="WLS28" s="28"/>
      <c r="WLT28" s="28"/>
      <c r="WLU28" s="28"/>
      <c r="WLV28" s="28"/>
      <c r="WLW28" s="28"/>
      <c r="WLX28" s="28"/>
      <c r="WLY28" s="28"/>
      <c r="WLZ28" s="28"/>
      <c r="WMA28" s="28"/>
      <c r="WMB28" s="28"/>
      <c r="WMC28" s="28"/>
      <c r="WMD28" s="28"/>
      <c r="WME28" s="28"/>
      <c r="WMF28" s="28"/>
      <c r="WMG28" s="28"/>
      <c r="WMH28" s="28"/>
      <c r="WMI28" s="28"/>
      <c r="WMJ28" s="28"/>
      <c r="WMK28" s="28"/>
      <c r="WML28" s="28"/>
      <c r="WMM28" s="28"/>
      <c r="WMN28" s="28"/>
      <c r="WMO28" s="28"/>
      <c r="WMP28" s="28"/>
      <c r="WMQ28" s="28"/>
      <c r="WMR28" s="28"/>
      <c r="WMS28" s="28"/>
      <c r="WMT28" s="28"/>
      <c r="WMU28" s="28"/>
      <c r="WMV28" s="28"/>
      <c r="WMW28" s="28"/>
      <c r="WMX28" s="28"/>
      <c r="WMY28" s="28"/>
      <c r="WMZ28" s="28"/>
      <c r="WNA28" s="28"/>
      <c r="WNB28" s="28"/>
      <c r="WNC28" s="28"/>
      <c r="WND28" s="28"/>
      <c r="WNE28" s="28"/>
      <c r="WNF28" s="28"/>
      <c r="WNG28" s="28"/>
      <c r="WNH28" s="28"/>
      <c r="WNI28" s="28"/>
      <c r="WNJ28" s="28"/>
      <c r="WNK28" s="28"/>
      <c r="WNL28" s="28"/>
      <c r="WNM28" s="28"/>
      <c r="WNN28" s="28"/>
      <c r="WNO28" s="28"/>
      <c r="WNP28" s="28"/>
      <c r="WNQ28" s="28"/>
      <c r="WNR28" s="28"/>
      <c r="WNS28" s="28"/>
      <c r="WNT28" s="28"/>
      <c r="WNU28" s="28"/>
      <c r="WNV28" s="28"/>
      <c r="WNW28" s="28"/>
      <c r="WNX28" s="28"/>
      <c r="WNY28" s="28"/>
      <c r="WNZ28" s="28"/>
      <c r="WOA28" s="28"/>
      <c r="WOB28" s="28"/>
      <c r="WOC28" s="28"/>
      <c r="WOD28" s="28"/>
      <c r="WOE28" s="28"/>
      <c r="WOF28" s="28"/>
      <c r="WOG28" s="28"/>
      <c r="WOH28" s="28"/>
      <c r="WOI28" s="28"/>
      <c r="WOJ28" s="28"/>
      <c r="WOK28" s="28"/>
      <c r="WOL28" s="28"/>
      <c r="WOM28" s="28"/>
      <c r="WON28" s="28"/>
      <c r="WOO28" s="28"/>
      <c r="WOP28" s="28"/>
      <c r="WOQ28" s="28"/>
      <c r="WOR28" s="28"/>
      <c r="WOS28" s="28"/>
      <c r="WOT28" s="28"/>
      <c r="WOU28" s="28"/>
      <c r="WOV28" s="28"/>
      <c r="WOW28" s="28"/>
      <c r="WOX28" s="28"/>
      <c r="WOY28" s="28"/>
      <c r="WOZ28" s="28"/>
      <c r="WPA28" s="28"/>
      <c r="WPB28" s="28"/>
      <c r="WPC28" s="28"/>
      <c r="WPD28" s="28"/>
      <c r="WPE28" s="28"/>
      <c r="WPF28" s="28"/>
      <c r="WPG28" s="28"/>
      <c r="WPH28" s="28"/>
      <c r="WPI28" s="28"/>
      <c r="WPJ28" s="28"/>
      <c r="WPK28" s="28"/>
      <c r="WPL28" s="28"/>
      <c r="WPM28" s="28"/>
      <c r="WPN28" s="28"/>
      <c r="WPO28" s="28"/>
      <c r="WPP28" s="28"/>
      <c r="WPQ28" s="28"/>
      <c r="WPR28" s="28"/>
      <c r="WPS28" s="28"/>
      <c r="WPT28" s="28"/>
      <c r="WPU28" s="28"/>
      <c r="WPV28" s="28"/>
      <c r="WPW28" s="28"/>
      <c r="WPX28" s="28"/>
      <c r="WPY28" s="28"/>
      <c r="WPZ28" s="28"/>
      <c r="WQA28" s="28"/>
      <c r="WQB28" s="28"/>
      <c r="WQC28" s="28"/>
      <c r="WQD28" s="28"/>
      <c r="WQE28" s="28"/>
      <c r="WQF28" s="28"/>
      <c r="WQG28" s="28"/>
      <c r="WQH28" s="28"/>
      <c r="WQI28" s="28"/>
      <c r="WQJ28" s="28"/>
      <c r="WQK28" s="28"/>
      <c r="WQL28" s="28"/>
      <c r="WQM28" s="28"/>
      <c r="WQN28" s="28"/>
      <c r="WQO28" s="28"/>
      <c r="WQP28" s="28"/>
      <c r="WQQ28" s="28"/>
      <c r="WQR28" s="28"/>
      <c r="WQS28" s="28"/>
      <c r="WQT28" s="28"/>
      <c r="WQU28" s="28"/>
      <c r="WQV28" s="28"/>
      <c r="WQW28" s="28"/>
      <c r="WQX28" s="28"/>
      <c r="WQY28" s="28"/>
      <c r="WQZ28" s="28"/>
      <c r="WRA28" s="28"/>
      <c r="WRB28" s="28"/>
      <c r="WRC28" s="28"/>
      <c r="WRD28" s="28"/>
      <c r="WRE28" s="28"/>
      <c r="WRF28" s="28"/>
      <c r="WRG28" s="28"/>
      <c r="WRH28" s="28"/>
      <c r="WRI28" s="28"/>
      <c r="WRJ28" s="28"/>
      <c r="WRK28" s="28"/>
      <c r="WRL28" s="28"/>
      <c r="WRM28" s="28"/>
      <c r="WRN28" s="28"/>
      <c r="WRO28" s="28"/>
      <c r="WRP28" s="28"/>
      <c r="WRQ28" s="28"/>
      <c r="WRR28" s="28"/>
      <c r="WRS28" s="28"/>
      <c r="WRT28" s="28"/>
      <c r="WRU28" s="28"/>
      <c r="WRV28" s="28"/>
      <c r="WRW28" s="28"/>
      <c r="WRX28" s="28"/>
      <c r="WRY28" s="28"/>
      <c r="WRZ28" s="28"/>
      <c r="WSA28" s="28"/>
      <c r="WSB28" s="28"/>
      <c r="WSC28" s="28"/>
      <c r="WSD28" s="28"/>
      <c r="WSE28" s="28"/>
      <c r="WSF28" s="28"/>
      <c r="WSG28" s="28"/>
      <c r="WSH28" s="28"/>
      <c r="WSI28" s="28"/>
      <c r="WSJ28" s="28"/>
      <c r="WSK28" s="28"/>
      <c r="WSL28" s="28"/>
      <c r="WSM28" s="28"/>
      <c r="WSN28" s="28"/>
      <c r="WSO28" s="28"/>
      <c r="WSP28" s="28"/>
      <c r="WSQ28" s="28"/>
      <c r="WSR28" s="28"/>
      <c r="WSS28" s="28"/>
      <c r="WST28" s="28"/>
      <c r="WSU28" s="28"/>
      <c r="WSV28" s="28"/>
      <c r="WSW28" s="28"/>
      <c r="WSX28" s="28"/>
      <c r="WSY28" s="28"/>
      <c r="WSZ28" s="28"/>
      <c r="WTA28" s="28"/>
      <c r="WTB28" s="28"/>
      <c r="WTC28" s="28"/>
      <c r="WTD28" s="28"/>
      <c r="WTE28" s="28"/>
      <c r="WTF28" s="28"/>
      <c r="WTG28" s="28"/>
      <c r="WTH28" s="28"/>
      <c r="WTI28" s="28"/>
      <c r="WTJ28" s="28"/>
      <c r="WTK28" s="28"/>
      <c r="WTL28" s="28"/>
      <c r="WTM28" s="28"/>
      <c r="WTN28" s="28"/>
      <c r="WTO28" s="28"/>
      <c r="WTP28" s="28"/>
      <c r="WTQ28" s="28"/>
      <c r="WTR28" s="28"/>
      <c r="WTS28" s="28"/>
      <c r="WTT28" s="28"/>
      <c r="WTU28" s="28"/>
      <c r="WTV28" s="28"/>
      <c r="WTW28" s="28"/>
      <c r="WTX28" s="28"/>
      <c r="WTY28" s="28"/>
      <c r="WTZ28" s="28"/>
      <c r="WUA28" s="28"/>
      <c r="WUB28" s="28"/>
      <c r="WUC28" s="28"/>
      <c r="WUD28" s="28"/>
      <c r="WUE28" s="28"/>
      <c r="WUF28" s="28"/>
      <c r="WUG28" s="28"/>
      <c r="WUH28" s="28"/>
      <c r="WUI28" s="28"/>
      <c r="WUJ28" s="28"/>
      <c r="WUK28" s="28"/>
      <c r="WUL28" s="28"/>
      <c r="WUM28" s="28"/>
      <c r="WUN28" s="28"/>
      <c r="WUO28" s="28"/>
      <c r="WUP28" s="28"/>
      <c r="WUQ28" s="28"/>
      <c r="WUR28" s="28"/>
      <c r="WUS28" s="28"/>
      <c r="WUT28" s="28"/>
      <c r="WUU28" s="28"/>
      <c r="WUV28" s="28"/>
      <c r="WUW28" s="28"/>
      <c r="WUX28" s="28"/>
      <c r="WUY28" s="28"/>
      <c r="WUZ28" s="28"/>
      <c r="WVA28" s="28"/>
      <c r="WVB28" s="28"/>
      <c r="WVC28" s="28"/>
      <c r="WVD28" s="28"/>
      <c r="WVE28" s="28"/>
      <c r="WVF28" s="28"/>
      <c r="WVG28" s="28"/>
      <c r="WVH28" s="28"/>
      <c r="WVI28" s="28"/>
      <c r="WVJ28" s="28"/>
      <c r="WVK28" s="28"/>
      <c r="WVL28" s="28"/>
      <c r="WVM28" s="28"/>
      <c r="WVN28" s="28"/>
      <c r="WVO28" s="28"/>
      <c r="WVP28" s="28"/>
      <c r="WVQ28" s="28"/>
      <c r="WVR28" s="28"/>
      <c r="WVS28" s="28"/>
      <c r="WVT28" s="28"/>
      <c r="WVU28" s="28"/>
      <c r="WVV28" s="28"/>
      <c r="WVW28" s="28"/>
      <c r="WVX28" s="28"/>
      <c r="WVY28" s="28"/>
      <c r="WVZ28" s="28"/>
      <c r="WWA28" s="28"/>
      <c r="WWB28" s="28"/>
      <c r="WWC28" s="28"/>
      <c r="WWD28" s="28"/>
      <c r="WWE28" s="28"/>
      <c r="WWF28" s="28"/>
      <c r="WWG28" s="28"/>
      <c r="WWH28" s="28"/>
      <c r="WWI28" s="28"/>
      <c r="WWJ28" s="28"/>
      <c r="WWK28" s="28"/>
      <c r="WWL28" s="28"/>
      <c r="WWM28" s="28"/>
      <c r="WWN28" s="28"/>
      <c r="WWO28" s="28"/>
      <c r="WWP28" s="28"/>
      <c r="WWQ28" s="28"/>
      <c r="WWR28" s="28"/>
      <c r="WWS28" s="28"/>
      <c r="WWT28" s="28"/>
      <c r="WWU28" s="28"/>
      <c r="WWV28" s="28"/>
      <c r="WWW28" s="28"/>
      <c r="WWX28" s="28"/>
      <c r="WWY28" s="28"/>
      <c r="WWZ28" s="28"/>
      <c r="WXA28" s="28"/>
      <c r="WXB28" s="28"/>
      <c r="WXC28" s="28"/>
      <c r="WXD28" s="28"/>
      <c r="WXE28" s="28"/>
      <c r="WXF28" s="28"/>
      <c r="WXG28" s="28"/>
      <c r="WXH28" s="28"/>
      <c r="WXI28" s="28"/>
      <c r="WXJ28" s="28"/>
      <c r="WXK28" s="28"/>
      <c r="WXL28" s="28"/>
      <c r="WXM28" s="28"/>
      <c r="WXN28" s="28"/>
      <c r="WXO28" s="28"/>
      <c r="WXP28" s="28"/>
      <c r="WXQ28" s="28"/>
      <c r="WXR28" s="28"/>
      <c r="WXS28" s="28"/>
      <c r="WXT28" s="28"/>
      <c r="WXU28" s="28"/>
      <c r="WXV28" s="28"/>
      <c r="WXW28" s="28"/>
      <c r="WXX28" s="28"/>
      <c r="WXY28" s="28"/>
      <c r="WXZ28" s="28"/>
      <c r="WYA28" s="28"/>
      <c r="WYB28" s="28"/>
      <c r="WYC28" s="28"/>
      <c r="WYD28" s="28"/>
      <c r="WYE28" s="28"/>
      <c r="WYF28" s="28"/>
      <c r="WYG28" s="28"/>
      <c r="WYH28" s="28"/>
      <c r="WYI28" s="28"/>
      <c r="WYJ28" s="28"/>
      <c r="WYK28" s="28"/>
      <c r="WYL28" s="28"/>
      <c r="WYM28" s="28"/>
      <c r="WYN28" s="28"/>
      <c r="WYO28" s="28"/>
      <c r="WYP28" s="28"/>
      <c r="WYQ28" s="28"/>
      <c r="WYR28" s="28"/>
      <c r="WYS28" s="28"/>
      <c r="WYT28" s="28"/>
      <c r="WYU28" s="28"/>
      <c r="WYV28" s="28"/>
      <c r="WYW28" s="28"/>
      <c r="WYX28" s="28"/>
      <c r="WYY28" s="28"/>
      <c r="WYZ28" s="28"/>
      <c r="WZA28" s="28"/>
      <c r="WZB28" s="28"/>
      <c r="WZC28" s="28"/>
      <c r="WZD28" s="28"/>
      <c r="WZE28" s="28"/>
      <c r="WZF28" s="28"/>
      <c r="WZG28" s="28"/>
      <c r="WZH28" s="28"/>
      <c r="WZI28" s="28"/>
      <c r="WZJ28" s="28"/>
      <c r="WZK28" s="28"/>
      <c r="WZL28" s="28"/>
      <c r="WZM28" s="28"/>
      <c r="WZN28" s="28"/>
      <c r="WZO28" s="28"/>
      <c r="WZP28" s="28"/>
      <c r="WZQ28" s="28"/>
      <c r="WZR28" s="28"/>
      <c r="WZS28" s="28"/>
      <c r="WZT28" s="28"/>
      <c r="WZU28" s="28"/>
      <c r="WZV28" s="28"/>
      <c r="WZW28" s="28"/>
      <c r="WZX28" s="28"/>
      <c r="WZY28" s="28"/>
      <c r="WZZ28" s="28"/>
      <c r="XAA28" s="28"/>
      <c r="XAB28" s="28"/>
      <c r="XAC28" s="28"/>
      <c r="XAD28" s="28"/>
      <c r="XAE28" s="28"/>
      <c r="XAF28" s="28"/>
      <c r="XAG28" s="28"/>
      <c r="XAH28" s="28"/>
      <c r="XAI28" s="28"/>
      <c r="XAJ28" s="28"/>
      <c r="XAK28" s="28"/>
      <c r="XAL28" s="28"/>
      <c r="XAM28" s="28"/>
      <c r="XAN28" s="28"/>
      <c r="XAO28" s="28"/>
      <c r="XAP28" s="28"/>
      <c r="XAQ28" s="28"/>
      <c r="XAR28" s="28"/>
      <c r="XAS28" s="28"/>
      <c r="XAT28" s="28"/>
      <c r="XAU28" s="28"/>
      <c r="XAV28" s="28"/>
      <c r="XAW28" s="28"/>
      <c r="XAX28" s="28"/>
      <c r="XAY28" s="28"/>
      <c r="XAZ28" s="28"/>
      <c r="XBA28" s="28"/>
      <c r="XBB28" s="28"/>
      <c r="XBC28" s="28"/>
      <c r="XBD28" s="28"/>
      <c r="XBE28" s="28"/>
      <c r="XBF28" s="28"/>
      <c r="XBG28" s="28"/>
      <c r="XBH28" s="28"/>
      <c r="XBI28" s="28"/>
      <c r="XBJ28" s="28"/>
      <c r="XBK28" s="28"/>
      <c r="XBL28" s="28"/>
      <c r="XBM28" s="28"/>
      <c r="XBN28" s="28"/>
      <c r="XBO28" s="28"/>
      <c r="XBP28" s="28"/>
      <c r="XBQ28" s="28"/>
      <c r="XBR28" s="28"/>
      <c r="XBS28" s="28"/>
      <c r="XBT28" s="28"/>
      <c r="XBU28" s="28"/>
      <c r="XBV28" s="28"/>
      <c r="XBW28" s="28"/>
      <c r="XBX28" s="28"/>
      <c r="XBY28" s="28"/>
      <c r="XBZ28" s="28"/>
      <c r="XCA28" s="28"/>
      <c r="XCB28" s="28"/>
      <c r="XCC28" s="28"/>
      <c r="XCD28" s="28"/>
      <c r="XCE28" s="28"/>
      <c r="XCF28" s="28"/>
      <c r="XCG28" s="28"/>
      <c r="XCH28" s="28"/>
      <c r="XCI28" s="28"/>
      <c r="XCJ28" s="28"/>
      <c r="XCK28" s="28"/>
      <c r="XCL28" s="28"/>
      <c r="XCM28" s="28"/>
      <c r="XCN28" s="28"/>
      <c r="XCO28" s="28"/>
      <c r="XCP28" s="28"/>
      <c r="XCQ28" s="28"/>
      <c r="XCR28" s="28"/>
      <c r="XCS28" s="28"/>
      <c r="XCT28" s="28"/>
      <c r="XCU28" s="28"/>
      <c r="XCV28" s="28"/>
      <c r="XCW28" s="28"/>
      <c r="XCX28" s="28"/>
      <c r="XCY28" s="28"/>
      <c r="XCZ28" s="28"/>
      <c r="XDA28" s="28"/>
      <c r="XDB28" s="28"/>
      <c r="XDC28" s="28"/>
      <c r="XDD28" s="28"/>
      <c r="XDE28" s="28"/>
      <c r="XDF28" s="28"/>
      <c r="XDG28" s="28"/>
      <c r="XDH28" s="28"/>
      <c r="XDI28" s="28"/>
      <c r="XDJ28" s="28"/>
      <c r="XDK28" s="28"/>
      <c r="XDL28" s="28"/>
      <c r="XDM28" s="28"/>
      <c r="XDN28" s="28"/>
      <c r="XDO28" s="28"/>
      <c r="XDP28" s="28"/>
      <c r="XDQ28" s="28"/>
      <c r="XDR28" s="28"/>
      <c r="XDS28" s="28"/>
      <c r="XDT28" s="28"/>
      <c r="XDU28" s="28"/>
      <c r="XDV28" s="28"/>
      <c r="XDW28" s="28"/>
      <c r="XDX28" s="28"/>
      <c r="XDY28" s="28"/>
      <c r="XDZ28" s="28"/>
      <c r="XEA28" s="28"/>
      <c r="XEB28" s="28"/>
      <c r="XEC28" s="28"/>
      <c r="XED28" s="28"/>
      <c r="XEE28" s="28"/>
      <c r="XEF28" s="28"/>
      <c r="XEG28" s="28"/>
      <c r="XEH28" s="28"/>
      <c r="XEI28" s="28"/>
      <c r="XEJ28" s="28"/>
      <c r="XEK28" s="28"/>
      <c r="XEL28" s="28"/>
      <c r="XEM28" s="28"/>
      <c r="XEN28" s="28"/>
      <c r="XEO28" s="28"/>
      <c r="XEP28" s="28"/>
      <c r="XEQ28" s="28"/>
      <c r="XER28" s="28"/>
    </row>
    <row r="29" spans="2:16382" ht="15.75" x14ac:dyDescent="0.25">
      <c r="B29" s="236"/>
      <c r="C29" s="47"/>
      <c r="D29" s="175" t="s">
        <v>7</v>
      </c>
      <c r="E29" s="177">
        <v>250</v>
      </c>
      <c r="F29" s="177">
        <v>110</v>
      </c>
      <c r="G29" s="177"/>
      <c r="H29" s="177"/>
      <c r="I29" s="177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  <c r="BR29" s="28"/>
      <c r="BS29" s="28"/>
      <c r="BT29" s="28"/>
      <c r="BU29" s="28"/>
      <c r="BV29" s="28"/>
      <c r="BW29" s="28"/>
      <c r="BX29" s="28"/>
      <c r="BY29" s="28"/>
      <c r="BZ29" s="28"/>
      <c r="CA29" s="28"/>
      <c r="CB29" s="28"/>
      <c r="CC29" s="28"/>
      <c r="CD29" s="28"/>
      <c r="CE29" s="28"/>
      <c r="CF29" s="28"/>
      <c r="CG29" s="28"/>
      <c r="CH29" s="28"/>
      <c r="CI29" s="28"/>
      <c r="CJ29" s="28"/>
      <c r="CK29" s="28"/>
      <c r="CL29" s="28"/>
      <c r="CM29" s="28"/>
      <c r="CN29" s="28"/>
      <c r="CO29" s="28"/>
      <c r="CP29" s="28"/>
      <c r="CQ29" s="28"/>
      <c r="CR29" s="28"/>
      <c r="CS29" s="28"/>
      <c r="CT29" s="28"/>
      <c r="CU29" s="28"/>
      <c r="CV29" s="28"/>
      <c r="CW29" s="28"/>
      <c r="CX29" s="28"/>
      <c r="CY29" s="28"/>
      <c r="CZ29" s="28"/>
      <c r="DA29" s="28"/>
      <c r="DB29" s="28"/>
      <c r="DC29" s="28"/>
      <c r="DD29" s="28"/>
      <c r="DE29" s="28"/>
      <c r="DF29" s="28"/>
      <c r="DG29" s="28"/>
      <c r="DH29" s="28"/>
      <c r="DI29" s="28"/>
      <c r="DJ29" s="28"/>
      <c r="DK29" s="28"/>
      <c r="DL29" s="28"/>
      <c r="DM29" s="28"/>
      <c r="DN29" s="28"/>
      <c r="DO29" s="28"/>
      <c r="DP29" s="28"/>
      <c r="DQ29" s="28"/>
      <c r="DR29" s="28"/>
      <c r="DS29" s="28"/>
      <c r="DT29" s="28"/>
      <c r="DU29" s="28"/>
      <c r="DV29" s="28"/>
      <c r="DW29" s="28"/>
      <c r="DX29" s="28"/>
      <c r="DY29" s="28"/>
      <c r="DZ29" s="28"/>
      <c r="EA29" s="28"/>
      <c r="EB29" s="28"/>
      <c r="EC29" s="28"/>
      <c r="ED29" s="28"/>
      <c r="EE29" s="28"/>
      <c r="EF29" s="28"/>
      <c r="EG29" s="28"/>
      <c r="EH29" s="28"/>
      <c r="EI29" s="28"/>
      <c r="EJ29" s="28"/>
      <c r="EK29" s="28"/>
      <c r="EL29" s="28"/>
      <c r="EM29" s="28"/>
      <c r="EN29" s="28"/>
      <c r="EO29" s="28"/>
      <c r="EP29" s="28"/>
      <c r="EQ29" s="28"/>
      <c r="ER29" s="28"/>
      <c r="ES29" s="28"/>
      <c r="ET29" s="28"/>
      <c r="EU29" s="28"/>
      <c r="EV29" s="28"/>
      <c r="EW29" s="28"/>
      <c r="EX29" s="28"/>
      <c r="EY29" s="28"/>
      <c r="EZ29" s="28"/>
      <c r="FA29" s="28"/>
      <c r="FB29" s="28"/>
      <c r="FC29" s="28"/>
      <c r="FD29" s="28"/>
      <c r="FE29" s="28"/>
      <c r="FF29" s="28"/>
      <c r="FG29" s="28"/>
      <c r="FH29" s="28"/>
      <c r="FI29" s="28"/>
      <c r="FJ29" s="28"/>
      <c r="FK29" s="28"/>
      <c r="FL29" s="28"/>
      <c r="FM29" s="28"/>
      <c r="FN29" s="28"/>
      <c r="FO29" s="28"/>
      <c r="FP29" s="28"/>
      <c r="FQ29" s="28"/>
      <c r="FR29" s="28"/>
      <c r="FS29" s="28"/>
      <c r="FT29" s="28"/>
      <c r="FU29" s="28"/>
      <c r="FV29" s="28"/>
      <c r="FW29" s="28"/>
      <c r="FX29" s="28"/>
      <c r="FY29" s="28"/>
      <c r="FZ29" s="28"/>
      <c r="GA29" s="28"/>
      <c r="GB29" s="28"/>
      <c r="GC29" s="28"/>
      <c r="GD29" s="28"/>
      <c r="GE29" s="28"/>
      <c r="GF29" s="28"/>
      <c r="GG29" s="28"/>
      <c r="GH29" s="28"/>
      <c r="GI29" s="28"/>
      <c r="GJ29" s="28"/>
      <c r="GK29" s="28"/>
      <c r="GL29" s="28"/>
      <c r="GM29" s="28"/>
      <c r="GN29" s="28"/>
      <c r="GO29" s="28"/>
      <c r="GP29" s="28"/>
      <c r="GQ29" s="28"/>
      <c r="GR29" s="28"/>
      <c r="GS29" s="28"/>
      <c r="GT29" s="28"/>
      <c r="GU29" s="28"/>
      <c r="GV29" s="28"/>
      <c r="GW29" s="28"/>
      <c r="GX29" s="28"/>
      <c r="GY29" s="28"/>
      <c r="GZ29" s="28"/>
      <c r="HA29" s="28"/>
      <c r="HB29" s="28"/>
      <c r="HC29" s="28"/>
      <c r="HD29" s="28"/>
      <c r="HE29" s="28"/>
      <c r="HF29" s="28"/>
      <c r="HG29" s="28"/>
      <c r="HH29" s="28"/>
      <c r="HI29" s="28"/>
      <c r="HJ29" s="28"/>
      <c r="HK29" s="28"/>
      <c r="HL29" s="28"/>
      <c r="HM29" s="28"/>
      <c r="HN29" s="28"/>
      <c r="HO29" s="28"/>
      <c r="HP29" s="28"/>
      <c r="HQ29" s="28"/>
      <c r="HR29" s="28"/>
      <c r="HS29" s="28"/>
      <c r="HT29" s="28"/>
      <c r="HU29" s="28"/>
      <c r="HV29" s="28"/>
      <c r="HW29" s="28"/>
      <c r="HX29" s="28"/>
      <c r="HY29" s="28"/>
      <c r="HZ29" s="28"/>
      <c r="IA29" s="28"/>
      <c r="IB29" s="28"/>
      <c r="IC29" s="28"/>
      <c r="ID29" s="28"/>
      <c r="IE29" s="28"/>
      <c r="IF29" s="28"/>
      <c r="IG29" s="28"/>
      <c r="IH29" s="28"/>
      <c r="II29" s="28"/>
      <c r="IJ29" s="28"/>
      <c r="IK29" s="28"/>
      <c r="IL29" s="28"/>
      <c r="IM29" s="28"/>
      <c r="IN29" s="28"/>
      <c r="IO29" s="28"/>
      <c r="IP29" s="28"/>
      <c r="IQ29" s="28"/>
      <c r="IR29" s="28"/>
      <c r="IS29" s="28"/>
      <c r="IT29" s="28"/>
      <c r="IU29" s="28"/>
      <c r="IV29" s="28"/>
      <c r="IW29" s="28"/>
      <c r="IX29" s="28"/>
      <c r="IY29" s="28"/>
      <c r="IZ29" s="28"/>
      <c r="JA29" s="28"/>
      <c r="JB29" s="28"/>
      <c r="JC29" s="28"/>
      <c r="JD29" s="28"/>
      <c r="JE29" s="28"/>
      <c r="JF29" s="28"/>
      <c r="JG29" s="28"/>
      <c r="JH29" s="28"/>
      <c r="JI29" s="28"/>
      <c r="JJ29" s="28"/>
      <c r="JK29" s="28"/>
      <c r="JL29" s="28"/>
      <c r="JM29" s="28"/>
      <c r="JN29" s="28"/>
      <c r="JO29" s="28"/>
      <c r="JP29" s="28"/>
      <c r="JQ29" s="28"/>
      <c r="JR29" s="28"/>
      <c r="JS29" s="28"/>
      <c r="JT29" s="28"/>
      <c r="JU29" s="28"/>
      <c r="JV29" s="28"/>
      <c r="JW29" s="28"/>
      <c r="JX29" s="28"/>
      <c r="JY29" s="28"/>
      <c r="JZ29" s="28"/>
      <c r="KA29" s="28"/>
      <c r="KB29" s="28"/>
      <c r="KC29" s="28"/>
      <c r="KD29" s="28"/>
      <c r="KE29" s="28"/>
      <c r="KF29" s="28"/>
      <c r="KG29" s="28"/>
      <c r="KH29" s="28"/>
      <c r="KI29" s="28"/>
      <c r="KJ29" s="28"/>
      <c r="KK29" s="28"/>
      <c r="KL29" s="28"/>
      <c r="KM29" s="28"/>
      <c r="KN29" s="28"/>
      <c r="KO29" s="28"/>
      <c r="KP29" s="28"/>
      <c r="KQ29" s="28"/>
      <c r="KR29" s="28"/>
      <c r="KS29" s="28"/>
      <c r="KT29" s="28"/>
      <c r="KU29" s="28"/>
      <c r="KV29" s="28"/>
      <c r="KW29" s="28"/>
      <c r="KX29" s="28"/>
      <c r="KY29" s="28"/>
      <c r="KZ29" s="28"/>
      <c r="LA29" s="28"/>
      <c r="LB29" s="28"/>
      <c r="LC29" s="28"/>
      <c r="LD29" s="28"/>
      <c r="LE29" s="28"/>
      <c r="LF29" s="28"/>
      <c r="LG29" s="28"/>
      <c r="LH29" s="28"/>
      <c r="LI29" s="28"/>
      <c r="LJ29" s="28"/>
      <c r="LK29" s="28"/>
      <c r="LL29" s="28"/>
      <c r="LM29" s="28"/>
      <c r="LN29" s="28"/>
      <c r="LO29" s="28"/>
      <c r="LP29" s="28"/>
      <c r="LQ29" s="28"/>
      <c r="LR29" s="28"/>
      <c r="LS29" s="28"/>
      <c r="LT29" s="28"/>
      <c r="LU29" s="28"/>
      <c r="LV29" s="28"/>
      <c r="LW29" s="28"/>
      <c r="LX29" s="28"/>
      <c r="LY29" s="28"/>
      <c r="LZ29" s="28"/>
      <c r="MA29" s="28"/>
      <c r="MB29" s="28"/>
      <c r="MC29" s="28"/>
      <c r="MD29" s="28"/>
      <c r="ME29" s="28"/>
      <c r="MF29" s="28"/>
      <c r="MG29" s="28"/>
      <c r="MH29" s="28"/>
      <c r="MI29" s="28"/>
      <c r="MJ29" s="28"/>
      <c r="MK29" s="28"/>
      <c r="ML29" s="28"/>
      <c r="MM29" s="28"/>
      <c r="MN29" s="28"/>
      <c r="MO29" s="28"/>
      <c r="MP29" s="28"/>
      <c r="MQ29" s="28"/>
      <c r="MR29" s="28"/>
      <c r="MS29" s="28"/>
      <c r="MT29" s="28"/>
      <c r="MU29" s="28"/>
      <c r="MV29" s="28"/>
      <c r="MW29" s="28"/>
      <c r="MX29" s="28"/>
      <c r="MY29" s="28"/>
      <c r="MZ29" s="28"/>
      <c r="NA29" s="28"/>
      <c r="NB29" s="28"/>
      <c r="NC29" s="28"/>
      <c r="ND29" s="28"/>
      <c r="NE29" s="28"/>
      <c r="NF29" s="28"/>
      <c r="NG29" s="28"/>
      <c r="NH29" s="28"/>
      <c r="NI29" s="28"/>
      <c r="NJ29" s="28"/>
      <c r="NK29" s="28"/>
      <c r="NL29" s="28"/>
      <c r="NM29" s="28"/>
      <c r="NN29" s="28"/>
      <c r="NO29" s="28"/>
      <c r="NP29" s="28"/>
      <c r="NQ29" s="28"/>
      <c r="NR29" s="28"/>
      <c r="NS29" s="28"/>
      <c r="NT29" s="28"/>
      <c r="NU29" s="28"/>
      <c r="NV29" s="28"/>
      <c r="NW29" s="28"/>
      <c r="NX29" s="28"/>
      <c r="NY29" s="28"/>
      <c r="NZ29" s="28"/>
      <c r="OA29" s="28"/>
      <c r="OB29" s="28"/>
      <c r="OC29" s="28"/>
      <c r="OD29" s="28"/>
      <c r="OE29" s="28"/>
      <c r="OF29" s="28"/>
      <c r="OG29" s="28"/>
      <c r="OH29" s="28"/>
      <c r="OI29" s="28"/>
      <c r="OJ29" s="28"/>
      <c r="OK29" s="28"/>
      <c r="OL29" s="28"/>
      <c r="OM29" s="28"/>
      <c r="ON29" s="28"/>
      <c r="OO29" s="28"/>
      <c r="OP29" s="28"/>
      <c r="OQ29" s="28"/>
      <c r="OR29" s="28"/>
      <c r="OS29" s="28"/>
      <c r="OT29" s="28"/>
      <c r="OU29" s="28"/>
      <c r="OV29" s="28"/>
      <c r="OW29" s="28"/>
      <c r="OX29" s="28"/>
      <c r="OY29" s="28"/>
      <c r="OZ29" s="28"/>
      <c r="PA29" s="28"/>
      <c r="PB29" s="28"/>
      <c r="PC29" s="28"/>
      <c r="PD29" s="28"/>
      <c r="PE29" s="28"/>
      <c r="PF29" s="28"/>
      <c r="PG29" s="28"/>
      <c r="PH29" s="28"/>
      <c r="PI29" s="28"/>
      <c r="PJ29" s="28"/>
      <c r="PK29" s="28"/>
      <c r="PL29" s="28"/>
      <c r="PM29" s="28"/>
      <c r="PN29" s="28"/>
      <c r="PO29" s="28"/>
      <c r="PP29" s="28"/>
      <c r="PQ29" s="28"/>
      <c r="PR29" s="28"/>
      <c r="PS29" s="28"/>
      <c r="PT29" s="28"/>
      <c r="PU29" s="28"/>
      <c r="PV29" s="28"/>
      <c r="PW29" s="28"/>
      <c r="PX29" s="28"/>
      <c r="PY29" s="28"/>
      <c r="PZ29" s="28"/>
      <c r="QA29" s="28"/>
      <c r="QB29" s="28"/>
      <c r="QC29" s="28"/>
      <c r="QD29" s="28"/>
      <c r="QE29" s="28"/>
      <c r="QF29" s="28"/>
      <c r="QG29" s="28"/>
      <c r="QH29" s="28"/>
      <c r="QI29" s="28"/>
      <c r="QJ29" s="28"/>
      <c r="QK29" s="28"/>
      <c r="QL29" s="28"/>
      <c r="QM29" s="28"/>
      <c r="QN29" s="28"/>
      <c r="QO29" s="28"/>
      <c r="QP29" s="28"/>
      <c r="QQ29" s="28"/>
      <c r="QR29" s="28"/>
      <c r="QS29" s="28"/>
      <c r="QT29" s="28"/>
      <c r="QU29" s="28"/>
      <c r="QV29" s="28"/>
      <c r="QW29" s="28"/>
      <c r="QX29" s="28"/>
      <c r="QY29" s="28"/>
      <c r="QZ29" s="28"/>
      <c r="RA29" s="28"/>
      <c r="RB29" s="28"/>
      <c r="RC29" s="28"/>
      <c r="RD29" s="28"/>
      <c r="RE29" s="28"/>
      <c r="RF29" s="28"/>
      <c r="RG29" s="28"/>
      <c r="RH29" s="28"/>
      <c r="RI29" s="28"/>
      <c r="RJ29" s="28"/>
      <c r="RK29" s="28"/>
      <c r="RL29" s="28"/>
      <c r="RM29" s="28"/>
      <c r="RN29" s="28"/>
      <c r="RO29" s="28"/>
      <c r="RP29" s="28"/>
      <c r="RQ29" s="28"/>
      <c r="RR29" s="28"/>
      <c r="RS29" s="28"/>
      <c r="RT29" s="28"/>
      <c r="RU29" s="28"/>
      <c r="RV29" s="28"/>
      <c r="RW29" s="28"/>
      <c r="RX29" s="28"/>
      <c r="RY29" s="28"/>
      <c r="RZ29" s="28"/>
      <c r="SA29" s="28"/>
      <c r="SB29" s="28"/>
      <c r="SC29" s="28"/>
      <c r="SD29" s="28"/>
      <c r="SE29" s="28"/>
      <c r="SF29" s="28"/>
      <c r="SG29" s="28"/>
      <c r="SH29" s="28"/>
      <c r="SI29" s="28"/>
      <c r="SJ29" s="28"/>
      <c r="SK29" s="28"/>
      <c r="SL29" s="28"/>
      <c r="SM29" s="28"/>
      <c r="SN29" s="28"/>
      <c r="SO29" s="28"/>
      <c r="SP29" s="28"/>
      <c r="SQ29" s="28"/>
      <c r="SR29" s="28"/>
      <c r="SS29" s="28"/>
      <c r="ST29" s="28"/>
      <c r="SU29" s="28"/>
      <c r="SV29" s="28"/>
      <c r="SW29" s="28"/>
      <c r="SX29" s="28"/>
      <c r="SY29" s="28"/>
      <c r="SZ29" s="28"/>
      <c r="TA29" s="28"/>
      <c r="TB29" s="28"/>
      <c r="TC29" s="28"/>
      <c r="TD29" s="28"/>
      <c r="TE29" s="28"/>
      <c r="TF29" s="28"/>
      <c r="TG29" s="28"/>
      <c r="TH29" s="28"/>
      <c r="TI29" s="28"/>
      <c r="TJ29" s="28"/>
      <c r="TK29" s="28"/>
      <c r="TL29" s="28"/>
      <c r="TM29" s="28"/>
      <c r="TN29" s="28"/>
      <c r="TO29" s="28"/>
      <c r="TP29" s="28"/>
      <c r="TQ29" s="28"/>
      <c r="TR29" s="28"/>
      <c r="TS29" s="28"/>
      <c r="TT29" s="28"/>
      <c r="TU29" s="28"/>
      <c r="TV29" s="28"/>
      <c r="TW29" s="28"/>
      <c r="TX29" s="28"/>
      <c r="TY29" s="28"/>
      <c r="TZ29" s="28"/>
      <c r="UA29" s="28"/>
      <c r="UB29" s="28"/>
      <c r="UC29" s="28"/>
      <c r="UD29" s="28"/>
      <c r="UE29" s="28"/>
      <c r="UF29" s="28"/>
      <c r="UG29" s="28"/>
      <c r="UH29" s="28"/>
      <c r="UI29" s="28"/>
      <c r="UJ29" s="28"/>
      <c r="UK29" s="28"/>
      <c r="UL29" s="28"/>
      <c r="UM29" s="28"/>
      <c r="UN29" s="28"/>
      <c r="UO29" s="28"/>
      <c r="UP29" s="28"/>
      <c r="UQ29" s="28"/>
      <c r="UR29" s="28"/>
      <c r="US29" s="28"/>
      <c r="UT29" s="28"/>
      <c r="UU29" s="28"/>
      <c r="UV29" s="28"/>
      <c r="UW29" s="28"/>
      <c r="UX29" s="28"/>
      <c r="UY29" s="28"/>
      <c r="UZ29" s="28"/>
      <c r="VA29" s="28"/>
      <c r="VB29" s="28"/>
      <c r="VC29" s="28"/>
      <c r="VD29" s="28"/>
      <c r="VE29" s="28"/>
      <c r="VF29" s="28"/>
      <c r="VG29" s="28"/>
      <c r="VH29" s="28"/>
      <c r="VI29" s="28"/>
      <c r="VJ29" s="28"/>
      <c r="VK29" s="28"/>
      <c r="VL29" s="28"/>
      <c r="VM29" s="28"/>
      <c r="VN29" s="28"/>
      <c r="VO29" s="28"/>
      <c r="VP29" s="28"/>
      <c r="VQ29" s="28"/>
      <c r="VR29" s="28"/>
      <c r="VS29" s="28"/>
      <c r="VT29" s="28"/>
      <c r="VU29" s="28"/>
      <c r="VV29" s="28"/>
      <c r="VW29" s="28"/>
      <c r="VX29" s="28"/>
      <c r="VY29" s="28"/>
      <c r="VZ29" s="28"/>
      <c r="WA29" s="28"/>
      <c r="WB29" s="28"/>
      <c r="WC29" s="28"/>
      <c r="WD29" s="28"/>
      <c r="WE29" s="28"/>
      <c r="WF29" s="28"/>
      <c r="WG29" s="28"/>
      <c r="WH29" s="28"/>
      <c r="WI29" s="28"/>
      <c r="WJ29" s="28"/>
      <c r="WK29" s="28"/>
      <c r="WL29" s="28"/>
      <c r="WM29" s="28"/>
      <c r="WN29" s="28"/>
      <c r="WO29" s="28"/>
      <c r="WP29" s="28"/>
      <c r="WQ29" s="28"/>
      <c r="WR29" s="28"/>
      <c r="WS29" s="28"/>
      <c r="WT29" s="28"/>
      <c r="WU29" s="28"/>
      <c r="WV29" s="28"/>
      <c r="WW29" s="28"/>
      <c r="WX29" s="28"/>
      <c r="WY29" s="28"/>
      <c r="WZ29" s="28"/>
      <c r="XA29" s="28"/>
      <c r="XB29" s="28"/>
      <c r="XC29" s="28"/>
      <c r="XD29" s="28"/>
      <c r="XE29" s="28"/>
      <c r="XF29" s="28"/>
      <c r="XG29" s="28"/>
      <c r="XH29" s="28"/>
      <c r="XI29" s="28"/>
      <c r="XJ29" s="28"/>
      <c r="XK29" s="28"/>
      <c r="XL29" s="28"/>
      <c r="XM29" s="28"/>
      <c r="XN29" s="28"/>
      <c r="XO29" s="28"/>
      <c r="XP29" s="28"/>
      <c r="XQ29" s="28"/>
      <c r="XR29" s="28"/>
      <c r="XS29" s="28"/>
      <c r="XT29" s="28"/>
      <c r="XU29" s="28"/>
      <c r="XV29" s="28"/>
      <c r="XW29" s="28"/>
      <c r="XX29" s="28"/>
      <c r="XY29" s="28"/>
      <c r="XZ29" s="28"/>
      <c r="YA29" s="28"/>
      <c r="YB29" s="28"/>
      <c r="YC29" s="28"/>
      <c r="YD29" s="28"/>
      <c r="YE29" s="28"/>
      <c r="YF29" s="28"/>
      <c r="YG29" s="28"/>
      <c r="YH29" s="28"/>
      <c r="YI29" s="28"/>
      <c r="YJ29" s="28"/>
      <c r="YK29" s="28"/>
      <c r="YL29" s="28"/>
      <c r="YM29" s="28"/>
      <c r="YN29" s="28"/>
      <c r="YO29" s="28"/>
      <c r="YP29" s="28"/>
      <c r="YQ29" s="28"/>
      <c r="YR29" s="28"/>
      <c r="YS29" s="28"/>
      <c r="YT29" s="28"/>
      <c r="YU29" s="28"/>
      <c r="YV29" s="28"/>
      <c r="YW29" s="28"/>
      <c r="YX29" s="28"/>
      <c r="YY29" s="28"/>
      <c r="YZ29" s="28"/>
      <c r="ZA29" s="28"/>
      <c r="ZB29" s="28"/>
      <c r="ZC29" s="28"/>
      <c r="ZD29" s="28"/>
      <c r="ZE29" s="28"/>
      <c r="ZF29" s="28"/>
      <c r="ZG29" s="28"/>
      <c r="ZH29" s="28"/>
      <c r="ZI29" s="28"/>
      <c r="ZJ29" s="28"/>
      <c r="ZK29" s="28"/>
      <c r="ZL29" s="28"/>
      <c r="ZM29" s="28"/>
      <c r="ZN29" s="28"/>
      <c r="ZO29" s="28"/>
      <c r="ZP29" s="28"/>
      <c r="ZQ29" s="28"/>
      <c r="ZR29" s="28"/>
      <c r="ZS29" s="28"/>
      <c r="ZT29" s="28"/>
      <c r="ZU29" s="28"/>
      <c r="ZV29" s="28"/>
      <c r="ZW29" s="28"/>
      <c r="ZX29" s="28"/>
      <c r="ZY29" s="28"/>
      <c r="ZZ29" s="28"/>
      <c r="AAA29" s="28"/>
      <c r="AAB29" s="28"/>
      <c r="AAC29" s="28"/>
      <c r="AAD29" s="28"/>
      <c r="AAE29" s="28"/>
      <c r="AAF29" s="28"/>
      <c r="AAG29" s="28"/>
      <c r="AAH29" s="28"/>
      <c r="AAI29" s="28"/>
      <c r="AAJ29" s="28"/>
      <c r="AAK29" s="28"/>
      <c r="AAL29" s="28"/>
      <c r="AAM29" s="28"/>
      <c r="AAN29" s="28"/>
      <c r="AAO29" s="28"/>
      <c r="AAP29" s="28"/>
      <c r="AAQ29" s="28"/>
      <c r="AAR29" s="28"/>
      <c r="AAS29" s="28"/>
      <c r="AAT29" s="28"/>
      <c r="AAU29" s="28"/>
      <c r="AAV29" s="28"/>
      <c r="AAW29" s="28"/>
      <c r="AAX29" s="28"/>
      <c r="AAY29" s="28"/>
      <c r="AAZ29" s="28"/>
      <c r="ABA29" s="28"/>
      <c r="ABB29" s="28"/>
      <c r="ABC29" s="28"/>
      <c r="ABD29" s="28"/>
      <c r="ABE29" s="28"/>
      <c r="ABF29" s="28"/>
      <c r="ABG29" s="28"/>
      <c r="ABH29" s="28"/>
      <c r="ABI29" s="28"/>
      <c r="ABJ29" s="28"/>
      <c r="ABK29" s="28"/>
      <c r="ABL29" s="28"/>
      <c r="ABM29" s="28"/>
      <c r="ABN29" s="28"/>
      <c r="ABO29" s="28"/>
      <c r="ABP29" s="28"/>
      <c r="ABQ29" s="28"/>
      <c r="ABR29" s="28"/>
      <c r="ABS29" s="28"/>
      <c r="ABT29" s="28"/>
      <c r="ABU29" s="28"/>
      <c r="ABV29" s="28"/>
      <c r="ABW29" s="28"/>
      <c r="ABX29" s="28"/>
      <c r="ABY29" s="28"/>
      <c r="ABZ29" s="28"/>
      <c r="ACA29" s="28"/>
      <c r="ACB29" s="28"/>
      <c r="ACC29" s="28"/>
      <c r="ACD29" s="28"/>
      <c r="ACE29" s="28"/>
      <c r="ACF29" s="28"/>
      <c r="ACG29" s="28"/>
      <c r="ACH29" s="28"/>
      <c r="ACI29" s="28"/>
      <c r="ACJ29" s="28"/>
      <c r="ACK29" s="28"/>
      <c r="ACL29" s="28"/>
      <c r="ACM29" s="28"/>
      <c r="ACN29" s="28"/>
      <c r="ACO29" s="28"/>
      <c r="ACP29" s="28"/>
      <c r="ACQ29" s="28"/>
      <c r="ACR29" s="28"/>
      <c r="ACS29" s="28"/>
      <c r="ACT29" s="28"/>
      <c r="ACU29" s="28"/>
      <c r="ACV29" s="28"/>
      <c r="ACW29" s="28"/>
      <c r="ACX29" s="28"/>
      <c r="ACY29" s="28"/>
      <c r="ACZ29" s="28"/>
      <c r="ADA29" s="28"/>
      <c r="ADB29" s="28"/>
      <c r="ADC29" s="28"/>
      <c r="ADD29" s="28"/>
      <c r="ADE29" s="28"/>
      <c r="ADF29" s="28"/>
      <c r="ADG29" s="28"/>
      <c r="ADH29" s="28"/>
      <c r="ADI29" s="28"/>
      <c r="ADJ29" s="28"/>
      <c r="ADK29" s="28"/>
      <c r="ADL29" s="28"/>
      <c r="ADM29" s="28"/>
      <c r="ADN29" s="28"/>
      <c r="ADO29" s="28"/>
      <c r="ADP29" s="28"/>
      <c r="ADQ29" s="28"/>
      <c r="ADR29" s="28"/>
      <c r="ADS29" s="28"/>
      <c r="ADT29" s="28"/>
      <c r="ADU29" s="28"/>
      <c r="ADV29" s="28"/>
      <c r="ADW29" s="28"/>
      <c r="ADX29" s="28"/>
      <c r="ADY29" s="28"/>
      <c r="ADZ29" s="28"/>
      <c r="AEA29" s="28"/>
      <c r="AEB29" s="28"/>
      <c r="AEC29" s="28"/>
      <c r="AED29" s="28"/>
      <c r="AEE29" s="28"/>
      <c r="AEF29" s="28"/>
      <c r="AEG29" s="28"/>
      <c r="AEH29" s="28"/>
      <c r="AEI29" s="28"/>
      <c r="AEJ29" s="28"/>
      <c r="AEK29" s="28"/>
      <c r="AEL29" s="28"/>
      <c r="AEM29" s="28"/>
      <c r="AEN29" s="28"/>
      <c r="AEO29" s="28"/>
      <c r="AEP29" s="28"/>
      <c r="AEQ29" s="28"/>
      <c r="AER29" s="28"/>
      <c r="AES29" s="28"/>
      <c r="AET29" s="28"/>
      <c r="AEU29" s="28"/>
      <c r="AEV29" s="28"/>
      <c r="AEW29" s="28"/>
      <c r="AEX29" s="28"/>
      <c r="AEY29" s="28"/>
      <c r="AEZ29" s="28"/>
      <c r="AFA29" s="28"/>
      <c r="AFB29" s="28"/>
      <c r="AFC29" s="28"/>
      <c r="AFD29" s="28"/>
      <c r="AFE29" s="28"/>
      <c r="AFF29" s="28"/>
      <c r="AFG29" s="28"/>
      <c r="AFH29" s="28"/>
      <c r="AFI29" s="28"/>
      <c r="AFJ29" s="28"/>
      <c r="AFK29" s="28"/>
      <c r="AFL29" s="28"/>
      <c r="AFM29" s="28"/>
      <c r="AFN29" s="28"/>
      <c r="AFO29" s="28"/>
      <c r="AFP29" s="28"/>
      <c r="AFQ29" s="28"/>
      <c r="AFR29" s="28"/>
      <c r="AFS29" s="28"/>
      <c r="AFT29" s="28"/>
      <c r="AFU29" s="28"/>
      <c r="AFV29" s="28"/>
      <c r="AFW29" s="28"/>
      <c r="AFX29" s="28"/>
      <c r="AFY29" s="28"/>
      <c r="AFZ29" s="28"/>
      <c r="AGA29" s="28"/>
      <c r="AGB29" s="28"/>
      <c r="AGC29" s="28"/>
      <c r="AGD29" s="28"/>
      <c r="AGE29" s="28"/>
      <c r="AGF29" s="28"/>
      <c r="AGG29" s="28"/>
      <c r="AGH29" s="28"/>
      <c r="AGI29" s="28"/>
      <c r="AGJ29" s="28"/>
      <c r="AGK29" s="28"/>
      <c r="AGL29" s="28"/>
      <c r="AGM29" s="28"/>
      <c r="AGN29" s="28"/>
      <c r="AGO29" s="28"/>
      <c r="AGP29" s="28"/>
      <c r="AGQ29" s="28"/>
      <c r="AGR29" s="28"/>
      <c r="AGS29" s="28"/>
      <c r="AGT29" s="28"/>
      <c r="AGU29" s="28"/>
      <c r="AGV29" s="28"/>
      <c r="AGW29" s="28"/>
      <c r="AGX29" s="28"/>
      <c r="AGY29" s="28"/>
      <c r="AGZ29" s="28"/>
      <c r="AHA29" s="28"/>
      <c r="AHB29" s="28"/>
      <c r="AHC29" s="28"/>
      <c r="AHD29" s="28"/>
      <c r="AHE29" s="28"/>
      <c r="AHF29" s="28"/>
      <c r="AHG29" s="28"/>
      <c r="AHH29" s="28"/>
      <c r="AHI29" s="28"/>
      <c r="AHJ29" s="28"/>
      <c r="AHK29" s="28"/>
      <c r="AHL29" s="28"/>
      <c r="AHM29" s="28"/>
      <c r="AHN29" s="28"/>
      <c r="AHO29" s="28"/>
      <c r="AHP29" s="28"/>
      <c r="AHQ29" s="28"/>
      <c r="AHR29" s="28"/>
      <c r="AHS29" s="28"/>
      <c r="AHT29" s="28"/>
      <c r="AHU29" s="28"/>
      <c r="AHV29" s="28"/>
      <c r="AHW29" s="28"/>
      <c r="AHX29" s="28"/>
      <c r="AHY29" s="28"/>
      <c r="AHZ29" s="28"/>
      <c r="AIA29" s="28"/>
      <c r="AIB29" s="28"/>
      <c r="AIC29" s="28"/>
      <c r="AID29" s="28"/>
      <c r="AIE29" s="28"/>
      <c r="AIF29" s="28"/>
      <c r="AIG29" s="28"/>
      <c r="AIH29" s="28"/>
      <c r="AII29" s="28"/>
      <c r="AIJ29" s="28"/>
      <c r="AIK29" s="28"/>
      <c r="AIL29" s="28"/>
      <c r="AIM29" s="28"/>
      <c r="AIN29" s="28"/>
      <c r="AIO29" s="28"/>
      <c r="AIP29" s="28"/>
      <c r="AIQ29" s="28"/>
      <c r="AIR29" s="28"/>
      <c r="AIS29" s="28"/>
      <c r="AIT29" s="28"/>
      <c r="AIU29" s="28"/>
      <c r="AIV29" s="28"/>
      <c r="AIW29" s="28"/>
      <c r="AIX29" s="28"/>
      <c r="AIY29" s="28"/>
      <c r="AIZ29" s="28"/>
      <c r="AJA29" s="28"/>
      <c r="AJB29" s="28"/>
      <c r="AJC29" s="28"/>
      <c r="AJD29" s="28"/>
      <c r="AJE29" s="28"/>
      <c r="AJF29" s="28"/>
      <c r="AJG29" s="28"/>
      <c r="AJH29" s="28"/>
      <c r="AJI29" s="28"/>
      <c r="AJJ29" s="28"/>
      <c r="AJK29" s="28"/>
      <c r="AJL29" s="28"/>
      <c r="AJM29" s="28"/>
      <c r="AJN29" s="28"/>
      <c r="AJO29" s="28"/>
      <c r="AJP29" s="28"/>
      <c r="AJQ29" s="28"/>
      <c r="AJR29" s="28"/>
      <c r="AJS29" s="28"/>
      <c r="AJT29" s="28"/>
      <c r="AJU29" s="28"/>
      <c r="AJV29" s="28"/>
      <c r="AJW29" s="28"/>
      <c r="AJX29" s="28"/>
      <c r="AJY29" s="28"/>
      <c r="AJZ29" s="28"/>
      <c r="AKA29" s="28"/>
      <c r="AKB29" s="28"/>
      <c r="AKC29" s="28"/>
      <c r="AKD29" s="28"/>
      <c r="AKE29" s="28"/>
      <c r="AKF29" s="28"/>
      <c r="AKG29" s="28"/>
      <c r="AKH29" s="28"/>
      <c r="AKI29" s="28"/>
      <c r="AKJ29" s="28"/>
      <c r="AKK29" s="28"/>
      <c r="AKL29" s="28"/>
      <c r="AKM29" s="28"/>
      <c r="AKN29" s="28"/>
      <c r="AKO29" s="28"/>
      <c r="AKP29" s="28"/>
      <c r="AKQ29" s="28"/>
      <c r="AKR29" s="28"/>
      <c r="AKS29" s="28"/>
      <c r="AKT29" s="28"/>
      <c r="AKU29" s="28"/>
      <c r="AKV29" s="28"/>
      <c r="AKW29" s="28"/>
      <c r="AKX29" s="28"/>
      <c r="AKY29" s="28"/>
      <c r="AKZ29" s="28"/>
      <c r="ALA29" s="28"/>
      <c r="ALB29" s="28"/>
      <c r="ALC29" s="28"/>
      <c r="ALD29" s="28"/>
      <c r="ALE29" s="28"/>
      <c r="ALF29" s="28"/>
      <c r="ALG29" s="28"/>
      <c r="ALH29" s="28"/>
      <c r="ALI29" s="28"/>
      <c r="ALJ29" s="28"/>
      <c r="ALK29" s="28"/>
      <c r="ALL29" s="28"/>
      <c r="ALM29" s="28"/>
      <c r="ALN29" s="28"/>
      <c r="ALO29" s="28"/>
      <c r="ALP29" s="28"/>
      <c r="ALQ29" s="28"/>
      <c r="ALR29" s="28"/>
      <c r="ALS29" s="28"/>
      <c r="ALT29" s="28"/>
      <c r="ALU29" s="28"/>
      <c r="ALV29" s="28"/>
      <c r="ALW29" s="28"/>
      <c r="ALX29" s="28"/>
      <c r="ALY29" s="28"/>
      <c r="ALZ29" s="28"/>
      <c r="AMA29" s="28"/>
      <c r="AMB29" s="28"/>
      <c r="AMC29" s="28"/>
      <c r="AMD29" s="28"/>
      <c r="AME29" s="28"/>
      <c r="AMF29" s="28"/>
      <c r="AMG29" s="28"/>
      <c r="AMH29" s="28"/>
      <c r="AMI29" s="28"/>
      <c r="AMJ29" s="28"/>
      <c r="AMK29" s="28"/>
      <c r="AML29" s="28"/>
      <c r="AMM29" s="28"/>
      <c r="AMN29" s="28"/>
      <c r="AMO29" s="28"/>
      <c r="AMP29" s="28"/>
      <c r="AMQ29" s="28"/>
      <c r="AMR29" s="28"/>
      <c r="AMS29" s="28"/>
      <c r="AMT29" s="28"/>
      <c r="AMU29" s="28"/>
      <c r="AMV29" s="28"/>
      <c r="AMW29" s="28"/>
      <c r="AMX29" s="28"/>
      <c r="AMY29" s="28"/>
      <c r="AMZ29" s="28"/>
      <c r="ANA29" s="28"/>
      <c r="ANB29" s="28"/>
      <c r="ANC29" s="28"/>
      <c r="AND29" s="28"/>
      <c r="ANE29" s="28"/>
      <c r="ANF29" s="28"/>
      <c r="ANG29" s="28"/>
      <c r="ANH29" s="28"/>
      <c r="ANI29" s="28"/>
      <c r="ANJ29" s="28"/>
      <c r="ANK29" s="28"/>
      <c r="ANL29" s="28"/>
      <c r="ANM29" s="28"/>
      <c r="ANN29" s="28"/>
      <c r="ANO29" s="28"/>
      <c r="ANP29" s="28"/>
      <c r="ANQ29" s="28"/>
      <c r="ANR29" s="28"/>
      <c r="ANS29" s="28"/>
      <c r="ANT29" s="28"/>
      <c r="ANU29" s="28"/>
      <c r="ANV29" s="28"/>
      <c r="ANW29" s="28"/>
      <c r="ANX29" s="28"/>
      <c r="ANY29" s="28"/>
      <c r="ANZ29" s="28"/>
      <c r="AOA29" s="28"/>
      <c r="AOB29" s="28"/>
      <c r="AOC29" s="28"/>
      <c r="AOD29" s="28"/>
      <c r="AOE29" s="28"/>
      <c r="AOF29" s="28"/>
      <c r="AOG29" s="28"/>
      <c r="AOH29" s="28"/>
      <c r="AOI29" s="28"/>
      <c r="AOJ29" s="28"/>
      <c r="AOK29" s="28"/>
      <c r="AOL29" s="28"/>
      <c r="AOM29" s="28"/>
      <c r="AON29" s="28"/>
      <c r="AOO29" s="28"/>
      <c r="AOP29" s="28"/>
      <c r="AOQ29" s="28"/>
      <c r="AOR29" s="28"/>
      <c r="AOS29" s="28"/>
      <c r="AOT29" s="28"/>
      <c r="AOU29" s="28"/>
      <c r="AOV29" s="28"/>
      <c r="AOW29" s="28"/>
      <c r="AOX29" s="28"/>
      <c r="AOY29" s="28"/>
      <c r="AOZ29" s="28"/>
      <c r="APA29" s="28"/>
      <c r="APB29" s="28"/>
      <c r="APC29" s="28"/>
      <c r="APD29" s="28"/>
      <c r="APE29" s="28"/>
      <c r="APF29" s="28"/>
      <c r="APG29" s="28"/>
      <c r="APH29" s="28"/>
      <c r="API29" s="28"/>
      <c r="APJ29" s="28"/>
      <c r="APK29" s="28"/>
      <c r="APL29" s="28"/>
      <c r="APM29" s="28"/>
      <c r="APN29" s="28"/>
      <c r="APO29" s="28"/>
      <c r="APP29" s="28"/>
      <c r="APQ29" s="28"/>
      <c r="APR29" s="28"/>
      <c r="APS29" s="28"/>
      <c r="APT29" s="28"/>
      <c r="APU29" s="28"/>
      <c r="APV29" s="28"/>
      <c r="APW29" s="28"/>
      <c r="APX29" s="28"/>
      <c r="APY29" s="28"/>
      <c r="APZ29" s="28"/>
      <c r="AQA29" s="28"/>
      <c r="AQB29" s="28"/>
      <c r="AQC29" s="28"/>
      <c r="AQD29" s="28"/>
      <c r="AQE29" s="28"/>
      <c r="AQF29" s="28"/>
      <c r="AQG29" s="28"/>
      <c r="AQH29" s="28"/>
      <c r="AQI29" s="28"/>
      <c r="AQJ29" s="28"/>
      <c r="AQK29" s="28"/>
      <c r="AQL29" s="28"/>
      <c r="AQM29" s="28"/>
      <c r="AQN29" s="28"/>
      <c r="AQO29" s="28"/>
      <c r="AQP29" s="28"/>
      <c r="AQQ29" s="28"/>
      <c r="AQR29" s="28"/>
      <c r="AQS29" s="28"/>
      <c r="AQT29" s="28"/>
      <c r="AQU29" s="28"/>
      <c r="AQV29" s="28"/>
      <c r="AQW29" s="28"/>
      <c r="AQX29" s="28"/>
      <c r="AQY29" s="28"/>
      <c r="AQZ29" s="28"/>
      <c r="ARA29" s="28"/>
      <c r="ARB29" s="28"/>
      <c r="ARC29" s="28"/>
      <c r="ARD29" s="28"/>
      <c r="ARE29" s="28"/>
      <c r="ARF29" s="28"/>
      <c r="ARG29" s="28"/>
      <c r="ARH29" s="28"/>
      <c r="ARI29" s="28"/>
      <c r="ARJ29" s="28"/>
      <c r="ARK29" s="28"/>
      <c r="ARL29" s="28"/>
      <c r="ARM29" s="28"/>
      <c r="ARN29" s="28"/>
      <c r="ARO29" s="28"/>
      <c r="ARP29" s="28"/>
      <c r="ARQ29" s="28"/>
      <c r="ARR29" s="28"/>
      <c r="ARS29" s="28"/>
      <c r="ART29" s="28"/>
      <c r="ARU29" s="28"/>
      <c r="ARV29" s="28"/>
      <c r="ARW29" s="28"/>
      <c r="ARX29" s="28"/>
      <c r="ARY29" s="28"/>
      <c r="ARZ29" s="28"/>
      <c r="ASA29" s="28"/>
      <c r="ASB29" s="28"/>
      <c r="ASC29" s="28"/>
      <c r="ASD29" s="28"/>
      <c r="ASE29" s="28"/>
      <c r="ASF29" s="28"/>
      <c r="ASG29" s="28"/>
      <c r="ASH29" s="28"/>
      <c r="ASI29" s="28"/>
      <c r="ASJ29" s="28"/>
      <c r="ASK29" s="28"/>
      <c r="ASL29" s="28"/>
      <c r="ASM29" s="28"/>
      <c r="ASN29" s="28"/>
      <c r="ASO29" s="28"/>
      <c r="ASP29" s="28"/>
      <c r="ASQ29" s="28"/>
      <c r="ASR29" s="28"/>
      <c r="ASS29" s="28"/>
      <c r="AST29" s="28"/>
      <c r="ASU29" s="28"/>
      <c r="ASV29" s="28"/>
      <c r="ASW29" s="28"/>
      <c r="ASX29" s="28"/>
      <c r="ASY29" s="28"/>
      <c r="ASZ29" s="28"/>
      <c r="ATA29" s="28"/>
      <c r="ATB29" s="28"/>
      <c r="ATC29" s="28"/>
      <c r="ATD29" s="28"/>
      <c r="ATE29" s="28"/>
      <c r="ATF29" s="28"/>
      <c r="ATG29" s="28"/>
      <c r="ATH29" s="28"/>
      <c r="ATI29" s="28"/>
      <c r="ATJ29" s="28"/>
      <c r="ATK29" s="28"/>
      <c r="ATL29" s="28"/>
      <c r="ATM29" s="28"/>
      <c r="ATN29" s="28"/>
      <c r="ATO29" s="28"/>
      <c r="ATP29" s="28"/>
      <c r="ATQ29" s="28"/>
      <c r="ATR29" s="28"/>
      <c r="ATS29" s="28"/>
      <c r="ATT29" s="28"/>
      <c r="ATU29" s="28"/>
      <c r="ATV29" s="28"/>
      <c r="ATW29" s="28"/>
      <c r="ATX29" s="28"/>
      <c r="ATY29" s="28"/>
      <c r="ATZ29" s="28"/>
      <c r="AUA29" s="28"/>
      <c r="AUB29" s="28"/>
      <c r="AUC29" s="28"/>
      <c r="AUD29" s="28"/>
      <c r="AUE29" s="28"/>
      <c r="AUF29" s="28"/>
      <c r="AUG29" s="28"/>
      <c r="AUH29" s="28"/>
      <c r="AUI29" s="28"/>
      <c r="AUJ29" s="28"/>
      <c r="AUK29" s="28"/>
      <c r="AUL29" s="28"/>
      <c r="AUM29" s="28"/>
      <c r="AUN29" s="28"/>
      <c r="AUO29" s="28"/>
      <c r="AUP29" s="28"/>
      <c r="AUQ29" s="28"/>
      <c r="AUR29" s="28"/>
      <c r="AUS29" s="28"/>
      <c r="AUT29" s="28"/>
      <c r="AUU29" s="28"/>
      <c r="AUV29" s="28"/>
      <c r="AUW29" s="28"/>
      <c r="AUX29" s="28"/>
      <c r="AUY29" s="28"/>
      <c r="AUZ29" s="28"/>
      <c r="AVA29" s="28"/>
      <c r="AVB29" s="28"/>
      <c r="AVC29" s="28"/>
      <c r="AVD29" s="28"/>
      <c r="AVE29" s="28"/>
      <c r="AVF29" s="28"/>
      <c r="AVG29" s="28"/>
      <c r="AVH29" s="28"/>
      <c r="AVI29" s="28"/>
      <c r="AVJ29" s="28"/>
      <c r="AVK29" s="28"/>
      <c r="AVL29" s="28"/>
      <c r="AVM29" s="28"/>
      <c r="AVN29" s="28"/>
      <c r="AVO29" s="28"/>
      <c r="AVP29" s="28"/>
      <c r="AVQ29" s="28"/>
      <c r="AVR29" s="28"/>
      <c r="AVS29" s="28"/>
      <c r="AVT29" s="28"/>
      <c r="AVU29" s="28"/>
      <c r="AVV29" s="28"/>
      <c r="AVW29" s="28"/>
      <c r="AVX29" s="28"/>
      <c r="AVY29" s="28"/>
      <c r="AVZ29" s="28"/>
      <c r="AWA29" s="28"/>
      <c r="AWB29" s="28"/>
      <c r="AWC29" s="28"/>
      <c r="AWD29" s="28"/>
      <c r="AWE29" s="28"/>
      <c r="AWF29" s="28"/>
      <c r="AWG29" s="28"/>
      <c r="AWH29" s="28"/>
      <c r="AWI29" s="28"/>
      <c r="AWJ29" s="28"/>
      <c r="AWK29" s="28"/>
      <c r="AWL29" s="28"/>
      <c r="AWM29" s="28"/>
      <c r="AWN29" s="28"/>
      <c r="AWO29" s="28"/>
      <c r="AWP29" s="28"/>
      <c r="AWQ29" s="28"/>
      <c r="AWR29" s="28"/>
      <c r="AWS29" s="28"/>
      <c r="AWT29" s="28"/>
      <c r="AWU29" s="28"/>
      <c r="AWV29" s="28"/>
      <c r="AWW29" s="28"/>
      <c r="AWX29" s="28"/>
      <c r="AWY29" s="28"/>
      <c r="AWZ29" s="28"/>
      <c r="AXA29" s="28"/>
      <c r="AXB29" s="28"/>
      <c r="AXC29" s="28"/>
      <c r="AXD29" s="28"/>
      <c r="AXE29" s="28"/>
      <c r="AXF29" s="28"/>
      <c r="AXG29" s="28"/>
      <c r="AXH29" s="28"/>
      <c r="AXI29" s="28"/>
      <c r="AXJ29" s="28"/>
      <c r="AXK29" s="28"/>
      <c r="AXL29" s="28"/>
      <c r="AXM29" s="28"/>
      <c r="AXN29" s="28"/>
      <c r="AXO29" s="28"/>
      <c r="AXP29" s="28"/>
      <c r="AXQ29" s="28"/>
      <c r="AXR29" s="28"/>
      <c r="AXS29" s="28"/>
      <c r="AXT29" s="28"/>
      <c r="AXU29" s="28"/>
      <c r="AXV29" s="28"/>
      <c r="AXW29" s="28"/>
      <c r="AXX29" s="28"/>
      <c r="AXY29" s="28"/>
      <c r="AXZ29" s="28"/>
      <c r="AYA29" s="28"/>
      <c r="AYB29" s="28"/>
      <c r="AYC29" s="28"/>
      <c r="AYD29" s="28"/>
      <c r="AYE29" s="28"/>
      <c r="AYF29" s="28"/>
      <c r="AYG29" s="28"/>
      <c r="AYH29" s="28"/>
      <c r="AYI29" s="28"/>
      <c r="AYJ29" s="28"/>
      <c r="AYK29" s="28"/>
      <c r="AYL29" s="28"/>
      <c r="AYM29" s="28"/>
      <c r="AYN29" s="28"/>
      <c r="AYO29" s="28"/>
      <c r="AYP29" s="28"/>
      <c r="AYQ29" s="28"/>
      <c r="AYR29" s="28"/>
      <c r="AYS29" s="28"/>
      <c r="AYT29" s="28"/>
      <c r="AYU29" s="28"/>
      <c r="AYV29" s="28"/>
      <c r="AYW29" s="28"/>
      <c r="AYX29" s="28"/>
      <c r="AYY29" s="28"/>
      <c r="AYZ29" s="28"/>
      <c r="AZA29" s="28"/>
      <c r="AZB29" s="28"/>
      <c r="AZC29" s="28"/>
      <c r="AZD29" s="28"/>
      <c r="AZE29" s="28"/>
      <c r="AZF29" s="28"/>
      <c r="AZG29" s="28"/>
      <c r="AZH29" s="28"/>
      <c r="AZI29" s="28"/>
      <c r="AZJ29" s="28"/>
      <c r="AZK29" s="28"/>
      <c r="AZL29" s="28"/>
      <c r="AZM29" s="28"/>
      <c r="AZN29" s="28"/>
      <c r="AZO29" s="28"/>
      <c r="AZP29" s="28"/>
      <c r="AZQ29" s="28"/>
      <c r="AZR29" s="28"/>
      <c r="AZS29" s="28"/>
      <c r="AZT29" s="28"/>
      <c r="AZU29" s="28"/>
      <c r="AZV29" s="28"/>
      <c r="AZW29" s="28"/>
      <c r="AZX29" s="28"/>
      <c r="AZY29" s="28"/>
      <c r="AZZ29" s="28"/>
      <c r="BAA29" s="28"/>
      <c r="BAB29" s="28"/>
      <c r="BAC29" s="28"/>
      <c r="BAD29" s="28"/>
      <c r="BAE29" s="28"/>
      <c r="BAF29" s="28"/>
      <c r="BAG29" s="28"/>
      <c r="BAH29" s="28"/>
      <c r="BAI29" s="28"/>
      <c r="BAJ29" s="28"/>
      <c r="BAK29" s="28"/>
      <c r="BAL29" s="28"/>
      <c r="BAM29" s="28"/>
      <c r="BAN29" s="28"/>
      <c r="BAO29" s="28"/>
      <c r="BAP29" s="28"/>
      <c r="BAQ29" s="28"/>
      <c r="BAR29" s="28"/>
      <c r="BAS29" s="28"/>
      <c r="BAT29" s="28"/>
      <c r="BAU29" s="28"/>
      <c r="BAV29" s="28"/>
      <c r="BAW29" s="28"/>
      <c r="BAX29" s="28"/>
      <c r="BAY29" s="28"/>
      <c r="BAZ29" s="28"/>
      <c r="BBA29" s="28"/>
      <c r="BBB29" s="28"/>
      <c r="BBC29" s="28"/>
      <c r="BBD29" s="28"/>
      <c r="BBE29" s="28"/>
      <c r="BBF29" s="28"/>
      <c r="BBG29" s="28"/>
      <c r="BBH29" s="28"/>
      <c r="BBI29" s="28"/>
      <c r="BBJ29" s="28"/>
      <c r="BBK29" s="28"/>
      <c r="BBL29" s="28"/>
      <c r="BBM29" s="28"/>
      <c r="BBN29" s="28"/>
      <c r="BBO29" s="28"/>
      <c r="BBP29" s="28"/>
      <c r="BBQ29" s="28"/>
      <c r="BBR29" s="28"/>
      <c r="BBS29" s="28"/>
      <c r="BBT29" s="28"/>
      <c r="BBU29" s="28"/>
      <c r="BBV29" s="28"/>
      <c r="BBW29" s="28"/>
      <c r="BBX29" s="28"/>
      <c r="BBY29" s="28"/>
      <c r="BBZ29" s="28"/>
      <c r="BCA29" s="28"/>
      <c r="BCB29" s="28"/>
      <c r="BCC29" s="28"/>
      <c r="BCD29" s="28"/>
      <c r="BCE29" s="28"/>
      <c r="BCF29" s="28"/>
      <c r="BCG29" s="28"/>
      <c r="BCH29" s="28"/>
      <c r="BCI29" s="28"/>
      <c r="BCJ29" s="28"/>
      <c r="BCK29" s="28"/>
      <c r="BCL29" s="28"/>
      <c r="BCM29" s="28"/>
      <c r="BCN29" s="28"/>
      <c r="BCO29" s="28"/>
      <c r="BCP29" s="28"/>
      <c r="BCQ29" s="28"/>
      <c r="BCR29" s="28"/>
      <c r="BCS29" s="28"/>
      <c r="BCT29" s="28"/>
      <c r="BCU29" s="28"/>
      <c r="BCV29" s="28"/>
      <c r="BCW29" s="28"/>
      <c r="BCX29" s="28"/>
      <c r="BCY29" s="28"/>
      <c r="BCZ29" s="28"/>
      <c r="BDA29" s="28"/>
      <c r="BDB29" s="28"/>
      <c r="BDC29" s="28"/>
      <c r="BDD29" s="28"/>
      <c r="BDE29" s="28"/>
      <c r="BDF29" s="28"/>
      <c r="BDG29" s="28"/>
      <c r="BDH29" s="28"/>
      <c r="BDI29" s="28"/>
      <c r="BDJ29" s="28"/>
      <c r="BDK29" s="28"/>
      <c r="BDL29" s="28"/>
      <c r="BDM29" s="28"/>
      <c r="BDN29" s="28"/>
      <c r="BDO29" s="28"/>
      <c r="BDP29" s="28"/>
      <c r="BDQ29" s="28"/>
      <c r="BDR29" s="28"/>
      <c r="BDS29" s="28"/>
      <c r="BDT29" s="28"/>
      <c r="BDU29" s="28"/>
      <c r="BDV29" s="28"/>
      <c r="BDW29" s="28"/>
      <c r="BDX29" s="28"/>
      <c r="BDY29" s="28"/>
      <c r="BDZ29" s="28"/>
      <c r="BEA29" s="28"/>
      <c r="BEB29" s="28"/>
      <c r="BEC29" s="28"/>
      <c r="BED29" s="28"/>
      <c r="BEE29" s="28"/>
      <c r="BEF29" s="28"/>
      <c r="BEG29" s="28"/>
      <c r="BEH29" s="28"/>
      <c r="BEI29" s="28"/>
      <c r="BEJ29" s="28"/>
      <c r="BEK29" s="28"/>
      <c r="BEL29" s="28"/>
      <c r="BEM29" s="28"/>
      <c r="BEN29" s="28"/>
      <c r="BEO29" s="28"/>
      <c r="BEP29" s="28"/>
      <c r="BEQ29" s="28"/>
      <c r="BER29" s="28"/>
      <c r="BES29" s="28"/>
      <c r="BET29" s="28"/>
      <c r="BEU29" s="28"/>
      <c r="BEV29" s="28"/>
      <c r="BEW29" s="28"/>
      <c r="BEX29" s="28"/>
      <c r="BEY29" s="28"/>
      <c r="BEZ29" s="28"/>
      <c r="BFA29" s="28"/>
      <c r="BFB29" s="28"/>
      <c r="BFC29" s="28"/>
      <c r="BFD29" s="28"/>
      <c r="BFE29" s="28"/>
      <c r="BFF29" s="28"/>
      <c r="BFG29" s="28"/>
      <c r="BFH29" s="28"/>
      <c r="BFI29" s="28"/>
      <c r="BFJ29" s="28"/>
      <c r="BFK29" s="28"/>
      <c r="BFL29" s="28"/>
      <c r="BFM29" s="28"/>
      <c r="BFN29" s="28"/>
      <c r="BFO29" s="28"/>
      <c r="BFP29" s="28"/>
      <c r="BFQ29" s="28"/>
      <c r="BFR29" s="28"/>
      <c r="BFS29" s="28"/>
      <c r="BFT29" s="28"/>
      <c r="BFU29" s="28"/>
      <c r="BFV29" s="28"/>
      <c r="BFW29" s="28"/>
      <c r="BFX29" s="28"/>
      <c r="BFY29" s="28"/>
      <c r="BFZ29" s="28"/>
      <c r="BGA29" s="28"/>
      <c r="BGB29" s="28"/>
      <c r="BGC29" s="28"/>
      <c r="BGD29" s="28"/>
      <c r="BGE29" s="28"/>
      <c r="BGF29" s="28"/>
      <c r="BGG29" s="28"/>
      <c r="BGH29" s="28"/>
      <c r="BGI29" s="28"/>
      <c r="BGJ29" s="28"/>
      <c r="BGK29" s="28"/>
      <c r="BGL29" s="28"/>
      <c r="BGM29" s="28"/>
      <c r="BGN29" s="28"/>
      <c r="BGO29" s="28"/>
      <c r="BGP29" s="28"/>
      <c r="BGQ29" s="28"/>
      <c r="BGR29" s="28"/>
      <c r="BGS29" s="28"/>
      <c r="BGT29" s="28"/>
      <c r="BGU29" s="28"/>
      <c r="BGV29" s="28"/>
      <c r="BGW29" s="28"/>
      <c r="BGX29" s="28"/>
      <c r="BGY29" s="28"/>
      <c r="BGZ29" s="28"/>
      <c r="BHA29" s="28"/>
      <c r="BHB29" s="28"/>
      <c r="BHC29" s="28"/>
      <c r="BHD29" s="28"/>
      <c r="BHE29" s="28"/>
      <c r="BHF29" s="28"/>
      <c r="BHG29" s="28"/>
      <c r="BHH29" s="28"/>
      <c r="BHI29" s="28"/>
      <c r="BHJ29" s="28"/>
      <c r="BHK29" s="28"/>
      <c r="BHL29" s="28"/>
      <c r="BHM29" s="28"/>
      <c r="BHN29" s="28"/>
      <c r="BHO29" s="28"/>
      <c r="BHP29" s="28"/>
      <c r="BHQ29" s="28"/>
      <c r="BHR29" s="28"/>
      <c r="BHS29" s="28"/>
      <c r="BHT29" s="28"/>
      <c r="BHU29" s="28"/>
      <c r="BHV29" s="28"/>
      <c r="BHW29" s="28"/>
      <c r="BHX29" s="28"/>
      <c r="BHY29" s="28"/>
      <c r="BHZ29" s="28"/>
      <c r="BIA29" s="28"/>
      <c r="BIB29" s="28"/>
      <c r="BIC29" s="28"/>
      <c r="BID29" s="28"/>
      <c r="BIE29" s="28"/>
      <c r="BIF29" s="28"/>
      <c r="BIG29" s="28"/>
      <c r="BIH29" s="28"/>
      <c r="BII29" s="28"/>
      <c r="BIJ29" s="28"/>
      <c r="BIK29" s="28"/>
      <c r="BIL29" s="28"/>
      <c r="BIM29" s="28"/>
      <c r="BIN29" s="28"/>
      <c r="BIO29" s="28"/>
      <c r="BIP29" s="28"/>
      <c r="BIQ29" s="28"/>
      <c r="BIR29" s="28"/>
      <c r="BIS29" s="28"/>
      <c r="BIT29" s="28"/>
      <c r="BIU29" s="28"/>
      <c r="BIV29" s="28"/>
      <c r="BIW29" s="28"/>
      <c r="BIX29" s="28"/>
      <c r="BIY29" s="28"/>
      <c r="BIZ29" s="28"/>
      <c r="BJA29" s="28"/>
      <c r="BJB29" s="28"/>
      <c r="BJC29" s="28"/>
      <c r="BJD29" s="28"/>
      <c r="BJE29" s="28"/>
      <c r="BJF29" s="28"/>
      <c r="BJG29" s="28"/>
      <c r="BJH29" s="28"/>
      <c r="BJI29" s="28"/>
      <c r="BJJ29" s="28"/>
      <c r="BJK29" s="28"/>
      <c r="BJL29" s="28"/>
      <c r="BJM29" s="28"/>
      <c r="BJN29" s="28"/>
      <c r="BJO29" s="28"/>
      <c r="BJP29" s="28"/>
      <c r="BJQ29" s="28"/>
      <c r="BJR29" s="28"/>
      <c r="BJS29" s="28"/>
      <c r="BJT29" s="28"/>
      <c r="BJU29" s="28"/>
      <c r="BJV29" s="28"/>
      <c r="BJW29" s="28"/>
      <c r="BJX29" s="28"/>
      <c r="BJY29" s="28"/>
      <c r="BJZ29" s="28"/>
      <c r="BKA29" s="28"/>
      <c r="BKB29" s="28"/>
      <c r="BKC29" s="28"/>
      <c r="BKD29" s="28"/>
      <c r="BKE29" s="28"/>
      <c r="BKF29" s="28"/>
      <c r="BKG29" s="28"/>
      <c r="BKH29" s="28"/>
      <c r="BKI29" s="28"/>
      <c r="BKJ29" s="28"/>
      <c r="BKK29" s="28"/>
      <c r="BKL29" s="28"/>
      <c r="BKM29" s="28"/>
      <c r="BKN29" s="28"/>
      <c r="BKO29" s="28"/>
      <c r="BKP29" s="28"/>
      <c r="BKQ29" s="28"/>
      <c r="BKR29" s="28"/>
      <c r="BKS29" s="28"/>
      <c r="BKT29" s="28"/>
      <c r="BKU29" s="28"/>
      <c r="BKV29" s="28"/>
      <c r="BKW29" s="28"/>
      <c r="BKX29" s="28"/>
      <c r="BKY29" s="28"/>
      <c r="BKZ29" s="28"/>
      <c r="BLA29" s="28"/>
      <c r="BLB29" s="28"/>
      <c r="BLC29" s="28"/>
      <c r="BLD29" s="28"/>
      <c r="BLE29" s="28"/>
      <c r="BLF29" s="28"/>
      <c r="BLG29" s="28"/>
      <c r="BLH29" s="28"/>
      <c r="BLI29" s="28"/>
      <c r="BLJ29" s="28"/>
      <c r="BLK29" s="28"/>
      <c r="BLL29" s="28"/>
      <c r="BLM29" s="28"/>
      <c r="BLN29" s="28"/>
      <c r="BLO29" s="28"/>
      <c r="BLP29" s="28"/>
      <c r="BLQ29" s="28"/>
      <c r="BLR29" s="28"/>
      <c r="BLS29" s="28"/>
      <c r="BLT29" s="28"/>
      <c r="BLU29" s="28"/>
      <c r="BLV29" s="28"/>
      <c r="BLW29" s="28"/>
      <c r="BLX29" s="28"/>
      <c r="BLY29" s="28"/>
      <c r="BLZ29" s="28"/>
      <c r="BMA29" s="28"/>
      <c r="BMB29" s="28"/>
      <c r="BMC29" s="28"/>
      <c r="BMD29" s="28"/>
      <c r="BME29" s="28"/>
      <c r="BMF29" s="28"/>
      <c r="BMG29" s="28"/>
      <c r="BMH29" s="28"/>
      <c r="BMI29" s="28"/>
      <c r="BMJ29" s="28"/>
      <c r="BMK29" s="28"/>
      <c r="BML29" s="28"/>
      <c r="BMM29" s="28"/>
      <c r="BMN29" s="28"/>
      <c r="BMO29" s="28"/>
      <c r="BMP29" s="28"/>
      <c r="BMQ29" s="28"/>
      <c r="BMR29" s="28"/>
      <c r="BMS29" s="28"/>
      <c r="BMT29" s="28"/>
      <c r="BMU29" s="28"/>
      <c r="BMV29" s="28"/>
      <c r="BMW29" s="28"/>
      <c r="BMX29" s="28"/>
      <c r="BMY29" s="28"/>
      <c r="BMZ29" s="28"/>
      <c r="BNA29" s="28"/>
      <c r="BNB29" s="28"/>
      <c r="BNC29" s="28"/>
      <c r="BND29" s="28"/>
      <c r="BNE29" s="28"/>
      <c r="BNF29" s="28"/>
      <c r="BNG29" s="28"/>
      <c r="BNH29" s="28"/>
      <c r="BNI29" s="28"/>
      <c r="BNJ29" s="28"/>
      <c r="BNK29" s="28"/>
      <c r="BNL29" s="28"/>
      <c r="BNM29" s="28"/>
      <c r="BNN29" s="28"/>
      <c r="BNO29" s="28"/>
      <c r="BNP29" s="28"/>
      <c r="BNQ29" s="28"/>
      <c r="BNR29" s="28"/>
      <c r="BNS29" s="28"/>
      <c r="BNT29" s="28"/>
      <c r="BNU29" s="28"/>
      <c r="BNV29" s="28"/>
      <c r="BNW29" s="28"/>
      <c r="BNX29" s="28"/>
      <c r="BNY29" s="28"/>
      <c r="BNZ29" s="28"/>
      <c r="BOA29" s="28"/>
      <c r="BOB29" s="28"/>
      <c r="BOC29" s="28"/>
      <c r="BOD29" s="28"/>
      <c r="BOE29" s="28"/>
      <c r="BOF29" s="28"/>
      <c r="BOG29" s="28"/>
      <c r="BOH29" s="28"/>
      <c r="BOI29" s="28"/>
      <c r="BOJ29" s="28"/>
      <c r="BOK29" s="28"/>
      <c r="BOL29" s="28"/>
      <c r="BOM29" s="28"/>
      <c r="BON29" s="28"/>
      <c r="BOO29" s="28"/>
      <c r="BOP29" s="28"/>
      <c r="BOQ29" s="28"/>
      <c r="BOR29" s="28"/>
      <c r="BOS29" s="28"/>
      <c r="BOT29" s="28"/>
      <c r="BOU29" s="28"/>
      <c r="BOV29" s="28"/>
      <c r="BOW29" s="28"/>
      <c r="BOX29" s="28"/>
      <c r="BOY29" s="28"/>
      <c r="BOZ29" s="28"/>
      <c r="BPA29" s="28"/>
      <c r="BPB29" s="28"/>
      <c r="BPC29" s="28"/>
      <c r="BPD29" s="28"/>
      <c r="BPE29" s="28"/>
      <c r="BPF29" s="28"/>
      <c r="BPG29" s="28"/>
      <c r="BPH29" s="28"/>
      <c r="BPI29" s="28"/>
      <c r="BPJ29" s="28"/>
      <c r="BPK29" s="28"/>
      <c r="BPL29" s="28"/>
      <c r="BPM29" s="28"/>
      <c r="BPN29" s="28"/>
      <c r="BPO29" s="28"/>
      <c r="BPP29" s="28"/>
      <c r="BPQ29" s="28"/>
      <c r="BPR29" s="28"/>
      <c r="BPS29" s="28"/>
      <c r="BPT29" s="28"/>
      <c r="BPU29" s="28"/>
      <c r="BPV29" s="28"/>
      <c r="BPW29" s="28"/>
      <c r="BPX29" s="28"/>
      <c r="BPY29" s="28"/>
      <c r="BPZ29" s="28"/>
      <c r="BQA29" s="28"/>
      <c r="BQB29" s="28"/>
      <c r="BQC29" s="28"/>
      <c r="BQD29" s="28"/>
      <c r="BQE29" s="28"/>
      <c r="BQF29" s="28"/>
      <c r="BQG29" s="28"/>
      <c r="BQH29" s="28"/>
      <c r="BQI29" s="28"/>
      <c r="BQJ29" s="28"/>
      <c r="BQK29" s="28"/>
      <c r="BQL29" s="28"/>
      <c r="BQM29" s="28"/>
      <c r="BQN29" s="28"/>
      <c r="BQO29" s="28"/>
      <c r="BQP29" s="28"/>
      <c r="BQQ29" s="28"/>
      <c r="BQR29" s="28"/>
      <c r="BQS29" s="28"/>
      <c r="BQT29" s="28"/>
      <c r="BQU29" s="28"/>
      <c r="BQV29" s="28"/>
      <c r="BQW29" s="28"/>
      <c r="BQX29" s="28"/>
      <c r="BQY29" s="28"/>
      <c r="BQZ29" s="28"/>
      <c r="BRA29" s="28"/>
      <c r="BRB29" s="28"/>
      <c r="BRC29" s="28"/>
      <c r="BRD29" s="28"/>
      <c r="BRE29" s="28"/>
      <c r="BRF29" s="28"/>
      <c r="BRG29" s="28"/>
      <c r="BRH29" s="28"/>
      <c r="BRI29" s="28"/>
      <c r="BRJ29" s="28"/>
      <c r="BRK29" s="28"/>
      <c r="BRL29" s="28"/>
      <c r="BRM29" s="28"/>
      <c r="BRN29" s="28"/>
      <c r="BRO29" s="28"/>
      <c r="BRP29" s="28"/>
      <c r="BRQ29" s="28"/>
      <c r="BRR29" s="28"/>
      <c r="BRS29" s="28"/>
      <c r="BRT29" s="28"/>
      <c r="BRU29" s="28"/>
      <c r="BRV29" s="28"/>
      <c r="BRW29" s="28"/>
      <c r="BRX29" s="28"/>
      <c r="BRY29" s="28"/>
      <c r="BRZ29" s="28"/>
      <c r="BSA29" s="28"/>
      <c r="BSB29" s="28"/>
      <c r="BSC29" s="28"/>
      <c r="BSD29" s="28"/>
      <c r="BSE29" s="28"/>
      <c r="BSF29" s="28"/>
      <c r="BSG29" s="28"/>
      <c r="BSH29" s="28"/>
      <c r="BSI29" s="28"/>
      <c r="BSJ29" s="28"/>
      <c r="BSK29" s="28"/>
      <c r="BSL29" s="28"/>
      <c r="BSM29" s="28"/>
      <c r="BSN29" s="28"/>
      <c r="BSO29" s="28"/>
      <c r="BSP29" s="28"/>
      <c r="BSQ29" s="28"/>
      <c r="BSR29" s="28"/>
      <c r="BSS29" s="28"/>
      <c r="BST29" s="28"/>
      <c r="BSU29" s="28"/>
      <c r="BSV29" s="28"/>
      <c r="BSW29" s="28"/>
      <c r="BSX29" s="28"/>
      <c r="BSY29" s="28"/>
      <c r="BSZ29" s="28"/>
      <c r="BTA29" s="28"/>
      <c r="BTB29" s="28"/>
      <c r="BTC29" s="28"/>
      <c r="BTD29" s="28"/>
      <c r="BTE29" s="28"/>
      <c r="BTF29" s="28"/>
      <c r="BTG29" s="28"/>
      <c r="BTH29" s="28"/>
      <c r="BTI29" s="28"/>
      <c r="BTJ29" s="28"/>
      <c r="BTK29" s="28"/>
      <c r="BTL29" s="28"/>
      <c r="BTM29" s="28"/>
      <c r="BTN29" s="28"/>
      <c r="BTO29" s="28"/>
      <c r="BTP29" s="28"/>
      <c r="BTQ29" s="28"/>
      <c r="BTR29" s="28"/>
      <c r="BTS29" s="28"/>
      <c r="BTT29" s="28"/>
      <c r="BTU29" s="28"/>
      <c r="BTV29" s="28"/>
      <c r="BTW29" s="28"/>
      <c r="BTX29" s="28"/>
      <c r="BTY29" s="28"/>
      <c r="BTZ29" s="28"/>
      <c r="BUA29" s="28"/>
      <c r="BUB29" s="28"/>
      <c r="BUC29" s="28"/>
      <c r="BUD29" s="28"/>
      <c r="BUE29" s="28"/>
      <c r="BUF29" s="28"/>
      <c r="BUG29" s="28"/>
      <c r="BUH29" s="28"/>
      <c r="BUI29" s="28"/>
      <c r="BUJ29" s="28"/>
      <c r="BUK29" s="28"/>
      <c r="BUL29" s="28"/>
      <c r="BUM29" s="28"/>
      <c r="BUN29" s="28"/>
      <c r="BUO29" s="28"/>
      <c r="BUP29" s="28"/>
      <c r="BUQ29" s="28"/>
      <c r="BUR29" s="28"/>
      <c r="BUS29" s="28"/>
      <c r="BUT29" s="28"/>
      <c r="BUU29" s="28"/>
      <c r="BUV29" s="28"/>
      <c r="BUW29" s="28"/>
      <c r="BUX29" s="28"/>
      <c r="BUY29" s="28"/>
      <c r="BUZ29" s="28"/>
      <c r="BVA29" s="28"/>
      <c r="BVB29" s="28"/>
      <c r="BVC29" s="28"/>
      <c r="BVD29" s="28"/>
      <c r="BVE29" s="28"/>
      <c r="BVF29" s="28"/>
      <c r="BVG29" s="28"/>
      <c r="BVH29" s="28"/>
      <c r="BVI29" s="28"/>
      <c r="BVJ29" s="28"/>
      <c r="BVK29" s="28"/>
      <c r="BVL29" s="28"/>
      <c r="BVM29" s="28"/>
      <c r="BVN29" s="28"/>
      <c r="BVO29" s="28"/>
      <c r="BVP29" s="28"/>
      <c r="BVQ29" s="28"/>
      <c r="BVR29" s="28"/>
      <c r="BVS29" s="28"/>
      <c r="BVT29" s="28"/>
      <c r="BVU29" s="28"/>
      <c r="BVV29" s="28"/>
      <c r="BVW29" s="28"/>
      <c r="BVX29" s="28"/>
      <c r="BVY29" s="28"/>
      <c r="BVZ29" s="28"/>
      <c r="BWA29" s="28"/>
      <c r="BWB29" s="28"/>
      <c r="BWC29" s="28"/>
      <c r="BWD29" s="28"/>
      <c r="BWE29" s="28"/>
      <c r="BWF29" s="28"/>
      <c r="BWG29" s="28"/>
      <c r="BWH29" s="28"/>
      <c r="BWI29" s="28"/>
      <c r="BWJ29" s="28"/>
      <c r="BWK29" s="28"/>
      <c r="BWL29" s="28"/>
      <c r="BWM29" s="28"/>
      <c r="BWN29" s="28"/>
      <c r="BWO29" s="28"/>
      <c r="BWP29" s="28"/>
      <c r="BWQ29" s="28"/>
      <c r="BWR29" s="28"/>
      <c r="BWS29" s="28"/>
      <c r="BWT29" s="28"/>
      <c r="BWU29" s="28"/>
      <c r="BWV29" s="28"/>
      <c r="BWW29" s="28"/>
      <c r="BWX29" s="28"/>
      <c r="BWY29" s="28"/>
      <c r="BWZ29" s="28"/>
      <c r="BXA29" s="28"/>
      <c r="BXB29" s="28"/>
      <c r="BXC29" s="28"/>
      <c r="BXD29" s="28"/>
      <c r="BXE29" s="28"/>
      <c r="BXF29" s="28"/>
      <c r="BXG29" s="28"/>
      <c r="BXH29" s="28"/>
      <c r="BXI29" s="28"/>
      <c r="BXJ29" s="28"/>
      <c r="BXK29" s="28"/>
      <c r="BXL29" s="28"/>
      <c r="BXM29" s="28"/>
      <c r="BXN29" s="28"/>
      <c r="BXO29" s="28"/>
      <c r="BXP29" s="28"/>
      <c r="BXQ29" s="28"/>
      <c r="BXR29" s="28"/>
      <c r="BXS29" s="28"/>
      <c r="BXT29" s="28"/>
      <c r="BXU29" s="28"/>
      <c r="BXV29" s="28"/>
      <c r="BXW29" s="28"/>
      <c r="BXX29" s="28"/>
      <c r="BXY29" s="28"/>
      <c r="BXZ29" s="28"/>
      <c r="BYA29" s="28"/>
      <c r="BYB29" s="28"/>
      <c r="BYC29" s="28"/>
      <c r="BYD29" s="28"/>
      <c r="BYE29" s="28"/>
      <c r="BYF29" s="28"/>
      <c r="BYG29" s="28"/>
      <c r="BYH29" s="28"/>
      <c r="BYI29" s="28"/>
      <c r="BYJ29" s="28"/>
      <c r="BYK29" s="28"/>
      <c r="BYL29" s="28"/>
      <c r="BYM29" s="28"/>
      <c r="BYN29" s="28"/>
      <c r="BYO29" s="28"/>
      <c r="BYP29" s="28"/>
      <c r="BYQ29" s="28"/>
      <c r="BYR29" s="28"/>
      <c r="BYS29" s="28"/>
      <c r="BYT29" s="28"/>
      <c r="BYU29" s="28"/>
      <c r="BYV29" s="28"/>
      <c r="BYW29" s="28"/>
      <c r="BYX29" s="28"/>
      <c r="BYY29" s="28"/>
      <c r="BYZ29" s="28"/>
      <c r="BZA29" s="28"/>
      <c r="BZB29" s="28"/>
      <c r="BZC29" s="28"/>
      <c r="BZD29" s="28"/>
      <c r="BZE29" s="28"/>
      <c r="BZF29" s="28"/>
      <c r="BZG29" s="28"/>
      <c r="BZH29" s="28"/>
      <c r="BZI29" s="28"/>
      <c r="BZJ29" s="28"/>
      <c r="BZK29" s="28"/>
      <c r="BZL29" s="28"/>
      <c r="BZM29" s="28"/>
      <c r="BZN29" s="28"/>
      <c r="BZO29" s="28"/>
      <c r="BZP29" s="28"/>
      <c r="BZQ29" s="28"/>
      <c r="BZR29" s="28"/>
      <c r="BZS29" s="28"/>
      <c r="BZT29" s="28"/>
      <c r="BZU29" s="28"/>
      <c r="BZV29" s="28"/>
      <c r="BZW29" s="28"/>
      <c r="BZX29" s="28"/>
      <c r="BZY29" s="28"/>
      <c r="BZZ29" s="28"/>
      <c r="CAA29" s="28"/>
      <c r="CAB29" s="28"/>
      <c r="CAC29" s="28"/>
      <c r="CAD29" s="28"/>
      <c r="CAE29" s="28"/>
      <c r="CAF29" s="28"/>
      <c r="CAG29" s="28"/>
      <c r="CAH29" s="28"/>
      <c r="CAI29" s="28"/>
      <c r="CAJ29" s="28"/>
      <c r="CAK29" s="28"/>
      <c r="CAL29" s="28"/>
      <c r="CAM29" s="28"/>
      <c r="CAN29" s="28"/>
      <c r="CAO29" s="28"/>
      <c r="CAP29" s="28"/>
      <c r="CAQ29" s="28"/>
      <c r="CAR29" s="28"/>
      <c r="CAS29" s="28"/>
      <c r="CAT29" s="28"/>
      <c r="CAU29" s="28"/>
      <c r="CAV29" s="28"/>
      <c r="CAW29" s="28"/>
      <c r="CAX29" s="28"/>
      <c r="CAY29" s="28"/>
      <c r="CAZ29" s="28"/>
      <c r="CBA29" s="28"/>
      <c r="CBB29" s="28"/>
      <c r="CBC29" s="28"/>
      <c r="CBD29" s="28"/>
      <c r="CBE29" s="28"/>
      <c r="CBF29" s="28"/>
      <c r="CBG29" s="28"/>
      <c r="CBH29" s="28"/>
      <c r="CBI29" s="28"/>
      <c r="CBJ29" s="28"/>
      <c r="CBK29" s="28"/>
      <c r="CBL29" s="28"/>
      <c r="CBM29" s="28"/>
      <c r="CBN29" s="28"/>
      <c r="CBO29" s="28"/>
      <c r="CBP29" s="28"/>
      <c r="CBQ29" s="28"/>
      <c r="CBR29" s="28"/>
      <c r="CBS29" s="28"/>
      <c r="CBT29" s="28"/>
      <c r="CBU29" s="28"/>
      <c r="CBV29" s="28"/>
      <c r="CBW29" s="28"/>
      <c r="CBX29" s="28"/>
      <c r="CBY29" s="28"/>
      <c r="CBZ29" s="28"/>
      <c r="CCA29" s="28"/>
      <c r="CCB29" s="28"/>
      <c r="CCC29" s="28"/>
      <c r="CCD29" s="28"/>
      <c r="CCE29" s="28"/>
      <c r="CCF29" s="28"/>
      <c r="CCG29" s="28"/>
      <c r="CCH29" s="28"/>
      <c r="CCI29" s="28"/>
      <c r="CCJ29" s="28"/>
      <c r="CCK29" s="28"/>
      <c r="CCL29" s="28"/>
      <c r="CCM29" s="28"/>
      <c r="CCN29" s="28"/>
      <c r="CCO29" s="28"/>
      <c r="CCP29" s="28"/>
      <c r="CCQ29" s="28"/>
      <c r="CCR29" s="28"/>
      <c r="CCS29" s="28"/>
      <c r="CCT29" s="28"/>
      <c r="CCU29" s="28"/>
      <c r="CCV29" s="28"/>
      <c r="CCW29" s="28"/>
      <c r="CCX29" s="28"/>
      <c r="CCY29" s="28"/>
      <c r="CCZ29" s="28"/>
      <c r="CDA29" s="28"/>
      <c r="CDB29" s="28"/>
      <c r="CDC29" s="28"/>
      <c r="CDD29" s="28"/>
      <c r="CDE29" s="28"/>
      <c r="CDF29" s="28"/>
      <c r="CDG29" s="28"/>
      <c r="CDH29" s="28"/>
      <c r="CDI29" s="28"/>
      <c r="CDJ29" s="28"/>
      <c r="CDK29" s="28"/>
      <c r="CDL29" s="28"/>
      <c r="CDM29" s="28"/>
      <c r="CDN29" s="28"/>
      <c r="CDO29" s="28"/>
      <c r="CDP29" s="28"/>
      <c r="CDQ29" s="28"/>
      <c r="CDR29" s="28"/>
      <c r="CDS29" s="28"/>
      <c r="CDT29" s="28"/>
      <c r="CDU29" s="28"/>
      <c r="CDV29" s="28"/>
      <c r="CDW29" s="28"/>
      <c r="CDX29" s="28"/>
      <c r="CDY29" s="28"/>
      <c r="CDZ29" s="28"/>
      <c r="CEA29" s="28"/>
      <c r="CEB29" s="28"/>
      <c r="CEC29" s="28"/>
      <c r="CED29" s="28"/>
      <c r="CEE29" s="28"/>
      <c r="CEF29" s="28"/>
      <c r="CEG29" s="28"/>
      <c r="CEH29" s="28"/>
      <c r="CEI29" s="28"/>
      <c r="CEJ29" s="28"/>
      <c r="CEK29" s="28"/>
      <c r="CEL29" s="28"/>
      <c r="CEM29" s="28"/>
      <c r="CEN29" s="28"/>
      <c r="CEO29" s="28"/>
      <c r="CEP29" s="28"/>
      <c r="CEQ29" s="28"/>
      <c r="CER29" s="28"/>
      <c r="CES29" s="28"/>
      <c r="CET29" s="28"/>
      <c r="CEU29" s="28"/>
      <c r="CEV29" s="28"/>
      <c r="CEW29" s="28"/>
      <c r="CEX29" s="28"/>
      <c r="CEY29" s="28"/>
      <c r="CEZ29" s="28"/>
      <c r="CFA29" s="28"/>
      <c r="CFB29" s="28"/>
      <c r="CFC29" s="28"/>
      <c r="CFD29" s="28"/>
      <c r="CFE29" s="28"/>
      <c r="CFF29" s="28"/>
      <c r="CFG29" s="28"/>
      <c r="CFH29" s="28"/>
      <c r="CFI29" s="28"/>
      <c r="CFJ29" s="28"/>
      <c r="CFK29" s="28"/>
      <c r="CFL29" s="28"/>
      <c r="CFM29" s="28"/>
      <c r="CFN29" s="28"/>
      <c r="CFO29" s="28"/>
      <c r="CFP29" s="28"/>
      <c r="CFQ29" s="28"/>
      <c r="CFR29" s="28"/>
      <c r="CFS29" s="28"/>
      <c r="CFT29" s="28"/>
      <c r="CFU29" s="28"/>
      <c r="CFV29" s="28"/>
      <c r="CFW29" s="28"/>
      <c r="CFX29" s="28"/>
      <c r="CFY29" s="28"/>
      <c r="CFZ29" s="28"/>
      <c r="CGA29" s="28"/>
      <c r="CGB29" s="28"/>
      <c r="CGC29" s="28"/>
      <c r="CGD29" s="28"/>
      <c r="CGE29" s="28"/>
      <c r="CGF29" s="28"/>
      <c r="CGG29" s="28"/>
      <c r="CGH29" s="28"/>
      <c r="CGI29" s="28"/>
      <c r="CGJ29" s="28"/>
      <c r="CGK29" s="28"/>
      <c r="CGL29" s="28"/>
      <c r="CGM29" s="28"/>
      <c r="CGN29" s="28"/>
      <c r="CGO29" s="28"/>
      <c r="CGP29" s="28"/>
      <c r="CGQ29" s="28"/>
      <c r="CGR29" s="28"/>
      <c r="CGS29" s="28"/>
      <c r="CGT29" s="28"/>
      <c r="CGU29" s="28"/>
      <c r="CGV29" s="28"/>
      <c r="CGW29" s="28"/>
      <c r="CGX29" s="28"/>
      <c r="CGY29" s="28"/>
      <c r="CGZ29" s="28"/>
      <c r="CHA29" s="28"/>
      <c r="CHB29" s="28"/>
      <c r="CHC29" s="28"/>
      <c r="CHD29" s="28"/>
      <c r="CHE29" s="28"/>
      <c r="CHF29" s="28"/>
      <c r="CHG29" s="28"/>
      <c r="CHH29" s="28"/>
      <c r="CHI29" s="28"/>
      <c r="CHJ29" s="28"/>
      <c r="CHK29" s="28"/>
      <c r="CHL29" s="28"/>
      <c r="CHM29" s="28"/>
      <c r="CHN29" s="28"/>
      <c r="CHO29" s="28"/>
      <c r="CHP29" s="28"/>
      <c r="CHQ29" s="28"/>
      <c r="CHR29" s="28"/>
      <c r="CHS29" s="28"/>
      <c r="CHT29" s="28"/>
      <c r="CHU29" s="28"/>
      <c r="CHV29" s="28"/>
      <c r="CHW29" s="28"/>
      <c r="CHX29" s="28"/>
      <c r="CHY29" s="28"/>
      <c r="CHZ29" s="28"/>
      <c r="CIA29" s="28"/>
      <c r="CIB29" s="28"/>
      <c r="CIC29" s="28"/>
      <c r="CID29" s="28"/>
      <c r="CIE29" s="28"/>
      <c r="CIF29" s="28"/>
      <c r="CIG29" s="28"/>
      <c r="CIH29" s="28"/>
      <c r="CII29" s="28"/>
      <c r="CIJ29" s="28"/>
      <c r="CIK29" s="28"/>
      <c r="CIL29" s="28"/>
      <c r="CIM29" s="28"/>
      <c r="CIN29" s="28"/>
      <c r="CIO29" s="28"/>
      <c r="CIP29" s="28"/>
      <c r="CIQ29" s="28"/>
      <c r="CIR29" s="28"/>
      <c r="CIS29" s="28"/>
      <c r="CIT29" s="28"/>
      <c r="CIU29" s="28"/>
      <c r="CIV29" s="28"/>
      <c r="CIW29" s="28"/>
      <c r="CIX29" s="28"/>
      <c r="CIY29" s="28"/>
      <c r="CIZ29" s="28"/>
      <c r="CJA29" s="28"/>
      <c r="CJB29" s="28"/>
      <c r="CJC29" s="28"/>
      <c r="CJD29" s="28"/>
      <c r="CJE29" s="28"/>
      <c r="CJF29" s="28"/>
      <c r="CJG29" s="28"/>
      <c r="CJH29" s="28"/>
      <c r="CJI29" s="28"/>
      <c r="CJJ29" s="28"/>
      <c r="CJK29" s="28"/>
      <c r="CJL29" s="28"/>
      <c r="CJM29" s="28"/>
      <c r="CJN29" s="28"/>
      <c r="CJO29" s="28"/>
      <c r="CJP29" s="28"/>
      <c r="CJQ29" s="28"/>
      <c r="CJR29" s="28"/>
      <c r="CJS29" s="28"/>
      <c r="CJT29" s="28"/>
      <c r="CJU29" s="28"/>
      <c r="CJV29" s="28"/>
      <c r="CJW29" s="28"/>
      <c r="CJX29" s="28"/>
      <c r="CJY29" s="28"/>
      <c r="CJZ29" s="28"/>
      <c r="CKA29" s="28"/>
      <c r="CKB29" s="28"/>
      <c r="CKC29" s="28"/>
      <c r="CKD29" s="28"/>
      <c r="CKE29" s="28"/>
      <c r="CKF29" s="28"/>
      <c r="CKG29" s="28"/>
      <c r="CKH29" s="28"/>
      <c r="CKI29" s="28"/>
      <c r="CKJ29" s="28"/>
      <c r="CKK29" s="28"/>
      <c r="CKL29" s="28"/>
      <c r="CKM29" s="28"/>
      <c r="CKN29" s="28"/>
      <c r="CKO29" s="28"/>
      <c r="CKP29" s="28"/>
      <c r="CKQ29" s="28"/>
      <c r="CKR29" s="28"/>
      <c r="CKS29" s="28"/>
      <c r="CKT29" s="28"/>
      <c r="CKU29" s="28"/>
      <c r="CKV29" s="28"/>
      <c r="CKW29" s="28"/>
      <c r="CKX29" s="28"/>
      <c r="CKY29" s="28"/>
      <c r="CKZ29" s="28"/>
      <c r="CLA29" s="28"/>
      <c r="CLB29" s="28"/>
      <c r="CLC29" s="28"/>
      <c r="CLD29" s="28"/>
      <c r="CLE29" s="28"/>
      <c r="CLF29" s="28"/>
      <c r="CLG29" s="28"/>
      <c r="CLH29" s="28"/>
      <c r="CLI29" s="28"/>
      <c r="CLJ29" s="28"/>
      <c r="CLK29" s="28"/>
      <c r="CLL29" s="28"/>
      <c r="CLM29" s="28"/>
      <c r="CLN29" s="28"/>
      <c r="CLO29" s="28"/>
      <c r="CLP29" s="28"/>
      <c r="CLQ29" s="28"/>
      <c r="CLR29" s="28"/>
      <c r="CLS29" s="28"/>
      <c r="CLT29" s="28"/>
      <c r="CLU29" s="28"/>
      <c r="CLV29" s="28"/>
      <c r="CLW29" s="28"/>
      <c r="CLX29" s="28"/>
      <c r="CLY29" s="28"/>
      <c r="CLZ29" s="28"/>
      <c r="CMA29" s="28"/>
      <c r="CMB29" s="28"/>
      <c r="CMC29" s="28"/>
      <c r="CMD29" s="28"/>
      <c r="CME29" s="28"/>
      <c r="CMF29" s="28"/>
      <c r="CMG29" s="28"/>
      <c r="CMH29" s="28"/>
      <c r="CMI29" s="28"/>
      <c r="CMJ29" s="28"/>
      <c r="CMK29" s="28"/>
      <c r="CML29" s="28"/>
      <c r="CMM29" s="28"/>
      <c r="CMN29" s="28"/>
      <c r="CMO29" s="28"/>
      <c r="CMP29" s="28"/>
      <c r="CMQ29" s="28"/>
      <c r="CMR29" s="28"/>
      <c r="CMS29" s="28"/>
      <c r="CMT29" s="28"/>
      <c r="CMU29" s="28"/>
      <c r="CMV29" s="28"/>
      <c r="CMW29" s="28"/>
      <c r="CMX29" s="28"/>
      <c r="CMY29" s="28"/>
      <c r="CMZ29" s="28"/>
      <c r="CNA29" s="28"/>
      <c r="CNB29" s="28"/>
      <c r="CNC29" s="28"/>
      <c r="CND29" s="28"/>
      <c r="CNE29" s="28"/>
      <c r="CNF29" s="28"/>
      <c r="CNG29" s="28"/>
      <c r="CNH29" s="28"/>
      <c r="CNI29" s="28"/>
      <c r="CNJ29" s="28"/>
      <c r="CNK29" s="28"/>
      <c r="CNL29" s="28"/>
      <c r="CNM29" s="28"/>
      <c r="CNN29" s="28"/>
      <c r="CNO29" s="28"/>
      <c r="CNP29" s="28"/>
      <c r="CNQ29" s="28"/>
      <c r="CNR29" s="28"/>
      <c r="CNS29" s="28"/>
      <c r="CNT29" s="28"/>
      <c r="CNU29" s="28"/>
      <c r="CNV29" s="28"/>
      <c r="CNW29" s="28"/>
      <c r="CNX29" s="28"/>
      <c r="CNY29" s="28"/>
      <c r="CNZ29" s="28"/>
      <c r="COA29" s="28"/>
      <c r="COB29" s="28"/>
      <c r="COC29" s="28"/>
      <c r="COD29" s="28"/>
      <c r="COE29" s="28"/>
      <c r="COF29" s="28"/>
      <c r="COG29" s="28"/>
      <c r="COH29" s="28"/>
      <c r="COI29" s="28"/>
      <c r="COJ29" s="28"/>
      <c r="COK29" s="28"/>
      <c r="COL29" s="28"/>
      <c r="COM29" s="28"/>
      <c r="CON29" s="28"/>
      <c r="COO29" s="28"/>
      <c r="COP29" s="28"/>
      <c r="COQ29" s="28"/>
      <c r="COR29" s="28"/>
      <c r="COS29" s="28"/>
      <c r="COT29" s="28"/>
      <c r="COU29" s="28"/>
      <c r="COV29" s="28"/>
      <c r="COW29" s="28"/>
      <c r="COX29" s="28"/>
      <c r="COY29" s="28"/>
      <c r="COZ29" s="28"/>
      <c r="CPA29" s="28"/>
      <c r="CPB29" s="28"/>
      <c r="CPC29" s="28"/>
      <c r="CPD29" s="28"/>
      <c r="CPE29" s="28"/>
      <c r="CPF29" s="28"/>
      <c r="CPG29" s="28"/>
      <c r="CPH29" s="28"/>
      <c r="CPI29" s="28"/>
      <c r="CPJ29" s="28"/>
      <c r="CPK29" s="28"/>
      <c r="CPL29" s="28"/>
      <c r="CPM29" s="28"/>
      <c r="CPN29" s="28"/>
      <c r="CPO29" s="28"/>
      <c r="CPP29" s="28"/>
      <c r="CPQ29" s="28"/>
      <c r="CPR29" s="28"/>
      <c r="CPS29" s="28"/>
      <c r="CPT29" s="28"/>
      <c r="CPU29" s="28"/>
      <c r="CPV29" s="28"/>
      <c r="CPW29" s="28"/>
      <c r="CPX29" s="28"/>
      <c r="CPY29" s="28"/>
      <c r="CPZ29" s="28"/>
      <c r="CQA29" s="28"/>
      <c r="CQB29" s="28"/>
      <c r="CQC29" s="28"/>
      <c r="CQD29" s="28"/>
      <c r="CQE29" s="28"/>
      <c r="CQF29" s="28"/>
      <c r="CQG29" s="28"/>
      <c r="CQH29" s="28"/>
      <c r="CQI29" s="28"/>
      <c r="CQJ29" s="28"/>
      <c r="CQK29" s="28"/>
      <c r="CQL29" s="28"/>
      <c r="CQM29" s="28"/>
      <c r="CQN29" s="28"/>
      <c r="CQO29" s="28"/>
      <c r="CQP29" s="28"/>
      <c r="CQQ29" s="28"/>
      <c r="CQR29" s="28"/>
      <c r="CQS29" s="28"/>
      <c r="CQT29" s="28"/>
      <c r="CQU29" s="28"/>
      <c r="CQV29" s="28"/>
      <c r="CQW29" s="28"/>
      <c r="CQX29" s="28"/>
      <c r="CQY29" s="28"/>
      <c r="CQZ29" s="28"/>
      <c r="CRA29" s="28"/>
      <c r="CRB29" s="28"/>
      <c r="CRC29" s="28"/>
      <c r="CRD29" s="28"/>
      <c r="CRE29" s="28"/>
      <c r="CRF29" s="28"/>
      <c r="CRG29" s="28"/>
      <c r="CRH29" s="28"/>
      <c r="CRI29" s="28"/>
      <c r="CRJ29" s="28"/>
      <c r="CRK29" s="28"/>
      <c r="CRL29" s="28"/>
      <c r="CRM29" s="28"/>
      <c r="CRN29" s="28"/>
      <c r="CRO29" s="28"/>
      <c r="CRP29" s="28"/>
      <c r="CRQ29" s="28"/>
      <c r="CRR29" s="28"/>
      <c r="CRS29" s="28"/>
      <c r="CRT29" s="28"/>
      <c r="CRU29" s="28"/>
      <c r="CRV29" s="28"/>
      <c r="CRW29" s="28"/>
      <c r="CRX29" s="28"/>
      <c r="CRY29" s="28"/>
      <c r="CRZ29" s="28"/>
      <c r="CSA29" s="28"/>
      <c r="CSB29" s="28"/>
      <c r="CSC29" s="28"/>
      <c r="CSD29" s="28"/>
      <c r="CSE29" s="28"/>
      <c r="CSF29" s="28"/>
      <c r="CSG29" s="28"/>
      <c r="CSH29" s="28"/>
      <c r="CSI29" s="28"/>
      <c r="CSJ29" s="28"/>
      <c r="CSK29" s="28"/>
      <c r="CSL29" s="28"/>
      <c r="CSM29" s="28"/>
      <c r="CSN29" s="28"/>
      <c r="CSO29" s="28"/>
      <c r="CSP29" s="28"/>
      <c r="CSQ29" s="28"/>
      <c r="CSR29" s="28"/>
      <c r="CSS29" s="28"/>
      <c r="CST29" s="28"/>
      <c r="CSU29" s="28"/>
      <c r="CSV29" s="28"/>
      <c r="CSW29" s="28"/>
      <c r="CSX29" s="28"/>
      <c r="CSY29" s="28"/>
      <c r="CSZ29" s="28"/>
      <c r="CTA29" s="28"/>
      <c r="CTB29" s="28"/>
      <c r="CTC29" s="28"/>
      <c r="CTD29" s="28"/>
      <c r="CTE29" s="28"/>
      <c r="CTF29" s="28"/>
      <c r="CTG29" s="28"/>
      <c r="CTH29" s="28"/>
      <c r="CTI29" s="28"/>
      <c r="CTJ29" s="28"/>
      <c r="CTK29" s="28"/>
      <c r="CTL29" s="28"/>
      <c r="CTM29" s="28"/>
      <c r="CTN29" s="28"/>
      <c r="CTO29" s="28"/>
      <c r="CTP29" s="28"/>
      <c r="CTQ29" s="28"/>
      <c r="CTR29" s="28"/>
      <c r="CTS29" s="28"/>
      <c r="CTT29" s="28"/>
      <c r="CTU29" s="28"/>
      <c r="CTV29" s="28"/>
      <c r="CTW29" s="28"/>
      <c r="CTX29" s="28"/>
      <c r="CTY29" s="28"/>
      <c r="CTZ29" s="28"/>
      <c r="CUA29" s="28"/>
      <c r="CUB29" s="28"/>
      <c r="CUC29" s="28"/>
      <c r="CUD29" s="28"/>
      <c r="CUE29" s="28"/>
      <c r="CUF29" s="28"/>
      <c r="CUG29" s="28"/>
      <c r="CUH29" s="28"/>
      <c r="CUI29" s="28"/>
      <c r="CUJ29" s="28"/>
      <c r="CUK29" s="28"/>
      <c r="CUL29" s="28"/>
      <c r="CUM29" s="28"/>
      <c r="CUN29" s="28"/>
      <c r="CUO29" s="28"/>
      <c r="CUP29" s="28"/>
      <c r="CUQ29" s="28"/>
      <c r="CUR29" s="28"/>
      <c r="CUS29" s="28"/>
      <c r="CUT29" s="28"/>
      <c r="CUU29" s="28"/>
      <c r="CUV29" s="28"/>
      <c r="CUW29" s="28"/>
      <c r="CUX29" s="28"/>
      <c r="CUY29" s="28"/>
      <c r="CUZ29" s="28"/>
      <c r="CVA29" s="28"/>
      <c r="CVB29" s="28"/>
      <c r="CVC29" s="28"/>
      <c r="CVD29" s="28"/>
      <c r="CVE29" s="28"/>
      <c r="CVF29" s="28"/>
      <c r="CVG29" s="28"/>
      <c r="CVH29" s="28"/>
      <c r="CVI29" s="28"/>
      <c r="CVJ29" s="28"/>
      <c r="CVK29" s="28"/>
      <c r="CVL29" s="28"/>
      <c r="CVM29" s="28"/>
      <c r="CVN29" s="28"/>
      <c r="CVO29" s="28"/>
      <c r="CVP29" s="28"/>
      <c r="CVQ29" s="28"/>
      <c r="CVR29" s="28"/>
      <c r="CVS29" s="28"/>
      <c r="CVT29" s="28"/>
      <c r="CVU29" s="28"/>
      <c r="CVV29" s="28"/>
      <c r="CVW29" s="28"/>
      <c r="CVX29" s="28"/>
      <c r="CVY29" s="28"/>
      <c r="CVZ29" s="28"/>
      <c r="CWA29" s="28"/>
      <c r="CWB29" s="28"/>
      <c r="CWC29" s="28"/>
      <c r="CWD29" s="28"/>
      <c r="CWE29" s="28"/>
      <c r="CWF29" s="28"/>
      <c r="CWG29" s="28"/>
      <c r="CWH29" s="28"/>
      <c r="CWI29" s="28"/>
      <c r="CWJ29" s="28"/>
      <c r="CWK29" s="28"/>
      <c r="CWL29" s="28"/>
      <c r="CWM29" s="28"/>
      <c r="CWN29" s="28"/>
      <c r="CWO29" s="28"/>
      <c r="CWP29" s="28"/>
      <c r="CWQ29" s="28"/>
      <c r="CWR29" s="28"/>
      <c r="CWS29" s="28"/>
      <c r="CWT29" s="28"/>
      <c r="CWU29" s="28"/>
      <c r="CWV29" s="28"/>
      <c r="CWW29" s="28"/>
      <c r="CWX29" s="28"/>
      <c r="CWY29" s="28"/>
      <c r="CWZ29" s="28"/>
      <c r="CXA29" s="28"/>
      <c r="CXB29" s="28"/>
      <c r="CXC29" s="28"/>
      <c r="CXD29" s="28"/>
      <c r="CXE29" s="28"/>
      <c r="CXF29" s="28"/>
      <c r="CXG29" s="28"/>
      <c r="CXH29" s="28"/>
      <c r="CXI29" s="28"/>
      <c r="CXJ29" s="28"/>
      <c r="CXK29" s="28"/>
      <c r="CXL29" s="28"/>
      <c r="CXM29" s="28"/>
      <c r="CXN29" s="28"/>
      <c r="CXO29" s="28"/>
      <c r="CXP29" s="28"/>
      <c r="CXQ29" s="28"/>
      <c r="CXR29" s="28"/>
      <c r="CXS29" s="28"/>
      <c r="CXT29" s="28"/>
      <c r="CXU29" s="28"/>
      <c r="CXV29" s="28"/>
      <c r="CXW29" s="28"/>
      <c r="CXX29" s="28"/>
      <c r="CXY29" s="28"/>
      <c r="CXZ29" s="28"/>
      <c r="CYA29" s="28"/>
      <c r="CYB29" s="28"/>
      <c r="CYC29" s="28"/>
      <c r="CYD29" s="28"/>
      <c r="CYE29" s="28"/>
      <c r="CYF29" s="28"/>
      <c r="CYG29" s="28"/>
      <c r="CYH29" s="28"/>
      <c r="CYI29" s="28"/>
      <c r="CYJ29" s="28"/>
      <c r="CYK29" s="28"/>
      <c r="CYL29" s="28"/>
      <c r="CYM29" s="28"/>
      <c r="CYN29" s="28"/>
      <c r="CYO29" s="28"/>
      <c r="CYP29" s="28"/>
      <c r="CYQ29" s="28"/>
      <c r="CYR29" s="28"/>
      <c r="CYS29" s="28"/>
      <c r="CYT29" s="28"/>
      <c r="CYU29" s="28"/>
      <c r="CYV29" s="28"/>
      <c r="CYW29" s="28"/>
      <c r="CYX29" s="28"/>
      <c r="CYY29" s="28"/>
      <c r="CYZ29" s="28"/>
      <c r="CZA29" s="28"/>
      <c r="CZB29" s="28"/>
      <c r="CZC29" s="28"/>
      <c r="CZD29" s="28"/>
      <c r="CZE29" s="28"/>
      <c r="CZF29" s="28"/>
      <c r="CZG29" s="28"/>
      <c r="CZH29" s="28"/>
      <c r="CZI29" s="28"/>
      <c r="CZJ29" s="28"/>
      <c r="CZK29" s="28"/>
      <c r="CZL29" s="28"/>
      <c r="CZM29" s="28"/>
      <c r="CZN29" s="28"/>
      <c r="CZO29" s="28"/>
      <c r="CZP29" s="28"/>
      <c r="CZQ29" s="28"/>
      <c r="CZR29" s="28"/>
      <c r="CZS29" s="28"/>
      <c r="CZT29" s="28"/>
      <c r="CZU29" s="28"/>
      <c r="CZV29" s="28"/>
      <c r="CZW29" s="28"/>
      <c r="CZX29" s="28"/>
      <c r="CZY29" s="28"/>
      <c r="CZZ29" s="28"/>
      <c r="DAA29" s="28"/>
      <c r="DAB29" s="28"/>
      <c r="DAC29" s="28"/>
      <c r="DAD29" s="28"/>
      <c r="DAE29" s="28"/>
      <c r="DAF29" s="28"/>
      <c r="DAG29" s="28"/>
      <c r="DAH29" s="28"/>
      <c r="DAI29" s="28"/>
      <c r="DAJ29" s="28"/>
      <c r="DAK29" s="28"/>
      <c r="DAL29" s="28"/>
      <c r="DAM29" s="28"/>
      <c r="DAN29" s="28"/>
      <c r="DAO29" s="28"/>
      <c r="DAP29" s="28"/>
      <c r="DAQ29" s="28"/>
      <c r="DAR29" s="28"/>
      <c r="DAS29" s="28"/>
      <c r="DAT29" s="28"/>
      <c r="DAU29" s="28"/>
      <c r="DAV29" s="28"/>
      <c r="DAW29" s="28"/>
      <c r="DAX29" s="28"/>
      <c r="DAY29" s="28"/>
      <c r="DAZ29" s="28"/>
      <c r="DBA29" s="28"/>
      <c r="DBB29" s="28"/>
      <c r="DBC29" s="28"/>
      <c r="DBD29" s="28"/>
      <c r="DBE29" s="28"/>
      <c r="DBF29" s="28"/>
      <c r="DBG29" s="28"/>
      <c r="DBH29" s="28"/>
      <c r="DBI29" s="28"/>
      <c r="DBJ29" s="28"/>
      <c r="DBK29" s="28"/>
      <c r="DBL29" s="28"/>
      <c r="DBM29" s="28"/>
      <c r="DBN29" s="28"/>
      <c r="DBO29" s="28"/>
      <c r="DBP29" s="28"/>
      <c r="DBQ29" s="28"/>
      <c r="DBR29" s="28"/>
      <c r="DBS29" s="28"/>
      <c r="DBT29" s="28"/>
      <c r="DBU29" s="28"/>
      <c r="DBV29" s="28"/>
      <c r="DBW29" s="28"/>
      <c r="DBX29" s="28"/>
      <c r="DBY29" s="28"/>
      <c r="DBZ29" s="28"/>
      <c r="DCA29" s="28"/>
      <c r="DCB29" s="28"/>
      <c r="DCC29" s="28"/>
      <c r="DCD29" s="28"/>
      <c r="DCE29" s="28"/>
      <c r="DCF29" s="28"/>
      <c r="DCG29" s="28"/>
      <c r="DCH29" s="28"/>
      <c r="DCI29" s="28"/>
      <c r="DCJ29" s="28"/>
      <c r="DCK29" s="28"/>
      <c r="DCL29" s="28"/>
      <c r="DCM29" s="28"/>
      <c r="DCN29" s="28"/>
      <c r="DCO29" s="28"/>
      <c r="DCP29" s="28"/>
      <c r="DCQ29" s="28"/>
      <c r="DCR29" s="28"/>
      <c r="DCS29" s="28"/>
      <c r="DCT29" s="28"/>
      <c r="DCU29" s="28"/>
      <c r="DCV29" s="28"/>
      <c r="DCW29" s="28"/>
      <c r="DCX29" s="28"/>
      <c r="DCY29" s="28"/>
      <c r="DCZ29" s="28"/>
      <c r="DDA29" s="28"/>
      <c r="DDB29" s="28"/>
      <c r="DDC29" s="28"/>
      <c r="DDD29" s="28"/>
      <c r="DDE29" s="28"/>
      <c r="DDF29" s="28"/>
      <c r="DDG29" s="28"/>
      <c r="DDH29" s="28"/>
      <c r="DDI29" s="28"/>
      <c r="DDJ29" s="28"/>
      <c r="DDK29" s="28"/>
      <c r="DDL29" s="28"/>
      <c r="DDM29" s="28"/>
      <c r="DDN29" s="28"/>
      <c r="DDO29" s="28"/>
      <c r="DDP29" s="28"/>
      <c r="DDQ29" s="28"/>
      <c r="DDR29" s="28"/>
      <c r="DDS29" s="28"/>
      <c r="DDT29" s="28"/>
      <c r="DDU29" s="28"/>
      <c r="DDV29" s="28"/>
      <c r="DDW29" s="28"/>
      <c r="DDX29" s="28"/>
      <c r="DDY29" s="28"/>
      <c r="DDZ29" s="28"/>
      <c r="DEA29" s="28"/>
      <c r="DEB29" s="28"/>
      <c r="DEC29" s="28"/>
      <c r="DED29" s="28"/>
      <c r="DEE29" s="28"/>
      <c r="DEF29" s="28"/>
      <c r="DEG29" s="28"/>
      <c r="DEH29" s="28"/>
      <c r="DEI29" s="28"/>
      <c r="DEJ29" s="28"/>
      <c r="DEK29" s="28"/>
      <c r="DEL29" s="28"/>
      <c r="DEM29" s="28"/>
      <c r="DEN29" s="28"/>
      <c r="DEO29" s="28"/>
      <c r="DEP29" s="28"/>
      <c r="DEQ29" s="28"/>
      <c r="DER29" s="28"/>
      <c r="DES29" s="28"/>
      <c r="DET29" s="28"/>
      <c r="DEU29" s="28"/>
      <c r="DEV29" s="28"/>
      <c r="DEW29" s="28"/>
      <c r="DEX29" s="28"/>
      <c r="DEY29" s="28"/>
      <c r="DEZ29" s="28"/>
      <c r="DFA29" s="28"/>
      <c r="DFB29" s="28"/>
      <c r="DFC29" s="28"/>
      <c r="DFD29" s="28"/>
      <c r="DFE29" s="28"/>
      <c r="DFF29" s="28"/>
      <c r="DFG29" s="28"/>
      <c r="DFH29" s="28"/>
      <c r="DFI29" s="28"/>
      <c r="DFJ29" s="28"/>
      <c r="DFK29" s="28"/>
      <c r="DFL29" s="28"/>
      <c r="DFM29" s="28"/>
      <c r="DFN29" s="28"/>
      <c r="DFO29" s="28"/>
      <c r="DFP29" s="28"/>
      <c r="DFQ29" s="28"/>
      <c r="DFR29" s="28"/>
      <c r="DFS29" s="28"/>
      <c r="DFT29" s="28"/>
      <c r="DFU29" s="28"/>
      <c r="DFV29" s="28"/>
      <c r="DFW29" s="28"/>
      <c r="DFX29" s="28"/>
      <c r="DFY29" s="28"/>
      <c r="DFZ29" s="28"/>
      <c r="DGA29" s="28"/>
      <c r="DGB29" s="28"/>
      <c r="DGC29" s="28"/>
      <c r="DGD29" s="28"/>
      <c r="DGE29" s="28"/>
      <c r="DGF29" s="28"/>
      <c r="DGG29" s="28"/>
      <c r="DGH29" s="28"/>
      <c r="DGI29" s="28"/>
      <c r="DGJ29" s="28"/>
      <c r="DGK29" s="28"/>
      <c r="DGL29" s="28"/>
      <c r="DGM29" s="28"/>
      <c r="DGN29" s="28"/>
      <c r="DGO29" s="28"/>
      <c r="DGP29" s="28"/>
      <c r="DGQ29" s="28"/>
      <c r="DGR29" s="28"/>
      <c r="DGS29" s="28"/>
      <c r="DGT29" s="28"/>
      <c r="DGU29" s="28"/>
      <c r="DGV29" s="28"/>
      <c r="DGW29" s="28"/>
      <c r="DGX29" s="28"/>
      <c r="DGY29" s="28"/>
      <c r="DGZ29" s="28"/>
      <c r="DHA29" s="28"/>
      <c r="DHB29" s="28"/>
      <c r="DHC29" s="28"/>
      <c r="DHD29" s="28"/>
      <c r="DHE29" s="28"/>
      <c r="DHF29" s="28"/>
      <c r="DHG29" s="28"/>
      <c r="DHH29" s="28"/>
      <c r="DHI29" s="28"/>
      <c r="DHJ29" s="28"/>
      <c r="DHK29" s="28"/>
      <c r="DHL29" s="28"/>
      <c r="DHM29" s="28"/>
      <c r="DHN29" s="28"/>
      <c r="DHO29" s="28"/>
      <c r="DHP29" s="28"/>
      <c r="DHQ29" s="28"/>
      <c r="DHR29" s="28"/>
      <c r="DHS29" s="28"/>
      <c r="DHT29" s="28"/>
      <c r="DHU29" s="28"/>
      <c r="DHV29" s="28"/>
      <c r="DHW29" s="28"/>
      <c r="DHX29" s="28"/>
      <c r="DHY29" s="28"/>
      <c r="DHZ29" s="28"/>
      <c r="DIA29" s="28"/>
      <c r="DIB29" s="28"/>
      <c r="DIC29" s="28"/>
      <c r="DID29" s="28"/>
      <c r="DIE29" s="28"/>
      <c r="DIF29" s="28"/>
      <c r="DIG29" s="28"/>
      <c r="DIH29" s="28"/>
      <c r="DII29" s="28"/>
      <c r="DIJ29" s="28"/>
      <c r="DIK29" s="28"/>
      <c r="DIL29" s="28"/>
      <c r="DIM29" s="28"/>
      <c r="DIN29" s="28"/>
      <c r="DIO29" s="28"/>
      <c r="DIP29" s="28"/>
      <c r="DIQ29" s="28"/>
      <c r="DIR29" s="28"/>
      <c r="DIS29" s="28"/>
      <c r="DIT29" s="28"/>
      <c r="DIU29" s="28"/>
      <c r="DIV29" s="28"/>
      <c r="DIW29" s="28"/>
      <c r="DIX29" s="28"/>
      <c r="DIY29" s="28"/>
      <c r="DIZ29" s="28"/>
      <c r="DJA29" s="28"/>
      <c r="DJB29" s="28"/>
      <c r="DJC29" s="28"/>
      <c r="DJD29" s="28"/>
      <c r="DJE29" s="28"/>
      <c r="DJF29" s="28"/>
      <c r="DJG29" s="28"/>
      <c r="DJH29" s="28"/>
      <c r="DJI29" s="28"/>
      <c r="DJJ29" s="28"/>
      <c r="DJK29" s="28"/>
      <c r="DJL29" s="28"/>
      <c r="DJM29" s="28"/>
      <c r="DJN29" s="28"/>
      <c r="DJO29" s="28"/>
      <c r="DJP29" s="28"/>
      <c r="DJQ29" s="28"/>
      <c r="DJR29" s="28"/>
      <c r="DJS29" s="28"/>
      <c r="DJT29" s="28"/>
      <c r="DJU29" s="28"/>
      <c r="DJV29" s="28"/>
      <c r="DJW29" s="28"/>
      <c r="DJX29" s="28"/>
      <c r="DJY29" s="28"/>
      <c r="DJZ29" s="28"/>
      <c r="DKA29" s="28"/>
      <c r="DKB29" s="28"/>
      <c r="DKC29" s="28"/>
      <c r="DKD29" s="28"/>
      <c r="DKE29" s="28"/>
      <c r="DKF29" s="28"/>
      <c r="DKG29" s="28"/>
      <c r="DKH29" s="28"/>
      <c r="DKI29" s="28"/>
      <c r="DKJ29" s="28"/>
      <c r="DKK29" s="28"/>
      <c r="DKL29" s="28"/>
      <c r="DKM29" s="28"/>
      <c r="DKN29" s="28"/>
      <c r="DKO29" s="28"/>
      <c r="DKP29" s="28"/>
      <c r="DKQ29" s="28"/>
      <c r="DKR29" s="28"/>
      <c r="DKS29" s="28"/>
      <c r="DKT29" s="28"/>
      <c r="DKU29" s="28"/>
      <c r="DKV29" s="28"/>
      <c r="DKW29" s="28"/>
      <c r="DKX29" s="28"/>
      <c r="DKY29" s="28"/>
      <c r="DKZ29" s="28"/>
      <c r="DLA29" s="28"/>
      <c r="DLB29" s="28"/>
      <c r="DLC29" s="28"/>
      <c r="DLD29" s="28"/>
      <c r="DLE29" s="28"/>
      <c r="DLF29" s="28"/>
      <c r="DLG29" s="28"/>
      <c r="DLH29" s="28"/>
      <c r="DLI29" s="28"/>
      <c r="DLJ29" s="28"/>
      <c r="DLK29" s="28"/>
      <c r="DLL29" s="28"/>
      <c r="DLM29" s="28"/>
      <c r="DLN29" s="28"/>
      <c r="DLO29" s="28"/>
      <c r="DLP29" s="28"/>
      <c r="DLQ29" s="28"/>
      <c r="DLR29" s="28"/>
      <c r="DLS29" s="28"/>
      <c r="DLT29" s="28"/>
      <c r="DLU29" s="28"/>
      <c r="DLV29" s="28"/>
      <c r="DLW29" s="28"/>
      <c r="DLX29" s="28"/>
      <c r="DLY29" s="28"/>
      <c r="DLZ29" s="28"/>
      <c r="DMA29" s="28"/>
      <c r="DMB29" s="28"/>
      <c r="DMC29" s="28"/>
      <c r="DMD29" s="28"/>
      <c r="DME29" s="28"/>
      <c r="DMF29" s="28"/>
      <c r="DMG29" s="28"/>
      <c r="DMH29" s="28"/>
      <c r="DMI29" s="28"/>
      <c r="DMJ29" s="28"/>
      <c r="DMK29" s="28"/>
      <c r="DML29" s="28"/>
      <c r="DMM29" s="28"/>
      <c r="DMN29" s="28"/>
      <c r="DMO29" s="28"/>
      <c r="DMP29" s="28"/>
      <c r="DMQ29" s="28"/>
      <c r="DMR29" s="28"/>
      <c r="DMS29" s="28"/>
      <c r="DMT29" s="28"/>
      <c r="DMU29" s="28"/>
      <c r="DMV29" s="28"/>
      <c r="DMW29" s="28"/>
      <c r="DMX29" s="28"/>
      <c r="DMY29" s="28"/>
      <c r="DMZ29" s="28"/>
      <c r="DNA29" s="28"/>
      <c r="DNB29" s="28"/>
      <c r="DNC29" s="28"/>
      <c r="DND29" s="28"/>
      <c r="DNE29" s="28"/>
      <c r="DNF29" s="28"/>
      <c r="DNG29" s="28"/>
      <c r="DNH29" s="28"/>
      <c r="DNI29" s="28"/>
      <c r="DNJ29" s="28"/>
      <c r="DNK29" s="28"/>
      <c r="DNL29" s="28"/>
      <c r="DNM29" s="28"/>
      <c r="DNN29" s="28"/>
      <c r="DNO29" s="28"/>
      <c r="DNP29" s="28"/>
      <c r="DNQ29" s="28"/>
      <c r="DNR29" s="28"/>
      <c r="DNS29" s="28"/>
      <c r="DNT29" s="28"/>
      <c r="DNU29" s="28"/>
      <c r="DNV29" s="28"/>
      <c r="DNW29" s="28"/>
      <c r="DNX29" s="28"/>
      <c r="DNY29" s="28"/>
      <c r="DNZ29" s="28"/>
      <c r="DOA29" s="28"/>
      <c r="DOB29" s="28"/>
      <c r="DOC29" s="28"/>
      <c r="DOD29" s="28"/>
      <c r="DOE29" s="28"/>
      <c r="DOF29" s="28"/>
      <c r="DOG29" s="28"/>
      <c r="DOH29" s="28"/>
      <c r="DOI29" s="28"/>
      <c r="DOJ29" s="28"/>
      <c r="DOK29" s="28"/>
      <c r="DOL29" s="28"/>
      <c r="DOM29" s="28"/>
      <c r="DON29" s="28"/>
      <c r="DOO29" s="28"/>
      <c r="DOP29" s="28"/>
      <c r="DOQ29" s="28"/>
      <c r="DOR29" s="28"/>
      <c r="DOS29" s="28"/>
      <c r="DOT29" s="28"/>
      <c r="DOU29" s="28"/>
      <c r="DOV29" s="28"/>
      <c r="DOW29" s="28"/>
      <c r="DOX29" s="28"/>
      <c r="DOY29" s="28"/>
      <c r="DOZ29" s="28"/>
      <c r="DPA29" s="28"/>
      <c r="DPB29" s="28"/>
      <c r="DPC29" s="28"/>
      <c r="DPD29" s="28"/>
      <c r="DPE29" s="28"/>
      <c r="DPF29" s="28"/>
      <c r="DPG29" s="28"/>
      <c r="DPH29" s="28"/>
      <c r="DPI29" s="28"/>
      <c r="DPJ29" s="28"/>
      <c r="DPK29" s="28"/>
      <c r="DPL29" s="28"/>
      <c r="DPM29" s="28"/>
      <c r="DPN29" s="28"/>
      <c r="DPO29" s="28"/>
      <c r="DPP29" s="28"/>
      <c r="DPQ29" s="28"/>
      <c r="DPR29" s="28"/>
      <c r="DPS29" s="28"/>
      <c r="DPT29" s="28"/>
      <c r="DPU29" s="28"/>
      <c r="DPV29" s="28"/>
      <c r="DPW29" s="28"/>
      <c r="DPX29" s="28"/>
      <c r="DPY29" s="28"/>
      <c r="DPZ29" s="28"/>
      <c r="DQA29" s="28"/>
      <c r="DQB29" s="28"/>
      <c r="DQC29" s="28"/>
      <c r="DQD29" s="28"/>
      <c r="DQE29" s="28"/>
      <c r="DQF29" s="28"/>
      <c r="DQG29" s="28"/>
      <c r="DQH29" s="28"/>
      <c r="DQI29" s="28"/>
      <c r="DQJ29" s="28"/>
      <c r="DQK29" s="28"/>
      <c r="DQL29" s="28"/>
      <c r="DQM29" s="28"/>
      <c r="DQN29" s="28"/>
      <c r="DQO29" s="28"/>
      <c r="DQP29" s="28"/>
      <c r="DQQ29" s="28"/>
      <c r="DQR29" s="28"/>
      <c r="DQS29" s="28"/>
      <c r="DQT29" s="28"/>
      <c r="DQU29" s="28"/>
      <c r="DQV29" s="28"/>
      <c r="DQW29" s="28"/>
      <c r="DQX29" s="28"/>
      <c r="DQY29" s="28"/>
      <c r="DQZ29" s="28"/>
      <c r="DRA29" s="28"/>
      <c r="DRB29" s="28"/>
      <c r="DRC29" s="28"/>
      <c r="DRD29" s="28"/>
      <c r="DRE29" s="28"/>
      <c r="DRF29" s="28"/>
      <c r="DRG29" s="28"/>
      <c r="DRH29" s="28"/>
      <c r="DRI29" s="28"/>
      <c r="DRJ29" s="28"/>
      <c r="DRK29" s="28"/>
      <c r="DRL29" s="28"/>
      <c r="DRM29" s="28"/>
      <c r="DRN29" s="28"/>
      <c r="DRO29" s="28"/>
      <c r="DRP29" s="28"/>
      <c r="DRQ29" s="28"/>
      <c r="DRR29" s="28"/>
      <c r="DRS29" s="28"/>
      <c r="DRT29" s="28"/>
      <c r="DRU29" s="28"/>
      <c r="DRV29" s="28"/>
      <c r="DRW29" s="28"/>
      <c r="DRX29" s="28"/>
      <c r="DRY29" s="28"/>
      <c r="DRZ29" s="28"/>
      <c r="DSA29" s="28"/>
      <c r="DSB29" s="28"/>
      <c r="DSC29" s="28"/>
      <c r="DSD29" s="28"/>
      <c r="DSE29" s="28"/>
      <c r="DSF29" s="28"/>
      <c r="DSG29" s="28"/>
      <c r="DSH29" s="28"/>
      <c r="DSI29" s="28"/>
      <c r="DSJ29" s="28"/>
      <c r="DSK29" s="28"/>
      <c r="DSL29" s="28"/>
      <c r="DSM29" s="28"/>
      <c r="DSN29" s="28"/>
      <c r="DSO29" s="28"/>
      <c r="DSP29" s="28"/>
      <c r="DSQ29" s="28"/>
      <c r="DSR29" s="28"/>
      <c r="DSS29" s="28"/>
      <c r="DST29" s="28"/>
      <c r="DSU29" s="28"/>
      <c r="DSV29" s="28"/>
      <c r="DSW29" s="28"/>
      <c r="DSX29" s="28"/>
      <c r="DSY29" s="28"/>
      <c r="DSZ29" s="28"/>
      <c r="DTA29" s="28"/>
      <c r="DTB29" s="28"/>
      <c r="DTC29" s="28"/>
      <c r="DTD29" s="28"/>
      <c r="DTE29" s="28"/>
      <c r="DTF29" s="28"/>
      <c r="DTG29" s="28"/>
      <c r="DTH29" s="28"/>
      <c r="DTI29" s="28"/>
      <c r="DTJ29" s="28"/>
      <c r="DTK29" s="28"/>
      <c r="DTL29" s="28"/>
      <c r="DTM29" s="28"/>
      <c r="DTN29" s="28"/>
      <c r="DTO29" s="28"/>
      <c r="DTP29" s="28"/>
      <c r="DTQ29" s="28"/>
      <c r="DTR29" s="28"/>
      <c r="DTS29" s="28"/>
      <c r="DTT29" s="28"/>
      <c r="DTU29" s="28"/>
      <c r="DTV29" s="28"/>
      <c r="DTW29" s="28"/>
      <c r="DTX29" s="28"/>
      <c r="DTY29" s="28"/>
      <c r="DTZ29" s="28"/>
      <c r="DUA29" s="28"/>
      <c r="DUB29" s="28"/>
      <c r="DUC29" s="28"/>
      <c r="DUD29" s="28"/>
      <c r="DUE29" s="28"/>
      <c r="DUF29" s="28"/>
      <c r="DUG29" s="28"/>
      <c r="DUH29" s="28"/>
      <c r="DUI29" s="28"/>
      <c r="DUJ29" s="28"/>
      <c r="DUK29" s="28"/>
      <c r="DUL29" s="28"/>
      <c r="DUM29" s="28"/>
      <c r="DUN29" s="28"/>
      <c r="DUO29" s="28"/>
      <c r="DUP29" s="28"/>
      <c r="DUQ29" s="28"/>
      <c r="DUR29" s="28"/>
      <c r="DUS29" s="28"/>
      <c r="DUT29" s="28"/>
      <c r="DUU29" s="28"/>
      <c r="DUV29" s="28"/>
      <c r="DUW29" s="28"/>
      <c r="DUX29" s="28"/>
      <c r="DUY29" s="28"/>
      <c r="DUZ29" s="28"/>
      <c r="DVA29" s="28"/>
      <c r="DVB29" s="28"/>
      <c r="DVC29" s="28"/>
      <c r="DVD29" s="28"/>
      <c r="DVE29" s="28"/>
      <c r="DVF29" s="28"/>
      <c r="DVG29" s="28"/>
      <c r="DVH29" s="28"/>
      <c r="DVI29" s="28"/>
      <c r="DVJ29" s="28"/>
      <c r="DVK29" s="28"/>
      <c r="DVL29" s="28"/>
      <c r="DVM29" s="28"/>
      <c r="DVN29" s="28"/>
      <c r="DVO29" s="28"/>
      <c r="DVP29" s="28"/>
      <c r="DVQ29" s="28"/>
      <c r="DVR29" s="28"/>
      <c r="DVS29" s="28"/>
      <c r="DVT29" s="28"/>
      <c r="DVU29" s="28"/>
      <c r="DVV29" s="28"/>
      <c r="DVW29" s="28"/>
      <c r="DVX29" s="28"/>
      <c r="DVY29" s="28"/>
      <c r="DVZ29" s="28"/>
      <c r="DWA29" s="28"/>
      <c r="DWB29" s="28"/>
      <c r="DWC29" s="28"/>
      <c r="DWD29" s="28"/>
      <c r="DWE29" s="28"/>
      <c r="DWF29" s="28"/>
      <c r="DWG29" s="28"/>
      <c r="DWH29" s="28"/>
      <c r="DWI29" s="28"/>
      <c r="DWJ29" s="28"/>
      <c r="DWK29" s="28"/>
      <c r="DWL29" s="28"/>
      <c r="DWM29" s="28"/>
      <c r="DWN29" s="28"/>
      <c r="DWO29" s="28"/>
      <c r="DWP29" s="28"/>
      <c r="DWQ29" s="28"/>
      <c r="DWR29" s="28"/>
      <c r="DWS29" s="28"/>
      <c r="DWT29" s="28"/>
      <c r="DWU29" s="28"/>
      <c r="DWV29" s="28"/>
      <c r="DWW29" s="28"/>
      <c r="DWX29" s="28"/>
      <c r="DWY29" s="28"/>
      <c r="DWZ29" s="28"/>
      <c r="DXA29" s="28"/>
      <c r="DXB29" s="28"/>
      <c r="DXC29" s="28"/>
      <c r="DXD29" s="28"/>
      <c r="DXE29" s="28"/>
      <c r="DXF29" s="28"/>
      <c r="DXG29" s="28"/>
      <c r="DXH29" s="28"/>
      <c r="DXI29" s="28"/>
      <c r="DXJ29" s="28"/>
      <c r="DXK29" s="28"/>
      <c r="DXL29" s="28"/>
      <c r="DXM29" s="28"/>
      <c r="DXN29" s="28"/>
      <c r="DXO29" s="28"/>
      <c r="DXP29" s="28"/>
      <c r="DXQ29" s="28"/>
      <c r="DXR29" s="28"/>
      <c r="DXS29" s="28"/>
      <c r="DXT29" s="28"/>
      <c r="DXU29" s="28"/>
      <c r="DXV29" s="28"/>
      <c r="DXW29" s="28"/>
      <c r="DXX29" s="28"/>
      <c r="DXY29" s="28"/>
      <c r="DXZ29" s="28"/>
      <c r="DYA29" s="28"/>
      <c r="DYB29" s="28"/>
      <c r="DYC29" s="28"/>
      <c r="DYD29" s="28"/>
      <c r="DYE29" s="28"/>
      <c r="DYF29" s="28"/>
      <c r="DYG29" s="28"/>
      <c r="DYH29" s="28"/>
      <c r="DYI29" s="28"/>
      <c r="DYJ29" s="28"/>
      <c r="DYK29" s="28"/>
      <c r="DYL29" s="28"/>
      <c r="DYM29" s="28"/>
      <c r="DYN29" s="28"/>
      <c r="DYO29" s="28"/>
      <c r="DYP29" s="28"/>
      <c r="DYQ29" s="28"/>
      <c r="DYR29" s="28"/>
      <c r="DYS29" s="28"/>
      <c r="DYT29" s="28"/>
      <c r="DYU29" s="28"/>
      <c r="DYV29" s="28"/>
      <c r="DYW29" s="28"/>
      <c r="DYX29" s="28"/>
      <c r="DYY29" s="28"/>
      <c r="DYZ29" s="28"/>
      <c r="DZA29" s="28"/>
      <c r="DZB29" s="28"/>
      <c r="DZC29" s="28"/>
      <c r="DZD29" s="28"/>
      <c r="DZE29" s="28"/>
      <c r="DZF29" s="28"/>
      <c r="DZG29" s="28"/>
      <c r="DZH29" s="28"/>
      <c r="DZI29" s="28"/>
      <c r="DZJ29" s="28"/>
      <c r="DZK29" s="28"/>
      <c r="DZL29" s="28"/>
      <c r="DZM29" s="28"/>
      <c r="DZN29" s="28"/>
      <c r="DZO29" s="28"/>
      <c r="DZP29" s="28"/>
      <c r="DZQ29" s="28"/>
      <c r="DZR29" s="28"/>
      <c r="DZS29" s="28"/>
      <c r="DZT29" s="28"/>
      <c r="DZU29" s="28"/>
      <c r="DZV29" s="28"/>
      <c r="DZW29" s="28"/>
      <c r="DZX29" s="28"/>
      <c r="DZY29" s="28"/>
      <c r="DZZ29" s="28"/>
      <c r="EAA29" s="28"/>
      <c r="EAB29" s="28"/>
      <c r="EAC29" s="28"/>
      <c r="EAD29" s="28"/>
      <c r="EAE29" s="28"/>
      <c r="EAF29" s="28"/>
      <c r="EAG29" s="28"/>
      <c r="EAH29" s="28"/>
      <c r="EAI29" s="28"/>
      <c r="EAJ29" s="28"/>
      <c r="EAK29" s="28"/>
      <c r="EAL29" s="28"/>
      <c r="EAM29" s="28"/>
      <c r="EAN29" s="28"/>
      <c r="EAO29" s="28"/>
      <c r="EAP29" s="28"/>
      <c r="EAQ29" s="28"/>
      <c r="EAR29" s="28"/>
      <c r="EAS29" s="28"/>
      <c r="EAT29" s="28"/>
      <c r="EAU29" s="28"/>
      <c r="EAV29" s="28"/>
      <c r="EAW29" s="28"/>
      <c r="EAX29" s="28"/>
      <c r="EAY29" s="28"/>
      <c r="EAZ29" s="28"/>
      <c r="EBA29" s="28"/>
      <c r="EBB29" s="28"/>
      <c r="EBC29" s="28"/>
      <c r="EBD29" s="28"/>
      <c r="EBE29" s="28"/>
      <c r="EBF29" s="28"/>
      <c r="EBG29" s="28"/>
      <c r="EBH29" s="28"/>
      <c r="EBI29" s="28"/>
      <c r="EBJ29" s="28"/>
      <c r="EBK29" s="28"/>
      <c r="EBL29" s="28"/>
      <c r="EBM29" s="28"/>
      <c r="EBN29" s="28"/>
      <c r="EBO29" s="28"/>
      <c r="EBP29" s="28"/>
      <c r="EBQ29" s="28"/>
      <c r="EBR29" s="28"/>
      <c r="EBS29" s="28"/>
      <c r="EBT29" s="28"/>
      <c r="EBU29" s="28"/>
      <c r="EBV29" s="28"/>
      <c r="EBW29" s="28"/>
      <c r="EBX29" s="28"/>
      <c r="EBY29" s="28"/>
      <c r="EBZ29" s="28"/>
      <c r="ECA29" s="28"/>
      <c r="ECB29" s="28"/>
      <c r="ECC29" s="28"/>
      <c r="ECD29" s="28"/>
      <c r="ECE29" s="28"/>
      <c r="ECF29" s="28"/>
      <c r="ECG29" s="28"/>
      <c r="ECH29" s="28"/>
      <c r="ECI29" s="28"/>
      <c r="ECJ29" s="28"/>
      <c r="ECK29" s="28"/>
      <c r="ECL29" s="28"/>
      <c r="ECM29" s="28"/>
      <c r="ECN29" s="28"/>
      <c r="ECO29" s="28"/>
      <c r="ECP29" s="28"/>
      <c r="ECQ29" s="28"/>
      <c r="ECR29" s="28"/>
      <c r="ECS29" s="28"/>
      <c r="ECT29" s="28"/>
      <c r="ECU29" s="28"/>
      <c r="ECV29" s="28"/>
      <c r="ECW29" s="28"/>
      <c r="ECX29" s="28"/>
      <c r="ECY29" s="28"/>
      <c r="ECZ29" s="28"/>
      <c r="EDA29" s="28"/>
      <c r="EDB29" s="28"/>
      <c r="EDC29" s="28"/>
      <c r="EDD29" s="28"/>
      <c r="EDE29" s="28"/>
      <c r="EDF29" s="28"/>
      <c r="EDG29" s="28"/>
      <c r="EDH29" s="28"/>
      <c r="EDI29" s="28"/>
      <c r="EDJ29" s="28"/>
      <c r="EDK29" s="28"/>
      <c r="EDL29" s="28"/>
      <c r="EDM29" s="28"/>
      <c r="EDN29" s="28"/>
      <c r="EDO29" s="28"/>
      <c r="EDP29" s="28"/>
      <c r="EDQ29" s="28"/>
      <c r="EDR29" s="28"/>
      <c r="EDS29" s="28"/>
      <c r="EDT29" s="28"/>
      <c r="EDU29" s="28"/>
      <c r="EDV29" s="28"/>
      <c r="EDW29" s="28"/>
      <c r="EDX29" s="28"/>
      <c r="EDY29" s="28"/>
      <c r="EDZ29" s="28"/>
      <c r="EEA29" s="28"/>
      <c r="EEB29" s="28"/>
      <c r="EEC29" s="28"/>
      <c r="EED29" s="28"/>
      <c r="EEE29" s="28"/>
      <c r="EEF29" s="28"/>
      <c r="EEG29" s="28"/>
      <c r="EEH29" s="28"/>
      <c r="EEI29" s="28"/>
      <c r="EEJ29" s="28"/>
      <c r="EEK29" s="28"/>
      <c r="EEL29" s="28"/>
      <c r="EEM29" s="28"/>
      <c r="EEN29" s="28"/>
      <c r="EEO29" s="28"/>
      <c r="EEP29" s="28"/>
      <c r="EEQ29" s="28"/>
      <c r="EER29" s="28"/>
      <c r="EES29" s="28"/>
      <c r="EET29" s="28"/>
      <c r="EEU29" s="28"/>
      <c r="EEV29" s="28"/>
      <c r="EEW29" s="28"/>
      <c r="EEX29" s="28"/>
      <c r="EEY29" s="28"/>
      <c r="EEZ29" s="28"/>
      <c r="EFA29" s="28"/>
      <c r="EFB29" s="28"/>
      <c r="EFC29" s="28"/>
      <c r="EFD29" s="28"/>
      <c r="EFE29" s="28"/>
      <c r="EFF29" s="28"/>
      <c r="EFG29" s="28"/>
      <c r="EFH29" s="28"/>
      <c r="EFI29" s="28"/>
      <c r="EFJ29" s="28"/>
      <c r="EFK29" s="28"/>
      <c r="EFL29" s="28"/>
      <c r="EFM29" s="28"/>
      <c r="EFN29" s="28"/>
      <c r="EFO29" s="28"/>
      <c r="EFP29" s="28"/>
      <c r="EFQ29" s="28"/>
      <c r="EFR29" s="28"/>
      <c r="EFS29" s="28"/>
      <c r="EFT29" s="28"/>
      <c r="EFU29" s="28"/>
      <c r="EFV29" s="28"/>
      <c r="EFW29" s="28"/>
      <c r="EFX29" s="28"/>
      <c r="EFY29" s="28"/>
      <c r="EFZ29" s="28"/>
      <c r="EGA29" s="28"/>
      <c r="EGB29" s="28"/>
      <c r="EGC29" s="28"/>
      <c r="EGD29" s="28"/>
      <c r="EGE29" s="28"/>
      <c r="EGF29" s="28"/>
      <c r="EGG29" s="28"/>
      <c r="EGH29" s="28"/>
      <c r="EGI29" s="28"/>
      <c r="EGJ29" s="28"/>
      <c r="EGK29" s="28"/>
      <c r="EGL29" s="28"/>
      <c r="EGM29" s="28"/>
      <c r="EGN29" s="28"/>
      <c r="EGO29" s="28"/>
      <c r="EGP29" s="28"/>
      <c r="EGQ29" s="28"/>
      <c r="EGR29" s="28"/>
      <c r="EGS29" s="28"/>
      <c r="EGT29" s="28"/>
      <c r="EGU29" s="28"/>
      <c r="EGV29" s="28"/>
      <c r="EGW29" s="28"/>
      <c r="EGX29" s="28"/>
      <c r="EGY29" s="28"/>
      <c r="EGZ29" s="28"/>
      <c r="EHA29" s="28"/>
      <c r="EHB29" s="28"/>
      <c r="EHC29" s="28"/>
      <c r="EHD29" s="28"/>
      <c r="EHE29" s="28"/>
      <c r="EHF29" s="28"/>
      <c r="EHG29" s="28"/>
      <c r="EHH29" s="28"/>
      <c r="EHI29" s="28"/>
      <c r="EHJ29" s="28"/>
      <c r="EHK29" s="28"/>
      <c r="EHL29" s="28"/>
      <c r="EHM29" s="28"/>
      <c r="EHN29" s="28"/>
      <c r="EHO29" s="28"/>
      <c r="EHP29" s="28"/>
      <c r="EHQ29" s="28"/>
      <c r="EHR29" s="28"/>
      <c r="EHS29" s="28"/>
      <c r="EHT29" s="28"/>
      <c r="EHU29" s="28"/>
      <c r="EHV29" s="28"/>
      <c r="EHW29" s="28"/>
      <c r="EHX29" s="28"/>
      <c r="EHY29" s="28"/>
      <c r="EHZ29" s="28"/>
      <c r="EIA29" s="28"/>
      <c r="EIB29" s="28"/>
      <c r="EIC29" s="28"/>
      <c r="EID29" s="28"/>
      <c r="EIE29" s="28"/>
      <c r="EIF29" s="28"/>
      <c r="EIG29" s="28"/>
      <c r="EIH29" s="28"/>
      <c r="EII29" s="28"/>
      <c r="EIJ29" s="28"/>
      <c r="EIK29" s="28"/>
      <c r="EIL29" s="28"/>
      <c r="EIM29" s="28"/>
      <c r="EIN29" s="28"/>
      <c r="EIO29" s="28"/>
      <c r="EIP29" s="28"/>
      <c r="EIQ29" s="28"/>
      <c r="EIR29" s="28"/>
      <c r="EIS29" s="28"/>
      <c r="EIT29" s="28"/>
      <c r="EIU29" s="28"/>
      <c r="EIV29" s="28"/>
      <c r="EIW29" s="28"/>
      <c r="EIX29" s="28"/>
      <c r="EIY29" s="28"/>
      <c r="EIZ29" s="28"/>
      <c r="EJA29" s="28"/>
      <c r="EJB29" s="28"/>
      <c r="EJC29" s="28"/>
      <c r="EJD29" s="28"/>
      <c r="EJE29" s="28"/>
      <c r="EJF29" s="28"/>
      <c r="EJG29" s="28"/>
      <c r="EJH29" s="28"/>
      <c r="EJI29" s="28"/>
      <c r="EJJ29" s="28"/>
      <c r="EJK29" s="28"/>
      <c r="EJL29" s="28"/>
      <c r="EJM29" s="28"/>
      <c r="EJN29" s="28"/>
      <c r="EJO29" s="28"/>
      <c r="EJP29" s="28"/>
      <c r="EJQ29" s="28"/>
      <c r="EJR29" s="28"/>
      <c r="EJS29" s="28"/>
      <c r="EJT29" s="28"/>
      <c r="EJU29" s="28"/>
      <c r="EJV29" s="28"/>
      <c r="EJW29" s="28"/>
      <c r="EJX29" s="28"/>
      <c r="EJY29" s="28"/>
      <c r="EJZ29" s="28"/>
      <c r="EKA29" s="28"/>
      <c r="EKB29" s="28"/>
      <c r="EKC29" s="28"/>
      <c r="EKD29" s="28"/>
      <c r="EKE29" s="28"/>
      <c r="EKF29" s="28"/>
      <c r="EKG29" s="28"/>
      <c r="EKH29" s="28"/>
      <c r="EKI29" s="28"/>
      <c r="EKJ29" s="28"/>
      <c r="EKK29" s="28"/>
      <c r="EKL29" s="28"/>
      <c r="EKM29" s="28"/>
      <c r="EKN29" s="28"/>
      <c r="EKO29" s="28"/>
      <c r="EKP29" s="28"/>
      <c r="EKQ29" s="28"/>
      <c r="EKR29" s="28"/>
      <c r="EKS29" s="28"/>
      <c r="EKT29" s="28"/>
      <c r="EKU29" s="28"/>
      <c r="EKV29" s="28"/>
      <c r="EKW29" s="28"/>
      <c r="EKX29" s="28"/>
      <c r="EKY29" s="28"/>
      <c r="EKZ29" s="28"/>
      <c r="ELA29" s="28"/>
      <c r="ELB29" s="28"/>
      <c r="ELC29" s="28"/>
      <c r="ELD29" s="28"/>
      <c r="ELE29" s="28"/>
      <c r="ELF29" s="28"/>
      <c r="ELG29" s="28"/>
      <c r="ELH29" s="28"/>
      <c r="ELI29" s="28"/>
      <c r="ELJ29" s="28"/>
      <c r="ELK29" s="28"/>
      <c r="ELL29" s="28"/>
      <c r="ELM29" s="28"/>
      <c r="ELN29" s="28"/>
      <c r="ELO29" s="28"/>
      <c r="ELP29" s="28"/>
      <c r="ELQ29" s="28"/>
      <c r="ELR29" s="28"/>
      <c r="ELS29" s="28"/>
      <c r="ELT29" s="28"/>
      <c r="ELU29" s="28"/>
      <c r="ELV29" s="28"/>
      <c r="ELW29" s="28"/>
      <c r="ELX29" s="28"/>
      <c r="ELY29" s="28"/>
      <c r="ELZ29" s="28"/>
      <c r="EMA29" s="28"/>
      <c r="EMB29" s="28"/>
      <c r="EMC29" s="28"/>
      <c r="EMD29" s="28"/>
      <c r="EME29" s="28"/>
      <c r="EMF29" s="28"/>
      <c r="EMG29" s="28"/>
      <c r="EMH29" s="28"/>
      <c r="EMI29" s="28"/>
      <c r="EMJ29" s="28"/>
      <c r="EMK29" s="28"/>
      <c r="EML29" s="28"/>
      <c r="EMM29" s="28"/>
      <c r="EMN29" s="28"/>
      <c r="EMO29" s="28"/>
      <c r="EMP29" s="28"/>
      <c r="EMQ29" s="28"/>
      <c r="EMR29" s="28"/>
      <c r="EMS29" s="28"/>
      <c r="EMT29" s="28"/>
      <c r="EMU29" s="28"/>
      <c r="EMV29" s="28"/>
      <c r="EMW29" s="28"/>
      <c r="EMX29" s="28"/>
      <c r="EMY29" s="28"/>
      <c r="EMZ29" s="28"/>
      <c r="ENA29" s="28"/>
      <c r="ENB29" s="28"/>
      <c r="ENC29" s="28"/>
      <c r="END29" s="28"/>
      <c r="ENE29" s="28"/>
      <c r="ENF29" s="28"/>
      <c r="ENG29" s="28"/>
      <c r="ENH29" s="28"/>
      <c r="ENI29" s="28"/>
      <c r="ENJ29" s="28"/>
      <c r="ENK29" s="28"/>
      <c r="ENL29" s="28"/>
      <c r="ENM29" s="28"/>
      <c r="ENN29" s="28"/>
      <c r="ENO29" s="28"/>
      <c r="ENP29" s="28"/>
      <c r="ENQ29" s="28"/>
      <c r="ENR29" s="28"/>
      <c r="ENS29" s="28"/>
      <c r="ENT29" s="28"/>
      <c r="ENU29" s="28"/>
      <c r="ENV29" s="28"/>
      <c r="ENW29" s="28"/>
      <c r="ENX29" s="28"/>
      <c r="ENY29" s="28"/>
      <c r="ENZ29" s="28"/>
      <c r="EOA29" s="28"/>
      <c r="EOB29" s="28"/>
      <c r="EOC29" s="28"/>
      <c r="EOD29" s="28"/>
      <c r="EOE29" s="28"/>
      <c r="EOF29" s="28"/>
      <c r="EOG29" s="28"/>
      <c r="EOH29" s="28"/>
      <c r="EOI29" s="28"/>
      <c r="EOJ29" s="28"/>
      <c r="EOK29" s="28"/>
      <c r="EOL29" s="28"/>
      <c r="EOM29" s="28"/>
      <c r="EON29" s="28"/>
      <c r="EOO29" s="28"/>
      <c r="EOP29" s="28"/>
      <c r="EOQ29" s="28"/>
      <c r="EOR29" s="28"/>
      <c r="EOS29" s="28"/>
      <c r="EOT29" s="28"/>
      <c r="EOU29" s="28"/>
      <c r="EOV29" s="28"/>
      <c r="EOW29" s="28"/>
      <c r="EOX29" s="28"/>
      <c r="EOY29" s="28"/>
      <c r="EOZ29" s="28"/>
      <c r="EPA29" s="28"/>
      <c r="EPB29" s="28"/>
      <c r="EPC29" s="28"/>
      <c r="EPD29" s="28"/>
      <c r="EPE29" s="28"/>
      <c r="EPF29" s="28"/>
      <c r="EPG29" s="28"/>
      <c r="EPH29" s="28"/>
      <c r="EPI29" s="28"/>
      <c r="EPJ29" s="28"/>
      <c r="EPK29" s="28"/>
      <c r="EPL29" s="28"/>
      <c r="EPM29" s="28"/>
      <c r="EPN29" s="28"/>
      <c r="EPO29" s="28"/>
      <c r="EPP29" s="28"/>
      <c r="EPQ29" s="28"/>
      <c r="EPR29" s="28"/>
      <c r="EPS29" s="28"/>
      <c r="EPT29" s="28"/>
      <c r="EPU29" s="28"/>
      <c r="EPV29" s="28"/>
      <c r="EPW29" s="28"/>
      <c r="EPX29" s="28"/>
      <c r="EPY29" s="28"/>
      <c r="EPZ29" s="28"/>
      <c r="EQA29" s="28"/>
      <c r="EQB29" s="28"/>
      <c r="EQC29" s="28"/>
      <c r="EQD29" s="28"/>
      <c r="EQE29" s="28"/>
      <c r="EQF29" s="28"/>
      <c r="EQG29" s="28"/>
      <c r="EQH29" s="28"/>
      <c r="EQI29" s="28"/>
      <c r="EQJ29" s="28"/>
      <c r="EQK29" s="28"/>
      <c r="EQL29" s="28"/>
      <c r="EQM29" s="28"/>
      <c r="EQN29" s="28"/>
      <c r="EQO29" s="28"/>
      <c r="EQP29" s="28"/>
      <c r="EQQ29" s="28"/>
      <c r="EQR29" s="28"/>
      <c r="EQS29" s="28"/>
      <c r="EQT29" s="28"/>
      <c r="EQU29" s="28"/>
      <c r="EQV29" s="28"/>
      <c r="EQW29" s="28"/>
      <c r="EQX29" s="28"/>
      <c r="EQY29" s="28"/>
      <c r="EQZ29" s="28"/>
      <c r="ERA29" s="28"/>
      <c r="ERB29" s="28"/>
      <c r="ERC29" s="28"/>
      <c r="ERD29" s="28"/>
      <c r="ERE29" s="28"/>
      <c r="ERF29" s="28"/>
      <c r="ERG29" s="28"/>
      <c r="ERH29" s="28"/>
      <c r="ERI29" s="28"/>
      <c r="ERJ29" s="28"/>
      <c r="ERK29" s="28"/>
      <c r="ERL29" s="28"/>
      <c r="ERM29" s="28"/>
      <c r="ERN29" s="28"/>
      <c r="ERO29" s="28"/>
      <c r="ERP29" s="28"/>
      <c r="ERQ29" s="28"/>
      <c r="ERR29" s="28"/>
      <c r="ERS29" s="28"/>
      <c r="ERT29" s="28"/>
      <c r="ERU29" s="28"/>
      <c r="ERV29" s="28"/>
      <c r="ERW29" s="28"/>
      <c r="ERX29" s="28"/>
      <c r="ERY29" s="28"/>
      <c r="ERZ29" s="28"/>
      <c r="ESA29" s="28"/>
      <c r="ESB29" s="28"/>
      <c r="ESC29" s="28"/>
      <c r="ESD29" s="28"/>
      <c r="ESE29" s="28"/>
      <c r="ESF29" s="28"/>
      <c r="ESG29" s="28"/>
      <c r="ESH29" s="28"/>
      <c r="ESI29" s="28"/>
      <c r="ESJ29" s="28"/>
      <c r="ESK29" s="28"/>
      <c r="ESL29" s="28"/>
      <c r="ESM29" s="28"/>
      <c r="ESN29" s="28"/>
      <c r="ESO29" s="28"/>
      <c r="ESP29" s="28"/>
      <c r="ESQ29" s="28"/>
      <c r="ESR29" s="28"/>
      <c r="ESS29" s="28"/>
      <c r="EST29" s="28"/>
      <c r="ESU29" s="28"/>
      <c r="ESV29" s="28"/>
      <c r="ESW29" s="28"/>
      <c r="ESX29" s="28"/>
      <c r="ESY29" s="28"/>
      <c r="ESZ29" s="28"/>
      <c r="ETA29" s="28"/>
      <c r="ETB29" s="28"/>
      <c r="ETC29" s="28"/>
      <c r="ETD29" s="28"/>
      <c r="ETE29" s="28"/>
      <c r="ETF29" s="28"/>
      <c r="ETG29" s="28"/>
      <c r="ETH29" s="28"/>
      <c r="ETI29" s="28"/>
      <c r="ETJ29" s="28"/>
      <c r="ETK29" s="28"/>
      <c r="ETL29" s="28"/>
      <c r="ETM29" s="28"/>
      <c r="ETN29" s="28"/>
      <c r="ETO29" s="28"/>
      <c r="ETP29" s="28"/>
      <c r="ETQ29" s="28"/>
      <c r="ETR29" s="28"/>
      <c r="ETS29" s="28"/>
      <c r="ETT29" s="28"/>
      <c r="ETU29" s="28"/>
      <c r="ETV29" s="28"/>
      <c r="ETW29" s="28"/>
      <c r="ETX29" s="28"/>
      <c r="ETY29" s="28"/>
      <c r="ETZ29" s="28"/>
      <c r="EUA29" s="28"/>
      <c r="EUB29" s="28"/>
      <c r="EUC29" s="28"/>
      <c r="EUD29" s="28"/>
      <c r="EUE29" s="28"/>
      <c r="EUF29" s="28"/>
      <c r="EUG29" s="28"/>
      <c r="EUH29" s="28"/>
      <c r="EUI29" s="28"/>
      <c r="EUJ29" s="28"/>
      <c r="EUK29" s="28"/>
      <c r="EUL29" s="28"/>
      <c r="EUM29" s="28"/>
      <c r="EUN29" s="28"/>
      <c r="EUO29" s="28"/>
      <c r="EUP29" s="28"/>
      <c r="EUQ29" s="28"/>
      <c r="EUR29" s="28"/>
      <c r="EUS29" s="28"/>
      <c r="EUT29" s="28"/>
      <c r="EUU29" s="28"/>
      <c r="EUV29" s="28"/>
      <c r="EUW29" s="28"/>
      <c r="EUX29" s="28"/>
      <c r="EUY29" s="28"/>
      <c r="EUZ29" s="28"/>
      <c r="EVA29" s="28"/>
      <c r="EVB29" s="28"/>
      <c r="EVC29" s="28"/>
      <c r="EVD29" s="28"/>
      <c r="EVE29" s="28"/>
      <c r="EVF29" s="28"/>
      <c r="EVG29" s="28"/>
      <c r="EVH29" s="28"/>
      <c r="EVI29" s="28"/>
      <c r="EVJ29" s="28"/>
      <c r="EVK29" s="28"/>
      <c r="EVL29" s="28"/>
      <c r="EVM29" s="28"/>
      <c r="EVN29" s="28"/>
      <c r="EVO29" s="28"/>
      <c r="EVP29" s="28"/>
      <c r="EVQ29" s="28"/>
      <c r="EVR29" s="28"/>
      <c r="EVS29" s="28"/>
      <c r="EVT29" s="28"/>
      <c r="EVU29" s="28"/>
      <c r="EVV29" s="28"/>
      <c r="EVW29" s="28"/>
      <c r="EVX29" s="28"/>
      <c r="EVY29" s="28"/>
      <c r="EVZ29" s="28"/>
      <c r="EWA29" s="28"/>
      <c r="EWB29" s="28"/>
      <c r="EWC29" s="28"/>
      <c r="EWD29" s="28"/>
      <c r="EWE29" s="28"/>
      <c r="EWF29" s="28"/>
      <c r="EWG29" s="28"/>
      <c r="EWH29" s="28"/>
      <c r="EWI29" s="28"/>
      <c r="EWJ29" s="28"/>
      <c r="EWK29" s="28"/>
      <c r="EWL29" s="28"/>
      <c r="EWM29" s="28"/>
      <c r="EWN29" s="28"/>
      <c r="EWO29" s="28"/>
      <c r="EWP29" s="28"/>
      <c r="EWQ29" s="28"/>
      <c r="EWR29" s="28"/>
      <c r="EWS29" s="28"/>
      <c r="EWT29" s="28"/>
      <c r="EWU29" s="28"/>
      <c r="EWV29" s="28"/>
      <c r="EWW29" s="28"/>
      <c r="EWX29" s="28"/>
      <c r="EWY29" s="28"/>
      <c r="EWZ29" s="28"/>
      <c r="EXA29" s="28"/>
      <c r="EXB29" s="28"/>
      <c r="EXC29" s="28"/>
      <c r="EXD29" s="28"/>
      <c r="EXE29" s="28"/>
      <c r="EXF29" s="28"/>
      <c r="EXG29" s="28"/>
      <c r="EXH29" s="28"/>
      <c r="EXI29" s="28"/>
      <c r="EXJ29" s="28"/>
      <c r="EXK29" s="28"/>
      <c r="EXL29" s="28"/>
      <c r="EXM29" s="28"/>
      <c r="EXN29" s="28"/>
      <c r="EXO29" s="28"/>
      <c r="EXP29" s="28"/>
      <c r="EXQ29" s="28"/>
      <c r="EXR29" s="28"/>
      <c r="EXS29" s="28"/>
      <c r="EXT29" s="28"/>
      <c r="EXU29" s="28"/>
      <c r="EXV29" s="28"/>
      <c r="EXW29" s="28"/>
      <c r="EXX29" s="28"/>
      <c r="EXY29" s="28"/>
      <c r="EXZ29" s="28"/>
      <c r="EYA29" s="28"/>
      <c r="EYB29" s="28"/>
      <c r="EYC29" s="28"/>
      <c r="EYD29" s="28"/>
      <c r="EYE29" s="28"/>
      <c r="EYF29" s="28"/>
      <c r="EYG29" s="28"/>
      <c r="EYH29" s="28"/>
      <c r="EYI29" s="28"/>
      <c r="EYJ29" s="28"/>
      <c r="EYK29" s="28"/>
      <c r="EYL29" s="28"/>
      <c r="EYM29" s="28"/>
      <c r="EYN29" s="28"/>
      <c r="EYO29" s="28"/>
      <c r="EYP29" s="28"/>
      <c r="EYQ29" s="28"/>
      <c r="EYR29" s="28"/>
      <c r="EYS29" s="28"/>
      <c r="EYT29" s="28"/>
      <c r="EYU29" s="28"/>
      <c r="EYV29" s="28"/>
      <c r="EYW29" s="28"/>
      <c r="EYX29" s="28"/>
      <c r="EYY29" s="28"/>
      <c r="EYZ29" s="28"/>
      <c r="EZA29" s="28"/>
      <c r="EZB29" s="28"/>
      <c r="EZC29" s="28"/>
      <c r="EZD29" s="28"/>
      <c r="EZE29" s="28"/>
      <c r="EZF29" s="28"/>
      <c r="EZG29" s="28"/>
      <c r="EZH29" s="28"/>
      <c r="EZI29" s="28"/>
      <c r="EZJ29" s="28"/>
      <c r="EZK29" s="28"/>
      <c r="EZL29" s="28"/>
      <c r="EZM29" s="28"/>
      <c r="EZN29" s="28"/>
      <c r="EZO29" s="28"/>
      <c r="EZP29" s="28"/>
      <c r="EZQ29" s="28"/>
      <c r="EZR29" s="28"/>
      <c r="EZS29" s="28"/>
      <c r="EZT29" s="28"/>
      <c r="EZU29" s="28"/>
      <c r="EZV29" s="28"/>
      <c r="EZW29" s="28"/>
      <c r="EZX29" s="28"/>
      <c r="EZY29" s="28"/>
      <c r="EZZ29" s="28"/>
      <c r="FAA29" s="28"/>
      <c r="FAB29" s="28"/>
      <c r="FAC29" s="28"/>
      <c r="FAD29" s="28"/>
      <c r="FAE29" s="28"/>
      <c r="FAF29" s="28"/>
      <c r="FAG29" s="28"/>
      <c r="FAH29" s="28"/>
      <c r="FAI29" s="28"/>
      <c r="FAJ29" s="28"/>
      <c r="FAK29" s="28"/>
      <c r="FAL29" s="28"/>
      <c r="FAM29" s="28"/>
      <c r="FAN29" s="28"/>
      <c r="FAO29" s="28"/>
      <c r="FAP29" s="28"/>
      <c r="FAQ29" s="28"/>
      <c r="FAR29" s="28"/>
      <c r="FAS29" s="28"/>
      <c r="FAT29" s="28"/>
      <c r="FAU29" s="28"/>
      <c r="FAV29" s="28"/>
      <c r="FAW29" s="28"/>
      <c r="FAX29" s="28"/>
      <c r="FAY29" s="28"/>
      <c r="FAZ29" s="28"/>
      <c r="FBA29" s="28"/>
      <c r="FBB29" s="28"/>
      <c r="FBC29" s="28"/>
      <c r="FBD29" s="28"/>
      <c r="FBE29" s="28"/>
      <c r="FBF29" s="28"/>
      <c r="FBG29" s="28"/>
      <c r="FBH29" s="28"/>
      <c r="FBI29" s="28"/>
      <c r="FBJ29" s="28"/>
      <c r="FBK29" s="28"/>
      <c r="FBL29" s="28"/>
      <c r="FBM29" s="28"/>
      <c r="FBN29" s="28"/>
      <c r="FBO29" s="28"/>
      <c r="FBP29" s="28"/>
      <c r="FBQ29" s="28"/>
      <c r="FBR29" s="28"/>
      <c r="FBS29" s="28"/>
      <c r="FBT29" s="28"/>
      <c r="FBU29" s="28"/>
      <c r="FBV29" s="28"/>
      <c r="FBW29" s="28"/>
      <c r="FBX29" s="28"/>
      <c r="FBY29" s="28"/>
      <c r="FBZ29" s="28"/>
      <c r="FCA29" s="28"/>
      <c r="FCB29" s="28"/>
      <c r="FCC29" s="28"/>
      <c r="FCD29" s="28"/>
      <c r="FCE29" s="28"/>
      <c r="FCF29" s="28"/>
      <c r="FCG29" s="28"/>
      <c r="FCH29" s="28"/>
      <c r="FCI29" s="28"/>
      <c r="FCJ29" s="28"/>
      <c r="FCK29" s="28"/>
      <c r="FCL29" s="28"/>
      <c r="FCM29" s="28"/>
      <c r="FCN29" s="28"/>
      <c r="FCO29" s="28"/>
      <c r="FCP29" s="28"/>
      <c r="FCQ29" s="28"/>
      <c r="FCR29" s="28"/>
      <c r="FCS29" s="28"/>
      <c r="FCT29" s="28"/>
      <c r="FCU29" s="28"/>
      <c r="FCV29" s="28"/>
      <c r="FCW29" s="28"/>
      <c r="FCX29" s="28"/>
      <c r="FCY29" s="28"/>
      <c r="FCZ29" s="28"/>
      <c r="FDA29" s="28"/>
      <c r="FDB29" s="28"/>
      <c r="FDC29" s="28"/>
      <c r="FDD29" s="28"/>
      <c r="FDE29" s="28"/>
      <c r="FDF29" s="28"/>
      <c r="FDG29" s="28"/>
      <c r="FDH29" s="28"/>
      <c r="FDI29" s="28"/>
      <c r="FDJ29" s="28"/>
      <c r="FDK29" s="28"/>
      <c r="FDL29" s="28"/>
      <c r="FDM29" s="28"/>
      <c r="FDN29" s="28"/>
      <c r="FDO29" s="28"/>
      <c r="FDP29" s="28"/>
      <c r="FDQ29" s="28"/>
      <c r="FDR29" s="28"/>
      <c r="FDS29" s="28"/>
      <c r="FDT29" s="28"/>
      <c r="FDU29" s="28"/>
      <c r="FDV29" s="28"/>
      <c r="FDW29" s="28"/>
      <c r="FDX29" s="28"/>
      <c r="FDY29" s="28"/>
      <c r="FDZ29" s="28"/>
      <c r="FEA29" s="28"/>
      <c r="FEB29" s="28"/>
      <c r="FEC29" s="28"/>
      <c r="FED29" s="28"/>
      <c r="FEE29" s="28"/>
      <c r="FEF29" s="28"/>
      <c r="FEG29" s="28"/>
      <c r="FEH29" s="28"/>
      <c r="FEI29" s="28"/>
      <c r="FEJ29" s="28"/>
      <c r="FEK29" s="28"/>
      <c r="FEL29" s="28"/>
      <c r="FEM29" s="28"/>
      <c r="FEN29" s="28"/>
      <c r="FEO29" s="28"/>
      <c r="FEP29" s="28"/>
      <c r="FEQ29" s="28"/>
      <c r="FER29" s="28"/>
      <c r="FES29" s="28"/>
      <c r="FET29" s="28"/>
      <c r="FEU29" s="28"/>
      <c r="FEV29" s="28"/>
      <c r="FEW29" s="28"/>
      <c r="FEX29" s="28"/>
      <c r="FEY29" s="28"/>
      <c r="FEZ29" s="28"/>
      <c r="FFA29" s="28"/>
      <c r="FFB29" s="28"/>
      <c r="FFC29" s="28"/>
      <c r="FFD29" s="28"/>
      <c r="FFE29" s="28"/>
      <c r="FFF29" s="28"/>
      <c r="FFG29" s="28"/>
      <c r="FFH29" s="28"/>
      <c r="FFI29" s="28"/>
      <c r="FFJ29" s="28"/>
      <c r="FFK29" s="28"/>
      <c r="FFL29" s="28"/>
      <c r="FFM29" s="28"/>
      <c r="FFN29" s="28"/>
      <c r="FFO29" s="28"/>
      <c r="FFP29" s="28"/>
      <c r="FFQ29" s="28"/>
      <c r="FFR29" s="28"/>
      <c r="FFS29" s="28"/>
      <c r="FFT29" s="28"/>
      <c r="FFU29" s="28"/>
      <c r="FFV29" s="28"/>
      <c r="FFW29" s="28"/>
      <c r="FFX29" s="28"/>
      <c r="FFY29" s="28"/>
      <c r="FFZ29" s="28"/>
      <c r="FGA29" s="28"/>
      <c r="FGB29" s="28"/>
      <c r="FGC29" s="28"/>
      <c r="FGD29" s="28"/>
      <c r="FGE29" s="28"/>
      <c r="FGF29" s="28"/>
      <c r="FGG29" s="28"/>
      <c r="FGH29" s="28"/>
      <c r="FGI29" s="28"/>
      <c r="FGJ29" s="28"/>
      <c r="FGK29" s="28"/>
      <c r="FGL29" s="28"/>
      <c r="FGM29" s="28"/>
      <c r="FGN29" s="28"/>
      <c r="FGO29" s="28"/>
      <c r="FGP29" s="28"/>
      <c r="FGQ29" s="28"/>
      <c r="FGR29" s="28"/>
      <c r="FGS29" s="28"/>
      <c r="FGT29" s="28"/>
      <c r="FGU29" s="28"/>
      <c r="FGV29" s="28"/>
      <c r="FGW29" s="28"/>
      <c r="FGX29" s="28"/>
      <c r="FGY29" s="28"/>
      <c r="FGZ29" s="28"/>
      <c r="FHA29" s="28"/>
      <c r="FHB29" s="28"/>
      <c r="FHC29" s="28"/>
      <c r="FHD29" s="28"/>
      <c r="FHE29" s="28"/>
      <c r="FHF29" s="28"/>
      <c r="FHG29" s="28"/>
      <c r="FHH29" s="28"/>
      <c r="FHI29" s="28"/>
      <c r="FHJ29" s="28"/>
      <c r="FHK29" s="28"/>
      <c r="FHL29" s="28"/>
      <c r="FHM29" s="28"/>
      <c r="FHN29" s="28"/>
      <c r="FHO29" s="28"/>
      <c r="FHP29" s="28"/>
      <c r="FHQ29" s="28"/>
      <c r="FHR29" s="28"/>
      <c r="FHS29" s="28"/>
      <c r="FHT29" s="28"/>
      <c r="FHU29" s="28"/>
      <c r="FHV29" s="28"/>
      <c r="FHW29" s="28"/>
      <c r="FHX29" s="28"/>
      <c r="FHY29" s="28"/>
      <c r="FHZ29" s="28"/>
      <c r="FIA29" s="28"/>
      <c r="FIB29" s="28"/>
      <c r="FIC29" s="28"/>
      <c r="FID29" s="28"/>
      <c r="FIE29" s="28"/>
      <c r="FIF29" s="28"/>
      <c r="FIG29" s="28"/>
      <c r="FIH29" s="28"/>
      <c r="FII29" s="28"/>
      <c r="FIJ29" s="28"/>
      <c r="FIK29" s="28"/>
      <c r="FIL29" s="28"/>
      <c r="FIM29" s="28"/>
      <c r="FIN29" s="28"/>
      <c r="FIO29" s="28"/>
      <c r="FIP29" s="28"/>
      <c r="FIQ29" s="28"/>
      <c r="FIR29" s="28"/>
      <c r="FIS29" s="28"/>
      <c r="FIT29" s="28"/>
      <c r="FIU29" s="28"/>
      <c r="FIV29" s="28"/>
      <c r="FIW29" s="28"/>
      <c r="FIX29" s="28"/>
      <c r="FIY29" s="28"/>
      <c r="FIZ29" s="28"/>
      <c r="FJA29" s="28"/>
      <c r="FJB29" s="28"/>
      <c r="FJC29" s="28"/>
      <c r="FJD29" s="28"/>
      <c r="FJE29" s="28"/>
      <c r="FJF29" s="28"/>
      <c r="FJG29" s="28"/>
      <c r="FJH29" s="28"/>
      <c r="FJI29" s="28"/>
      <c r="FJJ29" s="28"/>
      <c r="FJK29" s="28"/>
      <c r="FJL29" s="28"/>
      <c r="FJM29" s="28"/>
      <c r="FJN29" s="28"/>
      <c r="FJO29" s="28"/>
      <c r="FJP29" s="28"/>
      <c r="FJQ29" s="28"/>
      <c r="FJR29" s="28"/>
      <c r="FJS29" s="28"/>
      <c r="FJT29" s="28"/>
      <c r="FJU29" s="28"/>
      <c r="FJV29" s="28"/>
      <c r="FJW29" s="28"/>
      <c r="FJX29" s="28"/>
      <c r="FJY29" s="28"/>
      <c r="FJZ29" s="28"/>
      <c r="FKA29" s="28"/>
      <c r="FKB29" s="28"/>
      <c r="FKC29" s="28"/>
      <c r="FKD29" s="28"/>
      <c r="FKE29" s="28"/>
      <c r="FKF29" s="28"/>
      <c r="FKG29" s="28"/>
      <c r="FKH29" s="28"/>
      <c r="FKI29" s="28"/>
      <c r="FKJ29" s="28"/>
      <c r="FKK29" s="28"/>
      <c r="FKL29" s="28"/>
      <c r="FKM29" s="28"/>
      <c r="FKN29" s="28"/>
      <c r="FKO29" s="28"/>
      <c r="FKP29" s="28"/>
      <c r="FKQ29" s="28"/>
      <c r="FKR29" s="28"/>
      <c r="FKS29" s="28"/>
      <c r="FKT29" s="28"/>
      <c r="FKU29" s="28"/>
      <c r="FKV29" s="28"/>
      <c r="FKW29" s="28"/>
      <c r="FKX29" s="28"/>
      <c r="FKY29" s="28"/>
      <c r="FKZ29" s="28"/>
      <c r="FLA29" s="28"/>
      <c r="FLB29" s="28"/>
      <c r="FLC29" s="28"/>
      <c r="FLD29" s="28"/>
      <c r="FLE29" s="28"/>
      <c r="FLF29" s="28"/>
      <c r="FLG29" s="28"/>
      <c r="FLH29" s="28"/>
      <c r="FLI29" s="28"/>
      <c r="FLJ29" s="28"/>
      <c r="FLK29" s="28"/>
      <c r="FLL29" s="28"/>
      <c r="FLM29" s="28"/>
      <c r="FLN29" s="28"/>
      <c r="FLO29" s="28"/>
      <c r="FLP29" s="28"/>
      <c r="FLQ29" s="28"/>
      <c r="FLR29" s="28"/>
      <c r="FLS29" s="28"/>
      <c r="FLT29" s="28"/>
      <c r="FLU29" s="28"/>
      <c r="FLV29" s="28"/>
      <c r="FLW29" s="28"/>
      <c r="FLX29" s="28"/>
      <c r="FLY29" s="28"/>
      <c r="FLZ29" s="28"/>
      <c r="FMA29" s="28"/>
      <c r="FMB29" s="28"/>
      <c r="FMC29" s="28"/>
      <c r="FMD29" s="28"/>
      <c r="FME29" s="28"/>
      <c r="FMF29" s="28"/>
      <c r="FMG29" s="28"/>
      <c r="FMH29" s="28"/>
      <c r="FMI29" s="28"/>
      <c r="FMJ29" s="28"/>
      <c r="FMK29" s="28"/>
      <c r="FML29" s="28"/>
      <c r="FMM29" s="28"/>
      <c r="FMN29" s="28"/>
      <c r="FMO29" s="28"/>
      <c r="FMP29" s="28"/>
      <c r="FMQ29" s="28"/>
      <c r="FMR29" s="28"/>
      <c r="FMS29" s="28"/>
      <c r="FMT29" s="28"/>
      <c r="FMU29" s="28"/>
      <c r="FMV29" s="28"/>
      <c r="FMW29" s="28"/>
      <c r="FMX29" s="28"/>
      <c r="FMY29" s="28"/>
      <c r="FMZ29" s="28"/>
      <c r="FNA29" s="28"/>
      <c r="FNB29" s="28"/>
      <c r="FNC29" s="28"/>
      <c r="FND29" s="28"/>
      <c r="FNE29" s="28"/>
      <c r="FNF29" s="28"/>
      <c r="FNG29" s="28"/>
      <c r="FNH29" s="28"/>
      <c r="FNI29" s="28"/>
      <c r="FNJ29" s="28"/>
      <c r="FNK29" s="28"/>
      <c r="FNL29" s="28"/>
      <c r="FNM29" s="28"/>
      <c r="FNN29" s="28"/>
      <c r="FNO29" s="28"/>
      <c r="FNP29" s="28"/>
      <c r="FNQ29" s="28"/>
      <c r="FNR29" s="28"/>
      <c r="FNS29" s="28"/>
      <c r="FNT29" s="28"/>
      <c r="FNU29" s="28"/>
      <c r="FNV29" s="28"/>
      <c r="FNW29" s="28"/>
      <c r="FNX29" s="28"/>
      <c r="FNY29" s="28"/>
      <c r="FNZ29" s="28"/>
      <c r="FOA29" s="28"/>
      <c r="FOB29" s="28"/>
      <c r="FOC29" s="28"/>
      <c r="FOD29" s="28"/>
      <c r="FOE29" s="28"/>
      <c r="FOF29" s="28"/>
      <c r="FOG29" s="28"/>
      <c r="FOH29" s="28"/>
      <c r="FOI29" s="28"/>
      <c r="FOJ29" s="28"/>
      <c r="FOK29" s="28"/>
      <c r="FOL29" s="28"/>
      <c r="FOM29" s="28"/>
      <c r="FON29" s="28"/>
      <c r="FOO29" s="28"/>
      <c r="FOP29" s="28"/>
      <c r="FOQ29" s="28"/>
      <c r="FOR29" s="28"/>
      <c r="FOS29" s="28"/>
      <c r="FOT29" s="28"/>
      <c r="FOU29" s="28"/>
      <c r="FOV29" s="28"/>
      <c r="FOW29" s="28"/>
      <c r="FOX29" s="28"/>
      <c r="FOY29" s="28"/>
      <c r="FOZ29" s="28"/>
      <c r="FPA29" s="28"/>
      <c r="FPB29" s="28"/>
      <c r="FPC29" s="28"/>
      <c r="FPD29" s="28"/>
      <c r="FPE29" s="28"/>
      <c r="FPF29" s="28"/>
      <c r="FPG29" s="28"/>
      <c r="FPH29" s="28"/>
      <c r="FPI29" s="28"/>
      <c r="FPJ29" s="28"/>
      <c r="FPK29" s="28"/>
      <c r="FPL29" s="28"/>
      <c r="FPM29" s="28"/>
      <c r="FPN29" s="28"/>
      <c r="FPO29" s="28"/>
      <c r="FPP29" s="28"/>
      <c r="FPQ29" s="28"/>
      <c r="FPR29" s="28"/>
      <c r="FPS29" s="28"/>
      <c r="FPT29" s="28"/>
      <c r="FPU29" s="28"/>
      <c r="FPV29" s="28"/>
      <c r="FPW29" s="28"/>
      <c r="FPX29" s="28"/>
      <c r="FPY29" s="28"/>
      <c r="FPZ29" s="28"/>
      <c r="FQA29" s="28"/>
      <c r="FQB29" s="28"/>
      <c r="FQC29" s="28"/>
      <c r="FQD29" s="28"/>
      <c r="FQE29" s="28"/>
      <c r="FQF29" s="28"/>
      <c r="FQG29" s="28"/>
      <c r="FQH29" s="28"/>
      <c r="FQI29" s="28"/>
      <c r="FQJ29" s="28"/>
      <c r="FQK29" s="28"/>
      <c r="FQL29" s="28"/>
      <c r="FQM29" s="28"/>
      <c r="FQN29" s="28"/>
      <c r="FQO29" s="28"/>
      <c r="FQP29" s="28"/>
      <c r="FQQ29" s="28"/>
      <c r="FQR29" s="28"/>
      <c r="FQS29" s="28"/>
      <c r="FQT29" s="28"/>
      <c r="FQU29" s="28"/>
      <c r="FQV29" s="28"/>
      <c r="FQW29" s="28"/>
      <c r="FQX29" s="28"/>
      <c r="FQY29" s="28"/>
      <c r="FQZ29" s="28"/>
      <c r="FRA29" s="28"/>
      <c r="FRB29" s="28"/>
      <c r="FRC29" s="28"/>
      <c r="FRD29" s="28"/>
      <c r="FRE29" s="28"/>
      <c r="FRF29" s="28"/>
      <c r="FRG29" s="28"/>
      <c r="FRH29" s="28"/>
      <c r="FRI29" s="28"/>
      <c r="FRJ29" s="28"/>
      <c r="FRK29" s="28"/>
      <c r="FRL29" s="28"/>
      <c r="FRM29" s="28"/>
      <c r="FRN29" s="28"/>
      <c r="FRO29" s="28"/>
      <c r="FRP29" s="28"/>
      <c r="FRQ29" s="28"/>
      <c r="FRR29" s="28"/>
      <c r="FRS29" s="28"/>
      <c r="FRT29" s="28"/>
      <c r="FRU29" s="28"/>
      <c r="FRV29" s="28"/>
      <c r="FRW29" s="28"/>
      <c r="FRX29" s="28"/>
      <c r="FRY29" s="28"/>
      <c r="FRZ29" s="28"/>
      <c r="FSA29" s="28"/>
      <c r="FSB29" s="28"/>
      <c r="FSC29" s="28"/>
      <c r="FSD29" s="28"/>
      <c r="FSE29" s="28"/>
      <c r="FSF29" s="28"/>
      <c r="FSG29" s="28"/>
      <c r="FSH29" s="28"/>
      <c r="FSI29" s="28"/>
      <c r="FSJ29" s="28"/>
      <c r="FSK29" s="28"/>
      <c r="FSL29" s="28"/>
      <c r="FSM29" s="28"/>
      <c r="FSN29" s="28"/>
      <c r="FSO29" s="28"/>
      <c r="FSP29" s="28"/>
      <c r="FSQ29" s="28"/>
      <c r="FSR29" s="28"/>
      <c r="FSS29" s="28"/>
      <c r="FST29" s="28"/>
      <c r="FSU29" s="28"/>
      <c r="FSV29" s="28"/>
      <c r="FSW29" s="28"/>
      <c r="FSX29" s="28"/>
      <c r="FSY29" s="28"/>
      <c r="FSZ29" s="28"/>
      <c r="FTA29" s="28"/>
      <c r="FTB29" s="28"/>
      <c r="FTC29" s="28"/>
      <c r="FTD29" s="28"/>
      <c r="FTE29" s="28"/>
      <c r="FTF29" s="28"/>
      <c r="FTG29" s="28"/>
      <c r="FTH29" s="28"/>
      <c r="FTI29" s="28"/>
      <c r="FTJ29" s="28"/>
      <c r="FTK29" s="28"/>
      <c r="FTL29" s="28"/>
      <c r="FTM29" s="28"/>
      <c r="FTN29" s="28"/>
      <c r="FTO29" s="28"/>
      <c r="FTP29" s="28"/>
      <c r="FTQ29" s="28"/>
      <c r="FTR29" s="28"/>
      <c r="FTS29" s="28"/>
      <c r="FTT29" s="28"/>
      <c r="FTU29" s="28"/>
      <c r="FTV29" s="28"/>
      <c r="FTW29" s="28"/>
      <c r="FTX29" s="28"/>
      <c r="FTY29" s="28"/>
      <c r="FTZ29" s="28"/>
      <c r="FUA29" s="28"/>
      <c r="FUB29" s="28"/>
      <c r="FUC29" s="28"/>
      <c r="FUD29" s="28"/>
      <c r="FUE29" s="28"/>
      <c r="FUF29" s="28"/>
      <c r="FUG29" s="28"/>
      <c r="FUH29" s="28"/>
      <c r="FUI29" s="28"/>
      <c r="FUJ29" s="28"/>
      <c r="FUK29" s="28"/>
      <c r="FUL29" s="28"/>
      <c r="FUM29" s="28"/>
      <c r="FUN29" s="28"/>
      <c r="FUO29" s="28"/>
      <c r="FUP29" s="28"/>
      <c r="FUQ29" s="28"/>
      <c r="FUR29" s="28"/>
      <c r="FUS29" s="28"/>
      <c r="FUT29" s="28"/>
      <c r="FUU29" s="28"/>
      <c r="FUV29" s="28"/>
      <c r="FUW29" s="28"/>
      <c r="FUX29" s="28"/>
      <c r="FUY29" s="28"/>
      <c r="FUZ29" s="28"/>
      <c r="FVA29" s="28"/>
      <c r="FVB29" s="28"/>
      <c r="FVC29" s="28"/>
      <c r="FVD29" s="28"/>
      <c r="FVE29" s="28"/>
      <c r="FVF29" s="28"/>
      <c r="FVG29" s="28"/>
      <c r="FVH29" s="28"/>
      <c r="FVI29" s="28"/>
      <c r="FVJ29" s="28"/>
      <c r="FVK29" s="28"/>
      <c r="FVL29" s="28"/>
      <c r="FVM29" s="28"/>
      <c r="FVN29" s="28"/>
      <c r="FVO29" s="28"/>
      <c r="FVP29" s="28"/>
      <c r="FVQ29" s="28"/>
      <c r="FVR29" s="28"/>
      <c r="FVS29" s="28"/>
      <c r="FVT29" s="28"/>
      <c r="FVU29" s="28"/>
      <c r="FVV29" s="28"/>
      <c r="FVW29" s="28"/>
      <c r="FVX29" s="28"/>
      <c r="FVY29" s="28"/>
      <c r="FVZ29" s="28"/>
      <c r="FWA29" s="28"/>
      <c r="FWB29" s="28"/>
      <c r="FWC29" s="28"/>
      <c r="FWD29" s="28"/>
      <c r="FWE29" s="28"/>
      <c r="FWF29" s="28"/>
      <c r="FWG29" s="28"/>
      <c r="FWH29" s="28"/>
      <c r="FWI29" s="28"/>
      <c r="FWJ29" s="28"/>
      <c r="FWK29" s="28"/>
      <c r="FWL29" s="28"/>
      <c r="FWM29" s="28"/>
      <c r="FWN29" s="28"/>
      <c r="FWO29" s="28"/>
      <c r="FWP29" s="28"/>
      <c r="FWQ29" s="28"/>
      <c r="FWR29" s="28"/>
      <c r="FWS29" s="28"/>
      <c r="FWT29" s="28"/>
      <c r="FWU29" s="28"/>
      <c r="FWV29" s="28"/>
      <c r="FWW29" s="28"/>
      <c r="FWX29" s="28"/>
      <c r="FWY29" s="28"/>
      <c r="FWZ29" s="28"/>
      <c r="FXA29" s="28"/>
      <c r="FXB29" s="28"/>
      <c r="FXC29" s="28"/>
      <c r="FXD29" s="28"/>
      <c r="FXE29" s="28"/>
      <c r="FXF29" s="28"/>
      <c r="FXG29" s="28"/>
      <c r="FXH29" s="28"/>
      <c r="FXI29" s="28"/>
      <c r="FXJ29" s="28"/>
      <c r="FXK29" s="28"/>
      <c r="FXL29" s="28"/>
      <c r="FXM29" s="28"/>
      <c r="FXN29" s="28"/>
      <c r="FXO29" s="28"/>
      <c r="FXP29" s="28"/>
      <c r="FXQ29" s="28"/>
      <c r="FXR29" s="28"/>
      <c r="FXS29" s="28"/>
      <c r="FXT29" s="28"/>
      <c r="FXU29" s="28"/>
      <c r="FXV29" s="28"/>
      <c r="FXW29" s="28"/>
      <c r="FXX29" s="28"/>
      <c r="FXY29" s="28"/>
      <c r="FXZ29" s="28"/>
      <c r="FYA29" s="28"/>
      <c r="FYB29" s="28"/>
      <c r="FYC29" s="28"/>
      <c r="FYD29" s="28"/>
      <c r="FYE29" s="28"/>
      <c r="FYF29" s="28"/>
      <c r="FYG29" s="28"/>
      <c r="FYH29" s="28"/>
      <c r="FYI29" s="28"/>
      <c r="FYJ29" s="28"/>
      <c r="FYK29" s="28"/>
      <c r="FYL29" s="28"/>
      <c r="FYM29" s="28"/>
      <c r="FYN29" s="28"/>
      <c r="FYO29" s="28"/>
      <c r="FYP29" s="28"/>
      <c r="FYQ29" s="28"/>
      <c r="FYR29" s="28"/>
      <c r="FYS29" s="28"/>
      <c r="FYT29" s="28"/>
      <c r="FYU29" s="28"/>
      <c r="FYV29" s="28"/>
      <c r="FYW29" s="28"/>
      <c r="FYX29" s="28"/>
      <c r="FYY29" s="28"/>
      <c r="FYZ29" s="28"/>
      <c r="FZA29" s="28"/>
      <c r="FZB29" s="28"/>
      <c r="FZC29" s="28"/>
      <c r="FZD29" s="28"/>
      <c r="FZE29" s="28"/>
      <c r="FZF29" s="28"/>
      <c r="FZG29" s="28"/>
      <c r="FZH29" s="28"/>
      <c r="FZI29" s="28"/>
      <c r="FZJ29" s="28"/>
      <c r="FZK29" s="28"/>
      <c r="FZL29" s="28"/>
      <c r="FZM29" s="28"/>
      <c r="FZN29" s="28"/>
      <c r="FZO29" s="28"/>
      <c r="FZP29" s="28"/>
      <c r="FZQ29" s="28"/>
      <c r="FZR29" s="28"/>
      <c r="FZS29" s="28"/>
      <c r="FZT29" s="28"/>
      <c r="FZU29" s="28"/>
      <c r="FZV29" s="28"/>
      <c r="FZW29" s="28"/>
      <c r="FZX29" s="28"/>
      <c r="FZY29" s="28"/>
      <c r="FZZ29" s="28"/>
      <c r="GAA29" s="28"/>
      <c r="GAB29" s="28"/>
      <c r="GAC29" s="28"/>
      <c r="GAD29" s="28"/>
      <c r="GAE29" s="28"/>
      <c r="GAF29" s="28"/>
      <c r="GAG29" s="28"/>
      <c r="GAH29" s="28"/>
      <c r="GAI29" s="28"/>
      <c r="GAJ29" s="28"/>
      <c r="GAK29" s="28"/>
      <c r="GAL29" s="28"/>
      <c r="GAM29" s="28"/>
      <c r="GAN29" s="28"/>
      <c r="GAO29" s="28"/>
      <c r="GAP29" s="28"/>
      <c r="GAQ29" s="28"/>
      <c r="GAR29" s="28"/>
      <c r="GAS29" s="28"/>
      <c r="GAT29" s="28"/>
      <c r="GAU29" s="28"/>
      <c r="GAV29" s="28"/>
      <c r="GAW29" s="28"/>
      <c r="GAX29" s="28"/>
      <c r="GAY29" s="28"/>
      <c r="GAZ29" s="28"/>
      <c r="GBA29" s="28"/>
      <c r="GBB29" s="28"/>
      <c r="GBC29" s="28"/>
      <c r="GBD29" s="28"/>
      <c r="GBE29" s="28"/>
      <c r="GBF29" s="28"/>
      <c r="GBG29" s="28"/>
      <c r="GBH29" s="28"/>
      <c r="GBI29" s="28"/>
      <c r="GBJ29" s="28"/>
      <c r="GBK29" s="28"/>
      <c r="GBL29" s="28"/>
      <c r="GBM29" s="28"/>
      <c r="GBN29" s="28"/>
      <c r="GBO29" s="28"/>
      <c r="GBP29" s="28"/>
      <c r="GBQ29" s="28"/>
      <c r="GBR29" s="28"/>
      <c r="GBS29" s="28"/>
      <c r="GBT29" s="28"/>
      <c r="GBU29" s="28"/>
      <c r="GBV29" s="28"/>
      <c r="GBW29" s="28"/>
      <c r="GBX29" s="28"/>
      <c r="GBY29" s="28"/>
      <c r="GBZ29" s="28"/>
      <c r="GCA29" s="28"/>
      <c r="GCB29" s="28"/>
      <c r="GCC29" s="28"/>
      <c r="GCD29" s="28"/>
      <c r="GCE29" s="28"/>
      <c r="GCF29" s="28"/>
      <c r="GCG29" s="28"/>
      <c r="GCH29" s="28"/>
      <c r="GCI29" s="28"/>
      <c r="GCJ29" s="28"/>
      <c r="GCK29" s="28"/>
      <c r="GCL29" s="28"/>
      <c r="GCM29" s="28"/>
      <c r="GCN29" s="28"/>
      <c r="GCO29" s="28"/>
      <c r="GCP29" s="28"/>
      <c r="GCQ29" s="28"/>
      <c r="GCR29" s="28"/>
      <c r="GCS29" s="28"/>
      <c r="GCT29" s="28"/>
      <c r="GCU29" s="28"/>
      <c r="GCV29" s="28"/>
      <c r="GCW29" s="28"/>
      <c r="GCX29" s="28"/>
      <c r="GCY29" s="28"/>
      <c r="GCZ29" s="28"/>
      <c r="GDA29" s="28"/>
      <c r="GDB29" s="28"/>
      <c r="GDC29" s="28"/>
      <c r="GDD29" s="28"/>
      <c r="GDE29" s="28"/>
      <c r="GDF29" s="28"/>
      <c r="GDG29" s="28"/>
      <c r="GDH29" s="28"/>
      <c r="GDI29" s="28"/>
      <c r="GDJ29" s="28"/>
      <c r="GDK29" s="28"/>
      <c r="GDL29" s="28"/>
      <c r="GDM29" s="28"/>
      <c r="GDN29" s="28"/>
      <c r="GDO29" s="28"/>
      <c r="GDP29" s="28"/>
      <c r="GDQ29" s="28"/>
      <c r="GDR29" s="28"/>
      <c r="GDS29" s="28"/>
      <c r="GDT29" s="28"/>
      <c r="GDU29" s="28"/>
      <c r="GDV29" s="28"/>
      <c r="GDW29" s="28"/>
      <c r="GDX29" s="28"/>
      <c r="GDY29" s="28"/>
      <c r="GDZ29" s="28"/>
      <c r="GEA29" s="28"/>
      <c r="GEB29" s="28"/>
      <c r="GEC29" s="28"/>
      <c r="GED29" s="28"/>
      <c r="GEE29" s="28"/>
      <c r="GEF29" s="28"/>
      <c r="GEG29" s="28"/>
      <c r="GEH29" s="28"/>
      <c r="GEI29" s="28"/>
      <c r="GEJ29" s="28"/>
      <c r="GEK29" s="28"/>
      <c r="GEL29" s="28"/>
      <c r="GEM29" s="28"/>
      <c r="GEN29" s="28"/>
      <c r="GEO29" s="28"/>
      <c r="GEP29" s="28"/>
      <c r="GEQ29" s="28"/>
      <c r="GER29" s="28"/>
      <c r="GES29" s="28"/>
      <c r="GET29" s="28"/>
      <c r="GEU29" s="28"/>
      <c r="GEV29" s="28"/>
      <c r="GEW29" s="28"/>
      <c r="GEX29" s="28"/>
      <c r="GEY29" s="28"/>
      <c r="GEZ29" s="28"/>
      <c r="GFA29" s="28"/>
      <c r="GFB29" s="28"/>
      <c r="GFC29" s="28"/>
      <c r="GFD29" s="28"/>
      <c r="GFE29" s="28"/>
      <c r="GFF29" s="28"/>
      <c r="GFG29" s="28"/>
      <c r="GFH29" s="28"/>
      <c r="GFI29" s="28"/>
      <c r="GFJ29" s="28"/>
      <c r="GFK29" s="28"/>
      <c r="GFL29" s="28"/>
      <c r="GFM29" s="28"/>
      <c r="GFN29" s="28"/>
      <c r="GFO29" s="28"/>
      <c r="GFP29" s="28"/>
      <c r="GFQ29" s="28"/>
      <c r="GFR29" s="28"/>
      <c r="GFS29" s="28"/>
      <c r="GFT29" s="28"/>
      <c r="GFU29" s="28"/>
      <c r="GFV29" s="28"/>
      <c r="GFW29" s="28"/>
      <c r="GFX29" s="28"/>
      <c r="GFY29" s="28"/>
      <c r="GFZ29" s="28"/>
      <c r="GGA29" s="28"/>
      <c r="GGB29" s="28"/>
      <c r="GGC29" s="28"/>
      <c r="GGD29" s="28"/>
      <c r="GGE29" s="28"/>
      <c r="GGF29" s="28"/>
      <c r="GGG29" s="28"/>
      <c r="GGH29" s="28"/>
      <c r="GGI29" s="28"/>
      <c r="GGJ29" s="28"/>
      <c r="GGK29" s="28"/>
      <c r="GGL29" s="28"/>
      <c r="GGM29" s="28"/>
      <c r="GGN29" s="28"/>
      <c r="GGO29" s="28"/>
      <c r="GGP29" s="28"/>
      <c r="GGQ29" s="28"/>
      <c r="GGR29" s="28"/>
      <c r="GGS29" s="28"/>
      <c r="GGT29" s="28"/>
      <c r="GGU29" s="28"/>
      <c r="GGV29" s="28"/>
      <c r="GGW29" s="28"/>
      <c r="GGX29" s="28"/>
      <c r="GGY29" s="28"/>
      <c r="GGZ29" s="28"/>
      <c r="GHA29" s="28"/>
      <c r="GHB29" s="28"/>
      <c r="GHC29" s="28"/>
      <c r="GHD29" s="28"/>
      <c r="GHE29" s="28"/>
      <c r="GHF29" s="28"/>
      <c r="GHG29" s="28"/>
      <c r="GHH29" s="28"/>
      <c r="GHI29" s="28"/>
      <c r="GHJ29" s="28"/>
      <c r="GHK29" s="28"/>
      <c r="GHL29" s="28"/>
      <c r="GHM29" s="28"/>
      <c r="GHN29" s="28"/>
      <c r="GHO29" s="28"/>
      <c r="GHP29" s="28"/>
      <c r="GHQ29" s="28"/>
      <c r="GHR29" s="28"/>
      <c r="GHS29" s="28"/>
      <c r="GHT29" s="28"/>
      <c r="GHU29" s="28"/>
      <c r="GHV29" s="28"/>
      <c r="GHW29" s="28"/>
      <c r="GHX29" s="28"/>
      <c r="GHY29" s="28"/>
      <c r="GHZ29" s="28"/>
      <c r="GIA29" s="28"/>
      <c r="GIB29" s="28"/>
      <c r="GIC29" s="28"/>
      <c r="GID29" s="28"/>
      <c r="GIE29" s="28"/>
      <c r="GIF29" s="28"/>
      <c r="GIG29" s="28"/>
      <c r="GIH29" s="28"/>
      <c r="GII29" s="28"/>
      <c r="GIJ29" s="28"/>
      <c r="GIK29" s="28"/>
      <c r="GIL29" s="28"/>
      <c r="GIM29" s="28"/>
      <c r="GIN29" s="28"/>
      <c r="GIO29" s="28"/>
      <c r="GIP29" s="28"/>
      <c r="GIQ29" s="28"/>
      <c r="GIR29" s="28"/>
      <c r="GIS29" s="28"/>
      <c r="GIT29" s="28"/>
      <c r="GIU29" s="28"/>
      <c r="GIV29" s="28"/>
      <c r="GIW29" s="28"/>
      <c r="GIX29" s="28"/>
      <c r="GIY29" s="28"/>
      <c r="GIZ29" s="28"/>
      <c r="GJA29" s="28"/>
      <c r="GJB29" s="28"/>
      <c r="GJC29" s="28"/>
      <c r="GJD29" s="28"/>
      <c r="GJE29" s="28"/>
      <c r="GJF29" s="28"/>
      <c r="GJG29" s="28"/>
      <c r="GJH29" s="28"/>
      <c r="GJI29" s="28"/>
      <c r="GJJ29" s="28"/>
      <c r="GJK29" s="28"/>
      <c r="GJL29" s="28"/>
      <c r="GJM29" s="28"/>
      <c r="GJN29" s="28"/>
      <c r="GJO29" s="28"/>
      <c r="GJP29" s="28"/>
      <c r="GJQ29" s="28"/>
      <c r="GJR29" s="28"/>
      <c r="GJS29" s="28"/>
      <c r="GJT29" s="28"/>
      <c r="GJU29" s="28"/>
      <c r="GJV29" s="28"/>
      <c r="GJW29" s="28"/>
      <c r="GJX29" s="28"/>
      <c r="GJY29" s="28"/>
      <c r="GJZ29" s="28"/>
      <c r="GKA29" s="28"/>
      <c r="GKB29" s="28"/>
      <c r="GKC29" s="28"/>
      <c r="GKD29" s="28"/>
      <c r="GKE29" s="28"/>
      <c r="GKF29" s="28"/>
      <c r="GKG29" s="28"/>
      <c r="GKH29" s="28"/>
      <c r="GKI29" s="28"/>
      <c r="GKJ29" s="28"/>
      <c r="GKK29" s="28"/>
      <c r="GKL29" s="28"/>
      <c r="GKM29" s="28"/>
      <c r="GKN29" s="28"/>
      <c r="GKO29" s="28"/>
      <c r="GKP29" s="28"/>
      <c r="GKQ29" s="28"/>
      <c r="GKR29" s="28"/>
      <c r="GKS29" s="28"/>
      <c r="GKT29" s="28"/>
      <c r="GKU29" s="28"/>
      <c r="GKV29" s="28"/>
      <c r="GKW29" s="28"/>
      <c r="GKX29" s="28"/>
      <c r="GKY29" s="28"/>
      <c r="GKZ29" s="28"/>
      <c r="GLA29" s="28"/>
      <c r="GLB29" s="28"/>
      <c r="GLC29" s="28"/>
      <c r="GLD29" s="28"/>
      <c r="GLE29" s="28"/>
      <c r="GLF29" s="28"/>
      <c r="GLG29" s="28"/>
      <c r="GLH29" s="28"/>
      <c r="GLI29" s="28"/>
      <c r="GLJ29" s="28"/>
      <c r="GLK29" s="28"/>
      <c r="GLL29" s="28"/>
      <c r="GLM29" s="28"/>
      <c r="GLN29" s="28"/>
      <c r="GLO29" s="28"/>
      <c r="GLP29" s="28"/>
      <c r="GLQ29" s="28"/>
      <c r="GLR29" s="28"/>
      <c r="GLS29" s="28"/>
      <c r="GLT29" s="28"/>
      <c r="GLU29" s="28"/>
      <c r="GLV29" s="28"/>
      <c r="GLW29" s="28"/>
      <c r="GLX29" s="28"/>
      <c r="GLY29" s="28"/>
      <c r="GLZ29" s="28"/>
      <c r="GMA29" s="28"/>
      <c r="GMB29" s="28"/>
      <c r="GMC29" s="28"/>
      <c r="GMD29" s="28"/>
      <c r="GME29" s="28"/>
      <c r="GMF29" s="28"/>
      <c r="GMG29" s="28"/>
      <c r="GMH29" s="28"/>
      <c r="GMI29" s="28"/>
      <c r="GMJ29" s="28"/>
      <c r="GMK29" s="28"/>
      <c r="GML29" s="28"/>
      <c r="GMM29" s="28"/>
      <c r="GMN29" s="28"/>
      <c r="GMO29" s="28"/>
      <c r="GMP29" s="28"/>
      <c r="GMQ29" s="28"/>
      <c r="GMR29" s="28"/>
      <c r="GMS29" s="28"/>
      <c r="GMT29" s="28"/>
      <c r="GMU29" s="28"/>
      <c r="GMV29" s="28"/>
      <c r="GMW29" s="28"/>
      <c r="GMX29" s="28"/>
      <c r="GMY29" s="28"/>
      <c r="GMZ29" s="28"/>
      <c r="GNA29" s="28"/>
      <c r="GNB29" s="28"/>
      <c r="GNC29" s="28"/>
      <c r="GND29" s="28"/>
      <c r="GNE29" s="28"/>
      <c r="GNF29" s="28"/>
      <c r="GNG29" s="28"/>
      <c r="GNH29" s="28"/>
      <c r="GNI29" s="28"/>
      <c r="GNJ29" s="28"/>
      <c r="GNK29" s="28"/>
      <c r="GNL29" s="28"/>
      <c r="GNM29" s="28"/>
      <c r="GNN29" s="28"/>
      <c r="GNO29" s="28"/>
      <c r="GNP29" s="28"/>
      <c r="GNQ29" s="28"/>
      <c r="GNR29" s="28"/>
      <c r="GNS29" s="28"/>
      <c r="GNT29" s="28"/>
      <c r="GNU29" s="28"/>
      <c r="GNV29" s="28"/>
      <c r="GNW29" s="28"/>
      <c r="GNX29" s="28"/>
      <c r="GNY29" s="28"/>
      <c r="GNZ29" s="28"/>
      <c r="GOA29" s="28"/>
      <c r="GOB29" s="28"/>
      <c r="GOC29" s="28"/>
      <c r="GOD29" s="28"/>
      <c r="GOE29" s="28"/>
      <c r="GOF29" s="28"/>
      <c r="GOG29" s="28"/>
      <c r="GOH29" s="28"/>
      <c r="GOI29" s="28"/>
      <c r="GOJ29" s="28"/>
      <c r="GOK29" s="28"/>
      <c r="GOL29" s="28"/>
      <c r="GOM29" s="28"/>
      <c r="GON29" s="28"/>
      <c r="GOO29" s="28"/>
      <c r="GOP29" s="28"/>
      <c r="GOQ29" s="28"/>
      <c r="GOR29" s="28"/>
      <c r="GOS29" s="28"/>
      <c r="GOT29" s="28"/>
      <c r="GOU29" s="28"/>
      <c r="GOV29" s="28"/>
      <c r="GOW29" s="28"/>
      <c r="GOX29" s="28"/>
      <c r="GOY29" s="28"/>
      <c r="GOZ29" s="28"/>
      <c r="GPA29" s="28"/>
      <c r="GPB29" s="28"/>
      <c r="GPC29" s="28"/>
      <c r="GPD29" s="28"/>
      <c r="GPE29" s="28"/>
      <c r="GPF29" s="28"/>
      <c r="GPG29" s="28"/>
      <c r="GPH29" s="28"/>
      <c r="GPI29" s="28"/>
      <c r="GPJ29" s="28"/>
      <c r="GPK29" s="28"/>
      <c r="GPL29" s="28"/>
      <c r="GPM29" s="28"/>
      <c r="GPN29" s="28"/>
      <c r="GPO29" s="28"/>
      <c r="GPP29" s="28"/>
      <c r="GPQ29" s="28"/>
      <c r="GPR29" s="28"/>
      <c r="GPS29" s="28"/>
      <c r="GPT29" s="28"/>
      <c r="GPU29" s="28"/>
      <c r="GPV29" s="28"/>
      <c r="GPW29" s="28"/>
      <c r="GPX29" s="28"/>
      <c r="GPY29" s="28"/>
      <c r="GPZ29" s="28"/>
      <c r="GQA29" s="28"/>
      <c r="GQB29" s="28"/>
      <c r="GQC29" s="28"/>
      <c r="GQD29" s="28"/>
      <c r="GQE29" s="28"/>
      <c r="GQF29" s="28"/>
      <c r="GQG29" s="28"/>
      <c r="GQH29" s="28"/>
      <c r="GQI29" s="28"/>
      <c r="GQJ29" s="28"/>
      <c r="GQK29" s="28"/>
      <c r="GQL29" s="28"/>
      <c r="GQM29" s="28"/>
      <c r="GQN29" s="28"/>
      <c r="GQO29" s="28"/>
      <c r="GQP29" s="28"/>
      <c r="GQQ29" s="28"/>
      <c r="GQR29" s="28"/>
      <c r="GQS29" s="28"/>
      <c r="GQT29" s="28"/>
      <c r="GQU29" s="28"/>
      <c r="GQV29" s="28"/>
      <c r="GQW29" s="28"/>
      <c r="GQX29" s="28"/>
      <c r="GQY29" s="28"/>
      <c r="GQZ29" s="28"/>
      <c r="GRA29" s="28"/>
      <c r="GRB29" s="28"/>
      <c r="GRC29" s="28"/>
      <c r="GRD29" s="28"/>
      <c r="GRE29" s="28"/>
      <c r="GRF29" s="28"/>
      <c r="GRG29" s="28"/>
      <c r="GRH29" s="28"/>
      <c r="GRI29" s="28"/>
      <c r="GRJ29" s="28"/>
      <c r="GRK29" s="28"/>
      <c r="GRL29" s="28"/>
      <c r="GRM29" s="28"/>
      <c r="GRN29" s="28"/>
      <c r="GRO29" s="28"/>
      <c r="GRP29" s="28"/>
      <c r="GRQ29" s="28"/>
      <c r="GRR29" s="28"/>
      <c r="GRS29" s="28"/>
      <c r="GRT29" s="28"/>
      <c r="GRU29" s="28"/>
      <c r="GRV29" s="28"/>
      <c r="GRW29" s="28"/>
      <c r="GRX29" s="28"/>
      <c r="GRY29" s="28"/>
      <c r="GRZ29" s="28"/>
      <c r="GSA29" s="28"/>
      <c r="GSB29" s="28"/>
      <c r="GSC29" s="28"/>
      <c r="GSD29" s="28"/>
      <c r="GSE29" s="28"/>
      <c r="GSF29" s="28"/>
      <c r="GSG29" s="28"/>
      <c r="GSH29" s="28"/>
      <c r="GSI29" s="28"/>
      <c r="GSJ29" s="28"/>
      <c r="GSK29" s="28"/>
      <c r="GSL29" s="28"/>
      <c r="GSM29" s="28"/>
      <c r="GSN29" s="28"/>
      <c r="GSO29" s="28"/>
      <c r="GSP29" s="28"/>
      <c r="GSQ29" s="28"/>
      <c r="GSR29" s="28"/>
      <c r="GSS29" s="28"/>
      <c r="GST29" s="28"/>
      <c r="GSU29" s="28"/>
      <c r="GSV29" s="28"/>
      <c r="GSW29" s="28"/>
      <c r="GSX29" s="28"/>
      <c r="GSY29" s="28"/>
      <c r="GSZ29" s="28"/>
      <c r="GTA29" s="28"/>
      <c r="GTB29" s="28"/>
      <c r="GTC29" s="28"/>
      <c r="GTD29" s="28"/>
      <c r="GTE29" s="28"/>
      <c r="GTF29" s="28"/>
      <c r="GTG29" s="28"/>
      <c r="GTH29" s="28"/>
      <c r="GTI29" s="28"/>
      <c r="GTJ29" s="28"/>
      <c r="GTK29" s="28"/>
      <c r="GTL29" s="28"/>
      <c r="GTM29" s="28"/>
      <c r="GTN29" s="28"/>
      <c r="GTO29" s="28"/>
      <c r="GTP29" s="28"/>
      <c r="GTQ29" s="28"/>
      <c r="GTR29" s="28"/>
      <c r="GTS29" s="28"/>
      <c r="GTT29" s="28"/>
      <c r="GTU29" s="28"/>
      <c r="GTV29" s="28"/>
      <c r="GTW29" s="28"/>
      <c r="GTX29" s="28"/>
      <c r="GTY29" s="28"/>
      <c r="GTZ29" s="28"/>
      <c r="GUA29" s="28"/>
      <c r="GUB29" s="28"/>
      <c r="GUC29" s="28"/>
      <c r="GUD29" s="28"/>
      <c r="GUE29" s="28"/>
      <c r="GUF29" s="28"/>
      <c r="GUG29" s="28"/>
      <c r="GUH29" s="28"/>
      <c r="GUI29" s="28"/>
      <c r="GUJ29" s="28"/>
      <c r="GUK29" s="28"/>
      <c r="GUL29" s="28"/>
      <c r="GUM29" s="28"/>
      <c r="GUN29" s="28"/>
      <c r="GUO29" s="28"/>
      <c r="GUP29" s="28"/>
      <c r="GUQ29" s="28"/>
      <c r="GUR29" s="28"/>
      <c r="GUS29" s="28"/>
      <c r="GUT29" s="28"/>
      <c r="GUU29" s="28"/>
      <c r="GUV29" s="28"/>
      <c r="GUW29" s="28"/>
      <c r="GUX29" s="28"/>
      <c r="GUY29" s="28"/>
      <c r="GUZ29" s="28"/>
      <c r="GVA29" s="28"/>
      <c r="GVB29" s="28"/>
      <c r="GVC29" s="28"/>
      <c r="GVD29" s="28"/>
      <c r="GVE29" s="28"/>
      <c r="GVF29" s="28"/>
      <c r="GVG29" s="28"/>
      <c r="GVH29" s="28"/>
      <c r="GVI29" s="28"/>
      <c r="GVJ29" s="28"/>
      <c r="GVK29" s="28"/>
      <c r="GVL29" s="28"/>
      <c r="GVM29" s="28"/>
      <c r="GVN29" s="28"/>
      <c r="GVO29" s="28"/>
      <c r="GVP29" s="28"/>
      <c r="GVQ29" s="28"/>
      <c r="GVR29" s="28"/>
      <c r="GVS29" s="28"/>
      <c r="GVT29" s="28"/>
      <c r="GVU29" s="28"/>
      <c r="GVV29" s="28"/>
      <c r="GVW29" s="28"/>
      <c r="GVX29" s="28"/>
      <c r="GVY29" s="28"/>
      <c r="GVZ29" s="28"/>
      <c r="GWA29" s="28"/>
      <c r="GWB29" s="28"/>
      <c r="GWC29" s="28"/>
      <c r="GWD29" s="28"/>
      <c r="GWE29" s="28"/>
      <c r="GWF29" s="28"/>
      <c r="GWG29" s="28"/>
      <c r="GWH29" s="28"/>
      <c r="GWI29" s="28"/>
      <c r="GWJ29" s="28"/>
      <c r="GWK29" s="28"/>
      <c r="GWL29" s="28"/>
      <c r="GWM29" s="28"/>
      <c r="GWN29" s="28"/>
      <c r="GWO29" s="28"/>
      <c r="GWP29" s="28"/>
      <c r="GWQ29" s="28"/>
      <c r="GWR29" s="28"/>
      <c r="GWS29" s="28"/>
      <c r="GWT29" s="28"/>
      <c r="GWU29" s="28"/>
      <c r="GWV29" s="28"/>
      <c r="GWW29" s="28"/>
      <c r="GWX29" s="28"/>
      <c r="GWY29" s="28"/>
      <c r="GWZ29" s="28"/>
      <c r="GXA29" s="28"/>
      <c r="GXB29" s="28"/>
      <c r="GXC29" s="28"/>
      <c r="GXD29" s="28"/>
      <c r="GXE29" s="28"/>
      <c r="GXF29" s="28"/>
      <c r="GXG29" s="28"/>
      <c r="GXH29" s="28"/>
      <c r="GXI29" s="28"/>
      <c r="GXJ29" s="28"/>
      <c r="GXK29" s="28"/>
      <c r="GXL29" s="28"/>
      <c r="GXM29" s="28"/>
      <c r="GXN29" s="28"/>
      <c r="GXO29" s="28"/>
      <c r="GXP29" s="28"/>
      <c r="GXQ29" s="28"/>
      <c r="GXR29" s="28"/>
      <c r="GXS29" s="28"/>
      <c r="GXT29" s="28"/>
      <c r="GXU29" s="28"/>
      <c r="GXV29" s="28"/>
      <c r="GXW29" s="28"/>
      <c r="GXX29" s="28"/>
      <c r="GXY29" s="28"/>
      <c r="GXZ29" s="28"/>
      <c r="GYA29" s="28"/>
      <c r="GYB29" s="28"/>
      <c r="GYC29" s="28"/>
      <c r="GYD29" s="28"/>
      <c r="GYE29" s="28"/>
      <c r="GYF29" s="28"/>
      <c r="GYG29" s="28"/>
      <c r="GYH29" s="28"/>
      <c r="GYI29" s="28"/>
      <c r="GYJ29" s="28"/>
      <c r="GYK29" s="28"/>
      <c r="GYL29" s="28"/>
      <c r="GYM29" s="28"/>
      <c r="GYN29" s="28"/>
      <c r="GYO29" s="28"/>
      <c r="GYP29" s="28"/>
      <c r="GYQ29" s="28"/>
      <c r="GYR29" s="28"/>
      <c r="GYS29" s="28"/>
      <c r="GYT29" s="28"/>
      <c r="GYU29" s="28"/>
      <c r="GYV29" s="28"/>
      <c r="GYW29" s="28"/>
      <c r="GYX29" s="28"/>
      <c r="GYY29" s="28"/>
      <c r="GYZ29" s="28"/>
      <c r="GZA29" s="28"/>
      <c r="GZB29" s="28"/>
      <c r="GZC29" s="28"/>
      <c r="GZD29" s="28"/>
      <c r="GZE29" s="28"/>
      <c r="GZF29" s="28"/>
      <c r="GZG29" s="28"/>
      <c r="GZH29" s="28"/>
      <c r="GZI29" s="28"/>
      <c r="GZJ29" s="28"/>
      <c r="GZK29" s="28"/>
      <c r="GZL29" s="28"/>
      <c r="GZM29" s="28"/>
      <c r="GZN29" s="28"/>
      <c r="GZO29" s="28"/>
      <c r="GZP29" s="28"/>
      <c r="GZQ29" s="28"/>
      <c r="GZR29" s="28"/>
      <c r="GZS29" s="28"/>
      <c r="GZT29" s="28"/>
      <c r="GZU29" s="28"/>
      <c r="GZV29" s="28"/>
      <c r="GZW29" s="28"/>
      <c r="GZX29" s="28"/>
      <c r="GZY29" s="28"/>
      <c r="GZZ29" s="28"/>
      <c r="HAA29" s="28"/>
      <c r="HAB29" s="28"/>
      <c r="HAC29" s="28"/>
      <c r="HAD29" s="28"/>
      <c r="HAE29" s="28"/>
      <c r="HAF29" s="28"/>
      <c r="HAG29" s="28"/>
      <c r="HAH29" s="28"/>
      <c r="HAI29" s="28"/>
      <c r="HAJ29" s="28"/>
      <c r="HAK29" s="28"/>
      <c r="HAL29" s="28"/>
      <c r="HAM29" s="28"/>
      <c r="HAN29" s="28"/>
      <c r="HAO29" s="28"/>
      <c r="HAP29" s="28"/>
      <c r="HAQ29" s="28"/>
      <c r="HAR29" s="28"/>
      <c r="HAS29" s="28"/>
      <c r="HAT29" s="28"/>
      <c r="HAU29" s="28"/>
      <c r="HAV29" s="28"/>
      <c r="HAW29" s="28"/>
      <c r="HAX29" s="28"/>
      <c r="HAY29" s="28"/>
      <c r="HAZ29" s="28"/>
      <c r="HBA29" s="28"/>
      <c r="HBB29" s="28"/>
      <c r="HBC29" s="28"/>
      <c r="HBD29" s="28"/>
      <c r="HBE29" s="28"/>
      <c r="HBF29" s="28"/>
      <c r="HBG29" s="28"/>
      <c r="HBH29" s="28"/>
      <c r="HBI29" s="28"/>
      <c r="HBJ29" s="28"/>
      <c r="HBK29" s="28"/>
      <c r="HBL29" s="28"/>
      <c r="HBM29" s="28"/>
      <c r="HBN29" s="28"/>
      <c r="HBO29" s="28"/>
      <c r="HBP29" s="28"/>
      <c r="HBQ29" s="28"/>
      <c r="HBR29" s="28"/>
      <c r="HBS29" s="28"/>
      <c r="HBT29" s="28"/>
      <c r="HBU29" s="28"/>
      <c r="HBV29" s="28"/>
      <c r="HBW29" s="28"/>
      <c r="HBX29" s="28"/>
      <c r="HBY29" s="28"/>
      <c r="HBZ29" s="28"/>
      <c r="HCA29" s="28"/>
      <c r="HCB29" s="28"/>
      <c r="HCC29" s="28"/>
      <c r="HCD29" s="28"/>
      <c r="HCE29" s="28"/>
      <c r="HCF29" s="28"/>
      <c r="HCG29" s="28"/>
      <c r="HCH29" s="28"/>
      <c r="HCI29" s="28"/>
      <c r="HCJ29" s="28"/>
      <c r="HCK29" s="28"/>
      <c r="HCL29" s="28"/>
      <c r="HCM29" s="28"/>
      <c r="HCN29" s="28"/>
      <c r="HCO29" s="28"/>
      <c r="HCP29" s="28"/>
      <c r="HCQ29" s="28"/>
      <c r="HCR29" s="28"/>
      <c r="HCS29" s="28"/>
      <c r="HCT29" s="28"/>
      <c r="HCU29" s="28"/>
      <c r="HCV29" s="28"/>
      <c r="HCW29" s="28"/>
      <c r="HCX29" s="28"/>
      <c r="HCY29" s="28"/>
      <c r="HCZ29" s="28"/>
      <c r="HDA29" s="28"/>
      <c r="HDB29" s="28"/>
      <c r="HDC29" s="28"/>
      <c r="HDD29" s="28"/>
      <c r="HDE29" s="28"/>
      <c r="HDF29" s="28"/>
      <c r="HDG29" s="28"/>
      <c r="HDH29" s="28"/>
      <c r="HDI29" s="28"/>
      <c r="HDJ29" s="28"/>
      <c r="HDK29" s="28"/>
      <c r="HDL29" s="28"/>
      <c r="HDM29" s="28"/>
      <c r="HDN29" s="28"/>
      <c r="HDO29" s="28"/>
      <c r="HDP29" s="28"/>
      <c r="HDQ29" s="28"/>
      <c r="HDR29" s="28"/>
      <c r="HDS29" s="28"/>
      <c r="HDT29" s="28"/>
      <c r="HDU29" s="28"/>
      <c r="HDV29" s="28"/>
      <c r="HDW29" s="28"/>
      <c r="HDX29" s="28"/>
      <c r="HDY29" s="28"/>
      <c r="HDZ29" s="28"/>
      <c r="HEA29" s="28"/>
      <c r="HEB29" s="28"/>
      <c r="HEC29" s="28"/>
      <c r="HED29" s="28"/>
      <c r="HEE29" s="28"/>
      <c r="HEF29" s="28"/>
      <c r="HEG29" s="28"/>
      <c r="HEH29" s="28"/>
      <c r="HEI29" s="28"/>
      <c r="HEJ29" s="28"/>
      <c r="HEK29" s="28"/>
      <c r="HEL29" s="28"/>
      <c r="HEM29" s="28"/>
      <c r="HEN29" s="28"/>
      <c r="HEO29" s="28"/>
      <c r="HEP29" s="28"/>
      <c r="HEQ29" s="28"/>
      <c r="HER29" s="28"/>
      <c r="HES29" s="28"/>
      <c r="HET29" s="28"/>
      <c r="HEU29" s="28"/>
      <c r="HEV29" s="28"/>
      <c r="HEW29" s="28"/>
      <c r="HEX29" s="28"/>
      <c r="HEY29" s="28"/>
      <c r="HEZ29" s="28"/>
      <c r="HFA29" s="28"/>
      <c r="HFB29" s="28"/>
      <c r="HFC29" s="28"/>
      <c r="HFD29" s="28"/>
      <c r="HFE29" s="28"/>
      <c r="HFF29" s="28"/>
      <c r="HFG29" s="28"/>
      <c r="HFH29" s="28"/>
      <c r="HFI29" s="28"/>
      <c r="HFJ29" s="28"/>
      <c r="HFK29" s="28"/>
      <c r="HFL29" s="28"/>
      <c r="HFM29" s="28"/>
      <c r="HFN29" s="28"/>
      <c r="HFO29" s="28"/>
      <c r="HFP29" s="28"/>
      <c r="HFQ29" s="28"/>
      <c r="HFR29" s="28"/>
      <c r="HFS29" s="28"/>
      <c r="HFT29" s="28"/>
      <c r="HFU29" s="28"/>
      <c r="HFV29" s="28"/>
      <c r="HFW29" s="28"/>
      <c r="HFX29" s="28"/>
      <c r="HFY29" s="28"/>
      <c r="HFZ29" s="28"/>
      <c r="HGA29" s="28"/>
      <c r="HGB29" s="28"/>
      <c r="HGC29" s="28"/>
      <c r="HGD29" s="28"/>
      <c r="HGE29" s="28"/>
      <c r="HGF29" s="28"/>
      <c r="HGG29" s="28"/>
      <c r="HGH29" s="28"/>
      <c r="HGI29" s="28"/>
      <c r="HGJ29" s="28"/>
      <c r="HGK29" s="28"/>
      <c r="HGL29" s="28"/>
      <c r="HGM29" s="28"/>
      <c r="HGN29" s="28"/>
      <c r="HGO29" s="28"/>
      <c r="HGP29" s="28"/>
      <c r="HGQ29" s="28"/>
      <c r="HGR29" s="28"/>
      <c r="HGS29" s="28"/>
      <c r="HGT29" s="28"/>
      <c r="HGU29" s="28"/>
      <c r="HGV29" s="28"/>
      <c r="HGW29" s="28"/>
      <c r="HGX29" s="28"/>
      <c r="HGY29" s="28"/>
      <c r="HGZ29" s="28"/>
      <c r="HHA29" s="28"/>
      <c r="HHB29" s="28"/>
      <c r="HHC29" s="28"/>
      <c r="HHD29" s="28"/>
      <c r="HHE29" s="28"/>
      <c r="HHF29" s="28"/>
      <c r="HHG29" s="28"/>
      <c r="HHH29" s="28"/>
      <c r="HHI29" s="28"/>
      <c r="HHJ29" s="28"/>
      <c r="HHK29" s="28"/>
      <c r="HHL29" s="28"/>
      <c r="HHM29" s="28"/>
      <c r="HHN29" s="28"/>
      <c r="HHO29" s="28"/>
      <c r="HHP29" s="28"/>
      <c r="HHQ29" s="28"/>
      <c r="HHR29" s="28"/>
      <c r="HHS29" s="28"/>
      <c r="HHT29" s="28"/>
      <c r="HHU29" s="28"/>
      <c r="HHV29" s="28"/>
      <c r="HHW29" s="28"/>
      <c r="HHX29" s="28"/>
      <c r="HHY29" s="28"/>
      <c r="HHZ29" s="28"/>
      <c r="HIA29" s="28"/>
      <c r="HIB29" s="28"/>
      <c r="HIC29" s="28"/>
      <c r="HID29" s="28"/>
      <c r="HIE29" s="28"/>
      <c r="HIF29" s="28"/>
      <c r="HIG29" s="28"/>
      <c r="HIH29" s="28"/>
      <c r="HII29" s="28"/>
      <c r="HIJ29" s="28"/>
      <c r="HIK29" s="28"/>
      <c r="HIL29" s="28"/>
      <c r="HIM29" s="28"/>
      <c r="HIN29" s="28"/>
      <c r="HIO29" s="28"/>
      <c r="HIP29" s="28"/>
      <c r="HIQ29" s="28"/>
      <c r="HIR29" s="28"/>
      <c r="HIS29" s="28"/>
      <c r="HIT29" s="28"/>
      <c r="HIU29" s="28"/>
      <c r="HIV29" s="28"/>
      <c r="HIW29" s="28"/>
      <c r="HIX29" s="28"/>
      <c r="HIY29" s="28"/>
      <c r="HIZ29" s="28"/>
      <c r="HJA29" s="28"/>
      <c r="HJB29" s="28"/>
      <c r="HJC29" s="28"/>
      <c r="HJD29" s="28"/>
      <c r="HJE29" s="28"/>
      <c r="HJF29" s="28"/>
      <c r="HJG29" s="28"/>
      <c r="HJH29" s="28"/>
      <c r="HJI29" s="28"/>
      <c r="HJJ29" s="28"/>
      <c r="HJK29" s="28"/>
      <c r="HJL29" s="28"/>
      <c r="HJM29" s="28"/>
      <c r="HJN29" s="28"/>
      <c r="HJO29" s="28"/>
      <c r="HJP29" s="28"/>
      <c r="HJQ29" s="28"/>
      <c r="HJR29" s="28"/>
      <c r="HJS29" s="28"/>
      <c r="HJT29" s="28"/>
      <c r="HJU29" s="28"/>
      <c r="HJV29" s="28"/>
      <c r="HJW29" s="28"/>
      <c r="HJX29" s="28"/>
      <c r="HJY29" s="28"/>
      <c r="HJZ29" s="28"/>
      <c r="HKA29" s="28"/>
      <c r="HKB29" s="28"/>
      <c r="HKC29" s="28"/>
      <c r="HKD29" s="28"/>
      <c r="HKE29" s="28"/>
      <c r="HKF29" s="28"/>
      <c r="HKG29" s="28"/>
      <c r="HKH29" s="28"/>
      <c r="HKI29" s="28"/>
      <c r="HKJ29" s="28"/>
      <c r="HKK29" s="28"/>
      <c r="HKL29" s="28"/>
      <c r="HKM29" s="28"/>
      <c r="HKN29" s="28"/>
      <c r="HKO29" s="28"/>
      <c r="HKP29" s="28"/>
      <c r="HKQ29" s="28"/>
      <c r="HKR29" s="28"/>
      <c r="HKS29" s="28"/>
      <c r="HKT29" s="28"/>
      <c r="HKU29" s="28"/>
      <c r="HKV29" s="28"/>
      <c r="HKW29" s="28"/>
      <c r="HKX29" s="28"/>
      <c r="HKY29" s="28"/>
      <c r="HKZ29" s="28"/>
      <c r="HLA29" s="28"/>
      <c r="HLB29" s="28"/>
      <c r="HLC29" s="28"/>
      <c r="HLD29" s="28"/>
      <c r="HLE29" s="28"/>
      <c r="HLF29" s="28"/>
      <c r="HLG29" s="28"/>
      <c r="HLH29" s="28"/>
      <c r="HLI29" s="28"/>
      <c r="HLJ29" s="28"/>
      <c r="HLK29" s="28"/>
      <c r="HLL29" s="28"/>
      <c r="HLM29" s="28"/>
      <c r="HLN29" s="28"/>
      <c r="HLO29" s="28"/>
      <c r="HLP29" s="28"/>
      <c r="HLQ29" s="28"/>
      <c r="HLR29" s="28"/>
      <c r="HLS29" s="28"/>
      <c r="HLT29" s="28"/>
      <c r="HLU29" s="28"/>
      <c r="HLV29" s="28"/>
      <c r="HLW29" s="28"/>
      <c r="HLX29" s="28"/>
      <c r="HLY29" s="28"/>
      <c r="HLZ29" s="28"/>
      <c r="HMA29" s="28"/>
      <c r="HMB29" s="28"/>
      <c r="HMC29" s="28"/>
      <c r="HMD29" s="28"/>
      <c r="HME29" s="28"/>
      <c r="HMF29" s="28"/>
      <c r="HMG29" s="28"/>
      <c r="HMH29" s="28"/>
      <c r="HMI29" s="28"/>
      <c r="HMJ29" s="28"/>
      <c r="HMK29" s="28"/>
      <c r="HML29" s="28"/>
      <c r="HMM29" s="28"/>
      <c r="HMN29" s="28"/>
      <c r="HMO29" s="28"/>
      <c r="HMP29" s="28"/>
      <c r="HMQ29" s="28"/>
      <c r="HMR29" s="28"/>
      <c r="HMS29" s="28"/>
      <c r="HMT29" s="28"/>
      <c r="HMU29" s="28"/>
      <c r="HMV29" s="28"/>
      <c r="HMW29" s="28"/>
      <c r="HMX29" s="28"/>
      <c r="HMY29" s="28"/>
      <c r="HMZ29" s="28"/>
      <c r="HNA29" s="28"/>
      <c r="HNB29" s="28"/>
      <c r="HNC29" s="28"/>
      <c r="HND29" s="28"/>
      <c r="HNE29" s="28"/>
      <c r="HNF29" s="28"/>
      <c r="HNG29" s="28"/>
      <c r="HNH29" s="28"/>
      <c r="HNI29" s="28"/>
      <c r="HNJ29" s="28"/>
      <c r="HNK29" s="28"/>
      <c r="HNL29" s="28"/>
      <c r="HNM29" s="28"/>
      <c r="HNN29" s="28"/>
      <c r="HNO29" s="28"/>
      <c r="HNP29" s="28"/>
      <c r="HNQ29" s="28"/>
      <c r="HNR29" s="28"/>
      <c r="HNS29" s="28"/>
      <c r="HNT29" s="28"/>
      <c r="HNU29" s="28"/>
      <c r="HNV29" s="28"/>
      <c r="HNW29" s="28"/>
      <c r="HNX29" s="28"/>
      <c r="HNY29" s="28"/>
      <c r="HNZ29" s="28"/>
      <c r="HOA29" s="28"/>
      <c r="HOB29" s="28"/>
      <c r="HOC29" s="28"/>
      <c r="HOD29" s="28"/>
      <c r="HOE29" s="28"/>
      <c r="HOF29" s="28"/>
      <c r="HOG29" s="28"/>
      <c r="HOH29" s="28"/>
      <c r="HOI29" s="28"/>
      <c r="HOJ29" s="28"/>
      <c r="HOK29" s="28"/>
      <c r="HOL29" s="28"/>
      <c r="HOM29" s="28"/>
      <c r="HON29" s="28"/>
      <c r="HOO29" s="28"/>
      <c r="HOP29" s="28"/>
      <c r="HOQ29" s="28"/>
      <c r="HOR29" s="28"/>
      <c r="HOS29" s="28"/>
      <c r="HOT29" s="28"/>
      <c r="HOU29" s="28"/>
      <c r="HOV29" s="28"/>
      <c r="HOW29" s="28"/>
      <c r="HOX29" s="28"/>
      <c r="HOY29" s="28"/>
      <c r="HOZ29" s="28"/>
      <c r="HPA29" s="28"/>
      <c r="HPB29" s="28"/>
      <c r="HPC29" s="28"/>
      <c r="HPD29" s="28"/>
      <c r="HPE29" s="28"/>
      <c r="HPF29" s="28"/>
      <c r="HPG29" s="28"/>
      <c r="HPH29" s="28"/>
      <c r="HPI29" s="28"/>
      <c r="HPJ29" s="28"/>
      <c r="HPK29" s="28"/>
      <c r="HPL29" s="28"/>
      <c r="HPM29" s="28"/>
      <c r="HPN29" s="28"/>
      <c r="HPO29" s="28"/>
      <c r="HPP29" s="28"/>
      <c r="HPQ29" s="28"/>
      <c r="HPR29" s="28"/>
      <c r="HPS29" s="28"/>
      <c r="HPT29" s="28"/>
      <c r="HPU29" s="28"/>
      <c r="HPV29" s="28"/>
      <c r="HPW29" s="28"/>
      <c r="HPX29" s="28"/>
      <c r="HPY29" s="28"/>
      <c r="HPZ29" s="28"/>
      <c r="HQA29" s="28"/>
      <c r="HQB29" s="28"/>
      <c r="HQC29" s="28"/>
      <c r="HQD29" s="28"/>
      <c r="HQE29" s="28"/>
      <c r="HQF29" s="28"/>
      <c r="HQG29" s="28"/>
      <c r="HQH29" s="28"/>
      <c r="HQI29" s="28"/>
      <c r="HQJ29" s="28"/>
      <c r="HQK29" s="28"/>
      <c r="HQL29" s="28"/>
      <c r="HQM29" s="28"/>
      <c r="HQN29" s="28"/>
      <c r="HQO29" s="28"/>
      <c r="HQP29" s="28"/>
      <c r="HQQ29" s="28"/>
      <c r="HQR29" s="28"/>
      <c r="HQS29" s="28"/>
      <c r="HQT29" s="28"/>
      <c r="HQU29" s="28"/>
      <c r="HQV29" s="28"/>
      <c r="HQW29" s="28"/>
      <c r="HQX29" s="28"/>
      <c r="HQY29" s="28"/>
      <c r="HQZ29" s="28"/>
      <c r="HRA29" s="28"/>
      <c r="HRB29" s="28"/>
      <c r="HRC29" s="28"/>
      <c r="HRD29" s="28"/>
      <c r="HRE29" s="28"/>
      <c r="HRF29" s="28"/>
      <c r="HRG29" s="28"/>
      <c r="HRH29" s="28"/>
      <c r="HRI29" s="28"/>
      <c r="HRJ29" s="28"/>
      <c r="HRK29" s="28"/>
      <c r="HRL29" s="28"/>
      <c r="HRM29" s="28"/>
      <c r="HRN29" s="28"/>
      <c r="HRO29" s="28"/>
      <c r="HRP29" s="28"/>
      <c r="HRQ29" s="28"/>
      <c r="HRR29" s="28"/>
      <c r="HRS29" s="28"/>
      <c r="HRT29" s="28"/>
      <c r="HRU29" s="28"/>
      <c r="HRV29" s="28"/>
      <c r="HRW29" s="28"/>
      <c r="HRX29" s="28"/>
      <c r="HRY29" s="28"/>
      <c r="HRZ29" s="28"/>
      <c r="HSA29" s="28"/>
      <c r="HSB29" s="28"/>
      <c r="HSC29" s="28"/>
      <c r="HSD29" s="28"/>
      <c r="HSE29" s="28"/>
      <c r="HSF29" s="28"/>
      <c r="HSG29" s="28"/>
      <c r="HSH29" s="28"/>
      <c r="HSI29" s="28"/>
      <c r="HSJ29" s="28"/>
      <c r="HSK29" s="28"/>
      <c r="HSL29" s="28"/>
      <c r="HSM29" s="28"/>
      <c r="HSN29" s="28"/>
      <c r="HSO29" s="28"/>
      <c r="HSP29" s="28"/>
      <c r="HSQ29" s="28"/>
      <c r="HSR29" s="28"/>
      <c r="HSS29" s="28"/>
      <c r="HST29" s="28"/>
      <c r="HSU29" s="28"/>
      <c r="HSV29" s="28"/>
      <c r="HSW29" s="28"/>
      <c r="HSX29" s="28"/>
      <c r="HSY29" s="28"/>
      <c r="HSZ29" s="28"/>
      <c r="HTA29" s="28"/>
      <c r="HTB29" s="28"/>
      <c r="HTC29" s="28"/>
      <c r="HTD29" s="28"/>
      <c r="HTE29" s="28"/>
      <c r="HTF29" s="28"/>
      <c r="HTG29" s="28"/>
      <c r="HTH29" s="28"/>
      <c r="HTI29" s="28"/>
      <c r="HTJ29" s="28"/>
      <c r="HTK29" s="28"/>
      <c r="HTL29" s="28"/>
      <c r="HTM29" s="28"/>
      <c r="HTN29" s="28"/>
      <c r="HTO29" s="28"/>
      <c r="HTP29" s="28"/>
      <c r="HTQ29" s="28"/>
      <c r="HTR29" s="28"/>
      <c r="HTS29" s="28"/>
      <c r="HTT29" s="28"/>
      <c r="HTU29" s="28"/>
      <c r="HTV29" s="28"/>
      <c r="HTW29" s="28"/>
      <c r="HTX29" s="28"/>
      <c r="HTY29" s="28"/>
      <c r="HTZ29" s="28"/>
      <c r="HUA29" s="28"/>
      <c r="HUB29" s="28"/>
      <c r="HUC29" s="28"/>
      <c r="HUD29" s="28"/>
      <c r="HUE29" s="28"/>
      <c r="HUF29" s="28"/>
      <c r="HUG29" s="28"/>
      <c r="HUH29" s="28"/>
      <c r="HUI29" s="28"/>
      <c r="HUJ29" s="28"/>
      <c r="HUK29" s="28"/>
      <c r="HUL29" s="28"/>
      <c r="HUM29" s="28"/>
      <c r="HUN29" s="28"/>
      <c r="HUO29" s="28"/>
      <c r="HUP29" s="28"/>
      <c r="HUQ29" s="28"/>
      <c r="HUR29" s="28"/>
      <c r="HUS29" s="28"/>
      <c r="HUT29" s="28"/>
      <c r="HUU29" s="28"/>
      <c r="HUV29" s="28"/>
      <c r="HUW29" s="28"/>
      <c r="HUX29" s="28"/>
      <c r="HUY29" s="28"/>
      <c r="HUZ29" s="28"/>
      <c r="HVA29" s="28"/>
      <c r="HVB29" s="28"/>
      <c r="HVC29" s="28"/>
      <c r="HVD29" s="28"/>
      <c r="HVE29" s="28"/>
      <c r="HVF29" s="28"/>
      <c r="HVG29" s="28"/>
      <c r="HVH29" s="28"/>
      <c r="HVI29" s="28"/>
      <c r="HVJ29" s="28"/>
      <c r="HVK29" s="28"/>
      <c r="HVL29" s="28"/>
      <c r="HVM29" s="28"/>
      <c r="HVN29" s="28"/>
      <c r="HVO29" s="28"/>
      <c r="HVP29" s="28"/>
      <c r="HVQ29" s="28"/>
      <c r="HVR29" s="28"/>
      <c r="HVS29" s="28"/>
      <c r="HVT29" s="28"/>
      <c r="HVU29" s="28"/>
      <c r="HVV29" s="28"/>
      <c r="HVW29" s="28"/>
      <c r="HVX29" s="28"/>
      <c r="HVY29" s="28"/>
      <c r="HVZ29" s="28"/>
      <c r="HWA29" s="28"/>
      <c r="HWB29" s="28"/>
      <c r="HWC29" s="28"/>
      <c r="HWD29" s="28"/>
      <c r="HWE29" s="28"/>
      <c r="HWF29" s="28"/>
      <c r="HWG29" s="28"/>
      <c r="HWH29" s="28"/>
      <c r="HWI29" s="28"/>
      <c r="HWJ29" s="28"/>
      <c r="HWK29" s="28"/>
      <c r="HWL29" s="28"/>
      <c r="HWM29" s="28"/>
      <c r="HWN29" s="28"/>
      <c r="HWO29" s="28"/>
      <c r="HWP29" s="28"/>
      <c r="HWQ29" s="28"/>
      <c r="HWR29" s="28"/>
      <c r="HWS29" s="28"/>
      <c r="HWT29" s="28"/>
      <c r="HWU29" s="28"/>
      <c r="HWV29" s="28"/>
      <c r="HWW29" s="28"/>
      <c r="HWX29" s="28"/>
      <c r="HWY29" s="28"/>
      <c r="HWZ29" s="28"/>
      <c r="HXA29" s="28"/>
      <c r="HXB29" s="28"/>
      <c r="HXC29" s="28"/>
      <c r="HXD29" s="28"/>
      <c r="HXE29" s="28"/>
      <c r="HXF29" s="28"/>
      <c r="HXG29" s="28"/>
      <c r="HXH29" s="28"/>
      <c r="HXI29" s="28"/>
      <c r="HXJ29" s="28"/>
      <c r="HXK29" s="28"/>
      <c r="HXL29" s="28"/>
      <c r="HXM29" s="28"/>
      <c r="HXN29" s="28"/>
      <c r="HXO29" s="28"/>
      <c r="HXP29" s="28"/>
      <c r="HXQ29" s="28"/>
      <c r="HXR29" s="28"/>
      <c r="HXS29" s="28"/>
      <c r="HXT29" s="28"/>
      <c r="HXU29" s="28"/>
      <c r="HXV29" s="28"/>
      <c r="HXW29" s="28"/>
      <c r="HXX29" s="28"/>
      <c r="HXY29" s="28"/>
      <c r="HXZ29" s="28"/>
      <c r="HYA29" s="28"/>
      <c r="HYB29" s="28"/>
      <c r="HYC29" s="28"/>
      <c r="HYD29" s="28"/>
      <c r="HYE29" s="28"/>
      <c r="HYF29" s="28"/>
      <c r="HYG29" s="28"/>
      <c r="HYH29" s="28"/>
      <c r="HYI29" s="28"/>
      <c r="HYJ29" s="28"/>
      <c r="HYK29" s="28"/>
      <c r="HYL29" s="28"/>
      <c r="HYM29" s="28"/>
      <c r="HYN29" s="28"/>
      <c r="HYO29" s="28"/>
      <c r="HYP29" s="28"/>
      <c r="HYQ29" s="28"/>
      <c r="HYR29" s="28"/>
      <c r="HYS29" s="28"/>
      <c r="HYT29" s="28"/>
      <c r="HYU29" s="28"/>
      <c r="HYV29" s="28"/>
      <c r="HYW29" s="28"/>
      <c r="HYX29" s="28"/>
      <c r="HYY29" s="28"/>
      <c r="HYZ29" s="28"/>
      <c r="HZA29" s="28"/>
      <c r="HZB29" s="28"/>
      <c r="HZC29" s="28"/>
      <c r="HZD29" s="28"/>
      <c r="HZE29" s="28"/>
      <c r="HZF29" s="28"/>
      <c r="HZG29" s="28"/>
      <c r="HZH29" s="28"/>
      <c r="HZI29" s="28"/>
      <c r="HZJ29" s="28"/>
      <c r="HZK29" s="28"/>
      <c r="HZL29" s="28"/>
      <c r="HZM29" s="28"/>
      <c r="HZN29" s="28"/>
      <c r="HZO29" s="28"/>
      <c r="HZP29" s="28"/>
      <c r="HZQ29" s="28"/>
      <c r="HZR29" s="28"/>
      <c r="HZS29" s="28"/>
      <c r="HZT29" s="28"/>
      <c r="HZU29" s="28"/>
      <c r="HZV29" s="28"/>
      <c r="HZW29" s="28"/>
      <c r="HZX29" s="28"/>
      <c r="HZY29" s="28"/>
      <c r="HZZ29" s="28"/>
      <c r="IAA29" s="28"/>
      <c r="IAB29" s="28"/>
      <c r="IAC29" s="28"/>
      <c r="IAD29" s="28"/>
      <c r="IAE29" s="28"/>
      <c r="IAF29" s="28"/>
      <c r="IAG29" s="28"/>
      <c r="IAH29" s="28"/>
      <c r="IAI29" s="28"/>
      <c r="IAJ29" s="28"/>
      <c r="IAK29" s="28"/>
      <c r="IAL29" s="28"/>
      <c r="IAM29" s="28"/>
      <c r="IAN29" s="28"/>
      <c r="IAO29" s="28"/>
      <c r="IAP29" s="28"/>
      <c r="IAQ29" s="28"/>
      <c r="IAR29" s="28"/>
      <c r="IAS29" s="28"/>
      <c r="IAT29" s="28"/>
      <c r="IAU29" s="28"/>
      <c r="IAV29" s="28"/>
      <c r="IAW29" s="28"/>
      <c r="IAX29" s="28"/>
      <c r="IAY29" s="28"/>
      <c r="IAZ29" s="28"/>
      <c r="IBA29" s="28"/>
      <c r="IBB29" s="28"/>
      <c r="IBC29" s="28"/>
      <c r="IBD29" s="28"/>
      <c r="IBE29" s="28"/>
      <c r="IBF29" s="28"/>
      <c r="IBG29" s="28"/>
      <c r="IBH29" s="28"/>
      <c r="IBI29" s="28"/>
      <c r="IBJ29" s="28"/>
      <c r="IBK29" s="28"/>
      <c r="IBL29" s="28"/>
      <c r="IBM29" s="28"/>
      <c r="IBN29" s="28"/>
      <c r="IBO29" s="28"/>
      <c r="IBP29" s="28"/>
      <c r="IBQ29" s="28"/>
      <c r="IBR29" s="28"/>
      <c r="IBS29" s="28"/>
      <c r="IBT29" s="28"/>
      <c r="IBU29" s="28"/>
      <c r="IBV29" s="28"/>
      <c r="IBW29" s="28"/>
      <c r="IBX29" s="28"/>
      <c r="IBY29" s="28"/>
      <c r="IBZ29" s="28"/>
      <c r="ICA29" s="28"/>
      <c r="ICB29" s="28"/>
      <c r="ICC29" s="28"/>
      <c r="ICD29" s="28"/>
      <c r="ICE29" s="28"/>
      <c r="ICF29" s="28"/>
      <c r="ICG29" s="28"/>
      <c r="ICH29" s="28"/>
      <c r="ICI29" s="28"/>
      <c r="ICJ29" s="28"/>
      <c r="ICK29" s="28"/>
      <c r="ICL29" s="28"/>
      <c r="ICM29" s="28"/>
      <c r="ICN29" s="28"/>
      <c r="ICO29" s="28"/>
      <c r="ICP29" s="28"/>
      <c r="ICQ29" s="28"/>
      <c r="ICR29" s="28"/>
      <c r="ICS29" s="28"/>
      <c r="ICT29" s="28"/>
      <c r="ICU29" s="28"/>
      <c r="ICV29" s="28"/>
      <c r="ICW29" s="28"/>
      <c r="ICX29" s="28"/>
      <c r="ICY29" s="28"/>
      <c r="ICZ29" s="28"/>
      <c r="IDA29" s="28"/>
      <c r="IDB29" s="28"/>
      <c r="IDC29" s="28"/>
      <c r="IDD29" s="28"/>
      <c r="IDE29" s="28"/>
      <c r="IDF29" s="28"/>
      <c r="IDG29" s="28"/>
      <c r="IDH29" s="28"/>
      <c r="IDI29" s="28"/>
      <c r="IDJ29" s="28"/>
      <c r="IDK29" s="28"/>
      <c r="IDL29" s="28"/>
      <c r="IDM29" s="28"/>
      <c r="IDN29" s="28"/>
      <c r="IDO29" s="28"/>
      <c r="IDP29" s="28"/>
      <c r="IDQ29" s="28"/>
      <c r="IDR29" s="28"/>
      <c r="IDS29" s="28"/>
      <c r="IDT29" s="28"/>
      <c r="IDU29" s="28"/>
      <c r="IDV29" s="28"/>
      <c r="IDW29" s="28"/>
      <c r="IDX29" s="28"/>
      <c r="IDY29" s="28"/>
      <c r="IDZ29" s="28"/>
      <c r="IEA29" s="28"/>
      <c r="IEB29" s="28"/>
      <c r="IEC29" s="28"/>
      <c r="IED29" s="28"/>
      <c r="IEE29" s="28"/>
      <c r="IEF29" s="28"/>
      <c r="IEG29" s="28"/>
      <c r="IEH29" s="28"/>
      <c r="IEI29" s="28"/>
      <c r="IEJ29" s="28"/>
      <c r="IEK29" s="28"/>
      <c r="IEL29" s="28"/>
      <c r="IEM29" s="28"/>
      <c r="IEN29" s="28"/>
      <c r="IEO29" s="28"/>
      <c r="IEP29" s="28"/>
      <c r="IEQ29" s="28"/>
      <c r="IER29" s="28"/>
      <c r="IES29" s="28"/>
      <c r="IET29" s="28"/>
      <c r="IEU29" s="28"/>
      <c r="IEV29" s="28"/>
      <c r="IEW29" s="28"/>
      <c r="IEX29" s="28"/>
      <c r="IEY29" s="28"/>
      <c r="IEZ29" s="28"/>
      <c r="IFA29" s="28"/>
      <c r="IFB29" s="28"/>
      <c r="IFC29" s="28"/>
      <c r="IFD29" s="28"/>
      <c r="IFE29" s="28"/>
      <c r="IFF29" s="28"/>
      <c r="IFG29" s="28"/>
      <c r="IFH29" s="28"/>
      <c r="IFI29" s="28"/>
      <c r="IFJ29" s="28"/>
      <c r="IFK29" s="28"/>
      <c r="IFL29" s="28"/>
      <c r="IFM29" s="28"/>
      <c r="IFN29" s="28"/>
      <c r="IFO29" s="28"/>
      <c r="IFP29" s="28"/>
      <c r="IFQ29" s="28"/>
      <c r="IFR29" s="28"/>
      <c r="IFS29" s="28"/>
      <c r="IFT29" s="28"/>
      <c r="IFU29" s="28"/>
      <c r="IFV29" s="28"/>
      <c r="IFW29" s="28"/>
      <c r="IFX29" s="28"/>
      <c r="IFY29" s="28"/>
      <c r="IFZ29" s="28"/>
      <c r="IGA29" s="28"/>
      <c r="IGB29" s="28"/>
      <c r="IGC29" s="28"/>
      <c r="IGD29" s="28"/>
      <c r="IGE29" s="28"/>
      <c r="IGF29" s="28"/>
      <c r="IGG29" s="28"/>
      <c r="IGH29" s="28"/>
      <c r="IGI29" s="28"/>
      <c r="IGJ29" s="28"/>
      <c r="IGK29" s="28"/>
      <c r="IGL29" s="28"/>
      <c r="IGM29" s="28"/>
      <c r="IGN29" s="28"/>
      <c r="IGO29" s="28"/>
      <c r="IGP29" s="28"/>
      <c r="IGQ29" s="28"/>
      <c r="IGR29" s="28"/>
      <c r="IGS29" s="28"/>
      <c r="IGT29" s="28"/>
      <c r="IGU29" s="28"/>
      <c r="IGV29" s="28"/>
      <c r="IGW29" s="28"/>
      <c r="IGX29" s="28"/>
      <c r="IGY29" s="28"/>
      <c r="IGZ29" s="28"/>
      <c r="IHA29" s="28"/>
      <c r="IHB29" s="28"/>
      <c r="IHC29" s="28"/>
      <c r="IHD29" s="28"/>
      <c r="IHE29" s="28"/>
      <c r="IHF29" s="28"/>
      <c r="IHG29" s="28"/>
      <c r="IHH29" s="28"/>
      <c r="IHI29" s="28"/>
      <c r="IHJ29" s="28"/>
      <c r="IHK29" s="28"/>
      <c r="IHL29" s="28"/>
      <c r="IHM29" s="28"/>
      <c r="IHN29" s="28"/>
      <c r="IHO29" s="28"/>
      <c r="IHP29" s="28"/>
      <c r="IHQ29" s="28"/>
      <c r="IHR29" s="28"/>
      <c r="IHS29" s="28"/>
      <c r="IHT29" s="28"/>
      <c r="IHU29" s="28"/>
      <c r="IHV29" s="28"/>
      <c r="IHW29" s="28"/>
      <c r="IHX29" s="28"/>
      <c r="IHY29" s="28"/>
      <c r="IHZ29" s="28"/>
      <c r="IIA29" s="28"/>
      <c r="IIB29" s="28"/>
      <c r="IIC29" s="28"/>
      <c r="IID29" s="28"/>
      <c r="IIE29" s="28"/>
      <c r="IIF29" s="28"/>
      <c r="IIG29" s="28"/>
      <c r="IIH29" s="28"/>
      <c r="III29" s="28"/>
      <c r="IIJ29" s="28"/>
      <c r="IIK29" s="28"/>
      <c r="IIL29" s="28"/>
      <c r="IIM29" s="28"/>
      <c r="IIN29" s="28"/>
      <c r="IIO29" s="28"/>
      <c r="IIP29" s="28"/>
      <c r="IIQ29" s="28"/>
      <c r="IIR29" s="28"/>
      <c r="IIS29" s="28"/>
      <c r="IIT29" s="28"/>
      <c r="IIU29" s="28"/>
      <c r="IIV29" s="28"/>
      <c r="IIW29" s="28"/>
      <c r="IIX29" s="28"/>
      <c r="IIY29" s="28"/>
      <c r="IIZ29" s="28"/>
      <c r="IJA29" s="28"/>
      <c r="IJB29" s="28"/>
      <c r="IJC29" s="28"/>
      <c r="IJD29" s="28"/>
      <c r="IJE29" s="28"/>
      <c r="IJF29" s="28"/>
      <c r="IJG29" s="28"/>
      <c r="IJH29" s="28"/>
      <c r="IJI29" s="28"/>
      <c r="IJJ29" s="28"/>
      <c r="IJK29" s="28"/>
      <c r="IJL29" s="28"/>
      <c r="IJM29" s="28"/>
      <c r="IJN29" s="28"/>
      <c r="IJO29" s="28"/>
      <c r="IJP29" s="28"/>
      <c r="IJQ29" s="28"/>
      <c r="IJR29" s="28"/>
      <c r="IJS29" s="28"/>
      <c r="IJT29" s="28"/>
      <c r="IJU29" s="28"/>
      <c r="IJV29" s="28"/>
      <c r="IJW29" s="28"/>
      <c r="IJX29" s="28"/>
      <c r="IJY29" s="28"/>
      <c r="IJZ29" s="28"/>
      <c r="IKA29" s="28"/>
      <c r="IKB29" s="28"/>
      <c r="IKC29" s="28"/>
      <c r="IKD29" s="28"/>
      <c r="IKE29" s="28"/>
      <c r="IKF29" s="28"/>
      <c r="IKG29" s="28"/>
      <c r="IKH29" s="28"/>
      <c r="IKI29" s="28"/>
      <c r="IKJ29" s="28"/>
      <c r="IKK29" s="28"/>
      <c r="IKL29" s="28"/>
      <c r="IKM29" s="28"/>
      <c r="IKN29" s="28"/>
      <c r="IKO29" s="28"/>
      <c r="IKP29" s="28"/>
      <c r="IKQ29" s="28"/>
      <c r="IKR29" s="28"/>
      <c r="IKS29" s="28"/>
      <c r="IKT29" s="28"/>
      <c r="IKU29" s="28"/>
      <c r="IKV29" s="28"/>
      <c r="IKW29" s="28"/>
      <c r="IKX29" s="28"/>
      <c r="IKY29" s="28"/>
      <c r="IKZ29" s="28"/>
      <c r="ILA29" s="28"/>
      <c r="ILB29" s="28"/>
      <c r="ILC29" s="28"/>
      <c r="ILD29" s="28"/>
      <c r="ILE29" s="28"/>
      <c r="ILF29" s="28"/>
      <c r="ILG29" s="28"/>
      <c r="ILH29" s="28"/>
      <c r="ILI29" s="28"/>
      <c r="ILJ29" s="28"/>
      <c r="ILK29" s="28"/>
      <c r="ILL29" s="28"/>
      <c r="ILM29" s="28"/>
      <c r="ILN29" s="28"/>
      <c r="ILO29" s="28"/>
      <c r="ILP29" s="28"/>
      <c r="ILQ29" s="28"/>
      <c r="ILR29" s="28"/>
      <c r="ILS29" s="28"/>
      <c r="ILT29" s="28"/>
      <c r="ILU29" s="28"/>
      <c r="ILV29" s="28"/>
      <c r="ILW29" s="28"/>
      <c r="ILX29" s="28"/>
      <c r="ILY29" s="28"/>
      <c r="ILZ29" s="28"/>
      <c r="IMA29" s="28"/>
      <c r="IMB29" s="28"/>
      <c r="IMC29" s="28"/>
      <c r="IMD29" s="28"/>
      <c r="IME29" s="28"/>
      <c r="IMF29" s="28"/>
      <c r="IMG29" s="28"/>
      <c r="IMH29" s="28"/>
      <c r="IMI29" s="28"/>
      <c r="IMJ29" s="28"/>
      <c r="IMK29" s="28"/>
      <c r="IML29" s="28"/>
      <c r="IMM29" s="28"/>
      <c r="IMN29" s="28"/>
      <c r="IMO29" s="28"/>
      <c r="IMP29" s="28"/>
      <c r="IMQ29" s="28"/>
      <c r="IMR29" s="28"/>
      <c r="IMS29" s="28"/>
      <c r="IMT29" s="28"/>
      <c r="IMU29" s="28"/>
      <c r="IMV29" s="28"/>
      <c r="IMW29" s="28"/>
      <c r="IMX29" s="28"/>
      <c r="IMY29" s="28"/>
      <c r="IMZ29" s="28"/>
      <c r="INA29" s="28"/>
      <c r="INB29" s="28"/>
      <c r="INC29" s="28"/>
      <c r="IND29" s="28"/>
      <c r="INE29" s="28"/>
      <c r="INF29" s="28"/>
      <c r="ING29" s="28"/>
      <c r="INH29" s="28"/>
      <c r="INI29" s="28"/>
      <c r="INJ29" s="28"/>
      <c r="INK29" s="28"/>
      <c r="INL29" s="28"/>
      <c r="INM29" s="28"/>
      <c r="INN29" s="28"/>
      <c r="INO29" s="28"/>
      <c r="INP29" s="28"/>
      <c r="INQ29" s="28"/>
      <c r="INR29" s="28"/>
      <c r="INS29" s="28"/>
      <c r="INT29" s="28"/>
      <c r="INU29" s="28"/>
      <c r="INV29" s="28"/>
      <c r="INW29" s="28"/>
      <c r="INX29" s="28"/>
      <c r="INY29" s="28"/>
      <c r="INZ29" s="28"/>
      <c r="IOA29" s="28"/>
      <c r="IOB29" s="28"/>
      <c r="IOC29" s="28"/>
      <c r="IOD29" s="28"/>
      <c r="IOE29" s="28"/>
      <c r="IOF29" s="28"/>
      <c r="IOG29" s="28"/>
      <c r="IOH29" s="28"/>
      <c r="IOI29" s="28"/>
      <c r="IOJ29" s="28"/>
      <c r="IOK29" s="28"/>
      <c r="IOL29" s="28"/>
      <c r="IOM29" s="28"/>
      <c r="ION29" s="28"/>
      <c r="IOO29" s="28"/>
      <c r="IOP29" s="28"/>
      <c r="IOQ29" s="28"/>
      <c r="IOR29" s="28"/>
      <c r="IOS29" s="28"/>
      <c r="IOT29" s="28"/>
      <c r="IOU29" s="28"/>
      <c r="IOV29" s="28"/>
      <c r="IOW29" s="28"/>
      <c r="IOX29" s="28"/>
      <c r="IOY29" s="28"/>
      <c r="IOZ29" s="28"/>
      <c r="IPA29" s="28"/>
      <c r="IPB29" s="28"/>
      <c r="IPC29" s="28"/>
      <c r="IPD29" s="28"/>
      <c r="IPE29" s="28"/>
      <c r="IPF29" s="28"/>
      <c r="IPG29" s="28"/>
      <c r="IPH29" s="28"/>
      <c r="IPI29" s="28"/>
      <c r="IPJ29" s="28"/>
      <c r="IPK29" s="28"/>
      <c r="IPL29" s="28"/>
      <c r="IPM29" s="28"/>
      <c r="IPN29" s="28"/>
      <c r="IPO29" s="28"/>
      <c r="IPP29" s="28"/>
      <c r="IPQ29" s="28"/>
      <c r="IPR29" s="28"/>
      <c r="IPS29" s="28"/>
      <c r="IPT29" s="28"/>
      <c r="IPU29" s="28"/>
      <c r="IPV29" s="28"/>
      <c r="IPW29" s="28"/>
      <c r="IPX29" s="28"/>
      <c r="IPY29" s="28"/>
      <c r="IPZ29" s="28"/>
      <c r="IQA29" s="28"/>
      <c r="IQB29" s="28"/>
      <c r="IQC29" s="28"/>
      <c r="IQD29" s="28"/>
      <c r="IQE29" s="28"/>
      <c r="IQF29" s="28"/>
      <c r="IQG29" s="28"/>
      <c r="IQH29" s="28"/>
      <c r="IQI29" s="28"/>
      <c r="IQJ29" s="28"/>
      <c r="IQK29" s="28"/>
      <c r="IQL29" s="28"/>
      <c r="IQM29" s="28"/>
      <c r="IQN29" s="28"/>
      <c r="IQO29" s="28"/>
      <c r="IQP29" s="28"/>
      <c r="IQQ29" s="28"/>
      <c r="IQR29" s="28"/>
      <c r="IQS29" s="28"/>
      <c r="IQT29" s="28"/>
      <c r="IQU29" s="28"/>
      <c r="IQV29" s="28"/>
      <c r="IQW29" s="28"/>
      <c r="IQX29" s="28"/>
      <c r="IQY29" s="28"/>
      <c r="IQZ29" s="28"/>
      <c r="IRA29" s="28"/>
      <c r="IRB29" s="28"/>
      <c r="IRC29" s="28"/>
      <c r="IRD29" s="28"/>
      <c r="IRE29" s="28"/>
      <c r="IRF29" s="28"/>
      <c r="IRG29" s="28"/>
      <c r="IRH29" s="28"/>
      <c r="IRI29" s="28"/>
      <c r="IRJ29" s="28"/>
      <c r="IRK29" s="28"/>
      <c r="IRL29" s="28"/>
      <c r="IRM29" s="28"/>
      <c r="IRN29" s="28"/>
      <c r="IRO29" s="28"/>
      <c r="IRP29" s="28"/>
      <c r="IRQ29" s="28"/>
      <c r="IRR29" s="28"/>
      <c r="IRS29" s="28"/>
      <c r="IRT29" s="28"/>
      <c r="IRU29" s="28"/>
      <c r="IRV29" s="28"/>
      <c r="IRW29" s="28"/>
      <c r="IRX29" s="28"/>
      <c r="IRY29" s="28"/>
      <c r="IRZ29" s="28"/>
      <c r="ISA29" s="28"/>
      <c r="ISB29" s="28"/>
      <c r="ISC29" s="28"/>
      <c r="ISD29" s="28"/>
      <c r="ISE29" s="28"/>
      <c r="ISF29" s="28"/>
      <c r="ISG29" s="28"/>
      <c r="ISH29" s="28"/>
      <c r="ISI29" s="28"/>
      <c r="ISJ29" s="28"/>
      <c r="ISK29" s="28"/>
      <c r="ISL29" s="28"/>
      <c r="ISM29" s="28"/>
      <c r="ISN29" s="28"/>
      <c r="ISO29" s="28"/>
      <c r="ISP29" s="28"/>
      <c r="ISQ29" s="28"/>
      <c r="ISR29" s="28"/>
      <c r="ISS29" s="28"/>
      <c r="IST29" s="28"/>
      <c r="ISU29" s="28"/>
      <c r="ISV29" s="28"/>
      <c r="ISW29" s="28"/>
      <c r="ISX29" s="28"/>
      <c r="ISY29" s="28"/>
      <c r="ISZ29" s="28"/>
      <c r="ITA29" s="28"/>
      <c r="ITB29" s="28"/>
      <c r="ITC29" s="28"/>
      <c r="ITD29" s="28"/>
      <c r="ITE29" s="28"/>
      <c r="ITF29" s="28"/>
      <c r="ITG29" s="28"/>
      <c r="ITH29" s="28"/>
      <c r="ITI29" s="28"/>
      <c r="ITJ29" s="28"/>
      <c r="ITK29" s="28"/>
      <c r="ITL29" s="28"/>
      <c r="ITM29" s="28"/>
      <c r="ITN29" s="28"/>
      <c r="ITO29" s="28"/>
      <c r="ITP29" s="28"/>
      <c r="ITQ29" s="28"/>
      <c r="ITR29" s="28"/>
      <c r="ITS29" s="28"/>
      <c r="ITT29" s="28"/>
      <c r="ITU29" s="28"/>
      <c r="ITV29" s="28"/>
      <c r="ITW29" s="28"/>
      <c r="ITX29" s="28"/>
      <c r="ITY29" s="28"/>
      <c r="ITZ29" s="28"/>
      <c r="IUA29" s="28"/>
      <c r="IUB29" s="28"/>
      <c r="IUC29" s="28"/>
      <c r="IUD29" s="28"/>
      <c r="IUE29" s="28"/>
      <c r="IUF29" s="28"/>
      <c r="IUG29" s="28"/>
      <c r="IUH29" s="28"/>
      <c r="IUI29" s="28"/>
      <c r="IUJ29" s="28"/>
      <c r="IUK29" s="28"/>
      <c r="IUL29" s="28"/>
      <c r="IUM29" s="28"/>
      <c r="IUN29" s="28"/>
      <c r="IUO29" s="28"/>
      <c r="IUP29" s="28"/>
      <c r="IUQ29" s="28"/>
      <c r="IUR29" s="28"/>
      <c r="IUS29" s="28"/>
      <c r="IUT29" s="28"/>
      <c r="IUU29" s="28"/>
      <c r="IUV29" s="28"/>
      <c r="IUW29" s="28"/>
      <c r="IUX29" s="28"/>
      <c r="IUY29" s="28"/>
      <c r="IUZ29" s="28"/>
      <c r="IVA29" s="28"/>
      <c r="IVB29" s="28"/>
      <c r="IVC29" s="28"/>
      <c r="IVD29" s="28"/>
      <c r="IVE29" s="28"/>
      <c r="IVF29" s="28"/>
      <c r="IVG29" s="28"/>
      <c r="IVH29" s="28"/>
      <c r="IVI29" s="28"/>
      <c r="IVJ29" s="28"/>
      <c r="IVK29" s="28"/>
      <c r="IVL29" s="28"/>
      <c r="IVM29" s="28"/>
      <c r="IVN29" s="28"/>
      <c r="IVO29" s="28"/>
      <c r="IVP29" s="28"/>
      <c r="IVQ29" s="28"/>
      <c r="IVR29" s="28"/>
      <c r="IVS29" s="28"/>
      <c r="IVT29" s="28"/>
      <c r="IVU29" s="28"/>
      <c r="IVV29" s="28"/>
      <c r="IVW29" s="28"/>
      <c r="IVX29" s="28"/>
      <c r="IVY29" s="28"/>
      <c r="IVZ29" s="28"/>
      <c r="IWA29" s="28"/>
      <c r="IWB29" s="28"/>
      <c r="IWC29" s="28"/>
      <c r="IWD29" s="28"/>
      <c r="IWE29" s="28"/>
      <c r="IWF29" s="28"/>
      <c r="IWG29" s="28"/>
      <c r="IWH29" s="28"/>
      <c r="IWI29" s="28"/>
      <c r="IWJ29" s="28"/>
      <c r="IWK29" s="28"/>
      <c r="IWL29" s="28"/>
      <c r="IWM29" s="28"/>
      <c r="IWN29" s="28"/>
      <c r="IWO29" s="28"/>
      <c r="IWP29" s="28"/>
      <c r="IWQ29" s="28"/>
      <c r="IWR29" s="28"/>
      <c r="IWS29" s="28"/>
      <c r="IWT29" s="28"/>
      <c r="IWU29" s="28"/>
      <c r="IWV29" s="28"/>
      <c r="IWW29" s="28"/>
      <c r="IWX29" s="28"/>
      <c r="IWY29" s="28"/>
      <c r="IWZ29" s="28"/>
      <c r="IXA29" s="28"/>
      <c r="IXB29" s="28"/>
      <c r="IXC29" s="28"/>
      <c r="IXD29" s="28"/>
      <c r="IXE29" s="28"/>
      <c r="IXF29" s="28"/>
      <c r="IXG29" s="28"/>
      <c r="IXH29" s="28"/>
      <c r="IXI29" s="28"/>
      <c r="IXJ29" s="28"/>
      <c r="IXK29" s="28"/>
      <c r="IXL29" s="28"/>
      <c r="IXM29" s="28"/>
      <c r="IXN29" s="28"/>
      <c r="IXO29" s="28"/>
      <c r="IXP29" s="28"/>
      <c r="IXQ29" s="28"/>
      <c r="IXR29" s="28"/>
      <c r="IXS29" s="28"/>
      <c r="IXT29" s="28"/>
      <c r="IXU29" s="28"/>
      <c r="IXV29" s="28"/>
      <c r="IXW29" s="28"/>
      <c r="IXX29" s="28"/>
      <c r="IXY29" s="28"/>
      <c r="IXZ29" s="28"/>
      <c r="IYA29" s="28"/>
      <c r="IYB29" s="28"/>
      <c r="IYC29" s="28"/>
      <c r="IYD29" s="28"/>
      <c r="IYE29" s="28"/>
      <c r="IYF29" s="28"/>
      <c r="IYG29" s="28"/>
      <c r="IYH29" s="28"/>
      <c r="IYI29" s="28"/>
      <c r="IYJ29" s="28"/>
      <c r="IYK29" s="28"/>
      <c r="IYL29" s="28"/>
      <c r="IYM29" s="28"/>
      <c r="IYN29" s="28"/>
      <c r="IYO29" s="28"/>
      <c r="IYP29" s="28"/>
      <c r="IYQ29" s="28"/>
      <c r="IYR29" s="28"/>
      <c r="IYS29" s="28"/>
      <c r="IYT29" s="28"/>
      <c r="IYU29" s="28"/>
      <c r="IYV29" s="28"/>
      <c r="IYW29" s="28"/>
      <c r="IYX29" s="28"/>
      <c r="IYY29" s="28"/>
      <c r="IYZ29" s="28"/>
      <c r="IZA29" s="28"/>
      <c r="IZB29" s="28"/>
      <c r="IZC29" s="28"/>
      <c r="IZD29" s="28"/>
      <c r="IZE29" s="28"/>
      <c r="IZF29" s="28"/>
      <c r="IZG29" s="28"/>
      <c r="IZH29" s="28"/>
      <c r="IZI29" s="28"/>
      <c r="IZJ29" s="28"/>
      <c r="IZK29" s="28"/>
      <c r="IZL29" s="28"/>
      <c r="IZM29" s="28"/>
      <c r="IZN29" s="28"/>
      <c r="IZO29" s="28"/>
      <c r="IZP29" s="28"/>
      <c r="IZQ29" s="28"/>
      <c r="IZR29" s="28"/>
      <c r="IZS29" s="28"/>
      <c r="IZT29" s="28"/>
      <c r="IZU29" s="28"/>
      <c r="IZV29" s="28"/>
      <c r="IZW29" s="28"/>
      <c r="IZX29" s="28"/>
      <c r="IZY29" s="28"/>
      <c r="IZZ29" s="28"/>
      <c r="JAA29" s="28"/>
      <c r="JAB29" s="28"/>
      <c r="JAC29" s="28"/>
      <c r="JAD29" s="28"/>
      <c r="JAE29" s="28"/>
      <c r="JAF29" s="28"/>
      <c r="JAG29" s="28"/>
      <c r="JAH29" s="28"/>
      <c r="JAI29" s="28"/>
      <c r="JAJ29" s="28"/>
      <c r="JAK29" s="28"/>
      <c r="JAL29" s="28"/>
      <c r="JAM29" s="28"/>
      <c r="JAN29" s="28"/>
      <c r="JAO29" s="28"/>
      <c r="JAP29" s="28"/>
      <c r="JAQ29" s="28"/>
      <c r="JAR29" s="28"/>
      <c r="JAS29" s="28"/>
      <c r="JAT29" s="28"/>
      <c r="JAU29" s="28"/>
      <c r="JAV29" s="28"/>
      <c r="JAW29" s="28"/>
      <c r="JAX29" s="28"/>
      <c r="JAY29" s="28"/>
      <c r="JAZ29" s="28"/>
      <c r="JBA29" s="28"/>
      <c r="JBB29" s="28"/>
      <c r="JBC29" s="28"/>
      <c r="JBD29" s="28"/>
      <c r="JBE29" s="28"/>
      <c r="JBF29" s="28"/>
      <c r="JBG29" s="28"/>
      <c r="JBH29" s="28"/>
      <c r="JBI29" s="28"/>
      <c r="JBJ29" s="28"/>
      <c r="JBK29" s="28"/>
      <c r="JBL29" s="28"/>
      <c r="JBM29" s="28"/>
      <c r="JBN29" s="28"/>
      <c r="JBO29" s="28"/>
      <c r="JBP29" s="28"/>
      <c r="JBQ29" s="28"/>
      <c r="JBR29" s="28"/>
      <c r="JBS29" s="28"/>
      <c r="JBT29" s="28"/>
      <c r="JBU29" s="28"/>
      <c r="JBV29" s="28"/>
      <c r="JBW29" s="28"/>
      <c r="JBX29" s="28"/>
      <c r="JBY29" s="28"/>
      <c r="JBZ29" s="28"/>
      <c r="JCA29" s="28"/>
      <c r="JCB29" s="28"/>
      <c r="JCC29" s="28"/>
      <c r="JCD29" s="28"/>
      <c r="JCE29" s="28"/>
      <c r="JCF29" s="28"/>
      <c r="JCG29" s="28"/>
      <c r="JCH29" s="28"/>
      <c r="JCI29" s="28"/>
      <c r="JCJ29" s="28"/>
      <c r="JCK29" s="28"/>
      <c r="JCL29" s="28"/>
      <c r="JCM29" s="28"/>
      <c r="JCN29" s="28"/>
      <c r="JCO29" s="28"/>
      <c r="JCP29" s="28"/>
      <c r="JCQ29" s="28"/>
      <c r="JCR29" s="28"/>
      <c r="JCS29" s="28"/>
      <c r="JCT29" s="28"/>
      <c r="JCU29" s="28"/>
      <c r="JCV29" s="28"/>
      <c r="JCW29" s="28"/>
      <c r="JCX29" s="28"/>
      <c r="JCY29" s="28"/>
      <c r="JCZ29" s="28"/>
      <c r="JDA29" s="28"/>
      <c r="JDB29" s="28"/>
      <c r="JDC29" s="28"/>
      <c r="JDD29" s="28"/>
      <c r="JDE29" s="28"/>
      <c r="JDF29" s="28"/>
      <c r="JDG29" s="28"/>
      <c r="JDH29" s="28"/>
      <c r="JDI29" s="28"/>
      <c r="JDJ29" s="28"/>
      <c r="JDK29" s="28"/>
      <c r="JDL29" s="28"/>
      <c r="JDM29" s="28"/>
      <c r="JDN29" s="28"/>
      <c r="JDO29" s="28"/>
      <c r="JDP29" s="28"/>
      <c r="JDQ29" s="28"/>
      <c r="JDR29" s="28"/>
      <c r="JDS29" s="28"/>
      <c r="JDT29" s="28"/>
      <c r="JDU29" s="28"/>
      <c r="JDV29" s="28"/>
      <c r="JDW29" s="28"/>
      <c r="JDX29" s="28"/>
      <c r="JDY29" s="28"/>
      <c r="JDZ29" s="28"/>
      <c r="JEA29" s="28"/>
      <c r="JEB29" s="28"/>
      <c r="JEC29" s="28"/>
      <c r="JED29" s="28"/>
      <c r="JEE29" s="28"/>
      <c r="JEF29" s="28"/>
      <c r="JEG29" s="28"/>
      <c r="JEH29" s="28"/>
      <c r="JEI29" s="28"/>
      <c r="JEJ29" s="28"/>
      <c r="JEK29" s="28"/>
      <c r="JEL29" s="28"/>
      <c r="JEM29" s="28"/>
      <c r="JEN29" s="28"/>
      <c r="JEO29" s="28"/>
      <c r="JEP29" s="28"/>
      <c r="JEQ29" s="28"/>
      <c r="JER29" s="28"/>
      <c r="JES29" s="28"/>
      <c r="JET29" s="28"/>
      <c r="JEU29" s="28"/>
      <c r="JEV29" s="28"/>
      <c r="JEW29" s="28"/>
      <c r="JEX29" s="28"/>
      <c r="JEY29" s="28"/>
      <c r="JEZ29" s="28"/>
      <c r="JFA29" s="28"/>
      <c r="JFB29" s="28"/>
      <c r="JFC29" s="28"/>
      <c r="JFD29" s="28"/>
      <c r="JFE29" s="28"/>
      <c r="JFF29" s="28"/>
      <c r="JFG29" s="28"/>
      <c r="JFH29" s="28"/>
      <c r="JFI29" s="28"/>
      <c r="JFJ29" s="28"/>
      <c r="JFK29" s="28"/>
      <c r="JFL29" s="28"/>
      <c r="JFM29" s="28"/>
      <c r="JFN29" s="28"/>
      <c r="JFO29" s="28"/>
      <c r="JFP29" s="28"/>
      <c r="JFQ29" s="28"/>
      <c r="JFR29" s="28"/>
      <c r="JFS29" s="28"/>
      <c r="JFT29" s="28"/>
      <c r="JFU29" s="28"/>
      <c r="JFV29" s="28"/>
      <c r="JFW29" s="28"/>
      <c r="JFX29" s="28"/>
      <c r="JFY29" s="28"/>
      <c r="JFZ29" s="28"/>
      <c r="JGA29" s="28"/>
      <c r="JGB29" s="28"/>
      <c r="JGC29" s="28"/>
      <c r="JGD29" s="28"/>
      <c r="JGE29" s="28"/>
      <c r="JGF29" s="28"/>
      <c r="JGG29" s="28"/>
      <c r="JGH29" s="28"/>
      <c r="JGI29" s="28"/>
      <c r="JGJ29" s="28"/>
      <c r="JGK29" s="28"/>
      <c r="JGL29" s="28"/>
      <c r="JGM29" s="28"/>
      <c r="JGN29" s="28"/>
      <c r="JGO29" s="28"/>
      <c r="JGP29" s="28"/>
      <c r="JGQ29" s="28"/>
      <c r="JGR29" s="28"/>
      <c r="JGS29" s="28"/>
      <c r="JGT29" s="28"/>
      <c r="JGU29" s="28"/>
      <c r="JGV29" s="28"/>
      <c r="JGW29" s="28"/>
      <c r="JGX29" s="28"/>
      <c r="JGY29" s="28"/>
      <c r="JGZ29" s="28"/>
      <c r="JHA29" s="28"/>
      <c r="JHB29" s="28"/>
      <c r="JHC29" s="28"/>
      <c r="JHD29" s="28"/>
      <c r="JHE29" s="28"/>
      <c r="JHF29" s="28"/>
      <c r="JHG29" s="28"/>
      <c r="JHH29" s="28"/>
      <c r="JHI29" s="28"/>
      <c r="JHJ29" s="28"/>
      <c r="JHK29" s="28"/>
      <c r="JHL29" s="28"/>
      <c r="JHM29" s="28"/>
      <c r="JHN29" s="28"/>
      <c r="JHO29" s="28"/>
      <c r="JHP29" s="28"/>
      <c r="JHQ29" s="28"/>
      <c r="JHR29" s="28"/>
      <c r="JHS29" s="28"/>
      <c r="JHT29" s="28"/>
      <c r="JHU29" s="28"/>
      <c r="JHV29" s="28"/>
      <c r="JHW29" s="28"/>
      <c r="JHX29" s="28"/>
      <c r="JHY29" s="28"/>
      <c r="JHZ29" s="28"/>
      <c r="JIA29" s="28"/>
      <c r="JIB29" s="28"/>
      <c r="JIC29" s="28"/>
      <c r="JID29" s="28"/>
      <c r="JIE29" s="28"/>
      <c r="JIF29" s="28"/>
      <c r="JIG29" s="28"/>
      <c r="JIH29" s="28"/>
      <c r="JII29" s="28"/>
      <c r="JIJ29" s="28"/>
      <c r="JIK29" s="28"/>
      <c r="JIL29" s="28"/>
      <c r="JIM29" s="28"/>
      <c r="JIN29" s="28"/>
      <c r="JIO29" s="28"/>
      <c r="JIP29" s="28"/>
      <c r="JIQ29" s="28"/>
      <c r="JIR29" s="28"/>
      <c r="JIS29" s="28"/>
      <c r="JIT29" s="28"/>
      <c r="JIU29" s="28"/>
      <c r="JIV29" s="28"/>
      <c r="JIW29" s="28"/>
      <c r="JIX29" s="28"/>
      <c r="JIY29" s="28"/>
      <c r="JIZ29" s="28"/>
      <c r="JJA29" s="28"/>
      <c r="JJB29" s="28"/>
      <c r="JJC29" s="28"/>
      <c r="JJD29" s="28"/>
      <c r="JJE29" s="28"/>
      <c r="JJF29" s="28"/>
      <c r="JJG29" s="28"/>
      <c r="JJH29" s="28"/>
      <c r="JJI29" s="28"/>
      <c r="JJJ29" s="28"/>
      <c r="JJK29" s="28"/>
      <c r="JJL29" s="28"/>
      <c r="JJM29" s="28"/>
      <c r="JJN29" s="28"/>
      <c r="JJO29" s="28"/>
      <c r="JJP29" s="28"/>
      <c r="JJQ29" s="28"/>
      <c r="JJR29" s="28"/>
      <c r="JJS29" s="28"/>
      <c r="JJT29" s="28"/>
      <c r="JJU29" s="28"/>
      <c r="JJV29" s="28"/>
      <c r="JJW29" s="28"/>
      <c r="JJX29" s="28"/>
      <c r="JJY29" s="28"/>
      <c r="JJZ29" s="28"/>
      <c r="JKA29" s="28"/>
      <c r="JKB29" s="28"/>
      <c r="JKC29" s="28"/>
      <c r="JKD29" s="28"/>
      <c r="JKE29" s="28"/>
      <c r="JKF29" s="28"/>
      <c r="JKG29" s="28"/>
      <c r="JKH29" s="28"/>
      <c r="JKI29" s="28"/>
      <c r="JKJ29" s="28"/>
      <c r="JKK29" s="28"/>
      <c r="JKL29" s="28"/>
      <c r="JKM29" s="28"/>
      <c r="JKN29" s="28"/>
      <c r="JKO29" s="28"/>
      <c r="JKP29" s="28"/>
      <c r="JKQ29" s="28"/>
      <c r="JKR29" s="28"/>
      <c r="JKS29" s="28"/>
      <c r="JKT29" s="28"/>
      <c r="JKU29" s="28"/>
      <c r="JKV29" s="28"/>
      <c r="JKW29" s="28"/>
      <c r="JKX29" s="28"/>
      <c r="JKY29" s="28"/>
      <c r="JKZ29" s="28"/>
      <c r="JLA29" s="28"/>
      <c r="JLB29" s="28"/>
      <c r="JLC29" s="28"/>
      <c r="JLD29" s="28"/>
      <c r="JLE29" s="28"/>
      <c r="JLF29" s="28"/>
      <c r="JLG29" s="28"/>
      <c r="JLH29" s="28"/>
      <c r="JLI29" s="28"/>
      <c r="JLJ29" s="28"/>
      <c r="JLK29" s="28"/>
      <c r="JLL29" s="28"/>
      <c r="JLM29" s="28"/>
      <c r="JLN29" s="28"/>
      <c r="JLO29" s="28"/>
      <c r="JLP29" s="28"/>
      <c r="JLQ29" s="28"/>
      <c r="JLR29" s="28"/>
      <c r="JLS29" s="28"/>
      <c r="JLT29" s="28"/>
      <c r="JLU29" s="28"/>
      <c r="JLV29" s="28"/>
      <c r="JLW29" s="28"/>
      <c r="JLX29" s="28"/>
      <c r="JLY29" s="28"/>
      <c r="JLZ29" s="28"/>
      <c r="JMA29" s="28"/>
      <c r="JMB29" s="28"/>
      <c r="JMC29" s="28"/>
      <c r="JMD29" s="28"/>
      <c r="JME29" s="28"/>
      <c r="JMF29" s="28"/>
      <c r="JMG29" s="28"/>
      <c r="JMH29" s="28"/>
      <c r="JMI29" s="28"/>
      <c r="JMJ29" s="28"/>
      <c r="JMK29" s="28"/>
      <c r="JML29" s="28"/>
      <c r="JMM29" s="28"/>
      <c r="JMN29" s="28"/>
      <c r="JMO29" s="28"/>
      <c r="JMP29" s="28"/>
      <c r="JMQ29" s="28"/>
      <c r="JMR29" s="28"/>
      <c r="JMS29" s="28"/>
      <c r="JMT29" s="28"/>
      <c r="JMU29" s="28"/>
      <c r="JMV29" s="28"/>
      <c r="JMW29" s="28"/>
      <c r="JMX29" s="28"/>
      <c r="JMY29" s="28"/>
      <c r="JMZ29" s="28"/>
      <c r="JNA29" s="28"/>
      <c r="JNB29" s="28"/>
      <c r="JNC29" s="28"/>
      <c r="JND29" s="28"/>
      <c r="JNE29" s="28"/>
      <c r="JNF29" s="28"/>
      <c r="JNG29" s="28"/>
      <c r="JNH29" s="28"/>
      <c r="JNI29" s="28"/>
      <c r="JNJ29" s="28"/>
      <c r="JNK29" s="28"/>
      <c r="JNL29" s="28"/>
      <c r="JNM29" s="28"/>
      <c r="JNN29" s="28"/>
      <c r="JNO29" s="28"/>
      <c r="JNP29" s="28"/>
      <c r="JNQ29" s="28"/>
      <c r="JNR29" s="28"/>
      <c r="JNS29" s="28"/>
      <c r="JNT29" s="28"/>
      <c r="JNU29" s="28"/>
      <c r="JNV29" s="28"/>
      <c r="JNW29" s="28"/>
      <c r="JNX29" s="28"/>
      <c r="JNY29" s="28"/>
      <c r="JNZ29" s="28"/>
      <c r="JOA29" s="28"/>
      <c r="JOB29" s="28"/>
      <c r="JOC29" s="28"/>
      <c r="JOD29" s="28"/>
      <c r="JOE29" s="28"/>
      <c r="JOF29" s="28"/>
      <c r="JOG29" s="28"/>
      <c r="JOH29" s="28"/>
      <c r="JOI29" s="28"/>
      <c r="JOJ29" s="28"/>
      <c r="JOK29" s="28"/>
      <c r="JOL29" s="28"/>
      <c r="JOM29" s="28"/>
      <c r="JON29" s="28"/>
      <c r="JOO29" s="28"/>
      <c r="JOP29" s="28"/>
      <c r="JOQ29" s="28"/>
      <c r="JOR29" s="28"/>
      <c r="JOS29" s="28"/>
      <c r="JOT29" s="28"/>
      <c r="JOU29" s="28"/>
      <c r="JOV29" s="28"/>
      <c r="JOW29" s="28"/>
      <c r="JOX29" s="28"/>
      <c r="JOY29" s="28"/>
      <c r="JOZ29" s="28"/>
      <c r="JPA29" s="28"/>
      <c r="JPB29" s="28"/>
      <c r="JPC29" s="28"/>
      <c r="JPD29" s="28"/>
      <c r="JPE29" s="28"/>
      <c r="JPF29" s="28"/>
      <c r="JPG29" s="28"/>
      <c r="JPH29" s="28"/>
      <c r="JPI29" s="28"/>
      <c r="JPJ29" s="28"/>
      <c r="JPK29" s="28"/>
      <c r="JPL29" s="28"/>
      <c r="JPM29" s="28"/>
      <c r="JPN29" s="28"/>
      <c r="JPO29" s="28"/>
      <c r="JPP29" s="28"/>
      <c r="JPQ29" s="28"/>
      <c r="JPR29" s="28"/>
      <c r="JPS29" s="28"/>
      <c r="JPT29" s="28"/>
      <c r="JPU29" s="28"/>
      <c r="JPV29" s="28"/>
      <c r="JPW29" s="28"/>
      <c r="JPX29" s="28"/>
      <c r="JPY29" s="28"/>
      <c r="JPZ29" s="28"/>
      <c r="JQA29" s="28"/>
      <c r="JQB29" s="28"/>
      <c r="JQC29" s="28"/>
      <c r="JQD29" s="28"/>
      <c r="JQE29" s="28"/>
      <c r="JQF29" s="28"/>
      <c r="JQG29" s="28"/>
      <c r="JQH29" s="28"/>
      <c r="JQI29" s="28"/>
      <c r="JQJ29" s="28"/>
      <c r="JQK29" s="28"/>
      <c r="JQL29" s="28"/>
      <c r="JQM29" s="28"/>
      <c r="JQN29" s="28"/>
      <c r="JQO29" s="28"/>
      <c r="JQP29" s="28"/>
      <c r="JQQ29" s="28"/>
      <c r="JQR29" s="28"/>
      <c r="JQS29" s="28"/>
      <c r="JQT29" s="28"/>
      <c r="JQU29" s="28"/>
      <c r="JQV29" s="28"/>
      <c r="JQW29" s="28"/>
      <c r="JQX29" s="28"/>
      <c r="JQY29" s="28"/>
      <c r="JQZ29" s="28"/>
      <c r="JRA29" s="28"/>
      <c r="JRB29" s="28"/>
      <c r="JRC29" s="28"/>
      <c r="JRD29" s="28"/>
      <c r="JRE29" s="28"/>
      <c r="JRF29" s="28"/>
      <c r="JRG29" s="28"/>
      <c r="JRH29" s="28"/>
      <c r="JRI29" s="28"/>
      <c r="JRJ29" s="28"/>
      <c r="JRK29" s="28"/>
      <c r="JRL29" s="28"/>
      <c r="JRM29" s="28"/>
      <c r="JRN29" s="28"/>
      <c r="JRO29" s="28"/>
      <c r="JRP29" s="28"/>
      <c r="JRQ29" s="28"/>
      <c r="JRR29" s="28"/>
      <c r="JRS29" s="28"/>
      <c r="JRT29" s="28"/>
      <c r="JRU29" s="28"/>
      <c r="JRV29" s="28"/>
      <c r="JRW29" s="28"/>
      <c r="JRX29" s="28"/>
      <c r="JRY29" s="28"/>
      <c r="JRZ29" s="28"/>
      <c r="JSA29" s="28"/>
      <c r="JSB29" s="28"/>
      <c r="JSC29" s="28"/>
      <c r="JSD29" s="28"/>
      <c r="JSE29" s="28"/>
      <c r="JSF29" s="28"/>
      <c r="JSG29" s="28"/>
      <c r="JSH29" s="28"/>
      <c r="JSI29" s="28"/>
      <c r="JSJ29" s="28"/>
      <c r="JSK29" s="28"/>
      <c r="JSL29" s="28"/>
      <c r="JSM29" s="28"/>
      <c r="JSN29" s="28"/>
      <c r="JSO29" s="28"/>
      <c r="JSP29" s="28"/>
      <c r="JSQ29" s="28"/>
      <c r="JSR29" s="28"/>
      <c r="JSS29" s="28"/>
      <c r="JST29" s="28"/>
      <c r="JSU29" s="28"/>
      <c r="JSV29" s="28"/>
      <c r="JSW29" s="28"/>
      <c r="JSX29" s="28"/>
      <c r="JSY29" s="28"/>
      <c r="JSZ29" s="28"/>
      <c r="JTA29" s="28"/>
      <c r="JTB29" s="28"/>
      <c r="JTC29" s="28"/>
      <c r="JTD29" s="28"/>
      <c r="JTE29" s="28"/>
      <c r="JTF29" s="28"/>
      <c r="JTG29" s="28"/>
      <c r="JTH29" s="28"/>
      <c r="JTI29" s="28"/>
      <c r="JTJ29" s="28"/>
      <c r="JTK29" s="28"/>
      <c r="JTL29" s="28"/>
      <c r="JTM29" s="28"/>
      <c r="JTN29" s="28"/>
      <c r="JTO29" s="28"/>
      <c r="JTP29" s="28"/>
      <c r="JTQ29" s="28"/>
      <c r="JTR29" s="28"/>
      <c r="JTS29" s="28"/>
      <c r="JTT29" s="28"/>
      <c r="JTU29" s="28"/>
      <c r="JTV29" s="28"/>
      <c r="JTW29" s="28"/>
      <c r="JTX29" s="28"/>
      <c r="JTY29" s="28"/>
      <c r="JTZ29" s="28"/>
      <c r="JUA29" s="28"/>
      <c r="JUB29" s="28"/>
      <c r="JUC29" s="28"/>
      <c r="JUD29" s="28"/>
      <c r="JUE29" s="28"/>
      <c r="JUF29" s="28"/>
      <c r="JUG29" s="28"/>
      <c r="JUH29" s="28"/>
      <c r="JUI29" s="28"/>
      <c r="JUJ29" s="28"/>
      <c r="JUK29" s="28"/>
      <c r="JUL29" s="28"/>
      <c r="JUM29" s="28"/>
      <c r="JUN29" s="28"/>
      <c r="JUO29" s="28"/>
      <c r="JUP29" s="28"/>
      <c r="JUQ29" s="28"/>
      <c r="JUR29" s="28"/>
      <c r="JUS29" s="28"/>
      <c r="JUT29" s="28"/>
      <c r="JUU29" s="28"/>
      <c r="JUV29" s="28"/>
      <c r="JUW29" s="28"/>
      <c r="JUX29" s="28"/>
      <c r="JUY29" s="28"/>
      <c r="JUZ29" s="28"/>
      <c r="JVA29" s="28"/>
      <c r="JVB29" s="28"/>
      <c r="JVC29" s="28"/>
      <c r="JVD29" s="28"/>
      <c r="JVE29" s="28"/>
      <c r="JVF29" s="28"/>
      <c r="JVG29" s="28"/>
      <c r="JVH29" s="28"/>
      <c r="JVI29" s="28"/>
      <c r="JVJ29" s="28"/>
      <c r="JVK29" s="28"/>
      <c r="JVL29" s="28"/>
      <c r="JVM29" s="28"/>
      <c r="JVN29" s="28"/>
      <c r="JVO29" s="28"/>
      <c r="JVP29" s="28"/>
      <c r="JVQ29" s="28"/>
      <c r="JVR29" s="28"/>
      <c r="JVS29" s="28"/>
      <c r="JVT29" s="28"/>
      <c r="JVU29" s="28"/>
      <c r="JVV29" s="28"/>
      <c r="JVW29" s="28"/>
      <c r="JVX29" s="28"/>
      <c r="JVY29" s="28"/>
      <c r="JVZ29" s="28"/>
      <c r="JWA29" s="28"/>
      <c r="JWB29" s="28"/>
      <c r="JWC29" s="28"/>
      <c r="JWD29" s="28"/>
      <c r="JWE29" s="28"/>
      <c r="JWF29" s="28"/>
      <c r="JWG29" s="28"/>
      <c r="JWH29" s="28"/>
      <c r="JWI29" s="28"/>
      <c r="JWJ29" s="28"/>
      <c r="JWK29" s="28"/>
      <c r="JWL29" s="28"/>
      <c r="JWM29" s="28"/>
      <c r="JWN29" s="28"/>
      <c r="JWO29" s="28"/>
      <c r="JWP29" s="28"/>
      <c r="JWQ29" s="28"/>
      <c r="JWR29" s="28"/>
      <c r="JWS29" s="28"/>
      <c r="JWT29" s="28"/>
      <c r="JWU29" s="28"/>
      <c r="JWV29" s="28"/>
      <c r="JWW29" s="28"/>
      <c r="JWX29" s="28"/>
      <c r="JWY29" s="28"/>
      <c r="JWZ29" s="28"/>
      <c r="JXA29" s="28"/>
      <c r="JXB29" s="28"/>
      <c r="JXC29" s="28"/>
      <c r="JXD29" s="28"/>
      <c r="JXE29" s="28"/>
      <c r="JXF29" s="28"/>
      <c r="JXG29" s="28"/>
      <c r="JXH29" s="28"/>
      <c r="JXI29" s="28"/>
      <c r="JXJ29" s="28"/>
      <c r="JXK29" s="28"/>
      <c r="JXL29" s="28"/>
      <c r="JXM29" s="28"/>
      <c r="JXN29" s="28"/>
      <c r="JXO29" s="28"/>
      <c r="JXP29" s="28"/>
      <c r="JXQ29" s="28"/>
      <c r="JXR29" s="28"/>
      <c r="JXS29" s="28"/>
      <c r="JXT29" s="28"/>
      <c r="JXU29" s="28"/>
      <c r="JXV29" s="28"/>
      <c r="JXW29" s="28"/>
      <c r="JXX29" s="28"/>
      <c r="JXY29" s="28"/>
      <c r="JXZ29" s="28"/>
      <c r="JYA29" s="28"/>
      <c r="JYB29" s="28"/>
      <c r="JYC29" s="28"/>
      <c r="JYD29" s="28"/>
      <c r="JYE29" s="28"/>
      <c r="JYF29" s="28"/>
      <c r="JYG29" s="28"/>
      <c r="JYH29" s="28"/>
      <c r="JYI29" s="28"/>
      <c r="JYJ29" s="28"/>
      <c r="JYK29" s="28"/>
      <c r="JYL29" s="28"/>
      <c r="JYM29" s="28"/>
      <c r="JYN29" s="28"/>
      <c r="JYO29" s="28"/>
      <c r="JYP29" s="28"/>
      <c r="JYQ29" s="28"/>
      <c r="JYR29" s="28"/>
      <c r="JYS29" s="28"/>
      <c r="JYT29" s="28"/>
      <c r="JYU29" s="28"/>
      <c r="JYV29" s="28"/>
      <c r="JYW29" s="28"/>
      <c r="JYX29" s="28"/>
      <c r="JYY29" s="28"/>
      <c r="JYZ29" s="28"/>
      <c r="JZA29" s="28"/>
      <c r="JZB29" s="28"/>
      <c r="JZC29" s="28"/>
      <c r="JZD29" s="28"/>
      <c r="JZE29" s="28"/>
      <c r="JZF29" s="28"/>
      <c r="JZG29" s="28"/>
      <c r="JZH29" s="28"/>
      <c r="JZI29" s="28"/>
      <c r="JZJ29" s="28"/>
      <c r="JZK29" s="28"/>
      <c r="JZL29" s="28"/>
      <c r="JZM29" s="28"/>
      <c r="JZN29" s="28"/>
      <c r="JZO29" s="28"/>
      <c r="JZP29" s="28"/>
      <c r="JZQ29" s="28"/>
      <c r="JZR29" s="28"/>
      <c r="JZS29" s="28"/>
      <c r="JZT29" s="28"/>
      <c r="JZU29" s="28"/>
      <c r="JZV29" s="28"/>
      <c r="JZW29" s="28"/>
      <c r="JZX29" s="28"/>
      <c r="JZY29" s="28"/>
      <c r="JZZ29" s="28"/>
      <c r="KAA29" s="28"/>
      <c r="KAB29" s="28"/>
      <c r="KAC29" s="28"/>
      <c r="KAD29" s="28"/>
      <c r="KAE29" s="28"/>
      <c r="KAF29" s="28"/>
      <c r="KAG29" s="28"/>
      <c r="KAH29" s="28"/>
      <c r="KAI29" s="28"/>
      <c r="KAJ29" s="28"/>
      <c r="KAK29" s="28"/>
      <c r="KAL29" s="28"/>
      <c r="KAM29" s="28"/>
      <c r="KAN29" s="28"/>
      <c r="KAO29" s="28"/>
      <c r="KAP29" s="28"/>
      <c r="KAQ29" s="28"/>
      <c r="KAR29" s="28"/>
      <c r="KAS29" s="28"/>
      <c r="KAT29" s="28"/>
      <c r="KAU29" s="28"/>
      <c r="KAV29" s="28"/>
      <c r="KAW29" s="28"/>
      <c r="KAX29" s="28"/>
      <c r="KAY29" s="28"/>
      <c r="KAZ29" s="28"/>
      <c r="KBA29" s="28"/>
      <c r="KBB29" s="28"/>
      <c r="KBC29" s="28"/>
      <c r="KBD29" s="28"/>
      <c r="KBE29" s="28"/>
      <c r="KBF29" s="28"/>
      <c r="KBG29" s="28"/>
      <c r="KBH29" s="28"/>
      <c r="KBI29" s="28"/>
      <c r="KBJ29" s="28"/>
      <c r="KBK29" s="28"/>
      <c r="KBL29" s="28"/>
      <c r="KBM29" s="28"/>
      <c r="KBN29" s="28"/>
      <c r="KBO29" s="28"/>
      <c r="KBP29" s="28"/>
      <c r="KBQ29" s="28"/>
      <c r="KBR29" s="28"/>
      <c r="KBS29" s="28"/>
      <c r="KBT29" s="28"/>
      <c r="KBU29" s="28"/>
      <c r="KBV29" s="28"/>
      <c r="KBW29" s="28"/>
      <c r="KBX29" s="28"/>
      <c r="KBY29" s="28"/>
      <c r="KBZ29" s="28"/>
      <c r="KCA29" s="28"/>
      <c r="KCB29" s="28"/>
      <c r="KCC29" s="28"/>
      <c r="KCD29" s="28"/>
      <c r="KCE29" s="28"/>
      <c r="KCF29" s="28"/>
      <c r="KCG29" s="28"/>
      <c r="KCH29" s="28"/>
      <c r="KCI29" s="28"/>
      <c r="KCJ29" s="28"/>
      <c r="KCK29" s="28"/>
      <c r="KCL29" s="28"/>
      <c r="KCM29" s="28"/>
      <c r="KCN29" s="28"/>
      <c r="KCO29" s="28"/>
      <c r="KCP29" s="28"/>
      <c r="KCQ29" s="28"/>
      <c r="KCR29" s="28"/>
      <c r="KCS29" s="28"/>
      <c r="KCT29" s="28"/>
      <c r="KCU29" s="28"/>
      <c r="KCV29" s="28"/>
      <c r="KCW29" s="28"/>
      <c r="KCX29" s="28"/>
      <c r="KCY29" s="28"/>
      <c r="KCZ29" s="28"/>
      <c r="KDA29" s="28"/>
      <c r="KDB29" s="28"/>
      <c r="KDC29" s="28"/>
      <c r="KDD29" s="28"/>
      <c r="KDE29" s="28"/>
      <c r="KDF29" s="28"/>
      <c r="KDG29" s="28"/>
      <c r="KDH29" s="28"/>
      <c r="KDI29" s="28"/>
      <c r="KDJ29" s="28"/>
      <c r="KDK29" s="28"/>
      <c r="KDL29" s="28"/>
      <c r="KDM29" s="28"/>
      <c r="KDN29" s="28"/>
      <c r="KDO29" s="28"/>
      <c r="KDP29" s="28"/>
      <c r="KDQ29" s="28"/>
      <c r="KDR29" s="28"/>
      <c r="KDS29" s="28"/>
      <c r="KDT29" s="28"/>
      <c r="KDU29" s="28"/>
      <c r="KDV29" s="28"/>
      <c r="KDW29" s="28"/>
      <c r="KDX29" s="28"/>
      <c r="KDY29" s="28"/>
      <c r="KDZ29" s="28"/>
      <c r="KEA29" s="28"/>
      <c r="KEB29" s="28"/>
      <c r="KEC29" s="28"/>
      <c r="KED29" s="28"/>
      <c r="KEE29" s="28"/>
      <c r="KEF29" s="28"/>
      <c r="KEG29" s="28"/>
      <c r="KEH29" s="28"/>
      <c r="KEI29" s="28"/>
      <c r="KEJ29" s="28"/>
      <c r="KEK29" s="28"/>
      <c r="KEL29" s="28"/>
      <c r="KEM29" s="28"/>
      <c r="KEN29" s="28"/>
      <c r="KEO29" s="28"/>
      <c r="KEP29" s="28"/>
      <c r="KEQ29" s="28"/>
      <c r="KER29" s="28"/>
      <c r="KES29" s="28"/>
      <c r="KET29" s="28"/>
      <c r="KEU29" s="28"/>
      <c r="KEV29" s="28"/>
      <c r="KEW29" s="28"/>
      <c r="KEX29" s="28"/>
      <c r="KEY29" s="28"/>
      <c r="KEZ29" s="28"/>
      <c r="KFA29" s="28"/>
      <c r="KFB29" s="28"/>
      <c r="KFC29" s="28"/>
      <c r="KFD29" s="28"/>
      <c r="KFE29" s="28"/>
      <c r="KFF29" s="28"/>
      <c r="KFG29" s="28"/>
      <c r="KFH29" s="28"/>
      <c r="KFI29" s="28"/>
      <c r="KFJ29" s="28"/>
      <c r="KFK29" s="28"/>
      <c r="KFL29" s="28"/>
      <c r="KFM29" s="28"/>
      <c r="KFN29" s="28"/>
      <c r="KFO29" s="28"/>
      <c r="KFP29" s="28"/>
      <c r="KFQ29" s="28"/>
      <c r="KFR29" s="28"/>
      <c r="KFS29" s="28"/>
      <c r="KFT29" s="28"/>
      <c r="KFU29" s="28"/>
      <c r="KFV29" s="28"/>
      <c r="KFW29" s="28"/>
      <c r="KFX29" s="28"/>
      <c r="KFY29" s="28"/>
      <c r="KFZ29" s="28"/>
      <c r="KGA29" s="28"/>
      <c r="KGB29" s="28"/>
      <c r="KGC29" s="28"/>
      <c r="KGD29" s="28"/>
      <c r="KGE29" s="28"/>
      <c r="KGF29" s="28"/>
      <c r="KGG29" s="28"/>
      <c r="KGH29" s="28"/>
      <c r="KGI29" s="28"/>
      <c r="KGJ29" s="28"/>
      <c r="KGK29" s="28"/>
      <c r="KGL29" s="28"/>
      <c r="KGM29" s="28"/>
      <c r="KGN29" s="28"/>
      <c r="KGO29" s="28"/>
      <c r="KGP29" s="28"/>
      <c r="KGQ29" s="28"/>
      <c r="KGR29" s="28"/>
      <c r="KGS29" s="28"/>
      <c r="KGT29" s="28"/>
      <c r="KGU29" s="28"/>
      <c r="KGV29" s="28"/>
      <c r="KGW29" s="28"/>
      <c r="KGX29" s="28"/>
      <c r="KGY29" s="28"/>
      <c r="KGZ29" s="28"/>
      <c r="KHA29" s="28"/>
      <c r="KHB29" s="28"/>
      <c r="KHC29" s="28"/>
      <c r="KHD29" s="28"/>
      <c r="KHE29" s="28"/>
      <c r="KHF29" s="28"/>
      <c r="KHG29" s="28"/>
      <c r="KHH29" s="28"/>
      <c r="KHI29" s="28"/>
      <c r="KHJ29" s="28"/>
      <c r="KHK29" s="28"/>
      <c r="KHL29" s="28"/>
      <c r="KHM29" s="28"/>
      <c r="KHN29" s="28"/>
      <c r="KHO29" s="28"/>
      <c r="KHP29" s="28"/>
      <c r="KHQ29" s="28"/>
      <c r="KHR29" s="28"/>
      <c r="KHS29" s="28"/>
      <c r="KHT29" s="28"/>
      <c r="KHU29" s="28"/>
      <c r="KHV29" s="28"/>
      <c r="KHW29" s="28"/>
      <c r="KHX29" s="28"/>
      <c r="KHY29" s="28"/>
      <c r="KHZ29" s="28"/>
      <c r="KIA29" s="28"/>
      <c r="KIB29" s="28"/>
      <c r="KIC29" s="28"/>
      <c r="KID29" s="28"/>
      <c r="KIE29" s="28"/>
      <c r="KIF29" s="28"/>
      <c r="KIG29" s="28"/>
      <c r="KIH29" s="28"/>
      <c r="KII29" s="28"/>
      <c r="KIJ29" s="28"/>
      <c r="KIK29" s="28"/>
      <c r="KIL29" s="28"/>
      <c r="KIM29" s="28"/>
      <c r="KIN29" s="28"/>
      <c r="KIO29" s="28"/>
      <c r="KIP29" s="28"/>
      <c r="KIQ29" s="28"/>
      <c r="KIR29" s="28"/>
      <c r="KIS29" s="28"/>
      <c r="KIT29" s="28"/>
      <c r="KIU29" s="28"/>
      <c r="KIV29" s="28"/>
      <c r="KIW29" s="28"/>
      <c r="KIX29" s="28"/>
      <c r="KIY29" s="28"/>
      <c r="KIZ29" s="28"/>
      <c r="KJA29" s="28"/>
      <c r="KJB29" s="28"/>
      <c r="KJC29" s="28"/>
      <c r="KJD29" s="28"/>
      <c r="KJE29" s="28"/>
      <c r="KJF29" s="28"/>
      <c r="KJG29" s="28"/>
      <c r="KJH29" s="28"/>
      <c r="KJI29" s="28"/>
      <c r="KJJ29" s="28"/>
      <c r="KJK29" s="28"/>
      <c r="KJL29" s="28"/>
      <c r="KJM29" s="28"/>
      <c r="KJN29" s="28"/>
      <c r="KJO29" s="28"/>
      <c r="KJP29" s="28"/>
      <c r="KJQ29" s="28"/>
      <c r="KJR29" s="28"/>
      <c r="KJS29" s="28"/>
      <c r="KJT29" s="28"/>
      <c r="KJU29" s="28"/>
      <c r="KJV29" s="28"/>
      <c r="KJW29" s="28"/>
      <c r="KJX29" s="28"/>
      <c r="KJY29" s="28"/>
      <c r="KJZ29" s="28"/>
      <c r="KKA29" s="28"/>
      <c r="KKB29" s="28"/>
      <c r="KKC29" s="28"/>
      <c r="KKD29" s="28"/>
      <c r="KKE29" s="28"/>
      <c r="KKF29" s="28"/>
      <c r="KKG29" s="28"/>
      <c r="KKH29" s="28"/>
      <c r="KKI29" s="28"/>
      <c r="KKJ29" s="28"/>
      <c r="KKK29" s="28"/>
      <c r="KKL29" s="28"/>
      <c r="KKM29" s="28"/>
      <c r="KKN29" s="28"/>
      <c r="KKO29" s="28"/>
      <c r="KKP29" s="28"/>
      <c r="KKQ29" s="28"/>
      <c r="KKR29" s="28"/>
      <c r="KKS29" s="28"/>
      <c r="KKT29" s="28"/>
      <c r="KKU29" s="28"/>
      <c r="KKV29" s="28"/>
      <c r="KKW29" s="28"/>
      <c r="KKX29" s="28"/>
      <c r="KKY29" s="28"/>
      <c r="KKZ29" s="28"/>
      <c r="KLA29" s="28"/>
      <c r="KLB29" s="28"/>
      <c r="KLC29" s="28"/>
      <c r="KLD29" s="28"/>
      <c r="KLE29" s="28"/>
      <c r="KLF29" s="28"/>
      <c r="KLG29" s="28"/>
      <c r="KLH29" s="28"/>
      <c r="KLI29" s="28"/>
      <c r="KLJ29" s="28"/>
      <c r="KLK29" s="28"/>
      <c r="KLL29" s="28"/>
      <c r="KLM29" s="28"/>
      <c r="KLN29" s="28"/>
      <c r="KLO29" s="28"/>
      <c r="KLP29" s="28"/>
      <c r="KLQ29" s="28"/>
      <c r="KLR29" s="28"/>
      <c r="KLS29" s="28"/>
      <c r="KLT29" s="28"/>
      <c r="KLU29" s="28"/>
      <c r="KLV29" s="28"/>
      <c r="KLW29" s="28"/>
      <c r="KLX29" s="28"/>
      <c r="KLY29" s="28"/>
      <c r="KLZ29" s="28"/>
      <c r="KMA29" s="28"/>
      <c r="KMB29" s="28"/>
      <c r="KMC29" s="28"/>
      <c r="KMD29" s="28"/>
      <c r="KME29" s="28"/>
      <c r="KMF29" s="28"/>
      <c r="KMG29" s="28"/>
      <c r="KMH29" s="28"/>
      <c r="KMI29" s="28"/>
      <c r="KMJ29" s="28"/>
      <c r="KMK29" s="28"/>
      <c r="KML29" s="28"/>
      <c r="KMM29" s="28"/>
      <c r="KMN29" s="28"/>
      <c r="KMO29" s="28"/>
      <c r="KMP29" s="28"/>
      <c r="KMQ29" s="28"/>
      <c r="KMR29" s="28"/>
      <c r="KMS29" s="28"/>
      <c r="KMT29" s="28"/>
      <c r="KMU29" s="28"/>
      <c r="KMV29" s="28"/>
      <c r="KMW29" s="28"/>
      <c r="KMX29" s="28"/>
      <c r="KMY29" s="28"/>
      <c r="KMZ29" s="28"/>
      <c r="KNA29" s="28"/>
      <c r="KNB29" s="28"/>
      <c r="KNC29" s="28"/>
      <c r="KND29" s="28"/>
      <c r="KNE29" s="28"/>
      <c r="KNF29" s="28"/>
      <c r="KNG29" s="28"/>
      <c r="KNH29" s="28"/>
      <c r="KNI29" s="28"/>
      <c r="KNJ29" s="28"/>
      <c r="KNK29" s="28"/>
      <c r="KNL29" s="28"/>
      <c r="KNM29" s="28"/>
      <c r="KNN29" s="28"/>
      <c r="KNO29" s="28"/>
      <c r="KNP29" s="28"/>
      <c r="KNQ29" s="28"/>
      <c r="KNR29" s="28"/>
      <c r="KNS29" s="28"/>
      <c r="KNT29" s="28"/>
      <c r="KNU29" s="28"/>
      <c r="KNV29" s="28"/>
      <c r="KNW29" s="28"/>
      <c r="KNX29" s="28"/>
      <c r="KNY29" s="28"/>
      <c r="KNZ29" s="28"/>
      <c r="KOA29" s="28"/>
      <c r="KOB29" s="28"/>
      <c r="KOC29" s="28"/>
      <c r="KOD29" s="28"/>
      <c r="KOE29" s="28"/>
      <c r="KOF29" s="28"/>
      <c r="KOG29" s="28"/>
      <c r="KOH29" s="28"/>
      <c r="KOI29" s="28"/>
      <c r="KOJ29" s="28"/>
      <c r="KOK29" s="28"/>
      <c r="KOL29" s="28"/>
      <c r="KOM29" s="28"/>
      <c r="KON29" s="28"/>
      <c r="KOO29" s="28"/>
      <c r="KOP29" s="28"/>
      <c r="KOQ29" s="28"/>
      <c r="KOR29" s="28"/>
      <c r="KOS29" s="28"/>
      <c r="KOT29" s="28"/>
      <c r="KOU29" s="28"/>
      <c r="KOV29" s="28"/>
      <c r="KOW29" s="28"/>
      <c r="KOX29" s="28"/>
      <c r="KOY29" s="28"/>
      <c r="KOZ29" s="28"/>
      <c r="KPA29" s="28"/>
      <c r="KPB29" s="28"/>
      <c r="KPC29" s="28"/>
      <c r="KPD29" s="28"/>
      <c r="KPE29" s="28"/>
      <c r="KPF29" s="28"/>
      <c r="KPG29" s="28"/>
      <c r="KPH29" s="28"/>
      <c r="KPI29" s="28"/>
      <c r="KPJ29" s="28"/>
      <c r="KPK29" s="28"/>
      <c r="KPL29" s="28"/>
      <c r="KPM29" s="28"/>
      <c r="KPN29" s="28"/>
      <c r="KPO29" s="28"/>
      <c r="KPP29" s="28"/>
      <c r="KPQ29" s="28"/>
      <c r="KPR29" s="28"/>
      <c r="KPS29" s="28"/>
      <c r="KPT29" s="28"/>
      <c r="KPU29" s="28"/>
      <c r="KPV29" s="28"/>
      <c r="KPW29" s="28"/>
      <c r="KPX29" s="28"/>
      <c r="KPY29" s="28"/>
      <c r="KPZ29" s="28"/>
      <c r="KQA29" s="28"/>
      <c r="KQB29" s="28"/>
      <c r="KQC29" s="28"/>
      <c r="KQD29" s="28"/>
      <c r="KQE29" s="28"/>
      <c r="KQF29" s="28"/>
      <c r="KQG29" s="28"/>
      <c r="KQH29" s="28"/>
      <c r="KQI29" s="28"/>
      <c r="KQJ29" s="28"/>
      <c r="KQK29" s="28"/>
      <c r="KQL29" s="28"/>
      <c r="KQM29" s="28"/>
      <c r="KQN29" s="28"/>
      <c r="KQO29" s="28"/>
      <c r="KQP29" s="28"/>
      <c r="KQQ29" s="28"/>
      <c r="KQR29" s="28"/>
      <c r="KQS29" s="28"/>
      <c r="KQT29" s="28"/>
      <c r="KQU29" s="28"/>
      <c r="KQV29" s="28"/>
      <c r="KQW29" s="28"/>
      <c r="KQX29" s="28"/>
      <c r="KQY29" s="28"/>
      <c r="KQZ29" s="28"/>
      <c r="KRA29" s="28"/>
      <c r="KRB29" s="28"/>
      <c r="KRC29" s="28"/>
      <c r="KRD29" s="28"/>
      <c r="KRE29" s="28"/>
      <c r="KRF29" s="28"/>
      <c r="KRG29" s="28"/>
      <c r="KRH29" s="28"/>
      <c r="KRI29" s="28"/>
      <c r="KRJ29" s="28"/>
      <c r="KRK29" s="28"/>
      <c r="KRL29" s="28"/>
      <c r="KRM29" s="28"/>
      <c r="KRN29" s="28"/>
      <c r="KRO29" s="28"/>
      <c r="KRP29" s="28"/>
      <c r="KRQ29" s="28"/>
      <c r="KRR29" s="28"/>
      <c r="KRS29" s="28"/>
      <c r="KRT29" s="28"/>
      <c r="KRU29" s="28"/>
      <c r="KRV29" s="28"/>
      <c r="KRW29" s="28"/>
      <c r="KRX29" s="28"/>
      <c r="KRY29" s="28"/>
      <c r="KRZ29" s="28"/>
      <c r="KSA29" s="28"/>
      <c r="KSB29" s="28"/>
      <c r="KSC29" s="28"/>
      <c r="KSD29" s="28"/>
      <c r="KSE29" s="28"/>
      <c r="KSF29" s="28"/>
      <c r="KSG29" s="28"/>
      <c r="KSH29" s="28"/>
      <c r="KSI29" s="28"/>
      <c r="KSJ29" s="28"/>
      <c r="KSK29" s="28"/>
      <c r="KSL29" s="28"/>
      <c r="KSM29" s="28"/>
      <c r="KSN29" s="28"/>
      <c r="KSO29" s="28"/>
      <c r="KSP29" s="28"/>
      <c r="KSQ29" s="28"/>
      <c r="KSR29" s="28"/>
      <c r="KSS29" s="28"/>
      <c r="KST29" s="28"/>
      <c r="KSU29" s="28"/>
      <c r="KSV29" s="28"/>
      <c r="KSW29" s="28"/>
      <c r="KSX29" s="28"/>
      <c r="KSY29" s="28"/>
      <c r="KSZ29" s="28"/>
      <c r="KTA29" s="28"/>
      <c r="KTB29" s="28"/>
      <c r="KTC29" s="28"/>
      <c r="KTD29" s="28"/>
      <c r="KTE29" s="28"/>
      <c r="KTF29" s="28"/>
      <c r="KTG29" s="28"/>
      <c r="KTH29" s="28"/>
      <c r="KTI29" s="28"/>
      <c r="KTJ29" s="28"/>
      <c r="KTK29" s="28"/>
      <c r="KTL29" s="28"/>
      <c r="KTM29" s="28"/>
      <c r="KTN29" s="28"/>
      <c r="KTO29" s="28"/>
      <c r="KTP29" s="28"/>
      <c r="KTQ29" s="28"/>
      <c r="KTR29" s="28"/>
      <c r="KTS29" s="28"/>
      <c r="KTT29" s="28"/>
      <c r="KTU29" s="28"/>
      <c r="KTV29" s="28"/>
      <c r="KTW29" s="28"/>
      <c r="KTX29" s="28"/>
      <c r="KTY29" s="28"/>
      <c r="KTZ29" s="28"/>
      <c r="KUA29" s="28"/>
      <c r="KUB29" s="28"/>
      <c r="KUC29" s="28"/>
      <c r="KUD29" s="28"/>
      <c r="KUE29" s="28"/>
      <c r="KUF29" s="28"/>
      <c r="KUG29" s="28"/>
      <c r="KUH29" s="28"/>
      <c r="KUI29" s="28"/>
      <c r="KUJ29" s="28"/>
      <c r="KUK29" s="28"/>
      <c r="KUL29" s="28"/>
      <c r="KUM29" s="28"/>
      <c r="KUN29" s="28"/>
      <c r="KUO29" s="28"/>
      <c r="KUP29" s="28"/>
      <c r="KUQ29" s="28"/>
      <c r="KUR29" s="28"/>
      <c r="KUS29" s="28"/>
      <c r="KUT29" s="28"/>
      <c r="KUU29" s="28"/>
      <c r="KUV29" s="28"/>
      <c r="KUW29" s="28"/>
      <c r="KUX29" s="28"/>
      <c r="KUY29" s="28"/>
      <c r="KUZ29" s="28"/>
      <c r="KVA29" s="28"/>
      <c r="KVB29" s="28"/>
      <c r="KVC29" s="28"/>
      <c r="KVD29" s="28"/>
      <c r="KVE29" s="28"/>
      <c r="KVF29" s="28"/>
      <c r="KVG29" s="28"/>
      <c r="KVH29" s="28"/>
      <c r="KVI29" s="28"/>
      <c r="KVJ29" s="28"/>
      <c r="KVK29" s="28"/>
      <c r="KVL29" s="28"/>
      <c r="KVM29" s="28"/>
      <c r="KVN29" s="28"/>
      <c r="KVO29" s="28"/>
      <c r="KVP29" s="28"/>
      <c r="KVQ29" s="28"/>
      <c r="KVR29" s="28"/>
      <c r="KVS29" s="28"/>
      <c r="KVT29" s="28"/>
      <c r="KVU29" s="28"/>
      <c r="KVV29" s="28"/>
      <c r="KVW29" s="28"/>
      <c r="KVX29" s="28"/>
      <c r="KVY29" s="28"/>
      <c r="KVZ29" s="28"/>
      <c r="KWA29" s="28"/>
      <c r="KWB29" s="28"/>
      <c r="KWC29" s="28"/>
      <c r="KWD29" s="28"/>
      <c r="KWE29" s="28"/>
      <c r="KWF29" s="28"/>
      <c r="KWG29" s="28"/>
      <c r="KWH29" s="28"/>
      <c r="KWI29" s="28"/>
      <c r="KWJ29" s="28"/>
      <c r="KWK29" s="28"/>
      <c r="KWL29" s="28"/>
      <c r="KWM29" s="28"/>
      <c r="KWN29" s="28"/>
      <c r="KWO29" s="28"/>
      <c r="KWP29" s="28"/>
      <c r="KWQ29" s="28"/>
      <c r="KWR29" s="28"/>
      <c r="KWS29" s="28"/>
      <c r="KWT29" s="28"/>
      <c r="KWU29" s="28"/>
      <c r="KWV29" s="28"/>
      <c r="KWW29" s="28"/>
      <c r="KWX29" s="28"/>
      <c r="KWY29" s="28"/>
      <c r="KWZ29" s="28"/>
      <c r="KXA29" s="28"/>
      <c r="KXB29" s="28"/>
      <c r="KXC29" s="28"/>
      <c r="KXD29" s="28"/>
      <c r="KXE29" s="28"/>
      <c r="KXF29" s="28"/>
      <c r="KXG29" s="28"/>
      <c r="KXH29" s="28"/>
      <c r="KXI29" s="28"/>
      <c r="KXJ29" s="28"/>
      <c r="KXK29" s="28"/>
      <c r="KXL29" s="28"/>
      <c r="KXM29" s="28"/>
      <c r="KXN29" s="28"/>
      <c r="KXO29" s="28"/>
      <c r="KXP29" s="28"/>
      <c r="KXQ29" s="28"/>
      <c r="KXR29" s="28"/>
      <c r="KXS29" s="28"/>
      <c r="KXT29" s="28"/>
      <c r="KXU29" s="28"/>
      <c r="KXV29" s="28"/>
      <c r="KXW29" s="28"/>
      <c r="KXX29" s="28"/>
      <c r="KXY29" s="28"/>
      <c r="KXZ29" s="28"/>
      <c r="KYA29" s="28"/>
      <c r="KYB29" s="28"/>
      <c r="KYC29" s="28"/>
      <c r="KYD29" s="28"/>
      <c r="KYE29" s="28"/>
      <c r="KYF29" s="28"/>
      <c r="KYG29" s="28"/>
      <c r="KYH29" s="28"/>
      <c r="KYI29" s="28"/>
      <c r="KYJ29" s="28"/>
      <c r="KYK29" s="28"/>
      <c r="KYL29" s="28"/>
      <c r="KYM29" s="28"/>
      <c r="KYN29" s="28"/>
      <c r="KYO29" s="28"/>
      <c r="KYP29" s="28"/>
      <c r="KYQ29" s="28"/>
      <c r="KYR29" s="28"/>
      <c r="KYS29" s="28"/>
      <c r="KYT29" s="28"/>
      <c r="KYU29" s="28"/>
      <c r="KYV29" s="28"/>
      <c r="KYW29" s="28"/>
      <c r="KYX29" s="28"/>
      <c r="KYY29" s="28"/>
      <c r="KYZ29" s="28"/>
      <c r="KZA29" s="28"/>
      <c r="KZB29" s="28"/>
      <c r="KZC29" s="28"/>
      <c r="KZD29" s="28"/>
      <c r="KZE29" s="28"/>
      <c r="KZF29" s="28"/>
      <c r="KZG29" s="28"/>
      <c r="KZH29" s="28"/>
      <c r="KZI29" s="28"/>
      <c r="KZJ29" s="28"/>
      <c r="KZK29" s="28"/>
      <c r="KZL29" s="28"/>
      <c r="KZM29" s="28"/>
      <c r="KZN29" s="28"/>
      <c r="KZO29" s="28"/>
      <c r="KZP29" s="28"/>
      <c r="KZQ29" s="28"/>
      <c r="KZR29" s="28"/>
      <c r="KZS29" s="28"/>
      <c r="KZT29" s="28"/>
      <c r="KZU29" s="28"/>
      <c r="KZV29" s="28"/>
      <c r="KZW29" s="28"/>
      <c r="KZX29" s="28"/>
      <c r="KZY29" s="28"/>
      <c r="KZZ29" s="28"/>
      <c r="LAA29" s="28"/>
      <c r="LAB29" s="28"/>
      <c r="LAC29" s="28"/>
      <c r="LAD29" s="28"/>
      <c r="LAE29" s="28"/>
      <c r="LAF29" s="28"/>
      <c r="LAG29" s="28"/>
      <c r="LAH29" s="28"/>
      <c r="LAI29" s="28"/>
      <c r="LAJ29" s="28"/>
      <c r="LAK29" s="28"/>
      <c r="LAL29" s="28"/>
      <c r="LAM29" s="28"/>
      <c r="LAN29" s="28"/>
      <c r="LAO29" s="28"/>
      <c r="LAP29" s="28"/>
      <c r="LAQ29" s="28"/>
      <c r="LAR29" s="28"/>
      <c r="LAS29" s="28"/>
      <c r="LAT29" s="28"/>
      <c r="LAU29" s="28"/>
      <c r="LAV29" s="28"/>
      <c r="LAW29" s="28"/>
      <c r="LAX29" s="28"/>
      <c r="LAY29" s="28"/>
      <c r="LAZ29" s="28"/>
      <c r="LBA29" s="28"/>
      <c r="LBB29" s="28"/>
      <c r="LBC29" s="28"/>
      <c r="LBD29" s="28"/>
      <c r="LBE29" s="28"/>
      <c r="LBF29" s="28"/>
      <c r="LBG29" s="28"/>
      <c r="LBH29" s="28"/>
      <c r="LBI29" s="28"/>
      <c r="LBJ29" s="28"/>
      <c r="LBK29" s="28"/>
      <c r="LBL29" s="28"/>
      <c r="LBM29" s="28"/>
      <c r="LBN29" s="28"/>
      <c r="LBO29" s="28"/>
      <c r="LBP29" s="28"/>
      <c r="LBQ29" s="28"/>
      <c r="LBR29" s="28"/>
      <c r="LBS29" s="28"/>
      <c r="LBT29" s="28"/>
      <c r="LBU29" s="28"/>
      <c r="LBV29" s="28"/>
      <c r="LBW29" s="28"/>
      <c r="LBX29" s="28"/>
      <c r="LBY29" s="28"/>
      <c r="LBZ29" s="28"/>
      <c r="LCA29" s="28"/>
      <c r="LCB29" s="28"/>
      <c r="LCC29" s="28"/>
      <c r="LCD29" s="28"/>
      <c r="LCE29" s="28"/>
      <c r="LCF29" s="28"/>
      <c r="LCG29" s="28"/>
      <c r="LCH29" s="28"/>
      <c r="LCI29" s="28"/>
      <c r="LCJ29" s="28"/>
      <c r="LCK29" s="28"/>
      <c r="LCL29" s="28"/>
      <c r="LCM29" s="28"/>
      <c r="LCN29" s="28"/>
      <c r="LCO29" s="28"/>
      <c r="LCP29" s="28"/>
      <c r="LCQ29" s="28"/>
      <c r="LCR29" s="28"/>
      <c r="LCS29" s="28"/>
      <c r="LCT29" s="28"/>
      <c r="LCU29" s="28"/>
      <c r="LCV29" s="28"/>
      <c r="LCW29" s="28"/>
      <c r="LCX29" s="28"/>
      <c r="LCY29" s="28"/>
      <c r="LCZ29" s="28"/>
      <c r="LDA29" s="28"/>
      <c r="LDB29" s="28"/>
      <c r="LDC29" s="28"/>
      <c r="LDD29" s="28"/>
      <c r="LDE29" s="28"/>
      <c r="LDF29" s="28"/>
      <c r="LDG29" s="28"/>
      <c r="LDH29" s="28"/>
      <c r="LDI29" s="28"/>
      <c r="LDJ29" s="28"/>
      <c r="LDK29" s="28"/>
      <c r="LDL29" s="28"/>
      <c r="LDM29" s="28"/>
      <c r="LDN29" s="28"/>
      <c r="LDO29" s="28"/>
      <c r="LDP29" s="28"/>
      <c r="LDQ29" s="28"/>
      <c r="LDR29" s="28"/>
      <c r="LDS29" s="28"/>
      <c r="LDT29" s="28"/>
      <c r="LDU29" s="28"/>
      <c r="LDV29" s="28"/>
      <c r="LDW29" s="28"/>
      <c r="LDX29" s="28"/>
      <c r="LDY29" s="28"/>
      <c r="LDZ29" s="28"/>
      <c r="LEA29" s="28"/>
      <c r="LEB29" s="28"/>
      <c r="LEC29" s="28"/>
      <c r="LED29" s="28"/>
      <c r="LEE29" s="28"/>
      <c r="LEF29" s="28"/>
      <c r="LEG29" s="28"/>
      <c r="LEH29" s="28"/>
      <c r="LEI29" s="28"/>
      <c r="LEJ29" s="28"/>
      <c r="LEK29" s="28"/>
      <c r="LEL29" s="28"/>
      <c r="LEM29" s="28"/>
      <c r="LEN29" s="28"/>
      <c r="LEO29" s="28"/>
      <c r="LEP29" s="28"/>
      <c r="LEQ29" s="28"/>
      <c r="LER29" s="28"/>
      <c r="LES29" s="28"/>
      <c r="LET29" s="28"/>
      <c r="LEU29" s="28"/>
      <c r="LEV29" s="28"/>
      <c r="LEW29" s="28"/>
      <c r="LEX29" s="28"/>
      <c r="LEY29" s="28"/>
      <c r="LEZ29" s="28"/>
      <c r="LFA29" s="28"/>
      <c r="LFB29" s="28"/>
      <c r="LFC29" s="28"/>
      <c r="LFD29" s="28"/>
      <c r="LFE29" s="28"/>
      <c r="LFF29" s="28"/>
      <c r="LFG29" s="28"/>
      <c r="LFH29" s="28"/>
      <c r="LFI29" s="28"/>
      <c r="LFJ29" s="28"/>
      <c r="LFK29" s="28"/>
      <c r="LFL29" s="28"/>
      <c r="LFM29" s="28"/>
      <c r="LFN29" s="28"/>
      <c r="LFO29" s="28"/>
      <c r="LFP29" s="28"/>
      <c r="LFQ29" s="28"/>
      <c r="LFR29" s="28"/>
      <c r="LFS29" s="28"/>
      <c r="LFT29" s="28"/>
      <c r="LFU29" s="28"/>
      <c r="LFV29" s="28"/>
      <c r="LFW29" s="28"/>
      <c r="LFX29" s="28"/>
      <c r="LFY29" s="28"/>
      <c r="LFZ29" s="28"/>
      <c r="LGA29" s="28"/>
      <c r="LGB29" s="28"/>
      <c r="LGC29" s="28"/>
      <c r="LGD29" s="28"/>
      <c r="LGE29" s="28"/>
      <c r="LGF29" s="28"/>
      <c r="LGG29" s="28"/>
      <c r="LGH29" s="28"/>
      <c r="LGI29" s="28"/>
      <c r="LGJ29" s="28"/>
      <c r="LGK29" s="28"/>
      <c r="LGL29" s="28"/>
      <c r="LGM29" s="28"/>
      <c r="LGN29" s="28"/>
      <c r="LGO29" s="28"/>
      <c r="LGP29" s="28"/>
      <c r="LGQ29" s="28"/>
      <c r="LGR29" s="28"/>
      <c r="LGS29" s="28"/>
      <c r="LGT29" s="28"/>
      <c r="LGU29" s="28"/>
      <c r="LGV29" s="28"/>
      <c r="LGW29" s="28"/>
      <c r="LGX29" s="28"/>
      <c r="LGY29" s="28"/>
      <c r="LGZ29" s="28"/>
      <c r="LHA29" s="28"/>
      <c r="LHB29" s="28"/>
      <c r="LHC29" s="28"/>
      <c r="LHD29" s="28"/>
      <c r="LHE29" s="28"/>
      <c r="LHF29" s="28"/>
      <c r="LHG29" s="28"/>
      <c r="LHH29" s="28"/>
      <c r="LHI29" s="28"/>
      <c r="LHJ29" s="28"/>
      <c r="LHK29" s="28"/>
      <c r="LHL29" s="28"/>
      <c r="LHM29" s="28"/>
      <c r="LHN29" s="28"/>
      <c r="LHO29" s="28"/>
      <c r="LHP29" s="28"/>
      <c r="LHQ29" s="28"/>
      <c r="LHR29" s="28"/>
      <c r="LHS29" s="28"/>
      <c r="LHT29" s="28"/>
      <c r="LHU29" s="28"/>
      <c r="LHV29" s="28"/>
      <c r="LHW29" s="28"/>
      <c r="LHX29" s="28"/>
      <c r="LHY29" s="28"/>
      <c r="LHZ29" s="28"/>
      <c r="LIA29" s="28"/>
      <c r="LIB29" s="28"/>
      <c r="LIC29" s="28"/>
      <c r="LID29" s="28"/>
      <c r="LIE29" s="28"/>
      <c r="LIF29" s="28"/>
      <c r="LIG29" s="28"/>
      <c r="LIH29" s="28"/>
      <c r="LII29" s="28"/>
      <c r="LIJ29" s="28"/>
      <c r="LIK29" s="28"/>
      <c r="LIL29" s="28"/>
      <c r="LIM29" s="28"/>
      <c r="LIN29" s="28"/>
      <c r="LIO29" s="28"/>
      <c r="LIP29" s="28"/>
      <c r="LIQ29" s="28"/>
      <c r="LIR29" s="28"/>
      <c r="LIS29" s="28"/>
      <c r="LIT29" s="28"/>
      <c r="LIU29" s="28"/>
      <c r="LIV29" s="28"/>
      <c r="LIW29" s="28"/>
      <c r="LIX29" s="28"/>
      <c r="LIY29" s="28"/>
      <c r="LIZ29" s="28"/>
      <c r="LJA29" s="28"/>
      <c r="LJB29" s="28"/>
      <c r="LJC29" s="28"/>
      <c r="LJD29" s="28"/>
      <c r="LJE29" s="28"/>
      <c r="LJF29" s="28"/>
      <c r="LJG29" s="28"/>
      <c r="LJH29" s="28"/>
      <c r="LJI29" s="28"/>
      <c r="LJJ29" s="28"/>
      <c r="LJK29" s="28"/>
      <c r="LJL29" s="28"/>
      <c r="LJM29" s="28"/>
      <c r="LJN29" s="28"/>
      <c r="LJO29" s="28"/>
      <c r="LJP29" s="28"/>
      <c r="LJQ29" s="28"/>
      <c r="LJR29" s="28"/>
      <c r="LJS29" s="28"/>
      <c r="LJT29" s="28"/>
      <c r="LJU29" s="28"/>
      <c r="LJV29" s="28"/>
      <c r="LJW29" s="28"/>
      <c r="LJX29" s="28"/>
      <c r="LJY29" s="28"/>
      <c r="LJZ29" s="28"/>
      <c r="LKA29" s="28"/>
      <c r="LKB29" s="28"/>
      <c r="LKC29" s="28"/>
      <c r="LKD29" s="28"/>
      <c r="LKE29" s="28"/>
      <c r="LKF29" s="28"/>
      <c r="LKG29" s="28"/>
      <c r="LKH29" s="28"/>
      <c r="LKI29" s="28"/>
      <c r="LKJ29" s="28"/>
      <c r="LKK29" s="28"/>
      <c r="LKL29" s="28"/>
      <c r="LKM29" s="28"/>
      <c r="LKN29" s="28"/>
      <c r="LKO29" s="28"/>
      <c r="LKP29" s="28"/>
      <c r="LKQ29" s="28"/>
      <c r="LKR29" s="28"/>
      <c r="LKS29" s="28"/>
      <c r="LKT29" s="28"/>
      <c r="LKU29" s="28"/>
      <c r="LKV29" s="28"/>
      <c r="LKW29" s="28"/>
      <c r="LKX29" s="28"/>
      <c r="LKY29" s="28"/>
      <c r="LKZ29" s="28"/>
      <c r="LLA29" s="28"/>
      <c r="LLB29" s="28"/>
      <c r="LLC29" s="28"/>
      <c r="LLD29" s="28"/>
      <c r="LLE29" s="28"/>
      <c r="LLF29" s="28"/>
      <c r="LLG29" s="28"/>
      <c r="LLH29" s="28"/>
      <c r="LLI29" s="28"/>
      <c r="LLJ29" s="28"/>
      <c r="LLK29" s="28"/>
      <c r="LLL29" s="28"/>
      <c r="LLM29" s="28"/>
      <c r="LLN29" s="28"/>
      <c r="LLO29" s="28"/>
      <c r="LLP29" s="28"/>
      <c r="LLQ29" s="28"/>
      <c r="LLR29" s="28"/>
      <c r="LLS29" s="28"/>
      <c r="LLT29" s="28"/>
      <c r="LLU29" s="28"/>
      <c r="LLV29" s="28"/>
      <c r="LLW29" s="28"/>
      <c r="LLX29" s="28"/>
      <c r="LLY29" s="28"/>
      <c r="LLZ29" s="28"/>
      <c r="LMA29" s="28"/>
      <c r="LMB29" s="28"/>
      <c r="LMC29" s="28"/>
      <c r="LMD29" s="28"/>
      <c r="LME29" s="28"/>
      <c r="LMF29" s="28"/>
      <c r="LMG29" s="28"/>
      <c r="LMH29" s="28"/>
      <c r="LMI29" s="28"/>
      <c r="LMJ29" s="28"/>
      <c r="LMK29" s="28"/>
      <c r="LML29" s="28"/>
      <c r="LMM29" s="28"/>
      <c r="LMN29" s="28"/>
      <c r="LMO29" s="28"/>
      <c r="LMP29" s="28"/>
      <c r="LMQ29" s="28"/>
      <c r="LMR29" s="28"/>
      <c r="LMS29" s="28"/>
      <c r="LMT29" s="28"/>
      <c r="LMU29" s="28"/>
      <c r="LMV29" s="28"/>
      <c r="LMW29" s="28"/>
      <c r="LMX29" s="28"/>
      <c r="LMY29" s="28"/>
      <c r="LMZ29" s="28"/>
      <c r="LNA29" s="28"/>
      <c r="LNB29" s="28"/>
      <c r="LNC29" s="28"/>
      <c r="LND29" s="28"/>
      <c r="LNE29" s="28"/>
      <c r="LNF29" s="28"/>
      <c r="LNG29" s="28"/>
      <c r="LNH29" s="28"/>
      <c r="LNI29" s="28"/>
      <c r="LNJ29" s="28"/>
      <c r="LNK29" s="28"/>
      <c r="LNL29" s="28"/>
      <c r="LNM29" s="28"/>
      <c r="LNN29" s="28"/>
      <c r="LNO29" s="28"/>
      <c r="LNP29" s="28"/>
      <c r="LNQ29" s="28"/>
      <c r="LNR29" s="28"/>
      <c r="LNS29" s="28"/>
      <c r="LNT29" s="28"/>
      <c r="LNU29" s="28"/>
      <c r="LNV29" s="28"/>
      <c r="LNW29" s="28"/>
      <c r="LNX29" s="28"/>
      <c r="LNY29" s="28"/>
      <c r="LNZ29" s="28"/>
      <c r="LOA29" s="28"/>
      <c r="LOB29" s="28"/>
      <c r="LOC29" s="28"/>
      <c r="LOD29" s="28"/>
      <c r="LOE29" s="28"/>
      <c r="LOF29" s="28"/>
      <c r="LOG29" s="28"/>
      <c r="LOH29" s="28"/>
      <c r="LOI29" s="28"/>
      <c r="LOJ29" s="28"/>
      <c r="LOK29" s="28"/>
      <c r="LOL29" s="28"/>
      <c r="LOM29" s="28"/>
      <c r="LON29" s="28"/>
      <c r="LOO29" s="28"/>
      <c r="LOP29" s="28"/>
      <c r="LOQ29" s="28"/>
      <c r="LOR29" s="28"/>
      <c r="LOS29" s="28"/>
      <c r="LOT29" s="28"/>
      <c r="LOU29" s="28"/>
      <c r="LOV29" s="28"/>
      <c r="LOW29" s="28"/>
      <c r="LOX29" s="28"/>
      <c r="LOY29" s="28"/>
      <c r="LOZ29" s="28"/>
      <c r="LPA29" s="28"/>
      <c r="LPB29" s="28"/>
      <c r="LPC29" s="28"/>
      <c r="LPD29" s="28"/>
      <c r="LPE29" s="28"/>
      <c r="LPF29" s="28"/>
      <c r="LPG29" s="28"/>
      <c r="LPH29" s="28"/>
      <c r="LPI29" s="28"/>
      <c r="LPJ29" s="28"/>
      <c r="LPK29" s="28"/>
      <c r="LPL29" s="28"/>
      <c r="LPM29" s="28"/>
      <c r="LPN29" s="28"/>
      <c r="LPO29" s="28"/>
      <c r="LPP29" s="28"/>
      <c r="LPQ29" s="28"/>
      <c r="LPR29" s="28"/>
      <c r="LPS29" s="28"/>
      <c r="LPT29" s="28"/>
      <c r="LPU29" s="28"/>
      <c r="LPV29" s="28"/>
      <c r="LPW29" s="28"/>
      <c r="LPX29" s="28"/>
      <c r="LPY29" s="28"/>
      <c r="LPZ29" s="28"/>
      <c r="LQA29" s="28"/>
      <c r="LQB29" s="28"/>
      <c r="LQC29" s="28"/>
      <c r="LQD29" s="28"/>
      <c r="LQE29" s="28"/>
      <c r="LQF29" s="28"/>
      <c r="LQG29" s="28"/>
      <c r="LQH29" s="28"/>
      <c r="LQI29" s="28"/>
      <c r="LQJ29" s="28"/>
      <c r="LQK29" s="28"/>
      <c r="LQL29" s="28"/>
      <c r="LQM29" s="28"/>
      <c r="LQN29" s="28"/>
      <c r="LQO29" s="28"/>
      <c r="LQP29" s="28"/>
      <c r="LQQ29" s="28"/>
      <c r="LQR29" s="28"/>
      <c r="LQS29" s="28"/>
      <c r="LQT29" s="28"/>
      <c r="LQU29" s="28"/>
      <c r="LQV29" s="28"/>
      <c r="LQW29" s="28"/>
      <c r="LQX29" s="28"/>
      <c r="LQY29" s="28"/>
      <c r="LQZ29" s="28"/>
      <c r="LRA29" s="28"/>
      <c r="LRB29" s="28"/>
      <c r="LRC29" s="28"/>
      <c r="LRD29" s="28"/>
      <c r="LRE29" s="28"/>
      <c r="LRF29" s="28"/>
      <c r="LRG29" s="28"/>
      <c r="LRH29" s="28"/>
      <c r="LRI29" s="28"/>
      <c r="LRJ29" s="28"/>
      <c r="LRK29" s="28"/>
      <c r="LRL29" s="28"/>
      <c r="LRM29" s="28"/>
      <c r="LRN29" s="28"/>
      <c r="LRO29" s="28"/>
      <c r="LRP29" s="28"/>
      <c r="LRQ29" s="28"/>
      <c r="LRR29" s="28"/>
      <c r="LRS29" s="28"/>
      <c r="LRT29" s="28"/>
      <c r="LRU29" s="28"/>
      <c r="LRV29" s="28"/>
      <c r="LRW29" s="28"/>
      <c r="LRX29" s="28"/>
      <c r="LRY29" s="28"/>
      <c r="LRZ29" s="28"/>
      <c r="LSA29" s="28"/>
      <c r="LSB29" s="28"/>
      <c r="LSC29" s="28"/>
      <c r="LSD29" s="28"/>
      <c r="LSE29" s="28"/>
      <c r="LSF29" s="28"/>
      <c r="LSG29" s="28"/>
      <c r="LSH29" s="28"/>
      <c r="LSI29" s="28"/>
      <c r="LSJ29" s="28"/>
      <c r="LSK29" s="28"/>
      <c r="LSL29" s="28"/>
      <c r="LSM29" s="28"/>
      <c r="LSN29" s="28"/>
      <c r="LSO29" s="28"/>
      <c r="LSP29" s="28"/>
      <c r="LSQ29" s="28"/>
      <c r="LSR29" s="28"/>
      <c r="LSS29" s="28"/>
      <c r="LST29" s="28"/>
      <c r="LSU29" s="28"/>
      <c r="LSV29" s="28"/>
      <c r="LSW29" s="28"/>
      <c r="LSX29" s="28"/>
      <c r="LSY29" s="28"/>
      <c r="LSZ29" s="28"/>
      <c r="LTA29" s="28"/>
      <c r="LTB29" s="28"/>
      <c r="LTC29" s="28"/>
      <c r="LTD29" s="28"/>
      <c r="LTE29" s="28"/>
      <c r="LTF29" s="28"/>
      <c r="LTG29" s="28"/>
      <c r="LTH29" s="28"/>
      <c r="LTI29" s="28"/>
      <c r="LTJ29" s="28"/>
      <c r="LTK29" s="28"/>
      <c r="LTL29" s="28"/>
      <c r="LTM29" s="28"/>
      <c r="LTN29" s="28"/>
      <c r="LTO29" s="28"/>
      <c r="LTP29" s="28"/>
      <c r="LTQ29" s="28"/>
      <c r="LTR29" s="28"/>
      <c r="LTS29" s="28"/>
      <c r="LTT29" s="28"/>
      <c r="LTU29" s="28"/>
      <c r="LTV29" s="28"/>
      <c r="LTW29" s="28"/>
      <c r="LTX29" s="28"/>
      <c r="LTY29" s="28"/>
      <c r="LTZ29" s="28"/>
      <c r="LUA29" s="28"/>
      <c r="LUB29" s="28"/>
      <c r="LUC29" s="28"/>
      <c r="LUD29" s="28"/>
      <c r="LUE29" s="28"/>
      <c r="LUF29" s="28"/>
      <c r="LUG29" s="28"/>
      <c r="LUH29" s="28"/>
      <c r="LUI29" s="28"/>
      <c r="LUJ29" s="28"/>
      <c r="LUK29" s="28"/>
      <c r="LUL29" s="28"/>
      <c r="LUM29" s="28"/>
      <c r="LUN29" s="28"/>
      <c r="LUO29" s="28"/>
      <c r="LUP29" s="28"/>
      <c r="LUQ29" s="28"/>
      <c r="LUR29" s="28"/>
      <c r="LUS29" s="28"/>
      <c r="LUT29" s="28"/>
      <c r="LUU29" s="28"/>
      <c r="LUV29" s="28"/>
      <c r="LUW29" s="28"/>
      <c r="LUX29" s="28"/>
      <c r="LUY29" s="28"/>
      <c r="LUZ29" s="28"/>
      <c r="LVA29" s="28"/>
      <c r="LVB29" s="28"/>
      <c r="LVC29" s="28"/>
      <c r="LVD29" s="28"/>
      <c r="LVE29" s="28"/>
      <c r="LVF29" s="28"/>
      <c r="LVG29" s="28"/>
      <c r="LVH29" s="28"/>
      <c r="LVI29" s="28"/>
      <c r="LVJ29" s="28"/>
      <c r="LVK29" s="28"/>
      <c r="LVL29" s="28"/>
      <c r="LVM29" s="28"/>
      <c r="LVN29" s="28"/>
      <c r="LVO29" s="28"/>
      <c r="LVP29" s="28"/>
      <c r="LVQ29" s="28"/>
      <c r="LVR29" s="28"/>
      <c r="LVS29" s="28"/>
      <c r="LVT29" s="28"/>
      <c r="LVU29" s="28"/>
      <c r="LVV29" s="28"/>
      <c r="LVW29" s="28"/>
      <c r="LVX29" s="28"/>
      <c r="LVY29" s="28"/>
      <c r="LVZ29" s="28"/>
      <c r="LWA29" s="28"/>
      <c r="LWB29" s="28"/>
      <c r="LWC29" s="28"/>
      <c r="LWD29" s="28"/>
      <c r="LWE29" s="28"/>
      <c r="LWF29" s="28"/>
      <c r="LWG29" s="28"/>
      <c r="LWH29" s="28"/>
      <c r="LWI29" s="28"/>
      <c r="LWJ29" s="28"/>
      <c r="LWK29" s="28"/>
      <c r="LWL29" s="28"/>
      <c r="LWM29" s="28"/>
      <c r="LWN29" s="28"/>
      <c r="LWO29" s="28"/>
      <c r="LWP29" s="28"/>
      <c r="LWQ29" s="28"/>
      <c r="LWR29" s="28"/>
      <c r="LWS29" s="28"/>
      <c r="LWT29" s="28"/>
      <c r="LWU29" s="28"/>
      <c r="LWV29" s="28"/>
      <c r="LWW29" s="28"/>
      <c r="LWX29" s="28"/>
      <c r="LWY29" s="28"/>
      <c r="LWZ29" s="28"/>
      <c r="LXA29" s="28"/>
      <c r="LXB29" s="28"/>
      <c r="LXC29" s="28"/>
      <c r="LXD29" s="28"/>
      <c r="LXE29" s="28"/>
      <c r="LXF29" s="28"/>
      <c r="LXG29" s="28"/>
      <c r="LXH29" s="28"/>
      <c r="LXI29" s="28"/>
      <c r="LXJ29" s="28"/>
      <c r="LXK29" s="28"/>
      <c r="LXL29" s="28"/>
      <c r="LXM29" s="28"/>
      <c r="LXN29" s="28"/>
      <c r="LXO29" s="28"/>
      <c r="LXP29" s="28"/>
      <c r="LXQ29" s="28"/>
      <c r="LXR29" s="28"/>
      <c r="LXS29" s="28"/>
      <c r="LXT29" s="28"/>
      <c r="LXU29" s="28"/>
      <c r="LXV29" s="28"/>
      <c r="LXW29" s="28"/>
      <c r="LXX29" s="28"/>
      <c r="LXY29" s="28"/>
      <c r="LXZ29" s="28"/>
      <c r="LYA29" s="28"/>
      <c r="LYB29" s="28"/>
      <c r="LYC29" s="28"/>
      <c r="LYD29" s="28"/>
      <c r="LYE29" s="28"/>
      <c r="LYF29" s="28"/>
      <c r="LYG29" s="28"/>
      <c r="LYH29" s="28"/>
      <c r="LYI29" s="28"/>
      <c r="LYJ29" s="28"/>
      <c r="LYK29" s="28"/>
      <c r="LYL29" s="28"/>
      <c r="LYM29" s="28"/>
      <c r="LYN29" s="28"/>
      <c r="LYO29" s="28"/>
      <c r="LYP29" s="28"/>
      <c r="LYQ29" s="28"/>
      <c r="LYR29" s="28"/>
      <c r="LYS29" s="28"/>
      <c r="LYT29" s="28"/>
      <c r="LYU29" s="28"/>
      <c r="LYV29" s="28"/>
      <c r="LYW29" s="28"/>
      <c r="LYX29" s="28"/>
      <c r="LYY29" s="28"/>
      <c r="LYZ29" s="28"/>
      <c r="LZA29" s="28"/>
      <c r="LZB29" s="28"/>
      <c r="LZC29" s="28"/>
      <c r="LZD29" s="28"/>
      <c r="LZE29" s="28"/>
      <c r="LZF29" s="28"/>
      <c r="LZG29" s="28"/>
      <c r="LZH29" s="28"/>
      <c r="LZI29" s="28"/>
      <c r="LZJ29" s="28"/>
      <c r="LZK29" s="28"/>
      <c r="LZL29" s="28"/>
      <c r="LZM29" s="28"/>
      <c r="LZN29" s="28"/>
      <c r="LZO29" s="28"/>
      <c r="LZP29" s="28"/>
      <c r="LZQ29" s="28"/>
      <c r="LZR29" s="28"/>
      <c r="LZS29" s="28"/>
      <c r="LZT29" s="28"/>
      <c r="LZU29" s="28"/>
      <c r="LZV29" s="28"/>
      <c r="LZW29" s="28"/>
      <c r="LZX29" s="28"/>
      <c r="LZY29" s="28"/>
      <c r="LZZ29" s="28"/>
      <c r="MAA29" s="28"/>
      <c r="MAB29" s="28"/>
      <c r="MAC29" s="28"/>
      <c r="MAD29" s="28"/>
      <c r="MAE29" s="28"/>
      <c r="MAF29" s="28"/>
      <c r="MAG29" s="28"/>
      <c r="MAH29" s="28"/>
      <c r="MAI29" s="28"/>
      <c r="MAJ29" s="28"/>
      <c r="MAK29" s="28"/>
      <c r="MAL29" s="28"/>
      <c r="MAM29" s="28"/>
      <c r="MAN29" s="28"/>
      <c r="MAO29" s="28"/>
      <c r="MAP29" s="28"/>
      <c r="MAQ29" s="28"/>
      <c r="MAR29" s="28"/>
      <c r="MAS29" s="28"/>
      <c r="MAT29" s="28"/>
      <c r="MAU29" s="28"/>
      <c r="MAV29" s="28"/>
      <c r="MAW29" s="28"/>
      <c r="MAX29" s="28"/>
      <c r="MAY29" s="28"/>
      <c r="MAZ29" s="28"/>
      <c r="MBA29" s="28"/>
      <c r="MBB29" s="28"/>
      <c r="MBC29" s="28"/>
      <c r="MBD29" s="28"/>
      <c r="MBE29" s="28"/>
      <c r="MBF29" s="28"/>
      <c r="MBG29" s="28"/>
      <c r="MBH29" s="28"/>
      <c r="MBI29" s="28"/>
      <c r="MBJ29" s="28"/>
      <c r="MBK29" s="28"/>
      <c r="MBL29" s="28"/>
      <c r="MBM29" s="28"/>
      <c r="MBN29" s="28"/>
      <c r="MBO29" s="28"/>
      <c r="MBP29" s="28"/>
      <c r="MBQ29" s="28"/>
      <c r="MBR29" s="28"/>
      <c r="MBS29" s="28"/>
      <c r="MBT29" s="28"/>
      <c r="MBU29" s="28"/>
      <c r="MBV29" s="28"/>
      <c r="MBW29" s="28"/>
      <c r="MBX29" s="28"/>
      <c r="MBY29" s="28"/>
      <c r="MBZ29" s="28"/>
      <c r="MCA29" s="28"/>
      <c r="MCB29" s="28"/>
      <c r="MCC29" s="28"/>
      <c r="MCD29" s="28"/>
      <c r="MCE29" s="28"/>
      <c r="MCF29" s="28"/>
      <c r="MCG29" s="28"/>
      <c r="MCH29" s="28"/>
      <c r="MCI29" s="28"/>
      <c r="MCJ29" s="28"/>
      <c r="MCK29" s="28"/>
      <c r="MCL29" s="28"/>
      <c r="MCM29" s="28"/>
      <c r="MCN29" s="28"/>
      <c r="MCO29" s="28"/>
      <c r="MCP29" s="28"/>
      <c r="MCQ29" s="28"/>
      <c r="MCR29" s="28"/>
      <c r="MCS29" s="28"/>
      <c r="MCT29" s="28"/>
      <c r="MCU29" s="28"/>
      <c r="MCV29" s="28"/>
      <c r="MCW29" s="28"/>
      <c r="MCX29" s="28"/>
      <c r="MCY29" s="28"/>
      <c r="MCZ29" s="28"/>
      <c r="MDA29" s="28"/>
      <c r="MDB29" s="28"/>
      <c r="MDC29" s="28"/>
      <c r="MDD29" s="28"/>
      <c r="MDE29" s="28"/>
      <c r="MDF29" s="28"/>
      <c r="MDG29" s="28"/>
      <c r="MDH29" s="28"/>
      <c r="MDI29" s="28"/>
      <c r="MDJ29" s="28"/>
      <c r="MDK29" s="28"/>
      <c r="MDL29" s="28"/>
      <c r="MDM29" s="28"/>
      <c r="MDN29" s="28"/>
      <c r="MDO29" s="28"/>
      <c r="MDP29" s="28"/>
      <c r="MDQ29" s="28"/>
      <c r="MDR29" s="28"/>
      <c r="MDS29" s="28"/>
      <c r="MDT29" s="28"/>
      <c r="MDU29" s="28"/>
      <c r="MDV29" s="28"/>
      <c r="MDW29" s="28"/>
      <c r="MDX29" s="28"/>
      <c r="MDY29" s="28"/>
      <c r="MDZ29" s="28"/>
      <c r="MEA29" s="28"/>
      <c r="MEB29" s="28"/>
      <c r="MEC29" s="28"/>
      <c r="MED29" s="28"/>
      <c r="MEE29" s="28"/>
      <c r="MEF29" s="28"/>
      <c r="MEG29" s="28"/>
      <c r="MEH29" s="28"/>
      <c r="MEI29" s="28"/>
      <c r="MEJ29" s="28"/>
      <c r="MEK29" s="28"/>
      <c r="MEL29" s="28"/>
      <c r="MEM29" s="28"/>
      <c r="MEN29" s="28"/>
      <c r="MEO29" s="28"/>
      <c r="MEP29" s="28"/>
      <c r="MEQ29" s="28"/>
      <c r="MER29" s="28"/>
      <c r="MES29" s="28"/>
      <c r="MET29" s="28"/>
      <c r="MEU29" s="28"/>
      <c r="MEV29" s="28"/>
      <c r="MEW29" s="28"/>
      <c r="MEX29" s="28"/>
      <c r="MEY29" s="28"/>
      <c r="MEZ29" s="28"/>
      <c r="MFA29" s="28"/>
      <c r="MFB29" s="28"/>
      <c r="MFC29" s="28"/>
      <c r="MFD29" s="28"/>
      <c r="MFE29" s="28"/>
      <c r="MFF29" s="28"/>
      <c r="MFG29" s="28"/>
      <c r="MFH29" s="28"/>
      <c r="MFI29" s="28"/>
      <c r="MFJ29" s="28"/>
      <c r="MFK29" s="28"/>
      <c r="MFL29" s="28"/>
      <c r="MFM29" s="28"/>
      <c r="MFN29" s="28"/>
      <c r="MFO29" s="28"/>
      <c r="MFP29" s="28"/>
      <c r="MFQ29" s="28"/>
      <c r="MFR29" s="28"/>
      <c r="MFS29" s="28"/>
      <c r="MFT29" s="28"/>
      <c r="MFU29" s="28"/>
      <c r="MFV29" s="28"/>
      <c r="MFW29" s="28"/>
      <c r="MFX29" s="28"/>
      <c r="MFY29" s="28"/>
      <c r="MFZ29" s="28"/>
      <c r="MGA29" s="28"/>
      <c r="MGB29" s="28"/>
      <c r="MGC29" s="28"/>
      <c r="MGD29" s="28"/>
      <c r="MGE29" s="28"/>
      <c r="MGF29" s="28"/>
      <c r="MGG29" s="28"/>
      <c r="MGH29" s="28"/>
      <c r="MGI29" s="28"/>
      <c r="MGJ29" s="28"/>
      <c r="MGK29" s="28"/>
      <c r="MGL29" s="28"/>
      <c r="MGM29" s="28"/>
      <c r="MGN29" s="28"/>
      <c r="MGO29" s="28"/>
      <c r="MGP29" s="28"/>
      <c r="MGQ29" s="28"/>
      <c r="MGR29" s="28"/>
      <c r="MGS29" s="28"/>
      <c r="MGT29" s="28"/>
      <c r="MGU29" s="28"/>
      <c r="MGV29" s="28"/>
      <c r="MGW29" s="28"/>
      <c r="MGX29" s="28"/>
      <c r="MGY29" s="28"/>
      <c r="MGZ29" s="28"/>
      <c r="MHA29" s="28"/>
      <c r="MHB29" s="28"/>
      <c r="MHC29" s="28"/>
      <c r="MHD29" s="28"/>
      <c r="MHE29" s="28"/>
      <c r="MHF29" s="28"/>
      <c r="MHG29" s="28"/>
      <c r="MHH29" s="28"/>
      <c r="MHI29" s="28"/>
      <c r="MHJ29" s="28"/>
      <c r="MHK29" s="28"/>
      <c r="MHL29" s="28"/>
      <c r="MHM29" s="28"/>
      <c r="MHN29" s="28"/>
      <c r="MHO29" s="28"/>
      <c r="MHP29" s="28"/>
      <c r="MHQ29" s="28"/>
      <c r="MHR29" s="28"/>
      <c r="MHS29" s="28"/>
      <c r="MHT29" s="28"/>
      <c r="MHU29" s="28"/>
      <c r="MHV29" s="28"/>
      <c r="MHW29" s="28"/>
      <c r="MHX29" s="28"/>
      <c r="MHY29" s="28"/>
      <c r="MHZ29" s="28"/>
      <c r="MIA29" s="28"/>
      <c r="MIB29" s="28"/>
      <c r="MIC29" s="28"/>
      <c r="MID29" s="28"/>
      <c r="MIE29" s="28"/>
      <c r="MIF29" s="28"/>
      <c r="MIG29" s="28"/>
      <c r="MIH29" s="28"/>
      <c r="MII29" s="28"/>
      <c r="MIJ29" s="28"/>
      <c r="MIK29" s="28"/>
      <c r="MIL29" s="28"/>
      <c r="MIM29" s="28"/>
      <c r="MIN29" s="28"/>
      <c r="MIO29" s="28"/>
      <c r="MIP29" s="28"/>
      <c r="MIQ29" s="28"/>
      <c r="MIR29" s="28"/>
      <c r="MIS29" s="28"/>
      <c r="MIT29" s="28"/>
      <c r="MIU29" s="28"/>
      <c r="MIV29" s="28"/>
      <c r="MIW29" s="28"/>
      <c r="MIX29" s="28"/>
      <c r="MIY29" s="28"/>
      <c r="MIZ29" s="28"/>
      <c r="MJA29" s="28"/>
      <c r="MJB29" s="28"/>
      <c r="MJC29" s="28"/>
      <c r="MJD29" s="28"/>
      <c r="MJE29" s="28"/>
      <c r="MJF29" s="28"/>
      <c r="MJG29" s="28"/>
      <c r="MJH29" s="28"/>
      <c r="MJI29" s="28"/>
      <c r="MJJ29" s="28"/>
      <c r="MJK29" s="28"/>
      <c r="MJL29" s="28"/>
      <c r="MJM29" s="28"/>
      <c r="MJN29" s="28"/>
      <c r="MJO29" s="28"/>
      <c r="MJP29" s="28"/>
      <c r="MJQ29" s="28"/>
      <c r="MJR29" s="28"/>
      <c r="MJS29" s="28"/>
      <c r="MJT29" s="28"/>
      <c r="MJU29" s="28"/>
      <c r="MJV29" s="28"/>
      <c r="MJW29" s="28"/>
      <c r="MJX29" s="28"/>
      <c r="MJY29" s="28"/>
      <c r="MJZ29" s="28"/>
      <c r="MKA29" s="28"/>
      <c r="MKB29" s="28"/>
      <c r="MKC29" s="28"/>
      <c r="MKD29" s="28"/>
      <c r="MKE29" s="28"/>
      <c r="MKF29" s="28"/>
      <c r="MKG29" s="28"/>
      <c r="MKH29" s="28"/>
      <c r="MKI29" s="28"/>
      <c r="MKJ29" s="28"/>
      <c r="MKK29" s="28"/>
      <c r="MKL29" s="28"/>
      <c r="MKM29" s="28"/>
      <c r="MKN29" s="28"/>
      <c r="MKO29" s="28"/>
      <c r="MKP29" s="28"/>
      <c r="MKQ29" s="28"/>
      <c r="MKR29" s="28"/>
      <c r="MKS29" s="28"/>
      <c r="MKT29" s="28"/>
      <c r="MKU29" s="28"/>
      <c r="MKV29" s="28"/>
      <c r="MKW29" s="28"/>
      <c r="MKX29" s="28"/>
      <c r="MKY29" s="28"/>
      <c r="MKZ29" s="28"/>
      <c r="MLA29" s="28"/>
      <c r="MLB29" s="28"/>
      <c r="MLC29" s="28"/>
      <c r="MLD29" s="28"/>
      <c r="MLE29" s="28"/>
      <c r="MLF29" s="28"/>
      <c r="MLG29" s="28"/>
      <c r="MLH29" s="28"/>
      <c r="MLI29" s="28"/>
      <c r="MLJ29" s="28"/>
      <c r="MLK29" s="28"/>
      <c r="MLL29" s="28"/>
      <c r="MLM29" s="28"/>
      <c r="MLN29" s="28"/>
      <c r="MLO29" s="28"/>
      <c r="MLP29" s="28"/>
      <c r="MLQ29" s="28"/>
      <c r="MLR29" s="28"/>
      <c r="MLS29" s="28"/>
      <c r="MLT29" s="28"/>
      <c r="MLU29" s="28"/>
      <c r="MLV29" s="28"/>
      <c r="MLW29" s="28"/>
      <c r="MLX29" s="28"/>
      <c r="MLY29" s="28"/>
      <c r="MLZ29" s="28"/>
      <c r="MMA29" s="28"/>
      <c r="MMB29" s="28"/>
      <c r="MMC29" s="28"/>
      <c r="MMD29" s="28"/>
      <c r="MME29" s="28"/>
      <c r="MMF29" s="28"/>
      <c r="MMG29" s="28"/>
      <c r="MMH29" s="28"/>
      <c r="MMI29" s="28"/>
      <c r="MMJ29" s="28"/>
      <c r="MMK29" s="28"/>
      <c r="MML29" s="28"/>
      <c r="MMM29" s="28"/>
      <c r="MMN29" s="28"/>
      <c r="MMO29" s="28"/>
      <c r="MMP29" s="28"/>
      <c r="MMQ29" s="28"/>
      <c r="MMR29" s="28"/>
      <c r="MMS29" s="28"/>
      <c r="MMT29" s="28"/>
      <c r="MMU29" s="28"/>
      <c r="MMV29" s="28"/>
      <c r="MMW29" s="28"/>
      <c r="MMX29" s="28"/>
      <c r="MMY29" s="28"/>
      <c r="MMZ29" s="28"/>
      <c r="MNA29" s="28"/>
      <c r="MNB29" s="28"/>
      <c r="MNC29" s="28"/>
      <c r="MND29" s="28"/>
      <c r="MNE29" s="28"/>
      <c r="MNF29" s="28"/>
      <c r="MNG29" s="28"/>
      <c r="MNH29" s="28"/>
      <c r="MNI29" s="28"/>
      <c r="MNJ29" s="28"/>
      <c r="MNK29" s="28"/>
      <c r="MNL29" s="28"/>
      <c r="MNM29" s="28"/>
      <c r="MNN29" s="28"/>
      <c r="MNO29" s="28"/>
      <c r="MNP29" s="28"/>
      <c r="MNQ29" s="28"/>
      <c r="MNR29" s="28"/>
      <c r="MNS29" s="28"/>
      <c r="MNT29" s="28"/>
      <c r="MNU29" s="28"/>
      <c r="MNV29" s="28"/>
      <c r="MNW29" s="28"/>
      <c r="MNX29" s="28"/>
      <c r="MNY29" s="28"/>
      <c r="MNZ29" s="28"/>
      <c r="MOA29" s="28"/>
      <c r="MOB29" s="28"/>
      <c r="MOC29" s="28"/>
      <c r="MOD29" s="28"/>
      <c r="MOE29" s="28"/>
      <c r="MOF29" s="28"/>
      <c r="MOG29" s="28"/>
      <c r="MOH29" s="28"/>
      <c r="MOI29" s="28"/>
      <c r="MOJ29" s="28"/>
      <c r="MOK29" s="28"/>
      <c r="MOL29" s="28"/>
      <c r="MOM29" s="28"/>
      <c r="MON29" s="28"/>
      <c r="MOO29" s="28"/>
      <c r="MOP29" s="28"/>
      <c r="MOQ29" s="28"/>
      <c r="MOR29" s="28"/>
      <c r="MOS29" s="28"/>
      <c r="MOT29" s="28"/>
      <c r="MOU29" s="28"/>
      <c r="MOV29" s="28"/>
      <c r="MOW29" s="28"/>
      <c r="MOX29" s="28"/>
      <c r="MOY29" s="28"/>
      <c r="MOZ29" s="28"/>
      <c r="MPA29" s="28"/>
      <c r="MPB29" s="28"/>
      <c r="MPC29" s="28"/>
      <c r="MPD29" s="28"/>
      <c r="MPE29" s="28"/>
      <c r="MPF29" s="28"/>
      <c r="MPG29" s="28"/>
      <c r="MPH29" s="28"/>
      <c r="MPI29" s="28"/>
      <c r="MPJ29" s="28"/>
      <c r="MPK29" s="28"/>
      <c r="MPL29" s="28"/>
      <c r="MPM29" s="28"/>
      <c r="MPN29" s="28"/>
      <c r="MPO29" s="28"/>
      <c r="MPP29" s="28"/>
      <c r="MPQ29" s="28"/>
      <c r="MPR29" s="28"/>
      <c r="MPS29" s="28"/>
      <c r="MPT29" s="28"/>
      <c r="MPU29" s="28"/>
      <c r="MPV29" s="28"/>
      <c r="MPW29" s="28"/>
      <c r="MPX29" s="28"/>
      <c r="MPY29" s="28"/>
      <c r="MPZ29" s="28"/>
      <c r="MQA29" s="28"/>
      <c r="MQB29" s="28"/>
      <c r="MQC29" s="28"/>
      <c r="MQD29" s="28"/>
      <c r="MQE29" s="28"/>
      <c r="MQF29" s="28"/>
      <c r="MQG29" s="28"/>
      <c r="MQH29" s="28"/>
      <c r="MQI29" s="28"/>
      <c r="MQJ29" s="28"/>
      <c r="MQK29" s="28"/>
      <c r="MQL29" s="28"/>
      <c r="MQM29" s="28"/>
      <c r="MQN29" s="28"/>
      <c r="MQO29" s="28"/>
      <c r="MQP29" s="28"/>
      <c r="MQQ29" s="28"/>
      <c r="MQR29" s="28"/>
      <c r="MQS29" s="28"/>
      <c r="MQT29" s="28"/>
      <c r="MQU29" s="28"/>
      <c r="MQV29" s="28"/>
      <c r="MQW29" s="28"/>
      <c r="MQX29" s="28"/>
      <c r="MQY29" s="28"/>
      <c r="MQZ29" s="28"/>
      <c r="MRA29" s="28"/>
      <c r="MRB29" s="28"/>
      <c r="MRC29" s="28"/>
      <c r="MRD29" s="28"/>
      <c r="MRE29" s="28"/>
      <c r="MRF29" s="28"/>
      <c r="MRG29" s="28"/>
      <c r="MRH29" s="28"/>
      <c r="MRI29" s="28"/>
      <c r="MRJ29" s="28"/>
      <c r="MRK29" s="28"/>
      <c r="MRL29" s="28"/>
      <c r="MRM29" s="28"/>
      <c r="MRN29" s="28"/>
      <c r="MRO29" s="28"/>
      <c r="MRP29" s="28"/>
      <c r="MRQ29" s="28"/>
      <c r="MRR29" s="28"/>
      <c r="MRS29" s="28"/>
      <c r="MRT29" s="28"/>
      <c r="MRU29" s="28"/>
      <c r="MRV29" s="28"/>
      <c r="MRW29" s="28"/>
      <c r="MRX29" s="28"/>
      <c r="MRY29" s="28"/>
      <c r="MRZ29" s="28"/>
      <c r="MSA29" s="28"/>
      <c r="MSB29" s="28"/>
      <c r="MSC29" s="28"/>
      <c r="MSD29" s="28"/>
      <c r="MSE29" s="28"/>
      <c r="MSF29" s="28"/>
      <c r="MSG29" s="28"/>
      <c r="MSH29" s="28"/>
      <c r="MSI29" s="28"/>
      <c r="MSJ29" s="28"/>
      <c r="MSK29" s="28"/>
      <c r="MSL29" s="28"/>
      <c r="MSM29" s="28"/>
      <c r="MSN29" s="28"/>
      <c r="MSO29" s="28"/>
      <c r="MSP29" s="28"/>
      <c r="MSQ29" s="28"/>
      <c r="MSR29" s="28"/>
      <c r="MSS29" s="28"/>
      <c r="MST29" s="28"/>
      <c r="MSU29" s="28"/>
      <c r="MSV29" s="28"/>
      <c r="MSW29" s="28"/>
      <c r="MSX29" s="28"/>
      <c r="MSY29" s="28"/>
      <c r="MSZ29" s="28"/>
      <c r="MTA29" s="28"/>
      <c r="MTB29" s="28"/>
      <c r="MTC29" s="28"/>
      <c r="MTD29" s="28"/>
      <c r="MTE29" s="28"/>
      <c r="MTF29" s="28"/>
      <c r="MTG29" s="28"/>
      <c r="MTH29" s="28"/>
      <c r="MTI29" s="28"/>
      <c r="MTJ29" s="28"/>
      <c r="MTK29" s="28"/>
      <c r="MTL29" s="28"/>
      <c r="MTM29" s="28"/>
      <c r="MTN29" s="28"/>
      <c r="MTO29" s="28"/>
      <c r="MTP29" s="28"/>
      <c r="MTQ29" s="28"/>
      <c r="MTR29" s="28"/>
      <c r="MTS29" s="28"/>
      <c r="MTT29" s="28"/>
      <c r="MTU29" s="28"/>
      <c r="MTV29" s="28"/>
      <c r="MTW29" s="28"/>
      <c r="MTX29" s="28"/>
      <c r="MTY29" s="28"/>
      <c r="MTZ29" s="28"/>
      <c r="MUA29" s="28"/>
      <c r="MUB29" s="28"/>
      <c r="MUC29" s="28"/>
      <c r="MUD29" s="28"/>
      <c r="MUE29" s="28"/>
      <c r="MUF29" s="28"/>
      <c r="MUG29" s="28"/>
      <c r="MUH29" s="28"/>
      <c r="MUI29" s="28"/>
      <c r="MUJ29" s="28"/>
      <c r="MUK29" s="28"/>
      <c r="MUL29" s="28"/>
      <c r="MUM29" s="28"/>
      <c r="MUN29" s="28"/>
      <c r="MUO29" s="28"/>
      <c r="MUP29" s="28"/>
      <c r="MUQ29" s="28"/>
      <c r="MUR29" s="28"/>
      <c r="MUS29" s="28"/>
      <c r="MUT29" s="28"/>
      <c r="MUU29" s="28"/>
      <c r="MUV29" s="28"/>
      <c r="MUW29" s="28"/>
      <c r="MUX29" s="28"/>
      <c r="MUY29" s="28"/>
      <c r="MUZ29" s="28"/>
      <c r="MVA29" s="28"/>
      <c r="MVB29" s="28"/>
      <c r="MVC29" s="28"/>
      <c r="MVD29" s="28"/>
      <c r="MVE29" s="28"/>
      <c r="MVF29" s="28"/>
      <c r="MVG29" s="28"/>
      <c r="MVH29" s="28"/>
      <c r="MVI29" s="28"/>
      <c r="MVJ29" s="28"/>
      <c r="MVK29" s="28"/>
      <c r="MVL29" s="28"/>
      <c r="MVM29" s="28"/>
      <c r="MVN29" s="28"/>
      <c r="MVO29" s="28"/>
      <c r="MVP29" s="28"/>
      <c r="MVQ29" s="28"/>
      <c r="MVR29" s="28"/>
      <c r="MVS29" s="28"/>
      <c r="MVT29" s="28"/>
      <c r="MVU29" s="28"/>
      <c r="MVV29" s="28"/>
      <c r="MVW29" s="28"/>
      <c r="MVX29" s="28"/>
      <c r="MVY29" s="28"/>
      <c r="MVZ29" s="28"/>
      <c r="MWA29" s="28"/>
      <c r="MWB29" s="28"/>
      <c r="MWC29" s="28"/>
      <c r="MWD29" s="28"/>
      <c r="MWE29" s="28"/>
      <c r="MWF29" s="28"/>
      <c r="MWG29" s="28"/>
      <c r="MWH29" s="28"/>
      <c r="MWI29" s="28"/>
      <c r="MWJ29" s="28"/>
      <c r="MWK29" s="28"/>
      <c r="MWL29" s="28"/>
      <c r="MWM29" s="28"/>
      <c r="MWN29" s="28"/>
      <c r="MWO29" s="28"/>
      <c r="MWP29" s="28"/>
      <c r="MWQ29" s="28"/>
      <c r="MWR29" s="28"/>
      <c r="MWS29" s="28"/>
      <c r="MWT29" s="28"/>
      <c r="MWU29" s="28"/>
      <c r="MWV29" s="28"/>
      <c r="MWW29" s="28"/>
      <c r="MWX29" s="28"/>
      <c r="MWY29" s="28"/>
      <c r="MWZ29" s="28"/>
      <c r="MXA29" s="28"/>
      <c r="MXB29" s="28"/>
      <c r="MXC29" s="28"/>
      <c r="MXD29" s="28"/>
      <c r="MXE29" s="28"/>
      <c r="MXF29" s="28"/>
      <c r="MXG29" s="28"/>
      <c r="MXH29" s="28"/>
      <c r="MXI29" s="28"/>
      <c r="MXJ29" s="28"/>
      <c r="MXK29" s="28"/>
      <c r="MXL29" s="28"/>
      <c r="MXM29" s="28"/>
      <c r="MXN29" s="28"/>
      <c r="MXO29" s="28"/>
      <c r="MXP29" s="28"/>
      <c r="MXQ29" s="28"/>
      <c r="MXR29" s="28"/>
      <c r="MXS29" s="28"/>
      <c r="MXT29" s="28"/>
      <c r="MXU29" s="28"/>
      <c r="MXV29" s="28"/>
      <c r="MXW29" s="28"/>
      <c r="MXX29" s="28"/>
      <c r="MXY29" s="28"/>
      <c r="MXZ29" s="28"/>
      <c r="MYA29" s="28"/>
      <c r="MYB29" s="28"/>
      <c r="MYC29" s="28"/>
      <c r="MYD29" s="28"/>
      <c r="MYE29" s="28"/>
      <c r="MYF29" s="28"/>
      <c r="MYG29" s="28"/>
      <c r="MYH29" s="28"/>
      <c r="MYI29" s="28"/>
      <c r="MYJ29" s="28"/>
      <c r="MYK29" s="28"/>
      <c r="MYL29" s="28"/>
      <c r="MYM29" s="28"/>
      <c r="MYN29" s="28"/>
      <c r="MYO29" s="28"/>
      <c r="MYP29" s="28"/>
      <c r="MYQ29" s="28"/>
      <c r="MYR29" s="28"/>
      <c r="MYS29" s="28"/>
      <c r="MYT29" s="28"/>
      <c r="MYU29" s="28"/>
      <c r="MYV29" s="28"/>
      <c r="MYW29" s="28"/>
      <c r="MYX29" s="28"/>
      <c r="MYY29" s="28"/>
      <c r="MYZ29" s="28"/>
      <c r="MZA29" s="28"/>
      <c r="MZB29" s="28"/>
      <c r="MZC29" s="28"/>
      <c r="MZD29" s="28"/>
      <c r="MZE29" s="28"/>
      <c r="MZF29" s="28"/>
      <c r="MZG29" s="28"/>
      <c r="MZH29" s="28"/>
      <c r="MZI29" s="28"/>
      <c r="MZJ29" s="28"/>
      <c r="MZK29" s="28"/>
      <c r="MZL29" s="28"/>
      <c r="MZM29" s="28"/>
      <c r="MZN29" s="28"/>
      <c r="MZO29" s="28"/>
      <c r="MZP29" s="28"/>
      <c r="MZQ29" s="28"/>
      <c r="MZR29" s="28"/>
      <c r="MZS29" s="28"/>
      <c r="MZT29" s="28"/>
      <c r="MZU29" s="28"/>
      <c r="MZV29" s="28"/>
      <c r="MZW29" s="28"/>
      <c r="MZX29" s="28"/>
      <c r="MZY29" s="28"/>
      <c r="MZZ29" s="28"/>
      <c r="NAA29" s="28"/>
      <c r="NAB29" s="28"/>
      <c r="NAC29" s="28"/>
      <c r="NAD29" s="28"/>
      <c r="NAE29" s="28"/>
      <c r="NAF29" s="28"/>
      <c r="NAG29" s="28"/>
      <c r="NAH29" s="28"/>
      <c r="NAI29" s="28"/>
      <c r="NAJ29" s="28"/>
      <c r="NAK29" s="28"/>
      <c r="NAL29" s="28"/>
      <c r="NAM29" s="28"/>
      <c r="NAN29" s="28"/>
      <c r="NAO29" s="28"/>
      <c r="NAP29" s="28"/>
      <c r="NAQ29" s="28"/>
      <c r="NAR29" s="28"/>
      <c r="NAS29" s="28"/>
      <c r="NAT29" s="28"/>
      <c r="NAU29" s="28"/>
      <c r="NAV29" s="28"/>
      <c r="NAW29" s="28"/>
      <c r="NAX29" s="28"/>
      <c r="NAY29" s="28"/>
      <c r="NAZ29" s="28"/>
      <c r="NBA29" s="28"/>
      <c r="NBB29" s="28"/>
      <c r="NBC29" s="28"/>
      <c r="NBD29" s="28"/>
      <c r="NBE29" s="28"/>
      <c r="NBF29" s="28"/>
      <c r="NBG29" s="28"/>
      <c r="NBH29" s="28"/>
      <c r="NBI29" s="28"/>
      <c r="NBJ29" s="28"/>
      <c r="NBK29" s="28"/>
      <c r="NBL29" s="28"/>
      <c r="NBM29" s="28"/>
      <c r="NBN29" s="28"/>
      <c r="NBO29" s="28"/>
      <c r="NBP29" s="28"/>
      <c r="NBQ29" s="28"/>
      <c r="NBR29" s="28"/>
      <c r="NBS29" s="28"/>
      <c r="NBT29" s="28"/>
      <c r="NBU29" s="28"/>
      <c r="NBV29" s="28"/>
      <c r="NBW29" s="28"/>
      <c r="NBX29" s="28"/>
      <c r="NBY29" s="28"/>
      <c r="NBZ29" s="28"/>
      <c r="NCA29" s="28"/>
      <c r="NCB29" s="28"/>
      <c r="NCC29" s="28"/>
      <c r="NCD29" s="28"/>
      <c r="NCE29" s="28"/>
      <c r="NCF29" s="28"/>
      <c r="NCG29" s="28"/>
      <c r="NCH29" s="28"/>
      <c r="NCI29" s="28"/>
      <c r="NCJ29" s="28"/>
      <c r="NCK29" s="28"/>
      <c r="NCL29" s="28"/>
      <c r="NCM29" s="28"/>
      <c r="NCN29" s="28"/>
      <c r="NCO29" s="28"/>
      <c r="NCP29" s="28"/>
      <c r="NCQ29" s="28"/>
      <c r="NCR29" s="28"/>
      <c r="NCS29" s="28"/>
      <c r="NCT29" s="28"/>
      <c r="NCU29" s="28"/>
      <c r="NCV29" s="28"/>
      <c r="NCW29" s="28"/>
      <c r="NCX29" s="28"/>
      <c r="NCY29" s="28"/>
      <c r="NCZ29" s="28"/>
      <c r="NDA29" s="28"/>
      <c r="NDB29" s="28"/>
      <c r="NDC29" s="28"/>
      <c r="NDD29" s="28"/>
      <c r="NDE29" s="28"/>
      <c r="NDF29" s="28"/>
      <c r="NDG29" s="28"/>
      <c r="NDH29" s="28"/>
      <c r="NDI29" s="28"/>
      <c r="NDJ29" s="28"/>
      <c r="NDK29" s="28"/>
      <c r="NDL29" s="28"/>
      <c r="NDM29" s="28"/>
      <c r="NDN29" s="28"/>
      <c r="NDO29" s="28"/>
      <c r="NDP29" s="28"/>
      <c r="NDQ29" s="28"/>
      <c r="NDR29" s="28"/>
      <c r="NDS29" s="28"/>
      <c r="NDT29" s="28"/>
      <c r="NDU29" s="28"/>
      <c r="NDV29" s="28"/>
      <c r="NDW29" s="28"/>
      <c r="NDX29" s="28"/>
      <c r="NDY29" s="28"/>
      <c r="NDZ29" s="28"/>
      <c r="NEA29" s="28"/>
      <c r="NEB29" s="28"/>
      <c r="NEC29" s="28"/>
      <c r="NED29" s="28"/>
      <c r="NEE29" s="28"/>
      <c r="NEF29" s="28"/>
      <c r="NEG29" s="28"/>
      <c r="NEH29" s="28"/>
      <c r="NEI29" s="28"/>
      <c r="NEJ29" s="28"/>
      <c r="NEK29" s="28"/>
      <c r="NEL29" s="28"/>
      <c r="NEM29" s="28"/>
      <c r="NEN29" s="28"/>
      <c r="NEO29" s="28"/>
      <c r="NEP29" s="28"/>
      <c r="NEQ29" s="28"/>
      <c r="NER29" s="28"/>
      <c r="NES29" s="28"/>
      <c r="NET29" s="28"/>
      <c r="NEU29" s="28"/>
      <c r="NEV29" s="28"/>
      <c r="NEW29" s="28"/>
      <c r="NEX29" s="28"/>
      <c r="NEY29" s="28"/>
      <c r="NEZ29" s="28"/>
      <c r="NFA29" s="28"/>
      <c r="NFB29" s="28"/>
      <c r="NFC29" s="28"/>
      <c r="NFD29" s="28"/>
      <c r="NFE29" s="28"/>
      <c r="NFF29" s="28"/>
      <c r="NFG29" s="28"/>
      <c r="NFH29" s="28"/>
      <c r="NFI29" s="28"/>
      <c r="NFJ29" s="28"/>
      <c r="NFK29" s="28"/>
      <c r="NFL29" s="28"/>
      <c r="NFM29" s="28"/>
      <c r="NFN29" s="28"/>
      <c r="NFO29" s="28"/>
      <c r="NFP29" s="28"/>
      <c r="NFQ29" s="28"/>
      <c r="NFR29" s="28"/>
      <c r="NFS29" s="28"/>
      <c r="NFT29" s="28"/>
      <c r="NFU29" s="28"/>
      <c r="NFV29" s="28"/>
      <c r="NFW29" s="28"/>
      <c r="NFX29" s="28"/>
      <c r="NFY29" s="28"/>
      <c r="NFZ29" s="28"/>
      <c r="NGA29" s="28"/>
      <c r="NGB29" s="28"/>
      <c r="NGC29" s="28"/>
      <c r="NGD29" s="28"/>
      <c r="NGE29" s="28"/>
      <c r="NGF29" s="28"/>
      <c r="NGG29" s="28"/>
      <c r="NGH29" s="28"/>
      <c r="NGI29" s="28"/>
      <c r="NGJ29" s="28"/>
      <c r="NGK29" s="28"/>
      <c r="NGL29" s="28"/>
      <c r="NGM29" s="28"/>
      <c r="NGN29" s="28"/>
      <c r="NGO29" s="28"/>
      <c r="NGP29" s="28"/>
      <c r="NGQ29" s="28"/>
      <c r="NGR29" s="28"/>
      <c r="NGS29" s="28"/>
      <c r="NGT29" s="28"/>
      <c r="NGU29" s="28"/>
      <c r="NGV29" s="28"/>
      <c r="NGW29" s="28"/>
      <c r="NGX29" s="28"/>
      <c r="NGY29" s="28"/>
      <c r="NGZ29" s="28"/>
      <c r="NHA29" s="28"/>
      <c r="NHB29" s="28"/>
      <c r="NHC29" s="28"/>
      <c r="NHD29" s="28"/>
      <c r="NHE29" s="28"/>
      <c r="NHF29" s="28"/>
      <c r="NHG29" s="28"/>
      <c r="NHH29" s="28"/>
      <c r="NHI29" s="28"/>
      <c r="NHJ29" s="28"/>
      <c r="NHK29" s="28"/>
      <c r="NHL29" s="28"/>
      <c r="NHM29" s="28"/>
      <c r="NHN29" s="28"/>
      <c r="NHO29" s="28"/>
      <c r="NHP29" s="28"/>
      <c r="NHQ29" s="28"/>
      <c r="NHR29" s="28"/>
      <c r="NHS29" s="28"/>
      <c r="NHT29" s="28"/>
      <c r="NHU29" s="28"/>
      <c r="NHV29" s="28"/>
      <c r="NHW29" s="28"/>
      <c r="NHX29" s="28"/>
      <c r="NHY29" s="28"/>
      <c r="NHZ29" s="28"/>
      <c r="NIA29" s="28"/>
      <c r="NIB29" s="28"/>
      <c r="NIC29" s="28"/>
      <c r="NID29" s="28"/>
      <c r="NIE29" s="28"/>
      <c r="NIF29" s="28"/>
      <c r="NIG29" s="28"/>
      <c r="NIH29" s="28"/>
      <c r="NII29" s="28"/>
      <c r="NIJ29" s="28"/>
      <c r="NIK29" s="28"/>
      <c r="NIL29" s="28"/>
      <c r="NIM29" s="28"/>
      <c r="NIN29" s="28"/>
      <c r="NIO29" s="28"/>
      <c r="NIP29" s="28"/>
      <c r="NIQ29" s="28"/>
      <c r="NIR29" s="28"/>
      <c r="NIS29" s="28"/>
      <c r="NIT29" s="28"/>
      <c r="NIU29" s="28"/>
      <c r="NIV29" s="28"/>
      <c r="NIW29" s="28"/>
      <c r="NIX29" s="28"/>
      <c r="NIY29" s="28"/>
      <c r="NIZ29" s="28"/>
      <c r="NJA29" s="28"/>
      <c r="NJB29" s="28"/>
      <c r="NJC29" s="28"/>
      <c r="NJD29" s="28"/>
      <c r="NJE29" s="28"/>
      <c r="NJF29" s="28"/>
      <c r="NJG29" s="28"/>
      <c r="NJH29" s="28"/>
      <c r="NJI29" s="28"/>
      <c r="NJJ29" s="28"/>
      <c r="NJK29" s="28"/>
      <c r="NJL29" s="28"/>
      <c r="NJM29" s="28"/>
      <c r="NJN29" s="28"/>
      <c r="NJO29" s="28"/>
      <c r="NJP29" s="28"/>
      <c r="NJQ29" s="28"/>
      <c r="NJR29" s="28"/>
      <c r="NJS29" s="28"/>
      <c r="NJT29" s="28"/>
      <c r="NJU29" s="28"/>
      <c r="NJV29" s="28"/>
      <c r="NJW29" s="28"/>
      <c r="NJX29" s="28"/>
      <c r="NJY29" s="28"/>
      <c r="NJZ29" s="28"/>
      <c r="NKA29" s="28"/>
      <c r="NKB29" s="28"/>
      <c r="NKC29" s="28"/>
      <c r="NKD29" s="28"/>
      <c r="NKE29" s="28"/>
      <c r="NKF29" s="28"/>
      <c r="NKG29" s="28"/>
      <c r="NKH29" s="28"/>
      <c r="NKI29" s="28"/>
      <c r="NKJ29" s="28"/>
      <c r="NKK29" s="28"/>
      <c r="NKL29" s="28"/>
      <c r="NKM29" s="28"/>
      <c r="NKN29" s="28"/>
      <c r="NKO29" s="28"/>
      <c r="NKP29" s="28"/>
      <c r="NKQ29" s="28"/>
      <c r="NKR29" s="28"/>
      <c r="NKS29" s="28"/>
      <c r="NKT29" s="28"/>
      <c r="NKU29" s="28"/>
      <c r="NKV29" s="28"/>
      <c r="NKW29" s="28"/>
      <c r="NKX29" s="28"/>
      <c r="NKY29" s="28"/>
      <c r="NKZ29" s="28"/>
      <c r="NLA29" s="28"/>
      <c r="NLB29" s="28"/>
      <c r="NLC29" s="28"/>
      <c r="NLD29" s="28"/>
      <c r="NLE29" s="28"/>
      <c r="NLF29" s="28"/>
      <c r="NLG29" s="28"/>
      <c r="NLH29" s="28"/>
      <c r="NLI29" s="28"/>
      <c r="NLJ29" s="28"/>
      <c r="NLK29" s="28"/>
      <c r="NLL29" s="28"/>
      <c r="NLM29" s="28"/>
      <c r="NLN29" s="28"/>
      <c r="NLO29" s="28"/>
      <c r="NLP29" s="28"/>
      <c r="NLQ29" s="28"/>
      <c r="NLR29" s="28"/>
      <c r="NLS29" s="28"/>
      <c r="NLT29" s="28"/>
      <c r="NLU29" s="28"/>
      <c r="NLV29" s="28"/>
      <c r="NLW29" s="28"/>
      <c r="NLX29" s="28"/>
      <c r="NLY29" s="28"/>
      <c r="NLZ29" s="28"/>
      <c r="NMA29" s="28"/>
      <c r="NMB29" s="28"/>
      <c r="NMC29" s="28"/>
      <c r="NMD29" s="28"/>
      <c r="NME29" s="28"/>
      <c r="NMF29" s="28"/>
      <c r="NMG29" s="28"/>
      <c r="NMH29" s="28"/>
      <c r="NMI29" s="28"/>
      <c r="NMJ29" s="28"/>
      <c r="NMK29" s="28"/>
      <c r="NML29" s="28"/>
      <c r="NMM29" s="28"/>
      <c r="NMN29" s="28"/>
      <c r="NMO29" s="28"/>
      <c r="NMP29" s="28"/>
      <c r="NMQ29" s="28"/>
      <c r="NMR29" s="28"/>
      <c r="NMS29" s="28"/>
      <c r="NMT29" s="28"/>
      <c r="NMU29" s="28"/>
      <c r="NMV29" s="28"/>
      <c r="NMW29" s="28"/>
      <c r="NMX29" s="28"/>
      <c r="NMY29" s="28"/>
      <c r="NMZ29" s="28"/>
      <c r="NNA29" s="28"/>
      <c r="NNB29" s="28"/>
      <c r="NNC29" s="28"/>
      <c r="NND29" s="28"/>
      <c r="NNE29" s="28"/>
      <c r="NNF29" s="28"/>
      <c r="NNG29" s="28"/>
      <c r="NNH29" s="28"/>
      <c r="NNI29" s="28"/>
      <c r="NNJ29" s="28"/>
      <c r="NNK29" s="28"/>
      <c r="NNL29" s="28"/>
      <c r="NNM29" s="28"/>
      <c r="NNN29" s="28"/>
      <c r="NNO29" s="28"/>
      <c r="NNP29" s="28"/>
      <c r="NNQ29" s="28"/>
      <c r="NNR29" s="28"/>
      <c r="NNS29" s="28"/>
      <c r="NNT29" s="28"/>
      <c r="NNU29" s="28"/>
      <c r="NNV29" s="28"/>
      <c r="NNW29" s="28"/>
      <c r="NNX29" s="28"/>
      <c r="NNY29" s="28"/>
      <c r="NNZ29" s="28"/>
      <c r="NOA29" s="28"/>
      <c r="NOB29" s="28"/>
      <c r="NOC29" s="28"/>
      <c r="NOD29" s="28"/>
      <c r="NOE29" s="28"/>
      <c r="NOF29" s="28"/>
      <c r="NOG29" s="28"/>
      <c r="NOH29" s="28"/>
      <c r="NOI29" s="28"/>
      <c r="NOJ29" s="28"/>
      <c r="NOK29" s="28"/>
      <c r="NOL29" s="28"/>
      <c r="NOM29" s="28"/>
      <c r="NON29" s="28"/>
      <c r="NOO29" s="28"/>
      <c r="NOP29" s="28"/>
      <c r="NOQ29" s="28"/>
      <c r="NOR29" s="28"/>
      <c r="NOS29" s="28"/>
      <c r="NOT29" s="28"/>
      <c r="NOU29" s="28"/>
      <c r="NOV29" s="28"/>
      <c r="NOW29" s="28"/>
      <c r="NOX29" s="28"/>
      <c r="NOY29" s="28"/>
      <c r="NOZ29" s="28"/>
      <c r="NPA29" s="28"/>
      <c r="NPB29" s="28"/>
      <c r="NPC29" s="28"/>
      <c r="NPD29" s="28"/>
      <c r="NPE29" s="28"/>
      <c r="NPF29" s="28"/>
      <c r="NPG29" s="28"/>
      <c r="NPH29" s="28"/>
      <c r="NPI29" s="28"/>
      <c r="NPJ29" s="28"/>
      <c r="NPK29" s="28"/>
      <c r="NPL29" s="28"/>
      <c r="NPM29" s="28"/>
      <c r="NPN29" s="28"/>
      <c r="NPO29" s="28"/>
      <c r="NPP29" s="28"/>
      <c r="NPQ29" s="28"/>
      <c r="NPR29" s="28"/>
      <c r="NPS29" s="28"/>
      <c r="NPT29" s="28"/>
      <c r="NPU29" s="28"/>
      <c r="NPV29" s="28"/>
      <c r="NPW29" s="28"/>
      <c r="NPX29" s="28"/>
      <c r="NPY29" s="28"/>
      <c r="NPZ29" s="28"/>
      <c r="NQA29" s="28"/>
      <c r="NQB29" s="28"/>
      <c r="NQC29" s="28"/>
      <c r="NQD29" s="28"/>
      <c r="NQE29" s="28"/>
      <c r="NQF29" s="28"/>
      <c r="NQG29" s="28"/>
      <c r="NQH29" s="28"/>
      <c r="NQI29" s="28"/>
      <c r="NQJ29" s="28"/>
      <c r="NQK29" s="28"/>
      <c r="NQL29" s="28"/>
      <c r="NQM29" s="28"/>
      <c r="NQN29" s="28"/>
      <c r="NQO29" s="28"/>
      <c r="NQP29" s="28"/>
      <c r="NQQ29" s="28"/>
      <c r="NQR29" s="28"/>
      <c r="NQS29" s="28"/>
      <c r="NQT29" s="28"/>
      <c r="NQU29" s="28"/>
      <c r="NQV29" s="28"/>
      <c r="NQW29" s="28"/>
      <c r="NQX29" s="28"/>
      <c r="NQY29" s="28"/>
      <c r="NQZ29" s="28"/>
      <c r="NRA29" s="28"/>
      <c r="NRB29" s="28"/>
      <c r="NRC29" s="28"/>
      <c r="NRD29" s="28"/>
      <c r="NRE29" s="28"/>
      <c r="NRF29" s="28"/>
      <c r="NRG29" s="28"/>
      <c r="NRH29" s="28"/>
      <c r="NRI29" s="28"/>
      <c r="NRJ29" s="28"/>
      <c r="NRK29" s="28"/>
      <c r="NRL29" s="28"/>
      <c r="NRM29" s="28"/>
      <c r="NRN29" s="28"/>
      <c r="NRO29" s="28"/>
      <c r="NRP29" s="28"/>
      <c r="NRQ29" s="28"/>
      <c r="NRR29" s="28"/>
      <c r="NRS29" s="28"/>
      <c r="NRT29" s="28"/>
      <c r="NRU29" s="28"/>
      <c r="NRV29" s="28"/>
      <c r="NRW29" s="28"/>
      <c r="NRX29" s="28"/>
      <c r="NRY29" s="28"/>
      <c r="NRZ29" s="28"/>
      <c r="NSA29" s="28"/>
      <c r="NSB29" s="28"/>
      <c r="NSC29" s="28"/>
      <c r="NSD29" s="28"/>
      <c r="NSE29" s="28"/>
      <c r="NSF29" s="28"/>
      <c r="NSG29" s="28"/>
      <c r="NSH29" s="28"/>
      <c r="NSI29" s="28"/>
      <c r="NSJ29" s="28"/>
      <c r="NSK29" s="28"/>
      <c r="NSL29" s="28"/>
      <c r="NSM29" s="28"/>
      <c r="NSN29" s="28"/>
      <c r="NSO29" s="28"/>
      <c r="NSP29" s="28"/>
      <c r="NSQ29" s="28"/>
      <c r="NSR29" s="28"/>
      <c r="NSS29" s="28"/>
      <c r="NST29" s="28"/>
      <c r="NSU29" s="28"/>
      <c r="NSV29" s="28"/>
      <c r="NSW29" s="28"/>
      <c r="NSX29" s="28"/>
      <c r="NSY29" s="28"/>
      <c r="NSZ29" s="28"/>
      <c r="NTA29" s="28"/>
      <c r="NTB29" s="28"/>
      <c r="NTC29" s="28"/>
      <c r="NTD29" s="28"/>
      <c r="NTE29" s="28"/>
      <c r="NTF29" s="28"/>
      <c r="NTG29" s="28"/>
      <c r="NTH29" s="28"/>
      <c r="NTI29" s="28"/>
      <c r="NTJ29" s="28"/>
      <c r="NTK29" s="28"/>
      <c r="NTL29" s="28"/>
      <c r="NTM29" s="28"/>
      <c r="NTN29" s="28"/>
      <c r="NTO29" s="28"/>
      <c r="NTP29" s="28"/>
      <c r="NTQ29" s="28"/>
      <c r="NTR29" s="28"/>
      <c r="NTS29" s="28"/>
      <c r="NTT29" s="28"/>
      <c r="NTU29" s="28"/>
      <c r="NTV29" s="28"/>
      <c r="NTW29" s="28"/>
      <c r="NTX29" s="28"/>
      <c r="NTY29" s="28"/>
      <c r="NTZ29" s="28"/>
      <c r="NUA29" s="28"/>
      <c r="NUB29" s="28"/>
      <c r="NUC29" s="28"/>
      <c r="NUD29" s="28"/>
      <c r="NUE29" s="28"/>
      <c r="NUF29" s="28"/>
      <c r="NUG29" s="28"/>
      <c r="NUH29" s="28"/>
      <c r="NUI29" s="28"/>
      <c r="NUJ29" s="28"/>
      <c r="NUK29" s="28"/>
      <c r="NUL29" s="28"/>
      <c r="NUM29" s="28"/>
      <c r="NUN29" s="28"/>
      <c r="NUO29" s="28"/>
      <c r="NUP29" s="28"/>
      <c r="NUQ29" s="28"/>
      <c r="NUR29" s="28"/>
      <c r="NUS29" s="28"/>
      <c r="NUT29" s="28"/>
      <c r="NUU29" s="28"/>
      <c r="NUV29" s="28"/>
      <c r="NUW29" s="28"/>
      <c r="NUX29" s="28"/>
      <c r="NUY29" s="28"/>
      <c r="NUZ29" s="28"/>
      <c r="NVA29" s="28"/>
      <c r="NVB29" s="28"/>
      <c r="NVC29" s="28"/>
      <c r="NVD29" s="28"/>
      <c r="NVE29" s="28"/>
      <c r="NVF29" s="28"/>
      <c r="NVG29" s="28"/>
      <c r="NVH29" s="28"/>
      <c r="NVI29" s="28"/>
      <c r="NVJ29" s="28"/>
      <c r="NVK29" s="28"/>
      <c r="NVL29" s="28"/>
      <c r="NVM29" s="28"/>
      <c r="NVN29" s="28"/>
      <c r="NVO29" s="28"/>
      <c r="NVP29" s="28"/>
      <c r="NVQ29" s="28"/>
      <c r="NVR29" s="28"/>
      <c r="NVS29" s="28"/>
      <c r="NVT29" s="28"/>
      <c r="NVU29" s="28"/>
      <c r="NVV29" s="28"/>
      <c r="NVW29" s="28"/>
      <c r="NVX29" s="28"/>
      <c r="NVY29" s="28"/>
      <c r="NVZ29" s="28"/>
      <c r="NWA29" s="28"/>
      <c r="NWB29" s="28"/>
      <c r="NWC29" s="28"/>
      <c r="NWD29" s="28"/>
      <c r="NWE29" s="28"/>
      <c r="NWF29" s="28"/>
      <c r="NWG29" s="28"/>
      <c r="NWH29" s="28"/>
      <c r="NWI29" s="28"/>
      <c r="NWJ29" s="28"/>
      <c r="NWK29" s="28"/>
      <c r="NWL29" s="28"/>
      <c r="NWM29" s="28"/>
      <c r="NWN29" s="28"/>
      <c r="NWO29" s="28"/>
      <c r="NWP29" s="28"/>
      <c r="NWQ29" s="28"/>
      <c r="NWR29" s="28"/>
      <c r="NWS29" s="28"/>
      <c r="NWT29" s="28"/>
      <c r="NWU29" s="28"/>
      <c r="NWV29" s="28"/>
      <c r="NWW29" s="28"/>
      <c r="NWX29" s="28"/>
      <c r="NWY29" s="28"/>
      <c r="NWZ29" s="28"/>
      <c r="NXA29" s="28"/>
      <c r="NXB29" s="28"/>
      <c r="NXC29" s="28"/>
      <c r="NXD29" s="28"/>
      <c r="NXE29" s="28"/>
      <c r="NXF29" s="28"/>
      <c r="NXG29" s="28"/>
      <c r="NXH29" s="28"/>
      <c r="NXI29" s="28"/>
      <c r="NXJ29" s="28"/>
      <c r="NXK29" s="28"/>
      <c r="NXL29" s="28"/>
      <c r="NXM29" s="28"/>
      <c r="NXN29" s="28"/>
      <c r="NXO29" s="28"/>
      <c r="NXP29" s="28"/>
      <c r="NXQ29" s="28"/>
      <c r="NXR29" s="28"/>
      <c r="NXS29" s="28"/>
      <c r="NXT29" s="28"/>
      <c r="NXU29" s="28"/>
      <c r="NXV29" s="28"/>
      <c r="NXW29" s="28"/>
      <c r="NXX29" s="28"/>
      <c r="NXY29" s="28"/>
      <c r="NXZ29" s="28"/>
      <c r="NYA29" s="28"/>
      <c r="NYB29" s="28"/>
      <c r="NYC29" s="28"/>
      <c r="NYD29" s="28"/>
      <c r="NYE29" s="28"/>
      <c r="NYF29" s="28"/>
      <c r="NYG29" s="28"/>
      <c r="NYH29" s="28"/>
      <c r="NYI29" s="28"/>
      <c r="NYJ29" s="28"/>
      <c r="NYK29" s="28"/>
      <c r="NYL29" s="28"/>
      <c r="NYM29" s="28"/>
      <c r="NYN29" s="28"/>
      <c r="NYO29" s="28"/>
      <c r="NYP29" s="28"/>
      <c r="NYQ29" s="28"/>
      <c r="NYR29" s="28"/>
      <c r="NYS29" s="28"/>
      <c r="NYT29" s="28"/>
      <c r="NYU29" s="28"/>
      <c r="NYV29" s="28"/>
      <c r="NYW29" s="28"/>
      <c r="NYX29" s="28"/>
      <c r="NYY29" s="28"/>
      <c r="NYZ29" s="28"/>
      <c r="NZA29" s="28"/>
      <c r="NZB29" s="28"/>
      <c r="NZC29" s="28"/>
      <c r="NZD29" s="28"/>
      <c r="NZE29" s="28"/>
      <c r="NZF29" s="28"/>
      <c r="NZG29" s="28"/>
      <c r="NZH29" s="28"/>
      <c r="NZI29" s="28"/>
      <c r="NZJ29" s="28"/>
      <c r="NZK29" s="28"/>
      <c r="NZL29" s="28"/>
      <c r="NZM29" s="28"/>
      <c r="NZN29" s="28"/>
      <c r="NZO29" s="28"/>
      <c r="NZP29" s="28"/>
      <c r="NZQ29" s="28"/>
      <c r="NZR29" s="28"/>
      <c r="NZS29" s="28"/>
      <c r="NZT29" s="28"/>
      <c r="NZU29" s="28"/>
      <c r="NZV29" s="28"/>
      <c r="NZW29" s="28"/>
      <c r="NZX29" s="28"/>
      <c r="NZY29" s="28"/>
      <c r="NZZ29" s="28"/>
      <c r="OAA29" s="28"/>
      <c r="OAB29" s="28"/>
      <c r="OAC29" s="28"/>
      <c r="OAD29" s="28"/>
      <c r="OAE29" s="28"/>
      <c r="OAF29" s="28"/>
      <c r="OAG29" s="28"/>
      <c r="OAH29" s="28"/>
      <c r="OAI29" s="28"/>
      <c r="OAJ29" s="28"/>
      <c r="OAK29" s="28"/>
      <c r="OAL29" s="28"/>
      <c r="OAM29" s="28"/>
      <c r="OAN29" s="28"/>
      <c r="OAO29" s="28"/>
      <c r="OAP29" s="28"/>
      <c r="OAQ29" s="28"/>
      <c r="OAR29" s="28"/>
      <c r="OAS29" s="28"/>
      <c r="OAT29" s="28"/>
      <c r="OAU29" s="28"/>
      <c r="OAV29" s="28"/>
      <c r="OAW29" s="28"/>
      <c r="OAX29" s="28"/>
      <c r="OAY29" s="28"/>
      <c r="OAZ29" s="28"/>
      <c r="OBA29" s="28"/>
      <c r="OBB29" s="28"/>
      <c r="OBC29" s="28"/>
      <c r="OBD29" s="28"/>
      <c r="OBE29" s="28"/>
      <c r="OBF29" s="28"/>
      <c r="OBG29" s="28"/>
      <c r="OBH29" s="28"/>
      <c r="OBI29" s="28"/>
      <c r="OBJ29" s="28"/>
      <c r="OBK29" s="28"/>
      <c r="OBL29" s="28"/>
      <c r="OBM29" s="28"/>
      <c r="OBN29" s="28"/>
      <c r="OBO29" s="28"/>
      <c r="OBP29" s="28"/>
      <c r="OBQ29" s="28"/>
      <c r="OBR29" s="28"/>
      <c r="OBS29" s="28"/>
      <c r="OBT29" s="28"/>
      <c r="OBU29" s="28"/>
      <c r="OBV29" s="28"/>
      <c r="OBW29" s="28"/>
      <c r="OBX29" s="28"/>
      <c r="OBY29" s="28"/>
      <c r="OBZ29" s="28"/>
      <c r="OCA29" s="28"/>
      <c r="OCB29" s="28"/>
      <c r="OCC29" s="28"/>
      <c r="OCD29" s="28"/>
      <c r="OCE29" s="28"/>
      <c r="OCF29" s="28"/>
      <c r="OCG29" s="28"/>
      <c r="OCH29" s="28"/>
      <c r="OCI29" s="28"/>
      <c r="OCJ29" s="28"/>
      <c r="OCK29" s="28"/>
      <c r="OCL29" s="28"/>
      <c r="OCM29" s="28"/>
      <c r="OCN29" s="28"/>
      <c r="OCO29" s="28"/>
      <c r="OCP29" s="28"/>
      <c r="OCQ29" s="28"/>
      <c r="OCR29" s="28"/>
      <c r="OCS29" s="28"/>
      <c r="OCT29" s="28"/>
      <c r="OCU29" s="28"/>
      <c r="OCV29" s="28"/>
      <c r="OCW29" s="28"/>
      <c r="OCX29" s="28"/>
      <c r="OCY29" s="28"/>
      <c r="OCZ29" s="28"/>
      <c r="ODA29" s="28"/>
      <c r="ODB29" s="28"/>
      <c r="ODC29" s="28"/>
      <c r="ODD29" s="28"/>
      <c r="ODE29" s="28"/>
      <c r="ODF29" s="28"/>
      <c r="ODG29" s="28"/>
      <c r="ODH29" s="28"/>
      <c r="ODI29" s="28"/>
      <c r="ODJ29" s="28"/>
      <c r="ODK29" s="28"/>
      <c r="ODL29" s="28"/>
      <c r="ODM29" s="28"/>
      <c r="ODN29" s="28"/>
      <c r="ODO29" s="28"/>
      <c r="ODP29" s="28"/>
      <c r="ODQ29" s="28"/>
      <c r="ODR29" s="28"/>
      <c r="ODS29" s="28"/>
      <c r="ODT29" s="28"/>
      <c r="ODU29" s="28"/>
      <c r="ODV29" s="28"/>
      <c r="ODW29" s="28"/>
      <c r="ODX29" s="28"/>
      <c r="ODY29" s="28"/>
      <c r="ODZ29" s="28"/>
      <c r="OEA29" s="28"/>
      <c r="OEB29" s="28"/>
      <c r="OEC29" s="28"/>
      <c r="OED29" s="28"/>
      <c r="OEE29" s="28"/>
      <c r="OEF29" s="28"/>
      <c r="OEG29" s="28"/>
      <c r="OEH29" s="28"/>
      <c r="OEI29" s="28"/>
      <c r="OEJ29" s="28"/>
      <c r="OEK29" s="28"/>
      <c r="OEL29" s="28"/>
      <c r="OEM29" s="28"/>
      <c r="OEN29" s="28"/>
      <c r="OEO29" s="28"/>
      <c r="OEP29" s="28"/>
      <c r="OEQ29" s="28"/>
      <c r="OER29" s="28"/>
      <c r="OES29" s="28"/>
      <c r="OET29" s="28"/>
      <c r="OEU29" s="28"/>
      <c r="OEV29" s="28"/>
      <c r="OEW29" s="28"/>
      <c r="OEX29" s="28"/>
      <c r="OEY29" s="28"/>
      <c r="OEZ29" s="28"/>
      <c r="OFA29" s="28"/>
      <c r="OFB29" s="28"/>
      <c r="OFC29" s="28"/>
      <c r="OFD29" s="28"/>
      <c r="OFE29" s="28"/>
      <c r="OFF29" s="28"/>
      <c r="OFG29" s="28"/>
      <c r="OFH29" s="28"/>
      <c r="OFI29" s="28"/>
      <c r="OFJ29" s="28"/>
      <c r="OFK29" s="28"/>
      <c r="OFL29" s="28"/>
      <c r="OFM29" s="28"/>
      <c r="OFN29" s="28"/>
      <c r="OFO29" s="28"/>
      <c r="OFP29" s="28"/>
      <c r="OFQ29" s="28"/>
      <c r="OFR29" s="28"/>
      <c r="OFS29" s="28"/>
      <c r="OFT29" s="28"/>
      <c r="OFU29" s="28"/>
      <c r="OFV29" s="28"/>
      <c r="OFW29" s="28"/>
      <c r="OFX29" s="28"/>
      <c r="OFY29" s="28"/>
      <c r="OFZ29" s="28"/>
      <c r="OGA29" s="28"/>
      <c r="OGB29" s="28"/>
      <c r="OGC29" s="28"/>
      <c r="OGD29" s="28"/>
      <c r="OGE29" s="28"/>
      <c r="OGF29" s="28"/>
      <c r="OGG29" s="28"/>
      <c r="OGH29" s="28"/>
      <c r="OGI29" s="28"/>
      <c r="OGJ29" s="28"/>
      <c r="OGK29" s="28"/>
      <c r="OGL29" s="28"/>
      <c r="OGM29" s="28"/>
      <c r="OGN29" s="28"/>
      <c r="OGO29" s="28"/>
      <c r="OGP29" s="28"/>
      <c r="OGQ29" s="28"/>
      <c r="OGR29" s="28"/>
      <c r="OGS29" s="28"/>
      <c r="OGT29" s="28"/>
      <c r="OGU29" s="28"/>
      <c r="OGV29" s="28"/>
      <c r="OGW29" s="28"/>
      <c r="OGX29" s="28"/>
      <c r="OGY29" s="28"/>
      <c r="OGZ29" s="28"/>
      <c r="OHA29" s="28"/>
      <c r="OHB29" s="28"/>
      <c r="OHC29" s="28"/>
      <c r="OHD29" s="28"/>
      <c r="OHE29" s="28"/>
      <c r="OHF29" s="28"/>
      <c r="OHG29" s="28"/>
      <c r="OHH29" s="28"/>
      <c r="OHI29" s="28"/>
      <c r="OHJ29" s="28"/>
      <c r="OHK29" s="28"/>
      <c r="OHL29" s="28"/>
      <c r="OHM29" s="28"/>
      <c r="OHN29" s="28"/>
      <c r="OHO29" s="28"/>
      <c r="OHP29" s="28"/>
      <c r="OHQ29" s="28"/>
      <c r="OHR29" s="28"/>
      <c r="OHS29" s="28"/>
      <c r="OHT29" s="28"/>
      <c r="OHU29" s="28"/>
      <c r="OHV29" s="28"/>
      <c r="OHW29" s="28"/>
      <c r="OHX29" s="28"/>
      <c r="OHY29" s="28"/>
      <c r="OHZ29" s="28"/>
      <c r="OIA29" s="28"/>
      <c r="OIB29" s="28"/>
      <c r="OIC29" s="28"/>
      <c r="OID29" s="28"/>
      <c r="OIE29" s="28"/>
      <c r="OIF29" s="28"/>
      <c r="OIG29" s="28"/>
      <c r="OIH29" s="28"/>
      <c r="OII29" s="28"/>
      <c r="OIJ29" s="28"/>
      <c r="OIK29" s="28"/>
      <c r="OIL29" s="28"/>
      <c r="OIM29" s="28"/>
      <c r="OIN29" s="28"/>
      <c r="OIO29" s="28"/>
      <c r="OIP29" s="28"/>
      <c r="OIQ29" s="28"/>
      <c r="OIR29" s="28"/>
      <c r="OIS29" s="28"/>
      <c r="OIT29" s="28"/>
      <c r="OIU29" s="28"/>
      <c r="OIV29" s="28"/>
      <c r="OIW29" s="28"/>
      <c r="OIX29" s="28"/>
      <c r="OIY29" s="28"/>
      <c r="OIZ29" s="28"/>
      <c r="OJA29" s="28"/>
      <c r="OJB29" s="28"/>
      <c r="OJC29" s="28"/>
      <c r="OJD29" s="28"/>
      <c r="OJE29" s="28"/>
      <c r="OJF29" s="28"/>
      <c r="OJG29" s="28"/>
      <c r="OJH29" s="28"/>
      <c r="OJI29" s="28"/>
      <c r="OJJ29" s="28"/>
      <c r="OJK29" s="28"/>
      <c r="OJL29" s="28"/>
      <c r="OJM29" s="28"/>
      <c r="OJN29" s="28"/>
      <c r="OJO29" s="28"/>
      <c r="OJP29" s="28"/>
      <c r="OJQ29" s="28"/>
      <c r="OJR29" s="28"/>
      <c r="OJS29" s="28"/>
      <c r="OJT29" s="28"/>
      <c r="OJU29" s="28"/>
      <c r="OJV29" s="28"/>
      <c r="OJW29" s="28"/>
      <c r="OJX29" s="28"/>
      <c r="OJY29" s="28"/>
      <c r="OJZ29" s="28"/>
      <c r="OKA29" s="28"/>
      <c r="OKB29" s="28"/>
      <c r="OKC29" s="28"/>
      <c r="OKD29" s="28"/>
      <c r="OKE29" s="28"/>
      <c r="OKF29" s="28"/>
      <c r="OKG29" s="28"/>
      <c r="OKH29" s="28"/>
      <c r="OKI29" s="28"/>
      <c r="OKJ29" s="28"/>
      <c r="OKK29" s="28"/>
      <c r="OKL29" s="28"/>
      <c r="OKM29" s="28"/>
      <c r="OKN29" s="28"/>
      <c r="OKO29" s="28"/>
      <c r="OKP29" s="28"/>
      <c r="OKQ29" s="28"/>
      <c r="OKR29" s="28"/>
      <c r="OKS29" s="28"/>
      <c r="OKT29" s="28"/>
      <c r="OKU29" s="28"/>
      <c r="OKV29" s="28"/>
      <c r="OKW29" s="28"/>
      <c r="OKX29" s="28"/>
      <c r="OKY29" s="28"/>
      <c r="OKZ29" s="28"/>
      <c r="OLA29" s="28"/>
      <c r="OLB29" s="28"/>
      <c r="OLC29" s="28"/>
      <c r="OLD29" s="28"/>
      <c r="OLE29" s="28"/>
      <c r="OLF29" s="28"/>
      <c r="OLG29" s="28"/>
      <c r="OLH29" s="28"/>
      <c r="OLI29" s="28"/>
      <c r="OLJ29" s="28"/>
      <c r="OLK29" s="28"/>
      <c r="OLL29" s="28"/>
      <c r="OLM29" s="28"/>
      <c r="OLN29" s="28"/>
      <c r="OLO29" s="28"/>
      <c r="OLP29" s="28"/>
      <c r="OLQ29" s="28"/>
      <c r="OLR29" s="28"/>
      <c r="OLS29" s="28"/>
      <c r="OLT29" s="28"/>
      <c r="OLU29" s="28"/>
      <c r="OLV29" s="28"/>
      <c r="OLW29" s="28"/>
      <c r="OLX29" s="28"/>
      <c r="OLY29" s="28"/>
      <c r="OLZ29" s="28"/>
      <c r="OMA29" s="28"/>
      <c r="OMB29" s="28"/>
      <c r="OMC29" s="28"/>
      <c r="OMD29" s="28"/>
      <c r="OME29" s="28"/>
      <c r="OMF29" s="28"/>
      <c r="OMG29" s="28"/>
      <c r="OMH29" s="28"/>
      <c r="OMI29" s="28"/>
      <c r="OMJ29" s="28"/>
      <c r="OMK29" s="28"/>
      <c r="OML29" s="28"/>
      <c r="OMM29" s="28"/>
      <c r="OMN29" s="28"/>
      <c r="OMO29" s="28"/>
      <c r="OMP29" s="28"/>
      <c r="OMQ29" s="28"/>
      <c r="OMR29" s="28"/>
      <c r="OMS29" s="28"/>
      <c r="OMT29" s="28"/>
      <c r="OMU29" s="28"/>
      <c r="OMV29" s="28"/>
      <c r="OMW29" s="28"/>
      <c r="OMX29" s="28"/>
      <c r="OMY29" s="28"/>
      <c r="OMZ29" s="28"/>
      <c r="ONA29" s="28"/>
      <c r="ONB29" s="28"/>
      <c r="ONC29" s="28"/>
      <c r="OND29" s="28"/>
      <c r="ONE29" s="28"/>
      <c r="ONF29" s="28"/>
      <c r="ONG29" s="28"/>
      <c r="ONH29" s="28"/>
      <c r="ONI29" s="28"/>
      <c r="ONJ29" s="28"/>
      <c r="ONK29" s="28"/>
      <c r="ONL29" s="28"/>
      <c r="ONM29" s="28"/>
      <c r="ONN29" s="28"/>
      <c r="ONO29" s="28"/>
      <c r="ONP29" s="28"/>
      <c r="ONQ29" s="28"/>
      <c r="ONR29" s="28"/>
      <c r="ONS29" s="28"/>
      <c r="ONT29" s="28"/>
      <c r="ONU29" s="28"/>
      <c r="ONV29" s="28"/>
      <c r="ONW29" s="28"/>
      <c r="ONX29" s="28"/>
      <c r="ONY29" s="28"/>
      <c r="ONZ29" s="28"/>
      <c r="OOA29" s="28"/>
      <c r="OOB29" s="28"/>
      <c r="OOC29" s="28"/>
      <c r="OOD29" s="28"/>
      <c r="OOE29" s="28"/>
      <c r="OOF29" s="28"/>
      <c r="OOG29" s="28"/>
      <c r="OOH29" s="28"/>
      <c r="OOI29" s="28"/>
      <c r="OOJ29" s="28"/>
      <c r="OOK29" s="28"/>
      <c r="OOL29" s="28"/>
      <c r="OOM29" s="28"/>
      <c r="OON29" s="28"/>
      <c r="OOO29" s="28"/>
      <c r="OOP29" s="28"/>
      <c r="OOQ29" s="28"/>
      <c r="OOR29" s="28"/>
      <c r="OOS29" s="28"/>
      <c r="OOT29" s="28"/>
      <c r="OOU29" s="28"/>
      <c r="OOV29" s="28"/>
      <c r="OOW29" s="28"/>
      <c r="OOX29" s="28"/>
      <c r="OOY29" s="28"/>
      <c r="OOZ29" s="28"/>
      <c r="OPA29" s="28"/>
      <c r="OPB29" s="28"/>
      <c r="OPC29" s="28"/>
      <c r="OPD29" s="28"/>
      <c r="OPE29" s="28"/>
      <c r="OPF29" s="28"/>
      <c r="OPG29" s="28"/>
      <c r="OPH29" s="28"/>
      <c r="OPI29" s="28"/>
      <c r="OPJ29" s="28"/>
      <c r="OPK29" s="28"/>
      <c r="OPL29" s="28"/>
      <c r="OPM29" s="28"/>
      <c r="OPN29" s="28"/>
      <c r="OPO29" s="28"/>
      <c r="OPP29" s="28"/>
      <c r="OPQ29" s="28"/>
      <c r="OPR29" s="28"/>
      <c r="OPS29" s="28"/>
      <c r="OPT29" s="28"/>
      <c r="OPU29" s="28"/>
      <c r="OPV29" s="28"/>
      <c r="OPW29" s="28"/>
      <c r="OPX29" s="28"/>
      <c r="OPY29" s="28"/>
      <c r="OPZ29" s="28"/>
      <c r="OQA29" s="28"/>
      <c r="OQB29" s="28"/>
      <c r="OQC29" s="28"/>
      <c r="OQD29" s="28"/>
      <c r="OQE29" s="28"/>
      <c r="OQF29" s="28"/>
      <c r="OQG29" s="28"/>
      <c r="OQH29" s="28"/>
      <c r="OQI29" s="28"/>
      <c r="OQJ29" s="28"/>
      <c r="OQK29" s="28"/>
      <c r="OQL29" s="28"/>
      <c r="OQM29" s="28"/>
      <c r="OQN29" s="28"/>
      <c r="OQO29" s="28"/>
      <c r="OQP29" s="28"/>
      <c r="OQQ29" s="28"/>
      <c r="OQR29" s="28"/>
      <c r="OQS29" s="28"/>
      <c r="OQT29" s="28"/>
      <c r="OQU29" s="28"/>
      <c r="OQV29" s="28"/>
      <c r="OQW29" s="28"/>
      <c r="OQX29" s="28"/>
      <c r="OQY29" s="28"/>
      <c r="OQZ29" s="28"/>
      <c r="ORA29" s="28"/>
      <c r="ORB29" s="28"/>
      <c r="ORC29" s="28"/>
      <c r="ORD29" s="28"/>
      <c r="ORE29" s="28"/>
      <c r="ORF29" s="28"/>
      <c r="ORG29" s="28"/>
      <c r="ORH29" s="28"/>
      <c r="ORI29" s="28"/>
      <c r="ORJ29" s="28"/>
      <c r="ORK29" s="28"/>
      <c r="ORL29" s="28"/>
      <c r="ORM29" s="28"/>
      <c r="ORN29" s="28"/>
      <c r="ORO29" s="28"/>
      <c r="ORP29" s="28"/>
      <c r="ORQ29" s="28"/>
      <c r="ORR29" s="28"/>
      <c r="ORS29" s="28"/>
      <c r="ORT29" s="28"/>
      <c r="ORU29" s="28"/>
      <c r="ORV29" s="28"/>
      <c r="ORW29" s="28"/>
      <c r="ORX29" s="28"/>
      <c r="ORY29" s="28"/>
      <c r="ORZ29" s="28"/>
      <c r="OSA29" s="28"/>
      <c r="OSB29" s="28"/>
      <c r="OSC29" s="28"/>
      <c r="OSD29" s="28"/>
      <c r="OSE29" s="28"/>
      <c r="OSF29" s="28"/>
      <c r="OSG29" s="28"/>
      <c r="OSH29" s="28"/>
      <c r="OSI29" s="28"/>
      <c r="OSJ29" s="28"/>
      <c r="OSK29" s="28"/>
      <c r="OSL29" s="28"/>
      <c r="OSM29" s="28"/>
      <c r="OSN29" s="28"/>
      <c r="OSO29" s="28"/>
      <c r="OSP29" s="28"/>
      <c r="OSQ29" s="28"/>
      <c r="OSR29" s="28"/>
      <c r="OSS29" s="28"/>
      <c r="OST29" s="28"/>
      <c r="OSU29" s="28"/>
      <c r="OSV29" s="28"/>
      <c r="OSW29" s="28"/>
      <c r="OSX29" s="28"/>
      <c r="OSY29" s="28"/>
      <c r="OSZ29" s="28"/>
      <c r="OTA29" s="28"/>
      <c r="OTB29" s="28"/>
      <c r="OTC29" s="28"/>
      <c r="OTD29" s="28"/>
      <c r="OTE29" s="28"/>
      <c r="OTF29" s="28"/>
      <c r="OTG29" s="28"/>
      <c r="OTH29" s="28"/>
      <c r="OTI29" s="28"/>
      <c r="OTJ29" s="28"/>
      <c r="OTK29" s="28"/>
      <c r="OTL29" s="28"/>
      <c r="OTM29" s="28"/>
      <c r="OTN29" s="28"/>
      <c r="OTO29" s="28"/>
      <c r="OTP29" s="28"/>
      <c r="OTQ29" s="28"/>
      <c r="OTR29" s="28"/>
      <c r="OTS29" s="28"/>
      <c r="OTT29" s="28"/>
      <c r="OTU29" s="28"/>
      <c r="OTV29" s="28"/>
      <c r="OTW29" s="28"/>
      <c r="OTX29" s="28"/>
      <c r="OTY29" s="28"/>
      <c r="OTZ29" s="28"/>
      <c r="OUA29" s="28"/>
      <c r="OUB29" s="28"/>
      <c r="OUC29" s="28"/>
      <c r="OUD29" s="28"/>
      <c r="OUE29" s="28"/>
      <c r="OUF29" s="28"/>
      <c r="OUG29" s="28"/>
      <c r="OUH29" s="28"/>
      <c r="OUI29" s="28"/>
      <c r="OUJ29" s="28"/>
      <c r="OUK29" s="28"/>
      <c r="OUL29" s="28"/>
      <c r="OUM29" s="28"/>
      <c r="OUN29" s="28"/>
      <c r="OUO29" s="28"/>
      <c r="OUP29" s="28"/>
      <c r="OUQ29" s="28"/>
      <c r="OUR29" s="28"/>
      <c r="OUS29" s="28"/>
      <c r="OUT29" s="28"/>
      <c r="OUU29" s="28"/>
      <c r="OUV29" s="28"/>
      <c r="OUW29" s="28"/>
      <c r="OUX29" s="28"/>
      <c r="OUY29" s="28"/>
      <c r="OUZ29" s="28"/>
      <c r="OVA29" s="28"/>
      <c r="OVB29" s="28"/>
      <c r="OVC29" s="28"/>
      <c r="OVD29" s="28"/>
      <c r="OVE29" s="28"/>
      <c r="OVF29" s="28"/>
      <c r="OVG29" s="28"/>
      <c r="OVH29" s="28"/>
      <c r="OVI29" s="28"/>
      <c r="OVJ29" s="28"/>
      <c r="OVK29" s="28"/>
      <c r="OVL29" s="28"/>
      <c r="OVM29" s="28"/>
      <c r="OVN29" s="28"/>
      <c r="OVO29" s="28"/>
      <c r="OVP29" s="28"/>
      <c r="OVQ29" s="28"/>
      <c r="OVR29" s="28"/>
      <c r="OVS29" s="28"/>
      <c r="OVT29" s="28"/>
      <c r="OVU29" s="28"/>
      <c r="OVV29" s="28"/>
      <c r="OVW29" s="28"/>
      <c r="OVX29" s="28"/>
      <c r="OVY29" s="28"/>
      <c r="OVZ29" s="28"/>
      <c r="OWA29" s="28"/>
      <c r="OWB29" s="28"/>
      <c r="OWC29" s="28"/>
      <c r="OWD29" s="28"/>
      <c r="OWE29" s="28"/>
      <c r="OWF29" s="28"/>
      <c r="OWG29" s="28"/>
      <c r="OWH29" s="28"/>
      <c r="OWI29" s="28"/>
      <c r="OWJ29" s="28"/>
      <c r="OWK29" s="28"/>
      <c r="OWL29" s="28"/>
      <c r="OWM29" s="28"/>
      <c r="OWN29" s="28"/>
      <c r="OWO29" s="28"/>
      <c r="OWP29" s="28"/>
      <c r="OWQ29" s="28"/>
      <c r="OWR29" s="28"/>
      <c r="OWS29" s="28"/>
      <c r="OWT29" s="28"/>
      <c r="OWU29" s="28"/>
      <c r="OWV29" s="28"/>
      <c r="OWW29" s="28"/>
      <c r="OWX29" s="28"/>
      <c r="OWY29" s="28"/>
      <c r="OWZ29" s="28"/>
      <c r="OXA29" s="28"/>
      <c r="OXB29" s="28"/>
      <c r="OXC29" s="28"/>
      <c r="OXD29" s="28"/>
      <c r="OXE29" s="28"/>
      <c r="OXF29" s="28"/>
      <c r="OXG29" s="28"/>
      <c r="OXH29" s="28"/>
      <c r="OXI29" s="28"/>
      <c r="OXJ29" s="28"/>
      <c r="OXK29" s="28"/>
      <c r="OXL29" s="28"/>
      <c r="OXM29" s="28"/>
      <c r="OXN29" s="28"/>
      <c r="OXO29" s="28"/>
      <c r="OXP29" s="28"/>
      <c r="OXQ29" s="28"/>
      <c r="OXR29" s="28"/>
      <c r="OXS29" s="28"/>
      <c r="OXT29" s="28"/>
      <c r="OXU29" s="28"/>
      <c r="OXV29" s="28"/>
      <c r="OXW29" s="28"/>
      <c r="OXX29" s="28"/>
      <c r="OXY29" s="28"/>
      <c r="OXZ29" s="28"/>
      <c r="OYA29" s="28"/>
      <c r="OYB29" s="28"/>
      <c r="OYC29" s="28"/>
      <c r="OYD29" s="28"/>
      <c r="OYE29" s="28"/>
      <c r="OYF29" s="28"/>
      <c r="OYG29" s="28"/>
      <c r="OYH29" s="28"/>
      <c r="OYI29" s="28"/>
      <c r="OYJ29" s="28"/>
      <c r="OYK29" s="28"/>
      <c r="OYL29" s="28"/>
      <c r="OYM29" s="28"/>
      <c r="OYN29" s="28"/>
      <c r="OYO29" s="28"/>
      <c r="OYP29" s="28"/>
      <c r="OYQ29" s="28"/>
      <c r="OYR29" s="28"/>
      <c r="OYS29" s="28"/>
      <c r="OYT29" s="28"/>
      <c r="OYU29" s="28"/>
      <c r="OYV29" s="28"/>
      <c r="OYW29" s="28"/>
      <c r="OYX29" s="28"/>
      <c r="OYY29" s="28"/>
      <c r="OYZ29" s="28"/>
      <c r="OZA29" s="28"/>
      <c r="OZB29" s="28"/>
      <c r="OZC29" s="28"/>
      <c r="OZD29" s="28"/>
      <c r="OZE29" s="28"/>
      <c r="OZF29" s="28"/>
      <c r="OZG29" s="28"/>
      <c r="OZH29" s="28"/>
      <c r="OZI29" s="28"/>
      <c r="OZJ29" s="28"/>
      <c r="OZK29" s="28"/>
      <c r="OZL29" s="28"/>
      <c r="OZM29" s="28"/>
      <c r="OZN29" s="28"/>
      <c r="OZO29" s="28"/>
      <c r="OZP29" s="28"/>
      <c r="OZQ29" s="28"/>
      <c r="OZR29" s="28"/>
      <c r="OZS29" s="28"/>
      <c r="OZT29" s="28"/>
      <c r="OZU29" s="28"/>
      <c r="OZV29" s="28"/>
      <c r="OZW29" s="28"/>
      <c r="OZX29" s="28"/>
      <c r="OZY29" s="28"/>
      <c r="OZZ29" s="28"/>
      <c r="PAA29" s="28"/>
      <c r="PAB29" s="28"/>
      <c r="PAC29" s="28"/>
      <c r="PAD29" s="28"/>
      <c r="PAE29" s="28"/>
      <c r="PAF29" s="28"/>
      <c r="PAG29" s="28"/>
      <c r="PAH29" s="28"/>
      <c r="PAI29" s="28"/>
      <c r="PAJ29" s="28"/>
      <c r="PAK29" s="28"/>
      <c r="PAL29" s="28"/>
      <c r="PAM29" s="28"/>
      <c r="PAN29" s="28"/>
      <c r="PAO29" s="28"/>
      <c r="PAP29" s="28"/>
      <c r="PAQ29" s="28"/>
      <c r="PAR29" s="28"/>
      <c r="PAS29" s="28"/>
      <c r="PAT29" s="28"/>
      <c r="PAU29" s="28"/>
      <c r="PAV29" s="28"/>
      <c r="PAW29" s="28"/>
      <c r="PAX29" s="28"/>
      <c r="PAY29" s="28"/>
      <c r="PAZ29" s="28"/>
      <c r="PBA29" s="28"/>
      <c r="PBB29" s="28"/>
      <c r="PBC29" s="28"/>
      <c r="PBD29" s="28"/>
      <c r="PBE29" s="28"/>
      <c r="PBF29" s="28"/>
      <c r="PBG29" s="28"/>
      <c r="PBH29" s="28"/>
      <c r="PBI29" s="28"/>
      <c r="PBJ29" s="28"/>
      <c r="PBK29" s="28"/>
      <c r="PBL29" s="28"/>
      <c r="PBM29" s="28"/>
      <c r="PBN29" s="28"/>
      <c r="PBO29" s="28"/>
      <c r="PBP29" s="28"/>
      <c r="PBQ29" s="28"/>
      <c r="PBR29" s="28"/>
      <c r="PBS29" s="28"/>
      <c r="PBT29" s="28"/>
      <c r="PBU29" s="28"/>
      <c r="PBV29" s="28"/>
      <c r="PBW29" s="28"/>
      <c r="PBX29" s="28"/>
      <c r="PBY29" s="28"/>
      <c r="PBZ29" s="28"/>
      <c r="PCA29" s="28"/>
      <c r="PCB29" s="28"/>
      <c r="PCC29" s="28"/>
      <c r="PCD29" s="28"/>
      <c r="PCE29" s="28"/>
      <c r="PCF29" s="28"/>
      <c r="PCG29" s="28"/>
      <c r="PCH29" s="28"/>
      <c r="PCI29" s="28"/>
      <c r="PCJ29" s="28"/>
      <c r="PCK29" s="28"/>
      <c r="PCL29" s="28"/>
      <c r="PCM29" s="28"/>
      <c r="PCN29" s="28"/>
      <c r="PCO29" s="28"/>
      <c r="PCP29" s="28"/>
      <c r="PCQ29" s="28"/>
      <c r="PCR29" s="28"/>
      <c r="PCS29" s="28"/>
      <c r="PCT29" s="28"/>
      <c r="PCU29" s="28"/>
      <c r="PCV29" s="28"/>
      <c r="PCW29" s="28"/>
      <c r="PCX29" s="28"/>
      <c r="PCY29" s="28"/>
      <c r="PCZ29" s="28"/>
      <c r="PDA29" s="28"/>
      <c r="PDB29" s="28"/>
      <c r="PDC29" s="28"/>
      <c r="PDD29" s="28"/>
      <c r="PDE29" s="28"/>
      <c r="PDF29" s="28"/>
      <c r="PDG29" s="28"/>
      <c r="PDH29" s="28"/>
      <c r="PDI29" s="28"/>
      <c r="PDJ29" s="28"/>
      <c r="PDK29" s="28"/>
      <c r="PDL29" s="28"/>
      <c r="PDM29" s="28"/>
      <c r="PDN29" s="28"/>
      <c r="PDO29" s="28"/>
      <c r="PDP29" s="28"/>
      <c r="PDQ29" s="28"/>
      <c r="PDR29" s="28"/>
      <c r="PDS29" s="28"/>
      <c r="PDT29" s="28"/>
      <c r="PDU29" s="28"/>
      <c r="PDV29" s="28"/>
      <c r="PDW29" s="28"/>
      <c r="PDX29" s="28"/>
      <c r="PDY29" s="28"/>
      <c r="PDZ29" s="28"/>
      <c r="PEA29" s="28"/>
      <c r="PEB29" s="28"/>
      <c r="PEC29" s="28"/>
      <c r="PED29" s="28"/>
      <c r="PEE29" s="28"/>
      <c r="PEF29" s="28"/>
      <c r="PEG29" s="28"/>
      <c r="PEH29" s="28"/>
      <c r="PEI29" s="28"/>
      <c r="PEJ29" s="28"/>
      <c r="PEK29" s="28"/>
      <c r="PEL29" s="28"/>
      <c r="PEM29" s="28"/>
      <c r="PEN29" s="28"/>
      <c r="PEO29" s="28"/>
      <c r="PEP29" s="28"/>
      <c r="PEQ29" s="28"/>
      <c r="PER29" s="28"/>
      <c r="PES29" s="28"/>
      <c r="PET29" s="28"/>
      <c r="PEU29" s="28"/>
      <c r="PEV29" s="28"/>
      <c r="PEW29" s="28"/>
      <c r="PEX29" s="28"/>
      <c r="PEY29" s="28"/>
      <c r="PEZ29" s="28"/>
      <c r="PFA29" s="28"/>
      <c r="PFB29" s="28"/>
      <c r="PFC29" s="28"/>
      <c r="PFD29" s="28"/>
      <c r="PFE29" s="28"/>
      <c r="PFF29" s="28"/>
      <c r="PFG29" s="28"/>
      <c r="PFH29" s="28"/>
      <c r="PFI29" s="28"/>
      <c r="PFJ29" s="28"/>
      <c r="PFK29" s="28"/>
      <c r="PFL29" s="28"/>
      <c r="PFM29" s="28"/>
      <c r="PFN29" s="28"/>
      <c r="PFO29" s="28"/>
      <c r="PFP29" s="28"/>
      <c r="PFQ29" s="28"/>
      <c r="PFR29" s="28"/>
      <c r="PFS29" s="28"/>
      <c r="PFT29" s="28"/>
      <c r="PFU29" s="28"/>
      <c r="PFV29" s="28"/>
      <c r="PFW29" s="28"/>
      <c r="PFX29" s="28"/>
      <c r="PFY29" s="28"/>
      <c r="PFZ29" s="28"/>
      <c r="PGA29" s="28"/>
      <c r="PGB29" s="28"/>
      <c r="PGC29" s="28"/>
      <c r="PGD29" s="28"/>
      <c r="PGE29" s="28"/>
      <c r="PGF29" s="28"/>
      <c r="PGG29" s="28"/>
      <c r="PGH29" s="28"/>
      <c r="PGI29" s="28"/>
      <c r="PGJ29" s="28"/>
      <c r="PGK29" s="28"/>
      <c r="PGL29" s="28"/>
      <c r="PGM29" s="28"/>
      <c r="PGN29" s="28"/>
      <c r="PGO29" s="28"/>
      <c r="PGP29" s="28"/>
      <c r="PGQ29" s="28"/>
      <c r="PGR29" s="28"/>
      <c r="PGS29" s="28"/>
      <c r="PGT29" s="28"/>
      <c r="PGU29" s="28"/>
      <c r="PGV29" s="28"/>
      <c r="PGW29" s="28"/>
      <c r="PGX29" s="28"/>
      <c r="PGY29" s="28"/>
      <c r="PGZ29" s="28"/>
      <c r="PHA29" s="28"/>
      <c r="PHB29" s="28"/>
      <c r="PHC29" s="28"/>
      <c r="PHD29" s="28"/>
      <c r="PHE29" s="28"/>
      <c r="PHF29" s="28"/>
      <c r="PHG29" s="28"/>
      <c r="PHH29" s="28"/>
      <c r="PHI29" s="28"/>
      <c r="PHJ29" s="28"/>
      <c r="PHK29" s="28"/>
      <c r="PHL29" s="28"/>
      <c r="PHM29" s="28"/>
      <c r="PHN29" s="28"/>
      <c r="PHO29" s="28"/>
      <c r="PHP29" s="28"/>
      <c r="PHQ29" s="28"/>
      <c r="PHR29" s="28"/>
      <c r="PHS29" s="28"/>
      <c r="PHT29" s="28"/>
      <c r="PHU29" s="28"/>
      <c r="PHV29" s="28"/>
      <c r="PHW29" s="28"/>
      <c r="PHX29" s="28"/>
      <c r="PHY29" s="28"/>
      <c r="PHZ29" s="28"/>
      <c r="PIA29" s="28"/>
      <c r="PIB29" s="28"/>
      <c r="PIC29" s="28"/>
      <c r="PID29" s="28"/>
      <c r="PIE29" s="28"/>
      <c r="PIF29" s="28"/>
      <c r="PIG29" s="28"/>
      <c r="PIH29" s="28"/>
      <c r="PII29" s="28"/>
      <c r="PIJ29" s="28"/>
      <c r="PIK29" s="28"/>
      <c r="PIL29" s="28"/>
      <c r="PIM29" s="28"/>
      <c r="PIN29" s="28"/>
      <c r="PIO29" s="28"/>
      <c r="PIP29" s="28"/>
      <c r="PIQ29" s="28"/>
      <c r="PIR29" s="28"/>
      <c r="PIS29" s="28"/>
      <c r="PIT29" s="28"/>
      <c r="PIU29" s="28"/>
      <c r="PIV29" s="28"/>
      <c r="PIW29" s="28"/>
      <c r="PIX29" s="28"/>
      <c r="PIY29" s="28"/>
      <c r="PIZ29" s="28"/>
      <c r="PJA29" s="28"/>
      <c r="PJB29" s="28"/>
      <c r="PJC29" s="28"/>
      <c r="PJD29" s="28"/>
      <c r="PJE29" s="28"/>
      <c r="PJF29" s="28"/>
      <c r="PJG29" s="28"/>
      <c r="PJH29" s="28"/>
      <c r="PJI29" s="28"/>
      <c r="PJJ29" s="28"/>
      <c r="PJK29" s="28"/>
      <c r="PJL29" s="28"/>
      <c r="PJM29" s="28"/>
      <c r="PJN29" s="28"/>
      <c r="PJO29" s="28"/>
      <c r="PJP29" s="28"/>
      <c r="PJQ29" s="28"/>
      <c r="PJR29" s="28"/>
      <c r="PJS29" s="28"/>
      <c r="PJT29" s="28"/>
      <c r="PJU29" s="28"/>
      <c r="PJV29" s="28"/>
      <c r="PJW29" s="28"/>
      <c r="PJX29" s="28"/>
      <c r="PJY29" s="28"/>
      <c r="PJZ29" s="28"/>
      <c r="PKA29" s="28"/>
      <c r="PKB29" s="28"/>
      <c r="PKC29" s="28"/>
      <c r="PKD29" s="28"/>
      <c r="PKE29" s="28"/>
      <c r="PKF29" s="28"/>
      <c r="PKG29" s="28"/>
      <c r="PKH29" s="28"/>
      <c r="PKI29" s="28"/>
      <c r="PKJ29" s="28"/>
      <c r="PKK29" s="28"/>
      <c r="PKL29" s="28"/>
      <c r="PKM29" s="28"/>
      <c r="PKN29" s="28"/>
      <c r="PKO29" s="28"/>
      <c r="PKP29" s="28"/>
      <c r="PKQ29" s="28"/>
      <c r="PKR29" s="28"/>
      <c r="PKS29" s="28"/>
      <c r="PKT29" s="28"/>
      <c r="PKU29" s="28"/>
      <c r="PKV29" s="28"/>
      <c r="PKW29" s="28"/>
      <c r="PKX29" s="28"/>
      <c r="PKY29" s="28"/>
      <c r="PKZ29" s="28"/>
      <c r="PLA29" s="28"/>
      <c r="PLB29" s="28"/>
      <c r="PLC29" s="28"/>
      <c r="PLD29" s="28"/>
      <c r="PLE29" s="28"/>
      <c r="PLF29" s="28"/>
      <c r="PLG29" s="28"/>
      <c r="PLH29" s="28"/>
      <c r="PLI29" s="28"/>
      <c r="PLJ29" s="28"/>
      <c r="PLK29" s="28"/>
      <c r="PLL29" s="28"/>
      <c r="PLM29" s="28"/>
      <c r="PLN29" s="28"/>
      <c r="PLO29" s="28"/>
      <c r="PLP29" s="28"/>
      <c r="PLQ29" s="28"/>
      <c r="PLR29" s="28"/>
      <c r="PLS29" s="28"/>
      <c r="PLT29" s="28"/>
      <c r="PLU29" s="28"/>
      <c r="PLV29" s="28"/>
      <c r="PLW29" s="28"/>
      <c r="PLX29" s="28"/>
      <c r="PLY29" s="28"/>
      <c r="PLZ29" s="28"/>
      <c r="PMA29" s="28"/>
      <c r="PMB29" s="28"/>
      <c r="PMC29" s="28"/>
      <c r="PMD29" s="28"/>
      <c r="PME29" s="28"/>
      <c r="PMF29" s="28"/>
      <c r="PMG29" s="28"/>
      <c r="PMH29" s="28"/>
      <c r="PMI29" s="28"/>
      <c r="PMJ29" s="28"/>
      <c r="PMK29" s="28"/>
      <c r="PML29" s="28"/>
      <c r="PMM29" s="28"/>
      <c r="PMN29" s="28"/>
      <c r="PMO29" s="28"/>
      <c r="PMP29" s="28"/>
      <c r="PMQ29" s="28"/>
      <c r="PMR29" s="28"/>
      <c r="PMS29" s="28"/>
      <c r="PMT29" s="28"/>
      <c r="PMU29" s="28"/>
      <c r="PMV29" s="28"/>
      <c r="PMW29" s="28"/>
      <c r="PMX29" s="28"/>
      <c r="PMY29" s="28"/>
      <c r="PMZ29" s="28"/>
      <c r="PNA29" s="28"/>
      <c r="PNB29" s="28"/>
      <c r="PNC29" s="28"/>
      <c r="PND29" s="28"/>
      <c r="PNE29" s="28"/>
      <c r="PNF29" s="28"/>
      <c r="PNG29" s="28"/>
      <c r="PNH29" s="28"/>
      <c r="PNI29" s="28"/>
      <c r="PNJ29" s="28"/>
      <c r="PNK29" s="28"/>
      <c r="PNL29" s="28"/>
      <c r="PNM29" s="28"/>
      <c r="PNN29" s="28"/>
      <c r="PNO29" s="28"/>
      <c r="PNP29" s="28"/>
      <c r="PNQ29" s="28"/>
      <c r="PNR29" s="28"/>
      <c r="PNS29" s="28"/>
      <c r="PNT29" s="28"/>
      <c r="PNU29" s="28"/>
      <c r="PNV29" s="28"/>
      <c r="PNW29" s="28"/>
      <c r="PNX29" s="28"/>
      <c r="PNY29" s="28"/>
      <c r="PNZ29" s="28"/>
      <c r="POA29" s="28"/>
      <c r="POB29" s="28"/>
      <c r="POC29" s="28"/>
      <c r="POD29" s="28"/>
      <c r="POE29" s="28"/>
      <c r="POF29" s="28"/>
      <c r="POG29" s="28"/>
      <c r="POH29" s="28"/>
      <c r="POI29" s="28"/>
      <c r="POJ29" s="28"/>
      <c r="POK29" s="28"/>
      <c r="POL29" s="28"/>
      <c r="POM29" s="28"/>
      <c r="PON29" s="28"/>
      <c r="POO29" s="28"/>
      <c r="POP29" s="28"/>
      <c r="POQ29" s="28"/>
      <c r="POR29" s="28"/>
      <c r="POS29" s="28"/>
      <c r="POT29" s="28"/>
      <c r="POU29" s="28"/>
      <c r="POV29" s="28"/>
      <c r="POW29" s="28"/>
      <c r="POX29" s="28"/>
      <c r="POY29" s="28"/>
      <c r="POZ29" s="28"/>
      <c r="PPA29" s="28"/>
      <c r="PPB29" s="28"/>
      <c r="PPC29" s="28"/>
      <c r="PPD29" s="28"/>
      <c r="PPE29" s="28"/>
      <c r="PPF29" s="28"/>
      <c r="PPG29" s="28"/>
      <c r="PPH29" s="28"/>
      <c r="PPI29" s="28"/>
      <c r="PPJ29" s="28"/>
      <c r="PPK29" s="28"/>
      <c r="PPL29" s="28"/>
      <c r="PPM29" s="28"/>
      <c r="PPN29" s="28"/>
      <c r="PPO29" s="28"/>
      <c r="PPP29" s="28"/>
      <c r="PPQ29" s="28"/>
      <c r="PPR29" s="28"/>
      <c r="PPS29" s="28"/>
      <c r="PPT29" s="28"/>
      <c r="PPU29" s="28"/>
      <c r="PPV29" s="28"/>
      <c r="PPW29" s="28"/>
      <c r="PPX29" s="28"/>
      <c r="PPY29" s="28"/>
      <c r="PPZ29" s="28"/>
      <c r="PQA29" s="28"/>
      <c r="PQB29" s="28"/>
      <c r="PQC29" s="28"/>
      <c r="PQD29" s="28"/>
      <c r="PQE29" s="28"/>
      <c r="PQF29" s="28"/>
      <c r="PQG29" s="28"/>
      <c r="PQH29" s="28"/>
      <c r="PQI29" s="28"/>
      <c r="PQJ29" s="28"/>
      <c r="PQK29" s="28"/>
      <c r="PQL29" s="28"/>
      <c r="PQM29" s="28"/>
      <c r="PQN29" s="28"/>
      <c r="PQO29" s="28"/>
      <c r="PQP29" s="28"/>
      <c r="PQQ29" s="28"/>
      <c r="PQR29" s="28"/>
      <c r="PQS29" s="28"/>
      <c r="PQT29" s="28"/>
      <c r="PQU29" s="28"/>
      <c r="PQV29" s="28"/>
      <c r="PQW29" s="28"/>
      <c r="PQX29" s="28"/>
      <c r="PQY29" s="28"/>
      <c r="PQZ29" s="28"/>
      <c r="PRA29" s="28"/>
      <c r="PRB29" s="28"/>
      <c r="PRC29" s="28"/>
      <c r="PRD29" s="28"/>
      <c r="PRE29" s="28"/>
      <c r="PRF29" s="28"/>
      <c r="PRG29" s="28"/>
      <c r="PRH29" s="28"/>
      <c r="PRI29" s="28"/>
      <c r="PRJ29" s="28"/>
      <c r="PRK29" s="28"/>
      <c r="PRL29" s="28"/>
      <c r="PRM29" s="28"/>
      <c r="PRN29" s="28"/>
      <c r="PRO29" s="28"/>
      <c r="PRP29" s="28"/>
      <c r="PRQ29" s="28"/>
      <c r="PRR29" s="28"/>
      <c r="PRS29" s="28"/>
      <c r="PRT29" s="28"/>
      <c r="PRU29" s="28"/>
      <c r="PRV29" s="28"/>
      <c r="PRW29" s="28"/>
      <c r="PRX29" s="28"/>
      <c r="PRY29" s="28"/>
      <c r="PRZ29" s="28"/>
      <c r="PSA29" s="28"/>
      <c r="PSB29" s="28"/>
      <c r="PSC29" s="28"/>
      <c r="PSD29" s="28"/>
      <c r="PSE29" s="28"/>
      <c r="PSF29" s="28"/>
      <c r="PSG29" s="28"/>
      <c r="PSH29" s="28"/>
      <c r="PSI29" s="28"/>
      <c r="PSJ29" s="28"/>
      <c r="PSK29" s="28"/>
      <c r="PSL29" s="28"/>
      <c r="PSM29" s="28"/>
      <c r="PSN29" s="28"/>
      <c r="PSO29" s="28"/>
      <c r="PSP29" s="28"/>
      <c r="PSQ29" s="28"/>
      <c r="PSR29" s="28"/>
      <c r="PSS29" s="28"/>
      <c r="PST29" s="28"/>
      <c r="PSU29" s="28"/>
      <c r="PSV29" s="28"/>
      <c r="PSW29" s="28"/>
      <c r="PSX29" s="28"/>
      <c r="PSY29" s="28"/>
      <c r="PSZ29" s="28"/>
      <c r="PTA29" s="28"/>
      <c r="PTB29" s="28"/>
      <c r="PTC29" s="28"/>
      <c r="PTD29" s="28"/>
      <c r="PTE29" s="28"/>
      <c r="PTF29" s="28"/>
      <c r="PTG29" s="28"/>
      <c r="PTH29" s="28"/>
      <c r="PTI29" s="28"/>
      <c r="PTJ29" s="28"/>
      <c r="PTK29" s="28"/>
      <c r="PTL29" s="28"/>
      <c r="PTM29" s="28"/>
      <c r="PTN29" s="28"/>
      <c r="PTO29" s="28"/>
      <c r="PTP29" s="28"/>
      <c r="PTQ29" s="28"/>
      <c r="PTR29" s="28"/>
      <c r="PTS29" s="28"/>
      <c r="PTT29" s="28"/>
      <c r="PTU29" s="28"/>
      <c r="PTV29" s="28"/>
      <c r="PTW29" s="28"/>
      <c r="PTX29" s="28"/>
      <c r="PTY29" s="28"/>
      <c r="PTZ29" s="28"/>
      <c r="PUA29" s="28"/>
      <c r="PUB29" s="28"/>
      <c r="PUC29" s="28"/>
      <c r="PUD29" s="28"/>
      <c r="PUE29" s="28"/>
      <c r="PUF29" s="28"/>
      <c r="PUG29" s="28"/>
      <c r="PUH29" s="28"/>
      <c r="PUI29" s="28"/>
      <c r="PUJ29" s="28"/>
      <c r="PUK29" s="28"/>
      <c r="PUL29" s="28"/>
      <c r="PUM29" s="28"/>
      <c r="PUN29" s="28"/>
      <c r="PUO29" s="28"/>
      <c r="PUP29" s="28"/>
      <c r="PUQ29" s="28"/>
      <c r="PUR29" s="28"/>
      <c r="PUS29" s="28"/>
      <c r="PUT29" s="28"/>
      <c r="PUU29" s="28"/>
      <c r="PUV29" s="28"/>
      <c r="PUW29" s="28"/>
      <c r="PUX29" s="28"/>
      <c r="PUY29" s="28"/>
      <c r="PUZ29" s="28"/>
      <c r="PVA29" s="28"/>
      <c r="PVB29" s="28"/>
      <c r="PVC29" s="28"/>
      <c r="PVD29" s="28"/>
      <c r="PVE29" s="28"/>
      <c r="PVF29" s="28"/>
      <c r="PVG29" s="28"/>
      <c r="PVH29" s="28"/>
      <c r="PVI29" s="28"/>
      <c r="PVJ29" s="28"/>
      <c r="PVK29" s="28"/>
      <c r="PVL29" s="28"/>
      <c r="PVM29" s="28"/>
      <c r="PVN29" s="28"/>
      <c r="PVO29" s="28"/>
      <c r="PVP29" s="28"/>
      <c r="PVQ29" s="28"/>
      <c r="PVR29" s="28"/>
      <c r="PVS29" s="28"/>
      <c r="PVT29" s="28"/>
      <c r="PVU29" s="28"/>
      <c r="PVV29" s="28"/>
      <c r="PVW29" s="28"/>
      <c r="PVX29" s="28"/>
      <c r="PVY29" s="28"/>
      <c r="PVZ29" s="28"/>
      <c r="PWA29" s="28"/>
      <c r="PWB29" s="28"/>
      <c r="PWC29" s="28"/>
      <c r="PWD29" s="28"/>
      <c r="PWE29" s="28"/>
      <c r="PWF29" s="28"/>
      <c r="PWG29" s="28"/>
      <c r="PWH29" s="28"/>
      <c r="PWI29" s="28"/>
      <c r="PWJ29" s="28"/>
      <c r="PWK29" s="28"/>
      <c r="PWL29" s="28"/>
      <c r="PWM29" s="28"/>
      <c r="PWN29" s="28"/>
      <c r="PWO29" s="28"/>
      <c r="PWP29" s="28"/>
      <c r="PWQ29" s="28"/>
      <c r="PWR29" s="28"/>
      <c r="PWS29" s="28"/>
      <c r="PWT29" s="28"/>
      <c r="PWU29" s="28"/>
      <c r="PWV29" s="28"/>
      <c r="PWW29" s="28"/>
      <c r="PWX29" s="28"/>
      <c r="PWY29" s="28"/>
      <c r="PWZ29" s="28"/>
      <c r="PXA29" s="28"/>
      <c r="PXB29" s="28"/>
      <c r="PXC29" s="28"/>
      <c r="PXD29" s="28"/>
      <c r="PXE29" s="28"/>
      <c r="PXF29" s="28"/>
      <c r="PXG29" s="28"/>
      <c r="PXH29" s="28"/>
      <c r="PXI29" s="28"/>
      <c r="PXJ29" s="28"/>
      <c r="PXK29" s="28"/>
      <c r="PXL29" s="28"/>
      <c r="PXM29" s="28"/>
      <c r="PXN29" s="28"/>
      <c r="PXO29" s="28"/>
      <c r="PXP29" s="28"/>
      <c r="PXQ29" s="28"/>
      <c r="PXR29" s="28"/>
      <c r="PXS29" s="28"/>
      <c r="PXT29" s="28"/>
      <c r="PXU29" s="28"/>
      <c r="PXV29" s="28"/>
      <c r="PXW29" s="28"/>
      <c r="PXX29" s="28"/>
      <c r="PXY29" s="28"/>
      <c r="PXZ29" s="28"/>
      <c r="PYA29" s="28"/>
      <c r="PYB29" s="28"/>
      <c r="PYC29" s="28"/>
      <c r="PYD29" s="28"/>
      <c r="PYE29" s="28"/>
      <c r="PYF29" s="28"/>
      <c r="PYG29" s="28"/>
      <c r="PYH29" s="28"/>
      <c r="PYI29" s="28"/>
      <c r="PYJ29" s="28"/>
      <c r="PYK29" s="28"/>
      <c r="PYL29" s="28"/>
      <c r="PYM29" s="28"/>
      <c r="PYN29" s="28"/>
      <c r="PYO29" s="28"/>
      <c r="PYP29" s="28"/>
      <c r="PYQ29" s="28"/>
      <c r="PYR29" s="28"/>
      <c r="PYS29" s="28"/>
      <c r="PYT29" s="28"/>
      <c r="PYU29" s="28"/>
      <c r="PYV29" s="28"/>
      <c r="PYW29" s="28"/>
      <c r="PYX29" s="28"/>
      <c r="PYY29" s="28"/>
      <c r="PYZ29" s="28"/>
      <c r="PZA29" s="28"/>
      <c r="PZB29" s="28"/>
      <c r="PZC29" s="28"/>
      <c r="PZD29" s="28"/>
      <c r="PZE29" s="28"/>
      <c r="PZF29" s="28"/>
      <c r="PZG29" s="28"/>
      <c r="PZH29" s="28"/>
      <c r="PZI29" s="28"/>
      <c r="PZJ29" s="28"/>
      <c r="PZK29" s="28"/>
      <c r="PZL29" s="28"/>
      <c r="PZM29" s="28"/>
      <c r="PZN29" s="28"/>
      <c r="PZO29" s="28"/>
      <c r="PZP29" s="28"/>
      <c r="PZQ29" s="28"/>
      <c r="PZR29" s="28"/>
      <c r="PZS29" s="28"/>
      <c r="PZT29" s="28"/>
      <c r="PZU29" s="28"/>
      <c r="PZV29" s="28"/>
      <c r="PZW29" s="28"/>
      <c r="PZX29" s="28"/>
      <c r="PZY29" s="28"/>
      <c r="PZZ29" s="28"/>
      <c r="QAA29" s="28"/>
      <c r="QAB29" s="28"/>
      <c r="QAC29" s="28"/>
      <c r="QAD29" s="28"/>
      <c r="QAE29" s="28"/>
      <c r="QAF29" s="28"/>
      <c r="QAG29" s="28"/>
      <c r="QAH29" s="28"/>
      <c r="QAI29" s="28"/>
      <c r="QAJ29" s="28"/>
      <c r="QAK29" s="28"/>
      <c r="QAL29" s="28"/>
      <c r="QAM29" s="28"/>
      <c r="QAN29" s="28"/>
      <c r="QAO29" s="28"/>
      <c r="QAP29" s="28"/>
      <c r="QAQ29" s="28"/>
      <c r="QAR29" s="28"/>
      <c r="QAS29" s="28"/>
      <c r="QAT29" s="28"/>
      <c r="QAU29" s="28"/>
      <c r="QAV29" s="28"/>
      <c r="QAW29" s="28"/>
      <c r="QAX29" s="28"/>
      <c r="QAY29" s="28"/>
      <c r="QAZ29" s="28"/>
      <c r="QBA29" s="28"/>
      <c r="QBB29" s="28"/>
      <c r="QBC29" s="28"/>
      <c r="QBD29" s="28"/>
      <c r="QBE29" s="28"/>
      <c r="QBF29" s="28"/>
      <c r="QBG29" s="28"/>
      <c r="QBH29" s="28"/>
      <c r="QBI29" s="28"/>
      <c r="QBJ29" s="28"/>
      <c r="QBK29" s="28"/>
      <c r="QBL29" s="28"/>
      <c r="QBM29" s="28"/>
      <c r="QBN29" s="28"/>
      <c r="QBO29" s="28"/>
      <c r="QBP29" s="28"/>
      <c r="QBQ29" s="28"/>
      <c r="QBR29" s="28"/>
      <c r="QBS29" s="28"/>
      <c r="QBT29" s="28"/>
      <c r="QBU29" s="28"/>
      <c r="QBV29" s="28"/>
      <c r="QBW29" s="28"/>
      <c r="QBX29" s="28"/>
      <c r="QBY29" s="28"/>
      <c r="QBZ29" s="28"/>
      <c r="QCA29" s="28"/>
      <c r="QCB29" s="28"/>
      <c r="QCC29" s="28"/>
      <c r="QCD29" s="28"/>
      <c r="QCE29" s="28"/>
      <c r="QCF29" s="28"/>
      <c r="QCG29" s="28"/>
      <c r="QCH29" s="28"/>
      <c r="QCI29" s="28"/>
      <c r="QCJ29" s="28"/>
      <c r="QCK29" s="28"/>
      <c r="QCL29" s="28"/>
      <c r="QCM29" s="28"/>
      <c r="QCN29" s="28"/>
      <c r="QCO29" s="28"/>
      <c r="QCP29" s="28"/>
      <c r="QCQ29" s="28"/>
      <c r="QCR29" s="28"/>
      <c r="QCS29" s="28"/>
      <c r="QCT29" s="28"/>
      <c r="QCU29" s="28"/>
      <c r="QCV29" s="28"/>
      <c r="QCW29" s="28"/>
      <c r="QCX29" s="28"/>
      <c r="QCY29" s="28"/>
      <c r="QCZ29" s="28"/>
      <c r="QDA29" s="28"/>
      <c r="QDB29" s="28"/>
      <c r="QDC29" s="28"/>
      <c r="QDD29" s="28"/>
      <c r="QDE29" s="28"/>
      <c r="QDF29" s="28"/>
      <c r="QDG29" s="28"/>
      <c r="QDH29" s="28"/>
      <c r="QDI29" s="28"/>
      <c r="QDJ29" s="28"/>
      <c r="QDK29" s="28"/>
      <c r="QDL29" s="28"/>
      <c r="QDM29" s="28"/>
      <c r="QDN29" s="28"/>
      <c r="QDO29" s="28"/>
      <c r="QDP29" s="28"/>
      <c r="QDQ29" s="28"/>
      <c r="QDR29" s="28"/>
      <c r="QDS29" s="28"/>
      <c r="QDT29" s="28"/>
      <c r="QDU29" s="28"/>
      <c r="QDV29" s="28"/>
      <c r="QDW29" s="28"/>
      <c r="QDX29" s="28"/>
      <c r="QDY29" s="28"/>
      <c r="QDZ29" s="28"/>
      <c r="QEA29" s="28"/>
      <c r="QEB29" s="28"/>
      <c r="QEC29" s="28"/>
      <c r="QED29" s="28"/>
      <c r="QEE29" s="28"/>
      <c r="QEF29" s="28"/>
      <c r="QEG29" s="28"/>
      <c r="QEH29" s="28"/>
      <c r="QEI29" s="28"/>
      <c r="QEJ29" s="28"/>
      <c r="QEK29" s="28"/>
      <c r="QEL29" s="28"/>
      <c r="QEM29" s="28"/>
      <c r="QEN29" s="28"/>
      <c r="QEO29" s="28"/>
      <c r="QEP29" s="28"/>
      <c r="QEQ29" s="28"/>
      <c r="QER29" s="28"/>
      <c r="QES29" s="28"/>
      <c r="QET29" s="28"/>
      <c r="QEU29" s="28"/>
      <c r="QEV29" s="28"/>
      <c r="QEW29" s="28"/>
      <c r="QEX29" s="28"/>
      <c r="QEY29" s="28"/>
      <c r="QEZ29" s="28"/>
      <c r="QFA29" s="28"/>
      <c r="QFB29" s="28"/>
      <c r="QFC29" s="28"/>
      <c r="QFD29" s="28"/>
      <c r="QFE29" s="28"/>
      <c r="QFF29" s="28"/>
      <c r="QFG29" s="28"/>
      <c r="QFH29" s="28"/>
      <c r="QFI29" s="28"/>
      <c r="QFJ29" s="28"/>
      <c r="QFK29" s="28"/>
      <c r="QFL29" s="28"/>
      <c r="QFM29" s="28"/>
      <c r="QFN29" s="28"/>
      <c r="QFO29" s="28"/>
      <c r="QFP29" s="28"/>
      <c r="QFQ29" s="28"/>
      <c r="QFR29" s="28"/>
      <c r="QFS29" s="28"/>
      <c r="QFT29" s="28"/>
      <c r="QFU29" s="28"/>
      <c r="QFV29" s="28"/>
      <c r="QFW29" s="28"/>
      <c r="QFX29" s="28"/>
      <c r="QFY29" s="28"/>
      <c r="QFZ29" s="28"/>
      <c r="QGA29" s="28"/>
      <c r="QGB29" s="28"/>
      <c r="QGC29" s="28"/>
      <c r="QGD29" s="28"/>
      <c r="QGE29" s="28"/>
      <c r="QGF29" s="28"/>
      <c r="QGG29" s="28"/>
      <c r="QGH29" s="28"/>
      <c r="QGI29" s="28"/>
      <c r="QGJ29" s="28"/>
      <c r="QGK29" s="28"/>
      <c r="QGL29" s="28"/>
      <c r="QGM29" s="28"/>
      <c r="QGN29" s="28"/>
      <c r="QGO29" s="28"/>
      <c r="QGP29" s="28"/>
      <c r="QGQ29" s="28"/>
      <c r="QGR29" s="28"/>
      <c r="QGS29" s="28"/>
      <c r="QGT29" s="28"/>
      <c r="QGU29" s="28"/>
      <c r="QGV29" s="28"/>
      <c r="QGW29" s="28"/>
      <c r="QGX29" s="28"/>
      <c r="QGY29" s="28"/>
      <c r="QGZ29" s="28"/>
      <c r="QHA29" s="28"/>
      <c r="QHB29" s="28"/>
      <c r="QHC29" s="28"/>
      <c r="QHD29" s="28"/>
      <c r="QHE29" s="28"/>
      <c r="QHF29" s="28"/>
      <c r="QHG29" s="28"/>
      <c r="QHH29" s="28"/>
      <c r="QHI29" s="28"/>
      <c r="QHJ29" s="28"/>
      <c r="QHK29" s="28"/>
      <c r="QHL29" s="28"/>
      <c r="QHM29" s="28"/>
      <c r="QHN29" s="28"/>
      <c r="QHO29" s="28"/>
      <c r="QHP29" s="28"/>
      <c r="QHQ29" s="28"/>
      <c r="QHR29" s="28"/>
      <c r="QHS29" s="28"/>
      <c r="QHT29" s="28"/>
      <c r="QHU29" s="28"/>
      <c r="QHV29" s="28"/>
      <c r="QHW29" s="28"/>
      <c r="QHX29" s="28"/>
      <c r="QHY29" s="28"/>
      <c r="QHZ29" s="28"/>
      <c r="QIA29" s="28"/>
      <c r="QIB29" s="28"/>
      <c r="QIC29" s="28"/>
      <c r="QID29" s="28"/>
      <c r="QIE29" s="28"/>
      <c r="QIF29" s="28"/>
      <c r="QIG29" s="28"/>
      <c r="QIH29" s="28"/>
      <c r="QII29" s="28"/>
      <c r="QIJ29" s="28"/>
      <c r="QIK29" s="28"/>
      <c r="QIL29" s="28"/>
      <c r="QIM29" s="28"/>
      <c r="QIN29" s="28"/>
      <c r="QIO29" s="28"/>
      <c r="QIP29" s="28"/>
      <c r="QIQ29" s="28"/>
      <c r="QIR29" s="28"/>
      <c r="QIS29" s="28"/>
      <c r="QIT29" s="28"/>
      <c r="QIU29" s="28"/>
      <c r="QIV29" s="28"/>
      <c r="QIW29" s="28"/>
      <c r="QIX29" s="28"/>
      <c r="QIY29" s="28"/>
      <c r="QIZ29" s="28"/>
      <c r="QJA29" s="28"/>
      <c r="QJB29" s="28"/>
      <c r="QJC29" s="28"/>
      <c r="QJD29" s="28"/>
      <c r="QJE29" s="28"/>
      <c r="QJF29" s="28"/>
      <c r="QJG29" s="28"/>
      <c r="QJH29" s="28"/>
      <c r="QJI29" s="28"/>
      <c r="QJJ29" s="28"/>
      <c r="QJK29" s="28"/>
      <c r="QJL29" s="28"/>
      <c r="QJM29" s="28"/>
      <c r="QJN29" s="28"/>
      <c r="QJO29" s="28"/>
      <c r="QJP29" s="28"/>
      <c r="QJQ29" s="28"/>
      <c r="QJR29" s="28"/>
      <c r="QJS29" s="28"/>
      <c r="QJT29" s="28"/>
      <c r="QJU29" s="28"/>
      <c r="QJV29" s="28"/>
      <c r="QJW29" s="28"/>
      <c r="QJX29" s="28"/>
      <c r="QJY29" s="28"/>
      <c r="QJZ29" s="28"/>
      <c r="QKA29" s="28"/>
      <c r="QKB29" s="28"/>
      <c r="QKC29" s="28"/>
      <c r="QKD29" s="28"/>
      <c r="QKE29" s="28"/>
      <c r="QKF29" s="28"/>
      <c r="QKG29" s="28"/>
      <c r="QKH29" s="28"/>
      <c r="QKI29" s="28"/>
      <c r="QKJ29" s="28"/>
      <c r="QKK29" s="28"/>
      <c r="QKL29" s="28"/>
      <c r="QKM29" s="28"/>
      <c r="QKN29" s="28"/>
      <c r="QKO29" s="28"/>
      <c r="QKP29" s="28"/>
      <c r="QKQ29" s="28"/>
      <c r="QKR29" s="28"/>
      <c r="QKS29" s="28"/>
      <c r="QKT29" s="28"/>
      <c r="QKU29" s="28"/>
      <c r="QKV29" s="28"/>
      <c r="QKW29" s="28"/>
      <c r="QKX29" s="28"/>
      <c r="QKY29" s="28"/>
      <c r="QKZ29" s="28"/>
      <c r="QLA29" s="28"/>
      <c r="QLB29" s="28"/>
      <c r="QLC29" s="28"/>
      <c r="QLD29" s="28"/>
      <c r="QLE29" s="28"/>
      <c r="QLF29" s="28"/>
      <c r="QLG29" s="28"/>
      <c r="QLH29" s="28"/>
      <c r="QLI29" s="28"/>
      <c r="QLJ29" s="28"/>
      <c r="QLK29" s="28"/>
      <c r="QLL29" s="28"/>
      <c r="QLM29" s="28"/>
      <c r="QLN29" s="28"/>
      <c r="QLO29" s="28"/>
      <c r="QLP29" s="28"/>
      <c r="QLQ29" s="28"/>
      <c r="QLR29" s="28"/>
      <c r="QLS29" s="28"/>
      <c r="QLT29" s="28"/>
      <c r="QLU29" s="28"/>
      <c r="QLV29" s="28"/>
      <c r="QLW29" s="28"/>
      <c r="QLX29" s="28"/>
      <c r="QLY29" s="28"/>
      <c r="QLZ29" s="28"/>
      <c r="QMA29" s="28"/>
      <c r="QMB29" s="28"/>
      <c r="QMC29" s="28"/>
      <c r="QMD29" s="28"/>
      <c r="QME29" s="28"/>
      <c r="QMF29" s="28"/>
      <c r="QMG29" s="28"/>
      <c r="QMH29" s="28"/>
      <c r="QMI29" s="28"/>
      <c r="QMJ29" s="28"/>
      <c r="QMK29" s="28"/>
      <c r="QML29" s="28"/>
      <c r="QMM29" s="28"/>
      <c r="QMN29" s="28"/>
      <c r="QMO29" s="28"/>
      <c r="QMP29" s="28"/>
      <c r="QMQ29" s="28"/>
      <c r="QMR29" s="28"/>
      <c r="QMS29" s="28"/>
      <c r="QMT29" s="28"/>
      <c r="QMU29" s="28"/>
      <c r="QMV29" s="28"/>
      <c r="QMW29" s="28"/>
      <c r="QMX29" s="28"/>
      <c r="QMY29" s="28"/>
      <c r="QMZ29" s="28"/>
      <c r="QNA29" s="28"/>
      <c r="QNB29" s="28"/>
      <c r="QNC29" s="28"/>
      <c r="QND29" s="28"/>
      <c r="QNE29" s="28"/>
      <c r="QNF29" s="28"/>
      <c r="QNG29" s="28"/>
      <c r="QNH29" s="28"/>
      <c r="QNI29" s="28"/>
      <c r="QNJ29" s="28"/>
      <c r="QNK29" s="28"/>
      <c r="QNL29" s="28"/>
      <c r="QNM29" s="28"/>
      <c r="QNN29" s="28"/>
      <c r="QNO29" s="28"/>
      <c r="QNP29" s="28"/>
      <c r="QNQ29" s="28"/>
      <c r="QNR29" s="28"/>
      <c r="QNS29" s="28"/>
      <c r="QNT29" s="28"/>
      <c r="QNU29" s="28"/>
      <c r="QNV29" s="28"/>
      <c r="QNW29" s="28"/>
      <c r="QNX29" s="28"/>
      <c r="QNY29" s="28"/>
      <c r="QNZ29" s="28"/>
      <c r="QOA29" s="28"/>
      <c r="QOB29" s="28"/>
      <c r="QOC29" s="28"/>
      <c r="QOD29" s="28"/>
      <c r="QOE29" s="28"/>
      <c r="QOF29" s="28"/>
      <c r="QOG29" s="28"/>
      <c r="QOH29" s="28"/>
      <c r="QOI29" s="28"/>
      <c r="QOJ29" s="28"/>
      <c r="QOK29" s="28"/>
      <c r="QOL29" s="28"/>
      <c r="QOM29" s="28"/>
      <c r="QON29" s="28"/>
      <c r="QOO29" s="28"/>
      <c r="QOP29" s="28"/>
      <c r="QOQ29" s="28"/>
      <c r="QOR29" s="28"/>
      <c r="QOS29" s="28"/>
      <c r="QOT29" s="28"/>
      <c r="QOU29" s="28"/>
      <c r="QOV29" s="28"/>
      <c r="QOW29" s="28"/>
      <c r="QOX29" s="28"/>
      <c r="QOY29" s="28"/>
      <c r="QOZ29" s="28"/>
      <c r="QPA29" s="28"/>
      <c r="QPB29" s="28"/>
      <c r="QPC29" s="28"/>
      <c r="QPD29" s="28"/>
      <c r="QPE29" s="28"/>
      <c r="QPF29" s="28"/>
      <c r="QPG29" s="28"/>
      <c r="QPH29" s="28"/>
      <c r="QPI29" s="28"/>
      <c r="QPJ29" s="28"/>
      <c r="QPK29" s="28"/>
      <c r="QPL29" s="28"/>
      <c r="QPM29" s="28"/>
      <c r="QPN29" s="28"/>
      <c r="QPO29" s="28"/>
      <c r="QPP29" s="28"/>
      <c r="QPQ29" s="28"/>
      <c r="QPR29" s="28"/>
      <c r="QPS29" s="28"/>
      <c r="QPT29" s="28"/>
      <c r="QPU29" s="28"/>
      <c r="QPV29" s="28"/>
      <c r="QPW29" s="28"/>
      <c r="QPX29" s="28"/>
      <c r="QPY29" s="28"/>
      <c r="QPZ29" s="28"/>
      <c r="QQA29" s="28"/>
      <c r="QQB29" s="28"/>
      <c r="QQC29" s="28"/>
      <c r="QQD29" s="28"/>
      <c r="QQE29" s="28"/>
      <c r="QQF29" s="28"/>
      <c r="QQG29" s="28"/>
      <c r="QQH29" s="28"/>
      <c r="QQI29" s="28"/>
      <c r="QQJ29" s="28"/>
      <c r="QQK29" s="28"/>
      <c r="QQL29" s="28"/>
      <c r="QQM29" s="28"/>
      <c r="QQN29" s="28"/>
      <c r="QQO29" s="28"/>
      <c r="QQP29" s="28"/>
      <c r="QQQ29" s="28"/>
      <c r="QQR29" s="28"/>
      <c r="QQS29" s="28"/>
      <c r="QQT29" s="28"/>
      <c r="QQU29" s="28"/>
      <c r="QQV29" s="28"/>
      <c r="QQW29" s="28"/>
      <c r="QQX29" s="28"/>
      <c r="QQY29" s="28"/>
      <c r="QQZ29" s="28"/>
      <c r="QRA29" s="28"/>
      <c r="QRB29" s="28"/>
      <c r="QRC29" s="28"/>
      <c r="QRD29" s="28"/>
      <c r="QRE29" s="28"/>
      <c r="QRF29" s="28"/>
      <c r="QRG29" s="28"/>
      <c r="QRH29" s="28"/>
      <c r="QRI29" s="28"/>
      <c r="QRJ29" s="28"/>
      <c r="QRK29" s="28"/>
      <c r="QRL29" s="28"/>
      <c r="QRM29" s="28"/>
      <c r="QRN29" s="28"/>
      <c r="QRO29" s="28"/>
      <c r="QRP29" s="28"/>
      <c r="QRQ29" s="28"/>
      <c r="QRR29" s="28"/>
      <c r="QRS29" s="28"/>
      <c r="QRT29" s="28"/>
      <c r="QRU29" s="28"/>
      <c r="QRV29" s="28"/>
      <c r="QRW29" s="28"/>
      <c r="QRX29" s="28"/>
      <c r="QRY29" s="28"/>
      <c r="QRZ29" s="28"/>
      <c r="QSA29" s="28"/>
      <c r="QSB29" s="28"/>
      <c r="QSC29" s="28"/>
      <c r="QSD29" s="28"/>
      <c r="QSE29" s="28"/>
      <c r="QSF29" s="28"/>
      <c r="QSG29" s="28"/>
      <c r="QSH29" s="28"/>
      <c r="QSI29" s="28"/>
      <c r="QSJ29" s="28"/>
      <c r="QSK29" s="28"/>
      <c r="QSL29" s="28"/>
      <c r="QSM29" s="28"/>
      <c r="QSN29" s="28"/>
      <c r="QSO29" s="28"/>
      <c r="QSP29" s="28"/>
      <c r="QSQ29" s="28"/>
      <c r="QSR29" s="28"/>
      <c r="QSS29" s="28"/>
      <c r="QST29" s="28"/>
      <c r="QSU29" s="28"/>
      <c r="QSV29" s="28"/>
      <c r="QSW29" s="28"/>
      <c r="QSX29" s="28"/>
      <c r="QSY29" s="28"/>
      <c r="QSZ29" s="28"/>
      <c r="QTA29" s="28"/>
      <c r="QTB29" s="28"/>
      <c r="QTC29" s="28"/>
      <c r="QTD29" s="28"/>
      <c r="QTE29" s="28"/>
      <c r="QTF29" s="28"/>
      <c r="QTG29" s="28"/>
      <c r="QTH29" s="28"/>
      <c r="QTI29" s="28"/>
      <c r="QTJ29" s="28"/>
      <c r="QTK29" s="28"/>
      <c r="QTL29" s="28"/>
      <c r="QTM29" s="28"/>
      <c r="QTN29" s="28"/>
      <c r="QTO29" s="28"/>
      <c r="QTP29" s="28"/>
      <c r="QTQ29" s="28"/>
      <c r="QTR29" s="28"/>
      <c r="QTS29" s="28"/>
      <c r="QTT29" s="28"/>
      <c r="QTU29" s="28"/>
      <c r="QTV29" s="28"/>
      <c r="QTW29" s="28"/>
      <c r="QTX29" s="28"/>
      <c r="QTY29" s="28"/>
      <c r="QTZ29" s="28"/>
      <c r="QUA29" s="28"/>
      <c r="QUB29" s="28"/>
      <c r="QUC29" s="28"/>
      <c r="QUD29" s="28"/>
      <c r="QUE29" s="28"/>
      <c r="QUF29" s="28"/>
      <c r="QUG29" s="28"/>
      <c r="QUH29" s="28"/>
      <c r="QUI29" s="28"/>
      <c r="QUJ29" s="28"/>
      <c r="QUK29" s="28"/>
      <c r="QUL29" s="28"/>
      <c r="QUM29" s="28"/>
      <c r="QUN29" s="28"/>
      <c r="QUO29" s="28"/>
      <c r="QUP29" s="28"/>
      <c r="QUQ29" s="28"/>
      <c r="QUR29" s="28"/>
      <c r="QUS29" s="28"/>
      <c r="QUT29" s="28"/>
      <c r="QUU29" s="28"/>
      <c r="QUV29" s="28"/>
      <c r="QUW29" s="28"/>
      <c r="QUX29" s="28"/>
      <c r="QUY29" s="28"/>
      <c r="QUZ29" s="28"/>
      <c r="QVA29" s="28"/>
      <c r="QVB29" s="28"/>
      <c r="QVC29" s="28"/>
      <c r="QVD29" s="28"/>
      <c r="QVE29" s="28"/>
      <c r="QVF29" s="28"/>
      <c r="QVG29" s="28"/>
      <c r="QVH29" s="28"/>
      <c r="QVI29" s="28"/>
      <c r="QVJ29" s="28"/>
      <c r="QVK29" s="28"/>
      <c r="QVL29" s="28"/>
      <c r="QVM29" s="28"/>
      <c r="QVN29" s="28"/>
      <c r="QVO29" s="28"/>
      <c r="QVP29" s="28"/>
      <c r="QVQ29" s="28"/>
      <c r="QVR29" s="28"/>
      <c r="QVS29" s="28"/>
      <c r="QVT29" s="28"/>
      <c r="QVU29" s="28"/>
      <c r="QVV29" s="28"/>
      <c r="QVW29" s="28"/>
      <c r="QVX29" s="28"/>
      <c r="QVY29" s="28"/>
      <c r="QVZ29" s="28"/>
      <c r="QWA29" s="28"/>
      <c r="QWB29" s="28"/>
      <c r="QWC29" s="28"/>
      <c r="QWD29" s="28"/>
      <c r="QWE29" s="28"/>
      <c r="QWF29" s="28"/>
      <c r="QWG29" s="28"/>
      <c r="QWH29" s="28"/>
      <c r="QWI29" s="28"/>
      <c r="QWJ29" s="28"/>
      <c r="QWK29" s="28"/>
      <c r="QWL29" s="28"/>
      <c r="QWM29" s="28"/>
      <c r="QWN29" s="28"/>
      <c r="QWO29" s="28"/>
      <c r="QWP29" s="28"/>
      <c r="QWQ29" s="28"/>
      <c r="QWR29" s="28"/>
      <c r="QWS29" s="28"/>
      <c r="QWT29" s="28"/>
      <c r="QWU29" s="28"/>
      <c r="QWV29" s="28"/>
      <c r="QWW29" s="28"/>
      <c r="QWX29" s="28"/>
      <c r="QWY29" s="28"/>
      <c r="QWZ29" s="28"/>
      <c r="QXA29" s="28"/>
      <c r="QXB29" s="28"/>
      <c r="QXC29" s="28"/>
      <c r="QXD29" s="28"/>
      <c r="QXE29" s="28"/>
      <c r="QXF29" s="28"/>
      <c r="QXG29" s="28"/>
      <c r="QXH29" s="28"/>
      <c r="QXI29" s="28"/>
      <c r="QXJ29" s="28"/>
      <c r="QXK29" s="28"/>
      <c r="QXL29" s="28"/>
      <c r="QXM29" s="28"/>
      <c r="QXN29" s="28"/>
      <c r="QXO29" s="28"/>
      <c r="QXP29" s="28"/>
      <c r="QXQ29" s="28"/>
      <c r="QXR29" s="28"/>
      <c r="QXS29" s="28"/>
      <c r="QXT29" s="28"/>
      <c r="QXU29" s="28"/>
      <c r="QXV29" s="28"/>
      <c r="QXW29" s="28"/>
      <c r="QXX29" s="28"/>
      <c r="QXY29" s="28"/>
      <c r="QXZ29" s="28"/>
      <c r="QYA29" s="28"/>
      <c r="QYB29" s="28"/>
      <c r="QYC29" s="28"/>
      <c r="QYD29" s="28"/>
      <c r="QYE29" s="28"/>
      <c r="QYF29" s="28"/>
      <c r="QYG29" s="28"/>
      <c r="QYH29" s="28"/>
      <c r="QYI29" s="28"/>
      <c r="QYJ29" s="28"/>
      <c r="QYK29" s="28"/>
      <c r="QYL29" s="28"/>
      <c r="QYM29" s="28"/>
      <c r="QYN29" s="28"/>
      <c r="QYO29" s="28"/>
      <c r="QYP29" s="28"/>
      <c r="QYQ29" s="28"/>
      <c r="QYR29" s="28"/>
      <c r="QYS29" s="28"/>
      <c r="QYT29" s="28"/>
      <c r="QYU29" s="28"/>
      <c r="QYV29" s="28"/>
      <c r="QYW29" s="28"/>
      <c r="QYX29" s="28"/>
      <c r="QYY29" s="28"/>
      <c r="QYZ29" s="28"/>
      <c r="QZA29" s="28"/>
      <c r="QZB29" s="28"/>
      <c r="QZC29" s="28"/>
      <c r="QZD29" s="28"/>
      <c r="QZE29" s="28"/>
      <c r="QZF29" s="28"/>
      <c r="QZG29" s="28"/>
      <c r="QZH29" s="28"/>
      <c r="QZI29" s="28"/>
      <c r="QZJ29" s="28"/>
      <c r="QZK29" s="28"/>
      <c r="QZL29" s="28"/>
      <c r="QZM29" s="28"/>
      <c r="QZN29" s="28"/>
      <c r="QZO29" s="28"/>
      <c r="QZP29" s="28"/>
      <c r="QZQ29" s="28"/>
      <c r="QZR29" s="28"/>
      <c r="QZS29" s="28"/>
      <c r="QZT29" s="28"/>
      <c r="QZU29" s="28"/>
      <c r="QZV29" s="28"/>
      <c r="QZW29" s="28"/>
      <c r="QZX29" s="28"/>
      <c r="QZY29" s="28"/>
      <c r="QZZ29" s="28"/>
      <c r="RAA29" s="28"/>
      <c r="RAB29" s="28"/>
      <c r="RAC29" s="28"/>
      <c r="RAD29" s="28"/>
      <c r="RAE29" s="28"/>
      <c r="RAF29" s="28"/>
      <c r="RAG29" s="28"/>
      <c r="RAH29" s="28"/>
      <c r="RAI29" s="28"/>
      <c r="RAJ29" s="28"/>
      <c r="RAK29" s="28"/>
      <c r="RAL29" s="28"/>
      <c r="RAM29" s="28"/>
      <c r="RAN29" s="28"/>
      <c r="RAO29" s="28"/>
      <c r="RAP29" s="28"/>
      <c r="RAQ29" s="28"/>
      <c r="RAR29" s="28"/>
      <c r="RAS29" s="28"/>
      <c r="RAT29" s="28"/>
      <c r="RAU29" s="28"/>
      <c r="RAV29" s="28"/>
      <c r="RAW29" s="28"/>
      <c r="RAX29" s="28"/>
      <c r="RAY29" s="28"/>
      <c r="RAZ29" s="28"/>
      <c r="RBA29" s="28"/>
      <c r="RBB29" s="28"/>
      <c r="RBC29" s="28"/>
      <c r="RBD29" s="28"/>
      <c r="RBE29" s="28"/>
      <c r="RBF29" s="28"/>
      <c r="RBG29" s="28"/>
      <c r="RBH29" s="28"/>
      <c r="RBI29" s="28"/>
      <c r="RBJ29" s="28"/>
      <c r="RBK29" s="28"/>
      <c r="RBL29" s="28"/>
      <c r="RBM29" s="28"/>
      <c r="RBN29" s="28"/>
      <c r="RBO29" s="28"/>
      <c r="RBP29" s="28"/>
      <c r="RBQ29" s="28"/>
      <c r="RBR29" s="28"/>
      <c r="RBS29" s="28"/>
      <c r="RBT29" s="28"/>
      <c r="RBU29" s="28"/>
      <c r="RBV29" s="28"/>
      <c r="RBW29" s="28"/>
      <c r="RBX29" s="28"/>
      <c r="RBY29" s="28"/>
      <c r="RBZ29" s="28"/>
      <c r="RCA29" s="28"/>
      <c r="RCB29" s="28"/>
      <c r="RCC29" s="28"/>
      <c r="RCD29" s="28"/>
      <c r="RCE29" s="28"/>
      <c r="RCF29" s="28"/>
      <c r="RCG29" s="28"/>
      <c r="RCH29" s="28"/>
      <c r="RCI29" s="28"/>
      <c r="RCJ29" s="28"/>
      <c r="RCK29" s="28"/>
      <c r="RCL29" s="28"/>
      <c r="RCM29" s="28"/>
      <c r="RCN29" s="28"/>
      <c r="RCO29" s="28"/>
      <c r="RCP29" s="28"/>
      <c r="RCQ29" s="28"/>
      <c r="RCR29" s="28"/>
      <c r="RCS29" s="28"/>
      <c r="RCT29" s="28"/>
      <c r="RCU29" s="28"/>
      <c r="RCV29" s="28"/>
      <c r="RCW29" s="28"/>
      <c r="RCX29" s="28"/>
      <c r="RCY29" s="28"/>
      <c r="RCZ29" s="28"/>
      <c r="RDA29" s="28"/>
      <c r="RDB29" s="28"/>
      <c r="RDC29" s="28"/>
      <c r="RDD29" s="28"/>
      <c r="RDE29" s="28"/>
      <c r="RDF29" s="28"/>
      <c r="RDG29" s="28"/>
      <c r="RDH29" s="28"/>
      <c r="RDI29" s="28"/>
      <c r="RDJ29" s="28"/>
      <c r="RDK29" s="28"/>
      <c r="RDL29" s="28"/>
      <c r="RDM29" s="28"/>
      <c r="RDN29" s="28"/>
      <c r="RDO29" s="28"/>
      <c r="RDP29" s="28"/>
      <c r="RDQ29" s="28"/>
      <c r="RDR29" s="28"/>
      <c r="RDS29" s="28"/>
      <c r="RDT29" s="28"/>
      <c r="RDU29" s="28"/>
      <c r="RDV29" s="28"/>
      <c r="RDW29" s="28"/>
      <c r="RDX29" s="28"/>
      <c r="RDY29" s="28"/>
      <c r="RDZ29" s="28"/>
      <c r="REA29" s="28"/>
      <c r="REB29" s="28"/>
      <c r="REC29" s="28"/>
      <c r="RED29" s="28"/>
      <c r="REE29" s="28"/>
      <c r="REF29" s="28"/>
      <c r="REG29" s="28"/>
      <c r="REH29" s="28"/>
      <c r="REI29" s="28"/>
      <c r="REJ29" s="28"/>
      <c r="REK29" s="28"/>
      <c r="REL29" s="28"/>
      <c r="REM29" s="28"/>
      <c r="REN29" s="28"/>
      <c r="REO29" s="28"/>
      <c r="REP29" s="28"/>
      <c r="REQ29" s="28"/>
      <c r="RER29" s="28"/>
      <c r="RES29" s="28"/>
      <c r="RET29" s="28"/>
      <c r="REU29" s="28"/>
      <c r="REV29" s="28"/>
      <c r="REW29" s="28"/>
      <c r="REX29" s="28"/>
      <c r="REY29" s="28"/>
      <c r="REZ29" s="28"/>
      <c r="RFA29" s="28"/>
      <c r="RFB29" s="28"/>
      <c r="RFC29" s="28"/>
      <c r="RFD29" s="28"/>
      <c r="RFE29" s="28"/>
      <c r="RFF29" s="28"/>
      <c r="RFG29" s="28"/>
      <c r="RFH29" s="28"/>
      <c r="RFI29" s="28"/>
      <c r="RFJ29" s="28"/>
      <c r="RFK29" s="28"/>
      <c r="RFL29" s="28"/>
      <c r="RFM29" s="28"/>
      <c r="RFN29" s="28"/>
      <c r="RFO29" s="28"/>
      <c r="RFP29" s="28"/>
      <c r="RFQ29" s="28"/>
      <c r="RFR29" s="28"/>
      <c r="RFS29" s="28"/>
      <c r="RFT29" s="28"/>
      <c r="RFU29" s="28"/>
      <c r="RFV29" s="28"/>
      <c r="RFW29" s="28"/>
      <c r="RFX29" s="28"/>
      <c r="RFY29" s="28"/>
      <c r="RFZ29" s="28"/>
      <c r="RGA29" s="28"/>
      <c r="RGB29" s="28"/>
      <c r="RGC29" s="28"/>
      <c r="RGD29" s="28"/>
      <c r="RGE29" s="28"/>
      <c r="RGF29" s="28"/>
      <c r="RGG29" s="28"/>
      <c r="RGH29" s="28"/>
      <c r="RGI29" s="28"/>
      <c r="RGJ29" s="28"/>
      <c r="RGK29" s="28"/>
      <c r="RGL29" s="28"/>
      <c r="RGM29" s="28"/>
      <c r="RGN29" s="28"/>
      <c r="RGO29" s="28"/>
      <c r="RGP29" s="28"/>
      <c r="RGQ29" s="28"/>
      <c r="RGR29" s="28"/>
      <c r="RGS29" s="28"/>
      <c r="RGT29" s="28"/>
      <c r="RGU29" s="28"/>
      <c r="RGV29" s="28"/>
      <c r="RGW29" s="28"/>
      <c r="RGX29" s="28"/>
      <c r="RGY29" s="28"/>
      <c r="RGZ29" s="28"/>
      <c r="RHA29" s="28"/>
      <c r="RHB29" s="28"/>
      <c r="RHC29" s="28"/>
      <c r="RHD29" s="28"/>
      <c r="RHE29" s="28"/>
      <c r="RHF29" s="28"/>
      <c r="RHG29" s="28"/>
      <c r="RHH29" s="28"/>
      <c r="RHI29" s="28"/>
      <c r="RHJ29" s="28"/>
      <c r="RHK29" s="28"/>
      <c r="RHL29" s="28"/>
      <c r="RHM29" s="28"/>
      <c r="RHN29" s="28"/>
      <c r="RHO29" s="28"/>
      <c r="RHP29" s="28"/>
      <c r="RHQ29" s="28"/>
      <c r="RHR29" s="28"/>
      <c r="RHS29" s="28"/>
      <c r="RHT29" s="28"/>
      <c r="RHU29" s="28"/>
      <c r="RHV29" s="28"/>
      <c r="RHW29" s="28"/>
      <c r="RHX29" s="28"/>
      <c r="RHY29" s="28"/>
      <c r="RHZ29" s="28"/>
      <c r="RIA29" s="28"/>
      <c r="RIB29" s="28"/>
      <c r="RIC29" s="28"/>
      <c r="RID29" s="28"/>
      <c r="RIE29" s="28"/>
      <c r="RIF29" s="28"/>
      <c r="RIG29" s="28"/>
      <c r="RIH29" s="28"/>
      <c r="RII29" s="28"/>
      <c r="RIJ29" s="28"/>
      <c r="RIK29" s="28"/>
      <c r="RIL29" s="28"/>
      <c r="RIM29" s="28"/>
      <c r="RIN29" s="28"/>
      <c r="RIO29" s="28"/>
      <c r="RIP29" s="28"/>
      <c r="RIQ29" s="28"/>
      <c r="RIR29" s="28"/>
      <c r="RIS29" s="28"/>
      <c r="RIT29" s="28"/>
      <c r="RIU29" s="28"/>
      <c r="RIV29" s="28"/>
      <c r="RIW29" s="28"/>
      <c r="RIX29" s="28"/>
      <c r="RIY29" s="28"/>
      <c r="RIZ29" s="28"/>
      <c r="RJA29" s="28"/>
      <c r="RJB29" s="28"/>
      <c r="RJC29" s="28"/>
      <c r="RJD29" s="28"/>
      <c r="RJE29" s="28"/>
      <c r="RJF29" s="28"/>
      <c r="RJG29" s="28"/>
      <c r="RJH29" s="28"/>
      <c r="RJI29" s="28"/>
      <c r="RJJ29" s="28"/>
      <c r="RJK29" s="28"/>
      <c r="RJL29" s="28"/>
      <c r="RJM29" s="28"/>
      <c r="RJN29" s="28"/>
      <c r="RJO29" s="28"/>
      <c r="RJP29" s="28"/>
      <c r="RJQ29" s="28"/>
      <c r="RJR29" s="28"/>
      <c r="RJS29" s="28"/>
      <c r="RJT29" s="28"/>
      <c r="RJU29" s="28"/>
      <c r="RJV29" s="28"/>
      <c r="RJW29" s="28"/>
      <c r="RJX29" s="28"/>
      <c r="RJY29" s="28"/>
      <c r="RJZ29" s="28"/>
      <c r="RKA29" s="28"/>
      <c r="RKB29" s="28"/>
      <c r="RKC29" s="28"/>
      <c r="RKD29" s="28"/>
      <c r="RKE29" s="28"/>
      <c r="RKF29" s="28"/>
      <c r="RKG29" s="28"/>
      <c r="RKH29" s="28"/>
      <c r="RKI29" s="28"/>
      <c r="RKJ29" s="28"/>
      <c r="RKK29" s="28"/>
      <c r="RKL29" s="28"/>
      <c r="RKM29" s="28"/>
      <c r="RKN29" s="28"/>
      <c r="RKO29" s="28"/>
      <c r="RKP29" s="28"/>
      <c r="RKQ29" s="28"/>
      <c r="RKR29" s="28"/>
      <c r="RKS29" s="28"/>
      <c r="RKT29" s="28"/>
      <c r="RKU29" s="28"/>
      <c r="RKV29" s="28"/>
      <c r="RKW29" s="28"/>
      <c r="RKX29" s="28"/>
      <c r="RKY29" s="28"/>
      <c r="RKZ29" s="28"/>
      <c r="RLA29" s="28"/>
      <c r="RLB29" s="28"/>
      <c r="RLC29" s="28"/>
      <c r="RLD29" s="28"/>
      <c r="RLE29" s="28"/>
      <c r="RLF29" s="28"/>
      <c r="RLG29" s="28"/>
      <c r="RLH29" s="28"/>
      <c r="RLI29" s="28"/>
      <c r="RLJ29" s="28"/>
      <c r="RLK29" s="28"/>
      <c r="RLL29" s="28"/>
      <c r="RLM29" s="28"/>
      <c r="RLN29" s="28"/>
      <c r="RLO29" s="28"/>
      <c r="RLP29" s="28"/>
      <c r="RLQ29" s="28"/>
      <c r="RLR29" s="28"/>
      <c r="RLS29" s="28"/>
      <c r="RLT29" s="28"/>
      <c r="RLU29" s="28"/>
      <c r="RLV29" s="28"/>
      <c r="RLW29" s="28"/>
      <c r="RLX29" s="28"/>
      <c r="RLY29" s="28"/>
      <c r="RLZ29" s="28"/>
      <c r="RMA29" s="28"/>
      <c r="RMB29" s="28"/>
      <c r="RMC29" s="28"/>
      <c r="RMD29" s="28"/>
      <c r="RME29" s="28"/>
      <c r="RMF29" s="28"/>
      <c r="RMG29" s="28"/>
      <c r="RMH29" s="28"/>
      <c r="RMI29" s="28"/>
      <c r="RMJ29" s="28"/>
      <c r="RMK29" s="28"/>
      <c r="RML29" s="28"/>
      <c r="RMM29" s="28"/>
      <c r="RMN29" s="28"/>
      <c r="RMO29" s="28"/>
      <c r="RMP29" s="28"/>
      <c r="RMQ29" s="28"/>
      <c r="RMR29" s="28"/>
      <c r="RMS29" s="28"/>
      <c r="RMT29" s="28"/>
      <c r="RMU29" s="28"/>
      <c r="RMV29" s="28"/>
      <c r="RMW29" s="28"/>
      <c r="RMX29" s="28"/>
      <c r="RMY29" s="28"/>
      <c r="RMZ29" s="28"/>
      <c r="RNA29" s="28"/>
      <c r="RNB29" s="28"/>
      <c r="RNC29" s="28"/>
      <c r="RND29" s="28"/>
      <c r="RNE29" s="28"/>
      <c r="RNF29" s="28"/>
      <c r="RNG29" s="28"/>
      <c r="RNH29" s="28"/>
      <c r="RNI29" s="28"/>
      <c r="RNJ29" s="28"/>
      <c r="RNK29" s="28"/>
      <c r="RNL29" s="28"/>
      <c r="RNM29" s="28"/>
      <c r="RNN29" s="28"/>
      <c r="RNO29" s="28"/>
      <c r="RNP29" s="28"/>
      <c r="RNQ29" s="28"/>
      <c r="RNR29" s="28"/>
      <c r="RNS29" s="28"/>
      <c r="RNT29" s="28"/>
      <c r="RNU29" s="28"/>
      <c r="RNV29" s="28"/>
      <c r="RNW29" s="28"/>
      <c r="RNX29" s="28"/>
      <c r="RNY29" s="28"/>
      <c r="RNZ29" s="28"/>
      <c r="ROA29" s="28"/>
      <c r="ROB29" s="28"/>
      <c r="ROC29" s="28"/>
      <c r="ROD29" s="28"/>
      <c r="ROE29" s="28"/>
      <c r="ROF29" s="28"/>
      <c r="ROG29" s="28"/>
      <c r="ROH29" s="28"/>
      <c r="ROI29" s="28"/>
      <c r="ROJ29" s="28"/>
      <c r="ROK29" s="28"/>
      <c r="ROL29" s="28"/>
      <c r="ROM29" s="28"/>
      <c r="RON29" s="28"/>
      <c r="ROO29" s="28"/>
      <c r="ROP29" s="28"/>
      <c r="ROQ29" s="28"/>
      <c r="ROR29" s="28"/>
      <c r="ROS29" s="28"/>
      <c r="ROT29" s="28"/>
      <c r="ROU29" s="28"/>
      <c r="ROV29" s="28"/>
      <c r="ROW29" s="28"/>
      <c r="ROX29" s="28"/>
      <c r="ROY29" s="28"/>
      <c r="ROZ29" s="28"/>
      <c r="RPA29" s="28"/>
      <c r="RPB29" s="28"/>
      <c r="RPC29" s="28"/>
      <c r="RPD29" s="28"/>
      <c r="RPE29" s="28"/>
      <c r="RPF29" s="28"/>
      <c r="RPG29" s="28"/>
      <c r="RPH29" s="28"/>
      <c r="RPI29" s="28"/>
      <c r="RPJ29" s="28"/>
      <c r="RPK29" s="28"/>
      <c r="RPL29" s="28"/>
      <c r="RPM29" s="28"/>
      <c r="RPN29" s="28"/>
      <c r="RPO29" s="28"/>
      <c r="RPP29" s="28"/>
      <c r="RPQ29" s="28"/>
      <c r="RPR29" s="28"/>
      <c r="RPS29" s="28"/>
      <c r="RPT29" s="28"/>
      <c r="RPU29" s="28"/>
      <c r="RPV29" s="28"/>
      <c r="RPW29" s="28"/>
      <c r="RPX29" s="28"/>
      <c r="RPY29" s="28"/>
      <c r="RPZ29" s="28"/>
      <c r="RQA29" s="28"/>
      <c r="RQB29" s="28"/>
      <c r="RQC29" s="28"/>
      <c r="RQD29" s="28"/>
      <c r="RQE29" s="28"/>
      <c r="RQF29" s="28"/>
      <c r="RQG29" s="28"/>
      <c r="RQH29" s="28"/>
      <c r="RQI29" s="28"/>
      <c r="RQJ29" s="28"/>
      <c r="RQK29" s="28"/>
      <c r="RQL29" s="28"/>
      <c r="RQM29" s="28"/>
      <c r="RQN29" s="28"/>
      <c r="RQO29" s="28"/>
      <c r="RQP29" s="28"/>
      <c r="RQQ29" s="28"/>
      <c r="RQR29" s="28"/>
      <c r="RQS29" s="28"/>
      <c r="RQT29" s="28"/>
      <c r="RQU29" s="28"/>
      <c r="RQV29" s="28"/>
      <c r="RQW29" s="28"/>
      <c r="RQX29" s="28"/>
      <c r="RQY29" s="28"/>
      <c r="RQZ29" s="28"/>
      <c r="RRA29" s="28"/>
      <c r="RRB29" s="28"/>
      <c r="RRC29" s="28"/>
      <c r="RRD29" s="28"/>
      <c r="RRE29" s="28"/>
      <c r="RRF29" s="28"/>
      <c r="RRG29" s="28"/>
      <c r="RRH29" s="28"/>
      <c r="RRI29" s="28"/>
      <c r="RRJ29" s="28"/>
      <c r="RRK29" s="28"/>
      <c r="RRL29" s="28"/>
      <c r="RRM29" s="28"/>
      <c r="RRN29" s="28"/>
      <c r="RRO29" s="28"/>
      <c r="RRP29" s="28"/>
      <c r="RRQ29" s="28"/>
      <c r="RRR29" s="28"/>
      <c r="RRS29" s="28"/>
      <c r="RRT29" s="28"/>
      <c r="RRU29" s="28"/>
      <c r="RRV29" s="28"/>
      <c r="RRW29" s="28"/>
      <c r="RRX29" s="28"/>
      <c r="RRY29" s="28"/>
      <c r="RRZ29" s="28"/>
      <c r="RSA29" s="28"/>
      <c r="RSB29" s="28"/>
      <c r="RSC29" s="28"/>
      <c r="RSD29" s="28"/>
      <c r="RSE29" s="28"/>
      <c r="RSF29" s="28"/>
      <c r="RSG29" s="28"/>
      <c r="RSH29" s="28"/>
      <c r="RSI29" s="28"/>
      <c r="RSJ29" s="28"/>
      <c r="RSK29" s="28"/>
      <c r="RSL29" s="28"/>
      <c r="RSM29" s="28"/>
      <c r="RSN29" s="28"/>
      <c r="RSO29" s="28"/>
      <c r="RSP29" s="28"/>
      <c r="RSQ29" s="28"/>
      <c r="RSR29" s="28"/>
      <c r="RSS29" s="28"/>
      <c r="RST29" s="28"/>
      <c r="RSU29" s="28"/>
      <c r="RSV29" s="28"/>
      <c r="RSW29" s="28"/>
      <c r="RSX29" s="28"/>
      <c r="RSY29" s="28"/>
      <c r="RSZ29" s="28"/>
      <c r="RTA29" s="28"/>
      <c r="RTB29" s="28"/>
      <c r="RTC29" s="28"/>
      <c r="RTD29" s="28"/>
      <c r="RTE29" s="28"/>
      <c r="RTF29" s="28"/>
      <c r="RTG29" s="28"/>
      <c r="RTH29" s="28"/>
      <c r="RTI29" s="28"/>
      <c r="RTJ29" s="28"/>
      <c r="RTK29" s="28"/>
      <c r="RTL29" s="28"/>
      <c r="RTM29" s="28"/>
      <c r="RTN29" s="28"/>
      <c r="RTO29" s="28"/>
      <c r="RTP29" s="28"/>
      <c r="RTQ29" s="28"/>
      <c r="RTR29" s="28"/>
      <c r="RTS29" s="28"/>
      <c r="RTT29" s="28"/>
      <c r="RTU29" s="28"/>
      <c r="RTV29" s="28"/>
      <c r="RTW29" s="28"/>
      <c r="RTX29" s="28"/>
      <c r="RTY29" s="28"/>
      <c r="RTZ29" s="28"/>
      <c r="RUA29" s="28"/>
      <c r="RUB29" s="28"/>
      <c r="RUC29" s="28"/>
      <c r="RUD29" s="28"/>
      <c r="RUE29" s="28"/>
      <c r="RUF29" s="28"/>
      <c r="RUG29" s="28"/>
      <c r="RUH29" s="28"/>
      <c r="RUI29" s="28"/>
      <c r="RUJ29" s="28"/>
      <c r="RUK29" s="28"/>
      <c r="RUL29" s="28"/>
      <c r="RUM29" s="28"/>
      <c r="RUN29" s="28"/>
      <c r="RUO29" s="28"/>
      <c r="RUP29" s="28"/>
      <c r="RUQ29" s="28"/>
      <c r="RUR29" s="28"/>
      <c r="RUS29" s="28"/>
      <c r="RUT29" s="28"/>
      <c r="RUU29" s="28"/>
      <c r="RUV29" s="28"/>
      <c r="RUW29" s="28"/>
      <c r="RUX29" s="28"/>
      <c r="RUY29" s="28"/>
      <c r="RUZ29" s="28"/>
      <c r="RVA29" s="28"/>
      <c r="RVB29" s="28"/>
      <c r="RVC29" s="28"/>
      <c r="RVD29" s="28"/>
      <c r="RVE29" s="28"/>
      <c r="RVF29" s="28"/>
      <c r="RVG29" s="28"/>
      <c r="RVH29" s="28"/>
      <c r="RVI29" s="28"/>
      <c r="RVJ29" s="28"/>
      <c r="RVK29" s="28"/>
      <c r="RVL29" s="28"/>
      <c r="RVM29" s="28"/>
      <c r="RVN29" s="28"/>
      <c r="RVO29" s="28"/>
      <c r="RVP29" s="28"/>
      <c r="RVQ29" s="28"/>
      <c r="RVR29" s="28"/>
      <c r="RVS29" s="28"/>
      <c r="RVT29" s="28"/>
      <c r="RVU29" s="28"/>
      <c r="RVV29" s="28"/>
      <c r="RVW29" s="28"/>
      <c r="RVX29" s="28"/>
      <c r="RVY29" s="28"/>
      <c r="RVZ29" s="28"/>
      <c r="RWA29" s="28"/>
      <c r="RWB29" s="28"/>
      <c r="RWC29" s="28"/>
      <c r="RWD29" s="28"/>
      <c r="RWE29" s="28"/>
      <c r="RWF29" s="28"/>
      <c r="RWG29" s="28"/>
      <c r="RWH29" s="28"/>
      <c r="RWI29" s="28"/>
      <c r="RWJ29" s="28"/>
      <c r="RWK29" s="28"/>
      <c r="RWL29" s="28"/>
      <c r="RWM29" s="28"/>
      <c r="RWN29" s="28"/>
      <c r="RWO29" s="28"/>
      <c r="RWP29" s="28"/>
      <c r="RWQ29" s="28"/>
      <c r="RWR29" s="28"/>
      <c r="RWS29" s="28"/>
      <c r="RWT29" s="28"/>
      <c r="RWU29" s="28"/>
      <c r="RWV29" s="28"/>
      <c r="RWW29" s="28"/>
      <c r="RWX29" s="28"/>
      <c r="RWY29" s="28"/>
      <c r="RWZ29" s="28"/>
      <c r="RXA29" s="28"/>
      <c r="RXB29" s="28"/>
      <c r="RXC29" s="28"/>
      <c r="RXD29" s="28"/>
      <c r="RXE29" s="28"/>
      <c r="RXF29" s="28"/>
      <c r="RXG29" s="28"/>
      <c r="RXH29" s="28"/>
      <c r="RXI29" s="28"/>
      <c r="RXJ29" s="28"/>
      <c r="RXK29" s="28"/>
      <c r="RXL29" s="28"/>
      <c r="RXM29" s="28"/>
      <c r="RXN29" s="28"/>
      <c r="RXO29" s="28"/>
      <c r="RXP29" s="28"/>
      <c r="RXQ29" s="28"/>
      <c r="RXR29" s="28"/>
      <c r="RXS29" s="28"/>
      <c r="RXT29" s="28"/>
      <c r="RXU29" s="28"/>
      <c r="RXV29" s="28"/>
      <c r="RXW29" s="28"/>
      <c r="RXX29" s="28"/>
      <c r="RXY29" s="28"/>
      <c r="RXZ29" s="28"/>
      <c r="RYA29" s="28"/>
      <c r="RYB29" s="28"/>
      <c r="RYC29" s="28"/>
      <c r="RYD29" s="28"/>
      <c r="RYE29" s="28"/>
      <c r="RYF29" s="28"/>
      <c r="RYG29" s="28"/>
      <c r="RYH29" s="28"/>
      <c r="RYI29" s="28"/>
      <c r="RYJ29" s="28"/>
      <c r="RYK29" s="28"/>
      <c r="RYL29" s="28"/>
      <c r="RYM29" s="28"/>
      <c r="RYN29" s="28"/>
      <c r="RYO29" s="28"/>
      <c r="RYP29" s="28"/>
      <c r="RYQ29" s="28"/>
      <c r="RYR29" s="28"/>
      <c r="RYS29" s="28"/>
      <c r="RYT29" s="28"/>
      <c r="RYU29" s="28"/>
      <c r="RYV29" s="28"/>
      <c r="RYW29" s="28"/>
      <c r="RYX29" s="28"/>
      <c r="RYY29" s="28"/>
      <c r="RYZ29" s="28"/>
      <c r="RZA29" s="28"/>
      <c r="RZB29" s="28"/>
      <c r="RZC29" s="28"/>
      <c r="RZD29" s="28"/>
      <c r="RZE29" s="28"/>
      <c r="RZF29" s="28"/>
      <c r="RZG29" s="28"/>
      <c r="RZH29" s="28"/>
      <c r="RZI29" s="28"/>
      <c r="RZJ29" s="28"/>
      <c r="RZK29" s="28"/>
      <c r="RZL29" s="28"/>
      <c r="RZM29" s="28"/>
      <c r="RZN29" s="28"/>
      <c r="RZO29" s="28"/>
      <c r="RZP29" s="28"/>
      <c r="RZQ29" s="28"/>
      <c r="RZR29" s="28"/>
      <c r="RZS29" s="28"/>
      <c r="RZT29" s="28"/>
      <c r="RZU29" s="28"/>
      <c r="RZV29" s="28"/>
      <c r="RZW29" s="28"/>
      <c r="RZX29" s="28"/>
      <c r="RZY29" s="28"/>
      <c r="RZZ29" s="28"/>
      <c r="SAA29" s="28"/>
      <c r="SAB29" s="28"/>
      <c r="SAC29" s="28"/>
      <c r="SAD29" s="28"/>
      <c r="SAE29" s="28"/>
      <c r="SAF29" s="28"/>
      <c r="SAG29" s="28"/>
      <c r="SAH29" s="28"/>
      <c r="SAI29" s="28"/>
      <c r="SAJ29" s="28"/>
      <c r="SAK29" s="28"/>
      <c r="SAL29" s="28"/>
      <c r="SAM29" s="28"/>
      <c r="SAN29" s="28"/>
      <c r="SAO29" s="28"/>
      <c r="SAP29" s="28"/>
      <c r="SAQ29" s="28"/>
      <c r="SAR29" s="28"/>
      <c r="SAS29" s="28"/>
      <c r="SAT29" s="28"/>
      <c r="SAU29" s="28"/>
      <c r="SAV29" s="28"/>
      <c r="SAW29" s="28"/>
      <c r="SAX29" s="28"/>
      <c r="SAY29" s="28"/>
      <c r="SAZ29" s="28"/>
      <c r="SBA29" s="28"/>
      <c r="SBB29" s="28"/>
      <c r="SBC29" s="28"/>
      <c r="SBD29" s="28"/>
      <c r="SBE29" s="28"/>
      <c r="SBF29" s="28"/>
      <c r="SBG29" s="28"/>
      <c r="SBH29" s="28"/>
      <c r="SBI29" s="28"/>
      <c r="SBJ29" s="28"/>
      <c r="SBK29" s="28"/>
      <c r="SBL29" s="28"/>
      <c r="SBM29" s="28"/>
      <c r="SBN29" s="28"/>
      <c r="SBO29" s="28"/>
      <c r="SBP29" s="28"/>
      <c r="SBQ29" s="28"/>
      <c r="SBR29" s="28"/>
      <c r="SBS29" s="28"/>
      <c r="SBT29" s="28"/>
      <c r="SBU29" s="28"/>
      <c r="SBV29" s="28"/>
      <c r="SBW29" s="28"/>
      <c r="SBX29" s="28"/>
      <c r="SBY29" s="28"/>
      <c r="SBZ29" s="28"/>
      <c r="SCA29" s="28"/>
      <c r="SCB29" s="28"/>
      <c r="SCC29" s="28"/>
      <c r="SCD29" s="28"/>
      <c r="SCE29" s="28"/>
      <c r="SCF29" s="28"/>
      <c r="SCG29" s="28"/>
      <c r="SCH29" s="28"/>
      <c r="SCI29" s="28"/>
      <c r="SCJ29" s="28"/>
      <c r="SCK29" s="28"/>
      <c r="SCL29" s="28"/>
      <c r="SCM29" s="28"/>
      <c r="SCN29" s="28"/>
      <c r="SCO29" s="28"/>
      <c r="SCP29" s="28"/>
      <c r="SCQ29" s="28"/>
      <c r="SCR29" s="28"/>
      <c r="SCS29" s="28"/>
      <c r="SCT29" s="28"/>
      <c r="SCU29" s="28"/>
      <c r="SCV29" s="28"/>
      <c r="SCW29" s="28"/>
      <c r="SCX29" s="28"/>
      <c r="SCY29" s="28"/>
      <c r="SCZ29" s="28"/>
      <c r="SDA29" s="28"/>
      <c r="SDB29" s="28"/>
      <c r="SDC29" s="28"/>
      <c r="SDD29" s="28"/>
      <c r="SDE29" s="28"/>
      <c r="SDF29" s="28"/>
      <c r="SDG29" s="28"/>
      <c r="SDH29" s="28"/>
      <c r="SDI29" s="28"/>
      <c r="SDJ29" s="28"/>
      <c r="SDK29" s="28"/>
      <c r="SDL29" s="28"/>
      <c r="SDM29" s="28"/>
      <c r="SDN29" s="28"/>
      <c r="SDO29" s="28"/>
      <c r="SDP29" s="28"/>
      <c r="SDQ29" s="28"/>
      <c r="SDR29" s="28"/>
      <c r="SDS29" s="28"/>
      <c r="SDT29" s="28"/>
      <c r="SDU29" s="28"/>
      <c r="SDV29" s="28"/>
      <c r="SDW29" s="28"/>
      <c r="SDX29" s="28"/>
      <c r="SDY29" s="28"/>
      <c r="SDZ29" s="28"/>
      <c r="SEA29" s="28"/>
      <c r="SEB29" s="28"/>
      <c r="SEC29" s="28"/>
      <c r="SED29" s="28"/>
      <c r="SEE29" s="28"/>
      <c r="SEF29" s="28"/>
      <c r="SEG29" s="28"/>
      <c r="SEH29" s="28"/>
      <c r="SEI29" s="28"/>
      <c r="SEJ29" s="28"/>
      <c r="SEK29" s="28"/>
      <c r="SEL29" s="28"/>
      <c r="SEM29" s="28"/>
      <c r="SEN29" s="28"/>
      <c r="SEO29" s="28"/>
      <c r="SEP29" s="28"/>
      <c r="SEQ29" s="28"/>
      <c r="SER29" s="28"/>
      <c r="SES29" s="28"/>
      <c r="SET29" s="28"/>
      <c r="SEU29" s="28"/>
      <c r="SEV29" s="28"/>
      <c r="SEW29" s="28"/>
      <c r="SEX29" s="28"/>
      <c r="SEY29" s="28"/>
      <c r="SEZ29" s="28"/>
      <c r="SFA29" s="28"/>
      <c r="SFB29" s="28"/>
      <c r="SFC29" s="28"/>
      <c r="SFD29" s="28"/>
      <c r="SFE29" s="28"/>
      <c r="SFF29" s="28"/>
      <c r="SFG29" s="28"/>
      <c r="SFH29" s="28"/>
      <c r="SFI29" s="28"/>
      <c r="SFJ29" s="28"/>
      <c r="SFK29" s="28"/>
      <c r="SFL29" s="28"/>
      <c r="SFM29" s="28"/>
      <c r="SFN29" s="28"/>
      <c r="SFO29" s="28"/>
      <c r="SFP29" s="28"/>
      <c r="SFQ29" s="28"/>
      <c r="SFR29" s="28"/>
      <c r="SFS29" s="28"/>
      <c r="SFT29" s="28"/>
      <c r="SFU29" s="28"/>
      <c r="SFV29" s="28"/>
      <c r="SFW29" s="28"/>
      <c r="SFX29" s="28"/>
      <c r="SFY29" s="28"/>
      <c r="SFZ29" s="28"/>
      <c r="SGA29" s="28"/>
      <c r="SGB29" s="28"/>
      <c r="SGC29" s="28"/>
      <c r="SGD29" s="28"/>
      <c r="SGE29" s="28"/>
      <c r="SGF29" s="28"/>
      <c r="SGG29" s="28"/>
      <c r="SGH29" s="28"/>
      <c r="SGI29" s="28"/>
      <c r="SGJ29" s="28"/>
      <c r="SGK29" s="28"/>
      <c r="SGL29" s="28"/>
      <c r="SGM29" s="28"/>
      <c r="SGN29" s="28"/>
      <c r="SGO29" s="28"/>
      <c r="SGP29" s="28"/>
      <c r="SGQ29" s="28"/>
      <c r="SGR29" s="28"/>
      <c r="SGS29" s="28"/>
      <c r="SGT29" s="28"/>
      <c r="SGU29" s="28"/>
      <c r="SGV29" s="28"/>
      <c r="SGW29" s="28"/>
      <c r="SGX29" s="28"/>
      <c r="SGY29" s="28"/>
      <c r="SGZ29" s="28"/>
      <c r="SHA29" s="28"/>
      <c r="SHB29" s="28"/>
      <c r="SHC29" s="28"/>
      <c r="SHD29" s="28"/>
      <c r="SHE29" s="28"/>
      <c r="SHF29" s="28"/>
      <c r="SHG29" s="28"/>
      <c r="SHH29" s="28"/>
      <c r="SHI29" s="28"/>
      <c r="SHJ29" s="28"/>
      <c r="SHK29" s="28"/>
      <c r="SHL29" s="28"/>
      <c r="SHM29" s="28"/>
      <c r="SHN29" s="28"/>
      <c r="SHO29" s="28"/>
      <c r="SHP29" s="28"/>
      <c r="SHQ29" s="28"/>
      <c r="SHR29" s="28"/>
      <c r="SHS29" s="28"/>
      <c r="SHT29" s="28"/>
      <c r="SHU29" s="28"/>
      <c r="SHV29" s="28"/>
      <c r="SHW29" s="28"/>
      <c r="SHX29" s="28"/>
      <c r="SHY29" s="28"/>
      <c r="SHZ29" s="28"/>
      <c r="SIA29" s="28"/>
      <c r="SIB29" s="28"/>
      <c r="SIC29" s="28"/>
      <c r="SID29" s="28"/>
      <c r="SIE29" s="28"/>
      <c r="SIF29" s="28"/>
      <c r="SIG29" s="28"/>
      <c r="SIH29" s="28"/>
      <c r="SII29" s="28"/>
      <c r="SIJ29" s="28"/>
      <c r="SIK29" s="28"/>
      <c r="SIL29" s="28"/>
      <c r="SIM29" s="28"/>
      <c r="SIN29" s="28"/>
      <c r="SIO29" s="28"/>
      <c r="SIP29" s="28"/>
      <c r="SIQ29" s="28"/>
      <c r="SIR29" s="28"/>
      <c r="SIS29" s="28"/>
      <c r="SIT29" s="28"/>
      <c r="SIU29" s="28"/>
      <c r="SIV29" s="28"/>
      <c r="SIW29" s="28"/>
      <c r="SIX29" s="28"/>
      <c r="SIY29" s="28"/>
      <c r="SIZ29" s="28"/>
      <c r="SJA29" s="28"/>
      <c r="SJB29" s="28"/>
      <c r="SJC29" s="28"/>
      <c r="SJD29" s="28"/>
      <c r="SJE29" s="28"/>
      <c r="SJF29" s="28"/>
      <c r="SJG29" s="28"/>
      <c r="SJH29" s="28"/>
      <c r="SJI29" s="28"/>
      <c r="SJJ29" s="28"/>
      <c r="SJK29" s="28"/>
      <c r="SJL29" s="28"/>
      <c r="SJM29" s="28"/>
      <c r="SJN29" s="28"/>
      <c r="SJO29" s="28"/>
      <c r="SJP29" s="28"/>
      <c r="SJQ29" s="28"/>
      <c r="SJR29" s="28"/>
      <c r="SJS29" s="28"/>
      <c r="SJT29" s="28"/>
      <c r="SJU29" s="28"/>
      <c r="SJV29" s="28"/>
      <c r="SJW29" s="28"/>
      <c r="SJX29" s="28"/>
      <c r="SJY29" s="28"/>
      <c r="SJZ29" s="28"/>
      <c r="SKA29" s="28"/>
      <c r="SKB29" s="28"/>
      <c r="SKC29" s="28"/>
      <c r="SKD29" s="28"/>
      <c r="SKE29" s="28"/>
      <c r="SKF29" s="28"/>
      <c r="SKG29" s="28"/>
      <c r="SKH29" s="28"/>
      <c r="SKI29" s="28"/>
      <c r="SKJ29" s="28"/>
      <c r="SKK29" s="28"/>
      <c r="SKL29" s="28"/>
      <c r="SKM29" s="28"/>
      <c r="SKN29" s="28"/>
      <c r="SKO29" s="28"/>
      <c r="SKP29" s="28"/>
      <c r="SKQ29" s="28"/>
      <c r="SKR29" s="28"/>
      <c r="SKS29" s="28"/>
      <c r="SKT29" s="28"/>
      <c r="SKU29" s="28"/>
      <c r="SKV29" s="28"/>
      <c r="SKW29" s="28"/>
      <c r="SKX29" s="28"/>
      <c r="SKY29" s="28"/>
      <c r="SKZ29" s="28"/>
      <c r="SLA29" s="28"/>
      <c r="SLB29" s="28"/>
      <c r="SLC29" s="28"/>
      <c r="SLD29" s="28"/>
      <c r="SLE29" s="28"/>
      <c r="SLF29" s="28"/>
      <c r="SLG29" s="28"/>
      <c r="SLH29" s="28"/>
      <c r="SLI29" s="28"/>
      <c r="SLJ29" s="28"/>
      <c r="SLK29" s="28"/>
      <c r="SLL29" s="28"/>
      <c r="SLM29" s="28"/>
      <c r="SLN29" s="28"/>
      <c r="SLO29" s="28"/>
      <c r="SLP29" s="28"/>
      <c r="SLQ29" s="28"/>
      <c r="SLR29" s="28"/>
      <c r="SLS29" s="28"/>
      <c r="SLT29" s="28"/>
      <c r="SLU29" s="28"/>
      <c r="SLV29" s="28"/>
      <c r="SLW29" s="28"/>
      <c r="SLX29" s="28"/>
      <c r="SLY29" s="28"/>
      <c r="SLZ29" s="28"/>
      <c r="SMA29" s="28"/>
      <c r="SMB29" s="28"/>
      <c r="SMC29" s="28"/>
      <c r="SMD29" s="28"/>
      <c r="SME29" s="28"/>
      <c r="SMF29" s="28"/>
      <c r="SMG29" s="28"/>
      <c r="SMH29" s="28"/>
      <c r="SMI29" s="28"/>
      <c r="SMJ29" s="28"/>
      <c r="SMK29" s="28"/>
      <c r="SML29" s="28"/>
      <c r="SMM29" s="28"/>
      <c r="SMN29" s="28"/>
      <c r="SMO29" s="28"/>
      <c r="SMP29" s="28"/>
      <c r="SMQ29" s="28"/>
      <c r="SMR29" s="28"/>
      <c r="SMS29" s="28"/>
      <c r="SMT29" s="28"/>
      <c r="SMU29" s="28"/>
      <c r="SMV29" s="28"/>
      <c r="SMW29" s="28"/>
      <c r="SMX29" s="28"/>
      <c r="SMY29" s="28"/>
      <c r="SMZ29" s="28"/>
      <c r="SNA29" s="28"/>
      <c r="SNB29" s="28"/>
      <c r="SNC29" s="28"/>
      <c r="SND29" s="28"/>
      <c r="SNE29" s="28"/>
      <c r="SNF29" s="28"/>
      <c r="SNG29" s="28"/>
      <c r="SNH29" s="28"/>
      <c r="SNI29" s="28"/>
      <c r="SNJ29" s="28"/>
      <c r="SNK29" s="28"/>
      <c r="SNL29" s="28"/>
      <c r="SNM29" s="28"/>
      <c r="SNN29" s="28"/>
      <c r="SNO29" s="28"/>
      <c r="SNP29" s="28"/>
      <c r="SNQ29" s="28"/>
      <c r="SNR29" s="28"/>
      <c r="SNS29" s="28"/>
      <c r="SNT29" s="28"/>
      <c r="SNU29" s="28"/>
      <c r="SNV29" s="28"/>
      <c r="SNW29" s="28"/>
      <c r="SNX29" s="28"/>
      <c r="SNY29" s="28"/>
      <c r="SNZ29" s="28"/>
      <c r="SOA29" s="28"/>
      <c r="SOB29" s="28"/>
      <c r="SOC29" s="28"/>
      <c r="SOD29" s="28"/>
      <c r="SOE29" s="28"/>
      <c r="SOF29" s="28"/>
      <c r="SOG29" s="28"/>
      <c r="SOH29" s="28"/>
      <c r="SOI29" s="28"/>
      <c r="SOJ29" s="28"/>
      <c r="SOK29" s="28"/>
      <c r="SOL29" s="28"/>
      <c r="SOM29" s="28"/>
      <c r="SON29" s="28"/>
      <c r="SOO29" s="28"/>
      <c r="SOP29" s="28"/>
      <c r="SOQ29" s="28"/>
      <c r="SOR29" s="28"/>
      <c r="SOS29" s="28"/>
      <c r="SOT29" s="28"/>
      <c r="SOU29" s="28"/>
      <c r="SOV29" s="28"/>
      <c r="SOW29" s="28"/>
      <c r="SOX29" s="28"/>
      <c r="SOY29" s="28"/>
      <c r="SOZ29" s="28"/>
      <c r="SPA29" s="28"/>
      <c r="SPB29" s="28"/>
      <c r="SPC29" s="28"/>
      <c r="SPD29" s="28"/>
      <c r="SPE29" s="28"/>
      <c r="SPF29" s="28"/>
      <c r="SPG29" s="28"/>
      <c r="SPH29" s="28"/>
      <c r="SPI29" s="28"/>
      <c r="SPJ29" s="28"/>
      <c r="SPK29" s="28"/>
      <c r="SPL29" s="28"/>
      <c r="SPM29" s="28"/>
      <c r="SPN29" s="28"/>
      <c r="SPO29" s="28"/>
      <c r="SPP29" s="28"/>
      <c r="SPQ29" s="28"/>
      <c r="SPR29" s="28"/>
      <c r="SPS29" s="28"/>
      <c r="SPT29" s="28"/>
      <c r="SPU29" s="28"/>
      <c r="SPV29" s="28"/>
      <c r="SPW29" s="28"/>
      <c r="SPX29" s="28"/>
      <c r="SPY29" s="28"/>
      <c r="SPZ29" s="28"/>
      <c r="SQA29" s="28"/>
      <c r="SQB29" s="28"/>
      <c r="SQC29" s="28"/>
      <c r="SQD29" s="28"/>
      <c r="SQE29" s="28"/>
      <c r="SQF29" s="28"/>
      <c r="SQG29" s="28"/>
      <c r="SQH29" s="28"/>
      <c r="SQI29" s="28"/>
      <c r="SQJ29" s="28"/>
      <c r="SQK29" s="28"/>
      <c r="SQL29" s="28"/>
      <c r="SQM29" s="28"/>
      <c r="SQN29" s="28"/>
      <c r="SQO29" s="28"/>
      <c r="SQP29" s="28"/>
      <c r="SQQ29" s="28"/>
      <c r="SQR29" s="28"/>
      <c r="SQS29" s="28"/>
      <c r="SQT29" s="28"/>
      <c r="SQU29" s="28"/>
      <c r="SQV29" s="28"/>
      <c r="SQW29" s="28"/>
      <c r="SQX29" s="28"/>
      <c r="SQY29" s="28"/>
      <c r="SQZ29" s="28"/>
      <c r="SRA29" s="28"/>
      <c r="SRB29" s="28"/>
      <c r="SRC29" s="28"/>
      <c r="SRD29" s="28"/>
      <c r="SRE29" s="28"/>
      <c r="SRF29" s="28"/>
      <c r="SRG29" s="28"/>
      <c r="SRH29" s="28"/>
      <c r="SRI29" s="28"/>
      <c r="SRJ29" s="28"/>
      <c r="SRK29" s="28"/>
      <c r="SRL29" s="28"/>
      <c r="SRM29" s="28"/>
      <c r="SRN29" s="28"/>
      <c r="SRO29" s="28"/>
      <c r="SRP29" s="28"/>
      <c r="SRQ29" s="28"/>
      <c r="SRR29" s="28"/>
      <c r="SRS29" s="28"/>
      <c r="SRT29" s="28"/>
      <c r="SRU29" s="28"/>
      <c r="SRV29" s="28"/>
      <c r="SRW29" s="28"/>
      <c r="SRX29" s="28"/>
      <c r="SRY29" s="28"/>
      <c r="SRZ29" s="28"/>
      <c r="SSA29" s="28"/>
      <c r="SSB29" s="28"/>
      <c r="SSC29" s="28"/>
      <c r="SSD29" s="28"/>
      <c r="SSE29" s="28"/>
      <c r="SSF29" s="28"/>
      <c r="SSG29" s="28"/>
      <c r="SSH29" s="28"/>
      <c r="SSI29" s="28"/>
      <c r="SSJ29" s="28"/>
      <c r="SSK29" s="28"/>
      <c r="SSL29" s="28"/>
      <c r="SSM29" s="28"/>
      <c r="SSN29" s="28"/>
      <c r="SSO29" s="28"/>
      <c r="SSP29" s="28"/>
      <c r="SSQ29" s="28"/>
      <c r="SSR29" s="28"/>
      <c r="SSS29" s="28"/>
      <c r="SST29" s="28"/>
      <c r="SSU29" s="28"/>
      <c r="SSV29" s="28"/>
      <c r="SSW29" s="28"/>
      <c r="SSX29" s="28"/>
      <c r="SSY29" s="28"/>
      <c r="SSZ29" s="28"/>
      <c r="STA29" s="28"/>
      <c r="STB29" s="28"/>
      <c r="STC29" s="28"/>
      <c r="STD29" s="28"/>
      <c r="STE29" s="28"/>
      <c r="STF29" s="28"/>
      <c r="STG29" s="28"/>
      <c r="STH29" s="28"/>
      <c r="STI29" s="28"/>
      <c r="STJ29" s="28"/>
      <c r="STK29" s="28"/>
      <c r="STL29" s="28"/>
      <c r="STM29" s="28"/>
      <c r="STN29" s="28"/>
      <c r="STO29" s="28"/>
      <c r="STP29" s="28"/>
      <c r="STQ29" s="28"/>
      <c r="STR29" s="28"/>
      <c r="STS29" s="28"/>
      <c r="STT29" s="28"/>
      <c r="STU29" s="28"/>
      <c r="STV29" s="28"/>
      <c r="STW29" s="28"/>
      <c r="STX29" s="28"/>
      <c r="STY29" s="28"/>
      <c r="STZ29" s="28"/>
      <c r="SUA29" s="28"/>
      <c r="SUB29" s="28"/>
      <c r="SUC29" s="28"/>
      <c r="SUD29" s="28"/>
      <c r="SUE29" s="28"/>
      <c r="SUF29" s="28"/>
      <c r="SUG29" s="28"/>
      <c r="SUH29" s="28"/>
      <c r="SUI29" s="28"/>
      <c r="SUJ29" s="28"/>
      <c r="SUK29" s="28"/>
      <c r="SUL29" s="28"/>
      <c r="SUM29" s="28"/>
      <c r="SUN29" s="28"/>
      <c r="SUO29" s="28"/>
      <c r="SUP29" s="28"/>
      <c r="SUQ29" s="28"/>
      <c r="SUR29" s="28"/>
      <c r="SUS29" s="28"/>
      <c r="SUT29" s="28"/>
      <c r="SUU29" s="28"/>
      <c r="SUV29" s="28"/>
      <c r="SUW29" s="28"/>
      <c r="SUX29" s="28"/>
      <c r="SUY29" s="28"/>
      <c r="SUZ29" s="28"/>
      <c r="SVA29" s="28"/>
      <c r="SVB29" s="28"/>
      <c r="SVC29" s="28"/>
      <c r="SVD29" s="28"/>
      <c r="SVE29" s="28"/>
      <c r="SVF29" s="28"/>
      <c r="SVG29" s="28"/>
      <c r="SVH29" s="28"/>
      <c r="SVI29" s="28"/>
      <c r="SVJ29" s="28"/>
      <c r="SVK29" s="28"/>
      <c r="SVL29" s="28"/>
      <c r="SVM29" s="28"/>
      <c r="SVN29" s="28"/>
      <c r="SVO29" s="28"/>
      <c r="SVP29" s="28"/>
      <c r="SVQ29" s="28"/>
      <c r="SVR29" s="28"/>
      <c r="SVS29" s="28"/>
      <c r="SVT29" s="28"/>
      <c r="SVU29" s="28"/>
      <c r="SVV29" s="28"/>
      <c r="SVW29" s="28"/>
      <c r="SVX29" s="28"/>
      <c r="SVY29" s="28"/>
      <c r="SVZ29" s="28"/>
      <c r="SWA29" s="28"/>
      <c r="SWB29" s="28"/>
      <c r="SWC29" s="28"/>
      <c r="SWD29" s="28"/>
      <c r="SWE29" s="28"/>
      <c r="SWF29" s="28"/>
      <c r="SWG29" s="28"/>
      <c r="SWH29" s="28"/>
      <c r="SWI29" s="28"/>
      <c r="SWJ29" s="28"/>
      <c r="SWK29" s="28"/>
      <c r="SWL29" s="28"/>
      <c r="SWM29" s="28"/>
      <c r="SWN29" s="28"/>
      <c r="SWO29" s="28"/>
      <c r="SWP29" s="28"/>
      <c r="SWQ29" s="28"/>
      <c r="SWR29" s="28"/>
      <c r="SWS29" s="28"/>
      <c r="SWT29" s="28"/>
      <c r="SWU29" s="28"/>
      <c r="SWV29" s="28"/>
      <c r="SWW29" s="28"/>
      <c r="SWX29" s="28"/>
      <c r="SWY29" s="28"/>
      <c r="SWZ29" s="28"/>
      <c r="SXA29" s="28"/>
      <c r="SXB29" s="28"/>
      <c r="SXC29" s="28"/>
      <c r="SXD29" s="28"/>
      <c r="SXE29" s="28"/>
      <c r="SXF29" s="28"/>
      <c r="SXG29" s="28"/>
      <c r="SXH29" s="28"/>
      <c r="SXI29" s="28"/>
      <c r="SXJ29" s="28"/>
      <c r="SXK29" s="28"/>
      <c r="SXL29" s="28"/>
      <c r="SXM29" s="28"/>
      <c r="SXN29" s="28"/>
      <c r="SXO29" s="28"/>
      <c r="SXP29" s="28"/>
      <c r="SXQ29" s="28"/>
      <c r="SXR29" s="28"/>
      <c r="SXS29" s="28"/>
      <c r="SXT29" s="28"/>
      <c r="SXU29" s="28"/>
      <c r="SXV29" s="28"/>
      <c r="SXW29" s="28"/>
      <c r="SXX29" s="28"/>
      <c r="SXY29" s="28"/>
      <c r="SXZ29" s="28"/>
      <c r="SYA29" s="28"/>
      <c r="SYB29" s="28"/>
      <c r="SYC29" s="28"/>
      <c r="SYD29" s="28"/>
      <c r="SYE29" s="28"/>
      <c r="SYF29" s="28"/>
      <c r="SYG29" s="28"/>
      <c r="SYH29" s="28"/>
      <c r="SYI29" s="28"/>
      <c r="SYJ29" s="28"/>
      <c r="SYK29" s="28"/>
      <c r="SYL29" s="28"/>
      <c r="SYM29" s="28"/>
      <c r="SYN29" s="28"/>
      <c r="SYO29" s="28"/>
      <c r="SYP29" s="28"/>
      <c r="SYQ29" s="28"/>
      <c r="SYR29" s="28"/>
      <c r="SYS29" s="28"/>
      <c r="SYT29" s="28"/>
      <c r="SYU29" s="28"/>
      <c r="SYV29" s="28"/>
      <c r="SYW29" s="28"/>
      <c r="SYX29" s="28"/>
      <c r="SYY29" s="28"/>
      <c r="SYZ29" s="28"/>
      <c r="SZA29" s="28"/>
      <c r="SZB29" s="28"/>
      <c r="SZC29" s="28"/>
      <c r="SZD29" s="28"/>
      <c r="SZE29" s="28"/>
      <c r="SZF29" s="28"/>
      <c r="SZG29" s="28"/>
      <c r="SZH29" s="28"/>
      <c r="SZI29" s="28"/>
      <c r="SZJ29" s="28"/>
      <c r="SZK29" s="28"/>
      <c r="SZL29" s="28"/>
      <c r="SZM29" s="28"/>
      <c r="SZN29" s="28"/>
      <c r="SZO29" s="28"/>
      <c r="SZP29" s="28"/>
      <c r="SZQ29" s="28"/>
      <c r="SZR29" s="28"/>
      <c r="SZS29" s="28"/>
      <c r="SZT29" s="28"/>
      <c r="SZU29" s="28"/>
      <c r="SZV29" s="28"/>
      <c r="SZW29" s="28"/>
      <c r="SZX29" s="28"/>
      <c r="SZY29" s="28"/>
      <c r="SZZ29" s="28"/>
      <c r="TAA29" s="28"/>
      <c r="TAB29" s="28"/>
      <c r="TAC29" s="28"/>
      <c r="TAD29" s="28"/>
      <c r="TAE29" s="28"/>
      <c r="TAF29" s="28"/>
      <c r="TAG29" s="28"/>
      <c r="TAH29" s="28"/>
      <c r="TAI29" s="28"/>
      <c r="TAJ29" s="28"/>
      <c r="TAK29" s="28"/>
      <c r="TAL29" s="28"/>
      <c r="TAM29" s="28"/>
      <c r="TAN29" s="28"/>
      <c r="TAO29" s="28"/>
      <c r="TAP29" s="28"/>
      <c r="TAQ29" s="28"/>
      <c r="TAR29" s="28"/>
      <c r="TAS29" s="28"/>
      <c r="TAT29" s="28"/>
      <c r="TAU29" s="28"/>
      <c r="TAV29" s="28"/>
      <c r="TAW29" s="28"/>
      <c r="TAX29" s="28"/>
      <c r="TAY29" s="28"/>
      <c r="TAZ29" s="28"/>
      <c r="TBA29" s="28"/>
      <c r="TBB29" s="28"/>
      <c r="TBC29" s="28"/>
      <c r="TBD29" s="28"/>
      <c r="TBE29" s="28"/>
      <c r="TBF29" s="28"/>
      <c r="TBG29" s="28"/>
      <c r="TBH29" s="28"/>
      <c r="TBI29" s="28"/>
      <c r="TBJ29" s="28"/>
      <c r="TBK29" s="28"/>
      <c r="TBL29" s="28"/>
      <c r="TBM29" s="28"/>
      <c r="TBN29" s="28"/>
      <c r="TBO29" s="28"/>
      <c r="TBP29" s="28"/>
      <c r="TBQ29" s="28"/>
      <c r="TBR29" s="28"/>
      <c r="TBS29" s="28"/>
      <c r="TBT29" s="28"/>
      <c r="TBU29" s="28"/>
      <c r="TBV29" s="28"/>
      <c r="TBW29" s="28"/>
      <c r="TBX29" s="28"/>
      <c r="TBY29" s="28"/>
      <c r="TBZ29" s="28"/>
      <c r="TCA29" s="28"/>
      <c r="TCB29" s="28"/>
      <c r="TCC29" s="28"/>
      <c r="TCD29" s="28"/>
      <c r="TCE29" s="28"/>
      <c r="TCF29" s="28"/>
      <c r="TCG29" s="28"/>
      <c r="TCH29" s="28"/>
      <c r="TCI29" s="28"/>
      <c r="TCJ29" s="28"/>
      <c r="TCK29" s="28"/>
      <c r="TCL29" s="28"/>
      <c r="TCM29" s="28"/>
      <c r="TCN29" s="28"/>
      <c r="TCO29" s="28"/>
      <c r="TCP29" s="28"/>
      <c r="TCQ29" s="28"/>
      <c r="TCR29" s="28"/>
      <c r="TCS29" s="28"/>
      <c r="TCT29" s="28"/>
      <c r="TCU29" s="28"/>
      <c r="TCV29" s="28"/>
      <c r="TCW29" s="28"/>
      <c r="TCX29" s="28"/>
      <c r="TCY29" s="28"/>
      <c r="TCZ29" s="28"/>
      <c r="TDA29" s="28"/>
      <c r="TDB29" s="28"/>
      <c r="TDC29" s="28"/>
      <c r="TDD29" s="28"/>
      <c r="TDE29" s="28"/>
      <c r="TDF29" s="28"/>
      <c r="TDG29" s="28"/>
      <c r="TDH29" s="28"/>
      <c r="TDI29" s="28"/>
      <c r="TDJ29" s="28"/>
      <c r="TDK29" s="28"/>
      <c r="TDL29" s="28"/>
      <c r="TDM29" s="28"/>
      <c r="TDN29" s="28"/>
      <c r="TDO29" s="28"/>
      <c r="TDP29" s="28"/>
      <c r="TDQ29" s="28"/>
      <c r="TDR29" s="28"/>
      <c r="TDS29" s="28"/>
      <c r="TDT29" s="28"/>
      <c r="TDU29" s="28"/>
      <c r="TDV29" s="28"/>
      <c r="TDW29" s="28"/>
      <c r="TDX29" s="28"/>
      <c r="TDY29" s="28"/>
      <c r="TDZ29" s="28"/>
      <c r="TEA29" s="28"/>
      <c r="TEB29" s="28"/>
      <c r="TEC29" s="28"/>
      <c r="TED29" s="28"/>
      <c r="TEE29" s="28"/>
      <c r="TEF29" s="28"/>
      <c r="TEG29" s="28"/>
      <c r="TEH29" s="28"/>
      <c r="TEI29" s="28"/>
      <c r="TEJ29" s="28"/>
      <c r="TEK29" s="28"/>
      <c r="TEL29" s="28"/>
      <c r="TEM29" s="28"/>
      <c r="TEN29" s="28"/>
      <c r="TEO29" s="28"/>
      <c r="TEP29" s="28"/>
      <c r="TEQ29" s="28"/>
      <c r="TER29" s="28"/>
      <c r="TES29" s="28"/>
      <c r="TET29" s="28"/>
      <c r="TEU29" s="28"/>
      <c r="TEV29" s="28"/>
      <c r="TEW29" s="28"/>
      <c r="TEX29" s="28"/>
      <c r="TEY29" s="28"/>
      <c r="TEZ29" s="28"/>
      <c r="TFA29" s="28"/>
      <c r="TFB29" s="28"/>
      <c r="TFC29" s="28"/>
      <c r="TFD29" s="28"/>
      <c r="TFE29" s="28"/>
      <c r="TFF29" s="28"/>
      <c r="TFG29" s="28"/>
      <c r="TFH29" s="28"/>
      <c r="TFI29" s="28"/>
      <c r="TFJ29" s="28"/>
      <c r="TFK29" s="28"/>
      <c r="TFL29" s="28"/>
      <c r="TFM29" s="28"/>
      <c r="TFN29" s="28"/>
      <c r="TFO29" s="28"/>
      <c r="TFP29" s="28"/>
      <c r="TFQ29" s="28"/>
      <c r="TFR29" s="28"/>
      <c r="TFS29" s="28"/>
      <c r="TFT29" s="28"/>
      <c r="TFU29" s="28"/>
      <c r="TFV29" s="28"/>
      <c r="TFW29" s="28"/>
      <c r="TFX29" s="28"/>
      <c r="TFY29" s="28"/>
      <c r="TFZ29" s="28"/>
      <c r="TGA29" s="28"/>
      <c r="TGB29" s="28"/>
      <c r="TGC29" s="28"/>
      <c r="TGD29" s="28"/>
      <c r="TGE29" s="28"/>
      <c r="TGF29" s="28"/>
      <c r="TGG29" s="28"/>
      <c r="TGH29" s="28"/>
      <c r="TGI29" s="28"/>
      <c r="TGJ29" s="28"/>
      <c r="TGK29" s="28"/>
      <c r="TGL29" s="28"/>
      <c r="TGM29" s="28"/>
      <c r="TGN29" s="28"/>
      <c r="TGO29" s="28"/>
      <c r="TGP29" s="28"/>
      <c r="TGQ29" s="28"/>
      <c r="TGR29" s="28"/>
      <c r="TGS29" s="28"/>
      <c r="TGT29" s="28"/>
      <c r="TGU29" s="28"/>
      <c r="TGV29" s="28"/>
      <c r="TGW29" s="28"/>
      <c r="TGX29" s="28"/>
      <c r="TGY29" s="28"/>
      <c r="TGZ29" s="28"/>
      <c r="THA29" s="28"/>
      <c r="THB29" s="28"/>
      <c r="THC29" s="28"/>
      <c r="THD29" s="28"/>
      <c r="THE29" s="28"/>
      <c r="THF29" s="28"/>
      <c r="THG29" s="28"/>
      <c r="THH29" s="28"/>
      <c r="THI29" s="28"/>
      <c r="THJ29" s="28"/>
      <c r="THK29" s="28"/>
      <c r="THL29" s="28"/>
      <c r="THM29" s="28"/>
      <c r="THN29" s="28"/>
      <c r="THO29" s="28"/>
      <c r="THP29" s="28"/>
      <c r="THQ29" s="28"/>
      <c r="THR29" s="28"/>
      <c r="THS29" s="28"/>
      <c r="THT29" s="28"/>
      <c r="THU29" s="28"/>
      <c r="THV29" s="28"/>
      <c r="THW29" s="28"/>
      <c r="THX29" s="28"/>
      <c r="THY29" s="28"/>
      <c r="THZ29" s="28"/>
      <c r="TIA29" s="28"/>
      <c r="TIB29" s="28"/>
      <c r="TIC29" s="28"/>
      <c r="TID29" s="28"/>
      <c r="TIE29" s="28"/>
      <c r="TIF29" s="28"/>
      <c r="TIG29" s="28"/>
      <c r="TIH29" s="28"/>
      <c r="TII29" s="28"/>
      <c r="TIJ29" s="28"/>
      <c r="TIK29" s="28"/>
      <c r="TIL29" s="28"/>
      <c r="TIM29" s="28"/>
      <c r="TIN29" s="28"/>
      <c r="TIO29" s="28"/>
      <c r="TIP29" s="28"/>
      <c r="TIQ29" s="28"/>
      <c r="TIR29" s="28"/>
      <c r="TIS29" s="28"/>
      <c r="TIT29" s="28"/>
      <c r="TIU29" s="28"/>
      <c r="TIV29" s="28"/>
      <c r="TIW29" s="28"/>
      <c r="TIX29" s="28"/>
      <c r="TIY29" s="28"/>
      <c r="TIZ29" s="28"/>
      <c r="TJA29" s="28"/>
      <c r="TJB29" s="28"/>
      <c r="TJC29" s="28"/>
      <c r="TJD29" s="28"/>
      <c r="TJE29" s="28"/>
      <c r="TJF29" s="28"/>
      <c r="TJG29" s="28"/>
      <c r="TJH29" s="28"/>
      <c r="TJI29" s="28"/>
      <c r="TJJ29" s="28"/>
      <c r="TJK29" s="28"/>
      <c r="TJL29" s="28"/>
      <c r="TJM29" s="28"/>
      <c r="TJN29" s="28"/>
      <c r="TJO29" s="28"/>
      <c r="TJP29" s="28"/>
      <c r="TJQ29" s="28"/>
      <c r="TJR29" s="28"/>
      <c r="TJS29" s="28"/>
      <c r="TJT29" s="28"/>
      <c r="TJU29" s="28"/>
      <c r="TJV29" s="28"/>
      <c r="TJW29" s="28"/>
      <c r="TJX29" s="28"/>
      <c r="TJY29" s="28"/>
      <c r="TJZ29" s="28"/>
      <c r="TKA29" s="28"/>
      <c r="TKB29" s="28"/>
      <c r="TKC29" s="28"/>
      <c r="TKD29" s="28"/>
      <c r="TKE29" s="28"/>
      <c r="TKF29" s="28"/>
      <c r="TKG29" s="28"/>
      <c r="TKH29" s="28"/>
      <c r="TKI29" s="28"/>
      <c r="TKJ29" s="28"/>
      <c r="TKK29" s="28"/>
      <c r="TKL29" s="28"/>
      <c r="TKM29" s="28"/>
      <c r="TKN29" s="28"/>
      <c r="TKO29" s="28"/>
      <c r="TKP29" s="28"/>
      <c r="TKQ29" s="28"/>
      <c r="TKR29" s="28"/>
      <c r="TKS29" s="28"/>
      <c r="TKT29" s="28"/>
      <c r="TKU29" s="28"/>
      <c r="TKV29" s="28"/>
      <c r="TKW29" s="28"/>
      <c r="TKX29" s="28"/>
      <c r="TKY29" s="28"/>
      <c r="TKZ29" s="28"/>
      <c r="TLA29" s="28"/>
      <c r="TLB29" s="28"/>
      <c r="TLC29" s="28"/>
      <c r="TLD29" s="28"/>
      <c r="TLE29" s="28"/>
      <c r="TLF29" s="28"/>
      <c r="TLG29" s="28"/>
      <c r="TLH29" s="28"/>
      <c r="TLI29" s="28"/>
      <c r="TLJ29" s="28"/>
      <c r="TLK29" s="28"/>
      <c r="TLL29" s="28"/>
      <c r="TLM29" s="28"/>
      <c r="TLN29" s="28"/>
      <c r="TLO29" s="28"/>
      <c r="TLP29" s="28"/>
      <c r="TLQ29" s="28"/>
      <c r="TLR29" s="28"/>
      <c r="TLS29" s="28"/>
      <c r="TLT29" s="28"/>
      <c r="TLU29" s="28"/>
      <c r="TLV29" s="28"/>
      <c r="TLW29" s="28"/>
      <c r="TLX29" s="28"/>
      <c r="TLY29" s="28"/>
      <c r="TLZ29" s="28"/>
      <c r="TMA29" s="28"/>
      <c r="TMB29" s="28"/>
      <c r="TMC29" s="28"/>
      <c r="TMD29" s="28"/>
      <c r="TME29" s="28"/>
      <c r="TMF29" s="28"/>
      <c r="TMG29" s="28"/>
      <c r="TMH29" s="28"/>
      <c r="TMI29" s="28"/>
      <c r="TMJ29" s="28"/>
      <c r="TMK29" s="28"/>
      <c r="TML29" s="28"/>
      <c r="TMM29" s="28"/>
      <c r="TMN29" s="28"/>
      <c r="TMO29" s="28"/>
      <c r="TMP29" s="28"/>
      <c r="TMQ29" s="28"/>
      <c r="TMR29" s="28"/>
      <c r="TMS29" s="28"/>
      <c r="TMT29" s="28"/>
      <c r="TMU29" s="28"/>
      <c r="TMV29" s="28"/>
      <c r="TMW29" s="28"/>
      <c r="TMX29" s="28"/>
      <c r="TMY29" s="28"/>
      <c r="TMZ29" s="28"/>
      <c r="TNA29" s="28"/>
      <c r="TNB29" s="28"/>
      <c r="TNC29" s="28"/>
      <c r="TND29" s="28"/>
      <c r="TNE29" s="28"/>
      <c r="TNF29" s="28"/>
      <c r="TNG29" s="28"/>
      <c r="TNH29" s="28"/>
      <c r="TNI29" s="28"/>
      <c r="TNJ29" s="28"/>
      <c r="TNK29" s="28"/>
      <c r="TNL29" s="28"/>
      <c r="TNM29" s="28"/>
      <c r="TNN29" s="28"/>
      <c r="TNO29" s="28"/>
      <c r="TNP29" s="28"/>
      <c r="TNQ29" s="28"/>
      <c r="TNR29" s="28"/>
      <c r="TNS29" s="28"/>
      <c r="TNT29" s="28"/>
      <c r="TNU29" s="28"/>
      <c r="TNV29" s="28"/>
      <c r="TNW29" s="28"/>
      <c r="TNX29" s="28"/>
      <c r="TNY29" s="28"/>
      <c r="TNZ29" s="28"/>
      <c r="TOA29" s="28"/>
      <c r="TOB29" s="28"/>
      <c r="TOC29" s="28"/>
      <c r="TOD29" s="28"/>
      <c r="TOE29" s="28"/>
      <c r="TOF29" s="28"/>
      <c r="TOG29" s="28"/>
      <c r="TOH29" s="28"/>
      <c r="TOI29" s="28"/>
      <c r="TOJ29" s="28"/>
      <c r="TOK29" s="28"/>
      <c r="TOL29" s="28"/>
      <c r="TOM29" s="28"/>
      <c r="TON29" s="28"/>
      <c r="TOO29" s="28"/>
      <c r="TOP29" s="28"/>
      <c r="TOQ29" s="28"/>
      <c r="TOR29" s="28"/>
      <c r="TOS29" s="28"/>
      <c r="TOT29" s="28"/>
      <c r="TOU29" s="28"/>
      <c r="TOV29" s="28"/>
      <c r="TOW29" s="28"/>
      <c r="TOX29" s="28"/>
      <c r="TOY29" s="28"/>
      <c r="TOZ29" s="28"/>
      <c r="TPA29" s="28"/>
      <c r="TPB29" s="28"/>
      <c r="TPC29" s="28"/>
      <c r="TPD29" s="28"/>
      <c r="TPE29" s="28"/>
      <c r="TPF29" s="28"/>
      <c r="TPG29" s="28"/>
      <c r="TPH29" s="28"/>
      <c r="TPI29" s="28"/>
      <c r="TPJ29" s="28"/>
      <c r="TPK29" s="28"/>
      <c r="TPL29" s="28"/>
      <c r="TPM29" s="28"/>
      <c r="TPN29" s="28"/>
      <c r="TPO29" s="28"/>
      <c r="TPP29" s="28"/>
      <c r="TPQ29" s="28"/>
      <c r="TPR29" s="28"/>
      <c r="TPS29" s="28"/>
      <c r="TPT29" s="28"/>
      <c r="TPU29" s="28"/>
      <c r="TPV29" s="28"/>
      <c r="TPW29" s="28"/>
      <c r="TPX29" s="28"/>
      <c r="TPY29" s="28"/>
      <c r="TPZ29" s="28"/>
      <c r="TQA29" s="28"/>
      <c r="TQB29" s="28"/>
      <c r="TQC29" s="28"/>
      <c r="TQD29" s="28"/>
      <c r="TQE29" s="28"/>
      <c r="TQF29" s="28"/>
      <c r="TQG29" s="28"/>
      <c r="TQH29" s="28"/>
      <c r="TQI29" s="28"/>
      <c r="TQJ29" s="28"/>
      <c r="TQK29" s="28"/>
      <c r="TQL29" s="28"/>
      <c r="TQM29" s="28"/>
      <c r="TQN29" s="28"/>
      <c r="TQO29" s="28"/>
      <c r="TQP29" s="28"/>
      <c r="TQQ29" s="28"/>
      <c r="TQR29" s="28"/>
      <c r="TQS29" s="28"/>
      <c r="TQT29" s="28"/>
      <c r="TQU29" s="28"/>
      <c r="TQV29" s="28"/>
      <c r="TQW29" s="28"/>
      <c r="TQX29" s="28"/>
      <c r="TQY29" s="28"/>
      <c r="TQZ29" s="28"/>
      <c r="TRA29" s="28"/>
      <c r="TRB29" s="28"/>
      <c r="TRC29" s="28"/>
      <c r="TRD29" s="28"/>
      <c r="TRE29" s="28"/>
      <c r="TRF29" s="28"/>
      <c r="TRG29" s="28"/>
      <c r="TRH29" s="28"/>
      <c r="TRI29" s="28"/>
      <c r="TRJ29" s="28"/>
      <c r="TRK29" s="28"/>
      <c r="TRL29" s="28"/>
      <c r="TRM29" s="28"/>
      <c r="TRN29" s="28"/>
      <c r="TRO29" s="28"/>
      <c r="TRP29" s="28"/>
      <c r="TRQ29" s="28"/>
      <c r="TRR29" s="28"/>
      <c r="TRS29" s="28"/>
      <c r="TRT29" s="28"/>
      <c r="TRU29" s="28"/>
      <c r="TRV29" s="28"/>
      <c r="TRW29" s="28"/>
      <c r="TRX29" s="28"/>
      <c r="TRY29" s="28"/>
      <c r="TRZ29" s="28"/>
      <c r="TSA29" s="28"/>
      <c r="TSB29" s="28"/>
      <c r="TSC29" s="28"/>
      <c r="TSD29" s="28"/>
      <c r="TSE29" s="28"/>
      <c r="TSF29" s="28"/>
      <c r="TSG29" s="28"/>
      <c r="TSH29" s="28"/>
      <c r="TSI29" s="28"/>
      <c r="TSJ29" s="28"/>
      <c r="TSK29" s="28"/>
      <c r="TSL29" s="28"/>
      <c r="TSM29" s="28"/>
      <c r="TSN29" s="28"/>
      <c r="TSO29" s="28"/>
      <c r="TSP29" s="28"/>
      <c r="TSQ29" s="28"/>
      <c r="TSR29" s="28"/>
      <c r="TSS29" s="28"/>
      <c r="TST29" s="28"/>
      <c r="TSU29" s="28"/>
      <c r="TSV29" s="28"/>
      <c r="TSW29" s="28"/>
      <c r="TSX29" s="28"/>
      <c r="TSY29" s="28"/>
      <c r="TSZ29" s="28"/>
      <c r="TTA29" s="28"/>
      <c r="TTB29" s="28"/>
      <c r="TTC29" s="28"/>
      <c r="TTD29" s="28"/>
      <c r="TTE29" s="28"/>
      <c r="TTF29" s="28"/>
      <c r="TTG29" s="28"/>
      <c r="TTH29" s="28"/>
      <c r="TTI29" s="28"/>
      <c r="TTJ29" s="28"/>
      <c r="TTK29" s="28"/>
      <c r="TTL29" s="28"/>
      <c r="TTM29" s="28"/>
      <c r="TTN29" s="28"/>
      <c r="TTO29" s="28"/>
      <c r="TTP29" s="28"/>
      <c r="TTQ29" s="28"/>
      <c r="TTR29" s="28"/>
      <c r="TTS29" s="28"/>
      <c r="TTT29" s="28"/>
      <c r="TTU29" s="28"/>
      <c r="TTV29" s="28"/>
      <c r="TTW29" s="28"/>
      <c r="TTX29" s="28"/>
      <c r="TTY29" s="28"/>
      <c r="TTZ29" s="28"/>
      <c r="TUA29" s="28"/>
      <c r="TUB29" s="28"/>
      <c r="TUC29" s="28"/>
      <c r="TUD29" s="28"/>
      <c r="TUE29" s="28"/>
      <c r="TUF29" s="28"/>
      <c r="TUG29" s="28"/>
      <c r="TUH29" s="28"/>
      <c r="TUI29" s="28"/>
      <c r="TUJ29" s="28"/>
      <c r="TUK29" s="28"/>
      <c r="TUL29" s="28"/>
      <c r="TUM29" s="28"/>
      <c r="TUN29" s="28"/>
      <c r="TUO29" s="28"/>
      <c r="TUP29" s="28"/>
      <c r="TUQ29" s="28"/>
      <c r="TUR29" s="28"/>
      <c r="TUS29" s="28"/>
      <c r="TUT29" s="28"/>
      <c r="TUU29" s="28"/>
      <c r="TUV29" s="28"/>
      <c r="TUW29" s="28"/>
      <c r="TUX29" s="28"/>
      <c r="TUY29" s="28"/>
      <c r="TUZ29" s="28"/>
      <c r="TVA29" s="28"/>
      <c r="TVB29" s="28"/>
      <c r="TVC29" s="28"/>
      <c r="TVD29" s="28"/>
      <c r="TVE29" s="28"/>
      <c r="TVF29" s="28"/>
      <c r="TVG29" s="28"/>
      <c r="TVH29" s="28"/>
      <c r="TVI29" s="28"/>
      <c r="TVJ29" s="28"/>
      <c r="TVK29" s="28"/>
      <c r="TVL29" s="28"/>
      <c r="TVM29" s="28"/>
      <c r="TVN29" s="28"/>
      <c r="TVO29" s="28"/>
      <c r="TVP29" s="28"/>
      <c r="TVQ29" s="28"/>
      <c r="TVR29" s="28"/>
      <c r="TVS29" s="28"/>
      <c r="TVT29" s="28"/>
      <c r="TVU29" s="28"/>
      <c r="TVV29" s="28"/>
      <c r="TVW29" s="28"/>
      <c r="TVX29" s="28"/>
      <c r="TVY29" s="28"/>
      <c r="TVZ29" s="28"/>
      <c r="TWA29" s="28"/>
      <c r="TWB29" s="28"/>
      <c r="TWC29" s="28"/>
      <c r="TWD29" s="28"/>
      <c r="TWE29" s="28"/>
      <c r="TWF29" s="28"/>
      <c r="TWG29" s="28"/>
      <c r="TWH29" s="28"/>
      <c r="TWI29" s="28"/>
      <c r="TWJ29" s="28"/>
      <c r="TWK29" s="28"/>
      <c r="TWL29" s="28"/>
      <c r="TWM29" s="28"/>
      <c r="TWN29" s="28"/>
      <c r="TWO29" s="28"/>
      <c r="TWP29" s="28"/>
      <c r="TWQ29" s="28"/>
      <c r="TWR29" s="28"/>
      <c r="TWS29" s="28"/>
      <c r="TWT29" s="28"/>
      <c r="TWU29" s="28"/>
      <c r="TWV29" s="28"/>
      <c r="TWW29" s="28"/>
      <c r="TWX29" s="28"/>
      <c r="TWY29" s="28"/>
      <c r="TWZ29" s="28"/>
      <c r="TXA29" s="28"/>
      <c r="TXB29" s="28"/>
      <c r="TXC29" s="28"/>
      <c r="TXD29" s="28"/>
      <c r="TXE29" s="28"/>
      <c r="TXF29" s="28"/>
      <c r="TXG29" s="28"/>
      <c r="TXH29" s="28"/>
      <c r="TXI29" s="28"/>
      <c r="TXJ29" s="28"/>
      <c r="TXK29" s="28"/>
      <c r="TXL29" s="28"/>
      <c r="TXM29" s="28"/>
      <c r="TXN29" s="28"/>
      <c r="TXO29" s="28"/>
      <c r="TXP29" s="28"/>
      <c r="TXQ29" s="28"/>
      <c r="TXR29" s="28"/>
      <c r="TXS29" s="28"/>
      <c r="TXT29" s="28"/>
      <c r="TXU29" s="28"/>
      <c r="TXV29" s="28"/>
      <c r="TXW29" s="28"/>
      <c r="TXX29" s="28"/>
      <c r="TXY29" s="28"/>
      <c r="TXZ29" s="28"/>
      <c r="TYA29" s="28"/>
      <c r="TYB29" s="28"/>
      <c r="TYC29" s="28"/>
      <c r="TYD29" s="28"/>
      <c r="TYE29" s="28"/>
      <c r="TYF29" s="28"/>
      <c r="TYG29" s="28"/>
      <c r="TYH29" s="28"/>
      <c r="TYI29" s="28"/>
      <c r="TYJ29" s="28"/>
      <c r="TYK29" s="28"/>
      <c r="TYL29" s="28"/>
      <c r="TYM29" s="28"/>
      <c r="TYN29" s="28"/>
      <c r="TYO29" s="28"/>
      <c r="TYP29" s="28"/>
      <c r="TYQ29" s="28"/>
      <c r="TYR29" s="28"/>
      <c r="TYS29" s="28"/>
      <c r="TYT29" s="28"/>
      <c r="TYU29" s="28"/>
      <c r="TYV29" s="28"/>
      <c r="TYW29" s="28"/>
      <c r="TYX29" s="28"/>
      <c r="TYY29" s="28"/>
      <c r="TYZ29" s="28"/>
      <c r="TZA29" s="28"/>
      <c r="TZB29" s="28"/>
      <c r="TZC29" s="28"/>
      <c r="TZD29" s="28"/>
      <c r="TZE29" s="28"/>
      <c r="TZF29" s="28"/>
      <c r="TZG29" s="28"/>
      <c r="TZH29" s="28"/>
      <c r="TZI29" s="28"/>
      <c r="TZJ29" s="28"/>
      <c r="TZK29" s="28"/>
      <c r="TZL29" s="28"/>
      <c r="TZM29" s="28"/>
      <c r="TZN29" s="28"/>
      <c r="TZO29" s="28"/>
      <c r="TZP29" s="28"/>
      <c r="TZQ29" s="28"/>
      <c r="TZR29" s="28"/>
      <c r="TZS29" s="28"/>
      <c r="TZT29" s="28"/>
      <c r="TZU29" s="28"/>
      <c r="TZV29" s="28"/>
      <c r="TZW29" s="28"/>
      <c r="TZX29" s="28"/>
      <c r="TZY29" s="28"/>
      <c r="TZZ29" s="28"/>
      <c r="UAA29" s="28"/>
      <c r="UAB29" s="28"/>
      <c r="UAC29" s="28"/>
      <c r="UAD29" s="28"/>
      <c r="UAE29" s="28"/>
      <c r="UAF29" s="28"/>
      <c r="UAG29" s="28"/>
      <c r="UAH29" s="28"/>
      <c r="UAI29" s="28"/>
      <c r="UAJ29" s="28"/>
      <c r="UAK29" s="28"/>
      <c r="UAL29" s="28"/>
      <c r="UAM29" s="28"/>
      <c r="UAN29" s="28"/>
      <c r="UAO29" s="28"/>
      <c r="UAP29" s="28"/>
      <c r="UAQ29" s="28"/>
      <c r="UAR29" s="28"/>
      <c r="UAS29" s="28"/>
      <c r="UAT29" s="28"/>
      <c r="UAU29" s="28"/>
      <c r="UAV29" s="28"/>
      <c r="UAW29" s="28"/>
      <c r="UAX29" s="28"/>
      <c r="UAY29" s="28"/>
      <c r="UAZ29" s="28"/>
      <c r="UBA29" s="28"/>
      <c r="UBB29" s="28"/>
      <c r="UBC29" s="28"/>
      <c r="UBD29" s="28"/>
      <c r="UBE29" s="28"/>
      <c r="UBF29" s="28"/>
      <c r="UBG29" s="28"/>
      <c r="UBH29" s="28"/>
      <c r="UBI29" s="28"/>
      <c r="UBJ29" s="28"/>
      <c r="UBK29" s="28"/>
      <c r="UBL29" s="28"/>
      <c r="UBM29" s="28"/>
      <c r="UBN29" s="28"/>
      <c r="UBO29" s="28"/>
      <c r="UBP29" s="28"/>
      <c r="UBQ29" s="28"/>
      <c r="UBR29" s="28"/>
      <c r="UBS29" s="28"/>
      <c r="UBT29" s="28"/>
      <c r="UBU29" s="28"/>
      <c r="UBV29" s="28"/>
      <c r="UBW29" s="28"/>
      <c r="UBX29" s="28"/>
      <c r="UBY29" s="28"/>
      <c r="UBZ29" s="28"/>
      <c r="UCA29" s="28"/>
      <c r="UCB29" s="28"/>
      <c r="UCC29" s="28"/>
      <c r="UCD29" s="28"/>
      <c r="UCE29" s="28"/>
      <c r="UCF29" s="28"/>
      <c r="UCG29" s="28"/>
      <c r="UCH29" s="28"/>
      <c r="UCI29" s="28"/>
      <c r="UCJ29" s="28"/>
      <c r="UCK29" s="28"/>
      <c r="UCL29" s="28"/>
      <c r="UCM29" s="28"/>
      <c r="UCN29" s="28"/>
      <c r="UCO29" s="28"/>
      <c r="UCP29" s="28"/>
      <c r="UCQ29" s="28"/>
      <c r="UCR29" s="28"/>
      <c r="UCS29" s="28"/>
      <c r="UCT29" s="28"/>
      <c r="UCU29" s="28"/>
      <c r="UCV29" s="28"/>
      <c r="UCW29" s="28"/>
      <c r="UCX29" s="28"/>
      <c r="UCY29" s="28"/>
      <c r="UCZ29" s="28"/>
      <c r="UDA29" s="28"/>
      <c r="UDB29" s="28"/>
      <c r="UDC29" s="28"/>
      <c r="UDD29" s="28"/>
      <c r="UDE29" s="28"/>
      <c r="UDF29" s="28"/>
      <c r="UDG29" s="28"/>
      <c r="UDH29" s="28"/>
      <c r="UDI29" s="28"/>
      <c r="UDJ29" s="28"/>
      <c r="UDK29" s="28"/>
      <c r="UDL29" s="28"/>
      <c r="UDM29" s="28"/>
      <c r="UDN29" s="28"/>
      <c r="UDO29" s="28"/>
      <c r="UDP29" s="28"/>
      <c r="UDQ29" s="28"/>
      <c r="UDR29" s="28"/>
      <c r="UDS29" s="28"/>
      <c r="UDT29" s="28"/>
      <c r="UDU29" s="28"/>
      <c r="UDV29" s="28"/>
      <c r="UDW29" s="28"/>
      <c r="UDX29" s="28"/>
      <c r="UDY29" s="28"/>
      <c r="UDZ29" s="28"/>
      <c r="UEA29" s="28"/>
      <c r="UEB29" s="28"/>
      <c r="UEC29" s="28"/>
      <c r="UED29" s="28"/>
      <c r="UEE29" s="28"/>
      <c r="UEF29" s="28"/>
      <c r="UEG29" s="28"/>
      <c r="UEH29" s="28"/>
      <c r="UEI29" s="28"/>
      <c r="UEJ29" s="28"/>
      <c r="UEK29" s="28"/>
      <c r="UEL29" s="28"/>
      <c r="UEM29" s="28"/>
      <c r="UEN29" s="28"/>
      <c r="UEO29" s="28"/>
      <c r="UEP29" s="28"/>
      <c r="UEQ29" s="28"/>
      <c r="UER29" s="28"/>
      <c r="UES29" s="28"/>
      <c r="UET29" s="28"/>
      <c r="UEU29" s="28"/>
      <c r="UEV29" s="28"/>
      <c r="UEW29" s="28"/>
      <c r="UEX29" s="28"/>
      <c r="UEY29" s="28"/>
      <c r="UEZ29" s="28"/>
      <c r="UFA29" s="28"/>
      <c r="UFB29" s="28"/>
      <c r="UFC29" s="28"/>
      <c r="UFD29" s="28"/>
      <c r="UFE29" s="28"/>
      <c r="UFF29" s="28"/>
      <c r="UFG29" s="28"/>
      <c r="UFH29" s="28"/>
      <c r="UFI29" s="28"/>
      <c r="UFJ29" s="28"/>
      <c r="UFK29" s="28"/>
      <c r="UFL29" s="28"/>
      <c r="UFM29" s="28"/>
      <c r="UFN29" s="28"/>
      <c r="UFO29" s="28"/>
      <c r="UFP29" s="28"/>
      <c r="UFQ29" s="28"/>
      <c r="UFR29" s="28"/>
      <c r="UFS29" s="28"/>
      <c r="UFT29" s="28"/>
      <c r="UFU29" s="28"/>
      <c r="UFV29" s="28"/>
      <c r="UFW29" s="28"/>
      <c r="UFX29" s="28"/>
      <c r="UFY29" s="28"/>
      <c r="UFZ29" s="28"/>
      <c r="UGA29" s="28"/>
      <c r="UGB29" s="28"/>
      <c r="UGC29" s="28"/>
      <c r="UGD29" s="28"/>
      <c r="UGE29" s="28"/>
      <c r="UGF29" s="28"/>
      <c r="UGG29" s="28"/>
      <c r="UGH29" s="28"/>
      <c r="UGI29" s="28"/>
      <c r="UGJ29" s="28"/>
      <c r="UGK29" s="28"/>
      <c r="UGL29" s="28"/>
      <c r="UGM29" s="28"/>
      <c r="UGN29" s="28"/>
      <c r="UGO29" s="28"/>
      <c r="UGP29" s="28"/>
      <c r="UGQ29" s="28"/>
      <c r="UGR29" s="28"/>
      <c r="UGS29" s="28"/>
      <c r="UGT29" s="28"/>
      <c r="UGU29" s="28"/>
      <c r="UGV29" s="28"/>
      <c r="UGW29" s="28"/>
      <c r="UGX29" s="28"/>
      <c r="UGY29" s="28"/>
      <c r="UGZ29" s="28"/>
      <c r="UHA29" s="28"/>
      <c r="UHB29" s="28"/>
      <c r="UHC29" s="28"/>
      <c r="UHD29" s="28"/>
      <c r="UHE29" s="28"/>
      <c r="UHF29" s="28"/>
      <c r="UHG29" s="28"/>
      <c r="UHH29" s="28"/>
      <c r="UHI29" s="28"/>
      <c r="UHJ29" s="28"/>
      <c r="UHK29" s="28"/>
      <c r="UHL29" s="28"/>
      <c r="UHM29" s="28"/>
      <c r="UHN29" s="28"/>
      <c r="UHO29" s="28"/>
      <c r="UHP29" s="28"/>
      <c r="UHQ29" s="28"/>
      <c r="UHR29" s="28"/>
      <c r="UHS29" s="28"/>
      <c r="UHT29" s="28"/>
      <c r="UHU29" s="28"/>
      <c r="UHV29" s="28"/>
      <c r="UHW29" s="28"/>
      <c r="UHX29" s="28"/>
      <c r="UHY29" s="28"/>
      <c r="UHZ29" s="28"/>
      <c r="UIA29" s="28"/>
      <c r="UIB29" s="28"/>
      <c r="UIC29" s="28"/>
      <c r="UID29" s="28"/>
      <c r="UIE29" s="28"/>
      <c r="UIF29" s="28"/>
      <c r="UIG29" s="28"/>
      <c r="UIH29" s="28"/>
      <c r="UII29" s="28"/>
      <c r="UIJ29" s="28"/>
      <c r="UIK29" s="28"/>
      <c r="UIL29" s="28"/>
      <c r="UIM29" s="28"/>
      <c r="UIN29" s="28"/>
      <c r="UIO29" s="28"/>
      <c r="UIP29" s="28"/>
      <c r="UIQ29" s="28"/>
      <c r="UIR29" s="28"/>
      <c r="UIS29" s="28"/>
      <c r="UIT29" s="28"/>
      <c r="UIU29" s="28"/>
      <c r="UIV29" s="28"/>
      <c r="UIW29" s="28"/>
      <c r="UIX29" s="28"/>
      <c r="UIY29" s="28"/>
      <c r="UIZ29" s="28"/>
      <c r="UJA29" s="28"/>
      <c r="UJB29" s="28"/>
      <c r="UJC29" s="28"/>
      <c r="UJD29" s="28"/>
      <c r="UJE29" s="28"/>
      <c r="UJF29" s="28"/>
      <c r="UJG29" s="28"/>
      <c r="UJH29" s="28"/>
      <c r="UJI29" s="28"/>
      <c r="UJJ29" s="28"/>
      <c r="UJK29" s="28"/>
      <c r="UJL29" s="28"/>
      <c r="UJM29" s="28"/>
      <c r="UJN29" s="28"/>
      <c r="UJO29" s="28"/>
      <c r="UJP29" s="28"/>
      <c r="UJQ29" s="28"/>
      <c r="UJR29" s="28"/>
      <c r="UJS29" s="28"/>
      <c r="UJT29" s="28"/>
      <c r="UJU29" s="28"/>
      <c r="UJV29" s="28"/>
      <c r="UJW29" s="28"/>
      <c r="UJX29" s="28"/>
      <c r="UJY29" s="28"/>
      <c r="UJZ29" s="28"/>
      <c r="UKA29" s="28"/>
      <c r="UKB29" s="28"/>
      <c r="UKC29" s="28"/>
      <c r="UKD29" s="28"/>
      <c r="UKE29" s="28"/>
      <c r="UKF29" s="28"/>
      <c r="UKG29" s="28"/>
      <c r="UKH29" s="28"/>
      <c r="UKI29" s="28"/>
      <c r="UKJ29" s="28"/>
      <c r="UKK29" s="28"/>
      <c r="UKL29" s="28"/>
      <c r="UKM29" s="28"/>
      <c r="UKN29" s="28"/>
      <c r="UKO29" s="28"/>
      <c r="UKP29" s="28"/>
      <c r="UKQ29" s="28"/>
      <c r="UKR29" s="28"/>
      <c r="UKS29" s="28"/>
      <c r="UKT29" s="28"/>
      <c r="UKU29" s="28"/>
      <c r="UKV29" s="28"/>
      <c r="UKW29" s="28"/>
      <c r="UKX29" s="28"/>
      <c r="UKY29" s="28"/>
      <c r="UKZ29" s="28"/>
      <c r="ULA29" s="28"/>
      <c r="ULB29" s="28"/>
      <c r="ULC29" s="28"/>
      <c r="ULD29" s="28"/>
      <c r="ULE29" s="28"/>
      <c r="ULF29" s="28"/>
      <c r="ULG29" s="28"/>
      <c r="ULH29" s="28"/>
      <c r="ULI29" s="28"/>
      <c r="ULJ29" s="28"/>
      <c r="ULK29" s="28"/>
      <c r="ULL29" s="28"/>
      <c r="ULM29" s="28"/>
      <c r="ULN29" s="28"/>
      <c r="ULO29" s="28"/>
      <c r="ULP29" s="28"/>
      <c r="ULQ29" s="28"/>
      <c r="ULR29" s="28"/>
      <c r="ULS29" s="28"/>
      <c r="ULT29" s="28"/>
      <c r="ULU29" s="28"/>
      <c r="ULV29" s="28"/>
      <c r="ULW29" s="28"/>
      <c r="ULX29" s="28"/>
      <c r="ULY29" s="28"/>
      <c r="ULZ29" s="28"/>
      <c r="UMA29" s="28"/>
      <c r="UMB29" s="28"/>
      <c r="UMC29" s="28"/>
      <c r="UMD29" s="28"/>
      <c r="UME29" s="28"/>
      <c r="UMF29" s="28"/>
      <c r="UMG29" s="28"/>
      <c r="UMH29" s="28"/>
      <c r="UMI29" s="28"/>
      <c r="UMJ29" s="28"/>
      <c r="UMK29" s="28"/>
      <c r="UML29" s="28"/>
      <c r="UMM29" s="28"/>
      <c r="UMN29" s="28"/>
      <c r="UMO29" s="28"/>
      <c r="UMP29" s="28"/>
      <c r="UMQ29" s="28"/>
      <c r="UMR29" s="28"/>
      <c r="UMS29" s="28"/>
      <c r="UMT29" s="28"/>
      <c r="UMU29" s="28"/>
      <c r="UMV29" s="28"/>
      <c r="UMW29" s="28"/>
      <c r="UMX29" s="28"/>
      <c r="UMY29" s="28"/>
      <c r="UMZ29" s="28"/>
      <c r="UNA29" s="28"/>
      <c r="UNB29" s="28"/>
      <c r="UNC29" s="28"/>
      <c r="UND29" s="28"/>
      <c r="UNE29" s="28"/>
      <c r="UNF29" s="28"/>
      <c r="UNG29" s="28"/>
      <c r="UNH29" s="28"/>
      <c r="UNI29" s="28"/>
      <c r="UNJ29" s="28"/>
      <c r="UNK29" s="28"/>
      <c r="UNL29" s="28"/>
      <c r="UNM29" s="28"/>
      <c r="UNN29" s="28"/>
      <c r="UNO29" s="28"/>
      <c r="UNP29" s="28"/>
      <c r="UNQ29" s="28"/>
      <c r="UNR29" s="28"/>
      <c r="UNS29" s="28"/>
      <c r="UNT29" s="28"/>
      <c r="UNU29" s="28"/>
      <c r="UNV29" s="28"/>
      <c r="UNW29" s="28"/>
      <c r="UNX29" s="28"/>
      <c r="UNY29" s="28"/>
      <c r="UNZ29" s="28"/>
      <c r="UOA29" s="28"/>
      <c r="UOB29" s="28"/>
      <c r="UOC29" s="28"/>
      <c r="UOD29" s="28"/>
      <c r="UOE29" s="28"/>
      <c r="UOF29" s="28"/>
      <c r="UOG29" s="28"/>
      <c r="UOH29" s="28"/>
      <c r="UOI29" s="28"/>
      <c r="UOJ29" s="28"/>
      <c r="UOK29" s="28"/>
      <c r="UOL29" s="28"/>
      <c r="UOM29" s="28"/>
      <c r="UON29" s="28"/>
      <c r="UOO29" s="28"/>
      <c r="UOP29" s="28"/>
      <c r="UOQ29" s="28"/>
      <c r="UOR29" s="28"/>
      <c r="UOS29" s="28"/>
      <c r="UOT29" s="28"/>
      <c r="UOU29" s="28"/>
      <c r="UOV29" s="28"/>
      <c r="UOW29" s="28"/>
      <c r="UOX29" s="28"/>
      <c r="UOY29" s="28"/>
      <c r="UOZ29" s="28"/>
      <c r="UPA29" s="28"/>
      <c r="UPB29" s="28"/>
      <c r="UPC29" s="28"/>
      <c r="UPD29" s="28"/>
      <c r="UPE29" s="28"/>
      <c r="UPF29" s="28"/>
      <c r="UPG29" s="28"/>
      <c r="UPH29" s="28"/>
      <c r="UPI29" s="28"/>
      <c r="UPJ29" s="28"/>
      <c r="UPK29" s="28"/>
      <c r="UPL29" s="28"/>
      <c r="UPM29" s="28"/>
      <c r="UPN29" s="28"/>
      <c r="UPO29" s="28"/>
      <c r="UPP29" s="28"/>
      <c r="UPQ29" s="28"/>
      <c r="UPR29" s="28"/>
      <c r="UPS29" s="28"/>
      <c r="UPT29" s="28"/>
      <c r="UPU29" s="28"/>
      <c r="UPV29" s="28"/>
      <c r="UPW29" s="28"/>
      <c r="UPX29" s="28"/>
      <c r="UPY29" s="28"/>
      <c r="UPZ29" s="28"/>
      <c r="UQA29" s="28"/>
      <c r="UQB29" s="28"/>
      <c r="UQC29" s="28"/>
      <c r="UQD29" s="28"/>
      <c r="UQE29" s="28"/>
      <c r="UQF29" s="28"/>
      <c r="UQG29" s="28"/>
      <c r="UQH29" s="28"/>
      <c r="UQI29" s="28"/>
      <c r="UQJ29" s="28"/>
      <c r="UQK29" s="28"/>
      <c r="UQL29" s="28"/>
      <c r="UQM29" s="28"/>
      <c r="UQN29" s="28"/>
      <c r="UQO29" s="28"/>
      <c r="UQP29" s="28"/>
      <c r="UQQ29" s="28"/>
      <c r="UQR29" s="28"/>
      <c r="UQS29" s="28"/>
      <c r="UQT29" s="28"/>
      <c r="UQU29" s="28"/>
      <c r="UQV29" s="28"/>
      <c r="UQW29" s="28"/>
      <c r="UQX29" s="28"/>
      <c r="UQY29" s="28"/>
      <c r="UQZ29" s="28"/>
      <c r="URA29" s="28"/>
      <c r="URB29" s="28"/>
      <c r="URC29" s="28"/>
      <c r="URD29" s="28"/>
      <c r="URE29" s="28"/>
      <c r="URF29" s="28"/>
      <c r="URG29" s="28"/>
      <c r="URH29" s="28"/>
      <c r="URI29" s="28"/>
      <c r="URJ29" s="28"/>
      <c r="URK29" s="28"/>
      <c r="URL29" s="28"/>
      <c r="URM29" s="28"/>
      <c r="URN29" s="28"/>
      <c r="URO29" s="28"/>
      <c r="URP29" s="28"/>
      <c r="URQ29" s="28"/>
      <c r="URR29" s="28"/>
      <c r="URS29" s="28"/>
      <c r="URT29" s="28"/>
      <c r="URU29" s="28"/>
      <c r="URV29" s="28"/>
      <c r="URW29" s="28"/>
      <c r="URX29" s="28"/>
      <c r="URY29" s="28"/>
      <c r="URZ29" s="28"/>
      <c r="USA29" s="28"/>
      <c r="USB29" s="28"/>
      <c r="USC29" s="28"/>
      <c r="USD29" s="28"/>
      <c r="USE29" s="28"/>
      <c r="USF29" s="28"/>
      <c r="USG29" s="28"/>
      <c r="USH29" s="28"/>
      <c r="USI29" s="28"/>
      <c r="USJ29" s="28"/>
      <c r="USK29" s="28"/>
      <c r="USL29" s="28"/>
      <c r="USM29" s="28"/>
      <c r="USN29" s="28"/>
      <c r="USO29" s="28"/>
      <c r="USP29" s="28"/>
      <c r="USQ29" s="28"/>
      <c r="USR29" s="28"/>
      <c r="USS29" s="28"/>
      <c r="UST29" s="28"/>
      <c r="USU29" s="28"/>
      <c r="USV29" s="28"/>
      <c r="USW29" s="28"/>
      <c r="USX29" s="28"/>
      <c r="USY29" s="28"/>
      <c r="USZ29" s="28"/>
      <c r="UTA29" s="28"/>
      <c r="UTB29" s="28"/>
      <c r="UTC29" s="28"/>
      <c r="UTD29" s="28"/>
      <c r="UTE29" s="28"/>
      <c r="UTF29" s="28"/>
      <c r="UTG29" s="28"/>
      <c r="UTH29" s="28"/>
      <c r="UTI29" s="28"/>
      <c r="UTJ29" s="28"/>
      <c r="UTK29" s="28"/>
      <c r="UTL29" s="28"/>
      <c r="UTM29" s="28"/>
      <c r="UTN29" s="28"/>
      <c r="UTO29" s="28"/>
      <c r="UTP29" s="28"/>
      <c r="UTQ29" s="28"/>
      <c r="UTR29" s="28"/>
      <c r="UTS29" s="28"/>
      <c r="UTT29" s="28"/>
      <c r="UTU29" s="28"/>
      <c r="UTV29" s="28"/>
      <c r="UTW29" s="28"/>
      <c r="UTX29" s="28"/>
      <c r="UTY29" s="28"/>
      <c r="UTZ29" s="28"/>
      <c r="UUA29" s="28"/>
      <c r="UUB29" s="28"/>
      <c r="UUC29" s="28"/>
      <c r="UUD29" s="28"/>
      <c r="UUE29" s="28"/>
      <c r="UUF29" s="28"/>
      <c r="UUG29" s="28"/>
      <c r="UUH29" s="28"/>
      <c r="UUI29" s="28"/>
      <c r="UUJ29" s="28"/>
      <c r="UUK29" s="28"/>
      <c r="UUL29" s="28"/>
      <c r="UUM29" s="28"/>
      <c r="UUN29" s="28"/>
      <c r="UUO29" s="28"/>
      <c r="UUP29" s="28"/>
      <c r="UUQ29" s="28"/>
      <c r="UUR29" s="28"/>
      <c r="UUS29" s="28"/>
      <c r="UUT29" s="28"/>
      <c r="UUU29" s="28"/>
      <c r="UUV29" s="28"/>
      <c r="UUW29" s="28"/>
      <c r="UUX29" s="28"/>
      <c r="UUY29" s="28"/>
      <c r="UUZ29" s="28"/>
      <c r="UVA29" s="28"/>
      <c r="UVB29" s="28"/>
      <c r="UVC29" s="28"/>
      <c r="UVD29" s="28"/>
      <c r="UVE29" s="28"/>
      <c r="UVF29" s="28"/>
      <c r="UVG29" s="28"/>
      <c r="UVH29" s="28"/>
      <c r="UVI29" s="28"/>
      <c r="UVJ29" s="28"/>
      <c r="UVK29" s="28"/>
      <c r="UVL29" s="28"/>
      <c r="UVM29" s="28"/>
      <c r="UVN29" s="28"/>
      <c r="UVO29" s="28"/>
      <c r="UVP29" s="28"/>
      <c r="UVQ29" s="28"/>
      <c r="UVR29" s="28"/>
      <c r="UVS29" s="28"/>
      <c r="UVT29" s="28"/>
      <c r="UVU29" s="28"/>
      <c r="UVV29" s="28"/>
      <c r="UVW29" s="28"/>
      <c r="UVX29" s="28"/>
      <c r="UVY29" s="28"/>
      <c r="UVZ29" s="28"/>
      <c r="UWA29" s="28"/>
      <c r="UWB29" s="28"/>
      <c r="UWC29" s="28"/>
      <c r="UWD29" s="28"/>
      <c r="UWE29" s="28"/>
      <c r="UWF29" s="28"/>
      <c r="UWG29" s="28"/>
      <c r="UWH29" s="28"/>
      <c r="UWI29" s="28"/>
      <c r="UWJ29" s="28"/>
      <c r="UWK29" s="28"/>
      <c r="UWL29" s="28"/>
      <c r="UWM29" s="28"/>
      <c r="UWN29" s="28"/>
      <c r="UWO29" s="28"/>
      <c r="UWP29" s="28"/>
      <c r="UWQ29" s="28"/>
      <c r="UWR29" s="28"/>
      <c r="UWS29" s="28"/>
      <c r="UWT29" s="28"/>
      <c r="UWU29" s="28"/>
      <c r="UWV29" s="28"/>
      <c r="UWW29" s="28"/>
      <c r="UWX29" s="28"/>
      <c r="UWY29" s="28"/>
      <c r="UWZ29" s="28"/>
      <c r="UXA29" s="28"/>
      <c r="UXB29" s="28"/>
      <c r="UXC29" s="28"/>
      <c r="UXD29" s="28"/>
      <c r="UXE29" s="28"/>
      <c r="UXF29" s="28"/>
      <c r="UXG29" s="28"/>
      <c r="UXH29" s="28"/>
      <c r="UXI29" s="28"/>
      <c r="UXJ29" s="28"/>
      <c r="UXK29" s="28"/>
      <c r="UXL29" s="28"/>
      <c r="UXM29" s="28"/>
      <c r="UXN29" s="28"/>
      <c r="UXO29" s="28"/>
      <c r="UXP29" s="28"/>
      <c r="UXQ29" s="28"/>
      <c r="UXR29" s="28"/>
      <c r="UXS29" s="28"/>
      <c r="UXT29" s="28"/>
      <c r="UXU29" s="28"/>
      <c r="UXV29" s="28"/>
      <c r="UXW29" s="28"/>
      <c r="UXX29" s="28"/>
      <c r="UXY29" s="28"/>
      <c r="UXZ29" s="28"/>
      <c r="UYA29" s="28"/>
      <c r="UYB29" s="28"/>
      <c r="UYC29" s="28"/>
      <c r="UYD29" s="28"/>
      <c r="UYE29" s="28"/>
      <c r="UYF29" s="28"/>
      <c r="UYG29" s="28"/>
      <c r="UYH29" s="28"/>
      <c r="UYI29" s="28"/>
      <c r="UYJ29" s="28"/>
      <c r="UYK29" s="28"/>
      <c r="UYL29" s="28"/>
      <c r="UYM29" s="28"/>
      <c r="UYN29" s="28"/>
      <c r="UYO29" s="28"/>
      <c r="UYP29" s="28"/>
      <c r="UYQ29" s="28"/>
      <c r="UYR29" s="28"/>
      <c r="UYS29" s="28"/>
      <c r="UYT29" s="28"/>
      <c r="UYU29" s="28"/>
      <c r="UYV29" s="28"/>
      <c r="UYW29" s="28"/>
      <c r="UYX29" s="28"/>
      <c r="UYY29" s="28"/>
      <c r="UYZ29" s="28"/>
      <c r="UZA29" s="28"/>
      <c r="UZB29" s="28"/>
      <c r="UZC29" s="28"/>
      <c r="UZD29" s="28"/>
      <c r="UZE29" s="28"/>
      <c r="UZF29" s="28"/>
      <c r="UZG29" s="28"/>
      <c r="UZH29" s="28"/>
      <c r="UZI29" s="28"/>
      <c r="UZJ29" s="28"/>
      <c r="UZK29" s="28"/>
      <c r="UZL29" s="28"/>
      <c r="UZM29" s="28"/>
      <c r="UZN29" s="28"/>
      <c r="UZO29" s="28"/>
      <c r="UZP29" s="28"/>
      <c r="UZQ29" s="28"/>
      <c r="UZR29" s="28"/>
      <c r="UZS29" s="28"/>
      <c r="UZT29" s="28"/>
      <c r="UZU29" s="28"/>
      <c r="UZV29" s="28"/>
      <c r="UZW29" s="28"/>
      <c r="UZX29" s="28"/>
      <c r="UZY29" s="28"/>
      <c r="UZZ29" s="28"/>
      <c r="VAA29" s="28"/>
      <c r="VAB29" s="28"/>
      <c r="VAC29" s="28"/>
      <c r="VAD29" s="28"/>
      <c r="VAE29" s="28"/>
      <c r="VAF29" s="28"/>
      <c r="VAG29" s="28"/>
      <c r="VAH29" s="28"/>
      <c r="VAI29" s="28"/>
      <c r="VAJ29" s="28"/>
      <c r="VAK29" s="28"/>
      <c r="VAL29" s="28"/>
      <c r="VAM29" s="28"/>
      <c r="VAN29" s="28"/>
      <c r="VAO29" s="28"/>
      <c r="VAP29" s="28"/>
      <c r="VAQ29" s="28"/>
      <c r="VAR29" s="28"/>
      <c r="VAS29" s="28"/>
      <c r="VAT29" s="28"/>
      <c r="VAU29" s="28"/>
      <c r="VAV29" s="28"/>
      <c r="VAW29" s="28"/>
      <c r="VAX29" s="28"/>
      <c r="VAY29" s="28"/>
      <c r="VAZ29" s="28"/>
      <c r="VBA29" s="28"/>
      <c r="VBB29" s="28"/>
      <c r="VBC29" s="28"/>
      <c r="VBD29" s="28"/>
      <c r="VBE29" s="28"/>
      <c r="VBF29" s="28"/>
      <c r="VBG29" s="28"/>
      <c r="VBH29" s="28"/>
      <c r="VBI29" s="28"/>
      <c r="VBJ29" s="28"/>
      <c r="VBK29" s="28"/>
      <c r="VBL29" s="28"/>
      <c r="VBM29" s="28"/>
      <c r="VBN29" s="28"/>
      <c r="VBO29" s="28"/>
      <c r="VBP29" s="28"/>
      <c r="VBQ29" s="28"/>
      <c r="VBR29" s="28"/>
      <c r="VBS29" s="28"/>
      <c r="VBT29" s="28"/>
      <c r="VBU29" s="28"/>
      <c r="VBV29" s="28"/>
      <c r="VBW29" s="28"/>
      <c r="VBX29" s="28"/>
      <c r="VBY29" s="28"/>
      <c r="VBZ29" s="28"/>
      <c r="VCA29" s="28"/>
      <c r="VCB29" s="28"/>
      <c r="VCC29" s="28"/>
      <c r="VCD29" s="28"/>
      <c r="VCE29" s="28"/>
      <c r="VCF29" s="28"/>
      <c r="VCG29" s="28"/>
      <c r="VCH29" s="28"/>
      <c r="VCI29" s="28"/>
      <c r="VCJ29" s="28"/>
      <c r="VCK29" s="28"/>
      <c r="VCL29" s="28"/>
      <c r="VCM29" s="28"/>
      <c r="VCN29" s="28"/>
      <c r="VCO29" s="28"/>
      <c r="VCP29" s="28"/>
      <c r="VCQ29" s="28"/>
      <c r="VCR29" s="28"/>
      <c r="VCS29" s="28"/>
      <c r="VCT29" s="28"/>
      <c r="VCU29" s="28"/>
      <c r="VCV29" s="28"/>
      <c r="VCW29" s="28"/>
      <c r="VCX29" s="28"/>
      <c r="VCY29" s="28"/>
      <c r="VCZ29" s="28"/>
      <c r="VDA29" s="28"/>
      <c r="VDB29" s="28"/>
      <c r="VDC29" s="28"/>
      <c r="VDD29" s="28"/>
      <c r="VDE29" s="28"/>
      <c r="VDF29" s="28"/>
      <c r="VDG29" s="28"/>
      <c r="VDH29" s="28"/>
      <c r="VDI29" s="28"/>
      <c r="VDJ29" s="28"/>
      <c r="VDK29" s="28"/>
      <c r="VDL29" s="28"/>
      <c r="VDM29" s="28"/>
      <c r="VDN29" s="28"/>
      <c r="VDO29" s="28"/>
      <c r="VDP29" s="28"/>
      <c r="VDQ29" s="28"/>
      <c r="VDR29" s="28"/>
      <c r="VDS29" s="28"/>
      <c r="VDT29" s="28"/>
      <c r="VDU29" s="28"/>
      <c r="VDV29" s="28"/>
      <c r="VDW29" s="28"/>
      <c r="VDX29" s="28"/>
      <c r="VDY29" s="28"/>
      <c r="VDZ29" s="28"/>
      <c r="VEA29" s="28"/>
      <c r="VEB29" s="28"/>
      <c r="VEC29" s="28"/>
      <c r="VED29" s="28"/>
      <c r="VEE29" s="28"/>
      <c r="VEF29" s="28"/>
      <c r="VEG29" s="28"/>
      <c r="VEH29" s="28"/>
      <c r="VEI29" s="28"/>
      <c r="VEJ29" s="28"/>
      <c r="VEK29" s="28"/>
      <c r="VEL29" s="28"/>
      <c r="VEM29" s="28"/>
      <c r="VEN29" s="28"/>
      <c r="VEO29" s="28"/>
      <c r="VEP29" s="28"/>
      <c r="VEQ29" s="28"/>
      <c r="VER29" s="28"/>
      <c r="VES29" s="28"/>
      <c r="VET29" s="28"/>
      <c r="VEU29" s="28"/>
      <c r="VEV29" s="28"/>
      <c r="VEW29" s="28"/>
      <c r="VEX29" s="28"/>
      <c r="VEY29" s="28"/>
      <c r="VEZ29" s="28"/>
      <c r="VFA29" s="28"/>
      <c r="VFB29" s="28"/>
      <c r="VFC29" s="28"/>
      <c r="VFD29" s="28"/>
      <c r="VFE29" s="28"/>
      <c r="VFF29" s="28"/>
      <c r="VFG29" s="28"/>
      <c r="VFH29" s="28"/>
      <c r="VFI29" s="28"/>
      <c r="VFJ29" s="28"/>
      <c r="VFK29" s="28"/>
      <c r="VFL29" s="28"/>
      <c r="VFM29" s="28"/>
      <c r="VFN29" s="28"/>
      <c r="VFO29" s="28"/>
      <c r="VFP29" s="28"/>
      <c r="VFQ29" s="28"/>
      <c r="VFR29" s="28"/>
      <c r="VFS29" s="28"/>
      <c r="VFT29" s="28"/>
      <c r="VFU29" s="28"/>
      <c r="VFV29" s="28"/>
      <c r="VFW29" s="28"/>
      <c r="VFX29" s="28"/>
      <c r="VFY29" s="28"/>
      <c r="VFZ29" s="28"/>
      <c r="VGA29" s="28"/>
      <c r="VGB29" s="28"/>
      <c r="VGC29" s="28"/>
      <c r="VGD29" s="28"/>
      <c r="VGE29" s="28"/>
      <c r="VGF29" s="28"/>
      <c r="VGG29" s="28"/>
      <c r="VGH29" s="28"/>
      <c r="VGI29" s="28"/>
      <c r="VGJ29" s="28"/>
      <c r="VGK29" s="28"/>
      <c r="VGL29" s="28"/>
      <c r="VGM29" s="28"/>
      <c r="VGN29" s="28"/>
      <c r="VGO29" s="28"/>
      <c r="VGP29" s="28"/>
      <c r="VGQ29" s="28"/>
      <c r="VGR29" s="28"/>
      <c r="VGS29" s="28"/>
      <c r="VGT29" s="28"/>
      <c r="VGU29" s="28"/>
      <c r="VGV29" s="28"/>
      <c r="VGW29" s="28"/>
      <c r="VGX29" s="28"/>
      <c r="VGY29" s="28"/>
      <c r="VGZ29" s="28"/>
      <c r="VHA29" s="28"/>
      <c r="VHB29" s="28"/>
      <c r="VHC29" s="28"/>
      <c r="VHD29" s="28"/>
      <c r="VHE29" s="28"/>
      <c r="VHF29" s="28"/>
      <c r="VHG29" s="28"/>
      <c r="VHH29" s="28"/>
      <c r="VHI29" s="28"/>
      <c r="VHJ29" s="28"/>
      <c r="VHK29" s="28"/>
      <c r="VHL29" s="28"/>
      <c r="VHM29" s="28"/>
      <c r="VHN29" s="28"/>
      <c r="VHO29" s="28"/>
      <c r="VHP29" s="28"/>
      <c r="VHQ29" s="28"/>
      <c r="VHR29" s="28"/>
      <c r="VHS29" s="28"/>
      <c r="VHT29" s="28"/>
      <c r="VHU29" s="28"/>
      <c r="VHV29" s="28"/>
      <c r="VHW29" s="28"/>
      <c r="VHX29" s="28"/>
      <c r="VHY29" s="28"/>
      <c r="VHZ29" s="28"/>
      <c r="VIA29" s="28"/>
      <c r="VIB29" s="28"/>
      <c r="VIC29" s="28"/>
      <c r="VID29" s="28"/>
      <c r="VIE29" s="28"/>
      <c r="VIF29" s="28"/>
      <c r="VIG29" s="28"/>
      <c r="VIH29" s="28"/>
      <c r="VII29" s="28"/>
      <c r="VIJ29" s="28"/>
      <c r="VIK29" s="28"/>
      <c r="VIL29" s="28"/>
      <c r="VIM29" s="28"/>
      <c r="VIN29" s="28"/>
      <c r="VIO29" s="28"/>
      <c r="VIP29" s="28"/>
      <c r="VIQ29" s="28"/>
      <c r="VIR29" s="28"/>
      <c r="VIS29" s="28"/>
      <c r="VIT29" s="28"/>
      <c r="VIU29" s="28"/>
      <c r="VIV29" s="28"/>
      <c r="VIW29" s="28"/>
      <c r="VIX29" s="28"/>
      <c r="VIY29" s="28"/>
      <c r="VIZ29" s="28"/>
      <c r="VJA29" s="28"/>
      <c r="VJB29" s="28"/>
      <c r="VJC29" s="28"/>
      <c r="VJD29" s="28"/>
      <c r="VJE29" s="28"/>
      <c r="VJF29" s="28"/>
      <c r="VJG29" s="28"/>
      <c r="VJH29" s="28"/>
      <c r="VJI29" s="28"/>
      <c r="VJJ29" s="28"/>
      <c r="VJK29" s="28"/>
      <c r="VJL29" s="28"/>
      <c r="VJM29" s="28"/>
      <c r="VJN29" s="28"/>
      <c r="VJO29" s="28"/>
      <c r="VJP29" s="28"/>
      <c r="VJQ29" s="28"/>
      <c r="VJR29" s="28"/>
      <c r="VJS29" s="28"/>
      <c r="VJT29" s="28"/>
      <c r="VJU29" s="28"/>
      <c r="VJV29" s="28"/>
      <c r="VJW29" s="28"/>
      <c r="VJX29" s="28"/>
      <c r="VJY29" s="28"/>
      <c r="VJZ29" s="28"/>
      <c r="VKA29" s="28"/>
      <c r="VKB29" s="28"/>
      <c r="VKC29" s="28"/>
      <c r="VKD29" s="28"/>
      <c r="VKE29" s="28"/>
      <c r="VKF29" s="28"/>
      <c r="VKG29" s="28"/>
      <c r="VKH29" s="28"/>
      <c r="VKI29" s="28"/>
      <c r="VKJ29" s="28"/>
      <c r="VKK29" s="28"/>
      <c r="VKL29" s="28"/>
      <c r="VKM29" s="28"/>
      <c r="VKN29" s="28"/>
      <c r="VKO29" s="28"/>
      <c r="VKP29" s="28"/>
      <c r="VKQ29" s="28"/>
      <c r="VKR29" s="28"/>
      <c r="VKS29" s="28"/>
      <c r="VKT29" s="28"/>
      <c r="VKU29" s="28"/>
      <c r="VKV29" s="28"/>
      <c r="VKW29" s="28"/>
      <c r="VKX29" s="28"/>
      <c r="VKY29" s="28"/>
      <c r="VKZ29" s="28"/>
      <c r="VLA29" s="28"/>
      <c r="VLB29" s="28"/>
      <c r="VLC29" s="28"/>
      <c r="VLD29" s="28"/>
      <c r="VLE29" s="28"/>
      <c r="VLF29" s="28"/>
      <c r="VLG29" s="28"/>
      <c r="VLH29" s="28"/>
      <c r="VLI29" s="28"/>
      <c r="VLJ29" s="28"/>
      <c r="VLK29" s="28"/>
      <c r="VLL29" s="28"/>
      <c r="VLM29" s="28"/>
      <c r="VLN29" s="28"/>
      <c r="VLO29" s="28"/>
      <c r="VLP29" s="28"/>
      <c r="VLQ29" s="28"/>
      <c r="VLR29" s="28"/>
      <c r="VLS29" s="28"/>
      <c r="VLT29" s="28"/>
      <c r="VLU29" s="28"/>
      <c r="VLV29" s="28"/>
      <c r="VLW29" s="28"/>
      <c r="VLX29" s="28"/>
      <c r="VLY29" s="28"/>
      <c r="VLZ29" s="28"/>
      <c r="VMA29" s="28"/>
      <c r="VMB29" s="28"/>
      <c r="VMC29" s="28"/>
      <c r="VMD29" s="28"/>
      <c r="VME29" s="28"/>
      <c r="VMF29" s="28"/>
      <c r="VMG29" s="28"/>
      <c r="VMH29" s="28"/>
      <c r="VMI29" s="28"/>
      <c r="VMJ29" s="28"/>
      <c r="VMK29" s="28"/>
      <c r="VML29" s="28"/>
      <c r="VMM29" s="28"/>
      <c r="VMN29" s="28"/>
      <c r="VMO29" s="28"/>
      <c r="VMP29" s="28"/>
      <c r="VMQ29" s="28"/>
      <c r="VMR29" s="28"/>
      <c r="VMS29" s="28"/>
      <c r="VMT29" s="28"/>
      <c r="VMU29" s="28"/>
      <c r="VMV29" s="28"/>
      <c r="VMW29" s="28"/>
      <c r="VMX29" s="28"/>
      <c r="VMY29" s="28"/>
      <c r="VMZ29" s="28"/>
      <c r="VNA29" s="28"/>
      <c r="VNB29" s="28"/>
      <c r="VNC29" s="28"/>
      <c r="VND29" s="28"/>
      <c r="VNE29" s="28"/>
      <c r="VNF29" s="28"/>
      <c r="VNG29" s="28"/>
      <c r="VNH29" s="28"/>
      <c r="VNI29" s="28"/>
      <c r="VNJ29" s="28"/>
      <c r="VNK29" s="28"/>
      <c r="VNL29" s="28"/>
      <c r="VNM29" s="28"/>
      <c r="VNN29" s="28"/>
      <c r="VNO29" s="28"/>
      <c r="VNP29" s="28"/>
      <c r="VNQ29" s="28"/>
      <c r="VNR29" s="28"/>
      <c r="VNS29" s="28"/>
      <c r="VNT29" s="28"/>
      <c r="VNU29" s="28"/>
      <c r="VNV29" s="28"/>
      <c r="VNW29" s="28"/>
      <c r="VNX29" s="28"/>
      <c r="VNY29" s="28"/>
      <c r="VNZ29" s="28"/>
      <c r="VOA29" s="28"/>
      <c r="VOB29" s="28"/>
      <c r="VOC29" s="28"/>
      <c r="VOD29" s="28"/>
      <c r="VOE29" s="28"/>
      <c r="VOF29" s="28"/>
      <c r="VOG29" s="28"/>
      <c r="VOH29" s="28"/>
      <c r="VOI29" s="28"/>
      <c r="VOJ29" s="28"/>
      <c r="VOK29" s="28"/>
      <c r="VOL29" s="28"/>
      <c r="VOM29" s="28"/>
      <c r="VON29" s="28"/>
      <c r="VOO29" s="28"/>
      <c r="VOP29" s="28"/>
      <c r="VOQ29" s="28"/>
      <c r="VOR29" s="28"/>
      <c r="VOS29" s="28"/>
      <c r="VOT29" s="28"/>
      <c r="VOU29" s="28"/>
      <c r="VOV29" s="28"/>
      <c r="VOW29" s="28"/>
      <c r="VOX29" s="28"/>
      <c r="VOY29" s="28"/>
      <c r="VOZ29" s="28"/>
      <c r="VPA29" s="28"/>
      <c r="VPB29" s="28"/>
      <c r="VPC29" s="28"/>
      <c r="VPD29" s="28"/>
      <c r="VPE29" s="28"/>
      <c r="VPF29" s="28"/>
      <c r="VPG29" s="28"/>
      <c r="VPH29" s="28"/>
      <c r="VPI29" s="28"/>
      <c r="VPJ29" s="28"/>
      <c r="VPK29" s="28"/>
      <c r="VPL29" s="28"/>
      <c r="VPM29" s="28"/>
      <c r="VPN29" s="28"/>
      <c r="VPO29" s="28"/>
      <c r="VPP29" s="28"/>
      <c r="VPQ29" s="28"/>
      <c r="VPR29" s="28"/>
      <c r="VPS29" s="28"/>
      <c r="VPT29" s="28"/>
      <c r="VPU29" s="28"/>
      <c r="VPV29" s="28"/>
      <c r="VPW29" s="28"/>
      <c r="VPX29" s="28"/>
      <c r="VPY29" s="28"/>
      <c r="VPZ29" s="28"/>
      <c r="VQA29" s="28"/>
      <c r="VQB29" s="28"/>
      <c r="VQC29" s="28"/>
      <c r="VQD29" s="28"/>
      <c r="VQE29" s="28"/>
      <c r="VQF29" s="28"/>
      <c r="VQG29" s="28"/>
      <c r="VQH29" s="28"/>
      <c r="VQI29" s="28"/>
      <c r="VQJ29" s="28"/>
      <c r="VQK29" s="28"/>
      <c r="VQL29" s="28"/>
      <c r="VQM29" s="28"/>
      <c r="VQN29" s="28"/>
      <c r="VQO29" s="28"/>
      <c r="VQP29" s="28"/>
      <c r="VQQ29" s="28"/>
      <c r="VQR29" s="28"/>
      <c r="VQS29" s="28"/>
      <c r="VQT29" s="28"/>
      <c r="VQU29" s="28"/>
      <c r="VQV29" s="28"/>
      <c r="VQW29" s="28"/>
      <c r="VQX29" s="28"/>
      <c r="VQY29" s="28"/>
      <c r="VQZ29" s="28"/>
      <c r="VRA29" s="28"/>
      <c r="VRB29" s="28"/>
      <c r="VRC29" s="28"/>
      <c r="VRD29" s="28"/>
      <c r="VRE29" s="28"/>
      <c r="VRF29" s="28"/>
      <c r="VRG29" s="28"/>
      <c r="VRH29" s="28"/>
      <c r="VRI29" s="28"/>
      <c r="VRJ29" s="28"/>
      <c r="VRK29" s="28"/>
      <c r="VRL29" s="28"/>
      <c r="VRM29" s="28"/>
      <c r="VRN29" s="28"/>
      <c r="VRO29" s="28"/>
      <c r="VRP29" s="28"/>
      <c r="VRQ29" s="28"/>
      <c r="VRR29" s="28"/>
      <c r="VRS29" s="28"/>
      <c r="VRT29" s="28"/>
      <c r="VRU29" s="28"/>
      <c r="VRV29" s="28"/>
      <c r="VRW29" s="28"/>
      <c r="VRX29" s="28"/>
      <c r="VRY29" s="28"/>
      <c r="VRZ29" s="28"/>
      <c r="VSA29" s="28"/>
      <c r="VSB29" s="28"/>
      <c r="VSC29" s="28"/>
      <c r="VSD29" s="28"/>
      <c r="VSE29" s="28"/>
      <c r="VSF29" s="28"/>
      <c r="VSG29" s="28"/>
      <c r="VSH29" s="28"/>
      <c r="VSI29" s="28"/>
      <c r="VSJ29" s="28"/>
      <c r="VSK29" s="28"/>
      <c r="VSL29" s="28"/>
      <c r="VSM29" s="28"/>
      <c r="VSN29" s="28"/>
      <c r="VSO29" s="28"/>
      <c r="VSP29" s="28"/>
      <c r="VSQ29" s="28"/>
      <c r="VSR29" s="28"/>
      <c r="VSS29" s="28"/>
      <c r="VST29" s="28"/>
      <c r="VSU29" s="28"/>
      <c r="VSV29" s="28"/>
      <c r="VSW29" s="28"/>
      <c r="VSX29" s="28"/>
      <c r="VSY29" s="28"/>
      <c r="VSZ29" s="28"/>
      <c r="VTA29" s="28"/>
      <c r="VTB29" s="28"/>
      <c r="VTC29" s="28"/>
      <c r="VTD29" s="28"/>
      <c r="VTE29" s="28"/>
      <c r="VTF29" s="28"/>
      <c r="VTG29" s="28"/>
      <c r="VTH29" s="28"/>
      <c r="VTI29" s="28"/>
      <c r="VTJ29" s="28"/>
      <c r="VTK29" s="28"/>
      <c r="VTL29" s="28"/>
      <c r="VTM29" s="28"/>
      <c r="VTN29" s="28"/>
      <c r="VTO29" s="28"/>
      <c r="VTP29" s="28"/>
      <c r="VTQ29" s="28"/>
      <c r="VTR29" s="28"/>
      <c r="VTS29" s="28"/>
      <c r="VTT29" s="28"/>
      <c r="VTU29" s="28"/>
      <c r="VTV29" s="28"/>
      <c r="VTW29" s="28"/>
      <c r="VTX29" s="28"/>
      <c r="VTY29" s="28"/>
      <c r="VTZ29" s="28"/>
      <c r="VUA29" s="28"/>
      <c r="VUB29" s="28"/>
      <c r="VUC29" s="28"/>
      <c r="VUD29" s="28"/>
      <c r="VUE29" s="28"/>
      <c r="VUF29" s="28"/>
      <c r="VUG29" s="28"/>
      <c r="VUH29" s="28"/>
      <c r="VUI29" s="28"/>
      <c r="VUJ29" s="28"/>
      <c r="VUK29" s="28"/>
      <c r="VUL29" s="28"/>
      <c r="VUM29" s="28"/>
      <c r="VUN29" s="28"/>
      <c r="VUO29" s="28"/>
      <c r="VUP29" s="28"/>
      <c r="VUQ29" s="28"/>
      <c r="VUR29" s="28"/>
      <c r="VUS29" s="28"/>
      <c r="VUT29" s="28"/>
      <c r="VUU29" s="28"/>
      <c r="VUV29" s="28"/>
      <c r="VUW29" s="28"/>
      <c r="VUX29" s="28"/>
      <c r="VUY29" s="28"/>
      <c r="VUZ29" s="28"/>
      <c r="VVA29" s="28"/>
      <c r="VVB29" s="28"/>
      <c r="VVC29" s="28"/>
      <c r="VVD29" s="28"/>
      <c r="VVE29" s="28"/>
      <c r="VVF29" s="28"/>
      <c r="VVG29" s="28"/>
      <c r="VVH29" s="28"/>
      <c r="VVI29" s="28"/>
      <c r="VVJ29" s="28"/>
      <c r="VVK29" s="28"/>
      <c r="VVL29" s="28"/>
      <c r="VVM29" s="28"/>
      <c r="VVN29" s="28"/>
      <c r="VVO29" s="28"/>
      <c r="VVP29" s="28"/>
      <c r="VVQ29" s="28"/>
      <c r="VVR29" s="28"/>
      <c r="VVS29" s="28"/>
      <c r="VVT29" s="28"/>
      <c r="VVU29" s="28"/>
      <c r="VVV29" s="28"/>
      <c r="VVW29" s="28"/>
      <c r="VVX29" s="28"/>
      <c r="VVY29" s="28"/>
      <c r="VVZ29" s="28"/>
      <c r="VWA29" s="28"/>
      <c r="VWB29" s="28"/>
      <c r="VWC29" s="28"/>
      <c r="VWD29" s="28"/>
      <c r="VWE29" s="28"/>
      <c r="VWF29" s="28"/>
      <c r="VWG29" s="28"/>
      <c r="VWH29" s="28"/>
      <c r="VWI29" s="28"/>
      <c r="VWJ29" s="28"/>
      <c r="VWK29" s="28"/>
      <c r="VWL29" s="28"/>
      <c r="VWM29" s="28"/>
      <c r="VWN29" s="28"/>
      <c r="VWO29" s="28"/>
      <c r="VWP29" s="28"/>
      <c r="VWQ29" s="28"/>
      <c r="VWR29" s="28"/>
      <c r="VWS29" s="28"/>
      <c r="VWT29" s="28"/>
      <c r="VWU29" s="28"/>
      <c r="VWV29" s="28"/>
      <c r="VWW29" s="28"/>
      <c r="VWX29" s="28"/>
      <c r="VWY29" s="28"/>
      <c r="VWZ29" s="28"/>
      <c r="VXA29" s="28"/>
      <c r="VXB29" s="28"/>
      <c r="VXC29" s="28"/>
      <c r="VXD29" s="28"/>
      <c r="VXE29" s="28"/>
      <c r="VXF29" s="28"/>
      <c r="VXG29" s="28"/>
      <c r="VXH29" s="28"/>
      <c r="VXI29" s="28"/>
      <c r="VXJ29" s="28"/>
      <c r="VXK29" s="28"/>
      <c r="VXL29" s="28"/>
      <c r="VXM29" s="28"/>
      <c r="VXN29" s="28"/>
      <c r="VXO29" s="28"/>
      <c r="VXP29" s="28"/>
      <c r="VXQ29" s="28"/>
      <c r="VXR29" s="28"/>
      <c r="VXS29" s="28"/>
      <c r="VXT29" s="28"/>
      <c r="VXU29" s="28"/>
      <c r="VXV29" s="28"/>
      <c r="VXW29" s="28"/>
      <c r="VXX29" s="28"/>
      <c r="VXY29" s="28"/>
      <c r="VXZ29" s="28"/>
      <c r="VYA29" s="28"/>
      <c r="VYB29" s="28"/>
      <c r="VYC29" s="28"/>
      <c r="VYD29" s="28"/>
      <c r="VYE29" s="28"/>
      <c r="VYF29" s="28"/>
      <c r="VYG29" s="28"/>
      <c r="VYH29" s="28"/>
      <c r="VYI29" s="28"/>
      <c r="VYJ29" s="28"/>
      <c r="VYK29" s="28"/>
      <c r="VYL29" s="28"/>
      <c r="VYM29" s="28"/>
      <c r="VYN29" s="28"/>
      <c r="VYO29" s="28"/>
      <c r="VYP29" s="28"/>
      <c r="VYQ29" s="28"/>
      <c r="VYR29" s="28"/>
      <c r="VYS29" s="28"/>
      <c r="VYT29" s="28"/>
      <c r="VYU29" s="28"/>
      <c r="VYV29" s="28"/>
      <c r="VYW29" s="28"/>
      <c r="VYX29" s="28"/>
      <c r="VYY29" s="28"/>
      <c r="VYZ29" s="28"/>
      <c r="VZA29" s="28"/>
      <c r="VZB29" s="28"/>
      <c r="VZC29" s="28"/>
      <c r="VZD29" s="28"/>
      <c r="VZE29" s="28"/>
      <c r="VZF29" s="28"/>
      <c r="VZG29" s="28"/>
      <c r="VZH29" s="28"/>
      <c r="VZI29" s="28"/>
      <c r="VZJ29" s="28"/>
      <c r="VZK29" s="28"/>
      <c r="VZL29" s="28"/>
      <c r="VZM29" s="28"/>
      <c r="VZN29" s="28"/>
      <c r="VZO29" s="28"/>
      <c r="VZP29" s="28"/>
      <c r="VZQ29" s="28"/>
      <c r="VZR29" s="28"/>
      <c r="VZS29" s="28"/>
      <c r="VZT29" s="28"/>
      <c r="VZU29" s="28"/>
      <c r="VZV29" s="28"/>
      <c r="VZW29" s="28"/>
      <c r="VZX29" s="28"/>
      <c r="VZY29" s="28"/>
      <c r="VZZ29" s="28"/>
      <c r="WAA29" s="28"/>
      <c r="WAB29" s="28"/>
      <c r="WAC29" s="28"/>
      <c r="WAD29" s="28"/>
      <c r="WAE29" s="28"/>
      <c r="WAF29" s="28"/>
      <c r="WAG29" s="28"/>
      <c r="WAH29" s="28"/>
      <c r="WAI29" s="28"/>
      <c r="WAJ29" s="28"/>
      <c r="WAK29" s="28"/>
      <c r="WAL29" s="28"/>
      <c r="WAM29" s="28"/>
      <c r="WAN29" s="28"/>
      <c r="WAO29" s="28"/>
      <c r="WAP29" s="28"/>
      <c r="WAQ29" s="28"/>
      <c r="WAR29" s="28"/>
      <c r="WAS29" s="28"/>
      <c r="WAT29" s="28"/>
      <c r="WAU29" s="28"/>
      <c r="WAV29" s="28"/>
      <c r="WAW29" s="28"/>
      <c r="WAX29" s="28"/>
      <c r="WAY29" s="28"/>
      <c r="WAZ29" s="28"/>
      <c r="WBA29" s="28"/>
      <c r="WBB29" s="28"/>
      <c r="WBC29" s="28"/>
      <c r="WBD29" s="28"/>
      <c r="WBE29" s="28"/>
      <c r="WBF29" s="28"/>
      <c r="WBG29" s="28"/>
      <c r="WBH29" s="28"/>
      <c r="WBI29" s="28"/>
      <c r="WBJ29" s="28"/>
      <c r="WBK29" s="28"/>
      <c r="WBL29" s="28"/>
      <c r="WBM29" s="28"/>
      <c r="WBN29" s="28"/>
      <c r="WBO29" s="28"/>
      <c r="WBP29" s="28"/>
      <c r="WBQ29" s="28"/>
      <c r="WBR29" s="28"/>
      <c r="WBS29" s="28"/>
      <c r="WBT29" s="28"/>
      <c r="WBU29" s="28"/>
      <c r="WBV29" s="28"/>
      <c r="WBW29" s="28"/>
      <c r="WBX29" s="28"/>
      <c r="WBY29" s="28"/>
      <c r="WBZ29" s="28"/>
      <c r="WCA29" s="28"/>
      <c r="WCB29" s="28"/>
      <c r="WCC29" s="28"/>
      <c r="WCD29" s="28"/>
      <c r="WCE29" s="28"/>
      <c r="WCF29" s="28"/>
      <c r="WCG29" s="28"/>
      <c r="WCH29" s="28"/>
      <c r="WCI29" s="28"/>
      <c r="WCJ29" s="28"/>
      <c r="WCK29" s="28"/>
      <c r="WCL29" s="28"/>
      <c r="WCM29" s="28"/>
      <c r="WCN29" s="28"/>
      <c r="WCO29" s="28"/>
      <c r="WCP29" s="28"/>
      <c r="WCQ29" s="28"/>
      <c r="WCR29" s="28"/>
      <c r="WCS29" s="28"/>
      <c r="WCT29" s="28"/>
      <c r="WCU29" s="28"/>
      <c r="WCV29" s="28"/>
      <c r="WCW29" s="28"/>
      <c r="WCX29" s="28"/>
      <c r="WCY29" s="28"/>
      <c r="WCZ29" s="28"/>
      <c r="WDA29" s="28"/>
      <c r="WDB29" s="28"/>
      <c r="WDC29" s="28"/>
      <c r="WDD29" s="28"/>
      <c r="WDE29" s="28"/>
      <c r="WDF29" s="28"/>
      <c r="WDG29" s="28"/>
      <c r="WDH29" s="28"/>
      <c r="WDI29" s="28"/>
      <c r="WDJ29" s="28"/>
      <c r="WDK29" s="28"/>
      <c r="WDL29" s="28"/>
      <c r="WDM29" s="28"/>
      <c r="WDN29" s="28"/>
      <c r="WDO29" s="28"/>
      <c r="WDP29" s="28"/>
      <c r="WDQ29" s="28"/>
      <c r="WDR29" s="28"/>
      <c r="WDS29" s="28"/>
      <c r="WDT29" s="28"/>
      <c r="WDU29" s="28"/>
      <c r="WDV29" s="28"/>
      <c r="WDW29" s="28"/>
      <c r="WDX29" s="28"/>
      <c r="WDY29" s="28"/>
      <c r="WDZ29" s="28"/>
      <c r="WEA29" s="28"/>
      <c r="WEB29" s="28"/>
      <c r="WEC29" s="28"/>
      <c r="WED29" s="28"/>
      <c r="WEE29" s="28"/>
      <c r="WEF29" s="28"/>
      <c r="WEG29" s="28"/>
      <c r="WEH29" s="28"/>
      <c r="WEI29" s="28"/>
      <c r="WEJ29" s="28"/>
      <c r="WEK29" s="28"/>
      <c r="WEL29" s="28"/>
      <c r="WEM29" s="28"/>
      <c r="WEN29" s="28"/>
      <c r="WEO29" s="28"/>
      <c r="WEP29" s="28"/>
      <c r="WEQ29" s="28"/>
      <c r="WER29" s="28"/>
      <c r="WES29" s="28"/>
      <c r="WET29" s="28"/>
      <c r="WEU29" s="28"/>
      <c r="WEV29" s="28"/>
      <c r="WEW29" s="28"/>
      <c r="WEX29" s="28"/>
      <c r="WEY29" s="28"/>
      <c r="WEZ29" s="28"/>
      <c r="WFA29" s="28"/>
      <c r="WFB29" s="28"/>
      <c r="WFC29" s="28"/>
      <c r="WFD29" s="28"/>
      <c r="WFE29" s="28"/>
      <c r="WFF29" s="28"/>
      <c r="WFG29" s="28"/>
      <c r="WFH29" s="28"/>
      <c r="WFI29" s="28"/>
      <c r="WFJ29" s="28"/>
      <c r="WFK29" s="28"/>
      <c r="WFL29" s="28"/>
      <c r="WFM29" s="28"/>
      <c r="WFN29" s="28"/>
      <c r="WFO29" s="28"/>
      <c r="WFP29" s="28"/>
      <c r="WFQ29" s="28"/>
      <c r="WFR29" s="28"/>
      <c r="WFS29" s="28"/>
      <c r="WFT29" s="28"/>
      <c r="WFU29" s="28"/>
      <c r="WFV29" s="28"/>
      <c r="WFW29" s="28"/>
      <c r="WFX29" s="28"/>
      <c r="WFY29" s="28"/>
      <c r="WFZ29" s="28"/>
      <c r="WGA29" s="28"/>
      <c r="WGB29" s="28"/>
      <c r="WGC29" s="28"/>
      <c r="WGD29" s="28"/>
      <c r="WGE29" s="28"/>
      <c r="WGF29" s="28"/>
      <c r="WGG29" s="28"/>
      <c r="WGH29" s="28"/>
      <c r="WGI29" s="28"/>
      <c r="WGJ29" s="28"/>
      <c r="WGK29" s="28"/>
      <c r="WGL29" s="28"/>
      <c r="WGM29" s="28"/>
      <c r="WGN29" s="28"/>
      <c r="WGO29" s="28"/>
      <c r="WGP29" s="28"/>
      <c r="WGQ29" s="28"/>
      <c r="WGR29" s="28"/>
      <c r="WGS29" s="28"/>
      <c r="WGT29" s="28"/>
      <c r="WGU29" s="28"/>
      <c r="WGV29" s="28"/>
      <c r="WGW29" s="28"/>
      <c r="WGX29" s="28"/>
      <c r="WGY29" s="28"/>
      <c r="WGZ29" s="28"/>
      <c r="WHA29" s="28"/>
      <c r="WHB29" s="28"/>
      <c r="WHC29" s="28"/>
      <c r="WHD29" s="28"/>
      <c r="WHE29" s="28"/>
      <c r="WHF29" s="28"/>
      <c r="WHG29" s="28"/>
      <c r="WHH29" s="28"/>
      <c r="WHI29" s="28"/>
      <c r="WHJ29" s="28"/>
      <c r="WHK29" s="28"/>
      <c r="WHL29" s="28"/>
      <c r="WHM29" s="28"/>
      <c r="WHN29" s="28"/>
      <c r="WHO29" s="28"/>
      <c r="WHP29" s="28"/>
      <c r="WHQ29" s="28"/>
      <c r="WHR29" s="28"/>
      <c r="WHS29" s="28"/>
      <c r="WHT29" s="28"/>
      <c r="WHU29" s="28"/>
      <c r="WHV29" s="28"/>
      <c r="WHW29" s="28"/>
      <c r="WHX29" s="28"/>
      <c r="WHY29" s="28"/>
      <c r="WHZ29" s="28"/>
      <c r="WIA29" s="28"/>
      <c r="WIB29" s="28"/>
      <c r="WIC29" s="28"/>
      <c r="WID29" s="28"/>
      <c r="WIE29" s="28"/>
      <c r="WIF29" s="28"/>
      <c r="WIG29" s="28"/>
      <c r="WIH29" s="28"/>
      <c r="WII29" s="28"/>
      <c r="WIJ29" s="28"/>
      <c r="WIK29" s="28"/>
      <c r="WIL29" s="28"/>
      <c r="WIM29" s="28"/>
      <c r="WIN29" s="28"/>
      <c r="WIO29" s="28"/>
      <c r="WIP29" s="28"/>
      <c r="WIQ29" s="28"/>
      <c r="WIR29" s="28"/>
      <c r="WIS29" s="28"/>
      <c r="WIT29" s="28"/>
      <c r="WIU29" s="28"/>
      <c r="WIV29" s="28"/>
      <c r="WIW29" s="28"/>
      <c r="WIX29" s="28"/>
      <c r="WIY29" s="28"/>
      <c r="WIZ29" s="28"/>
      <c r="WJA29" s="28"/>
      <c r="WJB29" s="28"/>
      <c r="WJC29" s="28"/>
      <c r="WJD29" s="28"/>
      <c r="WJE29" s="28"/>
      <c r="WJF29" s="28"/>
      <c r="WJG29" s="28"/>
      <c r="WJH29" s="28"/>
      <c r="WJI29" s="28"/>
      <c r="WJJ29" s="28"/>
      <c r="WJK29" s="28"/>
      <c r="WJL29" s="28"/>
      <c r="WJM29" s="28"/>
      <c r="WJN29" s="28"/>
      <c r="WJO29" s="28"/>
      <c r="WJP29" s="28"/>
      <c r="WJQ29" s="28"/>
      <c r="WJR29" s="28"/>
      <c r="WJS29" s="28"/>
      <c r="WJT29" s="28"/>
      <c r="WJU29" s="28"/>
      <c r="WJV29" s="28"/>
      <c r="WJW29" s="28"/>
      <c r="WJX29" s="28"/>
      <c r="WJY29" s="28"/>
      <c r="WJZ29" s="28"/>
      <c r="WKA29" s="28"/>
      <c r="WKB29" s="28"/>
      <c r="WKC29" s="28"/>
      <c r="WKD29" s="28"/>
      <c r="WKE29" s="28"/>
      <c r="WKF29" s="28"/>
      <c r="WKG29" s="28"/>
      <c r="WKH29" s="28"/>
      <c r="WKI29" s="28"/>
      <c r="WKJ29" s="28"/>
      <c r="WKK29" s="28"/>
      <c r="WKL29" s="28"/>
      <c r="WKM29" s="28"/>
      <c r="WKN29" s="28"/>
      <c r="WKO29" s="28"/>
      <c r="WKP29" s="28"/>
      <c r="WKQ29" s="28"/>
      <c r="WKR29" s="28"/>
      <c r="WKS29" s="28"/>
      <c r="WKT29" s="28"/>
      <c r="WKU29" s="28"/>
      <c r="WKV29" s="28"/>
      <c r="WKW29" s="28"/>
      <c r="WKX29" s="28"/>
      <c r="WKY29" s="28"/>
      <c r="WKZ29" s="28"/>
      <c r="WLA29" s="28"/>
      <c r="WLB29" s="28"/>
      <c r="WLC29" s="28"/>
      <c r="WLD29" s="28"/>
      <c r="WLE29" s="28"/>
      <c r="WLF29" s="28"/>
      <c r="WLG29" s="28"/>
      <c r="WLH29" s="28"/>
      <c r="WLI29" s="28"/>
      <c r="WLJ29" s="28"/>
      <c r="WLK29" s="28"/>
      <c r="WLL29" s="28"/>
      <c r="WLM29" s="28"/>
      <c r="WLN29" s="28"/>
      <c r="WLO29" s="28"/>
      <c r="WLP29" s="28"/>
      <c r="WLQ29" s="28"/>
      <c r="WLR29" s="28"/>
      <c r="WLS29" s="28"/>
      <c r="WLT29" s="28"/>
      <c r="WLU29" s="28"/>
      <c r="WLV29" s="28"/>
      <c r="WLW29" s="28"/>
      <c r="WLX29" s="28"/>
      <c r="WLY29" s="28"/>
      <c r="WLZ29" s="28"/>
      <c r="WMA29" s="28"/>
      <c r="WMB29" s="28"/>
      <c r="WMC29" s="28"/>
      <c r="WMD29" s="28"/>
      <c r="WME29" s="28"/>
      <c r="WMF29" s="28"/>
      <c r="WMG29" s="28"/>
      <c r="WMH29" s="28"/>
      <c r="WMI29" s="28"/>
      <c r="WMJ29" s="28"/>
      <c r="WMK29" s="28"/>
      <c r="WML29" s="28"/>
      <c r="WMM29" s="28"/>
      <c r="WMN29" s="28"/>
      <c r="WMO29" s="28"/>
      <c r="WMP29" s="28"/>
      <c r="WMQ29" s="28"/>
      <c r="WMR29" s="28"/>
      <c r="WMS29" s="28"/>
      <c r="WMT29" s="28"/>
      <c r="WMU29" s="28"/>
      <c r="WMV29" s="28"/>
      <c r="WMW29" s="28"/>
      <c r="WMX29" s="28"/>
      <c r="WMY29" s="28"/>
      <c r="WMZ29" s="28"/>
      <c r="WNA29" s="28"/>
      <c r="WNB29" s="28"/>
      <c r="WNC29" s="28"/>
      <c r="WND29" s="28"/>
      <c r="WNE29" s="28"/>
      <c r="WNF29" s="28"/>
      <c r="WNG29" s="28"/>
      <c r="WNH29" s="28"/>
      <c r="WNI29" s="28"/>
      <c r="WNJ29" s="28"/>
      <c r="WNK29" s="28"/>
      <c r="WNL29" s="28"/>
      <c r="WNM29" s="28"/>
      <c r="WNN29" s="28"/>
      <c r="WNO29" s="28"/>
      <c r="WNP29" s="28"/>
      <c r="WNQ29" s="28"/>
      <c r="WNR29" s="28"/>
      <c r="WNS29" s="28"/>
      <c r="WNT29" s="28"/>
      <c r="WNU29" s="28"/>
      <c r="WNV29" s="28"/>
      <c r="WNW29" s="28"/>
      <c r="WNX29" s="28"/>
      <c r="WNY29" s="28"/>
      <c r="WNZ29" s="28"/>
      <c r="WOA29" s="28"/>
      <c r="WOB29" s="28"/>
      <c r="WOC29" s="28"/>
      <c r="WOD29" s="28"/>
      <c r="WOE29" s="28"/>
      <c r="WOF29" s="28"/>
      <c r="WOG29" s="28"/>
      <c r="WOH29" s="28"/>
      <c r="WOI29" s="28"/>
      <c r="WOJ29" s="28"/>
      <c r="WOK29" s="28"/>
      <c r="WOL29" s="28"/>
      <c r="WOM29" s="28"/>
      <c r="WON29" s="28"/>
      <c r="WOO29" s="28"/>
      <c r="WOP29" s="28"/>
      <c r="WOQ29" s="28"/>
      <c r="WOR29" s="28"/>
      <c r="WOS29" s="28"/>
      <c r="WOT29" s="28"/>
      <c r="WOU29" s="28"/>
      <c r="WOV29" s="28"/>
      <c r="WOW29" s="28"/>
      <c r="WOX29" s="28"/>
      <c r="WOY29" s="28"/>
      <c r="WOZ29" s="28"/>
      <c r="WPA29" s="28"/>
      <c r="WPB29" s="28"/>
      <c r="WPC29" s="28"/>
      <c r="WPD29" s="28"/>
      <c r="WPE29" s="28"/>
      <c r="WPF29" s="28"/>
      <c r="WPG29" s="28"/>
      <c r="WPH29" s="28"/>
      <c r="WPI29" s="28"/>
      <c r="WPJ29" s="28"/>
      <c r="WPK29" s="28"/>
      <c r="WPL29" s="28"/>
      <c r="WPM29" s="28"/>
      <c r="WPN29" s="28"/>
      <c r="WPO29" s="28"/>
      <c r="WPP29" s="28"/>
      <c r="WPQ29" s="28"/>
      <c r="WPR29" s="28"/>
      <c r="WPS29" s="28"/>
      <c r="WPT29" s="28"/>
      <c r="WPU29" s="28"/>
      <c r="WPV29" s="28"/>
      <c r="WPW29" s="28"/>
      <c r="WPX29" s="28"/>
      <c r="WPY29" s="28"/>
      <c r="WPZ29" s="28"/>
      <c r="WQA29" s="28"/>
      <c r="WQB29" s="28"/>
      <c r="WQC29" s="28"/>
      <c r="WQD29" s="28"/>
      <c r="WQE29" s="28"/>
      <c r="WQF29" s="28"/>
      <c r="WQG29" s="28"/>
      <c r="WQH29" s="28"/>
      <c r="WQI29" s="28"/>
      <c r="WQJ29" s="28"/>
      <c r="WQK29" s="28"/>
      <c r="WQL29" s="28"/>
      <c r="WQM29" s="28"/>
      <c r="WQN29" s="28"/>
      <c r="WQO29" s="28"/>
      <c r="WQP29" s="28"/>
      <c r="WQQ29" s="28"/>
      <c r="WQR29" s="28"/>
      <c r="WQS29" s="28"/>
      <c r="WQT29" s="28"/>
      <c r="WQU29" s="28"/>
      <c r="WQV29" s="28"/>
      <c r="WQW29" s="28"/>
      <c r="WQX29" s="28"/>
      <c r="WQY29" s="28"/>
      <c r="WQZ29" s="28"/>
      <c r="WRA29" s="28"/>
      <c r="WRB29" s="28"/>
      <c r="WRC29" s="28"/>
      <c r="WRD29" s="28"/>
      <c r="WRE29" s="28"/>
      <c r="WRF29" s="28"/>
      <c r="WRG29" s="28"/>
      <c r="WRH29" s="28"/>
      <c r="WRI29" s="28"/>
      <c r="WRJ29" s="28"/>
      <c r="WRK29" s="28"/>
      <c r="WRL29" s="28"/>
      <c r="WRM29" s="28"/>
      <c r="WRN29" s="28"/>
      <c r="WRO29" s="28"/>
      <c r="WRP29" s="28"/>
      <c r="WRQ29" s="28"/>
      <c r="WRR29" s="28"/>
      <c r="WRS29" s="28"/>
      <c r="WRT29" s="28"/>
      <c r="WRU29" s="28"/>
      <c r="WRV29" s="28"/>
      <c r="WRW29" s="28"/>
      <c r="WRX29" s="28"/>
      <c r="WRY29" s="28"/>
      <c r="WRZ29" s="28"/>
      <c r="WSA29" s="28"/>
      <c r="WSB29" s="28"/>
      <c r="WSC29" s="28"/>
      <c r="WSD29" s="28"/>
      <c r="WSE29" s="28"/>
      <c r="WSF29" s="28"/>
      <c r="WSG29" s="28"/>
      <c r="WSH29" s="28"/>
      <c r="WSI29" s="28"/>
      <c r="WSJ29" s="28"/>
      <c r="WSK29" s="28"/>
      <c r="WSL29" s="28"/>
      <c r="WSM29" s="28"/>
      <c r="WSN29" s="28"/>
      <c r="WSO29" s="28"/>
      <c r="WSP29" s="28"/>
      <c r="WSQ29" s="28"/>
      <c r="WSR29" s="28"/>
      <c r="WSS29" s="28"/>
      <c r="WST29" s="28"/>
      <c r="WSU29" s="28"/>
      <c r="WSV29" s="28"/>
      <c r="WSW29" s="28"/>
      <c r="WSX29" s="28"/>
      <c r="WSY29" s="28"/>
      <c r="WSZ29" s="28"/>
      <c r="WTA29" s="28"/>
      <c r="WTB29" s="28"/>
      <c r="WTC29" s="28"/>
      <c r="WTD29" s="28"/>
      <c r="WTE29" s="28"/>
      <c r="WTF29" s="28"/>
      <c r="WTG29" s="28"/>
      <c r="WTH29" s="28"/>
      <c r="WTI29" s="28"/>
      <c r="WTJ29" s="28"/>
      <c r="WTK29" s="28"/>
      <c r="WTL29" s="28"/>
      <c r="WTM29" s="28"/>
      <c r="WTN29" s="28"/>
      <c r="WTO29" s="28"/>
      <c r="WTP29" s="28"/>
      <c r="WTQ29" s="28"/>
      <c r="WTR29" s="28"/>
      <c r="WTS29" s="28"/>
      <c r="WTT29" s="28"/>
      <c r="WTU29" s="28"/>
      <c r="WTV29" s="28"/>
      <c r="WTW29" s="28"/>
      <c r="WTX29" s="28"/>
      <c r="WTY29" s="28"/>
      <c r="WTZ29" s="28"/>
      <c r="WUA29" s="28"/>
      <c r="WUB29" s="28"/>
      <c r="WUC29" s="28"/>
      <c r="WUD29" s="28"/>
      <c r="WUE29" s="28"/>
      <c r="WUF29" s="28"/>
      <c r="WUG29" s="28"/>
      <c r="WUH29" s="28"/>
      <c r="WUI29" s="28"/>
      <c r="WUJ29" s="28"/>
      <c r="WUK29" s="28"/>
      <c r="WUL29" s="28"/>
      <c r="WUM29" s="28"/>
      <c r="WUN29" s="28"/>
      <c r="WUO29" s="28"/>
      <c r="WUP29" s="28"/>
      <c r="WUQ29" s="28"/>
      <c r="WUR29" s="28"/>
      <c r="WUS29" s="28"/>
      <c r="WUT29" s="28"/>
      <c r="WUU29" s="28"/>
      <c r="WUV29" s="28"/>
      <c r="WUW29" s="28"/>
      <c r="WUX29" s="28"/>
      <c r="WUY29" s="28"/>
      <c r="WUZ29" s="28"/>
      <c r="WVA29" s="28"/>
      <c r="WVB29" s="28"/>
      <c r="WVC29" s="28"/>
      <c r="WVD29" s="28"/>
      <c r="WVE29" s="28"/>
      <c r="WVF29" s="28"/>
      <c r="WVG29" s="28"/>
      <c r="WVH29" s="28"/>
      <c r="WVI29" s="28"/>
      <c r="WVJ29" s="28"/>
      <c r="WVK29" s="28"/>
      <c r="WVL29" s="28"/>
      <c r="WVM29" s="28"/>
      <c r="WVN29" s="28"/>
      <c r="WVO29" s="28"/>
      <c r="WVP29" s="28"/>
      <c r="WVQ29" s="28"/>
      <c r="WVR29" s="28"/>
      <c r="WVS29" s="28"/>
      <c r="WVT29" s="28"/>
      <c r="WVU29" s="28"/>
      <c r="WVV29" s="28"/>
      <c r="WVW29" s="28"/>
      <c r="WVX29" s="28"/>
      <c r="WVY29" s="28"/>
      <c r="WVZ29" s="28"/>
      <c r="WWA29" s="28"/>
      <c r="WWB29" s="28"/>
      <c r="WWC29" s="28"/>
      <c r="WWD29" s="28"/>
      <c r="WWE29" s="28"/>
      <c r="WWF29" s="28"/>
      <c r="WWG29" s="28"/>
      <c r="WWH29" s="28"/>
      <c r="WWI29" s="28"/>
      <c r="WWJ29" s="28"/>
      <c r="WWK29" s="28"/>
      <c r="WWL29" s="28"/>
      <c r="WWM29" s="28"/>
      <c r="WWN29" s="28"/>
      <c r="WWO29" s="28"/>
      <c r="WWP29" s="28"/>
      <c r="WWQ29" s="28"/>
      <c r="WWR29" s="28"/>
      <c r="WWS29" s="28"/>
      <c r="WWT29" s="28"/>
      <c r="WWU29" s="28"/>
      <c r="WWV29" s="28"/>
      <c r="WWW29" s="28"/>
      <c r="WWX29" s="28"/>
      <c r="WWY29" s="28"/>
      <c r="WWZ29" s="28"/>
      <c r="WXA29" s="28"/>
      <c r="WXB29" s="28"/>
      <c r="WXC29" s="28"/>
      <c r="WXD29" s="28"/>
      <c r="WXE29" s="28"/>
      <c r="WXF29" s="28"/>
      <c r="WXG29" s="28"/>
      <c r="WXH29" s="28"/>
      <c r="WXI29" s="28"/>
      <c r="WXJ29" s="28"/>
      <c r="WXK29" s="28"/>
      <c r="WXL29" s="28"/>
      <c r="WXM29" s="28"/>
      <c r="WXN29" s="28"/>
      <c r="WXO29" s="28"/>
      <c r="WXP29" s="28"/>
      <c r="WXQ29" s="28"/>
      <c r="WXR29" s="28"/>
      <c r="WXS29" s="28"/>
      <c r="WXT29" s="28"/>
      <c r="WXU29" s="28"/>
      <c r="WXV29" s="28"/>
      <c r="WXW29" s="28"/>
      <c r="WXX29" s="28"/>
      <c r="WXY29" s="28"/>
      <c r="WXZ29" s="28"/>
      <c r="WYA29" s="28"/>
      <c r="WYB29" s="28"/>
      <c r="WYC29" s="28"/>
      <c r="WYD29" s="28"/>
      <c r="WYE29" s="28"/>
      <c r="WYF29" s="28"/>
      <c r="WYG29" s="28"/>
      <c r="WYH29" s="28"/>
      <c r="WYI29" s="28"/>
      <c r="WYJ29" s="28"/>
      <c r="WYK29" s="28"/>
      <c r="WYL29" s="28"/>
      <c r="WYM29" s="28"/>
      <c r="WYN29" s="28"/>
      <c r="WYO29" s="28"/>
      <c r="WYP29" s="28"/>
      <c r="WYQ29" s="28"/>
      <c r="WYR29" s="28"/>
      <c r="WYS29" s="28"/>
      <c r="WYT29" s="28"/>
      <c r="WYU29" s="28"/>
      <c r="WYV29" s="28"/>
      <c r="WYW29" s="28"/>
      <c r="WYX29" s="28"/>
      <c r="WYY29" s="28"/>
      <c r="WYZ29" s="28"/>
      <c r="WZA29" s="28"/>
      <c r="WZB29" s="28"/>
      <c r="WZC29" s="28"/>
      <c r="WZD29" s="28"/>
      <c r="WZE29" s="28"/>
      <c r="WZF29" s="28"/>
      <c r="WZG29" s="28"/>
      <c r="WZH29" s="28"/>
      <c r="WZI29" s="28"/>
      <c r="WZJ29" s="28"/>
      <c r="WZK29" s="28"/>
      <c r="WZL29" s="28"/>
      <c r="WZM29" s="28"/>
      <c r="WZN29" s="28"/>
      <c r="WZO29" s="28"/>
      <c r="WZP29" s="28"/>
      <c r="WZQ29" s="28"/>
      <c r="WZR29" s="28"/>
      <c r="WZS29" s="28"/>
      <c r="WZT29" s="28"/>
      <c r="WZU29" s="28"/>
      <c r="WZV29" s="28"/>
      <c r="WZW29" s="28"/>
      <c r="WZX29" s="28"/>
      <c r="WZY29" s="28"/>
      <c r="WZZ29" s="28"/>
      <c r="XAA29" s="28"/>
      <c r="XAB29" s="28"/>
      <c r="XAC29" s="28"/>
      <c r="XAD29" s="28"/>
      <c r="XAE29" s="28"/>
      <c r="XAF29" s="28"/>
      <c r="XAG29" s="28"/>
      <c r="XAH29" s="28"/>
      <c r="XAI29" s="28"/>
      <c r="XAJ29" s="28"/>
      <c r="XAK29" s="28"/>
      <c r="XAL29" s="28"/>
      <c r="XAM29" s="28"/>
      <c r="XAN29" s="28"/>
      <c r="XAO29" s="28"/>
      <c r="XAP29" s="28"/>
      <c r="XAQ29" s="28"/>
      <c r="XAR29" s="28"/>
      <c r="XAS29" s="28"/>
      <c r="XAT29" s="28"/>
      <c r="XAU29" s="28"/>
      <c r="XAV29" s="28"/>
      <c r="XAW29" s="28"/>
      <c r="XAX29" s="28"/>
      <c r="XAY29" s="28"/>
      <c r="XAZ29" s="28"/>
      <c r="XBA29" s="28"/>
      <c r="XBB29" s="28"/>
      <c r="XBC29" s="28"/>
      <c r="XBD29" s="28"/>
      <c r="XBE29" s="28"/>
      <c r="XBF29" s="28"/>
      <c r="XBG29" s="28"/>
      <c r="XBH29" s="28"/>
      <c r="XBI29" s="28"/>
      <c r="XBJ29" s="28"/>
      <c r="XBK29" s="28"/>
      <c r="XBL29" s="28"/>
      <c r="XBM29" s="28"/>
      <c r="XBN29" s="28"/>
      <c r="XBO29" s="28"/>
      <c r="XBP29" s="28"/>
      <c r="XBQ29" s="28"/>
      <c r="XBR29" s="28"/>
      <c r="XBS29" s="28"/>
      <c r="XBT29" s="28"/>
      <c r="XBU29" s="28"/>
      <c r="XBV29" s="28"/>
      <c r="XBW29" s="28"/>
      <c r="XBX29" s="28"/>
      <c r="XBY29" s="28"/>
      <c r="XBZ29" s="28"/>
      <c r="XCA29" s="28"/>
      <c r="XCB29" s="28"/>
      <c r="XCC29" s="28"/>
      <c r="XCD29" s="28"/>
      <c r="XCE29" s="28"/>
      <c r="XCF29" s="28"/>
      <c r="XCG29" s="28"/>
      <c r="XCH29" s="28"/>
      <c r="XCI29" s="28"/>
      <c r="XCJ29" s="28"/>
      <c r="XCK29" s="28"/>
      <c r="XCL29" s="28"/>
      <c r="XCM29" s="28"/>
      <c r="XCN29" s="28"/>
      <c r="XCO29" s="28"/>
      <c r="XCP29" s="28"/>
      <c r="XCQ29" s="28"/>
      <c r="XCR29" s="28"/>
      <c r="XCS29" s="28"/>
      <c r="XCT29" s="28"/>
      <c r="XCU29" s="28"/>
      <c r="XCV29" s="28"/>
      <c r="XCW29" s="28"/>
      <c r="XCX29" s="28"/>
      <c r="XCY29" s="28"/>
      <c r="XCZ29" s="28"/>
      <c r="XDA29" s="28"/>
      <c r="XDB29" s="28"/>
      <c r="XDC29" s="28"/>
      <c r="XDD29" s="28"/>
      <c r="XDE29" s="28"/>
      <c r="XDF29" s="28"/>
      <c r="XDG29" s="28"/>
      <c r="XDH29" s="28"/>
      <c r="XDI29" s="28"/>
      <c r="XDJ29" s="28"/>
      <c r="XDK29" s="28"/>
      <c r="XDL29" s="28"/>
      <c r="XDM29" s="28"/>
      <c r="XDN29" s="28"/>
      <c r="XDO29" s="28"/>
      <c r="XDP29" s="28"/>
      <c r="XDQ29" s="28"/>
      <c r="XDR29" s="28"/>
      <c r="XDS29" s="28"/>
      <c r="XDT29" s="28"/>
      <c r="XDU29" s="28"/>
      <c r="XDV29" s="28"/>
      <c r="XDW29" s="28"/>
      <c r="XDX29" s="28"/>
      <c r="XDY29" s="28"/>
      <c r="XDZ29" s="28"/>
      <c r="XEA29" s="28"/>
      <c r="XEB29" s="28"/>
      <c r="XEC29" s="28"/>
      <c r="XED29" s="28"/>
      <c r="XEE29" s="28"/>
      <c r="XEF29" s="28"/>
      <c r="XEG29" s="28"/>
      <c r="XEH29" s="28"/>
      <c r="XEI29" s="28"/>
      <c r="XEJ29" s="28"/>
      <c r="XEK29" s="28"/>
      <c r="XEL29" s="28"/>
      <c r="XEM29" s="28"/>
      <c r="XEN29" s="28"/>
      <c r="XEO29" s="28"/>
      <c r="XEP29" s="28"/>
      <c r="XEQ29" s="28"/>
      <c r="XER29" s="28"/>
    </row>
    <row r="30" spans="2:16382" ht="15.75" x14ac:dyDescent="0.25">
      <c r="B30" s="236"/>
      <c r="C30" s="47"/>
      <c r="D30" s="175" t="s">
        <v>1373</v>
      </c>
      <c r="E30" s="177">
        <v>200</v>
      </c>
      <c r="F30" s="177">
        <v>100</v>
      </c>
      <c r="G30" s="177"/>
      <c r="H30" s="177"/>
      <c r="I30" s="177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  <c r="BR30" s="28"/>
      <c r="BS30" s="28"/>
      <c r="BT30" s="28"/>
      <c r="BU30" s="28"/>
      <c r="BV30" s="28"/>
      <c r="BW30" s="28"/>
      <c r="BX30" s="28"/>
      <c r="BY30" s="28"/>
      <c r="BZ30" s="28"/>
      <c r="CA30" s="28"/>
      <c r="CB30" s="28"/>
      <c r="CC30" s="28"/>
      <c r="CD30" s="28"/>
      <c r="CE30" s="28"/>
      <c r="CF30" s="28"/>
      <c r="CG30" s="28"/>
      <c r="CH30" s="28"/>
      <c r="CI30" s="28"/>
      <c r="CJ30" s="28"/>
      <c r="CK30" s="28"/>
      <c r="CL30" s="28"/>
      <c r="CM30" s="28"/>
      <c r="CN30" s="28"/>
      <c r="CO30" s="28"/>
      <c r="CP30" s="28"/>
      <c r="CQ30" s="28"/>
      <c r="CR30" s="28"/>
      <c r="CS30" s="28"/>
      <c r="CT30" s="28"/>
      <c r="CU30" s="28"/>
      <c r="CV30" s="28"/>
      <c r="CW30" s="28"/>
      <c r="CX30" s="28"/>
      <c r="CY30" s="28"/>
      <c r="CZ30" s="28"/>
      <c r="DA30" s="28"/>
      <c r="DB30" s="28"/>
      <c r="DC30" s="28"/>
      <c r="DD30" s="28"/>
      <c r="DE30" s="28"/>
      <c r="DF30" s="28"/>
      <c r="DG30" s="28"/>
      <c r="DH30" s="28"/>
      <c r="DI30" s="28"/>
      <c r="DJ30" s="28"/>
      <c r="DK30" s="28"/>
      <c r="DL30" s="28"/>
      <c r="DM30" s="28"/>
      <c r="DN30" s="28"/>
      <c r="DO30" s="28"/>
      <c r="DP30" s="28"/>
      <c r="DQ30" s="28"/>
      <c r="DR30" s="28"/>
      <c r="DS30" s="28"/>
      <c r="DT30" s="28"/>
      <c r="DU30" s="28"/>
      <c r="DV30" s="28"/>
      <c r="DW30" s="28"/>
      <c r="DX30" s="28"/>
      <c r="DY30" s="28"/>
      <c r="DZ30" s="28"/>
      <c r="EA30" s="28"/>
      <c r="EB30" s="28"/>
      <c r="EC30" s="28"/>
      <c r="ED30" s="28"/>
      <c r="EE30" s="28"/>
      <c r="EF30" s="28"/>
      <c r="EG30" s="28"/>
      <c r="EH30" s="28"/>
      <c r="EI30" s="28"/>
      <c r="EJ30" s="28"/>
      <c r="EK30" s="28"/>
      <c r="EL30" s="28"/>
      <c r="EM30" s="28"/>
      <c r="EN30" s="28"/>
      <c r="EO30" s="28"/>
      <c r="EP30" s="28"/>
      <c r="EQ30" s="28"/>
      <c r="ER30" s="28"/>
      <c r="ES30" s="28"/>
      <c r="ET30" s="28"/>
      <c r="EU30" s="28"/>
      <c r="EV30" s="28"/>
      <c r="EW30" s="28"/>
      <c r="EX30" s="28"/>
      <c r="EY30" s="28"/>
      <c r="EZ30" s="28"/>
      <c r="FA30" s="28"/>
      <c r="FB30" s="28"/>
      <c r="FC30" s="28"/>
      <c r="FD30" s="28"/>
      <c r="FE30" s="28"/>
      <c r="FF30" s="28"/>
      <c r="FG30" s="28"/>
      <c r="FH30" s="28"/>
      <c r="FI30" s="28"/>
      <c r="FJ30" s="28"/>
      <c r="FK30" s="28"/>
      <c r="FL30" s="28"/>
      <c r="FM30" s="28"/>
      <c r="FN30" s="28"/>
      <c r="FO30" s="28"/>
      <c r="FP30" s="28"/>
      <c r="FQ30" s="28"/>
      <c r="FR30" s="28"/>
      <c r="FS30" s="28"/>
      <c r="FT30" s="28"/>
      <c r="FU30" s="28"/>
      <c r="FV30" s="28"/>
      <c r="FW30" s="28"/>
      <c r="FX30" s="28"/>
      <c r="FY30" s="28"/>
      <c r="FZ30" s="28"/>
      <c r="GA30" s="28"/>
      <c r="GB30" s="28"/>
      <c r="GC30" s="28"/>
      <c r="GD30" s="28"/>
      <c r="GE30" s="28"/>
      <c r="GF30" s="28"/>
      <c r="GG30" s="28"/>
      <c r="GH30" s="28"/>
      <c r="GI30" s="28"/>
      <c r="GJ30" s="28"/>
      <c r="GK30" s="28"/>
      <c r="GL30" s="28"/>
      <c r="GM30" s="28"/>
      <c r="GN30" s="28"/>
      <c r="GO30" s="28"/>
      <c r="GP30" s="28"/>
      <c r="GQ30" s="28"/>
      <c r="GR30" s="28"/>
      <c r="GS30" s="28"/>
      <c r="GT30" s="28"/>
      <c r="GU30" s="28"/>
      <c r="GV30" s="28"/>
      <c r="GW30" s="28"/>
      <c r="GX30" s="28"/>
      <c r="GY30" s="28"/>
      <c r="GZ30" s="28"/>
      <c r="HA30" s="28"/>
      <c r="HB30" s="28"/>
      <c r="HC30" s="28"/>
      <c r="HD30" s="28"/>
      <c r="HE30" s="28"/>
      <c r="HF30" s="28"/>
      <c r="HG30" s="28"/>
      <c r="HH30" s="28"/>
      <c r="HI30" s="28"/>
      <c r="HJ30" s="28"/>
      <c r="HK30" s="28"/>
      <c r="HL30" s="28"/>
      <c r="HM30" s="28"/>
      <c r="HN30" s="28"/>
      <c r="HO30" s="28"/>
      <c r="HP30" s="28"/>
      <c r="HQ30" s="28"/>
      <c r="HR30" s="28"/>
      <c r="HS30" s="28"/>
      <c r="HT30" s="28"/>
      <c r="HU30" s="28"/>
      <c r="HV30" s="28"/>
      <c r="HW30" s="28"/>
      <c r="HX30" s="28"/>
      <c r="HY30" s="28"/>
      <c r="HZ30" s="28"/>
      <c r="IA30" s="28"/>
      <c r="IB30" s="28"/>
      <c r="IC30" s="28"/>
      <c r="ID30" s="28"/>
      <c r="IE30" s="28"/>
      <c r="IF30" s="28"/>
      <c r="IG30" s="28"/>
      <c r="IH30" s="28"/>
      <c r="II30" s="28"/>
      <c r="IJ30" s="28"/>
      <c r="IK30" s="28"/>
      <c r="IL30" s="28"/>
      <c r="IM30" s="28"/>
      <c r="IN30" s="28"/>
      <c r="IO30" s="28"/>
      <c r="IP30" s="28"/>
      <c r="IQ30" s="28"/>
      <c r="IR30" s="28"/>
      <c r="IS30" s="28"/>
      <c r="IT30" s="28"/>
      <c r="IU30" s="28"/>
      <c r="IV30" s="28"/>
      <c r="IW30" s="28"/>
      <c r="IX30" s="28"/>
      <c r="IY30" s="28"/>
      <c r="IZ30" s="28"/>
      <c r="JA30" s="28"/>
      <c r="JB30" s="28"/>
      <c r="JC30" s="28"/>
      <c r="JD30" s="28"/>
      <c r="JE30" s="28"/>
      <c r="JF30" s="28"/>
      <c r="JG30" s="28"/>
      <c r="JH30" s="28"/>
      <c r="JI30" s="28"/>
      <c r="JJ30" s="28"/>
      <c r="JK30" s="28"/>
      <c r="JL30" s="28"/>
      <c r="JM30" s="28"/>
      <c r="JN30" s="28"/>
      <c r="JO30" s="28"/>
      <c r="JP30" s="28"/>
      <c r="JQ30" s="28"/>
      <c r="JR30" s="28"/>
      <c r="JS30" s="28"/>
      <c r="JT30" s="28"/>
      <c r="JU30" s="28"/>
      <c r="JV30" s="28"/>
      <c r="JW30" s="28"/>
      <c r="JX30" s="28"/>
      <c r="JY30" s="28"/>
      <c r="JZ30" s="28"/>
      <c r="KA30" s="28"/>
      <c r="KB30" s="28"/>
      <c r="KC30" s="28"/>
      <c r="KD30" s="28"/>
      <c r="KE30" s="28"/>
      <c r="KF30" s="28"/>
      <c r="KG30" s="28"/>
      <c r="KH30" s="28"/>
      <c r="KI30" s="28"/>
      <c r="KJ30" s="28"/>
      <c r="KK30" s="28"/>
      <c r="KL30" s="28"/>
      <c r="KM30" s="28"/>
      <c r="KN30" s="28"/>
      <c r="KO30" s="28"/>
      <c r="KP30" s="28"/>
      <c r="KQ30" s="28"/>
      <c r="KR30" s="28"/>
      <c r="KS30" s="28"/>
      <c r="KT30" s="28"/>
      <c r="KU30" s="28"/>
      <c r="KV30" s="28"/>
      <c r="KW30" s="28"/>
      <c r="KX30" s="28"/>
      <c r="KY30" s="28"/>
      <c r="KZ30" s="28"/>
      <c r="LA30" s="28"/>
      <c r="LB30" s="28"/>
      <c r="LC30" s="28"/>
      <c r="LD30" s="28"/>
      <c r="LE30" s="28"/>
      <c r="LF30" s="28"/>
      <c r="LG30" s="28"/>
      <c r="LH30" s="28"/>
      <c r="LI30" s="28"/>
      <c r="LJ30" s="28"/>
      <c r="LK30" s="28"/>
      <c r="LL30" s="28"/>
      <c r="LM30" s="28"/>
      <c r="LN30" s="28"/>
      <c r="LO30" s="28"/>
      <c r="LP30" s="28"/>
      <c r="LQ30" s="28"/>
      <c r="LR30" s="28"/>
      <c r="LS30" s="28"/>
      <c r="LT30" s="28"/>
      <c r="LU30" s="28"/>
      <c r="LV30" s="28"/>
      <c r="LW30" s="28"/>
      <c r="LX30" s="28"/>
      <c r="LY30" s="28"/>
      <c r="LZ30" s="28"/>
      <c r="MA30" s="28"/>
      <c r="MB30" s="28"/>
      <c r="MC30" s="28"/>
      <c r="MD30" s="28"/>
      <c r="ME30" s="28"/>
      <c r="MF30" s="28"/>
      <c r="MG30" s="28"/>
      <c r="MH30" s="28"/>
      <c r="MI30" s="28"/>
      <c r="MJ30" s="28"/>
      <c r="MK30" s="28"/>
      <c r="ML30" s="28"/>
      <c r="MM30" s="28"/>
      <c r="MN30" s="28"/>
      <c r="MO30" s="28"/>
      <c r="MP30" s="28"/>
      <c r="MQ30" s="28"/>
      <c r="MR30" s="28"/>
      <c r="MS30" s="28"/>
      <c r="MT30" s="28"/>
      <c r="MU30" s="28"/>
      <c r="MV30" s="28"/>
      <c r="MW30" s="28"/>
      <c r="MX30" s="28"/>
      <c r="MY30" s="28"/>
      <c r="MZ30" s="28"/>
      <c r="NA30" s="28"/>
      <c r="NB30" s="28"/>
      <c r="NC30" s="28"/>
      <c r="ND30" s="28"/>
      <c r="NE30" s="28"/>
      <c r="NF30" s="28"/>
      <c r="NG30" s="28"/>
      <c r="NH30" s="28"/>
      <c r="NI30" s="28"/>
      <c r="NJ30" s="28"/>
      <c r="NK30" s="28"/>
      <c r="NL30" s="28"/>
      <c r="NM30" s="28"/>
      <c r="NN30" s="28"/>
      <c r="NO30" s="28"/>
      <c r="NP30" s="28"/>
      <c r="NQ30" s="28"/>
      <c r="NR30" s="28"/>
      <c r="NS30" s="28"/>
      <c r="NT30" s="28"/>
      <c r="NU30" s="28"/>
      <c r="NV30" s="28"/>
      <c r="NW30" s="28"/>
      <c r="NX30" s="28"/>
      <c r="NY30" s="28"/>
      <c r="NZ30" s="28"/>
      <c r="OA30" s="28"/>
      <c r="OB30" s="28"/>
      <c r="OC30" s="28"/>
      <c r="OD30" s="28"/>
      <c r="OE30" s="28"/>
      <c r="OF30" s="28"/>
      <c r="OG30" s="28"/>
      <c r="OH30" s="28"/>
      <c r="OI30" s="28"/>
      <c r="OJ30" s="28"/>
      <c r="OK30" s="28"/>
      <c r="OL30" s="28"/>
      <c r="OM30" s="28"/>
      <c r="ON30" s="28"/>
      <c r="OO30" s="28"/>
      <c r="OP30" s="28"/>
      <c r="OQ30" s="28"/>
      <c r="OR30" s="28"/>
      <c r="OS30" s="28"/>
      <c r="OT30" s="28"/>
      <c r="OU30" s="28"/>
      <c r="OV30" s="28"/>
      <c r="OW30" s="28"/>
      <c r="OX30" s="28"/>
      <c r="OY30" s="28"/>
      <c r="OZ30" s="28"/>
      <c r="PA30" s="28"/>
      <c r="PB30" s="28"/>
      <c r="PC30" s="28"/>
      <c r="PD30" s="28"/>
      <c r="PE30" s="28"/>
      <c r="PF30" s="28"/>
      <c r="PG30" s="28"/>
      <c r="PH30" s="28"/>
      <c r="PI30" s="28"/>
      <c r="PJ30" s="28"/>
      <c r="PK30" s="28"/>
      <c r="PL30" s="28"/>
      <c r="PM30" s="28"/>
      <c r="PN30" s="28"/>
      <c r="PO30" s="28"/>
      <c r="PP30" s="28"/>
      <c r="PQ30" s="28"/>
      <c r="PR30" s="28"/>
      <c r="PS30" s="28"/>
      <c r="PT30" s="28"/>
      <c r="PU30" s="28"/>
      <c r="PV30" s="28"/>
      <c r="PW30" s="28"/>
      <c r="PX30" s="28"/>
      <c r="PY30" s="28"/>
      <c r="PZ30" s="28"/>
      <c r="QA30" s="28"/>
      <c r="QB30" s="28"/>
      <c r="QC30" s="28"/>
      <c r="QD30" s="28"/>
      <c r="QE30" s="28"/>
      <c r="QF30" s="28"/>
      <c r="QG30" s="28"/>
      <c r="QH30" s="28"/>
      <c r="QI30" s="28"/>
      <c r="QJ30" s="28"/>
      <c r="QK30" s="28"/>
      <c r="QL30" s="28"/>
      <c r="QM30" s="28"/>
      <c r="QN30" s="28"/>
      <c r="QO30" s="28"/>
      <c r="QP30" s="28"/>
      <c r="QQ30" s="28"/>
      <c r="QR30" s="28"/>
      <c r="QS30" s="28"/>
      <c r="QT30" s="28"/>
      <c r="QU30" s="28"/>
      <c r="QV30" s="28"/>
      <c r="QW30" s="28"/>
      <c r="QX30" s="28"/>
      <c r="QY30" s="28"/>
      <c r="QZ30" s="28"/>
      <c r="RA30" s="28"/>
      <c r="RB30" s="28"/>
      <c r="RC30" s="28"/>
      <c r="RD30" s="28"/>
      <c r="RE30" s="28"/>
      <c r="RF30" s="28"/>
      <c r="RG30" s="28"/>
      <c r="RH30" s="28"/>
      <c r="RI30" s="28"/>
      <c r="RJ30" s="28"/>
      <c r="RK30" s="28"/>
      <c r="RL30" s="28"/>
      <c r="RM30" s="28"/>
      <c r="RN30" s="28"/>
      <c r="RO30" s="28"/>
      <c r="RP30" s="28"/>
      <c r="RQ30" s="28"/>
      <c r="RR30" s="28"/>
      <c r="RS30" s="28"/>
      <c r="RT30" s="28"/>
      <c r="RU30" s="28"/>
      <c r="RV30" s="28"/>
      <c r="RW30" s="28"/>
      <c r="RX30" s="28"/>
      <c r="RY30" s="28"/>
      <c r="RZ30" s="28"/>
      <c r="SA30" s="28"/>
      <c r="SB30" s="28"/>
      <c r="SC30" s="28"/>
      <c r="SD30" s="28"/>
      <c r="SE30" s="28"/>
      <c r="SF30" s="28"/>
      <c r="SG30" s="28"/>
      <c r="SH30" s="28"/>
      <c r="SI30" s="28"/>
      <c r="SJ30" s="28"/>
      <c r="SK30" s="28"/>
      <c r="SL30" s="28"/>
      <c r="SM30" s="28"/>
      <c r="SN30" s="28"/>
      <c r="SO30" s="28"/>
      <c r="SP30" s="28"/>
      <c r="SQ30" s="28"/>
      <c r="SR30" s="28"/>
      <c r="SS30" s="28"/>
      <c r="ST30" s="28"/>
      <c r="SU30" s="28"/>
      <c r="SV30" s="28"/>
      <c r="SW30" s="28"/>
      <c r="SX30" s="28"/>
      <c r="SY30" s="28"/>
      <c r="SZ30" s="28"/>
      <c r="TA30" s="28"/>
      <c r="TB30" s="28"/>
      <c r="TC30" s="28"/>
      <c r="TD30" s="28"/>
      <c r="TE30" s="28"/>
      <c r="TF30" s="28"/>
      <c r="TG30" s="28"/>
      <c r="TH30" s="28"/>
      <c r="TI30" s="28"/>
      <c r="TJ30" s="28"/>
      <c r="TK30" s="28"/>
      <c r="TL30" s="28"/>
      <c r="TM30" s="28"/>
      <c r="TN30" s="28"/>
      <c r="TO30" s="28"/>
      <c r="TP30" s="28"/>
      <c r="TQ30" s="28"/>
      <c r="TR30" s="28"/>
      <c r="TS30" s="28"/>
      <c r="TT30" s="28"/>
      <c r="TU30" s="28"/>
      <c r="TV30" s="28"/>
      <c r="TW30" s="28"/>
      <c r="TX30" s="28"/>
      <c r="TY30" s="28"/>
      <c r="TZ30" s="28"/>
      <c r="UA30" s="28"/>
      <c r="UB30" s="28"/>
      <c r="UC30" s="28"/>
      <c r="UD30" s="28"/>
      <c r="UE30" s="28"/>
      <c r="UF30" s="28"/>
      <c r="UG30" s="28"/>
      <c r="UH30" s="28"/>
      <c r="UI30" s="28"/>
      <c r="UJ30" s="28"/>
      <c r="UK30" s="28"/>
      <c r="UL30" s="28"/>
      <c r="UM30" s="28"/>
      <c r="UN30" s="28"/>
      <c r="UO30" s="28"/>
      <c r="UP30" s="28"/>
      <c r="UQ30" s="28"/>
      <c r="UR30" s="28"/>
      <c r="US30" s="28"/>
      <c r="UT30" s="28"/>
      <c r="UU30" s="28"/>
      <c r="UV30" s="28"/>
      <c r="UW30" s="28"/>
      <c r="UX30" s="28"/>
      <c r="UY30" s="28"/>
      <c r="UZ30" s="28"/>
      <c r="VA30" s="28"/>
      <c r="VB30" s="28"/>
      <c r="VC30" s="28"/>
      <c r="VD30" s="28"/>
      <c r="VE30" s="28"/>
      <c r="VF30" s="28"/>
      <c r="VG30" s="28"/>
      <c r="VH30" s="28"/>
      <c r="VI30" s="28"/>
      <c r="VJ30" s="28"/>
      <c r="VK30" s="28"/>
      <c r="VL30" s="28"/>
      <c r="VM30" s="28"/>
      <c r="VN30" s="28"/>
      <c r="VO30" s="28"/>
      <c r="VP30" s="28"/>
      <c r="VQ30" s="28"/>
      <c r="VR30" s="28"/>
      <c r="VS30" s="28"/>
      <c r="VT30" s="28"/>
      <c r="VU30" s="28"/>
      <c r="VV30" s="28"/>
      <c r="VW30" s="28"/>
      <c r="VX30" s="28"/>
      <c r="VY30" s="28"/>
      <c r="VZ30" s="28"/>
      <c r="WA30" s="28"/>
      <c r="WB30" s="28"/>
      <c r="WC30" s="28"/>
      <c r="WD30" s="28"/>
      <c r="WE30" s="28"/>
      <c r="WF30" s="28"/>
      <c r="WG30" s="28"/>
      <c r="WH30" s="28"/>
      <c r="WI30" s="28"/>
      <c r="WJ30" s="28"/>
      <c r="WK30" s="28"/>
      <c r="WL30" s="28"/>
      <c r="WM30" s="28"/>
      <c r="WN30" s="28"/>
      <c r="WO30" s="28"/>
      <c r="WP30" s="28"/>
      <c r="WQ30" s="28"/>
      <c r="WR30" s="28"/>
      <c r="WS30" s="28"/>
      <c r="WT30" s="28"/>
      <c r="WU30" s="28"/>
      <c r="WV30" s="28"/>
      <c r="WW30" s="28"/>
      <c r="WX30" s="28"/>
      <c r="WY30" s="28"/>
      <c r="WZ30" s="28"/>
      <c r="XA30" s="28"/>
      <c r="XB30" s="28"/>
      <c r="XC30" s="28"/>
      <c r="XD30" s="28"/>
      <c r="XE30" s="28"/>
      <c r="XF30" s="28"/>
      <c r="XG30" s="28"/>
      <c r="XH30" s="28"/>
      <c r="XI30" s="28"/>
      <c r="XJ30" s="28"/>
      <c r="XK30" s="28"/>
      <c r="XL30" s="28"/>
      <c r="XM30" s="28"/>
      <c r="XN30" s="28"/>
      <c r="XO30" s="28"/>
      <c r="XP30" s="28"/>
      <c r="XQ30" s="28"/>
      <c r="XR30" s="28"/>
      <c r="XS30" s="28"/>
      <c r="XT30" s="28"/>
      <c r="XU30" s="28"/>
      <c r="XV30" s="28"/>
      <c r="XW30" s="28"/>
      <c r="XX30" s="28"/>
      <c r="XY30" s="28"/>
      <c r="XZ30" s="28"/>
      <c r="YA30" s="28"/>
      <c r="YB30" s="28"/>
      <c r="YC30" s="28"/>
      <c r="YD30" s="28"/>
      <c r="YE30" s="28"/>
      <c r="YF30" s="28"/>
      <c r="YG30" s="28"/>
      <c r="YH30" s="28"/>
      <c r="YI30" s="28"/>
      <c r="YJ30" s="28"/>
      <c r="YK30" s="28"/>
      <c r="YL30" s="28"/>
      <c r="YM30" s="28"/>
      <c r="YN30" s="28"/>
      <c r="YO30" s="28"/>
      <c r="YP30" s="28"/>
      <c r="YQ30" s="28"/>
      <c r="YR30" s="28"/>
      <c r="YS30" s="28"/>
      <c r="YT30" s="28"/>
      <c r="YU30" s="28"/>
      <c r="YV30" s="28"/>
      <c r="YW30" s="28"/>
      <c r="YX30" s="28"/>
      <c r="YY30" s="28"/>
      <c r="YZ30" s="28"/>
      <c r="ZA30" s="28"/>
      <c r="ZB30" s="28"/>
      <c r="ZC30" s="28"/>
      <c r="ZD30" s="28"/>
      <c r="ZE30" s="28"/>
      <c r="ZF30" s="28"/>
      <c r="ZG30" s="28"/>
      <c r="ZH30" s="28"/>
      <c r="ZI30" s="28"/>
      <c r="ZJ30" s="28"/>
      <c r="ZK30" s="28"/>
      <c r="ZL30" s="28"/>
      <c r="ZM30" s="28"/>
      <c r="ZN30" s="28"/>
      <c r="ZO30" s="28"/>
      <c r="ZP30" s="28"/>
      <c r="ZQ30" s="28"/>
      <c r="ZR30" s="28"/>
      <c r="ZS30" s="28"/>
      <c r="ZT30" s="28"/>
      <c r="ZU30" s="28"/>
      <c r="ZV30" s="28"/>
      <c r="ZW30" s="28"/>
      <c r="ZX30" s="28"/>
      <c r="ZY30" s="28"/>
      <c r="ZZ30" s="28"/>
      <c r="AAA30" s="28"/>
      <c r="AAB30" s="28"/>
      <c r="AAC30" s="28"/>
      <c r="AAD30" s="28"/>
      <c r="AAE30" s="28"/>
      <c r="AAF30" s="28"/>
      <c r="AAG30" s="28"/>
      <c r="AAH30" s="28"/>
      <c r="AAI30" s="28"/>
      <c r="AAJ30" s="28"/>
      <c r="AAK30" s="28"/>
      <c r="AAL30" s="28"/>
      <c r="AAM30" s="28"/>
      <c r="AAN30" s="28"/>
      <c r="AAO30" s="28"/>
      <c r="AAP30" s="28"/>
      <c r="AAQ30" s="28"/>
      <c r="AAR30" s="28"/>
      <c r="AAS30" s="28"/>
      <c r="AAT30" s="28"/>
      <c r="AAU30" s="28"/>
      <c r="AAV30" s="28"/>
      <c r="AAW30" s="28"/>
      <c r="AAX30" s="28"/>
      <c r="AAY30" s="28"/>
      <c r="AAZ30" s="28"/>
      <c r="ABA30" s="28"/>
      <c r="ABB30" s="28"/>
      <c r="ABC30" s="28"/>
      <c r="ABD30" s="28"/>
      <c r="ABE30" s="28"/>
      <c r="ABF30" s="28"/>
      <c r="ABG30" s="28"/>
      <c r="ABH30" s="28"/>
      <c r="ABI30" s="28"/>
      <c r="ABJ30" s="28"/>
      <c r="ABK30" s="28"/>
      <c r="ABL30" s="28"/>
      <c r="ABM30" s="28"/>
      <c r="ABN30" s="28"/>
      <c r="ABO30" s="28"/>
      <c r="ABP30" s="28"/>
      <c r="ABQ30" s="28"/>
      <c r="ABR30" s="28"/>
      <c r="ABS30" s="28"/>
      <c r="ABT30" s="28"/>
      <c r="ABU30" s="28"/>
      <c r="ABV30" s="28"/>
      <c r="ABW30" s="28"/>
      <c r="ABX30" s="28"/>
      <c r="ABY30" s="28"/>
      <c r="ABZ30" s="28"/>
      <c r="ACA30" s="28"/>
      <c r="ACB30" s="28"/>
      <c r="ACC30" s="28"/>
      <c r="ACD30" s="28"/>
      <c r="ACE30" s="28"/>
      <c r="ACF30" s="28"/>
      <c r="ACG30" s="28"/>
      <c r="ACH30" s="28"/>
      <c r="ACI30" s="28"/>
      <c r="ACJ30" s="28"/>
      <c r="ACK30" s="28"/>
      <c r="ACL30" s="28"/>
      <c r="ACM30" s="28"/>
      <c r="ACN30" s="28"/>
      <c r="ACO30" s="28"/>
      <c r="ACP30" s="28"/>
      <c r="ACQ30" s="28"/>
      <c r="ACR30" s="28"/>
      <c r="ACS30" s="28"/>
      <c r="ACT30" s="28"/>
      <c r="ACU30" s="28"/>
      <c r="ACV30" s="28"/>
      <c r="ACW30" s="28"/>
      <c r="ACX30" s="28"/>
      <c r="ACY30" s="28"/>
      <c r="ACZ30" s="28"/>
      <c r="ADA30" s="28"/>
      <c r="ADB30" s="28"/>
      <c r="ADC30" s="28"/>
      <c r="ADD30" s="28"/>
      <c r="ADE30" s="28"/>
      <c r="ADF30" s="28"/>
      <c r="ADG30" s="28"/>
      <c r="ADH30" s="28"/>
      <c r="ADI30" s="28"/>
      <c r="ADJ30" s="28"/>
      <c r="ADK30" s="28"/>
      <c r="ADL30" s="28"/>
      <c r="ADM30" s="28"/>
      <c r="ADN30" s="28"/>
      <c r="ADO30" s="28"/>
      <c r="ADP30" s="28"/>
      <c r="ADQ30" s="28"/>
      <c r="ADR30" s="28"/>
      <c r="ADS30" s="28"/>
      <c r="ADT30" s="28"/>
      <c r="ADU30" s="28"/>
      <c r="ADV30" s="28"/>
      <c r="ADW30" s="28"/>
      <c r="ADX30" s="28"/>
      <c r="ADY30" s="28"/>
      <c r="ADZ30" s="28"/>
      <c r="AEA30" s="28"/>
      <c r="AEB30" s="28"/>
      <c r="AEC30" s="28"/>
      <c r="AED30" s="28"/>
      <c r="AEE30" s="28"/>
      <c r="AEF30" s="28"/>
      <c r="AEG30" s="28"/>
      <c r="AEH30" s="28"/>
      <c r="AEI30" s="28"/>
      <c r="AEJ30" s="28"/>
      <c r="AEK30" s="28"/>
      <c r="AEL30" s="28"/>
      <c r="AEM30" s="28"/>
      <c r="AEN30" s="28"/>
      <c r="AEO30" s="28"/>
      <c r="AEP30" s="28"/>
      <c r="AEQ30" s="28"/>
      <c r="AER30" s="28"/>
      <c r="AES30" s="28"/>
      <c r="AET30" s="28"/>
      <c r="AEU30" s="28"/>
      <c r="AEV30" s="28"/>
      <c r="AEW30" s="28"/>
      <c r="AEX30" s="28"/>
      <c r="AEY30" s="28"/>
      <c r="AEZ30" s="28"/>
      <c r="AFA30" s="28"/>
      <c r="AFB30" s="28"/>
      <c r="AFC30" s="28"/>
      <c r="AFD30" s="28"/>
      <c r="AFE30" s="28"/>
      <c r="AFF30" s="28"/>
      <c r="AFG30" s="28"/>
      <c r="AFH30" s="28"/>
      <c r="AFI30" s="28"/>
      <c r="AFJ30" s="28"/>
      <c r="AFK30" s="28"/>
      <c r="AFL30" s="28"/>
      <c r="AFM30" s="28"/>
      <c r="AFN30" s="28"/>
      <c r="AFO30" s="28"/>
      <c r="AFP30" s="28"/>
      <c r="AFQ30" s="28"/>
      <c r="AFR30" s="28"/>
      <c r="AFS30" s="28"/>
      <c r="AFT30" s="28"/>
      <c r="AFU30" s="28"/>
      <c r="AFV30" s="28"/>
      <c r="AFW30" s="28"/>
      <c r="AFX30" s="28"/>
      <c r="AFY30" s="28"/>
      <c r="AFZ30" s="28"/>
      <c r="AGA30" s="28"/>
      <c r="AGB30" s="28"/>
      <c r="AGC30" s="28"/>
      <c r="AGD30" s="28"/>
      <c r="AGE30" s="28"/>
      <c r="AGF30" s="28"/>
      <c r="AGG30" s="28"/>
      <c r="AGH30" s="28"/>
      <c r="AGI30" s="28"/>
      <c r="AGJ30" s="28"/>
      <c r="AGK30" s="28"/>
      <c r="AGL30" s="28"/>
      <c r="AGM30" s="28"/>
      <c r="AGN30" s="28"/>
      <c r="AGO30" s="28"/>
      <c r="AGP30" s="28"/>
      <c r="AGQ30" s="28"/>
      <c r="AGR30" s="28"/>
      <c r="AGS30" s="28"/>
      <c r="AGT30" s="28"/>
      <c r="AGU30" s="28"/>
      <c r="AGV30" s="28"/>
      <c r="AGW30" s="28"/>
      <c r="AGX30" s="28"/>
      <c r="AGY30" s="28"/>
      <c r="AGZ30" s="28"/>
      <c r="AHA30" s="28"/>
      <c r="AHB30" s="28"/>
      <c r="AHC30" s="28"/>
      <c r="AHD30" s="28"/>
      <c r="AHE30" s="28"/>
      <c r="AHF30" s="28"/>
      <c r="AHG30" s="28"/>
      <c r="AHH30" s="28"/>
      <c r="AHI30" s="28"/>
      <c r="AHJ30" s="28"/>
      <c r="AHK30" s="28"/>
      <c r="AHL30" s="28"/>
      <c r="AHM30" s="28"/>
      <c r="AHN30" s="28"/>
      <c r="AHO30" s="28"/>
      <c r="AHP30" s="28"/>
      <c r="AHQ30" s="28"/>
      <c r="AHR30" s="28"/>
      <c r="AHS30" s="28"/>
      <c r="AHT30" s="28"/>
      <c r="AHU30" s="28"/>
      <c r="AHV30" s="28"/>
      <c r="AHW30" s="28"/>
      <c r="AHX30" s="28"/>
      <c r="AHY30" s="28"/>
      <c r="AHZ30" s="28"/>
      <c r="AIA30" s="28"/>
      <c r="AIB30" s="28"/>
      <c r="AIC30" s="28"/>
      <c r="AID30" s="28"/>
      <c r="AIE30" s="28"/>
      <c r="AIF30" s="28"/>
      <c r="AIG30" s="28"/>
      <c r="AIH30" s="28"/>
      <c r="AII30" s="28"/>
      <c r="AIJ30" s="28"/>
      <c r="AIK30" s="28"/>
      <c r="AIL30" s="28"/>
      <c r="AIM30" s="28"/>
      <c r="AIN30" s="28"/>
      <c r="AIO30" s="28"/>
      <c r="AIP30" s="28"/>
      <c r="AIQ30" s="28"/>
      <c r="AIR30" s="28"/>
      <c r="AIS30" s="28"/>
      <c r="AIT30" s="28"/>
      <c r="AIU30" s="28"/>
      <c r="AIV30" s="28"/>
      <c r="AIW30" s="28"/>
      <c r="AIX30" s="28"/>
      <c r="AIY30" s="28"/>
      <c r="AIZ30" s="28"/>
      <c r="AJA30" s="28"/>
      <c r="AJB30" s="28"/>
      <c r="AJC30" s="28"/>
      <c r="AJD30" s="28"/>
      <c r="AJE30" s="28"/>
      <c r="AJF30" s="28"/>
      <c r="AJG30" s="28"/>
      <c r="AJH30" s="28"/>
      <c r="AJI30" s="28"/>
      <c r="AJJ30" s="28"/>
      <c r="AJK30" s="28"/>
      <c r="AJL30" s="28"/>
      <c r="AJM30" s="28"/>
      <c r="AJN30" s="28"/>
      <c r="AJO30" s="28"/>
      <c r="AJP30" s="28"/>
      <c r="AJQ30" s="28"/>
      <c r="AJR30" s="28"/>
      <c r="AJS30" s="28"/>
      <c r="AJT30" s="28"/>
      <c r="AJU30" s="28"/>
      <c r="AJV30" s="28"/>
      <c r="AJW30" s="28"/>
      <c r="AJX30" s="28"/>
      <c r="AJY30" s="28"/>
      <c r="AJZ30" s="28"/>
      <c r="AKA30" s="28"/>
      <c r="AKB30" s="28"/>
      <c r="AKC30" s="28"/>
      <c r="AKD30" s="28"/>
      <c r="AKE30" s="28"/>
      <c r="AKF30" s="28"/>
      <c r="AKG30" s="28"/>
      <c r="AKH30" s="28"/>
      <c r="AKI30" s="28"/>
      <c r="AKJ30" s="28"/>
      <c r="AKK30" s="28"/>
      <c r="AKL30" s="28"/>
      <c r="AKM30" s="28"/>
      <c r="AKN30" s="28"/>
      <c r="AKO30" s="28"/>
      <c r="AKP30" s="28"/>
      <c r="AKQ30" s="28"/>
      <c r="AKR30" s="28"/>
      <c r="AKS30" s="28"/>
      <c r="AKT30" s="28"/>
      <c r="AKU30" s="28"/>
      <c r="AKV30" s="28"/>
      <c r="AKW30" s="28"/>
      <c r="AKX30" s="28"/>
      <c r="AKY30" s="28"/>
      <c r="AKZ30" s="28"/>
      <c r="ALA30" s="28"/>
      <c r="ALB30" s="28"/>
      <c r="ALC30" s="28"/>
      <c r="ALD30" s="28"/>
      <c r="ALE30" s="28"/>
      <c r="ALF30" s="28"/>
      <c r="ALG30" s="28"/>
      <c r="ALH30" s="28"/>
      <c r="ALI30" s="28"/>
      <c r="ALJ30" s="28"/>
      <c r="ALK30" s="28"/>
      <c r="ALL30" s="28"/>
      <c r="ALM30" s="28"/>
      <c r="ALN30" s="28"/>
      <c r="ALO30" s="28"/>
      <c r="ALP30" s="28"/>
      <c r="ALQ30" s="28"/>
      <c r="ALR30" s="28"/>
      <c r="ALS30" s="28"/>
      <c r="ALT30" s="28"/>
      <c r="ALU30" s="28"/>
      <c r="ALV30" s="28"/>
      <c r="ALW30" s="28"/>
      <c r="ALX30" s="28"/>
      <c r="ALY30" s="28"/>
      <c r="ALZ30" s="28"/>
      <c r="AMA30" s="28"/>
      <c r="AMB30" s="28"/>
      <c r="AMC30" s="28"/>
      <c r="AMD30" s="28"/>
      <c r="AME30" s="28"/>
      <c r="AMF30" s="28"/>
      <c r="AMG30" s="28"/>
      <c r="AMH30" s="28"/>
      <c r="AMI30" s="28"/>
      <c r="AMJ30" s="28"/>
      <c r="AMK30" s="28"/>
      <c r="AML30" s="28"/>
      <c r="AMM30" s="28"/>
      <c r="AMN30" s="28"/>
      <c r="AMO30" s="28"/>
      <c r="AMP30" s="28"/>
      <c r="AMQ30" s="28"/>
      <c r="AMR30" s="28"/>
      <c r="AMS30" s="28"/>
      <c r="AMT30" s="28"/>
      <c r="AMU30" s="28"/>
      <c r="AMV30" s="28"/>
      <c r="AMW30" s="28"/>
      <c r="AMX30" s="28"/>
      <c r="AMY30" s="28"/>
      <c r="AMZ30" s="28"/>
      <c r="ANA30" s="28"/>
      <c r="ANB30" s="28"/>
      <c r="ANC30" s="28"/>
      <c r="AND30" s="28"/>
      <c r="ANE30" s="28"/>
      <c r="ANF30" s="28"/>
      <c r="ANG30" s="28"/>
      <c r="ANH30" s="28"/>
      <c r="ANI30" s="28"/>
      <c r="ANJ30" s="28"/>
      <c r="ANK30" s="28"/>
      <c r="ANL30" s="28"/>
      <c r="ANM30" s="28"/>
      <c r="ANN30" s="28"/>
      <c r="ANO30" s="28"/>
      <c r="ANP30" s="28"/>
      <c r="ANQ30" s="28"/>
      <c r="ANR30" s="28"/>
      <c r="ANS30" s="28"/>
      <c r="ANT30" s="28"/>
      <c r="ANU30" s="28"/>
      <c r="ANV30" s="28"/>
      <c r="ANW30" s="28"/>
      <c r="ANX30" s="28"/>
      <c r="ANY30" s="28"/>
      <c r="ANZ30" s="28"/>
      <c r="AOA30" s="28"/>
      <c r="AOB30" s="28"/>
      <c r="AOC30" s="28"/>
      <c r="AOD30" s="28"/>
      <c r="AOE30" s="28"/>
      <c r="AOF30" s="28"/>
      <c r="AOG30" s="28"/>
      <c r="AOH30" s="28"/>
      <c r="AOI30" s="28"/>
      <c r="AOJ30" s="28"/>
      <c r="AOK30" s="28"/>
      <c r="AOL30" s="28"/>
      <c r="AOM30" s="28"/>
      <c r="AON30" s="28"/>
      <c r="AOO30" s="28"/>
      <c r="AOP30" s="28"/>
      <c r="AOQ30" s="28"/>
      <c r="AOR30" s="28"/>
      <c r="AOS30" s="28"/>
      <c r="AOT30" s="28"/>
      <c r="AOU30" s="28"/>
      <c r="AOV30" s="28"/>
      <c r="AOW30" s="28"/>
      <c r="AOX30" s="28"/>
      <c r="AOY30" s="28"/>
      <c r="AOZ30" s="28"/>
      <c r="APA30" s="28"/>
      <c r="APB30" s="28"/>
      <c r="APC30" s="28"/>
      <c r="APD30" s="28"/>
      <c r="APE30" s="28"/>
      <c r="APF30" s="28"/>
      <c r="APG30" s="28"/>
      <c r="APH30" s="28"/>
      <c r="API30" s="28"/>
      <c r="APJ30" s="28"/>
      <c r="APK30" s="28"/>
      <c r="APL30" s="28"/>
      <c r="APM30" s="28"/>
      <c r="APN30" s="28"/>
      <c r="APO30" s="28"/>
      <c r="APP30" s="28"/>
      <c r="APQ30" s="28"/>
      <c r="APR30" s="28"/>
      <c r="APS30" s="28"/>
      <c r="APT30" s="28"/>
      <c r="APU30" s="28"/>
      <c r="APV30" s="28"/>
      <c r="APW30" s="28"/>
      <c r="APX30" s="28"/>
      <c r="APY30" s="28"/>
      <c r="APZ30" s="28"/>
      <c r="AQA30" s="28"/>
      <c r="AQB30" s="28"/>
      <c r="AQC30" s="28"/>
      <c r="AQD30" s="28"/>
      <c r="AQE30" s="28"/>
      <c r="AQF30" s="28"/>
      <c r="AQG30" s="28"/>
      <c r="AQH30" s="28"/>
      <c r="AQI30" s="28"/>
      <c r="AQJ30" s="28"/>
      <c r="AQK30" s="28"/>
      <c r="AQL30" s="28"/>
      <c r="AQM30" s="28"/>
      <c r="AQN30" s="28"/>
      <c r="AQO30" s="28"/>
      <c r="AQP30" s="28"/>
      <c r="AQQ30" s="28"/>
      <c r="AQR30" s="28"/>
      <c r="AQS30" s="28"/>
      <c r="AQT30" s="28"/>
      <c r="AQU30" s="28"/>
      <c r="AQV30" s="28"/>
      <c r="AQW30" s="28"/>
      <c r="AQX30" s="28"/>
      <c r="AQY30" s="28"/>
      <c r="AQZ30" s="28"/>
      <c r="ARA30" s="28"/>
      <c r="ARB30" s="28"/>
      <c r="ARC30" s="28"/>
      <c r="ARD30" s="28"/>
      <c r="ARE30" s="28"/>
      <c r="ARF30" s="28"/>
      <c r="ARG30" s="28"/>
      <c r="ARH30" s="28"/>
      <c r="ARI30" s="28"/>
      <c r="ARJ30" s="28"/>
      <c r="ARK30" s="28"/>
      <c r="ARL30" s="28"/>
      <c r="ARM30" s="28"/>
      <c r="ARN30" s="28"/>
      <c r="ARO30" s="28"/>
      <c r="ARP30" s="28"/>
      <c r="ARQ30" s="28"/>
      <c r="ARR30" s="28"/>
      <c r="ARS30" s="28"/>
      <c r="ART30" s="28"/>
      <c r="ARU30" s="28"/>
      <c r="ARV30" s="28"/>
      <c r="ARW30" s="28"/>
      <c r="ARX30" s="28"/>
      <c r="ARY30" s="28"/>
      <c r="ARZ30" s="28"/>
      <c r="ASA30" s="28"/>
      <c r="ASB30" s="28"/>
      <c r="ASC30" s="28"/>
      <c r="ASD30" s="28"/>
      <c r="ASE30" s="28"/>
      <c r="ASF30" s="28"/>
      <c r="ASG30" s="28"/>
      <c r="ASH30" s="28"/>
      <c r="ASI30" s="28"/>
      <c r="ASJ30" s="28"/>
      <c r="ASK30" s="28"/>
      <c r="ASL30" s="28"/>
      <c r="ASM30" s="28"/>
      <c r="ASN30" s="28"/>
      <c r="ASO30" s="28"/>
      <c r="ASP30" s="28"/>
      <c r="ASQ30" s="28"/>
      <c r="ASR30" s="28"/>
      <c r="ASS30" s="28"/>
      <c r="AST30" s="28"/>
      <c r="ASU30" s="28"/>
      <c r="ASV30" s="28"/>
      <c r="ASW30" s="28"/>
      <c r="ASX30" s="28"/>
      <c r="ASY30" s="28"/>
      <c r="ASZ30" s="28"/>
      <c r="ATA30" s="28"/>
      <c r="ATB30" s="28"/>
      <c r="ATC30" s="28"/>
      <c r="ATD30" s="28"/>
      <c r="ATE30" s="28"/>
      <c r="ATF30" s="28"/>
      <c r="ATG30" s="28"/>
      <c r="ATH30" s="28"/>
      <c r="ATI30" s="28"/>
      <c r="ATJ30" s="28"/>
      <c r="ATK30" s="28"/>
      <c r="ATL30" s="28"/>
      <c r="ATM30" s="28"/>
      <c r="ATN30" s="28"/>
      <c r="ATO30" s="28"/>
      <c r="ATP30" s="28"/>
      <c r="ATQ30" s="28"/>
      <c r="ATR30" s="28"/>
      <c r="ATS30" s="28"/>
      <c r="ATT30" s="28"/>
      <c r="ATU30" s="28"/>
      <c r="ATV30" s="28"/>
      <c r="ATW30" s="28"/>
      <c r="ATX30" s="28"/>
      <c r="ATY30" s="28"/>
      <c r="ATZ30" s="28"/>
      <c r="AUA30" s="28"/>
      <c r="AUB30" s="28"/>
      <c r="AUC30" s="28"/>
      <c r="AUD30" s="28"/>
      <c r="AUE30" s="28"/>
      <c r="AUF30" s="28"/>
      <c r="AUG30" s="28"/>
      <c r="AUH30" s="28"/>
      <c r="AUI30" s="28"/>
      <c r="AUJ30" s="28"/>
      <c r="AUK30" s="28"/>
      <c r="AUL30" s="28"/>
      <c r="AUM30" s="28"/>
      <c r="AUN30" s="28"/>
      <c r="AUO30" s="28"/>
      <c r="AUP30" s="28"/>
      <c r="AUQ30" s="28"/>
      <c r="AUR30" s="28"/>
      <c r="AUS30" s="28"/>
      <c r="AUT30" s="28"/>
      <c r="AUU30" s="28"/>
      <c r="AUV30" s="28"/>
      <c r="AUW30" s="28"/>
      <c r="AUX30" s="28"/>
      <c r="AUY30" s="28"/>
      <c r="AUZ30" s="28"/>
      <c r="AVA30" s="28"/>
      <c r="AVB30" s="28"/>
      <c r="AVC30" s="28"/>
      <c r="AVD30" s="28"/>
      <c r="AVE30" s="28"/>
      <c r="AVF30" s="28"/>
      <c r="AVG30" s="28"/>
      <c r="AVH30" s="28"/>
      <c r="AVI30" s="28"/>
      <c r="AVJ30" s="28"/>
      <c r="AVK30" s="28"/>
      <c r="AVL30" s="28"/>
      <c r="AVM30" s="28"/>
      <c r="AVN30" s="28"/>
      <c r="AVO30" s="28"/>
      <c r="AVP30" s="28"/>
      <c r="AVQ30" s="28"/>
      <c r="AVR30" s="28"/>
      <c r="AVS30" s="28"/>
      <c r="AVT30" s="28"/>
      <c r="AVU30" s="28"/>
      <c r="AVV30" s="28"/>
      <c r="AVW30" s="28"/>
      <c r="AVX30" s="28"/>
      <c r="AVY30" s="28"/>
      <c r="AVZ30" s="28"/>
      <c r="AWA30" s="28"/>
      <c r="AWB30" s="28"/>
      <c r="AWC30" s="28"/>
      <c r="AWD30" s="28"/>
      <c r="AWE30" s="28"/>
      <c r="AWF30" s="28"/>
      <c r="AWG30" s="28"/>
      <c r="AWH30" s="28"/>
      <c r="AWI30" s="28"/>
      <c r="AWJ30" s="28"/>
      <c r="AWK30" s="28"/>
      <c r="AWL30" s="28"/>
      <c r="AWM30" s="28"/>
      <c r="AWN30" s="28"/>
      <c r="AWO30" s="28"/>
      <c r="AWP30" s="28"/>
      <c r="AWQ30" s="28"/>
      <c r="AWR30" s="28"/>
      <c r="AWS30" s="28"/>
      <c r="AWT30" s="28"/>
      <c r="AWU30" s="28"/>
      <c r="AWV30" s="28"/>
      <c r="AWW30" s="28"/>
      <c r="AWX30" s="28"/>
      <c r="AWY30" s="28"/>
      <c r="AWZ30" s="28"/>
      <c r="AXA30" s="28"/>
      <c r="AXB30" s="28"/>
      <c r="AXC30" s="28"/>
      <c r="AXD30" s="28"/>
      <c r="AXE30" s="28"/>
      <c r="AXF30" s="28"/>
      <c r="AXG30" s="28"/>
      <c r="AXH30" s="28"/>
      <c r="AXI30" s="28"/>
      <c r="AXJ30" s="28"/>
      <c r="AXK30" s="28"/>
      <c r="AXL30" s="28"/>
      <c r="AXM30" s="28"/>
      <c r="AXN30" s="28"/>
      <c r="AXO30" s="28"/>
      <c r="AXP30" s="28"/>
      <c r="AXQ30" s="28"/>
      <c r="AXR30" s="28"/>
      <c r="AXS30" s="28"/>
      <c r="AXT30" s="28"/>
      <c r="AXU30" s="28"/>
      <c r="AXV30" s="28"/>
      <c r="AXW30" s="28"/>
      <c r="AXX30" s="28"/>
      <c r="AXY30" s="28"/>
      <c r="AXZ30" s="28"/>
      <c r="AYA30" s="28"/>
      <c r="AYB30" s="28"/>
      <c r="AYC30" s="28"/>
      <c r="AYD30" s="28"/>
      <c r="AYE30" s="28"/>
      <c r="AYF30" s="28"/>
      <c r="AYG30" s="28"/>
      <c r="AYH30" s="28"/>
      <c r="AYI30" s="28"/>
      <c r="AYJ30" s="28"/>
      <c r="AYK30" s="28"/>
      <c r="AYL30" s="28"/>
      <c r="AYM30" s="28"/>
      <c r="AYN30" s="28"/>
      <c r="AYO30" s="28"/>
      <c r="AYP30" s="28"/>
      <c r="AYQ30" s="28"/>
      <c r="AYR30" s="28"/>
      <c r="AYS30" s="28"/>
      <c r="AYT30" s="28"/>
      <c r="AYU30" s="28"/>
      <c r="AYV30" s="28"/>
      <c r="AYW30" s="28"/>
      <c r="AYX30" s="28"/>
      <c r="AYY30" s="28"/>
      <c r="AYZ30" s="28"/>
      <c r="AZA30" s="28"/>
      <c r="AZB30" s="28"/>
      <c r="AZC30" s="28"/>
      <c r="AZD30" s="28"/>
      <c r="AZE30" s="28"/>
      <c r="AZF30" s="28"/>
      <c r="AZG30" s="28"/>
      <c r="AZH30" s="28"/>
      <c r="AZI30" s="28"/>
      <c r="AZJ30" s="28"/>
      <c r="AZK30" s="28"/>
      <c r="AZL30" s="28"/>
      <c r="AZM30" s="28"/>
      <c r="AZN30" s="28"/>
      <c r="AZO30" s="28"/>
      <c r="AZP30" s="28"/>
      <c r="AZQ30" s="28"/>
      <c r="AZR30" s="28"/>
      <c r="AZS30" s="28"/>
      <c r="AZT30" s="28"/>
      <c r="AZU30" s="28"/>
      <c r="AZV30" s="28"/>
      <c r="AZW30" s="28"/>
      <c r="AZX30" s="28"/>
      <c r="AZY30" s="28"/>
      <c r="AZZ30" s="28"/>
      <c r="BAA30" s="28"/>
      <c r="BAB30" s="28"/>
      <c r="BAC30" s="28"/>
      <c r="BAD30" s="28"/>
      <c r="BAE30" s="28"/>
      <c r="BAF30" s="28"/>
      <c r="BAG30" s="28"/>
      <c r="BAH30" s="28"/>
      <c r="BAI30" s="28"/>
      <c r="BAJ30" s="28"/>
      <c r="BAK30" s="28"/>
      <c r="BAL30" s="28"/>
      <c r="BAM30" s="28"/>
      <c r="BAN30" s="28"/>
      <c r="BAO30" s="28"/>
      <c r="BAP30" s="28"/>
      <c r="BAQ30" s="28"/>
      <c r="BAR30" s="28"/>
      <c r="BAS30" s="28"/>
      <c r="BAT30" s="28"/>
      <c r="BAU30" s="28"/>
      <c r="BAV30" s="28"/>
      <c r="BAW30" s="28"/>
      <c r="BAX30" s="28"/>
      <c r="BAY30" s="28"/>
      <c r="BAZ30" s="28"/>
      <c r="BBA30" s="28"/>
      <c r="BBB30" s="28"/>
      <c r="BBC30" s="28"/>
      <c r="BBD30" s="28"/>
      <c r="BBE30" s="28"/>
      <c r="BBF30" s="28"/>
      <c r="BBG30" s="28"/>
      <c r="BBH30" s="28"/>
      <c r="BBI30" s="28"/>
      <c r="BBJ30" s="28"/>
      <c r="BBK30" s="28"/>
      <c r="BBL30" s="28"/>
      <c r="BBM30" s="28"/>
      <c r="BBN30" s="28"/>
      <c r="BBO30" s="28"/>
      <c r="BBP30" s="28"/>
      <c r="BBQ30" s="28"/>
      <c r="BBR30" s="28"/>
      <c r="BBS30" s="28"/>
      <c r="BBT30" s="28"/>
      <c r="BBU30" s="28"/>
      <c r="BBV30" s="28"/>
      <c r="BBW30" s="28"/>
      <c r="BBX30" s="28"/>
      <c r="BBY30" s="28"/>
      <c r="BBZ30" s="28"/>
      <c r="BCA30" s="28"/>
      <c r="BCB30" s="28"/>
      <c r="BCC30" s="28"/>
      <c r="BCD30" s="28"/>
      <c r="BCE30" s="28"/>
      <c r="BCF30" s="28"/>
      <c r="BCG30" s="28"/>
      <c r="BCH30" s="28"/>
      <c r="BCI30" s="28"/>
      <c r="BCJ30" s="28"/>
      <c r="BCK30" s="28"/>
      <c r="BCL30" s="28"/>
      <c r="BCM30" s="28"/>
      <c r="BCN30" s="28"/>
      <c r="BCO30" s="28"/>
      <c r="BCP30" s="28"/>
      <c r="BCQ30" s="28"/>
      <c r="BCR30" s="28"/>
      <c r="BCS30" s="28"/>
      <c r="BCT30" s="28"/>
      <c r="BCU30" s="28"/>
      <c r="BCV30" s="28"/>
      <c r="BCW30" s="28"/>
      <c r="BCX30" s="28"/>
      <c r="BCY30" s="28"/>
      <c r="BCZ30" s="28"/>
      <c r="BDA30" s="28"/>
      <c r="BDB30" s="28"/>
      <c r="BDC30" s="28"/>
      <c r="BDD30" s="28"/>
      <c r="BDE30" s="28"/>
      <c r="BDF30" s="28"/>
      <c r="BDG30" s="28"/>
      <c r="BDH30" s="28"/>
      <c r="BDI30" s="28"/>
      <c r="BDJ30" s="28"/>
      <c r="BDK30" s="28"/>
      <c r="BDL30" s="28"/>
      <c r="BDM30" s="28"/>
      <c r="BDN30" s="28"/>
      <c r="BDO30" s="28"/>
      <c r="BDP30" s="28"/>
      <c r="BDQ30" s="28"/>
      <c r="BDR30" s="28"/>
      <c r="BDS30" s="28"/>
      <c r="BDT30" s="28"/>
      <c r="BDU30" s="28"/>
      <c r="BDV30" s="28"/>
      <c r="BDW30" s="28"/>
      <c r="BDX30" s="28"/>
      <c r="BDY30" s="28"/>
      <c r="BDZ30" s="28"/>
      <c r="BEA30" s="28"/>
      <c r="BEB30" s="28"/>
      <c r="BEC30" s="28"/>
      <c r="BED30" s="28"/>
      <c r="BEE30" s="28"/>
      <c r="BEF30" s="28"/>
      <c r="BEG30" s="28"/>
      <c r="BEH30" s="28"/>
      <c r="BEI30" s="28"/>
      <c r="BEJ30" s="28"/>
      <c r="BEK30" s="28"/>
      <c r="BEL30" s="28"/>
      <c r="BEM30" s="28"/>
      <c r="BEN30" s="28"/>
      <c r="BEO30" s="28"/>
      <c r="BEP30" s="28"/>
      <c r="BEQ30" s="28"/>
      <c r="BER30" s="28"/>
      <c r="BES30" s="28"/>
      <c r="BET30" s="28"/>
      <c r="BEU30" s="28"/>
      <c r="BEV30" s="28"/>
      <c r="BEW30" s="28"/>
      <c r="BEX30" s="28"/>
      <c r="BEY30" s="28"/>
      <c r="BEZ30" s="28"/>
      <c r="BFA30" s="28"/>
      <c r="BFB30" s="28"/>
      <c r="BFC30" s="28"/>
      <c r="BFD30" s="28"/>
      <c r="BFE30" s="28"/>
      <c r="BFF30" s="28"/>
      <c r="BFG30" s="28"/>
      <c r="BFH30" s="28"/>
      <c r="BFI30" s="28"/>
      <c r="BFJ30" s="28"/>
      <c r="BFK30" s="28"/>
      <c r="BFL30" s="28"/>
      <c r="BFM30" s="28"/>
      <c r="BFN30" s="28"/>
      <c r="BFO30" s="28"/>
      <c r="BFP30" s="28"/>
      <c r="BFQ30" s="28"/>
      <c r="BFR30" s="28"/>
      <c r="BFS30" s="28"/>
      <c r="BFT30" s="28"/>
      <c r="BFU30" s="28"/>
      <c r="BFV30" s="28"/>
      <c r="BFW30" s="28"/>
      <c r="BFX30" s="28"/>
      <c r="BFY30" s="28"/>
      <c r="BFZ30" s="28"/>
      <c r="BGA30" s="28"/>
      <c r="BGB30" s="28"/>
      <c r="BGC30" s="28"/>
      <c r="BGD30" s="28"/>
      <c r="BGE30" s="28"/>
      <c r="BGF30" s="28"/>
      <c r="BGG30" s="28"/>
      <c r="BGH30" s="28"/>
      <c r="BGI30" s="28"/>
      <c r="BGJ30" s="28"/>
      <c r="BGK30" s="28"/>
      <c r="BGL30" s="28"/>
      <c r="BGM30" s="28"/>
      <c r="BGN30" s="28"/>
      <c r="BGO30" s="28"/>
      <c r="BGP30" s="28"/>
      <c r="BGQ30" s="28"/>
      <c r="BGR30" s="28"/>
      <c r="BGS30" s="28"/>
      <c r="BGT30" s="28"/>
      <c r="BGU30" s="28"/>
      <c r="BGV30" s="28"/>
      <c r="BGW30" s="28"/>
      <c r="BGX30" s="28"/>
      <c r="BGY30" s="28"/>
      <c r="BGZ30" s="28"/>
      <c r="BHA30" s="28"/>
      <c r="BHB30" s="28"/>
      <c r="BHC30" s="28"/>
      <c r="BHD30" s="28"/>
      <c r="BHE30" s="28"/>
      <c r="BHF30" s="28"/>
      <c r="BHG30" s="28"/>
      <c r="BHH30" s="28"/>
      <c r="BHI30" s="28"/>
      <c r="BHJ30" s="28"/>
      <c r="BHK30" s="28"/>
      <c r="BHL30" s="28"/>
      <c r="BHM30" s="28"/>
      <c r="BHN30" s="28"/>
      <c r="BHO30" s="28"/>
      <c r="BHP30" s="28"/>
      <c r="BHQ30" s="28"/>
      <c r="BHR30" s="28"/>
      <c r="BHS30" s="28"/>
      <c r="BHT30" s="28"/>
      <c r="BHU30" s="28"/>
      <c r="BHV30" s="28"/>
      <c r="BHW30" s="28"/>
      <c r="BHX30" s="28"/>
      <c r="BHY30" s="28"/>
      <c r="BHZ30" s="28"/>
      <c r="BIA30" s="28"/>
      <c r="BIB30" s="28"/>
      <c r="BIC30" s="28"/>
      <c r="BID30" s="28"/>
      <c r="BIE30" s="28"/>
      <c r="BIF30" s="28"/>
      <c r="BIG30" s="28"/>
      <c r="BIH30" s="28"/>
      <c r="BII30" s="28"/>
      <c r="BIJ30" s="28"/>
      <c r="BIK30" s="28"/>
      <c r="BIL30" s="28"/>
      <c r="BIM30" s="28"/>
      <c r="BIN30" s="28"/>
      <c r="BIO30" s="28"/>
      <c r="BIP30" s="28"/>
      <c r="BIQ30" s="28"/>
      <c r="BIR30" s="28"/>
      <c r="BIS30" s="28"/>
      <c r="BIT30" s="28"/>
      <c r="BIU30" s="28"/>
      <c r="BIV30" s="28"/>
      <c r="BIW30" s="28"/>
      <c r="BIX30" s="28"/>
      <c r="BIY30" s="28"/>
      <c r="BIZ30" s="28"/>
      <c r="BJA30" s="28"/>
      <c r="BJB30" s="28"/>
      <c r="BJC30" s="28"/>
      <c r="BJD30" s="28"/>
      <c r="BJE30" s="28"/>
      <c r="BJF30" s="28"/>
      <c r="BJG30" s="28"/>
      <c r="BJH30" s="28"/>
      <c r="BJI30" s="28"/>
      <c r="BJJ30" s="28"/>
      <c r="BJK30" s="28"/>
      <c r="BJL30" s="28"/>
      <c r="BJM30" s="28"/>
      <c r="BJN30" s="28"/>
      <c r="BJO30" s="28"/>
      <c r="BJP30" s="28"/>
      <c r="BJQ30" s="28"/>
      <c r="BJR30" s="28"/>
      <c r="BJS30" s="28"/>
      <c r="BJT30" s="28"/>
      <c r="BJU30" s="28"/>
      <c r="BJV30" s="28"/>
      <c r="BJW30" s="28"/>
      <c r="BJX30" s="28"/>
      <c r="BJY30" s="28"/>
      <c r="BJZ30" s="28"/>
      <c r="BKA30" s="28"/>
      <c r="BKB30" s="28"/>
      <c r="BKC30" s="28"/>
      <c r="BKD30" s="28"/>
      <c r="BKE30" s="28"/>
      <c r="BKF30" s="28"/>
      <c r="BKG30" s="28"/>
      <c r="BKH30" s="28"/>
      <c r="BKI30" s="28"/>
      <c r="BKJ30" s="28"/>
      <c r="BKK30" s="28"/>
      <c r="BKL30" s="28"/>
      <c r="BKM30" s="28"/>
      <c r="BKN30" s="28"/>
      <c r="BKO30" s="28"/>
      <c r="BKP30" s="28"/>
      <c r="BKQ30" s="28"/>
      <c r="BKR30" s="28"/>
      <c r="BKS30" s="28"/>
      <c r="BKT30" s="28"/>
      <c r="BKU30" s="28"/>
      <c r="BKV30" s="28"/>
      <c r="BKW30" s="28"/>
      <c r="BKX30" s="28"/>
      <c r="BKY30" s="28"/>
      <c r="BKZ30" s="28"/>
      <c r="BLA30" s="28"/>
      <c r="BLB30" s="28"/>
      <c r="BLC30" s="28"/>
      <c r="BLD30" s="28"/>
      <c r="BLE30" s="28"/>
      <c r="BLF30" s="28"/>
      <c r="BLG30" s="28"/>
      <c r="BLH30" s="28"/>
      <c r="BLI30" s="28"/>
      <c r="BLJ30" s="28"/>
      <c r="BLK30" s="28"/>
      <c r="BLL30" s="28"/>
      <c r="BLM30" s="28"/>
      <c r="BLN30" s="28"/>
      <c r="BLO30" s="28"/>
      <c r="BLP30" s="28"/>
      <c r="BLQ30" s="28"/>
      <c r="BLR30" s="28"/>
      <c r="BLS30" s="28"/>
      <c r="BLT30" s="28"/>
      <c r="BLU30" s="28"/>
      <c r="BLV30" s="28"/>
      <c r="BLW30" s="28"/>
      <c r="BLX30" s="28"/>
      <c r="BLY30" s="28"/>
      <c r="BLZ30" s="28"/>
      <c r="BMA30" s="28"/>
      <c r="BMB30" s="28"/>
      <c r="BMC30" s="28"/>
      <c r="BMD30" s="28"/>
      <c r="BME30" s="28"/>
      <c r="BMF30" s="28"/>
      <c r="BMG30" s="28"/>
      <c r="BMH30" s="28"/>
      <c r="BMI30" s="28"/>
      <c r="BMJ30" s="28"/>
      <c r="BMK30" s="28"/>
      <c r="BML30" s="28"/>
      <c r="BMM30" s="28"/>
      <c r="BMN30" s="28"/>
      <c r="BMO30" s="28"/>
      <c r="BMP30" s="28"/>
      <c r="BMQ30" s="28"/>
      <c r="BMR30" s="28"/>
      <c r="BMS30" s="28"/>
      <c r="BMT30" s="28"/>
      <c r="BMU30" s="28"/>
      <c r="BMV30" s="28"/>
      <c r="BMW30" s="28"/>
      <c r="BMX30" s="28"/>
      <c r="BMY30" s="28"/>
      <c r="BMZ30" s="28"/>
      <c r="BNA30" s="28"/>
      <c r="BNB30" s="28"/>
      <c r="BNC30" s="28"/>
      <c r="BND30" s="28"/>
      <c r="BNE30" s="28"/>
      <c r="BNF30" s="28"/>
      <c r="BNG30" s="28"/>
      <c r="BNH30" s="28"/>
      <c r="BNI30" s="28"/>
      <c r="BNJ30" s="28"/>
      <c r="BNK30" s="28"/>
      <c r="BNL30" s="28"/>
      <c r="BNM30" s="28"/>
      <c r="BNN30" s="28"/>
      <c r="BNO30" s="28"/>
      <c r="BNP30" s="28"/>
      <c r="BNQ30" s="28"/>
      <c r="BNR30" s="28"/>
      <c r="BNS30" s="28"/>
      <c r="BNT30" s="28"/>
      <c r="BNU30" s="28"/>
      <c r="BNV30" s="28"/>
      <c r="BNW30" s="28"/>
      <c r="BNX30" s="28"/>
      <c r="BNY30" s="28"/>
      <c r="BNZ30" s="28"/>
      <c r="BOA30" s="28"/>
      <c r="BOB30" s="28"/>
      <c r="BOC30" s="28"/>
      <c r="BOD30" s="28"/>
      <c r="BOE30" s="28"/>
      <c r="BOF30" s="28"/>
      <c r="BOG30" s="28"/>
      <c r="BOH30" s="28"/>
      <c r="BOI30" s="28"/>
      <c r="BOJ30" s="28"/>
      <c r="BOK30" s="28"/>
      <c r="BOL30" s="28"/>
      <c r="BOM30" s="28"/>
      <c r="BON30" s="28"/>
      <c r="BOO30" s="28"/>
      <c r="BOP30" s="28"/>
      <c r="BOQ30" s="28"/>
      <c r="BOR30" s="28"/>
      <c r="BOS30" s="28"/>
      <c r="BOT30" s="28"/>
      <c r="BOU30" s="28"/>
      <c r="BOV30" s="28"/>
      <c r="BOW30" s="28"/>
      <c r="BOX30" s="28"/>
      <c r="BOY30" s="28"/>
      <c r="BOZ30" s="28"/>
      <c r="BPA30" s="28"/>
      <c r="BPB30" s="28"/>
      <c r="BPC30" s="28"/>
      <c r="BPD30" s="28"/>
      <c r="BPE30" s="28"/>
      <c r="BPF30" s="28"/>
      <c r="BPG30" s="28"/>
      <c r="BPH30" s="28"/>
      <c r="BPI30" s="28"/>
      <c r="BPJ30" s="28"/>
      <c r="BPK30" s="28"/>
      <c r="BPL30" s="28"/>
      <c r="BPM30" s="28"/>
      <c r="BPN30" s="28"/>
      <c r="BPO30" s="28"/>
      <c r="BPP30" s="28"/>
      <c r="BPQ30" s="28"/>
      <c r="BPR30" s="28"/>
      <c r="BPS30" s="28"/>
      <c r="BPT30" s="28"/>
      <c r="BPU30" s="28"/>
      <c r="BPV30" s="28"/>
      <c r="BPW30" s="28"/>
      <c r="BPX30" s="28"/>
      <c r="BPY30" s="28"/>
      <c r="BPZ30" s="28"/>
      <c r="BQA30" s="28"/>
      <c r="BQB30" s="28"/>
      <c r="BQC30" s="28"/>
      <c r="BQD30" s="28"/>
      <c r="BQE30" s="28"/>
      <c r="BQF30" s="28"/>
      <c r="BQG30" s="28"/>
      <c r="BQH30" s="28"/>
      <c r="BQI30" s="28"/>
      <c r="BQJ30" s="28"/>
      <c r="BQK30" s="28"/>
      <c r="BQL30" s="28"/>
      <c r="BQM30" s="28"/>
      <c r="BQN30" s="28"/>
      <c r="BQO30" s="28"/>
      <c r="BQP30" s="28"/>
      <c r="BQQ30" s="28"/>
      <c r="BQR30" s="28"/>
      <c r="BQS30" s="28"/>
      <c r="BQT30" s="28"/>
      <c r="BQU30" s="28"/>
      <c r="BQV30" s="28"/>
      <c r="BQW30" s="28"/>
      <c r="BQX30" s="28"/>
      <c r="BQY30" s="28"/>
      <c r="BQZ30" s="28"/>
      <c r="BRA30" s="28"/>
      <c r="BRB30" s="28"/>
      <c r="BRC30" s="28"/>
      <c r="BRD30" s="28"/>
      <c r="BRE30" s="28"/>
      <c r="BRF30" s="28"/>
      <c r="BRG30" s="28"/>
      <c r="BRH30" s="28"/>
      <c r="BRI30" s="28"/>
      <c r="BRJ30" s="28"/>
      <c r="BRK30" s="28"/>
      <c r="BRL30" s="28"/>
      <c r="BRM30" s="28"/>
      <c r="BRN30" s="28"/>
      <c r="BRO30" s="28"/>
      <c r="BRP30" s="28"/>
      <c r="BRQ30" s="28"/>
      <c r="BRR30" s="28"/>
      <c r="BRS30" s="28"/>
      <c r="BRT30" s="28"/>
      <c r="BRU30" s="28"/>
      <c r="BRV30" s="28"/>
      <c r="BRW30" s="28"/>
      <c r="BRX30" s="28"/>
      <c r="BRY30" s="28"/>
      <c r="BRZ30" s="28"/>
      <c r="BSA30" s="28"/>
      <c r="BSB30" s="28"/>
      <c r="BSC30" s="28"/>
      <c r="BSD30" s="28"/>
      <c r="BSE30" s="28"/>
      <c r="BSF30" s="28"/>
      <c r="BSG30" s="28"/>
      <c r="BSH30" s="28"/>
      <c r="BSI30" s="28"/>
      <c r="BSJ30" s="28"/>
      <c r="BSK30" s="28"/>
      <c r="BSL30" s="28"/>
      <c r="BSM30" s="28"/>
      <c r="BSN30" s="28"/>
      <c r="BSO30" s="28"/>
      <c r="BSP30" s="28"/>
      <c r="BSQ30" s="28"/>
      <c r="BSR30" s="28"/>
      <c r="BSS30" s="28"/>
      <c r="BST30" s="28"/>
      <c r="BSU30" s="28"/>
      <c r="BSV30" s="28"/>
      <c r="BSW30" s="28"/>
      <c r="BSX30" s="28"/>
      <c r="BSY30" s="28"/>
      <c r="BSZ30" s="28"/>
      <c r="BTA30" s="28"/>
      <c r="BTB30" s="28"/>
      <c r="BTC30" s="28"/>
      <c r="BTD30" s="28"/>
      <c r="BTE30" s="28"/>
      <c r="BTF30" s="28"/>
      <c r="BTG30" s="28"/>
      <c r="BTH30" s="28"/>
      <c r="BTI30" s="28"/>
      <c r="BTJ30" s="28"/>
      <c r="BTK30" s="28"/>
      <c r="BTL30" s="28"/>
      <c r="BTM30" s="28"/>
      <c r="BTN30" s="28"/>
      <c r="BTO30" s="28"/>
      <c r="BTP30" s="28"/>
      <c r="BTQ30" s="28"/>
      <c r="BTR30" s="28"/>
      <c r="BTS30" s="28"/>
      <c r="BTT30" s="28"/>
      <c r="BTU30" s="28"/>
      <c r="BTV30" s="28"/>
      <c r="BTW30" s="28"/>
      <c r="BTX30" s="28"/>
      <c r="BTY30" s="28"/>
      <c r="BTZ30" s="28"/>
      <c r="BUA30" s="28"/>
      <c r="BUB30" s="28"/>
      <c r="BUC30" s="28"/>
      <c r="BUD30" s="28"/>
      <c r="BUE30" s="28"/>
      <c r="BUF30" s="28"/>
      <c r="BUG30" s="28"/>
      <c r="BUH30" s="28"/>
      <c r="BUI30" s="28"/>
      <c r="BUJ30" s="28"/>
      <c r="BUK30" s="28"/>
      <c r="BUL30" s="28"/>
      <c r="BUM30" s="28"/>
      <c r="BUN30" s="28"/>
      <c r="BUO30" s="28"/>
      <c r="BUP30" s="28"/>
      <c r="BUQ30" s="28"/>
      <c r="BUR30" s="28"/>
      <c r="BUS30" s="28"/>
      <c r="BUT30" s="28"/>
      <c r="BUU30" s="28"/>
      <c r="BUV30" s="28"/>
      <c r="BUW30" s="28"/>
      <c r="BUX30" s="28"/>
      <c r="BUY30" s="28"/>
      <c r="BUZ30" s="28"/>
      <c r="BVA30" s="28"/>
      <c r="BVB30" s="28"/>
      <c r="BVC30" s="28"/>
      <c r="BVD30" s="28"/>
      <c r="BVE30" s="28"/>
      <c r="BVF30" s="28"/>
      <c r="BVG30" s="28"/>
      <c r="BVH30" s="28"/>
      <c r="BVI30" s="28"/>
      <c r="BVJ30" s="28"/>
      <c r="BVK30" s="28"/>
      <c r="BVL30" s="28"/>
      <c r="BVM30" s="28"/>
      <c r="BVN30" s="28"/>
      <c r="BVO30" s="28"/>
      <c r="BVP30" s="28"/>
      <c r="BVQ30" s="28"/>
      <c r="BVR30" s="28"/>
      <c r="BVS30" s="28"/>
      <c r="BVT30" s="28"/>
      <c r="BVU30" s="28"/>
      <c r="BVV30" s="28"/>
      <c r="BVW30" s="28"/>
      <c r="BVX30" s="28"/>
      <c r="BVY30" s="28"/>
      <c r="BVZ30" s="28"/>
      <c r="BWA30" s="28"/>
      <c r="BWB30" s="28"/>
      <c r="BWC30" s="28"/>
      <c r="BWD30" s="28"/>
      <c r="BWE30" s="28"/>
      <c r="BWF30" s="28"/>
      <c r="BWG30" s="28"/>
      <c r="BWH30" s="28"/>
      <c r="BWI30" s="28"/>
      <c r="BWJ30" s="28"/>
      <c r="BWK30" s="28"/>
      <c r="BWL30" s="28"/>
      <c r="BWM30" s="28"/>
      <c r="BWN30" s="28"/>
      <c r="BWO30" s="28"/>
      <c r="BWP30" s="28"/>
      <c r="BWQ30" s="28"/>
      <c r="BWR30" s="28"/>
      <c r="BWS30" s="28"/>
      <c r="BWT30" s="28"/>
      <c r="BWU30" s="28"/>
      <c r="BWV30" s="28"/>
      <c r="BWW30" s="28"/>
      <c r="BWX30" s="28"/>
      <c r="BWY30" s="28"/>
      <c r="BWZ30" s="28"/>
      <c r="BXA30" s="28"/>
      <c r="BXB30" s="28"/>
      <c r="BXC30" s="28"/>
      <c r="BXD30" s="28"/>
      <c r="BXE30" s="28"/>
      <c r="BXF30" s="28"/>
      <c r="BXG30" s="28"/>
      <c r="BXH30" s="28"/>
      <c r="BXI30" s="28"/>
      <c r="BXJ30" s="28"/>
      <c r="BXK30" s="28"/>
      <c r="BXL30" s="28"/>
      <c r="BXM30" s="28"/>
      <c r="BXN30" s="28"/>
      <c r="BXO30" s="28"/>
      <c r="BXP30" s="28"/>
      <c r="BXQ30" s="28"/>
      <c r="BXR30" s="28"/>
      <c r="BXS30" s="28"/>
      <c r="BXT30" s="28"/>
      <c r="BXU30" s="28"/>
      <c r="BXV30" s="28"/>
      <c r="BXW30" s="28"/>
      <c r="BXX30" s="28"/>
      <c r="BXY30" s="28"/>
      <c r="BXZ30" s="28"/>
      <c r="BYA30" s="28"/>
      <c r="BYB30" s="28"/>
      <c r="BYC30" s="28"/>
      <c r="BYD30" s="28"/>
      <c r="BYE30" s="28"/>
      <c r="BYF30" s="28"/>
      <c r="BYG30" s="28"/>
      <c r="BYH30" s="28"/>
      <c r="BYI30" s="28"/>
      <c r="BYJ30" s="28"/>
      <c r="BYK30" s="28"/>
      <c r="BYL30" s="28"/>
      <c r="BYM30" s="28"/>
      <c r="BYN30" s="28"/>
      <c r="BYO30" s="28"/>
      <c r="BYP30" s="28"/>
      <c r="BYQ30" s="28"/>
      <c r="BYR30" s="28"/>
      <c r="BYS30" s="28"/>
      <c r="BYT30" s="28"/>
      <c r="BYU30" s="28"/>
      <c r="BYV30" s="28"/>
      <c r="BYW30" s="28"/>
      <c r="BYX30" s="28"/>
      <c r="BYY30" s="28"/>
      <c r="BYZ30" s="28"/>
      <c r="BZA30" s="28"/>
      <c r="BZB30" s="28"/>
      <c r="BZC30" s="28"/>
      <c r="BZD30" s="28"/>
      <c r="BZE30" s="28"/>
      <c r="BZF30" s="28"/>
      <c r="BZG30" s="28"/>
      <c r="BZH30" s="28"/>
      <c r="BZI30" s="28"/>
      <c r="BZJ30" s="28"/>
      <c r="BZK30" s="28"/>
      <c r="BZL30" s="28"/>
      <c r="BZM30" s="28"/>
      <c r="BZN30" s="28"/>
      <c r="BZO30" s="28"/>
      <c r="BZP30" s="28"/>
      <c r="BZQ30" s="28"/>
      <c r="BZR30" s="28"/>
      <c r="BZS30" s="28"/>
      <c r="BZT30" s="28"/>
      <c r="BZU30" s="28"/>
      <c r="BZV30" s="28"/>
      <c r="BZW30" s="28"/>
      <c r="BZX30" s="28"/>
      <c r="BZY30" s="28"/>
      <c r="BZZ30" s="28"/>
      <c r="CAA30" s="28"/>
      <c r="CAB30" s="28"/>
      <c r="CAC30" s="28"/>
      <c r="CAD30" s="28"/>
      <c r="CAE30" s="28"/>
      <c r="CAF30" s="28"/>
      <c r="CAG30" s="28"/>
      <c r="CAH30" s="28"/>
      <c r="CAI30" s="28"/>
      <c r="CAJ30" s="28"/>
      <c r="CAK30" s="28"/>
      <c r="CAL30" s="28"/>
      <c r="CAM30" s="28"/>
      <c r="CAN30" s="28"/>
      <c r="CAO30" s="28"/>
      <c r="CAP30" s="28"/>
      <c r="CAQ30" s="28"/>
      <c r="CAR30" s="28"/>
      <c r="CAS30" s="28"/>
      <c r="CAT30" s="28"/>
      <c r="CAU30" s="28"/>
      <c r="CAV30" s="28"/>
      <c r="CAW30" s="28"/>
      <c r="CAX30" s="28"/>
      <c r="CAY30" s="28"/>
      <c r="CAZ30" s="28"/>
      <c r="CBA30" s="28"/>
      <c r="CBB30" s="28"/>
      <c r="CBC30" s="28"/>
      <c r="CBD30" s="28"/>
      <c r="CBE30" s="28"/>
      <c r="CBF30" s="28"/>
      <c r="CBG30" s="28"/>
      <c r="CBH30" s="28"/>
      <c r="CBI30" s="28"/>
      <c r="CBJ30" s="28"/>
      <c r="CBK30" s="28"/>
      <c r="CBL30" s="28"/>
      <c r="CBM30" s="28"/>
      <c r="CBN30" s="28"/>
      <c r="CBO30" s="28"/>
      <c r="CBP30" s="28"/>
      <c r="CBQ30" s="28"/>
      <c r="CBR30" s="28"/>
      <c r="CBS30" s="28"/>
      <c r="CBT30" s="28"/>
      <c r="CBU30" s="28"/>
      <c r="CBV30" s="28"/>
      <c r="CBW30" s="28"/>
      <c r="CBX30" s="28"/>
      <c r="CBY30" s="28"/>
      <c r="CBZ30" s="28"/>
      <c r="CCA30" s="28"/>
      <c r="CCB30" s="28"/>
      <c r="CCC30" s="28"/>
      <c r="CCD30" s="28"/>
      <c r="CCE30" s="28"/>
      <c r="CCF30" s="28"/>
      <c r="CCG30" s="28"/>
      <c r="CCH30" s="28"/>
      <c r="CCI30" s="28"/>
      <c r="CCJ30" s="28"/>
      <c r="CCK30" s="28"/>
      <c r="CCL30" s="28"/>
      <c r="CCM30" s="28"/>
      <c r="CCN30" s="28"/>
      <c r="CCO30" s="28"/>
      <c r="CCP30" s="28"/>
      <c r="CCQ30" s="28"/>
      <c r="CCR30" s="28"/>
      <c r="CCS30" s="28"/>
      <c r="CCT30" s="28"/>
      <c r="CCU30" s="28"/>
      <c r="CCV30" s="28"/>
      <c r="CCW30" s="28"/>
      <c r="CCX30" s="28"/>
      <c r="CCY30" s="28"/>
      <c r="CCZ30" s="28"/>
      <c r="CDA30" s="28"/>
      <c r="CDB30" s="28"/>
      <c r="CDC30" s="28"/>
      <c r="CDD30" s="28"/>
      <c r="CDE30" s="28"/>
      <c r="CDF30" s="28"/>
      <c r="CDG30" s="28"/>
      <c r="CDH30" s="28"/>
      <c r="CDI30" s="28"/>
      <c r="CDJ30" s="28"/>
      <c r="CDK30" s="28"/>
      <c r="CDL30" s="28"/>
      <c r="CDM30" s="28"/>
      <c r="CDN30" s="28"/>
      <c r="CDO30" s="28"/>
      <c r="CDP30" s="28"/>
      <c r="CDQ30" s="28"/>
      <c r="CDR30" s="28"/>
      <c r="CDS30" s="28"/>
      <c r="CDT30" s="28"/>
      <c r="CDU30" s="28"/>
      <c r="CDV30" s="28"/>
      <c r="CDW30" s="28"/>
      <c r="CDX30" s="28"/>
      <c r="CDY30" s="28"/>
      <c r="CDZ30" s="28"/>
      <c r="CEA30" s="28"/>
      <c r="CEB30" s="28"/>
      <c r="CEC30" s="28"/>
      <c r="CED30" s="28"/>
      <c r="CEE30" s="28"/>
      <c r="CEF30" s="28"/>
      <c r="CEG30" s="28"/>
      <c r="CEH30" s="28"/>
      <c r="CEI30" s="28"/>
      <c r="CEJ30" s="28"/>
      <c r="CEK30" s="28"/>
      <c r="CEL30" s="28"/>
      <c r="CEM30" s="28"/>
      <c r="CEN30" s="28"/>
      <c r="CEO30" s="28"/>
      <c r="CEP30" s="28"/>
      <c r="CEQ30" s="28"/>
      <c r="CER30" s="28"/>
      <c r="CES30" s="28"/>
      <c r="CET30" s="28"/>
      <c r="CEU30" s="28"/>
      <c r="CEV30" s="28"/>
      <c r="CEW30" s="28"/>
      <c r="CEX30" s="28"/>
      <c r="CEY30" s="28"/>
      <c r="CEZ30" s="28"/>
      <c r="CFA30" s="28"/>
      <c r="CFB30" s="28"/>
      <c r="CFC30" s="28"/>
      <c r="CFD30" s="28"/>
      <c r="CFE30" s="28"/>
      <c r="CFF30" s="28"/>
      <c r="CFG30" s="28"/>
      <c r="CFH30" s="28"/>
      <c r="CFI30" s="28"/>
      <c r="CFJ30" s="28"/>
      <c r="CFK30" s="28"/>
      <c r="CFL30" s="28"/>
      <c r="CFM30" s="28"/>
      <c r="CFN30" s="28"/>
      <c r="CFO30" s="28"/>
      <c r="CFP30" s="28"/>
      <c r="CFQ30" s="28"/>
      <c r="CFR30" s="28"/>
      <c r="CFS30" s="28"/>
      <c r="CFT30" s="28"/>
      <c r="CFU30" s="28"/>
      <c r="CFV30" s="28"/>
      <c r="CFW30" s="28"/>
      <c r="CFX30" s="28"/>
      <c r="CFY30" s="28"/>
      <c r="CFZ30" s="28"/>
      <c r="CGA30" s="28"/>
      <c r="CGB30" s="28"/>
      <c r="CGC30" s="28"/>
      <c r="CGD30" s="28"/>
      <c r="CGE30" s="28"/>
      <c r="CGF30" s="28"/>
      <c r="CGG30" s="28"/>
      <c r="CGH30" s="28"/>
      <c r="CGI30" s="28"/>
      <c r="CGJ30" s="28"/>
      <c r="CGK30" s="28"/>
      <c r="CGL30" s="28"/>
      <c r="CGM30" s="28"/>
      <c r="CGN30" s="28"/>
      <c r="CGO30" s="28"/>
      <c r="CGP30" s="28"/>
      <c r="CGQ30" s="28"/>
      <c r="CGR30" s="28"/>
      <c r="CGS30" s="28"/>
      <c r="CGT30" s="28"/>
      <c r="CGU30" s="28"/>
      <c r="CGV30" s="28"/>
      <c r="CGW30" s="28"/>
      <c r="CGX30" s="28"/>
      <c r="CGY30" s="28"/>
      <c r="CGZ30" s="28"/>
      <c r="CHA30" s="28"/>
      <c r="CHB30" s="28"/>
      <c r="CHC30" s="28"/>
      <c r="CHD30" s="28"/>
      <c r="CHE30" s="28"/>
      <c r="CHF30" s="28"/>
      <c r="CHG30" s="28"/>
      <c r="CHH30" s="28"/>
      <c r="CHI30" s="28"/>
      <c r="CHJ30" s="28"/>
      <c r="CHK30" s="28"/>
      <c r="CHL30" s="28"/>
      <c r="CHM30" s="28"/>
      <c r="CHN30" s="28"/>
      <c r="CHO30" s="28"/>
      <c r="CHP30" s="28"/>
      <c r="CHQ30" s="28"/>
      <c r="CHR30" s="28"/>
      <c r="CHS30" s="28"/>
      <c r="CHT30" s="28"/>
      <c r="CHU30" s="28"/>
      <c r="CHV30" s="28"/>
      <c r="CHW30" s="28"/>
      <c r="CHX30" s="28"/>
      <c r="CHY30" s="28"/>
      <c r="CHZ30" s="28"/>
      <c r="CIA30" s="28"/>
      <c r="CIB30" s="28"/>
      <c r="CIC30" s="28"/>
      <c r="CID30" s="28"/>
      <c r="CIE30" s="28"/>
      <c r="CIF30" s="28"/>
      <c r="CIG30" s="28"/>
      <c r="CIH30" s="28"/>
      <c r="CII30" s="28"/>
      <c r="CIJ30" s="28"/>
      <c r="CIK30" s="28"/>
      <c r="CIL30" s="28"/>
      <c r="CIM30" s="28"/>
      <c r="CIN30" s="28"/>
      <c r="CIO30" s="28"/>
      <c r="CIP30" s="28"/>
      <c r="CIQ30" s="28"/>
      <c r="CIR30" s="28"/>
      <c r="CIS30" s="28"/>
      <c r="CIT30" s="28"/>
      <c r="CIU30" s="28"/>
      <c r="CIV30" s="28"/>
      <c r="CIW30" s="28"/>
      <c r="CIX30" s="28"/>
      <c r="CIY30" s="28"/>
      <c r="CIZ30" s="28"/>
      <c r="CJA30" s="28"/>
      <c r="CJB30" s="28"/>
      <c r="CJC30" s="28"/>
      <c r="CJD30" s="28"/>
      <c r="CJE30" s="28"/>
      <c r="CJF30" s="28"/>
      <c r="CJG30" s="28"/>
      <c r="CJH30" s="28"/>
      <c r="CJI30" s="28"/>
      <c r="CJJ30" s="28"/>
      <c r="CJK30" s="28"/>
      <c r="CJL30" s="28"/>
      <c r="CJM30" s="28"/>
      <c r="CJN30" s="28"/>
      <c r="CJO30" s="28"/>
      <c r="CJP30" s="28"/>
      <c r="CJQ30" s="28"/>
      <c r="CJR30" s="28"/>
      <c r="CJS30" s="28"/>
      <c r="CJT30" s="28"/>
      <c r="CJU30" s="28"/>
      <c r="CJV30" s="28"/>
      <c r="CJW30" s="28"/>
      <c r="CJX30" s="28"/>
      <c r="CJY30" s="28"/>
      <c r="CJZ30" s="28"/>
      <c r="CKA30" s="28"/>
      <c r="CKB30" s="28"/>
      <c r="CKC30" s="28"/>
      <c r="CKD30" s="28"/>
      <c r="CKE30" s="28"/>
      <c r="CKF30" s="28"/>
      <c r="CKG30" s="28"/>
      <c r="CKH30" s="28"/>
      <c r="CKI30" s="28"/>
      <c r="CKJ30" s="28"/>
      <c r="CKK30" s="28"/>
      <c r="CKL30" s="28"/>
      <c r="CKM30" s="28"/>
      <c r="CKN30" s="28"/>
      <c r="CKO30" s="28"/>
      <c r="CKP30" s="28"/>
      <c r="CKQ30" s="28"/>
      <c r="CKR30" s="28"/>
      <c r="CKS30" s="28"/>
      <c r="CKT30" s="28"/>
      <c r="CKU30" s="28"/>
      <c r="CKV30" s="28"/>
      <c r="CKW30" s="28"/>
      <c r="CKX30" s="28"/>
      <c r="CKY30" s="28"/>
      <c r="CKZ30" s="28"/>
      <c r="CLA30" s="28"/>
      <c r="CLB30" s="28"/>
      <c r="CLC30" s="28"/>
      <c r="CLD30" s="28"/>
      <c r="CLE30" s="28"/>
      <c r="CLF30" s="28"/>
      <c r="CLG30" s="28"/>
      <c r="CLH30" s="28"/>
      <c r="CLI30" s="28"/>
      <c r="CLJ30" s="28"/>
      <c r="CLK30" s="28"/>
      <c r="CLL30" s="28"/>
      <c r="CLM30" s="28"/>
      <c r="CLN30" s="28"/>
      <c r="CLO30" s="28"/>
      <c r="CLP30" s="28"/>
      <c r="CLQ30" s="28"/>
      <c r="CLR30" s="28"/>
      <c r="CLS30" s="28"/>
      <c r="CLT30" s="28"/>
      <c r="CLU30" s="28"/>
      <c r="CLV30" s="28"/>
      <c r="CLW30" s="28"/>
      <c r="CLX30" s="28"/>
      <c r="CLY30" s="28"/>
      <c r="CLZ30" s="28"/>
      <c r="CMA30" s="28"/>
      <c r="CMB30" s="28"/>
      <c r="CMC30" s="28"/>
      <c r="CMD30" s="28"/>
      <c r="CME30" s="28"/>
      <c r="CMF30" s="28"/>
      <c r="CMG30" s="28"/>
      <c r="CMH30" s="28"/>
      <c r="CMI30" s="28"/>
      <c r="CMJ30" s="28"/>
      <c r="CMK30" s="28"/>
      <c r="CML30" s="28"/>
      <c r="CMM30" s="28"/>
      <c r="CMN30" s="28"/>
      <c r="CMO30" s="28"/>
      <c r="CMP30" s="28"/>
      <c r="CMQ30" s="28"/>
      <c r="CMR30" s="28"/>
      <c r="CMS30" s="28"/>
      <c r="CMT30" s="28"/>
      <c r="CMU30" s="28"/>
      <c r="CMV30" s="28"/>
      <c r="CMW30" s="28"/>
      <c r="CMX30" s="28"/>
      <c r="CMY30" s="28"/>
      <c r="CMZ30" s="28"/>
      <c r="CNA30" s="28"/>
      <c r="CNB30" s="28"/>
      <c r="CNC30" s="28"/>
      <c r="CND30" s="28"/>
      <c r="CNE30" s="28"/>
      <c r="CNF30" s="28"/>
      <c r="CNG30" s="28"/>
      <c r="CNH30" s="28"/>
      <c r="CNI30" s="28"/>
      <c r="CNJ30" s="28"/>
      <c r="CNK30" s="28"/>
      <c r="CNL30" s="28"/>
      <c r="CNM30" s="28"/>
      <c r="CNN30" s="28"/>
      <c r="CNO30" s="28"/>
      <c r="CNP30" s="28"/>
      <c r="CNQ30" s="28"/>
      <c r="CNR30" s="28"/>
      <c r="CNS30" s="28"/>
      <c r="CNT30" s="28"/>
      <c r="CNU30" s="28"/>
      <c r="CNV30" s="28"/>
      <c r="CNW30" s="28"/>
      <c r="CNX30" s="28"/>
      <c r="CNY30" s="28"/>
      <c r="CNZ30" s="28"/>
      <c r="COA30" s="28"/>
      <c r="COB30" s="28"/>
      <c r="COC30" s="28"/>
      <c r="COD30" s="28"/>
      <c r="COE30" s="28"/>
      <c r="COF30" s="28"/>
      <c r="COG30" s="28"/>
      <c r="COH30" s="28"/>
      <c r="COI30" s="28"/>
      <c r="COJ30" s="28"/>
      <c r="COK30" s="28"/>
      <c r="COL30" s="28"/>
      <c r="COM30" s="28"/>
      <c r="CON30" s="28"/>
      <c r="COO30" s="28"/>
      <c r="COP30" s="28"/>
      <c r="COQ30" s="28"/>
      <c r="COR30" s="28"/>
      <c r="COS30" s="28"/>
      <c r="COT30" s="28"/>
      <c r="COU30" s="28"/>
      <c r="COV30" s="28"/>
      <c r="COW30" s="28"/>
      <c r="COX30" s="28"/>
      <c r="COY30" s="28"/>
      <c r="COZ30" s="28"/>
      <c r="CPA30" s="28"/>
      <c r="CPB30" s="28"/>
      <c r="CPC30" s="28"/>
      <c r="CPD30" s="28"/>
      <c r="CPE30" s="28"/>
      <c r="CPF30" s="28"/>
      <c r="CPG30" s="28"/>
      <c r="CPH30" s="28"/>
      <c r="CPI30" s="28"/>
      <c r="CPJ30" s="28"/>
      <c r="CPK30" s="28"/>
      <c r="CPL30" s="28"/>
      <c r="CPM30" s="28"/>
      <c r="CPN30" s="28"/>
      <c r="CPO30" s="28"/>
      <c r="CPP30" s="28"/>
      <c r="CPQ30" s="28"/>
      <c r="CPR30" s="28"/>
      <c r="CPS30" s="28"/>
      <c r="CPT30" s="28"/>
      <c r="CPU30" s="28"/>
      <c r="CPV30" s="28"/>
      <c r="CPW30" s="28"/>
      <c r="CPX30" s="28"/>
      <c r="CPY30" s="28"/>
      <c r="CPZ30" s="28"/>
      <c r="CQA30" s="28"/>
      <c r="CQB30" s="28"/>
      <c r="CQC30" s="28"/>
      <c r="CQD30" s="28"/>
      <c r="CQE30" s="28"/>
      <c r="CQF30" s="28"/>
      <c r="CQG30" s="28"/>
      <c r="CQH30" s="28"/>
      <c r="CQI30" s="28"/>
      <c r="CQJ30" s="28"/>
      <c r="CQK30" s="28"/>
      <c r="CQL30" s="28"/>
      <c r="CQM30" s="28"/>
      <c r="CQN30" s="28"/>
      <c r="CQO30" s="28"/>
      <c r="CQP30" s="28"/>
      <c r="CQQ30" s="28"/>
      <c r="CQR30" s="28"/>
      <c r="CQS30" s="28"/>
      <c r="CQT30" s="28"/>
      <c r="CQU30" s="28"/>
      <c r="CQV30" s="28"/>
      <c r="CQW30" s="28"/>
      <c r="CQX30" s="28"/>
      <c r="CQY30" s="28"/>
      <c r="CQZ30" s="28"/>
      <c r="CRA30" s="28"/>
      <c r="CRB30" s="28"/>
      <c r="CRC30" s="28"/>
      <c r="CRD30" s="28"/>
      <c r="CRE30" s="28"/>
      <c r="CRF30" s="28"/>
      <c r="CRG30" s="28"/>
      <c r="CRH30" s="28"/>
      <c r="CRI30" s="28"/>
      <c r="CRJ30" s="28"/>
      <c r="CRK30" s="28"/>
      <c r="CRL30" s="28"/>
      <c r="CRM30" s="28"/>
      <c r="CRN30" s="28"/>
      <c r="CRO30" s="28"/>
      <c r="CRP30" s="28"/>
      <c r="CRQ30" s="28"/>
      <c r="CRR30" s="28"/>
      <c r="CRS30" s="28"/>
      <c r="CRT30" s="28"/>
      <c r="CRU30" s="28"/>
      <c r="CRV30" s="28"/>
      <c r="CRW30" s="28"/>
      <c r="CRX30" s="28"/>
      <c r="CRY30" s="28"/>
      <c r="CRZ30" s="28"/>
      <c r="CSA30" s="28"/>
      <c r="CSB30" s="28"/>
      <c r="CSC30" s="28"/>
      <c r="CSD30" s="28"/>
      <c r="CSE30" s="28"/>
      <c r="CSF30" s="28"/>
      <c r="CSG30" s="28"/>
      <c r="CSH30" s="28"/>
      <c r="CSI30" s="28"/>
      <c r="CSJ30" s="28"/>
      <c r="CSK30" s="28"/>
      <c r="CSL30" s="28"/>
      <c r="CSM30" s="28"/>
      <c r="CSN30" s="28"/>
      <c r="CSO30" s="28"/>
      <c r="CSP30" s="28"/>
      <c r="CSQ30" s="28"/>
      <c r="CSR30" s="28"/>
      <c r="CSS30" s="28"/>
      <c r="CST30" s="28"/>
      <c r="CSU30" s="28"/>
      <c r="CSV30" s="28"/>
      <c r="CSW30" s="28"/>
      <c r="CSX30" s="28"/>
      <c r="CSY30" s="28"/>
      <c r="CSZ30" s="28"/>
      <c r="CTA30" s="28"/>
      <c r="CTB30" s="28"/>
      <c r="CTC30" s="28"/>
      <c r="CTD30" s="28"/>
      <c r="CTE30" s="28"/>
      <c r="CTF30" s="28"/>
      <c r="CTG30" s="28"/>
      <c r="CTH30" s="28"/>
      <c r="CTI30" s="28"/>
      <c r="CTJ30" s="28"/>
      <c r="CTK30" s="28"/>
      <c r="CTL30" s="28"/>
      <c r="CTM30" s="28"/>
      <c r="CTN30" s="28"/>
      <c r="CTO30" s="28"/>
      <c r="CTP30" s="28"/>
      <c r="CTQ30" s="28"/>
      <c r="CTR30" s="28"/>
      <c r="CTS30" s="28"/>
      <c r="CTT30" s="28"/>
      <c r="CTU30" s="28"/>
      <c r="CTV30" s="28"/>
      <c r="CTW30" s="28"/>
      <c r="CTX30" s="28"/>
      <c r="CTY30" s="28"/>
      <c r="CTZ30" s="28"/>
      <c r="CUA30" s="28"/>
      <c r="CUB30" s="28"/>
      <c r="CUC30" s="28"/>
      <c r="CUD30" s="28"/>
      <c r="CUE30" s="28"/>
      <c r="CUF30" s="28"/>
      <c r="CUG30" s="28"/>
      <c r="CUH30" s="28"/>
      <c r="CUI30" s="28"/>
      <c r="CUJ30" s="28"/>
      <c r="CUK30" s="28"/>
      <c r="CUL30" s="28"/>
      <c r="CUM30" s="28"/>
      <c r="CUN30" s="28"/>
      <c r="CUO30" s="28"/>
      <c r="CUP30" s="28"/>
      <c r="CUQ30" s="28"/>
      <c r="CUR30" s="28"/>
      <c r="CUS30" s="28"/>
      <c r="CUT30" s="28"/>
      <c r="CUU30" s="28"/>
      <c r="CUV30" s="28"/>
      <c r="CUW30" s="28"/>
      <c r="CUX30" s="28"/>
      <c r="CUY30" s="28"/>
      <c r="CUZ30" s="28"/>
      <c r="CVA30" s="28"/>
      <c r="CVB30" s="28"/>
      <c r="CVC30" s="28"/>
      <c r="CVD30" s="28"/>
      <c r="CVE30" s="28"/>
      <c r="CVF30" s="28"/>
      <c r="CVG30" s="28"/>
      <c r="CVH30" s="28"/>
      <c r="CVI30" s="28"/>
      <c r="CVJ30" s="28"/>
      <c r="CVK30" s="28"/>
      <c r="CVL30" s="28"/>
      <c r="CVM30" s="28"/>
      <c r="CVN30" s="28"/>
      <c r="CVO30" s="28"/>
      <c r="CVP30" s="28"/>
      <c r="CVQ30" s="28"/>
      <c r="CVR30" s="28"/>
      <c r="CVS30" s="28"/>
      <c r="CVT30" s="28"/>
      <c r="CVU30" s="28"/>
      <c r="CVV30" s="28"/>
      <c r="CVW30" s="28"/>
      <c r="CVX30" s="28"/>
      <c r="CVY30" s="28"/>
      <c r="CVZ30" s="28"/>
      <c r="CWA30" s="28"/>
      <c r="CWB30" s="28"/>
      <c r="CWC30" s="28"/>
      <c r="CWD30" s="28"/>
      <c r="CWE30" s="28"/>
      <c r="CWF30" s="28"/>
      <c r="CWG30" s="28"/>
      <c r="CWH30" s="28"/>
      <c r="CWI30" s="28"/>
      <c r="CWJ30" s="28"/>
      <c r="CWK30" s="28"/>
      <c r="CWL30" s="28"/>
      <c r="CWM30" s="28"/>
      <c r="CWN30" s="28"/>
      <c r="CWO30" s="28"/>
      <c r="CWP30" s="28"/>
      <c r="CWQ30" s="28"/>
      <c r="CWR30" s="28"/>
      <c r="CWS30" s="28"/>
      <c r="CWT30" s="28"/>
      <c r="CWU30" s="28"/>
      <c r="CWV30" s="28"/>
      <c r="CWW30" s="28"/>
      <c r="CWX30" s="28"/>
      <c r="CWY30" s="28"/>
      <c r="CWZ30" s="28"/>
      <c r="CXA30" s="28"/>
      <c r="CXB30" s="28"/>
      <c r="CXC30" s="28"/>
      <c r="CXD30" s="28"/>
      <c r="CXE30" s="28"/>
      <c r="CXF30" s="28"/>
      <c r="CXG30" s="28"/>
      <c r="CXH30" s="28"/>
      <c r="CXI30" s="28"/>
      <c r="CXJ30" s="28"/>
      <c r="CXK30" s="28"/>
      <c r="CXL30" s="28"/>
      <c r="CXM30" s="28"/>
      <c r="CXN30" s="28"/>
      <c r="CXO30" s="28"/>
      <c r="CXP30" s="28"/>
      <c r="CXQ30" s="28"/>
      <c r="CXR30" s="28"/>
      <c r="CXS30" s="28"/>
      <c r="CXT30" s="28"/>
      <c r="CXU30" s="28"/>
      <c r="CXV30" s="28"/>
      <c r="CXW30" s="28"/>
      <c r="CXX30" s="28"/>
      <c r="CXY30" s="28"/>
      <c r="CXZ30" s="28"/>
      <c r="CYA30" s="28"/>
      <c r="CYB30" s="28"/>
      <c r="CYC30" s="28"/>
      <c r="CYD30" s="28"/>
      <c r="CYE30" s="28"/>
      <c r="CYF30" s="28"/>
      <c r="CYG30" s="28"/>
      <c r="CYH30" s="28"/>
      <c r="CYI30" s="28"/>
      <c r="CYJ30" s="28"/>
      <c r="CYK30" s="28"/>
      <c r="CYL30" s="28"/>
      <c r="CYM30" s="28"/>
      <c r="CYN30" s="28"/>
      <c r="CYO30" s="28"/>
      <c r="CYP30" s="28"/>
      <c r="CYQ30" s="28"/>
      <c r="CYR30" s="28"/>
      <c r="CYS30" s="28"/>
      <c r="CYT30" s="28"/>
      <c r="CYU30" s="28"/>
      <c r="CYV30" s="28"/>
      <c r="CYW30" s="28"/>
      <c r="CYX30" s="28"/>
      <c r="CYY30" s="28"/>
      <c r="CYZ30" s="28"/>
      <c r="CZA30" s="28"/>
      <c r="CZB30" s="28"/>
      <c r="CZC30" s="28"/>
      <c r="CZD30" s="28"/>
      <c r="CZE30" s="28"/>
      <c r="CZF30" s="28"/>
      <c r="CZG30" s="28"/>
      <c r="CZH30" s="28"/>
      <c r="CZI30" s="28"/>
      <c r="CZJ30" s="28"/>
      <c r="CZK30" s="28"/>
      <c r="CZL30" s="28"/>
      <c r="CZM30" s="28"/>
      <c r="CZN30" s="28"/>
      <c r="CZO30" s="28"/>
      <c r="CZP30" s="28"/>
      <c r="CZQ30" s="28"/>
      <c r="CZR30" s="28"/>
      <c r="CZS30" s="28"/>
      <c r="CZT30" s="28"/>
      <c r="CZU30" s="28"/>
      <c r="CZV30" s="28"/>
      <c r="CZW30" s="28"/>
      <c r="CZX30" s="28"/>
      <c r="CZY30" s="28"/>
      <c r="CZZ30" s="28"/>
      <c r="DAA30" s="28"/>
      <c r="DAB30" s="28"/>
      <c r="DAC30" s="28"/>
      <c r="DAD30" s="28"/>
      <c r="DAE30" s="28"/>
      <c r="DAF30" s="28"/>
      <c r="DAG30" s="28"/>
      <c r="DAH30" s="28"/>
      <c r="DAI30" s="28"/>
      <c r="DAJ30" s="28"/>
      <c r="DAK30" s="28"/>
      <c r="DAL30" s="28"/>
      <c r="DAM30" s="28"/>
      <c r="DAN30" s="28"/>
      <c r="DAO30" s="28"/>
      <c r="DAP30" s="28"/>
      <c r="DAQ30" s="28"/>
      <c r="DAR30" s="28"/>
      <c r="DAS30" s="28"/>
      <c r="DAT30" s="28"/>
      <c r="DAU30" s="28"/>
      <c r="DAV30" s="28"/>
      <c r="DAW30" s="28"/>
      <c r="DAX30" s="28"/>
      <c r="DAY30" s="28"/>
      <c r="DAZ30" s="28"/>
      <c r="DBA30" s="28"/>
      <c r="DBB30" s="28"/>
      <c r="DBC30" s="28"/>
      <c r="DBD30" s="28"/>
      <c r="DBE30" s="28"/>
      <c r="DBF30" s="28"/>
      <c r="DBG30" s="28"/>
      <c r="DBH30" s="28"/>
      <c r="DBI30" s="28"/>
      <c r="DBJ30" s="28"/>
      <c r="DBK30" s="28"/>
      <c r="DBL30" s="28"/>
      <c r="DBM30" s="28"/>
      <c r="DBN30" s="28"/>
      <c r="DBO30" s="28"/>
      <c r="DBP30" s="28"/>
      <c r="DBQ30" s="28"/>
      <c r="DBR30" s="28"/>
      <c r="DBS30" s="28"/>
      <c r="DBT30" s="28"/>
      <c r="DBU30" s="28"/>
      <c r="DBV30" s="28"/>
      <c r="DBW30" s="28"/>
      <c r="DBX30" s="28"/>
      <c r="DBY30" s="28"/>
      <c r="DBZ30" s="28"/>
      <c r="DCA30" s="28"/>
      <c r="DCB30" s="28"/>
      <c r="DCC30" s="28"/>
      <c r="DCD30" s="28"/>
      <c r="DCE30" s="28"/>
      <c r="DCF30" s="28"/>
      <c r="DCG30" s="28"/>
      <c r="DCH30" s="28"/>
      <c r="DCI30" s="28"/>
      <c r="DCJ30" s="28"/>
      <c r="DCK30" s="28"/>
      <c r="DCL30" s="28"/>
      <c r="DCM30" s="28"/>
      <c r="DCN30" s="28"/>
      <c r="DCO30" s="28"/>
      <c r="DCP30" s="28"/>
      <c r="DCQ30" s="28"/>
      <c r="DCR30" s="28"/>
      <c r="DCS30" s="28"/>
      <c r="DCT30" s="28"/>
      <c r="DCU30" s="28"/>
      <c r="DCV30" s="28"/>
      <c r="DCW30" s="28"/>
      <c r="DCX30" s="28"/>
      <c r="DCY30" s="28"/>
      <c r="DCZ30" s="28"/>
      <c r="DDA30" s="28"/>
      <c r="DDB30" s="28"/>
      <c r="DDC30" s="28"/>
      <c r="DDD30" s="28"/>
      <c r="DDE30" s="28"/>
      <c r="DDF30" s="28"/>
      <c r="DDG30" s="28"/>
      <c r="DDH30" s="28"/>
      <c r="DDI30" s="28"/>
      <c r="DDJ30" s="28"/>
      <c r="DDK30" s="28"/>
      <c r="DDL30" s="28"/>
      <c r="DDM30" s="28"/>
      <c r="DDN30" s="28"/>
      <c r="DDO30" s="28"/>
      <c r="DDP30" s="28"/>
      <c r="DDQ30" s="28"/>
      <c r="DDR30" s="28"/>
      <c r="DDS30" s="28"/>
      <c r="DDT30" s="28"/>
      <c r="DDU30" s="28"/>
      <c r="DDV30" s="28"/>
      <c r="DDW30" s="28"/>
      <c r="DDX30" s="28"/>
      <c r="DDY30" s="28"/>
      <c r="DDZ30" s="28"/>
      <c r="DEA30" s="28"/>
      <c r="DEB30" s="28"/>
      <c r="DEC30" s="28"/>
      <c r="DED30" s="28"/>
      <c r="DEE30" s="28"/>
      <c r="DEF30" s="28"/>
      <c r="DEG30" s="28"/>
      <c r="DEH30" s="28"/>
      <c r="DEI30" s="28"/>
      <c r="DEJ30" s="28"/>
      <c r="DEK30" s="28"/>
      <c r="DEL30" s="28"/>
      <c r="DEM30" s="28"/>
      <c r="DEN30" s="28"/>
      <c r="DEO30" s="28"/>
      <c r="DEP30" s="28"/>
      <c r="DEQ30" s="28"/>
      <c r="DER30" s="28"/>
      <c r="DES30" s="28"/>
      <c r="DET30" s="28"/>
      <c r="DEU30" s="28"/>
      <c r="DEV30" s="28"/>
      <c r="DEW30" s="28"/>
      <c r="DEX30" s="28"/>
      <c r="DEY30" s="28"/>
      <c r="DEZ30" s="28"/>
      <c r="DFA30" s="28"/>
      <c r="DFB30" s="28"/>
      <c r="DFC30" s="28"/>
      <c r="DFD30" s="28"/>
      <c r="DFE30" s="28"/>
      <c r="DFF30" s="28"/>
      <c r="DFG30" s="28"/>
      <c r="DFH30" s="28"/>
      <c r="DFI30" s="28"/>
      <c r="DFJ30" s="28"/>
      <c r="DFK30" s="28"/>
      <c r="DFL30" s="28"/>
      <c r="DFM30" s="28"/>
      <c r="DFN30" s="28"/>
      <c r="DFO30" s="28"/>
      <c r="DFP30" s="28"/>
      <c r="DFQ30" s="28"/>
      <c r="DFR30" s="28"/>
      <c r="DFS30" s="28"/>
      <c r="DFT30" s="28"/>
      <c r="DFU30" s="28"/>
      <c r="DFV30" s="28"/>
      <c r="DFW30" s="28"/>
      <c r="DFX30" s="28"/>
      <c r="DFY30" s="28"/>
      <c r="DFZ30" s="28"/>
      <c r="DGA30" s="28"/>
      <c r="DGB30" s="28"/>
      <c r="DGC30" s="28"/>
      <c r="DGD30" s="28"/>
      <c r="DGE30" s="28"/>
      <c r="DGF30" s="28"/>
      <c r="DGG30" s="28"/>
      <c r="DGH30" s="28"/>
      <c r="DGI30" s="28"/>
      <c r="DGJ30" s="28"/>
      <c r="DGK30" s="28"/>
      <c r="DGL30" s="28"/>
      <c r="DGM30" s="28"/>
      <c r="DGN30" s="28"/>
      <c r="DGO30" s="28"/>
      <c r="DGP30" s="28"/>
      <c r="DGQ30" s="28"/>
      <c r="DGR30" s="28"/>
      <c r="DGS30" s="28"/>
      <c r="DGT30" s="28"/>
      <c r="DGU30" s="28"/>
      <c r="DGV30" s="28"/>
      <c r="DGW30" s="28"/>
      <c r="DGX30" s="28"/>
      <c r="DGY30" s="28"/>
      <c r="DGZ30" s="28"/>
      <c r="DHA30" s="28"/>
      <c r="DHB30" s="28"/>
      <c r="DHC30" s="28"/>
      <c r="DHD30" s="28"/>
      <c r="DHE30" s="28"/>
      <c r="DHF30" s="28"/>
      <c r="DHG30" s="28"/>
      <c r="DHH30" s="28"/>
      <c r="DHI30" s="28"/>
      <c r="DHJ30" s="28"/>
      <c r="DHK30" s="28"/>
      <c r="DHL30" s="28"/>
      <c r="DHM30" s="28"/>
      <c r="DHN30" s="28"/>
      <c r="DHO30" s="28"/>
      <c r="DHP30" s="28"/>
      <c r="DHQ30" s="28"/>
      <c r="DHR30" s="28"/>
      <c r="DHS30" s="28"/>
      <c r="DHT30" s="28"/>
      <c r="DHU30" s="28"/>
      <c r="DHV30" s="28"/>
      <c r="DHW30" s="28"/>
      <c r="DHX30" s="28"/>
      <c r="DHY30" s="28"/>
      <c r="DHZ30" s="28"/>
      <c r="DIA30" s="28"/>
      <c r="DIB30" s="28"/>
      <c r="DIC30" s="28"/>
      <c r="DID30" s="28"/>
      <c r="DIE30" s="28"/>
      <c r="DIF30" s="28"/>
      <c r="DIG30" s="28"/>
      <c r="DIH30" s="28"/>
      <c r="DII30" s="28"/>
      <c r="DIJ30" s="28"/>
      <c r="DIK30" s="28"/>
      <c r="DIL30" s="28"/>
      <c r="DIM30" s="28"/>
      <c r="DIN30" s="28"/>
      <c r="DIO30" s="28"/>
      <c r="DIP30" s="28"/>
      <c r="DIQ30" s="28"/>
      <c r="DIR30" s="28"/>
      <c r="DIS30" s="28"/>
      <c r="DIT30" s="28"/>
      <c r="DIU30" s="28"/>
      <c r="DIV30" s="28"/>
      <c r="DIW30" s="28"/>
      <c r="DIX30" s="28"/>
      <c r="DIY30" s="28"/>
      <c r="DIZ30" s="28"/>
      <c r="DJA30" s="28"/>
      <c r="DJB30" s="28"/>
      <c r="DJC30" s="28"/>
      <c r="DJD30" s="28"/>
      <c r="DJE30" s="28"/>
      <c r="DJF30" s="28"/>
      <c r="DJG30" s="28"/>
      <c r="DJH30" s="28"/>
      <c r="DJI30" s="28"/>
      <c r="DJJ30" s="28"/>
      <c r="DJK30" s="28"/>
      <c r="DJL30" s="28"/>
      <c r="DJM30" s="28"/>
      <c r="DJN30" s="28"/>
      <c r="DJO30" s="28"/>
      <c r="DJP30" s="28"/>
      <c r="DJQ30" s="28"/>
      <c r="DJR30" s="28"/>
      <c r="DJS30" s="28"/>
      <c r="DJT30" s="28"/>
      <c r="DJU30" s="28"/>
      <c r="DJV30" s="28"/>
      <c r="DJW30" s="28"/>
      <c r="DJX30" s="28"/>
      <c r="DJY30" s="28"/>
      <c r="DJZ30" s="28"/>
      <c r="DKA30" s="28"/>
      <c r="DKB30" s="28"/>
      <c r="DKC30" s="28"/>
      <c r="DKD30" s="28"/>
      <c r="DKE30" s="28"/>
      <c r="DKF30" s="28"/>
      <c r="DKG30" s="28"/>
      <c r="DKH30" s="28"/>
      <c r="DKI30" s="28"/>
      <c r="DKJ30" s="28"/>
      <c r="DKK30" s="28"/>
      <c r="DKL30" s="28"/>
      <c r="DKM30" s="28"/>
      <c r="DKN30" s="28"/>
      <c r="DKO30" s="28"/>
      <c r="DKP30" s="28"/>
      <c r="DKQ30" s="28"/>
      <c r="DKR30" s="28"/>
      <c r="DKS30" s="28"/>
      <c r="DKT30" s="28"/>
      <c r="DKU30" s="28"/>
      <c r="DKV30" s="28"/>
      <c r="DKW30" s="28"/>
      <c r="DKX30" s="28"/>
      <c r="DKY30" s="28"/>
      <c r="DKZ30" s="28"/>
      <c r="DLA30" s="28"/>
      <c r="DLB30" s="28"/>
      <c r="DLC30" s="28"/>
      <c r="DLD30" s="28"/>
      <c r="DLE30" s="28"/>
      <c r="DLF30" s="28"/>
      <c r="DLG30" s="28"/>
      <c r="DLH30" s="28"/>
      <c r="DLI30" s="28"/>
      <c r="DLJ30" s="28"/>
      <c r="DLK30" s="28"/>
      <c r="DLL30" s="28"/>
      <c r="DLM30" s="28"/>
      <c r="DLN30" s="28"/>
      <c r="DLO30" s="28"/>
      <c r="DLP30" s="28"/>
      <c r="DLQ30" s="28"/>
      <c r="DLR30" s="28"/>
      <c r="DLS30" s="28"/>
      <c r="DLT30" s="28"/>
      <c r="DLU30" s="28"/>
      <c r="DLV30" s="28"/>
      <c r="DLW30" s="28"/>
      <c r="DLX30" s="28"/>
      <c r="DLY30" s="28"/>
      <c r="DLZ30" s="28"/>
      <c r="DMA30" s="28"/>
      <c r="DMB30" s="28"/>
      <c r="DMC30" s="28"/>
      <c r="DMD30" s="28"/>
      <c r="DME30" s="28"/>
      <c r="DMF30" s="28"/>
      <c r="DMG30" s="28"/>
      <c r="DMH30" s="28"/>
      <c r="DMI30" s="28"/>
      <c r="DMJ30" s="28"/>
      <c r="DMK30" s="28"/>
      <c r="DML30" s="28"/>
      <c r="DMM30" s="28"/>
      <c r="DMN30" s="28"/>
      <c r="DMO30" s="28"/>
      <c r="DMP30" s="28"/>
      <c r="DMQ30" s="28"/>
      <c r="DMR30" s="28"/>
      <c r="DMS30" s="28"/>
      <c r="DMT30" s="28"/>
      <c r="DMU30" s="28"/>
      <c r="DMV30" s="28"/>
      <c r="DMW30" s="28"/>
      <c r="DMX30" s="28"/>
      <c r="DMY30" s="28"/>
      <c r="DMZ30" s="28"/>
      <c r="DNA30" s="28"/>
      <c r="DNB30" s="28"/>
      <c r="DNC30" s="28"/>
      <c r="DND30" s="28"/>
      <c r="DNE30" s="28"/>
      <c r="DNF30" s="28"/>
      <c r="DNG30" s="28"/>
      <c r="DNH30" s="28"/>
      <c r="DNI30" s="28"/>
      <c r="DNJ30" s="28"/>
      <c r="DNK30" s="28"/>
      <c r="DNL30" s="28"/>
      <c r="DNM30" s="28"/>
      <c r="DNN30" s="28"/>
      <c r="DNO30" s="28"/>
      <c r="DNP30" s="28"/>
      <c r="DNQ30" s="28"/>
      <c r="DNR30" s="28"/>
      <c r="DNS30" s="28"/>
      <c r="DNT30" s="28"/>
      <c r="DNU30" s="28"/>
      <c r="DNV30" s="28"/>
      <c r="DNW30" s="28"/>
      <c r="DNX30" s="28"/>
      <c r="DNY30" s="28"/>
      <c r="DNZ30" s="28"/>
      <c r="DOA30" s="28"/>
      <c r="DOB30" s="28"/>
      <c r="DOC30" s="28"/>
      <c r="DOD30" s="28"/>
      <c r="DOE30" s="28"/>
      <c r="DOF30" s="28"/>
      <c r="DOG30" s="28"/>
      <c r="DOH30" s="28"/>
      <c r="DOI30" s="28"/>
      <c r="DOJ30" s="28"/>
      <c r="DOK30" s="28"/>
      <c r="DOL30" s="28"/>
      <c r="DOM30" s="28"/>
      <c r="DON30" s="28"/>
      <c r="DOO30" s="28"/>
      <c r="DOP30" s="28"/>
      <c r="DOQ30" s="28"/>
      <c r="DOR30" s="28"/>
      <c r="DOS30" s="28"/>
      <c r="DOT30" s="28"/>
      <c r="DOU30" s="28"/>
      <c r="DOV30" s="28"/>
      <c r="DOW30" s="28"/>
      <c r="DOX30" s="28"/>
      <c r="DOY30" s="28"/>
      <c r="DOZ30" s="28"/>
      <c r="DPA30" s="28"/>
      <c r="DPB30" s="28"/>
      <c r="DPC30" s="28"/>
      <c r="DPD30" s="28"/>
      <c r="DPE30" s="28"/>
      <c r="DPF30" s="28"/>
      <c r="DPG30" s="28"/>
      <c r="DPH30" s="28"/>
      <c r="DPI30" s="28"/>
      <c r="DPJ30" s="28"/>
      <c r="DPK30" s="28"/>
      <c r="DPL30" s="28"/>
      <c r="DPM30" s="28"/>
      <c r="DPN30" s="28"/>
      <c r="DPO30" s="28"/>
      <c r="DPP30" s="28"/>
      <c r="DPQ30" s="28"/>
      <c r="DPR30" s="28"/>
      <c r="DPS30" s="28"/>
      <c r="DPT30" s="28"/>
      <c r="DPU30" s="28"/>
      <c r="DPV30" s="28"/>
      <c r="DPW30" s="28"/>
      <c r="DPX30" s="28"/>
      <c r="DPY30" s="28"/>
      <c r="DPZ30" s="28"/>
      <c r="DQA30" s="28"/>
      <c r="DQB30" s="28"/>
      <c r="DQC30" s="28"/>
      <c r="DQD30" s="28"/>
      <c r="DQE30" s="28"/>
      <c r="DQF30" s="28"/>
      <c r="DQG30" s="28"/>
      <c r="DQH30" s="28"/>
      <c r="DQI30" s="28"/>
      <c r="DQJ30" s="28"/>
      <c r="DQK30" s="28"/>
      <c r="DQL30" s="28"/>
      <c r="DQM30" s="28"/>
      <c r="DQN30" s="28"/>
      <c r="DQO30" s="28"/>
      <c r="DQP30" s="28"/>
      <c r="DQQ30" s="28"/>
      <c r="DQR30" s="28"/>
      <c r="DQS30" s="28"/>
      <c r="DQT30" s="28"/>
      <c r="DQU30" s="28"/>
      <c r="DQV30" s="28"/>
      <c r="DQW30" s="28"/>
      <c r="DQX30" s="28"/>
      <c r="DQY30" s="28"/>
      <c r="DQZ30" s="28"/>
      <c r="DRA30" s="28"/>
      <c r="DRB30" s="28"/>
      <c r="DRC30" s="28"/>
      <c r="DRD30" s="28"/>
      <c r="DRE30" s="28"/>
      <c r="DRF30" s="28"/>
      <c r="DRG30" s="28"/>
      <c r="DRH30" s="28"/>
      <c r="DRI30" s="28"/>
      <c r="DRJ30" s="28"/>
      <c r="DRK30" s="28"/>
      <c r="DRL30" s="28"/>
      <c r="DRM30" s="28"/>
      <c r="DRN30" s="28"/>
      <c r="DRO30" s="28"/>
      <c r="DRP30" s="28"/>
      <c r="DRQ30" s="28"/>
      <c r="DRR30" s="28"/>
      <c r="DRS30" s="28"/>
      <c r="DRT30" s="28"/>
      <c r="DRU30" s="28"/>
      <c r="DRV30" s="28"/>
      <c r="DRW30" s="28"/>
      <c r="DRX30" s="28"/>
      <c r="DRY30" s="28"/>
      <c r="DRZ30" s="28"/>
      <c r="DSA30" s="28"/>
      <c r="DSB30" s="28"/>
      <c r="DSC30" s="28"/>
      <c r="DSD30" s="28"/>
      <c r="DSE30" s="28"/>
      <c r="DSF30" s="28"/>
      <c r="DSG30" s="28"/>
      <c r="DSH30" s="28"/>
      <c r="DSI30" s="28"/>
      <c r="DSJ30" s="28"/>
      <c r="DSK30" s="28"/>
      <c r="DSL30" s="28"/>
      <c r="DSM30" s="28"/>
      <c r="DSN30" s="28"/>
      <c r="DSO30" s="28"/>
      <c r="DSP30" s="28"/>
      <c r="DSQ30" s="28"/>
      <c r="DSR30" s="28"/>
      <c r="DSS30" s="28"/>
      <c r="DST30" s="28"/>
      <c r="DSU30" s="28"/>
      <c r="DSV30" s="28"/>
      <c r="DSW30" s="28"/>
      <c r="DSX30" s="28"/>
      <c r="DSY30" s="28"/>
      <c r="DSZ30" s="28"/>
      <c r="DTA30" s="28"/>
      <c r="DTB30" s="28"/>
      <c r="DTC30" s="28"/>
      <c r="DTD30" s="28"/>
      <c r="DTE30" s="28"/>
      <c r="DTF30" s="28"/>
      <c r="DTG30" s="28"/>
      <c r="DTH30" s="28"/>
      <c r="DTI30" s="28"/>
      <c r="DTJ30" s="28"/>
      <c r="DTK30" s="28"/>
      <c r="DTL30" s="28"/>
      <c r="DTM30" s="28"/>
      <c r="DTN30" s="28"/>
      <c r="DTO30" s="28"/>
      <c r="DTP30" s="28"/>
      <c r="DTQ30" s="28"/>
      <c r="DTR30" s="28"/>
      <c r="DTS30" s="28"/>
      <c r="DTT30" s="28"/>
      <c r="DTU30" s="28"/>
      <c r="DTV30" s="28"/>
      <c r="DTW30" s="28"/>
      <c r="DTX30" s="28"/>
      <c r="DTY30" s="28"/>
      <c r="DTZ30" s="28"/>
      <c r="DUA30" s="28"/>
      <c r="DUB30" s="28"/>
      <c r="DUC30" s="28"/>
      <c r="DUD30" s="28"/>
      <c r="DUE30" s="28"/>
      <c r="DUF30" s="28"/>
      <c r="DUG30" s="28"/>
      <c r="DUH30" s="28"/>
      <c r="DUI30" s="28"/>
      <c r="DUJ30" s="28"/>
      <c r="DUK30" s="28"/>
      <c r="DUL30" s="28"/>
      <c r="DUM30" s="28"/>
      <c r="DUN30" s="28"/>
      <c r="DUO30" s="28"/>
      <c r="DUP30" s="28"/>
      <c r="DUQ30" s="28"/>
      <c r="DUR30" s="28"/>
      <c r="DUS30" s="28"/>
      <c r="DUT30" s="28"/>
      <c r="DUU30" s="28"/>
      <c r="DUV30" s="28"/>
      <c r="DUW30" s="28"/>
      <c r="DUX30" s="28"/>
      <c r="DUY30" s="28"/>
      <c r="DUZ30" s="28"/>
      <c r="DVA30" s="28"/>
      <c r="DVB30" s="28"/>
      <c r="DVC30" s="28"/>
      <c r="DVD30" s="28"/>
      <c r="DVE30" s="28"/>
      <c r="DVF30" s="28"/>
      <c r="DVG30" s="28"/>
      <c r="DVH30" s="28"/>
      <c r="DVI30" s="28"/>
      <c r="DVJ30" s="28"/>
      <c r="DVK30" s="28"/>
      <c r="DVL30" s="28"/>
      <c r="DVM30" s="28"/>
      <c r="DVN30" s="28"/>
      <c r="DVO30" s="28"/>
      <c r="DVP30" s="28"/>
      <c r="DVQ30" s="28"/>
      <c r="DVR30" s="28"/>
      <c r="DVS30" s="28"/>
      <c r="DVT30" s="28"/>
      <c r="DVU30" s="28"/>
      <c r="DVV30" s="28"/>
      <c r="DVW30" s="28"/>
      <c r="DVX30" s="28"/>
      <c r="DVY30" s="28"/>
      <c r="DVZ30" s="28"/>
      <c r="DWA30" s="28"/>
      <c r="DWB30" s="28"/>
      <c r="DWC30" s="28"/>
      <c r="DWD30" s="28"/>
      <c r="DWE30" s="28"/>
      <c r="DWF30" s="28"/>
      <c r="DWG30" s="28"/>
      <c r="DWH30" s="28"/>
      <c r="DWI30" s="28"/>
      <c r="DWJ30" s="28"/>
      <c r="DWK30" s="28"/>
      <c r="DWL30" s="28"/>
      <c r="DWM30" s="28"/>
      <c r="DWN30" s="28"/>
      <c r="DWO30" s="28"/>
      <c r="DWP30" s="28"/>
      <c r="DWQ30" s="28"/>
      <c r="DWR30" s="28"/>
      <c r="DWS30" s="28"/>
      <c r="DWT30" s="28"/>
      <c r="DWU30" s="28"/>
      <c r="DWV30" s="28"/>
      <c r="DWW30" s="28"/>
      <c r="DWX30" s="28"/>
      <c r="DWY30" s="28"/>
      <c r="DWZ30" s="28"/>
      <c r="DXA30" s="28"/>
      <c r="DXB30" s="28"/>
      <c r="DXC30" s="28"/>
      <c r="DXD30" s="28"/>
      <c r="DXE30" s="28"/>
      <c r="DXF30" s="28"/>
      <c r="DXG30" s="28"/>
      <c r="DXH30" s="28"/>
      <c r="DXI30" s="28"/>
      <c r="DXJ30" s="28"/>
      <c r="DXK30" s="28"/>
      <c r="DXL30" s="28"/>
      <c r="DXM30" s="28"/>
      <c r="DXN30" s="28"/>
      <c r="DXO30" s="28"/>
      <c r="DXP30" s="28"/>
      <c r="DXQ30" s="28"/>
      <c r="DXR30" s="28"/>
      <c r="DXS30" s="28"/>
      <c r="DXT30" s="28"/>
      <c r="DXU30" s="28"/>
      <c r="DXV30" s="28"/>
      <c r="DXW30" s="28"/>
      <c r="DXX30" s="28"/>
      <c r="DXY30" s="28"/>
      <c r="DXZ30" s="28"/>
      <c r="DYA30" s="28"/>
      <c r="DYB30" s="28"/>
      <c r="DYC30" s="28"/>
      <c r="DYD30" s="28"/>
      <c r="DYE30" s="28"/>
      <c r="DYF30" s="28"/>
      <c r="DYG30" s="28"/>
      <c r="DYH30" s="28"/>
      <c r="DYI30" s="28"/>
      <c r="DYJ30" s="28"/>
      <c r="DYK30" s="28"/>
      <c r="DYL30" s="28"/>
      <c r="DYM30" s="28"/>
      <c r="DYN30" s="28"/>
      <c r="DYO30" s="28"/>
      <c r="DYP30" s="28"/>
      <c r="DYQ30" s="28"/>
      <c r="DYR30" s="28"/>
      <c r="DYS30" s="28"/>
      <c r="DYT30" s="28"/>
      <c r="DYU30" s="28"/>
      <c r="DYV30" s="28"/>
      <c r="DYW30" s="28"/>
      <c r="DYX30" s="28"/>
      <c r="DYY30" s="28"/>
      <c r="DYZ30" s="28"/>
      <c r="DZA30" s="28"/>
      <c r="DZB30" s="28"/>
      <c r="DZC30" s="28"/>
      <c r="DZD30" s="28"/>
      <c r="DZE30" s="28"/>
      <c r="DZF30" s="28"/>
      <c r="DZG30" s="28"/>
      <c r="DZH30" s="28"/>
      <c r="DZI30" s="28"/>
      <c r="DZJ30" s="28"/>
      <c r="DZK30" s="28"/>
      <c r="DZL30" s="28"/>
      <c r="DZM30" s="28"/>
      <c r="DZN30" s="28"/>
      <c r="DZO30" s="28"/>
      <c r="DZP30" s="28"/>
      <c r="DZQ30" s="28"/>
      <c r="DZR30" s="28"/>
      <c r="DZS30" s="28"/>
      <c r="DZT30" s="28"/>
      <c r="DZU30" s="28"/>
      <c r="DZV30" s="28"/>
      <c r="DZW30" s="28"/>
      <c r="DZX30" s="28"/>
      <c r="DZY30" s="28"/>
      <c r="DZZ30" s="28"/>
      <c r="EAA30" s="28"/>
      <c r="EAB30" s="28"/>
      <c r="EAC30" s="28"/>
      <c r="EAD30" s="28"/>
      <c r="EAE30" s="28"/>
      <c r="EAF30" s="28"/>
      <c r="EAG30" s="28"/>
      <c r="EAH30" s="28"/>
      <c r="EAI30" s="28"/>
      <c r="EAJ30" s="28"/>
      <c r="EAK30" s="28"/>
      <c r="EAL30" s="28"/>
      <c r="EAM30" s="28"/>
      <c r="EAN30" s="28"/>
      <c r="EAO30" s="28"/>
      <c r="EAP30" s="28"/>
      <c r="EAQ30" s="28"/>
      <c r="EAR30" s="28"/>
      <c r="EAS30" s="28"/>
      <c r="EAT30" s="28"/>
      <c r="EAU30" s="28"/>
      <c r="EAV30" s="28"/>
      <c r="EAW30" s="28"/>
      <c r="EAX30" s="28"/>
      <c r="EAY30" s="28"/>
      <c r="EAZ30" s="28"/>
      <c r="EBA30" s="28"/>
      <c r="EBB30" s="28"/>
      <c r="EBC30" s="28"/>
      <c r="EBD30" s="28"/>
      <c r="EBE30" s="28"/>
      <c r="EBF30" s="28"/>
      <c r="EBG30" s="28"/>
      <c r="EBH30" s="28"/>
      <c r="EBI30" s="28"/>
      <c r="EBJ30" s="28"/>
      <c r="EBK30" s="28"/>
      <c r="EBL30" s="28"/>
      <c r="EBM30" s="28"/>
      <c r="EBN30" s="28"/>
      <c r="EBO30" s="28"/>
      <c r="EBP30" s="28"/>
      <c r="EBQ30" s="28"/>
      <c r="EBR30" s="28"/>
      <c r="EBS30" s="28"/>
      <c r="EBT30" s="28"/>
      <c r="EBU30" s="28"/>
      <c r="EBV30" s="28"/>
      <c r="EBW30" s="28"/>
      <c r="EBX30" s="28"/>
      <c r="EBY30" s="28"/>
      <c r="EBZ30" s="28"/>
      <c r="ECA30" s="28"/>
      <c r="ECB30" s="28"/>
      <c r="ECC30" s="28"/>
      <c r="ECD30" s="28"/>
      <c r="ECE30" s="28"/>
      <c r="ECF30" s="28"/>
      <c r="ECG30" s="28"/>
      <c r="ECH30" s="28"/>
      <c r="ECI30" s="28"/>
      <c r="ECJ30" s="28"/>
      <c r="ECK30" s="28"/>
      <c r="ECL30" s="28"/>
      <c r="ECM30" s="28"/>
      <c r="ECN30" s="28"/>
      <c r="ECO30" s="28"/>
      <c r="ECP30" s="28"/>
      <c r="ECQ30" s="28"/>
      <c r="ECR30" s="28"/>
      <c r="ECS30" s="28"/>
      <c r="ECT30" s="28"/>
      <c r="ECU30" s="28"/>
      <c r="ECV30" s="28"/>
      <c r="ECW30" s="28"/>
      <c r="ECX30" s="28"/>
      <c r="ECY30" s="28"/>
      <c r="ECZ30" s="28"/>
      <c r="EDA30" s="28"/>
      <c r="EDB30" s="28"/>
      <c r="EDC30" s="28"/>
      <c r="EDD30" s="28"/>
      <c r="EDE30" s="28"/>
      <c r="EDF30" s="28"/>
      <c r="EDG30" s="28"/>
      <c r="EDH30" s="28"/>
      <c r="EDI30" s="28"/>
      <c r="EDJ30" s="28"/>
      <c r="EDK30" s="28"/>
      <c r="EDL30" s="28"/>
      <c r="EDM30" s="28"/>
      <c r="EDN30" s="28"/>
      <c r="EDO30" s="28"/>
      <c r="EDP30" s="28"/>
      <c r="EDQ30" s="28"/>
      <c r="EDR30" s="28"/>
      <c r="EDS30" s="28"/>
      <c r="EDT30" s="28"/>
      <c r="EDU30" s="28"/>
      <c r="EDV30" s="28"/>
      <c r="EDW30" s="28"/>
      <c r="EDX30" s="28"/>
      <c r="EDY30" s="28"/>
      <c r="EDZ30" s="28"/>
      <c r="EEA30" s="28"/>
      <c r="EEB30" s="28"/>
      <c r="EEC30" s="28"/>
      <c r="EED30" s="28"/>
      <c r="EEE30" s="28"/>
      <c r="EEF30" s="28"/>
      <c r="EEG30" s="28"/>
      <c r="EEH30" s="28"/>
      <c r="EEI30" s="28"/>
      <c r="EEJ30" s="28"/>
      <c r="EEK30" s="28"/>
      <c r="EEL30" s="28"/>
      <c r="EEM30" s="28"/>
      <c r="EEN30" s="28"/>
      <c r="EEO30" s="28"/>
      <c r="EEP30" s="28"/>
      <c r="EEQ30" s="28"/>
      <c r="EER30" s="28"/>
      <c r="EES30" s="28"/>
      <c r="EET30" s="28"/>
      <c r="EEU30" s="28"/>
      <c r="EEV30" s="28"/>
      <c r="EEW30" s="28"/>
      <c r="EEX30" s="28"/>
      <c r="EEY30" s="28"/>
      <c r="EEZ30" s="28"/>
      <c r="EFA30" s="28"/>
      <c r="EFB30" s="28"/>
      <c r="EFC30" s="28"/>
      <c r="EFD30" s="28"/>
      <c r="EFE30" s="28"/>
      <c r="EFF30" s="28"/>
      <c r="EFG30" s="28"/>
      <c r="EFH30" s="28"/>
      <c r="EFI30" s="28"/>
      <c r="EFJ30" s="28"/>
      <c r="EFK30" s="28"/>
      <c r="EFL30" s="28"/>
      <c r="EFM30" s="28"/>
      <c r="EFN30" s="28"/>
      <c r="EFO30" s="28"/>
      <c r="EFP30" s="28"/>
      <c r="EFQ30" s="28"/>
      <c r="EFR30" s="28"/>
      <c r="EFS30" s="28"/>
      <c r="EFT30" s="28"/>
      <c r="EFU30" s="28"/>
      <c r="EFV30" s="28"/>
      <c r="EFW30" s="28"/>
      <c r="EFX30" s="28"/>
      <c r="EFY30" s="28"/>
      <c r="EFZ30" s="28"/>
      <c r="EGA30" s="28"/>
      <c r="EGB30" s="28"/>
      <c r="EGC30" s="28"/>
      <c r="EGD30" s="28"/>
      <c r="EGE30" s="28"/>
      <c r="EGF30" s="28"/>
      <c r="EGG30" s="28"/>
      <c r="EGH30" s="28"/>
      <c r="EGI30" s="28"/>
      <c r="EGJ30" s="28"/>
      <c r="EGK30" s="28"/>
      <c r="EGL30" s="28"/>
      <c r="EGM30" s="28"/>
      <c r="EGN30" s="28"/>
      <c r="EGO30" s="28"/>
      <c r="EGP30" s="28"/>
      <c r="EGQ30" s="28"/>
      <c r="EGR30" s="28"/>
      <c r="EGS30" s="28"/>
      <c r="EGT30" s="28"/>
      <c r="EGU30" s="28"/>
      <c r="EGV30" s="28"/>
      <c r="EGW30" s="28"/>
      <c r="EGX30" s="28"/>
      <c r="EGY30" s="28"/>
      <c r="EGZ30" s="28"/>
      <c r="EHA30" s="28"/>
      <c r="EHB30" s="28"/>
      <c r="EHC30" s="28"/>
      <c r="EHD30" s="28"/>
      <c r="EHE30" s="28"/>
      <c r="EHF30" s="28"/>
      <c r="EHG30" s="28"/>
      <c r="EHH30" s="28"/>
      <c r="EHI30" s="28"/>
      <c r="EHJ30" s="28"/>
      <c r="EHK30" s="28"/>
      <c r="EHL30" s="28"/>
      <c r="EHM30" s="28"/>
      <c r="EHN30" s="28"/>
      <c r="EHO30" s="28"/>
      <c r="EHP30" s="28"/>
      <c r="EHQ30" s="28"/>
      <c r="EHR30" s="28"/>
      <c r="EHS30" s="28"/>
      <c r="EHT30" s="28"/>
      <c r="EHU30" s="28"/>
      <c r="EHV30" s="28"/>
      <c r="EHW30" s="28"/>
      <c r="EHX30" s="28"/>
      <c r="EHY30" s="28"/>
      <c r="EHZ30" s="28"/>
      <c r="EIA30" s="28"/>
      <c r="EIB30" s="28"/>
      <c r="EIC30" s="28"/>
      <c r="EID30" s="28"/>
      <c r="EIE30" s="28"/>
      <c r="EIF30" s="28"/>
      <c r="EIG30" s="28"/>
      <c r="EIH30" s="28"/>
      <c r="EII30" s="28"/>
      <c r="EIJ30" s="28"/>
      <c r="EIK30" s="28"/>
      <c r="EIL30" s="28"/>
      <c r="EIM30" s="28"/>
      <c r="EIN30" s="28"/>
      <c r="EIO30" s="28"/>
      <c r="EIP30" s="28"/>
      <c r="EIQ30" s="28"/>
      <c r="EIR30" s="28"/>
      <c r="EIS30" s="28"/>
      <c r="EIT30" s="28"/>
      <c r="EIU30" s="28"/>
      <c r="EIV30" s="28"/>
      <c r="EIW30" s="28"/>
      <c r="EIX30" s="28"/>
      <c r="EIY30" s="28"/>
      <c r="EIZ30" s="28"/>
      <c r="EJA30" s="28"/>
      <c r="EJB30" s="28"/>
      <c r="EJC30" s="28"/>
      <c r="EJD30" s="28"/>
      <c r="EJE30" s="28"/>
      <c r="EJF30" s="28"/>
      <c r="EJG30" s="28"/>
      <c r="EJH30" s="28"/>
      <c r="EJI30" s="28"/>
      <c r="EJJ30" s="28"/>
      <c r="EJK30" s="28"/>
      <c r="EJL30" s="28"/>
      <c r="EJM30" s="28"/>
      <c r="EJN30" s="28"/>
      <c r="EJO30" s="28"/>
      <c r="EJP30" s="28"/>
      <c r="EJQ30" s="28"/>
      <c r="EJR30" s="28"/>
      <c r="EJS30" s="28"/>
      <c r="EJT30" s="28"/>
      <c r="EJU30" s="28"/>
      <c r="EJV30" s="28"/>
      <c r="EJW30" s="28"/>
      <c r="EJX30" s="28"/>
      <c r="EJY30" s="28"/>
      <c r="EJZ30" s="28"/>
      <c r="EKA30" s="28"/>
      <c r="EKB30" s="28"/>
      <c r="EKC30" s="28"/>
      <c r="EKD30" s="28"/>
      <c r="EKE30" s="28"/>
      <c r="EKF30" s="28"/>
      <c r="EKG30" s="28"/>
      <c r="EKH30" s="28"/>
      <c r="EKI30" s="28"/>
      <c r="EKJ30" s="28"/>
      <c r="EKK30" s="28"/>
      <c r="EKL30" s="28"/>
      <c r="EKM30" s="28"/>
      <c r="EKN30" s="28"/>
      <c r="EKO30" s="28"/>
      <c r="EKP30" s="28"/>
      <c r="EKQ30" s="28"/>
      <c r="EKR30" s="28"/>
      <c r="EKS30" s="28"/>
      <c r="EKT30" s="28"/>
      <c r="EKU30" s="28"/>
      <c r="EKV30" s="28"/>
      <c r="EKW30" s="28"/>
      <c r="EKX30" s="28"/>
      <c r="EKY30" s="28"/>
      <c r="EKZ30" s="28"/>
      <c r="ELA30" s="28"/>
      <c r="ELB30" s="28"/>
      <c r="ELC30" s="28"/>
      <c r="ELD30" s="28"/>
      <c r="ELE30" s="28"/>
      <c r="ELF30" s="28"/>
      <c r="ELG30" s="28"/>
      <c r="ELH30" s="28"/>
      <c r="ELI30" s="28"/>
      <c r="ELJ30" s="28"/>
      <c r="ELK30" s="28"/>
      <c r="ELL30" s="28"/>
      <c r="ELM30" s="28"/>
      <c r="ELN30" s="28"/>
      <c r="ELO30" s="28"/>
      <c r="ELP30" s="28"/>
      <c r="ELQ30" s="28"/>
      <c r="ELR30" s="28"/>
      <c r="ELS30" s="28"/>
      <c r="ELT30" s="28"/>
      <c r="ELU30" s="28"/>
      <c r="ELV30" s="28"/>
      <c r="ELW30" s="28"/>
      <c r="ELX30" s="28"/>
      <c r="ELY30" s="28"/>
      <c r="ELZ30" s="28"/>
      <c r="EMA30" s="28"/>
      <c r="EMB30" s="28"/>
      <c r="EMC30" s="28"/>
      <c r="EMD30" s="28"/>
      <c r="EME30" s="28"/>
      <c r="EMF30" s="28"/>
      <c r="EMG30" s="28"/>
      <c r="EMH30" s="28"/>
      <c r="EMI30" s="28"/>
      <c r="EMJ30" s="28"/>
      <c r="EMK30" s="28"/>
      <c r="EML30" s="28"/>
      <c r="EMM30" s="28"/>
      <c r="EMN30" s="28"/>
      <c r="EMO30" s="28"/>
      <c r="EMP30" s="28"/>
      <c r="EMQ30" s="28"/>
      <c r="EMR30" s="28"/>
      <c r="EMS30" s="28"/>
      <c r="EMT30" s="28"/>
      <c r="EMU30" s="28"/>
      <c r="EMV30" s="28"/>
      <c r="EMW30" s="28"/>
      <c r="EMX30" s="28"/>
      <c r="EMY30" s="28"/>
      <c r="EMZ30" s="28"/>
      <c r="ENA30" s="28"/>
      <c r="ENB30" s="28"/>
      <c r="ENC30" s="28"/>
      <c r="END30" s="28"/>
      <c r="ENE30" s="28"/>
      <c r="ENF30" s="28"/>
      <c r="ENG30" s="28"/>
      <c r="ENH30" s="28"/>
      <c r="ENI30" s="28"/>
      <c r="ENJ30" s="28"/>
      <c r="ENK30" s="28"/>
      <c r="ENL30" s="28"/>
      <c r="ENM30" s="28"/>
      <c r="ENN30" s="28"/>
      <c r="ENO30" s="28"/>
      <c r="ENP30" s="28"/>
      <c r="ENQ30" s="28"/>
      <c r="ENR30" s="28"/>
      <c r="ENS30" s="28"/>
      <c r="ENT30" s="28"/>
      <c r="ENU30" s="28"/>
      <c r="ENV30" s="28"/>
      <c r="ENW30" s="28"/>
      <c r="ENX30" s="28"/>
      <c r="ENY30" s="28"/>
      <c r="ENZ30" s="28"/>
      <c r="EOA30" s="28"/>
      <c r="EOB30" s="28"/>
      <c r="EOC30" s="28"/>
      <c r="EOD30" s="28"/>
      <c r="EOE30" s="28"/>
      <c r="EOF30" s="28"/>
      <c r="EOG30" s="28"/>
      <c r="EOH30" s="28"/>
      <c r="EOI30" s="28"/>
      <c r="EOJ30" s="28"/>
      <c r="EOK30" s="28"/>
      <c r="EOL30" s="28"/>
      <c r="EOM30" s="28"/>
      <c r="EON30" s="28"/>
      <c r="EOO30" s="28"/>
      <c r="EOP30" s="28"/>
      <c r="EOQ30" s="28"/>
      <c r="EOR30" s="28"/>
      <c r="EOS30" s="28"/>
      <c r="EOT30" s="28"/>
      <c r="EOU30" s="28"/>
      <c r="EOV30" s="28"/>
      <c r="EOW30" s="28"/>
      <c r="EOX30" s="28"/>
      <c r="EOY30" s="28"/>
      <c r="EOZ30" s="28"/>
      <c r="EPA30" s="28"/>
      <c r="EPB30" s="28"/>
      <c r="EPC30" s="28"/>
      <c r="EPD30" s="28"/>
      <c r="EPE30" s="28"/>
      <c r="EPF30" s="28"/>
      <c r="EPG30" s="28"/>
      <c r="EPH30" s="28"/>
      <c r="EPI30" s="28"/>
      <c r="EPJ30" s="28"/>
      <c r="EPK30" s="28"/>
      <c r="EPL30" s="28"/>
      <c r="EPM30" s="28"/>
      <c r="EPN30" s="28"/>
      <c r="EPO30" s="28"/>
      <c r="EPP30" s="28"/>
      <c r="EPQ30" s="28"/>
      <c r="EPR30" s="28"/>
      <c r="EPS30" s="28"/>
      <c r="EPT30" s="28"/>
      <c r="EPU30" s="28"/>
      <c r="EPV30" s="28"/>
      <c r="EPW30" s="28"/>
      <c r="EPX30" s="28"/>
      <c r="EPY30" s="28"/>
      <c r="EPZ30" s="28"/>
      <c r="EQA30" s="28"/>
      <c r="EQB30" s="28"/>
      <c r="EQC30" s="28"/>
      <c r="EQD30" s="28"/>
      <c r="EQE30" s="28"/>
      <c r="EQF30" s="28"/>
      <c r="EQG30" s="28"/>
      <c r="EQH30" s="28"/>
      <c r="EQI30" s="28"/>
      <c r="EQJ30" s="28"/>
      <c r="EQK30" s="28"/>
      <c r="EQL30" s="28"/>
      <c r="EQM30" s="28"/>
      <c r="EQN30" s="28"/>
      <c r="EQO30" s="28"/>
      <c r="EQP30" s="28"/>
      <c r="EQQ30" s="28"/>
      <c r="EQR30" s="28"/>
      <c r="EQS30" s="28"/>
      <c r="EQT30" s="28"/>
      <c r="EQU30" s="28"/>
      <c r="EQV30" s="28"/>
      <c r="EQW30" s="28"/>
      <c r="EQX30" s="28"/>
      <c r="EQY30" s="28"/>
      <c r="EQZ30" s="28"/>
      <c r="ERA30" s="28"/>
      <c r="ERB30" s="28"/>
      <c r="ERC30" s="28"/>
      <c r="ERD30" s="28"/>
      <c r="ERE30" s="28"/>
      <c r="ERF30" s="28"/>
      <c r="ERG30" s="28"/>
      <c r="ERH30" s="28"/>
      <c r="ERI30" s="28"/>
      <c r="ERJ30" s="28"/>
      <c r="ERK30" s="28"/>
      <c r="ERL30" s="28"/>
      <c r="ERM30" s="28"/>
      <c r="ERN30" s="28"/>
      <c r="ERO30" s="28"/>
      <c r="ERP30" s="28"/>
      <c r="ERQ30" s="28"/>
      <c r="ERR30" s="28"/>
      <c r="ERS30" s="28"/>
      <c r="ERT30" s="28"/>
      <c r="ERU30" s="28"/>
      <c r="ERV30" s="28"/>
      <c r="ERW30" s="28"/>
      <c r="ERX30" s="28"/>
      <c r="ERY30" s="28"/>
      <c r="ERZ30" s="28"/>
      <c r="ESA30" s="28"/>
      <c r="ESB30" s="28"/>
      <c r="ESC30" s="28"/>
      <c r="ESD30" s="28"/>
      <c r="ESE30" s="28"/>
      <c r="ESF30" s="28"/>
      <c r="ESG30" s="28"/>
      <c r="ESH30" s="28"/>
      <c r="ESI30" s="28"/>
      <c r="ESJ30" s="28"/>
      <c r="ESK30" s="28"/>
      <c r="ESL30" s="28"/>
      <c r="ESM30" s="28"/>
      <c r="ESN30" s="28"/>
      <c r="ESO30" s="28"/>
      <c r="ESP30" s="28"/>
      <c r="ESQ30" s="28"/>
      <c r="ESR30" s="28"/>
      <c r="ESS30" s="28"/>
      <c r="EST30" s="28"/>
      <c r="ESU30" s="28"/>
      <c r="ESV30" s="28"/>
      <c r="ESW30" s="28"/>
      <c r="ESX30" s="28"/>
      <c r="ESY30" s="28"/>
      <c r="ESZ30" s="28"/>
      <c r="ETA30" s="28"/>
      <c r="ETB30" s="28"/>
      <c r="ETC30" s="28"/>
      <c r="ETD30" s="28"/>
      <c r="ETE30" s="28"/>
      <c r="ETF30" s="28"/>
      <c r="ETG30" s="28"/>
      <c r="ETH30" s="28"/>
      <c r="ETI30" s="28"/>
      <c r="ETJ30" s="28"/>
      <c r="ETK30" s="28"/>
      <c r="ETL30" s="28"/>
      <c r="ETM30" s="28"/>
      <c r="ETN30" s="28"/>
      <c r="ETO30" s="28"/>
      <c r="ETP30" s="28"/>
      <c r="ETQ30" s="28"/>
      <c r="ETR30" s="28"/>
      <c r="ETS30" s="28"/>
      <c r="ETT30" s="28"/>
      <c r="ETU30" s="28"/>
      <c r="ETV30" s="28"/>
      <c r="ETW30" s="28"/>
      <c r="ETX30" s="28"/>
      <c r="ETY30" s="28"/>
      <c r="ETZ30" s="28"/>
      <c r="EUA30" s="28"/>
      <c r="EUB30" s="28"/>
      <c r="EUC30" s="28"/>
      <c r="EUD30" s="28"/>
      <c r="EUE30" s="28"/>
      <c r="EUF30" s="28"/>
      <c r="EUG30" s="28"/>
      <c r="EUH30" s="28"/>
      <c r="EUI30" s="28"/>
      <c r="EUJ30" s="28"/>
      <c r="EUK30" s="28"/>
      <c r="EUL30" s="28"/>
      <c r="EUM30" s="28"/>
      <c r="EUN30" s="28"/>
      <c r="EUO30" s="28"/>
      <c r="EUP30" s="28"/>
      <c r="EUQ30" s="28"/>
      <c r="EUR30" s="28"/>
      <c r="EUS30" s="28"/>
      <c r="EUT30" s="28"/>
      <c r="EUU30" s="28"/>
      <c r="EUV30" s="28"/>
      <c r="EUW30" s="28"/>
      <c r="EUX30" s="28"/>
      <c r="EUY30" s="28"/>
      <c r="EUZ30" s="28"/>
      <c r="EVA30" s="28"/>
      <c r="EVB30" s="28"/>
      <c r="EVC30" s="28"/>
      <c r="EVD30" s="28"/>
      <c r="EVE30" s="28"/>
      <c r="EVF30" s="28"/>
      <c r="EVG30" s="28"/>
      <c r="EVH30" s="28"/>
      <c r="EVI30" s="28"/>
      <c r="EVJ30" s="28"/>
      <c r="EVK30" s="28"/>
      <c r="EVL30" s="28"/>
      <c r="EVM30" s="28"/>
      <c r="EVN30" s="28"/>
      <c r="EVO30" s="28"/>
      <c r="EVP30" s="28"/>
      <c r="EVQ30" s="28"/>
      <c r="EVR30" s="28"/>
      <c r="EVS30" s="28"/>
      <c r="EVT30" s="28"/>
      <c r="EVU30" s="28"/>
      <c r="EVV30" s="28"/>
      <c r="EVW30" s="28"/>
      <c r="EVX30" s="28"/>
      <c r="EVY30" s="28"/>
      <c r="EVZ30" s="28"/>
      <c r="EWA30" s="28"/>
      <c r="EWB30" s="28"/>
      <c r="EWC30" s="28"/>
      <c r="EWD30" s="28"/>
      <c r="EWE30" s="28"/>
      <c r="EWF30" s="28"/>
      <c r="EWG30" s="28"/>
      <c r="EWH30" s="28"/>
      <c r="EWI30" s="28"/>
      <c r="EWJ30" s="28"/>
      <c r="EWK30" s="28"/>
      <c r="EWL30" s="28"/>
      <c r="EWM30" s="28"/>
      <c r="EWN30" s="28"/>
      <c r="EWO30" s="28"/>
      <c r="EWP30" s="28"/>
      <c r="EWQ30" s="28"/>
      <c r="EWR30" s="28"/>
      <c r="EWS30" s="28"/>
      <c r="EWT30" s="28"/>
      <c r="EWU30" s="28"/>
      <c r="EWV30" s="28"/>
      <c r="EWW30" s="28"/>
      <c r="EWX30" s="28"/>
      <c r="EWY30" s="28"/>
      <c r="EWZ30" s="28"/>
      <c r="EXA30" s="28"/>
      <c r="EXB30" s="28"/>
      <c r="EXC30" s="28"/>
      <c r="EXD30" s="28"/>
      <c r="EXE30" s="28"/>
      <c r="EXF30" s="28"/>
      <c r="EXG30" s="28"/>
      <c r="EXH30" s="28"/>
      <c r="EXI30" s="28"/>
      <c r="EXJ30" s="28"/>
      <c r="EXK30" s="28"/>
      <c r="EXL30" s="28"/>
      <c r="EXM30" s="28"/>
      <c r="EXN30" s="28"/>
      <c r="EXO30" s="28"/>
      <c r="EXP30" s="28"/>
      <c r="EXQ30" s="28"/>
      <c r="EXR30" s="28"/>
      <c r="EXS30" s="28"/>
      <c r="EXT30" s="28"/>
      <c r="EXU30" s="28"/>
      <c r="EXV30" s="28"/>
      <c r="EXW30" s="28"/>
      <c r="EXX30" s="28"/>
      <c r="EXY30" s="28"/>
      <c r="EXZ30" s="28"/>
      <c r="EYA30" s="28"/>
      <c r="EYB30" s="28"/>
      <c r="EYC30" s="28"/>
      <c r="EYD30" s="28"/>
      <c r="EYE30" s="28"/>
      <c r="EYF30" s="28"/>
      <c r="EYG30" s="28"/>
      <c r="EYH30" s="28"/>
      <c r="EYI30" s="28"/>
      <c r="EYJ30" s="28"/>
      <c r="EYK30" s="28"/>
      <c r="EYL30" s="28"/>
      <c r="EYM30" s="28"/>
      <c r="EYN30" s="28"/>
      <c r="EYO30" s="28"/>
      <c r="EYP30" s="28"/>
      <c r="EYQ30" s="28"/>
      <c r="EYR30" s="28"/>
      <c r="EYS30" s="28"/>
      <c r="EYT30" s="28"/>
      <c r="EYU30" s="28"/>
      <c r="EYV30" s="28"/>
      <c r="EYW30" s="28"/>
      <c r="EYX30" s="28"/>
      <c r="EYY30" s="28"/>
      <c r="EYZ30" s="28"/>
      <c r="EZA30" s="28"/>
      <c r="EZB30" s="28"/>
      <c r="EZC30" s="28"/>
      <c r="EZD30" s="28"/>
      <c r="EZE30" s="28"/>
      <c r="EZF30" s="28"/>
      <c r="EZG30" s="28"/>
      <c r="EZH30" s="28"/>
      <c r="EZI30" s="28"/>
      <c r="EZJ30" s="28"/>
      <c r="EZK30" s="28"/>
      <c r="EZL30" s="28"/>
      <c r="EZM30" s="28"/>
      <c r="EZN30" s="28"/>
      <c r="EZO30" s="28"/>
      <c r="EZP30" s="28"/>
      <c r="EZQ30" s="28"/>
      <c r="EZR30" s="28"/>
      <c r="EZS30" s="28"/>
      <c r="EZT30" s="28"/>
      <c r="EZU30" s="28"/>
      <c r="EZV30" s="28"/>
      <c r="EZW30" s="28"/>
      <c r="EZX30" s="28"/>
      <c r="EZY30" s="28"/>
      <c r="EZZ30" s="28"/>
      <c r="FAA30" s="28"/>
      <c r="FAB30" s="28"/>
      <c r="FAC30" s="28"/>
      <c r="FAD30" s="28"/>
      <c r="FAE30" s="28"/>
      <c r="FAF30" s="28"/>
      <c r="FAG30" s="28"/>
      <c r="FAH30" s="28"/>
      <c r="FAI30" s="28"/>
      <c r="FAJ30" s="28"/>
      <c r="FAK30" s="28"/>
      <c r="FAL30" s="28"/>
      <c r="FAM30" s="28"/>
      <c r="FAN30" s="28"/>
      <c r="FAO30" s="28"/>
      <c r="FAP30" s="28"/>
      <c r="FAQ30" s="28"/>
      <c r="FAR30" s="28"/>
      <c r="FAS30" s="28"/>
      <c r="FAT30" s="28"/>
      <c r="FAU30" s="28"/>
      <c r="FAV30" s="28"/>
      <c r="FAW30" s="28"/>
      <c r="FAX30" s="28"/>
      <c r="FAY30" s="28"/>
      <c r="FAZ30" s="28"/>
      <c r="FBA30" s="28"/>
      <c r="FBB30" s="28"/>
      <c r="FBC30" s="28"/>
      <c r="FBD30" s="28"/>
      <c r="FBE30" s="28"/>
      <c r="FBF30" s="28"/>
      <c r="FBG30" s="28"/>
      <c r="FBH30" s="28"/>
      <c r="FBI30" s="28"/>
      <c r="FBJ30" s="28"/>
      <c r="FBK30" s="28"/>
      <c r="FBL30" s="28"/>
      <c r="FBM30" s="28"/>
      <c r="FBN30" s="28"/>
      <c r="FBO30" s="28"/>
      <c r="FBP30" s="28"/>
      <c r="FBQ30" s="28"/>
      <c r="FBR30" s="28"/>
      <c r="FBS30" s="28"/>
      <c r="FBT30" s="28"/>
      <c r="FBU30" s="28"/>
      <c r="FBV30" s="28"/>
      <c r="FBW30" s="28"/>
      <c r="FBX30" s="28"/>
      <c r="FBY30" s="28"/>
      <c r="FBZ30" s="28"/>
      <c r="FCA30" s="28"/>
      <c r="FCB30" s="28"/>
      <c r="FCC30" s="28"/>
      <c r="FCD30" s="28"/>
      <c r="FCE30" s="28"/>
      <c r="FCF30" s="28"/>
      <c r="FCG30" s="28"/>
      <c r="FCH30" s="28"/>
      <c r="FCI30" s="28"/>
      <c r="FCJ30" s="28"/>
      <c r="FCK30" s="28"/>
      <c r="FCL30" s="28"/>
      <c r="FCM30" s="28"/>
      <c r="FCN30" s="28"/>
      <c r="FCO30" s="28"/>
      <c r="FCP30" s="28"/>
      <c r="FCQ30" s="28"/>
      <c r="FCR30" s="28"/>
      <c r="FCS30" s="28"/>
      <c r="FCT30" s="28"/>
      <c r="FCU30" s="28"/>
      <c r="FCV30" s="28"/>
      <c r="FCW30" s="28"/>
      <c r="FCX30" s="28"/>
      <c r="FCY30" s="28"/>
      <c r="FCZ30" s="28"/>
      <c r="FDA30" s="28"/>
      <c r="FDB30" s="28"/>
      <c r="FDC30" s="28"/>
      <c r="FDD30" s="28"/>
      <c r="FDE30" s="28"/>
      <c r="FDF30" s="28"/>
      <c r="FDG30" s="28"/>
      <c r="FDH30" s="28"/>
      <c r="FDI30" s="28"/>
      <c r="FDJ30" s="28"/>
      <c r="FDK30" s="28"/>
      <c r="FDL30" s="28"/>
      <c r="FDM30" s="28"/>
      <c r="FDN30" s="28"/>
      <c r="FDO30" s="28"/>
      <c r="FDP30" s="28"/>
      <c r="FDQ30" s="28"/>
      <c r="FDR30" s="28"/>
      <c r="FDS30" s="28"/>
      <c r="FDT30" s="28"/>
      <c r="FDU30" s="28"/>
      <c r="FDV30" s="28"/>
      <c r="FDW30" s="28"/>
      <c r="FDX30" s="28"/>
      <c r="FDY30" s="28"/>
      <c r="FDZ30" s="28"/>
      <c r="FEA30" s="28"/>
      <c r="FEB30" s="28"/>
      <c r="FEC30" s="28"/>
      <c r="FED30" s="28"/>
      <c r="FEE30" s="28"/>
      <c r="FEF30" s="28"/>
      <c r="FEG30" s="28"/>
      <c r="FEH30" s="28"/>
      <c r="FEI30" s="28"/>
      <c r="FEJ30" s="28"/>
      <c r="FEK30" s="28"/>
      <c r="FEL30" s="28"/>
      <c r="FEM30" s="28"/>
      <c r="FEN30" s="28"/>
      <c r="FEO30" s="28"/>
      <c r="FEP30" s="28"/>
      <c r="FEQ30" s="28"/>
      <c r="FER30" s="28"/>
      <c r="FES30" s="28"/>
      <c r="FET30" s="28"/>
      <c r="FEU30" s="28"/>
      <c r="FEV30" s="28"/>
      <c r="FEW30" s="28"/>
      <c r="FEX30" s="28"/>
      <c r="FEY30" s="28"/>
      <c r="FEZ30" s="28"/>
      <c r="FFA30" s="28"/>
      <c r="FFB30" s="28"/>
      <c r="FFC30" s="28"/>
      <c r="FFD30" s="28"/>
      <c r="FFE30" s="28"/>
      <c r="FFF30" s="28"/>
      <c r="FFG30" s="28"/>
      <c r="FFH30" s="28"/>
      <c r="FFI30" s="28"/>
      <c r="FFJ30" s="28"/>
      <c r="FFK30" s="28"/>
      <c r="FFL30" s="28"/>
      <c r="FFM30" s="28"/>
      <c r="FFN30" s="28"/>
      <c r="FFO30" s="28"/>
      <c r="FFP30" s="28"/>
      <c r="FFQ30" s="28"/>
      <c r="FFR30" s="28"/>
      <c r="FFS30" s="28"/>
      <c r="FFT30" s="28"/>
      <c r="FFU30" s="28"/>
      <c r="FFV30" s="28"/>
      <c r="FFW30" s="28"/>
      <c r="FFX30" s="28"/>
      <c r="FFY30" s="28"/>
      <c r="FFZ30" s="28"/>
      <c r="FGA30" s="28"/>
      <c r="FGB30" s="28"/>
      <c r="FGC30" s="28"/>
      <c r="FGD30" s="28"/>
      <c r="FGE30" s="28"/>
      <c r="FGF30" s="28"/>
      <c r="FGG30" s="28"/>
      <c r="FGH30" s="28"/>
      <c r="FGI30" s="28"/>
      <c r="FGJ30" s="28"/>
      <c r="FGK30" s="28"/>
      <c r="FGL30" s="28"/>
      <c r="FGM30" s="28"/>
      <c r="FGN30" s="28"/>
      <c r="FGO30" s="28"/>
      <c r="FGP30" s="28"/>
      <c r="FGQ30" s="28"/>
      <c r="FGR30" s="28"/>
      <c r="FGS30" s="28"/>
      <c r="FGT30" s="28"/>
      <c r="FGU30" s="28"/>
      <c r="FGV30" s="28"/>
      <c r="FGW30" s="28"/>
      <c r="FGX30" s="28"/>
      <c r="FGY30" s="28"/>
      <c r="FGZ30" s="28"/>
      <c r="FHA30" s="28"/>
      <c r="FHB30" s="28"/>
      <c r="FHC30" s="28"/>
      <c r="FHD30" s="28"/>
      <c r="FHE30" s="28"/>
      <c r="FHF30" s="28"/>
      <c r="FHG30" s="28"/>
      <c r="FHH30" s="28"/>
      <c r="FHI30" s="28"/>
      <c r="FHJ30" s="28"/>
      <c r="FHK30" s="28"/>
      <c r="FHL30" s="28"/>
      <c r="FHM30" s="28"/>
      <c r="FHN30" s="28"/>
      <c r="FHO30" s="28"/>
      <c r="FHP30" s="28"/>
      <c r="FHQ30" s="28"/>
      <c r="FHR30" s="28"/>
      <c r="FHS30" s="28"/>
      <c r="FHT30" s="28"/>
      <c r="FHU30" s="28"/>
      <c r="FHV30" s="28"/>
      <c r="FHW30" s="28"/>
      <c r="FHX30" s="28"/>
      <c r="FHY30" s="28"/>
      <c r="FHZ30" s="28"/>
      <c r="FIA30" s="28"/>
      <c r="FIB30" s="28"/>
      <c r="FIC30" s="28"/>
      <c r="FID30" s="28"/>
      <c r="FIE30" s="28"/>
      <c r="FIF30" s="28"/>
      <c r="FIG30" s="28"/>
      <c r="FIH30" s="28"/>
      <c r="FII30" s="28"/>
      <c r="FIJ30" s="28"/>
      <c r="FIK30" s="28"/>
      <c r="FIL30" s="28"/>
      <c r="FIM30" s="28"/>
      <c r="FIN30" s="28"/>
      <c r="FIO30" s="28"/>
      <c r="FIP30" s="28"/>
      <c r="FIQ30" s="28"/>
      <c r="FIR30" s="28"/>
      <c r="FIS30" s="28"/>
      <c r="FIT30" s="28"/>
      <c r="FIU30" s="28"/>
      <c r="FIV30" s="28"/>
      <c r="FIW30" s="28"/>
      <c r="FIX30" s="28"/>
      <c r="FIY30" s="28"/>
      <c r="FIZ30" s="28"/>
      <c r="FJA30" s="28"/>
      <c r="FJB30" s="28"/>
      <c r="FJC30" s="28"/>
      <c r="FJD30" s="28"/>
      <c r="FJE30" s="28"/>
      <c r="FJF30" s="28"/>
      <c r="FJG30" s="28"/>
      <c r="FJH30" s="28"/>
      <c r="FJI30" s="28"/>
      <c r="FJJ30" s="28"/>
      <c r="FJK30" s="28"/>
      <c r="FJL30" s="28"/>
      <c r="FJM30" s="28"/>
      <c r="FJN30" s="28"/>
      <c r="FJO30" s="28"/>
      <c r="FJP30" s="28"/>
      <c r="FJQ30" s="28"/>
      <c r="FJR30" s="28"/>
      <c r="FJS30" s="28"/>
      <c r="FJT30" s="28"/>
      <c r="FJU30" s="28"/>
      <c r="FJV30" s="28"/>
      <c r="FJW30" s="28"/>
      <c r="FJX30" s="28"/>
      <c r="FJY30" s="28"/>
      <c r="FJZ30" s="28"/>
      <c r="FKA30" s="28"/>
      <c r="FKB30" s="28"/>
      <c r="FKC30" s="28"/>
      <c r="FKD30" s="28"/>
      <c r="FKE30" s="28"/>
      <c r="FKF30" s="28"/>
      <c r="FKG30" s="28"/>
      <c r="FKH30" s="28"/>
      <c r="FKI30" s="28"/>
      <c r="FKJ30" s="28"/>
      <c r="FKK30" s="28"/>
      <c r="FKL30" s="28"/>
      <c r="FKM30" s="28"/>
      <c r="FKN30" s="28"/>
      <c r="FKO30" s="28"/>
      <c r="FKP30" s="28"/>
      <c r="FKQ30" s="28"/>
      <c r="FKR30" s="28"/>
      <c r="FKS30" s="28"/>
      <c r="FKT30" s="28"/>
      <c r="FKU30" s="28"/>
      <c r="FKV30" s="28"/>
      <c r="FKW30" s="28"/>
      <c r="FKX30" s="28"/>
      <c r="FKY30" s="28"/>
      <c r="FKZ30" s="28"/>
      <c r="FLA30" s="28"/>
      <c r="FLB30" s="28"/>
      <c r="FLC30" s="28"/>
      <c r="FLD30" s="28"/>
      <c r="FLE30" s="28"/>
      <c r="FLF30" s="28"/>
      <c r="FLG30" s="28"/>
      <c r="FLH30" s="28"/>
      <c r="FLI30" s="28"/>
      <c r="FLJ30" s="28"/>
      <c r="FLK30" s="28"/>
      <c r="FLL30" s="28"/>
      <c r="FLM30" s="28"/>
      <c r="FLN30" s="28"/>
      <c r="FLO30" s="28"/>
      <c r="FLP30" s="28"/>
      <c r="FLQ30" s="28"/>
      <c r="FLR30" s="28"/>
      <c r="FLS30" s="28"/>
      <c r="FLT30" s="28"/>
      <c r="FLU30" s="28"/>
      <c r="FLV30" s="28"/>
      <c r="FLW30" s="28"/>
      <c r="FLX30" s="28"/>
      <c r="FLY30" s="28"/>
      <c r="FLZ30" s="28"/>
      <c r="FMA30" s="28"/>
      <c r="FMB30" s="28"/>
      <c r="FMC30" s="28"/>
      <c r="FMD30" s="28"/>
      <c r="FME30" s="28"/>
      <c r="FMF30" s="28"/>
      <c r="FMG30" s="28"/>
      <c r="FMH30" s="28"/>
      <c r="FMI30" s="28"/>
      <c r="FMJ30" s="28"/>
      <c r="FMK30" s="28"/>
      <c r="FML30" s="28"/>
      <c r="FMM30" s="28"/>
      <c r="FMN30" s="28"/>
      <c r="FMO30" s="28"/>
      <c r="FMP30" s="28"/>
      <c r="FMQ30" s="28"/>
      <c r="FMR30" s="28"/>
      <c r="FMS30" s="28"/>
      <c r="FMT30" s="28"/>
      <c r="FMU30" s="28"/>
      <c r="FMV30" s="28"/>
      <c r="FMW30" s="28"/>
      <c r="FMX30" s="28"/>
      <c r="FMY30" s="28"/>
      <c r="FMZ30" s="28"/>
      <c r="FNA30" s="28"/>
      <c r="FNB30" s="28"/>
      <c r="FNC30" s="28"/>
      <c r="FND30" s="28"/>
      <c r="FNE30" s="28"/>
      <c r="FNF30" s="28"/>
      <c r="FNG30" s="28"/>
      <c r="FNH30" s="28"/>
      <c r="FNI30" s="28"/>
      <c r="FNJ30" s="28"/>
      <c r="FNK30" s="28"/>
      <c r="FNL30" s="28"/>
      <c r="FNM30" s="28"/>
      <c r="FNN30" s="28"/>
      <c r="FNO30" s="28"/>
      <c r="FNP30" s="28"/>
      <c r="FNQ30" s="28"/>
      <c r="FNR30" s="28"/>
      <c r="FNS30" s="28"/>
      <c r="FNT30" s="28"/>
      <c r="FNU30" s="28"/>
      <c r="FNV30" s="28"/>
      <c r="FNW30" s="28"/>
      <c r="FNX30" s="28"/>
      <c r="FNY30" s="28"/>
      <c r="FNZ30" s="28"/>
      <c r="FOA30" s="28"/>
      <c r="FOB30" s="28"/>
      <c r="FOC30" s="28"/>
      <c r="FOD30" s="28"/>
      <c r="FOE30" s="28"/>
      <c r="FOF30" s="28"/>
      <c r="FOG30" s="28"/>
      <c r="FOH30" s="28"/>
      <c r="FOI30" s="28"/>
      <c r="FOJ30" s="28"/>
      <c r="FOK30" s="28"/>
      <c r="FOL30" s="28"/>
      <c r="FOM30" s="28"/>
      <c r="FON30" s="28"/>
      <c r="FOO30" s="28"/>
      <c r="FOP30" s="28"/>
      <c r="FOQ30" s="28"/>
      <c r="FOR30" s="28"/>
      <c r="FOS30" s="28"/>
      <c r="FOT30" s="28"/>
      <c r="FOU30" s="28"/>
      <c r="FOV30" s="28"/>
      <c r="FOW30" s="28"/>
      <c r="FOX30" s="28"/>
      <c r="FOY30" s="28"/>
      <c r="FOZ30" s="28"/>
      <c r="FPA30" s="28"/>
      <c r="FPB30" s="28"/>
      <c r="FPC30" s="28"/>
      <c r="FPD30" s="28"/>
      <c r="FPE30" s="28"/>
      <c r="FPF30" s="28"/>
      <c r="FPG30" s="28"/>
      <c r="FPH30" s="28"/>
      <c r="FPI30" s="28"/>
      <c r="FPJ30" s="28"/>
      <c r="FPK30" s="28"/>
      <c r="FPL30" s="28"/>
      <c r="FPM30" s="28"/>
      <c r="FPN30" s="28"/>
      <c r="FPO30" s="28"/>
      <c r="FPP30" s="28"/>
      <c r="FPQ30" s="28"/>
      <c r="FPR30" s="28"/>
      <c r="FPS30" s="28"/>
      <c r="FPT30" s="28"/>
      <c r="FPU30" s="28"/>
      <c r="FPV30" s="28"/>
      <c r="FPW30" s="28"/>
      <c r="FPX30" s="28"/>
      <c r="FPY30" s="28"/>
      <c r="FPZ30" s="28"/>
      <c r="FQA30" s="28"/>
      <c r="FQB30" s="28"/>
      <c r="FQC30" s="28"/>
      <c r="FQD30" s="28"/>
      <c r="FQE30" s="28"/>
      <c r="FQF30" s="28"/>
      <c r="FQG30" s="28"/>
      <c r="FQH30" s="28"/>
      <c r="FQI30" s="28"/>
      <c r="FQJ30" s="28"/>
      <c r="FQK30" s="28"/>
      <c r="FQL30" s="28"/>
      <c r="FQM30" s="28"/>
      <c r="FQN30" s="28"/>
      <c r="FQO30" s="28"/>
      <c r="FQP30" s="28"/>
      <c r="FQQ30" s="28"/>
      <c r="FQR30" s="28"/>
      <c r="FQS30" s="28"/>
      <c r="FQT30" s="28"/>
      <c r="FQU30" s="28"/>
      <c r="FQV30" s="28"/>
      <c r="FQW30" s="28"/>
      <c r="FQX30" s="28"/>
      <c r="FQY30" s="28"/>
      <c r="FQZ30" s="28"/>
      <c r="FRA30" s="28"/>
      <c r="FRB30" s="28"/>
      <c r="FRC30" s="28"/>
      <c r="FRD30" s="28"/>
      <c r="FRE30" s="28"/>
      <c r="FRF30" s="28"/>
      <c r="FRG30" s="28"/>
      <c r="FRH30" s="28"/>
      <c r="FRI30" s="28"/>
      <c r="FRJ30" s="28"/>
      <c r="FRK30" s="28"/>
      <c r="FRL30" s="28"/>
      <c r="FRM30" s="28"/>
      <c r="FRN30" s="28"/>
      <c r="FRO30" s="28"/>
      <c r="FRP30" s="28"/>
      <c r="FRQ30" s="28"/>
      <c r="FRR30" s="28"/>
      <c r="FRS30" s="28"/>
      <c r="FRT30" s="28"/>
      <c r="FRU30" s="28"/>
      <c r="FRV30" s="28"/>
      <c r="FRW30" s="28"/>
      <c r="FRX30" s="28"/>
      <c r="FRY30" s="28"/>
      <c r="FRZ30" s="28"/>
      <c r="FSA30" s="28"/>
      <c r="FSB30" s="28"/>
      <c r="FSC30" s="28"/>
      <c r="FSD30" s="28"/>
      <c r="FSE30" s="28"/>
      <c r="FSF30" s="28"/>
      <c r="FSG30" s="28"/>
      <c r="FSH30" s="28"/>
      <c r="FSI30" s="28"/>
      <c r="FSJ30" s="28"/>
      <c r="FSK30" s="28"/>
      <c r="FSL30" s="28"/>
      <c r="FSM30" s="28"/>
      <c r="FSN30" s="28"/>
      <c r="FSO30" s="28"/>
      <c r="FSP30" s="28"/>
      <c r="FSQ30" s="28"/>
      <c r="FSR30" s="28"/>
      <c r="FSS30" s="28"/>
      <c r="FST30" s="28"/>
      <c r="FSU30" s="28"/>
      <c r="FSV30" s="28"/>
      <c r="FSW30" s="28"/>
      <c r="FSX30" s="28"/>
      <c r="FSY30" s="28"/>
      <c r="FSZ30" s="28"/>
      <c r="FTA30" s="28"/>
      <c r="FTB30" s="28"/>
      <c r="FTC30" s="28"/>
      <c r="FTD30" s="28"/>
      <c r="FTE30" s="28"/>
      <c r="FTF30" s="28"/>
      <c r="FTG30" s="28"/>
      <c r="FTH30" s="28"/>
      <c r="FTI30" s="28"/>
      <c r="FTJ30" s="28"/>
      <c r="FTK30" s="28"/>
      <c r="FTL30" s="28"/>
      <c r="FTM30" s="28"/>
      <c r="FTN30" s="28"/>
      <c r="FTO30" s="28"/>
      <c r="FTP30" s="28"/>
      <c r="FTQ30" s="28"/>
      <c r="FTR30" s="28"/>
      <c r="FTS30" s="28"/>
      <c r="FTT30" s="28"/>
      <c r="FTU30" s="28"/>
      <c r="FTV30" s="28"/>
      <c r="FTW30" s="28"/>
      <c r="FTX30" s="28"/>
      <c r="FTY30" s="28"/>
      <c r="FTZ30" s="28"/>
      <c r="FUA30" s="28"/>
      <c r="FUB30" s="28"/>
      <c r="FUC30" s="28"/>
      <c r="FUD30" s="28"/>
      <c r="FUE30" s="28"/>
      <c r="FUF30" s="28"/>
      <c r="FUG30" s="28"/>
      <c r="FUH30" s="28"/>
      <c r="FUI30" s="28"/>
      <c r="FUJ30" s="28"/>
      <c r="FUK30" s="28"/>
      <c r="FUL30" s="28"/>
      <c r="FUM30" s="28"/>
      <c r="FUN30" s="28"/>
      <c r="FUO30" s="28"/>
      <c r="FUP30" s="28"/>
      <c r="FUQ30" s="28"/>
      <c r="FUR30" s="28"/>
      <c r="FUS30" s="28"/>
      <c r="FUT30" s="28"/>
      <c r="FUU30" s="28"/>
      <c r="FUV30" s="28"/>
      <c r="FUW30" s="28"/>
      <c r="FUX30" s="28"/>
      <c r="FUY30" s="28"/>
      <c r="FUZ30" s="28"/>
      <c r="FVA30" s="28"/>
      <c r="FVB30" s="28"/>
      <c r="FVC30" s="28"/>
      <c r="FVD30" s="28"/>
      <c r="FVE30" s="28"/>
      <c r="FVF30" s="28"/>
      <c r="FVG30" s="28"/>
      <c r="FVH30" s="28"/>
      <c r="FVI30" s="28"/>
      <c r="FVJ30" s="28"/>
      <c r="FVK30" s="28"/>
      <c r="FVL30" s="28"/>
      <c r="FVM30" s="28"/>
      <c r="FVN30" s="28"/>
      <c r="FVO30" s="28"/>
      <c r="FVP30" s="28"/>
      <c r="FVQ30" s="28"/>
      <c r="FVR30" s="28"/>
      <c r="FVS30" s="28"/>
      <c r="FVT30" s="28"/>
      <c r="FVU30" s="28"/>
      <c r="FVV30" s="28"/>
      <c r="FVW30" s="28"/>
      <c r="FVX30" s="28"/>
      <c r="FVY30" s="28"/>
      <c r="FVZ30" s="28"/>
      <c r="FWA30" s="28"/>
      <c r="FWB30" s="28"/>
      <c r="FWC30" s="28"/>
      <c r="FWD30" s="28"/>
      <c r="FWE30" s="28"/>
      <c r="FWF30" s="28"/>
      <c r="FWG30" s="28"/>
      <c r="FWH30" s="28"/>
      <c r="FWI30" s="28"/>
      <c r="FWJ30" s="28"/>
      <c r="FWK30" s="28"/>
      <c r="FWL30" s="28"/>
      <c r="FWM30" s="28"/>
      <c r="FWN30" s="28"/>
      <c r="FWO30" s="28"/>
      <c r="FWP30" s="28"/>
      <c r="FWQ30" s="28"/>
      <c r="FWR30" s="28"/>
      <c r="FWS30" s="28"/>
      <c r="FWT30" s="28"/>
      <c r="FWU30" s="28"/>
      <c r="FWV30" s="28"/>
      <c r="FWW30" s="28"/>
      <c r="FWX30" s="28"/>
      <c r="FWY30" s="28"/>
      <c r="FWZ30" s="28"/>
      <c r="FXA30" s="28"/>
      <c r="FXB30" s="28"/>
      <c r="FXC30" s="28"/>
      <c r="FXD30" s="28"/>
      <c r="FXE30" s="28"/>
      <c r="FXF30" s="28"/>
      <c r="FXG30" s="28"/>
      <c r="FXH30" s="28"/>
      <c r="FXI30" s="28"/>
      <c r="FXJ30" s="28"/>
      <c r="FXK30" s="28"/>
      <c r="FXL30" s="28"/>
      <c r="FXM30" s="28"/>
      <c r="FXN30" s="28"/>
      <c r="FXO30" s="28"/>
      <c r="FXP30" s="28"/>
      <c r="FXQ30" s="28"/>
      <c r="FXR30" s="28"/>
      <c r="FXS30" s="28"/>
      <c r="FXT30" s="28"/>
      <c r="FXU30" s="28"/>
      <c r="FXV30" s="28"/>
      <c r="FXW30" s="28"/>
      <c r="FXX30" s="28"/>
      <c r="FXY30" s="28"/>
      <c r="FXZ30" s="28"/>
      <c r="FYA30" s="28"/>
      <c r="FYB30" s="28"/>
      <c r="FYC30" s="28"/>
      <c r="FYD30" s="28"/>
      <c r="FYE30" s="28"/>
      <c r="FYF30" s="28"/>
      <c r="FYG30" s="28"/>
      <c r="FYH30" s="28"/>
      <c r="FYI30" s="28"/>
      <c r="FYJ30" s="28"/>
      <c r="FYK30" s="28"/>
      <c r="FYL30" s="28"/>
      <c r="FYM30" s="28"/>
      <c r="FYN30" s="28"/>
      <c r="FYO30" s="28"/>
      <c r="FYP30" s="28"/>
      <c r="FYQ30" s="28"/>
      <c r="FYR30" s="28"/>
      <c r="FYS30" s="28"/>
      <c r="FYT30" s="28"/>
      <c r="FYU30" s="28"/>
      <c r="FYV30" s="28"/>
      <c r="FYW30" s="28"/>
      <c r="FYX30" s="28"/>
      <c r="FYY30" s="28"/>
      <c r="FYZ30" s="28"/>
      <c r="FZA30" s="28"/>
      <c r="FZB30" s="28"/>
      <c r="FZC30" s="28"/>
      <c r="FZD30" s="28"/>
      <c r="FZE30" s="28"/>
      <c r="FZF30" s="28"/>
      <c r="FZG30" s="28"/>
      <c r="FZH30" s="28"/>
      <c r="FZI30" s="28"/>
      <c r="FZJ30" s="28"/>
      <c r="FZK30" s="28"/>
      <c r="FZL30" s="28"/>
      <c r="FZM30" s="28"/>
      <c r="FZN30" s="28"/>
      <c r="FZO30" s="28"/>
      <c r="FZP30" s="28"/>
      <c r="FZQ30" s="28"/>
      <c r="FZR30" s="28"/>
      <c r="FZS30" s="28"/>
      <c r="FZT30" s="28"/>
      <c r="FZU30" s="28"/>
      <c r="FZV30" s="28"/>
      <c r="FZW30" s="28"/>
      <c r="FZX30" s="28"/>
      <c r="FZY30" s="28"/>
      <c r="FZZ30" s="28"/>
      <c r="GAA30" s="28"/>
      <c r="GAB30" s="28"/>
      <c r="GAC30" s="28"/>
      <c r="GAD30" s="28"/>
      <c r="GAE30" s="28"/>
      <c r="GAF30" s="28"/>
      <c r="GAG30" s="28"/>
      <c r="GAH30" s="28"/>
      <c r="GAI30" s="28"/>
      <c r="GAJ30" s="28"/>
      <c r="GAK30" s="28"/>
      <c r="GAL30" s="28"/>
      <c r="GAM30" s="28"/>
      <c r="GAN30" s="28"/>
      <c r="GAO30" s="28"/>
      <c r="GAP30" s="28"/>
      <c r="GAQ30" s="28"/>
      <c r="GAR30" s="28"/>
      <c r="GAS30" s="28"/>
      <c r="GAT30" s="28"/>
      <c r="GAU30" s="28"/>
      <c r="GAV30" s="28"/>
      <c r="GAW30" s="28"/>
      <c r="GAX30" s="28"/>
      <c r="GAY30" s="28"/>
      <c r="GAZ30" s="28"/>
      <c r="GBA30" s="28"/>
      <c r="GBB30" s="28"/>
      <c r="GBC30" s="28"/>
      <c r="GBD30" s="28"/>
      <c r="GBE30" s="28"/>
      <c r="GBF30" s="28"/>
      <c r="GBG30" s="28"/>
      <c r="GBH30" s="28"/>
      <c r="GBI30" s="28"/>
      <c r="GBJ30" s="28"/>
      <c r="GBK30" s="28"/>
      <c r="GBL30" s="28"/>
      <c r="GBM30" s="28"/>
      <c r="GBN30" s="28"/>
      <c r="GBO30" s="28"/>
      <c r="GBP30" s="28"/>
      <c r="GBQ30" s="28"/>
      <c r="GBR30" s="28"/>
      <c r="GBS30" s="28"/>
      <c r="GBT30" s="28"/>
      <c r="GBU30" s="28"/>
      <c r="GBV30" s="28"/>
      <c r="GBW30" s="28"/>
      <c r="GBX30" s="28"/>
      <c r="GBY30" s="28"/>
      <c r="GBZ30" s="28"/>
      <c r="GCA30" s="28"/>
      <c r="GCB30" s="28"/>
      <c r="GCC30" s="28"/>
      <c r="GCD30" s="28"/>
      <c r="GCE30" s="28"/>
      <c r="GCF30" s="28"/>
      <c r="GCG30" s="28"/>
      <c r="GCH30" s="28"/>
      <c r="GCI30" s="28"/>
      <c r="GCJ30" s="28"/>
      <c r="GCK30" s="28"/>
      <c r="GCL30" s="28"/>
      <c r="GCM30" s="28"/>
      <c r="GCN30" s="28"/>
      <c r="GCO30" s="28"/>
      <c r="GCP30" s="28"/>
      <c r="GCQ30" s="28"/>
      <c r="GCR30" s="28"/>
      <c r="GCS30" s="28"/>
      <c r="GCT30" s="28"/>
      <c r="GCU30" s="28"/>
      <c r="GCV30" s="28"/>
      <c r="GCW30" s="28"/>
      <c r="GCX30" s="28"/>
      <c r="GCY30" s="28"/>
      <c r="GCZ30" s="28"/>
      <c r="GDA30" s="28"/>
      <c r="GDB30" s="28"/>
      <c r="GDC30" s="28"/>
      <c r="GDD30" s="28"/>
      <c r="GDE30" s="28"/>
      <c r="GDF30" s="28"/>
      <c r="GDG30" s="28"/>
      <c r="GDH30" s="28"/>
      <c r="GDI30" s="28"/>
      <c r="GDJ30" s="28"/>
      <c r="GDK30" s="28"/>
      <c r="GDL30" s="28"/>
      <c r="GDM30" s="28"/>
      <c r="GDN30" s="28"/>
      <c r="GDO30" s="28"/>
      <c r="GDP30" s="28"/>
      <c r="GDQ30" s="28"/>
      <c r="GDR30" s="28"/>
      <c r="GDS30" s="28"/>
      <c r="GDT30" s="28"/>
      <c r="GDU30" s="28"/>
      <c r="GDV30" s="28"/>
      <c r="GDW30" s="28"/>
      <c r="GDX30" s="28"/>
      <c r="GDY30" s="28"/>
      <c r="GDZ30" s="28"/>
      <c r="GEA30" s="28"/>
      <c r="GEB30" s="28"/>
      <c r="GEC30" s="28"/>
      <c r="GED30" s="28"/>
      <c r="GEE30" s="28"/>
      <c r="GEF30" s="28"/>
      <c r="GEG30" s="28"/>
      <c r="GEH30" s="28"/>
      <c r="GEI30" s="28"/>
      <c r="GEJ30" s="28"/>
      <c r="GEK30" s="28"/>
      <c r="GEL30" s="28"/>
      <c r="GEM30" s="28"/>
      <c r="GEN30" s="28"/>
      <c r="GEO30" s="28"/>
      <c r="GEP30" s="28"/>
      <c r="GEQ30" s="28"/>
      <c r="GER30" s="28"/>
      <c r="GES30" s="28"/>
      <c r="GET30" s="28"/>
      <c r="GEU30" s="28"/>
      <c r="GEV30" s="28"/>
      <c r="GEW30" s="28"/>
      <c r="GEX30" s="28"/>
      <c r="GEY30" s="28"/>
      <c r="GEZ30" s="28"/>
      <c r="GFA30" s="28"/>
      <c r="GFB30" s="28"/>
      <c r="GFC30" s="28"/>
      <c r="GFD30" s="28"/>
      <c r="GFE30" s="28"/>
      <c r="GFF30" s="28"/>
      <c r="GFG30" s="28"/>
      <c r="GFH30" s="28"/>
      <c r="GFI30" s="28"/>
      <c r="GFJ30" s="28"/>
      <c r="GFK30" s="28"/>
      <c r="GFL30" s="28"/>
      <c r="GFM30" s="28"/>
      <c r="GFN30" s="28"/>
      <c r="GFO30" s="28"/>
      <c r="GFP30" s="28"/>
      <c r="GFQ30" s="28"/>
      <c r="GFR30" s="28"/>
      <c r="GFS30" s="28"/>
      <c r="GFT30" s="28"/>
      <c r="GFU30" s="28"/>
      <c r="GFV30" s="28"/>
      <c r="GFW30" s="28"/>
      <c r="GFX30" s="28"/>
      <c r="GFY30" s="28"/>
      <c r="GFZ30" s="28"/>
      <c r="GGA30" s="28"/>
      <c r="GGB30" s="28"/>
      <c r="GGC30" s="28"/>
      <c r="GGD30" s="28"/>
      <c r="GGE30" s="28"/>
      <c r="GGF30" s="28"/>
      <c r="GGG30" s="28"/>
      <c r="GGH30" s="28"/>
      <c r="GGI30" s="28"/>
      <c r="GGJ30" s="28"/>
      <c r="GGK30" s="28"/>
      <c r="GGL30" s="28"/>
      <c r="GGM30" s="28"/>
      <c r="GGN30" s="28"/>
      <c r="GGO30" s="28"/>
      <c r="GGP30" s="28"/>
      <c r="GGQ30" s="28"/>
      <c r="GGR30" s="28"/>
      <c r="GGS30" s="28"/>
      <c r="GGT30" s="28"/>
      <c r="GGU30" s="28"/>
      <c r="GGV30" s="28"/>
      <c r="GGW30" s="28"/>
      <c r="GGX30" s="28"/>
      <c r="GGY30" s="28"/>
      <c r="GGZ30" s="28"/>
      <c r="GHA30" s="28"/>
      <c r="GHB30" s="28"/>
      <c r="GHC30" s="28"/>
      <c r="GHD30" s="28"/>
      <c r="GHE30" s="28"/>
      <c r="GHF30" s="28"/>
      <c r="GHG30" s="28"/>
      <c r="GHH30" s="28"/>
      <c r="GHI30" s="28"/>
      <c r="GHJ30" s="28"/>
      <c r="GHK30" s="28"/>
      <c r="GHL30" s="28"/>
      <c r="GHM30" s="28"/>
      <c r="GHN30" s="28"/>
      <c r="GHO30" s="28"/>
      <c r="GHP30" s="28"/>
      <c r="GHQ30" s="28"/>
      <c r="GHR30" s="28"/>
      <c r="GHS30" s="28"/>
      <c r="GHT30" s="28"/>
      <c r="GHU30" s="28"/>
      <c r="GHV30" s="28"/>
      <c r="GHW30" s="28"/>
      <c r="GHX30" s="28"/>
      <c r="GHY30" s="28"/>
      <c r="GHZ30" s="28"/>
      <c r="GIA30" s="28"/>
      <c r="GIB30" s="28"/>
      <c r="GIC30" s="28"/>
      <c r="GID30" s="28"/>
      <c r="GIE30" s="28"/>
      <c r="GIF30" s="28"/>
      <c r="GIG30" s="28"/>
      <c r="GIH30" s="28"/>
      <c r="GII30" s="28"/>
      <c r="GIJ30" s="28"/>
      <c r="GIK30" s="28"/>
      <c r="GIL30" s="28"/>
      <c r="GIM30" s="28"/>
      <c r="GIN30" s="28"/>
      <c r="GIO30" s="28"/>
      <c r="GIP30" s="28"/>
      <c r="GIQ30" s="28"/>
      <c r="GIR30" s="28"/>
      <c r="GIS30" s="28"/>
      <c r="GIT30" s="28"/>
      <c r="GIU30" s="28"/>
      <c r="GIV30" s="28"/>
      <c r="GIW30" s="28"/>
      <c r="GIX30" s="28"/>
      <c r="GIY30" s="28"/>
      <c r="GIZ30" s="28"/>
      <c r="GJA30" s="28"/>
      <c r="GJB30" s="28"/>
      <c r="GJC30" s="28"/>
      <c r="GJD30" s="28"/>
      <c r="GJE30" s="28"/>
      <c r="GJF30" s="28"/>
      <c r="GJG30" s="28"/>
      <c r="GJH30" s="28"/>
      <c r="GJI30" s="28"/>
      <c r="GJJ30" s="28"/>
      <c r="GJK30" s="28"/>
      <c r="GJL30" s="28"/>
      <c r="GJM30" s="28"/>
      <c r="GJN30" s="28"/>
      <c r="GJO30" s="28"/>
      <c r="GJP30" s="28"/>
      <c r="GJQ30" s="28"/>
      <c r="GJR30" s="28"/>
      <c r="GJS30" s="28"/>
      <c r="GJT30" s="28"/>
      <c r="GJU30" s="28"/>
      <c r="GJV30" s="28"/>
      <c r="GJW30" s="28"/>
      <c r="GJX30" s="28"/>
      <c r="GJY30" s="28"/>
      <c r="GJZ30" s="28"/>
      <c r="GKA30" s="28"/>
      <c r="GKB30" s="28"/>
      <c r="GKC30" s="28"/>
      <c r="GKD30" s="28"/>
      <c r="GKE30" s="28"/>
      <c r="GKF30" s="28"/>
      <c r="GKG30" s="28"/>
      <c r="GKH30" s="28"/>
      <c r="GKI30" s="28"/>
      <c r="GKJ30" s="28"/>
      <c r="GKK30" s="28"/>
      <c r="GKL30" s="28"/>
      <c r="GKM30" s="28"/>
      <c r="GKN30" s="28"/>
      <c r="GKO30" s="28"/>
      <c r="GKP30" s="28"/>
      <c r="GKQ30" s="28"/>
      <c r="GKR30" s="28"/>
      <c r="GKS30" s="28"/>
      <c r="GKT30" s="28"/>
      <c r="GKU30" s="28"/>
      <c r="GKV30" s="28"/>
      <c r="GKW30" s="28"/>
      <c r="GKX30" s="28"/>
      <c r="GKY30" s="28"/>
      <c r="GKZ30" s="28"/>
      <c r="GLA30" s="28"/>
      <c r="GLB30" s="28"/>
      <c r="GLC30" s="28"/>
      <c r="GLD30" s="28"/>
      <c r="GLE30" s="28"/>
      <c r="GLF30" s="28"/>
      <c r="GLG30" s="28"/>
      <c r="GLH30" s="28"/>
      <c r="GLI30" s="28"/>
      <c r="GLJ30" s="28"/>
      <c r="GLK30" s="28"/>
      <c r="GLL30" s="28"/>
      <c r="GLM30" s="28"/>
      <c r="GLN30" s="28"/>
      <c r="GLO30" s="28"/>
      <c r="GLP30" s="28"/>
      <c r="GLQ30" s="28"/>
      <c r="GLR30" s="28"/>
      <c r="GLS30" s="28"/>
      <c r="GLT30" s="28"/>
      <c r="GLU30" s="28"/>
      <c r="GLV30" s="28"/>
      <c r="GLW30" s="28"/>
      <c r="GLX30" s="28"/>
      <c r="GLY30" s="28"/>
      <c r="GLZ30" s="28"/>
      <c r="GMA30" s="28"/>
      <c r="GMB30" s="28"/>
      <c r="GMC30" s="28"/>
      <c r="GMD30" s="28"/>
      <c r="GME30" s="28"/>
      <c r="GMF30" s="28"/>
      <c r="GMG30" s="28"/>
      <c r="GMH30" s="28"/>
      <c r="GMI30" s="28"/>
      <c r="GMJ30" s="28"/>
      <c r="GMK30" s="28"/>
      <c r="GML30" s="28"/>
      <c r="GMM30" s="28"/>
      <c r="GMN30" s="28"/>
      <c r="GMO30" s="28"/>
      <c r="GMP30" s="28"/>
      <c r="GMQ30" s="28"/>
      <c r="GMR30" s="28"/>
      <c r="GMS30" s="28"/>
      <c r="GMT30" s="28"/>
      <c r="GMU30" s="28"/>
      <c r="GMV30" s="28"/>
      <c r="GMW30" s="28"/>
      <c r="GMX30" s="28"/>
      <c r="GMY30" s="28"/>
      <c r="GMZ30" s="28"/>
      <c r="GNA30" s="28"/>
      <c r="GNB30" s="28"/>
      <c r="GNC30" s="28"/>
      <c r="GND30" s="28"/>
      <c r="GNE30" s="28"/>
      <c r="GNF30" s="28"/>
      <c r="GNG30" s="28"/>
      <c r="GNH30" s="28"/>
      <c r="GNI30" s="28"/>
      <c r="GNJ30" s="28"/>
      <c r="GNK30" s="28"/>
      <c r="GNL30" s="28"/>
      <c r="GNM30" s="28"/>
      <c r="GNN30" s="28"/>
      <c r="GNO30" s="28"/>
      <c r="GNP30" s="28"/>
      <c r="GNQ30" s="28"/>
      <c r="GNR30" s="28"/>
      <c r="GNS30" s="28"/>
      <c r="GNT30" s="28"/>
      <c r="GNU30" s="28"/>
      <c r="GNV30" s="28"/>
      <c r="GNW30" s="28"/>
      <c r="GNX30" s="28"/>
      <c r="GNY30" s="28"/>
      <c r="GNZ30" s="28"/>
      <c r="GOA30" s="28"/>
      <c r="GOB30" s="28"/>
      <c r="GOC30" s="28"/>
      <c r="GOD30" s="28"/>
      <c r="GOE30" s="28"/>
      <c r="GOF30" s="28"/>
      <c r="GOG30" s="28"/>
      <c r="GOH30" s="28"/>
      <c r="GOI30" s="28"/>
      <c r="GOJ30" s="28"/>
      <c r="GOK30" s="28"/>
      <c r="GOL30" s="28"/>
      <c r="GOM30" s="28"/>
      <c r="GON30" s="28"/>
      <c r="GOO30" s="28"/>
      <c r="GOP30" s="28"/>
      <c r="GOQ30" s="28"/>
      <c r="GOR30" s="28"/>
      <c r="GOS30" s="28"/>
      <c r="GOT30" s="28"/>
      <c r="GOU30" s="28"/>
      <c r="GOV30" s="28"/>
      <c r="GOW30" s="28"/>
      <c r="GOX30" s="28"/>
      <c r="GOY30" s="28"/>
      <c r="GOZ30" s="28"/>
      <c r="GPA30" s="28"/>
      <c r="GPB30" s="28"/>
      <c r="GPC30" s="28"/>
      <c r="GPD30" s="28"/>
      <c r="GPE30" s="28"/>
      <c r="GPF30" s="28"/>
      <c r="GPG30" s="28"/>
      <c r="GPH30" s="28"/>
      <c r="GPI30" s="28"/>
      <c r="GPJ30" s="28"/>
      <c r="GPK30" s="28"/>
      <c r="GPL30" s="28"/>
      <c r="GPM30" s="28"/>
      <c r="GPN30" s="28"/>
      <c r="GPO30" s="28"/>
      <c r="GPP30" s="28"/>
      <c r="GPQ30" s="28"/>
      <c r="GPR30" s="28"/>
      <c r="GPS30" s="28"/>
      <c r="GPT30" s="28"/>
      <c r="GPU30" s="28"/>
      <c r="GPV30" s="28"/>
      <c r="GPW30" s="28"/>
      <c r="GPX30" s="28"/>
      <c r="GPY30" s="28"/>
      <c r="GPZ30" s="28"/>
      <c r="GQA30" s="28"/>
      <c r="GQB30" s="28"/>
      <c r="GQC30" s="28"/>
      <c r="GQD30" s="28"/>
      <c r="GQE30" s="28"/>
      <c r="GQF30" s="28"/>
      <c r="GQG30" s="28"/>
      <c r="GQH30" s="28"/>
      <c r="GQI30" s="28"/>
      <c r="GQJ30" s="28"/>
      <c r="GQK30" s="28"/>
      <c r="GQL30" s="28"/>
      <c r="GQM30" s="28"/>
      <c r="GQN30" s="28"/>
      <c r="GQO30" s="28"/>
      <c r="GQP30" s="28"/>
      <c r="GQQ30" s="28"/>
      <c r="GQR30" s="28"/>
      <c r="GQS30" s="28"/>
      <c r="GQT30" s="28"/>
      <c r="GQU30" s="28"/>
      <c r="GQV30" s="28"/>
      <c r="GQW30" s="28"/>
      <c r="GQX30" s="28"/>
      <c r="GQY30" s="28"/>
      <c r="GQZ30" s="28"/>
      <c r="GRA30" s="28"/>
      <c r="GRB30" s="28"/>
      <c r="GRC30" s="28"/>
      <c r="GRD30" s="28"/>
      <c r="GRE30" s="28"/>
      <c r="GRF30" s="28"/>
      <c r="GRG30" s="28"/>
      <c r="GRH30" s="28"/>
      <c r="GRI30" s="28"/>
      <c r="GRJ30" s="28"/>
      <c r="GRK30" s="28"/>
      <c r="GRL30" s="28"/>
      <c r="GRM30" s="28"/>
      <c r="GRN30" s="28"/>
      <c r="GRO30" s="28"/>
      <c r="GRP30" s="28"/>
      <c r="GRQ30" s="28"/>
      <c r="GRR30" s="28"/>
      <c r="GRS30" s="28"/>
      <c r="GRT30" s="28"/>
      <c r="GRU30" s="28"/>
      <c r="GRV30" s="28"/>
      <c r="GRW30" s="28"/>
      <c r="GRX30" s="28"/>
      <c r="GRY30" s="28"/>
      <c r="GRZ30" s="28"/>
      <c r="GSA30" s="28"/>
      <c r="GSB30" s="28"/>
      <c r="GSC30" s="28"/>
      <c r="GSD30" s="28"/>
      <c r="GSE30" s="28"/>
      <c r="GSF30" s="28"/>
      <c r="GSG30" s="28"/>
      <c r="GSH30" s="28"/>
      <c r="GSI30" s="28"/>
      <c r="GSJ30" s="28"/>
      <c r="GSK30" s="28"/>
      <c r="GSL30" s="28"/>
      <c r="GSM30" s="28"/>
      <c r="GSN30" s="28"/>
      <c r="GSO30" s="28"/>
      <c r="GSP30" s="28"/>
      <c r="GSQ30" s="28"/>
      <c r="GSR30" s="28"/>
      <c r="GSS30" s="28"/>
      <c r="GST30" s="28"/>
      <c r="GSU30" s="28"/>
      <c r="GSV30" s="28"/>
      <c r="GSW30" s="28"/>
      <c r="GSX30" s="28"/>
      <c r="GSY30" s="28"/>
      <c r="GSZ30" s="28"/>
      <c r="GTA30" s="28"/>
      <c r="GTB30" s="28"/>
      <c r="GTC30" s="28"/>
      <c r="GTD30" s="28"/>
      <c r="GTE30" s="28"/>
      <c r="GTF30" s="28"/>
      <c r="GTG30" s="28"/>
      <c r="GTH30" s="28"/>
      <c r="GTI30" s="28"/>
      <c r="GTJ30" s="28"/>
      <c r="GTK30" s="28"/>
      <c r="GTL30" s="28"/>
      <c r="GTM30" s="28"/>
      <c r="GTN30" s="28"/>
      <c r="GTO30" s="28"/>
      <c r="GTP30" s="28"/>
      <c r="GTQ30" s="28"/>
      <c r="GTR30" s="28"/>
      <c r="GTS30" s="28"/>
      <c r="GTT30" s="28"/>
      <c r="GTU30" s="28"/>
      <c r="GTV30" s="28"/>
      <c r="GTW30" s="28"/>
      <c r="GTX30" s="28"/>
      <c r="GTY30" s="28"/>
      <c r="GTZ30" s="28"/>
      <c r="GUA30" s="28"/>
      <c r="GUB30" s="28"/>
      <c r="GUC30" s="28"/>
      <c r="GUD30" s="28"/>
      <c r="GUE30" s="28"/>
      <c r="GUF30" s="28"/>
      <c r="GUG30" s="28"/>
      <c r="GUH30" s="28"/>
      <c r="GUI30" s="28"/>
      <c r="GUJ30" s="28"/>
      <c r="GUK30" s="28"/>
      <c r="GUL30" s="28"/>
      <c r="GUM30" s="28"/>
      <c r="GUN30" s="28"/>
      <c r="GUO30" s="28"/>
      <c r="GUP30" s="28"/>
      <c r="GUQ30" s="28"/>
      <c r="GUR30" s="28"/>
      <c r="GUS30" s="28"/>
      <c r="GUT30" s="28"/>
      <c r="GUU30" s="28"/>
      <c r="GUV30" s="28"/>
      <c r="GUW30" s="28"/>
      <c r="GUX30" s="28"/>
      <c r="GUY30" s="28"/>
      <c r="GUZ30" s="28"/>
      <c r="GVA30" s="28"/>
      <c r="GVB30" s="28"/>
      <c r="GVC30" s="28"/>
      <c r="GVD30" s="28"/>
      <c r="GVE30" s="28"/>
      <c r="GVF30" s="28"/>
      <c r="GVG30" s="28"/>
      <c r="GVH30" s="28"/>
      <c r="GVI30" s="28"/>
      <c r="GVJ30" s="28"/>
      <c r="GVK30" s="28"/>
      <c r="GVL30" s="28"/>
      <c r="GVM30" s="28"/>
      <c r="GVN30" s="28"/>
      <c r="GVO30" s="28"/>
      <c r="GVP30" s="28"/>
      <c r="GVQ30" s="28"/>
      <c r="GVR30" s="28"/>
      <c r="GVS30" s="28"/>
      <c r="GVT30" s="28"/>
      <c r="GVU30" s="28"/>
      <c r="GVV30" s="28"/>
      <c r="GVW30" s="28"/>
      <c r="GVX30" s="28"/>
      <c r="GVY30" s="28"/>
      <c r="GVZ30" s="28"/>
      <c r="GWA30" s="28"/>
      <c r="GWB30" s="28"/>
      <c r="GWC30" s="28"/>
      <c r="GWD30" s="28"/>
      <c r="GWE30" s="28"/>
      <c r="GWF30" s="28"/>
      <c r="GWG30" s="28"/>
      <c r="GWH30" s="28"/>
      <c r="GWI30" s="28"/>
      <c r="GWJ30" s="28"/>
      <c r="GWK30" s="28"/>
      <c r="GWL30" s="28"/>
      <c r="GWM30" s="28"/>
      <c r="GWN30" s="28"/>
      <c r="GWO30" s="28"/>
      <c r="GWP30" s="28"/>
      <c r="GWQ30" s="28"/>
      <c r="GWR30" s="28"/>
      <c r="GWS30" s="28"/>
      <c r="GWT30" s="28"/>
      <c r="GWU30" s="28"/>
      <c r="GWV30" s="28"/>
      <c r="GWW30" s="28"/>
      <c r="GWX30" s="28"/>
      <c r="GWY30" s="28"/>
      <c r="GWZ30" s="28"/>
      <c r="GXA30" s="28"/>
      <c r="GXB30" s="28"/>
      <c r="GXC30" s="28"/>
      <c r="GXD30" s="28"/>
      <c r="GXE30" s="28"/>
      <c r="GXF30" s="28"/>
      <c r="GXG30" s="28"/>
      <c r="GXH30" s="28"/>
      <c r="GXI30" s="28"/>
      <c r="GXJ30" s="28"/>
      <c r="GXK30" s="28"/>
      <c r="GXL30" s="28"/>
      <c r="GXM30" s="28"/>
      <c r="GXN30" s="28"/>
      <c r="GXO30" s="28"/>
      <c r="GXP30" s="28"/>
      <c r="GXQ30" s="28"/>
      <c r="GXR30" s="28"/>
      <c r="GXS30" s="28"/>
      <c r="GXT30" s="28"/>
      <c r="GXU30" s="28"/>
      <c r="GXV30" s="28"/>
      <c r="GXW30" s="28"/>
      <c r="GXX30" s="28"/>
      <c r="GXY30" s="28"/>
      <c r="GXZ30" s="28"/>
      <c r="GYA30" s="28"/>
      <c r="GYB30" s="28"/>
      <c r="GYC30" s="28"/>
      <c r="GYD30" s="28"/>
      <c r="GYE30" s="28"/>
      <c r="GYF30" s="28"/>
      <c r="GYG30" s="28"/>
      <c r="GYH30" s="28"/>
      <c r="GYI30" s="28"/>
      <c r="GYJ30" s="28"/>
      <c r="GYK30" s="28"/>
      <c r="GYL30" s="28"/>
      <c r="GYM30" s="28"/>
      <c r="GYN30" s="28"/>
      <c r="GYO30" s="28"/>
      <c r="GYP30" s="28"/>
      <c r="GYQ30" s="28"/>
      <c r="GYR30" s="28"/>
      <c r="GYS30" s="28"/>
      <c r="GYT30" s="28"/>
      <c r="GYU30" s="28"/>
      <c r="GYV30" s="28"/>
      <c r="GYW30" s="28"/>
      <c r="GYX30" s="28"/>
      <c r="GYY30" s="28"/>
      <c r="GYZ30" s="28"/>
      <c r="GZA30" s="28"/>
      <c r="GZB30" s="28"/>
      <c r="GZC30" s="28"/>
      <c r="GZD30" s="28"/>
      <c r="GZE30" s="28"/>
      <c r="GZF30" s="28"/>
      <c r="GZG30" s="28"/>
      <c r="GZH30" s="28"/>
      <c r="GZI30" s="28"/>
      <c r="GZJ30" s="28"/>
      <c r="GZK30" s="28"/>
      <c r="GZL30" s="28"/>
      <c r="GZM30" s="28"/>
      <c r="GZN30" s="28"/>
      <c r="GZO30" s="28"/>
      <c r="GZP30" s="28"/>
      <c r="GZQ30" s="28"/>
      <c r="GZR30" s="28"/>
      <c r="GZS30" s="28"/>
      <c r="GZT30" s="28"/>
      <c r="GZU30" s="28"/>
      <c r="GZV30" s="28"/>
      <c r="GZW30" s="28"/>
      <c r="GZX30" s="28"/>
      <c r="GZY30" s="28"/>
      <c r="GZZ30" s="28"/>
      <c r="HAA30" s="28"/>
      <c r="HAB30" s="28"/>
      <c r="HAC30" s="28"/>
      <c r="HAD30" s="28"/>
      <c r="HAE30" s="28"/>
      <c r="HAF30" s="28"/>
      <c r="HAG30" s="28"/>
      <c r="HAH30" s="28"/>
      <c r="HAI30" s="28"/>
      <c r="HAJ30" s="28"/>
      <c r="HAK30" s="28"/>
      <c r="HAL30" s="28"/>
      <c r="HAM30" s="28"/>
      <c r="HAN30" s="28"/>
      <c r="HAO30" s="28"/>
      <c r="HAP30" s="28"/>
      <c r="HAQ30" s="28"/>
      <c r="HAR30" s="28"/>
      <c r="HAS30" s="28"/>
      <c r="HAT30" s="28"/>
      <c r="HAU30" s="28"/>
      <c r="HAV30" s="28"/>
      <c r="HAW30" s="28"/>
      <c r="HAX30" s="28"/>
      <c r="HAY30" s="28"/>
      <c r="HAZ30" s="28"/>
      <c r="HBA30" s="28"/>
      <c r="HBB30" s="28"/>
      <c r="HBC30" s="28"/>
      <c r="HBD30" s="28"/>
      <c r="HBE30" s="28"/>
      <c r="HBF30" s="28"/>
      <c r="HBG30" s="28"/>
      <c r="HBH30" s="28"/>
      <c r="HBI30" s="28"/>
      <c r="HBJ30" s="28"/>
      <c r="HBK30" s="28"/>
      <c r="HBL30" s="28"/>
      <c r="HBM30" s="28"/>
      <c r="HBN30" s="28"/>
      <c r="HBO30" s="28"/>
      <c r="HBP30" s="28"/>
      <c r="HBQ30" s="28"/>
      <c r="HBR30" s="28"/>
      <c r="HBS30" s="28"/>
      <c r="HBT30" s="28"/>
      <c r="HBU30" s="28"/>
      <c r="HBV30" s="28"/>
      <c r="HBW30" s="28"/>
      <c r="HBX30" s="28"/>
      <c r="HBY30" s="28"/>
      <c r="HBZ30" s="28"/>
      <c r="HCA30" s="28"/>
      <c r="HCB30" s="28"/>
      <c r="HCC30" s="28"/>
      <c r="HCD30" s="28"/>
      <c r="HCE30" s="28"/>
      <c r="HCF30" s="28"/>
      <c r="HCG30" s="28"/>
      <c r="HCH30" s="28"/>
      <c r="HCI30" s="28"/>
      <c r="HCJ30" s="28"/>
      <c r="HCK30" s="28"/>
      <c r="HCL30" s="28"/>
      <c r="HCM30" s="28"/>
      <c r="HCN30" s="28"/>
      <c r="HCO30" s="28"/>
      <c r="HCP30" s="28"/>
      <c r="HCQ30" s="28"/>
      <c r="HCR30" s="28"/>
      <c r="HCS30" s="28"/>
      <c r="HCT30" s="28"/>
      <c r="HCU30" s="28"/>
      <c r="HCV30" s="28"/>
      <c r="HCW30" s="28"/>
      <c r="HCX30" s="28"/>
      <c r="HCY30" s="28"/>
      <c r="HCZ30" s="28"/>
      <c r="HDA30" s="28"/>
      <c r="HDB30" s="28"/>
      <c r="HDC30" s="28"/>
      <c r="HDD30" s="28"/>
      <c r="HDE30" s="28"/>
      <c r="HDF30" s="28"/>
      <c r="HDG30" s="28"/>
      <c r="HDH30" s="28"/>
      <c r="HDI30" s="28"/>
      <c r="HDJ30" s="28"/>
      <c r="HDK30" s="28"/>
      <c r="HDL30" s="28"/>
      <c r="HDM30" s="28"/>
      <c r="HDN30" s="28"/>
      <c r="HDO30" s="28"/>
      <c r="HDP30" s="28"/>
      <c r="HDQ30" s="28"/>
      <c r="HDR30" s="28"/>
      <c r="HDS30" s="28"/>
      <c r="HDT30" s="28"/>
      <c r="HDU30" s="28"/>
      <c r="HDV30" s="28"/>
      <c r="HDW30" s="28"/>
      <c r="HDX30" s="28"/>
      <c r="HDY30" s="28"/>
      <c r="HDZ30" s="28"/>
      <c r="HEA30" s="28"/>
      <c r="HEB30" s="28"/>
      <c r="HEC30" s="28"/>
      <c r="HED30" s="28"/>
      <c r="HEE30" s="28"/>
      <c r="HEF30" s="28"/>
      <c r="HEG30" s="28"/>
      <c r="HEH30" s="28"/>
      <c r="HEI30" s="28"/>
      <c r="HEJ30" s="28"/>
      <c r="HEK30" s="28"/>
      <c r="HEL30" s="28"/>
      <c r="HEM30" s="28"/>
      <c r="HEN30" s="28"/>
      <c r="HEO30" s="28"/>
      <c r="HEP30" s="28"/>
      <c r="HEQ30" s="28"/>
      <c r="HER30" s="28"/>
      <c r="HES30" s="28"/>
      <c r="HET30" s="28"/>
      <c r="HEU30" s="28"/>
      <c r="HEV30" s="28"/>
      <c r="HEW30" s="28"/>
      <c r="HEX30" s="28"/>
      <c r="HEY30" s="28"/>
      <c r="HEZ30" s="28"/>
      <c r="HFA30" s="28"/>
      <c r="HFB30" s="28"/>
      <c r="HFC30" s="28"/>
      <c r="HFD30" s="28"/>
      <c r="HFE30" s="28"/>
      <c r="HFF30" s="28"/>
      <c r="HFG30" s="28"/>
      <c r="HFH30" s="28"/>
      <c r="HFI30" s="28"/>
      <c r="HFJ30" s="28"/>
      <c r="HFK30" s="28"/>
      <c r="HFL30" s="28"/>
      <c r="HFM30" s="28"/>
      <c r="HFN30" s="28"/>
      <c r="HFO30" s="28"/>
      <c r="HFP30" s="28"/>
      <c r="HFQ30" s="28"/>
      <c r="HFR30" s="28"/>
      <c r="HFS30" s="28"/>
      <c r="HFT30" s="28"/>
      <c r="HFU30" s="28"/>
      <c r="HFV30" s="28"/>
      <c r="HFW30" s="28"/>
      <c r="HFX30" s="28"/>
      <c r="HFY30" s="28"/>
      <c r="HFZ30" s="28"/>
      <c r="HGA30" s="28"/>
      <c r="HGB30" s="28"/>
      <c r="HGC30" s="28"/>
      <c r="HGD30" s="28"/>
      <c r="HGE30" s="28"/>
      <c r="HGF30" s="28"/>
      <c r="HGG30" s="28"/>
      <c r="HGH30" s="28"/>
      <c r="HGI30" s="28"/>
      <c r="HGJ30" s="28"/>
      <c r="HGK30" s="28"/>
      <c r="HGL30" s="28"/>
      <c r="HGM30" s="28"/>
      <c r="HGN30" s="28"/>
      <c r="HGO30" s="28"/>
      <c r="HGP30" s="28"/>
      <c r="HGQ30" s="28"/>
      <c r="HGR30" s="28"/>
      <c r="HGS30" s="28"/>
      <c r="HGT30" s="28"/>
      <c r="HGU30" s="28"/>
      <c r="HGV30" s="28"/>
      <c r="HGW30" s="28"/>
      <c r="HGX30" s="28"/>
      <c r="HGY30" s="28"/>
      <c r="HGZ30" s="28"/>
      <c r="HHA30" s="28"/>
      <c r="HHB30" s="28"/>
      <c r="HHC30" s="28"/>
      <c r="HHD30" s="28"/>
      <c r="HHE30" s="28"/>
      <c r="HHF30" s="28"/>
      <c r="HHG30" s="28"/>
      <c r="HHH30" s="28"/>
      <c r="HHI30" s="28"/>
      <c r="HHJ30" s="28"/>
      <c r="HHK30" s="28"/>
      <c r="HHL30" s="28"/>
      <c r="HHM30" s="28"/>
      <c r="HHN30" s="28"/>
      <c r="HHO30" s="28"/>
      <c r="HHP30" s="28"/>
      <c r="HHQ30" s="28"/>
      <c r="HHR30" s="28"/>
      <c r="HHS30" s="28"/>
      <c r="HHT30" s="28"/>
      <c r="HHU30" s="28"/>
      <c r="HHV30" s="28"/>
      <c r="HHW30" s="28"/>
      <c r="HHX30" s="28"/>
      <c r="HHY30" s="28"/>
      <c r="HHZ30" s="28"/>
      <c r="HIA30" s="28"/>
      <c r="HIB30" s="28"/>
      <c r="HIC30" s="28"/>
      <c r="HID30" s="28"/>
      <c r="HIE30" s="28"/>
      <c r="HIF30" s="28"/>
      <c r="HIG30" s="28"/>
      <c r="HIH30" s="28"/>
      <c r="HII30" s="28"/>
      <c r="HIJ30" s="28"/>
      <c r="HIK30" s="28"/>
      <c r="HIL30" s="28"/>
      <c r="HIM30" s="28"/>
      <c r="HIN30" s="28"/>
      <c r="HIO30" s="28"/>
      <c r="HIP30" s="28"/>
      <c r="HIQ30" s="28"/>
      <c r="HIR30" s="28"/>
      <c r="HIS30" s="28"/>
      <c r="HIT30" s="28"/>
      <c r="HIU30" s="28"/>
      <c r="HIV30" s="28"/>
      <c r="HIW30" s="28"/>
      <c r="HIX30" s="28"/>
      <c r="HIY30" s="28"/>
      <c r="HIZ30" s="28"/>
      <c r="HJA30" s="28"/>
      <c r="HJB30" s="28"/>
      <c r="HJC30" s="28"/>
      <c r="HJD30" s="28"/>
      <c r="HJE30" s="28"/>
      <c r="HJF30" s="28"/>
      <c r="HJG30" s="28"/>
      <c r="HJH30" s="28"/>
      <c r="HJI30" s="28"/>
      <c r="HJJ30" s="28"/>
      <c r="HJK30" s="28"/>
      <c r="HJL30" s="28"/>
      <c r="HJM30" s="28"/>
      <c r="HJN30" s="28"/>
      <c r="HJO30" s="28"/>
      <c r="HJP30" s="28"/>
      <c r="HJQ30" s="28"/>
      <c r="HJR30" s="28"/>
      <c r="HJS30" s="28"/>
      <c r="HJT30" s="28"/>
      <c r="HJU30" s="28"/>
      <c r="HJV30" s="28"/>
      <c r="HJW30" s="28"/>
      <c r="HJX30" s="28"/>
      <c r="HJY30" s="28"/>
      <c r="HJZ30" s="28"/>
      <c r="HKA30" s="28"/>
      <c r="HKB30" s="28"/>
      <c r="HKC30" s="28"/>
      <c r="HKD30" s="28"/>
      <c r="HKE30" s="28"/>
      <c r="HKF30" s="28"/>
      <c r="HKG30" s="28"/>
      <c r="HKH30" s="28"/>
      <c r="HKI30" s="28"/>
      <c r="HKJ30" s="28"/>
      <c r="HKK30" s="28"/>
      <c r="HKL30" s="28"/>
      <c r="HKM30" s="28"/>
      <c r="HKN30" s="28"/>
      <c r="HKO30" s="28"/>
      <c r="HKP30" s="28"/>
      <c r="HKQ30" s="28"/>
      <c r="HKR30" s="28"/>
      <c r="HKS30" s="28"/>
      <c r="HKT30" s="28"/>
      <c r="HKU30" s="28"/>
      <c r="HKV30" s="28"/>
      <c r="HKW30" s="28"/>
      <c r="HKX30" s="28"/>
      <c r="HKY30" s="28"/>
      <c r="HKZ30" s="28"/>
      <c r="HLA30" s="28"/>
      <c r="HLB30" s="28"/>
      <c r="HLC30" s="28"/>
      <c r="HLD30" s="28"/>
      <c r="HLE30" s="28"/>
      <c r="HLF30" s="28"/>
      <c r="HLG30" s="28"/>
      <c r="HLH30" s="28"/>
      <c r="HLI30" s="28"/>
      <c r="HLJ30" s="28"/>
      <c r="HLK30" s="28"/>
      <c r="HLL30" s="28"/>
      <c r="HLM30" s="28"/>
      <c r="HLN30" s="28"/>
      <c r="HLO30" s="28"/>
      <c r="HLP30" s="28"/>
      <c r="HLQ30" s="28"/>
      <c r="HLR30" s="28"/>
      <c r="HLS30" s="28"/>
      <c r="HLT30" s="28"/>
      <c r="HLU30" s="28"/>
      <c r="HLV30" s="28"/>
      <c r="HLW30" s="28"/>
      <c r="HLX30" s="28"/>
      <c r="HLY30" s="28"/>
      <c r="HLZ30" s="28"/>
      <c r="HMA30" s="28"/>
      <c r="HMB30" s="28"/>
      <c r="HMC30" s="28"/>
      <c r="HMD30" s="28"/>
      <c r="HME30" s="28"/>
      <c r="HMF30" s="28"/>
      <c r="HMG30" s="28"/>
      <c r="HMH30" s="28"/>
      <c r="HMI30" s="28"/>
      <c r="HMJ30" s="28"/>
      <c r="HMK30" s="28"/>
      <c r="HML30" s="28"/>
      <c r="HMM30" s="28"/>
      <c r="HMN30" s="28"/>
      <c r="HMO30" s="28"/>
      <c r="HMP30" s="28"/>
      <c r="HMQ30" s="28"/>
      <c r="HMR30" s="28"/>
      <c r="HMS30" s="28"/>
      <c r="HMT30" s="28"/>
      <c r="HMU30" s="28"/>
      <c r="HMV30" s="28"/>
      <c r="HMW30" s="28"/>
      <c r="HMX30" s="28"/>
      <c r="HMY30" s="28"/>
      <c r="HMZ30" s="28"/>
      <c r="HNA30" s="28"/>
      <c r="HNB30" s="28"/>
      <c r="HNC30" s="28"/>
      <c r="HND30" s="28"/>
      <c r="HNE30" s="28"/>
      <c r="HNF30" s="28"/>
      <c r="HNG30" s="28"/>
      <c r="HNH30" s="28"/>
      <c r="HNI30" s="28"/>
      <c r="HNJ30" s="28"/>
      <c r="HNK30" s="28"/>
      <c r="HNL30" s="28"/>
      <c r="HNM30" s="28"/>
      <c r="HNN30" s="28"/>
      <c r="HNO30" s="28"/>
      <c r="HNP30" s="28"/>
      <c r="HNQ30" s="28"/>
      <c r="HNR30" s="28"/>
      <c r="HNS30" s="28"/>
      <c r="HNT30" s="28"/>
      <c r="HNU30" s="28"/>
      <c r="HNV30" s="28"/>
      <c r="HNW30" s="28"/>
      <c r="HNX30" s="28"/>
      <c r="HNY30" s="28"/>
      <c r="HNZ30" s="28"/>
      <c r="HOA30" s="28"/>
      <c r="HOB30" s="28"/>
      <c r="HOC30" s="28"/>
      <c r="HOD30" s="28"/>
      <c r="HOE30" s="28"/>
      <c r="HOF30" s="28"/>
      <c r="HOG30" s="28"/>
      <c r="HOH30" s="28"/>
      <c r="HOI30" s="28"/>
      <c r="HOJ30" s="28"/>
      <c r="HOK30" s="28"/>
      <c r="HOL30" s="28"/>
      <c r="HOM30" s="28"/>
      <c r="HON30" s="28"/>
      <c r="HOO30" s="28"/>
      <c r="HOP30" s="28"/>
      <c r="HOQ30" s="28"/>
      <c r="HOR30" s="28"/>
      <c r="HOS30" s="28"/>
      <c r="HOT30" s="28"/>
      <c r="HOU30" s="28"/>
      <c r="HOV30" s="28"/>
      <c r="HOW30" s="28"/>
      <c r="HOX30" s="28"/>
      <c r="HOY30" s="28"/>
      <c r="HOZ30" s="28"/>
      <c r="HPA30" s="28"/>
      <c r="HPB30" s="28"/>
      <c r="HPC30" s="28"/>
      <c r="HPD30" s="28"/>
      <c r="HPE30" s="28"/>
      <c r="HPF30" s="28"/>
      <c r="HPG30" s="28"/>
      <c r="HPH30" s="28"/>
      <c r="HPI30" s="28"/>
      <c r="HPJ30" s="28"/>
      <c r="HPK30" s="28"/>
      <c r="HPL30" s="28"/>
      <c r="HPM30" s="28"/>
      <c r="HPN30" s="28"/>
      <c r="HPO30" s="28"/>
      <c r="HPP30" s="28"/>
      <c r="HPQ30" s="28"/>
      <c r="HPR30" s="28"/>
      <c r="HPS30" s="28"/>
      <c r="HPT30" s="28"/>
      <c r="HPU30" s="28"/>
      <c r="HPV30" s="28"/>
      <c r="HPW30" s="28"/>
      <c r="HPX30" s="28"/>
      <c r="HPY30" s="28"/>
      <c r="HPZ30" s="28"/>
      <c r="HQA30" s="28"/>
      <c r="HQB30" s="28"/>
      <c r="HQC30" s="28"/>
      <c r="HQD30" s="28"/>
      <c r="HQE30" s="28"/>
      <c r="HQF30" s="28"/>
      <c r="HQG30" s="28"/>
      <c r="HQH30" s="28"/>
      <c r="HQI30" s="28"/>
      <c r="HQJ30" s="28"/>
      <c r="HQK30" s="28"/>
      <c r="HQL30" s="28"/>
      <c r="HQM30" s="28"/>
      <c r="HQN30" s="28"/>
      <c r="HQO30" s="28"/>
      <c r="HQP30" s="28"/>
      <c r="HQQ30" s="28"/>
      <c r="HQR30" s="28"/>
      <c r="HQS30" s="28"/>
      <c r="HQT30" s="28"/>
      <c r="HQU30" s="28"/>
      <c r="HQV30" s="28"/>
      <c r="HQW30" s="28"/>
      <c r="HQX30" s="28"/>
      <c r="HQY30" s="28"/>
      <c r="HQZ30" s="28"/>
      <c r="HRA30" s="28"/>
      <c r="HRB30" s="28"/>
      <c r="HRC30" s="28"/>
      <c r="HRD30" s="28"/>
      <c r="HRE30" s="28"/>
      <c r="HRF30" s="28"/>
      <c r="HRG30" s="28"/>
      <c r="HRH30" s="28"/>
      <c r="HRI30" s="28"/>
      <c r="HRJ30" s="28"/>
      <c r="HRK30" s="28"/>
      <c r="HRL30" s="28"/>
      <c r="HRM30" s="28"/>
      <c r="HRN30" s="28"/>
      <c r="HRO30" s="28"/>
      <c r="HRP30" s="28"/>
      <c r="HRQ30" s="28"/>
      <c r="HRR30" s="28"/>
      <c r="HRS30" s="28"/>
      <c r="HRT30" s="28"/>
      <c r="HRU30" s="28"/>
      <c r="HRV30" s="28"/>
      <c r="HRW30" s="28"/>
      <c r="HRX30" s="28"/>
      <c r="HRY30" s="28"/>
      <c r="HRZ30" s="28"/>
      <c r="HSA30" s="28"/>
      <c r="HSB30" s="28"/>
      <c r="HSC30" s="28"/>
      <c r="HSD30" s="28"/>
      <c r="HSE30" s="28"/>
      <c r="HSF30" s="28"/>
      <c r="HSG30" s="28"/>
      <c r="HSH30" s="28"/>
      <c r="HSI30" s="28"/>
      <c r="HSJ30" s="28"/>
      <c r="HSK30" s="28"/>
      <c r="HSL30" s="28"/>
      <c r="HSM30" s="28"/>
      <c r="HSN30" s="28"/>
      <c r="HSO30" s="28"/>
      <c r="HSP30" s="28"/>
      <c r="HSQ30" s="28"/>
      <c r="HSR30" s="28"/>
      <c r="HSS30" s="28"/>
      <c r="HST30" s="28"/>
      <c r="HSU30" s="28"/>
      <c r="HSV30" s="28"/>
      <c r="HSW30" s="28"/>
      <c r="HSX30" s="28"/>
      <c r="HSY30" s="28"/>
      <c r="HSZ30" s="28"/>
      <c r="HTA30" s="28"/>
      <c r="HTB30" s="28"/>
      <c r="HTC30" s="28"/>
      <c r="HTD30" s="28"/>
      <c r="HTE30" s="28"/>
      <c r="HTF30" s="28"/>
      <c r="HTG30" s="28"/>
      <c r="HTH30" s="28"/>
      <c r="HTI30" s="28"/>
      <c r="HTJ30" s="28"/>
      <c r="HTK30" s="28"/>
      <c r="HTL30" s="28"/>
      <c r="HTM30" s="28"/>
      <c r="HTN30" s="28"/>
      <c r="HTO30" s="28"/>
      <c r="HTP30" s="28"/>
      <c r="HTQ30" s="28"/>
      <c r="HTR30" s="28"/>
      <c r="HTS30" s="28"/>
      <c r="HTT30" s="28"/>
      <c r="HTU30" s="28"/>
      <c r="HTV30" s="28"/>
      <c r="HTW30" s="28"/>
      <c r="HTX30" s="28"/>
      <c r="HTY30" s="28"/>
      <c r="HTZ30" s="28"/>
      <c r="HUA30" s="28"/>
      <c r="HUB30" s="28"/>
      <c r="HUC30" s="28"/>
      <c r="HUD30" s="28"/>
      <c r="HUE30" s="28"/>
      <c r="HUF30" s="28"/>
      <c r="HUG30" s="28"/>
      <c r="HUH30" s="28"/>
      <c r="HUI30" s="28"/>
      <c r="HUJ30" s="28"/>
      <c r="HUK30" s="28"/>
      <c r="HUL30" s="28"/>
      <c r="HUM30" s="28"/>
      <c r="HUN30" s="28"/>
      <c r="HUO30" s="28"/>
      <c r="HUP30" s="28"/>
      <c r="HUQ30" s="28"/>
      <c r="HUR30" s="28"/>
      <c r="HUS30" s="28"/>
      <c r="HUT30" s="28"/>
      <c r="HUU30" s="28"/>
      <c r="HUV30" s="28"/>
      <c r="HUW30" s="28"/>
      <c r="HUX30" s="28"/>
      <c r="HUY30" s="28"/>
      <c r="HUZ30" s="28"/>
      <c r="HVA30" s="28"/>
      <c r="HVB30" s="28"/>
      <c r="HVC30" s="28"/>
      <c r="HVD30" s="28"/>
      <c r="HVE30" s="28"/>
      <c r="HVF30" s="28"/>
      <c r="HVG30" s="28"/>
      <c r="HVH30" s="28"/>
      <c r="HVI30" s="28"/>
      <c r="HVJ30" s="28"/>
      <c r="HVK30" s="28"/>
      <c r="HVL30" s="28"/>
      <c r="HVM30" s="28"/>
      <c r="HVN30" s="28"/>
      <c r="HVO30" s="28"/>
      <c r="HVP30" s="28"/>
      <c r="HVQ30" s="28"/>
      <c r="HVR30" s="28"/>
      <c r="HVS30" s="28"/>
      <c r="HVT30" s="28"/>
      <c r="HVU30" s="28"/>
      <c r="HVV30" s="28"/>
      <c r="HVW30" s="28"/>
      <c r="HVX30" s="28"/>
      <c r="HVY30" s="28"/>
      <c r="HVZ30" s="28"/>
      <c r="HWA30" s="28"/>
      <c r="HWB30" s="28"/>
      <c r="HWC30" s="28"/>
      <c r="HWD30" s="28"/>
      <c r="HWE30" s="28"/>
      <c r="HWF30" s="28"/>
      <c r="HWG30" s="28"/>
      <c r="HWH30" s="28"/>
      <c r="HWI30" s="28"/>
      <c r="HWJ30" s="28"/>
      <c r="HWK30" s="28"/>
      <c r="HWL30" s="28"/>
      <c r="HWM30" s="28"/>
      <c r="HWN30" s="28"/>
      <c r="HWO30" s="28"/>
      <c r="HWP30" s="28"/>
      <c r="HWQ30" s="28"/>
      <c r="HWR30" s="28"/>
      <c r="HWS30" s="28"/>
      <c r="HWT30" s="28"/>
      <c r="HWU30" s="28"/>
      <c r="HWV30" s="28"/>
      <c r="HWW30" s="28"/>
      <c r="HWX30" s="28"/>
      <c r="HWY30" s="28"/>
      <c r="HWZ30" s="28"/>
      <c r="HXA30" s="28"/>
      <c r="HXB30" s="28"/>
      <c r="HXC30" s="28"/>
      <c r="HXD30" s="28"/>
      <c r="HXE30" s="28"/>
      <c r="HXF30" s="28"/>
      <c r="HXG30" s="28"/>
      <c r="HXH30" s="28"/>
      <c r="HXI30" s="28"/>
      <c r="HXJ30" s="28"/>
      <c r="HXK30" s="28"/>
      <c r="HXL30" s="28"/>
      <c r="HXM30" s="28"/>
      <c r="HXN30" s="28"/>
      <c r="HXO30" s="28"/>
      <c r="HXP30" s="28"/>
      <c r="HXQ30" s="28"/>
      <c r="HXR30" s="28"/>
      <c r="HXS30" s="28"/>
      <c r="HXT30" s="28"/>
      <c r="HXU30" s="28"/>
      <c r="HXV30" s="28"/>
      <c r="HXW30" s="28"/>
      <c r="HXX30" s="28"/>
      <c r="HXY30" s="28"/>
      <c r="HXZ30" s="28"/>
      <c r="HYA30" s="28"/>
      <c r="HYB30" s="28"/>
      <c r="HYC30" s="28"/>
      <c r="HYD30" s="28"/>
      <c r="HYE30" s="28"/>
      <c r="HYF30" s="28"/>
      <c r="HYG30" s="28"/>
      <c r="HYH30" s="28"/>
      <c r="HYI30" s="28"/>
      <c r="HYJ30" s="28"/>
      <c r="HYK30" s="28"/>
      <c r="HYL30" s="28"/>
      <c r="HYM30" s="28"/>
      <c r="HYN30" s="28"/>
      <c r="HYO30" s="28"/>
      <c r="HYP30" s="28"/>
      <c r="HYQ30" s="28"/>
      <c r="HYR30" s="28"/>
      <c r="HYS30" s="28"/>
      <c r="HYT30" s="28"/>
      <c r="HYU30" s="28"/>
      <c r="HYV30" s="28"/>
      <c r="HYW30" s="28"/>
      <c r="HYX30" s="28"/>
      <c r="HYY30" s="28"/>
      <c r="HYZ30" s="28"/>
      <c r="HZA30" s="28"/>
      <c r="HZB30" s="28"/>
      <c r="HZC30" s="28"/>
      <c r="HZD30" s="28"/>
      <c r="HZE30" s="28"/>
      <c r="HZF30" s="28"/>
      <c r="HZG30" s="28"/>
      <c r="HZH30" s="28"/>
      <c r="HZI30" s="28"/>
      <c r="HZJ30" s="28"/>
      <c r="HZK30" s="28"/>
      <c r="HZL30" s="28"/>
      <c r="HZM30" s="28"/>
      <c r="HZN30" s="28"/>
      <c r="HZO30" s="28"/>
      <c r="HZP30" s="28"/>
      <c r="HZQ30" s="28"/>
      <c r="HZR30" s="28"/>
      <c r="HZS30" s="28"/>
      <c r="HZT30" s="28"/>
      <c r="HZU30" s="28"/>
      <c r="HZV30" s="28"/>
      <c r="HZW30" s="28"/>
      <c r="HZX30" s="28"/>
      <c r="HZY30" s="28"/>
      <c r="HZZ30" s="28"/>
      <c r="IAA30" s="28"/>
      <c r="IAB30" s="28"/>
      <c r="IAC30" s="28"/>
      <c r="IAD30" s="28"/>
      <c r="IAE30" s="28"/>
      <c r="IAF30" s="28"/>
      <c r="IAG30" s="28"/>
      <c r="IAH30" s="28"/>
      <c r="IAI30" s="28"/>
      <c r="IAJ30" s="28"/>
      <c r="IAK30" s="28"/>
      <c r="IAL30" s="28"/>
      <c r="IAM30" s="28"/>
      <c r="IAN30" s="28"/>
      <c r="IAO30" s="28"/>
      <c r="IAP30" s="28"/>
      <c r="IAQ30" s="28"/>
      <c r="IAR30" s="28"/>
      <c r="IAS30" s="28"/>
      <c r="IAT30" s="28"/>
      <c r="IAU30" s="28"/>
      <c r="IAV30" s="28"/>
      <c r="IAW30" s="28"/>
      <c r="IAX30" s="28"/>
      <c r="IAY30" s="28"/>
      <c r="IAZ30" s="28"/>
      <c r="IBA30" s="28"/>
      <c r="IBB30" s="28"/>
      <c r="IBC30" s="28"/>
      <c r="IBD30" s="28"/>
      <c r="IBE30" s="28"/>
      <c r="IBF30" s="28"/>
      <c r="IBG30" s="28"/>
      <c r="IBH30" s="28"/>
      <c r="IBI30" s="28"/>
      <c r="IBJ30" s="28"/>
      <c r="IBK30" s="28"/>
      <c r="IBL30" s="28"/>
      <c r="IBM30" s="28"/>
      <c r="IBN30" s="28"/>
      <c r="IBO30" s="28"/>
      <c r="IBP30" s="28"/>
      <c r="IBQ30" s="28"/>
      <c r="IBR30" s="28"/>
      <c r="IBS30" s="28"/>
      <c r="IBT30" s="28"/>
      <c r="IBU30" s="28"/>
      <c r="IBV30" s="28"/>
      <c r="IBW30" s="28"/>
      <c r="IBX30" s="28"/>
      <c r="IBY30" s="28"/>
      <c r="IBZ30" s="28"/>
      <c r="ICA30" s="28"/>
      <c r="ICB30" s="28"/>
      <c r="ICC30" s="28"/>
      <c r="ICD30" s="28"/>
      <c r="ICE30" s="28"/>
      <c r="ICF30" s="28"/>
      <c r="ICG30" s="28"/>
      <c r="ICH30" s="28"/>
      <c r="ICI30" s="28"/>
      <c r="ICJ30" s="28"/>
      <c r="ICK30" s="28"/>
      <c r="ICL30" s="28"/>
      <c r="ICM30" s="28"/>
      <c r="ICN30" s="28"/>
      <c r="ICO30" s="28"/>
      <c r="ICP30" s="28"/>
      <c r="ICQ30" s="28"/>
      <c r="ICR30" s="28"/>
      <c r="ICS30" s="28"/>
      <c r="ICT30" s="28"/>
      <c r="ICU30" s="28"/>
      <c r="ICV30" s="28"/>
      <c r="ICW30" s="28"/>
      <c r="ICX30" s="28"/>
      <c r="ICY30" s="28"/>
      <c r="ICZ30" s="28"/>
      <c r="IDA30" s="28"/>
      <c r="IDB30" s="28"/>
      <c r="IDC30" s="28"/>
      <c r="IDD30" s="28"/>
      <c r="IDE30" s="28"/>
      <c r="IDF30" s="28"/>
      <c r="IDG30" s="28"/>
      <c r="IDH30" s="28"/>
      <c r="IDI30" s="28"/>
      <c r="IDJ30" s="28"/>
      <c r="IDK30" s="28"/>
      <c r="IDL30" s="28"/>
      <c r="IDM30" s="28"/>
      <c r="IDN30" s="28"/>
      <c r="IDO30" s="28"/>
      <c r="IDP30" s="28"/>
      <c r="IDQ30" s="28"/>
      <c r="IDR30" s="28"/>
      <c r="IDS30" s="28"/>
      <c r="IDT30" s="28"/>
      <c r="IDU30" s="28"/>
      <c r="IDV30" s="28"/>
      <c r="IDW30" s="28"/>
      <c r="IDX30" s="28"/>
      <c r="IDY30" s="28"/>
      <c r="IDZ30" s="28"/>
      <c r="IEA30" s="28"/>
      <c r="IEB30" s="28"/>
      <c r="IEC30" s="28"/>
      <c r="IED30" s="28"/>
      <c r="IEE30" s="28"/>
      <c r="IEF30" s="28"/>
      <c r="IEG30" s="28"/>
      <c r="IEH30" s="28"/>
      <c r="IEI30" s="28"/>
      <c r="IEJ30" s="28"/>
      <c r="IEK30" s="28"/>
      <c r="IEL30" s="28"/>
      <c r="IEM30" s="28"/>
      <c r="IEN30" s="28"/>
      <c r="IEO30" s="28"/>
      <c r="IEP30" s="28"/>
      <c r="IEQ30" s="28"/>
      <c r="IER30" s="28"/>
      <c r="IES30" s="28"/>
      <c r="IET30" s="28"/>
      <c r="IEU30" s="28"/>
      <c r="IEV30" s="28"/>
      <c r="IEW30" s="28"/>
      <c r="IEX30" s="28"/>
      <c r="IEY30" s="28"/>
      <c r="IEZ30" s="28"/>
      <c r="IFA30" s="28"/>
      <c r="IFB30" s="28"/>
      <c r="IFC30" s="28"/>
      <c r="IFD30" s="28"/>
      <c r="IFE30" s="28"/>
      <c r="IFF30" s="28"/>
      <c r="IFG30" s="28"/>
      <c r="IFH30" s="28"/>
      <c r="IFI30" s="28"/>
      <c r="IFJ30" s="28"/>
      <c r="IFK30" s="28"/>
      <c r="IFL30" s="28"/>
      <c r="IFM30" s="28"/>
      <c r="IFN30" s="28"/>
      <c r="IFO30" s="28"/>
      <c r="IFP30" s="28"/>
      <c r="IFQ30" s="28"/>
      <c r="IFR30" s="28"/>
      <c r="IFS30" s="28"/>
      <c r="IFT30" s="28"/>
      <c r="IFU30" s="28"/>
      <c r="IFV30" s="28"/>
      <c r="IFW30" s="28"/>
      <c r="IFX30" s="28"/>
      <c r="IFY30" s="28"/>
      <c r="IFZ30" s="28"/>
      <c r="IGA30" s="28"/>
      <c r="IGB30" s="28"/>
      <c r="IGC30" s="28"/>
      <c r="IGD30" s="28"/>
      <c r="IGE30" s="28"/>
      <c r="IGF30" s="28"/>
      <c r="IGG30" s="28"/>
      <c r="IGH30" s="28"/>
      <c r="IGI30" s="28"/>
      <c r="IGJ30" s="28"/>
      <c r="IGK30" s="28"/>
      <c r="IGL30" s="28"/>
      <c r="IGM30" s="28"/>
      <c r="IGN30" s="28"/>
      <c r="IGO30" s="28"/>
      <c r="IGP30" s="28"/>
      <c r="IGQ30" s="28"/>
      <c r="IGR30" s="28"/>
      <c r="IGS30" s="28"/>
      <c r="IGT30" s="28"/>
      <c r="IGU30" s="28"/>
      <c r="IGV30" s="28"/>
      <c r="IGW30" s="28"/>
      <c r="IGX30" s="28"/>
      <c r="IGY30" s="28"/>
      <c r="IGZ30" s="28"/>
      <c r="IHA30" s="28"/>
      <c r="IHB30" s="28"/>
      <c r="IHC30" s="28"/>
      <c r="IHD30" s="28"/>
      <c r="IHE30" s="28"/>
      <c r="IHF30" s="28"/>
      <c r="IHG30" s="28"/>
      <c r="IHH30" s="28"/>
      <c r="IHI30" s="28"/>
      <c r="IHJ30" s="28"/>
      <c r="IHK30" s="28"/>
      <c r="IHL30" s="28"/>
      <c r="IHM30" s="28"/>
      <c r="IHN30" s="28"/>
      <c r="IHO30" s="28"/>
      <c r="IHP30" s="28"/>
      <c r="IHQ30" s="28"/>
      <c r="IHR30" s="28"/>
      <c r="IHS30" s="28"/>
      <c r="IHT30" s="28"/>
      <c r="IHU30" s="28"/>
      <c r="IHV30" s="28"/>
      <c r="IHW30" s="28"/>
      <c r="IHX30" s="28"/>
      <c r="IHY30" s="28"/>
      <c r="IHZ30" s="28"/>
      <c r="IIA30" s="28"/>
      <c r="IIB30" s="28"/>
      <c r="IIC30" s="28"/>
      <c r="IID30" s="28"/>
      <c r="IIE30" s="28"/>
      <c r="IIF30" s="28"/>
      <c r="IIG30" s="28"/>
      <c r="IIH30" s="28"/>
      <c r="III30" s="28"/>
      <c r="IIJ30" s="28"/>
      <c r="IIK30" s="28"/>
      <c r="IIL30" s="28"/>
      <c r="IIM30" s="28"/>
      <c r="IIN30" s="28"/>
      <c r="IIO30" s="28"/>
      <c r="IIP30" s="28"/>
      <c r="IIQ30" s="28"/>
      <c r="IIR30" s="28"/>
      <c r="IIS30" s="28"/>
      <c r="IIT30" s="28"/>
      <c r="IIU30" s="28"/>
      <c r="IIV30" s="28"/>
      <c r="IIW30" s="28"/>
      <c r="IIX30" s="28"/>
      <c r="IIY30" s="28"/>
      <c r="IIZ30" s="28"/>
      <c r="IJA30" s="28"/>
      <c r="IJB30" s="28"/>
      <c r="IJC30" s="28"/>
      <c r="IJD30" s="28"/>
      <c r="IJE30" s="28"/>
      <c r="IJF30" s="28"/>
      <c r="IJG30" s="28"/>
      <c r="IJH30" s="28"/>
      <c r="IJI30" s="28"/>
      <c r="IJJ30" s="28"/>
      <c r="IJK30" s="28"/>
      <c r="IJL30" s="28"/>
      <c r="IJM30" s="28"/>
      <c r="IJN30" s="28"/>
      <c r="IJO30" s="28"/>
      <c r="IJP30" s="28"/>
      <c r="IJQ30" s="28"/>
      <c r="IJR30" s="28"/>
      <c r="IJS30" s="28"/>
      <c r="IJT30" s="28"/>
      <c r="IJU30" s="28"/>
      <c r="IJV30" s="28"/>
      <c r="IJW30" s="28"/>
      <c r="IJX30" s="28"/>
      <c r="IJY30" s="28"/>
      <c r="IJZ30" s="28"/>
      <c r="IKA30" s="28"/>
      <c r="IKB30" s="28"/>
      <c r="IKC30" s="28"/>
      <c r="IKD30" s="28"/>
      <c r="IKE30" s="28"/>
      <c r="IKF30" s="28"/>
      <c r="IKG30" s="28"/>
      <c r="IKH30" s="28"/>
      <c r="IKI30" s="28"/>
      <c r="IKJ30" s="28"/>
      <c r="IKK30" s="28"/>
      <c r="IKL30" s="28"/>
      <c r="IKM30" s="28"/>
      <c r="IKN30" s="28"/>
      <c r="IKO30" s="28"/>
      <c r="IKP30" s="28"/>
      <c r="IKQ30" s="28"/>
      <c r="IKR30" s="28"/>
      <c r="IKS30" s="28"/>
      <c r="IKT30" s="28"/>
      <c r="IKU30" s="28"/>
      <c r="IKV30" s="28"/>
      <c r="IKW30" s="28"/>
      <c r="IKX30" s="28"/>
      <c r="IKY30" s="28"/>
      <c r="IKZ30" s="28"/>
      <c r="ILA30" s="28"/>
      <c r="ILB30" s="28"/>
      <c r="ILC30" s="28"/>
      <c r="ILD30" s="28"/>
      <c r="ILE30" s="28"/>
      <c r="ILF30" s="28"/>
      <c r="ILG30" s="28"/>
      <c r="ILH30" s="28"/>
      <c r="ILI30" s="28"/>
      <c r="ILJ30" s="28"/>
      <c r="ILK30" s="28"/>
      <c r="ILL30" s="28"/>
      <c r="ILM30" s="28"/>
      <c r="ILN30" s="28"/>
      <c r="ILO30" s="28"/>
      <c r="ILP30" s="28"/>
      <c r="ILQ30" s="28"/>
      <c r="ILR30" s="28"/>
      <c r="ILS30" s="28"/>
      <c r="ILT30" s="28"/>
      <c r="ILU30" s="28"/>
      <c r="ILV30" s="28"/>
      <c r="ILW30" s="28"/>
      <c r="ILX30" s="28"/>
      <c r="ILY30" s="28"/>
      <c r="ILZ30" s="28"/>
      <c r="IMA30" s="28"/>
      <c r="IMB30" s="28"/>
      <c r="IMC30" s="28"/>
      <c r="IMD30" s="28"/>
      <c r="IME30" s="28"/>
      <c r="IMF30" s="28"/>
      <c r="IMG30" s="28"/>
      <c r="IMH30" s="28"/>
      <c r="IMI30" s="28"/>
      <c r="IMJ30" s="28"/>
      <c r="IMK30" s="28"/>
      <c r="IML30" s="28"/>
      <c r="IMM30" s="28"/>
      <c r="IMN30" s="28"/>
      <c r="IMO30" s="28"/>
      <c r="IMP30" s="28"/>
      <c r="IMQ30" s="28"/>
      <c r="IMR30" s="28"/>
      <c r="IMS30" s="28"/>
      <c r="IMT30" s="28"/>
      <c r="IMU30" s="28"/>
      <c r="IMV30" s="28"/>
      <c r="IMW30" s="28"/>
      <c r="IMX30" s="28"/>
      <c r="IMY30" s="28"/>
      <c r="IMZ30" s="28"/>
      <c r="INA30" s="28"/>
      <c r="INB30" s="28"/>
      <c r="INC30" s="28"/>
      <c r="IND30" s="28"/>
      <c r="INE30" s="28"/>
      <c r="INF30" s="28"/>
      <c r="ING30" s="28"/>
      <c r="INH30" s="28"/>
      <c r="INI30" s="28"/>
      <c r="INJ30" s="28"/>
      <c r="INK30" s="28"/>
      <c r="INL30" s="28"/>
      <c r="INM30" s="28"/>
      <c r="INN30" s="28"/>
      <c r="INO30" s="28"/>
      <c r="INP30" s="28"/>
      <c r="INQ30" s="28"/>
      <c r="INR30" s="28"/>
      <c r="INS30" s="28"/>
      <c r="INT30" s="28"/>
      <c r="INU30" s="28"/>
      <c r="INV30" s="28"/>
      <c r="INW30" s="28"/>
      <c r="INX30" s="28"/>
      <c r="INY30" s="28"/>
      <c r="INZ30" s="28"/>
      <c r="IOA30" s="28"/>
      <c r="IOB30" s="28"/>
      <c r="IOC30" s="28"/>
      <c r="IOD30" s="28"/>
      <c r="IOE30" s="28"/>
      <c r="IOF30" s="28"/>
      <c r="IOG30" s="28"/>
      <c r="IOH30" s="28"/>
      <c r="IOI30" s="28"/>
      <c r="IOJ30" s="28"/>
      <c r="IOK30" s="28"/>
      <c r="IOL30" s="28"/>
      <c r="IOM30" s="28"/>
      <c r="ION30" s="28"/>
      <c r="IOO30" s="28"/>
      <c r="IOP30" s="28"/>
      <c r="IOQ30" s="28"/>
      <c r="IOR30" s="28"/>
      <c r="IOS30" s="28"/>
      <c r="IOT30" s="28"/>
      <c r="IOU30" s="28"/>
      <c r="IOV30" s="28"/>
      <c r="IOW30" s="28"/>
      <c r="IOX30" s="28"/>
      <c r="IOY30" s="28"/>
      <c r="IOZ30" s="28"/>
      <c r="IPA30" s="28"/>
      <c r="IPB30" s="28"/>
      <c r="IPC30" s="28"/>
      <c r="IPD30" s="28"/>
      <c r="IPE30" s="28"/>
      <c r="IPF30" s="28"/>
      <c r="IPG30" s="28"/>
      <c r="IPH30" s="28"/>
      <c r="IPI30" s="28"/>
      <c r="IPJ30" s="28"/>
      <c r="IPK30" s="28"/>
      <c r="IPL30" s="28"/>
      <c r="IPM30" s="28"/>
      <c r="IPN30" s="28"/>
      <c r="IPO30" s="28"/>
      <c r="IPP30" s="28"/>
      <c r="IPQ30" s="28"/>
      <c r="IPR30" s="28"/>
      <c r="IPS30" s="28"/>
      <c r="IPT30" s="28"/>
      <c r="IPU30" s="28"/>
      <c r="IPV30" s="28"/>
      <c r="IPW30" s="28"/>
      <c r="IPX30" s="28"/>
      <c r="IPY30" s="28"/>
      <c r="IPZ30" s="28"/>
      <c r="IQA30" s="28"/>
      <c r="IQB30" s="28"/>
      <c r="IQC30" s="28"/>
      <c r="IQD30" s="28"/>
      <c r="IQE30" s="28"/>
      <c r="IQF30" s="28"/>
      <c r="IQG30" s="28"/>
      <c r="IQH30" s="28"/>
      <c r="IQI30" s="28"/>
      <c r="IQJ30" s="28"/>
      <c r="IQK30" s="28"/>
      <c r="IQL30" s="28"/>
      <c r="IQM30" s="28"/>
      <c r="IQN30" s="28"/>
      <c r="IQO30" s="28"/>
      <c r="IQP30" s="28"/>
      <c r="IQQ30" s="28"/>
      <c r="IQR30" s="28"/>
      <c r="IQS30" s="28"/>
      <c r="IQT30" s="28"/>
      <c r="IQU30" s="28"/>
      <c r="IQV30" s="28"/>
      <c r="IQW30" s="28"/>
      <c r="IQX30" s="28"/>
      <c r="IQY30" s="28"/>
      <c r="IQZ30" s="28"/>
      <c r="IRA30" s="28"/>
      <c r="IRB30" s="28"/>
      <c r="IRC30" s="28"/>
      <c r="IRD30" s="28"/>
      <c r="IRE30" s="28"/>
      <c r="IRF30" s="28"/>
      <c r="IRG30" s="28"/>
      <c r="IRH30" s="28"/>
      <c r="IRI30" s="28"/>
      <c r="IRJ30" s="28"/>
      <c r="IRK30" s="28"/>
      <c r="IRL30" s="28"/>
      <c r="IRM30" s="28"/>
      <c r="IRN30" s="28"/>
      <c r="IRO30" s="28"/>
      <c r="IRP30" s="28"/>
      <c r="IRQ30" s="28"/>
      <c r="IRR30" s="28"/>
      <c r="IRS30" s="28"/>
      <c r="IRT30" s="28"/>
      <c r="IRU30" s="28"/>
      <c r="IRV30" s="28"/>
      <c r="IRW30" s="28"/>
      <c r="IRX30" s="28"/>
      <c r="IRY30" s="28"/>
      <c r="IRZ30" s="28"/>
      <c r="ISA30" s="28"/>
      <c r="ISB30" s="28"/>
      <c r="ISC30" s="28"/>
      <c r="ISD30" s="28"/>
      <c r="ISE30" s="28"/>
      <c r="ISF30" s="28"/>
      <c r="ISG30" s="28"/>
      <c r="ISH30" s="28"/>
      <c r="ISI30" s="28"/>
      <c r="ISJ30" s="28"/>
      <c r="ISK30" s="28"/>
      <c r="ISL30" s="28"/>
      <c r="ISM30" s="28"/>
      <c r="ISN30" s="28"/>
      <c r="ISO30" s="28"/>
      <c r="ISP30" s="28"/>
      <c r="ISQ30" s="28"/>
      <c r="ISR30" s="28"/>
      <c r="ISS30" s="28"/>
      <c r="IST30" s="28"/>
      <c r="ISU30" s="28"/>
      <c r="ISV30" s="28"/>
      <c r="ISW30" s="28"/>
      <c r="ISX30" s="28"/>
      <c r="ISY30" s="28"/>
      <c r="ISZ30" s="28"/>
      <c r="ITA30" s="28"/>
      <c r="ITB30" s="28"/>
      <c r="ITC30" s="28"/>
      <c r="ITD30" s="28"/>
      <c r="ITE30" s="28"/>
      <c r="ITF30" s="28"/>
      <c r="ITG30" s="28"/>
      <c r="ITH30" s="28"/>
      <c r="ITI30" s="28"/>
      <c r="ITJ30" s="28"/>
      <c r="ITK30" s="28"/>
      <c r="ITL30" s="28"/>
      <c r="ITM30" s="28"/>
      <c r="ITN30" s="28"/>
      <c r="ITO30" s="28"/>
      <c r="ITP30" s="28"/>
      <c r="ITQ30" s="28"/>
      <c r="ITR30" s="28"/>
      <c r="ITS30" s="28"/>
      <c r="ITT30" s="28"/>
      <c r="ITU30" s="28"/>
      <c r="ITV30" s="28"/>
      <c r="ITW30" s="28"/>
      <c r="ITX30" s="28"/>
      <c r="ITY30" s="28"/>
      <c r="ITZ30" s="28"/>
      <c r="IUA30" s="28"/>
      <c r="IUB30" s="28"/>
      <c r="IUC30" s="28"/>
      <c r="IUD30" s="28"/>
      <c r="IUE30" s="28"/>
      <c r="IUF30" s="28"/>
      <c r="IUG30" s="28"/>
      <c r="IUH30" s="28"/>
      <c r="IUI30" s="28"/>
      <c r="IUJ30" s="28"/>
      <c r="IUK30" s="28"/>
      <c r="IUL30" s="28"/>
      <c r="IUM30" s="28"/>
      <c r="IUN30" s="28"/>
      <c r="IUO30" s="28"/>
      <c r="IUP30" s="28"/>
      <c r="IUQ30" s="28"/>
      <c r="IUR30" s="28"/>
      <c r="IUS30" s="28"/>
      <c r="IUT30" s="28"/>
      <c r="IUU30" s="28"/>
      <c r="IUV30" s="28"/>
      <c r="IUW30" s="28"/>
      <c r="IUX30" s="28"/>
      <c r="IUY30" s="28"/>
      <c r="IUZ30" s="28"/>
      <c r="IVA30" s="28"/>
      <c r="IVB30" s="28"/>
      <c r="IVC30" s="28"/>
      <c r="IVD30" s="28"/>
      <c r="IVE30" s="28"/>
      <c r="IVF30" s="28"/>
      <c r="IVG30" s="28"/>
      <c r="IVH30" s="28"/>
      <c r="IVI30" s="28"/>
      <c r="IVJ30" s="28"/>
      <c r="IVK30" s="28"/>
      <c r="IVL30" s="28"/>
      <c r="IVM30" s="28"/>
      <c r="IVN30" s="28"/>
      <c r="IVO30" s="28"/>
      <c r="IVP30" s="28"/>
      <c r="IVQ30" s="28"/>
      <c r="IVR30" s="28"/>
      <c r="IVS30" s="28"/>
      <c r="IVT30" s="28"/>
      <c r="IVU30" s="28"/>
      <c r="IVV30" s="28"/>
      <c r="IVW30" s="28"/>
      <c r="IVX30" s="28"/>
      <c r="IVY30" s="28"/>
      <c r="IVZ30" s="28"/>
      <c r="IWA30" s="28"/>
      <c r="IWB30" s="28"/>
      <c r="IWC30" s="28"/>
      <c r="IWD30" s="28"/>
      <c r="IWE30" s="28"/>
      <c r="IWF30" s="28"/>
      <c r="IWG30" s="28"/>
      <c r="IWH30" s="28"/>
      <c r="IWI30" s="28"/>
      <c r="IWJ30" s="28"/>
      <c r="IWK30" s="28"/>
      <c r="IWL30" s="28"/>
      <c r="IWM30" s="28"/>
      <c r="IWN30" s="28"/>
      <c r="IWO30" s="28"/>
      <c r="IWP30" s="28"/>
      <c r="IWQ30" s="28"/>
      <c r="IWR30" s="28"/>
      <c r="IWS30" s="28"/>
      <c r="IWT30" s="28"/>
      <c r="IWU30" s="28"/>
      <c r="IWV30" s="28"/>
      <c r="IWW30" s="28"/>
      <c r="IWX30" s="28"/>
      <c r="IWY30" s="28"/>
      <c r="IWZ30" s="28"/>
      <c r="IXA30" s="28"/>
      <c r="IXB30" s="28"/>
      <c r="IXC30" s="28"/>
      <c r="IXD30" s="28"/>
      <c r="IXE30" s="28"/>
      <c r="IXF30" s="28"/>
      <c r="IXG30" s="28"/>
      <c r="IXH30" s="28"/>
      <c r="IXI30" s="28"/>
      <c r="IXJ30" s="28"/>
      <c r="IXK30" s="28"/>
      <c r="IXL30" s="28"/>
      <c r="IXM30" s="28"/>
      <c r="IXN30" s="28"/>
      <c r="IXO30" s="28"/>
      <c r="IXP30" s="28"/>
      <c r="IXQ30" s="28"/>
      <c r="IXR30" s="28"/>
      <c r="IXS30" s="28"/>
      <c r="IXT30" s="28"/>
      <c r="IXU30" s="28"/>
      <c r="IXV30" s="28"/>
      <c r="IXW30" s="28"/>
      <c r="IXX30" s="28"/>
      <c r="IXY30" s="28"/>
      <c r="IXZ30" s="28"/>
      <c r="IYA30" s="28"/>
      <c r="IYB30" s="28"/>
      <c r="IYC30" s="28"/>
      <c r="IYD30" s="28"/>
      <c r="IYE30" s="28"/>
      <c r="IYF30" s="28"/>
      <c r="IYG30" s="28"/>
      <c r="IYH30" s="28"/>
      <c r="IYI30" s="28"/>
      <c r="IYJ30" s="28"/>
      <c r="IYK30" s="28"/>
      <c r="IYL30" s="28"/>
      <c r="IYM30" s="28"/>
      <c r="IYN30" s="28"/>
      <c r="IYO30" s="28"/>
      <c r="IYP30" s="28"/>
      <c r="IYQ30" s="28"/>
      <c r="IYR30" s="28"/>
      <c r="IYS30" s="28"/>
      <c r="IYT30" s="28"/>
      <c r="IYU30" s="28"/>
      <c r="IYV30" s="28"/>
      <c r="IYW30" s="28"/>
      <c r="IYX30" s="28"/>
      <c r="IYY30" s="28"/>
      <c r="IYZ30" s="28"/>
      <c r="IZA30" s="28"/>
      <c r="IZB30" s="28"/>
      <c r="IZC30" s="28"/>
      <c r="IZD30" s="28"/>
      <c r="IZE30" s="28"/>
      <c r="IZF30" s="28"/>
      <c r="IZG30" s="28"/>
      <c r="IZH30" s="28"/>
      <c r="IZI30" s="28"/>
      <c r="IZJ30" s="28"/>
      <c r="IZK30" s="28"/>
      <c r="IZL30" s="28"/>
      <c r="IZM30" s="28"/>
      <c r="IZN30" s="28"/>
      <c r="IZO30" s="28"/>
      <c r="IZP30" s="28"/>
      <c r="IZQ30" s="28"/>
      <c r="IZR30" s="28"/>
      <c r="IZS30" s="28"/>
      <c r="IZT30" s="28"/>
      <c r="IZU30" s="28"/>
      <c r="IZV30" s="28"/>
      <c r="IZW30" s="28"/>
      <c r="IZX30" s="28"/>
      <c r="IZY30" s="28"/>
      <c r="IZZ30" s="28"/>
      <c r="JAA30" s="28"/>
      <c r="JAB30" s="28"/>
      <c r="JAC30" s="28"/>
      <c r="JAD30" s="28"/>
      <c r="JAE30" s="28"/>
      <c r="JAF30" s="28"/>
      <c r="JAG30" s="28"/>
      <c r="JAH30" s="28"/>
      <c r="JAI30" s="28"/>
      <c r="JAJ30" s="28"/>
      <c r="JAK30" s="28"/>
      <c r="JAL30" s="28"/>
      <c r="JAM30" s="28"/>
      <c r="JAN30" s="28"/>
      <c r="JAO30" s="28"/>
      <c r="JAP30" s="28"/>
      <c r="JAQ30" s="28"/>
      <c r="JAR30" s="28"/>
      <c r="JAS30" s="28"/>
      <c r="JAT30" s="28"/>
      <c r="JAU30" s="28"/>
      <c r="JAV30" s="28"/>
      <c r="JAW30" s="28"/>
      <c r="JAX30" s="28"/>
      <c r="JAY30" s="28"/>
      <c r="JAZ30" s="28"/>
      <c r="JBA30" s="28"/>
      <c r="JBB30" s="28"/>
      <c r="JBC30" s="28"/>
      <c r="JBD30" s="28"/>
      <c r="JBE30" s="28"/>
      <c r="JBF30" s="28"/>
      <c r="JBG30" s="28"/>
      <c r="JBH30" s="28"/>
      <c r="JBI30" s="28"/>
      <c r="JBJ30" s="28"/>
      <c r="JBK30" s="28"/>
      <c r="JBL30" s="28"/>
      <c r="JBM30" s="28"/>
      <c r="JBN30" s="28"/>
      <c r="JBO30" s="28"/>
      <c r="JBP30" s="28"/>
      <c r="JBQ30" s="28"/>
      <c r="JBR30" s="28"/>
      <c r="JBS30" s="28"/>
      <c r="JBT30" s="28"/>
      <c r="JBU30" s="28"/>
      <c r="JBV30" s="28"/>
      <c r="JBW30" s="28"/>
      <c r="JBX30" s="28"/>
      <c r="JBY30" s="28"/>
      <c r="JBZ30" s="28"/>
      <c r="JCA30" s="28"/>
      <c r="JCB30" s="28"/>
      <c r="JCC30" s="28"/>
      <c r="JCD30" s="28"/>
      <c r="JCE30" s="28"/>
      <c r="JCF30" s="28"/>
      <c r="JCG30" s="28"/>
      <c r="JCH30" s="28"/>
      <c r="JCI30" s="28"/>
      <c r="JCJ30" s="28"/>
      <c r="JCK30" s="28"/>
      <c r="JCL30" s="28"/>
      <c r="JCM30" s="28"/>
      <c r="JCN30" s="28"/>
      <c r="JCO30" s="28"/>
      <c r="JCP30" s="28"/>
      <c r="JCQ30" s="28"/>
      <c r="JCR30" s="28"/>
      <c r="JCS30" s="28"/>
      <c r="JCT30" s="28"/>
      <c r="JCU30" s="28"/>
      <c r="JCV30" s="28"/>
      <c r="JCW30" s="28"/>
      <c r="JCX30" s="28"/>
      <c r="JCY30" s="28"/>
      <c r="JCZ30" s="28"/>
      <c r="JDA30" s="28"/>
      <c r="JDB30" s="28"/>
      <c r="JDC30" s="28"/>
      <c r="JDD30" s="28"/>
      <c r="JDE30" s="28"/>
      <c r="JDF30" s="28"/>
      <c r="JDG30" s="28"/>
      <c r="JDH30" s="28"/>
      <c r="JDI30" s="28"/>
      <c r="JDJ30" s="28"/>
      <c r="JDK30" s="28"/>
      <c r="JDL30" s="28"/>
      <c r="JDM30" s="28"/>
      <c r="JDN30" s="28"/>
      <c r="JDO30" s="28"/>
      <c r="JDP30" s="28"/>
      <c r="JDQ30" s="28"/>
      <c r="JDR30" s="28"/>
      <c r="JDS30" s="28"/>
      <c r="JDT30" s="28"/>
      <c r="JDU30" s="28"/>
      <c r="JDV30" s="28"/>
      <c r="JDW30" s="28"/>
      <c r="JDX30" s="28"/>
      <c r="JDY30" s="28"/>
      <c r="JDZ30" s="28"/>
      <c r="JEA30" s="28"/>
      <c r="JEB30" s="28"/>
      <c r="JEC30" s="28"/>
      <c r="JED30" s="28"/>
      <c r="JEE30" s="28"/>
      <c r="JEF30" s="28"/>
      <c r="JEG30" s="28"/>
      <c r="JEH30" s="28"/>
      <c r="JEI30" s="28"/>
      <c r="JEJ30" s="28"/>
      <c r="JEK30" s="28"/>
      <c r="JEL30" s="28"/>
      <c r="JEM30" s="28"/>
      <c r="JEN30" s="28"/>
      <c r="JEO30" s="28"/>
      <c r="JEP30" s="28"/>
      <c r="JEQ30" s="28"/>
      <c r="JER30" s="28"/>
      <c r="JES30" s="28"/>
      <c r="JET30" s="28"/>
      <c r="JEU30" s="28"/>
      <c r="JEV30" s="28"/>
      <c r="JEW30" s="28"/>
      <c r="JEX30" s="28"/>
      <c r="JEY30" s="28"/>
      <c r="JEZ30" s="28"/>
      <c r="JFA30" s="28"/>
      <c r="JFB30" s="28"/>
      <c r="JFC30" s="28"/>
      <c r="JFD30" s="28"/>
      <c r="JFE30" s="28"/>
      <c r="JFF30" s="28"/>
      <c r="JFG30" s="28"/>
      <c r="JFH30" s="28"/>
      <c r="JFI30" s="28"/>
      <c r="JFJ30" s="28"/>
      <c r="JFK30" s="28"/>
      <c r="JFL30" s="28"/>
      <c r="JFM30" s="28"/>
      <c r="JFN30" s="28"/>
      <c r="JFO30" s="28"/>
      <c r="JFP30" s="28"/>
      <c r="JFQ30" s="28"/>
      <c r="JFR30" s="28"/>
      <c r="JFS30" s="28"/>
      <c r="JFT30" s="28"/>
      <c r="JFU30" s="28"/>
      <c r="JFV30" s="28"/>
      <c r="JFW30" s="28"/>
      <c r="JFX30" s="28"/>
      <c r="JFY30" s="28"/>
      <c r="JFZ30" s="28"/>
      <c r="JGA30" s="28"/>
      <c r="JGB30" s="28"/>
      <c r="JGC30" s="28"/>
      <c r="JGD30" s="28"/>
      <c r="JGE30" s="28"/>
      <c r="JGF30" s="28"/>
      <c r="JGG30" s="28"/>
      <c r="JGH30" s="28"/>
      <c r="JGI30" s="28"/>
      <c r="JGJ30" s="28"/>
      <c r="JGK30" s="28"/>
      <c r="JGL30" s="28"/>
      <c r="JGM30" s="28"/>
      <c r="JGN30" s="28"/>
      <c r="JGO30" s="28"/>
      <c r="JGP30" s="28"/>
      <c r="JGQ30" s="28"/>
      <c r="JGR30" s="28"/>
      <c r="JGS30" s="28"/>
      <c r="JGT30" s="28"/>
      <c r="JGU30" s="28"/>
      <c r="JGV30" s="28"/>
      <c r="JGW30" s="28"/>
      <c r="JGX30" s="28"/>
      <c r="JGY30" s="28"/>
      <c r="JGZ30" s="28"/>
      <c r="JHA30" s="28"/>
      <c r="JHB30" s="28"/>
      <c r="JHC30" s="28"/>
      <c r="JHD30" s="28"/>
      <c r="JHE30" s="28"/>
      <c r="JHF30" s="28"/>
      <c r="JHG30" s="28"/>
      <c r="JHH30" s="28"/>
      <c r="JHI30" s="28"/>
      <c r="JHJ30" s="28"/>
      <c r="JHK30" s="28"/>
      <c r="JHL30" s="28"/>
      <c r="JHM30" s="28"/>
      <c r="JHN30" s="28"/>
      <c r="JHO30" s="28"/>
      <c r="JHP30" s="28"/>
      <c r="JHQ30" s="28"/>
      <c r="JHR30" s="28"/>
      <c r="JHS30" s="28"/>
      <c r="JHT30" s="28"/>
      <c r="JHU30" s="28"/>
      <c r="JHV30" s="28"/>
      <c r="JHW30" s="28"/>
      <c r="JHX30" s="28"/>
      <c r="JHY30" s="28"/>
      <c r="JHZ30" s="28"/>
      <c r="JIA30" s="28"/>
      <c r="JIB30" s="28"/>
      <c r="JIC30" s="28"/>
      <c r="JID30" s="28"/>
      <c r="JIE30" s="28"/>
      <c r="JIF30" s="28"/>
      <c r="JIG30" s="28"/>
      <c r="JIH30" s="28"/>
      <c r="JII30" s="28"/>
      <c r="JIJ30" s="28"/>
      <c r="JIK30" s="28"/>
      <c r="JIL30" s="28"/>
      <c r="JIM30" s="28"/>
      <c r="JIN30" s="28"/>
      <c r="JIO30" s="28"/>
      <c r="JIP30" s="28"/>
      <c r="JIQ30" s="28"/>
      <c r="JIR30" s="28"/>
      <c r="JIS30" s="28"/>
      <c r="JIT30" s="28"/>
      <c r="JIU30" s="28"/>
      <c r="JIV30" s="28"/>
      <c r="JIW30" s="28"/>
      <c r="JIX30" s="28"/>
      <c r="JIY30" s="28"/>
      <c r="JIZ30" s="28"/>
      <c r="JJA30" s="28"/>
      <c r="JJB30" s="28"/>
      <c r="JJC30" s="28"/>
      <c r="JJD30" s="28"/>
      <c r="JJE30" s="28"/>
      <c r="JJF30" s="28"/>
      <c r="JJG30" s="28"/>
      <c r="JJH30" s="28"/>
      <c r="JJI30" s="28"/>
      <c r="JJJ30" s="28"/>
      <c r="JJK30" s="28"/>
      <c r="JJL30" s="28"/>
      <c r="JJM30" s="28"/>
      <c r="JJN30" s="28"/>
      <c r="JJO30" s="28"/>
      <c r="JJP30" s="28"/>
      <c r="JJQ30" s="28"/>
      <c r="JJR30" s="28"/>
      <c r="JJS30" s="28"/>
      <c r="JJT30" s="28"/>
      <c r="JJU30" s="28"/>
      <c r="JJV30" s="28"/>
      <c r="JJW30" s="28"/>
      <c r="JJX30" s="28"/>
      <c r="JJY30" s="28"/>
      <c r="JJZ30" s="28"/>
      <c r="JKA30" s="28"/>
      <c r="JKB30" s="28"/>
      <c r="JKC30" s="28"/>
      <c r="JKD30" s="28"/>
      <c r="JKE30" s="28"/>
      <c r="JKF30" s="28"/>
      <c r="JKG30" s="28"/>
      <c r="JKH30" s="28"/>
      <c r="JKI30" s="28"/>
      <c r="JKJ30" s="28"/>
      <c r="JKK30" s="28"/>
      <c r="JKL30" s="28"/>
      <c r="JKM30" s="28"/>
      <c r="JKN30" s="28"/>
      <c r="JKO30" s="28"/>
      <c r="JKP30" s="28"/>
      <c r="JKQ30" s="28"/>
      <c r="JKR30" s="28"/>
      <c r="JKS30" s="28"/>
      <c r="JKT30" s="28"/>
      <c r="JKU30" s="28"/>
      <c r="JKV30" s="28"/>
      <c r="JKW30" s="28"/>
      <c r="JKX30" s="28"/>
      <c r="JKY30" s="28"/>
      <c r="JKZ30" s="28"/>
      <c r="JLA30" s="28"/>
      <c r="JLB30" s="28"/>
      <c r="JLC30" s="28"/>
      <c r="JLD30" s="28"/>
      <c r="JLE30" s="28"/>
      <c r="JLF30" s="28"/>
      <c r="JLG30" s="28"/>
      <c r="JLH30" s="28"/>
      <c r="JLI30" s="28"/>
      <c r="JLJ30" s="28"/>
      <c r="JLK30" s="28"/>
      <c r="JLL30" s="28"/>
      <c r="JLM30" s="28"/>
      <c r="JLN30" s="28"/>
      <c r="JLO30" s="28"/>
      <c r="JLP30" s="28"/>
      <c r="JLQ30" s="28"/>
      <c r="JLR30" s="28"/>
      <c r="JLS30" s="28"/>
      <c r="JLT30" s="28"/>
      <c r="JLU30" s="28"/>
      <c r="JLV30" s="28"/>
      <c r="JLW30" s="28"/>
      <c r="JLX30" s="28"/>
      <c r="JLY30" s="28"/>
      <c r="JLZ30" s="28"/>
      <c r="JMA30" s="28"/>
      <c r="JMB30" s="28"/>
      <c r="JMC30" s="28"/>
      <c r="JMD30" s="28"/>
      <c r="JME30" s="28"/>
      <c r="JMF30" s="28"/>
      <c r="JMG30" s="28"/>
      <c r="JMH30" s="28"/>
      <c r="JMI30" s="28"/>
      <c r="JMJ30" s="28"/>
      <c r="JMK30" s="28"/>
      <c r="JML30" s="28"/>
      <c r="JMM30" s="28"/>
      <c r="JMN30" s="28"/>
      <c r="JMO30" s="28"/>
      <c r="JMP30" s="28"/>
      <c r="JMQ30" s="28"/>
      <c r="JMR30" s="28"/>
      <c r="JMS30" s="28"/>
      <c r="JMT30" s="28"/>
      <c r="JMU30" s="28"/>
      <c r="JMV30" s="28"/>
      <c r="JMW30" s="28"/>
      <c r="JMX30" s="28"/>
      <c r="JMY30" s="28"/>
      <c r="JMZ30" s="28"/>
      <c r="JNA30" s="28"/>
      <c r="JNB30" s="28"/>
      <c r="JNC30" s="28"/>
      <c r="JND30" s="28"/>
      <c r="JNE30" s="28"/>
      <c r="JNF30" s="28"/>
      <c r="JNG30" s="28"/>
      <c r="JNH30" s="28"/>
      <c r="JNI30" s="28"/>
      <c r="JNJ30" s="28"/>
      <c r="JNK30" s="28"/>
      <c r="JNL30" s="28"/>
      <c r="JNM30" s="28"/>
      <c r="JNN30" s="28"/>
      <c r="JNO30" s="28"/>
      <c r="JNP30" s="28"/>
      <c r="JNQ30" s="28"/>
      <c r="JNR30" s="28"/>
      <c r="JNS30" s="28"/>
      <c r="JNT30" s="28"/>
      <c r="JNU30" s="28"/>
      <c r="JNV30" s="28"/>
      <c r="JNW30" s="28"/>
      <c r="JNX30" s="28"/>
      <c r="JNY30" s="28"/>
      <c r="JNZ30" s="28"/>
      <c r="JOA30" s="28"/>
      <c r="JOB30" s="28"/>
      <c r="JOC30" s="28"/>
      <c r="JOD30" s="28"/>
      <c r="JOE30" s="28"/>
      <c r="JOF30" s="28"/>
      <c r="JOG30" s="28"/>
      <c r="JOH30" s="28"/>
      <c r="JOI30" s="28"/>
      <c r="JOJ30" s="28"/>
      <c r="JOK30" s="28"/>
      <c r="JOL30" s="28"/>
      <c r="JOM30" s="28"/>
      <c r="JON30" s="28"/>
      <c r="JOO30" s="28"/>
      <c r="JOP30" s="28"/>
      <c r="JOQ30" s="28"/>
      <c r="JOR30" s="28"/>
      <c r="JOS30" s="28"/>
      <c r="JOT30" s="28"/>
      <c r="JOU30" s="28"/>
      <c r="JOV30" s="28"/>
      <c r="JOW30" s="28"/>
      <c r="JOX30" s="28"/>
      <c r="JOY30" s="28"/>
      <c r="JOZ30" s="28"/>
      <c r="JPA30" s="28"/>
      <c r="JPB30" s="28"/>
      <c r="JPC30" s="28"/>
      <c r="JPD30" s="28"/>
      <c r="JPE30" s="28"/>
      <c r="JPF30" s="28"/>
      <c r="JPG30" s="28"/>
      <c r="JPH30" s="28"/>
      <c r="JPI30" s="28"/>
      <c r="JPJ30" s="28"/>
      <c r="JPK30" s="28"/>
      <c r="JPL30" s="28"/>
      <c r="JPM30" s="28"/>
      <c r="JPN30" s="28"/>
      <c r="JPO30" s="28"/>
      <c r="JPP30" s="28"/>
      <c r="JPQ30" s="28"/>
      <c r="JPR30" s="28"/>
      <c r="JPS30" s="28"/>
      <c r="JPT30" s="28"/>
      <c r="JPU30" s="28"/>
      <c r="JPV30" s="28"/>
      <c r="JPW30" s="28"/>
      <c r="JPX30" s="28"/>
      <c r="JPY30" s="28"/>
      <c r="JPZ30" s="28"/>
      <c r="JQA30" s="28"/>
      <c r="JQB30" s="28"/>
      <c r="JQC30" s="28"/>
      <c r="JQD30" s="28"/>
      <c r="JQE30" s="28"/>
      <c r="JQF30" s="28"/>
      <c r="JQG30" s="28"/>
      <c r="JQH30" s="28"/>
      <c r="JQI30" s="28"/>
      <c r="JQJ30" s="28"/>
      <c r="JQK30" s="28"/>
      <c r="JQL30" s="28"/>
      <c r="JQM30" s="28"/>
      <c r="JQN30" s="28"/>
      <c r="JQO30" s="28"/>
      <c r="JQP30" s="28"/>
      <c r="JQQ30" s="28"/>
      <c r="JQR30" s="28"/>
      <c r="JQS30" s="28"/>
      <c r="JQT30" s="28"/>
      <c r="JQU30" s="28"/>
      <c r="JQV30" s="28"/>
      <c r="JQW30" s="28"/>
      <c r="JQX30" s="28"/>
      <c r="JQY30" s="28"/>
      <c r="JQZ30" s="28"/>
      <c r="JRA30" s="28"/>
      <c r="JRB30" s="28"/>
      <c r="JRC30" s="28"/>
      <c r="JRD30" s="28"/>
      <c r="JRE30" s="28"/>
      <c r="JRF30" s="28"/>
      <c r="JRG30" s="28"/>
      <c r="JRH30" s="28"/>
      <c r="JRI30" s="28"/>
      <c r="JRJ30" s="28"/>
      <c r="JRK30" s="28"/>
      <c r="JRL30" s="28"/>
      <c r="JRM30" s="28"/>
      <c r="JRN30" s="28"/>
      <c r="JRO30" s="28"/>
      <c r="JRP30" s="28"/>
      <c r="JRQ30" s="28"/>
      <c r="JRR30" s="28"/>
      <c r="JRS30" s="28"/>
      <c r="JRT30" s="28"/>
      <c r="JRU30" s="28"/>
      <c r="JRV30" s="28"/>
      <c r="JRW30" s="28"/>
      <c r="JRX30" s="28"/>
      <c r="JRY30" s="28"/>
      <c r="JRZ30" s="28"/>
      <c r="JSA30" s="28"/>
      <c r="JSB30" s="28"/>
      <c r="JSC30" s="28"/>
      <c r="JSD30" s="28"/>
      <c r="JSE30" s="28"/>
      <c r="JSF30" s="28"/>
      <c r="JSG30" s="28"/>
      <c r="JSH30" s="28"/>
      <c r="JSI30" s="28"/>
      <c r="JSJ30" s="28"/>
      <c r="JSK30" s="28"/>
      <c r="JSL30" s="28"/>
      <c r="JSM30" s="28"/>
      <c r="JSN30" s="28"/>
      <c r="JSO30" s="28"/>
      <c r="JSP30" s="28"/>
      <c r="JSQ30" s="28"/>
      <c r="JSR30" s="28"/>
      <c r="JSS30" s="28"/>
      <c r="JST30" s="28"/>
      <c r="JSU30" s="28"/>
      <c r="JSV30" s="28"/>
      <c r="JSW30" s="28"/>
      <c r="JSX30" s="28"/>
      <c r="JSY30" s="28"/>
      <c r="JSZ30" s="28"/>
      <c r="JTA30" s="28"/>
      <c r="JTB30" s="28"/>
      <c r="JTC30" s="28"/>
      <c r="JTD30" s="28"/>
      <c r="JTE30" s="28"/>
      <c r="JTF30" s="28"/>
      <c r="JTG30" s="28"/>
      <c r="JTH30" s="28"/>
      <c r="JTI30" s="28"/>
      <c r="JTJ30" s="28"/>
      <c r="JTK30" s="28"/>
      <c r="JTL30" s="28"/>
      <c r="JTM30" s="28"/>
      <c r="JTN30" s="28"/>
      <c r="JTO30" s="28"/>
      <c r="JTP30" s="28"/>
      <c r="JTQ30" s="28"/>
      <c r="JTR30" s="28"/>
      <c r="JTS30" s="28"/>
      <c r="JTT30" s="28"/>
      <c r="JTU30" s="28"/>
      <c r="JTV30" s="28"/>
      <c r="JTW30" s="28"/>
      <c r="JTX30" s="28"/>
      <c r="JTY30" s="28"/>
      <c r="JTZ30" s="28"/>
      <c r="JUA30" s="28"/>
      <c r="JUB30" s="28"/>
      <c r="JUC30" s="28"/>
      <c r="JUD30" s="28"/>
      <c r="JUE30" s="28"/>
      <c r="JUF30" s="28"/>
      <c r="JUG30" s="28"/>
      <c r="JUH30" s="28"/>
      <c r="JUI30" s="28"/>
      <c r="JUJ30" s="28"/>
      <c r="JUK30" s="28"/>
      <c r="JUL30" s="28"/>
      <c r="JUM30" s="28"/>
      <c r="JUN30" s="28"/>
      <c r="JUO30" s="28"/>
      <c r="JUP30" s="28"/>
      <c r="JUQ30" s="28"/>
      <c r="JUR30" s="28"/>
      <c r="JUS30" s="28"/>
      <c r="JUT30" s="28"/>
      <c r="JUU30" s="28"/>
      <c r="JUV30" s="28"/>
      <c r="JUW30" s="28"/>
      <c r="JUX30" s="28"/>
      <c r="JUY30" s="28"/>
      <c r="JUZ30" s="28"/>
      <c r="JVA30" s="28"/>
      <c r="JVB30" s="28"/>
      <c r="JVC30" s="28"/>
      <c r="JVD30" s="28"/>
      <c r="JVE30" s="28"/>
      <c r="JVF30" s="28"/>
      <c r="JVG30" s="28"/>
      <c r="JVH30" s="28"/>
      <c r="JVI30" s="28"/>
      <c r="JVJ30" s="28"/>
      <c r="JVK30" s="28"/>
      <c r="JVL30" s="28"/>
      <c r="JVM30" s="28"/>
      <c r="JVN30" s="28"/>
      <c r="JVO30" s="28"/>
      <c r="JVP30" s="28"/>
      <c r="JVQ30" s="28"/>
      <c r="JVR30" s="28"/>
      <c r="JVS30" s="28"/>
      <c r="JVT30" s="28"/>
      <c r="JVU30" s="28"/>
      <c r="JVV30" s="28"/>
      <c r="JVW30" s="28"/>
      <c r="JVX30" s="28"/>
      <c r="JVY30" s="28"/>
      <c r="JVZ30" s="28"/>
      <c r="JWA30" s="28"/>
      <c r="JWB30" s="28"/>
      <c r="JWC30" s="28"/>
      <c r="JWD30" s="28"/>
      <c r="JWE30" s="28"/>
      <c r="JWF30" s="28"/>
      <c r="JWG30" s="28"/>
      <c r="JWH30" s="28"/>
      <c r="JWI30" s="28"/>
      <c r="JWJ30" s="28"/>
      <c r="JWK30" s="28"/>
      <c r="JWL30" s="28"/>
      <c r="JWM30" s="28"/>
      <c r="JWN30" s="28"/>
      <c r="JWO30" s="28"/>
      <c r="JWP30" s="28"/>
      <c r="JWQ30" s="28"/>
      <c r="JWR30" s="28"/>
      <c r="JWS30" s="28"/>
      <c r="JWT30" s="28"/>
      <c r="JWU30" s="28"/>
      <c r="JWV30" s="28"/>
      <c r="JWW30" s="28"/>
      <c r="JWX30" s="28"/>
      <c r="JWY30" s="28"/>
      <c r="JWZ30" s="28"/>
      <c r="JXA30" s="28"/>
      <c r="JXB30" s="28"/>
      <c r="JXC30" s="28"/>
      <c r="JXD30" s="28"/>
      <c r="JXE30" s="28"/>
      <c r="JXF30" s="28"/>
      <c r="JXG30" s="28"/>
      <c r="JXH30" s="28"/>
      <c r="JXI30" s="28"/>
      <c r="JXJ30" s="28"/>
      <c r="JXK30" s="28"/>
      <c r="JXL30" s="28"/>
      <c r="JXM30" s="28"/>
      <c r="JXN30" s="28"/>
      <c r="JXO30" s="28"/>
      <c r="JXP30" s="28"/>
      <c r="JXQ30" s="28"/>
      <c r="JXR30" s="28"/>
      <c r="JXS30" s="28"/>
      <c r="JXT30" s="28"/>
      <c r="JXU30" s="28"/>
      <c r="JXV30" s="28"/>
      <c r="JXW30" s="28"/>
      <c r="JXX30" s="28"/>
      <c r="JXY30" s="28"/>
      <c r="JXZ30" s="28"/>
      <c r="JYA30" s="28"/>
      <c r="JYB30" s="28"/>
      <c r="JYC30" s="28"/>
      <c r="JYD30" s="28"/>
      <c r="JYE30" s="28"/>
      <c r="JYF30" s="28"/>
      <c r="JYG30" s="28"/>
      <c r="JYH30" s="28"/>
      <c r="JYI30" s="28"/>
      <c r="JYJ30" s="28"/>
      <c r="JYK30" s="28"/>
      <c r="JYL30" s="28"/>
      <c r="JYM30" s="28"/>
      <c r="JYN30" s="28"/>
      <c r="JYO30" s="28"/>
      <c r="JYP30" s="28"/>
      <c r="JYQ30" s="28"/>
      <c r="JYR30" s="28"/>
      <c r="JYS30" s="28"/>
      <c r="JYT30" s="28"/>
      <c r="JYU30" s="28"/>
      <c r="JYV30" s="28"/>
      <c r="JYW30" s="28"/>
      <c r="JYX30" s="28"/>
      <c r="JYY30" s="28"/>
      <c r="JYZ30" s="28"/>
      <c r="JZA30" s="28"/>
      <c r="JZB30" s="28"/>
      <c r="JZC30" s="28"/>
      <c r="JZD30" s="28"/>
      <c r="JZE30" s="28"/>
      <c r="JZF30" s="28"/>
      <c r="JZG30" s="28"/>
      <c r="JZH30" s="28"/>
      <c r="JZI30" s="28"/>
      <c r="JZJ30" s="28"/>
      <c r="JZK30" s="28"/>
      <c r="JZL30" s="28"/>
      <c r="JZM30" s="28"/>
      <c r="JZN30" s="28"/>
      <c r="JZO30" s="28"/>
      <c r="JZP30" s="28"/>
      <c r="JZQ30" s="28"/>
      <c r="JZR30" s="28"/>
      <c r="JZS30" s="28"/>
      <c r="JZT30" s="28"/>
      <c r="JZU30" s="28"/>
      <c r="JZV30" s="28"/>
      <c r="JZW30" s="28"/>
      <c r="JZX30" s="28"/>
      <c r="JZY30" s="28"/>
      <c r="JZZ30" s="28"/>
      <c r="KAA30" s="28"/>
      <c r="KAB30" s="28"/>
      <c r="KAC30" s="28"/>
      <c r="KAD30" s="28"/>
      <c r="KAE30" s="28"/>
      <c r="KAF30" s="28"/>
      <c r="KAG30" s="28"/>
      <c r="KAH30" s="28"/>
      <c r="KAI30" s="28"/>
      <c r="KAJ30" s="28"/>
      <c r="KAK30" s="28"/>
      <c r="KAL30" s="28"/>
      <c r="KAM30" s="28"/>
      <c r="KAN30" s="28"/>
      <c r="KAO30" s="28"/>
      <c r="KAP30" s="28"/>
      <c r="KAQ30" s="28"/>
      <c r="KAR30" s="28"/>
      <c r="KAS30" s="28"/>
      <c r="KAT30" s="28"/>
      <c r="KAU30" s="28"/>
      <c r="KAV30" s="28"/>
      <c r="KAW30" s="28"/>
      <c r="KAX30" s="28"/>
      <c r="KAY30" s="28"/>
      <c r="KAZ30" s="28"/>
      <c r="KBA30" s="28"/>
      <c r="KBB30" s="28"/>
      <c r="KBC30" s="28"/>
      <c r="KBD30" s="28"/>
      <c r="KBE30" s="28"/>
      <c r="KBF30" s="28"/>
      <c r="KBG30" s="28"/>
      <c r="KBH30" s="28"/>
      <c r="KBI30" s="28"/>
      <c r="KBJ30" s="28"/>
      <c r="KBK30" s="28"/>
      <c r="KBL30" s="28"/>
      <c r="KBM30" s="28"/>
      <c r="KBN30" s="28"/>
      <c r="KBO30" s="28"/>
      <c r="KBP30" s="28"/>
      <c r="KBQ30" s="28"/>
      <c r="KBR30" s="28"/>
      <c r="KBS30" s="28"/>
      <c r="KBT30" s="28"/>
      <c r="KBU30" s="28"/>
      <c r="KBV30" s="28"/>
      <c r="KBW30" s="28"/>
      <c r="KBX30" s="28"/>
      <c r="KBY30" s="28"/>
      <c r="KBZ30" s="28"/>
      <c r="KCA30" s="28"/>
      <c r="KCB30" s="28"/>
      <c r="KCC30" s="28"/>
      <c r="KCD30" s="28"/>
      <c r="KCE30" s="28"/>
      <c r="KCF30" s="28"/>
      <c r="KCG30" s="28"/>
      <c r="KCH30" s="28"/>
      <c r="KCI30" s="28"/>
      <c r="KCJ30" s="28"/>
      <c r="KCK30" s="28"/>
      <c r="KCL30" s="28"/>
      <c r="KCM30" s="28"/>
      <c r="KCN30" s="28"/>
      <c r="KCO30" s="28"/>
      <c r="KCP30" s="28"/>
      <c r="KCQ30" s="28"/>
      <c r="KCR30" s="28"/>
      <c r="KCS30" s="28"/>
      <c r="KCT30" s="28"/>
      <c r="KCU30" s="28"/>
      <c r="KCV30" s="28"/>
      <c r="KCW30" s="28"/>
      <c r="KCX30" s="28"/>
      <c r="KCY30" s="28"/>
      <c r="KCZ30" s="28"/>
      <c r="KDA30" s="28"/>
      <c r="KDB30" s="28"/>
      <c r="KDC30" s="28"/>
      <c r="KDD30" s="28"/>
      <c r="KDE30" s="28"/>
      <c r="KDF30" s="28"/>
      <c r="KDG30" s="28"/>
      <c r="KDH30" s="28"/>
      <c r="KDI30" s="28"/>
      <c r="KDJ30" s="28"/>
      <c r="KDK30" s="28"/>
      <c r="KDL30" s="28"/>
      <c r="KDM30" s="28"/>
      <c r="KDN30" s="28"/>
      <c r="KDO30" s="28"/>
      <c r="KDP30" s="28"/>
      <c r="KDQ30" s="28"/>
      <c r="KDR30" s="28"/>
      <c r="KDS30" s="28"/>
      <c r="KDT30" s="28"/>
      <c r="KDU30" s="28"/>
      <c r="KDV30" s="28"/>
      <c r="KDW30" s="28"/>
      <c r="KDX30" s="28"/>
      <c r="KDY30" s="28"/>
      <c r="KDZ30" s="28"/>
      <c r="KEA30" s="28"/>
      <c r="KEB30" s="28"/>
      <c r="KEC30" s="28"/>
      <c r="KED30" s="28"/>
      <c r="KEE30" s="28"/>
      <c r="KEF30" s="28"/>
      <c r="KEG30" s="28"/>
      <c r="KEH30" s="28"/>
      <c r="KEI30" s="28"/>
      <c r="KEJ30" s="28"/>
      <c r="KEK30" s="28"/>
      <c r="KEL30" s="28"/>
      <c r="KEM30" s="28"/>
      <c r="KEN30" s="28"/>
      <c r="KEO30" s="28"/>
      <c r="KEP30" s="28"/>
      <c r="KEQ30" s="28"/>
      <c r="KER30" s="28"/>
      <c r="KES30" s="28"/>
      <c r="KET30" s="28"/>
      <c r="KEU30" s="28"/>
      <c r="KEV30" s="28"/>
      <c r="KEW30" s="28"/>
      <c r="KEX30" s="28"/>
      <c r="KEY30" s="28"/>
      <c r="KEZ30" s="28"/>
      <c r="KFA30" s="28"/>
      <c r="KFB30" s="28"/>
      <c r="KFC30" s="28"/>
      <c r="KFD30" s="28"/>
      <c r="KFE30" s="28"/>
      <c r="KFF30" s="28"/>
      <c r="KFG30" s="28"/>
      <c r="KFH30" s="28"/>
      <c r="KFI30" s="28"/>
      <c r="KFJ30" s="28"/>
      <c r="KFK30" s="28"/>
      <c r="KFL30" s="28"/>
      <c r="KFM30" s="28"/>
      <c r="KFN30" s="28"/>
      <c r="KFO30" s="28"/>
      <c r="KFP30" s="28"/>
      <c r="KFQ30" s="28"/>
      <c r="KFR30" s="28"/>
      <c r="KFS30" s="28"/>
      <c r="KFT30" s="28"/>
      <c r="KFU30" s="28"/>
      <c r="KFV30" s="28"/>
      <c r="KFW30" s="28"/>
      <c r="KFX30" s="28"/>
      <c r="KFY30" s="28"/>
      <c r="KFZ30" s="28"/>
      <c r="KGA30" s="28"/>
      <c r="KGB30" s="28"/>
      <c r="KGC30" s="28"/>
      <c r="KGD30" s="28"/>
      <c r="KGE30" s="28"/>
      <c r="KGF30" s="28"/>
      <c r="KGG30" s="28"/>
      <c r="KGH30" s="28"/>
      <c r="KGI30" s="28"/>
      <c r="KGJ30" s="28"/>
      <c r="KGK30" s="28"/>
      <c r="KGL30" s="28"/>
      <c r="KGM30" s="28"/>
      <c r="KGN30" s="28"/>
      <c r="KGO30" s="28"/>
      <c r="KGP30" s="28"/>
      <c r="KGQ30" s="28"/>
      <c r="KGR30" s="28"/>
      <c r="KGS30" s="28"/>
      <c r="KGT30" s="28"/>
      <c r="KGU30" s="28"/>
      <c r="KGV30" s="28"/>
      <c r="KGW30" s="28"/>
      <c r="KGX30" s="28"/>
      <c r="KGY30" s="28"/>
      <c r="KGZ30" s="28"/>
      <c r="KHA30" s="28"/>
      <c r="KHB30" s="28"/>
      <c r="KHC30" s="28"/>
      <c r="KHD30" s="28"/>
      <c r="KHE30" s="28"/>
      <c r="KHF30" s="28"/>
      <c r="KHG30" s="28"/>
      <c r="KHH30" s="28"/>
      <c r="KHI30" s="28"/>
      <c r="KHJ30" s="28"/>
      <c r="KHK30" s="28"/>
      <c r="KHL30" s="28"/>
      <c r="KHM30" s="28"/>
      <c r="KHN30" s="28"/>
      <c r="KHO30" s="28"/>
      <c r="KHP30" s="28"/>
      <c r="KHQ30" s="28"/>
      <c r="KHR30" s="28"/>
      <c r="KHS30" s="28"/>
      <c r="KHT30" s="28"/>
      <c r="KHU30" s="28"/>
      <c r="KHV30" s="28"/>
      <c r="KHW30" s="28"/>
      <c r="KHX30" s="28"/>
      <c r="KHY30" s="28"/>
      <c r="KHZ30" s="28"/>
      <c r="KIA30" s="28"/>
      <c r="KIB30" s="28"/>
      <c r="KIC30" s="28"/>
      <c r="KID30" s="28"/>
      <c r="KIE30" s="28"/>
      <c r="KIF30" s="28"/>
      <c r="KIG30" s="28"/>
      <c r="KIH30" s="28"/>
      <c r="KII30" s="28"/>
      <c r="KIJ30" s="28"/>
      <c r="KIK30" s="28"/>
      <c r="KIL30" s="28"/>
      <c r="KIM30" s="28"/>
      <c r="KIN30" s="28"/>
      <c r="KIO30" s="28"/>
      <c r="KIP30" s="28"/>
      <c r="KIQ30" s="28"/>
      <c r="KIR30" s="28"/>
      <c r="KIS30" s="28"/>
      <c r="KIT30" s="28"/>
      <c r="KIU30" s="28"/>
      <c r="KIV30" s="28"/>
      <c r="KIW30" s="28"/>
      <c r="KIX30" s="28"/>
      <c r="KIY30" s="28"/>
      <c r="KIZ30" s="28"/>
      <c r="KJA30" s="28"/>
      <c r="KJB30" s="28"/>
      <c r="KJC30" s="28"/>
      <c r="KJD30" s="28"/>
      <c r="KJE30" s="28"/>
      <c r="KJF30" s="28"/>
      <c r="KJG30" s="28"/>
      <c r="KJH30" s="28"/>
      <c r="KJI30" s="28"/>
      <c r="KJJ30" s="28"/>
      <c r="KJK30" s="28"/>
      <c r="KJL30" s="28"/>
      <c r="KJM30" s="28"/>
      <c r="KJN30" s="28"/>
      <c r="KJO30" s="28"/>
      <c r="KJP30" s="28"/>
      <c r="KJQ30" s="28"/>
      <c r="KJR30" s="28"/>
      <c r="KJS30" s="28"/>
      <c r="KJT30" s="28"/>
      <c r="KJU30" s="28"/>
      <c r="KJV30" s="28"/>
      <c r="KJW30" s="28"/>
      <c r="KJX30" s="28"/>
      <c r="KJY30" s="28"/>
      <c r="KJZ30" s="28"/>
      <c r="KKA30" s="28"/>
      <c r="KKB30" s="28"/>
      <c r="KKC30" s="28"/>
      <c r="KKD30" s="28"/>
      <c r="KKE30" s="28"/>
      <c r="KKF30" s="28"/>
      <c r="KKG30" s="28"/>
      <c r="KKH30" s="28"/>
      <c r="KKI30" s="28"/>
      <c r="KKJ30" s="28"/>
      <c r="KKK30" s="28"/>
      <c r="KKL30" s="28"/>
      <c r="KKM30" s="28"/>
      <c r="KKN30" s="28"/>
      <c r="KKO30" s="28"/>
      <c r="KKP30" s="28"/>
      <c r="KKQ30" s="28"/>
      <c r="KKR30" s="28"/>
      <c r="KKS30" s="28"/>
      <c r="KKT30" s="28"/>
      <c r="KKU30" s="28"/>
      <c r="KKV30" s="28"/>
      <c r="KKW30" s="28"/>
      <c r="KKX30" s="28"/>
      <c r="KKY30" s="28"/>
      <c r="KKZ30" s="28"/>
      <c r="KLA30" s="28"/>
      <c r="KLB30" s="28"/>
      <c r="KLC30" s="28"/>
      <c r="KLD30" s="28"/>
      <c r="KLE30" s="28"/>
      <c r="KLF30" s="28"/>
      <c r="KLG30" s="28"/>
      <c r="KLH30" s="28"/>
      <c r="KLI30" s="28"/>
      <c r="KLJ30" s="28"/>
      <c r="KLK30" s="28"/>
      <c r="KLL30" s="28"/>
      <c r="KLM30" s="28"/>
      <c r="KLN30" s="28"/>
      <c r="KLO30" s="28"/>
      <c r="KLP30" s="28"/>
      <c r="KLQ30" s="28"/>
      <c r="KLR30" s="28"/>
      <c r="KLS30" s="28"/>
      <c r="KLT30" s="28"/>
      <c r="KLU30" s="28"/>
      <c r="KLV30" s="28"/>
      <c r="KLW30" s="28"/>
      <c r="KLX30" s="28"/>
      <c r="KLY30" s="28"/>
      <c r="KLZ30" s="28"/>
      <c r="KMA30" s="28"/>
      <c r="KMB30" s="28"/>
      <c r="KMC30" s="28"/>
      <c r="KMD30" s="28"/>
      <c r="KME30" s="28"/>
      <c r="KMF30" s="28"/>
      <c r="KMG30" s="28"/>
      <c r="KMH30" s="28"/>
      <c r="KMI30" s="28"/>
      <c r="KMJ30" s="28"/>
      <c r="KMK30" s="28"/>
      <c r="KML30" s="28"/>
      <c r="KMM30" s="28"/>
      <c r="KMN30" s="28"/>
      <c r="KMO30" s="28"/>
      <c r="KMP30" s="28"/>
      <c r="KMQ30" s="28"/>
      <c r="KMR30" s="28"/>
      <c r="KMS30" s="28"/>
      <c r="KMT30" s="28"/>
      <c r="KMU30" s="28"/>
      <c r="KMV30" s="28"/>
      <c r="KMW30" s="28"/>
      <c r="KMX30" s="28"/>
      <c r="KMY30" s="28"/>
      <c r="KMZ30" s="28"/>
      <c r="KNA30" s="28"/>
      <c r="KNB30" s="28"/>
      <c r="KNC30" s="28"/>
      <c r="KND30" s="28"/>
      <c r="KNE30" s="28"/>
      <c r="KNF30" s="28"/>
      <c r="KNG30" s="28"/>
      <c r="KNH30" s="28"/>
      <c r="KNI30" s="28"/>
      <c r="KNJ30" s="28"/>
      <c r="KNK30" s="28"/>
      <c r="KNL30" s="28"/>
      <c r="KNM30" s="28"/>
      <c r="KNN30" s="28"/>
      <c r="KNO30" s="28"/>
      <c r="KNP30" s="28"/>
      <c r="KNQ30" s="28"/>
      <c r="KNR30" s="28"/>
      <c r="KNS30" s="28"/>
      <c r="KNT30" s="28"/>
      <c r="KNU30" s="28"/>
      <c r="KNV30" s="28"/>
      <c r="KNW30" s="28"/>
      <c r="KNX30" s="28"/>
      <c r="KNY30" s="28"/>
      <c r="KNZ30" s="28"/>
      <c r="KOA30" s="28"/>
      <c r="KOB30" s="28"/>
      <c r="KOC30" s="28"/>
      <c r="KOD30" s="28"/>
      <c r="KOE30" s="28"/>
      <c r="KOF30" s="28"/>
      <c r="KOG30" s="28"/>
      <c r="KOH30" s="28"/>
      <c r="KOI30" s="28"/>
      <c r="KOJ30" s="28"/>
      <c r="KOK30" s="28"/>
      <c r="KOL30" s="28"/>
      <c r="KOM30" s="28"/>
      <c r="KON30" s="28"/>
      <c r="KOO30" s="28"/>
      <c r="KOP30" s="28"/>
      <c r="KOQ30" s="28"/>
      <c r="KOR30" s="28"/>
      <c r="KOS30" s="28"/>
      <c r="KOT30" s="28"/>
      <c r="KOU30" s="28"/>
      <c r="KOV30" s="28"/>
      <c r="KOW30" s="28"/>
      <c r="KOX30" s="28"/>
      <c r="KOY30" s="28"/>
      <c r="KOZ30" s="28"/>
      <c r="KPA30" s="28"/>
      <c r="KPB30" s="28"/>
      <c r="KPC30" s="28"/>
      <c r="KPD30" s="28"/>
      <c r="KPE30" s="28"/>
      <c r="KPF30" s="28"/>
      <c r="KPG30" s="28"/>
      <c r="KPH30" s="28"/>
      <c r="KPI30" s="28"/>
      <c r="KPJ30" s="28"/>
      <c r="KPK30" s="28"/>
      <c r="KPL30" s="28"/>
      <c r="KPM30" s="28"/>
      <c r="KPN30" s="28"/>
      <c r="KPO30" s="28"/>
      <c r="KPP30" s="28"/>
      <c r="KPQ30" s="28"/>
      <c r="KPR30" s="28"/>
      <c r="KPS30" s="28"/>
      <c r="KPT30" s="28"/>
      <c r="KPU30" s="28"/>
      <c r="KPV30" s="28"/>
      <c r="KPW30" s="28"/>
      <c r="KPX30" s="28"/>
      <c r="KPY30" s="28"/>
      <c r="KPZ30" s="28"/>
      <c r="KQA30" s="28"/>
      <c r="KQB30" s="28"/>
      <c r="KQC30" s="28"/>
      <c r="KQD30" s="28"/>
      <c r="KQE30" s="28"/>
      <c r="KQF30" s="28"/>
      <c r="KQG30" s="28"/>
      <c r="KQH30" s="28"/>
      <c r="KQI30" s="28"/>
      <c r="KQJ30" s="28"/>
      <c r="KQK30" s="28"/>
      <c r="KQL30" s="28"/>
      <c r="KQM30" s="28"/>
      <c r="KQN30" s="28"/>
      <c r="KQO30" s="28"/>
      <c r="KQP30" s="28"/>
      <c r="KQQ30" s="28"/>
      <c r="KQR30" s="28"/>
      <c r="KQS30" s="28"/>
      <c r="KQT30" s="28"/>
      <c r="KQU30" s="28"/>
      <c r="KQV30" s="28"/>
      <c r="KQW30" s="28"/>
      <c r="KQX30" s="28"/>
      <c r="KQY30" s="28"/>
      <c r="KQZ30" s="28"/>
      <c r="KRA30" s="28"/>
      <c r="KRB30" s="28"/>
      <c r="KRC30" s="28"/>
      <c r="KRD30" s="28"/>
      <c r="KRE30" s="28"/>
      <c r="KRF30" s="28"/>
      <c r="KRG30" s="28"/>
      <c r="KRH30" s="28"/>
      <c r="KRI30" s="28"/>
      <c r="KRJ30" s="28"/>
      <c r="KRK30" s="28"/>
      <c r="KRL30" s="28"/>
      <c r="KRM30" s="28"/>
      <c r="KRN30" s="28"/>
      <c r="KRO30" s="28"/>
      <c r="KRP30" s="28"/>
      <c r="KRQ30" s="28"/>
      <c r="KRR30" s="28"/>
      <c r="KRS30" s="28"/>
      <c r="KRT30" s="28"/>
      <c r="KRU30" s="28"/>
      <c r="KRV30" s="28"/>
      <c r="KRW30" s="28"/>
      <c r="KRX30" s="28"/>
      <c r="KRY30" s="28"/>
      <c r="KRZ30" s="28"/>
      <c r="KSA30" s="28"/>
      <c r="KSB30" s="28"/>
      <c r="KSC30" s="28"/>
      <c r="KSD30" s="28"/>
      <c r="KSE30" s="28"/>
      <c r="KSF30" s="28"/>
      <c r="KSG30" s="28"/>
      <c r="KSH30" s="28"/>
      <c r="KSI30" s="28"/>
      <c r="KSJ30" s="28"/>
      <c r="KSK30" s="28"/>
      <c r="KSL30" s="28"/>
      <c r="KSM30" s="28"/>
      <c r="KSN30" s="28"/>
      <c r="KSO30" s="28"/>
      <c r="KSP30" s="28"/>
      <c r="KSQ30" s="28"/>
      <c r="KSR30" s="28"/>
      <c r="KSS30" s="28"/>
      <c r="KST30" s="28"/>
      <c r="KSU30" s="28"/>
      <c r="KSV30" s="28"/>
      <c r="KSW30" s="28"/>
      <c r="KSX30" s="28"/>
      <c r="KSY30" s="28"/>
      <c r="KSZ30" s="28"/>
      <c r="KTA30" s="28"/>
      <c r="KTB30" s="28"/>
      <c r="KTC30" s="28"/>
      <c r="KTD30" s="28"/>
      <c r="KTE30" s="28"/>
      <c r="KTF30" s="28"/>
      <c r="KTG30" s="28"/>
      <c r="KTH30" s="28"/>
      <c r="KTI30" s="28"/>
      <c r="KTJ30" s="28"/>
      <c r="KTK30" s="28"/>
      <c r="KTL30" s="28"/>
      <c r="KTM30" s="28"/>
      <c r="KTN30" s="28"/>
      <c r="KTO30" s="28"/>
      <c r="KTP30" s="28"/>
      <c r="KTQ30" s="28"/>
      <c r="KTR30" s="28"/>
      <c r="KTS30" s="28"/>
      <c r="KTT30" s="28"/>
      <c r="KTU30" s="28"/>
      <c r="KTV30" s="28"/>
      <c r="KTW30" s="28"/>
      <c r="KTX30" s="28"/>
      <c r="KTY30" s="28"/>
      <c r="KTZ30" s="28"/>
      <c r="KUA30" s="28"/>
      <c r="KUB30" s="28"/>
      <c r="KUC30" s="28"/>
      <c r="KUD30" s="28"/>
      <c r="KUE30" s="28"/>
      <c r="KUF30" s="28"/>
      <c r="KUG30" s="28"/>
      <c r="KUH30" s="28"/>
      <c r="KUI30" s="28"/>
      <c r="KUJ30" s="28"/>
      <c r="KUK30" s="28"/>
      <c r="KUL30" s="28"/>
      <c r="KUM30" s="28"/>
      <c r="KUN30" s="28"/>
      <c r="KUO30" s="28"/>
      <c r="KUP30" s="28"/>
      <c r="KUQ30" s="28"/>
      <c r="KUR30" s="28"/>
      <c r="KUS30" s="28"/>
      <c r="KUT30" s="28"/>
      <c r="KUU30" s="28"/>
      <c r="KUV30" s="28"/>
      <c r="KUW30" s="28"/>
      <c r="KUX30" s="28"/>
      <c r="KUY30" s="28"/>
      <c r="KUZ30" s="28"/>
      <c r="KVA30" s="28"/>
      <c r="KVB30" s="28"/>
      <c r="KVC30" s="28"/>
      <c r="KVD30" s="28"/>
      <c r="KVE30" s="28"/>
      <c r="KVF30" s="28"/>
      <c r="KVG30" s="28"/>
      <c r="KVH30" s="28"/>
      <c r="KVI30" s="28"/>
      <c r="KVJ30" s="28"/>
      <c r="KVK30" s="28"/>
      <c r="KVL30" s="28"/>
      <c r="KVM30" s="28"/>
      <c r="KVN30" s="28"/>
      <c r="KVO30" s="28"/>
      <c r="KVP30" s="28"/>
      <c r="KVQ30" s="28"/>
      <c r="KVR30" s="28"/>
      <c r="KVS30" s="28"/>
      <c r="KVT30" s="28"/>
      <c r="KVU30" s="28"/>
      <c r="KVV30" s="28"/>
      <c r="KVW30" s="28"/>
      <c r="KVX30" s="28"/>
      <c r="KVY30" s="28"/>
      <c r="KVZ30" s="28"/>
      <c r="KWA30" s="28"/>
      <c r="KWB30" s="28"/>
      <c r="KWC30" s="28"/>
      <c r="KWD30" s="28"/>
      <c r="KWE30" s="28"/>
      <c r="KWF30" s="28"/>
      <c r="KWG30" s="28"/>
      <c r="KWH30" s="28"/>
      <c r="KWI30" s="28"/>
      <c r="KWJ30" s="28"/>
      <c r="KWK30" s="28"/>
      <c r="KWL30" s="28"/>
      <c r="KWM30" s="28"/>
      <c r="KWN30" s="28"/>
      <c r="KWO30" s="28"/>
      <c r="KWP30" s="28"/>
      <c r="KWQ30" s="28"/>
      <c r="KWR30" s="28"/>
      <c r="KWS30" s="28"/>
      <c r="KWT30" s="28"/>
      <c r="KWU30" s="28"/>
      <c r="KWV30" s="28"/>
      <c r="KWW30" s="28"/>
      <c r="KWX30" s="28"/>
      <c r="KWY30" s="28"/>
      <c r="KWZ30" s="28"/>
      <c r="KXA30" s="28"/>
      <c r="KXB30" s="28"/>
      <c r="KXC30" s="28"/>
      <c r="KXD30" s="28"/>
      <c r="KXE30" s="28"/>
      <c r="KXF30" s="28"/>
      <c r="KXG30" s="28"/>
      <c r="KXH30" s="28"/>
      <c r="KXI30" s="28"/>
      <c r="KXJ30" s="28"/>
      <c r="KXK30" s="28"/>
      <c r="KXL30" s="28"/>
      <c r="KXM30" s="28"/>
      <c r="KXN30" s="28"/>
      <c r="KXO30" s="28"/>
      <c r="KXP30" s="28"/>
      <c r="KXQ30" s="28"/>
      <c r="KXR30" s="28"/>
      <c r="KXS30" s="28"/>
      <c r="KXT30" s="28"/>
      <c r="KXU30" s="28"/>
      <c r="KXV30" s="28"/>
      <c r="KXW30" s="28"/>
      <c r="KXX30" s="28"/>
      <c r="KXY30" s="28"/>
      <c r="KXZ30" s="28"/>
      <c r="KYA30" s="28"/>
      <c r="KYB30" s="28"/>
      <c r="KYC30" s="28"/>
      <c r="KYD30" s="28"/>
      <c r="KYE30" s="28"/>
      <c r="KYF30" s="28"/>
      <c r="KYG30" s="28"/>
      <c r="KYH30" s="28"/>
      <c r="KYI30" s="28"/>
      <c r="KYJ30" s="28"/>
      <c r="KYK30" s="28"/>
      <c r="KYL30" s="28"/>
      <c r="KYM30" s="28"/>
      <c r="KYN30" s="28"/>
      <c r="KYO30" s="28"/>
      <c r="KYP30" s="28"/>
      <c r="KYQ30" s="28"/>
      <c r="KYR30" s="28"/>
      <c r="KYS30" s="28"/>
      <c r="KYT30" s="28"/>
      <c r="KYU30" s="28"/>
      <c r="KYV30" s="28"/>
      <c r="KYW30" s="28"/>
      <c r="KYX30" s="28"/>
      <c r="KYY30" s="28"/>
      <c r="KYZ30" s="28"/>
      <c r="KZA30" s="28"/>
      <c r="KZB30" s="28"/>
      <c r="KZC30" s="28"/>
      <c r="KZD30" s="28"/>
      <c r="KZE30" s="28"/>
      <c r="KZF30" s="28"/>
      <c r="KZG30" s="28"/>
      <c r="KZH30" s="28"/>
      <c r="KZI30" s="28"/>
      <c r="KZJ30" s="28"/>
      <c r="KZK30" s="28"/>
      <c r="KZL30" s="28"/>
      <c r="KZM30" s="28"/>
      <c r="KZN30" s="28"/>
      <c r="KZO30" s="28"/>
      <c r="KZP30" s="28"/>
      <c r="KZQ30" s="28"/>
      <c r="KZR30" s="28"/>
      <c r="KZS30" s="28"/>
      <c r="KZT30" s="28"/>
      <c r="KZU30" s="28"/>
      <c r="KZV30" s="28"/>
      <c r="KZW30" s="28"/>
      <c r="KZX30" s="28"/>
      <c r="KZY30" s="28"/>
      <c r="KZZ30" s="28"/>
      <c r="LAA30" s="28"/>
      <c r="LAB30" s="28"/>
      <c r="LAC30" s="28"/>
      <c r="LAD30" s="28"/>
      <c r="LAE30" s="28"/>
      <c r="LAF30" s="28"/>
      <c r="LAG30" s="28"/>
      <c r="LAH30" s="28"/>
      <c r="LAI30" s="28"/>
      <c r="LAJ30" s="28"/>
      <c r="LAK30" s="28"/>
      <c r="LAL30" s="28"/>
      <c r="LAM30" s="28"/>
      <c r="LAN30" s="28"/>
      <c r="LAO30" s="28"/>
      <c r="LAP30" s="28"/>
      <c r="LAQ30" s="28"/>
      <c r="LAR30" s="28"/>
      <c r="LAS30" s="28"/>
      <c r="LAT30" s="28"/>
      <c r="LAU30" s="28"/>
      <c r="LAV30" s="28"/>
      <c r="LAW30" s="28"/>
      <c r="LAX30" s="28"/>
      <c r="LAY30" s="28"/>
      <c r="LAZ30" s="28"/>
      <c r="LBA30" s="28"/>
      <c r="LBB30" s="28"/>
      <c r="LBC30" s="28"/>
      <c r="LBD30" s="28"/>
      <c r="LBE30" s="28"/>
      <c r="LBF30" s="28"/>
      <c r="LBG30" s="28"/>
      <c r="LBH30" s="28"/>
      <c r="LBI30" s="28"/>
      <c r="LBJ30" s="28"/>
      <c r="LBK30" s="28"/>
      <c r="LBL30" s="28"/>
      <c r="LBM30" s="28"/>
      <c r="LBN30" s="28"/>
      <c r="LBO30" s="28"/>
      <c r="LBP30" s="28"/>
      <c r="LBQ30" s="28"/>
      <c r="LBR30" s="28"/>
      <c r="LBS30" s="28"/>
      <c r="LBT30" s="28"/>
      <c r="LBU30" s="28"/>
      <c r="LBV30" s="28"/>
      <c r="LBW30" s="28"/>
      <c r="LBX30" s="28"/>
      <c r="LBY30" s="28"/>
      <c r="LBZ30" s="28"/>
      <c r="LCA30" s="28"/>
      <c r="LCB30" s="28"/>
      <c r="LCC30" s="28"/>
      <c r="LCD30" s="28"/>
      <c r="LCE30" s="28"/>
      <c r="LCF30" s="28"/>
      <c r="LCG30" s="28"/>
      <c r="LCH30" s="28"/>
      <c r="LCI30" s="28"/>
      <c r="LCJ30" s="28"/>
      <c r="LCK30" s="28"/>
      <c r="LCL30" s="28"/>
      <c r="LCM30" s="28"/>
      <c r="LCN30" s="28"/>
      <c r="LCO30" s="28"/>
      <c r="LCP30" s="28"/>
      <c r="LCQ30" s="28"/>
      <c r="LCR30" s="28"/>
      <c r="LCS30" s="28"/>
      <c r="LCT30" s="28"/>
      <c r="LCU30" s="28"/>
      <c r="LCV30" s="28"/>
      <c r="LCW30" s="28"/>
      <c r="LCX30" s="28"/>
      <c r="LCY30" s="28"/>
      <c r="LCZ30" s="28"/>
      <c r="LDA30" s="28"/>
      <c r="LDB30" s="28"/>
      <c r="LDC30" s="28"/>
      <c r="LDD30" s="28"/>
      <c r="LDE30" s="28"/>
      <c r="LDF30" s="28"/>
      <c r="LDG30" s="28"/>
      <c r="LDH30" s="28"/>
      <c r="LDI30" s="28"/>
      <c r="LDJ30" s="28"/>
      <c r="LDK30" s="28"/>
      <c r="LDL30" s="28"/>
      <c r="LDM30" s="28"/>
      <c r="LDN30" s="28"/>
      <c r="LDO30" s="28"/>
      <c r="LDP30" s="28"/>
      <c r="LDQ30" s="28"/>
      <c r="LDR30" s="28"/>
      <c r="LDS30" s="28"/>
      <c r="LDT30" s="28"/>
      <c r="LDU30" s="28"/>
      <c r="LDV30" s="28"/>
      <c r="LDW30" s="28"/>
      <c r="LDX30" s="28"/>
      <c r="LDY30" s="28"/>
      <c r="LDZ30" s="28"/>
      <c r="LEA30" s="28"/>
      <c r="LEB30" s="28"/>
      <c r="LEC30" s="28"/>
      <c r="LED30" s="28"/>
      <c r="LEE30" s="28"/>
      <c r="LEF30" s="28"/>
      <c r="LEG30" s="28"/>
      <c r="LEH30" s="28"/>
      <c r="LEI30" s="28"/>
      <c r="LEJ30" s="28"/>
      <c r="LEK30" s="28"/>
      <c r="LEL30" s="28"/>
      <c r="LEM30" s="28"/>
      <c r="LEN30" s="28"/>
      <c r="LEO30" s="28"/>
      <c r="LEP30" s="28"/>
      <c r="LEQ30" s="28"/>
      <c r="LER30" s="28"/>
      <c r="LES30" s="28"/>
      <c r="LET30" s="28"/>
      <c r="LEU30" s="28"/>
      <c r="LEV30" s="28"/>
      <c r="LEW30" s="28"/>
      <c r="LEX30" s="28"/>
      <c r="LEY30" s="28"/>
      <c r="LEZ30" s="28"/>
      <c r="LFA30" s="28"/>
      <c r="LFB30" s="28"/>
      <c r="LFC30" s="28"/>
      <c r="LFD30" s="28"/>
      <c r="LFE30" s="28"/>
      <c r="LFF30" s="28"/>
      <c r="LFG30" s="28"/>
      <c r="LFH30" s="28"/>
      <c r="LFI30" s="28"/>
      <c r="LFJ30" s="28"/>
      <c r="LFK30" s="28"/>
      <c r="LFL30" s="28"/>
      <c r="LFM30" s="28"/>
      <c r="LFN30" s="28"/>
      <c r="LFO30" s="28"/>
      <c r="LFP30" s="28"/>
      <c r="LFQ30" s="28"/>
      <c r="LFR30" s="28"/>
      <c r="LFS30" s="28"/>
      <c r="LFT30" s="28"/>
      <c r="LFU30" s="28"/>
      <c r="LFV30" s="28"/>
      <c r="LFW30" s="28"/>
      <c r="LFX30" s="28"/>
      <c r="LFY30" s="28"/>
      <c r="LFZ30" s="28"/>
      <c r="LGA30" s="28"/>
      <c r="LGB30" s="28"/>
      <c r="LGC30" s="28"/>
      <c r="LGD30" s="28"/>
      <c r="LGE30" s="28"/>
      <c r="LGF30" s="28"/>
      <c r="LGG30" s="28"/>
      <c r="LGH30" s="28"/>
      <c r="LGI30" s="28"/>
      <c r="LGJ30" s="28"/>
      <c r="LGK30" s="28"/>
      <c r="LGL30" s="28"/>
      <c r="LGM30" s="28"/>
      <c r="LGN30" s="28"/>
      <c r="LGO30" s="28"/>
      <c r="LGP30" s="28"/>
      <c r="LGQ30" s="28"/>
      <c r="LGR30" s="28"/>
      <c r="LGS30" s="28"/>
      <c r="LGT30" s="28"/>
      <c r="LGU30" s="28"/>
      <c r="LGV30" s="28"/>
      <c r="LGW30" s="28"/>
      <c r="LGX30" s="28"/>
      <c r="LGY30" s="28"/>
      <c r="LGZ30" s="28"/>
      <c r="LHA30" s="28"/>
      <c r="LHB30" s="28"/>
      <c r="LHC30" s="28"/>
      <c r="LHD30" s="28"/>
      <c r="LHE30" s="28"/>
      <c r="LHF30" s="28"/>
      <c r="LHG30" s="28"/>
      <c r="LHH30" s="28"/>
      <c r="LHI30" s="28"/>
      <c r="LHJ30" s="28"/>
      <c r="LHK30" s="28"/>
      <c r="LHL30" s="28"/>
      <c r="LHM30" s="28"/>
      <c r="LHN30" s="28"/>
      <c r="LHO30" s="28"/>
      <c r="LHP30" s="28"/>
      <c r="LHQ30" s="28"/>
      <c r="LHR30" s="28"/>
      <c r="LHS30" s="28"/>
      <c r="LHT30" s="28"/>
      <c r="LHU30" s="28"/>
      <c r="LHV30" s="28"/>
      <c r="LHW30" s="28"/>
      <c r="LHX30" s="28"/>
      <c r="LHY30" s="28"/>
      <c r="LHZ30" s="28"/>
      <c r="LIA30" s="28"/>
      <c r="LIB30" s="28"/>
      <c r="LIC30" s="28"/>
      <c r="LID30" s="28"/>
      <c r="LIE30" s="28"/>
      <c r="LIF30" s="28"/>
      <c r="LIG30" s="28"/>
      <c r="LIH30" s="28"/>
      <c r="LII30" s="28"/>
      <c r="LIJ30" s="28"/>
      <c r="LIK30" s="28"/>
      <c r="LIL30" s="28"/>
      <c r="LIM30" s="28"/>
      <c r="LIN30" s="28"/>
      <c r="LIO30" s="28"/>
      <c r="LIP30" s="28"/>
      <c r="LIQ30" s="28"/>
      <c r="LIR30" s="28"/>
      <c r="LIS30" s="28"/>
      <c r="LIT30" s="28"/>
      <c r="LIU30" s="28"/>
      <c r="LIV30" s="28"/>
      <c r="LIW30" s="28"/>
      <c r="LIX30" s="28"/>
      <c r="LIY30" s="28"/>
      <c r="LIZ30" s="28"/>
      <c r="LJA30" s="28"/>
      <c r="LJB30" s="28"/>
      <c r="LJC30" s="28"/>
      <c r="LJD30" s="28"/>
      <c r="LJE30" s="28"/>
      <c r="LJF30" s="28"/>
      <c r="LJG30" s="28"/>
      <c r="LJH30" s="28"/>
      <c r="LJI30" s="28"/>
      <c r="LJJ30" s="28"/>
      <c r="LJK30" s="28"/>
      <c r="LJL30" s="28"/>
      <c r="LJM30" s="28"/>
      <c r="LJN30" s="28"/>
      <c r="LJO30" s="28"/>
      <c r="LJP30" s="28"/>
      <c r="LJQ30" s="28"/>
      <c r="LJR30" s="28"/>
      <c r="LJS30" s="28"/>
      <c r="LJT30" s="28"/>
      <c r="LJU30" s="28"/>
      <c r="LJV30" s="28"/>
      <c r="LJW30" s="28"/>
      <c r="LJX30" s="28"/>
      <c r="LJY30" s="28"/>
      <c r="LJZ30" s="28"/>
      <c r="LKA30" s="28"/>
      <c r="LKB30" s="28"/>
      <c r="LKC30" s="28"/>
      <c r="LKD30" s="28"/>
      <c r="LKE30" s="28"/>
      <c r="LKF30" s="28"/>
      <c r="LKG30" s="28"/>
      <c r="LKH30" s="28"/>
      <c r="LKI30" s="28"/>
      <c r="LKJ30" s="28"/>
      <c r="LKK30" s="28"/>
      <c r="LKL30" s="28"/>
      <c r="LKM30" s="28"/>
      <c r="LKN30" s="28"/>
      <c r="LKO30" s="28"/>
      <c r="LKP30" s="28"/>
      <c r="LKQ30" s="28"/>
      <c r="LKR30" s="28"/>
      <c r="LKS30" s="28"/>
      <c r="LKT30" s="28"/>
      <c r="LKU30" s="28"/>
      <c r="LKV30" s="28"/>
      <c r="LKW30" s="28"/>
      <c r="LKX30" s="28"/>
      <c r="LKY30" s="28"/>
      <c r="LKZ30" s="28"/>
      <c r="LLA30" s="28"/>
      <c r="LLB30" s="28"/>
      <c r="LLC30" s="28"/>
      <c r="LLD30" s="28"/>
      <c r="LLE30" s="28"/>
      <c r="LLF30" s="28"/>
      <c r="LLG30" s="28"/>
      <c r="LLH30" s="28"/>
      <c r="LLI30" s="28"/>
      <c r="LLJ30" s="28"/>
      <c r="LLK30" s="28"/>
      <c r="LLL30" s="28"/>
      <c r="LLM30" s="28"/>
      <c r="LLN30" s="28"/>
      <c r="LLO30" s="28"/>
      <c r="LLP30" s="28"/>
      <c r="LLQ30" s="28"/>
      <c r="LLR30" s="28"/>
      <c r="LLS30" s="28"/>
      <c r="LLT30" s="28"/>
      <c r="LLU30" s="28"/>
      <c r="LLV30" s="28"/>
      <c r="LLW30" s="28"/>
      <c r="LLX30" s="28"/>
      <c r="LLY30" s="28"/>
      <c r="LLZ30" s="28"/>
      <c r="LMA30" s="28"/>
      <c r="LMB30" s="28"/>
      <c r="LMC30" s="28"/>
      <c r="LMD30" s="28"/>
      <c r="LME30" s="28"/>
      <c r="LMF30" s="28"/>
      <c r="LMG30" s="28"/>
      <c r="LMH30" s="28"/>
      <c r="LMI30" s="28"/>
      <c r="LMJ30" s="28"/>
      <c r="LMK30" s="28"/>
      <c r="LML30" s="28"/>
      <c r="LMM30" s="28"/>
      <c r="LMN30" s="28"/>
      <c r="LMO30" s="28"/>
      <c r="LMP30" s="28"/>
      <c r="LMQ30" s="28"/>
      <c r="LMR30" s="28"/>
      <c r="LMS30" s="28"/>
      <c r="LMT30" s="28"/>
      <c r="LMU30" s="28"/>
      <c r="LMV30" s="28"/>
      <c r="LMW30" s="28"/>
      <c r="LMX30" s="28"/>
      <c r="LMY30" s="28"/>
      <c r="LMZ30" s="28"/>
      <c r="LNA30" s="28"/>
      <c r="LNB30" s="28"/>
      <c r="LNC30" s="28"/>
      <c r="LND30" s="28"/>
      <c r="LNE30" s="28"/>
      <c r="LNF30" s="28"/>
      <c r="LNG30" s="28"/>
      <c r="LNH30" s="28"/>
      <c r="LNI30" s="28"/>
      <c r="LNJ30" s="28"/>
      <c r="LNK30" s="28"/>
      <c r="LNL30" s="28"/>
      <c r="LNM30" s="28"/>
      <c r="LNN30" s="28"/>
      <c r="LNO30" s="28"/>
      <c r="LNP30" s="28"/>
      <c r="LNQ30" s="28"/>
      <c r="LNR30" s="28"/>
      <c r="LNS30" s="28"/>
      <c r="LNT30" s="28"/>
      <c r="LNU30" s="28"/>
      <c r="LNV30" s="28"/>
      <c r="LNW30" s="28"/>
      <c r="LNX30" s="28"/>
      <c r="LNY30" s="28"/>
      <c r="LNZ30" s="28"/>
      <c r="LOA30" s="28"/>
      <c r="LOB30" s="28"/>
      <c r="LOC30" s="28"/>
      <c r="LOD30" s="28"/>
      <c r="LOE30" s="28"/>
      <c r="LOF30" s="28"/>
      <c r="LOG30" s="28"/>
      <c r="LOH30" s="28"/>
      <c r="LOI30" s="28"/>
      <c r="LOJ30" s="28"/>
      <c r="LOK30" s="28"/>
      <c r="LOL30" s="28"/>
      <c r="LOM30" s="28"/>
      <c r="LON30" s="28"/>
      <c r="LOO30" s="28"/>
      <c r="LOP30" s="28"/>
      <c r="LOQ30" s="28"/>
      <c r="LOR30" s="28"/>
      <c r="LOS30" s="28"/>
      <c r="LOT30" s="28"/>
      <c r="LOU30" s="28"/>
      <c r="LOV30" s="28"/>
      <c r="LOW30" s="28"/>
      <c r="LOX30" s="28"/>
      <c r="LOY30" s="28"/>
      <c r="LOZ30" s="28"/>
      <c r="LPA30" s="28"/>
      <c r="LPB30" s="28"/>
      <c r="LPC30" s="28"/>
      <c r="LPD30" s="28"/>
      <c r="LPE30" s="28"/>
      <c r="LPF30" s="28"/>
      <c r="LPG30" s="28"/>
      <c r="LPH30" s="28"/>
      <c r="LPI30" s="28"/>
      <c r="LPJ30" s="28"/>
      <c r="LPK30" s="28"/>
      <c r="LPL30" s="28"/>
      <c r="LPM30" s="28"/>
      <c r="LPN30" s="28"/>
      <c r="LPO30" s="28"/>
      <c r="LPP30" s="28"/>
      <c r="LPQ30" s="28"/>
      <c r="LPR30" s="28"/>
      <c r="LPS30" s="28"/>
      <c r="LPT30" s="28"/>
      <c r="LPU30" s="28"/>
      <c r="LPV30" s="28"/>
      <c r="LPW30" s="28"/>
      <c r="LPX30" s="28"/>
      <c r="LPY30" s="28"/>
      <c r="LPZ30" s="28"/>
      <c r="LQA30" s="28"/>
      <c r="LQB30" s="28"/>
      <c r="LQC30" s="28"/>
      <c r="LQD30" s="28"/>
      <c r="LQE30" s="28"/>
      <c r="LQF30" s="28"/>
      <c r="LQG30" s="28"/>
      <c r="LQH30" s="28"/>
      <c r="LQI30" s="28"/>
      <c r="LQJ30" s="28"/>
      <c r="LQK30" s="28"/>
      <c r="LQL30" s="28"/>
      <c r="LQM30" s="28"/>
      <c r="LQN30" s="28"/>
      <c r="LQO30" s="28"/>
      <c r="LQP30" s="28"/>
      <c r="LQQ30" s="28"/>
      <c r="LQR30" s="28"/>
      <c r="LQS30" s="28"/>
      <c r="LQT30" s="28"/>
      <c r="LQU30" s="28"/>
      <c r="LQV30" s="28"/>
      <c r="LQW30" s="28"/>
      <c r="LQX30" s="28"/>
      <c r="LQY30" s="28"/>
      <c r="LQZ30" s="28"/>
      <c r="LRA30" s="28"/>
      <c r="LRB30" s="28"/>
      <c r="LRC30" s="28"/>
      <c r="LRD30" s="28"/>
      <c r="LRE30" s="28"/>
      <c r="LRF30" s="28"/>
      <c r="LRG30" s="28"/>
      <c r="LRH30" s="28"/>
      <c r="LRI30" s="28"/>
      <c r="LRJ30" s="28"/>
      <c r="LRK30" s="28"/>
      <c r="LRL30" s="28"/>
      <c r="LRM30" s="28"/>
      <c r="LRN30" s="28"/>
      <c r="LRO30" s="28"/>
      <c r="LRP30" s="28"/>
      <c r="LRQ30" s="28"/>
      <c r="LRR30" s="28"/>
      <c r="LRS30" s="28"/>
      <c r="LRT30" s="28"/>
      <c r="LRU30" s="28"/>
      <c r="LRV30" s="28"/>
      <c r="LRW30" s="28"/>
      <c r="LRX30" s="28"/>
      <c r="LRY30" s="28"/>
      <c r="LRZ30" s="28"/>
      <c r="LSA30" s="28"/>
      <c r="LSB30" s="28"/>
      <c r="LSC30" s="28"/>
      <c r="LSD30" s="28"/>
      <c r="LSE30" s="28"/>
      <c r="LSF30" s="28"/>
      <c r="LSG30" s="28"/>
      <c r="LSH30" s="28"/>
      <c r="LSI30" s="28"/>
      <c r="LSJ30" s="28"/>
      <c r="LSK30" s="28"/>
      <c r="LSL30" s="28"/>
      <c r="LSM30" s="28"/>
      <c r="LSN30" s="28"/>
      <c r="LSO30" s="28"/>
      <c r="LSP30" s="28"/>
      <c r="LSQ30" s="28"/>
      <c r="LSR30" s="28"/>
      <c r="LSS30" s="28"/>
      <c r="LST30" s="28"/>
      <c r="LSU30" s="28"/>
      <c r="LSV30" s="28"/>
      <c r="LSW30" s="28"/>
      <c r="LSX30" s="28"/>
      <c r="LSY30" s="28"/>
      <c r="LSZ30" s="28"/>
      <c r="LTA30" s="28"/>
      <c r="LTB30" s="28"/>
      <c r="LTC30" s="28"/>
      <c r="LTD30" s="28"/>
      <c r="LTE30" s="28"/>
      <c r="LTF30" s="28"/>
      <c r="LTG30" s="28"/>
      <c r="LTH30" s="28"/>
      <c r="LTI30" s="28"/>
      <c r="LTJ30" s="28"/>
      <c r="LTK30" s="28"/>
      <c r="LTL30" s="28"/>
      <c r="LTM30" s="28"/>
      <c r="LTN30" s="28"/>
      <c r="LTO30" s="28"/>
      <c r="LTP30" s="28"/>
      <c r="LTQ30" s="28"/>
      <c r="LTR30" s="28"/>
      <c r="LTS30" s="28"/>
      <c r="LTT30" s="28"/>
      <c r="LTU30" s="28"/>
      <c r="LTV30" s="28"/>
      <c r="LTW30" s="28"/>
      <c r="LTX30" s="28"/>
      <c r="LTY30" s="28"/>
      <c r="LTZ30" s="28"/>
      <c r="LUA30" s="28"/>
      <c r="LUB30" s="28"/>
      <c r="LUC30" s="28"/>
      <c r="LUD30" s="28"/>
      <c r="LUE30" s="28"/>
      <c r="LUF30" s="28"/>
      <c r="LUG30" s="28"/>
      <c r="LUH30" s="28"/>
      <c r="LUI30" s="28"/>
      <c r="LUJ30" s="28"/>
      <c r="LUK30" s="28"/>
      <c r="LUL30" s="28"/>
      <c r="LUM30" s="28"/>
      <c r="LUN30" s="28"/>
      <c r="LUO30" s="28"/>
      <c r="LUP30" s="28"/>
      <c r="LUQ30" s="28"/>
      <c r="LUR30" s="28"/>
      <c r="LUS30" s="28"/>
      <c r="LUT30" s="28"/>
      <c r="LUU30" s="28"/>
      <c r="LUV30" s="28"/>
      <c r="LUW30" s="28"/>
      <c r="LUX30" s="28"/>
      <c r="LUY30" s="28"/>
      <c r="LUZ30" s="28"/>
      <c r="LVA30" s="28"/>
      <c r="LVB30" s="28"/>
      <c r="LVC30" s="28"/>
      <c r="LVD30" s="28"/>
      <c r="LVE30" s="28"/>
      <c r="LVF30" s="28"/>
      <c r="LVG30" s="28"/>
      <c r="LVH30" s="28"/>
      <c r="LVI30" s="28"/>
      <c r="LVJ30" s="28"/>
      <c r="LVK30" s="28"/>
      <c r="LVL30" s="28"/>
      <c r="LVM30" s="28"/>
      <c r="LVN30" s="28"/>
      <c r="LVO30" s="28"/>
      <c r="LVP30" s="28"/>
      <c r="LVQ30" s="28"/>
      <c r="LVR30" s="28"/>
      <c r="LVS30" s="28"/>
      <c r="LVT30" s="28"/>
      <c r="LVU30" s="28"/>
      <c r="LVV30" s="28"/>
      <c r="LVW30" s="28"/>
      <c r="LVX30" s="28"/>
      <c r="LVY30" s="28"/>
      <c r="LVZ30" s="28"/>
      <c r="LWA30" s="28"/>
      <c r="LWB30" s="28"/>
      <c r="LWC30" s="28"/>
      <c r="LWD30" s="28"/>
      <c r="LWE30" s="28"/>
      <c r="LWF30" s="28"/>
      <c r="LWG30" s="28"/>
      <c r="LWH30" s="28"/>
      <c r="LWI30" s="28"/>
      <c r="LWJ30" s="28"/>
      <c r="LWK30" s="28"/>
      <c r="LWL30" s="28"/>
      <c r="LWM30" s="28"/>
      <c r="LWN30" s="28"/>
      <c r="LWO30" s="28"/>
      <c r="LWP30" s="28"/>
      <c r="LWQ30" s="28"/>
      <c r="LWR30" s="28"/>
      <c r="LWS30" s="28"/>
      <c r="LWT30" s="28"/>
      <c r="LWU30" s="28"/>
      <c r="LWV30" s="28"/>
      <c r="LWW30" s="28"/>
      <c r="LWX30" s="28"/>
      <c r="LWY30" s="28"/>
      <c r="LWZ30" s="28"/>
      <c r="LXA30" s="28"/>
      <c r="LXB30" s="28"/>
      <c r="LXC30" s="28"/>
      <c r="LXD30" s="28"/>
      <c r="LXE30" s="28"/>
      <c r="LXF30" s="28"/>
      <c r="LXG30" s="28"/>
      <c r="LXH30" s="28"/>
      <c r="LXI30" s="28"/>
      <c r="LXJ30" s="28"/>
      <c r="LXK30" s="28"/>
      <c r="LXL30" s="28"/>
      <c r="LXM30" s="28"/>
      <c r="LXN30" s="28"/>
      <c r="LXO30" s="28"/>
      <c r="LXP30" s="28"/>
      <c r="LXQ30" s="28"/>
      <c r="LXR30" s="28"/>
      <c r="LXS30" s="28"/>
      <c r="LXT30" s="28"/>
      <c r="LXU30" s="28"/>
      <c r="LXV30" s="28"/>
      <c r="LXW30" s="28"/>
      <c r="LXX30" s="28"/>
      <c r="LXY30" s="28"/>
      <c r="LXZ30" s="28"/>
      <c r="LYA30" s="28"/>
      <c r="LYB30" s="28"/>
      <c r="LYC30" s="28"/>
      <c r="LYD30" s="28"/>
      <c r="LYE30" s="28"/>
      <c r="LYF30" s="28"/>
      <c r="LYG30" s="28"/>
      <c r="LYH30" s="28"/>
      <c r="LYI30" s="28"/>
      <c r="LYJ30" s="28"/>
      <c r="LYK30" s="28"/>
      <c r="LYL30" s="28"/>
      <c r="LYM30" s="28"/>
      <c r="LYN30" s="28"/>
      <c r="LYO30" s="28"/>
      <c r="LYP30" s="28"/>
      <c r="LYQ30" s="28"/>
      <c r="LYR30" s="28"/>
      <c r="LYS30" s="28"/>
      <c r="LYT30" s="28"/>
      <c r="LYU30" s="28"/>
      <c r="LYV30" s="28"/>
      <c r="LYW30" s="28"/>
      <c r="LYX30" s="28"/>
      <c r="LYY30" s="28"/>
      <c r="LYZ30" s="28"/>
      <c r="LZA30" s="28"/>
      <c r="LZB30" s="28"/>
      <c r="LZC30" s="28"/>
      <c r="LZD30" s="28"/>
      <c r="LZE30" s="28"/>
      <c r="LZF30" s="28"/>
      <c r="LZG30" s="28"/>
      <c r="LZH30" s="28"/>
      <c r="LZI30" s="28"/>
      <c r="LZJ30" s="28"/>
      <c r="LZK30" s="28"/>
      <c r="LZL30" s="28"/>
      <c r="LZM30" s="28"/>
      <c r="LZN30" s="28"/>
      <c r="LZO30" s="28"/>
      <c r="LZP30" s="28"/>
      <c r="LZQ30" s="28"/>
      <c r="LZR30" s="28"/>
      <c r="LZS30" s="28"/>
      <c r="LZT30" s="28"/>
      <c r="LZU30" s="28"/>
      <c r="LZV30" s="28"/>
      <c r="LZW30" s="28"/>
      <c r="LZX30" s="28"/>
      <c r="LZY30" s="28"/>
      <c r="LZZ30" s="28"/>
      <c r="MAA30" s="28"/>
      <c r="MAB30" s="28"/>
      <c r="MAC30" s="28"/>
      <c r="MAD30" s="28"/>
      <c r="MAE30" s="28"/>
      <c r="MAF30" s="28"/>
      <c r="MAG30" s="28"/>
      <c r="MAH30" s="28"/>
      <c r="MAI30" s="28"/>
      <c r="MAJ30" s="28"/>
      <c r="MAK30" s="28"/>
      <c r="MAL30" s="28"/>
      <c r="MAM30" s="28"/>
      <c r="MAN30" s="28"/>
      <c r="MAO30" s="28"/>
      <c r="MAP30" s="28"/>
      <c r="MAQ30" s="28"/>
      <c r="MAR30" s="28"/>
      <c r="MAS30" s="28"/>
      <c r="MAT30" s="28"/>
      <c r="MAU30" s="28"/>
      <c r="MAV30" s="28"/>
      <c r="MAW30" s="28"/>
      <c r="MAX30" s="28"/>
      <c r="MAY30" s="28"/>
      <c r="MAZ30" s="28"/>
      <c r="MBA30" s="28"/>
      <c r="MBB30" s="28"/>
      <c r="MBC30" s="28"/>
      <c r="MBD30" s="28"/>
      <c r="MBE30" s="28"/>
      <c r="MBF30" s="28"/>
      <c r="MBG30" s="28"/>
      <c r="MBH30" s="28"/>
      <c r="MBI30" s="28"/>
      <c r="MBJ30" s="28"/>
      <c r="MBK30" s="28"/>
      <c r="MBL30" s="28"/>
      <c r="MBM30" s="28"/>
      <c r="MBN30" s="28"/>
      <c r="MBO30" s="28"/>
      <c r="MBP30" s="28"/>
      <c r="MBQ30" s="28"/>
      <c r="MBR30" s="28"/>
      <c r="MBS30" s="28"/>
      <c r="MBT30" s="28"/>
      <c r="MBU30" s="28"/>
      <c r="MBV30" s="28"/>
      <c r="MBW30" s="28"/>
      <c r="MBX30" s="28"/>
      <c r="MBY30" s="28"/>
      <c r="MBZ30" s="28"/>
      <c r="MCA30" s="28"/>
      <c r="MCB30" s="28"/>
      <c r="MCC30" s="28"/>
      <c r="MCD30" s="28"/>
      <c r="MCE30" s="28"/>
      <c r="MCF30" s="28"/>
      <c r="MCG30" s="28"/>
      <c r="MCH30" s="28"/>
      <c r="MCI30" s="28"/>
      <c r="MCJ30" s="28"/>
      <c r="MCK30" s="28"/>
      <c r="MCL30" s="28"/>
      <c r="MCM30" s="28"/>
      <c r="MCN30" s="28"/>
      <c r="MCO30" s="28"/>
      <c r="MCP30" s="28"/>
      <c r="MCQ30" s="28"/>
      <c r="MCR30" s="28"/>
      <c r="MCS30" s="28"/>
      <c r="MCT30" s="28"/>
      <c r="MCU30" s="28"/>
      <c r="MCV30" s="28"/>
      <c r="MCW30" s="28"/>
      <c r="MCX30" s="28"/>
      <c r="MCY30" s="28"/>
      <c r="MCZ30" s="28"/>
      <c r="MDA30" s="28"/>
      <c r="MDB30" s="28"/>
      <c r="MDC30" s="28"/>
      <c r="MDD30" s="28"/>
      <c r="MDE30" s="28"/>
      <c r="MDF30" s="28"/>
      <c r="MDG30" s="28"/>
      <c r="MDH30" s="28"/>
      <c r="MDI30" s="28"/>
      <c r="MDJ30" s="28"/>
      <c r="MDK30" s="28"/>
      <c r="MDL30" s="28"/>
      <c r="MDM30" s="28"/>
      <c r="MDN30" s="28"/>
      <c r="MDO30" s="28"/>
      <c r="MDP30" s="28"/>
      <c r="MDQ30" s="28"/>
      <c r="MDR30" s="28"/>
      <c r="MDS30" s="28"/>
      <c r="MDT30" s="28"/>
      <c r="MDU30" s="28"/>
      <c r="MDV30" s="28"/>
      <c r="MDW30" s="28"/>
      <c r="MDX30" s="28"/>
      <c r="MDY30" s="28"/>
      <c r="MDZ30" s="28"/>
      <c r="MEA30" s="28"/>
      <c r="MEB30" s="28"/>
      <c r="MEC30" s="28"/>
      <c r="MED30" s="28"/>
      <c r="MEE30" s="28"/>
      <c r="MEF30" s="28"/>
      <c r="MEG30" s="28"/>
      <c r="MEH30" s="28"/>
      <c r="MEI30" s="28"/>
      <c r="MEJ30" s="28"/>
      <c r="MEK30" s="28"/>
      <c r="MEL30" s="28"/>
      <c r="MEM30" s="28"/>
      <c r="MEN30" s="28"/>
      <c r="MEO30" s="28"/>
      <c r="MEP30" s="28"/>
      <c r="MEQ30" s="28"/>
      <c r="MER30" s="28"/>
      <c r="MES30" s="28"/>
      <c r="MET30" s="28"/>
      <c r="MEU30" s="28"/>
      <c r="MEV30" s="28"/>
      <c r="MEW30" s="28"/>
      <c r="MEX30" s="28"/>
      <c r="MEY30" s="28"/>
      <c r="MEZ30" s="28"/>
      <c r="MFA30" s="28"/>
      <c r="MFB30" s="28"/>
      <c r="MFC30" s="28"/>
      <c r="MFD30" s="28"/>
      <c r="MFE30" s="28"/>
      <c r="MFF30" s="28"/>
      <c r="MFG30" s="28"/>
      <c r="MFH30" s="28"/>
      <c r="MFI30" s="28"/>
      <c r="MFJ30" s="28"/>
      <c r="MFK30" s="28"/>
      <c r="MFL30" s="28"/>
      <c r="MFM30" s="28"/>
      <c r="MFN30" s="28"/>
      <c r="MFO30" s="28"/>
      <c r="MFP30" s="28"/>
      <c r="MFQ30" s="28"/>
      <c r="MFR30" s="28"/>
      <c r="MFS30" s="28"/>
      <c r="MFT30" s="28"/>
      <c r="MFU30" s="28"/>
      <c r="MFV30" s="28"/>
      <c r="MFW30" s="28"/>
      <c r="MFX30" s="28"/>
      <c r="MFY30" s="28"/>
      <c r="MFZ30" s="28"/>
      <c r="MGA30" s="28"/>
      <c r="MGB30" s="28"/>
      <c r="MGC30" s="28"/>
      <c r="MGD30" s="28"/>
      <c r="MGE30" s="28"/>
      <c r="MGF30" s="28"/>
      <c r="MGG30" s="28"/>
      <c r="MGH30" s="28"/>
      <c r="MGI30" s="28"/>
      <c r="MGJ30" s="28"/>
      <c r="MGK30" s="28"/>
      <c r="MGL30" s="28"/>
      <c r="MGM30" s="28"/>
      <c r="MGN30" s="28"/>
      <c r="MGO30" s="28"/>
      <c r="MGP30" s="28"/>
      <c r="MGQ30" s="28"/>
      <c r="MGR30" s="28"/>
      <c r="MGS30" s="28"/>
      <c r="MGT30" s="28"/>
      <c r="MGU30" s="28"/>
      <c r="MGV30" s="28"/>
      <c r="MGW30" s="28"/>
      <c r="MGX30" s="28"/>
      <c r="MGY30" s="28"/>
      <c r="MGZ30" s="28"/>
      <c r="MHA30" s="28"/>
      <c r="MHB30" s="28"/>
      <c r="MHC30" s="28"/>
      <c r="MHD30" s="28"/>
      <c r="MHE30" s="28"/>
      <c r="MHF30" s="28"/>
      <c r="MHG30" s="28"/>
      <c r="MHH30" s="28"/>
      <c r="MHI30" s="28"/>
      <c r="MHJ30" s="28"/>
      <c r="MHK30" s="28"/>
      <c r="MHL30" s="28"/>
      <c r="MHM30" s="28"/>
      <c r="MHN30" s="28"/>
      <c r="MHO30" s="28"/>
      <c r="MHP30" s="28"/>
      <c r="MHQ30" s="28"/>
      <c r="MHR30" s="28"/>
      <c r="MHS30" s="28"/>
      <c r="MHT30" s="28"/>
      <c r="MHU30" s="28"/>
      <c r="MHV30" s="28"/>
      <c r="MHW30" s="28"/>
      <c r="MHX30" s="28"/>
      <c r="MHY30" s="28"/>
      <c r="MHZ30" s="28"/>
      <c r="MIA30" s="28"/>
      <c r="MIB30" s="28"/>
      <c r="MIC30" s="28"/>
      <c r="MID30" s="28"/>
      <c r="MIE30" s="28"/>
      <c r="MIF30" s="28"/>
      <c r="MIG30" s="28"/>
      <c r="MIH30" s="28"/>
      <c r="MII30" s="28"/>
      <c r="MIJ30" s="28"/>
      <c r="MIK30" s="28"/>
      <c r="MIL30" s="28"/>
      <c r="MIM30" s="28"/>
      <c r="MIN30" s="28"/>
      <c r="MIO30" s="28"/>
      <c r="MIP30" s="28"/>
      <c r="MIQ30" s="28"/>
      <c r="MIR30" s="28"/>
      <c r="MIS30" s="28"/>
      <c r="MIT30" s="28"/>
      <c r="MIU30" s="28"/>
      <c r="MIV30" s="28"/>
      <c r="MIW30" s="28"/>
      <c r="MIX30" s="28"/>
      <c r="MIY30" s="28"/>
      <c r="MIZ30" s="28"/>
      <c r="MJA30" s="28"/>
      <c r="MJB30" s="28"/>
      <c r="MJC30" s="28"/>
      <c r="MJD30" s="28"/>
      <c r="MJE30" s="28"/>
      <c r="MJF30" s="28"/>
      <c r="MJG30" s="28"/>
      <c r="MJH30" s="28"/>
      <c r="MJI30" s="28"/>
      <c r="MJJ30" s="28"/>
      <c r="MJK30" s="28"/>
      <c r="MJL30" s="28"/>
      <c r="MJM30" s="28"/>
      <c r="MJN30" s="28"/>
      <c r="MJO30" s="28"/>
      <c r="MJP30" s="28"/>
      <c r="MJQ30" s="28"/>
      <c r="MJR30" s="28"/>
      <c r="MJS30" s="28"/>
      <c r="MJT30" s="28"/>
      <c r="MJU30" s="28"/>
      <c r="MJV30" s="28"/>
      <c r="MJW30" s="28"/>
      <c r="MJX30" s="28"/>
      <c r="MJY30" s="28"/>
      <c r="MJZ30" s="28"/>
      <c r="MKA30" s="28"/>
      <c r="MKB30" s="28"/>
      <c r="MKC30" s="28"/>
      <c r="MKD30" s="28"/>
      <c r="MKE30" s="28"/>
      <c r="MKF30" s="28"/>
      <c r="MKG30" s="28"/>
      <c r="MKH30" s="28"/>
      <c r="MKI30" s="28"/>
      <c r="MKJ30" s="28"/>
      <c r="MKK30" s="28"/>
      <c r="MKL30" s="28"/>
      <c r="MKM30" s="28"/>
      <c r="MKN30" s="28"/>
      <c r="MKO30" s="28"/>
      <c r="MKP30" s="28"/>
      <c r="MKQ30" s="28"/>
      <c r="MKR30" s="28"/>
      <c r="MKS30" s="28"/>
      <c r="MKT30" s="28"/>
      <c r="MKU30" s="28"/>
      <c r="MKV30" s="28"/>
      <c r="MKW30" s="28"/>
      <c r="MKX30" s="28"/>
      <c r="MKY30" s="28"/>
      <c r="MKZ30" s="28"/>
      <c r="MLA30" s="28"/>
      <c r="MLB30" s="28"/>
      <c r="MLC30" s="28"/>
      <c r="MLD30" s="28"/>
      <c r="MLE30" s="28"/>
      <c r="MLF30" s="28"/>
      <c r="MLG30" s="28"/>
      <c r="MLH30" s="28"/>
      <c r="MLI30" s="28"/>
      <c r="MLJ30" s="28"/>
      <c r="MLK30" s="28"/>
      <c r="MLL30" s="28"/>
      <c r="MLM30" s="28"/>
      <c r="MLN30" s="28"/>
      <c r="MLO30" s="28"/>
      <c r="MLP30" s="28"/>
      <c r="MLQ30" s="28"/>
      <c r="MLR30" s="28"/>
      <c r="MLS30" s="28"/>
      <c r="MLT30" s="28"/>
      <c r="MLU30" s="28"/>
      <c r="MLV30" s="28"/>
      <c r="MLW30" s="28"/>
      <c r="MLX30" s="28"/>
      <c r="MLY30" s="28"/>
      <c r="MLZ30" s="28"/>
      <c r="MMA30" s="28"/>
      <c r="MMB30" s="28"/>
      <c r="MMC30" s="28"/>
      <c r="MMD30" s="28"/>
      <c r="MME30" s="28"/>
      <c r="MMF30" s="28"/>
      <c r="MMG30" s="28"/>
      <c r="MMH30" s="28"/>
      <c r="MMI30" s="28"/>
      <c r="MMJ30" s="28"/>
      <c r="MMK30" s="28"/>
      <c r="MML30" s="28"/>
      <c r="MMM30" s="28"/>
      <c r="MMN30" s="28"/>
      <c r="MMO30" s="28"/>
      <c r="MMP30" s="28"/>
      <c r="MMQ30" s="28"/>
      <c r="MMR30" s="28"/>
      <c r="MMS30" s="28"/>
      <c r="MMT30" s="28"/>
      <c r="MMU30" s="28"/>
      <c r="MMV30" s="28"/>
      <c r="MMW30" s="28"/>
      <c r="MMX30" s="28"/>
      <c r="MMY30" s="28"/>
      <c r="MMZ30" s="28"/>
      <c r="MNA30" s="28"/>
      <c r="MNB30" s="28"/>
      <c r="MNC30" s="28"/>
      <c r="MND30" s="28"/>
      <c r="MNE30" s="28"/>
      <c r="MNF30" s="28"/>
      <c r="MNG30" s="28"/>
      <c r="MNH30" s="28"/>
      <c r="MNI30" s="28"/>
      <c r="MNJ30" s="28"/>
      <c r="MNK30" s="28"/>
      <c r="MNL30" s="28"/>
      <c r="MNM30" s="28"/>
      <c r="MNN30" s="28"/>
      <c r="MNO30" s="28"/>
      <c r="MNP30" s="28"/>
      <c r="MNQ30" s="28"/>
      <c r="MNR30" s="28"/>
      <c r="MNS30" s="28"/>
      <c r="MNT30" s="28"/>
      <c r="MNU30" s="28"/>
      <c r="MNV30" s="28"/>
      <c r="MNW30" s="28"/>
      <c r="MNX30" s="28"/>
      <c r="MNY30" s="28"/>
      <c r="MNZ30" s="28"/>
      <c r="MOA30" s="28"/>
      <c r="MOB30" s="28"/>
      <c r="MOC30" s="28"/>
      <c r="MOD30" s="28"/>
      <c r="MOE30" s="28"/>
      <c r="MOF30" s="28"/>
      <c r="MOG30" s="28"/>
      <c r="MOH30" s="28"/>
      <c r="MOI30" s="28"/>
      <c r="MOJ30" s="28"/>
      <c r="MOK30" s="28"/>
      <c r="MOL30" s="28"/>
      <c r="MOM30" s="28"/>
      <c r="MON30" s="28"/>
      <c r="MOO30" s="28"/>
      <c r="MOP30" s="28"/>
      <c r="MOQ30" s="28"/>
      <c r="MOR30" s="28"/>
      <c r="MOS30" s="28"/>
      <c r="MOT30" s="28"/>
      <c r="MOU30" s="28"/>
      <c r="MOV30" s="28"/>
      <c r="MOW30" s="28"/>
      <c r="MOX30" s="28"/>
      <c r="MOY30" s="28"/>
      <c r="MOZ30" s="28"/>
      <c r="MPA30" s="28"/>
      <c r="MPB30" s="28"/>
      <c r="MPC30" s="28"/>
      <c r="MPD30" s="28"/>
      <c r="MPE30" s="28"/>
      <c r="MPF30" s="28"/>
      <c r="MPG30" s="28"/>
      <c r="MPH30" s="28"/>
      <c r="MPI30" s="28"/>
      <c r="MPJ30" s="28"/>
      <c r="MPK30" s="28"/>
      <c r="MPL30" s="28"/>
      <c r="MPM30" s="28"/>
      <c r="MPN30" s="28"/>
      <c r="MPO30" s="28"/>
      <c r="MPP30" s="28"/>
      <c r="MPQ30" s="28"/>
      <c r="MPR30" s="28"/>
      <c r="MPS30" s="28"/>
      <c r="MPT30" s="28"/>
      <c r="MPU30" s="28"/>
      <c r="MPV30" s="28"/>
      <c r="MPW30" s="28"/>
      <c r="MPX30" s="28"/>
      <c r="MPY30" s="28"/>
      <c r="MPZ30" s="28"/>
      <c r="MQA30" s="28"/>
      <c r="MQB30" s="28"/>
      <c r="MQC30" s="28"/>
      <c r="MQD30" s="28"/>
      <c r="MQE30" s="28"/>
      <c r="MQF30" s="28"/>
      <c r="MQG30" s="28"/>
      <c r="MQH30" s="28"/>
      <c r="MQI30" s="28"/>
      <c r="MQJ30" s="28"/>
      <c r="MQK30" s="28"/>
      <c r="MQL30" s="28"/>
      <c r="MQM30" s="28"/>
      <c r="MQN30" s="28"/>
      <c r="MQO30" s="28"/>
      <c r="MQP30" s="28"/>
      <c r="MQQ30" s="28"/>
      <c r="MQR30" s="28"/>
      <c r="MQS30" s="28"/>
      <c r="MQT30" s="28"/>
      <c r="MQU30" s="28"/>
      <c r="MQV30" s="28"/>
      <c r="MQW30" s="28"/>
      <c r="MQX30" s="28"/>
      <c r="MQY30" s="28"/>
      <c r="MQZ30" s="28"/>
      <c r="MRA30" s="28"/>
      <c r="MRB30" s="28"/>
      <c r="MRC30" s="28"/>
      <c r="MRD30" s="28"/>
      <c r="MRE30" s="28"/>
      <c r="MRF30" s="28"/>
      <c r="MRG30" s="28"/>
      <c r="MRH30" s="28"/>
      <c r="MRI30" s="28"/>
      <c r="MRJ30" s="28"/>
      <c r="MRK30" s="28"/>
      <c r="MRL30" s="28"/>
      <c r="MRM30" s="28"/>
      <c r="MRN30" s="28"/>
      <c r="MRO30" s="28"/>
      <c r="MRP30" s="28"/>
      <c r="MRQ30" s="28"/>
      <c r="MRR30" s="28"/>
      <c r="MRS30" s="28"/>
      <c r="MRT30" s="28"/>
      <c r="MRU30" s="28"/>
      <c r="MRV30" s="28"/>
      <c r="MRW30" s="28"/>
      <c r="MRX30" s="28"/>
      <c r="MRY30" s="28"/>
      <c r="MRZ30" s="28"/>
      <c r="MSA30" s="28"/>
      <c r="MSB30" s="28"/>
      <c r="MSC30" s="28"/>
      <c r="MSD30" s="28"/>
      <c r="MSE30" s="28"/>
      <c r="MSF30" s="28"/>
      <c r="MSG30" s="28"/>
      <c r="MSH30" s="28"/>
      <c r="MSI30" s="28"/>
      <c r="MSJ30" s="28"/>
      <c r="MSK30" s="28"/>
      <c r="MSL30" s="28"/>
      <c r="MSM30" s="28"/>
      <c r="MSN30" s="28"/>
      <c r="MSO30" s="28"/>
      <c r="MSP30" s="28"/>
      <c r="MSQ30" s="28"/>
      <c r="MSR30" s="28"/>
      <c r="MSS30" s="28"/>
      <c r="MST30" s="28"/>
      <c r="MSU30" s="28"/>
      <c r="MSV30" s="28"/>
      <c r="MSW30" s="28"/>
      <c r="MSX30" s="28"/>
      <c r="MSY30" s="28"/>
      <c r="MSZ30" s="28"/>
      <c r="MTA30" s="28"/>
      <c r="MTB30" s="28"/>
      <c r="MTC30" s="28"/>
      <c r="MTD30" s="28"/>
      <c r="MTE30" s="28"/>
      <c r="MTF30" s="28"/>
      <c r="MTG30" s="28"/>
      <c r="MTH30" s="28"/>
      <c r="MTI30" s="28"/>
      <c r="MTJ30" s="28"/>
      <c r="MTK30" s="28"/>
      <c r="MTL30" s="28"/>
      <c r="MTM30" s="28"/>
      <c r="MTN30" s="28"/>
      <c r="MTO30" s="28"/>
      <c r="MTP30" s="28"/>
      <c r="MTQ30" s="28"/>
      <c r="MTR30" s="28"/>
      <c r="MTS30" s="28"/>
      <c r="MTT30" s="28"/>
      <c r="MTU30" s="28"/>
      <c r="MTV30" s="28"/>
      <c r="MTW30" s="28"/>
      <c r="MTX30" s="28"/>
      <c r="MTY30" s="28"/>
      <c r="MTZ30" s="28"/>
      <c r="MUA30" s="28"/>
      <c r="MUB30" s="28"/>
      <c r="MUC30" s="28"/>
      <c r="MUD30" s="28"/>
      <c r="MUE30" s="28"/>
      <c r="MUF30" s="28"/>
      <c r="MUG30" s="28"/>
      <c r="MUH30" s="28"/>
      <c r="MUI30" s="28"/>
      <c r="MUJ30" s="28"/>
      <c r="MUK30" s="28"/>
      <c r="MUL30" s="28"/>
      <c r="MUM30" s="28"/>
      <c r="MUN30" s="28"/>
      <c r="MUO30" s="28"/>
      <c r="MUP30" s="28"/>
      <c r="MUQ30" s="28"/>
      <c r="MUR30" s="28"/>
      <c r="MUS30" s="28"/>
      <c r="MUT30" s="28"/>
      <c r="MUU30" s="28"/>
      <c r="MUV30" s="28"/>
      <c r="MUW30" s="28"/>
      <c r="MUX30" s="28"/>
      <c r="MUY30" s="28"/>
      <c r="MUZ30" s="28"/>
      <c r="MVA30" s="28"/>
      <c r="MVB30" s="28"/>
      <c r="MVC30" s="28"/>
      <c r="MVD30" s="28"/>
      <c r="MVE30" s="28"/>
      <c r="MVF30" s="28"/>
      <c r="MVG30" s="28"/>
      <c r="MVH30" s="28"/>
      <c r="MVI30" s="28"/>
      <c r="MVJ30" s="28"/>
      <c r="MVK30" s="28"/>
      <c r="MVL30" s="28"/>
      <c r="MVM30" s="28"/>
      <c r="MVN30" s="28"/>
      <c r="MVO30" s="28"/>
      <c r="MVP30" s="28"/>
      <c r="MVQ30" s="28"/>
      <c r="MVR30" s="28"/>
      <c r="MVS30" s="28"/>
      <c r="MVT30" s="28"/>
      <c r="MVU30" s="28"/>
      <c r="MVV30" s="28"/>
      <c r="MVW30" s="28"/>
      <c r="MVX30" s="28"/>
      <c r="MVY30" s="28"/>
      <c r="MVZ30" s="28"/>
      <c r="MWA30" s="28"/>
      <c r="MWB30" s="28"/>
      <c r="MWC30" s="28"/>
      <c r="MWD30" s="28"/>
      <c r="MWE30" s="28"/>
      <c r="MWF30" s="28"/>
      <c r="MWG30" s="28"/>
      <c r="MWH30" s="28"/>
      <c r="MWI30" s="28"/>
      <c r="MWJ30" s="28"/>
      <c r="MWK30" s="28"/>
      <c r="MWL30" s="28"/>
      <c r="MWM30" s="28"/>
      <c r="MWN30" s="28"/>
      <c r="MWO30" s="28"/>
      <c r="MWP30" s="28"/>
      <c r="MWQ30" s="28"/>
      <c r="MWR30" s="28"/>
      <c r="MWS30" s="28"/>
      <c r="MWT30" s="28"/>
      <c r="MWU30" s="28"/>
      <c r="MWV30" s="28"/>
      <c r="MWW30" s="28"/>
      <c r="MWX30" s="28"/>
      <c r="MWY30" s="28"/>
      <c r="MWZ30" s="28"/>
      <c r="MXA30" s="28"/>
      <c r="MXB30" s="28"/>
      <c r="MXC30" s="28"/>
      <c r="MXD30" s="28"/>
      <c r="MXE30" s="28"/>
      <c r="MXF30" s="28"/>
      <c r="MXG30" s="28"/>
      <c r="MXH30" s="28"/>
      <c r="MXI30" s="28"/>
      <c r="MXJ30" s="28"/>
      <c r="MXK30" s="28"/>
      <c r="MXL30" s="28"/>
      <c r="MXM30" s="28"/>
      <c r="MXN30" s="28"/>
      <c r="MXO30" s="28"/>
      <c r="MXP30" s="28"/>
      <c r="MXQ30" s="28"/>
      <c r="MXR30" s="28"/>
      <c r="MXS30" s="28"/>
      <c r="MXT30" s="28"/>
      <c r="MXU30" s="28"/>
      <c r="MXV30" s="28"/>
      <c r="MXW30" s="28"/>
      <c r="MXX30" s="28"/>
      <c r="MXY30" s="28"/>
      <c r="MXZ30" s="28"/>
      <c r="MYA30" s="28"/>
      <c r="MYB30" s="28"/>
      <c r="MYC30" s="28"/>
      <c r="MYD30" s="28"/>
      <c r="MYE30" s="28"/>
      <c r="MYF30" s="28"/>
      <c r="MYG30" s="28"/>
      <c r="MYH30" s="28"/>
      <c r="MYI30" s="28"/>
      <c r="MYJ30" s="28"/>
      <c r="MYK30" s="28"/>
      <c r="MYL30" s="28"/>
      <c r="MYM30" s="28"/>
      <c r="MYN30" s="28"/>
      <c r="MYO30" s="28"/>
      <c r="MYP30" s="28"/>
      <c r="MYQ30" s="28"/>
      <c r="MYR30" s="28"/>
      <c r="MYS30" s="28"/>
      <c r="MYT30" s="28"/>
      <c r="MYU30" s="28"/>
      <c r="MYV30" s="28"/>
      <c r="MYW30" s="28"/>
      <c r="MYX30" s="28"/>
      <c r="MYY30" s="28"/>
      <c r="MYZ30" s="28"/>
      <c r="MZA30" s="28"/>
      <c r="MZB30" s="28"/>
      <c r="MZC30" s="28"/>
      <c r="MZD30" s="28"/>
      <c r="MZE30" s="28"/>
      <c r="MZF30" s="28"/>
      <c r="MZG30" s="28"/>
      <c r="MZH30" s="28"/>
      <c r="MZI30" s="28"/>
      <c r="MZJ30" s="28"/>
      <c r="MZK30" s="28"/>
      <c r="MZL30" s="28"/>
      <c r="MZM30" s="28"/>
      <c r="MZN30" s="28"/>
      <c r="MZO30" s="28"/>
      <c r="MZP30" s="28"/>
      <c r="MZQ30" s="28"/>
      <c r="MZR30" s="28"/>
      <c r="MZS30" s="28"/>
      <c r="MZT30" s="28"/>
      <c r="MZU30" s="28"/>
      <c r="MZV30" s="28"/>
      <c r="MZW30" s="28"/>
      <c r="MZX30" s="28"/>
      <c r="MZY30" s="28"/>
      <c r="MZZ30" s="28"/>
      <c r="NAA30" s="28"/>
      <c r="NAB30" s="28"/>
      <c r="NAC30" s="28"/>
      <c r="NAD30" s="28"/>
      <c r="NAE30" s="28"/>
      <c r="NAF30" s="28"/>
      <c r="NAG30" s="28"/>
      <c r="NAH30" s="28"/>
      <c r="NAI30" s="28"/>
      <c r="NAJ30" s="28"/>
      <c r="NAK30" s="28"/>
      <c r="NAL30" s="28"/>
      <c r="NAM30" s="28"/>
      <c r="NAN30" s="28"/>
      <c r="NAO30" s="28"/>
      <c r="NAP30" s="28"/>
      <c r="NAQ30" s="28"/>
      <c r="NAR30" s="28"/>
      <c r="NAS30" s="28"/>
      <c r="NAT30" s="28"/>
      <c r="NAU30" s="28"/>
      <c r="NAV30" s="28"/>
      <c r="NAW30" s="28"/>
      <c r="NAX30" s="28"/>
      <c r="NAY30" s="28"/>
      <c r="NAZ30" s="28"/>
      <c r="NBA30" s="28"/>
      <c r="NBB30" s="28"/>
      <c r="NBC30" s="28"/>
      <c r="NBD30" s="28"/>
      <c r="NBE30" s="28"/>
      <c r="NBF30" s="28"/>
      <c r="NBG30" s="28"/>
      <c r="NBH30" s="28"/>
      <c r="NBI30" s="28"/>
      <c r="NBJ30" s="28"/>
      <c r="NBK30" s="28"/>
      <c r="NBL30" s="28"/>
      <c r="NBM30" s="28"/>
      <c r="NBN30" s="28"/>
      <c r="NBO30" s="28"/>
      <c r="NBP30" s="28"/>
      <c r="NBQ30" s="28"/>
      <c r="NBR30" s="28"/>
      <c r="NBS30" s="28"/>
      <c r="NBT30" s="28"/>
      <c r="NBU30" s="28"/>
      <c r="NBV30" s="28"/>
      <c r="NBW30" s="28"/>
      <c r="NBX30" s="28"/>
      <c r="NBY30" s="28"/>
      <c r="NBZ30" s="28"/>
      <c r="NCA30" s="28"/>
      <c r="NCB30" s="28"/>
      <c r="NCC30" s="28"/>
      <c r="NCD30" s="28"/>
      <c r="NCE30" s="28"/>
      <c r="NCF30" s="28"/>
      <c r="NCG30" s="28"/>
      <c r="NCH30" s="28"/>
      <c r="NCI30" s="28"/>
      <c r="NCJ30" s="28"/>
      <c r="NCK30" s="28"/>
      <c r="NCL30" s="28"/>
      <c r="NCM30" s="28"/>
      <c r="NCN30" s="28"/>
      <c r="NCO30" s="28"/>
      <c r="NCP30" s="28"/>
      <c r="NCQ30" s="28"/>
      <c r="NCR30" s="28"/>
      <c r="NCS30" s="28"/>
      <c r="NCT30" s="28"/>
      <c r="NCU30" s="28"/>
      <c r="NCV30" s="28"/>
      <c r="NCW30" s="28"/>
      <c r="NCX30" s="28"/>
      <c r="NCY30" s="28"/>
      <c r="NCZ30" s="28"/>
      <c r="NDA30" s="28"/>
      <c r="NDB30" s="28"/>
      <c r="NDC30" s="28"/>
      <c r="NDD30" s="28"/>
      <c r="NDE30" s="28"/>
      <c r="NDF30" s="28"/>
      <c r="NDG30" s="28"/>
      <c r="NDH30" s="28"/>
      <c r="NDI30" s="28"/>
      <c r="NDJ30" s="28"/>
      <c r="NDK30" s="28"/>
      <c r="NDL30" s="28"/>
      <c r="NDM30" s="28"/>
      <c r="NDN30" s="28"/>
      <c r="NDO30" s="28"/>
      <c r="NDP30" s="28"/>
      <c r="NDQ30" s="28"/>
      <c r="NDR30" s="28"/>
      <c r="NDS30" s="28"/>
      <c r="NDT30" s="28"/>
      <c r="NDU30" s="28"/>
      <c r="NDV30" s="28"/>
      <c r="NDW30" s="28"/>
      <c r="NDX30" s="28"/>
      <c r="NDY30" s="28"/>
      <c r="NDZ30" s="28"/>
      <c r="NEA30" s="28"/>
      <c r="NEB30" s="28"/>
      <c r="NEC30" s="28"/>
      <c r="NED30" s="28"/>
      <c r="NEE30" s="28"/>
      <c r="NEF30" s="28"/>
      <c r="NEG30" s="28"/>
      <c r="NEH30" s="28"/>
      <c r="NEI30" s="28"/>
      <c r="NEJ30" s="28"/>
      <c r="NEK30" s="28"/>
      <c r="NEL30" s="28"/>
      <c r="NEM30" s="28"/>
      <c r="NEN30" s="28"/>
      <c r="NEO30" s="28"/>
      <c r="NEP30" s="28"/>
      <c r="NEQ30" s="28"/>
      <c r="NER30" s="28"/>
      <c r="NES30" s="28"/>
      <c r="NET30" s="28"/>
      <c r="NEU30" s="28"/>
      <c r="NEV30" s="28"/>
      <c r="NEW30" s="28"/>
      <c r="NEX30" s="28"/>
      <c r="NEY30" s="28"/>
      <c r="NEZ30" s="28"/>
      <c r="NFA30" s="28"/>
      <c r="NFB30" s="28"/>
      <c r="NFC30" s="28"/>
      <c r="NFD30" s="28"/>
      <c r="NFE30" s="28"/>
      <c r="NFF30" s="28"/>
      <c r="NFG30" s="28"/>
      <c r="NFH30" s="28"/>
      <c r="NFI30" s="28"/>
      <c r="NFJ30" s="28"/>
      <c r="NFK30" s="28"/>
      <c r="NFL30" s="28"/>
      <c r="NFM30" s="28"/>
      <c r="NFN30" s="28"/>
      <c r="NFO30" s="28"/>
      <c r="NFP30" s="28"/>
      <c r="NFQ30" s="28"/>
      <c r="NFR30" s="28"/>
      <c r="NFS30" s="28"/>
      <c r="NFT30" s="28"/>
      <c r="NFU30" s="28"/>
      <c r="NFV30" s="28"/>
      <c r="NFW30" s="28"/>
      <c r="NFX30" s="28"/>
      <c r="NFY30" s="28"/>
      <c r="NFZ30" s="28"/>
      <c r="NGA30" s="28"/>
      <c r="NGB30" s="28"/>
      <c r="NGC30" s="28"/>
      <c r="NGD30" s="28"/>
      <c r="NGE30" s="28"/>
      <c r="NGF30" s="28"/>
      <c r="NGG30" s="28"/>
      <c r="NGH30" s="28"/>
      <c r="NGI30" s="28"/>
      <c r="NGJ30" s="28"/>
      <c r="NGK30" s="28"/>
      <c r="NGL30" s="28"/>
      <c r="NGM30" s="28"/>
      <c r="NGN30" s="28"/>
      <c r="NGO30" s="28"/>
      <c r="NGP30" s="28"/>
      <c r="NGQ30" s="28"/>
      <c r="NGR30" s="28"/>
      <c r="NGS30" s="28"/>
      <c r="NGT30" s="28"/>
      <c r="NGU30" s="28"/>
      <c r="NGV30" s="28"/>
      <c r="NGW30" s="28"/>
      <c r="NGX30" s="28"/>
      <c r="NGY30" s="28"/>
      <c r="NGZ30" s="28"/>
      <c r="NHA30" s="28"/>
      <c r="NHB30" s="28"/>
      <c r="NHC30" s="28"/>
      <c r="NHD30" s="28"/>
      <c r="NHE30" s="28"/>
      <c r="NHF30" s="28"/>
      <c r="NHG30" s="28"/>
      <c r="NHH30" s="28"/>
      <c r="NHI30" s="28"/>
      <c r="NHJ30" s="28"/>
      <c r="NHK30" s="28"/>
      <c r="NHL30" s="28"/>
      <c r="NHM30" s="28"/>
      <c r="NHN30" s="28"/>
      <c r="NHO30" s="28"/>
      <c r="NHP30" s="28"/>
      <c r="NHQ30" s="28"/>
      <c r="NHR30" s="28"/>
      <c r="NHS30" s="28"/>
      <c r="NHT30" s="28"/>
      <c r="NHU30" s="28"/>
      <c r="NHV30" s="28"/>
      <c r="NHW30" s="28"/>
      <c r="NHX30" s="28"/>
      <c r="NHY30" s="28"/>
      <c r="NHZ30" s="28"/>
      <c r="NIA30" s="28"/>
      <c r="NIB30" s="28"/>
      <c r="NIC30" s="28"/>
      <c r="NID30" s="28"/>
      <c r="NIE30" s="28"/>
      <c r="NIF30" s="28"/>
      <c r="NIG30" s="28"/>
      <c r="NIH30" s="28"/>
      <c r="NII30" s="28"/>
      <c r="NIJ30" s="28"/>
      <c r="NIK30" s="28"/>
      <c r="NIL30" s="28"/>
      <c r="NIM30" s="28"/>
      <c r="NIN30" s="28"/>
      <c r="NIO30" s="28"/>
      <c r="NIP30" s="28"/>
      <c r="NIQ30" s="28"/>
      <c r="NIR30" s="28"/>
      <c r="NIS30" s="28"/>
      <c r="NIT30" s="28"/>
      <c r="NIU30" s="28"/>
      <c r="NIV30" s="28"/>
      <c r="NIW30" s="28"/>
      <c r="NIX30" s="28"/>
      <c r="NIY30" s="28"/>
      <c r="NIZ30" s="28"/>
      <c r="NJA30" s="28"/>
      <c r="NJB30" s="28"/>
      <c r="NJC30" s="28"/>
      <c r="NJD30" s="28"/>
      <c r="NJE30" s="28"/>
      <c r="NJF30" s="28"/>
      <c r="NJG30" s="28"/>
      <c r="NJH30" s="28"/>
      <c r="NJI30" s="28"/>
      <c r="NJJ30" s="28"/>
      <c r="NJK30" s="28"/>
      <c r="NJL30" s="28"/>
      <c r="NJM30" s="28"/>
      <c r="NJN30" s="28"/>
      <c r="NJO30" s="28"/>
      <c r="NJP30" s="28"/>
      <c r="NJQ30" s="28"/>
      <c r="NJR30" s="28"/>
      <c r="NJS30" s="28"/>
      <c r="NJT30" s="28"/>
      <c r="NJU30" s="28"/>
      <c r="NJV30" s="28"/>
      <c r="NJW30" s="28"/>
      <c r="NJX30" s="28"/>
      <c r="NJY30" s="28"/>
      <c r="NJZ30" s="28"/>
      <c r="NKA30" s="28"/>
      <c r="NKB30" s="28"/>
      <c r="NKC30" s="28"/>
      <c r="NKD30" s="28"/>
      <c r="NKE30" s="28"/>
      <c r="NKF30" s="28"/>
      <c r="NKG30" s="28"/>
      <c r="NKH30" s="28"/>
      <c r="NKI30" s="28"/>
      <c r="NKJ30" s="28"/>
      <c r="NKK30" s="28"/>
      <c r="NKL30" s="28"/>
      <c r="NKM30" s="28"/>
      <c r="NKN30" s="28"/>
      <c r="NKO30" s="28"/>
      <c r="NKP30" s="28"/>
      <c r="NKQ30" s="28"/>
      <c r="NKR30" s="28"/>
      <c r="NKS30" s="28"/>
      <c r="NKT30" s="28"/>
      <c r="NKU30" s="28"/>
      <c r="NKV30" s="28"/>
      <c r="NKW30" s="28"/>
      <c r="NKX30" s="28"/>
      <c r="NKY30" s="28"/>
      <c r="NKZ30" s="28"/>
      <c r="NLA30" s="28"/>
      <c r="NLB30" s="28"/>
      <c r="NLC30" s="28"/>
      <c r="NLD30" s="28"/>
      <c r="NLE30" s="28"/>
      <c r="NLF30" s="28"/>
      <c r="NLG30" s="28"/>
      <c r="NLH30" s="28"/>
      <c r="NLI30" s="28"/>
      <c r="NLJ30" s="28"/>
      <c r="NLK30" s="28"/>
      <c r="NLL30" s="28"/>
      <c r="NLM30" s="28"/>
      <c r="NLN30" s="28"/>
      <c r="NLO30" s="28"/>
      <c r="NLP30" s="28"/>
      <c r="NLQ30" s="28"/>
      <c r="NLR30" s="28"/>
      <c r="NLS30" s="28"/>
      <c r="NLT30" s="28"/>
      <c r="NLU30" s="28"/>
      <c r="NLV30" s="28"/>
      <c r="NLW30" s="28"/>
      <c r="NLX30" s="28"/>
      <c r="NLY30" s="28"/>
      <c r="NLZ30" s="28"/>
      <c r="NMA30" s="28"/>
      <c r="NMB30" s="28"/>
      <c r="NMC30" s="28"/>
      <c r="NMD30" s="28"/>
      <c r="NME30" s="28"/>
      <c r="NMF30" s="28"/>
      <c r="NMG30" s="28"/>
      <c r="NMH30" s="28"/>
      <c r="NMI30" s="28"/>
      <c r="NMJ30" s="28"/>
      <c r="NMK30" s="28"/>
      <c r="NML30" s="28"/>
      <c r="NMM30" s="28"/>
      <c r="NMN30" s="28"/>
      <c r="NMO30" s="28"/>
      <c r="NMP30" s="28"/>
      <c r="NMQ30" s="28"/>
      <c r="NMR30" s="28"/>
      <c r="NMS30" s="28"/>
      <c r="NMT30" s="28"/>
      <c r="NMU30" s="28"/>
      <c r="NMV30" s="28"/>
      <c r="NMW30" s="28"/>
      <c r="NMX30" s="28"/>
      <c r="NMY30" s="28"/>
      <c r="NMZ30" s="28"/>
      <c r="NNA30" s="28"/>
      <c r="NNB30" s="28"/>
      <c r="NNC30" s="28"/>
      <c r="NND30" s="28"/>
      <c r="NNE30" s="28"/>
      <c r="NNF30" s="28"/>
      <c r="NNG30" s="28"/>
      <c r="NNH30" s="28"/>
      <c r="NNI30" s="28"/>
      <c r="NNJ30" s="28"/>
      <c r="NNK30" s="28"/>
      <c r="NNL30" s="28"/>
      <c r="NNM30" s="28"/>
      <c r="NNN30" s="28"/>
      <c r="NNO30" s="28"/>
      <c r="NNP30" s="28"/>
      <c r="NNQ30" s="28"/>
      <c r="NNR30" s="28"/>
      <c r="NNS30" s="28"/>
      <c r="NNT30" s="28"/>
      <c r="NNU30" s="28"/>
      <c r="NNV30" s="28"/>
      <c r="NNW30" s="28"/>
      <c r="NNX30" s="28"/>
      <c r="NNY30" s="28"/>
      <c r="NNZ30" s="28"/>
      <c r="NOA30" s="28"/>
      <c r="NOB30" s="28"/>
      <c r="NOC30" s="28"/>
      <c r="NOD30" s="28"/>
      <c r="NOE30" s="28"/>
      <c r="NOF30" s="28"/>
      <c r="NOG30" s="28"/>
      <c r="NOH30" s="28"/>
      <c r="NOI30" s="28"/>
      <c r="NOJ30" s="28"/>
      <c r="NOK30" s="28"/>
      <c r="NOL30" s="28"/>
      <c r="NOM30" s="28"/>
      <c r="NON30" s="28"/>
      <c r="NOO30" s="28"/>
      <c r="NOP30" s="28"/>
      <c r="NOQ30" s="28"/>
      <c r="NOR30" s="28"/>
      <c r="NOS30" s="28"/>
      <c r="NOT30" s="28"/>
      <c r="NOU30" s="28"/>
      <c r="NOV30" s="28"/>
      <c r="NOW30" s="28"/>
      <c r="NOX30" s="28"/>
      <c r="NOY30" s="28"/>
      <c r="NOZ30" s="28"/>
      <c r="NPA30" s="28"/>
      <c r="NPB30" s="28"/>
      <c r="NPC30" s="28"/>
      <c r="NPD30" s="28"/>
      <c r="NPE30" s="28"/>
      <c r="NPF30" s="28"/>
      <c r="NPG30" s="28"/>
      <c r="NPH30" s="28"/>
      <c r="NPI30" s="28"/>
      <c r="NPJ30" s="28"/>
      <c r="NPK30" s="28"/>
      <c r="NPL30" s="28"/>
      <c r="NPM30" s="28"/>
      <c r="NPN30" s="28"/>
      <c r="NPO30" s="28"/>
      <c r="NPP30" s="28"/>
      <c r="NPQ30" s="28"/>
      <c r="NPR30" s="28"/>
      <c r="NPS30" s="28"/>
      <c r="NPT30" s="28"/>
      <c r="NPU30" s="28"/>
      <c r="NPV30" s="28"/>
      <c r="NPW30" s="28"/>
      <c r="NPX30" s="28"/>
      <c r="NPY30" s="28"/>
      <c r="NPZ30" s="28"/>
      <c r="NQA30" s="28"/>
      <c r="NQB30" s="28"/>
      <c r="NQC30" s="28"/>
      <c r="NQD30" s="28"/>
      <c r="NQE30" s="28"/>
      <c r="NQF30" s="28"/>
      <c r="NQG30" s="28"/>
      <c r="NQH30" s="28"/>
      <c r="NQI30" s="28"/>
      <c r="NQJ30" s="28"/>
      <c r="NQK30" s="28"/>
      <c r="NQL30" s="28"/>
      <c r="NQM30" s="28"/>
      <c r="NQN30" s="28"/>
      <c r="NQO30" s="28"/>
      <c r="NQP30" s="28"/>
      <c r="NQQ30" s="28"/>
      <c r="NQR30" s="28"/>
      <c r="NQS30" s="28"/>
      <c r="NQT30" s="28"/>
      <c r="NQU30" s="28"/>
      <c r="NQV30" s="28"/>
      <c r="NQW30" s="28"/>
      <c r="NQX30" s="28"/>
      <c r="NQY30" s="28"/>
      <c r="NQZ30" s="28"/>
      <c r="NRA30" s="28"/>
      <c r="NRB30" s="28"/>
      <c r="NRC30" s="28"/>
      <c r="NRD30" s="28"/>
      <c r="NRE30" s="28"/>
      <c r="NRF30" s="28"/>
      <c r="NRG30" s="28"/>
      <c r="NRH30" s="28"/>
      <c r="NRI30" s="28"/>
      <c r="NRJ30" s="28"/>
      <c r="NRK30" s="28"/>
      <c r="NRL30" s="28"/>
      <c r="NRM30" s="28"/>
      <c r="NRN30" s="28"/>
      <c r="NRO30" s="28"/>
      <c r="NRP30" s="28"/>
      <c r="NRQ30" s="28"/>
      <c r="NRR30" s="28"/>
      <c r="NRS30" s="28"/>
      <c r="NRT30" s="28"/>
      <c r="NRU30" s="28"/>
      <c r="NRV30" s="28"/>
      <c r="NRW30" s="28"/>
      <c r="NRX30" s="28"/>
      <c r="NRY30" s="28"/>
      <c r="NRZ30" s="28"/>
      <c r="NSA30" s="28"/>
      <c r="NSB30" s="28"/>
      <c r="NSC30" s="28"/>
      <c r="NSD30" s="28"/>
      <c r="NSE30" s="28"/>
      <c r="NSF30" s="28"/>
      <c r="NSG30" s="28"/>
      <c r="NSH30" s="28"/>
      <c r="NSI30" s="28"/>
      <c r="NSJ30" s="28"/>
      <c r="NSK30" s="28"/>
      <c r="NSL30" s="28"/>
      <c r="NSM30" s="28"/>
      <c r="NSN30" s="28"/>
      <c r="NSO30" s="28"/>
      <c r="NSP30" s="28"/>
      <c r="NSQ30" s="28"/>
      <c r="NSR30" s="28"/>
      <c r="NSS30" s="28"/>
      <c r="NST30" s="28"/>
      <c r="NSU30" s="28"/>
      <c r="NSV30" s="28"/>
      <c r="NSW30" s="28"/>
      <c r="NSX30" s="28"/>
      <c r="NSY30" s="28"/>
      <c r="NSZ30" s="28"/>
      <c r="NTA30" s="28"/>
      <c r="NTB30" s="28"/>
      <c r="NTC30" s="28"/>
      <c r="NTD30" s="28"/>
      <c r="NTE30" s="28"/>
      <c r="NTF30" s="28"/>
      <c r="NTG30" s="28"/>
      <c r="NTH30" s="28"/>
      <c r="NTI30" s="28"/>
      <c r="NTJ30" s="28"/>
      <c r="NTK30" s="28"/>
      <c r="NTL30" s="28"/>
      <c r="NTM30" s="28"/>
      <c r="NTN30" s="28"/>
      <c r="NTO30" s="28"/>
      <c r="NTP30" s="28"/>
      <c r="NTQ30" s="28"/>
      <c r="NTR30" s="28"/>
      <c r="NTS30" s="28"/>
      <c r="NTT30" s="28"/>
      <c r="NTU30" s="28"/>
      <c r="NTV30" s="28"/>
      <c r="NTW30" s="28"/>
      <c r="NTX30" s="28"/>
      <c r="NTY30" s="28"/>
      <c r="NTZ30" s="28"/>
      <c r="NUA30" s="28"/>
      <c r="NUB30" s="28"/>
      <c r="NUC30" s="28"/>
      <c r="NUD30" s="28"/>
      <c r="NUE30" s="28"/>
      <c r="NUF30" s="28"/>
      <c r="NUG30" s="28"/>
      <c r="NUH30" s="28"/>
      <c r="NUI30" s="28"/>
      <c r="NUJ30" s="28"/>
      <c r="NUK30" s="28"/>
      <c r="NUL30" s="28"/>
      <c r="NUM30" s="28"/>
      <c r="NUN30" s="28"/>
      <c r="NUO30" s="28"/>
      <c r="NUP30" s="28"/>
      <c r="NUQ30" s="28"/>
      <c r="NUR30" s="28"/>
      <c r="NUS30" s="28"/>
      <c r="NUT30" s="28"/>
      <c r="NUU30" s="28"/>
      <c r="NUV30" s="28"/>
      <c r="NUW30" s="28"/>
      <c r="NUX30" s="28"/>
      <c r="NUY30" s="28"/>
      <c r="NUZ30" s="28"/>
      <c r="NVA30" s="28"/>
      <c r="NVB30" s="28"/>
      <c r="NVC30" s="28"/>
      <c r="NVD30" s="28"/>
      <c r="NVE30" s="28"/>
      <c r="NVF30" s="28"/>
      <c r="NVG30" s="28"/>
      <c r="NVH30" s="28"/>
      <c r="NVI30" s="28"/>
      <c r="NVJ30" s="28"/>
      <c r="NVK30" s="28"/>
      <c r="NVL30" s="28"/>
      <c r="NVM30" s="28"/>
      <c r="NVN30" s="28"/>
      <c r="NVO30" s="28"/>
      <c r="NVP30" s="28"/>
      <c r="NVQ30" s="28"/>
      <c r="NVR30" s="28"/>
      <c r="NVS30" s="28"/>
      <c r="NVT30" s="28"/>
      <c r="NVU30" s="28"/>
      <c r="NVV30" s="28"/>
      <c r="NVW30" s="28"/>
      <c r="NVX30" s="28"/>
      <c r="NVY30" s="28"/>
      <c r="NVZ30" s="28"/>
      <c r="NWA30" s="28"/>
      <c r="NWB30" s="28"/>
      <c r="NWC30" s="28"/>
      <c r="NWD30" s="28"/>
      <c r="NWE30" s="28"/>
      <c r="NWF30" s="28"/>
      <c r="NWG30" s="28"/>
      <c r="NWH30" s="28"/>
      <c r="NWI30" s="28"/>
      <c r="NWJ30" s="28"/>
      <c r="NWK30" s="28"/>
      <c r="NWL30" s="28"/>
      <c r="NWM30" s="28"/>
      <c r="NWN30" s="28"/>
      <c r="NWO30" s="28"/>
      <c r="NWP30" s="28"/>
      <c r="NWQ30" s="28"/>
      <c r="NWR30" s="28"/>
      <c r="NWS30" s="28"/>
      <c r="NWT30" s="28"/>
      <c r="NWU30" s="28"/>
      <c r="NWV30" s="28"/>
      <c r="NWW30" s="28"/>
      <c r="NWX30" s="28"/>
      <c r="NWY30" s="28"/>
      <c r="NWZ30" s="28"/>
      <c r="NXA30" s="28"/>
      <c r="NXB30" s="28"/>
      <c r="NXC30" s="28"/>
      <c r="NXD30" s="28"/>
      <c r="NXE30" s="28"/>
      <c r="NXF30" s="28"/>
      <c r="NXG30" s="28"/>
      <c r="NXH30" s="28"/>
      <c r="NXI30" s="28"/>
      <c r="NXJ30" s="28"/>
      <c r="NXK30" s="28"/>
      <c r="NXL30" s="28"/>
      <c r="NXM30" s="28"/>
      <c r="NXN30" s="28"/>
      <c r="NXO30" s="28"/>
      <c r="NXP30" s="28"/>
      <c r="NXQ30" s="28"/>
      <c r="NXR30" s="28"/>
      <c r="NXS30" s="28"/>
      <c r="NXT30" s="28"/>
      <c r="NXU30" s="28"/>
      <c r="NXV30" s="28"/>
      <c r="NXW30" s="28"/>
      <c r="NXX30" s="28"/>
      <c r="NXY30" s="28"/>
      <c r="NXZ30" s="28"/>
      <c r="NYA30" s="28"/>
      <c r="NYB30" s="28"/>
      <c r="NYC30" s="28"/>
      <c r="NYD30" s="28"/>
      <c r="NYE30" s="28"/>
      <c r="NYF30" s="28"/>
      <c r="NYG30" s="28"/>
      <c r="NYH30" s="28"/>
      <c r="NYI30" s="28"/>
      <c r="NYJ30" s="28"/>
      <c r="NYK30" s="28"/>
      <c r="NYL30" s="28"/>
      <c r="NYM30" s="28"/>
      <c r="NYN30" s="28"/>
      <c r="NYO30" s="28"/>
      <c r="NYP30" s="28"/>
      <c r="NYQ30" s="28"/>
      <c r="NYR30" s="28"/>
      <c r="NYS30" s="28"/>
      <c r="NYT30" s="28"/>
      <c r="NYU30" s="28"/>
      <c r="NYV30" s="28"/>
      <c r="NYW30" s="28"/>
      <c r="NYX30" s="28"/>
      <c r="NYY30" s="28"/>
      <c r="NYZ30" s="28"/>
      <c r="NZA30" s="28"/>
      <c r="NZB30" s="28"/>
      <c r="NZC30" s="28"/>
      <c r="NZD30" s="28"/>
      <c r="NZE30" s="28"/>
      <c r="NZF30" s="28"/>
      <c r="NZG30" s="28"/>
      <c r="NZH30" s="28"/>
      <c r="NZI30" s="28"/>
      <c r="NZJ30" s="28"/>
      <c r="NZK30" s="28"/>
      <c r="NZL30" s="28"/>
      <c r="NZM30" s="28"/>
      <c r="NZN30" s="28"/>
      <c r="NZO30" s="28"/>
      <c r="NZP30" s="28"/>
      <c r="NZQ30" s="28"/>
      <c r="NZR30" s="28"/>
      <c r="NZS30" s="28"/>
      <c r="NZT30" s="28"/>
      <c r="NZU30" s="28"/>
      <c r="NZV30" s="28"/>
      <c r="NZW30" s="28"/>
      <c r="NZX30" s="28"/>
      <c r="NZY30" s="28"/>
      <c r="NZZ30" s="28"/>
      <c r="OAA30" s="28"/>
      <c r="OAB30" s="28"/>
      <c r="OAC30" s="28"/>
      <c r="OAD30" s="28"/>
      <c r="OAE30" s="28"/>
      <c r="OAF30" s="28"/>
      <c r="OAG30" s="28"/>
      <c r="OAH30" s="28"/>
      <c r="OAI30" s="28"/>
      <c r="OAJ30" s="28"/>
      <c r="OAK30" s="28"/>
      <c r="OAL30" s="28"/>
      <c r="OAM30" s="28"/>
      <c r="OAN30" s="28"/>
      <c r="OAO30" s="28"/>
      <c r="OAP30" s="28"/>
      <c r="OAQ30" s="28"/>
      <c r="OAR30" s="28"/>
      <c r="OAS30" s="28"/>
      <c r="OAT30" s="28"/>
      <c r="OAU30" s="28"/>
      <c r="OAV30" s="28"/>
      <c r="OAW30" s="28"/>
      <c r="OAX30" s="28"/>
      <c r="OAY30" s="28"/>
      <c r="OAZ30" s="28"/>
      <c r="OBA30" s="28"/>
      <c r="OBB30" s="28"/>
      <c r="OBC30" s="28"/>
      <c r="OBD30" s="28"/>
      <c r="OBE30" s="28"/>
      <c r="OBF30" s="28"/>
      <c r="OBG30" s="28"/>
      <c r="OBH30" s="28"/>
      <c r="OBI30" s="28"/>
      <c r="OBJ30" s="28"/>
      <c r="OBK30" s="28"/>
      <c r="OBL30" s="28"/>
      <c r="OBM30" s="28"/>
      <c r="OBN30" s="28"/>
      <c r="OBO30" s="28"/>
      <c r="OBP30" s="28"/>
      <c r="OBQ30" s="28"/>
      <c r="OBR30" s="28"/>
      <c r="OBS30" s="28"/>
      <c r="OBT30" s="28"/>
      <c r="OBU30" s="28"/>
      <c r="OBV30" s="28"/>
      <c r="OBW30" s="28"/>
      <c r="OBX30" s="28"/>
      <c r="OBY30" s="28"/>
      <c r="OBZ30" s="28"/>
      <c r="OCA30" s="28"/>
      <c r="OCB30" s="28"/>
      <c r="OCC30" s="28"/>
      <c r="OCD30" s="28"/>
      <c r="OCE30" s="28"/>
      <c r="OCF30" s="28"/>
      <c r="OCG30" s="28"/>
      <c r="OCH30" s="28"/>
      <c r="OCI30" s="28"/>
      <c r="OCJ30" s="28"/>
      <c r="OCK30" s="28"/>
      <c r="OCL30" s="28"/>
      <c r="OCM30" s="28"/>
      <c r="OCN30" s="28"/>
      <c r="OCO30" s="28"/>
      <c r="OCP30" s="28"/>
      <c r="OCQ30" s="28"/>
      <c r="OCR30" s="28"/>
      <c r="OCS30" s="28"/>
      <c r="OCT30" s="28"/>
      <c r="OCU30" s="28"/>
      <c r="OCV30" s="28"/>
      <c r="OCW30" s="28"/>
      <c r="OCX30" s="28"/>
      <c r="OCY30" s="28"/>
      <c r="OCZ30" s="28"/>
      <c r="ODA30" s="28"/>
      <c r="ODB30" s="28"/>
      <c r="ODC30" s="28"/>
      <c r="ODD30" s="28"/>
      <c r="ODE30" s="28"/>
      <c r="ODF30" s="28"/>
      <c r="ODG30" s="28"/>
      <c r="ODH30" s="28"/>
      <c r="ODI30" s="28"/>
      <c r="ODJ30" s="28"/>
      <c r="ODK30" s="28"/>
      <c r="ODL30" s="28"/>
      <c r="ODM30" s="28"/>
      <c r="ODN30" s="28"/>
      <c r="ODO30" s="28"/>
      <c r="ODP30" s="28"/>
      <c r="ODQ30" s="28"/>
      <c r="ODR30" s="28"/>
      <c r="ODS30" s="28"/>
      <c r="ODT30" s="28"/>
      <c r="ODU30" s="28"/>
      <c r="ODV30" s="28"/>
      <c r="ODW30" s="28"/>
      <c r="ODX30" s="28"/>
      <c r="ODY30" s="28"/>
      <c r="ODZ30" s="28"/>
      <c r="OEA30" s="28"/>
      <c r="OEB30" s="28"/>
      <c r="OEC30" s="28"/>
      <c r="OED30" s="28"/>
      <c r="OEE30" s="28"/>
      <c r="OEF30" s="28"/>
      <c r="OEG30" s="28"/>
      <c r="OEH30" s="28"/>
      <c r="OEI30" s="28"/>
      <c r="OEJ30" s="28"/>
      <c r="OEK30" s="28"/>
      <c r="OEL30" s="28"/>
      <c r="OEM30" s="28"/>
      <c r="OEN30" s="28"/>
      <c r="OEO30" s="28"/>
      <c r="OEP30" s="28"/>
      <c r="OEQ30" s="28"/>
      <c r="OER30" s="28"/>
      <c r="OES30" s="28"/>
      <c r="OET30" s="28"/>
      <c r="OEU30" s="28"/>
      <c r="OEV30" s="28"/>
      <c r="OEW30" s="28"/>
      <c r="OEX30" s="28"/>
      <c r="OEY30" s="28"/>
      <c r="OEZ30" s="28"/>
      <c r="OFA30" s="28"/>
      <c r="OFB30" s="28"/>
      <c r="OFC30" s="28"/>
      <c r="OFD30" s="28"/>
      <c r="OFE30" s="28"/>
      <c r="OFF30" s="28"/>
      <c r="OFG30" s="28"/>
      <c r="OFH30" s="28"/>
      <c r="OFI30" s="28"/>
      <c r="OFJ30" s="28"/>
      <c r="OFK30" s="28"/>
      <c r="OFL30" s="28"/>
      <c r="OFM30" s="28"/>
      <c r="OFN30" s="28"/>
      <c r="OFO30" s="28"/>
      <c r="OFP30" s="28"/>
      <c r="OFQ30" s="28"/>
      <c r="OFR30" s="28"/>
      <c r="OFS30" s="28"/>
      <c r="OFT30" s="28"/>
      <c r="OFU30" s="28"/>
      <c r="OFV30" s="28"/>
      <c r="OFW30" s="28"/>
      <c r="OFX30" s="28"/>
      <c r="OFY30" s="28"/>
      <c r="OFZ30" s="28"/>
      <c r="OGA30" s="28"/>
      <c r="OGB30" s="28"/>
      <c r="OGC30" s="28"/>
      <c r="OGD30" s="28"/>
      <c r="OGE30" s="28"/>
      <c r="OGF30" s="28"/>
      <c r="OGG30" s="28"/>
      <c r="OGH30" s="28"/>
      <c r="OGI30" s="28"/>
      <c r="OGJ30" s="28"/>
      <c r="OGK30" s="28"/>
      <c r="OGL30" s="28"/>
      <c r="OGM30" s="28"/>
      <c r="OGN30" s="28"/>
      <c r="OGO30" s="28"/>
      <c r="OGP30" s="28"/>
      <c r="OGQ30" s="28"/>
      <c r="OGR30" s="28"/>
      <c r="OGS30" s="28"/>
      <c r="OGT30" s="28"/>
      <c r="OGU30" s="28"/>
      <c r="OGV30" s="28"/>
      <c r="OGW30" s="28"/>
      <c r="OGX30" s="28"/>
      <c r="OGY30" s="28"/>
      <c r="OGZ30" s="28"/>
      <c r="OHA30" s="28"/>
      <c r="OHB30" s="28"/>
      <c r="OHC30" s="28"/>
      <c r="OHD30" s="28"/>
      <c r="OHE30" s="28"/>
      <c r="OHF30" s="28"/>
      <c r="OHG30" s="28"/>
      <c r="OHH30" s="28"/>
      <c r="OHI30" s="28"/>
      <c r="OHJ30" s="28"/>
      <c r="OHK30" s="28"/>
      <c r="OHL30" s="28"/>
      <c r="OHM30" s="28"/>
      <c r="OHN30" s="28"/>
      <c r="OHO30" s="28"/>
      <c r="OHP30" s="28"/>
      <c r="OHQ30" s="28"/>
      <c r="OHR30" s="28"/>
      <c r="OHS30" s="28"/>
      <c r="OHT30" s="28"/>
      <c r="OHU30" s="28"/>
      <c r="OHV30" s="28"/>
      <c r="OHW30" s="28"/>
      <c r="OHX30" s="28"/>
      <c r="OHY30" s="28"/>
      <c r="OHZ30" s="28"/>
      <c r="OIA30" s="28"/>
      <c r="OIB30" s="28"/>
      <c r="OIC30" s="28"/>
      <c r="OID30" s="28"/>
      <c r="OIE30" s="28"/>
      <c r="OIF30" s="28"/>
      <c r="OIG30" s="28"/>
      <c r="OIH30" s="28"/>
      <c r="OII30" s="28"/>
      <c r="OIJ30" s="28"/>
      <c r="OIK30" s="28"/>
      <c r="OIL30" s="28"/>
      <c r="OIM30" s="28"/>
      <c r="OIN30" s="28"/>
      <c r="OIO30" s="28"/>
      <c r="OIP30" s="28"/>
      <c r="OIQ30" s="28"/>
      <c r="OIR30" s="28"/>
      <c r="OIS30" s="28"/>
      <c r="OIT30" s="28"/>
      <c r="OIU30" s="28"/>
      <c r="OIV30" s="28"/>
      <c r="OIW30" s="28"/>
      <c r="OIX30" s="28"/>
      <c r="OIY30" s="28"/>
      <c r="OIZ30" s="28"/>
      <c r="OJA30" s="28"/>
      <c r="OJB30" s="28"/>
      <c r="OJC30" s="28"/>
      <c r="OJD30" s="28"/>
      <c r="OJE30" s="28"/>
      <c r="OJF30" s="28"/>
      <c r="OJG30" s="28"/>
      <c r="OJH30" s="28"/>
      <c r="OJI30" s="28"/>
      <c r="OJJ30" s="28"/>
      <c r="OJK30" s="28"/>
      <c r="OJL30" s="28"/>
      <c r="OJM30" s="28"/>
      <c r="OJN30" s="28"/>
      <c r="OJO30" s="28"/>
      <c r="OJP30" s="28"/>
      <c r="OJQ30" s="28"/>
      <c r="OJR30" s="28"/>
      <c r="OJS30" s="28"/>
      <c r="OJT30" s="28"/>
      <c r="OJU30" s="28"/>
      <c r="OJV30" s="28"/>
      <c r="OJW30" s="28"/>
      <c r="OJX30" s="28"/>
      <c r="OJY30" s="28"/>
      <c r="OJZ30" s="28"/>
      <c r="OKA30" s="28"/>
      <c r="OKB30" s="28"/>
      <c r="OKC30" s="28"/>
      <c r="OKD30" s="28"/>
      <c r="OKE30" s="28"/>
      <c r="OKF30" s="28"/>
      <c r="OKG30" s="28"/>
      <c r="OKH30" s="28"/>
      <c r="OKI30" s="28"/>
      <c r="OKJ30" s="28"/>
      <c r="OKK30" s="28"/>
      <c r="OKL30" s="28"/>
      <c r="OKM30" s="28"/>
      <c r="OKN30" s="28"/>
      <c r="OKO30" s="28"/>
      <c r="OKP30" s="28"/>
      <c r="OKQ30" s="28"/>
      <c r="OKR30" s="28"/>
      <c r="OKS30" s="28"/>
      <c r="OKT30" s="28"/>
      <c r="OKU30" s="28"/>
      <c r="OKV30" s="28"/>
      <c r="OKW30" s="28"/>
      <c r="OKX30" s="28"/>
      <c r="OKY30" s="28"/>
      <c r="OKZ30" s="28"/>
      <c r="OLA30" s="28"/>
      <c r="OLB30" s="28"/>
      <c r="OLC30" s="28"/>
      <c r="OLD30" s="28"/>
      <c r="OLE30" s="28"/>
      <c r="OLF30" s="28"/>
      <c r="OLG30" s="28"/>
      <c r="OLH30" s="28"/>
      <c r="OLI30" s="28"/>
      <c r="OLJ30" s="28"/>
      <c r="OLK30" s="28"/>
      <c r="OLL30" s="28"/>
      <c r="OLM30" s="28"/>
      <c r="OLN30" s="28"/>
      <c r="OLO30" s="28"/>
      <c r="OLP30" s="28"/>
      <c r="OLQ30" s="28"/>
      <c r="OLR30" s="28"/>
      <c r="OLS30" s="28"/>
      <c r="OLT30" s="28"/>
      <c r="OLU30" s="28"/>
      <c r="OLV30" s="28"/>
      <c r="OLW30" s="28"/>
      <c r="OLX30" s="28"/>
      <c r="OLY30" s="28"/>
      <c r="OLZ30" s="28"/>
      <c r="OMA30" s="28"/>
      <c r="OMB30" s="28"/>
      <c r="OMC30" s="28"/>
      <c r="OMD30" s="28"/>
      <c r="OME30" s="28"/>
      <c r="OMF30" s="28"/>
      <c r="OMG30" s="28"/>
      <c r="OMH30" s="28"/>
      <c r="OMI30" s="28"/>
      <c r="OMJ30" s="28"/>
      <c r="OMK30" s="28"/>
      <c r="OML30" s="28"/>
      <c r="OMM30" s="28"/>
      <c r="OMN30" s="28"/>
      <c r="OMO30" s="28"/>
      <c r="OMP30" s="28"/>
      <c r="OMQ30" s="28"/>
      <c r="OMR30" s="28"/>
      <c r="OMS30" s="28"/>
      <c r="OMT30" s="28"/>
      <c r="OMU30" s="28"/>
      <c r="OMV30" s="28"/>
      <c r="OMW30" s="28"/>
      <c r="OMX30" s="28"/>
      <c r="OMY30" s="28"/>
      <c r="OMZ30" s="28"/>
      <c r="ONA30" s="28"/>
      <c r="ONB30" s="28"/>
      <c r="ONC30" s="28"/>
      <c r="OND30" s="28"/>
      <c r="ONE30" s="28"/>
      <c r="ONF30" s="28"/>
      <c r="ONG30" s="28"/>
      <c r="ONH30" s="28"/>
      <c r="ONI30" s="28"/>
      <c r="ONJ30" s="28"/>
      <c r="ONK30" s="28"/>
      <c r="ONL30" s="28"/>
      <c r="ONM30" s="28"/>
      <c r="ONN30" s="28"/>
      <c r="ONO30" s="28"/>
      <c r="ONP30" s="28"/>
      <c r="ONQ30" s="28"/>
      <c r="ONR30" s="28"/>
      <c r="ONS30" s="28"/>
      <c r="ONT30" s="28"/>
      <c r="ONU30" s="28"/>
      <c r="ONV30" s="28"/>
      <c r="ONW30" s="28"/>
      <c r="ONX30" s="28"/>
      <c r="ONY30" s="28"/>
      <c r="ONZ30" s="28"/>
      <c r="OOA30" s="28"/>
      <c r="OOB30" s="28"/>
      <c r="OOC30" s="28"/>
      <c r="OOD30" s="28"/>
      <c r="OOE30" s="28"/>
      <c r="OOF30" s="28"/>
      <c r="OOG30" s="28"/>
      <c r="OOH30" s="28"/>
      <c r="OOI30" s="28"/>
      <c r="OOJ30" s="28"/>
      <c r="OOK30" s="28"/>
      <c r="OOL30" s="28"/>
      <c r="OOM30" s="28"/>
      <c r="OON30" s="28"/>
      <c r="OOO30" s="28"/>
      <c r="OOP30" s="28"/>
      <c r="OOQ30" s="28"/>
      <c r="OOR30" s="28"/>
      <c r="OOS30" s="28"/>
      <c r="OOT30" s="28"/>
      <c r="OOU30" s="28"/>
      <c r="OOV30" s="28"/>
      <c r="OOW30" s="28"/>
      <c r="OOX30" s="28"/>
      <c r="OOY30" s="28"/>
      <c r="OOZ30" s="28"/>
      <c r="OPA30" s="28"/>
      <c r="OPB30" s="28"/>
      <c r="OPC30" s="28"/>
      <c r="OPD30" s="28"/>
      <c r="OPE30" s="28"/>
      <c r="OPF30" s="28"/>
      <c r="OPG30" s="28"/>
      <c r="OPH30" s="28"/>
      <c r="OPI30" s="28"/>
      <c r="OPJ30" s="28"/>
      <c r="OPK30" s="28"/>
      <c r="OPL30" s="28"/>
      <c r="OPM30" s="28"/>
      <c r="OPN30" s="28"/>
      <c r="OPO30" s="28"/>
      <c r="OPP30" s="28"/>
      <c r="OPQ30" s="28"/>
      <c r="OPR30" s="28"/>
      <c r="OPS30" s="28"/>
      <c r="OPT30" s="28"/>
      <c r="OPU30" s="28"/>
      <c r="OPV30" s="28"/>
      <c r="OPW30" s="28"/>
      <c r="OPX30" s="28"/>
      <c r="OPY30" s="28"/>
      <c r="OPZ30" s="28"/>
      <c r="OQA30" s="28"/>
      <c r="OQB30" s="28"/>
      <c r="OQC30" s="28"/>
      <c r="OQD30" s="28"/>
      <c r="OQE30" s="28"/>
      <c r="OQF30" s="28"/>
      <c r="OQG30" s="28"/>
      <c r="OQH30" s="28"/>
      <c r="OQI30" s="28"/>
      <c r="OQJ30" s="28"/>
      <c r="OQK30" s="28"/>
      <c r="OQL30" s="28"/>
      <c r="OQM30" s="28"/>
      <c r="OQN30" s="28"/>
      <c r="OQO30" s="28"/>
      <c r="OQP30" s="28"/>
      <c r="OQQ30" s="28"/>
      <c r="OQR30" s="28"/>
      <c r="OQS30" s="28"/>
      <c r="OQT30" s="28"/>
      <c r="OQU30" s="28"/>
      <c r="OQV30" s="28"/>
      <c r="OQW30" s="28"/>
      <c r="OQX30" s="28"/>
      <c r="OQY30" s="28"/>
      <c r="OQZ30" s="28"/>
      <c r="ORA30" s="28"/>
      <c r="ORB30" s="28"/>
      <c r="ORC30" s="28"/>
      <c r="ORD30" s="28"/>
      <c r="ORE30" s="28"/>
      <c r="ORF30" s="28"/>
      <c r="ORG30" s="28"/>
      <c r="ORH30" s="28"/>
      <c r="ORI30" s="28"/>
      <c r="ORJ30" s="28"/>
      <c r="ORK30" s="28"/>
      <c r="ORL30" s="28"/>
      <c r="ORM30" s="28"/>
      <c r="ORN30" s="28"/>
      <c r="ORO30" s="28"/>
      <c r="ORP30" s="28"/>
      <c r="ORQ30" s="28"/>
      <c r="ORR30" s="28"/>
      <c r="ORS30" s="28"/>
      <c r="ORT30" s="28"/>
      <c r="ORU30" s="28"/>
      <c r="ORV30" s="28"/>
      <c r="ORW30" s="28"/>
      <c r="ORX30" s="28"/>
      <c r="ORY30" s="28"/>
      <c r="ORZ30" s="28"/>
      <c r="OSA30" s="28"/>
      <c r="OSB30" s="28"/>
      <c r="OSC30" s="28"/>
      <c r="OSD30" s="28"/>
      <c r="OSE30" s="28"/>
      <c r="OSF30" s="28"/>
      <c r="OSG30" s="28"/>
      <c r="OSH30" s="28"/>
      <c r="OSI30" s="28"/>
      <c r="OSJ30" s="28"/>
      <c r="OSK30" s="28"/>
      <c r="OSL30" s="28"/>
      <c r="OSM30" s="28"/>
      <c r="OSN30" s="28"/>
      <c r="OSO30" s="28"/>
      <c r="OSP30" s="28"/>
      <c r="OSQ30" s="28"/>
      <c r="OSR30" s="28"/>
      <c r="OSS30" s="28"/>
      <c r="OST30" s="28"/>
      <c r="OSU30" s="28"/>
      <c r="OSV30" s="28"/>
      <c r="OSW30" s="28"/>
      <c r="OSX30" s="28"/>
      <c r="OSY30" s="28"/>
      <c r="OSZ30" s="28"/>
      <c r="OTA30" s="28"/>
      <c r="OTB30" s="28"/>
      <c r="OTC30" s="28"/>
      <c r="OTD30" s="28"/>
      <c r="OTE30" s="28"/>
      <c r="OTF30" s="28"/>
      <c r="OTG30" s="28"/>
      <c r="OTH30" s="28"/>
      <c r="OTI30" s="28"/>
      <c r="OTJ30" s="28"/>
      <c r="OTK30" s="28"/>
      <c r="OTL30" s="28"/>
      <c r="OTM30" s="28"/>
      <c r="OTN30" s="28"/>
      <c r="OTO30" s="28"/>
      <c r="OTP30" s="28"/>
      <c r="OTQ30" s="28"/>
      <c r="OTR30" s="28"/>
      <c r="OTS30" s="28"/>
      <c r="OTT30" s="28"/>
      <c r="OTU30" s="28"/>
      <c r="OTV30" s="28"/>
      <c r="OTW30" s="28"/>
      <c r="OTX30" s="28"/>
      <c r="OTY30" s="28"/>
      <c r="OTZ30" s="28"/>
      <c r="OUA30" s="28"/>
      <c r="OUB30" s="28"/>
      <c r="OUC30" s="28"/>
      <c r="OUD30" s="28"/>
      <c r="OUE30" s="28"/>
      <c r="OUF30" s="28"/>
      <c r="OUG30" s="28"/>
      <c r="OUH30" s="28"/>
      <c r="OUI30" s="28"/>
      <c r="OUJ30" s="28"/>
      <c r="OUK30" s="28"/>
      <c r="OUL30" s="28"/>
      <c r="OUM30" s="28"/>
      <c r="OUN30" s="28"/>
      <c r="OUO30" s="28"/>
      <c r="OUP30" s="28"/>
      <c r="OUQ30" s="28"/>
      <c r="OUR30" s="28"/>
      <c r="OUS30" s="28"/>
      <c r="OUT30" s="28"/>
      <c r="OUU30" s="28"/>
      <c r="OUV30" s="28"/>
      <c r="OUW30" s="28"/>
      <c r="OUX30" s="28"/>
      <c r="OUY30" s="28"/>
      <c r="OUZ30" s="28"/>
      <c r="OVA30" s="28"/>
      <c r="OVB30" s="28"/>
      <c r="OVC30" s="28"/>
      <c r="OVD30" s="28"/>
      <c r="OVE30" s="28"/>
      <c r="OVF30" s="28"/>
      <c r="OVG30" s="28"/>
      <c r="OVH30" s="28"/>
      <c r="OVI30" s="28"/>
      <c r="OVJ30" s="28"/>
      <c r="OVK30" s="28"/>
      <c r="OVL30" s="28"/>
      <c r="OVM30" s="28"/>
      <c r="OVN30" s="28"/>
      <c r="OVO30" s="28"/>
      <c r="OVP30" s="28"/>
      <c r="OVQ30" s="28"/>
      <c r="OVR30" s="28"/>
      <c r="OVS30" s="28"/>
      <c r="OVT30" s="28"/>
      <c r="OVU30" s="28"/>
      <c r="OVV30" s="28"/>
      <c r="OVW30" s="28"/>
      <c r="OVX30" s="28"/>
      <c r="OVY30" s="28"/>
      <c r="OVZ30" s="28"/>
      <c r="OWA30" s="28"/>
      <c r="OWB30" s="28"/>
      <c r="OWC30" s="28"/>
      <c r="OWD30" s="28"/>
      <c r="OWE30" s="28"/>
      <c r="OWF30" s="28"/>
      <c r="OWG30" s="28"/>
      <c r="OWH30" s="28"/>
      <c r="OWI30" s="28"/>
      <c r="OWJ30" s="28"/>
      <c r="OWK30" s="28"/>
      <c r="OWL30" s="28"/>
      <c r="OWM30" s="28"/>
      <c r="OWN30" s="28"/>
      <c r="OWO30" s="28"/>
      <c r="OWP30" s="28"/>
      <c r="OWQ30" s="28"/>
      <c r="OWR30" s="28"/>
      <c r="OWS30" s="28"/>
      <c r="OWT30" s="28"/>
      <c r="OWU30" s="28"/>
      <c r="OWV30" s="28"/>
      <c r="OWW30" s="28"/>
      <c r="OWX30" s="28"/>
      <c r="OWY30" s="28"/>
      <c r="OWZ30" s="28"/>
      <c r="OXA30" s="28"/>
      <c r="OXB30" s="28"/>
      <c r="OXC30" s="28"/>
      <c r="OXD30" s="28"/>
      <c r="OXE30" s="28"/>
      <c r="OXF30" s="28"/>
      <c r="OXG30" s="28"/>
      <c r="OXH30" s="28"/>
      <c r="OXI30" s="28"/>
      <c r="OXJ30" s="28"/>
      <c r="OXK30" s="28"/>
      <c r="OXL30" s="28"/>
      <c r="OXM30" s="28"/>
      <c r="OXN30" s="28"/>
      <c r="OXO30" s="28"/>
      <c r="OXP30" s="28"/>
      <c r="OXQ30" s="28"/>
      <c r="OXR30" s="28"/>
      <c r="OXS30" s="28"/>
      <c r="OXT30" s="28"/>
      <c r="OXU30" s="28"/>
      <c r="OXV30" s="28"/>
      <c r="OXW30" s="28"/>
      <c r="OXX30" s="28"/>
      <c r="OXY30" s="28"/>
      <c r="OXZ30" s="28"/>
      <c r="OYA30" s="28"/>
      <c r="OYB30" s="28"/>
      <c r="OYC30" s="28"/>
      <c r="OYD30" s="28"/>
      <c r="OYE30" s="28"/>
      <c r="OYF30" s="28"/>
      <c r="OYG30" s="28"/>
      <c r="OYH30" s="28"/>
      <c r="OYI30" s="28"/>
      <c r="OYJ30" s="28"/>
      <c r="OYK30" s="28"/>
      <c r="OYL30" s="28"/>
      <c r="OYM30" s="28"/>
      <c r="OYN30" s="28"/>
      <c r="OYO30" s="28"/>
      <c r="OYP30" s="28"/>
      <c r="OYQ30" s="28"/>
      <c r="OYR30" s="28"/>
      <c r="OYS30" s="28"/>
      <c r="OYT30" s="28"/>
      <c r="OYU30" s="28"/>
      <c r="OYV30" s="28"/>
      <c r="OYW30" s="28"/>
      <c r="OYX30" s="28"/>
      <c r="OYY30" s="28"/>
      <c r="OYZ30" s="28"/>
      <c r="OZA30" s="28"/>
      <c r="OZB30" s="28"/>
      <c r="OZC30" s="28"/>
      <c r="OZD30" s="28"/>
      <c r="OZE30" s="28"/>
      <c r="OZF30" s="28"/>
      <c r="OZG30" s="28"/>
      <c r="OZH30" s="28"/>
      <c r="OZI30" s="28"/>
      <c r="OZJ30" s="28"/>
      <c r="OZK30" s="28"/>
      <c r="OZL30" s="28"/>
      <c r="OZM30" s="28"/>
      <c r="OZN30" s="28"/>
      <c r="OZO30" s="28"/>
      <c r="OZP30" s="28"/>
      <c r="OZQ30" s="28"/>
      <c r="OZR30" s="28"/>
      <c r="OZS30" s="28"/>
      <c r="OZT30" s="28"/>
      <c r="OZU30" s="28"/>
      <c r="OZV30" s="28"/>
      <c r="OZW30" s="28"/>
      <c r="OZX30" s="28"/>
      <c r="OZY30" s="28"/>
      <c r="OZZ30" s="28"/>
      <c r="PAA30" s="28"/>
      <c r="PAB30" s="28"/>
      <c r="PAC30" s="28"/>
      <c r="PAD30" s="28"/>
      <c r="PAE30" s="28"/>
      <c r="PAF30" s="28"/>
      <c r="PAG30" s="28"/>
      <c r="PAH30" s="28"/>
      <c r="PAI30" s="28"/>
      <c r="PAJ30" s="28"/>
      <c r="PAK30" s="28"/>
      <c r="PAL30" s="28"/>
      <c r="PAM30" s="28"/>
      <c r="PAN30" s="28"/>
      <c r="PAO30" s="28"/>
      <c r="PAP30" s="28"/>
      <c r="PAQ30" s="28"/>
      <c r="PAR30" s="28"/>
      <c r="PAS30" s="28"/>
      <c r="PAT30" s="28"/>
      <c r="PAU30" s="28"/>
      <c r="PAV30" s="28"/>
      <c r="PAW30" s="28"/>
      <c r="PAX30" s="28"/>
      <c r="PAY30" s="28"/>
      <c r="PAZ30" s="28"/>
      <c r="PBA30" s="28"/>
      <c r="PBB30" s="28"/>
      <c r="PBC30" s="28"/>
      <c r="PBD30" s="28"/>
      <c r="PBE30" s="28"/>
      <c r="PBF30" s="28"/>
      <c r="PBG30" s="28"/>
      <c r="PBH30" s="28"/>
      <c r="PBI30" s="28"/>
      <c r="PBJ30" s="28"/>
      <c r="PBK30" s="28"/>
      <c r="PBL30" s="28"/>
      <c r="PBM30" s="28"/>
      <c r="PBN30" s="28"/>
      <c r="PBO30" s="28"/>
      <c r="PBP30" s="28"/>
      <c r="PBQ30" s="28"/>
      <c r="PBR30" s="28"/>
      <c r="PBS30" s="28"/>
      <c r="PBT30" s="28"/>
      <c r="PBU30" s="28"/>
      <c r="PBV30" s="28"/>
      <c r="PBW30" s="28"/>
      <c r="PBX30" s="28"/>
      <c r="PBY30" s="28"/>
      <c r="PBZ30" s="28"/>
      <c r="PCA30" s="28"/>
      <c r="PCB30" s="28"/>
      <c r="PCC30" s="28"/>
      <c r="PCD30" s="28"/>
      <c r="PCE30" s="28"/>
      <c r="PCF30" s="28"/>
      <c r="PCG30" s="28"/>
      <c r="PCH30" s="28"/>
      <c r="PCI30" s="28"/>
      <c r="PCJ30" s="28"/>
      <c r="PCK30" s="28"/>
      <c r="PCL30" s="28"/>
      <c r="PCM30" s="28"/>
      <c r="PCN30" s="28"/>
      <c r="PCO30" s="28"/>
      <c r="PCP30" s="28"/>
      <c r="PCQ30" s="28"/>
      <c r="PCR30" s="28"/>
      <c r="PCS30" s="28"/>
      <c r="PCT30" s="28"/>
      <c r="PCU30" s="28"/>
      <c r="PCV30" s="28"/>
      <c r="PCW30" s="28"/>
      <c r="PCX30" s="28"/>
      <c r="PCY30" s="28"/>
      <c r="PCZ30" s="28"/>
      <c r="PDA30" s="28"/>
      <c r="PDB30" s="28"/>
      <c r="PDC30" s="28"/>
      <c r="PDD30" s="28"/>
      <c r="PDE30" s="28"/>
      <c r="PDF30" s="28"/>
      <c r="PDG30" s="28"/>
      <c r="PDH30" s="28"/>
      <c r="PDI30" s="28"/>
      <c r="PDJ30" s="28"/>
      <c r="PDK30" s="28"/>
      <c r="PDL30" s="28"/>
      <c r="PDM30" s="28"/>
      <c r="PDN30" s="28"/>
      <c r="PDO30" s="28"/>
      <c r="PDP30" s="28"/>
      <c r="PDQ30" s="28"/>
      <c r="PDR30" s="28"/>
      <c r="PDS30" s="28"/>
      <c r="PDT30" s="28"/>
      <c r="PDU30" s="28"/>
      <c r="PDV30" s="28"/>
      <c r="PDW30" s="28"/>
      <c r="PDX30" s="28"/>
      <c r="PDY30" s="28"/>
      <c r="PDZ30" s="28"/>
      <c r="PEA30" s="28"/>
      <c r="PEB30" s="28"/>
      <c r="PEC30" s="28"/>
      <c r="PED30" s="28"/>
      <c r="PEE30" s="28"/>
      <c r="PEF30" s="28"/>
      <c r="PEG30" s="28"/>
      <c r="PEH30" s="28"/>
      <c r="PEI30" s="28"/>
      <c r="PEJ30" s="28"/>
      <c r="PEK30" s="28"/>
      <c r="PEL30" s="28"/>
      <c r="PEM30" s="28"/>
      <c r="PEN30" s="28"/>
      <c r="PEO30" s="28"/>
      <c r="PEP30" s="28"/>
      <c r="PEQ30" s="28"/>
      <c r="PER30" s="28"/>
      <c r="PES30" s="28"/>
      <c r="PET30" s="28"/>
      <c r="PEU30" s="28"/>
      <c r="PEV30" s="28"/>
      <c r="PEW30" s="28"/>
      <c r="PEX30" s="28"/>
      <c r="PEY30" s="28"/>
      <c r="PEZ30" s="28"/>
      <c r="PFA30" s="28"/>
      <c r="PFB30" s="28"/>
      <c r="PFC30" s="28"/>
      <c r="PFD30" s="28"/>
      <c r="PFE30" s="28"/>
      <c r="PFF30" s="28"/>
      <c r="PFG30" s="28"/>
      <c r="PFH30" s="28"/>
      <c r="PFI30" s="28"/>
      <c r="PFJ30" s="28"/>
      <c r="PFK30" s="28"/>
      <c r="PFL30" s="28"/>
      <c r="PFM30" s="28"/>
      <c r="PFN30" s="28"/>
      <c r="PFO30" s="28"/>
      <c r="PFP30" s="28"/>
      <c r="PFQ30" s="28"/>
      <c r="PFR30" s="28"/>
      <c r="PFS30" s="28"/>
      <c r="PFT30" s="28"/>
      <c r="PFU30" s="28"/>
      <c r="PFV30" s="28"/>
      <c r="PFW30" s="28"/>
      <c r="PFX30" s="28"/>
      <c r="PFY30" s="28"/>
      <c r="PFZ30" s="28"/>
      <c r="PGA30" s="28"/>
      <c r="PGB30" s="28"/>
      <c r="PGC30" s="28"/>
      <c r="PGD30" s="28"/>
      <c r="PGE30" s="28"/>
      <c r="PGF30" s="28"/>
      <c r="PGG30" s="28"/>
      <c r="PGH30" s="28"/>
      <c r="PGI30" s="28"/>
      <c r="PGJ30" s="28"/>
      <c r="PGK30" s="28"/>
      <c r="PGL30" s="28"/>
      <c r="PGM30" s="28"/>
      <c r="PGN30" s="28"/>
      <c r="PGO30" s="28"/>
      <c r="PGP30" s="28"/>
      <c r="PGQ30" s="28"/>
      <c r="PGR30" s="28"/>
      <c r="PGS30" s="28"/>
      <c r="PGT30" s="28"/>
      <c r="PGU30" s="28"/>
      <c r="PGV30" s="28"/>
      <c r="PGW30" s="28"/>
      <c r="PGX30" s="28"/>
      <c r="PGY30" s="28"/>
      <c r="PGZ30" s="28"/>
      <c r="PHA30" s="28"/>
      <c r="PHB30" s="28"/>
      <c r="PHC30" s="28"/>
      <c r="PHD30" s="28"/>
      <c r="PHE30" s="28"/>
      <c r="PHF30" s="28"/>
      <c r="PHG30" s="28"/>
      <c r="PHH30" s="28"/>
      <c r="PHI30" s="28"/>
      <c r="PHJ30" s="28"/>
      <c r="PHK30" s="28"/>
      <c r="PHL30" s="28"/>
      <c r="PHM30" s="28"/>
      <c r="PHN30" s="28"/>
      <c r="PHO30" s="28"/>
      <c r="PHP30" s="28"/>
      <c r="PHQ30" s="28"/>
      <c r="PHR30" s="28"/>
      <c r="PHS30" s="28"/>
      <c r="PHT30" s="28"/>
      <c r="PHU30" s="28"/>
      <c r="PHV30" s="28"/>
      <c r="PHW30" s="28"/>
      <c r="PHX30" s="28"/>
      <c r="PHY30" s="28"/>
      <c r="PHZ30" s="28"/>
      <c r="PIA30" s="28"/>
      <c r="PIB30" s="28"/>
      <c r="PIC30" s="28"/>
      <c r="PID30" s="28"/>
      <c r="PIE30" s="28"/>
      <c r="PIF30" s="28"/>
      <c r="PIG30" s="28"/>
      <c r="PIH30" s="28"/>
      <c r="PII30" s="28"/>
      <c r="PIJ30" s="28"/>
      <c r="PIK30" s="28"/>
      <c r="PIL30" s="28"/>
      <c r="PIM30" s="28"/>
      <c r="PIN30" s="28"/>
      <c r="PIO30" s="28"/>
      <c r="PIP30" s="28"/>
      <c r="PIQ30" s="28"/>
      <c r="PIR30" s="28"/>
      <c r="PIS30" s="28"/>
      <c r="PIT30" s="28"/>
      <c r="PIU30" s="28"/>
      <c r="PIV30" s="28"/>
      <c r="PIW30" s="28"/>
      <c r="PIX30" s="28"/>
      <c r="PIY30" s="28"/>
      <c r="PIZ30" s="28"/>
      <c r="PJA30" s="28"/>
      <c r="PJB30" s="28"/>
      <c r="PJC30" s="28"/>
      <c r="PJD30" s="28"/>
      <c r="PJE30" s="28"/>
      <c r="PJF30" s="28"/>
      <c r="PJG30" s="28"/>
      <c r="PJH30" s="28"/>
      <c r="PJI30" s="28"/>
      <c r="PJJ30" s="28"/>
      <c r="PJK30" s="28"/>
      <c r="PJL30" s="28"/>
      <c r="PJM30" s="28"/>
      <c r="PJN30" s="28"/>
      <c r="PJO30" s="28"/>
      <c r="PJP30" s="28"/>
      <c r="PJQ30" s="28"/>
      <c r="PJR30" s="28"/>
      <c r="PJS30" s="28"/>
      <c r="PJT30" s="28"/>
      <c r="PJU30" s="28"/>
      <c r="PJV30" s="28"/>
      <c r="PJW30" s="28"/>
      <c r="PJX30" s="28"/>
      <c r="PJY30" s="28"/>
      <c r="PJZ30" s="28"/>
      <c r="PKA30" s="28"/>
      <c r="PKB30" s="28"/>
      <c r="PKC30" s="28"/>
      <c r="PKD30" s="28"/>
      <c r="PKE30" s="28"/>
      <c r="PKF30" s="28"/>
      <c r="PKG30" s="28"/>
      <c r="PKH30" s="28"/>
      <c r="PKI30" s="28"/>
      <c r="PKJ30" s="28"/>
      <c r="PKK30" s="28"/>
      <c r="PKL30" s="28"/>
      <c r="PKM30" s="28"/>
      <c r="PKN30" s="28"/>
      <c r="PKO30" s="28"/>
      <c r="PKP30" s="28"/>
      <c r="PKQ30" s="28"/>
      <c r="PKR30" s="28"/>
      <c r="PKS30" s="28"/>
      <c r="PKT30" s="28"/>
      <c r="PKU30" s="28"/>
      <c r="PKV30" s="28"/>
      <c r="PKW30" s="28"/>
      <c r="PKX30" s="28"/>
      <c r="PKY30" s="28"/>
      <c r="PKZ30" s="28"/>
      <c r="PLA30" s="28"/>
      <c r="PLB30" s="28"/>
      <c r="PLC30" s="28"/>
      <c r="PLD30" s="28"/>
      <c r="PLE30" s="28"/>
      <c r="PLF30" s="28"/>
      <c r="PLG30" s="28"/>
      <c r="PLH30" s="28"/>
      <c r="PLI30" s="28"/>
      <c r="PLJ30" s="28"/>
      <c r="PLK30" s="28"/>
      <c r="PLL30" s="28"/>
      <c r="PLM30" s="28"/>
      <c r="PLN30" s="28"/>
      <c r="PLO30" s="28"/>
      <c r="PLP30" s="28"/>
      <c r="PLQ30" s="28"/>
      <c r="PLR30" s="28"/>
      <c r="PLS30" s="28"/>
      <c r="PLT30" s="28"/>
      <c r="PLU30" s="28"/>
      <c r="PLV30" s="28"/>
      <c r="PLW30" s="28"/>
      <c r="PLX30" s="28"/>
      <c r="PLY30" s="28"/>
      <c r="PLZ30" s="28"/>
      <c r="PMA30" s="28"/>
      <c r="PMB30" s="28"/>
      <c r="PMC30" s="28"/>
      <c r="PMD30" s="28"/>
      <c r="PME30" s="28"/>
      <c r="PMF30" s="28"/>
      <c r="PMG30" s="28"/>
      <c r="PMH30" s="28"/>
      <c r="PMI30" s="28"/>
      <c r="PMJ30" s="28"/>
      <c r="PMK30" s="28"/>
      <c r="PML30" s="28"/>
      <c r="PMM30" s="28"/>
      <c r="PMN30" s="28"/>
      <c r="PMO30" s="28"/>
      <c r="PMP30" s="28"/>
      <c r="PMQ30" s="28"/>
      <c r="PMR30" s="28"/>
      <c r="PMS30" s="28"/>
      <c r="PMT30" s="28"/>
      <c r="PMU30" s="28"/>
      <c r="PMV30" s="28"/>
      <c r="PMW30" s="28"/>
      <c r="PMX30" s="28"/>
      <c r="PMY30" s="28"/>
      <c r="PMZ30" s="28"/>
      <c r="PNA30" s="28"/>
      <c r="PNB30" s="28"/>
      <c r="PNC30" s="28"/>
      <c r="PND30" s="28"/>
      <c r="PNE30" s="28"/>
      <c r="PNF30" s="28"/>
      <c r="PNG30" s="28"/>
      <c r="PNH30" s="28"/>
      <c r="PNI30" s="28"/>
      <c r="PNJ30" s="28"/>
      <c r="PNK30" s="28"/>
      <c r="PNL30" s="28"/>
      <c r="PNM30" s="28"/>
      <c r="PNN30" s="28"/>
      <c r="PNO30" s="28"/>
      <c r="PNP30" s="28"/>
      <c r="PNQ30" s="28"/>
      <c r="PNR30" s="28"/>
      <c r="PNS30" s="28"/>
      <c r="PNT30" s="28"/>
      <c r="PNU30" s="28"/>
      <c r="PNV30" s="28"/>
      <c r="PNW30" s="28"/>
      <c r="PNX30" s="28"/>
      <c r="PNY30" s="28"/>
      <c r="PNZ30" s="28"/>
      <c r="POA30" s="28"/>
      <c r="POB30" s="28"/>
      <c r="POC30" s="28"/>
      <c r="POD30" s="28"/>
      <c r="POE30" s="28"/>
      <c r="POF30" s="28"/>
      <c r="POG30" s="28"/>
      <c r="POH30" s="28"/>
      <c r="POI30" s="28"/>
      <c r="POJ30" s="28"/>
      <c r="POK30" s="28"/>
      <c r="POL30" s="28"/>
      <c r="POM30" s="28"/>
      <c r="PON30" s="28"/>
      <c r="POO30" s="28"/>
      <c r="POP30" s="28"/>
      <c r="POQ30" s="28"/>
      <c r="POR30" s="28"/>
      <c r="POS30" s="28"/>
      <c r="POT30" s="28"/>
      <c r="POU30" s="28"/>
      <c r="POV30" s="28"/>
      <c r="POW30" s="28"/>
      <c r="POX30" s="28"/>
      <c r="POY30" s="28"/>
      <c r="POZ30" s="28"/>
      <c r="PPA30" s="28"/>
      <c r="PPB30" s="28"/>
      <c r="PPC30" s="28"/>
      <c r="PPD30" s="28"/>
      <c r="PPE30" s="28"/>
      <c r="PPF30" s="28"/>
      <c r="PPG30" s="28"/>
      <c r="PPH30" s="28"/>
      <c r="PPI30" s="28"/>
      <c r="PPJ30" s="28"/>
      <c r="PPK30" s="28"/>
      <c r="PPL30" s="28"/>
      <c r="PPM30" s="28"/>
      <c r="PPN30" s="28"/>
      <c r="PPO30" s="28"/>
      <c r="PPP30" s="28"/>
      <c r="PPQ30" s="28"/>
      <c r="PPR30" s="28"/>
      <c r="PPS30" s="28"/>
      <c r="PPT30" s="28"/>
      <c r="PPU30" s="28"/>
      <c r="PPV30" s="28"/>
      <c r="PPW30" s="28"/>
      <c r="PPX30" s="28"/>
      <c r="PPY30" s="28"/>
      <c r="PPZ30" s="28"/>
      <c r="PQA30" s="28"/>
      <c r="PQB30" s="28"/>
      <c r="PQC30" s="28"/>
      <c r="PQD30" s="28"/>
      <c r="PQE30" s="28"/>
      <c r="PQF30" s="28"/>
      <c r="PQG30" s="28"/>
      <c r="PQH30" s="28"/>
      <c r="PQI30" s="28"/>
      <c r="PQJ30" s="28"/>
      <c r="PQK30" s="28"/>
      <c r="PQL30" s="28"/>
      <c r="PQM30" s="28"/>
      <c r="PQN30" s="28"/>
      <c r="PQO30" s="28"/>
      <c r="PQP30" s="28"/>
      <c r="PQQ30" s="28"/>
      <c r="PQR30" s="28"/>
      <c r="PQS30" s="28"/>
      <c r="PQT30" s="28"/>
      <c r="PQU30" s="28"/>
      <c r="PQV30" s="28"/>
      <c r="PQW30" s="28"/>
      <c r="PQX30" s="28"/>
      <c r="PQY30" s="28"/>
      <c r="PQZ30" s="28"/>
      <c r="PRA30" s="28"/>
      <c r="PRB30" s="28"/>
      <c r="PRC30" s="28"/>
      <c r="PRD30" s="28"/>
      <c r="PRE30" s="28"/>
      <c r="PRF30" s="28"/>
      <c r="PRG30" s="28"/>
      <c r="PRH30" s="28"/>
      <c r="PRI30" s="28"/>
      <c r="PRJ30" s="28"/>
      <c r="PRK30" s="28"/>
      <c r="PRL30" s="28"/>
      <c r="PRM30" s="28"/>
      <c r="PRN30" s="28"/>
      <c r="PRO30" s="28"/>
      <c r="PRP30" s="28"/>
      <c r="PRQ30" s="28"/>
      <c r="PRR30" s="28"/>
      <c r="PRS30" s="28"/>
      <c r="PRT30" s="28"/>
      <c r="PRU30" s="28"/>
      <c r="PRV30" s="28"/>
      <c r="PRW30" s="28"/>
      <c r="PRX30" s="28"/>
      <c r="PRY30" s="28"/>
      <c r="PRZ30" s="28"/>
      <c r="PSA30" s="28"/>
      <c r="PSB30" s="28"/>
      <c r="PSC30" s="28"/>
      <c r="PSD30" s="28"/>
      <c r="PSE30" s="28"/>
      <c r="PSF30" s="28"/>
      <c r="PSG30" s="28"/>
      <c r="PSH30" s="28"/>
      <c r="PSI30" s="28"/>
      <c r="PSJ30" s="28"/>
      <c r="PSK30" s="28"/>
      <c r="PSL30" s="28"/>
      <c r="PSM30" s="28"/>
      <c r="PSN30" s="28"/>
      <c r="PSO30" s="28"/>
      <c r="PSP30" s="28"/>
      <c r="PSQ30" s="28"/>
      <c r="PSR30" s="28"/>
      <c r="PSS30" s="28"/>
      <c r="PST30" s="28"/>
      <c r="PSU30" s="28"/>
      <c r="PSV30" s="28"/>
      <c r="PSW30" s="28"/>
      <c r="PSX30" s="28"/>
      <c r="PSY30" s="28"/>
      <c r="PSZ30" s="28"/>
      <c r="PTA30" s="28"/>
      <c r="PTB30" s="28"/>
      <c r="PTC30" s="28"/>
      <c r="PTD30" s="28"/>
      <c r="PTE30" s="28"/>
      <c r="PTF30" s="28"/>
      <c r="PTG30" s="28"/>
      <c r="PTH30" s="28"/>
      <c r="PTI30" s="28"/>
      <c r="PTJ30" s="28"/>
      <c r="PTK30" s="28"/>
      <c r="PTL30" s="28"/>
      <c r="PTM30" s="28"/>
      <c r="PTN30" s="28"/>
      <c r="PTO30" s="28"/>
      <c r="PTP30" s="28"/>
      <c r="PTQ30" s="28"/>
      <c r="PTR30" s="28"/>
      <c r="PTS30" s="28"/>
      <c r="PTT30" s="28"/>
      <c r="PTU30" s="28"/>
      <c r="PTV30" s="28"/>
      <c r="PTW30" s="28"/>
      <c r="PTX30" s="28"/>
      <c r="PTY30" s="28"/>
      <c r="PTZ30" s="28"/>
      <c r="PUA30" s="28"/>
      <c r="PUB30" s="28"/>
      <c r="PUC30" s="28"/>
      <c r="PUD30" s="28"/>
      <c r="PUE30" s="28"/>
      <c r="PUF30" s="28"/>
      <c r="PUG30" s="28"/>
      <c r="PUH30" s="28"/>
      <c r="PUI30" s="28"/>
      <c r="PUJ30" s="28"/>
      <c r="PUK30" s="28"/>
      <c r="PUL30" s="28"/>
      <c r="PUM30" s="28"/>
      <c r="PUN30" s="28"/>
      <c r="PUO30" s="28"/>
      <c r="PUP30" s="28"/>
      <c r="PUQ30" s="28"/>
      <c r="PUR30" s="28"/>
      <c r="PUS30" s="28"/>
      <c r="PUT30" s="28"/>
      <c r="PUU30" s="28"/>
      <c r="PUV30" s="28"/>
      <c r="PUW30" s="28"/>
      <c r="PUX30" s="28"/>
      <c r="PUY30" s="28"/>
      <c r="PUZ30" s="28"/>
      <c r="PVA30" s="28"/>
      <c r="PVB30" s="28"/>
      <c r="PVC30" s="28"/>
      <c r="PVD30" s="28"/>
      <c r="PVE30" s="28"/>
      <c r="PVF30" s="28"/>
      <c r="PVG30" s="28"/>
      <c r="PVH30" s="28"/>
      <c r="PVI30" s="28"/>
      <c r="PVJ30" s="28"/>
      <c r="PVK30" s="28"/>
      <c r="PVL30" s="28"/>
      <c r="PVM30" s="28"/>
      <c r="PVN30" s="28"/>
      <c r="PVO30" s="28"/>
      <c r="PVP30" s="28"/>
      <c r="PVQ30" s="28"/>
      <c r="PVR30" s="28"/>
      <c r="PVS30" s="28"/>
      <c r="PVT30" s="28"/>
      <c r="PVU30" s="28"/>
      <c r="PVV30" s="28"/>
      <c r="PVW30" s="28"/>
      <c r="PVX30" s="28"/>
      <c r="PVY30" s="28"/>
      <c r="PVZ30" s="28"/>
      <c r="PWA30" s="28"/>
      <c r="PWB30" s="28"/>
      <c r="PWC30" s="28"/>
      <c r="PWD30" s="28"/>
      <c r="PWE30" s="28"/>
      <c r="PWF30" s="28"/>
      <c r="PWG30" s="28"/>
      <c r="PWH30" s="28"/>
      <c r="PWI30" s="28"/>
      <c r="PWJ30" s="28"/>
      <c r="PWK30" s="28"/>
      <c r="PWL30" s="28"/>
      <c r="PWM30" s="28"/>
      <c r="PWN30" s="28"/>
      <c r="PWO30" s="28"/>
      <c r="PWP30" s="28"/>
      <c r="PWQ30" s="28"/>
      <c r="PWR30" s="28"/>
      <c r="PWS30" s="28"/>
      <c r="PWT30" s="28"/>
      <c r="PWU30" s="28"/>
      <c r="PWV30" s="28"/>
      <c r="PWW30" s="28"/>
      <c r="PWX30" s="28"/>
      <c r="PWY30" s="28"/>
      <c r="PWZ30" s="28"/>
      <c r="PXA30" s="28"/>
      <c r="PXB30" s="28"/>
      <c r="PXC30" s="28"/>
      <c r="PXD30" s="28"/>
      <c r="PXE30" s="28"/>
      <c r="PXF30" s="28"/>
      <c r="PXG30" s="28"/>
      <c r="PXH30" s="28"/>
      <c r="PXI30" s="28"/>
      <c r="PXJ30" s="28"/>
      <c r="PXK30" s="28"/>
      <c r="PXL30" s="28"/>
      <c r="PXM30" s="28"/>
      <c r="PXN30" s="28"/>
      <c r="PXO30" s="28"/>
      <c r="PXP30" s="28"/>
      <c r="PXQ30" s="28"/>
      <c r="PXR30" s="28"/>
      <c r="PXS30" s="28"/>
      <c r="PXT30" s="28"/>
      <c r="PXU30" s="28"/>
      <c r="PXV30" s="28"/>
      <c r="PXW30" s="28"/>
      <c r="PXX30" s="28"/>
      <c r="PXY30" s="28"/>
      <c r="PXZ30" s="28"/>
      <c r="PYA30" s="28"/>
      <c r="PYB30" s="28"/>
      <c r="PYC30" s="28"/>
      <c r="PYD30" s="28"/>
      <c r="PYE30" s="28"/>
      <c r="PYF30" s="28"/>
      <c r="PYG30" s="28"/>
      <c r="PYH30" s="28"/>
      <c r="PYI30" s="28"/>
      <c r="PYJ30" s="28"/>
      <c r="PYK30" s="28"/>
      <c r="PYL30" s="28"/>
      <c r="PYM30" s="28"/>
      <c r="PYN30" s="28"/>
      <c r="PYO30" s="28"/>
      <c r="PYP30" s="28"/>
      <c r="PYQ30" s="28"/>
      <c r="PYR30" s="28"/>
      <c r="PYS30" s="28"/>
      <c r="PYT30" s="28"/>
      <c r="PYU30" s="28"/>
      <c r="PYV30" s="28"/>
      <c r="PYW30" s="28"/>
      <c r="PYX30" s="28"/>
      <c r="PYY30" s="28"/>
      <c r="PYZ30" s="28"/>
      <c r="PZA30" s="28"/>
      <c r="PZB30" s="28"/>
      <c r="PZC30" s="28"/>
      <c r="PZD30" s="28"/>
      <c r="PZE30" s="28"/>
      <c r="PZF30" s="28"/>
      <c r="PZG30" s="28"/>
      <c r="PZH30" s="28"/>
      <c r="PZI30" s="28"/>
      <c r="PZJ30" s="28"/>
      <c r="PZK30" s="28"/>
      <c r="PZL30" s="28"/>
      <c r="PZM30" s="28"/>
      <c r="PZN30" s="28"/>
      <c r="PZO30" s="28"/>
      <c r="PZP30" s="28"/>
      <c r="PZQ30" s="28"/>
      <c r="PZR30" s="28"/>
      <c r="PZS30" s="28"/>
      <c r="PZT30" s="28"/>
      <c r="PZU30" s="28"/>
      <c r="PZV30" s="28"/>
      <c r="PZW30" s="28"/>
      <c r="PZX30" s="28"/>
      <c r="PZY30" s="28"/>
      <c r="PZZ30" s="28"/>
      <c r="QAA30" s="28"/>
      <c r="QAB30" s="28"/>
      <c r="QAC30" s="28"/>
      <c r="QAD30" s="28"/>
      <c r="QAE30" s="28"/>
      <c r="QAF30" s="28"/>
      <c r="QAG30" s="28"/>
      <c r="QAH30" s="28"/>
      <c r="QAI30" s="28"/>
      <c r="QAJ30" s="28"/>
      <c r="QAK30" s="28"/>
      <c r="QAL30" s="28"/>
      <c r="QAM30" s="28"/>
      <c r="QAN30" s="28"/>
      <c r="QAO30" s="28"/>
      <c r="QAP30" s="28"/>
      <c r="QAQ30" s="28"/>
      <c r="QAR30" s="28"/>
      <c r="QAS30" s="28"/>
      <c r="QAT30" s="28"/>
      <c r="QAU30" s="28"/>
      <c r="QAV30" s="28"/>
      <c r="QAW30" s="28"/>
      <c r="QAX30" s="28"/>
      <c r="QAY30" s="28"/>
      <c r="QAZ30" s="28"/>
      <c r="QBA30" s="28"/>
      <c r="QBB30" s="28"/>
      <c r="QBC30" s="28"/>
      <c r="QBD30" s="28"/>
      <c r="QBE30" s="28"/>
      <c r="QBF30" s="28"/>
      <c r="QBG30" s="28"/>
      <c r="QBH30" s="28"/>
      <c r="QBI30" s="28"/>
      <c r="QBJ30" s="28"/>
      <c r="QBK30" s="28"/>
      <c r="QBL30" s="28"/>
      <c r="QBM30" s="28"/>
      <c r="QBN30" s="28"/>
      <c r="QBO30" s="28"/>
      <c r="QBP30" s="28"/>
      <c r="QBQ30" s="28"/>
      <c r="QBR30" s="28"/>
      <c r="QBS30" s="28"/>
      <c r="QBT30" s="28"/>
      <c r="QBU30" s="28"/>
      <c r="QBV30" s="28"/>
      <c r="QBW30" s="28"/>
      <c r="QBX30" s="28"/>
      <c r="QBY30" s="28"/>
      <c r="QBZ30" s="28"/>
      <c r="QCA30" s="28"/>
      <c r="QCB30" s="28"/>
      <c r="QCC30" s="28"/>
      <c r="QCD30" s="28"/>
      <c r="QCE30" s="28"/>
      <c r="QCF30" s="28"/>
      <c r="QCG30" s="28"/>
      <c r="QCH30" s="28"/>
      <c r="QCI30" s="28"/>
      <c r="QCJ30" s="28"/>
      <c r="QCK30" s="28"/>
      <c r="QCL30" s="28"/>
      <c r="QCM30" s="28"/>
      <c r="QCN30" s="28"/>
      <c r="QCO30" s="28"/>
      <c r="QCP30" s="28"/>
      <c r="QCQ30" s="28"/>
      <c r="QCR30" s="28"/>
      <c r="QCS30" s="28"/>
      <c r="QCT30" s="28"/>
      <c r="QCU30" s="28"/>
      <c r="QCV30" s="28"/>
      <c r="QCW30" s="28"/>
      <c r="QCX30" s="28"/>
      <c r="QCY30" s="28"/>
      <c r="QCZ30" s="28"/>
      <c r="QDA30" s="28"/>
      <c r="QDB30" s="28"/>
      <c r="QDC30" s="28"/>
      <c r="QDD30" s="28"/>
      <c r="QDE30" s="28"/>
      <c r="QDF30" s="28"/>
      <c r="QDG30" s="28"/>
      <c r="QDH30" s="28"/>
      <c r="QDI30" s="28"/>
      <c r="QDJ30" s="28"/>
      <c r="QDK30" s="28"/>
      <c r="QDL30" s="28"/>
      <c r="QDM30" s="28"/>
      <c r="QDN30" s="28"/>
      <c r="QDO30" s="28"/>
      <c r="QDP30" s="28"/>
      <c r="QDQ30" s="28"/>
      <c r="QDR30" s="28"/>
      <c r="QDS30" s="28"/>
      <c r="QDT30" s="28"/>
      <c r="QDU30" s="28"/>
      <c r="QDV30" s="28"/>
      <c r="QDW30" s="28"/>
      <c r="QDX30" s="28"/>
      <c r="QDY30" s="28"/>
      <c r="QDZ30" s="28"/>
      <c r="QEA30" s="28"/>
      <c r="QEB30" s="28"/>
      <c r="QEC30" s="28"/>
      <c r="QED30" s="28"/>
      <c r="QEE30" s="28"/>
      <c r="QEF30" s="28"/>
      <c r="QEG30" s="28"/>
      <c r="QEH30" s="28"/>
      <c r="QEI30" s="28"/>
      <c r="QEJ30" s="28"/>
      <c r="QEK30" s="28"/>
      <c r="QEL30" s="28"/>
      <c r="QEM30" s="28"/>
      <c r="QEN30" s="28"/>
      <c r="QEO30" s="28"/>
      <c r="QEP30" s="28"/>
      <c r="QEQ30" s="28"/>
      <c r="QER30" s="28"/>
      <c r="QES30" s="28"/>
      <c r="QET30" s="28"/>
      <c r="QEU30" s="28"/>
      <c r="QEV30" s="28"/>
      <c r="QEW30" s="28"/>
      <c r="QEX30" s="28"/>
      <c r="QEY30" s="28"/>
      <c r="QEZ30" s="28"/>
      <c r="QFA30" s="28"/>
      <c r="QFB30" s="28"/>
      <c r="QFC30" s="28"/>
      <c r="QFD30" s="28"/>
      <c r="QFE30" s="28"/>
      <c r="QFF30" s="28"/>
      <c r="QFG30" s="28"/>
      <c r="QFH30" s="28"/>
      <c r="QFI30" s="28"/>
      <c r="QFJ30" s="28"/>
      <c r="QFK30" s="28"/>
      <c r="QFL30" s="28"/>
      <c r="QFM30" s="28"/>
      <c r="QFN30" s="28"/>
      <c r="QFO30" s="28"/>
      <c r="QFP30" s="28"/>
      <c r="QFQ30" s="28"/>
      <c r="QFR30" s="28"/>
      <c r="QFS30" s="28"/>
      <c r="QFT30" s="28"/>
      <c r="QFU30" s="28"/>
      <c r="QFV30" s="28"/>
      <c r="QFW30" s="28"/>
      <c r="QFX30" s="28"/>
      <c r="QFY30" s="28"/>
      <c r="QFZ30" s="28"/>
      <c r="QGA30" s="28"/>
      <c r="QGB30" s="28"/>
      <c r="QGC30" s="28"/>
      <c r="QGD30" s="28"/>
      <c r="QGE30" s="28"/>
      <c r="QGF30" s="28"/>
      <c r="QGG30" s="28"/>
      <c r="QGH30" s="28"/>
      <c r="QGI30" s="28"/>
      <c r="QGJ30" s="28"/>
      <c r="QGK30" s="28"/>
      <c r="QGL30" s="28"/>
      <c r="QGM30" s="28"/>
      <c r="QGN30" s="28"/>
      <c r="QGO30" s="28"/>
      <c r="QGP30" s="28"/>
      <c r="QGQ30" s="28"/>
      <c r="QGR30" s="28"/>
      <c r="QGS30" s="28"/>
      <c r="QGT30" s="28"/>
      <c r="QGU30" s="28"/>
      <c r="QGV30" s="28"/>
      <c r="QGW30" s="28"/>
      <c r="QGX30" s="28"/>
      <c r="QGY30" s="28"/>
      <c r="QGZ30" s="28"/>
      <c r="QHA30" s="28"/>
      <c r="QHB30" s="28"/>
      <c r="QHC30" s="28"/>
      <c r="QHD30" s="28"/>
      <c r="QHE30" s="28"/>
      <c r="QHF30" s="28"/>
      <c r="QHG30" s="28"/>
      <c r="QHH30" s="28"/>
      <c r="QHI30" s="28"/>
      <c r="QHJ30" s="28"/>
      <c r="QHK30" s="28"/>
      <c r="QHL30" s="28"/>
      <c r="QHM30" s="28"/>
      <c r="QHN30" s="28"/>
      <c r="QHO30" s="28"/>
      <c r="QHP30" s="28"/>
      <c r="QHQ30" s="28"/>
      <c r="QHR30" s="28"/>
      <c r="QHS30" s="28"/>
      <c r="QHT30" s="28"/>
      <c r="QHU30" s="28"/>
      <c r="QHV30" s="28"/>
      <c r="QHW30" s="28"/>
      <c r="QHX30" s="28"/>
      <c r="QHY30" s="28"/>
      <c r="QHZ30" s="28"/>
      <c r="QIA30" s="28"/>
      <c r="QIB30" s="28"/>
      <c r="QIC30" s="28"/>
      <c r="QID30" s="28"/>
      <c r="QIE30" s="28"/>
      <c r="QIF30" s="28"/>
      <c r="QIG30" s="28"/>
      <c r="QIH30" s="28"/>
      <c r="QII30" s="28"/>
      <c r="QIJ30" s="28"/>
      <c r="QIK30" s="28"/>
      <c r="QIL30" s="28"/>
      <c r="QIM30" s="28"/>
      <c r="QIN30" s="28"/>
      <c r="QIO30" s="28"/>
      <c r="QIP30" s="28"/>
      <c r="QIQ30" s="28"/>
      <c r="QIR30" s="28"/>
      <c r="QIS30" s="28"/>
      <c r="QIT30" s="28"/>
      <c r="QIU30" s="28"/>
      <c r="QIV30" s="28"/>
      <c r="QIW30" s="28"/>
      <c r="QIX30" s="28"/>
      <c r="QIY30" s="28"/>
      <c r="QIZ30" s="28"/>
      <c r="QJA30" s="28"/>
      <c r="QJB30" s="28"/>
      <c r="QJC30" s="28"/>
      <c r="QJD30" s="28"/>
      <c r="QJE30" s="28"/>
      <c r="QJF30" s="28"/>
      <c r="QJG30" s="28"/>
      <c r="QJH30" s="28"/>
      <c r="QJI30" s="28"/>
      <c r="QJJ30" s="28"/>
      <c r="QJK30" s="28"/>
      <c r="QJL30" s="28"/>
      <c r="QJM30" s="28"/>
      <c r="QJN30" s="28"/>
      <c r="QJO30" s="28"/>
      <c r="QJP30" s="28"/>
      <c r="QJQ30" s="28"/>
      <c r="QJR30" s="28"/>
      <c r="QJS30" s="28"/>
      <c r="QJT30" s="28"/>
      <c r="QJU30" s="28"/>
      <c r="QJV30" s="28"/>
      <c r="QJW30" s="28"/>
      <c r="QJX30" s="28"/>
      <c r="QJY30" s="28"/>
      <c r="QJZ30" s="28"/>
      <c r="QKA30" s="28"/>
      <c r="QKB30" s="28"/>
      <c r="QKC30" s="28"/>
      <c r="QKD30" s="28"/>
      <c r="QKE30" s="28"/>
      <c r="QKF30" s="28"/>
      <c r="QKG30" s="28"/>
      <c r="QKH30" s="28"/>
      <c r="QKI30" s="28"/>
      <c r="QKJ30" s="28"/>
      <c r="QKK30" s="28"/>
      <c r="QKL30" s="28"/>
      <c r="QKM30" s="28"/>
      <c r="QKN30" s="28"/>
      <c r="QKO30" s="28"/>
      <c r="QKP30" s="28"/>
      <c r="QKQ30" s="28"/>
      <c r="QKR30" s="28"/>
      <c r="QKS30" s="28"/>
      <c r="QKT30" s="28"/>
      <c r="QKU30" s="28"/>
      <c r="QKV30" s="28"/>
      <c r="QKW30" s="28"/>
      <c r="QKX30" s="28"/>
      <c r="QKY30" s="28"/>
      <c r="QKZ30" s="28"/>
      <c r="QLA30" s="28"/>
      <c r="QLB30" s="28"/>
      <c r="QLC30" s="28"/>
      <c r="QLD30" s="28"/>
      <c r="QLE30" s="28"/>
      <c r="QLF30" s="28"/>
      <c r="QLG30" s="28"/>
      <c r="QLH30" s="28"/>
      <c r="QLI30" s="28"/>
      <c r="QLJ30" s="28"/>
      <c r="QLK30" s="28"/>
      <c r="QLL30" s="28"/>
      <c r="QLM30" s="28"/>
      <c r="QLN30" s="28"/>
      <c r="QLO30" s="28"/>
      <c r="QLP30" s="28"/>
      <c r="QLQ30" s="28"/>
      <c r="QLR30" s="28"/>
      <c r="QLS30" s="28"/>
      <c r="QLT30" s="28"/>
      <c r="QLU30" s="28"/>
      <c r="QLV30" s="28"/>
      <c r="QLW30" s="28"/>
      <c r="QLX30" s="28"/>
      <c r="QLY30" s="28"/>
      <c r="QLZ30" s="28"/>
      <c r="QMA30" s="28"/>
      <c r="QMB30" s="28"/>
      <c r="QMC30" s="28"/>
      <c r="QMD30" s="28"/>
      <c r="QME30" s="28"/>
      <c r="QMF30" s="28"/>
      <c r="QMG30" s="28"/>
      <c r="QMH30" s="28"/>
      <c r="QMI30" s="28"/>
      <c r="QMJ30" s="28"/>
      <c r="QMK30" s="28"/>
      <c r="QML30" s="28"/>
      <c r="QMM30" s="28"/>
      <c r="QMN30" s="28"/>
      <c r="QMO30" s="28"/>
      <c r="QMP30" s="28"/>
      <c r="QMQ30" s="28"/>
      <c r="QMR30" s="28"/>
      <c r="QMS30" s="28"/>
      <c r="QMT30" s="28"/>
      <c r="QMU30" s="28"/>
      <c r="QMV30" s="28"/>
      <c r="QMW30" s="28"/>
      <c r="QMX30" s="28"/>
      <c r="QMY30" s="28"/>
      <c r="QMZ30" s="28"/>
      <c r="QNA30" s="28"/>
      <c r="QNB30" s="28"/>
      <c r="QNC30" s="28"/>
      <c r="QND30" s="28"/>
      <c r="QNE30" s="28"/>
      <c r="QNF30" s="28"/>
      <c r="QNG30" s="28"/>
      <c r="QNH30" s="28"/>
      <c r="QNI30" s="28"/>
      <c r="QNJ30" s="28"/>
      <c r="QNK30" s="28"/>
      <c r="QNL30" s="28"/>
      <c r="QNM30" s="28"/>
      <c r="QNN30" s="28"/>
      <c r="QNO30" s="28"/>
      <c r="QNP30" s="28"/>
      <c r="QNQ30" s="28"/>
      <c r="QNR30" s="28"/>
      <c r="QNS30" s="28"/>
      <c r="QNT30" s="28"/>
      <c r="QNU30" s="28"/>
      <c r="QNV30" s="28"/>
      <c r="QNW30" s="28"/>
      <c r="QNX30" s="28"/>
      <c r="QNY30" s="28"/>
      <c r="QNZ30" s="28"/>
      <c r="QOA30" s="28"/>
      <c r="QOB30" s="28"/>
      <c r="QOC30" s="28"/>
      <c r="QOD30" s="28"/>
      <c r="QOE30" s="28"/>
      <c r="QOF30" s="28"/>
      <c r="QOG30" s="28"/>
      <c r="QOH30" s="28"/>
      <c r="QOI30" s="28"/>
      <c r="QOJ30" s="28"/>
      <c r="QOK30" s="28"/>
      <c r="QOL30" s="28"/>
      <c r="QOM30" s="28"/>
      <c r="QON30" s="28"/>
      <c r="QOO30" s="28"/>
      <c r="QOP30" s="28"/>
      <c r="QOQ30" s="28"/>
      <c r="QOR30" s="28"/>
      <c r="QOS30" s="28"/>
      <c r="QOT30" s="28"/>
      <c r="QOU30" s="28"/>
      <c r="QOV30" s="28"/>
      <c r="QOW30" s="28"/>
      <c r="QOX30" s="28"/>
      <c r="QOY30" s="28"/>
      <c r="QOZ30" s="28"/>
      <c r="QPA30" s="28"/>
      <c r="QPB30" s="28"/>
      <c r="QPC30" s="28"/>
      <c r="QPD30" s="28"/>
      <c r="QPE30" s="28"/>
      <c r="QPF30" s="28"/>
      <c r="QPG30" s="28"/>
      <c r="QPH30" s="28"/>
      <c r="QPI30" s="28"/>
      <c r="QPJ30" s="28"/>
      <c r="QPK30" s="28"/>
      <c r="QPL30" s="28"/>
      <c r="QPM30" s="28"/>
      <c r="QPN30" s="28"/>
      <c r="QPO30" s="28"/>
      <c r="QPP30" s="28"/>
      <c r="QPQ30" s="28"/>
      <c r="QPR30" s="28"/>
      <c r="QPS30" s="28"/>
      <c r="QPT30" s="28"/>
      <c r="QPU30" s="28"/>
      <c r="QPV30" s="28"/>
      <c r="QPW30" s="28"/>
      <c r="QPX30" s="28"/>
      <c r="QPY30" s="28"/>
      <c r="QPZ30" s="28"/>
      <c r="QQA30" s="28"/>
      <c r="QQB30" s="28"/>
      <c r="QQC30" s="28"/>
      <c r="QQD30" s="28"/>
      <c r="QQE30" s="28"/>
      <c r="QQF30" s="28"/>
      <c r="QQG30" s="28"/>
      <c r="QQH30" s="28"/>
      <c r="QQI30" s="28"/>
      <c r="QQJ30" s="28"/>
      <c r="QQK30" s="28"/>
      <c r="QQL30" s="28"/>
      <c r="QQM30" s="28"/>
      <c r="QQN30" s="28"/>
      <c r="QQO30" s="28"/>
      <c r="QQP30" s="28"/>
      <c r="QQQ30" s="28"/>
      <c r="QQR30" s="28"/>
      <c r="QQS30" s="28"/>
      <c r="QQT30" s="28"/>
      <c r="QQU30" s="28"/>
      <c r="QQV30" s="28"/>
      <c r="QQW30" s="28"/>
      <c r="QQX30" s="28"/>
      <c r="QQY30" s="28"/>
      <c r="QQZ30" s="28"/>
      <c r="QRA30" s="28"/>
      <c r="QRB30" s="28"/>
      <c r="QRC30" s="28"/>
      <c r="QRD30" s="28"/>
      <c r="QRE30" s="28"/>
      <c r="QRF30" s="28"/>
      <c r="QRG30" s="28"/>
      <c r="QRH30" s="28"/>
      <c r="QRI30" s="28"/>
      <c r="QRJ30" s="28"/>
      <c r="QRK30" s="28"/>
      <c r="QRL30" s="28"/>
      <c r="QRM30" s="28"/>
      <c r="QRN30" s="28"/>
      <c r="QRO30" s="28"/>
      <c r="QRP30" s="28"/>
      <c r="QRQ30" s="28"/>
      <c r="QRR30" s="28"/>
      <c r="QRS30" s="28"/>
      <c r="QRT30" s="28"/>
      <c r="QRU30" s="28"/>
      <c r="QRV30" s="28"/>
      <c r="QRW30" s="28"/>
      <c r="QRX30" s="28"/>
      <c r="QRY30" s="28"/>
      <c r="QRZ30" s="28"/>
      <c r="QSA30" s="28"/>
      <c r="QSB30" s="28"/>
      <c r="QSC30" s="28"/>
      <c r="QSD30" s="28"/>
      <c r="QSE30" s="28"/>
      <c r="QSF30" s="28"/>
      <c r="QSG30" s="28"/>
      <c r="QSH30" s="28"/>
      <c r="QSI30" s="28"/>
      <c r="QSJ30" s="28"/>
      <c r="QSK30" s="28"/>
      <c r="QSL30" s="28"/>
      <c r="QSM30" s="28"/>
      <c r="QSN30" s="28"/>
      <c r="QSO30" s="28"/>
      <c r="QSP30" s="28"/>
      <c r="QSQ30" s="28"/>
      <c r="QSR30" s="28"/>
      <c r="QSS30" s="28"/>
      <c r="QST30" s="28"/>
      <c r="QSU30" s="28"/>
      <c r="QSV30" s="28"/>
      <c r="QSW30" s="28"/>
      <c r="QSX30" s="28"/>
      <c r="QSY30" s="28"/>
      <c r="QSZ30" s="28"/>
      <c r="QTA30" s="28"/>
      <c r="QTB30" s="28"/>
      <c r="QTC30" s="28"/>
      <c r="QTD30" s="28"/>
      <c r="QTE30" s="28"/>
      <c r="QTF30" s="28"/>
      <c r="QTG30" s="28"/>
      <c r="QTH30" s="28"/>
      <c r="QTI30" s="28"/>
      <c r="QTJ30" s="28"/>
      <c r="QTK30" s="28"/>
      <c r="QTL30" s="28"/>
      <c r="QTM30" s="28"/>
      <c r="QTN30" s="28"/>
      <c r="QTO30" s="28"/>
      <c r="QTP30" s="28"/>
      <c r="QTQ30" s="28"/>
      <c r="QTR30" s="28"/>
      <c r="QTS30" s="28"/>
      <c r="QTT30" s="28"/>
      <c r="QTU30" s="28"/>
      <c r="QTV30" s="28"/>
      <c r="QTW30" s="28"/>
      <c r="QTX30" s="28"/>
      <c r="QTY30" s="28"/>
      <c r="QTZ30" s="28"/>
      <c r="QUA30" s="28"/>
      <c r="QUB30" s="28"/>
      <c r="QUC30" s="28"/>
      <c r="QUD30" s="28"/>
      <c r="QUE30" s="28"/>
      <c r="QUF30" s="28"/>
      <c r="QUG30" s="28"/>
      <c r="QUH30" s="28"/>
      <c r="QUI30" s="28"/>
      <c r="QUJ30" s="28"/>
      <c r="QUK30" s="28"/>
      <c r="QUL30" s="28"/>
      <c r="QUM30" s="28"/>
      <c r="QUN30" s="28"/>
      <c r="QUO30" s="28"/>
      <c r="QUP30" s="28"/>
      <c r="QUQ30" s="28"/>
      <c r="QUR30" s="28"/>
      <c r="QUS30" s="28"/>
      <c r="QUT30" s="28"/>
      <c r="QUU30" s="28"/>
      <c r="QUV30" s="28"/>
      <c r="QUW30" s="28"/>
      <c r="QUX30" s="28"/>
      <c r="QUY30" s="28"/>
      <c r="QUZ30" s="28"/>
      <c r="QVA30" s="28"/>
      <c r="QVB30" s="28"/>
      <c r="QVC30" s="28"/>
      <c r="QVD30" s="28"/>
      <c r="QVE30" s="28"/>
      <c r="QVF30" s="28"/>
      <c r="QVG30" s="28"/>
      <c r="QVH30" s="28"/>
      <c r="QVI30" s="28"/>
      <c r="QVJ30" s="28"/>
      <c r="QVK30" s="28"/>
      <c r="QVL30" s="28"/>
      <c r="QVM30" s="28"/>
      <c r="QVN30" s="28"/>
      <c r="QVO30" s="28"/>
      <c r="QVP30" s="28"/>
      <c r="QVQ30" s="28"/>
      <c r="QVR30" s="28"/>
      <c r="QVS30" s="28"/>
      <c r="QVT30" s="28"/>
      <c r="QVU30" s="28"/>
      <c r="QVV30" s="28"/>
      <c r="QVW30" s="28"/>
      <c r="QVX30" s="28"/>
      <c r="QVY30" s="28"/>
      <c r="QVZ30" s="28"/>
      <c r="QWA30" s="28"/>
      <c r="QWB30" s="28"/>
      <c r="QWC30" s="28"/>
      <c r="QWD30" s="28"/>
      <c r="QWE30" s="28"/>
      <c r="QWF30" s="28"/>
      <c r="QWG30" s="28"/>
      <c r="QWH30" s="28"/>
      <c r="QWI30" s="28"/>
      <c r="QWJ30" s="28"/>
      <c r="QWK30" s="28"/>
      <c r="QWL30" s="28"/>
      <c r="QWM30" s="28"/>
      <c r="QWN30" s="28"/>
      <c r="QWO30" s="28"/>
      <c r="QWP30" s="28"/>
      <c r="QWQ30" s="28"/>
      <c r="QWR30" s="28"/>
      <c r="QWS30" s="28"/>
      <c r="QWT30" s="28"/>
      <c r="QWU30" s="28"/>
      <c r="QWV30" s="28"/>
      <c r="QWW30" s="28"/>
      <c r="QWX30" s="28"/>
      <c r="QWY30" s="28"/>
      <c r="QWZ30" s="28"/>
      <c r="QXA30" s="28"/>
      <c r="QXB30" s="28"/>
      <c r="QXC30" s="28"/>
      <c r="QXD30" s="28"/>
      <c r="QXE30" s="28"/>
      <c r="QXF30" s="28"/>
      <c r="QXG30" s="28"/>
      <c r="QXH30" s="28"/>
      <c r="QXI30" s="28"/>
      <c r="QXJ30" s="28"/>
      <c r="QXK30" s="28"/>
      <c r="QXL30" s="28"/>
      <c r="QXM30" s="28"/>
      <c r="QXN30" s="28"/>
      <c r="QXO30" s="28"/>
      <c r="QXP30" s="28"/>
      <c r="QXQ30" s="28"/>
      <c r="QXR30" s="28"/>
      <c r="QXS30" s="28"/>
      <c r="QXT30" s="28"/>
      <c r="QXU30" s="28"/>
      <c r="QXV30" s="28"/>
      <c r="QXW30" s="28"/>
      <c r="QXX30" s="28"/>
      <c r="QXY30" s="28"/>
      <c r="QXZ30" s="28"/>
      <c r="QYA30" s="28"/>
      <c r="QYB30" s="28"/>
      <c r="QYC30" s="28"/>
      <c r="QYD30" s="28"/>
      <c r="QYE30" s="28"/>
      <c r="QYF30" s="28"/>
      <c r="QYG30" s="28"/>
      <c r="QYH30" s="28"/>
      <c r="QYI30" s="28"/>
      <c r="QYJ30" s="28"/>
      <c r="QYK30" s="28"/>
      <c r="QYL30" s="28"/>
      <c r="QYM30" s="28"/>
      <c r="QYN30" s="28"/>
      <c r="QYO30" s="28"/>
      <c r="QYP30" s="28"/>
      <c r="QYQ30" s="28"/>
      <c r="QYR30" s="28"/>
      <c r="QYS30" s="28"/>
      <c r="QYT30" s="28"/>
      <c r="QYU30" s="28"/>
      <c r="QYV30" s="28"/>
      <c r="QYW30" s="28"/>
      <c r="QYX30" s="28"/>
      <c r="QYY30" s="28"/>
      <c r="QYZ30" s="28"/>
      <c r="QZA30" s="28"/>
      <c r="QZB30" s="28"/>
      <c r="QZC30" s="28"/>
      <c r="QZD30" s="28"/>
      <c r="QZE30" s="28"/>
      <c r="QZF30" s="28"/>
      <c r="QZG30" s="28"/>
      <c r="QZH30" s="28"/>
      <c r="QZI30" s="28"/>
      <c r="QZJ30" s="28"/>
      <c r="QZK30" s="28"/>
      <c r="QZL30" s="28"/>
      <c r="QZM30" s="28"/>
      <c r="QZN30" s="28"/>
      <c r="QZO30" s="28"/>
      <c r="QZP30" s="28"/>
      <c r="QZQ30" s="28"/>
      <c r="QZR30" s="28"/>
      <c r="QZS30" s="28"/>
      <c r="QZT30" s="28"/>
      <c r="QZU30" s="28"/>
      <c r="QZV30" s="28"/>
      <c r="QZW30" s="28"/>
      <c r="QZX30" s="28"/>
      <c r="QZY30" s="28"/>
      <c r="QZZ30" s="28"/>
      <c r="RAA30" s="28"/>
      <c r="RAB30" s="28"/>
      <c r="RAC30" s="28"/>
      <c r="RAD30" s="28"/>
      <c r="RAE30" s="28"/>
      <c r="RAF30" s="28"/>
      <c r="RAG30" s="28"/>
      <c r="RAH30" s="28"/>
      <c r="RAI30" s="28"/>
      <c r="RAJ30" s="28"/>
      <c r="RAK30" s="28"/>
      <c r="RAL30" s="28"/>
      <c r="RAM30" s="28"/>
      <c r="RAN30" s="28"/>
      <c r="RAO30" s="28"/>
      <c r="RAP30" s="28"/>
      <c r="RAQ30" s="28"/>
      <c r="RAR30" s="28"/>
      <c r="RAS30" s="28"/>
      <c r="RAT30" s="28"/>
      <c r="RAU30" s="28"/>
      <c r="RAV30" s="28"/>
      <c r="RAW30" s="28"/>
      <c r="RAX30" s="28"/>
      <c r="RAY30" s="28"/>
      <c r="RAZ30" s="28"/>
      <c r="RBA30" s="28"/>
      <c r="RBB30" s="28"/>
      <c r="RBC30" s="28"/>
      <c r="RBD30" s="28"/>
      <c r="RBE30" s="28"/>
      <c r="RBF30" s="28"/>
      <c r="RBG30" s="28"/>
      <c r="RBH30" s="28"/>
      <c r="RBI30" s="28"/>
      <c r="RBJ30" s="28"/>
      <c r="RBK30" s="28"/>
      <c r="RBL30" s="28"/>
      <c r="RBM30" s="28"/>
      <c r="RBN30" s="28"/>
      <c r="RBO30" s="28"/>
      <c r="RBP30" s="28"/>
      <c r="RBQ30" s="28"/>
      <c r="RBR30" s="28"/>
      <c r="RBS30" s="28"/>
      <c r="RBT30" s="28"/>
      <c r="RBU30" s="28"/>
      <c r="RBV30" s="28"/>
      <c r="RBW30" s="28"/>
      <c r="RBX30" s="28"/>
      <c r="RBY30" s="28"/>
      <c r="RBZ30" s="28"/>
      <c r="RCA30" s="28"/>
      <c r="RCB30" s="28"/>
      <c r="RCC30" s="28"/>
      <c r="RCD30" s="28"/>
      <c r="RCE30" s="28"/>
      <c r="RCF30" s="28"/>
      <c r="RCG30" s="28"/>
      <c r="RCH30" s="28"/>
      <c r="RCI30" s="28"/>
      <c r="RCJ30" s="28"/>
      <c r="RCK30" s="28"/>
      <c r="RCL30" s="28"/>
      <c r="RCM30" s="28"/>
      <c r="RCN30" s="28"/>
      <c r="RCO30" s="28"/>
      <c r="RCP30" s="28"/>
      <c r="RCQ30" s="28"/>
      <c r="RCR30" s="28"/>
      <c r="RCS30" s="28"/>
      <c r="RCT30" s="28"/>
      <c r="RCU30" s="28"/>
      <c r="RCV30" s="28"/>
      <c r="RCW30" s="28"/>
      <c r="RCX30" s="28"/>
      <c r="RCY30" s="28"/>
      <c r="RCZ30" s="28"/>
      <c r="RDA30" s="28"/>
      <c r="RDB30" s="28"/>
      <c r="RDC30" s="28"/>
      <c r="RDD30" s="28"/>
      <c r="RDE30" s="28"/>
      <c r="RDF30" s="28"/>
      <c r="RDG30" s="28"/>
      <c r="RDH30" s="28"/>
      <c r="RDI30" s="28"/>
      <c r="RDJ30" s="28"/>
      <c r="RDK30" s="28"/>
      <c r="RDL30" s="28"/>
      <c r="RDM30" s="28"/>
      <c r="RDN30" s="28"/>
      <c r="RDO30" s="28"/>
      <c r="RDP30" s="28"/>
      <c r="RDQ30" s="28"/>
      <c r="RDR30" s="28"/>
      <c r="RDS30" s="28"/>
      <c r="RDT30" s="28"/>
      <c r="RDU30" s="28"/>
      <c r="RDV30" s="28"/>
      <c r="RDW30" s="28"/>
      <c r="RDX30" s="28"/>
      <c r="RDY30" s="28"/>
      <c r="RDZ30" s="28"/>
      <c r="REA30" s="28"/>
      <c r="REB30" s="28"/>
      <c r="REC30" s="28"/>
      <c r="RED30" s="28"/>
      <c r="REE30" s="28"/>
      <c r="REF30" s="28"/>
      <c r="REG30" s="28"/>
      <c r="REH30" s="28"/>
      <c r="REI30" s="28"/>
      <c r="REJ30" s="28"/>
      <c r="REK30" s="28"/>
      <c r="REL30" s="28"/>
      <c r="REM30" s="28"/>
      <c r="REN30" s="28"/>
      <c r="REO30" s="28"/>
      <c r="REP30" s="28"/>
      <c r="REQ30" s="28"/>
      <c r="RER30" s="28"/>
      <c r="RES30" s="28"/>
      <c r="RET30" s="28"/>
      <c r="REU30" s="28"/>
      <c r="REV30" s="28"/>
      <c r="REW30" s="28"/>
      <c r="REX30" s="28"/>
      <c r="REY30" s="28"/>
      <c r="REZ30" s="28"/>
      <c r="RFA30" s="28"/>
      <c r="RFB30" s="28"/>
      <c r="RFC30" s="28"/>
      <c r="RFD30" s="28"/>
      <c r="RFE30" s="28"/>
      <c r="RFF30" s="28"/>
      <c r="RFG30" s="28"/>
      <c r="RFH30" s="28"/>
      <c r="RFI30" s="28"/>
      <c r="RFJ30" s="28"/>
      <c r="RFK30" s="28"/>
      <c r="RFL30" s="28"/>
      <c r="RFM30" s="28"/>
      <c r="RFN30" s="28"/>
      <c r="RFO30" s="28"/>
      <c r="RFP30" s="28"/>
      <c r="RFQ30" s="28"/>
      <c r="RFR30" s="28"/>
      <c r="RFS30" s="28"/>
      <c r="RFT30" s="28"/>
      <c r="RFU30" s="28"/>
      <c r="RFV30" s="28"/>
      <c r="RFW30" s="28"/>
      <c r="RFX30" s="28"/>
      <c r="RFY30" s="28"/>
      <c r="RFZ30" s="28"/>
      <c r="RGA30" s="28"/>
      <c r="RGB30" s="28"/>
      <c r="RGC30" s="28"/>
      <c r="RGD30" s="28"/>
      <c r="RGE30" s="28"/>
      <c r="RGF30" s="28"/>
      <c r="RGG30" s="28"/>
      <c r="RGH30" s="28"/>
      <c r="RGI30" s="28"/>
      <c r="RGJ30" s="28"/>
      <c r="RGK30" s="28"/>
      <c r="RGL30" s="28"/>
      <c r="RGM30" s="28"/>
      <c r="RGN30" s="28"/>
      <c r="RGO30" s="28"/>
      <c r="RGP30" s="28"/>
      <c r="RGQ30" s="28"/>
      <c r="RGR30" s="28"/>
      <c r="RGS30" s="28"/>
      <c r="RGT30" s="28"/>
      <c r="RGU30" s="28"/>
      <c r="RGV30" s="28"/>
      <c r="RGW30" s="28"/>
      <c r="RGX30" s="28"/>
      <c r="RGY30" s="28"/>
      <c r="RGZ30" s="28"/>
      <c r="RHA30" s="28"/>
      <c r="RHB30" s="28"/>
      <c r="RHC30" s="28"/>
      <c r="RHD30" s="28"/>
      <c r="RHE30" s="28"/>
      <c r="RHF30" s="28"/>
      <c r="RHG30" s="28"/>
      <c r="RHH30" s="28"/>
      <c r="RHI30" s="28"/>
      <c r="RHJ30" s="28"/>
      <c r="RHK30" s="28"/>
      <c r="RHL30" s="28"/>
      <c r="RHM30" s="28"/>
      <c r="RHN30" s="28"/>
      <c r="RHO30" s="28"/>
      <c r="RHP30" s="28"/>
      <c r="RHQ30" s="28"/>
      <c r="RHR30" s="28"/>
      <c r="RHS30" s="28"/>
      <c r="RHT30" s="28"/>
      <c r="RHU30" s="28"/>
      <c r="RHV30" s="28"/>
      <c r="RHW30" s="28"/>
      <c r="RHX30" s="28"/>
      <c r="RHY30" s="28"/>
      <c r="RHZ30" s="28"/>
      <c r="RIA30" s="28"/>
      <c r="RIB30" s="28"/>
      <c r="RIC30" s="28"/>
      <c r="RID30" s="28"/>
      <c r="RIE30" s="28"/>
      <c r="RIF30" s="28"/>
      <c r="RIG30" s="28"/>
      <c r="RIH30" s="28"/>
      <c r="RII30" s="28"/>
      <c r="RIJ30" s="28"/>
      <c r="RIK30" s="28"/>
      <c r="RIL30" s="28"/>
      <c r="RIM30" s="28"/>
      <c r="RIN30" s="28"/>
      <c r="RIO30" s="28"/>
      <c r="RIP30" s="28"/>
      <c r="RIQ30" s="28"/>
      <c r="RIR30" s="28"/>
      <c r="RIS30" s="28"/>
      <c r="RIT30" s="28"/>
      <c r="RIU30" s="28"/>
      <c r="RIV30" s="28"/>
      <c r="RIW30" s="28"/>
      <c r="RIX30" s="28"/>
      <c r="RIY30" s="28"/>
      <c r="RIZ30" s="28"/>
      <c r="RJA30" s="28"/>
      <c r="RJB30" s="28"/>
      <c r="RJC30" s="28"/>
      <c r="RJD30" s="28"/>
      <c r="RJE30" s="28"/>
      <c r="RJF30" s="28"/>
      <c r="RJG30" s="28"/>
      <c r="RJH30" s="28"/>
      <c r="RJI30" s="28"/>
      <c r="RJJ30" s="28"/>
      <c r="RJK30" s="28"/>
      <c r="RJL30" s="28"/>
      <c r="RJM30" s="28"/>
      <c r="RJN30" s="28"/>
      <c r="RJO30" s="28"/>
      <c r="RJP30" s="28"/>
      <c r="RJQ30" s="28"/>
      <c r="RJR30" s="28"/>
      <c r="RJS30" s="28"/>
      <c r="RJT30" s="28"/>
      <c r="RJU30" s="28"/>
      <c r="RJV30" s="28"/>
      <c r="RJW30" s="28"/>
      <c r="RJX30" s="28"/>
      <c r="RJY30" s="28"/>
      <c r="RJZ30" s="28"/>
      <c r="RKA30" s="28"/>
      <c r="RKB30" s="28"/>
      <c r="RKC30" s="28"/>
      <c r="RKD30" s="28"/>
      <c r="RKE30" s="28"/>
      <c r="RKF30" s="28"/>
      <c r="RKG30" s="28"/>
      <c r="RKH30" s="28"/>
      <c r="RKI30" s="28"/>
      <c r="RKJ30" s="28"/>
      <c r="RKK30" s="28"/>
      <c r="RKL30" s="28"/>
      <c r="RKM30" s="28"/>
      <c r="RKN30" s="28"/>
      <c r="RKO30" s="28"/>
      <c r="RKP30" s="28"/>
      <c r="RKQ30" s="28"/>
      <c r="RKR30" s="28"/>
      <c r="RKS30" s="28"/>
      <c r="RKT30" s="28"/>
      <c r="RKU30" s="28"/>
      <c r="RKV30" s="28"/>
      <c r="RKW30" s="28"/>
      <c r="RKX30" s="28"/>
      <c r="RKY30" s="28"/>
      <c r="RKZ30" s="28"/>
      <c r="RLA30" s="28"/>
      <c r="RLB30" s="28"/>
      <c r="RLC30" s="28"/>
      <c r="RLD30" s="28"/>
      <c r="RLE30" s="28"/>
      <c r="RLF30" s="28"/>
      <c r="RLG30" s="28"/>
      <c r="RLH30" s="28"/>
      <c r="RLI30" s="28"/>
      <c r="RLJ30" s="28"/>
      <c r="RLK30" s="28"/>
      <c r="RLL30" s="28"/>
      <c r="RLM30" s="28"/>
      <c r="RLN30" s="28"/>
      <c r="RLO30" s="28"/>
      <c r="RLP30" s="28"/>
      <c r="RLQ30" s="28"/>
      <c r="RLR30" s="28"/>
      <c r="RLS30" s="28"/>
      <c r="RLT30" s="28"/>
      <c r="RLU30" s="28"/>
      <c r="RLV30" s="28"/>
      <c r="RLW30" s="28"/>
      <c r="RLX30" s="28"/>
      <c r="RLY30" s="28"/>
      <c r="RLZ30" s="28"/>
      <c r="RMA30" s="28"/>
      <c r="RMB30" s="28"/>
      <c r="RMC30" s="28"/>
      <c r="RMD30" s="28"/>
      <c r="RME30" s="28"/>
      <c r="RMF30" s="28"/>
      <c r="RMG30" s="28"/>
      <c r="RMH30" s="28"/>
      <c r="RMI30" s="28"/>
      <c r="RMJ30" s="28"/>
      <c r="RMK30" s="28"/>
      <c r="RML30" s="28"/>
      <c r="RMM30" s="28"/>
      <c r="RMN30" s="28"/>
      <c r="RMO30" s="28"/>
      <c r="RMP30" s="28"/>
      <c r="RMQ30" s="28"/>
      <c r="RMR30" s="28"/>
      <c r="RMS30" s="28"/>
      <c r="RMT30" s="28"/>
      <c r="RMU30" s="28"/>
      <c r="RMV30" s="28"/>
      <c r="RMW30" s="28"/>
      <c r="RMX30" s="28"/>
      <c r="RMY30" s="28"/>
      <c r="RMZ30" s="28"/>
      <c r="RNA30" s="28"/>
      <c r="RNB30" s="28"/>
      <c r="RNC30" s="28"/>
      <c r="RND30" s="28"/>
      <c r="RNE30" s="28"/>
      <c r="RNF30" s="28"/>
      <c r="RNG30" s="28"/>
      <c r="RNH30" s="28"/>
      <c r="RNI30" s="28"/>
      <c r="RNJ30" s="28"/>
      <c r="RNK30" s="28"/>
      <c r="RNL30" s="28"/>
      <c r="RNM30" s="28"/>
      <c r="RNN30" s="28"/>
      <c r="RNO30" s="28"/>
      <c r="RNP30" s="28"/>
      <c r="RNQ30" s="28"/>
      <c r="RNR30" s="28"/>
      <c r="RNS30" s="28"/>
      <c r="RNT30" s="28"/>
      <c r="RNU30" s="28"/>
      <c r="RNV30" s="28"/>
      <c r="RNW30" s="28"/>
      <c r="RNX30" s="28"/>
      <c r="RNY30" s="28"/>
      <c r="RNZ30" s="28"/>
      <c r="ROA30" s="28"/>
      <c r="ROB30" s="28"/>
      <c r="ROC30" s="28"/>
      <c r="ROD30" s="28"/>
      <c r="ROE30" s="28"/>
      <c r="ROF30" s="28"/>
      <c r="ROG30" s="28"/>
      <c r="ROH30" s="28"/>
      <c r="ROI30" s="28"/>
      <c r="ROJ30" s="28"/>
      <c r="ROK30" s="28"/>
      <c r="ROL30" s="28"/>
      <c r="ROM30" s="28"/>
      <c r="RON30" s="28"/>
      <c r="ROO30" s="28"/>
      <c r="ROP30" s="28"/>
      <c r="ROQ30" s="28"/>
      <c r="ROR30" s="28"/>
      <c r="ROS30" s="28"/>
      <c r="ROT30" s="28"/>
      <c r="ROU30" s="28"/>
      <c r="ROV30" s="28"/>
      <c r="ROW30" s="28"/>
      <c r="ROX30" s="28"/>
      <c r="ROY30" s="28"/>
      <c r="ROZ30" s="28"/>
      <c r="RPA30" s="28"/>
      <c r="RPB30" s="28"/>
      <c r="RPC30" s="28"/>
      <c r="RPD30" s="28"/>
      <c r="RPE30" s="28"/>
      <c r="RPF30" s="28"/>
      <c r="RPG30" s="28"/>
      <c r="RPH30" s="28"/>
      <c r="RPI30" s="28"/>
      <c r="RPJ30" s="28"/>
      <c r="RPK30" s="28"/>
      <c r="RPL30" s="28"/>
      <c r="RPM30" s="28"/>
      <c r="RPN30" s="28"/>
      <c r="RPO30" s="28"/>
      <c r="RPP30" s="28"/>
      <c r="RPQ30" s="28"/>
      <c r="RPR30" s="28"/>
      <c r="RPS30" s="28"/>
      <c r="RPT30" s="28"/>
      <c r="RPU30" s="28"/>
      <c r="RPV30" s="28"/>
      <c r="RPW30" s="28"/>
      <c r="RPX30" s="28"/>
      <c r="RPY30" s="28"/>
      <c r="RPZ30" s="28"/>
      <c r="RQA30" s="28"/>
      <c r="RQB30" s="28"/>
      <c r="RQC30" s="28"/>
      <c r="RQD30" s="28"/>
      <c r="RQE30" s="28"/>
      <c r="RQF30" s="28"/>
      <c r="RQG30" s="28"/>
      <c r="RQH30" s="28"/>
      <c r="RQI30" s="28"/>
      <c r="RQJ30" s="28"/>
      <c r="RQK30" s="28"/>
      <c r="RQL30" s="28"/>
      <c r="RQM30" s="28"/>
      <c r="RQN30" s="28"/>
      <c r="RQO30" s="28"/>
      <c r="RQP30" s="28"/>
      <c r="RQQ30" s="28"/>
      <c r="RQR30" s="28"/>
      <c r="RQS30" s="28"/>
      <c r="RQT30" s="28"/>
      <c r="RQU30" s="28"/>
      <c r="RQV30" s="28"/>
      <c r="RQW30" s="28"/>
      <c r="RQX30" s="28"/>
      <c r="RQY30" s="28"/>
      <c r="RQZ30" s="28"/>
      <c r="RRA30" s="28"/>
      <c r="RRB30" s="28"/>
      <c r="RRC30" s="28"/>
      <c r="RRD30" s="28"/>
      <c r="RRE30" s="28"/>
      <c r="RRF30" s="28"/>
      <c r="RRG30" s="28"/>
      <c r="RRH30" s="28"/>
      <c r="RRI30" s="28"/>
      <c r="RRJ30" s="28"/>
      <c r="RRK30" s="28"/>
      <c r="RRL30" s="28"/>
      <c r="RRM30" s="28"/>
      <c r="RRN30" s="28"/>
      <c r="RRO30" s="28"/>
      <c r="RRP30" s="28"/>
      <c r="RRQ30" s="28"/>
      <c r="RRR30" s="28"/>
      <c r="RRS30" s="28"/>
      <c r="RRT30" s="28"/>
      <c r="RRU30" s="28"/>
      <c r="RRV30" s="28"/>
      <c r="RRW30" s="28"/>
      <c r="RRX30" s="28"/>
      <c r="RRY30" s="28"/>
      <c r="RRZ30" s="28"/>
      <c r="RSA30" s="28"/>
      <c r="RSB30" s="28"/>
      <c r="RSC30" s="28"/>
      <c r="RSD30" s="28"/>
      <c r="RSE30" s="28"/>
      <c r="RSF30" s="28"/>
      <c r="RSG30" s="28"/>
      <c r="RSH30" s="28"/>
      <c r="RSI30" s="28"/>
      <c r="RSJ30" s="28"/>
      <c r="RSK30" s="28"/>
      <c r="RSL30" s="28"/>
      <c r="RSM30" s="28"/>
      <c r="RSN30" s="28"/>
      <c r="RSO30" s="28"/>
      <c r="RSP30" s="28"/>
      <c r="RSQ30" s="28"/>
      <c r="RSR30" s="28"/>
      <c r="RSS30" s="28"/>
      <c r="RST30" s="28"/>
      <c r="RSU30" s="28"/>
      <c r="RSV30" s="28"/>
      <c r="RSW30" s="28"/>
      <c r="RSX30" s="28"/>
      <c r="RSY30" s="28"/>
      <c r="RSZ30" s="28"/>
      <c r="RTA30" s="28"/>
      <c r="RTB30" s="28"/>
      <c r="RTC30" s="28"/>
      <c r="RTD30" s="28"/>
      <c r="RTE30" s="28"/>
      <c r="RTF30" s="28"/>
      <c r="RTG30" s="28"/>
      <c r="RTH30" s="28"/>
      <c r="RTI30" s="28"/>
      <c r="RTJ30" s="28"/>
      <c r="RTK30" s="28"/>
      <c r="RTL30" s="28"/>
      <c r="RTM30" s="28"/>
      <c r="RTN30" s="28"/>
      <c r="RTO30" s="28"/>
      <c r="RTP30" s="28"/>
      <c r="RTQ30" s="28"/>
      <c r="RTR30" s="28"/>
      <c r="RTS30" s="28"/>
      <c r="RTT30" s="28"/>
      <c r="RTU30" s="28"/>
      <c r="RTV30" s="28"/>
      <c r="RTW30" s="28"/>
      <c r="RTX30" s="28"/>
      <c r="RTY30" s="28"/>
      <c r="RTZ30" s="28"/>
      <c r="RUA30" s="28"/>
      <c r="RUB30" s="28"/>
      <c r="RUC30" s="28"/>
      <c r="RUD30" s="28"/>
      <c r="RUE30" s="28"/>
      <c r="RUF30" s="28"/>
      <c r="RUG30" s="28"/>
      <c r="RUH30" s="28"/>
      <c r="RUI30" s="28"/>
      <c r="RUJ30" s="28"/>
      <c r="RUK30" s="28"/>
      <c r="RUL30" s="28"/>
      <c r="RUM30" s="28"/>
      <c r="RUN30" s="28"/>
      <c r="RUO30" s="28"/>
      <c r="RUP30" s="28"/>
      <c r="RUQ30" s="28"/>
      <c r="RUR30" s="28"/>
      <c r="RUS30" s="28"/>
      <c r="RUT30" s="28"/>
      <c r="RUU30" s="28"/>
      <c r="RUV30" s="28"/>
      <c r="RUW30" s="28"/>
      <c r="RUX30" s="28"/>
      <c r="RUY30" s="28"/>
      <c r="RUZ30" s="28"/>
      <c r="RVA30" s="28"/>
      <c r="RVB30" s="28"/>
      <c r="RVC30" s="28"/>
      <c r="RVD30" s="28"/>
      <c r="RVE30" s="28"/>
      <c r="RVF30" s="28"/>
      <c r="RVG30" s="28"/>
      <c r="RVH30" s="28"/>
      <c r="RVI30" s="28"/>
      <c r="RVJ30" s="28"/>
      <c r="RVK30" s="28"/>
      <c r="RVL30" s="28"/>
      <c r="RVM30" s="28"/>
      <c r="RVN30" s="28"/>
      <c r="RVO30" s="28"/>
      <c r="RVP30" s="28"/>
      <c r="RVQ30" s="28"/>
      <c r="RVR30" s="28"/>
      <c r="RVS30" s="28"/>
      <c r="RVT30" s="28"/>
      <c r="RVU30" s="28"/>
      <c r="RVV30" s="28"/>
      <c r="RVW30" s="28"/>
      <c r="RVX30" s="28"/>
      <c r="RVY30" s="28"/>
      <c r="RVZ30" s="28"/>
      <c r="RWA30" s="28"/>
      <c r="RWB30" s="28"/>
      <c r="RWC30" s="28"/>
      <c r="RWD30" s="28"/>
      <c r="RWE30" s="28"/>
      <c r="RWF30" s="28"/>
      <c r="RWG30" s="28"/>
      <c r="RWH30" s="28"/>
      <c r="RWI30" s="28"/>
      <c r="RWJ30" s="28"/>
      <c r="RWK30" s="28"/>
      <c r="RWL30" s="28"/>
      <c r="RWM30" s="28"/>
      <c r="RWN30" s="28"/>
      <c r="RWO30" s="28"/>
      <c r="RWP30" s="28"/>
      <c r="RWQ30" s="28"/>
      <c r="RWR30" s="28"/>
      <c r="RWS30" s="28"/>
      <c r="RWT30" s="28"/>
      <c r="RWU30" s="28"/>
      <c r="RWV30" s="28"/>
      <c r="RWW30" s="28"/>
      <c r="RWX30" s="28"/>
      <c r="RWY30" s="28"/>
      <c r="RWZ30" s="28"/>
      <c r="RXA30" s="28"/>
      <c r="RXB30" s="28"/>
      <c r="RXC30" s="28"/>
      <c r="RXD30" s="28"/>
      <c r="RXE30" s="28"/>
      <c r="RXF30" s="28"/>
      <c r="RXG30" s="28"/>
      <c r="RXH30" s="28"/>
      <c r="RXI30" s="28"/>
      <c r="RXJ30" s="28"/>
      <c r="RXK30" s="28"/>
      <c r="RXL30" s="28"/>
      <c r="RXM30" s="28"/>
      <c r="RXN30" s="28"/>
      <c r="RXO30" s="28"/>
      <c r="RXP30" s="28"/>
      <c r="RXQ30" s="28"/>
      <c r="RXR30" s="28"/>
      <c r="RXS30" s="28"/>
      <c r="RXT30" s="28"/>
      <c r="RXU30" s="28"/>
      <c r="RXV30" s="28"/>
      <c r="RXW30" s="28"/>
      <c r="RXX30" s="28"/>
      <c r="RXY30" s="28"/>
      <c r="RXZ30" s="28"/>
      <c r="RYA30" s="28"/>
      <c r="RYB30" s="28"/>
      <c r="RYC30" s="28"/>
      <c r="RYD30" s="28"/>
      <c r="RYE30" s="28"/>
      <c r="RYF30" s="28"/>
      <c r="RYG30" s="28"/>
      <c r="RYH30" s="28"/>
      <c r="RYI30" s="28"/>
      <c r="RYJ30" s="28"/>
      <c r="RYK30" s="28"/>
      <c r="RYL30" s="28"/>
      <c r="RYM30" s="28"/>
      <c r="RYN30" s="28"/>
      <c r="RYO30" s="28"/>
      <c r="RYP30" s="28"/>
      <c r="RYQ30" s="28"/>
      <c r="RYR30" s="28"/>
      <c r="RYS30" s="28"/>
      <c r="RYT30" s="28"/>
      <c r="RYU30" s="28"/>
      <c r="RYV30" s="28"/>
      <c r="RYW30" s="28"/>
      <c r="RYX30" s="28"/>
      <c r="RYY30" s="28"/>
      <c r="RYZ30" s="28"/>
      <c r="RZA30" s="28"/>
      <c r="RZB30" s="28"/>
      <c r="RZC30" s="28"/>
      <c r="RZD30" s="28"/>
      <c r="RZE30" s="28"/>
      <c r="RZF30" s="28"/>
      <c r="RZG30" s="28"/>
      <c r="RZH30" s="28"/>
      <c r="RZI30" s="28"/>
      <c r="RZJ30" s="28"/>
      <c r="RZK30" s="28"/>
      <c r="RZL30" s="28"/>
      <c r="RZM30" s="28"/>
      <c r="RZN30" s="28"/>
      <c r="RZO30" s="28"/>
      <c r="RZP30" s="28"/>
      <c r="RZQ30" s="28"/>
      <c r="RZR30" s="28"/>
      <c r="RZS30" s="28"/>
      <c r="RZT30" s="28"/>
      <c r="RZU30" s="28"/>
      <c r="RZV30" s="28"/>
      <c r="RZW30" s="28"/>
      <c r="RZX30" s="28"/>
      <c r="RZY30" s="28"/>
      <c r="RZZ30" s="28"/>
      <c r="SAA30" s="28"/>
      <c r="SAB30" s="28"/>
      <c r="SAC30" s="28"/>
      <c r="SAD30" s="28"/>
      <c r="SAE30" s="28"/>
      <c r="SAF30" s="28"/>
      <c r="SAG30" s="28"/>
      <c r="SAH30" s="28"/>
      <c r="SAI30" s="28"/>
      <c r="SAJ30" s="28"/>
      <c r="SAK30" s="28"/>
      <c r="SAL30" s="28"/>
      <c r="SAM30" s="28"/>
      <c r="SAN30" s="28"/>
      <c r="SAO30" s="28"/>
      <c r="SAP30" s="28"/>
      <c r="SAQ30" s="28"/>
      <c r="SAR30" s="28"/>
      <c r="SAS30" s="28"/>
      <c r="SAT30" s="28"/>
      <c r="SAU30" s="28"/>
      <c r="SAV30" s="28"/>
      <c r="SAW30" s="28"/>
      <c r="SAX30" s="28"/>
      <c r="SAY30" s="28"/>
      <c r="SAZ30" s="28"/>
      <c r="SBA30" s="28"/>
      <c r="SBB30" s="28"/>
      <c r="SBC30" s="28"/>
      <c r="SBD30" s="28"/>
      <c r="SBE30" s="28"/>
      <c r="SBF30" s="28"/>
      <c r="SBG30" s="28"/>
      <c r="SBH30" s="28"/>
      <c r="SBI30" s="28"/>
      <c r="SBJ30" s="28"/>
      <c r="SBK30" s="28"/>
      <c r="SBL30" s="28"/>
      <c r="SBM30" s="28"/>
      <c r="SBN30" s="28"/>
      <c r="SBO30" s="28"/>
      <c r="SBP30" s="28"/>
      <c r="SBQ30" s="28"/>
      <c r="SBR30" s="28"/>
      <c r="SBS30" s="28"/>
      <c r="SBT30" s="28"/>
      <c r="SBU30" s="28"/>
      <c r="SBV30" s="28"/>
      <c r="SBW30" s="28"/>
      <c r="SBX30" s="28"/>
      <c r="SBY30" s="28"/>
      <c r="SBZ30" s="28"/>
      <c r="SCA30" s="28"/>
      <c r="SCB30" s="28"/>
      <c r="SCC30" s="28"/>
      <c r="SCD30" s="28"/>
      <c r="SCE30" s="28"/>
      <c r="SCF30" s="28"/>
      <c r="SCG30" s="28"/>
      <c r="SCH30" s="28"/>
      <c r="SCI30" s="28"/>
      <c r="SCJ30" s="28"/>
      <c r="SCK30" s="28"/>
      <c r="SCL30" s="28"/>
      <c r="SCM30" s="28"/>
      <c r="SCN30" s="28"/>
      <c r="SCO30" s="28"/>
      <c r="SCP30" s="28"/>
      <c r="SCQ30" s="28"/>
      <c r="SCR30" s="28"/>
      <c r="SCS30" s="28"/>
      <c r="SCT30" s="28"/>
      <c r="SCU30" s="28"/>
      <c r="SCV30" s="28"/>
      <c r="SCW30" s="28"/>
      <c r="SCX30" s="28"/>
      <c r="SCY30" s="28"/>
      <c r="SCZ30" s="28"/>
      <c r="SDA30" s="28"/>
      <c r="SDB30" s="28"/>
      <c r="SDC30" s="28"/>
      <c r="SDD30" s="28"/>
      <c r="SDE30" s="28"/>
      <c r="SDF30" s="28"/>
      <c r="SDG30" s="28"/>
      <c r="SDH30" s="28"/>
      <c r="SDI30" s="28"/>
      <c r="SDJ30" s="28"/>
      <c r="SDK30" s="28"/>
      <c r="SDL30" s="28"/>
      <c r="SDM30" s="28"/>
      <c r="SDN30" s="28"/>
      <c r="SDO30" s="28"/>
      <c r="SDP30" s="28"/>
      <c r="SDQ30" s="28"/>
      <c r="SDR30" s="28"/>
      <c r="SDS30" s="28"/>
      <c r="SDT30" s="28"/>
      <c r="SDU30" s="28"/>
      <c r="SDV30" s="28"/>
      <c r="SDW30" s="28"/>
      <c r="SDX30" s="28"/>
      <c r="SDY30" s="28"/>
      <c r="SDZ30" s="28"/>
      <c r="SEA30" s="28"/>
      <c r="SEB30" s="28"/>
      <c r="SEC30" s="28"/>
      <c r="SED30" s="28"/>
      <c r="SEE30" s="28"/>
      <c r="SEF30" s="28"/>
      <c r="SEG30" s="28"/>
      <c r="SEH30" s="28"/>
      <c r="SEI30" s="28"/>
      <c r="SEJ30" s="28"/>
      <c r="SEK30" s="28"/>
      <c r="SEL30" s="28"/>
      <c r="SEM30" s="28"/>
      <c r="SEN30" s="28"/>
      <c r="SEO30" s="28"/>
      <c r="SEP30" s="28"/>
      <c r="SEQ30" s="28"/>
      <c r="SER30" s="28"/>
      <c r="SES30" s="28"/>
      <c r="SET30" s="28"/>
      <c r="SEU30" s="28"/>
      <c r="SEV30" s="28"/>
      <c r="SEW30" s="28"/>
      <c r="SEX30" s="28"/>
      <c r="SEY30" s="28"/>
      <c r="SEZ30" s="28"/>
      <c r="SFA30" s="28"/>
      <c r="SFB30" s="28"/>
      <c r="SFC30" s="28"/>
      <c r="SFD30" s="28"/>
      <c r="SFE30" s="28"/>
      <c r="SFF30" s="28"/>
      <c r="SFG30" s="28"/>
      <c r="SFH30" s="28"/>
      <c r="SFI30" s="28"/>
      <c r="SFJ30" s="28"/>
      <c r="SFK30" s="28"/>
      <c r="SFL30" s="28"/>
      <c r="SFM30" s="28"/>
      <c r="SFN30" s="28"/>
      <c r="SFO30" s="28"/>
      <c r="SFP30" s="28"/>
      <c r="SFQ30" s="28"/>
      <c r="SFR30" s="28"/>
      <c r="SFS30" s="28"/>
      <c r="SFT30" s="28"/>
      <c r="SFU30" s="28"/>
      <c r="SFV30" s="28"/>
      <c r="SFW30" s="28"/>
      <c r="SFX30" s="28"/>
      <c r="SFY30" s="28"/>
      <c r="SFZ30" s="28"/>
      <c r="SGA30" s="28"/>
      <c r="SGB30" s="28"/>
      <c r="SGC30" s="28"/>
      <c r="SGD30" s="28"/>
      <c r="SGE30" s="28"/>
      <c r="SGF30" s="28"/>
      <c r="SGG30" s="28"/>
      <c r="SGH30" s="28"/>
      <c r="SGI30" s="28"/>
      <c r="SGJ30" s="28"/>
      <c r="SGK30" s="28"/>
      <c r="SGL30" s="28"/>
      <c r="SGM30" s="28"/>
      <c r="SGN30" s="28"/>
      <c r="SGO30" s="28"/>
      <c r="SGP30" s="28"/>
      <c r="SGQ30" s="28"/>
      <c r="SGR30" s="28"/>
      <c r="SGS30" s="28"/>
      <c r="SGT30" s="28"/>
      <c r="SGU30" s="28"/>
      <c r="SGV30" s="28"/>
      <c r="SGW30" s="28"/>
      <c r="SGX30" s="28"/>
      <c r="SGY30" s="28"/>
      <c r="SGZ30" s="28"/>
      <c r="SHA30" s="28"/>
      <c r="SHB30" s="28"/>
      <c r="SHC30" s="28"/>
      <c r="SHD30" s="28"/>
      <c r="SHE30" s="28"/>
      <c r="SHF30" s="28"/>
      <c r="SHG30" s="28"/>
      <c r="SHH30" s="28"/>
      <c r="SHI30" s="28"/>
      <c r="SHJ30" s="28"/>
      <c r="SHK30" s="28"/>
      <c r="SHL30" s="28"/>
      <c r="SHM30" s="28"/>
      <c r="SHN30" s="28"/>
      <c r="SHO30" s="28"/>
      <c r="SHP30" s="28"/>
      <c r="SHQ30" s="28"/>
      <c r="SHR30" s="28"/>
      <c r="SHS30" s="28"/>
      <c r="SHT30" s="28"/>
      <c r="SHU30" s="28"/>
      <c r="SHV30" s="28"/>
      <c r="SHW30" s="28"/>
      <c r="SHX30" s="28"/>
      <c r="SHY30" s="28"/>
      <c r="SHZ30" s="28"/>
      <c r="SIA30" s="28"/>
      <c r="SIB30" s="28"/>
      <c r="SIC30" s="28"/>
      <c r="SID30" s="28"/>
      <c r="SIE30" s="28"/>
      <c r="SIF30" s="28"/>
      <c r="SIG30" s="28"/>
      <c r="SIH30" s="28"/>
      <c r="SII30" s="28"/>
      <c r="SIJ30" s="28"/>
      <c r="SIK30" s="28"/>
      <c r="SIL30" s="28"/>
      <c r="SIM30" s="28"/>
      <c r="SIN30" s="28"/>
      <c r="SIO30" s="28"/>
      <c r="SIP30" s="28"/>
      <c r="SIQ30" s="28"/>
      <c r="SIR30" s="28"/>
      <c r="SIS30" s="28"/>
      <c r="SIT30" s="28"/>
      <c r="SIU30" s="28"/>
      <c r="SIV30" s="28"/>
      <c r="SIW30" s="28"/>
      <c r="SIX30" s="28"/>
      <c r="SIY30" s="28"/>
      <c r="SIZ30" s="28"/>
      <c r="SJA30" s="28"/>
      <c r="SJB30" s="28"/>
      <c r="SJC30" s="28"/>
      <c r="SJD30" s="28"/>
      <c r="SJE30" s="28"/>
      <c r="SJF30" s="28"/>
      <c r="SJG30" s="28"/>
      <c r="SJH30" s="28"/>
      <c r="SJI30" s="28"/>
      <c r="SJJ30" s="28"/>
      <c r="SJK30" s="28"/>
      <c r="SJL30" s="28"/>
      <c r="SJM30" s="28"/>
      <c r="SJN30" s="28"/>
      <c r="SJO30" s="28"/>
      <c r="SJP30" s="28"/>
      <c r="SJQ30" s="28"/>
      <c r="SJR30" s="28"/>
      <c r="SJS30" s="28"/>
      <c r="SJT30" s="28"/>
      <c r="SJU30" s="28"/>
      <c r="SJV30" s="28"/>
      <c r="SJW30" s="28"/>
      <c r="SJX30" s="28"/>
      <c r="SJY30" s="28"/>
      <c r="SJZ30" s="28"/>
      <c r="SKA30" s="28"/>
      <c r="SKB30" s="28"/>
      <c r="SKC30" s="28"/>
      <c r="SKD30" s="28"/>
      <c r="SKE30" s="28"/>
      <c r="SKF30" s="28"/>
      <c r="SKG30" s="28"/>
      <c r="SKH30" s="28"/>
      <c r="SKI30" s="28"/>
      <c r="SKJ30" s="28"/>
      <c r="SKK30" s="28"/>
      <c r="SKL30" s="28"/>
      <c r="SKM30" s="28"/>
      <c r="SKN30" s="28"/>
      <c r="SKO30" s="28"/>
      <c r="SKP30" s="28"/>
      <c r="SKQ30" s="28"/>
      <c r="SKR30" s="28"/>
      <c r="SKS30" s="28"/>
      <c r="SKT30" s="28"/>
      <c r="SKU30" s="28"/>
      <c r="SKV30" s="28"/>
      <c r="SKW30" s="28"/>
      <c r="SKX30" s="28"/>
      <c r="SKY30" s="28"/>
      <c r="SKZ30" s="28"/>
      <c r="SLA30" s="28"/>
      <c r="SLB30" s="28"/>
      <c r="SLC30" s="28"/>
      <c r="SLD30" s="28"/>
      <c r="SLE30" s="28"/>
      <c r="SLF30" s="28"/>
      <c r="SLG30" s="28"/>
      <c r="SLH30" s="28"/>
      <c r="SLI30" s="28"/>
      <c r="SLJ30" s="28"/>
      <c r="SLK30" s="28"/>
      <c r="SLL30" s="28"/>
      <c r="SLM30" s="28"/>
      <c r="SLN30" s="28"/>
      <c r="SLO30" s="28"/>
      <c r="SLP30" s="28"/>
      <c r="SLQ30" s="28"/>
      <c r="SLR30" s="28"/>
      <c r="SLS30" s="28"/>
      <c r="SLT30" s="28"/>
      <c r="SLU30" s="28"/>
      <c r="SLV30" s="28"/>
      <c r="SLW30" s="28"/>
      <c r="SLX30" s="28"/>
      <c r="SLY30" s="28"/>
      <c r="SLZ30" s="28"/>
      <c r="SMA30" s="28"/>
      <c r="SMB30" s="28"/>
      <c r="SMC30" s="28"/>
      <c r="SMD30" s="28"/>
      <c r="SME30" s="28"/>
      <c r="SMF30" s="28"/>
      <c r="SMG30" s="28"/>
      <c r="SMH30" s="28"/>
      <c r="SMI30" s="28"/>
      <c r="SMJ30" s="28"/>
      <c r="SMK30" s="28"/>
      <c r="SML30" s="28"/>
      <c r="SMM30" s="28"/>
      <c r="SMN30" s="28"/>
      <c r="SMO30" s="28"/>
      <c r="SMP30" s="28"/>
      <c r="SMQ30" s="28"/>
      <c r="SMR30" s="28"/>
      <c r="SMS30" s="28"/>
      <c r="SMT30" s="28"/>
      <c r="SMU30" s="28"/>
      <c r="SMV30" s="28"/>
      <c r="SMW30" s="28"/>
      <c r="SMX30" s="28"/>
      <c r="SMY30" s="28"/>
      <c r="SMZ30" s="28"/>
      <c r="SNA30" s="28"/>
      <c r="SNB30" s="28"/>
      <c r="SNC30" s="28"/>
      <c r="SND30" s="28"/>
      <c r="SNE30" s="28"/>
      <c r="SNF30" s="28"/>
      <c r="SNG30" s="28"/>
      <c r="SNH30" s="28"/>
      <c r="SNI30" s="28"/>
      <c r="SNJ30" s="28"/>
      <c r="SNK30" s="28"/>
      <c r="SNL30" s="28"/>
      <c r="SNM30" s="28"/>
      <c r="SNN30" s="28"/>
      <c r="SNO30" s="28"/>
      <c r="SNP30" s="28"/>
      <c r="SNQ30" s="28"/>
      <c r="SNR30" s="28"/>
      <c r="SNS30" s="28"/>
      <c r="SNT30" s="28"/>
      <c r="SNU30" s="28"/>
      <c r="SNV30" s="28"/>
      <c r="SNW30" s="28"/>
      <c r="SNX30" s="28"/>
      <c r="SNY30" s="28"/>
      <c r="SNZ30" s="28"/>
      <c r="SOA30" s="28"/>
      <c r="SOB30" s="28"/>
      <c r="SOC30" s="28"/>
      <c r="SOD30" s="28"/>
      <c r="SOE30" s="28"/>
      <c r="SOF30" s="28"/>
      <c r="SOG30" s="28"/>
      <c r="SOH30" s="28"/>
      <c r="SOI30" s="28"/>
      <c r="SOJ30" s="28"/>
      <c r="SOK30" s="28"/>
      <c r="SOL30" s="28"/>
      <c r="SOM30" s="28"/>
      <c r="SON30" s="28"/>
      <c r="SOO30" s="28"/>
      <c r="SOP30" s="28"/>
      <c r="SOQ30" s="28"/>
      <c r="SOR30" s="28"/>
      <c r="SOS30" s="28"/>
      <c r="SOT30" s="28"/>
      <c r="SOU30" s="28"/>
      <c r="SOV30" s="28"/>
      <c r="SOW30" s="28"/>
      <c r="SOX30" s="28"/>
      <c r="SOY30" s="28"/>
      <c r="SOZ30" s="28"/>
      <c r="SPA30" s="28"/>
      <c r="SPB30" s="28"/>
      <c r="SPC30" s="28"/>
      <c r="SPD30" s="28"/>
      <c r="SPE30" s="28"/>
      <c r="SPF30" s="28"/>
      <c r="SPG30" s="28"/>
      <c r="SPH30" s="28"/>
      <c r="SPI30" s="28"/>
      <c r="SPJ30" s="28"/>
      <c r="SPK30" s="28"/>
      <c r="SPL30" s="28"/>
      <c r="SPM30" s="28"/>
      <c r="SPN30" s="28"/>
      <c r="SPO30" s="28"/>
      <c r="SPP30" s="28"/>
      <c r="SPQ30" s="28"/>
      <c r="SPR30" s="28"/>
      <c r="SPS30" s="28"/>
      <c r="SPT30" s="28"/>
      <c r="SPU30" s="28"/>
      <c r="SPV30" s="28"/>
      <c r="SPW30" s="28"/>
      <c r="SPX30" s="28"/>
      <c r="SPY30" s="28"/>
      <c r="SPZ30" s="28"/>
      <c r="SQA30" s="28"/>
      <c r="SQB30" s="28"/>
      <c r="SQC30" s="28"/>
      <c r="SQD30" s="28"/>
      <c r="SQE30" s="28"/>
      <c r="SQF30" s="28"/>
      <c r="SQG30" s="28"/>
      <c r="SQH30" s="28"/>
      <c r="SQI30" s="28"/>
      <c r="SQJ30" s="28"/>
      <c r="SQK30" s="28"/>
      <c r="SQL30" s="28"/>
      <c r="SQM30" s="28"/>
      <c r="SQN30" s="28"/>
      <c r="SQO30" s="28"/>
      <c r="SQP30" s="28"/>
      <c r="SQQ30" s="28"/>
      <c r="SQR30" s="28"/>
      <c r="SQS30" s="28"/>
      <c r="SQT30" s="28"/>
      <c r="SQU30" s="28"/>
      <c r="SQV30" s="28"/>
      <c r="SQW30" s="28"/>
      <c r="SQX30" s="28"/>
      <c r="SQY30" s="28"/>
      <c r="SQZ30" s="28"/>
      <c r="SRA30" s="28"/>
      <c r="SRB30" s="28"/>
      <c r="SRC30" s="28"/>
      <c r="SRD30" s="28"/>
      <c r="SRE30" s="28"/>
      <c r="SRF30" s="28"/>
      <c r="SRG30" s="28"/>
      <c r="SRH30" s="28"/>
      <c r="SRI30" s="28"/>
      <c r="SRJ30" s="28"/>
      <c r="SRK30" s="28"/>
      <c r="SRL30" s="28"/>
      <c r="SRM30" s="28"/>
      <c r="SRN30" s="28"/>
      <c r="SRO30" s="28"/>
      <c r="SRP30" s="28"/>
      <c r="SRQ30" s="28"/>
      <c r="SRR30" s="28"/>
      <c r="SRS30" s="28"/>
      <c r="SRT30" s="28"/>
      <c r="SRU30" s="28"/>
      <c r="SRV30" s="28"/>
      <c r="SRW30" s="28"/>
      <c r="SRX30" s="28"/>
      <c r="SRY30" s="28"/>
      <c r="SRZ30" s="28"/>
      <c r="SSA30" s="28"/>
      <c r="SSB30" s="28"/>
      <c r="SSC30" s="28"/>
      <c r="SSD30" s="28"/>
      <c r="SSE30" s="28"/>
      <c r="SSF30" s="28"/>
      <c r="SSG30" s="28"/>
      <c r="SSH30" s="28"/>
      <c r="SSI30" s="28"/>
      <c r="SSJ30" s="28"/>
      <c r="SSK30" s="28"/>
      <c r="SSL30" s="28"/>
      <c r="SSM30" s="28"/>
      <c r="SSN30" s="28"/>
      <c r="SSO30" s="28"/>
      <c r="SSP30" s="28"/>
      <c r="SSQ30" s="28"/>
      <c r="SSR30" s="28"/>
      <c r="SSS30" s="28"/>
      <c r="SST30" s="28"/>
      <c r="SSU30" s="28"/>
      <c r="SSV30" s="28"/>
      <c r="SSW30" s="28"/>
      <c r="SSX30" s="28"/>
      <c r="SSY30" s="28"/>
      <c r="SSZ30" s="28"/>
      <c r="STA30" s="28"/>
      <c r="STB30" s="28"/>
      <c r="STC30" s="28"/>
      <c r="STD30" s="28"/>
      <c r="STE30" s="28"/>
      <c r="STF30" s="28"/>
      <c r="STG30" s="28"/>
      <c r="STH30" s="28"/>
      <c r="STI30" s="28"/>
      <c r="STJ30" s="28"/>
      <c r="STK30" s="28"/>
      <c r="STL30" s="28"/>
      <c r="STM30" s="28"/>
      <c r="STN30" s="28"/>
      <c r="STO30" s="28"/>
      <c r="STP30" s="28"/>
      <c r="STQ30" s="28"/>
      <c r="STR30" s="28"/>
      <c r="STS30" s="28"/>
      <c r="STT30" s="28"/>
      <c r="STU30" s="28"/>
      <c r="STV30" s="28"/>
      <c r="STW30" s="28"/>
      <c r="STX30" s="28"/>
      <c r="STY30" s="28"/>
      <c r="STZ30" s="28"/>
      <c r="SUA30" s="28"/>
      <c r="SUB30" s="28"/>
      <c r="SUC30" s="28"/>
      <c r="SUD30" s="28"/>
      <c r="SUE30" s="28"/>
      <c r="SUF30" s="28"/>
      <c r="SUG30" s="28"/>
      <c r="SUH30" s="28"/>
      <c r="SUI30" s="28"/>
      <c r="SUJ30" s="28"/>
      <c r="SUK30" s="28"/>
      <c r="SUL30" s="28"/>
      <c r="SUM30" s="28"/>
      <c r="SUN30" s="28"/>
      <c r="SUO30" s="28"/>
      <c r="SUP30" s="28"/>
      <c r="SUQ30" s="28"/>
      <c r="SUR30" s="28"/>
      <c r="SUS30" s="28"/>
      <c r="SUT30" s="28"/>
      <c r="SUU30" s="28"/>
      <c r="SUV30" s="28"/>
      <c r="SUW30" s="28"/>
      <c r="SUX30" s="28"/>
      <c r="SUY30" s="28"/>
      <c r="SUZ30" s="28"/>
      <c r="SVA30" s="28"/>
      <c r="SVB30" s="28"/>
      <c r="SVC30" s="28"/>
      <c r="SVD30" s="28"/>
      <c r="SVE30" s="28"/>
      <c r="SVF30" s="28"/>
      <c r="SVG30" s="28"/>
      <c r="SVH30" s="28"/>
      <c r="SVI30" s="28"/>
      <c r="SVJ30" s="28"/>
      <c r="SVK30" s="28"/>
      <c r="SVL30" s="28"/>
      <c r="SVM30" s="28"/>
      <c r="SVN30" s="28"/>
      <c r="SVO30" s="28"/>
      <c r="SVP30" s="28"/>
      <c r="SVQ30" s="28"/>
      <c r="SVR30" s="28"/>
      <c r="SVS30" s="28"/>
      <c r="SVT30" s="28"/>
      <c r="SVU30" s="28"/>
      <c r="SVV30" s="28"/>
      <c r="SVW30" s="28"/>
      <c r="SVX30" s="28"/>
      <c r="SVY30" s="28"/>
      <c r="SVZ30" s="28"/>
      <c r="SWA30" s="28"/>
      <c r="SWB30" s="28"/>
      <c r="SWC30" s="28"/>
      <c r="SWD30" s="28"/>
      <c r="SWE30" s="28"/>
      <c r="SWF30" s="28"/>
      <c r="SWG30" s="28"/>
      <c r="SWH30" s="28"/>
      <c r="SWI30" s="28"/>
      <c r="SWJ30" s="28"/>
      <c r="SWK30" s="28"/>
      <c r="SWL30" s="28"/>
      <c r="SWM30" s="28"/>
      <c r="SWN30" s="28"/>
      <c r="SWO30" s="28"/>
      <c r="SWP30" s="28"/>
      <c r="SWQ30" s="28"/>
      <c r="SWR30" s="28"/>
      <c r="SWS30" s="28"/>
      <c r="SWT30" s="28"/>
      <c r="SWU30" s="28"/>
      <c r="SWV30" s="28"/>
      <c r="SWW30" s="28"/>
      <c r="SWX30" s="28"/>
      <c r="SWY30" s="28"/>
      <c r="SWZ30" s="28"/>
      <c r="SXA30" s="28"/>
      <c r="SXB30" s="28"/>
      <c r="SXC30" s="28"/>
      <c r="SXD30" s="28"/>
      <c r="SXE30" s="28"/>
      <c r="SXF30" s="28"/>
      <c r="SXG30" s="28"/>
      <c r="SXH30" s="28"/>
      <c r="SXI30" s="28"/>
      <c r="SXJ30" s="28"/>
      <c r="SXK30" s="28"/>
      <c r="SXL30" s="28"/>
      <c r="SXM30" s="28"/>
      <c r="SXN30" s="28"/>
      <c r="SXO30" s="28"/>
      <c r="SXP30" s="28"/>
      <c r="SXQ30" s="28"/>
      <c r="SXR30" s="28"/>
      <c r="SXS30" s="28"/>
      <c r="SXT30" s="28"/>
      <c r="SXU30" s="28"/>
      <c r="SXV30" s="28"/>
      <c r="SXW30" s="28"/>
      <c r="SXX30" s="28"/>
      <c r="SXY30" s="28"/>
      <c r="SXZ30" s="28"/>
      <c r="SYA30" s="28"/>
      <c r="SYB30" s="28"/>
      <c r="SYC30" s="28"/>
      <c r="SYD30" s="28"/>
      <c r="SYE30" s="28"/>
      <c r="SYF30" s="28"/>
      <c r="SYG30" s="28"/>
      <c r="SYH30" s="28"/>
      <c r="SYI30" s="28"/>
      <c r="SYJ30" s="28"/>
      <c r="SYK30" s="28"/>
      <c r="SYL30" s="28"/>
      <c r="SYM30" s="28"/>
      <c r="SYN30" s="28"/>
      <c r="SYO30" s="28"/>
      <c r="SYP30" s="28"/>
      <c r="SYQ30" s="28"/>
      <c r="SYR30" s="28"/>
      <c r="SYS30" s="28"/>
      <c r="SYT30" s="28"/>
      <c r="SYU30" s="28"/>
      <c r="SYV30" s="28"/>
      <c r="SYW30" s="28"/>
      <c r="SYX30" s="28"/>
      <c r="SYY30" s="28"/>
      <c r="SYZ30" s="28"/>
      <c r="SZA30" s="28"/>
      <c r="SZB30" s="28"/>
      <c r="SZC30" s="28"/>
      <c r="SZD30" s="28"/>
      <c r="SZE30" s="28"/>
      <c r="SZF30" s="28"/>
      <c r="SZG30" s="28"/>
      <c r="SZH30" s="28"/>
      <c r="SZI30" s="28"/>
      <c r="SZJ30" s="28"/>
      <c r="SZK30" s="28"/>
      <c r="SZL30" s="28"/>
      <c r="SZM30" s="28"/>
      <c r="SZN30" s="28"/>
      <c r="SZO30" s="28"/>
      <c r="SZP30" s="28"/>
      <c r="SZQ30" s="28"/>
      <c r="SZR30" s="28"/>
      <c r="SZS30" s="28"/>
      <c r="SZT30" s="28"/>
      <c r="SZU30" s="28"/>
      <c r="SZV30" s="28"/>
      <c r="SZW30" s="28"/>
      <c r="SZX30" s="28"/>
      <c r="SZY30" s="28"/>
      <c r="SZZ30" s="28"/>
      <c r="TAA30" s="28"/>
      <c r="TAB30" s="28"/>
      <c r="TAC30" s="28"/>
      <c r="TAD30" s="28"/>
      <c r="TAE30" s="28"/>
      <c r="TAF30" s="28"/>
      <c r="TAG30" s="28"/>
      <c r="TAH30" s="28"/>
      <c r="TAI30" s="28"/>
      <c r="TAJ30" s="28"/>
      <c r="TAK30" s="28"/>
      <c r="TAL30" s="28"/>
      <c r="TAM30" s="28"/>
      <c r="TAN30" s="28"/>
      <c r="TAO30" s="28"/>
      <c r="TAP30" s="28"/>
      <c r="TAQ30" s="28"/>
      <c r="TAR30" s="28"/>
      <c r="TAS30" s="28"/>
      <c r="TAT30" s="28"/>
      <c r="TAU30" s="28"/>
      <c r="TAV30" s="28"/>
      <c r="TAW30" s="28"/>
      <c r="TAX30" s="28"/>
      <c r="TAY30" s="28"/>
      <c r="TAZ30" s="28"/>
      <c r="TBA30" s="28"/>
      <c r="TBB30" s="28"/>
      <c r="TBC30" s="28"/>
      <c r="TBD30" s="28"/>
      <c r="TBE30" s="28"/>
      <c r="TBF30" s="28"/>
      <c r="TBG30" s="28"/>
      <c r="TBH30" s="28"/>
      <c r="TBI30" s="28"/>
      <c r="TBJ30" s="28"/>
      <c r="TBK30" s="28"/>
      <c r="TBL30" s="28"/>
      <c r="TBM30" s="28"/>
      <c r="TBN30" s="28"/>
      <c r="TBO30" s="28"/>
      <c r="TBP30" s="28"/>
      <c r="TBQ30" s="28"/>
      <c r="TBR30" s="28"/>
      <c r="TBS30" s="28"/>
      <c r="TBT30" s="28"/>
      <c r="TBU30" s="28"/>
      <c r="TBV30" s="28"/>
      <c r="TBW30" s="28"/>
      <c r="TBX30" s="28"/>
      <c r="TBY30" s="28"/>
      <c r="TBZ30" s="28"/>
      <c r="TCA30" s="28"/>
      <c r="TCB30" s="28"/>
      <c r="TCC30" s="28"/>
      <c r="TCD30" s="28"/>
      <c r="TCE30" s="28"/>
      <c r="TCF30" s="28"/>
      <c r="TCG30" s="28"/>
      <c r="TCH30" s="28"/>
      <c r="TCI30" s="28"/>
      <c r="TCJ30" s="28"/>
      <c r="TCK30" s="28"/>
      <c r="TCL30" s="28"/>
      <c r="TCM30" s="28"/>
      <c r="TCN30" s="28"/>
      <c r="TCO30" s="28"/>
      <c r="TCP30" s="28"/>
      <c r="TCQ30" s="28"/>
      <c r="TCR30" s="28"/>
      <c r="TCS30" s="28"/>
      <c r="TCT30" s="28"/>
      <c r="TCU30" s="28"/>
      <c r="TCV30" s="28"/>
      <c r="TCW30" s="28"/>
      <c r="TCX30" s="28"/>
      <c r="TCY30" s="28"/>
      <c r="TCZ30" s="28"/>
      <c r="TDA30" s="28"/>
      <c r="TDB30" s="28"/>
      <c r="TDC30" s="28"/>
      <c r="TDD30" s="28"/>
      <c r="TDE30" s="28"/>
      <c r="TDF30" s="28"/>
      <c r="TDG30" s="28"/>
      <c r="TDH30" s="28"/>
      <c r="TDI30" s="28"/>
      <c r="TDJ30" s="28"/>
      <c r="TDK30" s="28"/>
      <c r="TDL30" s="28"/>
      <c r="TDM30" s="28"/>
      <c r="TDN30" s="28"/>
      <c r="TDO30" s="28"/>
      <c r="TDP30" s="28"/>
      <c r="TDQ30" s="28"/>
      <c r="TDR30" s="28"/>
      <c r="TDS30" s="28"/>
      <c r="TDT30" s="28"/>
      <c r="TDU30" s="28"/>
      <c r="TDV30" s="28"/>
      <c r="TDW30" s="28"/>
      <c r="TDX30" s="28"/>
      <c r="TDY30" s="28"/>
      <c r="TDZ30" s="28"/>
      <c r="TEA30" s="28"/>
      <c r="TEB30" s="28"/>
      <c r="TEC30" s="28"/>
      <c r="TED30" s="28"/>
      <c r="TEE30" s="28"/>
      <c r="TEF30" s="28"/>
      <c r="TEG30" s="28"/>
      <c r="TEH30" s="28"/>
      <c r="TEI30" s="28"/>
      <c r="TEJ30" s="28"/>
      <c r="TEK30" s="28"/>
      <c r="TEL30" s="28"/>
      <c r="TEM30" s="28"/>
      <c r="TEN30" s="28"/>
      <c r="TEO30" s="28"/>
      <c r="TEP30" s="28"/>
      <c r="TEQ30" s="28"/>
      <c r="TER30" s="28"/>
      <c r="TES30" s="28"/>
      <c r="TET30" s="28"/>
      <c r="TEU30" s="28"/>
      <c r="TEV30" s="28"/>
      <c r="TEW30" s="28"/>
      <c r="TEX30" s="28"/>
      <c r="TEY30" s="28"/>
      <c r="TEZ30" s="28"/>
      <c r="TFA30" s="28"/>
      <c r="TFB30" s="28"/>
      <c r="TFC30" s="28"/>
      <c r="TFD30" s="28"/>
      <c r="TFE30" s="28"/>
      <c r="TFF30" s="28"/>
      <c r="TFG30" s="28"/>
      <c r="TFH30" s="28"/>
      <c r="TFI30" s="28"/>
      <c r="TFJ30" s="28"/>
      <c r="TFK30" s="28"/>
      <c r="TFL30" s="28"/>
      <c r="TFM30" s="28"/>
      <c r="TFN30" s="28"/>
      <c r="TFO30" s="28"/>
      <c r="TFP30" s="28"/>
      <c r="TFQ30" s="28"/>
      <c r="TFR30" s="28"/>
      <c r="TFS30" s="28"/>
      <c r="TFT30" s="28"/>
      <c r="TFU30" s="28"/>
      <c r="TFV30" s="28"/>
      <c r="TFW30" s="28"/>
      <c r="TFX30" s="28"/>
      <c r="TFY30" s="28"/>
      <c r="TFZ30" s="28"/>
      <c r="TGA30" s="28"/>
      <c r="TGB30" s="28"/>
      <c r="TGC30" s="28"/>
      <c r="TGD30" s="28"/>
      <c r="TGE30" s="28"/>
      <c r="TGF30" s="28"/>
      <c r="TGG30" s="28"/>
      <c r="TGH30" s="28"/>
      <c r="TGI30" s="28"/>
      <c r="TGJ30" s="28"/>
      <c r="TGK30" s="28"/>
      <c r="TGL30" s="28"/>
      <c r="TGM30" s="28"/>
      <c r="TGN30" s="28"/>
      <c r="TGO30" s="28"/>
      <c r="TGP30" s="28"/>
      <c r="TGQ30" s="28"/>
      <c r="TGR30" s="28"/>
      <c r="TGS30" s="28"/>
      <c r="TGT30" s="28"/>
      <c r="TGU30" s="28"/>
      <c r="TGV30" s="28"/>
      <c r="TGW30" s="28"/>
      <c r="TGX30" s="28"/>
      <c r="TGY30" s="28"/>
      <c r="TGZ30" s="28"/>
      <c r="THA30" s="28"/>
      <c r="THB30" s="28"/>
      <c r="THC30" s="28"/>
      <c r="THD30" s="28"/>
      <c r="THE30" s="28"/>
      <c r="THF30" s="28"/>
      <c r="THG30" s="28"/>
      <c r="THH30" s="28"/>
      <c r="THI30" s="28"/>
      <c r="THJ30" s="28"/>
      <c r="THK30" s="28"/>
      <c r="THL30" s="28"/>
      <c r="THM30" s="28"/>
      <c r="THN30" s="28"/>
      <c r="THO30" s="28"/>
      <c r="THP30" s="28"/>
      <c r="THQ30" s="28"/>
      <c r="THR30" s="28"/>
      <c r="THS30" s="28"/>
      <c r="THT30" s="28"/>
      <c r="THU30" s="28"/>
      <c r="THV30" s="28"/>
      <c r="THW30" s="28"/>
      <c r="THX30" s="28"/>
      <c r="THY30" s="28"/>
      <c r="THZ30" s="28"/>
      <c r="TIA30" s="28"/>
      <c r="TIB30" s="28"/>
      <c r="TIC30" s="28"/>
      <c r="TID30" s="28"/>
      <c r="TIE30" s="28"/>
      <c r="TIF30" s="28"/>
      <c r="TIG30" s="28"/>
      <c r="TIH30" s="28"/>
      <c r="TII30" s="28"/>
      <c r="TIJ30" s="28"/>
      <c r="TIK30" s="28"/>
      <c r="TIL30" s="28"/>
      <c r="TIM30" s="28"/>
      <c r="TIN30" s="28"/>
      <c r="TIO30" s="28"/>
      <c r="TIP30" s="28"/>
      <c r="TIQ30" s="28"/>
      <c r="TIR30" s="28"/>
      <c r="TIS30" s="28"/>
      <c r="TIT30" s="28"/>
      <c r="TIU30" s="28"/>
      <c r="TIV30" s="28"/>
      <c r="TIW30" s="28"/>
      <c r="TIX30" s="28"/>
      <c r="TIY30" s="28"/>
      <c r="TIZ30" s="28"/>
      <c r="TJA30" s="28"/>
      <c r="TJB30" s="28"/>
      <c r="TJC30" s="28"/>
      <c r="TJD30" s="28"/>
      <c r="TJE30" s="28"/>
      <c r="TJF30" s="28"/>
      <c r="TJG30" s="28"/>
      <c r="TJH30" s="28"/>
      <c r="TJI30" s="28"/>
      <c r="TJJ30" s="28"/>
      <c r="TJK30" s="28"/>
      <c r="TJL30" s="28"/>
      <c r="TJM30" s="28"/>
      <c r="TJN30" s="28"/>
      <c r="TJO30" s="28"/>
      <c r="TJP30" s="28"/>
      <c r="TJQ30" s="28"/>
      <c r="TJR30" s="28"/>
      <c r="TJS30" s="28"/>
      <c r="TJT30" s="28"/>
      <c r="TJU30" s="28"/>
      <c r="TJV30" s="28"/>
      <c r="TJW30" s="28"/>
      <c r="TJX30" s="28"/>
      <c r="TJY30" s="28"/>
      <c r="TJZ30" s="28"/>
      <c r="TKA30" s="28"/>
      <c r="TKB30" s="28"/>
      <c r="TKC30" s="28"/>
      <c r="TKD30" s="28"/>
      <c r="TKE30" s="28"/>
      <c r="TKF30" s="28"/>
      <c r="TKG30" s="28"/>
      <c r="TKH30" s="28"/>
      <c r="TKI30" s="28"/>
      <c r="TKJ30" s="28"/>
      <c r="TKK30" s="28"/>
      <c r="TKL30" s="28"/>
      <c r="TKM30" s="28"/>
      <c r="TKN30" s="28"/>
      <c r="TKO30" s="28"/>
      <c r="TKP30" s="28"/>
      <c r="TKQ30" s="28"/>
      <c r="TKR30" s="28"/>
      <c r="TKS30" s="28"/>
      <c r="TKT30" s="28"/>
      <c r="TKU30" s="28"/>
      <c r="TKV30" s="28"/>
      <c r="TKW30" s="28"/>
      <c r="TKX30" s="28"/>
      <c r="TKY30" s="28"/>
      <c r="TKZ30" s="28"/>
      <c r="TLA30" s="28"/>
      <c r="TLB30" s="28"/>
      <c r="TLC30" s="28"/>
      <c r="TLD30" s="28"/>
      <c r="TLE30" s="28"/>
      <c r="TLF30" s="28"/>
      <c r="TLG30" s="28"/>
      <c r="TLH30" s="28"/>
      <c r="TLI30" s="28"/>
      <c r="TLJ30" s="28"/>
      <c r="TLK30" s="28"/>
      <c r="TLL30" s="28"/>
      <c r="TLM30" s="28"/>
      <c r="TLN30" s="28"/>
      <c r="TLO30" s="28"/>
      <c r="TLP30" s="28"/>
      <c r="TLQ30" s="28"/>
      <c r="TLR30" s="28"/>
      <c r="TLS30" s="28"/>
      <c r="TLT30" s="28"/>
      <c r="TLU30" s="28"/>
      <c r="TLV30" s="28"/>
      <c r="TLW30" s="28"/>
      <c r="TLX30" s="28"/>
      <c r="TLY30" s="28"/>
      <c r="TLZ30" s="28"/>
      <c r="TMA30" s="28"/>
      <c r="TMB30" s="28"/>
      <c r="TMC30" s="28"/>
      <c r="TMD30" s="28"/>
      <c r="TME30" s="28"/>
      <c r="TMF30" s="28"/>
      <c r="TMG30" s="28"/>
      <c r="TMH30" s="28"/>
      <c r="TMI30" s="28"/>
      <c r="TMJ30" s="28"/>
      <c r="TMK30" s="28"/>
      <c r="TML30" s="28"/>
      <c r="TMM30" s="28"/>
      <c r="TMN30" s="28"/>
      <c r="TMO30" s="28"/>
      <c r="TMP30" s="28"/>
      <c r="TMQ30" s="28"/>
      <c r="TMR30" s="28"/>
      <c r="TMS30" s="28"/>
      <c r="TMT30" s="28"/>
      <c r="TMU30" s="28"/>
      <c r="TMV30" s="28"/>
      <c r="TMW30" s="28"/>
      <c r="TMX30" s="28"/>
      <c r="TMY30" s="28"/>
      <c r="TMZ30" s="28"/>
      <c r="TNA30" s="28"/>
      <c r="TNB30" s="28"/>
      <c r="TNC30" s="28"/>
      <c r="TND30" s="28"/>
      <c r="TNE30" s="28"/>
      <c r="TNF30" s="28"/>
      <c r="TNG30" s="28"/>
      <c r="TNH30" s="28"/>
      <c r="TNI30" s="28"/>
      <c r="TNJ30" s="28"/>
      <c r="TNK30" s="28"/>
      <c r="TNL30" s="28"/>
      <c r="TNM30" s="28"/>
      <c r="TNN30" s="28"/>
      <c r="TNO30" s="28"/>
      <c r="TNP30" s="28"/>
      <c r="TNQ30" s="28"/>
      <c r="TNR30" s="28"/>
      <c r="TNS30" s="28"/>
      <c r="TNT30" s="28"/>
      <c r="TNU30" s="28"/>
      <c r="TNV30" s="28"/>
      <c r="TNW30" s="28"/>
      <c r="TNX30" s="28"/>
      <c r="TNY30" s="28"/>
      <c r="TNZ30" s="28"/>
      <c r="TOA30" s="28"/>
      <c r="TOB30" s="28"/>
      <c r="TOC30" s="28"/>
      <c r="TOD30" s="28"/>
      <c r="TOE30" s="28"/>
      <c r="TOF30" s="28"/>
      <c r="TOG30" s="28"/>
      <c r="TOH30" s="28"/>
      <c r="TOI30" s="28"/>
      <c r="TOJ30" s="28"/>
      <c r="TOK30" s="28"/>
      <c r="TOL30" s="28"/>
      <c r="TOM30" s="28"/>
      <c r="TON30" s="28"/>
      <c r="TOO30" s="28"/>
      <c r="TOP30" s="28"/>
      <c r="TOQ30" s="28"/>
      <c r="TOR30" s="28"/>
      <c r="TOS30" s="28"/>
      <c r="TOT30" s="28"/>
      <c r="TOU30" s="28"/>
      <c r="TOV30" s="28"/>
      <c r="TOW30" s="28"/>
      <c r="TOX30" s="28"/>
      <c r="TOY30" s="28"/>
      <c r="TOZ30" s="28"/>
      <c r="TPA30" s="28"/>
      <c r="TPB30" s="28"/>
      <c r="TPC30" s="28"/>
      <c r="TPD30" s="28"/>
      <c r="TPE30" s="28"/>
      <c r="TPF30" s="28"/>
      <c r="TPG30" s="28"/>
      <c r="TPH30" s="28"/>
      <c r="TPI30" s="28"/>
      <c r="TPJ30" s="28"/>
      <c r="TPK30" s="28"/>
      <c r="TPL30" s="28"/>
      <c r="TPM30" s="28"/>
      <c r="TPN30" s="28"/>
      <c r="TPO30" s="28"/>
      <c r="TPP30" s="28"/>
      <c r="TPQ30" s="28"/>
      <c r="TPR30" s="28"/>
      <c r="TPS30" s="28"/>
      <c r="TPT30" s="28"/>
      <c r="TPU30" s="28"/>
      <c r="TPV30" s="28"/>
      <c r="TPW30" s="28"/>
      <c r="TPX30" s="28"/>
      <c r="TPY30" s="28"/>
      <c r="TPZ30" s="28"/>
      <c r="TQA30" s="28"/>
      <c r="TQB30" s="28"/>
      <c r="TQC30" s="28"/>
      <c r="TQD30" s="28"/>
      <c r="TQE30" s="28"/>
      <c r="TQF30" s="28"/>
      <c r="TQG30" s="28"/>
      <c r="TQH30" s="28"/>
      <c r="TQI30" s="28"/>
      <c r="TQJ30" s="28"/>
      <c r="TQK30" s="28"/>
      <c r="TQL30" s="28"/>
      <c r="TQM30" s="28"/>
      <c r="TQN30" s="28"/>
      <c r="TQO30" s="28"/>
      <c r="TQP30" s="28"/>
      <c r="TQQ30" s="28"/>
      <c r="TQR30" s="28"/>
      <c r="TQS30" s="28"/>
      <c r="TQT30" s="28"/>
      <c r="TQU30" s="28"/>
      <c r="TQV30" s="28"/>
      <c r="TQW30" s="28"/>
      <c r="TQX30" s="28"/>
      <c r="TQY30" s="28"/>
      <c r="TQZ30" s="28"/>
      <c r="TRA30" s="28"/>
      <c r="TRB30" s="28"/>
      <c r="TRC30" s="28"/>
      <c r="TRD30" s="28"/>
      <c r="TRE30" s="28"/>
      <c r="TRF30" s="28"/>
      <c r="TRG30" s="28"/>
      <c r="TRH30" s="28"/>
      <c r="TRI30" s="28"/>
      <c r="TRJ30" s="28"/>
      <c r="TRK30" s="28"/>
      <c r="TRL30" s="28"/>
      <c r="TRM30" s="28"/>
      <c r="TRN30" s="28"/>
      <c r="TRO30" s="28"/>
      <c r="TRP30" s="28"/>
      <c r="TRQ30" s="28"/>
      <c r="TRR30" s="28"/>
      <c r="TRS30" s="28"/>
      <c r="TRT30" s="28"/>
      <c r="TRU30" s="28"/>
      <c r="TRV30" s="28"/>
      <c r="TRW30" s="28"/>
      <c r="TRX30" s="28"/>
      <c r="TRY30" s="28"/>
      <c r="TRZ30" s="28"/>
      <c r="TSA30" s="28"/>
      <c r="TSB30" s="28"/>
      <c r="TSC30" s="28"/>
      <c r="TSD30" s="28"/>
      <c r="TSE30" s="28"/>
      <c r="TSF30" s="28"/>
      <c r="TSG30" s="28"/>
      <c r="TSH30" s="28"/>
      <c r="TSI30" s="28"/>
      <c r="TSJ30" s="28"/>
      <c r="TSK30" s="28"/>
      <c r="TSL30" s="28"/>
      <c r="TSM30" s="28"/>
      <c r="TSN30" s="28"/>
      <c r="TSO30" s="28"/>
      <c r="TSP30" s="28"/>
      <c r="TSQ30" s="28"/>
      <c r="TSR30" s="28"/>
      <c r="TSS30" s="28"/>
      <c r="TST30" s="28"/>
      <c r="TSU30" s="28"/>
      <c r="TSV30" s="28"/>
      <c r="TSW30" s="28"/>
      <c r="TSX30" s="28"/>
      <c r="TSY30" s="28"/>
      <c r="TSZ30" s="28"/>
      <c r="TTA30" s="28"/>
      <c r="TTB30" s="28"/>
      <c r="TTC30" s="28"/>
      <c r="TTD30" s="28"/>
      <c r="TTE30" s="28"/>
      <c r="TTF30" s="28"/>
      <c r="TTG30" s="28"/>
      <c r="TTH30" s="28"/>
      <c r="TTI30" s="28"/>
      <c r="TTJ30" s="28"/>
      <c r="TTK30" s="28"/>
      <c r="TTL30" s="28"/>
      <c r="TTM30" s="28"/>
      <c r="TTN30" s="28"/>
      <c r="TTO30" s="28"/>
      <c r="TTP30" s="28"/>
      <c r="TTQ30" s="28"/>
      <c r="TTR30" s="28"/>
      <c r="TTS30" s="28"/>
      <c r="TTT30" s="28"/>
      <c r="TTU30" s="28"/>
      <c r="TTV30" s="28"/>
      <c r="TTW30" s="28"/>
      <c r="TTX30" s="28"/>
      <c r="TTY30" s="28"/>
      <c r="TTZ30" s="28"/>
      <c r="TUA30" s="28"/>
      <c r="TUB30" s="28"/>
      <c r="TUC30" s="28"/>
      <c r="TUD30" s="28"/>
      <c r="TUE30" s="28"/>
      <c r="TUF30" s="28"/>
      <c r="TUG30" s="28"/>
      <c r="TUH30" s="28"/>
      <c r="TUI30" s="28"/>
      <c r="TUJ30" s="28"/>
      <c r="TUK30" s="28"/>
      <c r="TUL30" s="28"/>
      <c r="TUM30" s="28"/>
      <c r="TUN30" s="28"/>
      <c r="TUO30" s="28"/>
      <c r="TUP30" s="28"/>
      <c r="TUQ30" s="28"/>
      <c r="TUR30" s="28"/>
      <c r="TUS30" s="28"/>
      <c r="TUT30" s="28"/>
      <c r="TUU30" s="28"/>
      <c r="TUV30" s="28"/>
      <c r="TUW30" s="28"/>
      <c r="TUX30" s="28"/>
      <c r="TUY30" s="28"/>
      <c r="TUZ30" s="28"/>
      <c r="TVA30" s="28"/>
      <c r="TVB30" s="28"/>
      <c r="TVC30" s="28"/>
      <c r="TVD30" s="28"/>
      <c r="TVE30" s="28"/>
      <c r="TVF30" s="28"/>
      <c r="TVG30" s="28"/>
      <c r="TVH30" s="28"/>
      <c r="TVI30" s="28"/>
      <c r="TVJ30" s="28"/>
      <c r="TVK30" s="28"/>
      <c r="TVL30" s="28"/>
      <c r="TVM30" s="28"/>
      <c r="TVN30" s="28"/>
      <c r="TVO30" s="28"/>
      <c r="TVP30" s="28"/>
      <c r="TVQ30" s="28"/>
      <c r="TVR30" s="28"/>
      <c r="TVS30" s="28"/>
      <c r="TVT30" s="28"/>
      <c r="TVU30" s="28"/>
      <c r="TVV30" s="28"/>
      <c r="TVW30" s="28"/>
      <c r="TVX30" s="28"/>
      <c r="TVY30" s="28"/>
      <c r="TVZ30" s="28"/>
      <c r="TWA30" s="28"/>
      <c r="TWB30" s="28"/>
      <c r="TWC30" s="28"/>
      <c r="TWD30" s="28"/>
      <c r="TWE30" s="28"/>
      <c r="TWF30" s="28"/>
      <c r="TWG30" s="28"/>
      <c r="TWH30" s="28"/>
      <c r="TWI30" s="28"/>
      <c r="TWJ30" s="28"/>
      <c r="TWK30" s="28"/>
      <c r="TWL30" s="28"/>
      <c r="TWM30" s="28"/>
      <c r="TWN30" s="28"/>
      <c r="TWO30" s="28"/>
      <c r="TWP30" s="28"/>
      <c r="TWQ30" s="28"/>
      <c r="TWR30" s="28"/>
      <c r="TWS30" s="28"/>
      <c r="TWT30" s="28"/>
      <c r="TWU30" s="28"/>
      <c r="TWV30" s="28"/>
      <c r="TWW30" s="28"/>
      <c r="TWX30" s="28"/>
      <c r="TWY30" s="28"/>
      <c r="TWZ30" s="28"/>
      <c r="TXA30" s="28"/>
      <c r="TXB30" s="28"/>
      <c r="TXC30" s="28"/>
      <c r="TXD30" s="28"/>
      <c r="TXE30" s="28"/>
      <c r="TXF30" s="28"/>
      <c r="TXG30" s="28"/>
      <c r="TXH30" s="28"/>
      <c r="TXI30" s="28"/>
      <c r="TXJ30" s="28"/>
      <c r="TXK30" s="28"/>
      <c r="TXL30" s="28"/>
      <c r="TXM30" s="28"/>
      <c r="TXN30" s="28"/>
      <c r="TXO30" s="28"/>
      <c r="TXP30" s="28"/>
      <c r="TXQ30" s="28"/>
      <c r="TXR30" s="28"/>
      <c r="TXS30" s="28"/>
      <c r="TXT30" s="28"/>
      <c r="TXU30" s="28"/>
      <c r="TXV30" s="28"/>
      <c r="TXW30" s="28"/>
      <c r="TXX30" s="28"/>
      <c r="TXY30" s="28"/>
      <c r="TXZ30" s="28"/>
      <c r="TYA30" s="28"/>
      <c r="TYB30" s="28"/>
      <c r="TYC30" s="28"/>
      <c r="TYD30" s="28"/>
      <c r="TYE30" s="28"/>
      <c r="TYF30" s="28"/>
      <c r="TYG30" s="28"/>
      <c r="TYH30" s="28"/>
      <c r="TYI30" s="28"/>
      <c r="TYJ30" s="28"/>
      <c r="TYK30" s="28"/>
      <c r="TYL30" s="28"/>
      <c r="TYM30" s="28"/>
      <c r="TYN30" s="28"/>
      <c r="TYO30" s="28"/>
      <c r="TYP30" s="28"/>
      <c r="TYQ30" s="28"/>
      <c r="TYR30" s="28"/>
      <c r="TYS30" s="28"/>
      <c r="TYT30" s="28"/>
      <c r="TYU30" s="28"/>
      <c r="TYV30" s="28"/>
      <c r="TYW30" s="28"/>
      <c r="TYX30" s="28"/>
      <c r="TYY30" s="28"/>
      <c r="TYZ30" s="28"/>
      <c r="TZA30" s="28"/>
      <c r="TZB30" s="28"/>
      <c r="TZC30" s="28"/>
      <c r="TZD30" s="28"/>
      <c r="TZE30" s="28"/>
      <c r="TZF30" s="28"/>
      <c r="TZG30" s="28"/>
      <c r="TZH30" s="28"/>
      <c r="TZI30" s="28"/>
      <c r="TZJ30" s="28"/>
      <c r="TZK30" s="28"/>
      <c r="TZL30" s="28"/>
      <c r="TZM30" s="28"/>
      <c r="TZN30" s="28"/>
      <c r="TZO30" s="28"/>
      <c r="TZP30" s="28"/>
      <c r="TZQ30" s="28"/>
      <c r="TZR30" s="28"/>
      <c r="TZS30" s="28"/>
      <c r="TZT30" s="28"/>
      <c r="TZU30" s="28"/>
      <c r="TZV30" s="28"/>
      <c r="TZW30" s="28"/>
      <c r="TZX30" s="28"/>
      <c r="TZY30" s="28"/>
      <c r="TZZ30" s="28"/>
      <c r="UAA30" s="28"/>
      <c r="UAB30" s="28"/>
      <c r="UAC30" s="28"/>
      <c r="UAD30" s="28"/>
      <c r="UAE30" s="28"/>
      <c r="UAF30" s="28"/>
      <c r="UAG30" s="28"/>
      <c r="UAH30" s="28"/>
      <c r="UAI30" s="28"/>
      <c r="UAJ30" s="28"/>
      <c r="UAK30" s="28"/>
      <c r="UAL30" s="28"/>
      <c r="UAM30" s="28"/>
      <c r="UAN30" s="28"/>
      <c r="UAO30" s="28"/>
      <c r="UAP30" s="28"/>
      <c r="UAQ30" s="28"/>
      <c r="UAR30" s="28"/>
      <c r="UAS30" s="28"/>
      <c r="UAT30" s="28"/>
      <c r="UAU30" s="28"/>
      <c r="UAV30" s="28"/>
      <c r="UAW30" s="28"/>
      <c r="UAX30" s="28"/>
      <c r="UAY30" s="28"/>
      <c r="UAZ30" s="28"/>
      <c r="UBA30" s="28"/>
      <c r="UBB30" s="28"/>
      <c r="UBC30" s="28"/>
      <c r="UBD30" s="28"/>
      <c r="UBE30" s="28"/>
      <c r="UBF30" s="28"/>
      <c r="UBG30" s="28"/>
      <c r="UBH30" s="28"/>
      <c r="UBI30" s="28"/>
      <c r="UBJ30" s="28"/>
      <c r="UBK30" s="28"/>
      <c r="UBL30" s="28"/>
      <c r="UBM30" s="28"/>
      <c r="UBN30" s="28"/>
      <c r="UBO30" s="28"/>
      <c r="UBP30" s="28"/>
      <c r="UBQ30" s="28"/>
      <c r="UBR30" s="28"/>
      <c r="UBS30" s="28"/>
      <c r="UBT30" s="28"/>
      <c r="UBU30" s="28"/>
      <c r="UBV30" s="28"/>
      <c r="UBW30" s="28"/>
      <c r="UBX30" s="28"/>
      <c r="UBY30" s="28"/>
      <c r="UBZ30" s="28"/>
      <c r="UCA30" s="28"/>
      <c r="UCB30" s="28"/>
      <c r="UCC30" s="28"/>
      <c r="UCD30" s="28"/>
      <c r="UCE30" s="28"/>
      <c r="UCF30" s="28"/>
      <c r="UCG30" s="28"/>
      <c r="UCH30" s="28"/>
      <c r="UCI30" s="28"/>
      <c r="UCJ30" s="28"/>
      <c r="UCK30" s="28"/>
      <c r="UCL30" s="28"/>
      <c r="UCM30" s="28"/>
      <c r="UCN30" s="28"/>
      <c r="UCO30" s="28"/>
      <c r="UCP30" s="28"/>
      <c r="UCQ30" s="28"/>
      <c r="UCR30" s="28"/>
      <c r="UCS30" s="28"/>
      <c r="UCT30" s="28"/>
      <c r="UCU30" s="28"/>
      <c r="UCV30" s="28"/>
      <c r="UCW30" s="28"/>
      <c r="UCX30" s="28"/>
      <c r="UCY30" s="28"/>
      <c r="UCZ30" s="28"/>
      <c r="UDA30" s="28"/>
      <c r="UDB30" s="28"/>
      <c r="UDC30" s="28"/>
      <c r="UDD30" s="28"/>
      <c r="UDE30" s="28"/>
      <c r="UDF30" s="28"/>
      <c r="UDG30" s="28"/>
      <c r="UDH30" s="28"/>
      <c r="UDI30" s="28"/>
      <c r="UDJ30" s="28"/>
      <c r="UDK30" s="28"/>
      <c r="UDL30" s="28"/>
      <c r="UDM30" s="28"/>
      <c r="UDN30" s="28"/>
      <c r="UDO30" s="28"/>
      <c r="UDP30" s="28"/>
      <c r="UDQ30" s="28"/>
      <c r="UDR30" s="28"/>
      <c r="UDS30" s="28"/>
      <c r="UDT30" s="28"/>
      <c r="UDU30" s="28"/>
      <c r="UDV30" s="28"/>
      <c r="UDW30" s="28"/>
      <c r="UDX30" s="28"/>
      <c r="UDY30" s="28"/>
      <c r="UDZ30" s="28"/>
      <c r="UEA30" s="28"/>
      <c r="UEB30" s="28"/>
      <c r="UEC30" s="28"/>
      <c r="UED30" s="28"/>
      <c r="UEE30" s="28"/>
      <c r="UEF30" s="28"/>
      <c r="UEG30" s="28"/>
      <c r="UEH30" s="28"/>
      <c r="UEI30" s="28"/>
      <c r="UEJ30" s="28"/>
      <c r="UEK30" s="28"/>
      <c r="UEL30" s="28"/>
      <c r="UEM30" s="28"/>
      <c r="UEN30" s="28"/>
      <c r="UEO30" s="28"/>
      <c r="UEP30" s="28"/>
      <c r="UEQ30" s="28"/>
      <c r="UER30" s="28"/>
      <c r="UES30" s="28"/>
      <c r="UET30" s="28"/>
      <c r="UEU30" s="28"/>
      <c r="UEV30" s="28"/>
      <c r="UEW30" s="28"/>
      <c r="UEX30" s="28"/>
      <c r="UEY30" s="28"/>
      <c r="UEZ30" s="28"/>
      <c r="UFA30" s="28"/>
      <c r="UFB30" s="28"/>
      <c r="UFC30" s="28"/>
      <c r="UFD30" s="28"/>
      <c r="UFE30" s="28"/>
      <c r="UFF30" s="28"/>
      <c r="UFG30" s="28"/>
      <c r="UFH30" s="28"/>
      <c r="UFI30" s="28"/>
      <c r="UFJ30" s="28"/>
      <c r="UFK30" s="28"/>
      <c r="UFL30" s="28"/>
      <c r="UFM30" s="28"/>
      <c r="UFN30" s="28"/>
      <c r="UFO30" s="28"/>
      <c r="UFP30" s="28"/>
      <c r="UFQ30" s="28"/>
      <c r="UFR30" s="28"/>
      <c r="UFS30" s="28"/>
      <c r="UFT30" s="28"/>
      <c r="UFU30" s="28"/>
      <c r="UFV30" s="28"/>
      <c r="UFW30" s="28"/>
      <c r="UFX30" s="28"/>
      <c r="UFY30" s="28"/>
      <c r="UFZ30" s="28"/>
      <c r="UGA30" s="28"/>
      <c r="UGB30" s="28"/>
      <c r="UGC30" s="28"/>
      <c r="UGD30" s="28"/>
      <c r="UGE30" s="28"/>
      <c r="UGF30" s="28"/>
      <c r="UGG30" s="28"/>
      <c r="UGH30" s="28"/>
      <c r="UGI30" s="28"/>
      <c r="UGJ30" s="28"/>
      <c r="UGK30" s="28"/>
      <c r="UGL30" s="28"/>
      <c r="UGM30" s="28"/>
      <c r="UGN30" s="28"/>
      <c r="UGO30" s="28"/>
      <c r="UGP30" s="28"/>
      <c r="UGQ30" s="28"/>
      <c r="UGR30" s="28"/>
      <c r="UGS30" s="28"/>
      <c r="UGT30" s="28"/>
      <c r="UGU30" s="28"/>
      <c r="UGV30" s="28"/>
      <c r="UGW30" s="28"/>
      <c r="UGX30" s="28"/>
      <c r="UGY30" s="28"/>
      <c r="UGZ30" s="28"/>
      <c r="UHA30" s="28"/>
      <c r="UHB30" s="28"/>
      <c r="UHC30" s="28"/>
      <c r="UHD30" s="28"/>
      <c r="UHE30" s="28"/>
      <c r="UHF30" s="28"/>
      <c r="UHG30" s="28"/>
      <c r="UHH30" s="28"/>
      <c r="UHI30" s="28"/>
      <c r="UHJ30" s="28"/>
      <c r="UHK30" s="28"/>
      <c r="UHL30" s="28"/>
      <c r="UHM30" s="28"/>
      <c r="UHN30" s="28"/>
      <c r="UHO30" s="28"/>
      <c r="UHP30" s="28"/>
      <c r="UHQ30" s="28"/>
      <c r="UHR30" s="28"/>
      <c r="UHS30" s="28"/>
      <c r="UHT30" s="28"/>
      <c r="UHU30" s="28"/>
      <c r="UHV30" s="28"/>
      <c r="UHW30" s="28"/>
      <c r="UHX30" s="28"/>
      <c r="UHY30" s="28"/>
      <c r="UHZ30" s="28"/>
      <c r="UIA30" s="28"/>
      <c r="UIB30" s="28"/>
      <c r="UIC30" s="28"/>
      <c r="UID30" s="28"/>
      <c r="UIE30" s="28"/>
      <c r="UIF30" s="28"/>
      <c r="UIG30" s="28"/>
      <c r="UIH30" s="28"/>
      <c r="UII30" s="28"/>
      <c r="UIJ30" s="28"/>
      <c r="UIK30" s="28"/>
      <c r="UIL30" s="28"/>
      <c r="UIM30" s="28"/>
      <c r="UIN30" s="28"/>
      <c r="UIO30" s="28"/>
      <c r="UIP30" s="28"/>
      <c r="UIQ30" s="28"/>
      <c r="UIR30" s="28"/>
      <c r="UIS30" s="28"/>
      <c r="UIT30" s="28"/>
      <c r="UIU30" s="28"/>
      <c r="UIV30" s="28"/>
      <c r="UIW30" s="28"/>
      <c r="UIX30" s="28"/>
      <c r="UIY30" s="28"/>
      <c r="UIZ30" s="28"/>
      <c r="UJA30" s="28"/>
      <c r="UJB30" s="28"/>
      <c r="UJC30" s="28"/>
      <c r="UJD30" s="28"/>
      <c r="UJE30" s="28"/>
      <c r="UJF30" s="28"/>
      <c r="UJG30" s="28"/>
      <c r="UJH30" s="28"/>
      <c r="UJI30" s="28"/>
      <c r="UJJ30" s="28"/>
      <c r="UJK30" s="28"/>
      <c r="UJL30" s="28"/>
      <c r="UJM30" s="28"/>
      <c r="UJN30" s="28"/>
      <c r="UJO30" s="28"/>
      <c r="UJP30" s="28"/>
      <c r="UJQ30" s="28"/>
      <c r="UJR30" s="28"/>
      <c r="UJS30" s="28"/>
      <c r="UJT30" s="28"/>
      <c r="UJU30" s="28"/>
      <c r="UJV30" s="28"/>
      <c r="UJW30" s="28"/>
      <c r="UJX30" s="28"/>
      <c r="UJY30" s="28"/>
      <c r="UJZ30" s="28"/>
      <c r="UKA30" s="28"/>
      <c r="UKB30" s="28"/>
      <c r="UKC30" s="28"/>
      <c r="UKD30" s="28"/>
      <c r="UKE30" s="28"/>
      <c r="UKF30" s="28"/>
      <c r="UKG30" s="28"/>
      <c r="UKH30" s="28"/>
      <c r="UKI30" s="28"/>
      <c r="UKJ30" s="28"/>
      <c r="UKK30" s="28"/>
      <c r="UKL30" s="28"/>
      <c r="UKM30" s="28"/>
      <c r="UKN30" s="28"/>
      <c r="UKO30" s="28"/>
      <c r="UKP30" s="28"/>
      <c r="UKQ30" s="28"/>
      <c r="UKR30" s="28"/>
      <c r="UKS30" s="28"/>
      <c r="UKT30" s="28"/>
      <c r="UKU30" s="28"/>
      <c r="UKV30" s="28"/>
      <c r="UKW30" s="28"/>
      <c r="UKX30" s="28"/>
      <c r="UKY30" s="28"/>
      <c r="UKZ30" s="28"/>
      <c r="ULA30" s="28"/>
      <c r="ULB30" s="28"/>
      <c r="ULC30" s="28"/>
      <c r="ULD30" s="28"/>
      <c r="ULE30" s="28"/>
      <c r="ULF30" s="28"/>
      <c r="ULG30" s="28"/>
      <c r="ULH30" s="28"/>
      <c r="ULI30" s="28"/>
      <c r="ULJ30" s="28"/>
      <c r="ULK30" s="28"/>
      <c r="ULL30" s="28"/>
      <c r="ULM30" s="28"/>
      <c r="ULN30" s="28"/>
      <c r="ULO30" s="28"/>
      <c r="ULP30" s="28"/>
      <c r="ULQ30" s="28"/>
      <c r="ULR30" s="28"/>
      <c r="ULS30" s="28"/>
      <c r="ULT30" s="28"/>
      <c r="ULU30" s="28"/>
      <c r="ULV30" s="28"/>
      <c r="ULW30" s="28"/>
      <c r="ULX30" s="28"/>
      <c r="ULY30" s="28"/>
      <c r="ULZ30" s="28"/>
      <c r="UMA30" s="28"/>
      <c r="UMB30" s="28"/>
      <c r="UMC30" s="28"/>
      <c r="UMD30" s="28"/>
      <c r="UME30" s="28"/>
      <c r="UMF30" s="28"/>
      <c r="UMG30" s="28"/>
      <c r="UMH30" s="28"/>
      <c r="UMI30" s="28"/>
      <c r="UMJ30" s="28"/>
      <c r="UMK30" s="28"/>
      <c r="UML30" s="28"/>
      <c r="UMM30" s="28"/>
      <c r="UMN30" s="28"/>
      <c r="UMO30" s="28"/>
      <c r="UMP30" s="28"/>
      <c r="UMQ30" s="28"/>
      <c r="UMR30" s="28"/>
      <c r="UMS30" s="28"/>
      <c r="UMT30" s="28"/>
      <c r="UMU30" s="28"/>
      <c r="UMV30" s="28"/>
      <c r="UMW30" s="28"/>
      <c r="UMX30" s="28"/>
      <c r="UMY30" s="28"/>
      <c r="UMZ30" s="28"/>
      <c r="UNA30" s="28"/>
      <c r="UNB30" s="28"/>
      <c r="UNC30" s="28"/>
      <c r="UND30" s="28"/>
      <c r="UNE30" s="28"/>
      <c r="UNF30" s="28"/>
      <c r="UNG30" s="28"/>
      <c r="UNH30" s="28"/>
      <c r="UNI30" s="28"/>
      <c r="UNJ30" s="28"/>
      <c r="UNK30" s="28"/>
      <c r="UNL30" s="28"/>
      <c r="UNM30" s="28"/>
      <c r="UNN30" s="28"/>
      <c r="UNO30" s="28"/>
      <c r="UNP30" s="28"/>
      <c r="UNQ30" s="28"/>
      <c r="UNR30" s="28"/>
      <c r="UNS30" s="28"/>
      <c r="UNT30" s="28"/>
      <c r="UNU30" s="28"/>
      <c r="UNV30" s="28"/>
      <c r="UNW30" s="28"/>
      <c r="UNX30" s="28"/>
      <c r="UNY30" s="28"/>
      <c r="UNZ30" s="28"/>
      <c r="UOA30" s="28"/>
      <c r="UOB30" s="28"/>
      <c r="UOC30" s="28"/>
      <c r="UOD30" s="28"/>
      <c r="UOE30" s="28"/>
      <c r="UOF30" s="28"/>
      <c r="UOG30" s="28"/>
      <c r="UOH30" s="28"/>
      <c r="UOI30" s="28"/>
      <c r="UOJ30" s="28"/>
      <c r="UOK30" s="28"/>
      <c r="UOL30" s="28"/>
      <c r="UOM30" s="28"/>
      <c r="UON30" s="28"/>
      <c r="UOO30" s="28"/>
      <c r="UOP30" s="28"/>
      <c r="UOQ30" s="28"/>
      <c r="UOR30" s="28"/>
      <c r="UOS30" s="28"/>
      <c r="UOT30" s="28"/>
      <c r="UOU30" s="28"/>
      <c r="UOV30" s="28"/>
      <c r="UOW30" s="28"/>
      <c r="UOX30" s="28"/>
      <c r="UOY30" s="28"/>
      <c r="UOZ30" s="28"/>
      <c r="UPA30" s="28"/>
      <c r="UPB30" s="28"/>
      <c r="UPC30" s="28"/>
      <c r="UPD30" s="28"/>
      <c r="UPE30" s="28"/>
      <c r="UPF30" s="28"/>
      <c r="UPG30" s="28"/>
      <c r="UPH30" s="28"/>
      <c r="UPI30" s="28"/>
      <c r="UPJ30" s="28"/>
      <c r="UPK30" s="28"/>
      <c r="UPL30" s="28"/>
      <c r="UPM30" s="28"/>
      <c r="UPN30" s="28"/>
      <c r="UPO30" s="28"/>
      <c r="UPP30" s="28"/>
      <c r="UPQ30" s="28"/>
      <c r="UPR30" s="28"/>
      <c r="UPS30" s="28"/>
      <c r="UPT30" s="28"/>
      <c r="UPU30" s="28"/>
      <c r="UPV30" s="28"/>
      <c r="UPW30" s="28"/>
      <c r="UPX30" s="28"/>
      <c r="UPY30" s="28"/>
      <c r="UPZ30" s="28"/>
      <c r="UQA30" s="28"/>
      <c r="UQB30" s="28"/>
      <c r="UQC30" s="28"/>
      <c r="UQD30" s="28"/>
      <c r="UQE30" s="28"/>
      <c r="UQF30" s="28"/>
      <c r="UQG30" s="28"/>
      <c r="UQH30" s="28"/>
      <c r="UQI30" s="28"/>
      <c r="UQJ30" s="28"/>
      <c r="UQK30" s="28"/>
      <c r="UQL30" s="28"/>
      <c r="UQM30" s="28"/>
      <c r="UQN30" s="28"/>
      <c r="UQO30" s="28"/>
      <c r="UQP30" s="28"/>
      <c r="UQQ30" s="28"/>
      <c r="UQR30" s="28"/>
      <c r="UQS30" s="28"/>
      <c r="UQT30" s="28"/>
      <c r="UQU30" s="28"/>
      <c r="UQV30" s="28"/>
      <c r="UQW30" s="28"/>
      <c r="UQX30" s="28"/>
      <c r="UQY30" s="28"/>
      <c r="UQZ30" s="28"/>
      <c r="URA30" s="28"/>
      <c r="URB30" s="28"/>
      <c r="URC30" s="28"/>
      <c r="URD30" s="28"/>
      <c r="URE30" s="28"/>
      <c r="URF30" s="28"/>
      <c r="URG30" s="28"/>
      <c r="URH30" s="28"/>
      <c r="URI30" s="28"/>
      <c r="URJ30" s="28"/>
      <c r="URK30" s="28"/>
      <c r="URL30" s="28"/>
      <c r="URM30" s="28"/>
      <c r="URN30" s="28"/>
      <c r="URO30" s="28"/>
      <c r="URP30" s="28"/>
      <c r="URQ30" s="28"/>
      <c r="URR30" s="28"/>
      <c r="URS30" s="28"/>
      <c r="URT30" s="28"/>
      <c r="URU30" s="28"/>
      <c r="URV30" s="28"/>
      <c r="URW30" s="28"/>
      <c r="URX30" s="28"/>
      <c r="URY30" s="28"/>
      <c r="URZ30" s="28"/>
      <c r="USA30" s="28"/>
      <c r="USB30" s="28"/>
      <c r="USC30" s="28"/>
      <c r="USD30" s="28"/>
      <c r="USE30" s="28"/>
      <c r="USF30" s="28"/>
      <c r="USG30" s="28"/>
      <c r="USH30" s="28"/>
      <c r="USI30" s="28"/>
      <c r="USJ30" s="28"/>
      <c r="USK30" s="28"/>
      <c r="USL30" s="28"/>
      <c r="USM30" s="28"/>
      <c r="USN30" s="28"/>
      <c r="USO30" s="28"/>
      <c r="USP30" s="28"/>
      <c r="USQ30" s="28"/>
      <c r="USR30" s="28"/>
      <c r="USS30" s="28"/>
      <c r="UST30" s="28"/>
      <c r="USU30" s="28"/>
      <c r="USV30" s="28"/>
      <c r="USW30" s="28"/>
      <c r="USX30" s="28"/>
      <c r="USY30" s="28"/>
      <c r="USZ30" s="28"/>
      <c r="UTA30" s="28"/>
      <c r="UTB30" s="28"/>
      <c r="UTC30" s="28"/>
      <c r="UTD30" s="28"/>
      <c r="UTE30" s="28"/>
      <c r="UTF30" s="28"/>
      <c r="UTG30" s="28"/>
      <c r="UTH30" s="28"/>
      <c r="UTI30" s="28"/>
      <c r="UTJ30" s="28"/>
      <c r="UTK30" s="28"/>
      <c r="UTL30" s="28"/>
      <c r="UTM30" s="28"/>
      <c r="UTN30" s="28"/>
      <c r="UTO30" s="28"/>
      <c r="UTP30" s="28"/>
      <c r="UTQ30" s="28"/>
      <c r="UTR30" s="28"/>
      <c r="UTS30" s="28"/>
      <c r="UTT30" s="28"/>
      <c r="UTU30" s="28"/>
      <c r="UTV30" s="28"/>
      <c r="UTW30" s="28"/>
      <c r="UTX30" s="28"/>
      <c r="UTY30" s="28"/>
      <c r="UTZ30" s="28"/>
      <c r="UUA30" s="28"/>
      <c r="UUB30" s="28"/>
      <c r="UUC30" s="28"/>
      <c r="UUD30" s="28"/>
      <c r="UUE30" s="28"/>
      <c r="UUF30" s="28"/>
      <c r="UUG30" s="28"/>
      <c r="UUH30" s="28"/>
      <c r="UUI30" s="28"/>
      <c r="UUJ30" s="28"/>
      <c r="UUK30" s="28"/>
      <c r="UUL30" s="28"/>
      <c r="UUM30" s="28"/>
      <c r="UUN30" s="28"/>
      <c r="UUO30" s="28"/>
      <c r="UUP30" s="28"/>
      <c r="UUQ30" s="28"/>
      <c r="UUR30" s="28"/>
      <c r="UUS30" s="28"/>
      <c r="UUT30" s="28"/>
      <c r="UUU30" s="28"/>
      <c r="UUV30" s="28"/>
      <c r="UUW30" s="28"/>
      <c r="UUX30" s="28"/>
      <c r="UUY30" s="28"/>
      <c r="UUZ30" s="28"/>
      <c r="UVA30" s="28"/>
      <c r="UVB30" s="28"/>
      <c r="UVC30" s="28"/>
      <c r="UVD30" s="28"/>
      <c r="UVE30" s="28"/>
      <c r="UVF30" s="28"/>
      <c r="UVG30" s="28"/>
      <c r="UVH30" s="28"/>
      <c r="UVI30" s="28"/>
      <c r="UVJ30" s="28"/>
      <c r="UVK30" s="28"/>
      <c r="UVL30" s="28"/>
      <c r="UVM30" s="28"/>
      <c r="UVN30" s="28"/>
      <c r="UVO30" s="28"/>
      <c r="UVP30" s="28"/>
      <c r="UVQ30" s="28"/>
      <c r="UVR30" s="28"/>
      <c r="UVS30" s="28"/>
      <c r="UVT30" s="28"/>
      <c r="UVU30" s="28"/>
      <c r="UVV30" s="28"/>
      <c r="UVW30" s="28"/>
      <c r="UVX30" s="28"/>
      <c r="UVY30" s="28"/>
      <c r="UVZ30" s="28"/>
      <c r="UWA30" s="28"/>
      <c r="UWB30" s="28"/>
      <c r="UWC30" s="28"/>
      <c r="UWD30" s="28"/>
      <c r="UWE30" s="28"/>
      <c r="UWF30" s="28"/>
      <c r="UWG30" s="28"/>
      <c r="UWH30" s="28"/>
      <c r="UWI30" s="28"/>
      <c r="UWJ30" s="28"/>
      <c r="UWK30" s="28"/>
      <c r="UWL30" s="28"/>
      <c r="UWM30" s="28"/>
      <c r="UWN30" s="28"/>
      <c r="UWO30" s="28"/>
      <c r="UWP30" s="28"/>
      <c r="UWQ30" s="28"/>
      <c r="UWR30" s="28"/>
      <c r="UWS30" s="28"/>
      <c r="UWT30" s="28"/>
      <c r="UWU30" s="28"/>
      <c r="UWV30" s="28"/>
      <c r="UWW30" s="28"/>
      <c r="UWX30" s="28"/>
      <c r="UWY30" s="28"/>
      <c r="UWZ30" s="28"/>
      <c r="UXA30" s="28"/>
      <c r="UXB30" s="28"/>
      <c r="UXC30" s="28"/>
      <c r="UXD30" s="28"/>
      <c r="UXE30" s="28"/>
      <c r="UXF30" s="28"/>
      <c r="UXG30" s="28"/>
      <c r="UXH30" s="28"/>
      <c r="UXI30" s="28"/>
      <c r="UXJ30" s="28"/>
      <c r="UXK30" s="28"/>
      <c r="UXL30" s="28"/>
      <c r="UXM30" s="28"/>
      <c r="UXN30" s="28"/>
      <c r="UXO30" s="28"/>
      <c r="UXP30" s="28"/>
      <c r="UXQ30" s="28"/>
      <c r="UXR30" s="28"/>
      <c r="UXS30" s="28"/>
      <c r="UXT30" s="28"/>
      <c r="UXU30" s="28"/>
      <c r="UXV30" s="28"/>
      <c r="UXW30" s="28"/>
      <c r="UXX30" s="28"/>
      <c r="UXY30" s="28"/>
      <c r="UXZ30" s="28"/>
      <c r="UYA30" s="28"/>
      <c r="UYB30" s="28"/>
      <c r="UYC30" s="28"/>
      <c r="UYD30" s="28"/>
      <c r="UYE30" s="28"/>
      <c r="UYF30" s="28"/>
      <c r="UYG30" s="28"/>
      <c r="UYH30" s="28"/>
      <c r="UYI30" s="28"/>
      <c r="UYJ30" s="28"/>
      <c r="UYK30" s="28"/>
      <c r="UYL30" s="28"/>
      <c r="UYM30" s="28"/>
      <c r="UYN30" s="28"/>
      <c r="UYO30" s="28"/>
      <c r="UYP30" s="28"/>
      <c r="UYQ30" s="28"/>
      <c r="UYR30" s="28"/>
      <c r="UYS30" s="28"/>
      <c r="UYT30" s="28"/>
      <c r="UYU30" s="28"/>
      <c r="UYV30" s="28"/>
      <c r="UYW30" s="28"/>
      <c r="UYX30" s="28"/>
      <c r="UYY30" s="28"/>
      <c r="UYZ30" s="28"/>
      <c r="UZA30" s="28"/>
      <c r="UZB30" s="28"/>
      <c r="UZC30" s="28"/>
      <c r="UZD30" s="28"/>
      <c r="UZE30" s="28"/>
      <c r="UZF30" s="28"/>
      <c r="UZG30" s="28"/>
      <c r="UZH30" s="28"/>
      <c r="UZI30" s="28"/>
      <c r="UZJ30" s="28"/>
      <c r="UZK30" s="28"/>
      <c r="UZL30" s="28"/>
      <c r="UZM30" s="28"/>
      <c r="UZN30" s="28"/>
      <c r="UZO30" s="28"/>
      <c r="UZP30" s="28"/>
      <c r="UZQ30" s="28"/>
      <c r="UZR30" s="28"/>
      <c r="UZS30" s="28"/>
      <c r="UZT30" s="28"/>
      <c r="UZU30" s="28"/>
      <c r="UZV30" s="28"/>
      <c r="UZW30" s="28"/>
      <c r="UZX30" s="28"/>
      <c r="UZY30" s="28"/>
      <c r="UZZ30" s="28"/>
      <c r="VAA30" s="28"/>
      <c r="VAB30" s="28"/>
      <c r="VAC30" s="28"/>
      <c r="VAD30" s="28"/>
      <c r="VAE30" s="28"/>
      <c r="VAF30" s="28"/>
      <c r="VAG30" s="28"/>
      <c r="VAH30" s="28"/>
      <c r="VAI30" s="28"/>
      <c r="VAJ30" s="28"/>
      <c r="VAK30" s="28"/>
      <c r="VAL30" s="28"/>
      <c r="VAM30" s="28"/>
      <c r="VAN30" s="28"/>
      <c r="VAO30" s="28"/>
      <c r="VAP30" s="28"/>
      <c r="VAQ30" s="28"/>
      <c r="VAR30" s="28"/>
      <c r="VAS30" s="28"/>
      <c r="VAT30" s="28"/>
      <c r="VAU30" s="28"/>
      <c r="VAV30" s="28"/>
      <c r="VAW30" s="28"/>
      <c r="VAX30" s="28"/>
      <c r="VAY30" s="28"/>
      <c r="VAZ30" s="28"/>
      <c r="VBA30" s="28"/>
      <c r="VBB30" s="28"/>
      <c r="VBC30" s="28"/>
      <c r="VBD30" s="28"/>
      <c r="VBE30" s="28"/>
      <c r="VBF30" s="28"/>
      <c r="VBG30" s="28"/>
      <c r="VBH30" s="28"/>
      <c r="VBI30" s="28"/>
      <c r="VBJ30" s="28"/>
      <c r="VBK30" s="28"/>
      <c r="VBL30" s="28"/>
      <c r="VBM30" s="28"/>
      <c r="VBN30" s="28"/>
      <c r="VBO30" s="28"/>
      <c r="VBP30" s="28"/>
      <c r="VBQ30" s="28"/>
      <c r="VBR30" s="28"/>
      <c r="VBS30" s="28"/>
      <c r="VBT30" s="28"/>
      <c r="VBU30" s="28"/>
      <c r="VBV30" s="28"/>
      <c r="VBW30" s="28"/>
      <c r="VBX30" s="28"/>
      <c r="VBY30" s="28"/>
      <c r="VBZ30" s="28"/>
      <c r="VCA30" s="28"/>
      <c r="VCB30" s="28"/>
      <c r="VCC30" s="28"/>
      <c r="VCD30" s="28"/>
      <c r="VCE30" s="28"/>
      <c r="VCF30" s="28"/>
      <c r="VCG30" s="28"/>
      <c r="VCH30" s="28"/>
      <c r="VCI30" s="28"/>
      <c r="VCJ30" s="28"/>
      <c r="VCK30" s="28"/>
      <c r="VCL30" s="28"/>
      <c r="VCM30" s="28"/>
      <c r="VCN30" s="28"/>
      <c r="VCO30" s="28"/>
      <c r="VCP30" s="28"/>
      <c r="VCQ30" s="28"/>
      <c r="VCR30" s="28"/>
      <c r="VCS30" s="28"/>
      <c r="VCT30" s="28"/>
      <c r="VCU30" s="28"/>
      <c r="VCV30" s="28"/>
      <c r="VCW30" s="28"/>
      <c r="VCX30" s="28"/>
      <c r="VCY30" s="28"/>
      <c r="VCZ30" s="28"/>
      <c r="VDA30" s="28"/>
      <c r="VDB30" s="28"/>
      <c r="VDC30" s="28"/>
      <c r="VDD30" s="28"/>
      <c r="VDE30" s="28"/>
      <c r="VDF30" s="28"/>
      <c r="VDG30" s="28"/>
      <c r="VDH30" s="28"/>
      <c r="VDI30" s="28"/>
      <c r="VDJ30" s="28"/>
      <c r="VDK30" s="28"/>
      <c r="VDL30" s="28"/>
      <c r="VDM30" s="28"/>
      <c r="VDN30" s="28"/>
      <c r="VDO30" s="28"/>
      <c r="VDP30" s="28"/>
      <c r="VDQ30" s="28"/>
      <c r="VDR30" s="28"/>
      <c r="VDS30" s="28"/>
      <c r="VDT30" s="28"/>
      <c r="VDU30" s="28"/>
      <c r="VDV30" s="28"/>
      <c r="VDW30" s="28"/>
      <c r="VDX30" s="28"/>
      <c r="VDY30" s="28"/>
      <c r="VDZ30" s="28"/>
      <c r="VEA30" s="28"/>
      <c r="VEB30" s="28"/>
      <c r="VEC30" s="28"/>
      <c r="VED30" s="28"/>
      <c r="VEE30" s="28"/>
      <c r="VEF30" s="28"/>
      <c r="VEG30" s="28"/>
      <c r="VEH30" s="28"/>
      <c r="VEI30" s="28"/>
      <c r="VEJ30" s="28"/>
      <c r="VEK30" s="28"/>
      <c r="VEL30" s="28"/>
      <c r="VEM30" s="28"/>
      <c r="VEN30" s="28"/>
      <c r="VEO30" s="28"/>
      <c r="VEP30" s="28"/>
      <c r="VEQ30" s="28"/>
      <c r="VER30" s="28"/>
      <c r="VES30" s="28"/>
      <c r="VET30" s="28"/>
      <c r="VEU30" s="28"/>
      <c r="VEV30" s="28"/>
      <c r="VEW30" s="28"/>
      <c r="VEX30" s="28"/>
      <c r="VEY30" s="28"/>
      <c r="VEZ30" s="28"/>
      <c r="VFA30" s="28"/>
      <c r="VFB30" s="28"/>
      <c r="VFC30" s="28"/>
      <c r="VFD30" s="28"/>
      <c r="VFE30" s="28"/>
      <c r="VFF30" s="28"/>
      <c r="VFG30" s="28"/>
      <c r="VFH30" s="28"/>
      <c r="VFI30" s="28"/>
      <c r="VFJ30" s="28"/>
      <c r="VFK30" s="28"/>
      <c r="VFL30" s="28"/>
      <c r="VFM30" s="28"/>
      <c r="VFN30" s="28"/>
      <c r="VFO30" s="28"/>
      <c r="VFP30" s="28"/>
      <c r="VFQ30" s="28"/>
      <c r="VFR30" s="28"/>
      <c r="VFS30" s="28"/>
      <c r="VFT30" s="28"/>
      <c r="VFU30" s="28"/>
      <c r="VFV30" s="28"/>
      <c r="VFW30" s="28"/>
      <c r="VFX30" s="28"/>
      <c r="VFY30" s="28"/>
      <c r="VFZ30" s="28"/>
      <c r="VGA30" s="28"/>
      <c r="VGB30" s="28"/>
      <c r="VGC30" s="28"/>
      <c r="VGD30" s="28"/>
      <c r="VGE30" s="28"/>
      <c r="VGF30" s="28"/>
      <c r="VGG30" s="28"/>
      <c r="VGH30" s="28"/>
      <c r="VGI30" s="28"/>
      <c r="VGJ30" s="28"/>
      <c r="VGK30" s="28"/>
      <c r="VGL30" s="28"/>
      <c r="VGM30" s="28"/>
      <c r="VGN30" s="28"/>
      <c r="VGO30" s="28"/>
      <c r="VGP30" s="28"/>
      <c r="VGQ30" s="28"/>
      <c r="VGR30" s="28"/>
      <c r="VGS30" s="28"/>
      <c r="VGT30" s="28"/>
      <c r="VGU30" s="28"/>
      <c r="VGV30" s="28"/>
      <c r="VGW30" s="28"/>
      <c r="VGX30" s="28"/>
      <c r="VGY30" s="28"/>
      <c r="VGZ30" s="28"/>
      <c r="VHA30" s="28"/>
      <c r="VHB30" s="28"/>
      <c r="VHC30" s="28"/>
      <c r="VHD30" s="28"/>
      <c r="VHE30" s="28"/>
      <c r="VHF30" s="28"/>
      <c r="VHG30" s="28"/>
      <c r="VHH30" s="28"/>
      <c r="VHI30" s="28"/>
      <c r="VHJ30" s="28"/>
      <c r="VHK30" s="28"/>
      <c r="VHL30" s="28"/>
      <c r="VHM30" s="28"/>
      <c r="VHN30" s="28"/>
      <c r="VHO30" s="28"/>
      <c r="VHP30" s="28"/>
      <c r="VHQ30" s="28"/>
      <c r="VHR30" s="28"/>
      <c r="VHS30" s="28"/>
      <c r="VHT30" s="28"/>
      <c r="VHU30" s="28"/>
      <c r="VHV30" s="28"/>
      <c r="VHW30" s="28"/>
      <c r="VHX30" s="28"/>
      <c r="VHY30" s="28"/>
      <c r="VHZ30" s="28"/>
      <c r="VIA30" s="28"/>
      <c r="VIB30" s="28"/>
      <c r="VIC30" s="28"/>
      <c r="VID30" s="28"/>
      <c r="VIE30" s="28"/>
      <c r="VIF30" s="28"/>
      <c r="VIG30" s="28"/>
      <c r="VIH30" s="28"/>
      <c r="VII30" s="28"/>
      <c r="VIJ30" s="28"/>
      <c r="VIK30" s="28"/>
      <c r="VIL30" s="28"/>
      <c r="VIM30" s="28"/>
      <c r="VIN30" s="28"/>
      <c r="VIO30" s="28"/>
      <c r="VIP30" s="28"/>
      <c r="VIQ30" s="28"/>
      <c r="VIR30" s="28"/>
      <c r="VIS30" s="28"/>
      <c r="VIT30" s="28"/>
      <c r="VIU30" s="28"/>
      <c r="VIV30" s="28"/>
      <c r="VIW30" s="28"/>
      <c r="VIX30" s="28"/>
      <c r="VIY30" s="28"/>
      <c r="VIZ30" s="28"/>
      <c r="VJA30" s="28"/>
      <c r="VJB30" s="28"/>
      <c r="VJC30" s="28"/>
      <c r="VJD30" s="28"/>
      <c r="VJE30" s="28"/>
      <c r="VJF30" s="28"/>
      <c r="VJG30" s="28"/>
      <c r="VJH30" s="28"/>
      <c r="VJI30" s="28"/>
      <c r="VJJ30" s="28"/>
      <c r="VJK30" s="28"/>
      <c r="VJL30" s="28"/>
      <c r="VJM30" s="28"/>
      <c r="VJN30" s="28"/>
      <c r="VJO30" s="28"/>
      <c r="VJP30" s="28"/>
      <c r="VJQ30" s="28"/>
      <c r="VJR30" s="28"/>
      <c r="VJS30" s="28"/>
      <c r="VJT30" s="28"/>
      <c r="VJU30" s="28"/>
      <c r="VJV30" s="28"/>
      <c r="VJW30" s="28"/>
      <c r="VJX30" s="28"/>
      <c r="VJY30" s="28"/>
      <c r="VJZ30" s="28"/>
      <c r="VKA30" s="28"/>
      <c r="VKB30" s="28"/>
      <c r="VKC30" s="28"/>
      <c r="VKD30" s="28"/>
      <c r="VKE30" s="28"/>
      <c r="VKF30" s="28"/>
      <c r="VKG30" s="28"/>
      <c r="VKH30" s="28"/>
      <c r="VKI30" s="28"/>
      <c r="VKJ30" s="28"/>
      <c r="VKK30" s="28"/>
      <c r="VKL30" s="28"/>
      <c r="VKM30" s="28"/>
      <c r="VKN30" s="28"/>
      <c r="VKO30" s="28"/>
      <c r="VKP30" s="28"/>
      <c r="VKQ30" s="28"/>
      <c r="VKR30" s="28"/>
      <c r="VKS30" s="28"/>
      <c r="VKT30" s="28"/>
      <c r="VKU30" s="28"/>
      <c r="VKV30" s="28"/>
      <c r="VKW30" s="28"/>
      <c r="VKX30" s="28"/>
      <c r="VKY30" s="28"/>
      <c r="VKZ30" s="28"/>
      <c r="VLA30" s="28"/>
      <c r="VLB30" s="28"/>
      <c r="VLC30" s="28"/>
      <c r="VLD30" s="28"/>
      <c r="VLE30" s="28"/>
      <c r="VLF30" s="28"/>
      <c r="VLG30" s="28"/>
      <c r="VLH30" s="28"/>
      <c r="VLI30" s="28"/>
      <c r="VLJ30" s="28"/>
      <c r="VLK30" s="28"/>
      <c r="VLL30" s="28"/>
      <c r="VLM30" s="28"/>
      <c r="VLN30" s="28"/>
      <c r="VLO30" s="28"/>
      <c r="VLP30" s="28"/>
      <c r="VLQ30" s="28"/>
      <c r="VLR30" s="28"/>
      <c r="VLS30" s="28"/>
      <c r="VLT30" s="28"/>
      <c r="VLU30" s="28"/>
      <c r="VLV30" s="28"/>
      <c r="VLW30" s="28"/>
      <c r="VLX30" s="28"/>
      <c r="VLY30" s="28"/>
      <c r="VLZ30" s="28"/>
      <c r="VMA30" s="28"/>
      <c r="VMB30" s="28"/>
      <c r="VMC30" s="28"/>
      <c r="VMD30" s="28"/>
      <c r="VME30" s="28"/>
      <c r="VMF30" s="28"/>
      <c r="VMG30" s="28"/>
      <c r="VMH30" s="28"/>
      <c r="VMI30" s="28"/>
      <c r="VMJ30" s="28"/>
      <c r="VMK30" s="28"/>
      <c r="VML30" s="28"/>
      <c r="VMM30" s="28"/>
      <c r="VMN30" s="28"/>
      <c r="VMO30" s="28"/>
      <c r="VMP30" s="28"/>
      <c r="VMQ30" s="28"/>
      <c r="VMR30" s="28"/>
      <c r="VMS30" s="28"/>
      <c r="VMT30" s="28"/>
      <c r="VMU30" s="28"/>
      <c r="VMV30" s="28"/>
      <c r="VMW30" s="28"/>
      <c r="VMX30" s="28"/>
      <c r="VMY30" s="28"/>
      <c r="VMZ30" s="28"/>
      <c r="VNA30" s="28"/>
      <c r="VNB30" s="28"/>
      <c r="VNC30" s="28"/>
      <c r="VND30" s="28"/>
      <c r="VNE30" s="28"/>
      <c r="VNF30" s="28"/>
      <c r="VNG30" s="28"/>
      <c r="VNH30" s="28"/>
      <c r="VNI30" s="28"/>
      <c r="VNJ30" s="28"/>
      <c r="VNK30" s="28"/>
      <c r="VNL30" s="28"/>
      <c r="VNM30" s="28"/>
      <c r="VNN30" s="28"/>
      <c r="VNO30" s="28"/>
      <c r="VNP30" s="28"/>
      <c r="VNQ30" s="28"/>
      <c r="VNR30" s="28"/>
      <c r="VNS30" s="28"/>
      <c r="VNT30" s="28"/>
      <c r="VNU30" s="28"/>
      <c r="VNV30" s="28"/>
      <c r="VNW30" s="28"/>
      <c r="VNX30" s="28"/>
      <c r="VNY30" s="28"/>
      <c r="VNZ30" s="28"/>
      <c r="VOA30" s="28"/>
      <c r="VOB30" s="28"/>
      <c r="VOC30" s="28"/>
      <c r="VOD30" s="28"/>
      <c r="VOE30" s="28"/>
      <c r="VOF30" s="28"/>
      <c r="VOG30" s="28"/>
      <c r="VOH30" s="28"/>
      <c r="VOI30" s="28"/>
      <c r="VOJ30" s="28"/>
      <c r="VOK30" s="28"/>
      <c r="VOL30" s="28"/>
      <c r="VOM30" s="28"/>
      <c r="VON30" s="28"/>
      <c r="VOO30" s="28"/>
      <c r="VOP30" s="28"/>
      <c r="VOQ30" s="28"/>
      <c r="VOR30" s="28"/>
      <c r="VOS30" s="28"/>
      <c r="VOT30" s="28"/>
      <c r="VOU30" s="28"/>
      <c r="VOV30" s="28"/>
      <c r="VOW30" s="28"/>
      <c r="VOX30" s="28"/>
      <c r="VOY30" s="28"/>
      <c r="VOZ30" s="28"/>
      <c r="VPA30" s="28"/>
      <c r="VPB30" s="28"/>
      <c r="VPC30" s="28"/>
      <c r="VPD30" s="28"/>
      <c r="VPE30" s="28"/>
      <c r="VPF30" s="28"/>
      <c r="VPG30" s="28"/>
      <c r="VPH30" s="28"/>
      <c r="VPI30" s="28"/>
      <c r="VPJ30" s="28"/>
      <c r="VPK30" s="28"/>
      <c r="VPL30" s="28"/>
      <c r="VPM30" s="28"/>
      <c r="VPN30" s="28"/>
      <c r="VPO30" s="28"/>
      <c r="VPP30" s="28"/>
      <c r="VPQ30" s="28"/>
      <c r="VPR30" s="28"/>
      <c r="VPS30" s="28"/>
      <c r="VPT30" s="28"/>
      <c r="VPU30" s="28"/>
      <c r="VPV30" s="28"/>
      <c r="VPW30" s="28"/>
      <c r="VPX30" s="28"/>
      <c r="VPY30" s="28"/>
      <c r="VPZ30" s="28"/>
      <c r="VQA30" s="28"/>
      <c r="VQB30" s="28"/>
      <c r="VQC30" s="28"/>
      <c r="VQD30" s="28"/>
      <c r="VQE30" s="28"/>
      <c r="VQF30" s="28"/>
      <c r="VQG30" s="28"/>
      <c r="VQH30" s="28"/>
      <c r="VQI30" s="28"/>
      <c r="VQJ30" s="28"/>
      <c r="VQK30" s="28"/>
      <c r="VQL30" s="28"/>
      <c r="VQM30" s="28"/>
      <c r="VQN30" s="28"/>
      <c r="VQO30" s="28"/>
      <c r="VQP30" s="28"/>
      <c r="VQQ30" s="28"/>
      <c r="VQR30" s="28"/>
      <c r="VQS30" s="28"/>
      <c r="VQT30" s="28"/>
      <c r="VQU30" s="28"/>
      <c r="VQV30" s="28"/>
      <c r="VQW30" s="28"/>
      <c r="VQX30" s="28"/>
      <c r="VQY30" s="28"/>
      <c r="VQZ30" s="28"/>
      <c r="VRA30" s="28"/>
      <c r="VRB30" s="28"/>
      <c r="VRC30" s="28"/>
      <c r="VRD30" s="28"/>
      <c r="VRE30" s="28"/>
      <c r="VRF30" s="28"/>
      <c r="VRG30" s="28"/>
      <c r="VRH30" s="28"/>
      <c r="VRI30" s="28"/>
      <c r="VRJ30" s="28"/>
      <c r="VRK30" s="28"/>
      <c r="VRL30" s="28"/>
      <c r="VRM30" s="28"/>
      <c r="VRN30" s="28"/>
      <c r="VRO30" s="28"/>
      <c r="VRP30" s="28"/>
      <c r="VRQ30" s="28"/>
      <c r="VRR30" s="28"/>
      <c r="VRS30" s="28"/>
      <c r="VRT30" s="28"/>
      <c r="VRU30" s="28"/>
      <c r="VRV30" s="28"/>
      <c r="VRW30" s="28"/>
      <c r="VRX30" s="28"/>
      <c r="VRY30" s="28"/>
      <c r="VRZ30" s="28"/>
      <c r="VSA30" s="28"/>
      <c r="VSB30" s="28"/>
      <c r="VSC30" s="28"/>
      <c r="VSD30" s="28"/>
      <c r="VSE30" s="28"/>
      <c r="VSF30" s="28"/>
      <c r="VSG30" s="28"/>
      <c r="VSH30" s="28"/>
      <c r="VSI30" s="28"/>
      <c r="VSJ30" s="28"/>
      <c r="VSK30" s="28"/>
      <c r="VSL30" s="28"/>
      <c r="VSM30" s="28"/>
      <c r="VSN30" s="28"/>
      <c r="VSO30" s="28"/>
      <c r="VSP30" s="28"/>
      <c r="VSQ30" s="28"/>
      <c r="VSR30" s="28"/>
      <c r="VSS30" s="28"/>
      <c r="VST30" s="28"/>
      <c r="VSU30" s="28"/>
      <c r="VSV30" s="28"/>
      <c r="VSW30" s="28"/>
      <c r="VSX30" s="28"/>
      <c r="VSY30" s="28"/>
      <c r="VSZ30" s="28"/>
      <c r="VTA30" s="28"/>
      <c r="VTB30" s="28"/>
      <c r="VTC30" s="28"/>
      <c r="VTD30" s="28"/>
      <c r="VTE30" s="28"/>
      <c r="VTF30" s="28"/>
      <c r="VTG30" s="28"/>
      <c r="VTH30" s="28"/>
      <c r="VTI30" s="28"/>
      <c r="VTJ30" s="28"/>
      <c r="VTK30" s="28"/>
      <c r="VTL30" s="28"/>
      <c r="VTM30" s="28"/>
      <c r="VTN30" s="28"/>
      <c r="VTO30" s="28"/>
      <c r="VTP30" s="28"/>
      <c r="VTQ30" s="28"/>
      <c r="VTR30" s="28"/>
      <c r="VTS30" s="28"/>
      <c r="VTT30" s="28"/>
      <c r="VTU30" s="28"/>
      <c r="VTV30" s="28"/>
      <c r="VTW30" s="28"/>
      <c r="VTX30" s="28"/>
      <c r="VTY30" s="28"/>
      <c r="VTZ30" s="28"/>
      <c r="VUA30" s="28"/>
      <c r="VUB30" s="28"/>
      <c r="VUC30" s="28"/>
      <c r="VUD30" s="28"/>
      <c r="VUE30" s="28"/>
      <c r="VUF30" s="28"/>
      <c r="VUG30" s="28"/>
      <c r="VUH30" s="28"/>
      <c r="VUI30" s="28"/>
      <c r="VUJ30" s="28"/>
      <c r="VUK30" s="28"/>
      <c r="VUL30" s="28"/>
      <c r="VUM30" s="28"/>
      <c r="VUN30" s="28"/>
      <c r="VUO30" s="28"/>
      <c r="VUP30" s="28"/>
      <c r="VUQ30" s="28"/>
      <c r="VUR30" s="28"/>
      <c r="VUS30" s="28"/>
      <c r="VUT30" s="28"/>
      <c r="VUU30" s="28"/>
      <c r="VUV30" s="28"/>
      <c r="VUW30" s="28"/>
      <c r="VUX30" s="28"/>
      <c r="VUY30" s="28"/>
      <c r="VUZ30" s="28"/>
      <c r="VVA30" s="28"/>
      <c r="VVB30" s="28"/>
      <c r="VVC30" s="28"/>
      <c r="VVD30" s="28"/>
      <c r="VVE30" s="28"/>
      <c r="VVF30" s="28"/>
      <c r="VVG30" s="28"/>
      <c r="VVH30" s="28"/>
      <c r="VVI30" s="28"/>
      <c r="VVJ30" s="28"/>
      <c r="VVK30" s="28"/>
      <c r="VVL30" s="28"/>
      <c r="VVM30" s="28"/>
      <c r="VVN30" s="28"/>
      <c r="VVO30" s="28"/>
      <c r="VVP30" s="28"/>
      <c r="VVQ30" s="28"/>
      <c r="VVR30" s="28"/>
      <c r="VVS30" s="28"/>
      <c r="VVT30" s="28"/>
      <c r="VVU30" s="28"/>
      <c r="VVV30" s="28"/>
      <c r="VVW30" s="28"/>
      <c r="VVX30" s="28"/>
      <c r="VVY30" s="28"/>
      <c r="VVZ30" s="28"/>
      <c r="VWA30" s="28"/>
      <c r="VWB30" s="28"/>
      <c r="VWC30" s="28"/>
      <c r="VWD30" s="28"/>
      <c r="VWE30" s="28"/>
      <c r="VWF30" s="28"/>
      <c r="VWG30" s="28"/>
      <c r="VWH30" s="28"/>
      <c r="VWI30" s="28"/>
      <c r="VWJ30" s="28"/>
      <c r="VWK30" s="28"/>
      <c r="VWL30" s="28"/>
      <c r="VWM30" s="28"/>
      <c r="VWN30" s="28"/>
      <c r="VWO30" s="28"/>
      <c r="VWP30" s="28"/>
      <c r="VWQ30" s="28"/>
      <c r="VWR30" s="28"/>
      <c r="VWS30" s="28"/>
      <c r="VWT30" s="28"/>
      <c r="VWU30" s="28"/>
      <c r="VWV30" s="28"/>
      <c r="VWW30" s="28"/>
      <c r="VWX30" s="28"/>
      <c r="VWY30" s="28"/>
      <c r="VWZ30" s="28"/>
      <c r="VXA30" s="28"/>
      <c r="VXB30" s="28"/>
      <c r="VXC30" s="28"/>
      <c r="VXD30" s="28"/>
      <c r="VXE30" s="28"/>
      <c r="VXF30" s="28"/>
      <c r="VXG30" s="28"/>
      <c r="VXH30" s="28"/>
      <c r="VXI30" s="28"/>
      <c r="VXJ30" s="28"/>
      <c r="VXK30" s="28"/>
      <c r="VXL30" s="28"/>
      <c r="VXM30" s="28"/>
      <c r="VXN30" s="28"/>
      <c r="VXO30" s="28"/>
      <c r="VXP30" s="28"/>
      <c r="VXQ30" s="28"/>
      <c r="VXR30" s="28"/>
      <c r="VXS30" s="28"/>
      <c r="VXT30" s="28"/>
      <c r="VXU30" s="28"/>
      <c r="VXV30" s="28"/>
      <c r="VXW30" s="28"/>
      <c r="VXX30" s="28"/>
      <c r="VXY30" s="28"/>
      <c r="VXZ30" s="28"/>
      <c r="VYA30" s="28"/>
      <c r="VYB30" s="28"/>
      <c r="VYC30" s="28"/>
      <c r="VYD30" s="28"/>
      <c r="VYE30" s="28"/>
      <c r="VYF30" s="28"/>
      <c r="VYG30" s="28"/>
      <c r="VYH30" s="28"/>
      <c r="VYI30" s="28"/>
      <c r="VYJ30" s="28"/>
      <c r="VYK30" s="28"/>
      <c r="VYL30" s="28"/>
      <c r="VYM30" s="28"/>
      <c r="VYN30" s="28"/>
      <c r="VYO30" s="28"/>
      <c r="VYP30" s="28"/>
      <c r="VYQ30" s="28"/>
      <c r="VYR30" s="28"/>
      <c r="VYS30" s="28"/>
      <c r="VYT30" s="28"/>
      <c r="VYU30" s="28"/>
      <c r="VYV30" s="28"/>
      <c r="VYW30" s="28"/>
      <c r="VYX30" s="28"/>
      <c r="VYY30" s="28"/>
      <c r="VYZ30" s="28"/>
      <c r="VZA30" s="28"/>
      <c r="VZB30" s="28"/>
      <c r="VZC30" s="28"/>
      <c r="VZD30" s="28"/>
      <c r="VZE30" s="28"/>
      <c r="VZF30" s="28"/>
      <c r="VZG30" s="28"/>
      <c r="VZH30" s="28"/>
      <c r="VZI30" s="28"/>
      <c r="VZJ30" s="28"/>
      <c r="VZK30" s="28"/>
      <c r="VZL30" s="28"/>
      <c r="VZM30" s="28"/>
      <c r="VZN30" s="28"/>
      <c r="VZO30" s="28"/>
      <c r="VZP30" s="28"/>
      <c r="VZQ30" s="28"/>
      <c r="VZR30" s="28"/>
      <c r="VZS30" s="28"/>
      <c r="VZT30" s="28"/>
      <c r="VZU30" s="28"/>
      <c r="VZV30" s="28"/>
      <c r="VZW30" s="28"/>
      <c r="VZX30" s="28"/>
      <c r="VZY30" s="28"/>
      <c r="VZZ30" s="28"/>
      <c r="WAA30" s="28"/>
      <c r="WAB30" s="28"/>
      <c r="WAC30" s="28"/>
      <c r="WAD30" s="28"/>
      <c r="WAE30" s="28"/>
      <c r="WAF30" s="28"/>
      <c r="WAG30" s="28"/>
      <c r="WAH30" s="28"/>
      <c r="WAI30" s="28"/>
      <c r="WAJ30" s="28"/>
      <c r="WAK30" s="28"/>
      <c r="WAL30" s="28"/>
      <c r="WAM30" s="28"/>
      <c r="WAN30" s="28"/>
      <c r="WAO30" s="28"/>
      <c r="WAP30" s="28"/>
      <c r="WAQ30" s="28"/>
      <c r="WAR30" s="28"/>
      <c r="WAS30" s="28"/>
      <c r="WAT30" s="28"/>
      <c r="WAU30" s="28"/>
      <c r="WAV30" s="28"/>
      <c r="WAW30" s="28"/>
      <c r="WAX30" s="28"/>
      <c r="WAY30" s="28"/>
      <c r="WAZ30" s="28"/>
      <c r="WBA30" s="28"/>
      <c r="WBB30" s="28"/>
      <c r="WBC30" s="28"/>
      <c r="WBD30" s="28"/>
      <c r="WBE30" s="28"/>
      <c r="WBF30" s="28"/>
      <c r="WBG30" s="28"/>
      <c r="WBH30" s="28"/>
      <c r="WBI30" s="28"/>
      <c r="WBJ30" s="28"/>
      <c r="WBK30" s="28"/>
      <c r="WBL30" s="28"/>
      <c r="WBM30" s="28"/>
      <c r="WBN30" s="28"/>
      <c r="WBO30" s="28"/>
      <c r="WBP30" s="28"/>
      <c r="WBQ30" s="28"/>
      <c r="WBR30" s="28"/>
      <c r="WBS30" s="28"/>
      <c r="WBT30" s="28"/>
      <c r="WBU30" s="28"/>
      <c r="WBV30" s="28"/>
      <c r="WBW30" s="28"/>
      <c r="WBX30" s="28"/>
      <c r="WBY30" s="28"/>
      <c r="WBZ30" s="28"/>
      <c r="WCA30" s="28"/>
      <c r="WCB30" s="28"/>
      <c r="WCC30" s="28"/>
      <c r="WCD30" s="28"/>
      <c r="WCE30" s="28"/>
      <c r="WCF30" s="28"/>
      <c r="WCG30" s="28"/>
      <c r="WCH30" s="28"/>
      <c r="WCI30" s="28"/>
      <c r="WCJ30" s="28"/>
      <c r="WCK30" s="28"/>
      <c r="WCL30" s="28"/>
      <c r="WCM30" s="28"/>
      <c r="WCN30" s="28"/>
      <c r="WCO30" s="28"/>
      <c r="WCP30" s="28"/>
      <c r="WCQ30" s="28"/>
      <c r="WCR30" s="28"/>
      <c r="WCS30" s="28"/>
      <c r="WCT30" s="28"/>
      <c r="WCU30" s="28"/>
      <c r="WCV30" s="28"/>
      <c r="WCW30" s="28"/>
      <c r="WCX30" s="28"/>
      <c r="WCY30" s="28"/>
      <c r="WCZ30" s="28"/>
      <c r="WDA30" s="28"/>
      <c r="WDB30" s="28"/>
      <c r="WDC30" s="28"/>
      <c r="WDD30" s="28"/>
      <c r="WDE30" s="28"/>
      <c r="WDF30" s="28"/>
      <c r="WDG30" s="28"/>
      <c r="WDH30" s="28"/>
      <c r="WDI30" s="28"/>
      <c r="WDJ30" s="28"/>
      <c r="WDK30" s="28"/>
      <c r="WDL30" s="28"/>
      <c r="WDM30" s="28"/>
      <c r="WDN30" s="28"/>
      <c r="WDO30" s="28"/>
      <c r="WDP30" s="28"/>
      <c r="WDQ30" s="28"/>
      <c r="WDR30" s="28"/>
      <c r="WDS30" s="28"/>
      <c r="WDT30" s="28"/>
      <c r="WDU30" s="28"/>
      <c r="WDV30" s="28"/>
      <c r="WDW30" s="28"/>
      <c r="WDX30" s="28"/>
      <c r="WDY30" s="28"/>
      <c r="WDZ30" s="28"/>
      <c r="WEA30" s="28"/>
      <c r="WEB30" s="28"/>
      <c r="WEC30" s="28"/>
      <c r="WED30" s="28"/>
      <c r="WEE30" s="28"/>
      <c r="WEF30" s="28"/>
      <c r="WEG30" s="28"/>
      <c r="WEH30" s="28"/>
      <c r="WEI30" s="28"/>
      <c r="WEJ30" s="28"/>
      <c r="WEK30" s="28"/>
      <c r="WEL30" s="28"/>
      <c r="WEM30" s="28"/>
      <c r="WEN30" s="28"/>
      <c r="WEO30" s="28"/>
      <c r="WEP30" s="28"/>
      <c r="WEQ30" s="28"/>
      <c r="WER30" s="28"/>
      <c r="WES30" s="28"/>
      <c r="WET30" s="28"/>
      <c r="WEU30" s="28"/>
      <c r="WEV30" s="28"/>
      <c r="WEW30" s="28"/>
      <c r="WEX30" s="28"/>
      <c r="WEY30" s="28"/>
      <c r="WEZ30" s="28"/>
      <c r="WFA30" s="28"/>
      <c r="WFB30" s="28"/>
      <c r="WFC30" s="28"/>
      <c r="WFD30" s="28"/>
      <c r="WFE30" s="28"/>
      <c r="WFF30" s="28"/>
      <c r="WFG30" s="28"/>
      <c r="WFH30" s="28"/>
      <c r="WFI30" s="28"/>
      <c r="WFJ30" s="28"/>
      <c r="WFK30" s="28"/>
      <c r="WFL30" s="28"/>
      <c r="WFM30" s="28"/>
      <c r="WFN30" s="28"/>
      <c r="WFO30" s="28"/>
      <c r="WFP30" s="28"/>
      <c r="WFQ30" s="28"/>
      <c r="WFR30" s="28"/>
      <c r="WFS30" s="28"/>
      <c r="WFT30" s="28"/>
      <c r="WFU30" s="28"/>
      <c r="WFV30" s="28"/>
      <c r="WFW30" s="28"/>
      <c r="WFX30" s="28"/>
      <c r="WFY30" s="28"/>
      <c r="WFZ30" s="28"/>
      <c r="WGA30" s="28"/>
      <c r="WGB30" s="28"/>
      <c r="WGC30" s="28"/>
      <c r="WGD30" s="28"/>
      <c r="WGE30" s="28"/>
      <c r="WGF30" s="28"/>
      <c r="WGG30" s="28"/>
      <c r="WGH30" s="28"/>
      <c r="WGI30" s="28"/>
      <c r="WGJ30" s="28"/>
      <c r="WGK30" s="28"/>
      <c r="WGL30" s="28"/>
      <c r="WGM30" s="28"/>
      <c r="WGN30" s="28"/>
      <c r="WGO30" s="28"/>
      <c r="WGP30" s="28"/>
      <c r="WGQ30" s="28"/>
      <c r="WGR30" s="28"/>
      <c r="WGS30" s="28"/>
      <c r="WGT30" s="28"/>
      <c r="WGU30" s="28"/>
      <c r="WGV30" s="28"/>
      <c r="WGW30" s="28"/>
      <c r="WGX30" s="28"/>
      <c r="WGY30" s="28"/>
      <c r="WGZ30" s="28"/>
      <c r="WHA30" s="28"/>
      <c r="WHB30" s="28"/>
      <c r="WHC30" s="28"/>
      <c r="WHD30" s="28"/>
      <c r="WHE30" s="28"/>
      <c r="WHF30" s="28"/>
      <c r="WHG30" s="28"/>
      <c r="WHH30" s="28"/>
      <c r="WHI30" s="28"/>
      <c r="WHJ30" s="28"/>
      <c r="WHK30" s="28"/>
      <c r="WHL30" s="28"/>
      <c r="WHM30" s="28"/>
      <c r="WHN30" s="28"/>
      <c r="WHO30" s="28"/>
      <c r="WHP30" s="28"/>
      <c r="WHQ30" s="28"/>
      <c r="WHR30" s="28"/>
      <c r="WHS30" s="28"/>
      <c r="WHT30" s="28"/>
      <c r="WHU30" s="28"/>
      <c r="WHV30" s="28"/>
      <c r="WHW30" s="28"/>
      <c r="WHX30" s="28"/>
      <c r="WHY30" s="28"/>
      <c r="WHZ30" s="28"/>
      <c r="WIA30" s="28"/>
      <c r="WIB30" s="28"/>
      <c r="WIC30" s="28"/>
      <c r="WID30" s="28"/>
      <c r="WIE30" s="28"/>
      <c r="WIF30" s="28"/>
      <c r="WIG30" s="28"/>
      <c r="WIH30" s="28"/>
      <c r="WII30" s="28"/>
      <c r="WIJ30" s="28"/>
      <c r="WIK30" s="28"/>
      <c r="WIL30" s="28"/>
      <c r="WIM30" s="28"/>
      <c r="WIN30" s="28"/>
      <c r="WIO30" s="28"/>
      <c r="WIP30" s="28"/>
      <c r="WIQ30" s="28"/>
      <c r="WIR30" s="28"/>
      <c r="WIS30" s="28"/>
      <c r="WIT30" s="28"/>
      <c r="WIU30" s="28"/>
      <c r="WIV30" s="28"/>
      <c r="WIW30" s="28"/>
      <c r="WIX30" s="28"/>
      <c r="WIY30" s="28"/>
      <c r="WIZ30" s="28"/>
      <c r="WJA30" s="28"/>
      <c r="WJB30" s="28"/>
      <c r="WJC30" s="28"/>
      <c r="WJD30" s="28"/>
      <c r="WJE30" s="28"/>
      <c r="WJF30" s="28"/>
      <c r="WJG30" s="28"/>
      <c r="WJH30" s="28"/>
      <c r="WJI30" s="28"/>
      <c r="WJJ30" s="28"/>
      <c r="WJK30" s="28"/>
      <c r="WJL30" s="28"/>
      <c r="WJM30" s="28"/>
      <c r="WJN30" s="28"/>
      <c r="WJO30" s="28"/>
      <c r="WJP30" s="28"/>
      <c r="WJQ30" s="28"/>
      <c r="WJR30" s="28"/>
      <c r="WJS30" s="28"/>
      <c r="WJT30" s="28"/>
      <c r="WJU30" s="28"/>
      <c r="WJV30" s="28"/>
      <c r="WJW30" s="28"/>
      <c r="WJX30" s="28"/>
      <c r="WJY30" s="28"/>
      <c r="WJZ30" s="28"/>
      <c r="WKA30" s="28"/>
      <c r="WKB30" s="28"/>
      <c r="WKC30" s="28"/>
      <c r="WKD30" s="28"/>
      <c r="WKE30" s="28"/>
      <c r="WKF30" s="28"/>
      <c r="WKG30" s="28"/>
      <c r="WKH30" s="28"/>
      <c r="WKI30" s="28"/>
      <c r="WKJ30" s="28"/>
      <c r="WKK30" s="28"/>
      <c r="WKL30" s="28"/>
      <c r="WKM30" s="28"/>
      <c r="WKN30" s="28"/>
      <c r="WKO30" s="28"/>
      <c r="WKP30" s="28"/>
      <c r="WKQ30" s="28"/>
      <c r="WKR30" s="28"/>
      <c r="WKS30" s="28"/>
      <c r="WKT30" s="28"/>
      <c r="WKU30" s="28"/>
      <c r="WKV30" s="28"/>
      <c r="WKW30" s="28"/>
      <c r="WKX30" s="28"/>
      <c r="WKY30" s="28"/>
      <c r="WKZ30" s="28"/>
      <c r="WLA30" s="28"/>
      <c r="WLB30" s="28"/>
      <c r="WLC30" s="28"/>
      <c r="WLD30" s="28"/>
      <c r="WLE30" s="28"/>
      <c r="WLF30" s="28"/>
      <c r="WLG30" s="28"/>
      <c r="WLH30" s="28"/>
      <c r="WLI30" s="28"/>
      <c r="WLJ30" s="28"/>
      <c r="WLK30" s="28"/>
      <c r="WLL30" s="28"/>
      <c r="WLM30" s="28"/>
      <c r="WLN30" s="28"/>
      <c r="WLO30" s="28"/>
      <c r="WLP30" s="28"/>
      <c r="WLQ30" s="28"/>
      <c r="WLR30" s="28"/>
      <c r="WLS30" s="28"/>
      <c r="WLT30" s="28"/>
      <c r="WLU30" s="28"/>
      <c r="WLV30" s="28"/>
      <c r="WLW30" s="28"/>
      <c r="WLX30" s="28"/>
      <c r="WLY30" s="28"/>
      <c r="WLZ30" s="28"/>
      <c r="WMA30" s="28"/>
      <c r="WMB30" s="28"/>
      <c r="WMC30" s="28"/>
      <c r="WMD30" s="28"/>
      <c r="WME30" s="28"/>
      <c r="WMF30" s="28"/>
      <c r="WMG30" s="28"/>
      <c r="WMH30" s="28"/>
      <c r="WMI30" s="28"/>
      <c r="WMJ30" s="28"/>
      <c r="WMK30" s="28"/>
      <c r="WML30" s="28"/>
      <c r="WMM30" s="28"/>
      <c r="WMN30" s="28"/>
      <c r="WMO30" s="28"/>
      <c r="WMP30" s="28"/>
      <c r="WMQ30" s="28"/>
      <c r="WMR30" s="28"/>
      <c r="WMS30" s="28"/>
      <c r="WMT30" s="28"/>
      <c r="WMU30" s="28"/>
      <c r="WMV30" s="28"/>
      <c r="WMW30" s="28"/>
      <c r="WMX30" s="28"/>
      <c r="WMY30" s="28"/>
      <c r="WMZ30" s="28"/>
      <c r="WNA30" s="28"/>
      <c r="WNB30" s="28"/>
      <c r="WNC30" s="28"/>
      <c r="WND30" s="28"/>
      <c r="WNE30" s="28"/>
      <c r="WNF30" s="28"/>
      <c r="WNG30" s="28"/>
      <c r="WNH30" s="28"/>
      <c r="WNI30" s="28"/>
      <c r="WNJ30" s="28"/>
      <c r="WNK30" s="28"/>
      <c r="WNL30" s="28"/>
      <c r="WNM30" s="28"/>
      <c r="WNN30" s="28"/>
      <c r="WNO30" s="28"/>
      <c r="WNP30" s="28"/>
      <c r="WNQ30" s="28"/>
      <c r="WNR30" s="28"/>
      <c r="WNS30" s="28"/>
      <c r="WNT30" s="28"/>
      <c r="WNU30" s="28"/>
      <c r="WNV30" s="28"/>
      <c r="WNW30" s="28"/>
      <c r="WNX30" s="28"/>
      <c r="WNY30" s="28"/>
      <c r="WNZ30" s="28"/>
      <c r="WOA30" s="28"/>
      <c r="WOB30" s="28"/>
      <c r="WOC30" s="28"/>
      <c r="WOD30" s="28"/>
      <c r="WOE30" s="28"/>
      <c r="WOF30" s="28"/>
      <c r="WOG30" s="28"/>
      <c r="WOH30" s="28"/>
      <c r="WOI30" s="28"/>
      <c r="WOJ30" s="28"/>
      <c r="WOK30" s="28"/>
      <c r="WOL30" s="28"/>
      <c r="WOM30" s="28"/>
      <c r="WON30" s="28"/>
      <c r="WOO30" s="28"/>
      <c r="WOP30" s="28"/>
      <c r="WOQ30" s="28"/>
      <c r="WOR30" s="28"/>
      <c r="WOS30" s="28"/>
      <c r="WOT30" s="28"/>
      <c r="WOU30" s="28"/>
      <c r="WOV30" s="28"/>
      <c r="WOW30" s="28"/>
      <c r="WOX30" s="28"/>
      <c r="WOY30" s="28"/>
      <c r="WOZ30" s="28"/>
      <c r="WPA30" s="28"/>
      <c r="WPB30" s="28"/>
      <c r="WPC30" s="28"/>
      <c r="WPD30" s="28"/>
      <c r="WPE30" s="28"/>
      <c r="WPF30" s="28"/>
      <c r="WPG30" s="28"/>
      <c r="WPH30" s="28"/>
      <c r="WPI30" s="28"/>
      <c r="WPJ30" s="28"/>
      <c r="WPK30" s="28"/>
      <c r="WPL30" s="28"/>
      <c r="WPM30" s="28"/>
      <c r="WPN30" s="28"/>
      <c r="WPO30" s="28"/>
      <c r="WPP30" s="28"/>
      <c r="WPQ30" s="28"/>
      <c r="WPR30" s="28"/>
      <c r="WPS30" s="28"/>
      <c r="WPT30" s="28"/>
      <c r="WPU30" s="28"/>
      <c r="WPV30" s="28"/>
      <c r="WPW30" s="28"/>
      <c r="WPX30" s="28"/>
      <c r="WPY30" s="28"/>
      <c r="WPZ30" s="28"/>
      <c r="WQA30" s="28"/>
      <c r="WQB30" s="28"/>
      <c r="WQC30" s="28"/>
      <c r="WQD30" s="28"/>
      <c r="WQE30" s="28"/>
      <c r="WQF30" s="28"/>
      <c r="WQG30" s="28"/>
      <c r="WQH30" s="28"/>
      <c r="WQI30" s="28"/>
      <c r="WQJ30" s="28"/>
      <c r="WQK30" s="28"/>
      <c r="WQL30" s="28"/>
      <c r="WQM30" s="28"/>
      <c r="WQN30" s="28"/>
      <c r="WQO30" s="28"/>
      <c r="WQP30" s="28"/>
      <c r="WQQ30" s="28"/>
      <c r="WQR30" s="28"/>
      <c r="WQS30" s="28"/>
      <c r="WQT30" s="28"/>
      <c r="WQU30" s="28"/>
      <c r="WQV30" s="28"/>
      <c r="WQW30" s="28"/>
      <c r="WQX30" s="28"/>
      <c r="WQY30" s="28"/>
      <c r="WQZ30" s="28"/>
      <c r="WRA30" s="28"/>
      <c r="WRB30" s="28"/>
      <c r="WRC30" s="28"/>
      <c r="WRD30" s="28"/>
      <c r="WRE30" s="28"/>
      <c r="WRF30" s="28"/>
      <c r="WRG30" s="28"/>
      <c r="WRH30" s="28"/>
      <c r="WRI30" s="28"/>
      <c r="WRJ30" s="28"/>
      <c r="WRK30" s="28"/>
      <c r="WRL30" s="28"/>
      <c r="WRM30" s="28"/>
      <c r="WRN30" s="28"/>
      <c r="WRO30" s="28"/>
      <c r="WRP30" s="28"/>
      <c r="WRQ30" s="28"/>
      <c r="WRR30" s="28"/>
      <c r="WRS30" s="28"/>
      <c r="WRT30" s="28"/>
      <c r="WRU30" s="28"/>
      <c r="WRV30" s="28"/>
      <c r="WRW30" s="28"/>
      <c r="WRX30" s="28"/>
      <c r="WRY30" s="28"/>
      <c r="WRZ30" s="28"/>
      <c r="WSA30" s="28"/>
      <c r="WSB30" s="28"/>
      <c r="WSC30" s="28"/>
      <c r="WSD30" s="28"/>
      <c r="WSE30" s="28"/>
      <c r="WSF30" s="28"/>
      <c r="WSG30" s="28"/>
      <c r="WSH30" s="28"/>
      <c r="WSI30" s="28"/>
      <c r="WSJ30" s="28"/>
      <c r="WSK30" s="28"/>
      <c r="WSL30" s="28"/>
      <c r="WSM30" s="28"/>
      <c r="WSN30" s="28"/>
      <c r="WSO30" s="28"/>
      <c r="WSP30" s="28"/>
      <c r="WSQ30" s="28"/>
      <c r="WSR30" s="28"/>
      <c r="WSS30" s="28"/>
      <c r="WST30" s="28"/>
      <c r="WSU30" s="28"/>
      <c r="WSV30" s="28"/>
      <c r="WSW30" s="28"/>
      <c r="WSX30" s="28"/>
      <c r="WSY30" s="28"/>
      <c r="WSZ30" s="28"/>
      <c r="WTA30" s="28"/>
      <c r="WTB30" s="28"/>
      <c r="WTC30" s="28"/>
      <c r="WTD30" s="28"/>
      <c r="WTE30" s="28"/>
      <c r="WTF30" s="28"/>
      <c r="WTG30" s="28"/>
      <c r="WTH30" s="28"/>
      <c r="WTI30" s="28"/>
      <c r="WTJ30" s="28"/>
      <c r="WTK30" s="28"/>
      <c r="WTL30" s="28"/>
      <c r="WTM30" s="28"/>
      <c r="WTN30" s="28"/>
      <c r="WTO30" s="28"/>
      <c r="WTP30" s="28"/>
      <c r="WTQ30" s="28"/>
      <c r="WTR30" s="28"/>
      <c r="WTS30" s="28"/>
      <c r="WTT30" s="28"/>
      <c r="WTU30" s="28"/>
      <c r="WTV30" s="28"/>
      <c r="WTW30" s="28"/>
      <c r="WTX30" s="28"/>
      <c r="WTY30" s="28"/>
      <c r="WTZ30" s="28"/>
      <c r="WUA30" s="28"/>
      <c r="WUB30" s="28"/>
      <c r="WUC30" s="28"/>
      <c r="WUD30" s="28"/>
      <c r="WUE30" s="28"/>
      <c r="WUF30" s="28"/>
      <c r="WUG30" s="28"/>
      <c r="WUH30" s="28"/>
      <c r="WUI30" s="28"/>
      <c r="WUJ30" s="28"/>
      <c r="WUK30" s="28"/>
      <c r="WUL30" s="28"/>
      <c r="WUM30" s="28"/>
      <c r="WUN30" s="28"/>
      <c r="WUO30" s="28"/>
      <c r="WUP30" s="28"/>
      <c r="WUQ30" s="28"/>
      <c r="WUR30" s="28"/>
      <c r="WUS30" s="28"/>
      <c r="WUT30" s="28"/>
      <c r="WUU30" s="28"/>
      <c r="WUV30" s="28"/>
      <c r="WUW30" s="28"/>
      <c r="WUX30" s="28"/>
      <c r="WUY30" s="28"/>
      <c r="WUZ30" s="28"/>
      <c r="WVA30" s="28"/>
      <c r="WVB30" s="28"/>
      <c r="WVC30" s="28"/>
      <c r="WVD30" s="28"/>
      <c r="WVE30" s="28"/>
      <c r="WVF30" s="28"/>
      <c r="WVG30" s="28"/>
      <c r="WVH30" s="28"/>
      <c r="WVI30" s="28"/>
      <c r="WVJ30" s="28"/>
      <c r="WVK30" s="28"/>
      <c r="WVL30" s="28"/>
      <c r="WVM30" s="28"/>
      <c r="WVN30" s="28"/>
      <c r="WVO30" s="28"/>
      <c r="WVP30" s="28"/>
      <c r="WVQ30" s="28"/>
      <c r="WVR30" s="28"/>
      <c r="WVS30" s="28"/>
      <c r="WVT30" s="28"/>
      <c r="WVU30" s="28"/>
      <c r="WVV30" s="28"/>
      <c r="WVW30" s="28"/>
      <c r="WVX30" s="28"/>
      <c r="WVY30" s="28"/>
      <c r="WVZ30" s="28"/>
      <c r="WWA30" s="28"/>
      <c r="WWB30" s="28"/>
      <c r="WWC30" s="28"/>
      <c r="WWD30" s="28"/>
      <c r="WWE30" s="28"/>
      <c r="WWF30" s="28"/>
      <c r="WWG30" s="28"/>
      <c r="WWH30" s="28"/>
      <c r="WWI30" s="28"/>
      <c r="WWJ30" s="28"/>
      <c r="WWK30" s="28"/>
      <c r="WWL30" s="28"/>
      <c r="WWM30" s="28"/>
      <c r="WWN30" s="28"/>
      <c r="WWO30" s="28"/>
      <c r="WWP30" s="28"/>
      <c r="WWQ30" s="28"/>
      <c r="WWR30" s="28"/>
      <c r="WWS30" s="28"/>
      <c r="WWT30" s="28"/>
      <c r="WWU30" s="28"/>
      <c r="WWV30" s="28"/>
      <c r="WWW30" s="28"/>
      <c r="WWX30" s="28"/>
      <c r="WWY30" s="28"/>
      <c r="WWZ30" s="28"/>
      <c r="WXA30" s="28"/>
      <c r="WXB30" s="28"/>
      <c r="WXC30" s="28"/>
      <c r="WXD30" s="28"/>
      <c r="WXE30" s="28"/>
      <c r="WXF30" s="28"/>
      <c r="WXG30" s="28"/>
      <c r="WXH30" s="28"/>
      <c r="WXI30" s="28"/>
      <c r="WXJ30" s="28"/>
      <c r="WXK30" s="28"/>
      <c r="WXL30" s="28"/>
      <c r="WXM30" s="28"/>
      <c r="WXN30" s="28"/>
      <c r="WXO30" s="28"/>
      <c r="WXP30" s="28"/>
      <c r="WXQ30" s="28"/>
      <c r="WXR30" s="28"/>
      <c r="WXS30" s="28"/>
      <c r="WXT30" s="28"/>
      <c r="WXU30" s="28"/>
      <c r="WXV30" s="28"/>
      <c r="WXW30" s="28"/>
      <c r="WXX30" s="28"/>
      <c r="WXY30" s="28"/>
      <c r="WXZ30" s="28"/>
      <c r="WYA30" s="28"/>
      <c r="WYB30" s="28"/>
      <c r="WYC30" s="28"/>
      <c r="WYD30" s="28"/>
      <c r="WYE30" s="28"/>
      <c r="WYF30" s="28"/>
      <c r="WYG30" s="28"/>
      <c r="WYH30" s="28"/>
      <c r="WYI30" s="28"/>
      <c r="WYJ30" s="28"/>
      <c r="WYK30" s="28"/>
      <c r="WYL30" s="28"/>
      <c r="WYM30" s="28"/>
      <c r="WYN30" s="28"/>
      <c r="WYO30" s="28"/>
      <c r="WYP30" s="28"/>
      <c r="WYQ30" s="28"/>
      <c r="WYR30" s="28"/>
      <c r="WYS30" s="28"/>
      <c r="WYT30" s="28"/>
      <c r="WYU30" s="28"/>
      <c r="WYV30" s="28"/>
      <c r="WYW30" s="28"/>
      <c r="WYX30" s="28"/>
      <c r="WYY30" s="28"/>
      <c r="WYZ30" s="28"/>
      <c r="WZA30" s="28"/>
      <c r="WZB30" s="28"/>
      <c r="WZC30" s="28"/>
      <c r="WZD30" s="28"/>
      <c r="WZE30" s="28"/>
      <c r="WZF30" s="28"/>
      <c r="WZG30" s="28"/>
      <c r="WZH30" s="28"/>
      <c r="WZI30" s="28"/>
      <c r="WZJ30" s="28"/>
      <c r="WZK30" s="28"/>
      <c r="WZL30" s="28"/>
      <c r="WZM30" s="28"/>
      <c r="WZN30" s="28"/>
      <c r="WZO30" s="28"/>
      <c r="WZP30" s="28"/>
      <c r="WZQ30" s="28"/>
      <c r="WZR30" s="28"/>
      <c r="WZS30" s="28"/>
      <c r="WZT30" s="28"/>
      <c r="WZU30" s="28"/>
      <c r="WZV30" s="28"/>
      <c r="WZW30" s="28"/>
      <c r="WZX30" s="28"/>
      <c r="WZY30" s="28"/>
      <c r="WZZ30" s="28"/>
      <c r="XAA30" s="28"/>
      <c r="XAB30" s="28"/>
      <c r="XAC30" s="28"/>
      <c r="XAD30" s="28"/>
      <c r="XAE30" s="28"/>
      <c r="XAF30" s="28"/>
      <c r="XAG30" s="28"/>
      <c r="XAH30" s="28"/>
      <c r="XAI30" s="28"/>
      <c r="XAJ30" s="28"/>
      <c r="XAK30" s="28"/>
      <c r="XAL30" s="28"/>
      <c r="XAM30" s="28"/>
      <c r="XAN30" s="28"/>
      <c r="XAO30" s="28"/>
      <c r="XAP30" s="28"/>
      <c r="XAQ30" s="28"/>
      <c r="XAR30" s="28"/>
      <c r="XAS30" s="28"/>
      <c r="XAT30" s="28"/>
      <c r="XAU30" s="28"/>
      <c r="XAV30" s="28"/>
      <c r="XAW30" s="28"/>
      <c r="XAX30" s="28"/>
      <c r="XAY30" s="28"/>
      <c r="XAZ30" s="28"/>
      <c r="XBA30" s="28"/>
      <c r="XBB30" s="28"/>
      <c r="XBC30" s="28"/>
      <c r="XBD30" s="28"/>
      <c r="XBE30" s="28"/>
      <c r="XBF30" s="28"/>
      <c r="XBG30" s="28"/>
      <c r="XBH30" s="28"/>
      <c r="XBI30" s="28"/>
      <c r="XBJ30" s="28"/>
      <c r="XBK30" s="28"/>
      <c r="XBL30" s="28"/>
      <c r="XBM30" s="28"/>
      <c r="XBN30" s="28"/>
      <c r="XBO30" s="28"/>
      <c r="XBP30" s="28"/>
      <c r="XBQ30" s="28"/>
      <c r="XBR30" s="28"/>
      <c r="XBS30" s="28"/>
      <c r="XBT30" s="28"/>
      <c r="XBU30" s="28"/>
      <c r="XBV30" s="28"/>
      <c r="XBW30" s="28"/>
      <c r="XBX30" s="28"/>
      <c r="XBY30" s="28"/>
      <c r="XBZ30" s="28"/>
      <c r="XCA30" s="28"/>
      <c r="XCB30" s="28"/>
      <c r="XCC30" s="28"/>
      <c r="XCD30" s="28"/>
      <c r="XCE30" s="28"/>
      <c r="XCF30" s="28"/>
      <c r="XCG30" s="28"/>
      <c r="XCH30" s="28"/>
      <c r="XCI30" s="28"/>
      <c r="XCJ30" s="28"/>
      <c r="XCK30" s="28"/>
      <c r="XCL30" s="28"/>
      <c r="XCM30" s="28"/>
      <c r="XCN30" s="28"/>
      <c r="XCO30" s="28"/>
      <c r="XCP30" s="28"/>
      <c r="XCQ30" s="28"/>
      <c r="XCR30" s="28"/>
      <c r="XCS30" s="28"/>
      <c r="XCT30" s="28"/>
      <c r="XCU30" s="28"/>
      <c r="XCV30" s="28"/>
      <c r="XCW30" s="28"/>
      <c r="XCX30" s="28"/>
      <c r="XCY30" s="28"/>
      <c r="XCZ30" s="28"/>
      <c r="XDA30" s="28"/>
      <c r="XDB30" s="28"/>
      <c r="XDC30" s="28"/>
      <c r="XDD30" s="28"/>
      <c r="XDE30" s="28"/>
      <c r="XDF30" s="28"/>
      <c r="XDG30" s="28"/>
      <c r="XDH30" s="28"/>
      <c r="XDI30" s="28"/>
      <c r="XDJ30" s="28"/>
      <c r="XDK30" s="28"/>
      <c r="XDL30" s="28"/>
      <c r="XDM30" s="28"/>
      <c r="XDN30" s="28"/>
      <c r="XDO30" s="28"/>
      <c r="XDP30" s="28"/>
      <c r="XDQ30" s="28"/>
      <c r="XDR30" s="28"/>
      <c r="XDS30" s="28"/>
      <c r="XDT30" s="28"/>
      <c r="XDU30" s="28"/>
      <c r="XDV30" s="28"/>
      <c r="XDW30" s="28"/>
      <c r="XDX30" s="28"/>
      <c r="XDY30" s="28"/>
      <c r="XDZ30" s="28"/>
      <c r="XEA30" s="28"/>
      <c r="XEB30" s="28"/>
      <c r="XEC30" s="28"/>
      <c r="XED30" s="28"/>
      <c r="XEE30" s="28"/>
      <c r="XEF30" s="28"/>
      <c r="XEG30" s="28"/>
      <c r="XEH30" s="28"/>
      <c r="XEI30" s="28"/>
      <c r="XEJ30" s="28"/>
      <c r="XEK30" s="28"/>
      <c r="XEL30" s="28"/>
      <c r="XEM30" s="28"/>
      <c r="XEN30" s="28"/>
      <c r="XEO30" s="28"/>
      <c r="XEP30" s="28"/>
      <c r="XEQ30" s="28"/>
      <c r="XER30" s="28"/>
    </row>
    <row r="31" spans="2:16382" ht="15.75" x14ac:dyDescent="0.25">
      <c r="B31" s="236"/>
      <c r="C31" s="47"/>
      <c r="D31" s="176" t="s">
        <v>2</v>
      </c>
      <c r="E31" s="178">
        <v>150</v>
      </c>
      <c r="F31" s="178">
        <v>98</v>
      </c>
      <c r="G31" s="178"/>
      <c r="H31" s="178"/>
      <c r="I31" s="178" t="s">
        <v>41</v>
      </c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  <c r="BR31" s="28"/>
      <c r="BS31" s="28"/>
      <c r="BT31" s="28"/>
      <c r="BU31" s="28"/>
      <c r="BV31" s="28"/>
      <c r="BW31" s="28"/>
      <c r="BX31" s="28"/>
      <c r="BY31" s="28"/>
      <c r="BZ31" s="28"/>
      <c r="CA31" s="28"/>
      <c r="CB31" s="28"/>
      <c r="CC31" s="28"/>
      <c r="CD31" s="28"/>
      <c r="CE31" s="28"/>
      <c r="CF31" s="28"/>
      <c r="CG31" s="28"/>
      <c r="CH31" s="28"/>
      <c r="CI31" s="28"/>
      <c r="CJ31" s="28"/>
      <c r="CK31" s="28"/>
      <c r="CL31" s="28"/>
      <c r="CM31" s="28"/>
      <c r="CN31" s="28"/>
      <c r="CO31" s="28"/>
      <c r="CP31" s="28"/>
      <c r="CQ31" s="28"/>
      <c r="CR31" s="28"/>
      <c r="CS31" s="28"/>
      <c r="CT31" s="28"/>
      <c r="CU31" s="28"/>
      <c r="CV31" s="28"/>
      <c r="CW31" s="28"/>
      <c r="CX31" s="28"/>
      <c r="CY31" s="28"/>
      <c r="CZ31" s="28"/>
      <c r="DA31" s="28"/>
      <c r="DB31" s="28"/>
      <c r="DC31" s="28"/>
      <c r="DD31" s="28"/>
      <c r="DE31" s="28"/>
      <c r="DF31" s="28"/>
      <c r="DG31" s="28"/>
      <c r="DH31" s="28"/>
      <c r="DI31" s="28"/>
      <c r="DJ31" s="28"/>
      <c r="DK31" s="28"/>
      <c r="DL31" s="28"/>
      <c r="DM31" s="28"/>
      <c r="DN31" s="28"/>
      <c r="DO31" s="28"/>
      <c r="DP31" s="28"/>
      <c r="DQ31" s="28"/>
      <c r="DR31" s="28"/>
      <c r="DS31" s="28"/>
      <c r="DT31" s="28"/>
      <c r="DU31" s="28"/>
      <c r="DV31" s="28"/>
      <c r="DW31" s="28"/>
      <c r="DX31" s="28"/>
      <c r="DY31" s="28"/>
      <c r="DZ31" s="28"/>
      <c r="EA31" s="28"/>
      <c r="EB31" s="28"/>
      <c r="EC31" s="28"/>
      <c r="ED31" s="28"/>
      <c r="EE31" s="28"/>
      <c r="EF31" s="28"/>
      <c r="EG31" s="28"/>
      <c r="EH31" s="28"/>
      <c r="EI31" s="28"/>
      <c r="EJ31" s="28"/>
      <c r="EK31" s="28"/>
      <c r="EL31" s="28"/>
      <c r="EM31" s="28"/>
      <c r="EN31" s="28"/>
      <c r="EO31" s="28"/>
      <c r="EP31" s="28"/>
      <c r="EQ31" s="28"/>
      <c r="ER31" s="28"/>
      <c r="ES31" s="28"/>
      <c r="ET31" s="28"/>
      <c r="EU31" s="28"/>
      <c r="EV31" s="28"/>
      <c r="EW31" s="28"/>
      <c r="EX31" s="28"/>
      <c r="EY31" s="28"/>
      <c r="EZ31" s="28"/>
      <c r="FA31" s="28"/>
      <c r="FB31" s="28"/>
      <c r="FC31" s="28"/>
      <c r="FD31" s="28"/>
      <c r="FE31" s="28"/>
      <c r="FF31" s="28"/>
      <c r="FG31" s="28"/>
      <c r="FH31" s="28"/>
      <c r="FI31" s="28"/>
      <c r="FJ31" s="28"/>
      <c r="FK31" s="28"/>
      <c r="FL31" s="28"/>
      <c r="FM31" s="28"/>
      <c r="FN31" s="28"/>
      <c r="FO31" s="28"/>
      <c r="FP31" s="28"/>
      <c r="FQ31" s="28"/>
      <c r="FR31" s="28"/>
      <c r="FS31" s="28"/>
      <c r="FT31" s="28"/>
      <c r="FU31" s="28"/>
      <c r="FV31" s="28"/>
      <c r="FW31" s="28"/>
      <c r="FX31" s="28"/>
      <c r="FY31" s="28"/>
      <c r="FZ31" s="28"/>
      <c r="GA31" s="28"/>
      <c r="GB31" s="28"/>
      <c r="GC31" s="28"/>
      <c r="GD31" s="28"/>
      <c r="GE31" s="28"/>
      <c r="GF31" s="28"/>
      <c r="GG31" s="28"/>
      <c r="GH31" s="28"/>
      <c r="GI31" s="28"/>
      <c r="GJ31" s="28"/>
      <c r="GK31" s="28"/>
      <c r="GL31" s="28"/>
      <c r="GM31" s="28"/>
      <c r="GN31" s="28"/>
      <c r="GO31" s="28"/>
      <c r="GP31" s="28"/>
      <c r="GQ31" s="28"/>
      <c r="GR31" s="28"/>
      <c r="GS31" s="28"/>
      <c r="GT31" s="28"/>
      <c r="GU31" s="28"/>
      <c r="GV31" s="28"/>
      <c r="GW31" s="28"/>
      <c r="GX31" s="28"/>
      <c r="GY31" s="28"/>
      <c r="GZ31" s="28"/>
      <c r="HA31" s="28"/>
      <c r="HB31" s="28"/>
      <c r="HC31" s="28"/>
      <c r="HD31" s="28"/>
      <c r="HE31" s="28"/>
      <c r="HF31" s="28"/>
      <c r="HG31" s="28"/>
      <c r="HH31" s="28"/>
      <c r="HI31" s="28"/>
      <c r="HJ31" s="28"/>
      <c r="HK31" s="28"/>
      <c r="HL31" s="28"/>
      <c r="HM31" s="28"/>
      <c r="HN31" s="28"/>
      <c r="HO31" s="28"/>
      <c r="HP31" s="28"/>
      <c r="HQ31" s="28"/>
      <c r="HR31" s="28"/>
      <c r="HS31" s="28"/>
      <c r="HT31" s="28"/>
      <c r="HU31" s="28"/>
      <c r="HV31" s="28"/>
      <c r="HW31" s="28"/>
      <c r="HX31" s="28"/>
      <c r="HY31" s="28"/>
      <c r="HZ31" s="28"/>
      <c r="IA31" s="28"/>
      <c r="IB31" s="28"/>
      <c r="IC31" s="28"/>
      <c r="ID31" s="28"/>
      <c r="IE31" s="28"/>
      <c r="IF31" s="28"/>
      <c r="IG31" s="28"/>
      <c r="IH31" s="28"/>
      <c r="II31" s="28"/>
      <c r="IJ31" s="28"/>
      <c r="IK31" s="28"/>
      <c r="IL31" s="28"/>
      <c r="IM31" s="28"/>
      <c r="IN31" s="28"/>
      <c r="IO31" s="28"/>
      <c r="IP31" s="28"/>
      <c r="IQ31" s="28"/>
      <c r="IR31" s="28"/>
      <c r="IS31" s="28"/>
      <c r="IT31" s="28"/>
      <c r="IU31" s="28"/>
      <c r="IV31" s="28"/>
      <c r="IW31" s="28"/>
      <c r="IX31" s="28"/>
      <c r="IY31" s="28"/>
      <c r="IZ31" s="28"/>
      <c r="JA31" s="28"/>
      <c r="JB31" s="28"/>
      <c r="JC31" s="28"/>
      <c r="JD31" s="28"/>
      <c r="JE31" s="28"/>
      <c r="JF31" s="28"/>
      <c r="JG31" s="28"/>
      <c r="JH31" s="28"/>
      <c r="JI31" s="28"/>
      <c r="JJ31" s="28"/>
      <c r="JK31" s="28"/>
      <c r="JL31" s="28"/>
      <c r="JM31" s="28"/>
      <c r="JN31" s="28"/>
      <c r="JO31" s="28"/>
      <c r="JP31" s="28"/>
      <c r="JQ31" s="28"/>
      <c r="JR31" s="28"/>
      <c r="JS31" s="28"/>
      <c r="JT31" s="28"/>
      <c r="JU31" s="28"/>
      <c r="JV31" s="28"/>
      <c r="JW31" s="28"/>
      <c r="JX31" s="28"/>
      <c r="JY31" s="28"/>
      <c r="JZ31" s="28"/>
      <c r="KA31" s="28"/>
      <c r="KB31" s="28"/>
      <c r="KC31" s="28"/>
      <c r="KD31" s="28"/>
      <c r="KE31" s="28"/>
      <c r="KF31" s="28"/>
      <c r="KG31" s="28"/>
      <c r="KH31" s="28"/>
      <c r="KI31" s="28"/>
      <c r="KJ31" s="28"/>
      <c r="KK31" s="28"/>
      <c r="KL31" s="28"/>
      <c r="KM31" s="28"/>
      <c r="KN31" s="28"/>
      <c r="KO31" s="28"/>
      <c r="KP31" s="28"/>
      <c r="KQ31" s="28"/>
      <c r="KR31" s="28"/>
      <c r="KS31" s="28"/>
      <c r="KT31" s="28"/>
      <c r="KU31" s="28"/>
      <c r="KV31" s="28"/>
      <c r="KW31" s="28"/>
      <c r="KX31" s="28"/>
      <c r="KY31" s="28"/>
      <c r="KZ31" s="28"/>
      <c r="LA31" s="28"/>
      <c r="LB31" s="28"/>
      <c r="LC31" s="28"/>
      <c r="LD31" s="28"/>
      <c r="LE31" s="28"/>
      <c r="LF31" s="28"/>
      <c r="LG31" s="28"/>
      <c r="LH31" s="28"/>
      <c r="LI31" s="28"/>
      <c r="LJ31" s="28"/>
      <c r="LK31" s="28"/>
      <c r="LL31" s="28"/>
      <c r="LM31" s="28"/>
      <c r="LN31" s="28"/>
      <c r="LO31" s="28"/>
      <c r="LP31" s="28"/>
      <c r="LQ31" s="28"/>
      <c r="LR31" s="28"/>
      <c r="LS31" s="28"/>
      <c r="LT31" s="28"/>
      <c r="LU31" s="28"/>
      <c r="LV31" s="28"/>
      <c r="LW31" s="28"/>
      <c r="LX31" s="28"/>
      <c r="LY31" s="28"/>
      <c r="LZ31" s="28"/>
      <c r="MA31" s="28"/>
      <c r="MB31" s="28"/>
      <c r="MC31" s="28"/>
      <c r="MD31" s="28"/>
      <c r="ME31" s="28"/>
      <c r="MF31" s="28"/>
      <c r="MG31" s="28"/>
      <c r="MH31" s="28"/>
      <c r="MI31" s="28"/>
      <c r="MJ31" s="28"/>
      <c r="MK31" s="28"/>
      <c r="ML31" s="28"/>
      <c r="MM31" s="28"/>
      <c r="MN31" s="28"/>
      <c r="MO31" s="28"/>
      <c r="MP31" s="28"/>
      <c r="MQ31" s="28"/>
      <c r="MR31" s="28"/>
      <c r="MS31" s="28"/>
      <c r="MT31" s="28"/>
      <c r="MU31" s="28"/>
      <c r="MV31" s="28"/>
      <c r="MW31" s="28"/>
      <c r="MX31" s="28"/>
      <c r="MY31" s="28"/>
      <c r="MZ31" s="28"/>
      <c r="NA31" s="28"/>
      <c r="NB31" s="28"/>
      <c r="NC31" s="28"/>
      <c r="ND31" s="28"/>
      <c r="NE31" s="28"/>
      <c r="NF31" s="28"/>
      <c r="NG31" s="28"/>
      <c r="NH31" s="28"/>
      <c r="NI31" s="28"/>
      <c r="NJ31" s="28"/>
      <c r="NK31" s="28"/>
      <c r="NL31" s="28"/>
      <c r="NM31" s="28"/>
      <c r="NN31" s="28"/>
      <c r="NO31" s="28"/>
      <c r="NP31" s="28"/>
      <c r="NQ31" s="28"/>
      <c r="NR31" s="28"/>
      <c r="NS31" s="28"/>
      <c r="NT31" s="28"/>
      <c r="NU31" s="28"/>
      <c r="NV31" s="28"/>
      <c r="NW31" s="28"/>
      <c r="NX31" s="28"/>
      <c r="NY31" s="28"/>
      <c r="NZ31" s="28"/>
      <c r="OA31" s="28"/>
      <c r="OB31" s="28"/>
      <c r="OC31" s="28"/>
      <c r="OD31" s="28"/>
      <c r="OE31" s="28"/>
      <c r="OF31" s="28"/>
      <c r="OG31" s="28"/>
      <c r="OH31" s="28"/>
      <c r="OI31" s="28"/>
      <c r="OJ31" s="28"/>
      <c r="OK31" s="28"/>
      <c r="OL31" s="28"/>
      <c r="OM31" s="28"/>
      <c r="ON31" s="28"/>
      <c r="OO31" s="28"/>
      <c r="OP31" s="28"/>
      <c r="OQ31" s="28"/>
      <c r="OR31" s="28"/>
      <c r="OS31" s="28"/>
      <c r="OT31" s="28"/>
      <c r="OU31" s="28"/>
      <c r="OV31" s="28"/>
      <c r="OW31" s="28"/>
      <c r="OX31" s="28"/>
      <c r="OY31" s="28"/>
      <c r="OZ31" s="28"/>
      <c r="PA31" s="28"/>
      <c r="PB31" s="28"/>
      <c r="PC31" s="28"/>
      <c r="PD31" s="28"/>
      <c r="PE31" s="28"/>
      <c r="PF31" s="28"/>
      <c r="PG31" s="28"/>
      <c r="PH31" s="28"/>
      <c r="PI31" s="28"/>
      <c r="PJ31" s="28"/>
      <c r="PK31" s="28"/>
      <c r="PL31" s="28"/>
      <c r="PM31" s="28"/>
      <c r="PN31" s="28"/>
      <c r="PO31" s="28"/>
      <c r="PP31" s="28"/>
      <c r="PQ31" s="28"/>
      <c r="PR31" s="28"/>
      <c r="PS31" s="28"/>
      <c r="PT31" s="28"/>
      <c r="PU31" s="28"/>
      <c r="PV31" s="28"/>
      <c r="PW31" s="28"/>
      <c r="PX31" s="28"/>
      <c r="PY31" s="28"/>
      <c r="PZ31" s="28"/>
      <c r="QA31" s="28"/>
      <c r="QB31" s="28"/>
      <c r="QC31" s="28"/>
      <c r="QD31" s="28"/>
      <c r="QE31" s="28"/>
      <c r="QF31" s="28"/>
      <c r="QG31" s="28"/>
      <c r="QH31" s="28"/>
      <c r="QI31" s="28"/>
      <c r="QJ31" s="28"/>
      <c r="QK31" s="28"/>
      <c r="QL31" s="28"/>
      <c r="QM31" s="28"/>
      <c r="QN31" s="28"/>
      <c r="QO31" s="28"/>
      <c r="QP31" s="28"/>
      <c r="QQ31" s="28"/>
      <c r="QR31" s="28"/>
      <c r="QS31" s="28"/>
      <c r="QT31" s="28"/>
      <c r="QU31" s="28"/>
      <c r="QV31" s="28"/>
      <c r="QW31" s="28"/>
      <c r="QX31" s="28"/>
      <c r="QY31" s="28"/>
      <c r="QZ31" s="28"/>
      <c r="RA31" s="28"/>
      <c r="RB31" s="28"/>
      <c r="RC31" s="28"/>
      <c r="RD31" s="28"/>
      <c r="RE31" s="28"/>
      <c r="RF31" s="28"/>
      <c r="RG31" s="28"/>
      <c r="RH31" s="28"/>
      <c r="RI31" s="28"/>
      <c r="RJ31" s="28"/>
      <c r="RK31" s="28"/>
      <c r="RL31" s="28"/>
      <c r="RM31" s="28"/>
      <c r="RN31" s="28"/>
      <c r="RO31" s="28"/>
      <c r="RP31" s="28"/>
      <c r="RQ31" s="28"/>
      <c r="RR31" s="28"/>
      <c r="RS31" s="28"/>
      <c r="RT31" s="28"/>
      <c r="RU31" s="28"/>
      <c r="RV31" s="28"/>
      <c r="RW31" s="28"/>
      <c r="RX31" s="28"/>
      <c r="RY31" s="28"/>
      <c r="RZ31" s="28"/>
      <c r="SA31" s="28"/>
      <c r="SB31" s="28"/>
      <c r="SC31" s="28"/>
      <c r="SD31" s="28"/>
      <c r="SE31" s="28"/>
      <c r="SF31" s="28"/>
      <c r="SG31" s="28"/>
      <c r="SH31" s="28"/>
      <c r="SI31" s="28"/>
      <c r="SJ31" s="28"/>
      <c r="SK31" s="28"/>
      <c r="SL31" s="28"/>
      <c r="SM31" s="28"/>
      <c r="SN31" s="28"/>
      <c r="SO31" s="28"/>
      <c r="SP31" s="28"/>
      <c r="SQ31" s="28"/>
      <c r="SR31" s="28"/>
      <c r="SS31" s="28"/>
      <c r="ST31" s="28"/>
      <c r="SU31" s="28"/>
      <c r="SV31" s="28"/>
      <c r="SW31" s="28"/>
      <c r="SX31" s="28"/>
      <c r="SY31" s="28"/>
      <c r="SZ31" s="28"/>
      <c r="TA31" s="28"/>
      <c r="TB31" s="28"/>
      <c r="TC31" s="28"/>
      <c r="TD31" s="28"/>
      <c r="TE31" s="28"/>
      <c r="TF31" s="28"/>
      <c r="TG31" s="28"/>
      <c r="TH31" s="28"/>
      <c r="TI31" s="28"/>
      <c r="TJ31" s="28"/>
      <c r="TK31" s="28"/>
      <c r="TL31" s="28"/>
      <c r="TM31" s="28"/>
      <c r="TN31" s="28"/>
      <c r="TO31" s="28"/>
      <c r="TP31" s="28"/>
      <c r="TQ31" s="28"/>
      <c r="TR31" s="28"/>
      <c r="TS31" s="28"/>
      <c r="TT31" s="28"/>
      <c r="TU31" s="28"/>
      <c r="TV31" s="28"/>
      <c r="TW31" s="28"/>
      <c r="TX31" s="28"/>
      <c r="TY31" s="28"/>
      <c r="TZ31" s="28"/>
      <c r="UA31" s="28"/>
      <c r="UB31" s="28"/>
      <c r="UC31" s="28"/>
      <c r="UD31" s="28"/>
      <c r="UE31" s="28"/>
      <c r="UF31" s="28"/>
      <c r="UG31" s="28"/>
      <c r="UH31" s="28"/>
      <c r="UI31" s="28"/>
      <c r="UJ31" s="28"/>
      <c r="UK31" s="28"/>
      <c r="UL31" s="28"/>
      <c r="UM31" s="28"/>
      <c r="UN31" s="28"/>
      <c r="UO31" s="28"/>
      <c r="UP31" s="28"/>
      <c r="UQ31" s="28"/>
      <c r="UR31" s="28"/>
      <c r="US31" s="28"/>
      <c r="UT31" s="28"/>
      <c r="UU31" s="28"/>
      <c r="UV31" s="28"/>
      <c r="UW31" s="28"/>
      <c r="UX31" s="28"/>
      <c r="UY31" s="28"/>
      <c r="UZ31" s="28"/>
      <c r="VA31" s="28"/>
      <c r="VB31" s="28"/>
      <c r="VC31" s="28"/>
      <c r="VD31" s="28"/>
      <c r="VE31" s="28"/>
      <c r="VF31" s="28"/>
      <c r="VG31" s="28"/>
      <c r="VH31" s="28"/>
      <c r="VI31" s="28"/>
      <c r="VJ31" s="28"/>
      <c r="VK31" s="28"/>
      <c r="VL31" s="28"/>
      <c r="VM31" s="28"/>
      <c r="VN31" s="28"/>
      <c r="VO31" s="28"/>
      <c r="VP31" s="28"/>
      <c r="VQ31" s="28"/>
      <c r="VR31" s="28"/>
      <c r="VS31" s="28"/>
      <c r="VT31" s="28"/>
      <c r="VU31" s="28"/>
      <c r="VV31" s="28"/>
      <c r="VW31" s="28"/>
      <c r="VX31" s="28"/>
      <c r="VY31" s="28"/>
      <c r="VZ31" s="28"/>
      <c r="WA31" s="28"/>
      <c r="WB31" s="28"/>
      <c r="WC31" s="28"/>
      <c r="WD31" s="28"/>
      <c r="WE31" s="28"/>
      <c r="WF31" s="28"/>
      <c r="WG31" s="28"/>
      <c r="WH31" s="28"/>
      <c r="WI31" s="28"/>
      <c r="WJ31" s="28"/>
      <c r="WK31" s="28"/>
      <c r="WL31" s="28"/>
      <c r="WM31" s="28"/>
      <c r="WN31" s="28"/>
      <c r="WO31" s="28"/>
      <c r="WP31" s="28"/>
      <c r="WQ31" s="28"/>
      <c r="WR31" s="28"/>
      <c r="WS31" s="28"/>
      <c r="WT31" s="28"/>
      <c r="WU31" s="28"/>
      <c r="WV31" s="28"/>
      <c r="WW31" s="28"/>
      <c r="WX31" s="28"/>
      <c r="WY31" s="28"/>
      <c r="WZ31" s="28"/>
      <c r="XA31" s="28"/>
      <c r="XB31" s="28"/>
      <c r="XC31" s="28"/>
      <c r="XD31" s="28"/>
      <c r="XE31" s="28"/>
      <c r="XF31" s="28"/>
      <c r="XG31" s="28"/>
      <c r="XH31" s="28"/>
      <c r="XI31" s="28"/>
      <c r="XJ31" s="28"/>
      <c r="XK31" s="28"/>
      <c r="XL31" s="28"/>
      <c r="XM31" s="28"/>
      <c r="XN31" s="28"/>
      <c r="XO31" s="28"/>
      <c r="XP31" s="28"/>
      <c r="XQ31" s="28"/>
      <c r="XR31" s="28"/>
      <c r="XS31" s="28"/>
      <c r="XT31" s="28"/>
      <c r="XU31" s="28"/>
      <c r="XV31" s="28"/>
      <c r="XW31" s="28"/>
      <c r="XX31" s="28"/>
      <c r="XY31" s="28"/>
      <c r="XZ31" s="28"/>
      <c r="YA31" s="28"/>
      <c r="YB31" s="28"/>
      <c r="YC31" s="28"/>
      <c r="YD31" s="28"/>
      <c r="YE31" s="28"/>
      <c r="YF31" s="28"/>
      <c r="YG31" s="28"/>
      <c r="YH31" s="28"/>
      <c r="YI31" s="28"/>
      <c r="YJ31" s="28"/>
      <c r="YK31" s="28"/>
      <c r="YL31" s="28"/>
      <c r="YM31" s="28"/>
      <c r="YN31" s="28"/>
      <c r="YO31" s="28"/>
      <c r="YP31" s="28"/>
      <c r="YQ31" s="28"/>
      <c r="YR31" s="28"/>
      <c r="YS31" s="28"/>
      <c r="YT31" s="28"/>
      <c r="YU31" s="28"/>
      <c r="YV31" s="28"/>
      <c r="YW31" s="28"/>
      <c r="YX31" s="28"/>
      <c r="YY31" s="28"/>
      <c r="YZ31" s="28"/>
      <c r="ZA31" s="28"/>
      <c r="ZB31" s="28"/>
      <c r="ZC31" s="28"/>
      <c r="ZD31" s="28"/>
      <c r="ZE31" s="28"/>
      <c r="ZF31" s="28"/>
      <c r="ZG31" s="28"/>
      <c r="ZH31" s="28"/>
      <c r="ZI31" s="28"/>
      <c r="ZJ31" s="28"/>
      <c r="ZK31" s="28"/>
      <c r="ZL31" s="28"/>
      <c r="ZM31" s="28"/>
      <c r="ZN31" s="28"/>
      <c r="ZO31" s="28"/>
      <c r="ZP31" s="28"/>
      <c r="ZQ31" s="28"/>
      <c r="ZR31" s="28"/>
      <c r="ZS31" s="28"/>
      <c r="ZT31" s="28"/>
      <c r="ZU31" s="28"/>
      <c r="ZV31" s="28"/>
      <c r="ZW31" s="28"/>
      <c r="ZX31" s="28"/>
      <c r="ZY31" s="28"/>
      <c r="ZZ31" s="28"/>
      <c r="AAA31" s="28"/>
      <c r="AAB31" s="28"/>
      <c r="AAC31" s="28"/>
      <c r="AAD31" s="28"/>
      <c r="AAE31" s="28"/>
      <c r="AAF31" s="28"/>
      <c r="AAG31" s="28"/>
      <c r="AAH31" s="28"/>
      <c r="AAI31" s="28"/>
      <c r="AAJ31" s="28"/>
      <c r="AAK31" s="28"/>
      <c r="AAL31" s="28"/>
      <c r="AAM31" s="28"/>
      <c r="AAN31" s="28"/>
      <c r="AAO31" s="28"/>
      <c r="AAP31" s="28"/>
      <c r="AAQ31" s="28"/>
      <c r="AAR31" s="28"/>
      <c r="AAS31" s="28"/>
      <c r="AAT31" s="28"/>
      <c r="AAU31" s="28"/>
      <c r="AAV31" s="28"/>
      <c r="AAW31" s="28"/>
      <c r="AAX31" s="28"/>
      <c r="AAY31" s="28"/>
      <c r="AAZ31" s="28"/>
      <c r="ABA31" s="28"/>
      <c r="ABB31" s="28"/>
      <c r="ABC31" s="28"/>
      <c r="ABD31" s="28"/>
      <c r="ABE31" s="28"/>
      <c r="ABF31" s="28"/>
      <c r="ABG31" s="28"/>
      <c r="ABH31" s="28"/>
      <c r="ABI31" s="28"/>
      <c r="ABJ31" s="28"/>
      <c r="ABK31" s="28"/>
      <c r="ABL31" s="28"/>
      <c r="ABM31" s="28"/>
      <c r="ABN31" s="28"/>
      <c r="ABO31" s="28"/>
      <c r="ABP31" s="28"/>
      <c r="ABQ31" s="28"/>
      <c r="ABR31" s="28"/>
      <c r="ABS31" s="28"/>
      <c r="ABT31" s="28"/>
      <c r="ABU31" s="28"/>
      <c r="ABV31" s="28"/>
      <c r="ABW31" s="28"/>
      <c r="ABX31" s="28"/>
      <c r="ABY31" s="28"/>
      <c r="ABZ31" s="28"/>
      <c r="ACA31" s="28"/>
      <c r="ACB31" s="28"/>
      <c r="ACC31" s="28"/>
      <c r="ACD31" s="28"/>
      <c r="ACE31" s="28"/>
      <c r="ACF31" s="28"/>
      <c r="ACG31" s="28"/>
      <c r="ACH31" s="28"/>
      <c r="ACI31" s="28"/>
      <c r="ACJ31" s="28"/>
      <c r="ACK31" s="28"/>
      <c r="ACL31" s="28"/>
      <c r="ACM31" s="28"/>
      <c r="ACN31" s="28"/>
      <c r="ACO31" s="28"/>
      <c r="ACP31" s="28"/>
      <c r="ACQ31" s="28"/>
      <c r="ACR31" s="28"/>
      <c r="ACS31" s="28"/>
      <c r="ACT31" s="28"/>
      <c r="ACU31" s="28"/>
      <c r="ACV31" s="28"/>
      <c r="ACW31" s="28"/>
      <c r="ACX31" s="28"/>
      <c r="ACY31" s="28"/>
      <c r="ACZ31" s="28"/>
      <c r="ADA31" s="28"/>
      <c r="ADB31" s="28"/>
      <c r="ADC31" s="28"/>
      <c r="ADD31" s="28"/>
      <c r="ADE31" s="28"/>
      <c r="ADF31" s="28"/>
      <c r="ADG31" s="28"/>
      <c r="ADH31" s="28"/>
      <c r="ADI31" s="28"/>
      <c r="ADJ31" s="28"/>
      <c r="ADK31" s="28"/>
      <c r="ADL31" s="28"/>
      <c r="ADM31" s="28"/>
      <c r="ADN31" s="28"/>
      <c r="ADO31" s="28"/>
      <c r="ADP31" s="28"/>
      <c r="ADQ31" s="28"/>
      <c r="ADR31" s="28"/>
      <c r="ADS31" s="28"/>
      <c r="ADT31" s="28"/>
      <c r="ADU31" s="28"/>
      <c r="ADV31" s="28"/>
      <c r="ADW31" s="28"/>
      <c r="ADX31" s="28"/>
      <c r="ADY31" s="28"/>
      <c r="ADZ31" s="28"/>
      <c r="AEA31" s="28"/>
      <c r="AEB31" s="28"/>
      <c r="AEC31" s="28"/>
      <c r="AED31" s="28"/>
      <c r="AEE31" s="28"/>
      <c r="AEF31" s="28"/>
      <c r="AEG31" s="28"/>
      <c r="AEH31" s="28"/>
      <c r="AEI31" s="28"/>
      <c r="AEJ31" s="28"/>
      <c r="AEK31" s="28"/>
      <c r="AEL31" s="28"/>
      <c r="AEM31" s="28"/>
      <c r="AEN31" s="28"/>
      <c r="AEO31" s="28"/>
      <c r="AEP31" s="28"/>
      <c r="AEQ31" s="28"/>
      <c r="AER31" s="28"/>
      <c r="AES31" s="28"/>
      <c r="AET31" s="28"/>
      <c r="AEU31" s="28"/>
      <c r="AEV31" s="28"/>
      <c r="AEW31" s="28"/>
      <c r="AEX31" s="28"/>
      <c r="AEY31" s="28"/>
      <c r="AEZ31" s="28"/>
      <c r="AFA31" s="28"/>
      <c r="AFB31" s="28"/>
      <c r="AFC31" s="28"/>
      <c r="AFD31" s="28"/>
      <c r="AFE31" s="28"/>
      <c r="AFF31" s="28"/>
      <c r="AFG31" s="28"/>
      <c r="AFH31" s="28"/>
      <c r="AFI31" s="28"/>
      <c r="AFJ31" s="28"/>
      <c r="AFK31" s="28"/>
      <c r="AFL31" s="28"/>
      <c r="AFM31" s="28"/>
      <c r="AFN31" s="28"/>
      <c r="AFO31" s="28"/>
      <c r="AFP31" s="28"/>
      <c r="AFQ31" s="28"/>
      <c r="AFR31" s="28"/>
      <c r="AFS31" s="28"/>
      <c r="AFT31" s="28"/>
      <c r="AFU31" s="28"/>
      <c r="AFV31" s="28"/>
      <c r="AFW31" s="28"/>
      <c r="AFX31" s="28"/>
      <c r="AFY31" s="28"/>
      <c r="AFZ31" s="28"/>
      <c r="AGA31" s="28"/>
      <c r="AGB31" s="28"/>
      <c r="AGC31" s="28"/>
      <c r="AGD31" s="28"/>
      <c r="AGE31" s="28"/>
      <c r="AGF31" s="28"/>
      <c r="AGG31" s="28"/>
      <c r="AGH31" s="28"/>
      <c r="AGI31" s="28"/>
      <c r="AGJ31" s="28"/>
      <c r="AGK31" s="28"/>
      <c r="AGL31" s="28"/>
      <c r="AGM31" s="28"/>
      <c r="AGN31" s="28"/>
      <c r="AGO31" s="28"/>
      <c r="AGP31" s="28"/>
      <c r="AGQ31" s="28"/>
      <c r="AGR31" s="28"/>
      <c r="AGS31" s="28"/>
      <c r="AGT31" s="28"/>
      <c r="AGU31" s="28"/>
      <c r="AGV31" s="28"/>
      <c r="AGW31" s="28"/>
      <c r="AGX31" s="28"/>
      <c r="AGY31" s="28"/>
      <c r="AGZ31" s="28"/>
      <c r="AHA31" s="28"/>
      <c r="AHB31" s="28"/>
      <c r="AHC31" s="28"/>
      <c r="AHD31" s="28"/>
      <c r="AHE31" s="28"/>
      <c r="AHF31" s="28"/>
      <c r="AHG31" s="28"/>
      <c r="AHH31" s="28"/>
      <c r="AHI31" s="28"/>
      <c r="AHJ31" s="28"/>
      <c r="AHK31" s="28"/>
      <c r="AHL31" s="28"/>
      <c r="AHM31" s="28"/>
      <c r="AHN31" s="28"/>
      <c r="AHO31" s="28"/>
      <c r="AHP31" s="28"/>
      <c r="AHQ31" s="28"/>
      <c r="AHR31" s="28"/>
      <c r="AHS31" s="28"/>
      <c r="AHT31" s="28"/>
      <c r="AHU31" s="28"/>
      <c r="AHV31" s="28"/>
      <c r="AHW31" s="28"/>
      <c r="AHX31" s="28"/>
      <c r="AHY31" s="28"/>
      <c r="AHZ31" s="28"/>
      <c r="AIA31" s="28"/>
      <c r="AIB31" s="28"/>
      <c r="AIC31" s="28"/>
      <c r="AID31" s="28"/>
      <c r="AIE31" s="28"/>
      <c r="AIF31" s="28"/>
      <c r="AIG31" s="28"/>
      <c r="AIH31" s="28"/>
      <c r="AII31" s="28"/>
      <c r="AIJ31" s="28"/>
      <c r="AIK31" s="28"/>
      <c r="AIL31" s="28"/>
      <c r="AIM31" s="28"/>
      <c r="AIN31" s="28"/>
      <c r="AIO31" s="28"/>
      <c r="AIP31" s="28"/>
      <c r="AIQ31" s="28"/>
      <c r="AIR31" s="28"/>
      <c r="AIS31" s="28"/>
      <c r="AIT31" s="28"/>
      <c r="AIU31" s="28"/>
      <c r="AIV31" s="28"/>
      <c r="AIW31" s="28"/>
      <c r="AIX31" s="28"/>
      <c r="AIY31" s="28"/>
      <c r="AIZ31" s="28"/>
      <c r="AJA31" s="28"/>
      <c r="AJB31" s="28"/>
      <c r="AJC31" s="28"/>
      <c r="AJD31" s="28"/>
      <c r="AJE31" s="28"/>
      <c r="AJF31" s="28"/>
      <c r="AJG31" s="28"/>
      <c r="AJH31" s="28"/>
      <c r="AJI31" s="28"/>
      <c r="AJJ31" s="28"/>
      <c r="AJK31" s="28"/>
      <c r="AJL31" s="28"/>
      <c r="AJM31" s="28"/>
      <c r="AJN31" s="28"/>
      <c r="AJO31" s="28"/>
      <c r="AJP31" s="28"/>
      <c r="AJQ31" s="28"/>
      <c r="AJR31" s="28"/>
      <c r="AJS31" s="28"/>
      <c r="AJT31" s="28"/>
      <c r="AJU31" s="28"/>
      <c r="AJV31" s="28"/>
      <c r="AJW31" s="28"/>
      <c r="AJX31" s="28"/>
      <c r="AJY31" s="28"/>
      <c r="AJZ31" s="28"/>
      <c r="AKA31" s="28"/>
      <c r="AKB31" s="28"/>
      <c r="AKC31" s="28"/>
      <c r="AKD31" s="28"/>
      <c r="AKE31" s="28"/>
      <c r="AKF31" s="28"/>
      <c r="AKG31" s="28"/>
      <c r="AKH31" s="28"/>
      <c r="AKI31" s="28"/>
      <c r="AKJ31" s="28"/>
      <c r="AKK31" s="28"/>
      <c r="AKL31" s="28"/>
      <c r="AKM31" s="28"/>
      <c r="AKN31" s="28"/>
      <c r="AKO31" s="28"/>
      <c r="AKP31" s="28"/>
      <c r="AKQ31" s="28"/>
      <c r="AKR31" s="28"/>
      <c r="AKS31" s="28"/>
      <c r="AKT31" s="28"/>
      <c r="AKU31" s="28"/>
      <c r="AKV31" s="28"/>
      <c r="AKW31" s="28"/>
      <c r="AKX31" s="28"/>
      <c r="AKY31" s="28"/>
      <c r="AKZ31" s="28"/>
      <c r="ALA31" s="28"/>
      <c r="ALB31" s="28"/>
      <c r="ALC31" s="28"/>
      <c r="ALD31" s="28"/>
      <c r="ALE31" s="28"/>
      <c r="ALF31" s="28"/>
      <c r="ALG31" s="28"/>
      <c r="ALH31" s="28"/>
      <c r="ALI31" s="28"/>
      <c r="ALJ31" s="28"/>
      <c r="ALK31" s="28"/>
      <c r="ALL31" s="28"/>
      <c r="ALM31" s="28"/>
      <c r="ALN31" s="28"/>
      <c r="ALO31" s="28"/>
      <c r="ALP31" s="28"/>
      <c r="ALQ31" s="28"/>
      <c r="ALR31" s="28"/>
      <c r="ALS31" s="28"/>
      <c r="ALT31" s="28"/>
      <c r="ALU31" s="28"/>
      <c r="ALV31" s="28"/>
      <c r="ALW31" s="28"/>
      <c r="ALX31" s="28"/>
      <c r="ALY31" s="28"/>
      <c r="ALZ31" s="28"/>
      <c r="AMA31" s="28"/>
      <c r="AMB31" s="28"/>
      <c r="AMC31" s="28"/>
      <c r="AMD31" s="28"/>
      <c r="AME31" s="28"/>
      <c r="AMF31" s="28"/>
      <c r="AMG31" s="28"/>
      <c r="AMH31" s="28"/>
      <c r="AMI31" s="28"/>
      <c r="AMJ31" s="28"/>
      <c r="AMK31" s="28"/>
      <c r="AML31" s="28"/>
      <c r="AMM31" s="28"/>
      <c r="AMN31" s="28"/>
      <c r="AMO31" s="28"/>
      <c r="AMP31" s="28"/>
      <c r="AMQ31" s="28"/>
      <c r="AMR31" s="28"/>
      <c r="AMS31" s="28"/>
      <c r="AMT31" s="28"/>
      <c r="AMU31" s="28"/>
      <c r="AMV31" s="28"/>
      <c r="AMW31" s="28"/>
      <c r="AMX31" s="28"/>
      <c r="AMY31" s="28"/>
      <c r="AMZ31" s="28"/>
      <c r="ANA31" s="28"/>
      <c r="ANB31" s="28"/>
      <c r="ANC31" s="28"/>
      <c r="AND31" s="28"/>
      <c r="ANE31" s="28"/>
      <c r="ANF31" s="28"/>
      <c r="ANG31" s="28"/>
      <c r="ANH31" s="28"/>
      <c r="ANI31" s="28"/>
      <c r="ANJ31" s="28"/>
      <c r="ANK31" s="28"/>
      <c r="ANL31" s="28"/>
      <c r="ANM31" s="28"/>
      <c r="ANN31" s="28"/>
      <c r="ANO31" s="28"/>
      <c r="ANP31" s="28"/>
      <c r="ANQ31" s="28"/>
      <c r="ANR31" s="28"/>
      <c r="ANS31" s="28"/>
      <c r="ANT31" s="28"/>
      <c r="ANU31" s="28"/>
      <c r="ANV31" s="28"/>
      <c r="ANW31" s="28"/>
      <c r="ANX31" s="28"/>
      <c r="ANY31" s="28"/>
      <c r="ANZ31" s="28"/>
      <c r="AOA31" s="28"/>
      <c r="AOB31" s="28"/>
      <c r="AOC31" s="28"/>
      <c r="AOD31" s="28"/>
      <c r="AOE31" s="28"/>
      <c r="AOF31" s="28"/>
      <c r="AOG31" s="28"/>
      <c r="AOH31" s="28"/>
      <c r="AOI31" s="28"/>
      <c r="AOJ31" s="28"/>
      <c r="AOK31" s="28"/>
      <c r="AOL31" s="28"/>
      <c r="AOM31" s="28"/>
      <c r="AON31" s="28"/>
      <c r="AOO31" s="28"/>
      <c r="AOP31" s="28"/>
      <c r="AOQ31" s="28"/>
      <c r="AOR31" s="28"/>
      <c r="AOS31" s="28"/>
      <c r="AOT31" s="28"/>
      <c r="AOU31" s="28"/>
      <c r="AOV31" s="28"/>
      <c r="AOW31" s="28"/>
      <c r="AOX31" s="28"/>
      <c r="AOY31" s="28"/>
      <c r="AOZ31" s="28"/>
      <c r="APA31" s="28"/>
      <c r="APB31" s="28"/>
      <c r="APC31" s="28"/>
      <c r="APD31" s="28"/>
      <c r="APE31" s="28"/>
      <c r="APF31" s="28"/>
      <c r="APG31" s="28"/>
      <c r="APH31" s="28"/>
      <c r="API31" s="28"/>
      <c r="APJ31" s="28"/>
      <c r="APK31" s="28"/>
      <c r="APL31" s="28"/>
      <c r="APM31" s="28"/>
      <c r="APN31" s="28"/>
      <c r="APO31" s="28"/>
      <c r="APP31" s="28"/>
      <c r="APQ31" s="28"/>
      <c r="APR31" s="28"/>
      <c r="APS31" s="28"/>
      <c r="APT31" s="28"/>
      <c r="APU31" s="28"/>
      <c r="APV31" s="28"/>
      <c r="APW31" s="28"/>
      <c r="APX31" s="28"/>
      <c r="APY31" s="28"/>
      <c r="APZ31" s="28"/>
      <c r="AQA31" s="28"/>
      <c r="AQB31" s="28"/>
      <c r="AQC31" s="28"/>
      <c r="AQD31" s="28"/>
      <c r="AQE31" s="28"/>
      <c r="AQF31" s="28"/>
      <c r="AQG31" s="28"/>
      <c r="AQH31" s="28"/>
      <c r="AQI31" s="28"/>
      <c r="AQJ31" s="28"/>
      <c r="AQK31" s="28"/>
      <c r="AQL31" s="28"/>
      <c r="AQM31" s="28"/>
      <c r="AQN31" s="28"/>
      <c r="AQO31" s="28"/>
      <c r="AQP31" s="28"/>
      <c r="AQQ31" s="28"/>
      <c r="AQR31" s="28"/>
      <c r="AQS31" s="28"/>
      <c r="AQT31" s="28"/>
      <c r="AQU31" s="28"/>
      <c r="AQV31" s="28"/>
      <c r="AQW31" s="28"/>
      <c r="AQX31" s="28"/>
      <c r="AQY31" s="28"/>
      <c r="AQZ31" s="28"/>
      <c r="ARA31" s="28"/>
      <c r="ARB31" s="28"/>
      <c r="ARC31" s="28"/>
      <c r="ARD31" s="28"/>
      <c r="ARE31" s="28"/>
      <c r="ARF31" s="28"/>
      <c r="ARG31" s="28"/>
      <c r="ARH31" s="28"/>
      <c r="ARI31" s="28"/>
      <c r="ARJ31" s="28"/>
      <c r="ARK31" s="28"/>
      <c r="ARL31" s="28"/>
      <c r="ARM31" s="28"/>
      <c r="ARN31" s="28"/>
      <c r="ARO31" s="28"/>
      <c r="ARP31" s="28"/>
      <c r="ARQ31" s="28"/>
      <c r="ARR31" s="28"/>
      <c r="ARS31" s="28"/>
      <c r="ART31" s="28"/>
      <c r="ARU31" s="28"/>
      <c r="ARV31" s="28"/>
      <c r="ARW31" s="28"/>
      <c r="ARX31" s="28"/>
      <c r="ARY31" s="28"/>
      <c r="ARZ31" s="28"/>
      <c r="ASA31" s="28"/>
      <c r="ASB31" s="28"/>
      <c r="ASC31" s="28"/>
      <c r="ASD31" s="28"/>
      <c r="ASE31" s="28"/>
      <c r="ASF31" s="28"/>
      <c r="ASG31" s="28"/>
      <c r="ASH31" s="28"/>
      <c r="ASI31" s="28"/>
      <c r="ASJ31" s="28"/>
      <c r="ASK31" s="28"/>
      <c r="ASL31" s="28"/>
      <c r="ASM31" s="28"/>
      <c r="ASN31" s="28"/>
      <c r="ASO31" s="28"/>
      <c r="ASP31" s="28"/>
      <c r="ASQ31" s="28"/>
      <c r="ASR31" s="28"/>
      <c r="ASS31" s="28"/>
      <c r="AST31" s="28"/>
      <c r="ASU31" s="28"/>
      <c r="ASV31" s="28"/>
      <c r="ASW31" s="28"/>
      <c r="ASX31" s="28"/>
      <c r="ASY31" s="28"/>
      <c r="ASZ31" s="28"/>
      <c r="ATA31" s="28"/>
      <c r="ATB31" s="28"/>
      <c r="ATC31" s="28"/>
      <c r="ATD31" s="28"/>
      <c r="ATE31" s="28"/>
      <c r="ATF31" s="28"/>
      <c r="ATG31" s="28"/>
      <c r="ATH31" s="28"/>
      <c r="ATI31" s="28"/>
      <c r="ATJ31" s="28"/>
      <c r="ATK31" s="28"/>
      <c r="ATL31" s="28"/>
      <c r="ATM31" s="28"/>
      <c r="ATN31" s="28"/>
      <c r="ATO31" s="28"/>
      <c r="ATP31" s="28"/>
      <c r="ATQ31" s="28"/>
      <c r="ATR31" s="28"/>
      <c r="ATS31" s="28"/>
      <c r="ATT31" s="28"/>
      <c r="ATU31" s="28"/>
      <c r="ATV31" s="28"/>
      <c r="ATW31" s="28"/>
      <c r="ATX31" s="28"/>
      <c r="ATY31" s="28"/>
      <c r="ATZ31" s="28"/>
      <c r="AUA31" s="28"/>
      <c r="AUB31" s="28"/>
      <c r="AUC31" s="28"/>
      <c r="AUD31" s="28"/>
      <c r="AUE31" s="28"/>
      <c r="AUF31" s="28"/>
      <c r="AUG31" s="28"/>
      <c r="AUH31" s="28"/>
      <c r="AUI31" s="28"/>
      <c r="AUJ31" s="28"/>
      <c r="AUK31" s="28"/>
      <c r="AUL31" s="28"/>
      <c r="AUM31" s="28"/>
      <c r="AUN31" s="28"/>
      <c r="AUO31" s="28"/>
      <c r="AUP31" s="28"/>
      <c r="AUQ31" s="28"/>
      <c r="AUR31" s="28"/>
      <c r="AUS31" s="28"/>
      <c r="AUT31" s="28"/>
      <c r="AUU31" s="28"/>
      <c r="AUV31" s="28"/>
      <c r="AUW31" s="28"/>
      <c r="AUX31" s="28"/>
      <c r="AUY31" s="28"/>
      <c r="AUZ31" s="28"/>
      <c r="AVA31" s="28"/>
      <c r="AVB31" s="28"/>
      <c r="AVC31" s="28"/>
      <c r="AVD31" s="28"/>
      <c r="AVE31" s="28"/>
      <c r="AVF31" s="28"/>
      <c r="AVG31" s="28"/>
      <c r="AVH31" s="28"/>
      <c r="AVI31" s="28"/>
      <c r="AVJ31" s="28"/>
      <c r="AVK31" s="28"/>
      <c r="AVL31" s="28"/>
      <c r="AVM31" s="28"/>
      <c r="AVN31" s="28"/>
      <c r="AVO31" s="28"/>
      <c r="AVP31" s="28"/>
      <c r="AVQ31" s="28"/>
      <c r="AVR31" s="28"/>
      <c r="AVS31" s="28"/>
      <c r="AVT31" s="28"/>
      <c r="AVU31" s="28"/>
      <c r="AVV31" s="28"/>
      <c r="AVW31" s="28"/>
      <c r="AVX31" s="28"/>
      <c r="AVY31" s="28"/>
      <c r="AVZ31" s="28"/>
      <c r="AWA31" s="28"/>
      <c r="AWB31" s="28"/>
      <c r="AWC31" s="28"/>
      <c r="AWD31" s="28"/>
      <c r="AWE31" s="28"/>
      <c r="AWF31" s="28"/>
      <c r="AWG31" s="28"/>
      <c r="AWH31" s="28"/>
      <c r="AWI31" s="28"/>
      <c r="AWJ31" s="28"/>
      <c r="AWK31" s="28"/>
      <c r="AWL31" s="28"/>
      <c r="AWM31" s="28"/>
      <c r="AWN31" s="28"/>
      <c r="AWO31" s="28"/>
      <c r="AWP31" s="28"/>
      <c r="AWQ31" s="28"/>
      <c r="AWR31" s="28"/>
      <c r="AWS31" s="28"/>
      <c r="AWT31" s="28"/>
      <c r="AWU31" s="28"/>
      <c r="AWV31" s="28"/>
      <c r="AWW31" s="28"/>
      <c r="AWX31" s="28"/>
      <c r="AWY31" s="28"/>
      <c r="AWZ31" s="28"/>
      <c r="AXA31" s="28"/>
      <c r="AXB31" s="28"/>
      <c r="AXC31" s="28"/>
      <c r="AXD31" s="28"/>
      <c r="AXE31" s="28"/>
      <c r="AXF31" s="28"/>
      <c r="AXG31" s="28"/>
      <c r="AXH31" s="28"/>
      <c r="AXI31" s="28"/>
      <c r="AXJ31" s="28"/>
      <c r="AXK31" s="28"/>
      <c r="AXL31" s="28"/>
      <c r="AXM31" s="28"/>
      <c r="AXN31" s="28"/>
      <c r="AXO31" s="28"/>
      <c r="AXP31" s="28"/>
      <c r="AXQ31" s="28"/>
      <c r="AXR31" s="28"/>
      <c r="AXS31" s="28"/>
      <c r="AXT31" s="28"/>
      <c r="AXU31" s="28"/>
      <c r="AXV31" s="28"/>
      <c r="AXW31" s="28"/>
      <c r="AXX31" s="28"/>
      <c r="AXY31" s="28"/>
      <c r="AXZ31" s="28"/>
      <c r="AYA31" s="28"/>
      <c r="AYB31" s="28"/>
      <c r="AYC31" s="28"/>
      <c r="AYD31" s="28"/>
      <c r="AYE31" s="28"/>
      <c r="AYF31" s="28"/>
      <c r="AYG31" s="28"/>
      <c r="AYH31" s="28"/>
      <c r="AYI31" s="28"/>
      <c r="AYJ31" s="28"/>
      <c r="AYK31" s="28"/>
      <c r="AYL31" s="28"/>
      <c r="AYM31" s="28"/>
      <c r="AYN31" s="28"/>
      <c r="AYO31" s="28"/>
      <c r="AYP31" s="28"/>
      <c r="AYQ31" s="28"/>
      <c r="AYR31" s="28"/>
      <c r="AYS31" s="28"/>
      <c r="AYT31" s="28"/>
      <c r="AYU31" s="28"/>
      <c r="AYV31" s="28"/>
      <c r="AYW31" s="28"/>
      <c r="AYX31" s="28"/>
      <c r="AYY31" s="28"/>
      <c r="AYZ31" s="28"/>
      <c r="AZA31" s="28"/>
      <c r="AZB31" s="28"/>
      <c r="AZC31" s="28"/>
      <c r="AZD31" s="28"/>
      <c r="AZE31" s="28"/>
      <c r="AZF31" s="28"/>
      <c r="AZG31" s="28"/>
      <c r="AZH31" s="28"/>
      <c r="AZI31" s="28"/>
      <c r="AZJ31" s="28"/>
      <c r="AZK31" s="28"/>
      <c r="AZL31" s="28"/>
      <c r="AZM31" s="28"/>
      <c r="AZN31" s="28"/>
      <c r="AZO31" s="28"/>
      <c r="AZP31" s="28"/>
      <c r="AZQ31" s="28"/>
      <c r="AZR31" s="28"/>
      <c r="AZS31" s="28"/>
      <c r="AZT31" s="28"/>
      <c r="AZU31" s="28"/>
      <c r="AZV31" s="28"/>
      <c r="AZW31" s="28"/>
      <c r="AZX31" s="28"/>
      <c r="AZY31" s="28"/>
      <c r="AZZ31" s="28"/>
      <c r="BAA31" s="28"/>
      <c r="BAB31" s="28"/>
      <c r="BAC31" s="28"/>
      <c r="BAD31" s="28"/>
      <c r="BAE31" s="28"/>
      <c r="BAF31" s="28"/>
      <c r="BAG31" s="28"/>
      <c r="BAH31" s="28"/>
      <c r="BAI31" s="28"/>
      <c r="BAJ31" s="28"/>
      <c r="BAK31" s="28"/>
      <c r="BAL31" s="28"/>
      <c r="BAM31" s="28"/>
      <c r="BAN31" s="28"/>
      <c r="BAO31" s="28"/>
      <c r="BAP31" s="28"/>
      <c r="BAQ31" s="28"/>
      <c r="BAR31" s="28"/>
      <c r="BAS31" s="28"/>
      <c r="BAT31" s="28"/>
      <c r="BAU31" s="28"/>
      <c r="BAV31" s="28"/>
      <c r="BAW31" s="28"/>
      <c r="BAX31" s="28"/>
      <c r="BAY31" s="28"/>
      <c r="BAZ31" s="28"/>
      <c r="BBA31" s="28"/>
      <c r="BBB31" s="28"/>
      <c r="BBC31" s="28"/>
      <c r="BBD31" s="28"/>
      <c r="BBE31" s="28"/>
      <c r="BBF31" s="28"/>
      <c r="BBG31" s="28"/>
      <c r="BBH31" s="28"/>
      <c r="BBI31" s="28"/>
      <c r="BBJ31" s="28"/>
      <c r="BBK31" s="28"/>
      <c r="BBL31" s="28"/>
      <c r="BBM31" s="28"/>
      <c r="BBN31" s="28"/>
      <c r="BBO31" s="28"/>
      <c r="BBP31" s="28"/>
      <c r="BBQ31" s="28"/>
      <c r="BBR31" s="28"/>
      <c r="BBS31" s="28"/>
      <c r="BBT31" s="28"/>
      <c r="BBU31" s="28"/>
      <c r="BBV31" s="28"/>
      <c r="BBW31" s="28"/>
      <c r="BBX31" s="28"/>
      <c r="BBY31" s="28"/>
      <c r="BBZ31" s="28"/>
      <c r="BCA31" s="28"/>
      <c r="BCB31" s="28"/>
      <c r="BCC31" s="28"/>
      <c r="BCD31" s="28"/>
      <c r="BCE31" s="28"/>
      <c r="BCF31" s="28"/>
      <c r="BCG31" s="28"/>
      <c r="BCH31" s="28"/>
      <c r="BCI31" s="28"/>
      <c r="BCJ31" s="28"/>
      <c r="BCK31" s="28"/>
      <c r="BCL31" s="28"/>
      <c r="BCM31" s="28"/>
      <c r="BCN31" s="28"/>
      <c r="BCO31" s="28"/>
      <c r="BCP31" s="28"/>
      <c r="BCQ31" s="28"/>
      <c r="BCR31" s="28"/>
      <c r="BCS31" s="28"/>
      <c r="BCT31" s="28"/>
      <c r="BCU31" s="28"/>
      <c r="BCV31" s="28"/>
      <c r="BCW31" s="28"/>
      <c r="BCX31" s="28"/>
      <c r="BCY31" s="28"/>
      <c r="BCZ31" s="28"/>
      <c r="BDA31" s="28"/>
      <c r="BDB31" s="28"/>
      <c r="BDC31" s="28"/>
      <c r="BDD31" s="28"/>
      <c r="BDE31" s="28"/>
      <c r="BDF31" s="28"/>
      <c r="BDG31" s="28"/>
      <c r="BDH31" s="28"/>
      <c r="BDI31" s="28"/>
      <c r="BDJ31" s="28"/>
      <c r="BDK31" s="28"/>
      <c r="BDL31" s="28"/>
      <c r="BDM31" s="28"/>
      <c r="BDN31" s="28"/>
      <c r="BDO31" s="28"/>
      <c r="BDP31" s="28"/>
      <c r="BDQ31" s="28"/>
      <c r="BDR31" s="28"/>
      <c r="BDS31" s="28"/>
      <c r="BDT31" s="28"/>
      <c r="BDU31" s="28"/>
      <c r="BDV31" s="28"/>
      <c r="BDW31" s="28"/>
      <c r="BDX31" s="28"/>
      <c r="BDY31" s="28"/>
      <c r="BDZ31" s="28"/>
      <c r="BEA31" s="28"/>
      <c r="BEB31" s="28"/>
      <c r="BEC31" s="28"/>
      <c r="BED31" s="28"/>
      <c r="BEE31" s="28"/>
      <c r="BEF31" s="28"/>
      <c r="BEG31" s="28"/>
      <c r="BEH31" s="28"/>
      <c r="BEI31" s="28"/>
      <c r="BEJ31" s="28"/>
      <c r="BEK31" s="28"/>
      <c r="BEL31" s="28"/>
      <c r="BEM31" s="28"/>
      <c r="BEN31" s="28"/>
      <c r="BEO31" s="28"/>
      <c r="BEP31" s="28"/>
      <c r="BEQ31" s="28"/>
      <c r="BER31" s="28"/>
      <c r="BES31" s="28"/>
      <c r="BET31" s="28"/>
      <c r="BEU31" s="28"/>
      <c r="BEV31" s="28"/>
      <c r="BEW31" s="28"/>
      <c r="BEX31" s="28"/>
      <c r="BEY31" s="28"/>
      <c r="BEZ31" s="28"/>
      <c r="BFA31" s="28"/>
      <c r="BFB31" s="28"/>
      <c r="BFC31" s="28"/>
      <c r="BFD31" s="28"/>
      <c r="BFE31" s="28"/>
      <c r="BFF31" s="28"/>
      <c r="BFG31" s="28"/>
      <c r="BFH31" s="28"/>
      <c r="BFI31" s="28"/>
      <c r="BFJ31" s="28"/>
      <c r="BFK31" s="28"/>
      <c r="BFL31" s="28"/>
      <c r="BFM31" s="28"/>
      <c r="BFN31" s="28"/>
      <c r="BFO31" s="28"/>
      <c r="BFP31" s="28"/>
      <c r="BFQ31" s="28"/>
      <c r="BFR31" s="28"/>
      <c r="BFS31" s="28"/>
      <c r="BFT31" s="28"/>
      <c r="BFU31" s="28"/>
      <c r="BFV31" s="28"/>
      <c r="BFW31" s="28"/>
      <c r="BFX31" s="28"/>
      <c r="BFY31" s="28"/>
      <c r="BFZ31" s="28"/>
      <c r="BGA31" s="28"/>
      <c r="BGB31" s="28"/>
      <c r="BGC31" s="28"/>
      <c r="BGD31" s="28"/>
      <c r="BGE31" s="28"/>
      <c r="BGF31" s="28"/>
      <c r="BGG31" s="28"/>
      <c r="BGH31" s="28"/>
      <c r="BGI31" s="28"/>
      <c r="BGJ31" s="28"/>
      <c r="BGK31" s="28"/>
      <c r="BGL31" s="28"/>
      <c r="BGM31" s="28"/>
      <c r="BGN31" s="28"/>
      <c r="BGO31" s="28"/>
      <c r="BGP31" s="28"/>
      <c r="BGQ31" s="28"/>
      <c r="BGR31" s="28"/>
      <c r="BGS31" s="28"/>
      <c r="BGT31" s="28"/>
      <c r="BGU31" s="28"/>
      <c r="BGV31" s="28"/>
      <c r="BGW31" s="28"/>
      <c r="BGX31" s="28"/>
      <c r="BGY31" s="28"/>
      <c r="BGZ31" s="28"/>
      <c r="BHA31" s="28"/>
      <c r="BHB31" s="28"/>
      <c r="BHC31" s="28"/>
      <c r="BHD31" s="28"/>
      <c r="BHE31" s="28"/>
      <c r="BHF31" s="28"/>
      <c r="BHG31" s="28"/>
      <c r="BHH31" s="28"/>
      <c r="BHI31" s="28"/>
      <c r="BHJ31" s="28"/>
      <c r="BHK31" s="28"/>
      <c r="BHL31" s="28"/>
      <c r="BHM31" s="28"/>
      <c r="BHN31" s="28"/>
      <c r="BHO31" s="28"/>
      <c r="BHP31" s="28"/>
      <c r="BHQ31" s="28"/>
      <c r="BHR31" s="28"/>
      <c r="BHS31" s="28"/>
      <c r="BHT31" s="28"/>
      <c r="BHU31" s="28"/>
      <c r="BHV31" s="28"/>
      <c r="BHW31" s="28"/>
      <c r="BHX31" s="28"/>
      <c r="BHY31" s="28"/>
      <c r="BHZ31" s="28"/>
      <c r="BIA31" s="28"/>
      <c r="BIB31" s="28"/>
      <c r="BIC31" s="28"/>
      <c r="BID31" s="28"/>
      <c r="BIE31" s="28"/>
      <c r="BIF31" s="28"/>
      <c r="BIG31" s="28"/>
      <c r="BIH31" s="28"/>
      <c r="BII31" s="28"/>
      <c r="BIJ31" s="28"/>
      <c r="BIK31" s="28"/>
      <c r="BIL31" s="28"/>
      <c r="BIM31" s="28"/>
      <c r="BIN31" s="28"/>
      <c r="BIO31" s="28"/>
      <c r="BIP31" s="28"/>
      <c r="BIQ31" s="28"/>
      <c r="BIR31" s="28"/>
      <c r="BIS31" s="28"/>
      <c r="BIT31" s="28"/>
      <c r="BIU31" s="28"/>
      <c r="BIV31" s="28"/>
      <c r="BIW31" s="28"/>
      <c r="BIX31" s="28"/>
      <c r="BIY31" s="28"/>
      <c r="BIZ31" s="28"/>
      <c r="BJA31" s="28"/>
      <c r="BJB31" s="28"/>
      <c r="BJC31" s="28"/>
      <c r="BJD31" s="28"/>
      <c r="BJE31" s="28"/>
      <c r="BJF31" s="28"/>
      <c r="BJG31" s="28"/>
      <c r="BJH31" s="28"/>
      <c r="BJI31" s="28"/>
      <c r="BJJ31" s="28"/>
      <c r="BJK31" s="28"/>
      <c r="BJL31" s="28"/>
      <c r="BJM31" s="28"/>
      <c r="BJN31" s="28"/>
      <c r="BJO31" s="28"/>
      <c r="BJP31" s="28"/>
      <c r="BJQ31" s="28"/>
      <c r="BJR31" s="28"/>
      <c r="BJS31" s="28"/>
      <c r="BJT31" s="28"/>
      <c r="BJU31" s="28"/>
      <c r="BJV31" s="28"/>
      <c r="BJW31" s="28"/>
      <c r="BJX31" s="28"/>
      <c r="BJY31" s="28"/>
      <c r="BJZ31" s="28"/>
      <c r="BKA31" s="28"/>
      <c r="BKB31" s="28"/>
      <c r="BKC31" s="28"/>
      <c r="BKD31" s="28"/>
      <c r="BKE31" s="28"/>
      <c r="BKF31" s="28"/>
      <c r="BKG31" s="28"/>
      <c r="BKH31" s="28"/>
      <c r="BKI31" s="28"/>
      <c r="BKJ31" s="28"/>
      <c r="BKK31" s="28"/>
      <c r="BKL31" s="28"/>
      <c r="BKM31" s="28"/>
      <c r="BKN31" s="28"/>
      <c r="BKO31" s="28"/>
      <c r="BKP31" s="28"/>
      <c r="BKQ31" s="28"/>
      <c r="BKR31" s="28"/>
      <c r="BKS31" s="28"/>
      <c r="BKT31" s="28"/>
      <c r="BKU31" s="28"/>
      <c r="BKV31" s="28"/>
      <c r="BKW31" s="28"/>
      <c r="BKX31" s="28"/>
      <c r="BKY31" s="28"/>
      <c r="BKZ31" s="28"/>
      <c r="BLA31" s="28"/>
      <c r="BLB31" s="28"/>
      <c r="BLC31" s="28"/>
      <c r="BLD31" s="28"/>
      <c r="BLE31" s="28"/>
      <c r="BLF31" s="28"/>
      <c r="BLG31" s="28"/>
      <c r="BLH31" s="28"/>
      <c r="BLI31" s="28"/>
      <c r="BLJ31" s="28"/>
      <c r="BLK31" s="28"/>
      <c r="BLL31" s="28"/>
      <c r="BLM31" s="28"/>
      <c r="BLN31" s="28"/>
      <c r="BLO31" s="28"/>
      <c r="BLP31" s="28"/>
      <c r="BLQ31" s="28"/>
      <c r="BLR31" s="28"/>
      <c r="BLS31" s="28"/>
      <c r="BLT31" s="28"/>
      <c r="BLU31" s="28"/>
      <c r="BLV31" s="28"/>
      <c r="BLW31" s="28"/>
      <c r="BLX31" s="28"/>
      <c r="BLY31" s="28"/>
      <c r="BLZ31" s="28"/>
      <c r="BMA31" s="28"/>
      <c r="BMB31" s="28"/>
      <c r="BMC31" s="28"/>
      <c r="BMD31" s="28"/>
      <c r="BME31" s="28"/>
      <c r="BMF31" s="28"/>
      <c r="BMG31" s="28"/>
      <c r="BMH31" s="28"/>
      <c r="BMI31" s="28"/>
      <c r="BMJ31" s="28"/>
      <c r="BMK31" s="28"/>
      <c r="BML31" s="28"/>
      <c r="BMM31" s="28"/>
      <c r="BMN31" s="28"/>
      <c r="BMO31" s="28"/>
      <c r="BMP31" s="28"/>
      <c r="BMQ31" s="28"/>
      <c r="BMR31" s="28"/>
      <c r="BMS31" s="28"/>
      <c r="BMT31" s="28"/>
      <c r="BMU31" s="28"/>
      <c r="BMV31" s="28"/>
      <c r="BMW31" s="28"/>
      <c r="BMX31" s="28"/>
      <c r="BMY31" s="28"/>
      <c r="BMZ31" s="28"/>
      <c r="BNA31" s="28"/>
      <c r="BNB31" s="28"/>
      <c r="BNC31" s="28"/>
      <c r="BND31" s="28"/>
      <c r="BNE31" s="28"/>
      <c r="BNF31" s="28"/>
      <c r="BNG31" s="28"/>
      <c r="BNH31" s="28"/>
      <c r="BNI31" s="28"/>
      <c r="BNJ31" s="28"/>
      <c r="BNK31" s="28"/>
      <c r="BNL31" s="28"/>
      <c r="BNM31" s="28"/>
      <c r="BNN31" s="28"/>
      <c r="BNO31" s="28"/>
      <c r="BNP31" s="28"/>
      <c r="BNQ31" s="28"/>
      <c r="BNR31" s="28"/>
      <c r="BNS31" s="28"/>
      <c r="BNT31" s="28"/>
      <c r="BNU31" s="28"/>
      <c r="BNV31" s="28"/>
      <c r="BNW31" s="28"/>
      <c r="BNX31" s="28"/>
      <c r="BNY31" s="28"/>
      <c r="BNZ31" s="28"/>
      <c r="BOA31" s="28"/>
      <c r="BOB31" s="28"/>
      <c r="BOC31" s="28"/>
      <c r="BOD31" s="28"/>
      <c r="BOE31" s="28"/>
      <c r="BOF31" s="28"/>
      <c r="BOG31" s="28"/>
      <c r="BOH31" s="28"/>
      <c r="BOI31" s="28"/>
      <c r="BOJ31" s="28"/>
      <c r="BOK31" s="28"/>
      <c r="BOL31" s="28"/>
      <c r="BOM31" s="28"/>
      <c r="BON31" s="28"/>
      <c r="BOO31" s="28"/>
      <c r="BOP31" s="28"/>
      <c r="BOQ31" s="28"/>
      <c r="BOR31" s="28"/>
      <c r="BOS31" s="28"/>
      <c r="BOT31" s="28"/>
      <c r="BOU31" s="28"/>
      <c r="BOV31" s="28"/>
      <c r="BOW31" s="28"/>
      <c r="BOX31" s="28"/>
      <c r="BOY31" s="28"/>
      <c r="BOZ31" s="28"/>
      <c r="BPA31" s="28"/>
      <c r="BPB31" s="28"/>
      <c r="BPC31" s="28"/>
      <c r="BPD31" s="28"/>
      <c r="BPE31" s="28"/>
      <c r="BPF31" s="28"/>
      <c r="BPG31" s="28"/>
      <c r="BPH31" s="28"/>
      <c r="BPI31" s="28"/>
      <c r="BPJ31" s="28"/>
      <c r="BPK31" s="28"/>
      <c r="BPL31" s="28"/>
      <c r="BPM31" s="28"/>
      <c r="BPN31" s="28"/>
      <c r="BPO31" s="28"/>
      <c r="BPP31" s="28"/>
      <c r="BPQ31" s="28"/>
      <c r="BPR31" s="28"/>
      <c r="BPS31" s="28"/>
      <c r="BPT31" s="28"/>
      <c r="BPU31" s="28"/>
      <c r="BPV31" s="28"/>
      <c r="BPW31" s="28"/>
      <c r="BPX31" s="28"/>
      <c r="BPY31" s="28"/>
      <c r="BPZ31" s="28"/>
      <c r="BQA31" s="28"/>
      <c r="BQB31" s="28"/>
      <c r="BQC31" s="28"/>
      <c r="BQD31" s="28"/>
      <c r="BQE31" s="28"/>
      <c r="BQF31" s="28"/>
      <c r="BQG31" s="28"/>
      <c r="BQH31" s="28"/>
      <c r="BQI31" s="28"/>
      <c r="BQJ31" s="28"/>
      <c r="BQK31" s="28"/>
      <c r="BQL31" s="28"/>
      <c r="BQM31" s="28"/>
      <c r="BQN31" s="28"/>
      <c r="BQO31" s="28"/>
      <c r="BQP31" s="28"/>
      <c r="BQQ31" s="28"/>
      <c r="BQR31" s="28"/>
      <c r="BQS31" s="28"/>
      <c r="BQT31" s="28"/>
      <c r="BQU31" s="28"/>
      <c r="BQV31" s="28"/>
      <c r="BQW31" s="28"/>
      <c r="BQX31" s="28"/>
      <c r="BQY31" s="28"/>
      <c r="BQZ31" s="28"/>
      <c r="BRA31" s="28"/>
      <c r="BRB31" s="28"/>
      <c r="BRC31" s="28"/>
      <c r="BRD31" s="28"/>
      <c r="BRE31" s="28"/>
      <c r="BRF31" s="28"/>
      <c r="BRG31" s="28"/>
      <c r="BRH31" s="28"/>
      <c r="BRI31" s="28"/>
      <c r="BRJ31" s="28"/>
      <c r="BRK31" s="28"/>
      <c r="BRL31" s="28"/>
      <c r="BRM31" s="28"/>
      <c r="BRN31" s="28"/>
      <c r="BRO31" s="28"/>
      <c r="BRP31" s="28"/>
      <c r="BRQ31" s="28"/>
      <c r="BRR31" s="28"/>
      <c r="BRS31" s="28"/>
      <c r="BRT31" s="28"/>
      <c r="BRU31" s="28"/>
      <c r="BRV31" s="28"/>
      <c r="BRW31" s="28"/>
      <c r="BRX31" s="28"/>
      <c r="BRY31" s="28"/>
      <c r="BRZ31" s="28"/>
      <c r="BSA31" s="28"/>
      <c r="BSB31" s="28"/>
      <c r="BSC31" s="28"/>
      <c r="BSD31" s="28"/>
      <c r="BSE31" s="28"/>
      <c r="BSF31" s="28"/>
      <c r="BSG31" s="28"/>
      <c r="BSH31" s="28"/>
      <c r="BSI31" s="28"/>
      <c r="BSJ31" s="28"/>
      <c r="BSK31" s="28"/>
      <c r="BSL31" s="28"/>
      <c r="BSM31" s="28"/>
      <c r="BSN31" s="28"/>
      <c r="BSO31" s="28"/>
      <c r="BSP31" s="28"/>
      <c r="BSQ31" s="28"/>
      <c r="BSR31" s="28"/>
      <c r="BSS31" s="28"/>
      <c r="BST31" s="28"/>
      <c r="BSU31" s="28"/>
      <c r="BSV31" s="28"/>
      <c r="BSW31" s="28"/>
      <c r="BSX31" s="28"/>
      <c r="BSY31" s="28"/>
      <c r="BSZ31" s="28"/>
      <c r="BTA31" s="28"/>
      <c r="BTB31" s="28"/>
      <c r="BTC31" s="28"/>
      <c r="BTD31" s="28"/>
      <c r="BTE31" s="28"/>
      <c r="BTF31" s="28"/>
      <c r="BTG31" s="28"/>
      <c r="BTH31" s="28"/>
      <c r="BTI31" s="28"/>
      <c r="BTJ31" s="28"/>
      <c r="BTK31" s="28"/>
      <c r="BTL31" s="28"/>
      <c r="BTM31" s="28"/>
      <c r="BTN31" s="28"/>
      <c r="BTO31" s="28"/>
      <c r="BTP31" s="28"/>
      <c r="BTQ31" s="28"/>
      <c r="BTR31" s="28"/>
      <c r="BTS31" s="28"/>
      <c r="BTT31" s="28"/>
      <c r="BTU31" s="28"/>
      <c r="BTV31" s="28"/>
      <c r="BTW31" s="28"/>
      <c r="BTX31" s="28"/>
      <c r="BTY31" s="28"/>
      <c r="BTZ31" s="28"/>
      <c r="BUA31" s="28"/>
      <c r="BUB31" s="28"/>
      <c r="BUC31" s="28"/>
      <c r="BUD31" s="28"/>
      <c r="BUE31" s="28"/>
      <c r="BUF31" s="28"/>
      <c r="BUG31" s="28"/>
      <c r="BUH31" s="28"/>
      <c r="BUI31" s="28"/>
      <c r="BUJ31" s="28"/>
      <c r="BUK31" s="28"/>
      <c r="BUL31" s="28"/>
      <c r="BUM31" s="28"/>
      <c r="BUN31" s="28"/>
      <c r="BUO31" s="28"/>
      <c r="BUP31" s="28"/>
      <c r="BUQ31" s="28"/>
      <c r="BUR31" s="28"/>
      <c r="BUS31" s="28"/>
      <c r="BUT31" s="28"/>
      <c r="BUU31" s="28"/>
      <c r="BUV31" s="28"/>
      <c r="BUW31" s="28"/>
      <c r="BUX31" s="28"/>
      <c r="BUY31" s="28"/>
      <c r="BUZ31" s="28"/>
      <c r="BVA31" s="28"/>
      <c r="BVB31" s="28"/>
      <c r="BVC31" s="28"/>
      <c r="BVD31" s="28"/>
      <c r="BVE31" s="28"/>
      <c r="BVF31" s="28"/>
      <c r="BVG31" s="28"/>
      <c r="BVH31" s="28"/>
      <c r="BVI31" s="28"/>
      <c r="BVJ31" s="28"/>
      <c r="BVK31" s="28"/>
      <c r="BVL31" s="28"/>
      <c r="BVM31" s="28"/>
      <c r="BVN31" s="28"/>
      <c r="BVO31" s="28"/>
      <c r="BVP31" s="28"/>
      <c r="BVQ31" s="28"/>
      <c r="BVR31" s="28"/>
      <c r="BVS31" s="28"/>
      <c r="BVT31" s="28"/>
      <c r="BVU31" s="28"/>
      <c r="BVV31" s="28"/>
      <c r="BVW31" s="28"/>
      <c r="BVX31" s="28"/>
      <c r="BVY31" s="28"/>
      <c r="BVZ31" s="28"/>
      <c r="BWA31" s="28"/>
      <c r="BWB31" s="28"/>
      <c r="BWC31" s="28"/>
      <c r="BWD31" s="28"/>
      <c r="BWE31" s="28"/>
      <c r="BWF31" s="28"/>
      <c r="BWG31" s="28"/>
      <c r="BWH31" s="28"/>
      <c r="BWI31" s="28"/>
      <c r="BWJ31" s="28"/>
      <c r="BWK31" s="28"/>
      <c r="BWL31" s="28"/>
      <c r="BWM31" s="28"/>
      <c r="BWN31" s="28"/>
      <c r="BWO31" s="28"/>
      <c r="BWP31" s="28"/>
      <c r="BWQ31" s="28"/>
      <c r="BWR31" s="28"/>
      <c r="BWS31" s="28"/>
      <c r="BWT31" s="28"/>
      <c r="BWU31" s="28"/>
      <c r="BWV31" s="28"/>
      <c r="BWW31" s="28"/>
      <c r="BWX31" s="28"/>
      <c r="BWY31" s="28"/>
      <c r="BWZ31" s="28"/>
      <c r="BXA31" s="28"/>
      <c r="BXB31" s="28"/>
      <c r="BXC31" s="28"/>
      <c r="BXD31" s="28"/>
      <c r="BXE31" s="28"/>
      <c r="BXF31" s="28"/>
      <c r="BXG31" s="28"/>
      <c r="BXH31" s="28"/>
      <c r="BXI31" s="28"/>
      <c r="BXJ31" s="28"/>
      <c r="BXK31" s="28"/>
      <c r="BXL31" s="28"/>
      <c r="BXM31" s="28"/>
      <c r="BXN31" s="28"/>
      <c r="BXO31" s="28"/>
      <c r="BXP31" s="28"/>
      <c r="BXQ31" s="28"/>
      <c r="BXR31" s="28"/>
      <c r="BXS31" s="28"/>
      <c r="BXT31" s="28"/>
      <c r="BXU31" s="28"/>
      <c r="BXV31" s="28"/>
      <c r="BXW31" s="28"/>
      <c r="BXX31" s="28"/>
      <c r="BXY31" s="28"/>
      <c r="BXZ31" s="28"/>
      <c r="BYA31" s="28"/>
      <c r="BYB31" s="28"/>
      <c r="BYC31" s="28"/>
      <c r="BYD31" s="28"/>
      <c r="BYE31" s="28"/>
      <c r="BYF31" s="28"/>
      <c r="BYG31" s="28"/>
      <c r="BYH31" s="28"/>
      <c r="BYI31" s="28"/>
      <c r="BYJ31" s="28"/>
      <c r="BYK31" s="28"/>
      <c r="BYL31" s="28"/>
      <c r="BYM31" s="28"/>
      <c r="BYN31" s="28"/>
      <c r="BYO31" s="28"/>
      <c r="BYP31" s="28"/>
      <c r="BYQ31" s="28"/>
      <c r="BYR31" s="28"/>
      <c r="BYS31" s="28"/>
      <c r="BYT31" s="28"/>
      <c r="BYU31" s="28"/>
      <c r="BYV31" s="28"/>
      <c r="BYW31" s="28"/>
      <c r="BYX31" s="28"/>
      <c r="BYY31" s="28"/>
      <c r="BYZ31" s="28"/>
      <c r="BZA31" s="28"/>
      <c r="BZB31" s="28"/>
      <c r="BZC31" s="28"/>
      <c r="BZD31" s="28"/>
      <c r="BZE31" s="28"/>
      <c r="BZF31" s="28"/>
      <c r="BZG31" s="28"/>
      <c r="BZH31" s="28"/>
      <c r="BZI31" s="28"/>
      <c r="BZJ31" s="28"/>
      <c r="BZK31" s="28"/>
      <c r="BZL31" s="28"/>
      <c r="BZM31" s="28"/>
      <c r="BZN31" s="28"/>
      <c r="BZO31" s="28"/>
      <c r="BZP31" s="28"/>
      <c r="BZQ31" s="28"/>
      <c r="BZR31" s="28"/>
      <c r="BZS31" s="28"/>
      <c r="BZT31" s="28"/>
      <c r="BZU31" s="28"/>
      <c r="BZV31" s="28"/>
      <c r="BZW31" s="28"/>
      <c r="BZX31" s="28"/>
      <c r="BZY31" s="28"/>
      <c r="BZZ31" s="28"/>
      <c r="CAA31" s="28"/>
      <c r="CAB31" s="28"/>
      <c r="CAC31" s="28"/>
      <c r="CAD31" s="28"/>
      <c r="CAE31" s="28"/>
      <c r="CAF31" s="28"/>
      <c r="CAG31" s="28"/>
      <c r="CAH31" s="28"/>
      <c r="CAI31" s="28"/>
      <c r="CAJ31" s="28"/>
      <c r="CAK31" s="28"/>
      <c r="CAL31" s="28"/>
      <c r="CAM31" s="28"/>
      <c r="CAN31" s="28"/>
      <c r="CAO31" s="28"/>
      <c r="CAP31" s="28"/>
      <c r="CAQ31" s="28"/>
      <c r="CAR31" s="28"/>
      <c r="CAS31" s="28"/>
      <c r="CAT31" s="28"/>
      <c r="CAU31" s="28"/>
      <c r="CAV31" s="28"/>
      <c r="CAW31" s="28"/>
      <c r="CAX31" s="28"/>
      <c r="CAY31" s="28"/>
      <c r="CAZ31" s="28"/>
      <c r="CBA31" s="28"/>
      <c r="CBB31" s="28"/>
      <c r="CBC31" s="28"/>
      <c r="CBD31" s="28"/>
      <c r="CBE31" s="28"/>
      <c r="CBF31" s="28"/>
      <c r="CBG31" s="28"/>
      <c r="CBH31" s="28"/>
      <c r="CBI31" s="28"/>
      <c r="CBJ31" s="28"/>
      <c r="CBK31" s="28"/>
      <c r="CBL31" s="28"/>
      <c r="CBM31" s="28"/>
      <c r="CBN31" s="28"/>
      <c r="CBO31" s="28"/>
      <c r="CBP31" s="28"/>
      <c r="CBQ31" s="28"/>
      <c r="CBR31" s="28"/>
      <c r="CBS31" s="28"/>
      <c r="CBT31" s="28"/>
      <c r="CBU31" s="28"/>
      <c r="CBV31" s="28"/>
      <c r="CBW31" s="28"/>
      <c r="CBX31" s="28"/>
      <c r="CBY31" s="28"/>
      <c r="CBZ31" s="28"/>
      <c r="CCA31" s="28"/>
      <c r="CCB31" s="28"/>
      <c r="CCC31" s="28"/>
      <c r="CCD31" s="28"/>
      <c r="CCE31" s="28"/>
      <c r="CCF31" s="28"/>
      <c r="CCG31" s="28"/>
      <c r="CCH31" s="28"/>
      <c r="CCI31" s="28"/>
      <c r="CCJ31" s="28"/>
      <c r="CCK31" s="28"/>
      <c r="CCL31" s="28"/>
      <c r="CCM31" s="28"/>
      <c r="CCN31" s="28"/>
      <c r="CCO31" s="28"/>
      <c r="CCP31" s="28"/>
      <c r="CCQ31" s="28"/>
      <c r="CCR31" s="28"/>
      <c r="CCS31" s="28"/>
      <c r="CCT31" s="28"/>
      <c r="CCU31" s="28"/>
      <c r="CCV31" s="28"/>
      <c r="CCW31" s="28"/>
      <c r="CCX31" s="28"/>
      <c r="CCY31" s="28"/>
      <c r="CCZ31" s="28"/>
      <c r="CDA31" s="28"/>
      <c r="CDB31" s="28"/>
      <c r="CDC31" s="28"/>
      <c r="CDD31" s="28"/>
      <c r="CDE31" s="28"/>
      <c r="CDF31" s="28"/>
      <c r="CDG31" s="28"/>
      <c r="CDH31" s="28"/>
      <c r="CDI31" s="28"/>
      <c r="CDJ31" s="28"/>
      <c r="CDK31" s="28"/>
      <c r="CDL31" s="28"/>
      <c r="CDM31" s="28"/>
      <c r="CDN31" s="28"/>
      <c r="CDO31" s="28"/>
      <c r="CDP31" s="28"/>
      <c r="CDQ31" s="28"/>
      <c r="CDR31" s="28"/>
      <c r="CDS31" s="28"/>
      <c r="CDT31" s="28"/>
      <c r="CDU31" s="28"/>
      <c r="CDV31" s="28"/>
      <c r="CDW31" s="28"/>
      <c r="CDX31" s="28"/>
      <c r="CDY31" s="28"/>
      <c r="CDZ31" s="28"/>
      <c r="CEA31" s="28"/>
      <c r="CEB31" s="28"/>
      <c r="CEC31" s="28"/>
      <c r="CED31" s="28"/>
      <c r="CEE31" s="28"/>
      <c r="CEF31" s="28"/>
      <c r="CEG31" s="28"/>
      <c r="CEH31" s="28"/>
      <c r="CEI31" s="28"/>
      <c r="CEJ31" s="28"/>
      <c r="CEK31" s="28"/>
      <c r="CEL31" s="28"/>
      <c r="CEM31" s="28"/>
      <c r="CEN31" s="28"/>
      <c r="CEO31" s="28"/>
      <c r="CEP31" s="28"/>
      <c r="CEQ31" s="28"/>
      <c r="CER31" s="28"/>
      <c r="CES31" s="28"/>
      <c r="CET31" s="28"/>
      <c r="CEU31" s="28"/>
      <c r="CEV31" s="28"/>
      <c r="CEW31" s="28"/>
      <c r="CEX31" s="28"/>
      <c r="CEY31" s="28"/>
      <c r="CEZ31" s="28"/>
      <c r="CFA31" s="28"/>
      <c r="CFB31" s="28"/>
      <c r="CFC31" s="28"/>
      <c r="CFD31" s="28"/>
      <c r="CFE31" s="28"/>
      <c r="CFF31" s="28"/>
      <c r="CFG31" s="28"/>
      <c r="CFH31" s="28"/>
      <c r="CFI31" s="28"/>
      <c r="CFJ31" s="28"/>
      <c r="CFK31" s="28"/>
      <c r="CFL31" s="28"/>
      <c r="CFM31" s="28"/>
      <c r="CFN31" s="28"/>
      <c r="CFO31" s="28"/>
      <c r="CFP31" s="28"/>
      <c r="CFQ31" s="28"/>
      <c r="CFR31" s="28"/>
      <c r="CFS31" s="28"/>
      <c r="CFT31" s="28"/>
      <c r="CFU31" s="28"/>
      <c r="CFV31" s="28"/>
      <c r="CFW31" s="28"/>
      <c r="CFX31" s="28"/>
      <c r="CFY31" s="28"/>
      <c r="CFZ31" s="28"/>
      <c r="CGA31" s="28"/>
      <c r="CGB31" s="28"/>
      <c r="CGC31" s="28"/>
      <c r="CGD31" s="28"/>
      <c r="CGE31" s="28"/>
      <c r="CGF31" s="28"/>
      <c r="CGG31" s="28"/>
      <c r="CGH31" s="28"/>
      <c r="CGI31" s="28"/>
      <c r="CGJ31" s="28"/>
      <c r="CGK31" s="28"/>
      <c r="CGL31" s="28"/>
      <c r="CGM31" s="28"/>
      <c r="CGN31" s="28"/>
      <c r="CGO31" s="28"/>
      <c r="CGP31" s="28"/>
      <c r="CGQ31" s="28"/>
      <c r="CGR31" s="28"/>
      <c r="CGS31" s="28"/>
      <c r="CGT31" s="28"/>
      <c r="CGU31" s="28"/>
      <c r="CGV31" s="28"/>
      <c r="CGW31" s="28"/>
      <c r="CGX31" s="28"/>
      <c r="CGY31" s="28"/>
      <c r="CGZ31" s="28"/>
      <c r="CHA31" s="28"/>
      <c r="CHB31" s="28"/>
      <c r="CHC31" s="28"/>
      <c r="CHD31" s="28"/>
      <c r="CHE31" s="28"/>
      <c r="CHF31" s="28"/>
      <c r="CHG31" s="28"/>
      <c r="CHH31" s="28"/>
      <c r="CHI31" s="28"/>
      <c r="CHJ31" s="28"/>
      <c r="CHK31" s="28"/>
      <c r="CHL31" s="28"/>
      <c r="CHM31" s="28"/>
      <c r="CHN31" s="28"/>
      <c r="CHO31" s="28"/>
      <c r="CHP31" s="28"/>
      <c r="CHQ31" s="28"/>
      <c r="CHR31" s="28"/>
      <c r="CHS31" s="28"/>
      <c r="CHT31" s="28"/>
      <c r="CHU31" s="28"/>
      <c r="CHV31" s="28"/>
      <c r="CHW31" s="28"/>
      <c r="CHX31" s="28"/>
      <c r="CHY31" s="28"/>
      <c r="CHZ31" s="28"/>
      <c r="CIA31" s="28"/>
      <c r="CIB31" s="28"/>
      <c r="CIC31" s="28"/>
      <c r="CID31" s="28"/>
      <c r="CIE31" s="28"/>
      <c r="CIF31" s="28"/>
      <c r="CIG31" s="28"/>
      <c r="CIH31" s="28"/>
      <c r="CII31" s="28"/>
      <c r="CIJ31" s="28"/>
      <c r="CIK31" s="28"/>
      <c r="CIL31" s="28"/>
      <c r="CIM31" s="28"/>
      <c r="CIN31" s="28"/>
      <c r="CIO31" s="28"/>
      <c r="CIP31" s="28"/>
      <c r="CIQ31" s="28"/>
      <c r="CIR31" s="28"/>
      <c r="CIS31" s="28"/>
      <c r="CIT31" s="28"/>
      <c r="CIU31" s="28"/>
      <c r="CIV31" s="28"/>
      <c r="CIW31" s="28"/>
      <c r="CIX31" s="28"/>
      <c r="CIY31" s="28"/>
      <c r="CIZ31" s="28"/>
      <c r="CJA31" s="28"/>
      <c r="CJB31" s="28"/>
      <c r="CJC31" s="28"/>
      <c r="CJD31" s="28"/>
      <c r="CJE31" s="28"/>
      <c r="CJF31" s="28"/>
      <c r="CJG31" s="28"/>
      <c r="CJH31" s="28"/>
      <c r="CJI31" s="28"/>
      <c r="CJJ31" s="28"/>
      <c r="CJK31" s="28"/>
      <c r="CJL31" s="28"/>
      <c r="CJM31" s="28"/>
      <c r="CJN31" s="28"/>
      <c r="CJO31" s="28"/>
      <c r="CJP31" s="28"/>
      <c r="CJQ31" s="28"/>
      <c r="CJR31" s="28"/>
      <c r="CJS31" s="28"/>
      <c r="CJT31" s="28"/>
      <c r="CJU31" s="28"/>
      <c r="CJV31" s="28"/>
      <c r="CJW31" s="28"/>
      <c r="CJX31" s="28"/>
      <c r="CJY31" s="28"/>
      <c r="CJZ31" s="28"/>
      <c r="CKA31" s="28"/>
      <c r="CKB31" s="28"/>
      <c r="CKC31" s="28"/>
      <c r="CKD31" s="28"/>
      <c r="CKE31" s="28"/>
      <c r="CKF31" s="28"/>
      <c r="CKG31" s="28"/>
      <c r="CKH31" s="28"/>
      <c r="CKI31" s="28"/>
      <c r="CKJ31" s="28"/>
      <c r="CKK31" s="28"/>
      <c r="CKL31" s="28"/>
      <c r="CKM31" s="28"/>
      <c r="CKN31" s="28"/>
      <c r="CKO31" s="28"/>
      <c r="CKP31" s="28"/>
      <c r="CKQ31" s="28"/>
      <c r="CKR31" s="28"/>
      <c r="CKS31" s="28"/>
      <c r="CKT31" s="28"/>
      <c r="CKU31" s="28"/>
      <c r="CKV31" s="28"/>
      <c r="CKW31" s="28"/>
      <c r="CKX31" s="28"/>
      <c r="CKY31" s="28"/>
      <c r="CKZ31" s="28"/>
      <c r="CLA31" s="28"/>
      <c r="CLB31" s="28"/>
      <c r="CLC31" s="28"/>
      <c r="CLD31" s="28"/>
      <c r="CLE31" s="28"/>
      <c r="CLF31" s="28"/>
      <c r="CLG31" s="28"/>
      <c r="CLH31" s="28"/>
      <c r="CLI31" s="28"/>
      <c r="CLJ31" s="28"/>
      <c r="CLK31" s="28"/>
      <c r="CLL31" s="28"/>
      <c r="CLM31" s="28"/>
      <c r="CLN31" s="28"/>
      <c r="CLO31" s="28"/>
      <c r="CLP31" s="28"/>
      <c r="CLQ31" s="28"/>
      <c r="CLR31" s="28"/>
      <c r="CLS31" s="28"/>
      <c r="CLT31" s="28"/>
      <c r="CLU31" s="28"/>
      <c r="CLV31" s="28"/>
      <c r="CLW31" s="28"/>
      <c r="CLX31" s="28"/>
      <c r="CLY31" s="28"/>
      <c r="CLZ31" s="28"/>
      <c r="CMA31" s="28"/>
      <c r="CMB31" s="28"/>
      <c r="CMC31" s="28"/>
      <c r="CMD31" s="28"/>
      <c r="CME31" s="28"/>
      <c r="CMF31" s="28"/>
      <c r="CMG31" s="28"/>
      <c r="CMH31" s="28"/>
      <c r="CMI31" s="28"/>
      <c r="CMJ31" s="28"/>
      <c r="CMK31" s="28"/>
      <c r="CML31" s="28"/>
      <c r="CMM31" s="28"/>
      <c r="CMN31" s="28"/>
      <c r="CMO31" s="28"/>
      <c r="CMP31" s="28"/>
      <c r="CMQ31" s="28"/>
      <c r="CMR31" s="28"/>
      <c r="CMS31" s="28"/>
      <c r="CMT31" s="28"/>
      <c r="CMU31" s="28"/>
      <c r="CMV31" s="28"/>
      <c r="CMW31" s="28"/>
      <c r="CMX31" s="28"/>
      <c r="CMY31" s="28"/>
      <c r="CMZ31" s="28"/>
      <c r="CNA31" s="28"/>
      <c r="CNB31" s="28"/>
      <c r="CNC31" s="28"/>
      <c r="CND31" s="28"/>
      <c r="CNE31" s="28"/>
      <c r="CNF31" s="28"/>
      <c r="CNG31" s="28"/>
      <c r="CNH31" s="28"/>
      <c r="CNI31" s="28"/>
      <c r="CNJ31" s="28"/>
      <c r="CNK31" s="28"/>
      <c r="CNL31" s="28"/>
      <c r="CNM31" s="28"/>
      <c r="CNN31" s="28"/>
      <c r="CNO31" s="28"/>
      <c r="CNP31" s="28"/>
      <c r="CNQ31" s="28"/>
      <c r="CNR31" s="28"/>
      <c r="CNS31" s="28"/>
      <c r="CNT31" s="28"/>
      <c r="CNU31" s="28"/>
      <c r="CNV31" s="28"/>
      <c r="CNW31" s="28"/>
      <c r="CNX31" s="28"/>
      <c r="CNY31" s="28"/>
      <c r="CNZ31" s="28"/>
      <c r="COA31" s="28"/>
      <c r="COB31" s="28"/>
      <c r="COC31" s="28"/>
      <c r="COD31" s="28"/>
      <c r="COE31" s="28"/>
      <c r="COF31" s="28"/>
      <c r="COG31" s="28"/>
      <c r="COH31" s="28"/>
      <c r="COI31" s="28"/>
      <c r="COJ31" s="28"/>
      <c r="COK31" s="28"/>
      <c r="COL31" s="28"/>
      <c r="COM31" s="28"/>
      <c r="CON31" s="28"/>
      <c r="COO31" s="28"/>
      <c r="COP31" s="28"/>
      <c r="COQ31" s="28"/>
      <c r="COR31" s="28"/>
      <c r="COS31" s="28"/>
      <c r="COT31" s="28"/>
      <c r="COU31" s="28"/>
      <c r="COV31" s="28"/>
      <c r="COW31" s="28"/>
      <c r="COX31" s="28"/>
      <c r="COY31" s="28"/>
      <c r="COZ31" s="28"/>
      <c r="CPA31" s="28"/>
      <c r="CPB31" s="28"/>
      <c r="CPC31" s="28"/>
      <c r="CPD31" s="28"/>
      <c r="CPE31" s="28"/>
      <c r="CPF31" s="28"/>
      <c r="CPG31" s="28"/>
      <c r="CPH31" s="28"/>
      <c r="CPI31" s="28"/>
      <c r="CPJ31" s="28"/>
      <c r="CPK31" s="28"/>
      <c r="CPL31" s="28"/>
      <c r="CPM31" s="28"/>
      <c r="CPN31" s="28"/>
      <c r="CPO31" s="28"/>
      <c r="CPP31" s="28"/>
      <c r="CPQ31" s="28"/>
      <c r="CPR31" s="28"/>
      <c r="CPS31" s="28"/>
      <c r="CPT31" s="28"/>
      <c r="CPU31" s="28"/>
      <c r="CPV31" s="28"/>
      <c r="CPW31" s="28"/>
      <c r="CPX31" s="28"/>
      <c r="CPY31" s="28"/>
      <c r="CPZ31" s="28"/>
      <c r="CQA31" s="28"/>
      <c r="CQB31" s="28"/>
      <c r="CQC31" s="28"/>
      <c r="CQD31" s="28"/>
      <c r="CQE31" s="28"/>
      <c r="CQF31" s="28"/>
      <c r="CQG31" s="28"/>
      <c r="CQH31" s="28"/>
      <c r="CQI31" s="28"/>
      <c r="CQJ31" s="28"/>
      <c r="CQK31" s="28"/>
      <c r="CQL31" s="28"/>
      <c r="CQM31" s="28"/>
      <c r="CQN31" s="28"/>
      <c r="CQO31" s="28"/>
      <c r="CQP31" s="28"/>
      <c r="CQQ31" s="28"/>
      <c r="CQR31" s="28"/>
      <c r="CQS31" s="28"/>
      <c r="CQT31" s="28"/>
      <c r="CQU31" s="28"/>
      <c r="CQV31" s="28"/>
      <c r="CQW31" s="28"/>
      <c r="CQX31" s="28"/>
      <c r="CQY31" s="28"/>
      <c r="CQZ31" s="28"/>
      <c r="CRA31" s="28"/>
      <c r="CRB31" s="28"/>
      <c r="CRC31" s="28"/>
      <c r="CRD31" s="28"/>
      <c r="CRE31" s="28"/>
      <c r="CRF31" s="28"/>
      <c r="CRG31" s="28"/>
      <c r="CRH31" s="28"/>
      <c r="CRI31" s="28"/>
      <c r="CRJ31" s="28"/>
      <c r="CRK31" s="28"/>
      <c r="CRL31" s="28"/>
      <c r="CRM31" s="28"/>
      <c r="CRN31" s="28"/>
      <c r="CRO31" s="28"/>
      <c r="CRP31" s="28"/>
      <c r="CRQ31" s="28"/>
      <c r="CRR31" s="28"/>
      <c r="CRS31" s="28"/>
      <c r="CRT31" s="28"/>
      <c r="CRU31" s="28"/>
      <c r="CRV31" s="28"/>
      <c r="CRW31" s="28"/>
      <c r="CRX31" s="28"/>
      <c r="CRY31" s="28"/>
      <c r="CRZ31" s="28"/>
      <c r="CSA31" s="28"/>
      <c r="CSB31" s="28"/>
      <c r="CSC31" s="28"/>
      <c r="CSD31" s="28"/>
      <c r="CSE31" s="28"/>
      <c r="CSF31" s="28"/>
      <c r="CSG31" s="28"/>
      <c r="CSH31" s="28"/>
      <c r="CSI31" s="28"/>
      <c r="CSJ31" s="28"/>
      <c r="CSK31" s="28"/>
      <c r="CSL31" s="28"/>
      <c r="CSM31" s="28"/>
      <c r="CSN31" s="28"/>
      <c r="CSO31" s="28"/>
      <c r="CSP31" s="28"/>
      <c r="CSQ31" s="28"/>
      <c r="CSR31" s="28"/>
      <c r="CSS31" s="28"/>
      <c r="CST31" s="28"/>
      <c r="CSU31" s="28"/>
      <c r="CSV31" s="28"/>
      <c r="CSW31" s="28"/>
      <c r="CSX31" s="28"/>
      <c r="CSY31" s="28"/>
      <c r="CSZ31" s="28"/>
      <c r="CTA31" s="28"/>
      <c r="CTB31" s="28"/>
      <c r="CTC31" s="28"/>
      <c r="CTD31" s="28"/>
      <c r="CTE31" s="28"/>
      <c r="CTF31" s="28"/>
      <c r="CTG31" s="28"/>
      <c r="CTH31" s="28"/>
      <c r="CTI31" s="28"/>
      <c r="CTJ31" s="28"/>
      <c r="CTK31" s="28"/>
      <c r="CTL31" s="28"/>
      <c r="CTM31" s="28"/>
      <c r="CTN31" s="28"/>
      <c r="CTO31" s="28"/>
      <c r="CTP31" s="28"/>
      <c r="CTQ31" s="28"/>
      <c r="CTR31" s="28"/>
      <c r="CTS31" s="28"/>
      <c r="CTT31" s="28"/>
      <c r="CTU31" s="28"/>
      <c r="CTV31" s="28"/>
      <c r="CTW31" s="28"/>
      <c r="CTX31" s="28"/>
      <c r="CTY31" s="28"/>
      <c r="CTZ31" s="28"/>
      <c r="CUA31" s="28"/>
      <c r="CUB31" s="28"/>
      <c r="CUC31" s="28"/>
      <c r="CUD31" s="28"/>
      <c r="CUE31" s="28"/>
      <c r="CUF31" s="28"/>
      <c r="CUG31" s="28"/>
      <c r="CUH31" s="28"/>
      <c r="CUI31" s="28"/>
      <c r="CUJ31" s="28"/>
      <c r="CUK31" s="28"/>
      <c r="CUL31" s="28"/>
      <c r="CUM31" s="28"/>
      <c r="CUN31" s="28"/>
      <c r="CUO31" s="28"/>
      <c r="CUP31" s="28"/>
      <c r="CUQ31" s="28"/>
      <c r="CUR31" s="28"/>
      <c r="CUS31" s="28"/>
      <c r="CUT31" s="28"/>
      <c r="CUU31" s="28"/>
      <c r="CUV31" s="28"/>
      <c r="CUW31" s="28"/>
      <c r="CUX31" s="28"/>
      <c r="CUY31" s="28"/>
      <c r="CUZ31" s="28"/>
      <c r="CVA31" s="28"/>
      <c r="CVB31" s="28"/>
      <c r="CVC31" s="28"/>
      <c r="CVD31" s="28"/>
      <c r="CVE31" s="28"/>
      <c r="CVF31" s="28"/>
      <c r="CVG31" s="28"/>
      <c r="CVH31" s="28"/>
      <c r="CVI31" s="28"/>
      <c r="CVJ31" s="28"/>
      <c r="CVK31" s="28"/>
      <c r="CVL31" s="28"/>
      <c r="CVM31" s="28"/>
      <c r="CVN31" s="28"/>
      <c r="CVO31" s="28"/>
      <c r="CVP31" s="28"/>
      <c r="CVQ31" s="28"/>
      <c r="CVR31" s="28"/>
      <c r="CVS31" s="28"/>
      <c r="CVT31" s="28"/>
      <c r="CVU31" s="28"/>
      <c r="CVV31" s="28"/>
      <c r="CVW31" s="28"/>
      <c r="CVX31" s="28"/>
      <c r="CVY31" s="28"/>
      <c r="CVZ31" s="28"/>
      <c r="CWA31" s="28"/>
      <c r="CWB31" s="28"/>
      <c r="CWC31" s="28"/>
      <c r="CWD31" s="28"/>
      <c r="CWE31" s="28"/>
      <c r="CWF31" s="28"/>
      <c r="CWG31" s="28"/>
      <c r="CWH31" s="28"/>
      <c r="CWI31" s="28"/>
      <c r="CWJ31" s="28"/>
      <c r="CWK31" s="28"/>
      <c r="CWL31" s="28"/>
      <c r="CWM31" s="28"/>
      <c r="CWN31" s="28"/>
      <c r="CWO31" s="28"/>
      <c r="CWP31" s="28"/>
      <c r="CWQ31" s="28"/>
      <c r="CWR31" s="28"/>
      <c r="CWS31" s="28"/>
      <c r="CWT31" s="28"/>
      <c r="CWU31" s="28"/>
      <c r="CWV31" s="28"/>
      <c r="CWW31" s="28"/>
      <c r="CWX31" s="28"/>
      <c r="CWY31" s="28"/>
      <c r="CWZ31" s="28"/>
      <c r="CXA31" s="28"/>
      <c r="CXB31" s="28"/>
      <c r="CXC31" s="28"/>
      <c r="CXD31" s="28"/>
      <c r="CXE31" s="28"/>
      <c r="CXF31" s="28"/>
      <c r="CXG31" s="28"/>
      <c r="CXH31" s="28"/>
      <c r="CXI31" s="28"/>
      <c r="CXJ31" s="28"/>
      <c r="CXK31" s="28"/>
      <c r="CXL31" s="28"/>
      <c r="CXM31" s="28"/>
      <c r="CXN31" s="28"/>
      <c r="CXO31" s="28"/>
      <c r="CXP31" s="28"/>
      <c r="CXQ31" s="28"/>
      <c r="CXR31" s="28"/>
      <c r="CXS31" s="28"/>
      <c r="CXT31" s="28"/>
      <c r="CXU31" s="28"/>
      <c r="CXV31" s="28"/>
      <c r="CXW31" s="28"/>
      <c r="CXX31" s="28"/>
      <c r="CXY31" s="28"/>
      <c r="CXZ31" s="28"/>
      <c r="CYA31" s="28"/>
      <c r="CYB31" s="28"/>
      <c r="CYC31" s="28"/>
      <c r="CYD31" s="28"/>
      <c r="CYE31" s="28"/>
      <c r="CYF31" s="28"/>
      <c r="CYG31" s="28"/>
      <c r="CYH31" s="28"/>
      <c r="CYI31" s="28"/>
      <c r="CYJ31" s="28"/>
      <c r="CYK31" s="28"/>
      <c r="CYL31" s="28"/>
      <c r="CYM31" s="28"/>
      <c r="CYN31" s="28"/>
      <c r="CYO31" s="28"/>
      <c r="CYP31" s="28"/>
      <c r="CYQ31" s="28"/>
      <c r="CYR31" s="28"/>
      <c r="CYS31" s="28"/>
      <c r="CYT31" s="28"/>
      <c r="CYU31" s="28"/>
      <c r="CYV31" s="28"/>
      <c r="CYW31" s="28"/>
      <c r="CYX31" s="28"/>
      <c r="CYY31" s="28"/>
      <c r="CYZ31" s="28"/>
      <c r="CZA31" s="28"/>
      <c r="CZB31" s="28"/>
      <c r="CZC31" s="28"/>
      <c r="CZD31" s="28"/>
      <c r="CZE31" s="28"/>
      <c r="CZF31" s="28"/>
      <c r="CZG31" s="28"/>
      <c r="CZH31" s="28"/>
      <c r="CZI31" s="28"/>
      <c r="CZJ31" s="28"/>
      <c r="CZK31" s="28"/>
      <c r="CZL31" s="28"/>
      <c r="CZM31" s="28"/>
      <c r="CZN31" s="28"/>
      <c r="CZO31" s="28"/>
      <c r="CZP31" s="28"/>
      <c r="CZQ31" s="28"/>
      <c r="CZR31" s="28"/>
      <c r="CZS31" s="28"/>
      <c r="CZT31" s="28"/>
      <c r="CZU31" s="28"/>
      <c r="CZV31" s="28"/>
      <c r="CZW31" s="28"/>
      <c r="CZX31" s="28"/>
      <c r="CZY31" s="28"/>
      <c r="CZZ31" s="28"/>
      <c r="DAA31" s="28"/>
      <c r="DAB31" s="28"/>
      <c r="DAC31" s="28"/>
      <c r="DAD31" s="28"/>
      <c r="DAE31" s="28"/>
      <c r="DAF31" s="28"/>
      <c r="DAG31" s="28"/>
      <c r="DAH31" s="28"/>
      <c r="DAI31" s="28"/>
      <c r="DAJ31" s="28"/>
      <c r="DAK31" s="28"/>
      <c r="DAL31" s="28"/>
      <c r="DAM31" s="28"/>
      <c r="DAN31" s="28"/>
      <c r="DAO31" s="28"/>
      <c r="DAP31" s="28"/>
      <c r="DAQ31" s="28"/>
      <c r="DAR31" s="28"/>
      <c r="DAS31" s="28"/>
      <c r="DAT31" s="28"/>
      <c r="DAU31" s="28"/>
      <c r="DAV31" s="28"/>
      <c r="DAW31" s="28"/>
      <c r="DAX31" s="28"/>
      <c r="DAY31" s="28"/>
      <c r="DAZ31" s="28"/>
      <c r="DBA31" s="28"/>
      <c r="DBB31" s="28"/>
      <c r="DBC31" s="28"/>
      <c r="DBD31" s="28"/>
      <c r="DBE31" s="28"/>
      <c r="DBF31" s="28"/>
      <c r="DBG31" s="28"/>
      <c r="DBH31" s="28"/>
      <c r="DBI31" s="28"/>
      <c r="DBJ31" s="28"/>
      <c r="DBK31" s="28"/>
      <c r="DBL31" s="28"/>
      <c r="DBM31" s="28"/>
      <c r="DBN31" s="28"/>
      <c r="DBO31" s="28"/>
      <c r="DBP31" s="28"/>
      <c r="DBQ31" s="28"/>
      <c r="DBR31" s="28"/>
      <c r="DBS31" s="28"/>
      <c r="DBT31" s="28"/>
      <c r="DBU31" s="28"/>
      <c r="DBV31" s="28"/>
      <c r="DBW31" s="28"/>
      <c r="DBX31" s="28"/>
      <c r="DBY31" s="28"/>
      <c r="DBZ31" s="28"/>
      <c r="DCA31" s="28"/>
      <c r="DCB31" s="28"/>
      <c r="DCC31" s="28"/>
      <c r="DCD31" s="28"/>
      <c r="DCE31" s="28"/>
      <c r="DCF31" s="28"/>
      <c r="DCG31" s="28"/>
      <c r="DCH31" s="28"/>
      <c r="DCI31" s="28"/>
      <c r="DCJ31" s="28"/>
      <c r="DCK31" s="28"/>
      <c r="DCL31" s="28"/>
      <c r="DCM31" s="28"/>
      <c r="DCN31" s="28"/>
      <c r="DCO31" s="28"/>
      <c r="DCP31" s="28"/>
      <c r="DCQ31" s="28"/>
      <c r="DCR31" s="28"/>
      <c r="DCS31" s="28"/>
      <c r="DCT31" s="28"/>
      <c r="DCU31" s="28"/>
      <c r="DCV31" s="28"/>
      <c r="DCW31" s="28"/>
      <c r="DCX31" s="28"/>
      <c r="DCY31" s="28"/>
      <c r="DCZ31" s="28"/>
      <c r="DDA31" s="28"/>
      <c r="DDB31" s="28"/>
      <c r="DDC31" s="28"/>
      <c r="DDD31" s="28"/>
      <c r="DDE31" s="28"/>
      <c r="DDF31" s="28"/>
      <c r="DDG31" s="28"/>
      <c r="DDH31" s="28"/>
      <c r="DDI31" s="28"/>
      <c r="DDJ31" s="28"/>
      <c r="DDK31" s="28"/>
      <c r="DDL31" s="28"/>
      <c r="DDM31" s="28"/>
      <c r="DDN31" s="28"/>
      <c r="DDO31" s="28"/>
      <c r="DDP31" s="28"/>
      <c r="DDQ31" s="28"/>
      <c r="DDR31" s="28"/>
      <c r="DDS31" s="28"/>
      <c r="DDT31" s="28"/>
      <c r="DDU31" s="28"/>
      <c r="DDV31" s="28"/>
      <c r="DDW31" s="28"/>
      <c r="DDX31" s="28"/>
      <c r="DDY31" s="28"/>
      <c r="DDZ31" s="28"/>
      <c r="DEA31" s="28"/>
      <c r="DEB31" s="28"/>
      <c r="DEC31" s="28"/>
      <c r="DED31" s="28"/>
      <c r="DEE31" s="28"/>
      <c r="DEF31" s="28"/>
      <c r="DEG31" s="28"/>
      <c r="DEH31" s="28"/>
      <c r="DEI31" s="28"/>
      <c r="DEJ31" s="28"/>
      <c r="DEK31" s="28"/>
      <c r="DEL31" s="28"/>
      <c r="DEM31" s="28"/>
      <c r="DEN31" s="28"/>
      <c r="DEO31" s="28"/>
      <c r="DEP31" s="28"/>
      <c r="DEQ31" s="28"/>
      <c r="DER31" s="28"/>
      <c r="DES31" s="28"/>
      <c r="DET31" s="28"/>
      <c r="DEU31" s="28"/>
      <c r="DEV31" s="28"/>
      <c r="DEW31" s="28"/>
      <c r="DEX31" s="28"/>
      <c r="DEY31" s="28"/>
      <c r="DEZ31" s="28"/>
      <c r="DFA31" s="28"/>
      <c r="DFB31" s="28"/>
      <c r="DFC31" s="28"/>
      <c r="DFD31" s="28"/>
      <c r="DFE31" s="28"/>
      <c r="DFF31" s="28"/>
      <c r="DFG31" s="28"/>
      <c r="DFH31" s="28"/>
      <c r="DFI31" s="28"/>
      <c r="DFJ31" s="28"/>
      <c r="DFK31" s="28"/>
      <c r="DFL31" s="28"/>
      <c r="DFM31" s="28"/>
      <c r="DFN31" s="28"/>
      <c r="DFO31" s="28"/>
      <c r="DFP31" s="28"/>
      <c r="DFQ31" s="28"/>
      <c r="DFR31" s="28"/>
      <c r="DFS31" s="28"/>
      <c r="DFT31" s="28"/>
      <c r="DFU31" s="28"/>
      <c r="DFV31" s="28"/>
      <c r="DFW31" s="28"/>
      <c r="DFX31" s="28"/>
      <c r="DFY31" s="28"/>
      <c r="DFZ31" s="28"/>
      <c r="DGA31" s="28"/>
      <c r="DGB31" s="28"/>
      <c r="DGC31" s="28"/>
      <c r="DGD31" s="28"/>
      <c r="DGE31" s="28"/>
      <c r="DGF31" s="28"/>
      <c r="DGG31" s="28"/>
      <c r="DGH31" s="28"/>
      <c r="DGI31" s="28"/>
      <c r="DGJ31" s="28"/>
      <c r="DGK31" s="28"/>
      <c r="DGL31" s="28"/>
      <c r="DGM31" s="28"/>
      <c r="DGN31" s="28"/>
      <c r="DGO31" s="28"/>
      <c r="DGP31" s="28"/>
      <c r="DGQ31" s="28"/>
      <c r="DGR31" s="28"/>
      <c r="DGS31" s="28"/>
      <c r="DGT31" s="28"/>
      <c r="DGU31" s="28"/>
      <c r="DGV31" s="28"/>
      <c r="DGW31" s="28"/>
      <c r="DGX31" s="28"/>
      <c r="DGY31" s="28"/>
      <c r="DGZ31" s="28"/>
      <c r="DHA31" s="28"/>
      <c r="DHB31" s="28"/>
      <c r="DHC31" s="28"/>
      <c r="DHD31" s="28"/>
      <c r="DHE31" s="28"/>
      <c r="DHF31" s="28"/>
      <c r="DHG31" s="28"/>
      <c r="DHH31" s="28"/>
      <c r="DHI31" s="28"/>
      <c r="DHJ31" s="28"/>
      <c r="DHK31" s="28"/>
      <c r="DHL31" s="28"/>
      <c r="DHM31" s="28"/>
      <c r="DHN31" s="28"/>
      <c r="DHO31" s="28"/>
      <c r="DHP31" s="28"/>
      <c r="DHQ31" s="28"/>
      <c r="DHR31" s="28"/>
      <c r="DHS31" s="28"/>
      <c r="DHT31" s="28"/>
      <c r="DHU31" s="28"/>
      <c r="DHV31" s="28"/>
      <c r="DHW31" s="28"/>
      <c r="DHX31" s="28"/>
      <c r="DHY31" s="28"/>
      <c r="DHZ31" s="28"/>
      <c r="DIA31" s="28"/>
      <c r="DIB31" s="28"/>
      <c r="DIC31" s="28"/>
      <c r="DID31" s="28"/>
      <c r="DIE31" s="28"/>
      <c r="DIF31" s="28"/>
      <c r="DIG31" s="28"/>
      <c r="DIH31" s="28"/>
      <c r="DII31" s="28"/>
      <c r="DIJ31" s="28"/>
      <c r="DIK31" s="28"/>
      <c r="DIL31" s="28"/>
      <c r="DIM31" s="28"/>
      <c r="DIN31" s="28"/>
      <c r="DIO31" s="28"/>
      <c r="DIP31" s="28"/>
      <c r="DIQ31" s="28"/>
      <c r="DIR31" s="28"/>
      <c r="DIS31" s="28"/>
      <c r="DIT31" s="28"/>
      <c r="DIU31" s="28"/>
      <c r="DIV31" s="28"/>
      <c r="DIW31" s="28"/>
      <c r="DIX31" s="28"/>
      <c r="DIY31" s="28"/>
      <c r="DIZ31" s="28"/>
      <c r="DJA31" s="28"/>
      <c r="DJB31" s="28"/>
      <c r="DJC31" s="28"/>
      <c r="DJD31" s="28"/>
      <c r="DJE31" s="28"/>
      <c r="DJF31" s="28"/>
      <c r="DJG31" s="28"/>
      <c r="DJH31" s="28"/>
      <c r="DJI31" s="28"/>
      <c r="DJJ31" s="28"/>
      <c r="DJK31" s="28"/>
      <c r="DJL31" s="28"/>
      <c r="DJM31" s="28"/>
      <c r="DJN31" s="28"/>
      <c r="DJO31" s="28"/>
      <c r="DJP31" s="28"/>
      <c r="DJQ31" s="28"/>
      <c r="DJR31" s="28"/>
      <c r="DJS31" s="28"/>
      <c r="DJT31" s="28"/>
      <c r="DJU31" s="28"/>
      <c r="DJV31" s="28"/>
      <c r="DJW31" s="28"/>
      <c r="DJX31" s="28"/>
      <c r="DJY31" s="28"/>
      <c r="DJZ31" s="28"/>
      <c r="DKA31" s="28"/>
      <c r="DKB31" s="28"/>
      <c r="DKC31" s="28"/>
      <c r="DKD31" s="28"/>
      <c r="DKE31" s="28"/>
      <c r="DKF31" s="28"/>
      <c r="DKG31" s="28"/>
      <c r="DKH31" s="28"/>
      <c r="DKI31" s="28"/>
      <c r="DKJ31" s="28"/>
      <c r="DKK31" s="28"/>
      <c r="DKL31" s="28"/>
      <c r="DKM31" s="28"/>
      <c r="DKN31" s="28"/>
      <c r="DKO31" s="28"/>
      <c r="DKP31" s="28"/>
      <c r="DKQ31" s="28"/>
      <c r="DKR31" s="28"/>
      <c r="DKS31" s="28"/>
      <c r="DKT31" s="28"/>
      <c r="DKU31" s="28"/>
      <c r="DKV31" s="28"/>
      <c r="DKW31" s="28"/>
      <c r="DKX31" s="28"/>
      <c r="DKY31" s="28"/>
      <c r="DKZ31" s="28"/>
      <c r="DLA31" s="28"/>
      <c r="DLB31" s="28"/>
      <c r="DLC31" s="28"/>
      <c r="DLD31" s="28"/>
      <c r="DLE31" s="28"/>
      <c r="DLF31" s="28"/>
      <c r="DLG31" s="28"/>
      <c r="DLH31" s="28"/>
      <c r="DLI31" s="28"/>
      <c r="DLJ31" s="28"/>
      <c r="DLK31" s="28"/>
      <c r="DLL31" s="28"/>
      <c r="DLM31" s="28"/>
      <c r="DLN31" s="28"/>
      <c r="DLO31" s="28"/>
      <c r="DLP31" s="28"/>
      <c r="DLQ31" s="28"/>
      <c r="DLR31" s="28"/>
      <c r="DLS31" s="28"/>
      <c r="DLT31" s="28"/>
      <c r="DLU31" s="28"/>
      <c r="DLV31" s="28"/>
      <c r="DLW31" s="28"/>
      <c r="DLX31" s="28"/>
      <c r="DLY31" s="28"/>
      <c r="DLZ31" s="28"/>
      <c r="DMA31" s="28"/>
      <c r="DMB31" s="28"/>
      <c r="DMC31" s="28"/>
      <c r="DMD31" s="28"/>
      <c r="DME31" s="28"/>
      <c r="DMF31" s="28"/>
      <c r="DMG31" s="28"/>
      <c r="DMH31" s="28"/>
      <c r="DMI31" s="28"/>
      <c r="DMJ31" s="28"/>
      <c r="DMK31" s="28"/>
      <c r="DML31" s="28"/>
      <c r="DMM31" s="28"/>
      <c r="DMN31" s="28"/>
      <c r="DMO31" s="28"/>
      <c r="DMP31" s="28"/>
      <c r="DMQ31" s="28"/>
      <c r="DMR31" s="28"/>
      <c r="DMS31" s="28"/>
      <c r="DMT31" s="28"/>
      <c r="DMU31" s="28"/>
      <c r="DMV31" s="28"/>
      <c r="DMW31" s="28"/>
      <c r="DMX31" s="28"/>
      <c r="DMY31" s="28"/>
      <c r="DMZ31" s="28"/>
      <c r="DNA31" s="28"/>
      <c r="DNB31" s="28"/>
      <c r="DNC31" s="28"/>
      <c r="DND31" s="28"/>
      <c r="DNE31" s="28"/>
      <c r="DNF31" s="28"/>
      <c r="DNG31" s="28"/>
      <c r="DNH31" s="28"/>
      <c r="DNI31" s="28"/>
      <c r="DNJ31" s="28"/>
      <c r="DNK31" s="28"/>
      <c r="DNL31" s="28"/>
      <c r="DNM31" s="28"/>
      <c r="DNN31" s="28"/>
      <c r="DNO31" s="28"/>
      <c r="DNP31" s="28"/>
      <c r="DNQ31" s="28"/>
      <c r="DNR31" s="28"/>
      <c r="DNS31" s="28"/>
      <c r="DNT31" s="28"/>
      <c r="DNU31" s="28"/>
      <c r="DNV31" s="28"/>
      <c r="DNW31" s="28"/>
      <c r="DNX31" s="28"/>
      <c r="DNY31" s="28"/>
      <c r="DNZ31" s="28"/>
      <c r="DOA31" s="28"/>
      <c r="DOB31" s="28"/>
      <c r="DOC31" s="28"/>
      <c r="DOD31" s="28"/>
      <c r="DOE31" s="28"/>
      <c r="DOF31" s="28"/>
      <c r="DOG31" s="28"/>
      <c r="DOH31" s="28"/>
      <c r="DOI31" s="28"/>
      <c r="DOJ31" s="28"/>
      <c r="DOK31" s="28"/>
      <c r="DOL31" s="28"/>
      <c r="DOM31" s="28"/>
      <c r="DON31" s="28"/>
      <c r="DOO31" s="28"/>
      <c r="DOP31" s="28"/>
      <c r="DOQ31" s="28"/>
      <c r="DOR31" s="28"/>
      <c r="DOS31" s="28"/>
      <c r="DOT31" s="28"/>
      <c r="DOU31" s="28"/>
      <c r="DOV31" s="28"/>
      <c r="DOW31" s="28"/>
      <c r="DOX31" s="28"/>
      <c r="DOY31" s="28"/>
      <c r="DOZ31" s="28"/>
      <c r="DPA31" s="28"/>
      <c r="DPB31" s="28"/>
      <c r="DPC31" s="28"/>
      <c r="DPD31" s="28"/>
      <c r="DPE31" s="28"/>
      <c r="DPF31" s="28"/>
      <c r="DPG31" s="28"/>
      <c r="DPH31" s="28"/>
      <c r="DPI31" s="28"/>
      <c r="DPJ31" s="28"/>
      <c r="DPK31" s="28"/>
      <c r="DPL31" s="28"/>
      <c r="DPM31" s="28"/>
      <c r="DPN31" s="28"/>
      <c r="DPO31" s="28"/>
      <c r="DPP31" s="28"/>
      <c r="DPQ31" s="28"/>
      <c r="DPR31" s="28"/>
      <c r="DPS31" s="28"/>
      <c r="DPT31" s="28"/>
      <c r="DPU31" s="28"/>
      <c r="DPV31" s="28"/>
      <c r="DPW31" s="28"/>
      <c r="DPX31" s="28"/>
      <c r="DPY31" s="28"/>
      <c r="DPZ31" s="28"/>
      <c r="DQA31" s="28"/>
      <c r="DQB31" s="28"/>
      <c r="DQC31" s="28"/>
      <c r="DQD31" s="28"/>
      <c r="DQE31" s="28"/>
      <c r="DQF31" s="28"/>
      <c r="DQG31" s="28"/>
      <c r="DQH31" s="28"/>
      <c r="DQI31" s="28"/>
      <c r="DQJ31" s="28"/>
      <c r="DQK31" s="28"/>
      <c r="DQL31" s="28"/>
      <c r="DQM31" s="28"/>
      <c r="DQN31" s="28"/>
      <c r="DQO31" s="28"/>
      <c r="DQP31" s="28"/>
      <c r="DQQ31" s="28"/>
      <c r="DQR31" s="28"/>
      <c r="DQS31" s="28"/>
      <c r="DQT31" s="28"/>
      <c r="DQU31" s="28"/>
      <c r="DQV31" s="28"/>
      <c r="DQW31" s="28"/>
      <c r="DQX31" s="28"/>
      <c r="DQY31" s="28"/>
      <c r="DQZ31" s="28"/>
      <c r="DRA31" s="28"/>
      <c r="DRB31" s="28"/>
      <c r="DRC31" s="28"/>
      <c r="DRD31" s="28"/>
      <c r="DRE31" s="28"/>
      <c r="DRF31" s="28"/>
      <c r="DRG31" s="28"/>
      <c r="DRH31" s="28"/>
      <c r="DRI31" s="28"/>
      <c r="DRJ31" s="28"/>
      <c r="DRK31" s="28"/>
      <c r="DRL31" s="28"/>
      <c r="DRM31" s="28"/>
      <c r="DRN31" s="28"/>
      <c r="DRO31" s="28"/>
      <c r="DRP31" s="28"/>
      <c r="DRQ31" s="28"/>
      <c r="DRR31" s="28"/>
      <c r="DRS31" s="28"/>
      <c r="DRT31" s="28"/>
      <c r="DRU31" s="28"/>
      <c r="DRV31" s="28"/>
      <c r="DRW31" s="28"/>
      <c r="DRX31" s="28"/>
      <c r="DRY31" s="28"/>
      <c r="DRZ31" s="28"/>
      <c r="DSA31" s="28"/>
      <c r="DSB31" s="28"/>
      <c r="DSC31" s="28"/>
      <c r="DSD31" s="28"/>
      <c r="DSE31" s="28"/>
      <c r="DSF31" s="28"/>
      <c r="DSG31" s="28"/>
      <c r="DSH31" s="28"/>
      <c r="DSI31" s="28"/>
      <c r="DSJ31" s="28"/>
      <c r="DSK31" s="28"/>
      <c r="DSL31" s="28"/>
      <c r="DSM31" s="28"/>
      <c r="DSN31" s="28"/>
      <c r="DSO31" s="28"/>
      <c r="DSP31" s="28"/>
      <c r="DSQ31" s="28"/>
      <c r="DSR31" s="28"/>
      <c r="DSS31" s="28"/>
      <c r="DST31" s="28"/>
      <c r="DSU31" s="28"/>
      <c r="DSV31" s="28"/>
      <c r="DSW31" s="28"/>
      <c r="DSX31" s="28"/>
      <c r="DSY31" s="28"/>
      <c r="DSZ31" s="28"/>
      <c r="DTA31" s="28"/>
      <c r="DTB31" s="28"/>
      <c r="DTC31" s="28"/>
      <c r="DTD31" s="28"/>
      <c r="DTE31" s="28"/>
      <c r="DTF31" s="28"/>
      <c r="DTG31" s="28"/>
      <c r="DTH31" s="28"/>
      <c r="DTI31" s="28"/>
      <c r="DTJ31" s="28"/>
      <c r="DTK31" s="28"/>
      <c r="DTL31" s="28"/>
      <c r="DTM31" s="28"/>
      <c r="DTN31" s="28"/>
      <c r="DTO31" s="28"/>
      <c r="DTP31" s="28"/>
      <c r="DTQ31" s="28"/>
      <c r="DTR31" s="28"/>
      <c r="DTS31" s="28"/>
      <c r="DTT31" s="28"/>
      <c r="DTU31" s="28"/>
      <c r="DTV31" s="28"/>
      <c r="DTW31" s="28"/>
      <c r="DTX31" s="28"/>
      <c r="DTY31" s="28"/>
      <c r="DTZ31" s="28"/>
      <c r="DUA31" s="28"/>
      <c r="DUB31" s="28"/>
      <c r="DUC31" s="28"/>
      <c r="DUD31" s="28"/>
      <c r="DUE31" s="28"/>
      <c r="DUF31" s="28"/>
      <c r="DUG31" s="28"/>
      <c r="DUH31" s="28"/>
      <c r="DUI31" s="28"/>
      <c r="DUJ31" s="28"/>
      <c r="DUK31" s="28"/>
      <c r="DUL31" s="28"/>
      <c r="DUM31" s="28"/>
      <c r="DUN31" s="28"/>
      <c r="DUO31" s="28"/>
      <c r="DUP31" s="28"/>
      <c r="DUQ31" s="28"/>
      <c r="DUR31" s="28"/>
      <c r="DUS31" s="28"/>
      <c r="DUT31" s="28"/>
      <c r="DUU31" s="28"/>
      <c r="DUV31" s="28"/>
      <c r="DUW31" s="28"/>
      <c r="DUX31" s="28"/>
      <c r="DUY31" s="28"/>
      <c r="DUZ31" s="28"/>
      <c r="DVA31" s="28"/>
      <c r="DVB31" s="28"/>
      <c r="DVC31" s="28"/>
      <c r="DVD31" s="28"/>
      <c r="DVE31" s="28"/>
      <c r="DVF31" s="28"/>
      <c r="DVG31" s="28"/>
      <c r="DVH31" s="28"/>
      <c r="DVI31" s="28"/>
      <c r="DVJ31" s="28"/>
      <c r="DVK31" s="28"/>
      <c r="DVL31" s="28"/>
      <c r="DVM31" s="28"/>
      <c r="DVN31" s="28"/>
      <c r="DVO31" s="28"/>
      <c r="DVP31" s="28"/>
      <c r="DVQ31" s="28"/>
      <c r="DVR31" s="28"/>
      <c r="DVS31" s="28"/>
      <c r="DVT31" s="28"/>
      <c r="DVU31" s="28"/>
      <c r="DVV31" s="28"/>
      <c r="DVW31" s="28"/>
      <c r="DVX31" s="28"/>
      <c r="DVY31" s="28"/>
      <c r="DVZ31" s="28"/>
      <c r="DWA31" s="28"/>
      <c r="DWB31" s="28"/>
      <c r="DWC31" s="28"/>
      <c r="DWD31" s="28"/>
      <c r="DWE31" s="28"/>
      <c r="DWF31" s="28"/>
      <c r="DWG31" s="28"/>
      <c r="DWH31" s="28"/>
      <c r="DWI31" s="28"/>
      <c r="DWJ31" s="28"/>
      <c r="DWK31" s="28"/>
      <c r="DWL31" s="28"/>
      <c r="DWM31" s="28"/>
      <c r="DWN31" s="28"/>
      <c r="DWO31" s="28"/>
      <c r="DWP31" s="28"/>
      <c r="DWQ31" s="28"/>
      <c r="DWR31" s="28"/>
      <c r="DWS31" s="28"/>
      <c r="DWT31" s="28"/>
      <c r="DWU31" s="28"/>
      <c r="DWV31" s="28"/>
      <c r="DWW31" s="28"/>
      <c r="DWX31" s="28"/>
      <c r="DWY31" s="28"/>
      <c r="DWZ31" s="28"/>
      <c r="DXA31" s="28"/>
      <c r="DXB31" s="28"/>
      <c r="DXC31" s="28"/>
      <c r="DXD31" s="28"/>
      <c r="DXE31" s="28"/>
      <c r="DXF31" s="28"/>
      <c r="DXG31" s="28"/>
      <c r="DXH31" s="28"/>
      <c r="DXI31" s="28"/>
      <c r="DXJ31" s="28"/>
      <c r="DXK31" s="28"/>
      <c r="DXL31" s="28"/>
      <c r="DXM31" s="28"/>
      <c r="DXN31" s="28"/>
      <c r="DXO31" s="28"/>
      <c r="DXP31" s="28"/>
      <c r="DXQ31" s="28"/>
      <c r="DXR31" s="28"/>
      <c r="DXS31" s="28"/>
      <c r="DXT31" s="28"/>
      <c r="DXU31" s="28"/>
      <c r="DXV31" s="28"/>
      <c r="DXW31" s="28"/>
      <c r="DXX31" s="28"/>
      <c r="DXY31" s="28"/>
      <c r="DXZ31" s="28"/>
      <c r="DYA31" s="28"/>
      <c r="DYB31" s="28"/>
      <c r="DYC31" s="28"/>
      <c r="DYD31" s="28"/>
      <c r="DYE31" s="28"/>
      <c r="DYF31" s="28"/>
      <c r="DYG31" s="28"/>
      <c r="DYH31" s="28"/>
      <c r="DYI31" s="28"/>
      <c r="DYJ31" s="28"/>
      <c r="DYK31" s="28"/>
      <c r="DYL31" s="28"/>
      <c r="DYM31" s="28"/>
      <c r="DYN31" s="28"/>
      <c r="DYO31" s="28"/>
      <c r="DYP31" s="28"/>
      <c r="DYQ31" s="28"/>
      <c r="DYR31" s="28"/>
      <c r="DYS31" s="28"/>
      <c r="DYT31" s="28"/>
      <c r="DYU31" s="28"/>
      <c r="DYV31" s="28"/>
      <c r="DYW31" s="28"/>
      <c r="DYX31" s="28"/>
      <c r="DYY31" s="28"/>
      <c r="DYZ31" s="28"/>
      <c r="DZA31" s="28"/>
      <c r="DZB31" s="28"/>
      <c r="DZC31" s="28"/>
      <c r="DZD31" s="28"/>
      <c r="DZE31" s="28"/>
      <c r="DZF31" s="28"/>
      <c r="DZG31" s="28"/>
      <c r="DZH31" s="28"/>
      <c r="DZI31" s="28"/>
      <c r="DZJ31" s="28"/>
      <c r="DZK31" s="28"/>
      <c r="DZL31" s="28"/>
      <c r="DZM31" s="28"/>
      <c r="DZN31" s="28"/>
      <c r="DZO31" s="28"/>
      <c r="DZP31" s="28"/>
      <c r="DZQ31" s="28"/>
      <c r="DZR31" s="28"/>
      <c r="DZS31" s="28"/>
      <c r="DZT31" s="28"/>
      <c r="DZU31" s="28"/>
      <c r="DZV31" s="28"/>
      <c r="DZW31" s="28"/>
      <c r="DZX31" s="28"/>
      <c r="DZY31" s="28"/>
      <c r="DZZ31" s="28"/>
      <c r="EAA31" s="28"/>
      <c r="EAB31" s="28"/>
      <c r="EAC31" s="28"/>
      <c r="EAD31" s="28"/>
      <c r="EAE31" s="28"/>
      <c r="EAF31" s="28"/>
      <c r="EAG31" s="28"/>
      <c r="EAH31" s="28"/>
      <c r="EAI31" s="28"/>
      <c r="EAJ31" s="28"/>
      <c r="EAK31" s="28"/>
      <c r="EAL31" s="28"/>
      <c r="EAM31" s="28"/>
      <c r="EAN31" s="28"/>
      <c r="EAO31" s="28"/>
      <c r="EAP31" s="28"/>
      <c r="EAQ31" s="28"/>
      <c r="EAR31" s="28"/>
      <c r="EAS31" s="28"/>
      <c r="EAT31" s="28"/>
      <c r="EAU31" s="28"/>
      <c r="EAV31" s="28"/>
      <c r="EAW31" s="28"/>
      <c r="EAX31" s="28"/>
      <c r="EAY31" s="28"/>
      <c r="EAZ31" s="28"/>
      <c r="EBA31" s="28"/>
      <c r="EBB31" s="28"/>
      <c r="EBC31" s="28"/>
      <c r="EBD31" s="28"/>
      <c r="EBE31" s="28"/>
      <c r="EBF31" s="28"/>
      <c r="EBG31" s="28"/>
      <c r="EBH31" s="28"/>
      <c r="EBI31" s="28"/>
      <c r="EBJ31" s="28"/>
      <c r="EBK31" s="28"/>
      <c r="EBL31" s="28"/>
      <c r="EBM31" s="28"/>
      <c r="EBN31" s="28"/>
      <c r="EBO31" s="28"/>
      <c r="EBP31" s="28"/>
      <c r="EBQ31" s="28"/>
      <c r="EBR31" s="28"/>
      <c r="EBS31" s="28"/>
      <c r="EBT31" s="28"/>
      <c r="EBU31" s="28"/>
      <c r="EBV31" s="28"/>
      <c r="EBW31" s="28"/>
      <c r="EBX31" s="28"/>
      <c r="EBY31" s="28"/>
      <c r="EBZ31" s="28"/>
      <c r="ECA31" s="28"/>
      <c r="ECB31" s="28"/>
      <c r="ECC31" s="28"/>
      <c r="ECD31" s="28"/>
      <c r="ECE31" s="28"/>
      <c r="ECF31" s="28"/>
      <c r="ECG31" s="28"/>
      <c r="ECH31" s="28"/>
      <c r="ECI31" s="28"/>
      <c r="ECJ31" s="28"/>
      <c r="ECK31" s="28"/>
      <c r="ECL31" s="28"/>
      <c r="ECM31" s="28"/>
      <c r="ECN31" s="28"/>
      <c r="ECO31" s="28"/>
      <c r="ECP31" s="28"/>
      <c r="ECQ31" s="28"/>
      <c r="ECR31" s="28"/>
      <c r="ECS31" s="28"/>
      <c r="ECT31" s="28"/>
      <c r="ECU31" s="28"/>
      <c r="ECV31" s="28"/>
      <c r="ECW31" s="28"/>
      <c r="ECX31" s="28"/>
      <c r="ECY31" s="28"/>
      <c r="ECZ31" s="28"/>
      <c r="EDA31" s="28"/>
      <c r="EDB31" s="28"/>
      <c r="EDC31" s="28"/>
      <c r="EDD31" s="28"/>
      <c r="EDE31" s="28"/>
      <c r="EDF31" s="28"/>
      <c r="EDG31" s="28"/>
      <c r="EDH31" s="28"/>
      <c r="EDI31" s="28"/>
      <c r="EDJ31" s="28"/>
      <c r="EDK31" s="28"/>
      <c r="EDL31" s="28"/>
      <c r="EDM31" s="28"/>
      <c r="EDN31" s="28"/>
      <c r="EDO31" s="28"/>
      <c r="EDP31" s="28"/>
      <c r="EDQ31" s="28"/>
      <c r="EDR31" s="28"/>
      <c r="EDS31" s="28"/>
      <c r="EDT31" s="28"/>
      <c r="EDU31" s="28"/>
      <c r="EDV31" s="28"/>
      <c r="EDW31" s="28"/>
      <c r="EDX31" s="28"/>
      <c r="EDY31" s="28"/>
      <c r="EDZ31" s="28"/>
      <c r="EEA31" s="28"/>
      <c r="EEB31" s="28"/>
      <c r="EEC31" s="28"/>
      <c r="EED31" s="28"/>
      <c r="EEE31" s="28"/>
      <c r="EEF31" s="28"/>
      <c r="EEG31" s="28"/>
      <c r="EEH31" s="28"/>
      <c r="EEI31" s="28"/>
      <c r="EEJ31" s="28"/>
      <c r="EEK31" s="28"/>
      <c r="EEL31" s="28"/>
      <c r="EEM31" s="28"/>
      <c r="EEN31" s="28"/>
      <c r="EEO31" s="28"/>
      <c r="EEP31" s="28"/>
      <c r="EEQ31" s="28"/>
      <c r="EER31" s="28"/>
      <c r="EES31" s="28"/>
      <c r="EET31" s="28"/>
      <c r="EEU31" s="28"/>
      <c r="EEV31" s="28"/>
      <c r="EEW31" s="28"/>
      <c r="EEX31" s="28"/>
      <c r="EEY31" s="28"/>
      <c r="EEZ31" s="28"/>
      <c r="EFA31" s="28"/>
      <c r="EFB31" s="28"/>
      <c r="EFC31" s="28"/>
      <c r="EFD31" s="28"/>
      <c r="EFE31" s="28"/>
      <c r="EFF31" s="28"/>
      <c r="EFG31" s="28"/>
      <c r="EFH31" s="28"/>
      <c r="EFI31" s="28"/>
      <c r="EFJ31" s="28"/>
      <c r="EFK31" s="28"/>
      <c r="EFL31" s="28"/>
      <c r="EFM31" s="28"/>
      <c r="EFN31" s="28"/>
      <c r="EFO31" s="28"/>
      <c r="EFP31" s="28"/>
      <c r="EFQ31" s="28"/>
      <c r="EFR31" s="28"/>
      <c r="EFS31" s="28"/>
      <c r="EFT31" s="28"/>
      <c r="EFU31" s="28"/>
      <c r="EFV31" s="28"/>
      <c r="EFW31" s="28"/>
      <c r="EFX31" s="28"/>
      <c r="EFY31" s="28"/>
      <c r="EFZ31" s="28"/>
      <c r="EGA31" s="28"/>
      <c r="EGB31" s="28"/>
      <c r="EGC31" s="28"/>
      <c r="EGD31" s="28"/>
      <c r="EGE31" s="28"/>
      <c r="EGF31" s="28"/>
      <c r="EGG31" s="28"/>
      <c r="EGH31" s="28"/>
      <c r="EGI31" s="28"/>
      <c r="EGJ31" s="28"/>
      <c r="EGK31" s="28"/>
      <c r="EGL31" s="28"/>
      <c r="EGM31" s="28"/>
      <c r="EGN31" s="28"/>
      <c r="EGO31" s="28"/>
      <c r="EGP31" s="28"/>
      <c r="EGQ31" s="28"/>
      <c r="EGR31" s="28"/>
      <c r="EGS31" s="28"/>
      <c r="EGT31" s="28"/>
      <c r="EGU31" s="28"/>
      <c r="EGV31" s="28"/>
      <c r="EGW31" s="28"/>
      <c r="EGX31" s="28"/>
      <c r="EGY31" s="28"/>
      <c r="EGZ31" s="28"/>
      <c r="EHA31" s="28"/>
      <c r="EHB31" s="28"/>
      <c r="EHC31" s="28"/>
      <c r="EHD31" s="28"/>
      <c r="EHE31" s="28"/>
      <c r="EHF31" s="28"/>
      <c r="EHG31" s="28"/>
      <c r="EHH31" s="28"/>
      <c r="EHI31" s="28"/>
      <c r="EHJ31" s="28"/>
      <c r="EHK31" s="28"/>
      <c r="EHL31" s="28"/>
      <c r="EHM31" s="28"/>
      <c r="EHN31" s="28"/>
      <c r="EHO31" s="28"/>
      <c r="EHP31" s="28"/>
      <c r="EHQ31" s="28"/>
      <c r="EHR31" s="28"/>
      <c r="EHS31" s="28"/>
      <c r="EHT31" s="28"/>
      <c r="EHU31" s="28"/>
      <c r="EHV31" s="28"/>
      <c r="EHW31" s="28"/>
      <c r="EHX31" s="28"/>
      <c r="EHY31" s="28"/>
      <c r="EHZ31" s="28"/>
      <c r="EIA31" s="28"/>
      <c r="EIB31" s="28"/>
      <c r="EIC31" s="28"/>
      <c r="EID31" s="28"/>
      <c r="EIE31" s="28"/>
      <c r="EIF31" s="28"/>
      <c r="EIG31" s="28"/>
      <c r="EIH31" s="28"/>
      <c r="EII31" s="28"/>
      <c r="EIJ31" s="28"/>
      <c r="EIK31" s="28"/>
      <c r="EIL31" s="28"/>
      <c r="EIM31" s="28"/>
      <c r="EIN31" s="28"/>
      <c r="EIO31" s="28"/>
      <c r="EIP31" s="28"/>
      <c r="EIQ31" s="28"/>
      <c r="EIR31" s="28"/>
      <c r="EIS31" s="28"/>
      <c r="EIT31" s="28"/>
      <c r="EIU31" s="28"/>
      <c r="EIV31" s="28"/>
      <c r="EIW31" s="28"/>
      <c r="EIX31" s="28"/>
      <c r="EIY31" s="28"/>
      <c r="EIZ31" s="28"/>
      <c r="EJA31" s="28"/>
      <c r="EJB31" s="28"/>
      <c r="EJC31" s="28"/>
      <c r="EJD31" s="28"/>
      <c r="EJE31" s="28"/>
      <c r="EJF31" s="28"/>
      <c r="EJG31" s="28"/>
      <c r="EJH31" s="28"/>
      <c r="EJI31" s="28"/>
      <c r="EJJ31" s="28"/>
      <c r="EJK31" s="28"/>
      <c r="EJL31" s="28"/>
      <c r="EJM31" s="28"/>
      <c r="EJN31" s="28"/>
      <c r="EJO31" s="28"/>
      <c r="EJP31" s="28"/>
      <c r="EJQ31" s="28"/>
      <c r="EJR31" s="28"/>
      <c r="EJS31" s="28"/>
      <c r="EJT31" s="28"/>
      <c r="EJU31" s="28"/>
      <c r="EJV31" s="28"/>
      <c r="EJW31" s="28"/>
      <c r="EJX31" s="28"/>
      <c r="EJY31" s="28"/>
      <c r="EJZ31" s="28"/>
      <c r="EKA31" s="28"/>
      <c r="EKB31" s="28"/>
      <c r="EKC31" s="28"/>
      <c r="EKD31" s="28"/>
      <c r="EKE31" s="28"/>
      <c r="EKF31" s="28"/>
      <c r="EKG31" s="28"/>
      <c r="EKH31" s="28"/>
      <c r="EKI31" s="28"/>
      <c r="EKJ31" s="28"/>
      <c r="EKK31" s="28"/>
      <c r="EKL31" s="28"/>
      <c r="EKM31" s="28"/>
      <c r="EKN31" s="28"/>
      <c r="EKO31" s="28"/>
      <c r="EKP31" s="28"/>
      <c r="EKQ31" s="28"/>
      <c r="EKR31" s="28"/>
      <c r="EKS31" s="28"/>
      <c r="EKT31" s="28"/>
      <c r="EKU31" s="28"/>
      <c r="EKV31" s="28"/>
      <c r="EKW31" s="28"/>
      <c r="EKX31" s="28"/>
      <c r="EKY31" s="28"/>
      <c r="EKZ31" s="28"/>
      <c r="ELA31" s="28"/>
      <c r="ELB31" s="28"/>
      <c r="ELC31" s="28"/>
      <c r="ELD31" s="28"/>
      <c r="ELE31" s="28"/>
      <c r="ELF31" s="28"/>
      <c r="ELG31" s="28"/>
      <c r="ELH31" s="28"/>
      <c r="ELI31" s="28"/>
      <c r="ELJ31" s="28"/>
      <c r="ELK31" s="28"/>
      <c r="ELL31" s="28"/>
      <c r="ELM31" s="28"/>
      <c r="ELN31" s="28"/>
      <c r="ELO31" s="28"/>
      <c r="ELP31" s="28"/>
      <c r="ELQ31" s="28"/>
      <c r="ELR31" s="28"/>
      <c r="ELS31" s="28"/>
      <c r="ELT31" s="28"/>
      <c r="ELU31" s="28"/>
      <c r="ELV31" s="28"/>
      <c r="ELW31" s="28"/>
      <c r="ELX31" s="28"/>
      <c r="ELY31" s="28"/>
      <c r="ELZ31" s="28"/>
      <c r="EMA31" s="28"/>
      <c r="EMB31" s="28"/>
      <c r="EMC31" s="28"/>
      <c r="EMD31" s="28"/>
      <c r="EME31" s="28"/>
      <c r="EMF31" s="28"/>
      <c r="EMG31" s="28"/>
      <c r="EMH31" s="28"/>
      <c r="EMI31" s="28"/>
      <c r="EMJ31" s="28"/>
      <c r="EMK31" s="28"/>
      <c r="EML31" s="28"/>
      <c r="EMM31" s="28"/>
      <c r="EMN31" s="28"/>
      <c r="EMO31" s="28"/>
      <c r="EMP31" s="28"/>
      <c r="EMQ31" s="28"/>
      <c r="EMR31" s="28"/>
      <c r="EMS31" s="28"/>
      <c r="EMT31" s="28"/>
      <c r="EMU31" s="28"/>
      <c r="EMV31" s="28"/>
      <c r="EMW31" s="28"/>
      <c r="EMX31" s="28"/>
      <c r="EMY31" s="28"/>
      <c r="EMZ31" s="28"/>
      <c r="ENA31" s="28"/>
      <c r="ENB31" s="28"/>
      <c r="ENC31" s="28"/>
      <c r="END31" s="28"/>
      <c r="ENE31" s="28"/>
      <c r="ENF31" s="28"/>
      <c r="ENG31" s="28"/>
      <c r="ENH31" s="28"/>
      <c r="ENI31" s="28"/>
      <c r="ENJ31" s="28"/>
      <c r="ENK31" s="28"/>
      <c r="ENL31" s="28"/>
      <c r="ENM31" s="28"/>
      <c r="ENN31" s="28"/>
      <c r="ENO31" s="28"/>
      <c r="ENP31" s="28"/>
      <c r="ENQ31" s="28"/>
      <c r="ENR31" s="28"/>
      <c r="ENS31" s="28"/>
      <c r="ENT31" s="28"/>
      <c r="ENU31" s="28"/>
      <c r="ENV31" s="28"/>
      <c r="ENW31" s="28"/>
      <c r="ENX31" s="28"/>
      <c r="ENY31" s="28"/>
      <c r="ENZ31" s="28"/>
      <c r="EOA31" s="28"/>
      <c r="EOB31" s="28"/>
      <c r="EOC31" s="28"/>
      <c r="EOD31" s="28"/>
      <c r="EOE31" s="28"/>
      <c r="EOF31" s="28"/>
      <c r="EOG31" s="28"/>
      <c r="EOH31" s="28"/>
      <c r="EOI31" s="28"/>
      <c r="EOJ31" s="28"/>
      <c r="EOK31" s="28"/>
      <c r="EOL31" s="28"/>
      <c r="EOM31" s="28"/>
      <c r="EON31" s="28"/>
      <c r="EOO31" s="28"/>
      <c r="EOP31" s="28"/>
      <c r="EOQ31" s="28"/>
      <c r="EOR31" s="28"/>
      <c r="EOS31" s="28"/>
      <c r="EOT31" s="28"/>
      <c r="EOU31" s="28"/>
      <c r="EOV31" s="28"/>
      <c r="EOW31" s="28"/>
      <c r="EOX31" s="28"/>
      <c r="EOY31" s="28"/>
      <c r="EOZ31" s="28"/>
      <c r="EPA31" s="28"/>
      <c r="EPB31" s="28"/>
      <c r="EPC31" s="28"/>
      <c r="EPD31" s="28"/>
      <c r="EPE31" s="28"/>
      <c r="EPF31" s="28"/>
      <c r="EPG31" s="28"/>
      <c r="EPH31" s="28"/>
      <c r="EPI31" s="28"/>
      <c r="EPJ31" s="28"/>
      <c r="EPK31" s="28"/>
      <c r="EPL31" s="28"/>
      <c r="EPM31" s="28"/>
      <c r="EPN31" s="28"/>
      <c r="EPO31" s="28"/>
      <c r="EPP31" s="28"/>
      <c r="EPQ31" s="28"/>
      <c r="EPR31" s="28"/>
      <c r="EPS31" s="28"/>
      <c r="EPT31" s="28"/>
      <c r="EPU31" s="28"/>
      <c r="EPV31" s="28"/>
      <c r="EPW31" s="28"/>
      <c r="EPX31" s="28"/>
      <c r="EPY31" s="28"/>
      <c r="EPZ31" s="28"/>
      <c r="EQA31" s="28"/>
      <c r="EQB31" s="28"/>
      <c r="EQC31" s="28"/>
      <c r="EQD31" s="28"/>
      <c r="EQE31" s="28"/>
      <c r="EQF31" s="28"/>
      <c r="EQG31" s="28"/>
      <c r="EQH31" s="28"/>
      <c r="EQI31" s="28"/>
      <c r="EQJ31" s="28"/>
      <c r="EQK31" s="28"/>
      <c r="EQL31" s="28"/>
      <c r="EQM31" s="28"/>
      <c r="EQN31" s="28"/>
      <c r="EQO31" s="28"/>
      <c r="EQP31" s="28"/>
      <c r="EQQ31" s="28"/>
      <c r="EQR31" s="28"/>
      <c r="EQS31" s="28"/>
      <c r="EQT31" s="28"/>
      <c r="EQU31" s="28"/>
      <c r="EQV31" s="28"/>
      <c r="EQW31" s="28"/>
      <c r="EQX31" s="28"/>
      <c r="EQY31" s="28"/>
      <c r="EQZ31" s="28"/>
      <c r="ERA31" s="28"/>
      <c r="ERB31" s="28"/>
      <c r="ERC31" s="28"/>
      <c r="ERD31" s="28"/>
      <c r="ERE31" s="28"/>
      <c r="ERF31" s="28"/>
      <c r="ERG31" s="28"/>
      <c r="ERH31" s="28"/>
      <c r="ERI31" s="28"/>
      <c r="ERJ31" s="28"/>
      <c r="ERK31" s="28"/>
      <c r="ERL31" s="28"/>
      <c r="ERM31" s="28"/>
      <c r="ERN31" s="28"/>
      <c r="ERO31" s="28"/>
      <c r="ERP31" s="28"/>
      <c r="ERQ31" s="28"/>
      <c r="ERR31" s="28"/>
      <c r="ERS31" s="28"/>
      <c r="ERT31" s="28"/>
      <c r="ERU31" s="28"/>
      <c r="ERV31" s="28"/>
      <c r="ERW31" s="28"/>
      <c r="ERX31" s="28"/>
      <c r="ERY31" s="28"/>
      <c r="ERZ31" s="28"/>
      <c r="ESA31" s="28"/>
      <c r="ESB31" s="28"/>
      <c r="ESC31" s="28"/>
      <c r="ESD31" s="28"/>
      <c r="ESE31" s="28"/>
      <c r="ESF31" s="28"/>
      <c r="ESG31" s="28"/>
      <c r="ESH31" s="28"/>
      <c r="ESI31" s="28"/>
      <c r="ESJ31" s="28"/>
      <c r="ESK31" s="28"/>
      <c r="ESL31" s="28"/>
      <c r="ESM31" s="28"/>
      <c r="ESN31" s="28"/>
      <c r="ESO31" s="28"/>
      <c r="ESP31" s="28"/>
      <c r="ESQ31" s="28"/>
      <c r="ESR31" s="28"/>
      <c r="ESS31" s="28"/>
      <c r="EST31" s="28"/>
      <c r="ESU31" s="28"/>
      <c r="ESV31" s="28"/>
      <c r="ESW31" s="28"/>
      <c r="ESX31" s="28"/>
      <c r="ESY31" s="28"/>
      <c r="ESZ31" s="28"/>
      <c r="ETA31" s="28"/>
      <c r="ETB31" s="28"/>
      <c r="ETC31" s="28"/>
      <c r="ETD31" s="28"/>
      <c r="ETE31" s="28"/>
      <c r="ETF31" s="28"/>
      <c r="ETG31" s="28"/>
      <c r="ETH31" s="28"/>
      <c r="ETI31" s="28"/>
      <c r="ETJ31" s="28"/>
      <c r="ETK31" s="28"/>
      <c r="ETL31" s="28"/>
      <c r="ETM31" s="28"/>
      <c r="ETN31" s="28"/>
      <c r="ETO31" s="28"/>
      <c r="ETP31" s="28"/>
      <c r="ETQ31" s="28"/>
      <c r="ETR31" s="28"/>
      <c r="ETS31" s="28"/>
      <c r="ETT31" s="28"/>
      <c r="ETU31" s="28"/>
      <c r="ETV31" s="28"/>
      <c r="ETW31" s="28"/>
      <c r="ETX31" s="28"/>
      <c r="ETY31" s="28"/>
      <c r="ETZ31" s="28"/>
      <c r="EUA31" s="28"/>
      <c r="EUB31" s="28"/>
      <c r="EUC31" s="28"/>
      <c r="EUD31" s="28"/>
      <c r="EUE31" s="28"/>
      <c r="EUF31" s="28"/>
      <c r="EUG31" s="28"/>
      <c r="EUH31" s="28"/>
      <c r="EUI31" s="28"/>
      <c r="EUJ31" s="28"/>
      <c r="EUK31" s="28"/>
      <c r="EUL31" s="28"/>
      <c r="EUM31" s="28"/>
      <c r="EUN31" s="28"/>
      <c r="EUO31" s="28"/>
      <c r="EUP31" s="28"/>
      <c r="EUQ31" s="28"/>
      <c r="EUR31" s="28"/>
      <c r="EUS31" s="28"/>
      <c r="EUT31" s="28"/>
      <c r="EUU31" s="28"/>
      <c r="EUV31" s="28"/>
      <c r="EUW31" s="28"/>
      <c r="EUX31" s="28"/>
      <c r="EUY31" s="28"/>
      <c r="EUZ31" s="28"/>
      <c r="EVA31" s="28"/>
      <c r="EVB31" s="28"/>
      <c r="EVC31" s="28"/>
      <c r="EVD31" s="28"/>
      <c r="EVE31" s="28"/>
      <c r="EVF31" s="28"/>
      <c r="EVG31" s="28"/>
      <c r="EVH31" s="28"/>
      <c r="EVI31" s="28"/>
      <c r="EVJ31" s="28"/>
      <c r="EVK31" s="28"/>
      <c r="EVL31" s="28"/>
      <c r="EVM31" s="28"/>
      <c r="EVN31" s="28"/>
      <c r="EVO31" s="28"/>
      <c r="EVP31" s="28"/>
      <c r="EVQ31" s="28"/>
      <c r="EVR31" s="28"/>
      <c r="EVS31" s="28"/>
      <c r="EVT31" s="28"/>
      <c r="EVU31" s="28"/>
      <c r="EVV31" s="28"/>
      <c r="EVW31" s="28"/>
      <c r="EVX31" s="28"/>
      <c r="EVY31" s="28"/>
      <c r="EVZ31" s="28"/>
      <c r="EWA31" s="28"/>
      <c r="EWB31" s="28"/>
      <c r="EWC31" s="28"/>
      <c r="EWD31" s="28"/>
      <c r="EWE31" s="28"/>
      <c r="EWF31" s="28"/>
      <c r="EWG31" s="28"/>
      <c r="EWH31" s="28"/>
      <c r="EWI31" s="28"/>
      <c r="EWJ31" s="28"/>
      <c r="EWK31" s="28"/>
      <c r="EWL31" s="28"/>
      <c r="EWM31" s="28"/>
      <c r="EWN31" s="28"/>
      <c r="EWO31" s="28"/>
      <c r="EWP31" s="28"/>
      <c r="EWQ31" s="28"/>
      <c r="EWR31" s="28"/>
      <c r="EWS31" s="28"/>
      <c r="EWT31" s="28"/>
      <c r="EWU31" s="28"/>
      <c r="EWV31" s="28"/>
      <c r="EWW31" s="28"/>
      <c r="EWX31" s="28"/>
      <c r="EWY31" s="28"/>
      <c r="EWZ31" s="28"/>
      <c r="EXA31" s="28"/>
      <c r="EXB31" s="28"/>
      <c r="EXC31" s="28"/>
      <c r="EXD31" s="28"/>
      <c r="EXE31" s="28"/>
      <c r="EXF31" s="28"/>
      <c r="EXG31" s="28"/>
      <c r="EXH31" s="28"/>
      <c r="EXI31" s="28"/>
      <c r="EXJ31" s="28"/>
      <c r="EXK31" s="28"/>
      <c r="EXL31" s="28"/>
      <c r="EXM31" s="28"/>
      <c r="EXN31" s="28"/>
      <c r="EXO31" s="28"/>
      <c r="EXP31" s="28"/>
      <c r="EXQ31" s="28"/>
      <c r="EXR31" s="28"/>
      <c r="EXS31" s="28"/>
      <c r="EXT31" s="28"/>
      <c r="EXU31" s="28"/>
      <c r="EXV31" s="28"/>
      <c r="EXW31" s="28"/>
      <c r="EXX31" s="28"/>
      <c r="EXY31" s="28"/>
      <c r="EXZ31" s="28"/>
      <c r="EYA31" s="28"/>
      <c r="EYB31" s="28"/>
      <c r="EYC31" s="28"/>
      <c r="EYD31" s="28"/>
      <c r="EYE31" s="28"/>
      <c r="EYF31" s="28"/>
      <c r="EYG31" s="28"/>
      <c r="EYH31" s="28"/>
      <c r="EYI31" s="28"/>
      <c r="EYJ31" s="28"/>
      <c r="EYK31" s="28"/>
      <c r="EYL31" s="28"/>
      <c r="EYM31" s="28"/>
      <c r="EYN31" s="28"/>
      <c r="EYO31" s="28"/>
      <c r="EYP31" s="28"/>
      <c r="EYQ31" s="28"/>
      <c r="EYR31" s="28"/>
      <c r="EYS31" s="28"/>
      <c r="EYT31" s="28"/>
      <c r="EYU31" s="28"/>
      <c r="EYV31" s="28"/>
      <c r="EYW31" s="28"/>
      <c r="EYX31" s="28"/>
      <c r="EYY31" s="28"/>
      <c r="EYZ31" s="28"/>
      <c r="EZA31" s="28"/>
      <c r="EZB31" s="28"/>
      <c r="EZC31" s="28"/>
      <c r="EZD31" s="28"/>
      <c r="EZE31" s="28"/>
      <c r="EZF31" s="28"/>
      <c r="EZG31" s="28"/>
      <c r="EZH31" s="28"/>
      <c r="EZI31" s="28"/>
      <c r="EZJ31" s="28"/>
      <c r="EZK31" s="28"/>
      <c r="EZL31" s="28"/>
      <c r="EZM31" s="28"/>
      <c r="EZN31" s="28"/>
      <c r="EZO31" s="28"/>
      <c r="EZP31" s="28"/>
      <c r="EZQ31" s="28"/>
      <c r="EZR31" s="28"/>
      <c r="EZS31" s="28"/>
      <c r="EZT31" s="28"/>
      <c r="EZU31" s="28"/>
      <c r="EZV31" s="28"/>
      <c r="EZW31" s="28"/>
      <c r="EZX31" s="28"/>
      <c r="EZY31" s="28"/>
      <c r="EZZ31" s="28"/>
      <c r="FAA31" s="28"/>
      <c r="FAB31" s="28"/>
      <c r="FAC31" s="28"/>
      <c r="FAD31" s="28"/>
      <c r="FAE31" s="28"/>
      <c r="FAF31" s="28"/>
      <c r="FAG31" s="28"/>
      <c r="FAH31" s="28"/>
      <c r="FAI31" s="28"/>
      <c r="FAJ31" s="28"/>
      <c r="FAK31" s="28"/>
      <c r="FAL31" s="28"/>
      <c r="FAM31" s="28"/>
      <c r="FAN31" s="28"/>
      <c r="FAO31" s="28"/>
      <c r="FAP31" s="28"/>
      <c r="FAQ31" s="28"/>
      <c r="FAR31" s="28"/>
      <c r="FAS31" s="28"/>
      <c r="FAT31" s="28"/>
      <c r="FAU31" s="28"/>
      <c r="FAV31" s="28"/>
      <c r="FAW31" s="28"/>
      <c r="FAX31" s="28"/>
      <c r="FAY31" s="28"/>
      <c r="FAZ31" s="28"/>
      <c r="FBA31" s="28"/>
      <c r="FBB31" s="28"/>
      <c r="FBC31" s="28"/>
      <c r="FBD31" s="28"/>
      <c r="FBE31" s="28"/>
      <c r="FBF31" s="28"/>
      <c r="FBG31" s="28"/>
      <c r="FBH31" s="28"/>
      <c r="FBI31" s="28"/>
      <c r="FBJ31" s="28"/>
      <c r="FBK31" s="28"/>
      <c r="FBL31" s="28"/>
      <c r="FBM31" s="28"/>
      <c r="FBN31" s="28"/>
      <c r="FBO31" s="28"/>
      <c r="FBP31" s="28"/>
      <c r="FBQ31" s="28"/>
      <c r="FBR31" s="28"/>
      <c r="FBS31" s="28"/>
      <c r="FBT31" s="28"/>
      <c r="FBU31" s="28"/>
      <c r="FBV31" s="28"/>
      <c r="FBW31" s="28"/>
      <c r="FBX31" s="28"/>
      <c r="FBY31" s="28"/>
      <c r="FBZ31" s="28"/>
      <c r="FCA31" s="28"/>
      <c r="FCB31" s="28"/>
      <c r="FCC31" s="28"/>
      <c r="FCD31" s="28"/>
      <c r="FCE31" s="28"/>
      <c r="FCF31" s="28"/>
      <c r="FCG31" s="28"/>
      <c r="FCH31" s="28"/>
      <c r="FCI31" s="28"/>
      <c r="FCJ31" s="28"/>
      <c r="FCK31" s="28"/>
      <c r="FCL31" s="28"/>
      <c r="FCM31" s="28"/>
      <c r="FCN31" s="28"/>
      <c r="FCO31" s="28"/>
      <c r="FCP31" s="28"/>
      <c r="FCQ31" s="28"/>
      <c r="FCR31" s="28"/>
      <c r="FCS31" s="28"/>
      <c r="FCT31" s="28"/>
      <c r="FCU31" s="28"/>
      <c r="FCV31" s="28"/>
      <c r="FCW31" s="28"/>
      <c r="FCX31" s="28"/>
      <c r="FCY31" s="28"/>
      <c r="FCZ31" s="28"/>
      <c r="FDA31" s="28"/>
      <c r="FDB31" s="28"/>
      <c r="FDC31" s="28"/>
      <c r="FDD31" s="28"/>
      <c r="FDE31" s="28"/>
      <c r="FDF31" s="28"/>
      <c r="FDG31" s="28"/>
      <c r="FDH31" s="28"/>
      <c r="FDI31" s="28"/>
      <c r="FDJ31" s="28"/>
      <c r="FDK31" s="28"/>
      <c r="FDL31" s="28"/>
      <c r="FDM31" s="28"/>
      <c r="FDN31" s="28"/>
      <c r="FDO31" s="28"/>
      <c r="FDP31" s="28"/>
      <c r="FDQ31" s="28"/>
      <c r="FDR31" s="28"/>
      <c r="FDS31" s="28"/>
      <c r="FDT31" s="28"/>
      <c r="FDU31" s="28"/>
      <c r="FDV31" s="28"/>
      <c r="FDW31" s="28"/>
      <c r="FDX31" s="28"/>
      <c r="FDY31" s="28"/>
      <c r="FDZ31" s="28"/>
      <c r="FEA31" s="28"/>
      <c r="FEB31" s="28"/>
      <c r="FEC31" s="28"/>
      <c r="FED31" s="28"/>
      <c r="FEE31" s="28"/>
      <c r="FEF31" s="28"/>
      <c r="FEG31" s="28"/>
      <c r="FEH31" s="28"/>
      <c r="FEI31" s="28"/>
      <c r="FEJ31" s="28"/>
      <c r="FEK31" s="28"/>
      <c r="FEL31" s="28"/>
      <c r="FEM31" s="28"/>
      <c r="FEN31" s="28"/>
      <c r="FEO31" s="28"/>
      <c r="FEP31" s="28"/>
      <c r="FEQ31" s="28"/>
      <c r="FER31" s="28"/>
      <c r="FES31" s="28"/>
      <c r="FET31" s="28"/>
      <c r="FEU31" s="28"/>
      <c r="FEV31" s="28"/>
      <c r="FEW31" s="28"/>
      <c r="FEX31" s="28"/>
      <c r="FEY31" s="28"/>
      <c r="FEZ31" s="28"/>
      <c r="FFA31" s="28"/>
      <c r="FFB31" s="28"/>
      <c r="FFC31" s="28"/>
      <c r="FFD31" s="28"/>
      <c r="FFE31" s="28"/>
      <c r="FFF31" s="28"/>
      <c r="FFG31" s="28"/>
      <c r="FFH31" s="28"/>
      <c r="FFI31" s="28"/>
      <c r="FFJ31" s="28"/>
      <c r="FFK31" s="28"/>
      <c r="FFL31" s="28"/>
      <c r="FFM31" s="28"/>
      <c r="FFN31" s="28"/>
      <c r="FFO31" s="28"/>
      <c r="FFP31" s="28"/>
      <c r="FFQ31" s="28"/>
      <c r="FFR31" s="28"/>
      <c r="FFS31" s="28"/>
      <c r="FFT31" s="28"/>
      <c r="FFU31" s="28"/>
      <c r="FFV31" s="28"/>
      <c r="FFW31" s="28"/>
      <c r="FFX31" s="28"/>
      <c r="FFY31" s="28"/>
      <c r="FFZ31" s="28"/>
      <c r="FGA31" s="28"/>
      <c r="FGB31" s="28"/>
      <c r="FGC31" s="28"/>
      <c r="FGD31" s="28"/>
      <c r="FGE31" s="28"/>
      <c r="FGF31" s="28"/>
      <c r="FGG31" s="28"/>
      <c r="FGH31" s="28"/>
      <c r="FGI31" s="28"/>
      <c r="FGJ31" s="28"/>
      <c r="FGK31" s="28"/>
      <c r="FGL31" s="28"/>
      <c r="FGM31" s="28"/>
      <c r="FGN31" s="28"/>
      <c r="FGO31" s="28"/>
      <c r="FGP31" s="28"/>
      <c r="FGQ31" s="28"/>
      <c r="FGR31" s="28"/>
      <c r="FGS31" s="28"/>
      <c r="FGT31" s="28"/>
      <c r="FGU31" s="28"/>
      <c r="FGV31" s="28"/>
      <c r="FGW31" s="28"/>
      <c r="FGX31" s="28"/>
      <c r="FGY31" s="28"/>
      <c r="FGZ31" s="28"/>
      <c r="FHA31" s="28"/>
      <c r="FHB31" s="28"/>
      <c r="FHC31" s="28"/>
      <c r="FHD31" s="28"/>
      <c r="FHE31" s="28"/>
      <c r="FHF31" s="28"/>
      <c r="FHG31" s="28"/>
      <c r="FHH31" s="28"/>
      <c r="FHI31" s="28"/>
      <c r="FHJ31" s="28"/>
      <c r="FHK31" s="28"/>
      <c r="FHL31" s="28"/>
      <c r="FHM31" s="28"/>
      <c r="FHN31" s="28"/>
      <c r="FHO31" s="28"/>
      <c r="FHP31" s="28"/>
      <c r="FHQ31" s="28"/>
      <c r="FHR31" s="28"/>
      <c r="FHS31" s="28"/>
      <c r="FHT31" s="28"/>
      <c r="FHU31" s="28"/>
      <c r="FHV31" s="28"/>
      <c r="FHW31" s="28"/>
      <c r="FHX31" s="28"/>
      <c r="FHY31" s="28"/>
      <c r="FHZ31" s="28"/>
      <c r="FIA31" s="28"/>
      <c r="FIB31" s="28"/>
      <c r="FIC31" s="28"/>
      <c r="FID31" s="28"/>
      <c r="FIE31" s="28"/>
      <c r="FIF31" s="28"/>
      <c r="FIG31" s="28"/>
      <c r="FIH31" s="28"/>
      <c r="FII31" s="28"/>
      <c r="FIJ31" s="28"/>
      <c r="FIK31" s="28"/>
      <c r="FIL31" s="28"/>
      <c r="FIM31" s="28"/>
      <c r="FIN31" s="28"/>
      <c r="FIO31" s="28"/>
      <c r="FIP31" s="28"/>
      <c r="FIQ31" s="28"/>
      <c r="FIR31" s="28"/>
      <c r="FIS31" s="28"/>
      <c r="FIT31" s="28"/>
      <c r="FIU31" s="28"/>
      <c r="FIV31" s="28"/>
      <c r="FIW31" s="28"/>
      <c r="FIX31" s="28"/>
      <c r="FIY31" s="28"/>
      <c r="FIZ31" s="28"/>
      <c r="FJA31" s="28"/>
      <c r="FJB31" s="28"/>
      <c r="FJC31" s="28"/>
      <c r="FJD31" s="28"/>
      <c r="FJE31" s="28"/>
      <c r="FJF31" s="28"/>
      <c r="FJG31" s="28"/>
      <c r="FJH31" s="28"/>
      <c r="FJI31" s="28"/>
      <c r="FJJ31" s="28"/>
      <c r="FJK31" s="28"/>
      <c r="FJL31" s="28"/>
      <c r="FJM31" s="28"/>
      <c r="FJN31" s="28"/>
      <c r="FJO31" s="28"/>
      <c r="FJP31" s="28"/>
      <c r="FJQ31" s="28"/>
      <c r="FJR31" s="28"/>
      <c r="FJS31" s="28"/>
      <c r="FJT31" s="28"/>
      <c r="FJU31" s="28"/>
      <c r="FJV31" s="28"/>
      <c r="FJW31" s="28"/>
      <c r="FJX31" s="28"/>
      <c r="FJY31" s="28"/>
      <c r="FJZ31" s="28"/>
      <c r="FKA31" s="28"/>
      <c r="FKB31" s="28"/>
      <c r="FKC31" s="28"/>
      <c r="FKD31" s="28"/>
      <c r="FKE31" s="28"/>
      <c r="FKF31" s="28"/>
      <c r="FKG31" s="28"/>
      <c r="FKH31" s="28"/>
      <c r="FKI31" s="28"/>
      <c r="FKJ31" s="28"/>
      <c r="FKK31" s="28"/>
      <c r="FKL31" s="28"/>
      <c r="FKM31" s="28"/>
      <c r="FKN31" s="28"/>
      <c r="FKO31" s="28"/>
      <c r="FKP31" s="28"/>
      <c r="FKQ31" s="28"/>
      <c r="FKR31" s="28"/>
      <c r="FKS31" s="28"/>
      <c r="FKT31" s="28"/>
      <c r="FKU31" s="28"/>
      <c r="FKV31" s="28"/>
      <c r="FKW31" s="28"/>
      <c r="FKX31" s="28"/>
      <c r="FKY31" s="28"/>
      <c r="FKZ31" s="28"/>
      <c r="FLA31" s="28"/>
      <c r="FLB31" s="28"/>
      <c r="FLC31" s="28"/>
      <c r="FLD31" s="28"/>
      <c r="FLE31" s="28"/>
      <c r="FLF31" s="28"/>
      <c r="FLG31" s="28"/>
      <c r="FLH31" s="28"/>
      <c r="FLI31" s="28"/>
      <c r="FLJ31" s="28"/>
      <c r="FLK31" s="28"/>
      <c r="FLL31" s="28"/>
      <c r="FLM31" s="28"/>
      <c r="FLN31" s="28"/>
      <c r="FLO31" s="28"/>
      <c r="FLP31" s="28"/>
      <c r="FLQ31" s="28"/>
      <c r="FLR31" s="28"/>
      <c r="FLS31" s="28"/>
      <c r="FLT31" s="28"/>
      <c r="FLU31" s="28"/>
      <c r="FLV31" s="28"/>
      <c r="FLW31" s="28"/>
      <c r="FLX31" s="28"/>
      <c r="FLY31" s="28"/>
      <c r="FLZ31" s="28"/>
      <c r="FMA31" s="28"/>
      <c r="FMB31" s="28"/>
      <c r="FMC31" s="28"/>
      <c r="FMD31" s="28"/>
      <c r="FME31" s="28"/>
      <c r="FMF31" s="28"/>
      <c r="FMG31" s="28"/>
      <c r="FMH31" s="28"/>
      <c r="FMI31" s="28"/>
      <c r="FMJ31" s="28"/>
      <c r="FMK31" s="28"/>
      <c r="FML31" s="28"/>
      <c r="FMM31" s="28"/>
      <c r="FMN31" s="28"/>
      <c r="FMO31" s="28"/>
      <c r="FMP31" s="28"/>
      <c r="FMQ31" s="28"/>
      <c r="FMR31" s="28"/>
      <c r="FMS31" s="28"/>
      <c r="FMT31" s="28"/>
      <c r="FMU31" s="28"/>
      <c r="FMV31" s="28"/>
      <c r="FMW31" s="28"/>
      <c r="FMX31" s="28"/>
      <c r="FMY31" s="28"/>
      <c r="FMZ31" s="28"/>
      <c r="FNA31" s="28"/>
      <c r="FNB31" s="28"/>
      <c r="FNC31" s="28"/>
      <c r="FND31" s="28"/>
      <c r="FNE31" s="28"/>
      <c r="FNF31" s="28"/>
      <c r="FNG31" s="28"/>
      <c r="FNH31" s="28"/>
      <c r="FNI31" s="28"/>
      <c r="FNJ31" s="28"/>
      <c r="FNK31" s="28"/>
      <c r="FNL31" s="28"/>
      <c r="FNM31" s="28"/>
      <c r="FNN31" s="28"/>
      <c r="FNO31" s="28"/>
      <c r="FNP31" s="28"/>
      <c r="FNQ31" s="28"/>
      <c r="FNR31" s="28"/>
      <c r="FNS31" s="28"/>
      <c r="FNT31" s="28"/>
      <c r="FNU31" s="28"/>
      <c r="FNV31" s="28"/>
      <c r="FNW31" s="28"/>
      <c r="FNX31" s="28"/>
      <c r="FNY31" s="28"/>
      <c r="FNZ31" s="28"/>
      <c r="FOA31" s="28"/>
      <c r="FOB31" s="28"/>
      <c r="FOC31" s="28"/>
      <c r="FOD31" s="28"/>
      <c r="FOE31" s="28"/>
      <c r="FOF31" s="28"/>
      <c r="FOG31" s="28"/>
      <c r="FOH31" s="28"/>
      <c r="FOI31" s="28"/>
      <c r="FOJ31" s="28"/>
      <c r="FOK31" s="28"/>
      <c r="FOL31" s="28"/>
      <c r="FOM31" s="28"/>
      <c r="FON31" s="28"/>
      <c r="FOO31" s="28"/>
      <c r="FOP31" s="28"/>
      <c r="FOQ31" s="28"/>
      <c r="FOR31" s="28"/>
      <c r="FOS31" s="28"/>
      <c r="FOT31" s="28"/>
      <c r="FOU31" s="28"/>
      <c r="FOV31" s="28"/>
      <c r="FOW31" s="28"/>
      <c r="FOX31" s="28"/>
      <c r="FOY31" s="28"/>
      <c r="FOZ31" s="28"/>
      <c r="FPA31" s="28"/>
      <c r="FPB31" s="28"/>
      <c r="FPC31" s="28"/>
      <c r="FPD31" s="28"/>
      <c r="FPE31" s="28"/>
      <c r="FPF31" s="28"/>
      <c r="FPG31" s="28"/>
      <c r="FPH31" s="28"/>
      <c r="FPI31" s="28"/>
      <c r="FPJ31" s="28"/>
      <c r="FPK31" s="28"/>
      <c r="FPL31" s="28"/>
      <c r="FPM31" s="28"/>
      <c r="FPN31" s="28"/>
      <c r="FPO31" s="28"/>
      <c r="FPP31" s="28"/>
      <c r="FPQ31" s="28"/>
      <c r="FPR31" s="28"/>
      <c r="FPS31" s="28"/>
      <c r="FPT31" s="28"/>
      <c r="FPU31" s="28"/>
      <c r="FPV31" s="28"/>
      <c r="FPW31" s="28"/>
      <c r="FPX31" s="28"/>
      <c r="FPY31" s="28"/>
      <c r="FPZ31" s="28"/>
      <c r="FQA31" s="28"/>
      <c r="FQB31" s="28"/>
      <c r="FQC31" s="28"/>
      <c r="FQD31" s="28"/>
      <c r="FQE31" s="28"/>
      <c r="FQF31" s="28"/>
      <c r="FQG31" s="28"/>
      <c r="FQH31" s="28"/>
      <c r="FQI31" s="28"/>
      <c r="FQJ31" s="28"/>
      <c r="FQK31" s="28"/>
      <c r="FQL31" s="28"/>
      <c r="FQM31" s="28"/>
      <c r="FQN31" s="28"/>
      <c r="FQO31" s="28"/>
      <c r="FQP31" s="28"/>
      <c r="FQQ31" s="28"/>
      <c r="FQR31" s="28"/>
      <c r="FQS31" s="28"/>
      <c r="FQT31" s="28"/>
      <c r="FQU31" s="28"/>
      <c r="FQV31" s="28"/>
      <c r="FQW31" s="28"/>
      <c r="FQX31" s="28"/>
      <c r="FQY31" s="28"/>
      <c r="FQZ31" s="28"/>
      <c r="FRA31" s="28"/>
      <c r="FRB31" s="28"/>
      <c r="FRC31" s="28"/>
      <c r="FRD31" s="28"/>
      <c r="FRE31" s="28"/>
      <c r="FRF31" s="28"/>
      <c r="FRG31" s="28"/>
      <c r="FRH31" s="28"/>
      <c r="FRI31" s="28"/>
      <c r="FRJ31" s="28"/>
      <c r="FRK31" s="28"/>
      <c r="FRL31" s="28"/>
      <c r="FRM31" s="28"/>
      <c r="FRN31" s="28"/>
      <c r="FRO31" s="28"/>
      <c r="FRP31" s="28"/>
      <c r="FRQ31" s="28"/>
      <c r="FRR31" s="28"/>
      <c r="FRS31" s="28"/>
      <c r="FRT31" s="28"/>
      <c r="FRU31" s="28"/>
      <c r="FRV31" s="28"/>
      <c r="FRW31" s="28"/>
      <c r="FRX31" s="28"/>
      <c r="FRY31" s="28"/>
      <c r="FRZ31" s="28"/>
      <c r="FSA31" s="28"/>
      <c r="FSB31" s="28"/>
      <c r="FSC31" s="28"/>
      <c r="FSD31" s="28"/>
      <c r="FSE31" s="28"/>
      <c r="FSF31" s="28"/>
      <c r="FSG31" s="28"/>
      <c r="FSH31" s="28"/>
      <c r="FSI31" s="28"/>
      <c r="FSJ31" s="28"/>
      <c r="FSK31" s="28"/>
      <c r="FSL31" s="28"/>
      <c r="FSM31" s="28"/>
      <c r="FSN31" s="28"/>
      <c r="FSO31" s="28"/>
      <c r="FSP31" s="28"/>
      <c r="FSQ31" s="28"/>
      <c r="FSR31" s="28"/>
      <c r="FSS31" s="28"/>
      <c r="FST31" s="28"/>
      <c r="FSU31" s="28"/>
      <c r="FSV31" s="28"/>
      <c r="FSW31" s="28"/>
      <c r="FSX31" s="28"/>
      <c r="FSY31" s="28"/>
      <c r="FSZ31" s="28"/>
      <c r="FTA31" s="28"/>
      <c r="FTB31" s="28"/>
      <c r="FTC31" s="28"/>
      <c r="FTD31" s="28"/>
      <c r="FTE31" s="28"/>
      <c r="FTF31" s="28"/>
      <c r="FTG31" s="28"/>
      <c r="FTH31" s="28"/>
      <c r="FTI31" s="28"/>
      <c r="FTJ31" s="28"/>
      <c r="FTK31" s="28"/>
      <c r="FTL31" s="28"/>
      <c r="FTM31" s="28"/>
      <c r="FTN31" s="28"/>
      <c r="FTO31" s="28"/>
      <c r="FTP31" s="28"/>
      <c r="FTQ31" s="28"/>
      <c r="FTR31" s="28"/>
      <c r="FTS31" s="28"/>
      <c r="FTT31" s="28"/>
      <c r="FTU31" s="28"/>
      <c r="FTV31" s="28"/>
      <c r="FTW31" s="28"/>
      <c r="FTX31" s="28"/>
      <c r="FTY31" s="28"/>
      <c r="FTZ31" s="28"/>
      <c r="FUA31" s="28"/>
      <c r="FUB31" s="28"/>
      <c r="FUC31" s="28"/>
      <c r="FUD31" s="28"/>
      <c r="FUE31" s="28"/>
      <c r="FUF31" s="28"/>
      <c r="FUG31" s="28"/>
      <c r="FUH31" s="28"/>
      <c r="FUI31" s="28"/>
      <c r="FUJ31" s="28"/>
      <c r="FUK31" s="28"/>
      <c r="FUL31" s="28"/>
      <c r="FUM31" s="28"/>
      <c r="FUN31" s="28"/>
      <c r="FUO31" s="28"/>
      <c r="FUP31" s="28"/>
      <c r="FUQ31" s="28"/>
      <c r="FUR31" s="28"/>
      <c r="FUS31" s="28"/>
      <c r="FUT31" s="28"/>
      <c r="FUU31" s="28"/>
      <c r="FUV31" s="28"/>
      <c r="FUW31" s="28"/>
      <c r="FUX31" s="28"/>
      <c r="FUY31" s="28"/>
      <c r="FUZ31" s="28"/>
      <c r="FVA31" s="28"/>
      <c r="FVB31" s="28"/>
      <c r="FVC31" s="28"/>
      <c r="FVD31" s="28"/>
      <c r="FVE31" s="28"/>
      <c r="FVF31" s="28"/>
      <c r="FVG31" s="28"/>
      <c r="FVH31" s="28"/>
      <c r="FVI31" s="28"/>
      <c r="FVJ31" s="28"/>
      <c r="FVK31" s="28"/>
      <c r="FVL31" s="28"/>
      <c r="FVM31" s="28"/>
      <c r="FVN31" s="28"/>
      <c r="FVO31" s="28"/>
      <c r="FVP31" s="28"/>
      <c r="FVQ31" s="28"/>
      <c r="FVR31" s="28"/>
      <c r="FVS31" s="28"/>
      <c r="FVT31" s="28"/>
      <c r="FVU31" s="28"/>
      <c r="FVV31" s="28"/>
      <c r="FVW31" s="28"/>
      <c r="FVX31" s="28"/>
      <c r="FVY31" s="28"/>
      <c r="FVZ31" s="28"/>
      <c r="FWA31" s="28"/>
      <c r="FWB31" s="28"/>
      <c r="FWC31" s="28"/>
      <c r="FWD31" s="28"/>
      <c r="FWE31" s="28"/>
      <c r="FWF31" s="28"/>
      <c r="FWG31" s="28"/>
      <c r="FWH31" s="28"/>
      <c r="FWI31" s="28"/>
      <c r="FWJ31" s="28"/>
      <c r="FWK31" s="28"/>
      <c r="FWL31" s="28"/>
      <c r="FWM31" s="28"/>
      <c r="FWN31" s="28"/>
      <c r="FWO31" s="28"/>
      <c r="FWP31" s="28"/>
      <c r="FWQ31" s="28"/>
      <c r="FWR31" s="28"/>
      <c r="FWS31" s="28"/>
      <c r="FWT31" s="28"/>
      <c r="FWU31" s="28"/>
      <c r="FWV31" s="28"/>
      <c r="FWW31" s="28"/>
      <c r="FWX31" s="28"/>
      <c r="FWY31" s="28"/>
      <c r="FWZ31" s="28"/>
      <c r="FXA31" s="28"/>
      <c r="FXB31" s="28"/>
      <c r="FXC31" s="28"/>
      <c r="FXD31" s="28"/>
      <c r="FXE31" s="28"/>
      <c r="FXF31" s="28"/>
      <c r="FXG31" s="28"/>
      <c r="FXH31" s="28"/>
      <c r="FXI31" s="28"/>
      <c r="FXJ31" s="28"/>
      <c r="FXK31" s="28"/>
      <c r="FXL31" s="28"/>
      <c r="FXM31" s="28"/>
      <c r="FXN31" s="28"/>
      <c r="FXO31" s="28"/>
      <c r="FXP31" s="28"/>
      <c r="FXQ31" s="28"/>
      <c r="FXR31" s="28"/>
      <c r="FXS31" s="28"/>
      <c r="FXT31" s="28"/>
      <c r="FXU31" s="28"/>
      <c r="FXV31" s="28"/>
      <c r="FXW31" s="28"/>
      <c r="FXX31" s="28"/>
      <c r="FXY31" s="28"/>
      <c r="FXZ31" s="28"/>
      <c r="FYA31" s="28"/>
      <c r="FYB31" s="28"/>
      <c r="FYC31" s="28"/>
      <c r="FYD31" s="28"/>
      <c r="FYE31" s="28"/>
      <c r="FYF31" s="28"/>
      <c r="FYG31" s="28"/>
      <c r="FYH31" s="28"/>
      <c r="FYI31" s="28"/>
      <c r="FYJ31" s="28"/>
      <c r="FYK31" s="28"/>
      <c r="FYL31" s="28"/>
      <c r="FYM31" s="28"/>
      <c r="FYN31" s="28"/>
      <c r="FYO31" s="28"/>
      <c r="FYP31" s="28"/>
      <c r="FYQ31" s="28"/>
      <c r="FYR31" s="28"/>
      <c r="FYS31" s="28"/>
      <c r="FYT31" s="28"/>
      <c r="FYU31" s="28"/>
      <c r="FYV31" s="28"/>
      <c r="FYW31" s="28"/>
      <c r="FYX31" s="28"/>
      <c r="FYY31" s="28"/>
      <c r="FYZ31" s="28"/>
      <c r="FZA31" s="28"/>
      <c r="FZB31" s="28"/>
      <c r="FZC31" s="28"/>
      <c r="FZD31" s="28"/>
      <c r="FZE31" s="28"/>
      <c r="FZF31" s="28"/>
      <c r="FZG31" s="28"/>
      <c r="FZH31" s="28"/>
      <c r="FZI31" s="28"/>
      <c r="FZJ31" s="28"/>
      <c r="FZK31" s="28"/>
      <c r="FZL31" s="28"/>
      <c r="FZM31" s="28"/>
      <c r="FZN31" s="28"/>
      <c r="FZO31" s="28"/>
      <c r="FZP31" s="28"/>
      <c r="FZQ31" s="28"/>
      <c r="FZR31" s="28"/>
      <c r="FZS31" s="28"/>
      <c r="FZT31" s="28"/>
      <c r="FZU31" s="28"/>
      <c r="FZV31" s="28"/>
      <c r="FZW31" s="28"/>
      <c r="FZX31" s="28"/>
      <c r="FZY31" s="28"/>
      <c r="FZZ31" s="28"/>
      <c r="GAA31" s="28"/>
      <c r="GAB31" s="28"/>
      <c r="GAC31" s="28"/>
      <c r="GAD31" s="28"/>
      <c r="GAE31" s="28"/>
      <c r="GAF31" s="28"/>
      <c r="GAG31" s="28"/>
      <c r="GAH31" s="28"/>
      <c r="GAI31" s="28"/>
      <c r="GAJ31" s="28"/>
      <c r="GAK31" s="28"/>
      <c r="GAL31" s="28"/>
      <c r="GAM31" s="28"/>
      <c r="GAN31" s="28"/>
      <c r="GAO31" s="28"/>
      <c r="GAP31" s="28"/>
      <c r="GAQ31" s="28"/>
      <c r="GAR31" s="28"/>
      <c r="GAS31" s="28"/>
      <c r="GAT31" s="28"/>
      <c r="GAU31" s="28"/>
      <c r="GAV31" s="28"/>
      <c r="GAW31" s="28"/>
      <c r="GAX31" s="28"/>
      <c r="GAY31" s="28"/>
      <c r="GAZ31" s="28"/>
      <c r="GBA31" s="28"/>
      <c r="GBB31" s="28"/>
      <c r="GBC31" s="28"/>
      <c r="GBD31" s="28"/>
      <c r="GBE31" s="28"/>
      <c r="GBF31" s="28"/>
      <c r="GBG31" s="28"/>
      <c r="GBH31" s="28"/>
      <c r="GBI31" s="28"/>
      <c r="GBJ31" s="28"/>
      <c r="GBK31" s="28"/>
      <c r="GBL31" s="28"/>
      <c r="GBM31" s="28"/>
      <c r="GBN31" s="28"/>
      <c r="GBO31" s="28"/>
      <c r="GBP31" s="28"/>
      <c r="GBQ31" s="28"/>
      <c r="GBR31" s="28"/>
      <c r="GBS31" s="28"/>
      <c r="GBT31" s="28"/>
      <c r="GBU31" s="28"/>
      <c r="GBV31" s="28"/>
      <c r="GBW31" s="28"/>
      <c r="GBX31" s="28"/>
      <c r="GBY31" s="28"/>
      <c r="GBZ31" s="28"/>
      <c r="GCA31" s="28"/>
      <c r="GCB31" s="28"/>
      <c r="GCC31" s="28"/>
      <c r="GCD31" s="28"/>
      <c r="GCE31" s="28"/>
      <c r="GCF31" s="28"/>
      <c r="GCG31" s="28"/>
      <c r="GCH31" s="28"/>
      <c r="GCI31" s="28"/>
      <c r="GCJ31" s="28"/>
      <c r="GCK31" s="28"/>
      <c r="GCL31" s="28"/>
      <c r="GCM31" s="28"/>
      <c r="GCN31" s="28"/>
      <c r="GCO31" s="28"/>
      <c r="GCP31" s="28"/>
      <c r="GCQ31" s="28"/>
      <c r="GCR31" s="28"/>
      <c r="GCS31" s="28"/>
      <c r="GCT31" s="28"/>
      <c r="GCU31" s="28"/>
      <c r="GCV31" s="28"/>
      <c r="GCW31" s="28"/>
      <c r="GCX31" s="28"/>
      <c r="GCY31" s="28"/>
      <c r="GCZ31" s="28"/>
      <c r="GDA31" s="28"/>
      <c r="GDB31" s="28"/>
      <c r="GDC31" s="28"/>
      <c r="GDD31" s="28"/>
      <c r="GDE31" s="28"/>
      <c r="GDF31" s="28"/>
      <c r="GDG31" s="28"/>
      <c r="GDH31" s="28"/>
      <c r="GDI31" s="28"/>
      <c r="GDJ31" s="28"/>
      <c r="GDK31" s="28"/>
      <c r="GDL31" s="28"/>
      <c r="GDM31" s="28"/>
      <c r="GDN31" s="28"/>
      <c r="GDO31" s="28"/>
      <c r="GDP31" s="28"/>
      <c r="GDQ31" s="28"/>
      <c r="GDR31" s="28"/>
      <c r="GDS31" s="28"/>
      <c r="GDT31" s="28"/>
      <c r="GDU31" s="28"/>
      <c r="GDV31" s="28"/>
      <c r="GDW31" s="28"/>
      <c r="GDX31" s="28"/>
      <c r="GDY31" s="28"/>
      <c r="GDZ31" s="28"/>
      <c r="GEA31" s="28"/>
      <c r="GEB31" s="28"/>
      <c r="GEC31" s="28"/>
      <c r="GED31" s="28"/>
      <c r="GEE31" s="28"/>
      <c r="GEF31" s="28"/>
      <c r="GEG31" s="28"/>
      <c r="GEH31" s="28"/>
      <c r="GEI31" s="28"/>
      <c r="GEJ31" s="28"/>
      <c r="GEK31" s="28"/>
      <c r="GEL31" s="28"/>
      <c r="GEM31" s="28"/>
      <c r="GEN31" s="28"/>
      <c r="GEO31" s="28"/>
      <c r="GEP31" s="28"/>
      <c r="GEQ31" s="28"/>
      <c r="GER31" s="28"/>
      <c r="GES31" s="28"/>
      <c r="GET31" s="28"/>
      <c r="GEU31" s="28"/>
      <c r="GEV31" s="28"/>
      <c r="GEW31" s="28"/>
      <c r="GEX31" s="28"/>
      <c r="GEY31" s="28"/>
      <c r="GEZ31" s="28"/>
      <c r="GFA31" s="28"/>
      <c r="GFB31" s="28"/>
      <c r="GFC31" s="28"/>
      <c r="GFD31" s="28"/>
      <c r="GFE31" s="28"/>
      <c r="GFF31" s="28"/>
      <c r="GFG31" s="28"/>
      <c r="GFH31" s="28"/>
      <c r="GFI31" s="28"/>
      <c r="GFJ31" s="28"/>
      <c r="GFK31" s="28"/>
      <c r="GFL31" s="28"/>
      <c r="GFM31" s="28"/>
      <c r="GFN31" s="28"/>
      <c r="GFO31" s="28"/>
      <c r="GFP31" s="28"/>
      <c r="GFQ31" s="28"/>
      <c r="GFR31" s="28"/>
      <c r="GFS31" s="28"/>
      <c r="GFT31" s="28"/>
      <c r="GFU31" s="28"/>
      <c r="GFV31" s="28"/>
      <c r="GFW31" s="28"/>
      <c r="GFX31" s="28"/>
      <c r="GFY31" s="28"/>
      <c r="GFZ31" s="28"/>
      <c r="GGA31" s="28"/>
      <c r="GGB31" s="28"/>
      <c r="GGC31" s="28"/>
      <c r="GGD31" s="28"/>
      <c r="GGE31" s="28"/>
      <c r="GGF31" s="28"/>
      <c r="GGG31" s="28"/>
      <c r="GGH31" s="28"/>
      <c r="GGI31" s="28"/>
      <c r="GGJ31" s="28"/>
      <c r="GGK31" s="28"/>
      <c r="GGL31" s="28"/>
      <c r="GGM31" s="28"/>
      <c r="GGN31" s="28"/>
      <c r="GGO31" s="28"/>
      <c r="GGP31" s="28"/>
      <c r="GGQ31" s="28"/>
      <c r="GGR31" s="28"/>
      <c r="GGS31" s="28"/>
      <c r="GGT31" s="28"/>
      <c r="GGU31" s="28"/>
      <c r="GGV31" s="28"/>
      <c r="GGW31" s="28"/>
      <c r="GGX31" s="28"/>
      <c r="GGY31" s="28"/>
      <c r="GGZ31" s="28"/>
      <c r="GHA31" s="28"/>
      <c r="GHB31" s="28"/>
      <c r="GHC31" s="28"/>
      <c r="GHD31" s="28"/>
      <c r="GHE31" s="28"/>
      <c r="GHF31" s="28"/>
      <c r="GHG31" s="28"/>
      <c r="GHH31" s="28"/>
      <c r="GHI31" s="28"/>
      <c r="GHJ31" s="28"/>
      <c r="GHK31" s="28"/>
      <c r="GHL31" s="28"/>
      <c r="GHM31" s="28"/>
      <c r="GHN31" s="28"/>
      <c r="GHO31" s="28"/>
      <c r="GHP31" s="28"/>
      <c r="GHQ31" s="28"/>
      <c r="GHR31" s="28"/>
      <c r="GHS31" s="28"/>
      <c r="GHT31" s="28"/>
      <c r="GHU31" s="28"/>
      <c r="GHV31" s="28"/>
      <c r="GHW31" s="28"/>
      <c r="GHX31" s="28"/>
      <c r="GHY31" s="28"/>
      <c r="GHZ31" s="28"/>
      <c r="GIA31" s="28"/>
      <c r="GIB31" s="28"/>
      <c r="GIC31" s="28"/>
      <c r="GID31" s="28"/>
      <c r="GIE31" s="28"/>
      <c r="GIF31" s="28"/>
      <c r="GIG31" s="28"/>
      <c r="GIH31" s="28"/>
      <c r="GII31" s="28"/>
      <c r="GIJ31" s="28"/>
      <c r="GIK31" s="28"/>
      <c r="GIL31" s="28"/>
      <c r="GIM31" s="28"/>
      <c r="GIN31" s="28"/>
      <c r="GIO31" s="28"/>
      <c r="GIP31" s="28"/>
      <c r="GIQ31" s="28"/>
      <c r="GIR31" s="28"/>
      <c r="GIS31" s="28"/>
      <c r="GIT31" s="28"/>
      <c r="GIU31" s="28"/>
      <c r="GIV31" s="28"/>
      <c r="GIW31" s="28"/>
      <c r="GIX31" s="28"/>
      <c r="GIY31" s="28"/>
      <c r="GIZ31" s="28"/>
      <c r="GJA31" s="28"/>
      <c r="GJB31" s="28"/>
      <c r="GJC31" s="28"/>
      <c r="GJD31" s="28"/>
      <c r="GJE31" s="28"/>
      <c r="GJF31" s="28"/>
      <c r="GJG31" s="28"/>
      <c r="GJH31" s="28"/>
      <c r="GJI31" s="28"/>
      <c r="GJJ31" s="28"/>
      <c r="GJK31" s="28"/>
      <c r="GJL31" s="28"/>
      <c r="GJM31" s="28"/>
      <c r="GJN31" s="28"/>
      <c r="GJO31" s="28"/>
      <c r="GJP31" s="28"/>
      <c r="GJQ31" s="28"/>
      <c r="GJR31" s="28"/>
      <c r="GJS31" s="28"/>
      <c r="GJT31" s="28"/>
      <c r="GJU31" s="28"/>
      <c r="GJV31" s="28"/>
      <c r="GJW31" s="28"/>
      <c r="GJX31" s="28"/>
      <c r="GJY31" s="28"/>
      <c r="GJZ31" s="28"/>
      <c r="GKA31" s="28"/>
      <c r="GKB31" s="28"/>
      <c r="GKC31" s="28"/>
      <c r="GKD31" s="28"/>
      <c r="GKE31" s="28"/>
      <c r="GKF31" s="28"/>
      <c r="GKG31" s="28"/>
      <c r="GKH31" s="28"/>
      <c r="GKI31" s="28"/>
      <c r="GKJ31" s="28"/>
      <c r="GKK31" s="28"/>
      <c r="GKL31" s="28"/>
      <c r="GKM31" s="28"/>
      <c r="GKN31" s="28"/>
      <c r="GKO31" s="28"/>
      <c r="GKP31" s="28"/>
      <c r="GKQ31" s="28"/>
      <c r="GKR31" s="28"/>
      <c r="GKS31" s="28"/>
      <c r="GKT31" s="28"/>
      <c r="GKU31" s="28"/>
      <c r="GKV31" s="28"/>
      <c r="GKW31" s="28"/>
      <c r="GKX31" s="28"/>
      <c r="GKY31" s="28"/>
      <c r="GKZ31" s="28"/>
      <c r="GLA31" s="28"/>
      <c r="GLB31" s="28"/>
      <c r="GLC31" s="28"/>
      <c r="GLD31" s="28"/>
      <c r="GLE31" s="28"/>
      <c r="GLF31" s="28"/>
      <c r="GLG31" s="28"/>
      <c r="GLH31" s="28"/>
      <c r="GLI31" s="28"/>
      <c r="GLJ31" s="28"/>
      <c r="GLK31" s="28"/>
      <c r="GLL31" s="28"/>
      <c r="GLM31" s="28"/>
      <c r="GLN31" s="28"/>
      <c r="GLO31" s="28"/>
      <c r="GLP31" s="28"/>
      <c r="GLQ31" s="28"/>
      <c r="GLR31" s="28"/>
      <c r="GLS31" s="28"/>
      <c r="GLT31" s="28"/>
      <c r="GLU31" s="28"/>
      <c r="GLV31" s="28"/>
      <c r="GLW31" s="28"/>
      <c r="GLX31" s="28"/>
      <c r="GLY31" s="28"/>
      <c r="GLZ31" s="28"/>
      <c r="GMA31" s="28"/>
      <c r="GMB31" s="28"/>
      <c r="GMC31" s="28"/>
      <c r="GMD31" s="28"/>
      <c r="GME31" s="28"/>
      <c r="GMF31" s="28"/>
      <c r="GMG31" s="28"/>
      <c r="GMH31" s="28"/>
      <c r="GMI31" s="28"/>
      <c r="GMJ31" s="28"/>
      <c r="GMK31" s="28"/>
      <c r="GML31" s="28"/>
      <c r="GMM31" s="28"/>
      <c r="GMN31" s="28"/>
      <c r="GMO31" s="28"/>
      <c r="GMP31" s="28"/>
      <c r="GMQ31" s="28"/>
      <c r="GMR31" s="28"/>
      <c r="GMS31" s="28"/>
      <c r="GMT31" s="28"/>
      <c r="GMU31" s="28"/>
      <c r="GMV31" s="28"/>
      <c r="GMW31" s="28"/>
      <c r="GMX31" s="28"/>
      <c r="GMY31" s="28"/>
      <c r="GMZ31" s="28"/>
      <c r="GNA31" s="28"/>
      <c r="GNB31" s="28"/>
      <c r="GNC31" s="28"/>
      <c r="GND31" s="28"/>
      <c r="GNE31" s="28"/>
      <c r="GNF31" s="28"/>
      <c r="GNG31" s="28"/>
      <c r="GNH31" s="28"/>
      <c r="GNI31" s="28"/>
      <c r="GNJ31" s="28"/>
      <c r="GNK31" s="28"/>
      <c r="GNL31" s="28"/>
      <c r="GNM31" s="28"/>
      <c r="GNN31" s="28"/>
      <c r="GNO31" s="28"/>
      <c r="GNP31" s="28"/>
      <c r="GNQ31" s="28"/>
      <c r="GNR31" s="28"/>
      <c r="GNS31" s="28"/>
      <c r="GNT31" s="28"/>
      <c r="GNU31" s="28"/>
      <c r="GNV31" s="28"/>
      <c r="GNW31" s="28"/>
      <c r="GNX31" s="28"/>
      <c r="GNY31" s="28"/>
      <c r="GNZ31" s="28"/>
      <c r="GOA31" s="28"/>
      <c r="GOB31" s="28"/>
      <c r="GOC31" s="28"/>
      <c r="GOD31" s="28"/>
      <c r="GOE31" s="28"/>
      <c r="GOF31" s="28"/>
      <c r="GOG31" s="28"/>
      <c r="GOH31" s="28"/>
      <c r="GOI31" s="28"/>
      <c r="GOJ31" s="28"/>
      <c r="GOK31" s="28"/>
      <c r="GOL31" s="28"/>
      <c r="GOM31" s="28"/>
      <c r="GON31" s="28"/>
      <c r="GOO31" s="28"/>
      <c r="GOP31" s="28"/>
      <c r="GOQ31" s="28"/>
      <c r="GOR31" s="28"/>
      <c r="GOS31" s="28"/>
      <c r="GOT31" s="28"/>
      <c r="GOU31" s="28"/>
      <c r="GOV31" s="28"/>
      <c r="GOW31" s="28"/>
      <c r="GOX31" s="28"/>
      <c r="GOY31" s="28"/>
      <c r="GOZ31" s="28"/>
      <c r="GPA31" s="28"/>
      <c r="GPB31" s="28"/>
      <c r="GPC31" s="28"/>
      <c r="GPD31" s="28"/>
      <c r="GPE31" s="28"/>
      <c r="GPF31" s="28"/>
      <c r="GPG31" s="28"/>
      <c r="GPH31" s="28"/>
      <c r="GPI31" s="28"/>
      <c r="GPJ31" s="28"/>
      <c r="GPK31" s="28"/>
      <c r="GPL31" s="28"/>
      <c r="GPM31" s="28"/>
      <c r="GPN31" s="28"/>
      <c r="GPO31" s="28"/>
      <c r="GPP31" s="28"/>
      <c r="GPQ31" s="28"/>
      <c r="GPR31" s="28"/>
      <c r="GPS31" s="28"/>
      <c r="GPT31" s="28"/>
      <c r="GPU31" s="28"/>
      <c r="GPV31" s="28"/>
      <c r="GPW31" s="28"/>
      <c r="GPX31" s="28"/>
      <c r="GPY31" s="28"/>
      <c r="GPZ31" s="28"/>
      <c r="GQA31" s="28"/>
      <c r="GQB31" s="28"/>
      <c r="GQC31" s="28"/>
      <c r="GQD31" s="28"/>
      <c r="GQE31" s="28"/>
      <c r="GQF31" s="28"/>
      <c r="GQG31" s="28"/>
      <c r="GQH31" s="28"/>
      <c r="GQI31" s="28"/>
      <c r="GQJ31" s="28"/>
      <c r="GQK31" s="28"/>
      <c r="GQL31" s="28"/>
      <c r="GQM31" s="28"/>
      <c r="GQN31" s="28"/>
      <c r="GQO31" s="28"/>
      <c r="GQP31" s="28"/>
      <c r="GQQ31" s="28"/>
      <c r="GQR31" s="28"/>
      <c r="GQS31" s="28"/>
      <c r="GQT31" s="28"/>
      <c r="GQU31" s="28"/>
      <c r="GQV31" s="28"/>
      <c r="GQW31" s="28"/>
      <c r="GQX31" s="28"/>
      <c r="GQY31" s="28"/>
      <c r="GQZ31" s="28"/>
      <c r="GRA31" s="28"/>
      <c r="GRB31" s="28"/>
      <c r="GRC31" s="28"/>
      <c r="GRD31" s="28"/>
      <c r="GRE31" s="28"/>
      <c r="GRF31" s="28"/>
      <c r="GRG31" s="28"/>
      <c r="GRH31" s="28"/>
      <c r="GRI31" s="28"/>
      <c r="GRJ31" s="28"/>
      <c r="GRK31" s="28"/>
      <c r="GRL31" s="28"/>
      <c r="GRM31" s="28"/>
      <c r="GRN31" s="28"/>
      <c r="GRO31" s="28"/>
      <c r="GRP31" s="28"/>
      <c r="GRQ31" s="28"/>
      <c r="GRR31" s="28"/>
      <c r="GRS31" s="28"/>
      <c r="GRT31" s="28"/>
      <c r="GRU31" s="28"/>
      <c r="GRV31" s="28"/>
      <c r="GRW31" s="28"/>
      <c r="GRX31" s="28"/>
      <c r="GRY31" s="28"/>
      <c r="GRZ31" s="28"/>
      <c r="GSA31" s="28"/>
      <c r="GSB31" s="28"/>
      <c r="GSC31" s="28"/>
      <c r="GSD31" s="28"/>
      <c r="GSE31" s="28"/>
      <c r="GSF31" s="28"/>
      <c r="GSG31" s="28"/>
      <c r="GSH31" s="28"/>
      <c r="GSI31" s="28"/>
      <c r="GSJ31" s="28"/>
      <c r="GSK31" s="28"/>
      <c r="GSL31" s="28"/>
      <c r="GSM31" s="28"/>
      <c r="GSN31" s="28"/>
      <c r="GSO31" s="28"/>
      <c r="GSP31" s="28"/>
      <c r="GSQ31" s="28"/>
      <c r="GSR31" s="28"/>
      <c r="GSS31" s="28"/>
      <c r="GST31" s="28"/>
      <c r="GSU31" s="28"/>
      <c r="GSV31" s="28"/>
      <c r="GSW31" s="28"/>
      <c r="GSX31" s="28"/>
      <c r="GSY31" s="28"/>
      <c r="GSZ31" s="28"/>
      <c r="GTA31" s="28"/>
      <c r="GTB31" s="28"/>
      <c r="GTC31" s="28"/>
      <c r="GTD31" s="28"/>
      <c r="GTE31" s="28"/>
      <c r="GTF31" s="28"/>
      <c r="GTG31" s="28"/>
      <c r="GTH31" s="28"/>
      <c r="GTI31" s="28"/>
      <c r="GTJ31" s="28"/>
      <c r="GTK31" s="28"/>
      <c r="GTL31" s="28"/>
      <c r="GTM31" s="28"/>
      <c r="GTN31" s="28"/>
      <c r="GTO31" s="28"/>
      <c r="GTP31" s="28"/>
      <c r="GTQ31" s="28"/>
      <c r="GTR31" s="28"/>
      <c r="GTS31" s="28"/>
      <c r="GTT31" s="28"/>
      <c r="GTU31" s="28"/>
      <c r="GTV31" s="28"/>
      <c r="GTW31" s="28"/>
      <c r="GTX31" s="28"/>
      <c r="GTY31" s="28"/>
      <c r="GTZ31" s="28"/>
      <c r="GUA31" s="28"/>
      <c r="GUB31" s="28"/>
      <c r="GUC31" s="28"/>
      <c r="GUD31" s="28"/>
      <c r="GUE31" s="28"/>
      <c r="GUF31" s="28"/>
      <c r="GUG31" s="28"/>
      <c r="GUH31" s="28"/>
      <c r="GUI31" s="28"/>
      <c r="GUJ31" s="28"/>
      <c r="GUK31" s="28"/>
      <c r="GUL31" s="28"/>
      <c r="GUM31" s="28"/>
      <c r="GUN31" s="28"/>
      <c r="GUO31" s="28"/>
      <c r="GUP31" s="28"/>
      <c r="GUQ31" s="28"/>
      <c r="GUR31" s="28"/>
      <c r="GUS31" s="28"/>
      <c r="GUT31" s="28"/>
      <c r="GUU31" s="28"/>
      <c r="GUV31" s="28"/>
      <c r="GUW31" s="28"/>
      <c r="GUX31" s="28"/>
      <c r="GUY31" s="28"/>
      <c r="GUZ31" s="28"/>
      <c r="GVA31" s="28"/>
      <c r="GVB31" s="28"/>
      <c r="GVC31" s="28"/>
      <c r="GVD31" s="28"/>
      <c r="GVE31" s="28"/>
      <c r="GVF31" s="28"/>
      <c r="GVG31" s="28"/>
      <c r="GVH31" s="28"/>
      <c r="GVI31" s="28"/>
      <c r="GVJ31" s="28"/>
      <c r="GVK31" s="28"/>
      <c r="GVL31" s="28"/>
      <c r="GVM31" s="28"/>
      <c r="GVN31" s="28"/>
      <c r="GVO31" s="28"/>
      <c r="GVP31" s="28"/>
      <c r="GVQ31" s="28"/>
      <c r="GVR31" s="28"/>
      <c r="GVS31" s="28"/>
      <c r="GVT31" s="28"/>
      <c r="GVU31" s="28"/>
      <c r="GVV31" s="28"/>
      <c r="GVW31" s="28"/>
      <c r="GVX31" s="28"/>
      <c r="GVY31" s="28"/>
      <c r="GVZ31" s="28"/>
      <c r="GWA31" s="28"/>
      <c r="GWB31" s="28"/>
      <c r="GWC31" s="28"/>
      <c r="GWD31" s="28"/>
      <c r="GWE31" s="28"/>
      <c r="GWF31" s="28"/>
      <c r="GWG31" s="28"/>
      <c r="GWH31" s="28"/>
      <c r="GWI31" s="28"/>
      <c r="GWJ31" s="28"/>
      <c r="GWK31" s="28"/>
      <c r="GWL31" s="28"/>
      <c r="GWM31" s="28"/>
      <c r="GWN31" s="28"/>
      <c r="GWO31" s="28"/>
      <c r="GWP31" s="28"/>
      <c r="GWQ31" s="28"/>
      <c r="GWR31" s="28"/>
      <c r="GWS31" s="28"/>
      <c r="GWT31" s="28"/>
      <c r="GWU31" s="28"/>
      <c r="GWV31" s="28"/>
      <c r="GWW31" s="28"/>
      <c r="GWX31" s="28"/>
      <c r="GWY31" s="28"/>
      <c r="GWZ31" s="28"/>
      <c r="GXA31" s="28"/>
      <c r="GXB31" s="28"/>
      <c r="GXC31" s="28"/>
      <c r="GXD31" s="28"/>
      <c r="GXE31" s="28"/>
      <c r="GXF31" s="28"/>
      <c r="GXG31" s="28"/>
      <c r="GXH31" s="28"/>
      <c r="GXI31" s="28"/>
      <c r="GXJ31" s="28"/>
      <c r="GXK31" s="28"/>
      <c r="GXL31" s="28"/>
      <c r="GXM31" s="28"/>
      <c r="GXN31" s="28"/>
      <c r="GXO31" s="28"/>
      <c r="GXP31" s="28"/>
      <c r="GXQ31" s="28"/>
      <c r="GXR31" s="28"/>
      <c r="GXS31" s="28"/>
      <c r="GXT31" s="28"/>
      <c r="GXU31" s="28"/>
      <c r="GXV31" s="28"/>
      <c r="GXW31" s="28"/>
      <c r="GXX31" s="28"/>
      <c r="GXY31" s="28"/>
      <c r="GXZ31" s="28"/>
      <c r="GYA31" s="28"/>
      <c r="GYB31" s="28"/>
      <c r="GYC31" s="28"/>
      <c r="GYD31" s="28"/>
      <c r="GYE31" s="28"/>
      <c r="GYF31" s="28"/>
      <c r="GYG31" s="28"/>
      <c r="GYH31" s="28"/>
      <c r="GYI31" s="28"/>
      <c r="GYJ31" s="28"/>
      <c r="GYK31" s="28"/>
      <c r="GYL31" s="28"/>
      <c r="GYM31" s="28"/>
      <c r="GYN31" s="28"/>
      <c r="GYO31" s="28"/>
      <c r="GYP31" s="28"/>
      <c r="GYQ31" s="28"/>
      <c r="GYR31" s="28"/>
      <c r="GYS31" s="28"/>
      <c r="GYT31" s="28"/>
      <c r="GYU31" s="28"/>
      <c r="GYV31" s="28"/>
      <c r="GYW31" s="28"/>
      <c r="GYX31" s="28"/>
      <c r="GYY31" s="28"/>
      <c r="GYZ31" s="28"/>
      <c r="GZA31" s="28"/>
      <c r="GZB31" s="28"/>
      <c r="GZC31" s="28"/>
      <c r="GZD31" s="28"/>
      <c r="GZE31" s="28"/>
      <c r="GZF31" s="28"/>
      <c r="GZG31" s="28"/>
      <c r="GZH31" s="28"/>
      <c r="GZI31" s="28"/>
      <c r="GZJ31" s="28"/>
      <c r="GZK31" s="28"/>
      <c r="GZL31" s="28"/>
      <c r="GZM31" s="28"/>
      <c r="GZN31" s="28"/>
      <c r="GZO31" s="28"/>
      <c r="GZP31" s="28"/>
      <c r="GZQ31" s="28"/>
      <c r="GZR31" s="28"/>
      <c r="GZS31" s="28"/>
      <c r="GZT31" s="28"/>
      <c r="GZU31" s="28"/>
      <c r="GZV31" s="28"/>
      <c r="GZW31" s="28"/>
      <c r="GZX31" s="28"/>
      <c r="GZY31" s="28"/>
      <c r="GZZ31" s="28"/>
      <c r="HAA31" s="28"/>
      <c r="HAB31" s="28"/>
      <c r="HAC31" s="28"/>
      <c r="HAD31" s="28"/>
      <c r="HAE31" s="28"/>
      <c r="HAF31" s="28"/>
      <c r="HAG31" s="28"/>
      <c r="HAH31" s="28"/>
      <c r="HAI31" s="28"/>
      <c r="HAJ31" s="28"/>
      <c r="HAK31" s="28"/>
      <c r="HAL31" s="28"/>
      <c r="HAM31" s="28"/>
      <c r="HAN31" s="28"/>
      <c r="HAO31" s="28"/>
      <c r="HAP31" s="28"/>
      <c r="HAQ31" s="28"/>
      <c r="HAR31" s="28"/>
      <c r="HAS31" s="28"/>
      <c r="HAT31" s="28"/>
      <c r="HAU31" s="28"/>
      <c r="HAV31" s="28"/>
      <c r="HAW31" s="28"/>
      <c r="HAX31" s="28"/>
      <c r="HAY31" s="28"/>
      <c r="HAZ31" s="28"/>
      <c r="HBA31" s="28"/>
      <c r="HBB31" s="28"/>
      <c r="HBC31" s="28"/>
      <c r="HBD31" s="28"/>
      <c r="HBE31" s="28"/>
      <c r="HBF31" s="28"/>
      <c r="HBG31" s="28"/>
      <c r="HBH31" s="28"/>
      <c r="HBI31" s="28"/>
      <c r="HBJ31" s="28"/>
      <c r="HBK31" s="28"/>
      <c r="HBL31" s="28"/>
      <c r="HBM31" s="28"/>
      <c r="HBN31" s="28"/>
      <c r="HBO31" s="28"/>
      <c r="HBP31" s="28"/>
      <c r="HBQ31" s="28"/>
      <c r="HBR31" s="28"/>
      <c r="HBS31" s="28"/>
      <c r="HBT31" s="28"/>
      <c r="HBU31" s="28"/>
      <c r="HBV31" s="28"/>
      <c r="HBW31" s="28"/>
      <c r="HBX31" s="28"/>
      <c r="HBY31" s="28"/>
      <c r="HBZ31" s="28"/>
      <c r="HCA31" s="28"/>
      <c r="HCB31" s="28"/>
      <c r="HCC31" s="28"/>
      <c r="HCD31" s="28"/>
      <c r="HCE31" s="28"/>
      <c r="HCF31" s="28"/>
      <c r="HCG31" s="28"/>
      <c r="HCH31" s="28"/>
      <c r="HCI31" s="28"/>
      <c r="HCJ31" s="28"/>
      <c r="HCK31" s="28"/>
      <c r="HCL31" s="28"/>
      <c r="HCM31" s="28"/>
      <c r="HCN31" s="28"/>
      <c r="HCO31" s="28"/>
      <c r="HCP31" s="28"/>
      <c r="HCQ31" s="28"/>
      <c r="HCR31" s="28"/>
      <c r="HCS31" s="28"/>
      <c r="HCT31" s="28"/>
      <c r="HCU31" s="28"/>
      <c r="HCV31" s="28"/>
      <c r="HCW31" s="28"/>
      <c r="HCX31" s="28"/>
      <c r="HCY31" s="28"/>
      <c r="HCZ31" s="28"/>
      <c r="HDA31" s="28"/>
      <c r="HDB31" s="28"/>
      <c r="HDC31" s="28"/>
      <c r="HDD31" s="28"/>
      <c r="HDE31" s="28"/>
      <c r="HDF31" s="28"/>
      <c r="HDG31" s="28"/>
      <c r="HDH31" s="28"/>
      <c r="HDI31" s="28"/>
      <c r="HDJ31" s="28"/>
      <c r="HDK31" s="28"/>
      <c r="HDL31" s="28"/>
      <c r="HDM31" s="28"/>
      <c r="HDN31" s="28"/>
      <c r="HDO31" s="28"/>
      <c r="HDP31" s="28"/>
      <c r="HDQ31" s="28"/>
      <c r="HDR31" s="28"/>
      <c r="HDS31" s="28"/>
      <c r="HDT31" s="28"/>
      <c r="HDU31" s="28"/>
      <c r="HDV31" s="28"/>
      <c r="HDW31" s="28"/>
      <c r="HDX31" s="28"/>
      <c r="HDY31" s="28"/>
      <c r="HDZ31" s="28"/>
      <c r="HEA31" s="28"/>
      <c r="HEB31" s="28"/>
      <c r="HEC31" s="28"/>
      <c r="HED31" s="28"/>
      <c r="HEE31" s="28"/>
      <c r="HEF31" s="28"/>
      <c r="HEG31" s="28"/>
      <c r="HEH31" s="28"/>
      <c r="HEI31" s="28"/>
      <c r="HEJ31" s="28"/>
      <c r="HEK31" s="28"/>
      <c r="HEL31" s="28"/>
      <c r="HEM31" s="28"/>
      <c r="HEN31" s="28"/>
      <c r="HEO31" s="28"/>
      <c r="HEP31" s="28"/>
      <c r="HEQ31" s="28"/>
      <c r="HER31" s="28"/>
      <c r="HES31" s="28"/>
      <c r="HET31" s="28"/>
      <c r="HEU31" s="28"/>
      <c r="HEV31" s="28"/>
      <c r="HEW31" s="28"/>
      <c r="HEX31" s="28"/>
      <c r="HEY31" s="28"/>
      <c r="HEZ31" s="28"/>
      <c r="HFA31" s="28"/>
      <c r="HFB31" s="28"/>
      <c r="HFC31" s="28"/>
      <c r="HFD31" s="28"/>
      <c r="HFE31" s="28"/>
      <c r="HFF31" s="28"/>
      <c r="HFG31" s="28"/>
      <c r="HFH31" s="28"/>
      <c r="HFI31" s="28"/>
      <c r="HFJ31" s="28"/>
      <c r="HFK31" s="28"/>
      <c r="HFL31" s="28"/>
      <c r="HFM31" s="28"/>
      <c r="HFN31" s="28"/>
      <c r="HFO31" s="28"/>
      <c r="HFP31" s="28"/>
      <c r="HFQ31" s="28"/>
      <c r="HFR31" s="28"/>
      <c r="HFS31" s="28"/>
      <c r="HFT31" s="28"/>
      <c r="HFU31" s="28"/>
      <c r="HFV31" s="28"/>
      <c r="HFW31" s="28"/>
      <c r="HFX31" s="28"/>
      <c r="HFY31" s="28"/>
      <c r="HFZ31" s="28"/>
      <c r="HGA31" s="28"/>
      <c r="HGB31" s="28"/>
      <c r="HGC31" s="28"/>
      <c r="HGD31" s="28"/>
      <c r="HGE31" s="28"/>
      <c r="HGF31" s="28"/>
      <c r="HGG31" s="28"/>
      <c r="HGH31" s="28"/>
      <c r="HGI31" s="28"/>
      <c r="HGJ31" s="28"/>
      <c r="HGK31" s="28"/>
      <c r="HGL31" s="28"/>
      <c r="HGM31" s="28"/>
      <c r="HGN31" s="28"/>
      <c r="HGO31" s="28"/>
      <c r="HGP31" s="28"/>
      <c r="HGQ31" s="28"/>
      <c r="HGR31" s="28"/>
      <c r="HGS31" s="28"/>
      <c r="HGT31" s="28"/>
      <c r="HGU31" s="28"/>
      <c r="HGV31" s="28"/>
      <c r="HGW31" s="28"/>
      <c r="HGX31" s="28"/>
      <c r="HGY31" s="28"/>
      <c r="HGZ31" s="28"/>
      <c r="HHA31" s="28"/>
      <c r="HHB31" s="28"/>
      <c r="HHC31" s="28"/>
      <c r="HHD31" s="28"/>
      <c r="HHE31" s="28"/>
      <c r="HHF31" s="28"/>
      <c r="HHG31" s="28"/>
      <c r="HHH31" s="28"/>
      <c r="HHI31" s="28"/>
      <c r="HHJ31" s="28"/>
      <c r="HHK31" s="28"/>
      <c r="HHL31" s="28"/>
      <c r="HHM31" s="28"/>
      <c r="HHN31" s="28"/>
      <c r="HHO31" s="28"/>
      <c r="HHP31" s="28"/>
      <c r="HHQ31" s="28"/>
      <c r="HHR31" s="28"/>
      <c r="HHS31" s="28"/>
      <c r="HHT31" s="28"/>
      <c r="HHU31" s="28"/>
      <c r="HHV31" s="28"/>
      <c r="HHW31" s="28"/>
      <c r="HHX31" s="28"/>
      <c r="HHY31" s="28"/>
      <c r="HHZ31" s="28"/>
      <c r="HIA31" s="28"/>
      <c r="HIB31" s="28"/>
      <c r="HIC31" s="28"/>
      <c r="HID31" s="28"/>
      <c r="HIE31" s="28"/>
      <c r="HIF31" s="28"/>
      <c r="HIG31" s="28"/>
      <c r="HIH31" s="28"/>
      <c r="HII31" s="28"/>
      <c r="HIJ31" s="28"/>
      <c r="HIK31" s="28"/>
      <c r="HIL31" s="28"/>
      <c r="HIM31" s="28"/>
      <c r="HIN31" s="28"/>
      <c r="HIO31" s="28"/>
      <c r="HIP31" s="28"/>
      <c r="HIQ31" s="28"/>
      <c r="HIR31" s="28"/>
      <c r="HIS31" s="28"/>
      <c r="HIT31" s="28"/>
      <c r="HIU31" s="28"/>
      <c r="HIV31" s="28"/>
      <c r="HIW31" s="28"/>
      <c r="HIX31" s="28"/>
      <c r="HIY31" s="28"/>
      <c r="HIZ31" s="28"/>
      <c r="HJA31" s="28"/>
      <c r="HJB31" s="28"/>
      <c r="HJC31" s="28"/>
      <c r="HJD31" s="28"/>
      <c r="HJE31" s="28"/>
      <c r="HJF31" s="28"/>
      <c r="HJG31" s="28"/>
      <c r="HJH31" s="28"/>
      <c r="HJI31" s="28"/>
      <c r="HJJ31" s="28"/>
      <c r="HJK31" s="28"/>
      <c r="HJL31" s="28"/>
      <c r="HJM31" s="28"/>
      <c r="HJN31" s="28"/>
      <c r="HJO31" s="28"/>
      <c r="HJP31" s="28"/>
      <c r="HJQ31" s="28"/>
      <c r="HJR31" s="28"/>
      <c r="HJS31" s="28"/>
      <c r="HJT31" s="28"/>
      <c r="HJU31" s="28"/>
      <c r="HJV31" s="28"/>
      <c r="HJW31" s="28"/>
      <c r="HJX31" s="28"/>
      <c r="HJY31" s="28"/>
      <c r="HJZ31" s="28"/>
      <c r="HKA31" s="28"/>
      <c r="HKB31" s="28"/>
      <c r="HKC31" s="28"/>
      <c r="HKD31" s="28"/>
      <c r="HKE31" s="28"/>
      <c r="HKF31" s="28"/>
      <c r="HKG31" s="28"/>
      <c r="HKH31" s="28"/>
      <c r="HKI31" s="28"/>
      <c r="HKJ31" s="28"/>
      <c r="HKK31" s="28"/>
      <c r="HKL31" s="28"/>
      <c r="HKM31" s="28"/>
      <c r="HKN31" s="28"/>
      <c r="HKO31" s="28"/>
      <c r="HKP31" s="28"/>
      <c r="HKQ31" s="28"/>
      <c r="HKR31" s="28"/>
      <c r="HKS31" s="28"/>
      <c r="HKT31" s="28"/>
      <c r="HKU31" s="28"/>
      <c r="HKV31" s="28"/>
      <c r="HKW31" s="28"/>
      <c r="HKX31" s="28"/>
      <c r="HKY31" s="28"/>
      <c r="HKZ31" s="28"/>
      <c r="HLA31" s="28"/>
      <c r="HLB31" s="28"/>
      <c r="HLC31" s="28"/>
      <c r="HLD31" s="28"/>
      <c r="HLE31" s="28"/>
      <c r="HLF31" s="28"/>
      <c r="HLG31" s="28"/>
      <c r="HLH31" s="28"/>
      <c r="HLI31" s="28"/>
      <c r="HLJ31" s="28"/>
      <c r="HLK31" s="28"/>
      <c r="HLL31" s="28"/>
      <c r="HLM31" s="28"/>
      <c r="HLN31" s="28"/>
      <c r="HLO31" s="28"/>
      <c r="HLP31" s="28"/>
      <c r="HLQ31" s="28"/>
      <c r="HLR31" s="28"/>
      <c r="HLS31" s="28"/>
      <c r="HLT31" s="28"/>
      <c r="HLU31" s="28"/>
      <c r="HLV31" s="28"/>
      <c r="HLW31" s="28"/>
      <c r="HLX31" s="28"/>
      <c r="HLY31" s="28"/>
      <c r="HLZ31" s="28"/>
      <c r="HMA31" s="28"/>
      <c r="HMB31" s="28"/>
      <c r="HMC31" s="28"/>
      <c r="HMD31" s="28"/>
      <c r="HME31" s="28"/>
      <c r="HMF31" s="28"/>
      <c r="HMG31" s="28"/>
      <c r="HMH31" s="28"/>
      <c r="HMI31" s="28"/>
      <c r="HMJ31" s="28"/>
      <c r="HMK31" s="28"/>
      <c r="HML31" s="28"/>
      <c r="HMM31" s="28"/>
      <c r="HMN31" s="28"/>
      <c r="HMO31" s="28"/>
      <c r="HMP31" s="28"/>
      <c r="HMQ31" s="28"/>
      <c r="HMR31" s="28"/>
      <c r="HMS31" s="28"/>
      <c r="HMT31" s="28"/>
      <c r="HMU31" s="28"/>
      <c r="HMV31" s="28"/>
      <c r="HMW31" s="28"/>
      <c r="HMX31" s="28"/>
      <c r="HMY31" s="28"/>
      <c r="HMZ31" s="28"/>
      <c r="HNA31" s="28"/>
      <c r="HNB31" s="28"/>
      <c r="HNC31" s="28"/>
      <c r="HND31" s="28"/>
      <c r="HNE31" s="28"/>
      <c r="HNF31" s="28"/>
      <c r="HNG31" s="28"/>
      <c r="HNH31" s="28"/>
      <c r="HNI31" s="28"/>
      <c r="HNJ31" s="28"/>
      <c r="HNK31" s="28"/>
      <c r="HNL31" s="28"/>
      <c r="HNM31" s="28"/>
      <c r="HNN31" s="28"/>
      <c r="HNO31" s="28"/>
      <c r="HNP31" s="28"/>
      <c r="HNQ31" s="28"/>
      <c r="HNR31" s="28"/>
      <c r="HNS31" s="28"/>
      <c r="HNT31" s="28"/>
      <c r="HNU31" s="28"/>
      <c r="HNV31" s="28"/>
      <c r="HNW31" s="28"/>
      <c r="HNX31" s="28"/>
      <c r="HNY31" s="28"/>
      <c r="HNZ31" s="28"/>
      <c r="HOA31" s="28"/>
      <c r="HOB31" s="28"/>
      <c r="HOC31" s="28"/>
      <c r="HOD31" s="28"/>
      <c r="HOE31" s="28"/>
      <c r="HOF31" s="28"/>
      <c r="HOG31" s="28"/>
      <c r="HOH31" s="28"/>
      <c r="HOI31" s="28"/>
      <c r="HOJ31" s="28"/>
      <c r="HOK31" s="28"/>
      <c r="HOL31" s="28"/>
      <c r="HOM31" s="28"/>
      <c r="HON31" s="28"/>
      <c r="HOO31" s="28"/>
      <c r="HOP31" s="28"/>
      <c r="HOQ31" s="28"/>
      <c r="HOR31" s="28"/>
      <c r="HOS31" s="28"/>
      <c r="HOT31" s="28"/>
      <c r="HOU31" s="28"/>
      <c r="HOV31" s="28"/>
      <c r="HOW31" s="28"/>
      <c r="HOX31" s="28"/>
      <c r="HOY31" s="28"/>
      <c r="HOZ31" s="28"/>
      <c r="HPA31" s="28"/>
      <c r="HPB31" s="28"/>
      <c r="HPC31" s="28"/>
      <c r="HPD31" s="28"/>
      <c r="HPE31" s="28"/>
      <c r="HPF31" s="28"/>
      <c r="HPG31" s="28"/>
      <c r="HPH31" s="28"/>
      <c r="HPI31" s="28"/>
      <c r="HPJ31" s="28"/>
      <c r="HPK31" s="28"/>
      <c r="HPL31" s="28"/>
      <c r="HPM31" s="28"/>
      <c r="HPN31" s="28"/>
      <c r="HPO31" s="28"/>
      <c r="HPP31" s="28"/>
      <c r="HPQ31" s="28"/>
      <c r="HPR31" s="28"/>
      <c r="HPS31" s="28"/>
      <c r="HPT31" s="28"/>
      <c r="HPU31" s="28"/>
      <c r="HPV31" s="28"/>
      <c r="HPW31" s="28"/>
      <c r="HPX31" s="28"/>
      <c r="HPY31" s="28"/>
      <c r="HPZ31" s="28"/>
      <c r="HQA31" s="28"/>
      <c r="HQB31" s="28"/>
      <c r="HQC31" s="28"/>
      <c r="HQD31" s="28"/>
      <c r="HQE31" s="28"/>
      <c r="HQF31" s="28"/>
      <c r="HQG31" s="28"/>
      <c r="HQH31" s="28"/>
      <c r="HQI31" s="28"/>
      <c r="HQJ31" s="28"/>
      <c r="HQK31" s="28"/>
      <c r="HQL31" s="28"/>
      <c r="HQM31" s="28"/>
      <c r="HQN31" s="28"/>
      <c r="HQO31" s="28"/>
      <c r="HQP31" s="28"/>
      <c r="HQQ31" s="28"/>
      <c r="HQR31" s="28"/>
      <c r="HQS31" s="28"/>
      <c r="HQT31" s="28"/>
      <c r="HQU31" s="28"/>
      <c r="HQV31" s="28"/>
      <c r="HQW31" s="28"/>
      <c r="HQX31" s="28"/>
      <c r="HQY31" s="28"/>
      <c r="HQZ31" s="28"/>
      <c r="HRA31" s="28"/>
      <c r="HRB31" s="28"/>
      <c r="HRC31" s="28"/>
      <c r="HRD31" s="28"/>
      <c r="HRE31" s="28"/>
      <c r="HRF31" s="28"/>
      <c r="HRG31" s="28"/>
      <c r="HRH31" s="28"/>
      <c r="HRI31" s="28"/>
      <c r="HRJ31" s="28"/>
      <c r="HRK31" s="28"/>
      <c r="HRL31" s="28"/>
      <c r="HRM31" s="28"/>
      <c r="HRN31" s="28"/>
      <c r="HRO31" s="28"/>
      <c r="HRP31" s="28"/>
      <c r="HRQ31" s="28"/>
      <c r="HRR31" s="28"/>
      <c r="HRS31" s="28"/>
      <c r="HRT31" s="28"/>
      <c r="HRU31" s="28"/>
      <c r="HRV31" s="28"/>
      <c r="HRW31" s="28"/>
      <c r="HRX31" s="28"/>
      <c r="HRY31" s="28"/>
      <c r="HRZ31" s="28"/>
      <c r="HSA31" s="28"/>
      <c r="HSB31" s="28"/>
      <c r="HSC31" s="28"/>
      <c r="HSD31" s="28"/>
      <c r="HSE31" s="28"/>
      <c r="HSF31" s="28"/>
      <c r="HSG31" s="28"/>
      <c r="HSH31" s="28"/>
      <c r="HSI31" s="28"/>
      <c r="HSJ31" s="28"/>
      <c r="HSK31" s="28"/>
      <c r="HSL31" s="28"/>
      <c r="HSM31" s="28"/>
      <c r="HSN31" s="28"/>
      <c r="HSO31" s="28"/>
      <c r="HSP31" s="28"/>
      <c r="HSQ31" s="28"/>
      <c r="HSR31" s="28"/>
      <c r="HSS31" s="28"/>
      <c r="HST31" s="28"/>
      <c r="HSU31" s="28"/>
      <c r="HSV31" s="28"/>
      <c r="HSW31" s="28"/>
      <c r="HSX31" s="28"/>
      <c r="HSY31" s="28"/>
      <c r="HSZ31" s="28"/>
      <c r="HTA31" s="28"/>
      <c r="HTB31" s="28"/>
      <c r="HTC31" s="28"/>
      <c r="HTD31" s="28"/>
      <c r="HTE31" s="28"/>
      <c r="HTF31" s="28"/>
      <c r="HTG31" s="28"/>
      <c r="HTH31" s="28"/>
      <c r="HTI31" s="28"/>
      <c r="HTJ31" s="28"/>
      <c r="HTK31" s="28"/>
      <c r="HTL31" s="28"/>
      <c r="HTM31" s="28"/>
      <c r="HTN31" s="28"/>
      <c r="HTO31" s="28"/>
      <c r="HTP31" s="28"/>
      <c r="HTQ31" s="28"/>
      <c r="HTR31" s="28"/>
      <c r="HTS31" s="28"/>
      <c r="HTT31" s="28"/>
      <c r="HTU31" s="28"/>
      <c r="HTV31" s="28"/>
      <c r="HTW31" s="28"/>
      <c r="HTX31" s="28"/>
      <c r="HTY31" s="28"/>
      <c r="HTZ31" s="28"/>
      <c r="HUA31" s="28"/>
      <c r="HUB31" s="28"/>
      <c r="HUC31" s="28"/>
      <c r="HUD31" s="28"/>
      <c r="HUE31" s="28"/>
      <c r="HUF31" s="28"/>
      <c r="HUG31" s="28"/>
      <c r="HUH31" s="28"/>
      <c r="HUI31" s="28"/>
      <c r="HUJ31" s="28"/>
      <c r="HUK31" s="28"/>
      <c r="HUL31" s="28"/>
      <c r="HUM31" s="28"/>
      <c r="HUN31" s="28"/>
      <c r="HUO31" s="28"/>
      <c r="HUP31" s="28"/>
      <c r="HUQ31" s="28"/>
      <c r="HUR31" s="28"/>
      <c r="HUS31" s="28"/>
      <c r="HUT31" s="28"/>
      <c r="HUU31" s="28"/>
      <c r="HUV31" s="28"/>
      <c r="HUW31" s="28"/>
      <c r="HUX31" s="28"/>
      <c r="HUY31" s="28"/>
      <c r="HUZ31" s="28"/>
      <c r="HVA31" s="28"/>
      <c r="HVB31" s="28"/>
      <c r="HVC31" s="28"/>
      <c r="HVD31" s="28"/>
      <c r="HVE31" s="28"/>
      <c r="HVF31" s="28"/>
      <c r="HVG31" s="28"/>
      <c r="HVH31" s="28"/>
      <c r="HVI31" s="28"/>
      <c r="HVJ31" s="28"/>
      <c r="HVK31" s="28"/>
      <c r="HVL31" s="28"/>
      <c r="HVM31" s="28"/>
      <c r="HVN31" s="28"/>
      <c r="HVO31" s="28"/>
      <c r="HVP31" s="28"/>
      <c r="HVQ31" s="28"/>
      <c r="HVR31" s="28"/>
      <c r="HVS31" s="28"/>
      <c r="HVT31" s="28"/>
      <c r="HVU31" s="28"/>
      <c r="HVV31" s="28"/>
      <c r="HVW31" s="28"/>
      <c r="HVX31" s="28"/>
      <c r="HVY31" s="28"/>
      <c r="HVZ31" s="28"/>
      <c r="HWA31" s="28"/>
      <c r="HWB31" s="28"/>
      <c r="HWC31" s="28"/>
      <c r="HWD31" s="28"/>
      <c r="HWE31" s="28"/>
      <c r="HWF31" s="28"/>
      <c r="HWG31" s="28"/>
      <c r="HWH31" s="28"/>
      <c r="HWI31" s="28"/>
      <c r="HWJ31" s="28"/>
      <c r="HWK31" s="28"/>
      <c r="HWL31" s="28"/>
      <c r="HWM31" s="28"/>
      <c r="HWN31" s="28"/>
      <c r="HWO31" s="28"/>
      <c r="HWP31" s="28"/>
      <c r="HWQ31" s="28"/>
      <c r="HWR31" s="28"/>
      <c r="HWS31" s="28"/>
      <c r="HWT31" s="28"/>
      <c r="HWU31" s="28"/>
      <c r="HWV31" s="28"/>
      <c r="HWW31" s="28"/>
      <c r="HWX31" s="28"/>
      <c r="HWY31" s="28"/>
      <c r="HWZ31" s="28"/>
      <c r="HXA31" s="28"/>
      <c r="HXB31" s="28"/>
      <c r="HXC31" s="28"/>
      <c r="HXD31" s="28"/>
      <c r="HXE31" s="28"/>
      <c r="HXF31" s="28"/>
      <c r="HXG31" s="28"/>
      <c r="HXH31" s="28"/>
      <c r="HXI31" s="28"/>
      <c r="HXJ31" s="28"/>
      <c r="HXK31" s="28"/>
      <c r="HXL31" s="28"/>
      <c r="HXM31" s="28"/>
      <c r="HXN31" s="28"/>
      <c r="HXO31" s="28"/>
      <c r="HXP31" s="28"/>
      <c r="HXQ31" s="28"/>
      <c r="HXR31" s="28"/>
      <c r="HXS31" s="28"/>
      <c r="HXT31" s="28"/>
      <c r="HXU31" s="28"/>
      <c r="HXV31" s="28"/>
      <c r="HXW31" s="28"/>
      <c r="HXX31" s="28"/>
      <c r="HXY31" s="28"/>
      <c r="HXZ31" s="28"/>
      <c r="HYA31" s="28"/>
      <c r="HYB31" s="28"/>
      <c r="HYC31" s="28"/>
      <c r="HYD31" s="28"/>
      <c r="HYE31" s="28"/>
      <c r="HYF31" s="28"/>
      <c r="HYG31" s="28"/>
      <c r="HYH31" s="28"/>
      <c r="HYI31" s="28"/>
      <c r="HYJ31" s="28"/>
      <c r="HYK31" s="28"/>
      <c r="HYL31" s="28"/>
      <c r="HYM31" s="28"/>
      <c r="HYN31" s="28"/>
      <c r="HYO31" s="28"/>
      <c r="HYP31" s="28"/>
      <c r="HYQ31" s="28"/>
      <c r="HYR31" s="28"/>
      <c r="HYS31" s="28"/>
      <c r="HYT31" s="28"/>
      <c r="HYU31" s="28"/>
      <c r="HYV31" s="28"/>
      <c r="HYW31" s="28"/>
      <c r="HYX31" s="28"/>
      <c r="HYY31" s="28"/>
      <c r="HYZ31" s="28"/>
      <c r="HZA31" s="28"/>
      <c r="HZB31" s="28"/>
      <c r="HZC31" s="28"/>
      <c r="HZD31" s="28"/>
      <c r="HZE31" s="28"/>
      <c r="HZF31" s="28"/>
      <c r="HZG31" s="28"/>
      <c r="HZH31" s="28"/>
      <c r="HZI31" s="28"/>
      <c r="HZJ31" s="28"/>
      <c r="HZK31" s="28"/>
      <c r="HZL31" s="28"/>
      <c r="HZM31" s="28"/>
      <c r="HZN31" s="28"/>
      <c r="HZO31" s="28"/>
      <c r="HZP31" s="28"/>
      <c r="HZQ31" s="28"/>
      <c r="HZR31" s="28"/>
      <c r="HZS31" s="28"/>
      <c r="HZT31" s="28"/>
      <c r="HZU31" s="28"/>
      <c r="HZV31" s="28"/>
      <c r="HZW31" s="28"/>
      <c r="HZX31" s="28"/>
      <c r="HZY31" s="28"/>
      <c r="HZZ31" s="28"/>
      <c r="IAA31" s="28"/>
      <c r="IAB31" s="28"/>
      <c r="IAC31" s="28"/>
      <c r="IAD31" s="28"/>
      <c r="IAE31" s="28"/>
      <c r="IAF31" s="28"/>
      <c r="IAG31" s="28"/>
      <c r="IAH31" s="28"/>
      <c r="IAI31" s="28"/>
      <c r="IAJ31" s="28"/>
      <c r="IAK31" s="28"/>
      <c r="IAL31" s="28"/>
      <c r="IAM31" s="28"/>
      <c r="IAN31" s="28"/>
      <c r="IAO31" s="28"/>
      <c r="IAP31" s="28"/>
      <c r="IAQ31" s="28"/>
      <c r="IAR31" s="28"/>
      <c r="IAS31" s="28"/>
      <c r="IAT31" s="28"/>
      <c r="IAU31" s="28"/>
      <c r="IAV31" s="28"/>
      <c r="IAW31" s="28"/>
      <c r="IAX31" s="28"/>
      <c r="IAY31" s="28"/>
      <c r="IAZ31" s="28"/>
      <c r="IBA31" s="28"/>
      <c r="IBB31" s="28"/>
      <c r="IBC31" s="28"/>
      <c r="IBD31" s="28"/>
      <c r="IBE31" s="28"/>
      <c r="IBF31" s="28"/>
      <c r="IBG31" s="28"/>
      <c r="IBH31" s="28"/>
      <c r="IBI31" s="28"/>
      <c r="IBJ31" s="28"/>
      <c r="IBK31" s="28"/>
      <c r="IBL31" s="28"/>
      <c r="IBM31" s="28"/>
      <c r="IBN31" s="28"/>
      <c r="IBO31" s="28"/>
      <c r="IBP31" s="28"/>
      <c r="IBQ31" s="28"/>
      <c r="IBR31" s="28"/>
      <c r="IBS31" s="28"/>
      <c r="IBT31" s="28"/>
      <c r="IBU31" s="28"/>
      <c r="IBV31" s="28"/>
      <c r="IBW31" s="28"/>
      <c r="IBX31" s="28"/>
      <c r="IBY31" s="28"/>
      <c r="IBZ31" s="28"/>
      <c r="ICA31" s="28"/>
      <c r="ICB31" s="28"/>
      <c r="ICC31" s="28"/>
      <c r="ICD31" s="28"/>
      <c r="ICE31" s="28"/>
      <c r="ICF31" s="28"/>
      <c r="ICG31" s="28"/>
      <c r="ICH31" s="28"/>
      <c r="ICI31" s="28"/>
      <c r="ICJ31" s="28"/>
      <c r="ICK31" s="28"/>
      <c r="ICL31" s="28"/>
      <c r="ICM31" s="28"/>
      <c r="ICN31" s="28"/>
      <c r="ICO31" s="28"/>
      <c r="ICP31" s="28"/>
      <c r="ICQ31" s="28"/>
      <c r="ICR31" s="28"/>
      <c r="ICS31" s="28"/>
      <c r="ICT31" s="28"/>
      <c r="ICU31" s="28"/>
      <c r="ICV31" s="28"/>
      <c r="ICW31" s="28"/>
      <c r="ICX31" s="28"/>
      <c r="ICY31" s="28"/>
      <c r="ICZ31" s="28"/>
      <c r="IDA31" s="28"/>
      <c r="IDB31" s="28"/>
      <c r="IDC31" s="28"/>
      <c r="IDD31" s="28"/>
      <c r="IDE31" s="28"/>
      <c r="IDF31" s="28"/>
      <c r="IDG31" s="28"/>
      <c r="IDH31" s="28"/>
      <c r="IDI31" s="28"/>
      <c r="IDJ31" s="28"/>
      <c r="IDK31" s="28"/>
      <c r="IDL31" s="28"/>
      <c r="IDM31" s="28"/>
      <c r="IDN31" s="28"/>
      <c r="IDO31" s="28"/>
      <c r="IDP31" s="28"/>
      <c r="IDQ31" s="28"/>
      <c r="IDR31" s="28"/>
      <c r="IDS31" s="28"/>
      <c r="IDT31" s="28"/>
      <c r="IDU31" s="28"/>
      <c r="IDV31" s="28"/>
      <c r="IDW31" s="28"/>
      <c r="IDX31" s="28"/>
      <c r="IDY31" s="28"/>
      <c r="IDZ31" s="28"/>
      <c r="IEA31" s="28"/>
      <c r="IEB31" s="28"/>
      <c r="IEC31" s="28"/>
      <c r="IED31" s="28"/>
      <c r="IEE31" s="28"/>
      <c r="IEF31" s="28"/>
      <c r="IEG31" s="28"/>
      <c r="IEH31" s="28"/>
      <c r="IEI31" s="28"/>
      <c r="IEJ31" s="28"/>
      <c r="IEK31" s="28"/>
      <c r="IEL31" s="28"/>
      <c r="IEM31" s="28"/>
      <c r="IEN31" s="28"/>
      <c r="IEO31" s="28"/>
      <c r="IEP31" s="28"/>
      <c r="IEQ31" s="28"/>
      <c r="IER31" s="28"/>
      <c r="IES31" s="28"/>
      <c r="IET31" s="28"/>
      <c r="IEU31" s="28"/>
      <c r="IEV31" s="28"/>
      <c r="IEW31" s="28"/>
      <c r="IEX31" s="28"/>
      <c r="IEY31" s="28"/>
      <c r="IEZ31" s="28"/>
      <c r="IFA31" s="28"/>
      <c r="IFB31" s="28"/>
      <c r="IFC31" s="28"/>
      <c r="IFD31" s="28"/>
      <c r="IFE31" s="28"/>
      <c r="IFF31" s="28"/>
      <c r="IFG31" s="28"/>
      <c r="IFH31" s="28"/>
      <c r="IFI31" s="28"/>
      <c r="IFJ31" s="28"/>
      <c r="IFK31" s="28"/>
      <c r="IFL31" s="28"/>
      <c r="IFM31" s="28"/>
      <c r="IFN31" s="28"/>
      <c r="IFO31" s="28"/>
      <c r="IFP31" s="28"/>
      <c r="IFQ31" s="28"/>
      <c r="IFR31" s="28"/>
      <c r="IFS31" s="28"/>
      <c r="IFT31" s="28"/>
      <c r="IFU31" s="28"/>
      <c r="IFV31" s="28"/>
      <c r="IFW31" s="28"/>
      <c r="IFX31" s="28"/>
      <c r="IFY31" s="28"/>
      <c r="IFZ31" s="28"/>
      <c r="IGA31" s="28"/>
      <c r="IGB31" s="28"/>
      <c r="IGC31" s="28"/>
      <c r="IGD31" s="28"/>
      <c r="IGE31" s="28"/>
      <c r="IGF31" s="28"/>
      <c r="IGG31" s="28"/>
      <c r="IGH31" s="28"/>
      <c r="IGI31" s="28"/>
      <c r="IGJ31" s="28"/>
      <c r="IGK31" s="28"/>
      <c r="IGL31" s="28"/>
      <c r="IGM31" s="28"/>
      <c r="IGN31" s="28"/>
      <c r="IGO31" s="28"/>
      <c r="IGP31" s="28"/>
      <c r="IGQ31" s="28"/>
      <c r="IGR31" s="28"/>
      <c r="IGS31" s="28"/>
      <c r="IGT31" s="28"/>
      <c r="IGU31" s="28"/>
      <c r="IGV31" s="28"/>
      <c r="IGW31" s="28"/>
      <c r="IGX31" s="28"/>
      <c r="IGY31" s="28"/>
      <c r="IGZ31" s="28"/>
      <c r="IHA31" s="28"/>
      <c r="IHB31" s="28"/>
      <c r="IHC31" s="28"/>
      <c r="IHD31" s="28"/>
      <c r="IHE31" s="28"/>
      <c r="IHF31" s="28"/>
      <c r="IHG31" s="28"/>
      <c r="IHH31" s="28"/>
      <c r="IHI31" s="28"/>
      <c r="IHJ31" s="28"/>
      <c r="IHK31" s="28"/>
      <c r="IHL31" s="28"/>
      <c r="IHM31" s="28"/>
      <c r="IHN31" s="28"/>
      <c r="IHO31" s="28"/>
      <c r="IHP31" s="28"/>
      <c r="IHQ31" s="28"/>
      <c r="IHR31" s="28"/>
      <c r="IHS31" s="28"/>
      <c r="IHT31" s="28"/>
      <c r="IHU31" s="28"/>
      <c r="IHV31" s="28"/>
      <c r="IHW31" s="28"/>
      <c r="IHX31" s="28"/>
      <c r="IHY31" s="28"/>
      <c r="IHZ31" s="28"/>
      <c r="IIA31" s="28"/>
      <c r="IIB31" s="28"/>
      <c r="IIC31" s="28"/>
      <c r="IID31" s="28"/>
      <c r="IIE31" s="28"/>
      <c r="IIF31" s="28"/>
      <c r="IIG31" s="28"/>
      <c r="IIH31" s="28"/>
      <c r="III31" s="28"/>
      <c r="IIJ31" s="28"/>
      <c r="IIK31" s="28"/>
      <c r="IIL31" s="28"/>
      <c r="IIM31" s="28"/>
      <c r="IIN31" s="28"/>
      <c r="IIO31" s="28"/>
      <c r="IIP31" s="28"/>
      <c r="IIQ31" s="28"/>
      <c r="IIR31" s="28"/>
      <c r="IIS31" s="28"/>
      <c r="IIT31" s="28"/>
      <c r="IIU31" s="28"/>
      <c r="IIV31" s="28"/>
      <c r="IIW31" s="28"/>
      <c r="IIX31" s="28"/>
      <c r="IIY31" s="28"/>
      <c r="IIZ31" s="28"/>
      <c r="IJA31" s="28"/>
      <c r="IJB31" s="28"/>
      <c r="IJC31" s="28"/>
      <c r="IJD31" s="28"/>
      <c r="IJE31" s="28"/>
      <c r="IJF31" s="28"/>
      <c r="IJG31" s="28"/>
      <c r="IJH31" s="28"/>
      <c r="IJI31" s="28"/>
      <c r="IJJ31" s="28"/>
      <c r="IJK31" s="28"/>
      <c r="IJL31" s="28"/>
      <c r="IJM31" s="28"/>
      <c r="IJN31" s="28"/>
      <c r="IJO31" s="28"/>
      <c r="IJP31" s="28"/>
      <c r="IJQ31" s="28"/>
      <c r="IJR31" s="28"/>
      <c r="IJS31" s="28"/>
      <c r="IJT31" s="28"/>
      <c r="IJU31" s="28"/>
      <c r="IJV31" s="28"/>
      <c r="IJW31" s="28"/>
      <c r="IJX31" s="28"/>
      <c r="IJY31" s="28"/>
      <c r="IJZ31" s="28"/>
      <c r="IKA31" s="28"/>
      <c r="IKB31" s="28"/>
      <c r="IKC31" s="28"/>
      <c r="IKD31" s="28"/>
      <c r="IKE31" s="28"/>
      <c r="IKF31" s="28"/>
      <c r="IKG31" s="28"/>
      <c r="IKH31" s="28"/>
      <c r="IKI31" s="28"/>
      <c r="IKJ31" s="28"/>
      <c r="IKK31" s="28"/>
      <c r="IKL31" s="28"/>
      <c r="IKM31" s="28"/>
      <c r="IKN31" s="28"/>
      <c r="IKO31" s="28"/>
      <c r="IKP31" s="28"/>
      <c r="IKQ31" s="28"/>
      <c r="IKR31" s="28"/>
      <c r="IKS31" s="28"/>
      <c r="IKT31" s="28"/>
      <c r="IKU31" s="28"/>
      <c r="IKV31" s="28"/>
      <c r="IKW31" s="28"/>
      <c r="IKX31" s="28"/>
      <c r="IKY31" s="28"/>
      <c r="IKZ31" s="28"/>
      <c r="ILA31" s="28"/>
      <c r="ILB31" s="28"/>
      <c r="ILC31" s="28"/>
      <c r="ILD31" s="28"/>
      <c r="ILE31" s="28"/>
      <c r="ILF31" s="28"/>
      <c r="ILG31" s="28"/>
      <c r="ILH31" s="28"/>
      <c r="ILI31" s="28"/>
      <c r="ILJ31" s="28"/>
      <c r="ILK31" s="28"/>
      <c r="ILL31" s="28"/>
      <c r="ILM31" s="28"/>
      <c r="ILN31" s="28"/>
      <c r="ILO31" s="28"/>
      <c r="ILP31" s="28"/>
      <c r="ILQ31" s="28"/>
      <c r="ILR31" s="28"/>
      <c r="ILS31" s="28"/>
      <c r="ILT31" s="28"/>
      <c r="ILU31" s="28"/>
      <c r="ILV31" s="28"/>
      <c r="ILW31" s="28"/>
      <c r="ILX31" s="28"/>
      <c r="ILY31" s="28"/>
      <c r="ILZ31" s="28"/>
      <c r="IMA31" s="28"/>
      <c r="IMB31" s="28"/>
      <c r="IMC31" s="28"/>
      <c r="IMD31" s="28"/>
      <c r="IME31" s="28"/>
      <c r="IMF31" s="28"/>
      <c r="IMG31" s="28"/>
      <c r="IMH31" s="28"/>
      <c r="IMI31" s="28"/>
      <c r="IMJ31" s="28"/>
      <c r="IMK31" s="28"/>
      <c r="IML31" s="28"/>
      <c r="IMM31" s="28"/>
      <c r="IMN31" s="28"/>
      <c r="IMO31" s="28"/>
      <c r="IMP31" s="28"/>
      <c r="IMQ31" s="28"/>
      <c r="IMR31" s="28"/>
      <c r="IMS31" s="28"/>
      <c r="IMT31" s="28"/>
      <c r="IMU31" s="28"/>
      <c r="IMV31" s="28"/>
      <c r="IMW31" s="28"/>
      <c r="IMX31" s="28"/>
      <c r="IMY31" s="28"/>
      <c r="IMZ31" s="28"/>
      <c r="INA31" s="28"/>
      <c r="INB31" s="28"/>
      <c r="INC31" s="28"/>
      <c r="IND31" s="28"/>
      <c r="INE31" s="28"/>
      <c r="INF31" s="28"/>
      <c r="ING31" s="28"/>
      <c r="INH31" s="28"/>
      <c r="INI31" s="28"/>
      <c r="INJ31" s="28"/>
      <c r="INK31" s="28"/>
      <c r="INL31" s="28"/>
      <c r="INM31" s="28"/>
      <c r="INN31" s="28"/>
      <c r="INO31" s="28"/>
      <c r="INP31" s="28"/>
      <c r="INQ31" s="28"/>
      <c r="INR31" s="28"/>
      <c r="INS31" s="28"/>
      <c r="INT31" s="28"/>
      <c r="INU31" s="28"/>
      <c r="INV31" s="28"/>
      <c r="INW31" s="28"/>
      <c r="INX31" s="28"/>
      <c r="INY31" s="28"/>
      <c r="INZ31" s="28"/>
      <c r="IOA31" s="28"/>
      <c r="IOB31" s="28"/>
      <c r="IOC31" s="28"/>
      <c r="IOD31" s="28"/>
      <c r="IOE31" s="28"/>
      <c r="IOF31" s="28"/>
      <c r="IOG31" s="28"/>
      <c r="IOH31" s="28"/>
      <c r="IOI31" s="28"/>
      <c r="IOJ31" s="28"/>
      <c r="IOK31" s="28"/>
      <c r="IOL31" s="28"/>
      <c r="IOM31" s="28"/>
      <c r="ION31" s="28"/>
      <c r="IOO31" s="28"/>
      <c r="IOP31" s="28"/>
      <c r="IOQ31" s="28"/>
      <c r="IOR31" s="28"/>
      <c r="IOS31" s="28"/>
      <c r="IOT31" s="28"/>
      <c r="IOU31" s="28"/>
      <c r="IOV31" s="28"/>
      <c r="IOW31" s="28"/>
      <c r="IOX31" s="28"/>
      <c r="IOY31" s="28"/>
      <c r="IOZ31" s="28"/>
      <c r="IPA31" s="28"/>
      <c r="IPB31" s="28"/>
      <c r="IPC31" s="28"/>
      <c r="IPD31" s="28"/>
      <c r="IPE31" s="28"/>
      <c r="IPF31" s="28"/>
      <c r="IPG31" s="28"/>
      <c r="IPH31" s="28"/>
      <c r="IPI31" s="28"/>
      <c r="IPJ31" s="28"/>
      <c r="IPK31" s="28"/>
      <c r="IPL31" s="28"/>
      <c r="IPM31" s="28"/>
      <c r="IPN31" s="28"/>
      <c r="IPO31" s="28"/>
      <c r="IPP31" s="28"/>
      <c r="IPQ31" s="28"/>
      <c r="IPR31" s="28"/>
      <c r="IPS31" s="28"/>
      <c r="IPT31" s="28"/>
      <c r="IPU31" s="28"/>
      <c r="IPV31" s="28"/>
      <c r="IPW31" s="28"/>
      <c r="IPX31" s="28"/>
      <c r="IPY31" s="28"/>
      <c r="IPZ31" s="28"/>
      <c r="IQA31" s="28"/>
      <c r="IQB31" s="28"/>
      <c r="IQC31" s="28"/>
      <c r="IQD31" s="28"/>
      <c r="IQE31" s="28"/>
      <c r="IQF31" s="28"/>
      <c r="IQG31" s="28"/>
      <c r="IQH31" s="28"/>
      <c r="IQI31" s="28"/>
      <c r="IQJ31" s="28"/>
      <c r="IQK31" s="28"/>
      <c r="IQL31" s="28"/>
      <c r="IQM31" s="28"/>
      <c r="IQN31" s="28"/>
      <c r="IQO31" s="28"/>
      <c r="IQP31" s="28"/>
      <c r="IQQ31" s="28"/>
      <c r="IQR31" s="28"/>
      <c r="IQS31" s="28"/>
      <c r="IQT31" s="28"/>
      <c r="IQU31" s="28"/>
      <c r="IQV31" s="28"/>
      <c r="IQW31" s="28"/>
      <c r="IQX31" s="28"/>
      <c r="IQY31" s="28"/>
      <c r="IQZ31" s="28"/>
      <c r="IRA31" s="28"/>
      <c r="IRB31" s="28"/>
      <c r="IRC31" s="28"/>
      <c r="IRD31" s="28"/>
      <c r="IRE31" s="28"/>
      <c r="IRF31" s="28"/>
      <c r="IRG31" s="28"/>
      <c r="IRH31" s="28"/>
      <c r="IRI31" s="28"/>
      <c r="IRJ31" s="28"/>
      <c r="IRK31" s="28"/>
      <c r="IRL31" s="28"/>
      <c r="IRM31" s="28"/>
      <c r="IRN31" s="28"/>
      <c r="IRO31" s="28"/>
      <c r="IRP31" s="28"/>
      <c r="IRQ31" s="28"/>
      <c r="IRR31" s="28"/>
      <c r="IRS31" s="28"/>
      <c r="IRT31" s="28"/>
      <c r="IRU31" s="28"/>
      <c r="IRV31" s="28"/>
      <c r="IRW31" s="28"/>
      <c r="IRX31" s="28"/>
      <c r="IRY31" s="28"/>
      <c r="IRZ31" s="28"/>
      <c r="ISA31" s="28"/>
      <c r="ISB31" s="28"/>
      <c r="ISC31" s="28"/>
      <c r="ISD31" s="28"/>
      <c r="ISE31" s="28"/>
      <c r="ISF31" s="28"/>
      <c r="ISG31" s="28"/>
      <c r="ISH31" s="28"/>
      <c r="ISI31" s="28"/>
      <c r="ISJ31" s="28"/>
      <c r="ISK31" s="28"/>
      <c r="ISL31" s="28"/>
      <c r="ISM31" s="28"/>
      <c r="ISN31" s="28"/>
      <c r="ISO31" s="28"/>
      <c r="ISP31" s="28"/>
      <c r="ISQ31" s="28"/>
      <c r="ISR31" s="28"/>
      <c r="ISS31" s="28"/>
      <c r="IST31" s="28"/>
      <c r="ISU31" s="28"/>
      <c r="ISV31" s="28"/>
      <c r="ISW31" s="28"/>
      <c r="ISX31" s="28"/>
      <c r="ISY31" s="28"/>
      <c r="ISZ31" s="28"/>
      <c r="ITA31" s="28"/>
      <c r="ITB31" s="28"/>
      <c r="ITC31" s="28"/>
      <c r="ITD31" s="28"/>
      <c r="ITE31" s="28"/>
      <c r="ITF31" s="28"/>
      <c r="ITG31" s="28"/>
      <c r="ITH31" s="28"/>
      <c r="ITI31" s="28"/>
      <c r="ITJ31" s="28"/>
      <c r="ITK31" s="28"/>
      <c r="ITL31" s="28"/>
      <c r="ITM31" s="28"/>
      <c r="ITN31" s="28"/>
      <c r="ITO31" s="28"/>
      <c r="ITP31" s="28"/>
      <c r="ITQ31" s="28"/>
      <c r="ITR31" s="28"/>
      <c r="ITS31" s="28"/>
      <c r="ITT31" s="28"/>
      <c r="ITU31" s="28"/>
      <c r="ITV31" s="28"/>
      <c r="ITW31" s="28"/>
      <c r="ITX31" s="28"/>
      <c r="ITY31" s="28"/>
      <c r="ITZ31" s="28"/>
      <c r="IUA31" s="28"/>
      <c r="IUB31" s="28"/>
      <c r="IUC31" s="28"/>
      <c r="IUD31" s="28"/>
      <c r="IUE31" s="28"/>
      <c r="IUF31" s="28"/>
      <c r="IUG31" s="28"/>
      <c r="IUH31" s="28"/>
      <c r="IUI31" s="28"/>
      <c r="IUJ31" s="28"/>
      <c r="IUK31" s="28"/>
      <c r="IUL31" s="28"/>
      <c r="IUM31" s="28"/>
      <c r="IUN31" s="28"/>
      <c r="IUO31" s="28"/>
      <c r="IUP31" s="28"/>
      <c r="IUQ31" s="28"/>
      <c r="IUR31" s="28"/>
      <c r="IUS31" s="28"/>
      <c r="IUT31" s="28"/>
      <c r="IUU31" s="28"/>
      <c r="IUV31" s="28"/>
      <c r="IUW31" s="28"/>
      <c r="IUX31" s="28"/>
      <c r="IUY31" s="28"/>
      <c r="IUZ31" s="28"/>
      <c r="IVA31" s="28"/>
      <c r="IVB31" s="28"/>
      <c r="IVC31" s="28"/>
      <c r="IVD31" s="28"/>
      <c r="IVE31" s="28"/>
      <c r="IVF31" s="28"/>
      <c r="IVG31" s="28"/>
      <c r="IVH31" s="28"/>
      <c r="IVI31" s="28"/>
      <c r="IVJ31" s="28"/>
      <c r="IVK31" s="28"/>
      <c r="IVL31" s="28"/>
      <c r="IVM31" s="28"/>
      <c r="IVN31" s="28"/>
      <c r="IVO31" s="28"/>
      <c r="IVP31" s="28"/>
      <c r="IVQ31" s="28"/>
      <c r="IVR31" s="28"/>
      <c r="IVS31" s="28"/>
      <c r="IVT31" s="28"/>
      <c r="IVU31" s="28"/>
      <c r="IVV31" s="28"/>
      <c r="IVW31" s="28"/>
      <c r="IVX31" s="28"/>
      <c r="IVY31" s="28"/>
      <c r="IVZ31" s="28"/>
      <c r="IWA31" s="28"/>
      <c r="IWB31" s="28"/>
      <c r="IWC31" s="28"/>
      <c r="IWD31" s="28"/>
      <c r="IWE31" s="28"/>
      <c r="IWF31" s="28"/>
      <c r="IWG31" s="28"/>
      <c r="IWH31" s="28"/>
      <c r="IWI31" s="28"/>
      <c r="IWJ31" s="28"/>
      <c r="IWK31" s="28"/>
      <c r="IWL31" s="28"/>
      <c r="IWM31" s="28"/>
      <c r="IWN31" s="28"/>
      <c r="IWO31" s="28"/>
      <c r="IWP31" s="28"/>
      <c r="IWQ31" s="28"/>
      <c r="IWR31" s="28"/>
      <c r="IWS31" s="28"/>
      <c r="IWT31" s="28"/>
      <c r="IWU31" s="28"/>
      <c r="IWV31" s="28"/>
      <c r="IWW31" s="28"/>
      <c r="IWX31" s="28"/>
      <c r="IWY31" s="28"/>
      <c r="IWZ31" s="28"/>
      <c r="IXA31" s="28"/>
      <c r="IXB31" s="28"/>
      <c r="IXC31" s="28"/>
      <c r="IXD31" s="28"/>
      <c r="IXE31" s="28"/>
      <c r="IXF31" s="28"/>
      <c r="IXG31" s="28"/>
      <c r="IXH31" s="28"/>
      <c r="IXI31" s="28"/>
      <c r="IXJ31" s="28"/>
      <c r="IXK31" s="28"/>
      <c r="IXL31" s="28"/>
      <c r="IXM31" s="28"/>
      <c r="IXN31" s="28"/>
      <c r="IXO31" s="28"/>
      <c r="IXP31" s="28"/>
      <c r="IXQ31" s="28"/>
      <c r="IXR31" s="28"/>
      <c r="IXS31" s="28"/>
      <c r="IXT31" s="28"/>
      <c r="IXU31" s="28"/>
      <c r="IXV31" s="28"/>
      <c r="IXW31" s="28"/>
      <c r="IXX31" s="28"/>
      <c r="IXY31" s="28"/>
      <c r="IXZ31" s="28"/>
      <c r="IYA31" s="28"/>
      <c r="IYB31" s="28"/>
      <c r="IYC31" s="28"/>
      <c r="IYD31" s="28"/>
      <c r="IYE31" s="28"/>
      <c r="IYF31" s="28"/>
      <c r="IYG31" s="28"/>
      <c r="IYH31" s="28"/>
      <c r="IYI31" s="28"/>
      <c r="IYJ31" s="28"/>
      <c r="IYK31" s="28"/>
      <c r="IYL31" s="28"/>
      <c r="IYM31" s="28"/>
      <c r="IYN31" s="28"/>
      <c r="IYO31" s="28"/>
      <c r="IYP31" s="28"/>
      <c r="IYQ31" s="28"/>
      <c r="IYR31" s="28"/>
      <c r="IYS31" s="28"/>
      <c r="IYT31" s="28"/>
      <c r="IYU31" s="28"/>
      <c r="IYV31" s="28"/>
      <c r="IYW31" s="28"/>
      <c r="IYX31" s="28"/>
      <c r="IYY31" s="28"/>
      <c r="IYZ31" s="28"/>
      <c r="IZA31" s="28"/>
      <c r="IZB31" s="28"/>
      <c r="IZC31" s="28"/>
      <c r="IZD31" s="28"/>
      <c r="IZE31" s="28"/>
      <c r="IZF31" s="28"/>
      <c r="IZG31" s="28"/>
      <c r="IZH31" s="28"/>
      <c r="IZI31" s="28"/>
      <c r="IZJ31" s="28"/>
      <c r="IZK31" s="28"/>
      <c r="IZL31" s="28"/>
      <c r="IZM31" s="28"/>
      <c r="IZN31" s="28"/>
      <c r="IZO31" s="28"/>
      <c r="IZP31" s="28"/>
      <c r="IZQ31" s="28"/>
      <c r="IZR31" s="28"/>
      <c r="IZS31" s="28"/>
      <c r="IZT31" s="28"/>
      <c r="IZU31" s="28"/>
      <c r="IZV31" s="28"/>
      <c r="IZW31" s="28"/>
      <c r="IZX31" s="28"/>
      <c r="IZY31" s="28"/>
      <c r="IZZ31" s="28"/>
      <c r="JAA31" s="28"/>
      <c r="JAB31" s="28"/>
      <c r="JAC31" s="28"/>
      <c r="JAD31" s="28"/>
      <c r="JAE31" s="28"/>
      <c r="JAF31" s="28"/>
      <c r="JAG31" s="28"/>
      <c r="JAH31" s="28"/>
      <c r="JAI31" s="28"/>
      <c r="JAJ31" s="28"/>
      <c r="JAK31" s="28"/>
      <c r="JAL31" s="28"/>
      <c r="JAM31" s="28"/>
      <c r="JAN31" s="28"/>
      <c r="JAO31" s="28"/>
      <c r="JAP31" s="28"/>
      <c r="JAQ31" s="28"/>
      <c r="JAR31" s="28"/>
      <c r="JAS31" s="28"/>
      <c r="JAT31" s="28"/>
      <c r="JAU31" s="28"/>
      <c r="JAV31" s="28"/>
      <c r="JAW31" s="28"/>
      <c r="JAX31" s="28"/>
      <c r="JAY31" s="28"/>
      <c r="JAZ31" s="28"/>
      <c r="JBA31" s="28"/>
      <c r="JBB31" s="28"/>
      <c r="JBC31" s="28"/>
      <c r="JBD31" s="28"/>
      <c r="JBE31" s="28"/>
      <c r="JBF31" s="28"/>
      <c r="JBG31" s="28"/>
      <c r="JBH31" s="28"/>
      <c r="JBI31" s="28"/>
      <c r="JBJ31" s="28"/>
      <c r="JBK31" s="28"/>
      <c r="JBL31" s="28"/>
      <c r="JBM31" s="28"/>
      <c r="JBN31" s="28"/>
      <c r="JBO31" s="28"/>
      <c r="JBP31" s="28"/>
      <c r="JBQ31" s="28"/>
      <c r="JBR31" s="28"/>
      <c r="JBS31" s="28"/>
      <c r="JBT31" s="28"/>
      <c r="JBU31" s="28"/>
      <c r="JBV31" s="28"/>
      <c r="JBW31" s="28"/>
      <c r="JBX31" s="28"/>
      <c r="JBY31" s="28"/>
      <c r="JBZ31" s="28"/>
      <c r="JCA31" s="28"/>
      <c r="JCB31" s="28"/>
      <c r="JCC31" s="28"/>
      <c r="JCD31" s="28"/>
      <c r="JCE31" s="28"/>
      <c r="JCF31" s="28"/>
      <c r="JCG31" s="28"/>
      <c r="JCH31" s="28"/>
      <c r="JCI31" s="28"/>
      <c r="JCJ31" s="28"/>
      <c r="JCK31" s="28"/>
      <c r="JCL31" s="28"/>
      <c r="JCM31" s="28"/>
      <c r="JCN31" s="28"/>
      <c r="JCO31" s="28"/>
      <c r="JCP31" s="28"/>
      <c r="JCQ31" s="28"/>
      <c r="JCR31" s="28"/>
      <c r="JCS31" s="28"/>
      <c r="JCT31" s="28"/>
      <c r="JCU31" s="28"/>
      <c r="JCV31" s="28"/>
      <c r="JCW31" s="28"/>
      <c r="JCX31" s="28"/>
      <c r="JCY31" s="28"/>
      <c r="JCZ31" s="28"/>
      <c r="JDA31" s="28"/>
      <c r="JDB31" s="28"/>
      <c r="JDC31" s="28"/>
      <c r="JDD31" s="28"/>
      <c r="JDE31" s="28"/>
      <c r="JDF31" s="28"/>
      <c r="JDG31" s="28"/>
      <c r="JDH31" s="28"/>
      <c r="JDI31" s="28"/>
      <c r="JDJ31" s="28"/>
      <c r="JDK31" s="28"/>
      <c r="JDL31" s="28"/>
      <c r="JDM31" s="28"/>
      <c r="JDN31" s="28"/>
      <c r="JDO31" s="28"/>
      <c r="JDP31" s="28"/>
      <c r="JDQ31" s="28"/>
      <c r="JDR31" s="28"/>
      <c r="JDS31" s="28"/>
      <c r="JDT31" s="28"/>
      <c r="JDU31" s="28"/>
      <c r="JDV31" s="28"/>
      <c r="JDW31" s="28"/>
      <c r="JDX31" s="28"/>
      <c r="JDY31" s="28"/>
      <c r="JDZ31" s="28"/>
      <c r="JEA31" s="28"/>
      <c r="JEB31" s="28"/>
      <c r="JEC31" s="28"/>
      <c r="JED31" s="28"/>
      <c r="JEE31" s="28"/>
      <c r="JEF31" s="28"/>
      <c r="JEG31" s="28"/>
      <c r="JEH31" s="28"/>
      <c r="JEI31" s="28"/>
      <c r="JEJ31" s="28"/>
      <c r="JEK31" s="28"/>
      <c r="JEL31" s="28"/>
      <c r="JEM31" s="28"/>
      <c r="JEN31" s="28"/>
      <c r="JEO31" s="28"/>
      <c r="JEP31" s="28"/>
      <c r="JEQ31" s="28"/>
      <c r="JER31" s="28"/>
      <c r="JES31" s="28"/>
      <c r="JET31" s="28"/>
      <c r="JEU31" s="28"/>
      <c r="JEV31" s="28"/>
      <c r="JEW31" s="28"/>
      <c r="JEX31" s="28"/>
      <c r="JEY31" s="28"/>
      <c r="JEZ31" s="28"/>
      <c r="JFA31" s="28"/>
      <c r="JFB31" s="28"/>
      <c r="JFC31" s="28"/>
      <c r="JFD31" s="28"/>
      <c r="JFE31" s="28"/>
      <c r="JFF31" s="28"/>
      <c r="JFG31" s="28"/>
      <c r="JFH31" s="28"/>
      <c r="JFI31" s="28"/>
      <c r="JFJ31" s="28"/>
      <c r="JFK31" s="28"/>
      <c r="JFL31" s="28"/>
      <c r="JFM31" s="28"/>
      <c r="JFN31" s="28"/>
      <c r="JFO31" s="28"/>
      <c r="JFP31" s="28"/>
      <c r="JFQ31" s="28"/>
      <c r="JFR31" s="28"/>
      <c r="JFS31" s="28"/>
      <c r="JFT31" s="28"/>
      <c r="JFU31" s="28"/>
      <c r="JFV31" s="28"/>
      <c r="JFW31" s="28"/>
      <c r="JFX31" s="28"/>
      <c r="JFY31" s="28"/>
      <c r="JFZ31" s="28"/>
      <c r="JGA31" s="28"/>
      <c r="JGB31" s="28"/>
      <c r="JGC31" s="28"/>
      <c r="JGD31" s="28"/>
      <c r="JGE31" s="28"/>
      <c r="JGF31" s="28"/>
      <c r="JGG31" s="28"/>
      <c r="JGH31" s="28"/>
      <c r="JGI31" s="28"/>
      <c r="JGJ31" s="28"/>
      <c r="JGK31" s="28"/>
      <c r="JGL31" s="28"/>
      <c r="JGM31" s="28"/>
      <c r="JGN31" s="28"/>
      <c r="JGO31" s="28"/>
      <c r="JGP31" s="28"/>
      <c r="JGQ31" s="28"/>
      <c r="JGR31" s="28"/>
      <c r="JGS31" s="28"/>
      <c r="JGT31" s="28"/>
      <c r="JGU31" s="28"/>
      <c r="JGV31" s="28"/>
      <c r="JGW31" s="28"/>
      <c r="JGX31" s="28"/>
      <c r="JGY31" s="28"/>
      <c r="JGZ31" s="28"/>
      <c r="JHA31" s="28"/>
      <c r="JHB31" s="28"/>
      <c r="JHC31" s="28"/>
      <c r="JHD31" s="28"/>
      <c r="JHE31" s="28"/>
      <c r="JHF31" s="28"/>
      <c r="JHG31" s="28"/>
      <c r="JHH31" s="28"/>
      <c r="JHI31" s="28"/>
      <c r="JHJ31" s="28"/>
      <c r="JHK31" s="28"/>
      <c r="JHL31" s="28"/>
      <c r="JHM31" s="28"/>
      <c r="JHN31" s="28"/>
      <c r="JHO31" s="28"/>
      <c r="JHP31" s="28"/>
      <c r="JHQ31" s="28"/>
      <c r="JHR31" s="28"/>
      <c r="JHS31" s="28"/>
      <c r="JHT31" s="28"/>
      <c r="JHU31" s="28"/>
      <c r="JHV31" s="28"/>
      <c r="JHW31" s="28"/>
      <c r="JHX31" s="28"/>
      <c r="JHY31" s="28"/>
      <c r="JHZ31" s="28"/>
      <c r="JIA31" s="28"/>
      <c r="JIB31" s="28"/>
      <c r="JIC31" s="28"/>
      <c r="JID31" s="28"/>
      <c r="JIE31" s="28"/>
      <c r="JIF31" s="28"/>
      <c r="JIG31" s="28"/>
      <c r="JIH31" s="28"/>
      <c r="JII31" s="28"/>
      <c r="JIJ31" s="28"/>
      <c r="JIK31" s="28"/>
      <c r="JIL31" s="28"/>
      <c r="JIM31" s="28"/>
      <c r="JIN31" s="28"/>
      <c r="JIO31" s="28"/>
      <c r="JIP31" s="28"/>
      <c r="JIQ31" s="28"/>
      <c r="JIR31" s="28"/>
      <c r="JIS31" s="28"/>
      <c r="JIT31" s="28"/>
      <c r="JIU31" s="28"/>
      <c r="JIV31" s="28"/>
      <c r="JIW31" s="28"/>
      <c r="JIX31" s="28"/>
      <c r="JIY31" s="28"/>
      <c r="JIZ31" s="28"/>
      <c r="JJA31" s="28"/>
      <c r="JJB31" s="28"/>
      <c r="JJC31" s="28"/>
      <c r="JJD31" s="28"/>
      <c r="JJE31" s="28"/>
      <c r="JJF31" s="28"/>
      <c r="JJG31" s="28"/>
      <c r="JJH31" s="28"/>
      <c r="JJI31" s="28"/>
      <c r="JJJ31" s="28"/>
      <c r="JJK31" s="28"/>
      <c r="JJL31" s="28"/>
      <c r="JJM31" s="28"/>
      <c r="JJN31" s="28"/>
      <c r="JJO31" s="28"/>
      <c r="JJP31" s="28"/>
      <c r="JJQ31" s="28"/>
      <c r="JJR31" s="28"/>
      <c r="JJS31" s="28"/>
      <c r="JJT31" s="28"/>
      <c r="JJU31" s="28"/>
      <c r="JJV31" s="28"/>
      <c r="JJW31" s="28"/>
      <c r="JJX31" s="28"/>
      <c r="JJY31" s="28"/>
      <c r="JJZ31" s="28"/>
      <c r="JKA31" s="28"/>
      <c r="JKB31" s="28"/>
      <c r="JKC31" s="28"/>
      <c r="JKD31" s="28"/>
      <c r="JKE31" s="28"/>
      <c r="JKF31" s="28"/>
      <c r="JKG31" s="28"/>
      <c r="JKH31" s="28"/>
      <c r="JKI31" s="28"/>
      <c r="JKJ31" s="28"/>
      <c r="JKK31" s="28"/>
      <c r="JKL31" s="28"/>
      <c r="JKM31" s="28"/>
      <c r="JKN31" s="28"/>
      <c r="JKO31" s="28"/>
      <c r="JKP31" s="28"/>
      <c r="JKQ31" s="28"/>
      <c r="JKR31" s="28"/>
      <c r="JKS31" s="28"/>
      <c r="JKT31" s="28"/>
      <c r="JKU31" s="28"/>
      <c r="JKV31" s="28"/>
      <c r="JKW31" s="28"/>
      <c r="JKX31" s="28"/>
      <c r="JKY31" s="28"/>
      <c r="JKZ31" s="28"/>
      <c r="JLA31" s="28"/>
      <c r="JLB31" s="28"/>
      <c r="JLC31" s="28"/>
      <c r="JLD31" s="28"/>
      <c r="JLE31" s="28"/>
      <c r="JLF31" s="28"/>
      <c r="JLG31" s="28"/>
      <c r="JLH31" s="28"/>
      <c r="JLI31" s="28"/>
      <c r="JLJ31" s="28"/>
      <c r="JLK31" s="28"/>
      <c r="JLL31" s="28"/>
      <c r="JLM31" s="28"/>
      <c r="JLN31" s="28"/>
      <c r="JLO31" s="28"/>
      <c r="JLP31" s="28"/>
      <c r="JLQ31" s="28"/>
      <c r="JLR31" s="28"/>
      <c r="JLS31" s="28"/>
      <c r="JLT31" s="28"/>
      <c r="JLU31" s="28"/>
      <c r="JLV31" s="28"/>
      <c r="JLW31" s="28"/>
      <c r="JLX31" s="28"/>
      <c r="JLY31" s="28"/>
      <c r="JLZ31" s="28"/>
      <c r="JMA31" s="28"/>
      <c r="JMB31" s="28"/>
      <c r="JMC31" s="28"/>
      <c r="JMD31" s="28"/>
      <c r="JME31" s="28"/>
      <c r="JMF31" s="28"/>
      <c r="JMG31" s="28"/>
      <c r="JMH31" s="28"/>
      <c r="JMI31" s="28"/>
      <c r="JMJ31" s="28"/>
      <c r="JMK31" s="28"/>
      <c r="JML31" s="28"/>
      <c r="JMM31" s="28"/>
      <c r="JMN31" s="28"/>
      <c r="JMO31" s="28"/>
      <c r="JMP31" s="28"/>
      <c r="JMQ31" s="28"/>
      <c r="JMR31" s="28"/>
      <c r="JMS31" s="28"/>
      <c r="JMT31" s="28"/>
      <c r="JMU31" s="28"/>
      <c r="JMV31" s="28"/>
      <c r="JMW31" s="28"/>
      <c r="JMX31" s="28"/>
      <c r="JMY31" s="28"/>
      <c r="JMZ31" s="28"/>
      <c r="JNA31" s="28"/>
      <c r="JNB31" s="28"/>
      <c r="JNC31" s="28"/>
      <c r="JND31" s="28"/>
      <c r="JNE31" s="28"/>
      <c r="JNF31" s="28"/>
      <c r="JNG31" s="28"/>
      <c r="JNH31" s="28"/>
      <c r="JNI31" s="28"/>
      <c r="JNJ31" s="28"/>
      <c r="JNK31" s="28"/>
      <c r="JNL31" s="28"/>
      <c r="JNM31" s="28"/>
      <c r="JNN31" s="28"/>
      <c r="JNO31" s="28"/>
      <c r="JNP31" s="28"/>
      <c r="JNQ31" s="28"/>
      <c r="JNR31" s="28"/>
      <c r="JNS31" s="28"/>
      <c r="JNT31" s="28"/>
      <c r="JNU31" s="28"/>
      <c r="JNV31" s="28"/>
      <c r="JNW31" s="28"/>
      <c r="JNX31" s="28"/>
      <c r="JNY31" s="28"/>
      <c r="JNZ31" s="28"/>
      <c r="JOA31" s="28"/>
      <c r="JOB31" s="28"/>
      <c r="JOC31" s="28"/>
      <c r="JOD31" s="28"/>
      <c r="JOE31" s="28"/>
      <c r="JOF31" s="28"/>
      <c r="JOG31" s="28"/>
      <c r="JOH31" s="28"/>
      <c r="JOI31" s="28"/>
      <c r="JOJ31" s="28"/>
      <c r="JOK31" s="28"/>
      <c r="JOL31" s="28"/>
      <c r="JOM31" s="28"/>
      <c r="JON31" s="28"/>
      <c r="JOO31" s="28"/>
      <c r="JOP31" s="28"/>
      <c r="JOQ31" s="28"/>
      <c r="JOR31" s="28"/>
      <c r="JOS31" s="28"/>
      <c r="JOT31" s="28"/>
      <c r="JOU31" s="28"/>
      <c r="JOV31" s="28"/>
      <c r="JOW31" s="28"/>
      <c r="JOX31" s="28"/>
      <c r="JOY31" s="28"/>
      <c r="JOZ31" s="28"/>
      <c r="JPA31" s="28"/>
      <c r="JPB31" s="28"/>
      <c r="JPC31" s="28"/>
      <c r="JPD31" s="28"/>
      <c r="JPE31" s="28"/>
      <c r="JPF31" s="28"/>
      <c r="JPG31" s="28"/>
      <c r="JPH31" s="28"/>
      <c r="JPI31" s="28"/>
      <c r="JPJ31" s="28"/>
      <c r="JPK31" s="28"/>
      <c r="JPL31" s="28"/>
      <c r="JPM31" s="28"/>
      <c r="JPN31" s="28"/>
      <c r="JPO31" s="28"/>
      <c r="JPP31" s="28"/>
      <c r="JPQ31" s="28"/>
      <c r="JPR31" s="28"/>
      <c r="JPS31" s="28"/>
      <c r="JPT31" s="28"/>
      <c r="JPU31" s="28"/>
      <c r="JPV31" s="28"/>
      <c r="JPW31" s="28"/>
      <c r="JPX31" s="28"/>
      <c r="JPY31" s="28"/>
      <c r="JPZ31" s="28"/>
      <c r="JQA31" s="28"/>
      <c r="JQB31" s="28"/>
      <c r="JQC31" s="28"/>
      <c r="JQD31" s="28"/>
      <c r="JQE31" s="28"/>
      <c r="JQF31" s="28"/>
      <c r="JQG31" s="28"/>
      <c r="JQH31" s="28"/>
      <c r="JQI31" s="28"/>
      <c r="JQJ31" s="28"/>
      <c r="JQK31" s="28"/>
      <c r="JQL31" s="28"/>
      <c r="JQM31" s="28"/>
      <c r="JQN31" s="28"/>
      <c r="JQO31" s="28"/>
      <c r="JQP31" s="28"/>
      <c r="JQQ31" s="28"/>
      <c r="JQR31" s="28"/>
      <c r="JQS31" s="28"/>
      <c r="JQT31" s="28"/>
      <c r="JQU31" s="28"/>
      <c r="JQV31" s="28"/>
      <c r="JQW31" s="28"/>
      <c r="JQX31" s="28"/>
      <c r="JQY31" s="28"/>
      <c r="JQZ31" s="28"/>
      <c r="JRA31" s="28"/>
      <c r="JRB31" s="28"/>
      <c r="JRC31" s="28"/>
      <c r="JRD31" s="28"/>
      <c r="JRE31" s="28"/>
      <c r="JRF31" s="28"/>
      <c r="JRG31" s="28"/>
      <c r="JRH31" s="28"/>
      <c r="JRI31" s="28"/>
      <c r="JRJ31" s="28"/>
      <c r="JRK31" s="28"/>
      <c r="JRL31" s="28"/>
      <c r="JRM31" s="28"/>
      <c r="JRN31" s="28"/>
      <c r="JRO31" s="28"/>
      <c r="JRP31" s="28"/>
      <c r="JRQ31" s="28"/>
      <c r="JRR31" s="28"/>
      <c r="JRS31" s="28"/>
      <c r="JRT31" s="28"/>
      <c r="JRU31" s="28"/>
      <c r="JRV31" s="28"/>
      <c r="JRW31" s="28"/>
      <c r="JRX31" s="28"/>
      <c r="JRY31" s="28"/>
      <c r="JRZ31" s="28"/>
      <c r="JSA31" s="28"/>
      <c r="JSB31" s="28"/>
      <c r="JSC31" s="28"/>
      <c r="JSD31" s="28"/>
      <c r="JSE31" s="28"/>
      <c r="JSF31" s="28"/>
      <c r="JSG31" s="28"/>
      <c r="JSH31" s="28"/>
      <c r="JSI31" s="28"/>
      <c r="JSJ31" s="28"/>
      <c r="JSK31" s="28"/>
      <c r="JSL31" s="28"/>
      <c r="JSM31" s="28"/>
      <c r="JSN31" s="28"/>
      <c r="JSO31" s="28"/>
      <c r="JSP31" s="28"/>
      <c r="JSQ31" s="28"/>
      <c r="JSR31" s="28"/>
      <c r="JSS31" s="28"/>
      <c r="JST31" s="28"/>
      <c r="JSU31" s="28"/>
      <c r="JSV31" s="28"/>
      <c r="JSW31" s="28"/>
      <c r="JSX31" s="28"/>
      <c r="JSY31" s="28"/>
      <c r="JSZ31" s="28"/>
      <c r="JTA31" s="28"/>
      <c r="JTB31" s="28"/>
      <c r="JTC31" s="28"/>
      <c r="JTD31" s="28"/>
      <c r="JTE31" s="28"/>
      <c r="JTF31" s="28"/>
      <c r="JTG31" s="28"/>
      <c r="JTH31" s="28"/>
      <c r="JTI31" s="28"/>
      <c r="JTJ31" s="28"/>
      <c r="JTK31" s="28"/>
      <c r="JTL31" s="28"/>
      <c r="JTM31" s="28"/>
      <c r="JTN31" s="28"/>
      <c r="JTO31" s="28"/>
      <c r="JTP31" s="28"/>
      <c r="JTQ31" s="28"/>
      <c r="JTR31" s="28"/>
      <c r="JTS31" s="28"/>
      <c r="JTT31" s="28"/>
      <c r="JTU31" s="28"/>
      <c r="JTV31" s="28"/>
      <c r="JTW31" s="28"/>
      <c r="JTX31" s="28"/>
      <c r="JTY31" s="28"/>
      <c r="JTZ31" s="28"/>
      <c r="JUA31" s="28"/>
      <c r="JUB31" s="28"/>
      <c r="JUC31" s="28"/>
      <c r="JUD31" s="28"/>
      <c r="JUE31" s="28"/>
      <c r="JUF31" s="28"/>
      <c r="JUG31" s="28"/>
      <c r="JUH31" s="28"/>
      <c r="JUI31" s="28"/>
      <c r="JUJ31" s="28"/>
      <c r="JUK31" s="28"/>
      <c r="JUL31" s="28"/>
      <c r="JUM31" s="28"/>
      <c r="JUN31" s="28"/>
      <c r="JUO31" s="28"/>
      <c r="JUP31" s="28"/>
      <c r="JUQ31" s="28"/>
      <c r="JUR31" s="28"/>
      <c r="JUS31" s="28"/>
      <c r="JUT31" s="28"/>
      <c r="JUU31" s="28"/>
      <c r="JUV31" s="28"/>
      <c r="JUW31" s="28"/>
      <c r="JUX31" s="28"/>
      <c r="JUY31" s="28"/>
      <c r="JUZ31" s="28"/>
      <c r="JVA31" s="28"/>
      <c r="JVB31" s="28"/>
      <c r="JVC31" s="28"/>
      <c r="JVD31" s="28"/>
      <c r="JVE31" s="28"/>
      <c r="JVF31" s="28"/>
      <c r="JVG31" s="28"/>
      <c r="JVH31" s="28"/>
      <c r="JVI31" s="28"/>
      <c r="JVJ31" s="28"/>
      <c r="JVK31" s="28"/>
      <c r="JVL31" s="28"/>
      <c r="JVM31" s="28"/>
      <c r="JVN31" s="28"/>
      <c r="JVO31" s="28"/>
      <c r="JVP31" s="28"/>
      <c r="JVQ31" s="28"/>
      <c r="JVR31" s="28"/>
      <c r="JVS31" s="28"/>
      <c r="JVT31" s="28"/>
      <c r="JVU31" s="28"/>
      <c r="JVV31" s="28"/>
      <c r="JVW31" s="28"/>
      <c r="JVX31" s="28"/>
      <c r="JVY31" s="28"/>
      <c r="JVZ31" s="28"/>
      <c r="JWA31" s="28"/>
      <c r="JWB31" s="28"/>
      <c r="JWC31" s="28"/>
      <c r="JWD31" s="28"/>
      <c r="JWE31" s="28"/>
      <c r="JWF31" s="28"/>
      <c r="JWG31" s="28"/>
      <c r="JWH31" s="28"/>
      <c r="JWI31" s="28"/>
      <c r="JWJ31" s="28"/>
      <c r="JWK31" s="28"/>
      <c r="JWL31" s="28"/>
      <c r="JWM31" s="28"/>
      <c r="JWN31" s="28"/>
      <c r="JWO31" s="28"/>
      <c r="JWP31" s="28"/>
      <c r="JWQ31" s="28"/>
      <c r="JWR31" s="28"/>
      <c r="JWS31" s="28"/>
      <c r="JWT31" s="28"/>
      <c r="JWU31" s="28"/>
      <c r="JWV31" s="28"/>
      <c r="JWW31" s="28"/>
      <c r="JWX31" s="28"/>
      <c r="JWY31" s="28"/>
      <c r="JWZ31" s="28"/>
      <c r="JXA31" s="28"/>
      <c r="JXB31" s="28"/>
      <c r="JXC31" s="28"/>
      <c r="JXD31" s="28"/>
      <c r="JXE31" s="28"/>
      <c r="JXF31" s="28"/>
      <c r="JXG31" s="28"/>
      <c r="JXH31" s="28"/>
      <c r="JXI31" s="28"/>
      <c r="JXJ31" s="28"/>
      <c r="JXK31" s="28"/>
      <c r="JXL31" s="28"/>
      <c r="JXM31" s="28"/>
      <c r="JXN31" s="28"/>
      <c r="JXO31" s="28"/>
      <c r="JXP31" s="28"/>
      <c r="JXQ31" s="28"/>
      <c r="JXR31" s="28"/>
      <c r="JXS31" s="28"/>
      <c r="JXT31" s="28"/>
      <c r="JXU31" s="28"/>
      <c r="JXV31" s="28"/>
      <c r="JXW31" s="28"/>
      <c r="JXX31" s="28"/>
      <c r="JXY31" s="28"/>
      <c r="JXZ31" s="28"/>
      <c r="JYA31" s="28"/>
      <c r="JYB31" s="28"/>
      <c r="JYC31" s="28"/>
      <c r="JYD31" s="28"/>
      <c r="JYE31" s="28"/>
      <c r="JYF31" s="28"/>
      <c r="JYG31" s="28"/>
      <c r="JYH31" s="28"/>
      <c r="JYI31" s="28"/>
      <c r="JYJ31" s="28"/>
      <c r="JYK31" s="28"/>
      <c r="JYL31" s="28"/>
      <c r="JYM31" s="28"/>
      <c r="JYN31" s="28"/>
      <c r="JYO31" s="28"/>
      <c r="JYP31" s="28"/>
      <c r="JYQ31" s="28"/>
      <c r="JYR31" s="28"/>
      <c r="JYS31" s="28"/>
      <c r="JYT31" s="28"/>
      <c r="JYU31" s="28"/>
      <c r="JYV31" s="28"/>
      <c r="JYW31" s="28"/>
      <c r="JYX31" s="28"/>
      <c r="JYY31" s="28"/>
      <c r="JYZ31" s="28"/>
      <c r="JZA31" s="28"/>
      <c r="JZB31" s="28"/>
      <c r="JZC31" s="28"/>
      <c r="JZD31" s="28"/>
      <c r="JZE31" s="28"/>
      <c r="JZF31" s="28"/>
      <c r="JZG31" s="28"/>
      <c r="JZH31" s="28"/>
      <c r="JZI31" s="28"/>
      <c r="JZJ31" s="28"/>
      <c r="JZK31" s="28"/>
      <c r="JZL31" s="28"/>
      <c r="JZM31" s="28"/>
      <c r="JZN31" s="28"/>
      <c r="JZO31" s="28"/>
      <c r="JZP31" s="28"/>
      <c r="JZQ31" s="28"/>
      <c r="JZR31" s="28"/>
      <c r="JZS31" s="28"/>
      <c r="JZT31" s="28"/>
      <c r="JZU31" s="28"/>
      <c r="JZV31" s="28"/>
      <c r="JZW31" s="28"/>
      <c r="JZX31" s="28"/>
      <c r="JZY31" s="28"/>
      <c r="JZZ31" s="28"/>
      <c r="KAA31" s="28"/>
      <c r="KAB31" s="28"/>
      <c r="KAC31" s="28"/>
      <c r="KAD31" s="28"/>
      <c r="KAE31" s="28"/>
      <c r="KAF31" s="28"/>
      <c r="KAG31" s="28"/>
      <c r="KAH31" s="28"/>
      <c r="KAI31" s="28"/>
      <c r="KAJ31" s="28"/>
      <c r="KAK31" s="28"/>
      <c r="KAL31" s="28"/>
      <c r="KAM31" s="28"/>
      <c r="KAN31" s="28"/>
      <c r="KAO31" s="28"/>
      <c r="KAP31" s="28"/>
      <c r="KAQ31" s="28"/>
      <c r="KAR31" s="28"/>
      <c r="KAS31" s="28"/>
      <c r="KAT31" s="28"/>
      <c r="KAU31" s="28"/>
      <c r="KAV31" s="28"/>
      <c r="KAW31" s="28"/>
      <c r="KAX31" s="28"/>
      <c r="KAY31" s="28"/>
      <c r="KAZ31" s="28"/>
      <c r="KBA31" s="28"/>
      <c r="KBB31" s="28"/>
      <c r="KBC31" s="28"/>
      <c r="KBD31" s="28"/>
      <c r="KBE31" s="28"/>
      <c r="KBF31" s="28"/>
      <c r="KBG31" s="28"/>
      <c r="KBH31" s="28"/>
      <c r="KBI31" s="28"/>
      <c r="KBJ31" s="28"/>
      <c r="KBK31" s="28"/>
      <c r="KBL31" s="28"/>
      <c r="KBM31" s="28"/>
      <c r="KBN31" s="28"/>
      <c r="KBO31" s="28"/>
      <c r="KBP31" s="28"/>
      <c r="KBQ31" s="28"/>
      <c r="KBR31" s="28"/>
      <c r="KBS31" s="28"/>
      <c r="KBT31" s="28"/>
      <c r="KBU31" s="28"/>
      <c r="KBV31" s="28"/>
      <c r="KBW31" s="28"/>
      <c r="KBX31" s="28"/>
      <c r="KBY31" s="28"/>
      <c r="KBZ31" s="28"/>
      <c r="KCA31" s="28"/>
      <c r="KCB31" s="28"/>
      <c r="KCC31" s="28"/>
      <c r="KCD31" s="28"/>
      <c r="KCE31" s="28"/>
      <c r="KCF31" s="28"/>
      <c r="KCG31" s="28"/>
      <c r="KCH31" s="28"/>
      <c r="KCI31" s="28"/>
      <c r="KCJ31" s="28"/>
      <c r="KCK31" s="28"/>
      <c r="KCL31" s="28"/>
      <c r="KCM31" s="28"/>
      <c r="KCN31" s="28"/>
      <c r="KCO31" s="28"/>
      <c r="KCP31" s="28"/>
      <c r="KCQ31" s="28"/>
      <c r="KCR31" s="28"/>
      <c r="KCS31" s="28"/>
      <c r="KCT31" s="28"/>
      <c r="KCU31" s="28"/>
      <c r="KCV31" s="28"/>
      <c r="KCW31" s="28"/>
      <c r="KCX31" s="28"/>
      <c r="KCY31" s="28"/>
      <c r="KCZ31" s="28"/>
      <c r="KDA31" s="28"/>
      <c r="KDB31" s="28"/>
      <c r="KDC31" s="28"/>
      <c r="KDD31" s="28"/>
      <c r="KDE31" s="28"/>
      <c r="KDF31" s="28"/>
      <c r="KDG31" s="28"/>
      <c r="KDH31" s="28"/>
      <c r="KDI31" s="28"/>
      <c r="KDJ31" s="28"/>
      <c r="KDK31" s="28"/>
      <c r="KDL31" s="28"/>
      <c r="KDM31" s="28"/>
      <c r="KDN31" s="28"/>
      <c r="KDO31" s="28"/>
      <c r="KDP31" s="28"/>
      <c r="KDQ31" s="28"/>
      <c r="KDR31" s="28"/>
      <c r="KDS31" s="28"/>
      <c r="KDT31" s="28"/>
      <c r="KDU31" s="28"/>
      <c r="KDV31" s="28"/>
      <c r="KDW31" s="28"/>
      <c r="KDX31" s="28"/>
      <c r="KDY31" s="28"/>
      <c r="KDZ31" s="28"/>
      <c r="KEA31" s="28"/>
      <c r="KEB31" s="28"/>
      <c r="KEC31" s="28"/>
      <c r="KED31" s="28"/>
      <c r="KEE31" s="28"/>
      <c r="KEF31" s="28"/>
      <c r="KEG31" s="28"/>
      <c r="KEH31" s="28"/>
      <c r="KEI31" s="28"/>
      <c r="KEJ31" s="28"/>
      <c r="KEK31" s="28"/>
      <c r="KEL31" s="28"/>
      <c r="KEM31" s="28"/>
      <c r="KEN31" s="28"/>
      <c r="KEO31" s="28"/>
      <c r="KEP31" s="28"/>
      <c r="KEQ31" s="28"/>
      <c r="KER31" s="28"/>
      <c r="KES31" s="28"/>
      <c r="KET31" s="28"/>
      <c r="KEU31" s="28"/>
      <c r="KEV31" s="28"/>
      <c r="KEW31" s="28"/>
      <c r="KEX31" s="28"/>
      <c r="KEY31" s="28"/>
      <c r="KEZ31" s="28"/>
      <c r="KFA31" s="28"/>
      <c r="KFB31" s="28"/>
      <c r="KFC31" s="28"/>
      <c r="KFD31" s="28"/>
      <c r="KFE31" s="28"/>
      <c r="KFF31" s="28"/>
      <c r="KFG31" s="28"/>
      <c r="KFH31" s="28"/>
      <c r="KFI31" s="28"/>
      <c r="KFJ31" s="28"/>
      <c r="KFK31" s="28"/>
      <c r="KFL31" s="28"/>
      <c r="KFM31" s="28"/>
      <c r="KFN31" s="28"/>
      <c r="KFO31" s="28"/>
      <c r="KFP31" s="28"/>
      <c r="KFQ31" s="28"/>
      <c r="KFR31" s="28"/>
      <c r="KFS31" s="28"/>
      <c r="KFT31" s="28"/>
      <c r="KFU31" s="28"/>
      <c r="KFV31" s="28"/>
      <c r="KFW31" s="28"/>
      <c r="KFX31" s="28"/>
      <c r="KFY31" s="28"/>
      <c r="KFZ31" s="28"/>
      <c r="KGA31" s="28"/>
      <c r="KGB31" s="28"/>
      <c r="KGC31" s="28"/>
      <c r="KGD31" s="28"/>
      <c r="KGE31" s="28"/>
      <c r="KGF31" s="28"/>
      <c r="KGG31" s="28"/>
      <c r="KGH31" s="28"/>
      <c r="KGI31" s="28"/>
      <c r="KGJ31" s="28"/>
      <c r="KGK31" s="28"/>
      <c r="KGL31" s="28"/>
      <c r="KGM31" s="28"/>
      <c r="KGN31" s="28"/>
      <c r="KGO31" s="28"/>
      <c r="KGP31" s="28"/>
      <c r="KGQ31" s="28"/>
      <c r="KGR31" s="28"/>
      <c r="KGS31" s="28"/>
      <c r="KGT31" s="28"/>
      <c r="KGU31" s="28"/>
      <c r="KGV31" s="28"/>
      <c r="KGW31" s="28"/>
      <c r="KGX31" s="28"/>
      <c r="KGY31" s="28"/>
      <c r="KGZ31" s="28"/>
      <c r="KHA31" s="28"/>
      <c r="KHB31" s="28"/>
      <c r="KHC31" s="28"/>
      <c r="KHD31" s="28"/>
      <c r="KHE31" s="28"/>
      <c r="KHF31" s="28"/>
      <c r="KHG31" s="28"/>
      <c r="KHH31" s="28"/>
      <c r="KHI31" s="28"/>
      <c r="KHJ31" s="28"/>
      <c r="KHK31" s="28"/>
      <c r="KHL31" s="28"/>
      <c r="KHM31" s="28"/>
      <c r="KHN31" s="28"/>
      <c r="KHO31" s="28"/>
      <c r="KHP31" s="28"/>
      <c r="KHQ31" s="28"/>
      <c r="KHR31" s="28"/>
      <c r="KHS31" s="28"/>
      <c r="KHT31" s="28"/>
      <c r="KHU31" s="28"/>
      <c r="KHV31" s="28"/>
      <c r="KHW31" s="28"/>
      <c r="KHX31" s="28"/>
      <c r="KHY31" s="28"/>
      <c r="KHZ31" s="28"/>
      <c r="KIA31" s="28"/>
      <c r="KIB31" s="28"/>
      <c r="KIC31" s="28"/>
      <c r="KID31" s="28"/>
      <c r="KIE31" s="28"/>
      <c r="KIF31" s="28"/>
      <c r="KIG31" s="28"/>
      <c r="KIH31" s="28"/>
      <c r="KII31" s="28"/>
      <c r="KIJ31" s="28"/>
      <c r="KIK31" s="28"/>
      <c r="KIL31" s="28"/>
      <c r="KIM31" s="28"/>
      <c r="KIN31" s="28"/>
      <c r="KIO31" s="28"/>
      <c r="KIP31" s="28"/>
      <c r="KIQ31" s="28"/>
      <c r="KIR31" s="28"/>
      <c r="KIS31" s="28"/>
      <c r="KIT31" s="28"/>
      <c r="KIU31" s="28"/>
      <c r="KIV31" s="28"/>
      <c r="KIW31" s="28"/>
      <c r="KIX31" s="28"/>
      <c r="KIY31" s="28"/>
      <c r="KIZ31" s="28"/>
      <c r="KJA31" s="28"/>
      <c r="KJB31" s="28"/>
      <c r="KJC31" s="28"/>
      <c r="KJD31" s="28"/>
      <c r="KJE31" s="28"/>
      <c r="KJF31" s="28"/>
      <c r="KJG31" s="28"/>
      <c r="KJH31" s="28"/>
      <c r="KJI31" s="28"/>
      <c r="KJJ31" s="28"/>
      <c r="KJK31" s="28"/>
      <c r="KJL31" s="28"/>
      <c r="KJM31" s="28"/>
      <c r="KJN31" s="28"/>
      <c r="KJO31" s="28"/>
      <c r="KJP31" s="28"/>
      <c r="KJQ31" s="28"/>
      <c r="KJR31" s="28"/>
      <c r="KJS31" s="28"/>
      <c r="KJT31" s="28"/>
      <c r="KJU31" s="28"/>
      <c r="KJV31" s="28"/>
      <c r="KJW31" s="28"/>
      <c r="KJX31" s="28"/>
      <c r="KJY31" s="28"/>
      <c r="KJZ31" s="28"/>
      <c r="KKA31" s="28"/>
      <c r="KKB31" s="28"/>
      <c r="KKC31" s="28"/>
      <c r="KKD31" s="28"/>
      <c r="KKE31" s="28"/>
      <c r="KKF31" s="28"/>
      <c r="KKG31" s="28"/>
      <c r="KKH31" s="28"/>
      <c r="KKI31" s="28"/>
      <c r="KKJ31" s="28"/>
      <c r="KKK31" s="28"/>
      <c r="KKL31" s="28"/>
      <c r="KKM31" s="28"/>
      <c r="KKN31" s="28"/>
      <c r="KKO31" s="28"/>
      <c r="KKP31" s="28"/>
      <c r="KKQ31" s="28"/>
      <c r="KKR31" s="28"/>
      <c r="KKS31" s="28"/>
      <c r="KKT31" s="28"/>
      <c r="KKU31" s="28"/>
      <c r="KKV31" s="28"/>
      <c r="KKW31" s="28"/>
      <c r="KKX31" s="28"/>
      <c r="KKY31" s="28"/>
      <c r="KKZ31" s="28"/>
      <c r="KLA31" s="28"/>
      <c r="KLB31" s="28"/>
      <c r="KLC31" s="28"/>
      <c r="KLD31" s="28"/>
      <c r="KLE31" s="28"/>
      <c r="KLF31" s="28"/>
      <c r="KLG31" s="28"/>
      <c r="KLH31" s="28"/>
      <c r="KLI31" s="28"/>
      <c r="KLJ31" s="28"/>
      <c r="KLK31" s="28"/>
      <c r="KLL31" s="28"/>
      <c r="KLM31" s="28"/>
      <c r="KLN31" s="28"/>
      <c r="KLO31" s="28"/>
      <c r="KLP31" s="28"/>
      <c r="KLQ31" s="28"/>
      <c r="KLR31" s="28"/>
      <c r="KLS31" s="28"/>
      <c r="KLT31" s="28"/>
      <c r="KLU31" s="28"/>
      <c r="KLV31" s="28"/>
      <c r="KLW31" s="28"/>
      <c r="KLX31" s="28"/>
      <c r="KLY31" s="28"/>
      <c r="KLZ31" s="28"/>
      <c r="KMA31" s="28"/>
      <c r="KMB31" s="28"/>
      <c r="KMC31" s="28"/>
      <c r="KMD31" s="28"/>
      <c r="KME31" s="28"/>
      <c r="KMF31" s="28"/>
      <c r="KMG31" s="28"/>
      <c r="KMH31" s="28"/>
      <c r="KMI31" s="28"/>
      <c r="KMJ31" s="28"/>
      <c r="KMK31" s="28"/>
      <c r="KML31" s="28"/>
      <c r="KMM31" s="28"/>
      <c r="KMN31" s="28"/>
      <c r="KMO31" s="28"/>
      <c r="KMP31" s="28"/>
      <c r="KMQ31" s="28"/>
      <c r="KMR31" s="28"/>
      <c r="KMS31" s="28"/>
      <c r="KMT31" s="28"/>
      <c r="KMU31" s="28"/>
      <c r="KMV31" s="28"/>
      <c r="KMW31" s="28"/>
      <c r="KMX31" s="28"/>
      <c r="KMY31" s="28"/>
      <c r="KMZ31" s="28"/>
      <c r="KNA31" s="28"/>
      <c r="KNB31" s="28"/>
      <c r="KNC31" s="28"/>
      <c r="KND31" s="28"/>
      <c r="KNE31" s="28"/>
      <c r="KNF31" s="28"/>
      <c r="KNG31" s="28"/>
      <c r="KNH31" s="28"/>
      <c r="KNI31" s="28"/>
      <c r="KNJ31" s="28"/>
      <c r="KNK31" s="28"/>
      <c r="KNL31" s="28"/>
      <c r="KNM31" s="28"/>
      <c r="KNN31" s="28"/>
      <c r="KNO31" s="28"/>
      <c r="KNP31" s="28"/>
      <c r="KNQ31" s="28"/>
      <c r="KNR31" s="28"/>
      <c r="KNS31" s="28"/>
      <c r="KNT31" s="28"/>
      <c r="KNU31" s="28"/>
      <c r="KNV31" s="28"/>
      <c r="KNW31" s="28"/>
      <c r="KNX31" s="28"/>
      <c r="KNY31" s="28"/>
      <c r="KNZ31" s="28"/>
      <c r="KOA31" s="28"/>
      <c r="KOB31" s="28"/>
      <c r="KOC31" s="28"/>
      <c r="KOD31" s="28"/>
      <c r="KOE31" s="28"/>
      <c r="KOF31" s="28"/>
      <c r="KOG31" s="28"/>
      <c r="KOH31" s="28"/>
      <c r="KOI31" s="28"/>
      <c r="KOJ31" s="28"/>
      <c r="KOK31" s="28"/>
      <c r="KOL31" s="28"/>
      <c r="KOM31" s="28"/>
      <c r="KON31" s="28"/>
      <c r="KOO31" s="28"/>
      <c r="KOP31" s="28"/>
      <c r="KOQ31" s="28"/>
      <c r="KOR31" s="28"/>
      <c r="KOS31" s="28"/>
      <c r="KOT31" s="28"/>
      <c r="KOU31" s="28"/>
      <c r="KOV31" s="28"/>
      <c r="KOW31" s="28"/>
      <c r="KOX31" s="28"/>
      <c r="KOY31" s="28"/>
      <c r="KOZ31" s="28"/>
      <c r="KPA31" s="28"/>
      <c r="KPB31" s="28"/>
      <c r="KPC31" s="28"/>
      <c r="KPD31" s="28"/>
      <c r="KPE31" s="28"/>
      <c r="KPF31" s="28"/>
      <c r="KPG31" s="28"/>
      <c r="KPH31" s="28"/>
      <c r="KPI31" s="28"/>
      <c r="KPJ31" s="28"/>
      <c r="KPK31" s="28"/>
      <c r="KPL31" s="28"/>
      <c r="KPM31" s="28"/>
      <c r="KPN31" s="28"/>
      <c r="KPO31" s="28"/>
      <c r="KPP31" s="28"/>
      <c r="KPQ31" s="28"/>
      <c r="KPR31" s="28"/>
      <c r="KPS31" s="28"/>
      <c r="KPT31" s="28"/>
      <c r="KPU31" s="28"/>
      <c r="KPV31" s="28"/>
      <c r="KPW31" s="28"/>
      <c r="KPX31" s="28"/>
      <c r="KPY31" s="28"/>
      <c r="KPZ31" s="28"/>
      <c r="KQA31" s="28"/>
      <c r="KQB31" s="28"/>
      <c r="KQC31" s="28"/>
      <c r="KQD31" s="28"/>
      <c r="KQE31" s="28"/>
      <c r="KQF31" s="28"/>
      <c r="KQG31" s="28"/>
      <c r="KQH31" s="28"/>
      <c r="KQI31" s="28"/>
      <c r="KQJ31" s="28"/>
      <c r="KQK31" s="28"/>
      <c r="KQL31" s="28"/>
      <c r="KQM31" s="28"/>
      <c r="KQN31" s="28"/>
      <c r="KQO31" s="28"/>
      <c r="KQP31" s="28"/>
      <c r="KQQ31" s="28"/>
      <c r="KQR31" s="28"/>
      <c r="KQS31" s="28"/>
      <c r="KQT31" s="28"/>
      <c r="KQU31" s="28"/>
      <c r="KQV31" s="28"/>
      <c r="KQW31" s="28"/>
      <c r="KQX31" s="28"/>
      <c r="KQY31" s="28"/>
      <c r="KQZ31" s="28"/>
      <c r="KRA31" s="28"/>
      <c r="KRB31" s="28"/>
      <c r="KRC31" s="28"/>
      <c r="KRD31" s="28"/>
      <c r="KRE31" s="28"/>
      <c r="KRF31" s="28"/>
      <c r="KRG31" s="28"/>
      <c r="KRH31" s="28"/>
      <c r="KRI31" s="28"/>
      <c r="KRJ31" s="28"/>
      <c r="KRK31" s="28"/>
      <c r="KRL31" s="28"/>
      <c r="KRM31" s="28"/>
      <c r="KRN31" s="28"/>
      <c r="KRO31" s="28"/>
      <c r="KRP31" s="28"/>
      <c r="KRQ31" s="28"/>
      <c r="KRR31" s="28"/>
      <c r="KRS31" s="28"/>
      <c r="KRT31" s="28"/>
      <c r="KRU31" s="28"/>
      <c r="KRV31" s="28"/>
      <c r="KRW31" s="28"/>
      <c r="KRX31" s="28"/>
      <c r="KRY31" s="28"/>
      <c r="KRZ31" s="28"/>
      <c r="KSA31" s="28"/>
      <c r="KSB31" s="28"/>
      <c r="KSC31" s="28"/>
      <c r="KSD31" s="28"/>
      <c r="KSE31" s="28"/>
      <c r="KSF31" s="28"/>
      <c r="KSG31" s="28"/>
      <c r="KSH31" s="28"/>
      <c r="KSI31" s="28"/>
      <c r="KSJ31" s="28"/>
      <c r="KSK31" s="28"/>
      <c r="KSL31" s="28"/>
      <c r="KSM31" s="28"/>
      <c r="KSN31" s="28"/>
      <c r="KSO31" s="28"/>
      <c r="KSP31" s="28"/>
      <c r="KSQ31" s="28"/>
      <c r="KSR31" s="28"/>
      <c r="KSS31" s="28"/>
      <c r="KST31" s="28"/>
      <c r="KSU31" s="28"/>
      <c r="KSV31" s="28"/>
      <c r="KSW31" s="28"/>
      <c r="KSX31" s="28"/>
      <c r="KSY31" s="28"/>
      <c r="KSZ31" s="28"/>
      <c r="KTA31" s="28"/>
      <c r="KTB31" s="28"/>
      <c r="KTC31" s="28"/>
      <c r="KTD31" s="28"/>
      <c r="KTE31" s="28"/>
      <c r="KTF31" s="28"/>
      <c r="KTG31" s="28"/>
      <c r="KTH31" s="28"/>
      <c r="KTI31" s="28"/>
      <c r="KTJ31" s="28"/>
      <c r="KTK31" s="28"/>
      <c r="KTL31" s="28"/>
      <c r="KTM31" s="28"/>
      <c r="KTN31" s="28"/>
      <c r="KTO31" s="28"/>
      <c r="KTP31" s="28"/>
      <c r="KTQ31" s="28"/>
      <c r="KTR31" s="28"/>
      <c r="KTS31" s="28"/>
      <c r="KTT31" s="28"/>
      <c r="KTU31" s="28"/>
      <c r="KTV31" s="28"/>
      <c r="KTW31" s="28"/>
      <c r="KTX31" s="28"/>
      <c r="KTY31" s="28"/>
      <c r="KTZ31" s="28"/>
      <c r="KUA31" s="28"/>
      <c r="KUB31" s="28"/>
      <c r="KUC31" s="28"/>
      <c r="KUD31" s="28"/>
      <c r="KUE31" s="28"/>
      <c r="KUF31" s="28"/>
      <c r="KUG31" s="28"/>
      <c r="KUH31" s="28"/>
      <c r="KUI31" s="28"/>
      <c r="KUJ31" s="28"/>
      <c r="KUK31" s="28"/>
      <c r="KUL31" s="28"/>
      <c r="KUM31" s="28"/>
      <c r="KUN31" s="28"/>
      <c r="KUO31" s="28"/>
      <c r="KUP31" s="28"/>
      <c r="KUQ31" s="28"/>
      <c r="KUR31" s="28"/>
      <c r="KUS31" s="28"/>
      <c r="KUT31" s="28"/>
      <c r="KUU31" s="28"/>
      <c r="KUV31" s="28"/>
      <c r="KUW31" s="28"/>
      <c r="KUX31" s="28"/>
      <c r="KUY31" s="28"/>
      <c r="KUZ31" s="28"/>
      <c r="KVA31" s="28"/>
      <c r="KVB31" s="28"/>
      <c r="KVC31" s="28"/>
      <c r="KVD31" s="28"/>
      <c r="KVE31" s="28"/>
      <c r="KVF31" s="28"/>
      <c r="KVG31" s="28"/>
      <c r="KVH31" s="28"/>
      <c r="KVI31" s="28"/>
      <c r="KVJ31" s="28"/>
      <c r="KVK31" s="28"/>
      <c r="KVL31" s="28"/>
      <c r="KVM31" s="28"/>
      <c r="KVN31" s="28"/>
      <c r="KVO31" s="28"/>
      <c r="KVP31" s="28"/>
      <c r="KVQ31" s="28"/>
      <c r="KVR31" s="28"/>
      <c r="KVS31" s="28"/>
      <c r="KVT31" s="28"/>
      <c r="KVU31" s="28"/>
      <c r="KVV31" s="28"/>
      <c r="KVW31" s="28"/>
      <c r="KVX31" s="28"/>
      <c r="KVY31" s="28"/>
      <c r="KVZ31" s="28"/>
      <c r="KWA31" s="28"/>
      <c r="KWB31" s="28"/>
      <c r="KWC31" s="28"/>
      <c r="KWD31" s="28"/>
      <c r="KWE31" s="28"/>
      <c r="KWF31" s="28"/>
      <c r="KWG31" s="28"/>
      <c r="KWH31" s="28"/>
      <c r="KWI31" s="28"/>
      <c r="KWJ31" s="28"/>
      <c r="KWK31" s="28"/>
      <c r="KWL31" s="28"/>
      <c r="KWM31" s="28"/>
      <c r="KWN31" s="28"/>
      <c r="KWO31" s="28"/>
      <c r="KWP31" s="28"/>
      <c r="KWQ31" s="28"/>
      <c r="KWR31" s="28"/>
      <c r="KWS31" s="28"/>
      <c r="KWT31" s="28"/>
      <c r="KWU31" s="28"/>
      <c r="KWV31" s="28"/>
      <c r="KWW31" s="28"/>
      <c r="KWX31" s="28"/>
      <c r="KWY31" s="28"/>
      <c r="KWZ31" s="28"/>
      <c r="KXA31" s="28"/>
      <c r="KXB31" s="28"/>
      <c r="KXC31" s="28"/>
      <c r="KXD31" s="28"/>
      <c r="KXE31" s="28"/>
      <c r="KXF31" s="28"/>
      <c r="KXG31" s="28"/>
      <c r="KXH31" s="28"/>
      <c r="KXI31" s="28"/>
      <c r="KXJ31" s="28"/>
      <c r="KXK31" s="28"/>
      <c r="KXL31" s="28"/>
      <c r="KXM31" s="28"/>
      <c r="KXN31" s="28"/>
      <c r="KXO31" s="28"/>
      <c r="KXP31" s="28"/>
      <c r="KXQ31" s="28"/>
      <c r="KXR31" s="28"/>
      <c r="KXS31" s="28"/>
      <c r="KXT31" s="28"/>
      <c r="KXU31" s="28"/>
      <c r="KXV31" s="28"/>
      <c r="KXW31" s="28"/>
      <c r="KXX31" s="28"/>
      <c r="KXY31" s="28"/>
      <c r="KXZ31" s="28"/>
      <c r="KYA31" s="28"/>
      <c r="KYB31" s="28"/>
      <c r="KYC31" s="28"/>
      <c r="KYD31" s="28"/>
      <c r="KYE31" s="28"/>
      <c r="KYF31" s="28"/>
      <c r="KYG31" s="28"/>
      <c r="KYH31" s="28"/>
      <c r="KYI31" s="28"/>
      <c r="KYJ31" s="28"/>
      <c r="KYK31" s="28"/>
      <c r="KYL31" s="28"/>
      <c r="KYM31" s="28"/>
      <c r="KYN31" s="28"/>
      <c r="KYO31" s="28"/>
      <c r="KYP31" s="28"/>
      <c r="KYQ31" s="28"/>
      <c r="KYR31" s="28"/>
      <c r="KYS31" s="28"/>
      <c r="KYT31" s="28"/>
      <c r="KYU31" s="28"/>
      <c r="KYV31" s="28"/>
      <c r="KYW31" s="28"/>
      <c r="KYX31" s="28"/>
      <c r="KYY31" s="28"/>
      <c r="KYZ31" s="28"/>
      <c r="KZA31" s="28"/>
      <c r="KZB31" s="28"/>
      <c r="KZC31" s="28"/>
      <c r="KZD31" s="28"/>
      <c r="KZE31" s="28"/>
      <c r="KZF31" s="28"/>
      <c r="KZG31" s="28"/>
      <c r="KZH31" s="28"/>
      <c r="KZI31" s="28"/>
      <c r="KZJ31" s="28"/>
      <c r="KZK31" s="28"/>
      <c r="KZL31" s="28"/>
      <c r="KZM31" s="28"/>
      <c r="KZN31" s="28"/>
      <c r="KZO31" s="28"/>
      <c r="KZP31" s="28"/>
      <c r="KZQ31" s="28"/>
      <c r="KZR31" s="28"/>
      <c r="KZS31" s="28"/>
      <c r="KZT31" s="28"/>
      <c r="KZU31" s="28"/>
      <c r="KZV31" s="28"/>
      <c r="KZW31" s="28"/>
      <c r="KZX31" s="28"/>
      <c r="KZY31" s="28"/>
      <c r="KZZ31" s="28"/>
      <c r="LAA31" s="28"/>
      <c r="LAB31" s="28"/>
      <c r="LAC31" s="28"/>
      <c r="LAD31" s="28"/>
      <c r="LAE31" s="28"/>
      <c r="LAF31" s="28"/>
      <c r="LAG31" s="28"/>
      <c r="LAH31" s="28"/>
      <c r="LAI31" s="28"/>
      <c r="LAJ31" s="28"/>
      <c r="LAK31" s="28"/>
      <c r="LAL31" s="28"/>
      <c r="LAM31" s="28"/>
      <c r="LAN31" s="28"/>
      <c r="LAO31" s="28"/>
      <c r="LAP31" s="28"/>
      <c r="LAQ31" s="28"/>
      <c r="LAR31" s="28"/>
      <c r="LAS31" s="28"/>
      <c r="LAT31" s="28"/>
      <c r="LAU31" s="28"/>
      <c r="LAV31" s="28"/>
      <c r="LAW31" s="28"/>
      <c r="LAX31" s="28"/>
      <c r="LAY31" s="28"/>
      <c r="LAZ31" s="28"/>
      <c r="LBA31" s="28"/>
      <c r="LBB31" s="28"/>
      <c r="LBC31" s="28"/>
      <c r="LBD31" s="28"/>
      <c r="LBE31" s="28"/>
      <c r="LBF31" s="28"/>
      <c r="LBG31" s="28"/>
      <c r="LBH31" s="28"/>
      <c r="LBI31" s="28"/>
      <c r="LBJ31" s="28"/>
      <c r="LBK31" s="28"/>
      <c r="LBL31" s="28"/>
      <c r="LBM31" s="28"/>
      <c r="LBN31" s="28"/>
      <c r="LBO31" s="28"/>
      <c r="LBP31" s="28"/>
      <c r="LBQ31" s="28"/>
      <c r="LBR31" s="28"/>
      <c r="LBS31" s="28"/>
      <c r="LBT31" s="28"/>
      <c r="LBU31" s="28"/>
      <c r="LBV31" s="28"/>
      <c r="LBW31" s="28"/>
      <c r="LBX31" s="28"/>
      <c r="LBY31" s="28"/>
      <c r="LBZ31" s="28"/>
      <c r="LCA31" s="28"/>
      <c r="LCB31" s="28"/>
      <c r="LCC31" s="28"/>
      <c r="LCD31" s="28"/>
      <c r="LCE31" s="28"/>
      <c r="LCF31" s="28"/>
      <c r="LCG31" s="28"/>
      <c r="LCH31" s="28"/>
      <c r="LCI31" s="28"/>
      <c r="LCJ31" s="28"/>
      <c r="LCK31" s="28"/>
      <c r="LCL31" s="28"/>
      <c r="LCM31" s="28"/>
      <c r="LCN31" s="28"/>
      <c r="LCO31" s="28"/>
      <c r="LCP31" s="28"/>
      <c r="LCQ31" s="28"/>
      <c r="LCR31" s="28"/>
      <c r="LCS31" s="28"/>
      <c r="LCT31" s="28"/>
      <c r="LCU31" s="28"/>
      <c r="LCV31" s="28"/>
      <c r="LCW31" s="28"/>
      <c r="LCX31" s="28"/>
      <c r="LCY31" s="28"/>
      <c r="LCZ31" s="28"/>
      <c r="LDA31" s="28"/>
      <c r="LDB31" s="28"/>
      <c r="LDC31" s="28"/>
      <c r="LDD31" s="28"/>
      <c r="LDE31" s="28"/>
      <c r="LDF31" s="28"/>
      <c r="LDG31" s="28"/>
      <c r="LDH31" s="28"/>
      <c r="LDI31" s="28"/>
      <c r="LDJ31" s="28"/>
      <c r="LDK31" s="28"/>
      <c r="LDL31" s="28"/>
      <c r="LDM31" s="28"/>
      <c r="LDN31" s="28"/>
      <c r="LDO31" s="28"/>
      <c r="LDP31" s="28"/>
      <c r="LDQ31" s="28"/>
      <c r="LDR31" s="28"/>
      <c r="LDS31" s="28"/>
      <c r="LDT31" s="28"/>
      <c r="LDU31" s="28"/>
      <c r="LDV31" s="28"/>
      <c r="LDW31" s="28"/>
      <c r="LDX31" s="28"/>
      <c r="LDY31" s="28"/>
      <c r="LDZ31" s="28"/>
      <c r="LEA31" s="28"/>
      <c r="LEB31" s="28"/>
      <c r="LEC31" s="28"/>
      <c r="LED31" s="28"/>
      <c r="LEE31" s="28"/>
      <c r="LEF31" s="28"/>
      <c r="LEG31" s="28"/>
      <c r="LEH31" s="28"/>
      <c r="LEI31" s="28"/>
      <c r="LEJ31" s="28"/>
      <c r="LEK31" s="28"/>
      <c r="LEL31" s="28"/>
      <c r="LEM31" s="28"/>
      <c r="LEN31" s="28"/>
      <c r="LEO31" s="28"/>
      <c r="LEP31" s="28"/>
      <c r="LEQ31" s="28"/>
      <c r="LER31" s="28"/>
      <c r="LES31" s="28"/>
      <c r="LET31" s="28"/>
      <c r="LEU31" s="28"/>
      <c r="LEV31" s="28"/>
      <c r="LEW31" s="28"/>
      <c r="LEX31" s="28"/>
      <c r="LEY31" s="28"/>
      <c r="LEZ31" s="28"/>
      <c r="LFA31" s="28"/>
      <c r="LFB31" s="28"/>
      <c r="LFC31" s="28"/>
      <c r="LFD31" s="28"/>
      <c r="LFE31" s="28"/>
      <c r="LFF31" s="28"/>
      <c r="LFG31" s="28"/>
      <c r="LFH31" s="28"/>
      <c r="LFI31" s="28"/>
      <c r="LFJ31" s="28"/>
      <c r="LFK31" s="28"/>
      <c r="LFL31" s="28"/>
      <c r="LFM31" s="28"/>
      <c r="LFN31" s="28"/>
      <c r="LFO31" s="28"/>
      <c r="LFP31" s="28"/>
      <c r="LFQ31" s="28"/>
      <c r="LFR31" s="28"/>
      <c r="LFS31" s="28"/>
      <c r="LFT31" s="28"/>
      <c r="LFU31" s="28"/>
      <c r="LFV31" s="28"/>
      <c r="LFW31" s="28"/>
      <c r="LFX31" s="28"/>
      <c r="LFY31" s="28"/>
      <c r="LFZ31" s="28"/>
      <c r="LGA31" s="28"/>
      <c r="LGB31" s="28"/>
      <c r="LGC31" s="28"/>
      <c r="LGD31" s="28"/>
      <c r="LGE31" s="28"/>
      <c r="LGF31" s="28"/>
      <c r="LGG31" s="28"/>
      <c r="LGH31" s="28"/>
      <c r="LGI31" s="28"/>
      <c r="LGJ31" s="28"/>
      <c r="LGK31" s="28"/>
      <c r="LGL31" s="28"/>
      <c r="LGM31" s="28"/>
      <c r="LGN31" s="28"/>
      <c r="LGO31" s="28"/>
      <c r="LGP31" s="28"/>
      <c r="LGQ31" s="28"/>
      <c r="LGR31" s="28"/>
      <c r="LGS31" s="28"/>
      <c r="LGT31" s="28"/>
      <c r="LGU31" s="28"/>
      <c r="LGV31" s="28"/>
      <c r="LGW31" s="28"/>
      <c r="LGX31" s="28"/>
      <c r="LGY31" s="28"/>
      <c r="LGZ31" s="28"/>
      <c r="LHA31" s="28"/>
      <c r="LHB31" s="28"/>
      <c r="LHC31" s="28"/>
      <c r="LHD31" s="28"/>
      <c r="LHE31" s="28"/>
      <c r="LHF31" s="28"/>
      <c r="LHG31" s="28"/>
      <c r="LHH31" s="28"/>
      <c r="LHI31" s="28"/>
      <c r="LHJ31" s="28"/>
      <c r="LHK31" s="28"/>
      <c r="LHL31" s="28"/>
      <c r="LHM31" s="28"/>
      <c r="LHN31" s="28"/>
      <c r="LHO31" s="28"/>
      <c r="LHP31" s="28"/>
      <c r="LHQ31" s="28"/>
      <c r="LHR31" s="28"/>
      <c r="LHS31" s="28"/>
      <c r="LHT31" s="28"/>
      <c r="LHU31" s="28"/>
      <c r="LHV31" s="28"/>
      <c r="LHW31" s="28"/>
      <c r="LHX31" s="28"/>
      <c r="LHY31" s="28"/>
      <c r="LHZ31" s="28"/>
      <c r="LIA31" s="28"/>
      <c r="LIB31" s="28"/>
      <c r="LIC31" s="28"/>
      <c r="LID31" s="28"/>
      <c r="LIE31" s="28"/>
      <c r="LIF31" s="28"/>
      <c r="LIG31" s="28"/>
      <c r="LIH31" s="28"/>
      <c r="LII31" s="28"/>
      <c r="LIJ31" s="28"/>
      <c r="LIK31" s="28"/>
      <c r="LIL31" s="28"/>
      <c r="LIM31" s="28"/>
      <c r="LIN31" s="28"/>
      <c r="LIO31" s="28"/>
      <c r="LIP31" s="28"/>
      <c r="LIQ31" s="28"/>
      <c r="LIR31" s="28"/>
      <c r="LIS31" s="28"/>
      <c r="LIT31" s="28"/>
      <c r="LIU31" s="28"/>
      <c r="LIV31" s="28"/>
      <c r="LIW31" s="28"/>
      <c r="LIX31" s="28"/>
      <c r="LIY31" s="28"/>
      <c r="LIZ31" s="28"/>
      <c r="LJA31" s="28"/>
      <c r="LJB31" s="28"/>
      <c r="LJC31" s="28"/>
      <c r="LJD31" s="28"/>
      <c r="LJE31" s="28"/>
      <c r="LJF31" s="28"/>
      <c r="LJG31" s="28"/>
      <c r="LJH31" s="28"/>
      <c r="LJI31" s="28"/>
      <c r="LJJ31" s="28"/>
      <c r="LJK31" s="28"/>
      <c r="LJL31" s="28"/>
      <c r="LJM31" s="28"/>
      <c r="LJN31" s="28"/>
      <c r="LJO31" s="28"/>
      <c r="LJP31" s="28"/>
      <c r="LJQ31" s="28"/>
      <c r="LJR31" s="28"/>
      <c r="LJS31" s="28"/>
      <c r="LJT31" s="28"/>
      <c r="LJU31" s="28"/>
      <c r="LJV31" s="28"/>
      <c r="LJW31" s="28"/>
      <c r="LJX31" s="28"/>
      <c r="LJY31" s="28"/>
      <c r="LJZ31" s="28"/>
      <c r="LKA31" s="28"/>
      <c r="LKB31" s="28"/>
      <c r="LKC31" s="28"/>
      <c r="LKD31" s="28"/>
      <c r="LKE31" s="28"/>
      <c r="LKF31" s="28"/>
      <c r="LKG31" s="28"/>
      <c r="LKH31" s="28"/>
      <c r="LKI31" s="28"/>
      <c r="LKJ31" s="28"/>
      <c r="LKK31" s="28"/>
      <c r="LKL31" s="28"/>
      <c r="LKM31" s="28"/>
      <c r="LKN31" s="28"/>
      <c r="LKO31" s="28"/>
      <c r="LKP31" s="28"/>
      <c r="LKQ31" s="28"/>
      <c r="LKR31" s="28"/>
      <c r="LKS31" s="28"/>
      <c r="LKT31" s="28"/>
      <c r="LKU31" s="28"/>
      <c r="LKV31" s="28"/>
      <c r="LKW31" s="28"/>
      <c r="LKX31" s="28"/>
      <c r="LKY31" s="28"/>
      <c r="LKZ31" s="28"/>
      <c r="LLA31" s="28"/>
      <c r="LLB31" s="28"/>
      <c r="LLC31" s="28"/>
      <c r="LLD31" s="28"/>
      <c r="LLE31" s="28"/>
      <c r="LLF31" s="28"/>
      <c r="LLG31" s="28"/>
      <c r="LLH31" s="28"/>
      <c r="LLI31" s="28"/>
      <c r="LLJ31" s="28"/>
      <c r="LLK31" s="28"/>
      <c r="LLL31" s="28"/>
      <c r="LLM31" s="28"/>
      <c r="LLN31" s="28"/>
      <c r="LLO31" s="28"/>
      <c r="LLP31" s="28"/>
      <c r="LLQ31" s="28"/>
      <c r="LLR31" s="28"/>
      <c r="LLS31" s="28"/>
      <c r="LLT31" s="28"/>
      <c r="LLU31" s="28"/>
      <c r="LLV31" s="28"/>
      <c r="LLW31" s="28"/>
      <c r="LLX31" s="28"/>
      <c r="LLY31" s="28"/>
      <c r="LLZ31" s="28"/>
      <c r="LMA31" s="28"/>
      <c r="LMB31" s="28"/>
      <c r="LMC31" s="28"/>
      <c r="LMD31" s="28"/>
      <c r="LME31" s="28"/>
      <c r="LMF31" s="28"/>
      <c r="LMG31" s="28"/>
      <c r="LMH31" s="28"/>
      <c r="LMI31" s="28"/>
      <c r="LMJ31" s="28"/>
      <c r="LMK31" s="28"/>
      <c r="LML31" s="28"/>
      <c r="LMM31" s="28"/>
      <c r="LMN31" s="28"/>
      <c r="LMO31" s="28"/>
      <c r="LMP31" s="28"/>
      <c r="LMQ31" s="28"/>
      <c r="LMR31" s="28"/>
      <c r="LMS31" s="28"/>
      <c r="LMT31" s="28"/>
      <c r="LMU31" s="28"/>
      <c r="LMV31" s="28"/>
      <c r="LMW31" s="28"/>
      <c r="LMX31" s="28"/>
      <c r="LMY31" s="28"/>
      <c r="LMZ31" s="28"/>
      <c r="LNA31" s="28"/>
      <c r="LNB31" s="28"/>
      <c r="LNC31" s="28"/>
      <c r="LND31" s="28"/>
      <c r="LNE31" s="28"/>
      <c r="LNF31" s="28"/>
      <c r="LNG31" s="28"/>
      <c r="LNH31" s="28"/>
      <c r="LNI31" s="28"/>
      <c r="LNJ31" s="28"/>
      <c r="LNK31" s="28"/>
      <c r="LNL31" s="28"/>
      <c r="LNM31" s="28"/>
      <c r="LNN31" s="28"/>
      <c r="LNO31" s="28"/>
      <c r="LNP31" s="28"/>
      <c r="LNQ31" s="28"/>
      <c r="LNR31" s="28"/>
      <c r="LNS31" s="28"/>
      <c r="LNT31" s="28"/>
      <c r="LNU31" s="28"/>
      <c r="LNV31" s="28"/>
      <c r="LNW31" s="28"/>
      <c r="LNX31" s="28"/>
      <c r="LNY31" s="28"/>
      <c r="LNZ31" s="28"/>
      <c r="LOA31" s="28"/>
      <c r="LOB31" s="28"/>
      <c r="LOC31" s="28"/>
      <c r="LOD31" s="28"/>
      <c r="LOE31" s="28"/>
      <c r="LOF31" s="28"/>
      <c r="LOG31" s="28"/>
      <c r="LOH31" s="28"/>
      <c r="LOI31" s="28"/>
      <c r="LOJ31" s="28"/>
      <c r="LOK31" s="28"/>
      <c r="LOL31" s="28"/>
      <c r="LOM31" s="28"/>
      <c r="LON31" s="28"/>
      <c r="LOO31" s="28"/>
      <c r="LOP31" s="28"/>
      <c r="LOQ31" s="28"/>
      <c r="LOR31" s="28"/>
      <c r="LOS31" s="28"/>
      <c r="LOT31" s="28"/>
      <c r="LOU31" s="28"/>
      <c r="LOV31" s="28"/>
      <c r="LOW31" s="28"/>
      <c r="LOX31" s="28"/>
      <c r="LOY31" s="28"/>
      <c r="LOZ31" s="28"/>
      <c r="LPA31" s="28"/>
      <c r="LPB31" s="28"/>
      <c r="LPC31" s="28"/>
      <c r="LPD31" s="28"/>
      <c r="LPE31" s="28"/>
      <c r="LPF31" s="28"/>
      <c r="LPG31" s="28"/>
      <c r="LPH31" s="28"/>
      <c r="LPI31" s="28"/>
      <c r="LPJ31" s="28"/>
      <c r="LPK31" s="28"/>
      <c r="LPL31" s="28"/>
      <c r="LPM31" s="28"/>
      <c r="LPN31" s="28"/>
      <c r="LPO31" s="28"/>
      <c r="LPP31" s="28"/>
      <c r="LPQ31" s="28"/>
      <c r="LPR31" s="28"/>
      <c r="LPS31" s="28"/>
      <c r="LPT31" s="28"/>
      <c r="LPU31" s="28"/>
      <c r="LPV31" s="28"/>
      <c r="LPW31" s="28"/>
      <c r="LPX31" s="28"/>
      <c r="LPY31" s="28"/>
      <c r="LPZ31" s="28"/>
      <c r="LQA31" s="28"/>
      <c r="LQB31" s="28"/>
      <c r="LQC31" s="28"/>
      <c r="LQD31" s="28"/>
      <c r="LQE31" s="28"/>
      <c r="LQF31" s="28"/>
      <c r="LQG31" s="28"/>
      <c r="LQH31" s="28"/>
      <c r="LQI31" s="28"/>
      <c r="LQJ31" s="28"/>
      <c r="LQK31" s="28"/>
      <c r="LQL31" s="28"/>
      <c r="LQM31" s="28"/>
      <c r="LQN31" s="28"/>
      <c r="LQO31" s="28"/>
      <c r="LQP31" s="28"/>
      <c r="LQQ31" s="28"/>
      <c r="LQR31" s="28"/>
      <c r="LQS31" s="28"/>
      <c r="LQT31" s="28"/>
      <c r="LQU31" s="28"/>
      <c r="LQV31" s="28"/>
      <c r="LQW31" s="28"/>
      <c r="LQX31" s="28"/>
      <c r="LQY31" s="28"/>
      <c r="LQZ31" s="28"/>
      <c r="LRA31" s="28"/>
      <c r="LRB31" s="28"/>
      <c r="LRC31" s="28"/>
      <c r="LRD31" s="28"/>
      <c r="LRE31" s="28"/>
      <c r="LRF31" s="28"/>
      <c r="LRG31" s="28"/>
      <c r="LRH31" s="28"/>
      <c r="LRI31" s="28"/>
      <c r="LRJ31" s="28"/>
      <c r="LRK31" s="28"/>
      <c r="LRL31" s="28"/>
      <c r="LRM31" s="28"/>
      <c r="LRN31" s="28"/>
      <c r="LRO31" s="28"/>
      <c r="LRP31" s="28"/>
      <c r="LRQ31" s="28"/>
      <c r="LRR31" s="28"/>
      <c r="LRS31" s="28"/>
      <c r="LRT31" s="28"/>
      <c r="LRU31" s="28"/>
      <c r="LRV31" s="28"/>
      <c r="LRW31" s="28"/>
      <c r="LRX31" s="28"/>
      <c r="LRY31" s="28"/>
      <c r="LRZ31" s="28"/>
      <c r="LSA31" s="28"/>
      <c r="LSB31" s="28"/>
      <c r="LSC31" s="28"/>
      <c r="LSD31" s="28"/>
      <c r="LSE31" s="28"/>
      <c r="LSF31" s="28"/>
      <c r="LSG31" s="28"/>
      <c r="LSH31" s="28"/>
      <c r="LSI31" s="28"/>
      <c r="LSJ31" s="28"/>
      <c r="LSK31" s="28"/>
      <c r="LSL31" s="28"/>
      <c r="LSM31" s="28"/>
      <c r="LSN31" s="28"/>
      <c r="LSO31" s="28"/>
      <c r="LSP31" s="28"/>
      <c r="LSQ31" s="28"/>
      <c r="LSR31" s="28"/>
      <c r="LSS31" s="28"/>
      <c r="LST31" s="28"/>
      <c r="LSU31" s="28"/>
      <c r="LSV31" s="28"/>
      <c r="LSW31" s="28"/>
      <c r="LSX31" s="28"/>
      <c r="LSY31" s="28"/>
      <c r="LSZ31" s="28"/>
      <c r="LTA31" s="28"/>
      <c r="LTB31" s="28"/>
      <c r="LTC31" s="28"/>
      <c r="LTD31" s="28"/>
      <c r="LTE31" s="28"/>
      <c r="LTF31" s="28"/>
      <c r="LTG31" s="28"/>
      <c r="LTH31" s="28"/>
      <c r="LTI31" s="28"/>
      <c r="LTJ31" s="28"/>
      <c r="LTK31" s="28"/>
      <c r="LTL31" s="28"/>
      <c r="LTM31" s="28"/>
      <c r="LTN31" s="28"/>
      <c r="LTO31" s="28"/>
      <c r="LTP31" s="28"/>
      <c r="LTQ31" s="28"/>
      <c r="LTR31" s="28"/>
      <c r="LTS31" s="28"/>
      <c r="LTT31" s="28"/>
      <c r="LTU31" s="28"/>
      <c r="LTV31" s="28"/>
      <c r="LTW31" s="28"/>
      <c r="LTX31" s="28"/>
      <c r="LTY31" s="28"/>
      <c r="LTZ31" s="28"/>
      <c r="LUA31" s="28"/>
      <c r="LUB31" s="28"/>
      <c r="LUC31" s="28"/>
      <c r="LUD31" s="28"/>
      <c r="LUE31" s="28"/>
      <c r="LUF31" s="28"/>
      <c r="LUG31" s="28"/>
      <c r="LUH31" s="28"/>
      <c r="LUI31" s="28"/>
      <c r="LUJ31" s="28"/>
      <c r="LUK31" s="28"/>
      <c r="LUL31" s="28"/>
      <c r="LUM31" s="28"/>
      <c r="LUN31" s="28"/>
      <c r="LUO31" s="28"/>
      <c r="LUP31" s="28"/>
      <c r="LUQ31" s="28"/>
      <c r="LUR31" s="28"/>
      <c r="LUS31" s="28"/>
      <c r="LUT31" s="28"/>
      <c r="LUU31" s="28"/>
      <c r="LUV31" s="28"/>
      <c r="LUW31" s="28"/>
      <c r="LUX31" s="28"/>
      <c r="LUY31" s="28"/>
      <c r="LUZ31" s="28"/>
      <c r="LVA31" s="28"/>
      <c r="LVB31" s="28"/>
      <c r="LVC31" s="28"/>
      <c r="LVD31" s="28"/>
      <c r="LVE31" s="28"/>
      <c r="LVF31" s="28"/>
      <c r="LVG31" s="28"/>
      <c r="LVH31" s="28"/>
      <c r="LVI31" s="28"/>
      <c r="LVJ31" s="28"/>
      <c r="LVK31" s="28"/>
      <c r="LVL31" s="28"/>
      <c r="LVM31" s="28"/>
      <c r="LVN31" s="28"/>
      <c r="LVO31" s="28"/>
      <c r="LVP31" s="28"/>
      <c r="LVQ31" s="28"/>
      <c r="LVR31" s="28"/>
      <c r="LVS31" s="28"/>
      <c r="LVT31" s="28"/>
      <c r="LVU31" s="28"/>
      <c r="LVV31" s="28"/>
      <c r="LVW31" s="28"/>
      <c r="LVX31" s="28"/>
      <c r="LVY31" s="28"/>
      <c r="LVZ31" s="28"/>
      <c r="LWA31" s="28"/>
      <c r="LWB31" s="28"/>
      <c r="LWC31" s="28"/>
      <c r="LWD31" s="28"/>
      <c r="LWE31" s="28"/>
      <c r="LWF31" s="28"/>
      <c r="LWG31" s="28"/>
      <c r="LWH31" s="28"/>
      <c r="LWI31" s="28"/>
      <c r="LWJ31" s="28"/>
      <c r="LWK31" s="28"/>
      <c r="LWL31" s="28"/>
      <c r="LWM31" s="28"/>
      <c r="LWN31" s="28"/>
      <c r="LWO31" s="28"/>
      <c r="LWP31" s="28"/>
      <c r="LWQ31" s="28"/>
      <c r="LWR31" s="28"/>
      <c r="LWS31" s="28"/>
      <c r="LWT31" s="28"/>
      <c r="LWU31" s="28"/>
      <c r="LWV31" s="28"/>
      <c r="LWW31" s="28"/>
      <c r="LWX31" s="28"/>
      <c r="LWY31" s="28"/>
      <c r="LWZ31" s="28"/>
      <c r="LXA31" s="28"/>
      <c r="LXB31" s="28"/>
      <c r="LXC31" s="28"/>
      <c r="LXD31" s="28"/>
      <c r="LXE31" s="28"/>
      <c r="LXF31" s="28"/>
      <c r="LXG31" s="28"/>
      <c r="LXH31" s="28"/>
      <c r="LXI31" s="28"/>
      <c r="LXJ31" s="28"/>
      <c r="LXK31" s="28"/>
      <c r="LXL31" s="28"/>
      <c r="LXM31" s="28"/>
      <c r="LXN31" s="28"/>
      <c r="LXO31" s="28"/>
      <c r="LXP31" s="28"/>
      <c r="LXQ31" s="28"/>
      <c r="LXR31" s="28"/>
      <c r="LXS31" s="28"/>
      <c r="LXT31" s="28"/>
      <c r="LXU31" s="28"/>
      <c r="LXV31" s="28"/>
      <c r="LXW31" s="28"/>
      <c r="LXX31" s="28"/>
      <c r="LXY31" s="28"/>
      <c r="LXZ31" s="28"/>
      <c r="LYA31" s="28"/>
      <c r="LYB31" s="28"/>
      <c r="LYC31" s="28"/>
      <c r="LYD31" s="28"/>
      <c r="LYE31" s="28"/>
      <c r="LYF31" s="28"/>
      <c r="LYG31" s="28"/>
      <c r="LYH31" s="28"/>
      <c r="LYI31" s="28"/>
      <c r="LYJ31" s="28"/>
      <c r="LYK31" s="28"/>
      <c r="LYL31" s="28"/>
      <c r="LYM31" s="28"/>
      <c r="LYN31" s="28"/>
      <c r="LYO31" s="28"/>
      <c r="LYP31" s="28"/>
      <c r="LYQ31" s="28"/>
      <c r="LYR31" s="28"/>
      <c r="LYS31" s="28"/>
      <c r="LYT31" s="28"/>
      <c r="LYU31" s="28"/>
      <c r="LYV31" s="28"/>
      <c r="LYW31" s="28"/>
      <c r="LYX31" s="28"/>
      <c r="LYY31" s="28"/>
      <c r="LYZ31" s="28"/>
      <c r="LZA31" s="28"/>
      <c r="LZB31" s="28"/>
      <c r="LZC31" s="28"/>
      <c r="LZD31" s="28"/>
      <c r="LZE31" s="28"/>
      <c r="LZF31" s="28"/>
      <c r="LZG31" s="28"/>
      <c r="LZH31" s="28"/>
      <c r="LZI31" s="28"/>
      <c r="LZJ31" s="28"/>
      <c r="LZK31" s="28"/>
      <c r="LZL31" s="28"/>
      <c r="LZM31" s="28"/>
      <c r="LZN31" s="28"/>
      <c r="LZO31" s="28"/>
      <c r="LZP31" s="28"/>
      <c r="LZQ31" s="28"/>
      <c r="LZR31" s="28"/>
      <c r="LZS31" s="28"/>
      <c r="LZT31" s="28"/>
      <c r="LZU31" s="28"/>
      <c r="LZV31" s="28"/>
      <c r="LZW31" s="28"/>
      <c r="LZX31" s="28"/>
      <c r="LZY31" s="28"/>
      <c r="LZZ31" s="28"/>
      <c r="MAA31" s="28"/>
      <c r="MAB31" s="28"/>
      <c r="MAC31" s="28"/>
      <c r="MAD31" s="28"/>
      <c r="MAE31" s="28"/>
      <c r="MAF31" s="28"/>
      <c r="MAG31" s="28"/>
      <c r="MAH31" s="28"/>
      <c r="MAI31" s="28"/>
      <c r="MAJ31" s="28"/>
      <c r="MAK31" s="28"/>
      <c r="MAL31" s="28"/>
      <c r="MAM31" s="28"/>
      <c r="MAN31" s="28"/>
      <c r="MAO31" s="28"/>
      <c r="MAP31" s="28"/>
      <c r="MAQ31" s="28"/>
      <c r="MAR31" s="28"/>
      <c r="MAS31" s="28"/>
      <c r="MAT31" s="28"/>
      <c r="MAU31" s="28"/>
      <c r="MAV31" s="28"/>
      <c r="MAW31" s="28"/>
      <c r="MAX31" s="28"/>
      <c r="MAY31" s="28"/>
      <c r="MAZ31" s="28"/>
      <c r="MBA31" s="28"/>
      <c r="MBB31" s="28"/>
      <c r="MBC31" s="28"/>
      <c r="MBD31" s="28"/>
      <c r="MBE31" s="28"/>
      <c r="MBF31" s="28"/>
      <c r="MBG31" s="28"/>
      <c r="MBH31" s="28"/>
      <c r="MBI31" s="28"/>
      <c r="MBJ31" s="28"/>
      <c r="MBK31" s="28"/>
      <c r="MBL31" s="28"/>
      <c r="MBM31" s="28"/>
      <c r="MBN31" s="28"/>
      <c r="MBO31" s="28"/>
      <c r="MBP31" s="28"/>
      <c r="MBQ31" s="28"/>
      <c r="MBR31" s="28"/>
      <c r="MBS31" s="28"/>
      <c r="MBT31" s="28"/>
      <c r="MBU31" s="28"/>
      <c r="MBV31" s="28"/>
      <c r="MBW31" s="28"/>
      <c r="MBX31" s="28"/>
      <c r="MBY31" s="28"/>
      <c r="MBZ31" s="28"/>
      <c r="MCA31" s="28"/>
      <c r="MCB31" s="28"/>
      <c r="MCC31" s="28"/>
      <c r="MCD31" s="28"/>
      <c r="MCE31" s="28"/>
      <c r="MCF31" s="28"/>
      <c r="MCG31" s="28"/>
      <c r="MCH31" s="28"/>
      <c r="MCI31" s="28"/>
      <c r="MCJ31" s="28"/>
      <c r="MCK31" s="28"/>
      <c r="MCL31" s="28"/>
      <c r="MCM31" s="28"/>
      <c r="MCN31" s="28"/>
      <c r="MCO31" s="28"/>
      <c r="MCP31" s="28"/>
      <c r="MCQ31" s="28"/>
      <c r="MCR31" s="28"/>
      <c r="MCS31" s="28"/>
      <c r="MCT31" s="28"/>
      <c r="MCU31" s="28"/>
      <c r="MCV31" s="28"/>
      <c r="MCW31" s="28"/>
      <c r="MCX31" s="28"/>
      <c r="MCY31" s="28"/>
      <c r="MCZ31" s="28"/>
      <c r="MDA31" s="28"/>
      <c r="MDB31" s="28"/>
      <c r="MDC31" s="28"/>
      <c r="MDD31" s="28"/>
      <c r="MDE31" s="28"/>
      <c r="MDF31" s="28"/>
      <c r="MDG31" s="28"/>
      <c r="MDH31" s="28"/>
      <c r="MDI31" s="28"/>
      <c r="MDJ31" s="28"/>
      <c r="MDK31" s="28"/>
      <c r="MDL31" s="28"/>
      <c r="MDM31" s="28"/>
      <c r="MDN31" s="28"/>
      <c r="MDO31" s="28"/>
      <c r="MDP31" s="28"/>
      <c r="MDQ31" s="28"/>
      <c r="MDR31" s="28"/>
      <c r="MDS31" s="28"/>
      <c r="MDT31" s="28"/>
      <c r="MDU31" s="28"/>
      <c r="MDV31" s="28"/>
      <c r="MDW31" s="28"/>
      <c r="MDX31" s="28"/>
      <c r="MDY31" s="28"/>
      <c r="MDZ31" s="28"/>
      <c r="MEA31" s="28"/>
      <c r="MEB31" s="28"/>
      <c r="MEC31" s="28"/>
      <c r="MED31" s="28"/>
      <c r="MEE31" s="28"/>
      <c r="MEF31" s="28"/>
      <c r="MEG31" s="28"/>
      <c r="MEH31" s="28"/>
      <c r="MEI31" s="28"/>
      <c r="MEJ31" s="28"/>
      <c r="MEK31" s="28"/>
      <c r="MEL31" s="28"/>
      <c r="MEM31" s="28"/>
      <c r="MEN31" s="28"/>
      <c r="MEO31" s="28"/>
      <c r="MEP31" s="28"/>
      <c r="MEQ31" s="28"/>
      <c r="MER31" s="28"/>
      <c r="MES31" s="28"/>
      <c r="MET31" s="28"/>
      <c r="MEU31" s="28"/>
      <c r="MEV31" s="28"/>
      <c r="MEW31" s="28"/>
      <c r="MEX31" s="28"/>
      <c r="MEY31" s="28"/>
      <c r="MEZ31" s="28"/>
      <c r="MFA31" s="28"/>
      <c r="MFB31" s="28"/>
      <c r="MFC31" s="28"/>
      <c r="MFD31" s="28"/>
      <c r="MFE31" s="28"/>
      <c r="MFF31" s="28"/>
      <c r="MFG31" s="28"/>
      <c r="MFH31" s="28"/>
      <c r="MFI31" s="28"/>
      <c r="MFJ31" s="28"/>
      <c r="MFK31" s="28"/>
      <c r="MFL31" s="28"/>
      <c r="MFM31" s="28"/>
      <c r="MFN31" s="28"/>
      <c r="MFO31" s="28"/>
      <c r="MFP31" s="28"/>
      <c r="MFQ31" s="28"/>
      <c r="MFR31" s="28"/>
      <c r="MFS31" s="28"/>
      <c r="MFT31" s="28"/>
      <c r="MFU31" s="28"/>
      <c r="MFV31" s="28"/>
      <c r="MFW31" s="28"/>
      <c r="MFX31" s="28"/>
      <c r="MFY31" s="28"/>
      <c r="MFZ31" s="28"/>
      <c r="MGA31" s="28"/>
      <c r="MGB31" s="28"/>
      <c r="MGC31" s="28"/>
      <c r="MGD31" s="28"/>
      <c r="MGE31" s="28"/>
      <c r="MGF31" s="28"/>
      <c r="MGG31" s="28"/>
      <c r="MGH31" s="28"/>
      <c r="MGI31" s="28"/>
      <c r="MGJ31" s="28"/>
      <c r="MGK31" s="28"/>
      <c r="MGL31" s="28"/>
      <c r="MGM31" s="28"/>
      <c r="MGN31" s="28"/>
      <c r="MGO31" s="28"/>
      <c r="MGP31" s="28"/>
      <c r="MGQ31" s="28"/>
      <c r="MGR31" s="28"/>
      <c r="MGS31" s="28"/>
      <c r="MGT31" s="28"/>
      <c r="MGU31" s="28"/>
      <c r="MGV31" s="28"/>
      <c r="MGW31" s="28"/>
      <c r="MGX31" s="28"/>
      <c r="MGY31" s="28"/>
      <c r="MGZ31" s="28"/>
      <c r="MHA31" s="28"/>
      <c r="MHB31" s="28"/>
      <c r="MHC31" s="28"/>
      <c r="MHD31" s="28"/>
      <c r="MHE31" s="28"/>
      <c r="MHF31" s="28"/>
      <c r="MHG31" s="28"/>
      <c r="MHH31" s="28"/>
      <c r="MHI31" s="28"/>
      <c r="MHJ31" s="28"/>
      <c r="MHK31" s="28"/>
      <c r="MHL31" s="28"/>
      <c r="MHM31" s="28"/>
      <c r="MHN31" s="28"/>
      <c r="MHO31" s="28"/>
      <c r="MHP31" s="28"/>
      <c r="MHQ31" s="28"/>
      <c r="MHR31" s="28"/>
      <c r="MHS31" s="28"/>
      <c r="MHT31" s="28"/>
      <c r="MHU31" s="28"/>
      <c r="MHV31" s="28"/>
      <c r="MHW31" s="28"/>
      <c r="MHX31" s="28"/>
      <c r="MHY31" s="28"/>
      <c r="MHZ31" s="28"/>
      <c r="MIA31" s="28"/>
      <c r="MIB31" s="28"/>
      <c r="MIC31" s="28"/>
      <c r="MID31" s="28"/>
      <c r="MIE31" s="28"/>
      <c r="MIF31" s="28"/>
      <c r="MIG31" s="28"/>
      <c r="MIH31" s="28"/>
      <c r="MII31" s="28"/>
      <c r="MIJ31" s="28"/>
      <c r="MIK31" s="28"/>
      <c r="MIL31" s="28"/>
      <c r="MIM31" s="28"/>
      <c r="MIN31" s="28"/>
      <c r="MIO31" s="28"/>
      <c r="MIP31" s="28"/>
      <c r="MIQ31" s="28"/>
      <c r="MIR31" s="28"/>
      <c r="MIS31" s="28"/>
      <c r="MIT31" s="28"/>
      <c r="MIU31" s="28"/>
      <c r="MIV31" s="28"/>
      <c r="MIW31" s="28"/>
      <c r="MIX31" s="28"/>
      <c r="MIY31" s="28"/>
      <c r="MIZ31" s="28"/>
      <c r="MJA31" s="28"/>
      <c r="MJB31" s="28"/>
      <c r="MJC31" s="28"/>
      <c r="MJD31" s="28"/>
      <c r="MJE31" s="28"/>
      <c r="MJF31" s="28"/>
      <c r="MJG31" s="28"/>
      <c r="MJH31" s="28"/>
      <c r="MJI31" s="28"/>
      <c r="MJJ31" s="28"/>
      <c r="MJK31" s="28"/>
      <c r="MJL31" s="28"/>
      <c r="MJM31" s="28"/>
      <c r="MJN31" s="28"/>
      <c r="MJO31" s="28"/>
      <c r="MJP31" s="28"/>
      <c r="MJQ31" s="28"/>
      <c r="MJR31" s="28"/>
      <c r="MJS31" s="28"/>
      <c r="MJT31" s="28"/>
      <c r="MJU31" s="28"/>
      <c r="MJV31" s="28"/>
      <c r="MJW31" s="28"/>
      <c r="MJX31" s="28"/>
      <c r="MJY31" s="28"/>
      <c r="MJZ31" s="28"/>
      <c r="MKA31" s="28"/>
      <c r="MKB31" s="28"/>
      <c r="MKC31" s="28"/>
      <c r="MKD31" s="28"/>
      <c r="MKE31" s="28"/>
      <c r="MKF31" s="28"/>
      <c r="MKG31" s="28"/>
      <c r="MKH31" s="28"/>
      <c r="MKI31" s="28"/>
      <c r="MKJ31" s="28"/>
      <c r="MKK31" s="28"/>
      <c r="MKL31" s="28"/>
      <c r="MKM31" s="28"/>
      <c r="MKN31" s="28"/>
      <c r="MKO31" s="28"/>
      <c r="MKP31" s="28"/>
      <c r="MKQ31" s="28"/>
      <c r="MKR31" s="28"/>
      <c r="MKS31" s="28"/>
      <c r="MKT31" s="28"/>
      <c r="MKU31" s="28"/>
      <c r="MKV31" s="28"/>
      <c r="MKW31" s="28"/>
      <c r="MKX31" s="28"/>
      <c r="MKY31" s="28"/>
      <c r="MKZ31" s="28"/>
      <c r="MLA31" s="28"/>
      <c r="MLB31" s="28"/>
      <c r="MLC31" s="28"/>
      <c r="MLD31" s="28"/>
      <c r="MLE31" s="28"/>
      <c r="MLF31" s="28"/>
      <c r="MLG31" s="28"/>
      <c r="MLH31" s="28"/>
      <c r="MLI31" s="28"/>
      <c r="MLJ31" s="28"/>
      <c r="MLK31" s="28"/>
      <c r="MLL31" s="28"/>
      <c r="MLM31" s="28"/>
      <c r="MLN31" s="28"/>
      <c r="MLO31" s="28"/>
      <c r="MLP31" s="28"/>
      <c r="MLQ31" s="28"/>
      <c r="MLR31" s="28"/>
      <c r="MLS31" s="28"/>
      <c r="MLT31" s="28"/>
      <c r="MLU31" s="28"/>
      <c r="MLV31" s="28"/>
      <c r="MLW31" s="28"/>
      <c r="MLX31" s="28"/>
      <c r="MLY31" s="28"/>
      <c r="MLZ31" s="28"/>
      <c r="MMA31" s="28"/>
      <c r="MMB31" s="28"/>
      <c r="MMC31" s="28"/>
      <c r="MMD31" s="28"/>
      <c r="MME31" s="28"/>
      <c r="MMF31" s="28"/>
      <c r="MMG31" s="28"/>
      <c r="MMH31" s="28"/>
      <c r="MMI31" s="28"/>
      <c r="MMJ31" s="28"/>
      <c r="MMK31" s="28"/>
      <c r="MML31" s="28"/>
      <c r="MMM31" s="28"/>
      <c r="MMN31" s="28"/>
      <c r="MMO31" s="28"/>
      <c r="MMP31" s="28"/>
      <c r="MMQ31" s="28"/>
      <c r="MMR31" s="28"/>
      <c r="MMS31" s="28"/>
      <c r="MMT31" s="28"/>
      <c r="MMU31" s="28"/>
      <c r="MMV31" s="28"/>
      <c r="MMW31" s="28"/>
      <c r="MMX31" s="28"/>
      <c r="MMY31" s="28"/>
      <c r="MMZ31" s="28"/>
      <c r="MNA31" s="28"/>
      <c r="MNB31" s="28"/>
      <c r="MNC31" s="28"/>
      <c r="MND31" s="28"/>
      <c r="MNE31" s="28"/>
      <c r="MNF31" s="28"/>
      <c r="MNG31" s="28"/>
      <c r="MNH31" s="28"/>
      <c r="MNI31" s="28"/>
      <c r="MNJ31" s="28"/>
      <c r="MNK31" s="28"/>
      <c r="MNL31" s="28"/>
      <c r="MNM31" s="28"/>
      <c r="MNN31" s="28"/>
      <c r="MNO31" s="28"/>
      <c r="MNP31" s="28"/>
      <c r="MNQ31" s="28"/>
      <c r="MNR31" s="28"/>
      <c r="MNS31" s="28"/>
      <c r="MNT31" s="28"/>
      <c r="MNU31" s="28"/>
      <c r="MNV31" s="28"/>
      <c r="MNW31" s="28"/>
      <c r="MNX31" s="28"/>
      <c r="MNY31" s="28"/>
      <c r="MNZ31" s="28"/>
      <c r="MOA31" s="28"/>
      <c r="MOB31" s="28"/>
      <c r="MOC31" s="28"/>
      <c r="MOD31" s="28"/>
      <c r="MOE31" s="28"/>
      <c r="MOF31" s="28"/>
      <c r="MOG31" s="28"/>
      <c r="MOH31" s="28"/>
      <c r="MOI31" s="28"/>
      <c r="MOJ31" s="28"/>
      <c r="MOK31" s="28"/>
      <c r="MOL31" s="28"/>
      <c r="MOM31" s="28"/>
      <c r="MON31" s="28"/>
      <c r="MOO31" s="28"/>
      <c r="MOP31" s="28"/>
      <c r="MOQ31" s="28"/>
      <c r="MOR31" s="28"/>
      <c r="MOS31" s="28"/>
      <c r="MOT31" s="28"/>
      <c r="MOU31" s="28"/>
      <c r="MOV31" s="28"/>
      <c r="MOW31" s="28"/>
      <c r="MOX31" s="28"/>
      <c r="MOY31" s="28"/>
      <c r="MOZ31" s="28"/>
      <c r="MPA31" s="28"/>
      <c r="MPB31" s="28"/>
      <c r="MPC31" s="28"/>
      <c r="MPD31" s="28"/>
      <c r="MPE31" s="28"/>
      <c r="MPF31" s="28"/>
      <c r="MPG31" s="28"/>
      <c r="MPH31" s="28"/>
      <c r="MPI31" s="28"/>
      <c r="MPJ31" s="28"/>
      <c r="MPK31" s="28"/>
      <c r="MPL31" s="28"/>
      <c r="MPM31" s="28"/>
      <c r="MPN31" s="28"/>
      <c r="MPO31" s="28"/>
      <c r="MPP31" s="28"/>
      <c r="MPQ31" s="28"/>
      <c r="MPR31" s="28"/>
      <c r="MPS31" s="28"/>
      <c r="MPT31" s="28"/>
      <c r="MPU31" s="28"/>
      <c r="MPV31" s="28"/>
      <c r="MPW31" s="28"/>
      <c r="MPX31" s="28"/>
      <c r="MPY31" s="28"/>
      <c r="MPZ31" s="28"/>
      <c r="MQA31" s="28"/>
      <c r="MQB31" s="28"/>
      <c r="MQC31" s="28"/>
      <c r="MQD31" s="28"/>
      <c r="MQE31" s="28"/>
      <c r="MQF31" s="28"/>
      <c r="MQG31" s="28"/>
      <c r="MQH31" s="28"/>
      <c r="MQI31" s="28"/>
      <c r="MQJ31" s="28"/>
      <c r="MQK31" s="28"/>
      <c r="MQL31" s="28"/>
      <c r="MQM31" s="28"/>
      <c r="MQN31" s="28"/>
      <c r="MQO31" s="28"/>
      <c r="MQP31" s="28"/>
      <c r="MQQ31" s="28"/>
      <c r="MQR31" s="28"/>
      <c r="MQS31" s="28"/>
      <c r="MQT31" s="28"/>
      <c r="MQU31" s="28"/>
      <c r="MQV31" s="28"/>
      <c r="MQW31" s="28"/>
      <c r="MQX31" s="28"/>
      <c r="MQY31" s="28"/>
      <c r="MQZ31" s="28"/>
      <c r="MRA31" s="28"/>
      <c r="MRB31" s="28"/>
      <c r="MRC31" s="28"/>
      <c r="MRD31" s="28"/>
      <c r="MRE31" s="28"/>
      <c r="MRF31" s="28"/>
      <c r="MRG31" s="28"/>
      <c r="MRH31" s="28"/>
      <c r="MRI31" s="28"/>
      <c r="MRJ31" s="28"/>
      <c r="MRK31" s="28"/>
      <c r="MRL31" s="28"/>
      <c r="MRM31" s="28"/>
      <c r="MRN31" s="28"/>
      <c r="MRO31" s="28"/>
      <c r="MRP31" s="28"/>
      <c r="MRQ31" s="28"/>
      <c r="MRR31" s="28"/>
      <c r="MRS31" s="28"/>
      <c r="MRT31" s="28"/>
      <c r="MRU31" s="28"/>
      <c r="MRV31" s="28"/>
      <c r="MRW31" s="28"/>
      <c r="MRX31" s="28"/>
      <c r="MRY31" s="28"/>
      <c r="MRZ31" s="28"/>
      <c r="MSA31" s="28"/>
      <c r="MSB31" s="28"/>
      <c r="MSC31" s="28"/>
      <c r="MSD31" s="28"/>
      <c r="MSE31" s="28"/>
      <c r="MSF31" s="28"/>
      <c r="MSG31" s="28"/>
      <c r="MSH31" s="28"/>
      <c r="MSI31" s="28"/>
      <c r="MSJ31" s="28"/>
      <c r="MSK31" s="28"/>
      <c r="MSL31" s="28"/>
      <c r="MSM31" s="28"/>
      <c r="MSN31" s="28"/>
      <c r="MSO31" s="28"/>
      <c r="MSP31" s="28"/>
      <c r="MSQ31" s="28"/>
      <c r="MSR31" s="28"/>
      <c r="MSS31" s="28"/>
      <c r="MST31" s="28"/>
      <c r="MSU31" s="28"/>
      <c r="MSV31" s="28"/>
      <c r="MSW31" s="28"/>
      <c r="MSX31" s="28"/>
      <c r="MSY31" s="28"/>
      <c r="MSZ31" s="28"/>
      <c r="MTA31" s="28"/>
      <c r="MTB31" s="28"/>
      <c r="MTC31" s="28"/>
      <c r="MTD31" s="28"/>
      <c r="MTE31" s="28"/>
      <c r="MTF31" s="28"/>
      <c r="MTG31" s="28"/>
      <c r="MTH31" s="28"/>
      <c r="MTI31" s="28"/>
      <c r="MTJ31" s="28"/>
      <c r="MTK31" s="28"/>
      <c r="MTL31" s="28"/>
      <c r="MTM31" s="28"/>
      <c r="MTN31" s="28"/>
      <c r="MTO31" s="28"/>
      <c r="MTP31" s="28"/>
      <c r="MTQ31" s="28"/>
      <c r="MTR31" s="28"/>
      <c r="MTS31" s="28"/>
      <c r="MTT31" s="28"/>
      <c r="MTU31" s="28"/>
      <c r="MTV31" s="28"/>
      <c r="MTW31" s="28"/>
      <c r="MTX31" s="28"/>
      <c r="MTY31" s="28"/>
      <c r="MTZ31" s="28"/>
      <c r="MUA31" s="28"/>
      <c r="MUB31" s="28"/>
      <c r="MUC31" s="28"/>
      <c r="MUD31" s="28"/>
      <c r="MUE31" s="28"/>
      <c r="MUF31" s="28"/>
      <c r="MUG31" s="28"/>
      <c r="MUH31" s="28"/>
      <c r="MUI31" s="28"/>
      <c r="MUJ31" s="28"/>
      <c r="MUK31" s="28"/>
      <c r="MUL31" s="28"/>
      <c r="MUM31" s="28"/>
      <c r="MUN31" s="28"/>
      <c r="MUO31" s="28"/>
      <c r="MUP31" s="28"/>
      <c r="MUQ31" s="28"/>
      <c r="MUR31" s="28"/>
      <c r="MUS31" s="28"/>
      <c r="MUT31" s="28"/>
      <c r="MUU31" s="28"/>
      <c r="MUV31" s="28"/>
      <c r="MUW31" s="28"/>
      <c r="MUX31" s="28"/>
      <c r="MUY31" s="28"/>
      <c r="MUZ31" s="28"/>
      <c r="MVA31" s="28"/>
      <c r="MVB31" s="28"/>
      <c r="MVC31" s="28"/>
      <c r="MVD31" s="28"/>
      <c r="MVE31" s="28"/>
      <c r="MVF31" s="28"/>
      <c r="MVG31" s="28"/>
      <c r="MVH31" s="28"/>
      <c r="MVI31" s="28"/>
      <c r="MVJ31" s="28"/>
      <c r="MVK31" s="28"/>
      <c r="MVL31" s="28"/>
      <c r="MVM31" s="28"/>
      <c r="MVN31" s="28"/>
      <c r="MVO31" s="28"/>
      <c r="MVP31" s="28"/>
      <c r="MVQ31" s="28"/>
      <c r="MVR31" s="28"/>
      <c r="MVS31" s="28"/>
      <c r="MVT31" s="28"/>
      <c r="MVU31" s="28"/>
      <c r="MVV31" s="28"/>
      <c r="MVW31" s="28"/>
      <c r="MVX31" s="28"/>
      <c r="MVY31" s="28"/>
      <c r="MVZ31" s="28"/>
      <c r="MWA31" s="28"/>
      <c r="MWB31" s="28"/>
      <c r="MWC31" s="28"/>
      <c r="MWD31" s="28"/>
      <c r="MWE31" s="28"/>
      <c r="MWF31" s="28"/>
      <c r="MWG31" s="28"/>
      <c r="MWH31" s="28"/>
      <c r="MWI31" s="28"/>
      <c r="MWJ31" s="28"/>
      <c r="MWK31" s="28"/>
      <c r="MWL31" s="28"/>
      <c r="MWM31" s="28"/>
      <c r="MWN31" s="28"/>
      <c r="MWO31" s="28"/>
      <c r="MWP31" s="28"/>
      <c r="MWQ31" s="28"/>
      <c r="MWR31" s="28"/>
      <c r="MWS31" s="28"/>
      <c r="MWT31" s="28"/>
      <c r="MWU31" s="28"/>
      <c r="MWV31" s="28"/>
      <c r="MWW31" s="28"/>
      <c r="MWX31" s="28"/>
      <c r="MWY31" s="28"/>
      <c r="MWZ31" s="28"/>
      <c r="MXA31" s="28"/>
      <c r="MXB31" s="28"/>
      <c r="MXC31" s="28"/>
      <c r="MXD31" s="28"/>
      <c r="MXE31" s="28"/>
      <c r="MXF31" s="28"/>
      <c r="MXG31" s="28"/>
      <c r="MXH31" s="28"/>
      <c r="MXI31" s="28"/>
      <c r="MXJ31" s="28"/>
      <c r="MXK31" s="28"/>
      <c r="MXL31" s="28"/>
      <c r="MXM31" s="28"/>
      <c r="MXN31" s="28"/>
      <c r="MXO31" s="28"/>
      <c r="MXP31" s="28"/>
      <c r="MXQ31" s="28"/>
      <c r="MXR31" s="28"/>
      <c r="MXS31" s="28"/>
      <c r="MXT31" s="28"/>
      <c r="MXU31" s="28"/>
      <c r="MXV31" s="28"/>
      <c r="MXW31" s="28"/>
      <c r="MXX31" s="28"/>
      <c r="MXY31" s="28"/>
      <c r="MXZ31" s="28"/>
      <c r="MYA31" s="28"/>
      <c r="MYB31" s="28"/>
      <c r="MYC31" s="28"/>
      <c r="MYD31" s="28"/>
      <c r="MYE31" s="28"/>
      <c r="MYF31" s="28"/>
      <c r="MYG31" s="28"/>
      <c r="MYH31" s="28"/>
      <c r="MYI31" s="28"/>
      <c r="MYJ31" s="28"/>
      <c r="MYK31" s="28"/>
      <c r="MYL31" s="28"/>
      <c r="MYM31" s="28"/>
      <c r="MYN31" s="28"/>
      <c r="MYO31" s="28"/>
      <c r="MYP31" s="28"/>
      <c r="MYQ31" s="28"/>
      <c r="MYR31" s="28"/>
      <c r="MYS31" s="28"/>
      <c r="MYT31" s="28"/>
      <c r="MYU31" s="28"/>
      <c r="MYV31" s="28"/>
      <c r="MYW31" s="28"/>
      <c r="MYX31" s="28"/>
      <c r="MYY31" s="28"/>
      <c r="MYZ31" s="28"/>
      <c r="MZA31" s="28"/>
      <c r="MZB31" s="28"/>
      <c r="MZC31" s="28"/>
      <c r="MZD31" s="28"/>
      <c r="MZE31" s="28"/>
      <c r="MZF31" s="28"/>
      <c r="MZG31" s="28"/>
      <c r="MZH31" s="28"/>
      <c r="MZI31" s="28"/>
      <c r="MZJ31" s="28"/>
      <c r="MZK31" s="28"/>
      <c r="MZL31" s="28"/>
      <c r="MZM31" s="28"/>
      <c r="MZN31" s="28"/>
      <c r="MZO31" s="28"/>
      <c r="MZP31" s="28"/>
      <c r="MZQ31" s="28"/>
      <c r="MZR31" s="28"/>
      <c r="MZS31" s="28"/>
      <c r="MZT31" s="28"/>
      <c r="MZU31" s="28"/>
      <c r="MZV31" s="28"/>
      <c r="MZW31" s="28"/>
      <c r="MZX31" s="28"/>
      <c r="MZY31" s="28"/>
      <c r="MZZ31" s="28"/>
      <c r="NAA31" s="28"/>
      <c r="NAB31" s="28"/>
      <c r="NAC31" s="28"/>
      <c r="NAD31" s="28"/>
      <c r="NAE31" s="28"/>
      <c r="NAF31" s="28"/>
      <c r="NAG31" s="28"/>
      <c r="NAH31" s="28"/>
      <c r="NAI31" s="28"/>
      <c r="NAJ31" s="28"/>
      <c r="NAK31" s="28"/>
      <c r="NAL31" s="28"/>
      <c r="NAM31" s="28"/>
      <c r="NAN31" s="28"/>
      <c r="NAO31" s="28"/>
      <c r="NAP31" s="28"/>
      <c r="NAQ31" s="28"/>
      <c r="NAR31" s="28"/>
      <c r="NAS31" s="28"/>
      <c r="NAT31" s="28"/>
      <c r="NAU31" s="28"/>
      <c r="NAV31" s="28"/>
      <c r="NAW31" s="28"/>
      <c r="NAX31" s="28"/>
      <c r="NAY31" s="28"/>
      <c r="NAZ31" s="28"/>
      <c r="NBA31" s="28"/>
      <c r="NBB31" s="28"/>
      <c r="NBC31" s="28"/>
      <c r="NBD31" s="28"/>
      <c r="NBE31" s="28"/>
      <c r="NBF31" s="28"/>
      <c r="NBG31" s="28"/>
      <c r="NBH31" s="28"/>
      <c r="NBI31" s="28"/>
      <c r="NBJ31" s="28"/>
      <c r="NBK31" s="28"/>
      <c r="NBL31" s="28"/>
      <c r="NBM31" s="28"/>
      <c r="NBN31" s="28"/>
      <c r="NBO31" s="28"/>
      <c r="NBP31" s="28"/>
      <c r="NBQ31" s="28"/>
      <c r="NBR31" s="28"/>
      <c r="NBS31" s="28"/>
      <c r="NBT31" s="28"/>
      <c r="NBU31" s="28"/>
      <c r="NBV31" s="28"/>
      <c r="NBW31" s="28"/>
      <c r="NBX31" s="28"/>
      <c r="NBY31" s="28"/>
      <c r="NBZ31" s="28"/>
      <c r="NCA31" s="28"/>
      <c r="NCB31" s="28"/>
      <c r="NCC31" s="28"/>
      <c r="NCD31" s="28"/>
      <c r="NCE31" s="28"/>
      <c r="NCF31" s="28"/>
      <c r="NCG31" s="28"/>
      <c r="NCH31" s="28"/>
      <c r="NCI31" s="28"/>
      <c r="NCJ31" s="28"/>
      <c r="NCK31" s="28"/>
      <c r="NCL31" s="28"/>
      <c r="NCM31" s="28"/>
      <c r="NCN31" s="28"/>
      <c r="NCO31" s="28"/>
      <c r="NCP31" s="28"/>
      <c r="NCQ31" s="28"/>
      <c r="NCR31" s="28"/>
      <c r="NCS31" s="28"/>
      <c r="NCT31" s="28"/>
      <c r="NCU31" s="28"/>
      <c r="NCV31" s="28"/>
      <c r="NCW31" s="28"/>
      <c r="NCX31" s="28"/>
      <c r="NCY31" s="28"/>
      <c r="NCZ31" s="28"/>
      <c r="NDA31" s="28"/>
      <c r="NDB31" s="28"/>
      <c r="NDC31" s="28"/>
      <c r="NDD31" s="28"/>
      <c r="NDE31" s="28"/>
      <c r="NDF31" s="28"/>
      <c r="NDG31" s="28"/>
      <c r="NDH31" s="28"/>
      <c r="NDI31" s="28"/>
      <c r="NDJ31" s="28"/>
      <c r="NDK31" s="28"/>
      <c r="NDL31" s="28"/>
      <c r="NDM31" s="28"/>
      <c r="NDN31" s="28"/>
      <c r="NDO31" s="28"/>
      <c r="NDP31" s="28"/>
      <c r="NDQ31" s="28"/>
      <c r="NDR31" s="28"/>
      <c r="NDS31" s="28"/>
      <c r="NDT31" s="28"/>
      <c r="NDU31" s="28"/>
      <c r="NDV31" s="28"/>
      <c r="NDW31" s="28"/>
      <c r="NDX31" s="28"/>
      <c r="NDY31" s="28"/>
      <c r="NDZ31" s="28"/>
      <c r="NEA31" s="28"/>
      <c r="NEB31" s="28"/>
      <c r="NEC31" s="28"/>
      <c r="NED31" s="28"/>
      <c r="NEE31" s="28"/>
      <c r="NEF31" s="28"/>
      <c r="NEG31" s="28"/>
      <c r="NEH31" s="28"/>
      <c r="NEI31" s="28"/>
      <c r="NEJ31" s="28"/>
      <c r="NEK31" s="28"/>
      <c r="NEL31" s="28"/>
      <c r="NEM31" s="28"/>
      <c r="NEN31" s="28"/>
      <c r="NEO31" s="28"/>
      <c r="NEP31" s="28"/>
      <c r="NEQ31" s="28"/>
      <c r="NER31" s="28"/>
      <c r="NES31" s="28"/>
      <c r="NET31" s="28"/>
      <c r="NEU31" s="28"/>
      <c r="NEV31" s="28"/>
      <c r="NEW31" s="28"/>
      <c r="NEX31" s="28"/>
      <c r="NEY31" s="28"/>
      <c r="NEZ31" s="28"/>
      <c r="NFA31" s="28"/>
      <c r="NFB31" s="28"/>
      <c r="NFC31" s="28"/>
      <c r="NFD31" s="28"/>
      <c r="NFE31" s="28"/>
      <c r="NFF31" s="28"/>
      <c r="NFG31" s="28"/>
      <c r="NFH31" s="28"/>
      <c r="NFI31" s="28"/>
      <c r="NFJ31" s="28"/>
      <c r="NFK31" s="28"/>
      <c r="NFL31" s="28"/>
      <c r="NFM31" s="28"/>
      <c r="NFN31" s="28"/>
      <c r="NFO31" s="28"/>
      <c r="NFP31" s="28"/>
      <c r="NFQ31" s="28"/>
      <c r="NFR31" s="28"/>
      <c r="NFS31" s="28"/>
      <c r="NFT31" s="28"/>
      <c r="NFU31" s="28"/>
      <c r="NFV31" s="28"/>
      <c r="NFW31" s="28"/>
      <c r="NFX31" s="28"/>
      <c r="NFY31" s="28"/>
      <c r="NFZ31" s="28"/>
      <c r="NGA31" s="28"/>
      <c r="NGB31" s="28"/>
      <c r="NGC31" s="28"/>
      <c r="NGD31" s="28"/>
      <c r="NGE31" s="28"/>
      <c r="NGF31" s="28"/>
      <c r="NGG31" s="28"/>
      <c r="NGH31" s="28"/>
      <c r="NGI31" s="28"/>
      <c r="NGJ31" s="28"/>
      <c r="NGK31" s="28"/>
      <c r="NGL31" s="28"/>
      <c r="NGM31" s="28"/>
      <c r="NGN31" s="28"/>
      <c r="NGO31" s="28"/>
      <c r="NGP31" s="28"/>
      <c r="NGQ31" s="28"/>
      <c r="NGR31" s="28"/>
      <c r="NGS31" s="28"/>
      <c r="NGT31" s="28"/>
      <c r="NGU31" s="28"/>
      <c r="NGV31" s="28"/>
      <c r="NGW31" s="28"/>
      <c r="NGX31" s="28"/>
      <c r="NGY31" s="28"/>
      <c r="NGZ31" s="28"/>
      <c r="NHA31" s="28"/>
      <c r="NHB31" s="28"/>
      <c r="NHC31" s="28"/>
      <c r="NHD31" s="28"/>
      <c r="NHE31" s="28"/>
      <c r="NHF31" s="28"/>
      <c r="NHG31" s="28"/>
      <c r="NHH31" s="28"/>
      <c r="NHI31" s="28"/>
      <c r="NHJ31" s="28"/>
      <c r="NHK31" s="28"/>
      <c r="NHL31" s="28"/>
      <c r="NHM31" s="28"/>
      <c r="NHN31" s="28"/>
      <c r="NHO31" s="28"/>
      <c r="NHP31" s="28"/>
      <c r="NHQ31" s="28"/>
      <c r="NHR31" s="28"/>
      <c r="NHS31" s="28"/>
      <c r="NHT31" s="28"/>
      <c r="NHU31" s="28"/>
      <c r="NHV31" s="28"/>
      <c r="NHW31" s="28"/>
      <c r="NHX31" s="28"/>
      <c r="NHY31" s="28"/>
      <c r="NHZ31" s="28"/>
      <c r="NIA31" s="28"/>
      <c r="NIB31" s="28"/>
      <c r="NIC31" s="28"/>
      <c r="NID31" s="28"/>
      <c r="NIE31" s="28"/>
      <c r="NIF31" s="28"/>
      <c r="NIG31" s="28"/>
      <c r="NIH31" s="28"/>
      <c r="NII31" s="28"/>
      <c r="NIJ31" s="28"/>
      <c r="NIK31" s="28"/>
      <c r="NIL31" s="28"/>
      <c r="NIM31" s="28"/>
      <c r="NIN31" s="28"/>
      <c r="NIO31" s="28"/>
      <c r="NIP31" s="28"/>
      <c r="NIQ31" s="28"/>
      <c r="NIR31" s="28"/>
      <c r="NIS31" s="28"/>
      <c r="NIT31" s="28"/>
      <c r="NIU31" s="28"/>
      <c r="NIV31" s="28"/>
      <c r="NIW31" s="28"/>
      <c r="NIX31" s="28"/>
      <c r="NIY31" s="28"/>
      <c r="NIZ31" s="28"/>
      <c r="NJA31" s="28"/>
      <c r="NJB31" s="28"/>
      <c r="NJC31" s="28"/>
      <c r="NJD31" s="28"/>
      <c r="NJE31" s="28"/>
      <c r="NJF31" s="28"/>
      <c r="NJG31" s="28"/>
      <c r="NJH31" s="28"/>
      <c r="NJI31" s="28"/>
      <c r="NJJ31" s="28"/>
      <c r="NJK31" s="28"/>
      <c r="NJL31" s="28"/>
      <c r="NJM31" s="28"/>
      <c r="NJN31" s="28"/>
      <c r="NJO31" s="28"/>
      <c r="NJP31" s="28"/>
      <c r="NJQ31" s="28"/>
      <c r="NJR31" s="28"/>
      <c r="NJS31" s="28"/>
      <c r="NJT31" s="28"/>
      <c r="NJU31" s="28"/>
      <c r="NJV31" s="28"/>
      <c r="NJW31" s="28"/>
      <c r="NJX31" s="28"/>
      <c r="NJY31" s="28"/>
      <c r="NJZ31" s="28"/>
      <c r="NKA31" s="28"/>
      <c r="NKB31" s="28"/>
      <c r="NKC31" s="28"/>
      <c r="NKD31" s="28"/>
      <c r="NKE31" s="28"/>
      <c r="NKF31" s="28"/>
      <c r="NKG31" s="28"/>
      <c r="NKH31" s="28"/>
      <c r="NKI31" s="28"/>
      <c r="NKJ31" s="28"/>
      <c r="NKK31" s="28"/>
      <c r="NKL31" s="28"/>
      <c r="NKM31" s="28"/>
      <c r="NKN31" s="28"/>
      <c r="NKO31" s="28"/>
      <c r="NKP31" s="28"/>
      <c r="NKQ31" s="28"/>
      <c r="NKR31" s="28"/>
      <c r="NKS31" s="28"/>
      <c r="NKT31" s="28"/>
      <c r="NKU31" s="28"/>
      <c r="NKV31" s="28"/>
      <c r="NKW31" s="28"/>
      <c r="NKX31" s="28"/>
      <c r="NKY31" s="28"/>
      <c r="NKZ31" s="28"/>
      <c r="NLA31" s="28"/>
      <c r="NLB31" s="28"/>
      <c r="NLC31" s="28"/>
      <c r="NLD31" s="28"/>
      <c r="NLE31" s="28"/>
      <c r="NLF31" s="28"/>
      <c r="NLG31" s="28"/>
      <c r="NLH31" s="28"/>
      <c r="NLI31" s="28"/>
      <c r="NLJ31" s="28"/>
      <c r="NLK31" s="28"/>
      <c r="NLL31" s="28"/>
      <c r="NLM31" s="28"/>
      <c r="NLN31" s="28"/>
      <c r="NLO31" s="28"/>
      <c r="NLP31" s="28"/>
      <c r="NLQ31" s="28"/>
      <c r="NLR31" s="28"/>
      <c r="NLS31" s="28"/>
      <c r="NLT31" s="28"/>
      <c r="NLU31" s="28"/>
      <c r="NLV31" s="28"/>
      <c r="NLW31" s="28"/>
      <c r="NLX31" s="28"/>
      <c r="NLY31" s="28"/>
      <c r="NLZ31" s="28"/>
      <c r="NMA31" s="28"/>
      <c r="NMB31" s="28"/>
      <c r="NMC31" s="28"/>
      <c r="NMD31" s="28"/>
      <c r="NME31" s="28"/>
      <c r="NMF31" s="28"/>
      <c r="NMG31" s="28"/>
      <c r="NMH31" s="28"/>
      <c r="NMI31" s="28"/>
      <c r="NMJ31" s="28"/>
      <c r="NMK31" s="28"/>
      <c r="NML31" s="28"/>
      <c r="NMM31" s="28"/>
      <c r="NMN31" s="28"/>
      <c r="NMO31" s="28"/>
      <c r="NMP31" s="28"/>
      <c r="NMQ31" s="28"/>
      <c r="NMR31" s="28"/>
      <c r="NMS31" s="28"/>
      <c r="NMT31" s="28"/>
      <c r="NMU31" s="28"/>
      <c r="NMV31" s="28"/>
      <c r="NMW31" s="28"/>
      <c r="NMX31" s="28"/>
      <c r="NMY31" s="28"/>
      <c r="NMZ31" s="28"/>
      <c r="NNA31" s="28"/>
      <c r="NNB31" s="28"/>
      <c r="NNC31" s="28"/>
      <c r="NND31" s="28"/>
      <c r="NNE31" s="28"/>
      <c r="NNF31" s="28"/>
      <c r="NNG31" s="28"/>
      <c r="NNH31" s="28"/>
      <c r="NNI31" s="28"/>
      <c r="NNJ31" s="28"/>
      <c r="NNK31" s="28"/>
      <c r="NNL31" s="28"/>
      <c r="NNM31" s="28"/>
      <c r="NNN31" s="28"/>
      <c r="NNO31" s="28"/>
      <c r="NNP31" s="28"/>
      <c r="NNQ31" s="28"/>
      <c r="NNR31" s="28"/>
      <c r="NNS31" s="28"/>
      <c r="NNT31" s="28"/>
      <c r="NNU31" s="28"/>
      <c r="NNV31" s="28"/>
      <c r="NNW31" s="28"/>
      <c r="NNX31" s="28"/>
      <c r="NNY31" s="28"/>
      <c r="NNZ31" s="28"/>
      <c r="NOA31" s="28"/>
      <c r="NOB31" s="28"/>
      <c r="NOC31" s="28"/>
      <c r="NOD31" s="28"/>
      <c r="NOE31" s="28"/>
      <c r="NOF31" s="28"/>
      <c r="NOG31" s="28"/>
      <c r="NOH31" s="28"/>
      <c r="NOI31" s="28"/>
      <c r="NOJ31" s="28"/>
      <c r="NOK31" s="28"/>
      <c r="NOL31" s="28"/>
      <c r="NOM31" s="28"/>
      <c r="NON31" s="28"/>
      <c r="NOO31" s="28"/>
      <c r="NOP31" s="28"/>
      <c r="NOQ31" s="28"/>
      <c r="NOR31" s="28"/>
      <c r="NOS31" s="28"/>
      <c r="NOT31" s="28"/>
      <c r="NOU31" s="28"/>
      <c r="NOV31" s="28"/>
      <c r="NOW31" s="28"/>
      <c r="NOX31" s="28"/>
      <c r="NOY31" s="28"/>
      <c r="NOZ31" s="28"/>
      <c r="NPA31" s="28"/>
      <c r="NPB31" s="28"/>
      <c r="NPC31" s="28"/>
      <c r="NPD31" s="28"/>
      <c r="NPE31" s="28"/>
      <c r="NPF31" s="28"/>
      <c r="NPG31" s="28"/>
      <c r="NPH31" s="28"/>
      <c r="NPI31" s="28"/>
      <c r="NPJ31" s="28"/>
      <c r="NPK31" s="28"/>
      <c r="NPL31" s="28"/>
      <c r="NPM31" s="28"/>
      <c r="NPN31" s="28"/>
      <c r="NPO31" s="28"/>
      <c r="NPP31" s="28"/>
      <c r="NPQ31" s="28"/>
      <c r="NPR31" s="28"/>
      <c r="NPS31" s="28"/>
      <c r="NPT31" s="28"/>
      <c r="NPU31" s="28"/>
      <c r="NPV31" s="28"/>
      <c r="NPW31" s="28"/>
      <c r="NPX31" s="28"/>
      <c r="NPY31" s="28"/>
      <c r="NPZ31" s="28"/>
      <c r="NQA31" s="28"/>
      <c r="NQB31" s="28"/>
      <c r="NQC31" s="28"/>
      <c r="NQD31" s="28"/>
      <c r="NQE31" s="28"/>
      <c r="NQF31" s="28"/>
      <c r="NQG31" s="28"/>
      <c r="NQH31" s="28"/>
      <c r="NQI31" s="28"/>
      <c r="NQJ31" s="28"/>
      <c r="NQK31" s="28"/>
      <c r="NQL31" s="28"/>
      <c r="NQM31" s="28"/>
      <c r="NQN31" s="28"/>
      <c r="NQO31" s="28"/>
      <c r="NQP31" s="28"/>
      <c r="NQQ31" s="28"/>
      <c r="NQR31" s="28"/>
      <c r="NQS31" s="28"/>
      <c r="NQT31" s="28"/>
      <c r="NQU31" s="28"/>
      <c r="NQV31" s="28"/>
      <c r="NQW31" s="28"/>
      <c r="NQX31" s="28"/>
      <c r="NQY31" s="28"/>
      <c r="NQZ31" s="28"/>
      <c r="NRA31" s="28"/>
      <c r="NRB31" s="28"/>
      <c r="NRC31" s="28"/>
      <c r="NRD31" s="28"/>
      <c r="NRE31" s="28"/>
      <c r="NRF31" s="28"/>
      <c r="NRG31" s="28"/>
      <c r="NRH31" s="28"/>
      <c r="NRI31" s="28"/>
      <c r="NRJ31" s="28"/>
      <c r="NRK31" s="28"/>
      <c r="NRL31" s="28"/>
      <c r="NRM31" s="28"/>
      <c r="NRN31" s="28"/>
      <c r="NRO31" s="28"/>
      <c r="NRP31" s="28"/>
      <c r="NRQ31" s="28"/>
      <c r="NRR31" s="28"/>
      <c r="NRS31" s="28"/>
      <c r="NRT31" s="28"/>
      <c r="NRU31" s="28"/>
      <c r="NRV31" s="28"/>
      <c r="NRW31" s="28"/>
      <c r="NRX31" s="28"/>
      <c r="NRY31" s="28"/>
      <c r="NRZ31" s="28"/>
      <c r="NSA31" s="28"/>
      <c r="NSB31" s="28"/>
      <c r="NSC31" s="28"/>
      <c r="NSD31" s="28"/>
      <c r="NSE31" s="28"/>
      <c r="NSF31" s="28"/>
      <c r="NSG31" s="28"/>
      <c r="NSH31" s="28"/>
      <c r="NSI31" s="28"/>
      <c r="NSJ31" s="28"/>
      <c r="NSK31" s="28"/>
      <c r="NSL31" s="28"/>
      <c r="NSM31" s="28"/>
      <c r="NSN31" s="28"/>
      <c r="NSO31" s="28"/>
      <c r="NSP31" s="28"/>
      <c r="NSQ31" s="28"/>
      <c r="NSR31" s="28"/>
      <c r="NSS31" s="28"/>
      <c r="NST31" s="28"/>
      <c r="NSU31" s="28"/>
      <c r="NSV31" s="28"/>
      <c r="NSW31" s="28"/>
      <c r="NSX31" s="28"/>
      <c r="NSY31" s="28"/>
      <c r="NSZ31" s="28"/>
      <c r="NTA31" s="28"/>
      <c r="NTB31" s="28"/>
      <c r="NTC31" s="28"/>
      <c r="NTD31" s="28"/>
      <c r="NTE31" s="28"/>
      <c r="NTF31" s="28"/>
      <c r="NTG31" s="28"/>
      <c r="NTH31" s="28"/>
      <c r="NTI31" s="28"/>
      <c r="NTJ31" s="28"/>
      <c r="NTK31" s="28"/>
      <c r="NTL31" s="28"/>
      <c r="NTM31" s="28"/>
      <c r="NTN31" s="28"/>
      <c r="NTO31" s="28"/>
      <c r="NTP31" s="28"/>
      <c r="NTQ31" s="28"/>
      <c r="NTR31" s="28"/>
      <c r="NTS31" s="28"/>
      <c r="NTT31" s="28"/>
      <c r="NTU31" s="28"/>
      <c r="NTV31" s="28"/>
      <c r="NTW31" s="28"/>
      <c r="NTX31" s="28"/>
      <c r="NTY31" s="28"/>
      <c r="NTZ31" s="28"/>
      <c r="NUA31" s="28"/>
      <c r="NUB31" s="28"/>
      <c r="NUC31" s="28"/>
      <c r="NUD31" s="28"/>
      <c r="NUE31" s="28"/>
      <c r="NUF31" s="28"/>
      <c r="NUG31" s="28"/>
      <c r="NUH31" s="28"/>
      <c r="NUI31" s="28"/>
      <c r="NUJ31" s="28"/>
      <c r="NUK31" s="28"/>
      <c r="NUL31" s="28"/>
      <c r="NUM31" s="28"/>
      <c r="NUN31" s="28"/>
      <c r="NUO31" s="28"/>
      <c r="NUP31" s="28"/>
      <c r="NUQ31" s="28"/>
      <c r="NUR31" s="28"/>
      <c r="NUS31" s="28"/>
      <c r="NUT31" s="28"/>
      <c r="NUU31" s="28"/>
      <c r="NUV31" s="28"/>
      <c r="NUW31" s="28"/>
      <c r="NUX31" s="28"/>
      <c r="NUY31" s="28"/>
      <c r="NUZ31" s="28"/>
      <c r="NVA31" s="28"/>
      <c r="NVB31" s="28"/>
      <c r="NVC31" s="28"/>
      <c r="NVD31" s="28"/>
      <c r="NVE31" s="28"/>
      <c r="NVF31" s="28"/>
      <c r="NVG31" s="28"/>
      <c r="NVH31" s="28"/>
      <c r="NVI31" s="28"/>
      <c r="NVJ31" s="28"/>
      <c r="NVK31" s="28"/>
      <c r="NVL31" s="28"/>
      <c r="NVM31" s="28"/>
      <c r="NVN31" s="28"/>
      <c r="NVO31" s="28"/>
      <c r="NVP31" s="28"/>
      <c r="NVQ31" s="28"/>
      <c r="NVR31" s="28"/>
      <c r="NVS31" s="28"/>
      <c r="NVT31" s="28"/>
      <c r="NVU31" s="28"/>
      <c r="NVV31" s="28"/>
      <c r="NVW31" s="28"/>
      <c r="NVX31" s="28"/>
      <c r="NVY31" s="28"/>
      <c r="NVZ31" s="28"/>
      <c r="NWA31" s="28"/>
      <c r="NWB31" s="28"/>
      <c r="NWC31" s="28"/>
      <c r="NWD31" s="28"/>
      <c r="NWE31" s="28"/>
      <c r="NWF31" s="28"/>
      <c r="NWG31" s="28"/>
      <c r="NWH31" s="28"/>
      <c r="NWI31" s="28"/>
      <c r="NWJ31" s="28"/>
      <c r="NWK31" s="28"/>
      <c r="NWL31" s="28"/>
      <c r="NWM31" s="28"/>
      <c r="NWN31" s="28"/>
      <c r="NWO31" s="28"/>
      <c r="NWP31" s="28"/>
      <c r="NWQ31" s="28"/>
      <c r="NWR31" s="28"/>
      <c r="NWS31" s="28"/>
      <c r="NWT31" s="28"/>
      <c r="NWU31" s="28"/>
      <c r="NWV31" s="28"/>
      <c r="NWW31" s="28"/>
      <c r="NWX31" s="28"/>
      <c r="NWY31" s="28"/>
      <c r="NWZ31" s="28"/>
      <c r="NXA31" s="28"/>
      <c r="NXB31" s="28"/>
      <c r="NXC31" s="28"/>
      <c r="NXD31" s="28"/>
      <c r="NXE31" s="28"/>
      <c r="NXF31" s="28"/>
      <c r="NXG31" s="28"/>
      <c r="NXH31" s="28"/>
      <c r="NXI31" s="28"/>
      <c r="NXJ31" s="28"/>
      <c r="NXK31" s="28"/>
      <c r="NXL31" s="28"/>
      <c r="NXM31" s="28"/>
      <c r="NXN31" s="28"/>
      <c r="NXO31" s="28"/>
      <c r="NXP31" s="28"/>
      <c r="NXQ31" s="28"/>
      <c r="NXR31" s="28"/>
      <c r="NXS31" s="28"/>
      <c r="NXT31" s="28"/>
      <c r="NXU31" s="28"/>
      <c r="NXV31" s="28"/>
      <c r="NXW31" s="28"/>
      <c r="NXX31" s="28"/>
      <c r="NXY31" s="28"/>
      <c r="NXZ31" s="28"/>
      <c r="NYA31" s="28"/>
      <c r="NYB31" s="28"/>
      <c r="NYC31" s="28"/>
      <c r="NYD31" s="28"/>
      <c r="NYE31" s="28"/>
      <c r="NYF31" s="28"/>
      <c r="NYG31" s="28"/>
      <c r="NYH31" s="28"/>
      <c r="NYI31" s="28"/>
      <c r="NYJ31" s="28"/>
      <c r="NYK31" s="28"/>
      <c r="NYL31" s="28"/>
      <c r="NYM31" s="28"/>
      <c r="NYN31" s="28"/>
      <c r="NYO31" s="28"/>
      <c r="NYP31" s="28"/>
      <c r="NYQ31" s="28"/>
      <c r="NYR31" s="28"/>
      <c r="NYS31" s="28"/>
      <c r="NYT31" s="28"/>
      <c r="NYU31" s="28"/>
      <c r="NYV31" s="28"/>
      <c r="NYW31" s="28"/>
      <c r="NYX31" s="28"/>
      <c r="NYY31" s="28"/>
      <c r="NYZ31" s="28"/>
      <c r="NZA31" s="28"/>
      <c r="NZB31" s="28"/>
      <c r="NZC31" s="28"/>
      <c r="NZD31" s="28"/>
      <c r="NZE31" s="28"/>
      <c r="NZF31" s="28"/>
      <c r="NZG31" s="28"/>
      <c r="NZH31" s="28"/>
      <c r="NZI31" s="28"/>
      <c r="NZJ31" s="28"/>
      <c r="NZK31" s="28"/>
      <c r="NZL31" s="28"/>
      <c r="NZM31" s="28"/>
      <c r="NZN31" s="28"/>
      <c r="NZO31" s="28"/>
      <c r="NZP31" s="28"/>
      <c r="NZQ31" s="28"/>
      <c r="NZR31" s="28"/>
      <c r="NZS31" s="28"/>
      <c r="NZT31" s="28"/>
      <c r="NZU31" s="28"/>
      <c r="NZV31" s="28"/>
      <c r="NZW31" s="28"/>
      <c r="NZX31" s="28"/>
      <c r="NZY31" s="28"/>
      <c r="NZZ31" s="28"/>
      <c r="OAA31" s="28"/>
      <c r="OAB31" s="28"/>
      <c r="OAC31" s="28"/>
      <c r="OAD31" s="28"/>
      <c r="OAE31" s="28"/>
      <c r="OAF31" s="28"/>
      <c r="OAG31" s="28"/>
      <c r="OAH31" s="28"/>
      <c r="OAI31" s="28"/>
      <c r="OAJ31" s="28"/>
      <c r="OAK31" s="28"/>
      <c r="OAL31" s="28"/>
      <c r="OAM31" s="28"/>
      <c r="OAN31" s="28"/>
      <c r="OAO31" s="28"/>
      <c r="OAP31" s="28"/>
      <c r="OAQ31" s="28"/>
      <c r="OAR31" s="28"/>
      <c r="OAS31" s="28"/>
      <c r="OAT31" s="28"/>
      <c r="OAU31" s="28"/>
      <c r="OAV31" s="28"/>
      <c r="OAW31" s="28"/>
      <c r="OAX31" s="28"/>
      <c r="OAY31" s="28"/>
      <c r="OAZ31" s="28"/>
      <c r="OBA31" s="28"/>
      <c r="OBB31" s="28"/>
      <c r="OBC31" s="28"/>
      <c r="OBD31" s="28"/>
      <c r="OBE31" s="28"/>
      <c r="OBF31" s="28"/>
      <c r="OBG31" s="28"/>
      <c r="OBH31" s="28"/>
      <c r="OBI31" s="28"/>
      <c r="OBJ31" s="28"/>
      <c r="OBK31" s="28"/>
      <c r="OBL31" s="28"/>
      <c r="OBM31" s="28"/>
      <c r="OBN31" s="28"/>
      <c r="OBO31" s="28"/>
      <c r="OBP31" s="28"/>
      <c r="OBQ31" s="28"/>
      <c r="OBR31" s="28"/>
      <c r="OBS31" s="28"/>
      <c r="OBT31" s="28"/>
      <c r="OBU31" s="28"/>
      <c r="OBV31" s="28"/>
      <c r="OBW31" s="28"/>
      <c r="OBX31" s="28"/>
      <c r="OBY31" s="28"/>
      <c r="OBZ31" s="28"/>
      <c r="OCA31" s="28"/>
      <c r="OCB31" s="28"/>
      <c r="OCC31" s="28"/>
      <c r="OCD31" s="28"/>
      <c r="OCE31" s="28"/>
      <c r="OCF31" s="28"/>
      <c r="OCG31" s="28"/>
      <c r="OCH31" s="28"/>
      <c r="OCI31" s="28"/>
      <c r="OCJ31" s="28"/>
      <c r="OCK31" s="28"/>
      <c r="OCL31" s="28"/>
      <c r="OCM31" s="28"/>
      <c r="OCN31" s="28"/>
      <c r="OCO31" s="28"/>
      <c r="OCP31" s="28"/>
      <c r="OCQ31" s="28"/>
      <c r="OCR31" s="28"/>
      <c r="OCS31" s="28"/>
      <c r="OCT31" s="28"/>
      <c r="OCU31" s="28"/>
      <c r="OCV31" s="28"/>
      <c r="OCW31" s="28"/>
      <c r="OCX31" s="28"/>
      <c r="OCY31" s="28"/>
      <c r="OCZ31" s="28"/>
      <c r="ODA31" s="28"/>
      <c r="ODB31" s="28"/>
      <c r="ODC31" s="28"/>
      <c r="ODD31" s="28"/>
      <c r="ODE31" s="28"/>
      <c r="ODF31" s="28"/>
      <c r="ODG31" s="28"/>
      <c r="ODH31" s="28"/>
      <c r="ODI31" s="28"/>
      <c r="ODJ31" s="28"/>
      <c r="ODK31" s="28"/>
      <c r="ODL31" s="28"/>
      <c r="ODM31" s="28"/>
      <c r="ODN31" s="28"/>
      <c r="ODO31" s="28"/>
      <c r="ODP31" s="28"/>
      <c r="ODQ31" s="28"/>
      <c r="ODR31" s="28"/>
      <c r="ODS31" s="28"/>
      <c r="ODT31" s="28"/>
      <c r="ODU31" s="28"/>
      <c r="ODV31" s="28"/>
      <c r="ODW31" s="28"/>
      <c r="ODX31" s="28"/>
      <c r="ODY31" s="28"/>
      <c r="ODZ31" s="28"/>
      <c r="OEA31" s="28"/>
      <c r="OEB31" s="28"/>
      <c r="OEC31" s="28"/>
      <c r="OED31" s="28"/>
      <c r="OEE31" s="28"/>
      <c r="OEF31" s="28"/>
      <c r="OEG31" s="28"/>
      <c r="OEH31" s="28"/>
      <c r="OEI31" s="28"/>
      <c r="OEJ31" s="28"/>
      <c r="OEK31" s="28"/>
      <c r="OEL31" s="28"/>
      <c r="OEM31" s="28"/>
      <c r="OEN31" s="28"/>
      <c r="OEO31" s="28"/>
      <c r="OEP31" s="28"/>
      <c r="OEQ31" s="28"/>
      <c r="OER31" s="28"/>
      <c r="OES31" s="28"/>
      <c r="OET31" s="28"/>
      <c r="OEU31" s="28"/>
      <c r="OEV31" s="28"/>
      <c r="OEW31" s="28"/>
      <c r="OEX31" s="28"/>
      <c r="OEY31" s="28"/>
      <c r="OEZ31" s="28"/>
      <c r="OFA31" s="28"/>
      <c r="OFB31" s="28"/>
      <c r="OFC31" s="28"/>
      <c r="OFD31" s="28"/>
      <c r="OFE31" s="28"/>
      <c r="OFF31" s="28"/>
      <c r="OFG31" s="28"/>
      <c r="OFH31" s="28"/>
      <c r="OFI31" s="28"/>
      <c r="OFJ31" s="28"/>
      <c r="OFK31" s="28"/>
      <c r="OFL31" s="28"/>
      <c r="OFM31" s="28"/>
      <c r="OFN31" s="28"/>
      <c r="OFO31" s="28"/>
      <c r="OFP31" s="28"/>
      <c r="OFQ31" s="28"/>
      <c r="OFR31" s="28"/>
      <c r="OFS31" s="28"/>
      <c r="OFT31" s="28"/>
      <c r="OFU31" s="28"/>
      <c r="OFV31" s="28"/>
      <c r="OFW31" s="28"/>
      <c r="OFX31" s="28"/>
      <c r="OFY31" s="28"/>
      <c r="OFZ31" s="28"/>
      <c r="OGA31" s="28"/>
      <c r="OGB31" s="28"/>
      <c r="OGC31" s="28"/>
      <c r="OGD31" s="28"/>
      <c r="OGE31" s="28"/>
      <c r="OGF31" s="28"/>
      <c r="OGG31" s="28"/>
      <c r="OGH31" s="28"/>
      <c r="OGI31" s="28"/>
      <c r="OGJ31" s="28"/>
      <c r="OGK31" s="28"/>
      <c r="OGL31" s="28"/>
      <c r="OGM31" s="28"/>
      <c r="OGN31" s="28"/>
      <c r="OGO31" s="28"/>
      <c r="OGP31" s="28"/>
      <c r="OGQ31" s="28"/>
      <c r="OGR31" s="28"/>
      <c r="OGS31" s="28"/>
      <c r="OGT31" s="28"/>
      <c r="OGU31" s="28"/>
      <c r="OGV31" s="28"/>
      <c r="OGW31" s="28"/>
      <c r="OGX31" s="28"/>
      <c r="OGY31" s="28"/>
      <c r="OGZ31" s="28"/>
      <c r="OHA31" s="28"/>
      <c r="OHB31" s="28"/>
      <c r="OHC31" s="28"/>
      <c r="OHD31" s="28"/>
      <c r="OHE31" s="28"/>
      <c r="OHF31" s="28"/>
      <c r="OHG31" s="28"/>
      <c r="OHH31" s="28"/>
      <c r="OHI31" s="28"/>
      <c r="OHJ31" s="28"/>
      <c r="OHK31" s="28"/>
      <c r="OHL31" s="28"/>
      <c r="OHM31" s="28"/>
      <c r="OHN31" s="28"/>
      <c r="OHO31" s="28"/>
      <c r="OHP31" s="28"/>
      <c r="OHQ31" s="28"/>
      <c r="OHR31" s="28"/>
      <c r="OHS31" s="28"/>
      <c r="OHT31" s="28"/>
      <c r="OHU31" s="28"/>
      <c r="OHV31" s="28"/>
      <c r="OHW31" s="28"/>
      <c r="OHX31" s="28"/>
      <c r="OHY31" s="28"/>
      <c r="OHZ31" s="28"/>
      <c r="OIA31" s="28"/>
      <c r="OIB31" s="28"/>
      <c r="OIC31" s="28"/>
      <c r="OID31" s="28"/>
      <c r="OIE31" s="28"/>
      <c r="OIF31" s="28"/>
      <c r="OIG31" s="28"/>
      <c r="OIH31" s="28"/>
      <c r="OII31" s="28"/>
      <c r="OIJ31" s="28"/>
      <c r="OIK31" s="28"/>
      <c r="OIL31" s="28"/>
      <c r="OIM31" s="28"/>
      <c r="OIN31" s="28"/>
      <c r="OIO31" s="28"/>
      <c r="OIP31" s="28"/>
      <c r="OIQ31" s="28"/>
      <c r="OIR31" s="28"/>
      <c r="OIS31" s="28"/>
      <c r="OIT31" s="28"/>
      <c r="OIU31" s="28"/>
      <c r="OIV31" s="28"/>
      <c r="OIW31" s="28"/>
      <c r="OIX31" s="28"/>
      <c r="OIY31" s="28"/>
      <c r="OIZ31" s="28"/>
      <c r="OJA31" s="28"/>
      <c r="OJB31" s="28"/>
      <c r="OJC31" s="28"/>
      <c r="OJD31" s="28"/>
      <c r="OJE31" s="28"/>
      <c r="OJF31" s="28"/>
      <c r="OJG31" s="28"/>
      <c r="OJH31" s="28"/>
      <c r="OJI31" s="28"/>
      <c r="OJJ31" s="28"/>
      <c r="OJK31" s="28"/>
      <c r="OJL31" s="28"/>
      <c r="OJM31" s="28"/>
      <c r="OJN31" s="28"/>
      <c r="OJO31" s="28"/>
      <c r="OJP31" s="28"/>
      <c r="OJQ31" s="28"/>
      <c r="OJR31" s="28"/>
      <c r="OJS31" s="28"/>
      <c r="OJT31" s="28"/>
      <c r="OJU31" s="28"/>
      <c r="OJV31" s="28"/>
      <c r="OJW31" s="28"/>
      <c r="OJX31" s="28"/>
      <c r="OJY31" s="28"/>
      <c r="OJZ31" s="28"/>
      <c r="OKA31" s="28"/>
      <c r="OKB31" s="28"/>
      <c r="OKC31" s="28"/>
      <c r="OKD31" s="28"/>
      <c r="OKE31" s="28"/>
      <c r="OKF31" s="28"/>
      <c r="OKG31" s="28"/>
      <c r="OKH31" s="28"/>
      <c r="OKI31" s="28"/>
      <c r="OKJ31" s="28"/>
      <c r="OKK31" s="28"/>
      <c r="OKL31" s="28"/>
      <c r="OKM31" s="28"/>
      <c r="OKN31" s="28"/>
      <c r="OKO31" s="28"/>
      <c r="OKP31" s="28"/>
      <c r="OKQ31" s="28"/>
      <c r="OKR31" s="28"/>
      <c r="OKS31" s="28"/>
      <c r="OKT31" s="28"/>
      <c r="OKU31" s="28"/>
      <c r="OKV31" s="28"/>
      <c r="OKW31" s="28"/>
      <c r="OKX31" s="28"/>
      <c r="OKY31" s="28"/>
      <c r="OKZ31" s="28"/>
      <c r="OLA31" s="28"/>
      <c r="OLB31" s="28"/>
      <c r="OLC31" s="28"/>
      <c r="OLD31" s="28"/>
      <c r="OLE31" s="28"/>
      <c r="OLF31" s="28"/>
      <c r="OLG31" s="28"/>
      <c r="OLH31" s="28"/>
      <c r="OLI31" s="28"/>
      <c r="OLJ31" s="28"/>
      <c r="OLK31" s="28"/>
      <c r="OLL31" s="28"/>
      <c r="OLM31" s="28"/>
      <c r="OLN31" s="28"/>
      <c r="OLO31" s="28"/>
      <c r="OLP31" s="28"/>
      <c r="OLQ31" s="28"/>
      <c r="OLR31" s="28"/>
      <c r="OLS31" s="28"/>
      <c r="OLT31" s="28"/>
      <c r="OLU31" s="28"/>
      <c r="OLV31" s="28"/>
      <c r="OLW31" s="28"/>
      <c r="OLX31" s="28"/>
      <c r="OLY31" s="28"/>
      <c r="OLZ31" s="28"/>
      <c r="OMA31" s="28"/>
      <c r="OMB31" s="28"/>
      <c r="OMC31" s="28"/>
      <c r="OMD31" s="28"/>
      <c r="OME31" s="28"/>
      <c r="OMF31" s="28"/>
      <c r="OMG31" s="28"/>
      <c r="OMH31" s="28"/>
      <c r="OMI31" s="28"/>
      <c r="OMJ31" s="28"/>
      <c r="OMK31" s="28"/>
      <c r="OML31" s="28"/>
      <c r="OMM31" s="28"/>
      <c r="OMN31" s="28"/>
      <c r="OMO31" s="28"/>
      <c r="OMP31" s="28"/>
      <c r="OMQ31" s="28"/>
      <c r="OMR31" s="28"/>
      <c r="OMS31" s="28"/>
      <c r="OMT31" s="28"/>
      <c r="OMU31" s="28"/>
      <c r="OMV31" s="28"/>
      <c r="OMW31" s="28"/>
      <c r="OMX31" s="28"/>
      <c r="OMY31" s="28"/>
      <c r="OMZ31" s="28"/>
      <c r="ONA31" s="28"/>
      <c r="ONB31" s="28"/>
      <c r="ONC31" s="28"/>
      <c r="OND31" s="28"/>
      <c r="ONE31" s="28"/>
      <c r="ONF31" s="28"/>
      <c r="ONG31" s="28"/>
      <c r="ONH31" s="28"/>
      <c r="ONI31" s="28"/>
      <c r="ONJ31" s="28"/>
      <c r="ONK31" s="28"/>
      <c r="ONL31" s="28"/>
      <c r="ONM31" s="28"/>
      <c r="ONN31" s="28"/>
      <c r="ONO31" s="28"/>
      <c r="ONP31" s="28"/>
      <c r="ONQ31" s="28"/>
      <c r="ONR31" s="28"/>
      <c r="ONS31" s="28"/>
      <c r="ONT31" s="28"/>
      <c r="ONU31" s="28"/>
      <c r="ONV31" s="28"/>
      <c r="ONW31" s="28"/>
      <c r="ONX31" s="28"/>
      <c r="ONY31" s="28"/>
      <c r="ONZ31" s="28"/>
      <c r="OOA31" s="28"/>
      <c r="OOB31" s="28"/>
      <c r="OOC31" s="28"/>
      <c r="OOD31" s="28"/>
      <c r="OOE31" s="28"/>
      <c r="OOF31" s="28"/>
      <c r="OOG31" s="28"/>
      <c r="OOH31" s="28"/>
      <c r="OOI31" s="28"/>
      <c r="OOJ31" s="28"/>
      <c r="OOK31" s="28"/>
      <c r="OOL31" s="28"/>
      <c r="OOM31" s="28"/>
      <c r="OON31" s="28"/>
      <c r="OOO31" s="28"/>
      <c r="OOP31" s="28"/>
      <c r="OOQ31" s="28"/>
      <c r="OOR31" s="28"/>
      <c r="OOS31" s="28"/>
      <c r="OOT31" s="28"/>
      <c r="OOU31" s="28"/>
      <c r="OOV31" s="28"/>
      <c r="OOW31" s="28"/>
      <c r="OOX31" s="28"/>
      <c r="OOY31" s="28"/>
      <c r="OOZ31" s="28"/>
      <c r="OPA31" s="28"/>
      <c r="OPB31" s="28"/>
      <c r="OPC31" s="28"/>
      <c r="OPD31" s="28"/>
      <c r="OPE31" s="28"/>
      <c r="OPF31" s="28"/>
      <c r="OPG31" s="28"/>
      <c r="OPH31" s="28"/>
      <c r="OPI31" s="28"/>
      <c r="OPJ31" s="28"/>
      <c r="OPK31" s="28"/>
      <c r="OPL31" s="28"/>
      <c r="OPM31" s="28"/>
      <c r="OPN31" s="28"/>
      <c r="OPO31" s="28"/>
      <c r="OPP31" s="28"/>
      <c r="OPQ31" s="28"/>
      <c r="OPR31" s="28"/>
      <c r="OPS31" s="28"/>
      <c r="OPT31" s="28"/>
      <c r="OPU31" s="28"/>
      <c r="OPV31" s="28"/>
      <c r="OPW31" s="28"/>
      <c r="OPX31" s="28"/>
      <c r="OPY31" s="28"/>
      <c r="OPZ31" s="28"/>
      <c r="OQA31" s="28"/>
      <c r="OQB31" s="28"/>
      <c r="OQC31" s="28"/>
      <c r="OQD31" s="28"/>
      <c r="OQE31" s="28"/>
      <c r="OQF31" s="28"/>
      <c r="OQG31" s="28"/>
      <c r="OQH31" s="28"/>
      <c r="OQI31" s="28"/>
      <c r="OQJ31" s="28"/>
      <c r="OQK31" s="28"/>
      <c r="OQL31" s="28"/>
      <c r="OQM31" s="28"/>
      <c r="OQN31" s="28"/>
      <c r="OQO31" s="28"/>
      <c r="OQP31" s="28"/>
      <c r="OQQ31" s="28"/>
      <c r="OQR31" s="28"/>
      <c r="OQS31" s="28"/>
      <c r="OQT31" s="28"/>
      <c r="OQU31" s="28"/>
      <c r="OQV31" s="28"/>
      <c r="OQW31" s="28"/>
      <c r="OQX31" s="28"/>
      <c r="OQY31" s="28"/>
      <c r="OQZ31" s="28"/>
      <c r="ORA31" s="28"/>
      <c r="ORB31" s="28"/>
      <c r="ORC31" s="28"/>
      <c r="ORD31" s="28"/>
      <c r="ORE31" s="28"/>
      <c r="ORF31" s="28"/>
      <c r="ORG31" s="28"/>
      <c r="ORH31" s="28"/>
      <c r="ORI31" s="28"/>
      <c r="ORJ31" s="28"/>
      <c r="ORK31" s="28"/>
      <c r="ORL31" s="28"/>
      <c r="ORM31" s="28"/>
      <c r="ORN31" s="28"/>
      <c r="ORO31" s="28"/>
      <c r="ORP31" s="28"/>
      <c r="ORQ31" s="28"/>
      <c r="ORR31" s="28"/>
      <c r="ORS31" s="28"/>
      <c r="ORT31" s="28"/>
      <c r="ORU31" s="28"/>
      <c r="ORV31" s="28"/>
      <c r="ORW31" s="28"/>
      <c r="ORX31" s="28"/>
      <c r="ORY31" s="28"/>
      <c r="ORZ31" s="28"/>
      <c r="OSA31" s="28"/>
      <c r="OSB31" s="28"/>
      <c r="OSC31" s="28"/>
      <c r="OSD31" s="28"/>
      <c r="OSE31" s="28"/>
      <c r="OSF31" s="28"/>
      <c r="OSG31" s="28"/>
      <c r="OSH31" s="28"/>
      <c r="OSI31" s="28"/>
      <c r="OSJ31" s="28"/>
      <c r="OSK31" s="28"/>
      <c r="OSL31" s="28"/>
      <c r="OSM31" s="28"/>
      <c r="OSN31" s="28"/>
      <c r="OSO31" s="28"/>
      <c r="OSP31" s="28"/>
      <c r="OSQ31" s="28"/>
      <c r="OSR31" s="28"/>
      <c r="OSS31" s="28"/>
      <c r="OST31" s="28"/>
      <c r="OSU31" s="28"/>
      <c r="OSV31" s="28"/>
      <c r="OSW31" s="28"/>
      <c r="OSX31" s="28"/>
      <c r="OSY31" s="28"/>
      <c r="OSZ31" s="28"/>
      <c r="OTA31" s="28"/>
      <c r="OTB31" s="28"/>
      <c r="OTC31" s="28"/>
      <c r="OTD31" s="28"/>
      <c r="OTE31" s="28"/>
      <c r="OTF31" s="28"/>
      <c r="OTG31" s="28"/>
      <c r="OTH31" s="28"/>
      <c r="OTI31" s="28"/>
      <c r="OTJ31" s="28"/>
      <c r="OTK31" s="28"/>
      <c r="OTL31" s="28"/>
      <c r="OTM31" s="28"/>
      <c r="OTN31" s="28"/>
      <c r="OTO31" s="28"/>
      <c r="OTP31" s="28"/>
      <c r="OTQ31" s="28"/>
      <c r="OTR31" s="28"/>
      <c r="OTS31" s="28"/>
      <c r="OTT31" s="28"/>
      <c r="OTU31" s="28"/>
      <c r="OTV31" s="28"/>
      <c r="OTW31" s="28"/>
      <c r="OTX31" s="28"/>
      <c r="OTY31" s="28"/>
      <c r="OTZ31" s="28"/>
      <c r="OUA31" s="28"/>
      <c r="OUB31" s="28"/>
      <c r="OUC31" s="28"/>
      <c r="OUD31" s="28"/>
      <c r="OUE31" s="28"/>
      <c r="OUF31" s="28"/>
      <c r="OUG31" s="28"/>
      <c r="OUH31" s="28"/>
      <c r="OUI31" s="28"/>
      <c r="OUJ31" s="28"/>
      <c r="OUK31" s="28"/>
      <c r="OUL31" s="28"/>
      <c r="OUM31" s="28"/>
      <c r="OUN31" s="28"/>
      <c r="OUO31" s="28"/>
      <c r="OUP31" s="28"/>
      <c r="OUQ31" s="28"/>
      <c r="OUR31" s="28"/>
      <c r="OUS31" s="28"/>
      <c r="OUT31" s="28"/>
      <c r="OUU31" s="28"/>
      <c r="OUV31" s="28"/>
      <c r="OUW31" s="28"/>
      <c r="OUX31" s="28"/>
      <c r="OUY31" s="28"/>
      <c r="OUZ31" s="28"/>
      <c r="OVA31" s="28"/>
      <c r="OVB31" s="28"/>
      <c r="OVC31" s="28"/>
      <c r="OVD31" s="28"/>
      <c r="OVE31" s="28"/>
      <c r="OVF31" s="28"/>
      <c r="OVG31" s="28"/>
      <c r="OVH31" s="28"/>
      <c r="OVI31" s="28"/>
      <c r="OVJ31" s="28"/>
      <c r="OVK31" s="28"/>
      <c r="OVL31" s="28"/>
      <c r="OVM31" s="28"/>
      <c r="OVN31" s="28"/>
      <c r="OVO31" s="28"/>
      <c r="OVP31" s="28"/>
      <c r="OVQ31" s="28"/>
      <c r="OVR31" s="28"/>
      <c r="OVS31" s="28"/>
      <c r="OVT31" s="28"/>
      <c r="OVU31" s="28"/>
      <c r="OVV31" s="28"/>
      <c r="OVW31" s="28"/>
      <c r="OVX31" s="28"/>
      <c r="OVY31" s="28"/>
      <c r="OVZ31" s="28"/>
      <c r="OWA31" s="28"/>
      <c r="OWB31" s="28"/>
      <c r="OWC31" s="28"/>
      <c r="OWD31" s="28"/>
      <c r="OWE31" s="28"/>
      <c r="OWF31" s="28"/>
      <c r="OWG31" s="28"/>
      <c r="OWH31" s="28"/>
      <c r="OWI31" s="28"/>
      <c r="OWJ31" s="28"/>
      <c r="OWK31" s="28"/>
      <c r="OWL31" s="28"/>
      <c r="OWM31" s="28"/>
      <c r="OWN31" s="28"/>
      <c r="OWO31" s="28"/>
      <c r="OWP31" s="28"/>
      <c r="OWQ31" s="28"/>
      <c r="OWR31" s="28"/>
      <c r="OWS31" s="28"/>
      <c r="OWT31" s="28"/>
      <c r="OWU31" s="28"/>
      <c r="OWV31" s="28"/>
      <c r="OWW31" s="28"/>
      <c r="OWX31" s="28"/>
      <c r="OWY31" s="28"/>
      <c r="OWZ31" s="28"/>
      <c r="OXA31" s="28"/>
      <c r="OXB31" s="28"/>
      <c r="OXC31" s="28"/>
      <c r="OXD31" s="28"/>
      <c r="OXE31" s="28"/>
      <c r="OXF31" s="28"/>
      <c r="OXG31" s="28"/>
      <c r="OXH31" s="28"/>
      <c r="OXI31" s="28"/>
      <c r="OXJ31" s="28"/>
      <c r="OXK31" s="28"/>
      <c r="OXL31" s="28"/>
      <c r="OXM31" s="28"/>
      <c r="OXN31" s="28"/>
      <c r="OXO31" s="28"/>
      <c r="OXP31" s="28"/>
      <c r="OXQ31" s="28"/>
      <c r="OXR31" s="28"/>
      <c r="OXS31" s="28"/>
      <c r="OXT31" s="28"/>
      <c r="OXU31" s="28"/>
      <c r="OXV31" s="28"/>
      <c r="OXW31" s="28"/>
      <c r="OXX31" s="28"/>
      <c r="OXY31" s="28"/>
      <c r="OXZ31" s="28"/>
      <c r="OYA31" s="28"/>
      <c r="OYB31" s="28"/>
      <c r="OYC31" s="28"/>
      <c r="OYD31" s="28"/>
      <c r="OYE31" s="28"/>
      <c r="OYF31" s="28"/>
      <c r="OYG31" s="28"/>
      <c r="OYH31" s="28"/>
      <c r="OYI31" s="28"/>
      <c r="OYJ31" s="28"/>
      <c r="OYK31" s="28"/>
      <c r="OYL31" s="28"/>
      <c r="OYM31" s="28"/>
      <c r="OYN31" s="28"/>
      <c r="OYO31" s="28"/>
      <c r="OYP31" s="28"/>
      <c r="OYQ31" s="28"/>
      <c r="OYR31" s="28"/>
      <c r="OYS31" s="28"/>
      <c r="OYT31" s="28"/>
      <c r="OYU31" s="28"/>
      <c r="OYV31" s="28"/>
      <c r="OYW31" s="28"/>
      <c r="OYX31" s="28"/>
      <c r="OYY31" s="28"/>
      <c r="OYZ31" s="28"/>
      <c r="OZA31" s="28"/>
      <c r="OZB31" s="28"/>
      <c r="OZC31" s="28"/>
      <c r="OZD31" s="28"/>
      <c r="OZE31" s="28"/>
      <c r="OZF31" s="28"/>
      <c r="OZG31" s="28"/>
      <c r="OZH31" s="28"/>
      <c r="OZI31" s="28"/>
      <c r="OZJ31" s="28"/>
      <c r="OZK31" s="28"/>
      <c r="OZL31" s="28"/>
      <c r="OZM31" s="28"/>
      <c r="OZN31" s="28"/>
      <c r="OZO31" s="28"/>
      <c r="OZP31" s="28"/>
      <c r="OZQ31" s="28"/>
      <c r="OZR31" s="28"/>
      <c r="OZS31" s="28"/>
      <c r="OZT31" s="28"/>
      <c r="OZU31" s="28"/>
      <c r="OZV31" s="28"/>
      <c r="OZW31" s="28"/>
      <c r="OZX31" s="28"/>
      <c r="OZY31" s="28"/>
      <c r="OZZ31" s="28"/>
      <c r="PAA31" s="28"/>
      <c r="PAB31" s="28"/>
      <c r="PAC31" s="28"/>
      <c r="PAD31" s="28"/>
      <c r="PAE31" s="28"/>
      <c r="PAF31" s="28"/>
      <c r="PAG31" s="28"/>
      <c r="PAH31" s="28"/>
      <c r="PAI31" s="28"/>
      <c r="PAJ31" s="28"/>
      <c r="PAK31" s="28"/>
      <c r="PAL31" s="28"/>
      <c r="PAM31" s="28"/>
      <c r="PAN31" s="28"/>
      <c r="PAO31" s="28"/>
      <c r="PAP31" s="28"/>
      <c r="PAQ31" s="28"/>
      <c r="PAR31" s="28"/>
      <c r="PAS31" s="28"/>
      <c r="PAT31" s="28"/>
      <c r="PAU31" s="28"/>
      <c r="PAV31" s="28"/>
      <c r="PAW31" s="28"/>
      <c r="PAX31" s="28"/>
      <c r="PAY31" s="28"/>
      <c r="PAZ31" s="28"/>
      <c r="PBA31" s="28"/>
      <c r="PBB31" s="28"/>
      <c r="PBC31" s="28"/>
      <c r="PBD31" s="28"/>
      <c r="PBE31" s="28"/>
      <c r="PBF31" s="28"/>
      <c r="PBG31" s="28"/>
      <c r="PBH31" s="28"/>
      <c r="PBI31" s="28"/>
      <c r="PBJ31" s="28"/>
      <c r="PBK31" s="28"/>
      <c r="PBL31" s="28"/>
      <c r="PBM31" s="28"/>
      <c r="PBN31" s="28"/>
      <c r="PBO31" s="28"/>
      <c r="PBP31" s="28"/>
      <c r="PBQ31" s="28"/>
      <c r="PBR31" s="28"/>
      <c r="PBS31" s="28"/>
      <c r="PBT31" s="28"/>
      <c r="PBU31" s="28"/>
      <c r="PBV31" s="28"/>
      <c r="PBW31" s="28"/>
      <c r="PBX31" s="28"/>
      <c r="PBY31" s="28"/>
      <c r="PBZ31" s="28"/>
      <c r="PCA31" s="28"/>
      <c r="PCB31" s="28"/>
      <c r="PCC31" s="28"/>
      <c r="PCD31" s="28"/>
      <c r="PCE31" s="28"/>
      <c r="PCF31" s="28"/>
      <c r="PCG31" s="28"/>
      <c r="PCH31" s="28"/>
      <c r="PCI31" s="28"/>
      <c r="PCJ31" s="28"/>
      <c r="PCK31" s="28"/>
      <c r="PCL31" s="28"/>
      <c r="PCM31" s="28"/>
      <c r="PCN31" s="28"/>
      <c r="PCO31" s="28"/>
      <c r="PCP31" s="28"/>
      <c r="PCQ31" s="28"/>
      <c r="PCR31" s="28"/>
      <c r="PCS31" s="28"/>
      <c r="PCT31" s="28"/>
      <c r="PCU31" s="28"/>
      <c r="PCV31" s="28"/>
      <c r="PCW31" s="28"/>
      <c r="PCX31" s="28"/>
      <c r="PCY31" s="28"/>
      <c r="PCZ31" s="28"/>
      <c r="PDA31" s="28"/>
      <c r="PDB31" s="28"/>
      <c r="PDC31" s="28"/>
      <c r="PDD31" s="28"/>
      <c r="PDE31" s="28"/>
      <c r="PDF31" s="28"/>
      <c r="PDG31" s="28"/>
      <c r="PDH31" s="28"/>
      <c r="PDI31" s="28"/>
      <c r="PDJ31" s="28"/>
      <c r="PDK31" s="28"/>
      <c r="PDL31" s="28"/>
      <c r="PDM31" s="28"/>
      <c r="PDN31" s="28"/>
      <c r="PDO31" s="28"/>
      <c r="PDP31" s="28"/>
      <c r="PDQ31" s="28"/>
      <c r="PDR31" s="28"/>
      <c r="PDS31" s="28"/>
      <c r="PDT31" s="28"/>
      <c r="PDU31" s="28"/>
      <c r="PDV31" s="28"/>
      <c r="PDW31" s="28"/>
      <c r="PDX31" s="28"/>
      <c r="PDY31" s="28"/>
      <c r="PDZ31" s="28"/>
      <c r="PEA31" s="28"/>
      <c r="PEB31" s="28"/>
      <c r="PEC31" s="28"/>
      <c r="PED31" s="28"/>
      <c r="PEE31" s="28"/>
      <c r="PEF31" s="28"/>
      <c r="PEG31" s="28"/>
      <c r="PEH31" s="28"/>
      <c r="PEI31" s="28"/>
      <c r="PEJ31" s="28"/>
      <c r="PEK31" s="28"/>
      <c r="PEL31" s="28"/>
      <c r="PEM31" s="28"/>
      <c r="PEN31" s="28"/>
      <c r="PEO31" s="28"/>
      <c r="PEP31" s="28"/>
      <c r="PEQ31" s="28"/>
      <c r="PER31" s="28"/>
      <c r="PES31" s="28"/>
      <c r="PET31" s="28"/>
      <c r="PEU31" s="28"/>
      <c r="PEV31" s="28"/>
      <c r="PEW31" s="28"/>
      <c r="PEX31" s="28"/>
      <c r="PEY31" s="28"/>
      <c r="PEZ31" s="28"/>
      <c r="PFA31" s="28"/>
      <c r="PFB31" s="28"/>
      <c r="PFC31" s="28"/>
      <c r="PFD31" s="28"/>
      <c r="PFE31" s="28"/>
      <c r="PFF31" s="28"/>
      <c r="PFG31" s="28"/>
      <c r="PFH31" s="28"/>
      <c r="PFI31" s="28"/>
      <c r="PFJ31" s="28"/>
      <c r="PFK31" s="28"/>
      <c r="PFL31" s="28"/>
      <c r="PFM31" s="28"/>
      <c r="PFN31" s="28"/>
      <c r="PFO31" s="28"/>
      <c r="PFP31" s="28"/>
      <c r="PFQ31" s="28"/>
      <c r="PFR31" s="28"/>
      <c r="PFS31" s="28"/>
      <c r="PFT31" s="28"/>
      <c r="PFU31" s="28"/>
      <c r="PFV31" s="28"/>
      <c r="PFW31" s="28"/>
      <c r="PFX31" s="28"/>
      <c r="PFY31" s="28"/>
      <c r="PFZ31" s="28"/>
      <c r="PGA31" s="28"/>
      <c r="PGB31" s="28"/>
      <c r="PGC31" s="28"/>
      <c r="PGD31" s="28"/>
      <c r="PGE31" s="28"/>
      <c r="PGF31" s="28"/>
      <c r="PGG31" s="28"/>
      <c r="PGH31" s="28"/>
      <c r="PGI31" s="28"/>
      <c r="PGJ31" s="28"/>
      <c r="PGK31" s="28"/>
      <c r="PGL31" s="28"/>
      <c r="PGM31" s="28"/>
      <c r="PGN31" s="28"/>
      <c r="PGO31" s="28"/>
      <c r="PGP31" s="28"/>
      <c r="PGQ31" s="28"/>
      <c r="PGR31" s="28"/>
      <c r="PGS31" s="28"/>
      <c r="PGT31" s="28"/>
      <c r="PGU31" s="28"/>
      <c r="PGV31" s="28"/>
      <c r="PGW31" s="28"/>
      <c r="PGX31" s="28"/>
      <c r="PGY31" s="28"/>
      <c r="PGZ31" s="28"/>
      <c r="PHA31" s="28"/>
      <c r="PHB31" s="28"/>
      <c r="PHC31" s="28"/>
      <c r="PHD31" s="28"/>
      <c r="PHE31" s="28"/>
      <c r="PHF31" s="28"/>
      <c r="PHG31" s="28"/>
      <c r="PHH31" s="28"/>
      <c r="PHI31" s="28"/>
      <c r="PHJ31" s="28"/>
      <c r="PHK31" s="28"/>
      <c r="PHL31" s="28"/>
      <c r="PHM31" s="28"/>
      <c r="PHN31" s="28"/>
      <c r="PHO31" s="28"/>
      <c r="PHP31" s="28"/>
      <c r="PHQ31" s="28"/>
      <c r="PHR31" s="28"/>
      <c r="PHS31" s="28"/>
      <c r="PHT31" s="28"/>
      <c r="PHU31" s="28"/>
      <c r="PHV31" s="28"/>
      <c r="PHW31" s="28"/>
      <c r="PHX31" s="28"/>
      <c r="PHY31" s="28"/>
      <c r="PHZ31" s="28"/>
      <c r="PIA31" s="28"/>
      <c r="PIB31" s="28"/>
      <c r="PIC31" s="28"/>
      <c r="PID31" s="28"/>
      <c r="PIE31" s="28"/>
      <c r="PIF31" s="28"/>
      <c r="PIG31" s="28"/>
      <c r="PIH31" s="28"/>
      <c r="PII31" s="28"/>
      <c r="PIJ31" s="28"/>
      <c r="PIK31" s="28"/>
      <c r="PIL31" s="28"/>
      <c r="PIM31" s="28"/>
      <c r="PIN31" s="28"/>
      <c r="PIO31" s="28"/>
      <c r="PIP31" s="28"/>
      <c r="PIQ31" s="28"/>
      <c r="PIR31" s="28"/>
      <c r="PIS31" s="28"/>
      <c r="PIT31" s="28"/>
      <c r="PIU31" s="28"/>
      <c r="PIV31" s="28"/>
      <c r="PIW31" s="28"/>
      <c r="PIX31" s="28"/>
      <c r="PIY31" s="28"/>
      <c r="PIZ31" s="28"/>
      <c r="PJA31" s="28"/>
      <c r="PJB31" s="28"/>
      <c r="PJC31" s="28"/>
      <c r="PJD31" s="28"/>
      <c r="PJE31" s="28"/>
      <c r="PJF31" s="28"/>
      <c r="PJG31" s="28"/>
      <c r="PJH31" s="28"/>
      <c r="PJI31" s="28"/>
      <c r="PJJ31" s="28"/>
      <c r="PJK31" s="28"/>
      <c r="PJL31" s="28"/>
      <c r="PJM31" s="28"/>
      <c r="PJN31" s="28"/>
      <c r="PJO31" s="28"/>
      <c r="PJP31" s="28"/>
      <c r="PJQ31" s="28"/>
      <c r="PJR31" s="28"/>
      <c r="PJS31" s="28"/>
      <c r="PJT31" s="28"/>
      <c r="PJU31" s="28"/>
      <c r="PJV31" s="28"/>
      <c r="PJW31" s="28"/>
      <c r="PJX31" s="28"/>
      <c r="PJY31" s="28"/>
      <c r="PJZ31" s="28"/>
      <c r="PKA31" s="28"/>
      <c r="PKB31" s="28"/>
      <c r="PKC31" s="28"/>
      <c r="PKD31" s="28"/>
      <c r="PKE31" s="28"/>
      <c r="PKF31" s="28"/>
      <c r="PKG31" s="28"/>
      <c r="PKH31" s="28"/>
      <c r="PKI31" s="28"/>
      <c r="PKJ31" s="28"/>
      <c r="PKK31" s="28"/>
      <c r="PKL31" s="28"/>
      <c r="PKM31" s="28"/>
      <c r="PKN31" s="28"/>
      <c r="PKO31" s="28"/>
      <c r="PKP31" s="28"/>
      <c r="PKQ31" s="28"/>
      <c r="PKR31" s="28"/>
      <c r="PKS31" s="28"/>
      <c r="PKT31" s="28"/>
      <c r="PKU31" s="28"/>
      <c r="PKV31" s="28"/>
      <c r="PKW31" s="28"/>
      <c r="PKX31" s="28"/>
      <c r="PKY31" s="28"/>
      <c r="PKZ31" s="28"/>
      <c r="PLA31" s="28"/>
      <c r="PLB31" s="28"/>
      <c r="PLC31" s="28"/>
      <c r="PLD31" s="28"/>
      <c r="PLE31" s="28"/>
      <c r="PLF31" s="28"/>
      <c r="PLG31" s="28"/>
      <c r="PLH31" s="28"/>
      <c r="PLI31" s="28"/>
      <c r="PLJ31" s="28"/>
      <c r="PLK31" s="28"/>
      <c r="PLL31" s="28"/>
      <c r="PLM31" s="28"/>
      <c r="PLN31" s="28"/>
      <c r="PLO31" s="28"/>
      <c r="PLP31" s="28"/>
      <c r="PLQ31" s="28"/>
      <c r="PLR31" s="28"/>
      <c r="PLS31" s="28"/>
      <c r="PLT31" s="28"/>
      <c r="PLU31" s="28"/>
      <c r="PLV31" s="28"/>
      <c r="PLW31" s="28"/>
      <c r="PLX31" s="28"/>
      <c r="PLY31" s="28"/>
      <c r="PLZ31" s="28"/>
      <c r="PMA31" s="28"/>
      <c r="PMB31" s="28"/>
      <c r="PMC31" s="28"/>
      <c r="PMD31" s="28"/>
      <c r="PME31" s="28"/>
      <c r="PMF31" s="28"/>
      <c r="PMG31" s="28"/>
      <c r="PMH31" s="28"/>
      <c r="PMI31" s="28"/>
      <c r="PMJ31" s="28"/>
      <c r="PMK31" s="28"/>
      <c r="PML31" s="28"/>
      <c r="PMM31" s="28"/>
      <c r="PMN31" s="28"/>
      <c r="PMO31" s="28"/>
      <c r="PMP31" s="28"/>
      <c r="PMQ31" s="28"/>
      <c r="PMR31" s="28"/>
      <c r="PMS31" s="28"/>
      <c r="PMT31" s="28"/>
      <c r="PMU31" s="28"/>
      <c r="PMV31" s="28"/>
      <c r="PMW31" s="28"/>
      <c r="PMX31" s="28"/>
      <c r="PMY31" s="28"/>
      <c r="PMZ31" s="28"/>
      <c r="PNA31" s="28"/>
      <c r="PNB31" s="28"/>
      <c r="PNC31" s="28"/>
      <c r="PND31" s="28"/>
      <c r="PNE31" s="28"/>
      <c r="PNF31" s="28"/>
      <c r="PNG31" s="28"/>
      <c r="PNH31" s="28"/>
      <c r="PNI31" s="28"/>
      <c r="PNJ31" s="28"/>
      <c r="PNK31" s="28"/>
      <c r="PNL31" s="28"/>
      <c r="PNM31" s="28"/>
      <c r="PNN31" s="28"/>
      <c r="PNO31" s="28"/>
      <c r="PNP31" s="28"/>
      <c r="PNQ31" s="28"/>
      <c r="PNR31" s="28"/>
      <c r="PNS31" s="28"/>
      <c r="PNT31" s="28"/>
      <c r="PNU31" s="28"/>
      <c r="PNV31" s="28"/>
      <c r="PNW31" s="28"/>
      <c r="PNX31" s="28"/>
      <c r="PNY31" s="28"/>
      <c r="PNZ31" s="28"/>
      <c r="POA31" s="28"/>
      <c r="POB31" s="28"/>
      <c r="POC31" s="28"/>
      <c r="POD31" s="28"/>
      <c r="POE31" s="28"/>
      <c r="POF31" s="28"/>
      <c r="POG31" s="28"/>
      <c r="POH31" s="28"/>
      <c r="POI31" s="28"/>
      <c r="POJ31" s="28"/>
      <c r="POK31" s="28"/>
      <c r="POL31" s="28"/>
      <c r="POM31" s="28"/>
      <c r="PON31" s="28"/>
      <c r="POO31" s="28"/>
      <c r="POP31" s="28"/>
      <c r="POQ31" s="28"/>
      <c r="POR31" s="28"/>
      <c r="POS31" s="28"/>
      <c r="POT31" s="28"/>
      <c r="POU31" s="28"/>
      <c r="POV31" s="28"/>
      <c r="POW31" s="28"/>
      <c r="POX31" s="28"/>
      <c r="POY31" s="28"/>
      <c r="POZ31" s="28"/>
      <c r="PPA31" s="28"/>
      <c r="PPB31" s="28"/>
      <c r="PPC31" s="28"/>
      <c r="PPD31" s="28"/>
      <c r="PPE31" s="28"/>
      <c r="PPF31" s="28"/>
      <c r="PPG31" s="28"/>
      <c r="PPH31" s="28"/>
      <c r="PPI31" s="28"/>
      <c r="PPJ31" s="28"/>
      <c r="PPK31" s="28"/>
      <c r="PPL31" s="28"/>
      <c r="PPM31" s="28"/>
      <c r="PPN31" s="28"/>
      <c r="PPO31" s="28"/>
      <c r="PPP31" s="28"/>
      <c r="PPQ31" s="28"/>
      <c r="PPR31" s="28"/>
      <c r="PPS31" s="28"/>
      <c r="PPT31" s="28"/>
      <c r="PPU31" s="28"/>
      <c r="PPV31" s="28"/>
      <c r="PPW31" s="28"/>
      <c r="PPX31" s="28"/>
      <c r="PPY31" s="28"/>
      <c r="PPZ31" s="28"/>
      <c r="PQA31" s="28"/>
      <c r="PQB31" s="28"/>
      <c r="PQC31" s="28"/>
      <c r="PQD31" s="28"/>
      <c r="PQE31" s="28"/>
      <c r="PQF31" s="28"/>
      <c r="PQG31" s="28"/>
      <c r="PQH31" s="28"/>
      <c r="PQI31" s="28"/>
      <c r="PQJ31" s="28"/>
      <c r="PQK31" s="28"/>
      <c r="PQL31" s="28"/>
      <c r="PQM31" s="28"/>
      <c r="PQN31" s="28"/>
      <c r="PQO31" s="28"/>
      <c r="PQP31" s="28"/>
      <c r="PQQ31" s="28"/>
      <c r="PQR31" s="28"/>
      <c r="PQS31" s="28"/>
      <c r="PQT31" s="28"/>
      <c r="PQU31" s="28"/>
      <c r="PQV31" s="28"/>
      <c r="PQW31" s="28"/>
      <c r="PQX31" s="28"/>
      <c r="PQY31" s="28"/>
      <c r="PQZ31" s="28"/>
      <c r="PRA31" s="28"/>
      <c r="PRB31" s="28"/>
      <c r="PRC31" s="28"/>
      <c r="PRD31" s="28"/>
      <c r="PRE31" s="28"/>
      <c r="PRF31" s="28"/>
      <c r="PRG31" s="28"/>
      <c r="PRH31" s="28"/>
      <c r="PRI31" s="28"/>
      <c r="PRJ31" s="28"/>
      <c r="PRK31" s="28"/>
      <c r="PRL31" s="28"/>
      <c r="PRM31" s="28"/>
      <c r="PRN31" s="28"/>
      <c r="PRO31" s="28"/>
      <c r="PRP31" s="28"/>
      <c r="PRQ31" s="28"/>
      <c r="PRR31" s="28"/>
      <c r="PRS31" s="28"/>
      <c r="PRT31" s="28"/>
      <c r="PRU31" s="28"/>
      <c r="PRV31" s="28"/>
      <c r="PRW31" s="28"/>
      <c r="PRX31" s="28"/>
      <c r="PRY31" s="28"/>
      <c r="PRZ31" s="28"/>
      <c r="PSA31" s="28"/>
      <c r="PSB31" s="28"/>
      <c r="PSC31" s="28"/>
      <c r="PSD31" s="28"/>
      <c r="PSE31" s="28"/>
      <c r="PSF31" s="28"/>
      <c r="PSG31" s="28"/>
      <c r="PSH31" s="28"/>
      <c r="PSI31" s="28"/>
      <c r="PSJ31" s="28"/>
      <c r="PSK31" s="28"/>
      <c r="PSL31" s="28"/>
      <c r="PSM31" s="28"/>
      <c r="PSN31" s="28"/>
      <c r="PSO31" s="28"/>
      <c r="PSP31" s="28"/>
      <c r="PSQ31" s="28"/>
      <c r="PSR31" s="28"/>
      <c r="PSS31" s="28"/>
      <c r="PST31" s="28"/>
      <c r="PSU31" s="28"/>
      <c r="PSV31" s="28"/>
      <c r="PSW31" s="28"/>
      <c r="PSX31" s="28"/>
      <c r="PSY31" s="28"/>
      <c r="PSZ31" s="28"/>
      <c r="PTA31" s="28"/>
      <c r="PTB31" s="28"/>
      <c r="PTC31" s="28"/>
      <c r="PTD31" s="28"/>
      <c r="PTE31" s="28"/>
      <c r="PTF31" s="28"/>
      <c r="PTG31" s="28"/>
      <c r="PTH31" s="28"/>
      <c r="PTI31" s="28"/>
      <c r="PTJ31" s="28"/>
      <c r="PTK31" s="28"/>
      <c r="PTL31" s="28"/>
      <c r="PTM31" s="28"/>
      <c r="PTN31" s="28"/>
      <c r="PTO31" s="28"/>
      <c r="PTP31" s="28"/>
      <c r="PTQ31" s="28"/>
      <c r="PTR31" s="28"/>
      <c r="PTS31" s="28"/>
      <c r="PTT31" s="28"/>
      <c r="PTU31" s="28"/>
      <c r="PTV31" s="28"/>
      <c r="PTW31" s="28"/>
      <c r="PTX31" s="28"/>
      <c r="PTY31" s="28"/>
      <c r="PTZ31" s="28"/>
      <c r="PUA31" s="28"/>
      <c r="PUB31" s="28"/>
      <c r="PUC31" s="28"/>
      <c r="PUD31" s="28"/>
      <c r="PUE31" s="28"/>
      <c r="PUF31" s="28"/>
      <c r="PUG31" s="28"/>
      <c r="PUH31" s="28"/>
      <c r="PUI31" s="28"/>
      <c r="PUJ31" s="28"/>
      <c r="PUK31" s="28"/>
      <c r="PUL31" s="28"/>
      <c r="PUM31" s="28"/>
      <c r="PUN31" s="28"/>
      <c r="PUO31" s="28"/>
      <c r="PUP31" s="28"/>
      <c r="PUQ31" s="28"/>
      <c r="PUR31" s="28"/>
      <c r="PUS31" s="28"/>
      <c r="PUT31" s="28"/>
      <c r="PUU31" s="28"/>
      <c r="PUV31" s="28"/>
      <c r="PUW31" s="28"/>
      <c r="PUX31" s="28"/>
      <c r="PUY31" s="28"/>
      <c r="PUZ31" s="28"/>
      <c r="PVA31" s="28"/>
      <c r="PVB31" s="28"/>
      <c r="PVC31" s="28"/>
      <c r="PVD31" s="28"/>
      <c r="PVE31" s="28"/>
      <c r="PVF31" s="28"/>
      <c r="PVG31" s="28"/>
      <c r="PVH31" s="28"/>
      <c r="PVI31" s="28"/>
      <c r="PVJ31" s="28"/>
      <c r="PVK31" s="28"/>
      <c r="PVL31" s="28"/>
      <c r="PVM31" s="28"/>
      <c r="PVN31" s="28"/>
      <c r="PVO31" s="28"/>
      <c r="PVP31" s="28"/>
      <c r="PVQ31" s="28"/>
      <c r="PVR31" s="28"/>
      <c r="PVS31" s="28"/>
      <c r="PVT31" s="28"/>
      <c r="PVU31" s="28"/>
      <c r="PVV31" s="28"/>
      <c r="PVW31" s="28"/>
      <c r="PVX31" s="28"/>
      <c r="PVY31" s="28"/>
      <c r="PVZ31" s="28"/>
      <c r="PWA31" s="28"/>
      <c r="PWB31" s="28"/>
      <c r="PWC31" s="28"/>
      <c r="PWD31" s="28"/>
      <c r="PWE31" s="28"/>
      <c r="PWF31" s="28"/>
      <c r="PWG31" s="28"/>
      <c r="PWH31" s="28"/>
      <c r="PWI31" s="28"/>
      <c r="PWJ31" s="28"/>
      <c r="PWK31" s="28"/>
      <c r="PWL31" s="28"/>
      <c r="PWM31" s="28"/>
      <c r="PWN31" s="28"/>
      <c r="PWO31" s="28"/>
      <c r="PWP31" s="28"/>
      <c r="PWQ31" s="28"/>
      <c r="PWR31" s="28"/>
      <c r="PWS31" s="28"/>
      <c r="PWT31" s="28"/>
      <c r="PWU31" s="28"/>
      <c r="PWV31" s="28"/>
      <c r="PWW31" s="28"/>
      <c r="PWX31" s="28"/>
      <c r="PWY31" s="28"/>
      <c r="PWZ31" s="28"/>
      <c r="PXA31" s="28"/>
      <c r="PXB31" s="28"/>
      <c r="PXC31" s="28"/>
      <c r="PXD31" s="28"/>
      <c r="PXE31" s="28"/>
      <c r="PXF31" s="28"/>
      <c r="PXG31" s="28"/>
      <c r="PXH31" s="28"/>
      <c r="PXI31" s="28"/>
      <c r="PXJ31" s="28"/>
      <c r="PXK31" s="28"/>
      <c r="PXL31" s="28"/>
      <c r="PXM31" s="28"/>
      <c r="PXN31" s="28"/>
      <c r="PXO31" s="28"/>
      <c r="PXP31" s="28"/>
      <c r="PXQ31" s="28"/>
      <c r="PXR31" s="28"/>
      <c r="PXS31" s="28"/>
      <c r="PXT31" s="28"/>
      <c r="PXU31" s="28"/>
      <c r="PXV31" s="28"/>
      <c r="PXW31" s="28"/>
      <c r="PXX31" s="28"/>
      <c r="PXY31" s="28"/>
      <c r="PXZ31" s="28"/>
      <c r="PYA31" s="28"/>
      <c r="PYB31" s="28"/>
      <c r="PYC31" s="28"/>
      <c r="PYD31" s="28"/>
      <c r="PYE31" s="28"/>
      <c r="PYF31" s="28"/>
      <c r="PYG31" s="28"/>
      <c r="PYH31" s="28"/>
      <c r="PYI31" s="28"/>
      <c r="PYJ31" s="28"/>
      <c r="PYK31" s="28"/>
      <c r="PYL31" s="28"/>
      <c r="PYM31" s="28"/>
      <c r="PYN31" s="28"/>
      <c r="PYO31" s="28"/>
      <c r="PYP31" s="28"/>
      <c r="PYQ31" s="28"/>
      <c r="PYR31" s="28"/>
      <c r="PYS31" s="28"/>
      <c r="PYT31" s="28"/>
      <c r="PYU31" s="28"/>
      <c r="PYV31" s="28"/>
      <c r="PYW31" s="28"/>
      <c r="PYX31" s="28"/>
      <c r="PYY31" s="28"/>
      <c r="PYZ31" s="28"/>
      <c r="PZA31" s="28"/>
      <c r="PZB31" s="28"/>
      <c r="PZC31" s="28"/>
      <c r="PZD31" s="28"/>
      <c r="PZE31" s="28"/>
      <c r="PZF31" s="28"/>
      <c r="PZG31" s="28"/>
      <c r="PZH31" s="28"/>
      <c r="PZI31" s="28"/>
      <c r="PZJ31" s="28"/>
      <c r="PZK31" s="28"/>
      <c r="PZL31" s="28"/>
      <c r="PZM31" s="28"/>
      <c r="PZN31" s="28"/>
      <c r="PZO31" s="28"/>
      <c r="PZP31" s="28"/>
      <c r="PZQ31" s="28"/>
      <c r="PZR31" s="28"/>
      <c r="PZS31" s="28"/>
      <c r="PZT31" s="28"/>
      <c r="PZU31" s="28"/>
      <c r="PZV31" s="28"/>
      <c r="PZW31" s="28"/>
      <c r="PZX31" s="28"/>
      <c r="PZY31" s="28"/>
      <c r="PZZ31" s="28"/>
      <c r="QAA31" s="28"/>
      <c r="QAB31" s="28"/>
      <c r="QAC31" s="28"/>
      <c r="QAD31" s="28"/>
      <c r="QAE31" s="28"/>
      <c r="QAF31" s="28"/>
      <c r="QAG31" s="28"/>
      <c r="QAH31" s="28"/>
      <c r="QAI31" s="28"/>
      <c r="QAJ31" s="28"/>
      <c r="QAK31" s="28"/>
      <c r="QAL31" s="28"/>
      <c r="QAM31" s="28"/>
      <c r="QAN31" s="28"/>
      <c r="QAO31" s="28"/>
      <c r="QAP31" s="28"/>
      <c r="QAQ31" s="28"/>
      <c r="QAR31" s="28"/>
      <c r="QAS31" s="28"/>
      <c r="QAT31" s="28"/>
      <c r="QAU31" s="28"/>
      <c r="QAV31" s="28"/>
      <c r="QAW31" s="28"/>
      <c r="QAX31" s="28"/>
      <c r="QAY31" s="28"/>
      <c r="QAZ31" s="28"/>
      <c r="QBA31" s="28"/>
      <c r="QBB31" s="28"/>
      <c r="QBC31" s="28"/>
      <c r="QBD31" s="28"/>
      <c r="QBE31" s="28"/>
      <c r="QBF31" s="28"/>
      <c r="QBG31" s="28"/>
      <c r="QBH31" s="28"/>
      <c r="QBI31" s="28"/>
      <c r="QBJ31" s="28"/>
      <c r="QBK31" s="28"/>
      <c r="QBL31" s="28"/>
      <c r="QBM31" s="28"/>
      <c r="QBN31" s="28"/>
      <c r="QBO31" s="28"/>
      <c r="QBP31" s="28"/>
      <c r="QBQ31" s="28"/>
      <c r="QBR31" s="28"/>
      <c r="QBS31" s="28"/>
      <c r="QBT31" s="28"/>
      <c r="QBU31" s="28"/>
      <c r="QBV31" s="28"/>
      <c r="QBW31" s="28"/>
      <c r="QBX31" s="28"/>
      <c r="QBY31" s="28"/>
      <c r="QBZ31" s="28"/>
      <c r="QCA31" s="28"/>
      <c r="QCB31" s="28"/>
      <c r="QCC31" s="28"/>
      <c r="QCD31" s="28"/>
      <c r="QCE31" s="28"/>
      <c r="QCF31" s="28"/>
      <c r="QCG31" s="28"/>
      <c r="QCH31" s="28"/>
      <c r="QCI31" s="28"/>
      <c r="QCJ31" s="28"/>
      <c r="QCK31" s="28"/>
      <c r="QCL31" s="28"/>
      <c r="QCM31" s="28"/>
      <c r="QCN31" s="28"/>
      <c r="QCO31" s="28"/>
      <c r="QCP31" s="28"/>
      <c r="QCQ31" s="28"/>
      <c r="QCR31" s="28"/>
      <c r="QCS31" s="28"/>
      <c r="QCT31" s="28"/>
      <c r="QCU31" s="28"/>
      <c r="QCV31" s="28"/>
      <c r="QCW31" s="28"/>
      <c r="QCX31" s="28"/>
      <c r="QCY31" s="28"/>
      <c r="QCZ31" s="28"/>
      <c r="QDA31" s="28"/>
      <c r="QDB31" s="28"/>
      <c r="QDC31" s="28"/>
      <c r="QDD31" s="28"/>
      <c r="QDE31" s="28"/>
      <c r="QDF31" s="28"/>
      <c r="QDG31" s="28"/>
      <c r="QDH31" s="28"/>
      <c r="QDI31" s="28"/>
      <c r="QDJ31" s="28"/>
      <c r="QDK31" s="28"/>
      <c r="QDL31" s="28"/>
      <c r="QDM31" s="28"/>
      <c r="QDN31" s="28"/>
      <c r="QDO31" s="28"/>
      <c r="QDP31" s="28"/>
      <c r="QDQ31" s="28"/>
      <c r="QDR31" s="28"/>
      <c r="QDS31" s="28"/>
      <c r="QDT31" s="28"/>
      <c r="QDU31" s="28"/>
      <c r="QDV31" s="28"/>
      <c r="QDW31" s="28"/>
      <c r="QDX31" s="28"/>
      <c r="QDY31" s="28"/>
      <c r="QDZ31" s="28"/>
      <c r="QEA31" s="28"/>
      <c r="QEB31" s="28"/>
      <c r="QEC31" s="28"/>
      <c r="QED31" s="28"/>
      <c r="QEE31" s="28"/>
      <c r="QEF31" s="28"/>
      <c r="QEG31" s="28"/>
      <c r="QEH31" s="28"/>
      <c r="QEI31" s="28"/>
      <c r="QEJ31" s="28"/>
      <c r="QEK31" s="28"/>
      <c r="QEL31" s="28"/>
      <c r="QEM31" s="28"/>
      <c r="QEN31" s="28"/>
      <c r="QEO31" s="28"/>
      <c r="QEP31" s="28"/>
      <c r="QEQ31" s="28"/>
      <c r="QER31" s="28"/>
      <c r="QES31" s="28"/>
      <c r="QET31" s="28"/>
      <c r="QEU31" s="28"/>
      <c r="QEV31" s="28"/>
      <c r="QEW31" s="28"/>
      <c r="QEX31" s="28"/>
      <c r="QEY31" s="28"/>
      <c r="QEZ31" s="28"/>
      <c r="QFA31" s="28"/>
      <c r="QFB31" s="28"/>
      <c r="QFC31" s="28"/>
      <c r="QFD31" s="28"/>
      <c r="QFE31" s="28"/>
      <c r="QFF31" s="28"/>
      <c r="QFG31" s="28"/>
      <c r="QFH31" s="28"/>
      <c r="QFI31" s="28"/>
      <c r="QFJ31" s="28"/>
      <c r="QFK31" s="28"/>
      <c r="QFL31" s="28"/>
      <c r="QFM31" s="28"/>
      <c r="QFN31" s="28"/>
      <c r="QFO31" s="28"/>
      <c r="QFP31" s="28"/>
      <c r="QFQ31" s="28"/>
      <c r="QFR31" s="28"/>
      <c r="QFS31" s="28"/>
      <c r="QFT31" s="28"/>
      <c r="QFU31" s="28"/>
      <c r="QFV31" s="28"/>
      <c r="QFW31" s="28"/>
      <c r="QFX31" s="28"/>
      <c r="QFY31" s="28"/>
      <c r="QFZ31" s="28"/>
      <c r="QGA31" s="28"/>
      <c r="QGB31" s="28"/>
      <c r="QGC31" s="28"/>
      <c r="QGD31" s="28"/>
      <c r="QGE31" s="28"/>
      <c r="QGF31" s="28"/>
      <c r="QGG31" s="28"/>
      <c r="QGH31" s="28"/>
      <c r="QGI31" s="28"/>
      <c r="QGJ31" s="28"/>
      <c r="QGK31" s="28"/>
      <c r="QGL31" s="28"/>
      <c r="QGM31" s="28"/>
      <c r="QGN31" s="28"/>
      <c r="QGO31" s="28"/>
      <c r="QGP31" s="28"/>
      <c r="QGQ31" s="28"/>
      <c r="QGR31" s="28"/>
      <c r="QGS31" s="28"/>
      <c r="QGT31" s="28"/>
      <c r="QGU31" s="28"/>
      <c r="QGV31" s="28"/>
      <c r="QGW31" s="28"/>
      <c r="QGX31" s="28"/>
      <c r="QGY31" s="28"/>
      <c r="QGZ31" s="28"/>
      <c r="QHA31" s="28"/>
      <c r="QHB31" s="28"/>
      <c r="QHC31" s="28"/>
      <c r="QHD31" s="28"/>
      <c r="QHE31" s="28"/>
      <c r="QHF31" s="28"/>
      <c r="QHG31" s="28"/>
      <c r="QHH31" s="28"/>
      <c r="QHI31" s="28"/>
      <c r="QHJ31" s="28"/>
      <c r="QHK31" s="28"/>
      <c r="QHL31" s="28"/>
      <c r="QHM31" s="28"/>
      <c r="QHN31" s="28"/>
      <c r="QHO31" s="28"/>
      <c r="QHP31" s="28"/>
      <c r="QHQ31" s="28"/>
      <c r="QHR31" s="28"/>
      <c r="QHS31" s="28"/>
      <c r="QHT31" s="28"/>
      <c r="QHU31" s="28"/>
      <c r="QHV31" s="28"/>
      <c r="QHW31" s="28"/>
      <c r="QHX31" s="28"/>
      <c r="QHY31" s="28"/>
      <c r="QHZ31" s="28"/>
      <c r="QIA31" s="28"/>
      <c r="QIB31" s="28"/>
      <c r="QIC31" s="28"/>
      <c r="QID31" s="28"/>
      <c r="QIE31" s="28"/>
      <c r="QIF31" s="28"/>
      <c r="QIG31" s="28"/>
      <c r="QIH31" s="28"/>
      <c r="QII31" s="28"/>
      <c r="QIJ31" s="28"/>
      <c r="QIK31" s="28"/>
      <c r="QIL31" s="28"/>
      <c r="QIM31" s="28"/>
      <c r="QIN31" s="28"/>
      <c r="QIO31" s="28"/>
      <c r="QIP31" s="28"/>
      <c r="QIQ31" s="28"/>
      <c r="QIR31" s="28"/>
      <c r="QIS31" s="28"/>
      <c r="QIT31" s="28"/>
      <c r="QIU31" s="28"/>
      <c r="QIV31" s="28"/>
      <c r="QIW31" s="28"/>
      <c r="QIX31" s="28"/>
      <c r="QIY31" s="28"/>
      <c r="QIZ31" s="28"/>
      <c r="QJA31" s="28"/>
      <c r="QJB31" s="28"/>
      <c r="QJC31" s="28"/>
      <c r="QJD31" s="28"/>
      <c r="QJE31" s="28"/>
      <c r="QJF31" s="28"/>
      <c r="QJG31" s="28"/>
      <c r="QJH31" s="28"/>
      <c r="QJI31" s="28"/>
      <c r="QJJ31" s="28"/>
      <c r="QJK31" s="28"/>
      <c r="QJL31" s="28"/>
      <c r="QJM31" s="28"/>
      <c r="QJN31" s="28"/>
      <c r="QJO31" s="28"/>
      <c r="QJP31" s="28"/>
      <c r="QJQ31" s="28"/>
      <c r="QJR31" s="28"/>
      <c r="QJS31" s="28"/>
      <c r="QJT31" s="28"/>
      <c r="QJU31" s="28"/>
      <c r="QJV31" s="28"/>
      <c r="QJW31" s="28"/>
      <c r="QJX31" s="28"/>
      <c r="QJY31" s="28"/>
      <c r="QJZ31" s="28"/>
      <c r="QKA31" s="28"/>
      <c r="QKB31" s="28"/>
      <c r="QKC31" s="28"/>
      <c r="QKD31" s="28"/>
      <c r="QKE31" s="28"/>
      <c r="QKF31" s="28"/>
      <c r="QKG31" s="28"/>
      <c r="QKH31" s="28"/>
      <c r="QKI31" s="28"/>
      <c r="QKJ31" s="28"/>
      <c r="QKK31" s="28"/>
      <c r="QKL31" s="28"/>
      <c r="QKM31" s="28"/>
      <c r="QKN31" s="28"/>
      <c r="QKO31" s="28"/>
      <c r="QKP31" s="28"/>
      <c r="QKQ31" s="28"/>
      <c r="QKR31" s="28"/>
      <c r="QKS31" s="28"/>
      <c r="QKT31" s="28"/>
      <c r="QKU31" s="28"/>
      <c r="QKV31" s="28"/>
      <c r="QKW31" s="28"/>
      <c r="QKX31" s="28"/>
      <c r="QKY31" s="28"/>
      <c r="QKZ31" s="28"/>
      <c r="QLA31" s="28"/>
      <c r="QLB31" s="28"/>
      <c r="QLC31" s="28"/>
      <c r="QLD31" s="28"/>
      <c r="QLE31" s="28"/>
      <c r="QLF31" s="28"/>
      <c r="QLG31" s="28"/>
      <c r="QLH31" s="28"/>
      <c r="QLI31" s="28"/>
      <c r="QLJ31" s="28"/>
      <c r="QLK31" s="28"/>
      <c r="QLL31" s="28"/>
      <c r="QLM31" s="28"/>
      <c r="QLN31" s="28"/>
      <c r="QLO31" s="28"/>
      <c r="QLP31" s="28"/>
      <c r="QLQ31" s="28"/>
      <c r="QLR31" s="28"/>
      <c r="QLS31" s="28"/>
      <c r="QLT31" s="28"/>
      <c r="QLU31" s="28"/>
      <c r="QLV31" s="28"/>
      <c r="QLW31" s="28"/>
      <c r="QLX31" s="28"/>
      <c r="QLY31" s="28"/>
      <c r="QLZ31" s="28"/>
      <c r="QMA31" s="28"/>
      <c r="QMB31" s="28"/>
      <c r="QMC31" s="28"/>
      <c r="QMD31" s="28"/>
      <c r="QME31" s="28"/>
      <c r="QMF31" s="28"/>
      <c r="QMG31" s="28"/>
      <c r="QMH31" s="28"/>
      <c r="QMI31" s="28"/>
      <c r="QMJ31" s="28"/>
      <c r="QMK31" s="28"/>
      <c r="QML31" s="28"/>
      <c r="QMM31" s="28"/>
      <c r="QMN31" s="28"/>
      <c r="QMO31" s="28"/>
      <c r="QMP31" s="28"/>
      <c r="QMQ31" s="28"/>
      <c r="QMR31" s="28"/>
      <c r="QMS31" s="28"/>
      <c r="QMT31" s="28"/>
      <c r="QMU31" s="28"/>
      <c r="QMV31" s="28"/>
      <c r="QMW31" s="28"/>
      <c r="QMX31" s="28"/>
      <c r="QMY31" s="28"/>
      <c r="QMZ31" s="28"/>
      <c r="QNA31" s="28"/>
      <c r="QNB31" s="28"/>
      <c r="QNC31" s="28"/>
      <c r="QND31" s="28"/>
      <c r="QNE31" s="28"/>
      <c r="QNF31" s="28"/>
      <c r="QNG31" s="28"/>
      <c r="QNH31" s="28"/>
      <c r="QNI31" s="28"/>
      <c r="QNJ31" s="28"/>
      <c r="QNK31" s="28"/>
      <c r="QNL31" s="28"/>
      <c r="QNM31" s="28"/>
      <c r="QNN31" s="28"/>
      <c r="QNO31" s="28"/>
      <c r="QNP31" s="28"/>
      <c r="QNQ31" s="28"/>
      <c r="QNR31" s="28"/>
      <c r="QNS31" s="28"/>
      <c r="QNT31" s="28"/>
      <c r="QNU31" s="28"/>
      <c r="QNV31" s="28"/>
      <c r="QNW31" s="28"/>
      <c r="QNX31" s="28"/>
      <c r="QNY31" s="28"/>
      <c r="QNZ31" s="28"/>
      <c r="QOA31" s="28"/>
      <c r="QOB31" s="28"/>
      <c r="QOC31" s="28"/>
      <c r="QOD31" s="28"/>
      <c r="QOE31" s="28"/>
      <c r="QOF31" s="28"/>
      <c r="QOG31" s="28"/>
      <c r="QOH31" s="28"/>
      <c r="QOI31" s="28"/>
      <c r="QOJ31" s="28"/>
      <c r="QOK31" s="28"/>
      <c r="QOL31" s="28"/>
      <c r="QOM31" s="28"/>
      <c r="QON31" s="28"/>
      <c r="QOO31" s="28"/>
      <c r="QOP31" s="28"/>
      <c r="QOQ31" s="28"/>
      <c r="QOR31" s="28"/>
      <c r="QOS31" s="28"/>
      <c r="QOT31" s="28"/>
      <c r="QOU31" s="28"/>
      <c r="QOV31" s="28"/>
      <c r="QOW31" s="28"/>
      <c r="QOX31" s="28"/>
      <c r="QOY31" s="28"/>
      <c r="QOZ31" s="28"/>
      <c r="QPA31" s="28"/>
      <c r="QPB31" s="28"/>
      <c r="QPC31" s="28"/>
      <c r="QPD31" s="28"/>
      <c r="QPE31" s="28"/>
      <c r="QPF31" s="28"/>
      <c r="QPG31" s="28"/>
      <c r="QPH31" s="28"/>
      <c r="QPI31" s="28"/>
      <c r="QPJ31" s="28"/>
      <c r="QPK31" s="28"/>
      <c r="QPL31" s="28"/>
      <c r="QPM31" s="28"/>
      <c r="QPN31" s="28"/>
      <c r="QPO31" s="28"/>
      <c r="QPP31" s="28"/>
      <c r="QPQ31" s="28"/>
      <c r="QPR31" s="28"/>
      <c r="QPS31" s="28"/>
      <c r="QPT31" s="28"/>
      <c r="QPU31" s="28"/>
      <c r="QPV31" s="28"/>
      <c r="QPW31" s="28"/>
      <c r="QPX31" s="28"/>
      <c r="QPY31" s="28"/>
      <c r="QPZ31" s="28"/>
      <c r="QQA31" s="28"/>
      <c r="QQB31" s="28"/>
      <c r="QQC31" s="28"/>
      <c r="QQD31" s="28"/>
      <c r="QQE31" s="28"/>
      <c r="QQF31" s="28"/>
      <c r="QQG31" s="28"/>
      <c r="QQH31" s="28"/>
      <c r="QQI31" s="28"/>
      <c r="QQJ31" s="28"/>
      <c r="QQK31" s="28"/>
      <c r="QQL31" s="28"/>
      <c r="QQM31" s="28"/>
      <c r="QQN31" s="28"/>
      <c r="QQO31" s="28"/>
      <c r="QQP31" s="28"/>
      <c r="QQQ31" s="28"/>
      <c r="QQR31" s="28"/>
      <c r="QQS31" s="28"/>
      <c r="QQT31" s="28"/>
      <c r="QQU31" s="28"/>
      <c r="QQV31" s="28"/>
      <c r="QQW31" s="28"/>
      <c r="QQX31" s="28"/>
      <c r="QQY31" s="28"/>
      <c r="QQZ31" s="28"/>
      <c r="QRA31" s="28"/>
      <c r="QRB31" s="28"/>
      <c r="QRC31" s="28"/>
      <c r="QRD31" s="28"/>
      <c r="QRE31" s="28"/>
      <c r="QRF31" s="28"/>
      <c r="QRG31" s="28"/>
      <c r="QRH31" s="28"/>
      <c r="QRI31" s="28"/>
      <c r="QRJ31" s="28"/>
      <c r="QRK31" s="28"/>
      <c r="QRL31" s="28"/>
      <c r="QRM31" s="28"/>
      <c r="QRN31" s="28"/>
      <c r="QRO31" s="28"/>
      <c r="QRP31" s="28"/>
      <c r="QRQ31" s="28"/>
      <c r="QRR31" s="28"/>
      <c r="QRS31" s="28"/>
      <c r="QRT31" s="28"/>
      <c r="QRU31" s="28"/>
      <c r="QRV31" s="28"/>
      <c r="QRW31" s="28"/>
      <c r="QRX31" s="28"/>
      <c r="QRY31" s="28"/>
      <c r="QRZ31" s="28"/>
      <c r="QSA31" s="28"/>
      <c r="QSB31" s="28"/>
      <c r="QSC31" s="28"/>
      <c r="QSD31" s="28"/>
      <c r="QSE31" s="28"/>
      <c r="QSF31" s="28"/>
      <c r="QSG31" s="28"/>
      <c r="QSH31" s="28"/>
      <c r="QSI31" s="28"/>
      <c r="QSJ31" s="28"/>
      <c r="QSK31" s="28"/>
      <c r="QSL31" s="28"/>
      <c r="QSM31" s="28"/>
      <c r="QSN31" s="28"/>
      <c r="QSO31" s="28"/>
      <c r="QSP31" s="28"/>
      <c r="QSQ31" s="28"/>
      <c r="QSR31" s="28"/>
      <c r="QSS31" s="28"/>
      <c r="QST31" s="28"/>
      <c r="QSU31" s="28"/>
      <c r="QSV31" s="28"/>
      <c r="QSW31" s="28"/>
      <c r="QSX31" s="28"/>
      <c r="QSY31" s="28"/>
      <c r="QSZ31" s="28"/>
      <c r="QTA31" s="28"/>
      <c r="QTB31" s="28"/>
      <c r="QTC31" s="28"/>
      <c r="QTD31" s="28"/>
      <c r="QTE31" s="28"/>
      <c r="QTF31" s="28"/>
      <c r="QTG31" s="28"/>
      <c r="QTH31" s="28"/>
      <c r="QTI31" s="28"/>
      <c r="QTJ31" s="28"/>
      <c r="QTK31" s="28"/>
      <c r="QTL31" s="28"/>
      <c r="QTM31" s="28"/>
      <c r="QTN31" s="28"/>
      <c r="QTO31" s="28"/>
      <c r="QTP31" s="28"/>
      <c r="QTQ31" s="28"/>
      <c r="QTR31" s="28"/>
      <c r="QTS31" s="28"/>
      <c r="QTT31" s="28"/>
      <c r="QTU31" s="28"/>
      <c r="QTV31" s="28"/>
      <c r="QTW31" s="28"/>
      <c r="QTX31" s="28"/>
      <c r="QTY31" s="28"/>
      <c r="QTZ31" s="28"/>
      <c r="QUA31" s="28"/>
      <c r="QUB31" s="28"/>
      <c r="QUC31" s="28"/>
      <c r="QUD31" s="28"/>
      <c r="QUE31" s="28"/>
      <c r="QUF31" s="28"/>
      <c r="QUG31" s="28"/>
      <c r="QUH31" s="28"/>
      <c r="QUI31" s="28"/>
      <c r="QUJ31" s="28"/>
      <c r="QUK31" s="28"/>
      <c r="QUL31" s="28"/>
      <c r="QUM31" s="28"/>
      <c r="QUN31" s="28"/>
      <c r="QUO31" s="28"/>
      <c r="QUP31" s="28"/>
      <c r="QUQ31" s="28"/>
      <c r="QUR31" s="28"/>
      <c r="QUS31" s="28"/>
      <c r="QUT31" s="28"/>
      <c r="QUU31" s="28"/>
      <c r="QUV31" s="28"/>
      <c r="QUW31" s="28"/>
      <c r="QUX31" s="28"/>
      <c r="QUY31" s="28"/>
      <c r="QUZ31" s="28"/>
      <c r="QVA31" s="28"/>
      <c r="QVB31" s="28"/>
      <c r="QVC31" s="28"/>
      <c r="QVD31" s="28"/>
      <c r="QVE31" s="28"/>
      <c r="QVF31" s="28"/>
      <c r="QVG31" s="28"/>
      <c r="QVH31" s="28"/>
      <c r="QVI31" s="28"/>
      <c r="QVJ31" s="28"/>
      <c r="QVK31" s="28"/>
      <c r="QVL31" s="28"/>
      <c r="QVM31" s="28"/>
      <c r="QVN31" s="28"/>
      <c r="QVO31" s="28"/>
      <c r="QVP31" s="28"/>
      <c r="QVQ31" s="28"/>
      <c r="QVR31" s="28"/>
      <c r="QVS31" s="28"/>
      <c r="QVT31" s="28"/>
      <c r="QVU31" s="28"/>
      <c r="QVV31" s="28"/>
      <c r="QVW31" s="28"/>
      <c r="QVX31" s="28"/>
      <c r="QVY31" s="28"/>
      <c r="QVZ31" s="28"/>
      <c r="QWA31" s="28"/>
      <c r="QWB31" s="28"/>
      <c r="QWC31" s="28"/>
      <c r="QWD31" s="28"/>
      <c r="QWE31" s="28"/>
      <c r="QWF31" s="28"/>
      <c r="QWG31" s="28"/>
      <c r="QWH31" s="28"/>
      <c r="QWI31" s="28"/>
      <c r="QWJ31" s="28"/>
      <c r="QWK31" s="28"/>
      <c r="QWL31" s="28"/>
      <c r="QWM31" s="28"/>
      <c r="QWN31" s="28"/>
      <c r="QWO31" s="28"/>
      <c r="QWP31" s="28"/>
      <c r="QWQ31" s="28"/>
      <c r="QWR31" s="28"/>
      <c r="QWS31" s="28"/>
      <c r="QWT31" s="28"/>
      <c r="QWU31" s="28"/>
      <c r="QWV31" s="28"/>
      <c r="QWW31" s="28"/>
      <c r="QWX31" s="28"/>
      <c r="QWY31" s="28"/>
      <c r="QWZ31" s="28"/>
      <c r="QXA31" s="28"/>
      <c r="QXB31" s="28"/>
      <c r="QXC31" s="28"/>
      <c r="QXD31" s="28"/>
      <c r="QXE31" s="28"/>
      <c r="QXF31" s="28"/>
      <c r="QXG31" s="28"/>
      <c r="QXH31" s="28"/>
      <c r="QXI31" s="28"/>
      <c r="QXJ31" s="28"/>
      <c r="QXK31" s="28"/>
      <c r="QXL31" s="28"/>
      <c r="QXM31" s="28"/>
      <c r="QXN31" s="28"/>
      <c r="QXO31" s="28"/>
      <c r="QXP31" s="28"/>
      <c r="QXQ31" s="28"/>
      <c r="QXR31" s="28"/>
      <c r="QXS31" s="28"/>
      <c r="QXT31" s="28"/>
      <c r="QXU31" s="28"/>
      <c r="QXV31" s="28"/>
      <c r="QXW31" s="28"/>
      <c r="QXX31" s="28"/>
      <c r="QXY31" s="28"/>
      <c r="QXZ31" s="28"/>
      <c r="QYA31" s="28"/>
      <c r="QYB31" s="28"/>
      <c r="QYC31" s="28"/>
      <c r="QYD31" s="28"/>
      <c r="QYE31" s="28"/>
      <c r="QYF31" s="28"/>
      <c r="QYG31" s="28"/>
      <c r="QYH31" s="28"/>
      <c r="QYI31" s="28"/>
      <c r="QYJ31" s="28"/>
      <c r="QYK31" s="28"/>
      <c r="QYL31" s="28"/>
      <c r="QYM31" s="28"/>
      <c r="QYN31" s="28"/>
      <c r="QYO31" s="28"/>
      <c r="QYP31" s="28"/>
      <c r="QYQ31" s="28"/>
      <c r="QYR31" s="28"/>
      <c r="QYS31" s="28"/>
      <c r="QYT31" s="28"/>
      <c r="QYU31" s="28"/>
      <c r="QYV31" s="28"/>
      <c r="QYW31" s="28"/>
      <c r="QYX31" s="28"/>
      <c r="QYY31" s="28"/>
      <c r="QYZ31" s="28"/>
      <c r="QZA31" s="28"/>
      <c r="QZB31" s="28"/>
      <c r="QZC31" s="28"/>
      <c r="QZD31" s="28"/>
      <c r="QZE31" s="28"/>
      <c r="QZF31" s="28"/>
      <c r="QZG31" s="28"/>
      <c r="QZH31" s="28"/>
      <c r="QZI31" s="28"/>
      <c r="QZJ31" s="28"/>
      <c r="QZK31" s="28"/>
      <c r="QZL31" s="28"/>
      <c r="QZM31" s="28"/>
      <c r="QZN31" s="28"/>
      <c r="QZO31" s="28"/>
      <c r="QZP31" s="28"/>
      <c r="QZQ31" s="28"/>
      <c r="QZR31" s="28"/>
      <c r="QZS31" s="28"/>
      <c r="QZT31" s="28"/>
      <c r="QZU31" s="28"/>
      <c r="QZV31" s="28"/>
      <c r="QZW31" s="28"/>
      <c r="QZX31" s="28"/>
      <c r="QZY31" s="28"/>
      <c r="QZZ31" s="28"/>
      <c r="RAA31" s="28"/>
      <c r="RAB31" s="28"/>
      <c r="RAC31" s="28"/>
      <c r="RAD31" s="28"/>
      <c r="RAE31" s="28"/>
      <c r="RAF31" s="28"/>
      <c r="RAG31" s="28"/>
      <c r="RAH31" s="28"/>
      <c r="RAI31" s="28"/>
      <c r="RAJ31" s="28"/>
      <c r="RAK31" s="28"/>
      <c r="RAL31" s="28"/>
      <c r="RAM31" s="28"/>
      <c r="RAN31" s="28"/>
      <c r="RAO31" s="28"/>
      <c r="RAP31" s="28"/>
      <c r="RAQ31" s="28"/>
      <c r="RAR31" s="28"/>
      <c r="RAS31" s="28"/>
      <c r="RAT31" s="28"/>
      <c r="RAU31" s="28"/>
      <c r="RAV31" s="28"/>
      <c r="RAW31" s="28"/>
      <c r="RAX31" s="28"/>
      <c r="RAY31" s="28"/>
      <c r="RAZ31" s="28"/>
      <c r="RBA31" s="28"/>
      <c r="RBB31" s="28"/>
      <c r="RBC31" s="28"/>
      <c r="RBD31" s="28"/>
      <c r="RBE31" s="28"/>
      <c r="RBF31" s="28"/>
      <c r="RBG31" s="28"/>
      <c r="RBH31" s="28"/>
      <c r="RBI31" s="28"/>
      <c r="RBJ31" s="28"/>
      <c r="RBK31" s="28"/>
      <c r="RBL31" s="28"/>
      <c r="RBM31" s="28"/>
      <c r="RBN31" s="28"/>
      <c r="RBO31" s="28"/>
      <c r="RBP31" s="28"/>
      <c r="RBQ31" s="28"/>
      <c r="RBR31" s="28"/>
      <c r="RBS31" s="28"/>
      <c r="RBT31" s="28"/>
      <c r="RBU31" s="28"/>
      <c r="RBV31" s="28"/>
      <c r="RBW31" s="28"/>
      <c r="RBX31" s="28"/>
      <c r="RBY31" s="28"/>
      <c r="RBZ31" s="28"/>
      <c r="RCA31" s="28"/>
      <c r="RCB31" s="28"/>
      <c r="RCC31" s="28"/>
      <c r="RCD31" s="28"/>
      <c r="RCE31" s="28"/>
      <c r="RCF31" s="28"/>
      <c r="RCG31" s="28"/>
      <c r="RCH31" s="28"/>
      <c r="RCI31" s="28"/>
      <c r="RCJ31" s="28"/>
      <c r="RCK31" s="28"/>
      <c r="RCL31" s="28"/>
      <c r="RCM31" s="28"/>
      <c r="RCN31" s="28"/>
      <c r="RCO31" s="28"/>
      <c r="RCP31" s="28"/>
      <c r="RCQ31" s="28"/>
      <c r="RCR31" s="28"/>
      <c r="RCS31" s="28"/>
      <c r="RCT31" s="28"/>
      <c r="RCU31" s="28"/>
      <c r="RCV31" s="28"/>
      <c r="RCW31" s="28"/>
      <c r="RCX31" s="28"/>
      <c r="RCY31" s="28"/>
      <c r="RCZ31" s="28"/>
      <c r="RDA31" s="28"/>
      <c r="RDB31" s="28"/>
      <c r="RDC31" s="28"/>
      <c r="RDD31" s="28"/>
      <c r="RDE31" s="28"/>
      <c r="RDF31" s="28"/>
      <c r="RDG31" s="28"/>
      <c r="RDH31" s="28"/>
      <c r="RDI31" s="28"/>
      <c r="RDJ31" s="28"/>
      <c r="RDK31" s="28"/>
      <c r="RDL31" s="28"/>
      <c r="RDM31" s="28"/>
      <c r="RDN31" s="28"/>
      <c r="RDO31" s="28"/>
      <c r="RDP31" s="28"/>
      <c r="RDQ31" s="28"/>
      <c r="RDR31" s="28"/>
      <c r="RDS31" s="28"/>
      <c r="RDT31" s="28"/>
      <c r="RDU31" s="28"/>
      <c r="RDV31" s="28"/>
      <c r="RDW31" s="28"/>
      <c r="RDX31" s="28"/>
      <c r="RDY31" s="28"/>
      <c r="RDZ31" s="28"/>
      <c r="REA31" s="28"/>
      <c r="REB31" s="28"/>
      <c r="REC31" s="28"/>
      <c r="RED31" s="28"/>
      <c r="REE31" s="28"/>
      <c r="REF31" s="28"/>
      <c r="REG31" s="28"/>
      <c r="REH31" s="28"/>
      <c r="REI31" s="28"/>
      <c r="REJ31" s="28"/>
      <c r="REK31" s="28"/>
      <c r="REL31" s="28"/>
      <c r="REM31" s="28"/>
      <c r="REN31" s="28"/>
      <c r="REO31" s="28"/>
      <c r="REP31" s="28"/>
      <c r="REQ31" s="28"/>
      <c r="RER31" s="28"/>
      <c r="RES31" s="28"/>
      <c r="RET31" s="28"/>
      <c r="REU31" s="28"/>
      <c r="REV31" s="28"/>
      <c r="REW31" s="28"/>
      <c r="REX31" s="28"/>
      <c r="REY31" s="28"/>
      <c r="REZ31" s="28"/>
      <c r="RFA31" s="28"/>
      <c r="RFB31" s="28"/>
      <c r="RFC31" s="28"/>
      <c r="RFD31" s="28"/>
      <c r="RFE31" s="28"/>
      <c r="RFF31" s="28"/>
      <c r="RFG31" s="28"/>
      <c r="RFH31" s="28"/>
      <c r="RFI31" s="28"/>
      <c r="RFJ31" s="28"/>
      <c r="RFK31" s="28"/>
      <c r="RFL31" s="28"/>
      <c r="RFM31" s="28"/>
      <c r="RFN31" s="28"/>
      <c r="RFO31" s="28"/>
      <c r="RFP31" s="28"/>
      <c r="RFQ31" s="28"/>
      <c r="RFR31" s="28"/>
      <c r="RFS31" s="28"/>
      <c r="RFT31" s="28"/>
      <c r="RFU31" s="28"/>
      <c r="RFV31" s="28"/>
      <c r="RFW31" s="28"/>
      <c r="RFX31" s="28"/>
      <c r="RFY31" s="28"/>
      <c r="RFZ31" s="28"/>
      <c r="RGA31" s="28"/>
      <c r="RGB31" s="28"/>
      <c r="RGC31" s="28"/>
      <c r="RGD31" s="28"/>
      <c r="RGE31" s="28"/>
      <c r="RGF31" s="28"/>
      <c r="RGG31" s="28"/>
      <c r="RGH31" s="28"/>
      <c r="RGI31" s="28"/>
      <c r="RGJ31" s="28"/>
      <c r="RGK31" s="28"/>
      <c r="RGL31" s="28"/>
      <c r="RGM31" s="28"/>
      <c r="RGN31" s="28"/>
      <c r="RGO31" s="28"/>
      <c r="RGP31" s="28"/>
      <c r="RGQ31" s="28"/>
      <c r="RGR31" s="28"/>
      <c r="RGS31" s="28"/>
      <c r="RGT31" s="28"/>
      <c r="RGU31" s="28"/>
      <c r="RGV31" s="28"/>
      <c r="RGW31" s="28"/>
      <c r="RGX31" s="28"/>
      <c r="RGY31" s="28"/>
      <c r="RGZ31" s="28"/>
      <c r="RHA31" s="28"/>
      <c r="RHB31" s="28"/>
      <c r="RHC31" s="28"/>
      <c r="RHD31" s="28"/>
      <c r="RHE31" s="28"/>
      <c r="RHF31" s="28"/>
      <c r="RHG31" s="28"/>
      <c r="RHH31" s="28"/>
      <c r="RHI31" s="28"/>
      <c r="RHJ31" s="28"/>
      <c r="RHK31" s="28"/>
      <c r="RHL31" s="28"/>
      <c r="RHM31" s="28"/>
      <c r="RHN31" s="28"/>
      <c r="RHO31" s="28"/>
      <c r="RHP31" s="28"/>
      <c r="RHQ31" s="28"/>
      <c r="RHR31" s="28"/>
      <c r="RHS31" s="28"/>
      <c r="RHT31" s="28"/>
      <c r="RHU31" s="28"/>
      <c r="RHV31" s="28"/>
      <c r="RHW31" s="28"/>
      <c r="RHX31" s="28"/>
      <c r="RHY31" s="28"/>
      <c r="RHZ31" s="28"/>
      <c r="RIA31" s="28"/>
      <c r="RIB31" s="28"/>
      <c r="RIC31" s="28"/>
      <c r="RID31" s="28"/>
      <c r="RIE31" s="28"/>
      <c r="RIF31" s="28"/>
      <c r="RIG31" s="28"/>
      <c r="RIH31" s="28"/>
      <c r="RII31" s="28"/>
      <c r="RIJ31" s="28"/>
      <c r="RIK31" s="28"/>
      <c r="RIL31" s="28"/>
      <c r="RIM31" s="28"/>
      <c r="RIN31" s="28"/>
      <c r="RIO31" s="28"/>
      <c r="RIP31" s="28"/>
      <c r="RIQ31" s="28"/>
      <c r="RIR31" s="28"/>
      <c r="RIS31" s="28"/>
      <c r="RIT31" s="28"/>
      <c r="RIU31" s="28"/>
      <c r="RIV31" s="28"/>
      <c r="RIW31" s="28"/>
      <c r="RIX31" s="28"/>
      <c r="RIY31" s="28"/>
      <c r="RIZ31" s="28"/>
      <c r="RJA31" s="28"/>
      <c r="RJB31" s="28"/>
      <c r="RJC31" s="28"/>
      <c r="RJD31" s="28"/>
      <c r="RJE31" s="28"/>
      <c r="RJF31" s="28"/>
      <c r="RJG31" s="28"/>
      <c r="RJH31" s="28"/>
      <c r="RJI31" s="28"/>
      <c r="RJJ31" s="28"/>
      <c r="RJK31" s="28"/>
      <c r="RJL31" s="28"/>
      <c r="RJM31" s="28"/>
      <c r="RJN31" s="28"/>
      <c r="RJO31" s="28"/>
      <c r="RJP31" s="28"/>
      <c r="RJQ31" s="28"/>
      <c r="RJR31" s="28"/>
      <c r="RJS31" s="28"/>
      <c r="RJT31" s="28"/>
      <c r="RJU31" s="28"/>
      <c r="RJV31" s="28"/>
      <c r="RJW31" s="28"/>
      <c r="RJX31" s="28"/>
      <c r="RJY31" s="28"/>
      <c r="RJZ31" s="28"/>
      <c r="RKA31" s="28"/>
      <c r="RKB31" s="28"/>
      <c r="RKC31" s="28"/>
      <c r="RKD31" s="28"/>
      <c r="RKE31" s="28"/>
      <c r="RKF31" s="28"/>
      <c r="RKG31" s="28"/>
      <c r="RKH31" s="28"/>
      <c r="RKI31" s="28"/>
      <c r="RKJ31" s="28"/>
      <c r="RKK31" s="28"/>
      <c r="RKL31" s="28"/>
      <c r="RKM31" s="28"/>
      <c r="RKN31" s="28"/>
      <c r="RKO31" s="28"/>
      <c r="RKP31" s="28"/>
      <c r="RKQ31" s="28"/>
      <c r="RKR31" s="28"/>
      <c r="RKS31" s="28"/>
      <c r="RKT31" s="28"/>
      <c r="RKU31" s="28"/>
      <c r="RKV31" s="28"/>
      <c r="RKW31" s="28"/>
      <c r="RKX31" s="28"/>
      <c r="RKY31" s="28"/>
      <c r="RKZ31" s="28"/>
      <c r="RLA31" s="28"/>
      <c r="RLB31" s="28"/>
      <c r="RLC31" s="28"/>
      <c r="RLD31" s="28"/>
      <c r="RLE31" s="28"/>
      <c r="RLF31" s="28"/>
      <c r="RLG31" s="28"/>
      <c r="RLH31" s="28"/>
      <c r="RLI31" s="28"/>
      <c r="RLJ31" s="28"/>
      <c r="RLK31" s="28"/>
      <c r="RLL31" s="28"/>
      <c r="RLM31" s="28"/>
      <c r="RLN31" s="28"/>
      <c r="RLO31" s="28"/>
      <c r="RLP31" s="28"/>
      <c r="RLQ31" s="28"/>
      <c r="RLR31" s="28"/>
      <c r="RLS31" s="28"/>
      <c r="RLT31" s="28"/>
      <c r="RLU31" s="28"/>
      <c r="RLV31" s="28"/>
      <c r="RLW31" s="28"/>
      <c r="RLX31" s="28"/>
      <c r="RLY31" s="28"/>
      <c r="RLZ31" s="28"/>
      <c r="RMA31" s="28"/>
      <c r="RMB31" s="28"/>
      <c r="RMC31" s="28"/>
      <c r="RMD31" s="28"/>
      <c r="RME31" s="28"/>
      <c r="RMF31" s="28"/>
      <c r="RMG31" s="28"/>
      <c r="RMH31" s="28"/>
      <c r="RMI31" s="28"/>
      <c r="RMJ31" s="28"/>
      <c r="RMK31" s="28"/>
      <c r="RML31" s="28"/>
      <c r="RMM31" s="28"/>
      <c r="RMN31" s="28"/>
      <c r="RMO31" s="28"/>
      <c r="RMP31" s="28"/>
      <c r="RMQ31" s="28"/>
      <c r="RMR31" s="28"/>
      <c r="RMS31" s="28"/>
      <c r="RMT31" s="28"/>
      <c r="RMU31" s="28"/>
      <c r="RMV31" s="28"/>
      <c r="RMW31" s="28"/>
      <c r="RMX31" s="28"/>
      <c r="RMY31" s="28"/>
      <c r="RMZ31" s="28"/>
      <c r="RNA31" s="28"/>
      <c r="RNB31" s="28"/>
      <c r="RNC31" s="28"/>
      <c r="RND31" s="28"/>
      <c r="RNE31" s="28"/>
      <c r="RNF31" s="28"/>
      <c r="RNG31" s="28"/>
      <c r="RNH31" s="28"/>
      <c r="RNI31" s="28"/>
      <c r="RNJ31" s="28"/>
      <c r="RNK31" s="28"/>
      <c r="RNL31" s="28"/>
      <c r="RNM31" s="28"/>
      <c r="RNN31" s="28"/>
      <c r="RNO31" s="28"/>
      <c r="RNP31" s="28"/>
      <c r="RNQ31" s="28"/>
      <c r="RNR31" s="28"/>
      <c r="RNS31" s="28"/>
      <c r="RNT31" s="28"/>
      <c r="RNU31" s="28"/>
      <c r="RNV31" s="28"/>
      <c r="RNW31" s="28"/>
      <c r="RNX31" s="28"/>
      <c r="RNY31" s="28"/>
      <c r="RNZ31" s="28"/>
      <c r="ROA31" s="28"/>
      <c r="ROB31" s="28"/>
      <c r="ROC31" s="28"/>
      <c r="ROD31" s="28"/>
      <c r="ROE31" s="28"/>
      <c r="ROF31" s="28"/>
      <c r="ROG31" s="28"/>
      <c r="ROH31" s="28"/>
      <c r="ROI31" s="28"/>
      <c r="ROJ31" s="28"/>
      <c r="ROK31" s="28"/>
      <c r="ROL31" s="28"/>
      <c r="ROM31" s="28"/>
      <c r="RON31" s="28"/>
      <c r="ROO31" s="28"/>
      <c r="ROP31" s="28"/>
      <c r="ROQ31" s="28"/>
      <c r="ROR31" s="28"/>
      <c r="ROS31" s="28"/>
      <c r="ROT31" s="28"/>
      <c r="ROU31" s="28"/>
      <c r="ROV31" s="28"/>
      <c r="ROW31" s="28"/>
      <c r="ROX31" s="28"/>
      <c r="ROY31" s="28"/>
      <c r="ROZ31" s="28"/>
      <c r="RPA31" s="28"/>
      <c r="RPB31" s="28"/>
      <c r="RPC31" s="28"/>
      <c r="RPD31" s="28"/>
      <c r="RPE31" s="28"/>
      <c r="RPF31" s="28"/>
      <c r="RPG31" s="28"/>
      <c r="RPH31" s="28"/>
      <c r="RPI31" s="28"/>
      <c r="RPJ31" s="28"/>
      <c r="RPK31" s="28"/>
      <c r="RPL31" s="28"/>
      <c r="RPM31" s="28"/>
      <c r="RPN31" s="28"/>
      <c r="RPO31" s="28"/>
      <c r="RPP31" s="28"/>
      <c r="RPQ31" s="28"/>
      <c r="RPR31" s="28"/>
      <c r="RPS31" s="28"/>
      <c r="RPT31" s="28"/>
      <c r="RPU31" s="28"/>
      <c r="RPV31" s="28"/>
      <c r="RPW31" s="28"/>
      <c r="RPX31" s="28"/>
      <c r="RPY31" s="28"/>
      <c r="RPZ31" s="28"/>
      <c r="RQA31" s="28"/>
      <c r="RQB31" s="28"/>
      <c r="RQC31" s="28"/>
      <c r="RQD31" s="28"/>
      <c r="RQE31" s="28"/>
      <c r="RQF31" s="28"/>
      <c r="RQG31" s="28"/>
      <c r="RQH31" s="28"/>
      <c r="RQI31" s="28"/>
      <c r="RQJ31" s="28"/>
      <c r="RQK31" s="28"/>
      <c r="RQL31" s="28"/>
      <c r="RQM31" s="28"/>
      <c r="RQN31" s="28"/>
      <c r="RQO31" s="28"/>
      <c r="RQP31" s="28"/>
      <c r="RQQ31" s="28"/>
      <c r="RQR31" s="28"/>
      <c r="RQS31" s="28"/>
      <c r="RQT31" s="28"/>
      <c r="RQU31" s="28"/>
      <c r="RQV31" s="28"/>
      <c r="RQW31" s="28"/>
      <c r="RQX31" s="28"/>
      <c r="RQY31" s="28"/>
      <c r="RQZ31" s="28"/>
      <c r="RRA31" s="28"/>
      <c r="RRB31" s="28"/>
      <c r="RRC31" s="28"/>
      <c r="RRD31" s="28"/>
      <c r="RRE31" s="28"/>
      <c r="RRF31" s="28"/>
      <c r="RRG31" s="28"/>
      <c r="RRH31" s="28"/>
      <c r="RRI31" s="28"/>
      <c r="RRJ31" s="28"/>
      <c r="RRK31" s="28"/>
      <c r="RRL31" s="28"/>
      <c r="RRM31" s="28"/>
      <c r="RRN31" s="28"/>
      <c r="RRO31" s="28"/>
      <c r="RRP31" s="28"/>
      <c r="RRQ31" s="28"/>
      <c r="RRR31" s="28"/>
      <c r="RRS31" s="28"/>
      <c r="RRT31" s="28"/>
      <c r="RRU31" s="28"/>
      <c r="RRV31" s="28"/>
      <c r="RRW31" s="28"/>
      <c r="RRX31" s="28"/>
      <c r="RRY31" s="28"/>
      <c r="RRZ31" s="28"/>
      <c r="RSA31" s="28"/>
      <c r="RSB31" s="28"/>
      <c r="RSC31" s="28"/>
      <c r="RSD31" s="28"/>
      <c r="RSE31" s="28"/>
      <c r="RSF31" s="28"/>
      <c r="RSG31" s="28"/>
      <c r="RSH31" s="28"/>
      <c r="RSI31" s="28"/>
      <c r="RSJ31" s="28"/>
      <c r="RSK31" s="28"/>
      <c r="RSL31" s="28"/>
      <c r="RSM31" s="28"/>
      <c r="RSN31" s="28"/>
      <c r="RSO31" s="28"/>
      <c r="RSP31" s="28"/>
      <c r="RSQ31" s="28"/>
      <c r="RSR31" s="28"/>
      <c r="RSS31" s="28"/>
      <c r="RST31" s="28"/>
      <c r="RSU31" s="28"/>
      <c r="RSV31" s="28"/>
      <c r="RSW31" s="28"/>
      <c r="RSX31" s="28"/>
      <c r="RSY31" s="28"/>
      <c r="RSZ31" s="28"/>
      <c r="RTA31" s="28"/>
      <c r="RTB31" s="28"/>
      <c r="RTC31" s="28"/>
      <c r="RTD31" s="28"/>
      <c r="RTE31" s="28"/>
      <c r="RTF31" s="28"/>
      <c r="RTG31" s="28"/>
      <c r="RTH31" s="28"/>
      <c r="RTI31" s="28"/>
      <c r="RTJ31" s="28"/>
      <c r="RTK31" s="28"/>
      <c r="RTL31" s="28"/>
      <c r="RTM31" s="28"/>
      <c r="RTN31" s="28"/>
      <c r="RTO31" s="28"/>
      <c r="RTP31" s="28"/>
      <c r="RTQ31" s="28"/>
      <c r="RTR31" s="28"/>
      <c r="RTS31" s="28"/>
      <c r="RTT31" s="28"/>
      <c r="RTU31" s="28"/>
      <c r="RTV31" s="28"/>
      <c r="RTW31" s="28"/>
      <c r="RTX31" s="28"/>
      <c r="RTY31" s="28"/>
      <c r="RTZ31" s="28"/>
      <c r="RUA31" s="28"/>
      <c r="RUB31" s="28"/>
      <c r="RUC31" s="28"/>
      <c r="RUD31" s="28"/>
      <c r="RUE31" s="28"/>
      <c r="RUF31" s="28"/>
      <c r="RUG31" s="28"/>
      <c r="RUH31" s="28"/>
      <c r="RUI31" s="28"/>
      <c r="RUJ31" s="28"/>
      <c r="RUK31" s="28"/>
      <c r="RUL31" s="28"/>
      <c r="RUM31" s="28"/>
      <c r="RUN31" s="28"/>
      <c r="RUO31" s="28"/>
      <c r="RUP31" s="28"/>
      <c r="RUQ31" s="28"/>
      <c r="RUR31" s="28"/>
      <c r="RUS31" s="28"/>
      <c r="RUT31" s="28"/>
      <c r="RUU31" s="28"/>
      <c r="RUV31" s="28"/>
      <c r="RUW31" s="28"/>
      <c r="RUX31" s="28"/>
      <c r="RUY31" s="28"/>
      <c r="RUZ31" s="28"/>
      <c r="RVA31" s="28"/>
      <c r="RVB31" s="28"/>
      <c r="RVC31" s="28"/>
      <c r="RVD31" s="28"/>
      <c r="RVE31" s="28"/>
      <c r="RVF31" s="28"/>
      <c r="RVG31" s="28"/>
      <c r="RVH31" s="28"/>
      <c r="RVI31" s="28"/>
      <c r="RVJ31" s="28"/>
      <c r="RVK31" s="28"/>
      <c r="RVL31" s="28"/>
      <c r="RVM31" s="28"/>
      <c r="RVN31" s="28"/>
      <c r="RVO31" s="28"/>
      <c r="RVP31" s="28"/>
      <c r="RVQ31" s="28"/>
      <c r="RVR31" s="28"/>
      <c r="RVS31" s="28"/>
      <c r="RVT31" s="28"/>
      <c r="RVU31" s="28"/>
      <c r="RVV31" s="28"/>
      <c r="RVW31" s="28"/>
      <c r="RVX31" s="28"/>
      <c r="RVY31" s="28"/>
      <c r="RVZ31" s="28"/>
      <c r="RWA31" s="28"/>
      <c r="RWB31" s="28"/>
      <c r="RWC31" s="28"/>
      <c r="RWD31" s="28"/>
      <c r="RWE31" s="28"/>
      <c r="RWF31" s="28"/>
      <c r="RWG31" s="28"/>
      <c r="RWH31" s="28"/>
      <c r="RWI31" s="28"/>
      <c r="RWJ31" s="28"/>
      <c r="RWK31" s="28"/>
      <c r="RWL31" s="28"/>
      <c r="RWM31" s="28"/>
      <c r="RWN31" s="28"/>
      <c r="RWO31" s="28"/>
      <c r="RWP31" s="28"/>
      <c r="RWQ31" s="28"/>
      <c r="RWR31" s="28"/>
      <c r="RWS31" s="28"/>
      <c r="RWT31" s="28"/>
      <c r="RWU31" s="28"/>
      <c r="RWV31" s="28"/>
      <c r="RWW31" s="28"/>
      <c r="RWX31" s="28"/>
      <c r="RWY31" s="28"/>
      <c r="RWZ31" s="28"/>
      <c r="RXA31" s="28"/>
      <c r="RXB31" s="28"/>
      <c r="RXC31" s="28"/>
      <c r="RXD31" s="28"/>
      <c r="RXE31" s="28"/>
      <c r="RXF31" s="28"/>
      <c r="RXG31" s="28"/>
      <c r="RXH31" s="28"/>
      <c r="RXI31" s="28"/>
      <c r="RXJ31" s="28"/>
      <c r="RXK31" s="28"/>
      <c r="RXL31" s="28"/>
      <c r="RXM31" s="28"/>
      <c r="RXN31" s="28"/>
      <c r="RXO31" s="28"/>
      <c r="RXP31" s="28"/>
      <c r="RXQ31" s="28"/>
      <c r="RXR31" s="28"/>
      <c r="RXS31" s="28"/>
      <c r="RXT31" s="28"/>
      <c r="RXU31" s="28"/>
      <c r="RXV31" s="28"/>
      <c r="RXW31" s="28"/>
      <c r="RXX31" s="28"/>
      <c r="RXY31" s="28"/>
      <c r="RXZ31" s="28"/>
      <c r="RYA31" s="28"/>
      <c r="RYB31" s="28"/>
      <c r="RYC31" s="28"/>
      <c r="RYD31" s="28"/>
      <c r="RYE31" s="28"/>
      <c r="RYF31" s="28"/>
      <c r="RYG31" s="28"/>
      <c r="RYH31" s="28"/>
      <c r="RYI31" s="28"/>
      <c r="RYJ31" s="28"/>
      <c r="RYK31" s="28"/>
      <c r="RYL31" s="28"/>
      <c r="RYM31" s="28"/>
      <c r="RYN31" s="28"/>
      <c r="RYO31" s="28"/>
      <c r="RYP31" s="28"/>
      <c r="RYQ31" s="28"/>
      <c r="RYR31" s="28"/>
      <c r="RYS31" s="28"/>
      <c r="RYT31" s="28"/>
      <c r="RYU31" s="28"/>
      <c r="RYV31" s="28"/>
      <c r="RYW31" s="28"/>
      <c r="RYX31" s="28"/>
      <c r="RYY31" s="28"/>
      <c r="RYZ31" s="28"/>
      <c r="RZA31" s="28"/>
      <c r="RZB31" s="28"/>
      <c r="RZC31" s="28"/>
      <c r="RZD31" s="28"/>
      <c r="RZE31" s="28"/>
      <c r="RZF31" s="28"/>
      <c r="RZG31" s="28"/>
      <c r="RZH31" s="28"/>
      <c r="RZI31" s="28"/>
      <c r="RZJ31" s="28"/>
      <c r="RZK31" s="28"/>
      <c r="RZL31" s="28"/>
      <c r="RZM31" s="28"/>
      <c r="RZN31" s="28"/>
      <c r="RZO31" s="28"/>
      <c r="RZP31" s="28"/>
      <c r="RZQ31" s="28"/>
      <c r="RZR31" s="28"/>
      <c r="RZS31" s="28"/>
      <c r="RZT31" s="28"/>
      <c r="RZU31" s="28"/>
      <c r="RZV31" s="28"/>
      <c r="RZW31" s="28"/>
      <c r="RZX31" s="28"/>
      <c r="RZY31" s="28"/>
      <c r="RZZ31" s="28"/>
      <c r="SAA31" s="28"/>
      <c r="SAB31" s="28"/>
      <c r="SAC31" s="28"/>
      <c r="SAD31" s="28"/>
      <c r="SAE31" s="28"/>
      <c r="SAF31" s="28"/>
      <c r="SAG31" s="28"/>
      <c r="SAH31" s="28"/>
      <c r="SAI31" s="28"/>
      <c r="SAJ31" s="28"/>
      <c r="SAK31" s="28"/>
      <c r="SAL31" s="28"/>
      <c r="SAM31" s="28"/>
      <c r="SAN31" s="28"/>
      <c r="SAO31" s="28"/>
      <c r="SAP31" s="28"/>
      <c r="SAQ31" s="28"/>
      <c r="SAR31" s="28"/>
      <c r="SAS31" s="28"/>
      <c r="SAT31" s="28"/>
      <c r="SAU31" s="28"/>
      <c r="SAV31" s="28"/>
      <c r="SAW31" s="28"/>
      <c r="SAX31" s="28"/>
      <c r="SAY31" s="28"/>
      <c r="SAZ31" s="28"/>
      <c r="SBA31" s="28"/>
      <c r="SBB31" s="28"/>
      <c r="SBC31" s="28"/>
      <c r="SBD31" s="28"/>
      <c r="SBE31" s="28"/>
      <c r="SBF31" s="28"/>
      <c r="SBG31" s="28"/>
      <c r="SBH31" s="28"/>
      <c r="SBI31" s="28"/>
      <c r="SBJ31" s="28"/>
      <c r="SBK31" s="28"/>
      <c r="SBL31" s="28"/>
      <c r="SBM31" s="28"/>
      <c r="SBN31" s="28"/>
      <c r="SBO31" s="28"/>
      <c r="SBP31" s="28"/>
      <c r="SBQ31" s="28"/>
      <c r="SBR31" s="28"/>
      <c r="SBS31" s="28"/>
      <c r="SBT31" s="28"/>
      <c r="SBU31" s="28"/>
      <c r="SBV31" s="28"/>
      <c r="SBW31" s="28"/>
      <c r="SBX31" s="28"/>
      <c r="SBY31" s="28"/>
      <c r="SBZ31" s="28"/>
      <c r="SCA31" s="28"/>
      <c r="SCB31" s="28"/>
      <c r="SCC31" s="28"/>
      <c r="SCD31" s="28"/>
      <c r="SCE31" s="28"/>
      <c r="SCF31" s="28"/>
      <c r="SCG31" s="28"/>
      <c r="SCH31" s="28"/>
      <c r="SCI31" s="28"/>
      <c r="SCJ31" s="28"/>
      <c r="SCK31" s="28"/>
      <c r="SCL31" s="28"/>
      <c r="SCM31" s="28"/>
      <c r="SCN31" s="28"/>
      <c r="SCO31" s="28"/>
      <c r="SCP31" s="28"/>
      <c r="SCQ31" s="28"/>
      <c r="SCR31" s="28"/>
      <c r="SCS31" s="28"/>
      <c r="SCT31" s="28"/>
      <c r="SCU31" s="28"/>
      <c r="SCV31" s="28"/>
      <c r="SCW31" s="28"/>
      <c r="SCX31" s="28"/>
      <c r="SCY31" s="28"/>
      <c r="SCZ31" s="28"/>
      <c r="SDA31" s="28"/>
      <c r="SDB31" s="28"/>
      <c r="SDC31" s="28"/>
      <c r="SDD31" s="28"/>
      <c r="SDE31" s="28"/>
      <c r="SDF31" s="28"/>
      <c r="SDG31" s="28"/>
      <c r="SDH31" s="28"/>
      <c r="SDI31" s="28"/>
      <c r="SDJ31" s="28"/>
      <c r="SDK31" s="28"/>
      <c r="SDL31" s="28"/>
      <c r="SDM31" s="28"/>
      <c r="SDN31" s="28"/>
      <c r="SDO31" s="28"/>
      <c r="SDP31" s="28"/>
      <c r="SDQ31" s="28"/>
      <c r="SDR31" s="28"/>
      <c r="SDS31" s="28"/>
      <c r="SDT31" s="28"/>
      <c r="SDU31" s="28"/>
      <c r="SDV31" s="28"/>
      <c r="SDW31" s="28"/>
      <c r="SDX31" s="28"/>
      <c r="SDY31" s="28"/>
      <c r="SDZ31" s="28"/>
      <c r="SEA31" s="28"/>
      <c r="SEB31" s="28"/>
      <c r="SEC31" s="28"/>
      <c r="SED31" s="28"/>
      <c r="SEE31" s="28"/>
      <c r="SEF31" s="28"/>
      <c r="SEG31" s="28"/>
      <c r="SEH31" s="28"/>
      <c r="SEI31" s="28"/>
      <c r="SEJ31" s="28"/>
      <c r="SEK31" s="28"/>
      <c r="SEL31" s="28"/>
      <c r="SEM31" s="28"/>
      <c r="SEN31" s="28"/>
      <c r="SEO31" s="28"/>
      <c r="SEP31" s="28"/>
      <c r="SEQ31" s="28"/>
      <c r="SER31" s="28"/>
      <c r="SES31" s="28"/>
      <c r="SET31" s="28"/>
      <c r="SEU31" s="28"/>
      <c r="SEV31" s="28"/>
      <c r="SEW31" s="28"/>
      <c r="SEX31" s="28"/>
      <c r="SEY31" s="28"/>
      <c r="SEZ31" s="28"/>
      <c r="SFA31" s="28"/>
      <c r="SFB31" s="28"/>
      <c r="SFC31" s="28"/>
      <c r="SFD31" s="28"/>
      <c r="SFE31" s="28"/>
      <c r="SFF31" s="28"/>
      <c r="SFG31" s="28"/>
      <c r="SFH31" s="28"/>
      <c r="SFI31" s="28"/>
      <c r="SFJ31" s="28"/>
      <c r="SFK31" s="28"/>
      <c r="SFL31" s="28"/>
      <c r="SFM31" s="28"/>
      <c r="SFN31" s="28"/>
      <c r="SFO31" s="28"/>
      <c r="SFP31" s="28"/>
      <c r="SFQ31" s="28"/>
      <c r="SFR31" s="28"/>
      <c r="SFS31" s="28"/>
      <c r="SFT31" s="28"/>
      <c r="SFU31" s="28"/>
      <c r="SFV31" s="28"/>
      <c r="SFW31" s="28"/>
      <c r="SFX31" s="28"/>
      <c r="SFY31" s="28"/>
      <c r="SFZ31" s="28"/>
      <c r="SGA31" s="28"/>
      <c r="SGB31" s="28"/>
      <c r="SGC31" s="28"/>
      <c r="SGD31" s="28"/>
      <c r="SGE31" s="28"/>
      <c r="SGF31" s="28"/>
      <c r="SGG31" s="28"/>
      <c r="SGH31" s="28"/>
      <c r="SGI31" s="28"/>
      <c r="SGJ31" s="28"/>
      <c r="SGK31" s="28"/>
      <c r="SGL31" s="28"/>
      <c r="SGM31" s="28"/>
      <c r="SGN31" s="28"/>
      <c r="SGO31" s="28"/>
      <c r="SGP31" s="28"/>
      <c r="SGQ31" s="28"/>
      <c r="SGR31" s="28"/>
      <c r="SGS31" s="28"/>
      <c r="SGT31" s="28"/>
      <c r="SGU31" s="28"/>
      <c r="SGV31" s="28"/>
      <c r="SGW31" s="28"/>
      <c r="SGX31" s="28"/>
      <c r="SGY31" s="28"/>
      <c r="SGZ31" s="28"/>
      <c r="SHA31" s="28"/>
      <c r="SHB31" s="28"/>
      <c r="SHC31" s="28"/>
      <c r="SHD31" s="28"/>
      <c r="SHE31" s="28"/>
      <c r="SHF31" s="28"/>
      <c r="SHG31" s="28"/>
      <c r="SHH31" s="28"/>
      <c r="SHI31" s="28"/>
      <c r="SHJ31" s="28"/>
      <c r="SHK31" s="28"/>
      <c r="SHL31" s="28"/>
      <c r="SHM31" s="28"/>
      <c r="SHN31" s="28"/>
      <c r="SHO31" s="28"/>
      <c r="SHP31" s="28"/>
      <c r="SHQ31" s="28"/>
      <c r="SHR31" s="28"/>
      <c r="SHS31" s="28"/>
      <c r="SHT31" s="28"/>
      <c r="SHU31" s="28"/>
      <c r="SHV31" s="28"/>
      <c r="SHW31" s="28"/>
      <c r="SHX31" s="28"/>
      <c r="SHY31" s="28"/>
      <c r="SHZ31" s="28"/>
      <c r="SIA31" s="28"/>
      <c r="SIB31" s="28"/>
      <c r="SIC31" s="28"/>
      <c r="SID31" s="28"/>
      <c r="SIE31" s="28"/>
      <c r="SIF31" s="28"/>
      <c r="SIG31" s="28"/>
      <c r="SIH31" s="28"/>
      <c r="SII31" s="28"/>
      <c r="SIJ31" s="28"/>
      <c r="SIK31" s="28"/>
      <c r="SIL31" s="28"/>
      <c r="SIM31" s="28"/>
      <c r="SIN31" s="28"/>
      <c r="SIO31" s="28"/>
      <c r="SIP31" s="28"/>
      <c r="SIQ31" s="28"/>
      <c r="SIR31" s="28"/>
      <c r="SIS31" s="28"/>
      <c r="SIT31" s="28"/>
      <c r="SIU31" s="28"/>
      <c r="SIV31" s="28"/>
      <c r="SIW31" s="28"/>
      <c r="SIX31" s="28"/>
      <c r="SIY31" s="28"/>
      <c r="SIZ31" s="28"/>
      <c r="SJA31" s="28"/>
      <c r="SJB31" s="28"/>
      <c r="SJC31" s="28"/>
      <c r="SJD31" s="28"/>
      <c r="SJE31" s="28"/>
      <c r="SJF31" s="28"/>
      <c r="SJG31" s="28"/>
      <c r="SJH31" s="28"/>
      <c r="SJI31" s="28"/>
      <c r="SJJ31" s="28"/>
      <c r="SJK31" s="28"/>
      <c r="SJL31" s="28"/>
      <c r="SJM31" s="28"/>
      <c r="SJN31" s="28"/>
      <c r="SJO31" s="28"/>
      <c r="SJP31" s="28"/>
      <c r="SJQ31" s="28"/>
      <c r="SJR31" s="28"/>
      <c r="SJS31" s="28"/>
      <c r="SJT31" s="28"/>
      <c r="SJU31" s="28"/>
      <c r="SJV31" s="28"/>
      <c r="SJW31" s="28"/>
      <c r="SJX31" s="28"/>
      <c r="SJY31" s="28"/>
      <c r="SJZ31" s="28"/>
      <c r="SKA31" s="28"/>
      <c r="SKB31" s="28"/>
      <c r="SKC31" s="28"/>
      <c r="SKD31" s="28"/>
      <c r="SKE31" s="28"/>
      <c r="SKF31" s="28"/>
      <c r="SKG31" s="28"/>
      <c r="SKH31" s="28"/>
      <c r="SKI31" s="28"/>
      <c r="SKJ31" s="28"/>
      <c r="SKK31" s="28"/>
      <c r="SKL31" s="28"/>
      <c r="SKM31" s="28"/>
      <c r="SKN31" s="28"/>
      <c r="SKO31" s="28"/>
      <c r="SKP31" s="28"/>
      <c r="SKQ31" s="28"/>
      <c r="SKR31" s="28"/>
      <c r="SKS31" s="28"/>
      <c r="SKT31" s="28"/>
      <c r="SKU31" s="28"/>
      <c r="SKV31" s="28"/>
      <c r="SKW31" s="28"/>
      <c r="SKX31" s="28"/>
      <c r="SKY31" s="28"/>
      <c r="SKZ31" s="28"/>
      <c r="SLA31" s="28"/>
      <c r="SLB31" s="28"/>
      <c r="SLC31" s="28"/>
      <c r="SLD31" s="28"/>
      <c r="SLE31" s="28"/>
      <c r="SLF31" s="28"/>
      <c r="SLG31" s="28"/>
      <c r="SLH31" s="28"/>
      <c r="SLI31" s="28"/>
      <c r="SLJ31" s="28"/>
      <c r="SLK31" s="28"/>
      <c r="SLL31" s="28"/>
      <c r="SLM31" s="28"/>
      <c r="SLN31" s="28"/>
      <c r="SLO31" s="28"/>
      <c r="SLP31" s="28"/>
      <c r="SLQ31" s="28"/>
      <c r="SLR31" s="28"/>
      <c r="SLS31" s="28"/>
      <c r="SLT31" s="28"/>
      <c r="SLU31" s="28"/>
      <c r="SLV31" s="28"/>
      <c r="SLW31" s="28"/>
      <c r="SLX31" s="28"/>
      <c r="SLY31" s="28"/>
      <c r="SLZ31" s="28"/>
      <c r="SMA31" s="28"/>
      <c r="SMB31" s="28"/>
      <c r="SMC31" s="28"/>
      <c r="SMD31" s="28"/>
      <c r="SME31" s="28"/>
      <c r="SMF31" s="28"/>
      <c r="SMG31" s="28"/>
      <c r="SMH31" s="28"/>
      <c r="SMI31" s="28"/>
      <c r="SMJ31" s="28"/>
      <c r="SMK31" s="28"/>
      <c r="SML31" s="28"/>
      <c r="SMM31" s="28"/>
      <c r="SMN31" s="28"/>
      <c r="SMO31" s="28"/>
      <c r="SMP31" s="28"/>
      <c r="SMQ31" s="28"/>
      <c r="SMR31" s="28"/>
      <c r="SMS31" s="28"/>
      <c r="SMT31" s="28"/>
      <c r="SMU31" s="28"/>
      <c r="SMV31" s="28"/>
      <c r="SMW31" s="28"/>
      <c r="SMX31" s="28"/>
      <c r="SMY31" s="28"/>
      <c r="SMZ31" s="28"/>
      <c r="SNA31" s="28"/>
      <c r="SNB31" s="28"/>
      <c r="SNC31" s="28"/>
      <c r="SND31" s="28"/>
      <c r="SNE31" s="28"/>
      <c r="SNF31" s="28"/>
      <c r="SNG31" s="28"/>
      <c r="SNH31" s="28"/>
      <c r="SNI31" s="28"/>
      <c r="SNJ31" s="28"/>
      <c r="SNK31" s="28"/>
      <c r="SNL31" s="28"/>
      <c r="SNM31" s="28"/>
      <c r="SNN31" s="28"/>
      <c r="SNO31" s="28"/>
      <c r="SNP31" s="28"/>
      <c r="SNQ31" s="28"/>
      <c r="SNR31" s="28"/>
      <c r="SNS31" s="28"/>
      <c r="SNT31" s="28"/>
      <c r="SNU31" s="28"/>
      <c r="SNV31" s="28"/>
      <c r="SNW31" s="28"/>
      <c r="SNX31" s="28"/>
      <c r="SNY31" s="28"/>
      <c r="SNZ31" s="28"/>
      <c r="SOA31" s="28"/>
      <c r="SOB31" s="28"/>
      <c r="SOC31" s="28"/>
      <c r="SOD31" s="28"/>
      <c r="SOE31" s="28"/>
      <c r="SOF31" s="28"/>
      <c r="SOG31" s="28"/>
      <c r="SOH31" s="28"/>
      <c r="SOI31" s="28"/>
      <c r="SOJ31" s="28"/>
      <c r="SOK31" s="28"/>
      <c r="SOL31" s="28"/>
      <c r="SOM31" s="28"/>
      <c r="SON31" s="28"/>
      <c r="SOO31" s="28"/>
      <c r="SOP31" s="28"/>
      <c r="SOQ31" s="28"/>
      <c r="SOR31" s="28"/>
      <c r="SOS31" s="28"/>
      <c r="SOT31" s="28"/>
      <c r="SOU31" s="28"/>
      <c r="SOV31" s="28"/>
      <c r="SOW31" s="28"/>
      <c r="SOX31" s="28"/>
      <c r="SOY31" s="28"/>
      <c r="SOZ31" s="28"/>
      <c r="SPA31" s="28"/>
      <c r="SPB31" s="28"/>
      <c r="SPC31" s="28"/>
      <c r="SPD31" s="28"/>
      <c r="SPE31" s="28"/>
      <c r="SPF31" s="28"/>
      <c r="SPG31" s="28"/>
      <c r="SPH31" s="28"/>
      <c r="SPI31" s="28"/>
      <c r="SPJ31" s="28"/>
      <c r="SPK31" s="28"/>
      <c r="SPL31" s="28"/>
      <c r="SPM31" s="28"/>
      <c r="SPN31" s="28"/>
      <c r="SPO31" s="28"/>
      <c r="SPP31" s="28"/>
      <c r="SPQ31" s="28"/>
      <c r="SPR31" s="28"/>
      <c r="SPS31" s="28"/>
      <c r="SPT31" s="28"/>
      <c r="SPU31" s="28"/>
      <c r="SPV31" s="28"/>
      <c r="SPW31" s="28"/>
      <c r="SPX31" s="28"/>
      <c r="SPY31" s="28"/>
      <c r="SPZ31" s="28"/>
      <c r="SQA31" s="28"/>
      <c r="SQB31" s="28"/>
      <c r="SQC31" s="28"/>
      <c r="SQD31" s="28"/>
      <c r="SQE31" s="28"/>
      <c r="SQF31" s="28"/>
      <c r="SQG31" s="28"/>
      <c r="SQH31" s="28"/>
      <c r="SQI31" s="28"/>
      <c r="SQJ31" s="28"/>
      <c r="SQK31" s="28"/>
      <c r="SQL31" s="28"/>
      <c r="SQM31" s="28"/>
      <c r="SQN31" s="28"/>
      <c r="SQO31" s="28"/>
      <c r="SQP31" s="28"/>
      <c r="SQQ31" s="28"/>
      <c r="SQR31" s="28"/>
      <c r="SQS31" s="28"/>
      <c r="SQT31" s="28"/>
      <c r="SQU31" s="28"/>
      <c r="SQV31" s="28"/>
      <c r="SQW31" s="28"/>
      <c r="SQX31" s="28"/>
      <c r="SQY31" s="28"/>
      <c r="SQZ31" s="28"/>
      <c r="SRA31" s="28"/>
      <c r="SRB31" s="28"/>
      <c r="SRC31" s="28"/>
      <c r="SRD31" s="28"/>
      <c r="SRE31" s="28"/>
      <c r="SRF31" s="28"/>
      <c r="SRG31" s="28"/>
      <c r="SRH31" s="28"/>
      <c r="SRI31" s="28"/>
      <c r="SRJ31" s="28"/>
      <c r="SRK31" s="28"/>
      <c r="SRL31" s="28"/>
      <c r="SRM31" s="28"/>
      <c r="SRN31" s="28"/>
      <c r="SRO31" s="28"/>
      <c r="SRP31" s="28"/>
      <c r="SRQ31" s="28"/>
      <c r="SRR31" s="28"/>
      <c r="SRS31" s="28"/>
      <c r="SRT31" s="28"/>
      <c r="SRU31" s="28"/>
      <c r="SRV31" s="28"/>
      <c r="SRW31" s="28"/>
      <c r="SRX31" s="28"/>
      <c r="SRY31" s="28"/>
      <c r="SRZ31" s="28"/>
      <c r="SSA31" s="28"/>
      <c r="SSB31" s="28"/>
      <c r="SSC31" s="28"/>
      <c r="SSD31" s="28"/>
      <c r="SSE31" s="28"/>
      <c r="SSF31" s="28"/>
      <c r="SSG31" s="28"/>
      <c r="SSH31" s="28"/>
      <c r="SSI31" s="28"/>
      <c r="SSJ31" s="28"/>
      <c r="SSK31" s="28"/>
      <c r="SSL31" s="28"/>
      <c r="SSM31" s="28"/>
      <c r="SSN31" s="28"/>
      <c r="SSO31" s="28"/>
      <c r="SSP31" s="28"/>
      <c r="SSQ31" s="28"/>
      <c r="SSR31" s="28"/>
      <c r="SSS31" s="28"/>
      <c r="SST31" s="28"/>
      <c r="SSU31" s="28"/>
      <c r="SSV31" s="28"/>
      <c r="SSW31" s="28"/>
      <c r="SSX31" s="28"/>
      <c r="SSY31" s="28"/>
      <c r="SSZ31" s="28"/>
      <c r="STA31" s="28"/>
      <c r="STB31" s="28"/>
      <c r="STC31" s="28"/>
      <c r="STD31" s="28"/>
      <c r="STE31" s="28"/>
      <c r="STF31" s="28"/>
      <c r="STG31" s="28"/>
      <c r="STH31" s="28"/>
      <c r="STI31" s="28"/>
      <c r="STJ31" s="28"/>
      <c r="STK31" s="28"/>
      <c r="STL31" s="28"/>
      <c r="STM31" s="28"/>
      <c r="STN31" s="28"/>
      <c r="STO31" s="28"/>
      <c r="STP31" s="28"/>
      <c r="STQ31" s="28"/>
      <c r="STR31" s="28"/>
      <c r="STS31" s="28"/>
      <c r="STT31" s="28"/>
      <c r="STU31" s="28"/>
      <c r="STV31" s="28"/>
      <c r="STW31" s="28"/>
      <c r="STX31" s="28"/>
      <c r="STY31" s="28"/>
      <c r="STZ31" s="28"/>
      <c r="SUA31" s="28"/>
      <c r="SUB31" s="28"/>
      <c r="SUC31" s="28"/>
      <c r="SUD31" s="28"/>
      <c r="SUE31" s="28"/>
      <c r="SUF31" s="28"/>
      <c r="SUG31" s="28"/>
      <c r="SUH31" s="28"/>
      <c r="SUI31" s="28"/>
      <c r="SUJ31" s="28"/>
      <c r="SUK31" s="28"/>
      <c r="SUL31" s="28"/>
      <c r="SUM31" s="28"/>
      <c r="SUN31" s="28"/>
      <c r="SUO31" s="28"/>
      <c r="SUP31" s="28"/>
      <c r="SUQ31" s="28"/>
      <c r="SUR31" s="28"/>
      <c r="SUS31" s="28"/>
      <c r="SUT31" s="28"/>
      <c r="SUU31" s="28"/>
      <c r="SUV31" s="28"/>
      <c r="SUW31" s="28"/>
      <c r="SUX31" s="28"/>
      <c r="SUY31" s="28"/>
      <c r="SUZ31" s="28"/>
      <c r="SVA31" s="28"/>
      <c r="SVB31" s="28"/>
      <c r="SVC31" s="28"/>
      <c r="SVD31" s="28"/>
      <c r="SVE31" s="28"/>
      <c r="SVF31" s="28"/>
      <c r="SVG31" s="28"/>
      <c r="SVH31" s="28"/>
      <c r="SVI31" s="28"/>
      <c r="SVJ31" s="28"/>
      <c r="SVK31" s="28"/>
      <c r="SVL31" s="28"/>
      <c r="SVM31" s="28"/>
      <c r="SVN31" s="28"/>
      <c r="SVO31" s="28"/>
      <c r="SVP31" s="28"/>
      <c r="SVQ31" s="28"/>
      <c r="SVR31" s="28"/>
      <c r="SVS31" s="28"/>
      <c r="SVT31" s="28"/>
      <c r="SVU31" s="28"/>
      <c r="SVV31" s="28"/>
      <c r="SVW31" s="28"/>
      <c r="SVX31" s="28"/>
      <c r="SVY31" s="28"/>
      <c r="SVZ31" s="28"/>
      <c r="SWA31" s="28"/>
      <c r="SWB31" s="28"/>
      <c r="SWC31" s="28"/>
      <c r="SWD31" s="28"/>
      <c r="SWE31" s="28"/>
      <c r="SWF31" s="28"/>
      <c r="SWG31" s="28"/>
      <c r="SWH31" s="28"/>
      <c r="SWI31" s="28"/>
      <c r="SWJ31" s="28"/>
      <c r="SWK31" s="28"/>
      <c r="SWL31" s="28"/>
      <c r="SWM31" s="28"/>
      <c r="SWN31" s="28"/>
      <c r="SWO31" s="28"/>
      <c r="SWP31" s="28"/>
      <c r="SWQ31" s="28"/>
      <c r="SWR31" s="28"/>
      <c r="SWS31" s="28"/>
      <c r="SWT31" s="28"/>
      <c r="SWU31" s="28"/>
      <c r="SWV31" s="28"/>
      <c r="SWW31" s="28"/>
      <c r="SWX31" s="28"/>
      <c r="SWY31" s="28"/>
      <c r="SWZ31" s="28"/>
      <c r="SXA31" s="28"/>
      <c r="SXB31" s="28"/>
      <c r="SXC31" s="28"/>
      <c r="SXD31" s="28"/>
      <c r="SXE31" s="28"/>
      <c r="SXF31" s="28"/>
      <c r="SXG31" s="28"/>
      <c r="SXH31" s="28"/>
      <c r="SXI31" s="28"/>
      <c r="SXJ31" s="28"/>
      <c r="SXK31" s="28"/>
      <c r="SXL31" s="28"/>
      <c r="SXM31" s="28"/>
      <c r="SXN31" s="28"/>
      <c r="SXO31" s="28"/>
      <c r="SXP31" s="28"/>
      <c r="SXQ31" s="28"/>
      <c r="SXR31" s="28"/>
      <c r="SXS31" s="28"/>
      <c r="SXT31" s="28"/>
      <c r="SXU31" s="28"/>
      <c r="SXV31" s="28"/>
      <c r="SXW31" s="28"/>
      <c r="SXX31" s="28"/>
      <c r="SXY31" s="28"/>
      <c r="SXZ31" s="28"/>
      <c r="SYA31" s="28"/>
      <c r="SYB31" s="28"/>
      <c r="SYC31" s="28"/>
      <c r="SYD31" s="28"/>
      <c r="SYE31" s="28"/>
      <c r="SYF31" s="28"/>
      <c r="SYG31" s="28"/>
      <c r="SYH31" s="28"/>
      <c r="SYI31" s="28"/>
      <c r="SYJ31" s="28"/>
      <c r="SYK31" s="28"/>
      <c r="SYL31" s="28"/>
      <c r="SYM31" s="28"/>
      <c r="SYN31" s="28"/>
      <c r="SYO31" s="28"/>
      <c r="SYP31" s="28"/>
      <c r="SYQ31" s="28"/>
      <c r="SYR31" s="28"/>
      <c r="SYS31" s="28"/>
      <c r="SYT31" s="28"/>
      <c r="SYU31" s="28"/>
      <c r="SYV31" s="28"/>
      <c r="SYW31" s="28"/>
      <c r="SYX31" s="28"/>
      <c r="SYY31" s="28"/>
      <c r="SYZ31" s="28"/>
      <c r="SZA31" s="28"/>
      <c r="SZB31" s="28"/>
      <c r="SZC31" s="28"/>
      <c r="SZD31" s="28"/>
      <c r="SZE31" s="28"/>
      <c r="SZF31" s="28"/>
      <c r="SZG31" s="28"/>
      <c r="SZH31" s="28"/>
      <c r="SZI31" s="28"/>
      <c r="SZJ31" s="28"/>
      <c r="SZK31" s="28"/>
      <c r="SZL31" s="28"/>
      <c r="SZM31" s="28"/>
      <c r="SZN31" s="28"/>
      <c r="SZO31" s="28"/>
      <c r="SZP31" s="28"/>
      <c r="SZQ31" s="28"/>
      <c r="SZR31" s="28"/>
      <c r="SZS31" s="28"/>
      <c r="SZT31" s="28"/>
      <c r="SZU31" s="28"/>
      <c r="SZV31" s="28"/>
      <c r="SZW31" s="28"/>
      <c r="SZX31" s="28"/>
      <c r="SZY31" s="28"/>
      <c r="SZZ31" s="28"/>
      <c r="TAA31" s="28"/>
      <c r="TAB31" s="28"/>
      <c r="TAC31" s="28"/>
      <c r="TAD31" s="28"/>
      <c r="TAE31" s="28"/>
      <c r="TAF31" s="28"/>
      <c r="TAG31" s="28"/>
      <c r="TAH31" s="28"/>
      <c r="TAI31" s="28"/>
      <c r="TAJ31" s="28"/>
      <c r="TAK31" s="28"/>
      <c r="TAL31" s="28"/>
      <c r="TAM31" s="28"/>
      <c r="TAN31" s="28"/>
      <c r="TAO31" s="28"/>
      <c r="TAP31" s="28"/>
      <c r="TAQ31" s="28"/>
      <c r="TAR31" s="28"/>
      <c r="TAS31" s="28"/>
      <c r="TAT31" s="28"/>
      <c r="TAU31" s="28"/>
      <c r="TAV31" s="28"/>
      <c r="TAW31" s="28"/>
      <c r="TAX31" s="28"/>
      <c r="TAY31" s="28"/>
      <c r="TAZ31" s="28"/>
      <c r="TBA31" s="28"/>
      <c r="TBB31" s="28"/>
      <c r="TBC31" s="28"/>
      <c r="TBD31" s="28"/>
      <c r="TBE31" s="28"/>
      <c r="TBF31" s="28"/>
      <c r="TBG31" s="28"/>
      <c r="TBH31" s="28"/>
      <c r="TBI31" s="28"/>
      <c r="TBJ31" s="28"/>
      <c r="TBK31" s="28"/>
      <c r="TBL31" s="28"/>
      <c r="TBM31" s="28"/>
      <c r="TBN31" s="28"/>
      <c r="TBO31" s="28"/>
      <c r="TBP31" s="28"/>
      <c r="TBQ31" s="28"/>
      <c r="TBR31" s="28"/>
      <c r="TBS31" s="28"/>
      <c r="TBT31" s="28"/>
      <c r="TBU31" s="28"/>
      <c r="TBV31" s="28"/>
      <c r="TBW31" s="28"/>
      <c r="TBX31" s="28"/>
      <c r="TBY31" s="28"/>
      <c r="TBZ31" s="28"/>
      <c r="TCA31" s="28"/>
      <c r="TCB31" s="28"/>
      <c r="TCC31" s="28"/>
      <c r="TCD31" s="28"/>
      <c r="TCE31" s="28"/>
      <c r="TCF31" s="28"/>
      <c r="TCG31" s="28"/>
      <c r="TCH31" s="28"/>
      <c r="TCI31" s="28"/>
      <c r="TCJ31" s="28"/>
      <c r="TCK31" s="28"/>
      <c r="TCL31" s="28"/>
      <c r="TCM31" s="28"/>
      <c r="TCN31" s="28"/>
      <c r="TCO31" s="28"/>
      <c r="TCP31" s="28"/>
      <c r="TCQ31" s="28"/>
      <c r="TCR31" s="28"/>
      <c r="TCS31" s="28"/>
      <c r="TCT31" s="28"/>
      <c r="TCU31" s="28"/>
      <c r="TCV31" s="28"/>
      <c r="TCW31" s="28"/>
      <c r="TCX31" s="28"/>
      <c r="TCY31" s="28"/>
      <c r="TCZ31" s="28"/>
      <c r="TDA31" s="28"/>
      <c r="TDB31" s="28"/>
      <c r="TDC31" s="28"/>
      <c r="TDD31" s="28"/>
      <c r="TDE31" s="28"/>
      <c r="TDF31" s="28"/>
      <c r="TDG31" s="28"/>
      <c r="TDH31" s="28"/>
      <c r="TDI31" s="28"/>
      <c r="TDJ31" s="28"/>
      <c r="TDK31" s="28"/>
      <c r="TDL31" s="28"/>
      <c r="TDM31" s="28"/>
      <c r="TDN31" s="28"/>
      <c r="TDO31" s="28"/>
      <c r="TDP31" s="28"/>
      <c r="TDQ31" s="28"/>
      <c r="TDR31" s="28"/>
      <c r="TDS31" s="28"/>
      <c r="TDT31" s="28"/>
      <c r="TDU31" s="28"/>
      <c r="TDV31" s="28"/>
      <c r="TDW31" s="28"/>
      <c r="TDX31" s="28"/>
      <c r="TDY31" s="28"/>
      <c r="TDZ31" s="28"/>
      <c r="TEA31" s="28"/>
      <c r="TEB31" s="28"/>
      <c r="TEC31" s="28"/>
      <c r="TED31" s="28"/>
      <c r="TEE31" s="28"/>
      <c r="TEF31" s="28"/>
      <c r="TEG31" s="28"/>
      <c r="TEH31" s="28"/>
      <c r="TEI31" s="28"/>
      <c r="TEJ31" s="28"/>
      <c r="TEK31" s="28"/>
      <c r="TEL31" s="28"/>
      <c r="TEM31" s="28"/>
      <c r="TEN31" s="28"/>
      <c r="TEO31" s="28"/>
      <c r="TEP31" s="28"/>
      <c r="TEQ31" s="28"/>
      <c r="TER31" s="28"/>
      <c r="TES31" s="28"/>
      <c r="TET31" s="28"/>
      <c r="TEU31" s="28"/>
      <c r="TEV31" s="28"/>
      <c r="TEW31" s="28"/>
      <c r="TEX31" s="28"/>
      <c r="TEY31" s="28"/>
      <c r="TEZ31" s="28"/>
      <c r="TFA31" s="28"/>
      <c r="TFB31" s="28"/>
      <c r="TFC31" s="28"/>
      <c r="TFD31" s="28"/>
      <c r="TFE31" s="28"/>
      <c r="TFF31" s="28"/>
      <c r="TFG31" s="28"/>
      <c r="TFH31" s="28"/>
      <c r="TFI31" s="28"/>
      <c r="TFJ31" s="28"/>
      <c r="TFK31" s="28"/>
      <c r="TFL31" s="28"/>
      <c r="TFM31" s="28"/>
      <c r="TFN31" s="28"/>
      <c r="TFO31" s="28"/>
      <c r="TFP31" s="28"/>
      <c r="TFQ31" s="28"/>
      <c r="TFR31" s="28"/>
      <c r="TFS31" s="28"/>
      <c r="TFT31" s="28"/>
      <c r="TFU31" s="28"/>
      <c r="TFV31" s="28"/>
      <c r="TFW31" s="28"/>
      <c r="TFX31" s="28"/>
      <c r="TFY31" s="28"/>
      <c r="TFZ31" s="28"/>
      <c r="TGA31" s="28"/>
      <c r="TGB31" s="28"/>
      <c r="TGC31" s="28"/>
      <c r="TGD31" s="28"/>
      <c r="TGE31" s="28"/>
      <c r="TGF31" s="28"/>
      <c r="TGG31" s="28"/>
      <c r="TGH31" s="28"/>
      <c r="TGI31" s="28"/>
      <c r="TGJ31" s="28"/>
      <c r="TGK31" s="28"/>
      <c r="TGL31" s="28"/>
      <c r="TGM31" s="28"/>
      <c r="TGN31" s="28"/>
      <c r="TGO31" s="28"/>
      <c r="TGP31" s="28"/>
      <c r="TGQ31" s="28"/>
      <c r="TGR31" s="28"/>
      <c r="TGS31" s="28"/>
      <c r="TGT31" s="28"/>
      <c r="TGU31" s="28"/>
      <c r="TGV31" s="28"/>
      <c r="TGW31" s="28"/>
      <c r="TGX31" s="28"/>
      <c r="TGY31" s="28"/>
      <c r="TGZ31" s="28"/>
      <c r="THA31" s="28"/>
      <c r="THB31" s="28"/>
      <c r="THC31" s="28"/>
      <c r="THD31" s="28"/>
      <c r="THE31" s="28"/>
      <c r="THF31" s="28"/>
      <c r="THG31" s="28"/>
      <c r="THH31" s="28"/>
      <c r="THI31" s="28"/>
      <c r="THJ31" s="28"/>
      <c r="THK31" s="28"/>
      <c r="THL31" s="28"/>
      <c r="THM31" s="28"/>
      <c r="THN31" s="28"/>
      <c r="THO31" s="28"/>
      <c r="THP31" s="28"/>
      <c r="THQ31" s="28"/>
      <c r="THR31" s="28"/>
      <c r="THS31" s="28"/>
      <c r="THT31" s="28"/>
      <c r="THU31" s="28"/>
      <c r="THV31" s="28"/>
      <c r="THW31" s="28"/>
      <c r="THX31" s="28"/>
      <c r="THY31" s="28"/>
      <c r="THZ31" s="28"/>
      <c r="TIA31" s="28"/>
      <c r="TIB31" s="28"/>
      <c r="TIC31" s="28"/>
      <c r="TID31" s="28"/>
      <c r="TIE31" s="28"/>
      <c r="TIF31" s="28"/>
      <c r="TIG31" s="28"/>
      <c r="TIH31" s="28"/>
      <c r="TII31" s="28"/>
      <c r="TIJ31" s="28"/>
      <c r="TIK31" s="28"/>
      <c r="TIL31" s="28"/>
      <c r="TIM31" s="28"/>
      <c r="TIN31" s="28"/>
      <c r="TIO31" s="28"/>
      <c r="TIP31" s="28"/>
      <c r="TIQ31" s="28"/>
      <c r="TIR31" s="28"/>
      <c r="TIS31" s="28"/>
      <c r="TIT31" s="28"/>
      <c r="TIU31" s="28"/>
      <c r="TIV31" s="28"/>
      <c r="TIW31" s="28"/>
      <c r="TIX31" s="28"/>
      <c r="TIY31" s="28"/>
      <c r="TIZ31" s="28"/>
      <c r="TJA31" s="28"/>
      <c r="TJB31" s="28"/>
      <c r="TJC31" s="28"/>
      <c r="TJD31" s="28"/>
      <c r="TJE31" s="28"/>
      <c r="TJF31" s="28"/>
      <c r="TJG31" s="28"/>
      <c r="TJH31" s="28"/>
      <c r="TJI31" s="28"/>
      <c r="TJJ31" s="28"/>
      <c r="TJK31" s="28"/>
      <c r="TJL31" s="28"/>
      <c r="TJM31" s="28"/>
      <c r="TJN31" s="28"/>
      <c r="TJO31" s="28"/>
      <c r="TJP31" s="28"/>
      <c r="TJQ31" s="28"/>
      <c r="TJR31" s="28"/>
      <c r="TJS31" s="28"/>
      <c r="TJT31" s="28"/>
      <c r="TJU31" s="28"/>
      <c r="TJV31" s="28"/>
      <c r="TJW31" s="28"/>
      <c r="TJX31" s="28"/>
      <c r="TJY31" s="28"/>
      <c r="TJZ31" s="28"/>
      <c r="TKA31" s="28"/>
      <c r="TKB31" s="28"/>
      <c r="TKC31" s="28"/>
      <c r="TKD31" s="28"/>
      <c r="TKE31" s="28"/>
      <c r="TKF31" s="28"/>
      <c r="TKG31" s="28"/>
      <c r="TKH31" s="28"/>
      <c r="TKI31" s="28"/>
      <c r="TKJ31" s="28"/>
      <c r="TKK31" s="28"/>
      <c r="TKL31" s="28"/>
      <c r="TKM31" s="28"/>
      <c r="TKN31" s="28"/>
      <c r="TKO31" s="28"/>
      <c r="TKP31" s="28"/>
      <c r="TKQ31" s="28"/>
      <c r="TKR31" s="28"/>
      <c r="TKS31" s="28"/>
      <c r="TKT31" s="28"/>
      <c r="TKU31" s="28"/>
      <c r="TKV31" s="28"/>
      <c r="TKW31" s="28"/>
      <c r="TKX31" s="28"/>
      <c r="TKY31" s="28"/>
      <c r="TKZ31" s="28"/>
      <c r="TLA31" s="28"/>
      <c r="TLB31" s="28"/>
      <c r="TLC31" s="28"/>
      <c r="TLD31" s="28"/>
      <c r="TLE31" s="28"/>
      <c r="TLF31" s="28"/>
      <c r="TLG31" s="28"/>
      <c r="TLH31" s="28"/>
      <c r="TLI31" s="28"/>
      <c r="TLJ31" s="28"/>
      <c r="TLK31" s="28"/>
      <c r="TLL31" s="28"/>
      <c r="TLM31" s="28"/>
      <c r="TLN31" s="28"/>
      <c r="TLO31" s="28"/>
      <c r="TLP31" s="28"/>
      <c r="TLQ31" s="28"/>
      <c r="TLR31" s="28"/>
      <c r="TLS31" s="28"/>
      <c r="TLT31" s="28"/>
      <c r="TLU31" s="28"/>
      <c r="TLV31" s="28"/>
      <c r="TLW31" s="28"/>
      <c r="TLX31" s="28"/>
      <c r="TLY31" s="28"/>
      <c r="TLZ31" s="28"/>
      <c r="TMA31" s="28"/>
      <c r="TMB31" s="28"/>
      <c r="TMC31" s="28"/>
      <c r="TMD31" s="28"/>
      <c r="TME31" s="28"/>
      <c r="TMF31" s="28"/>
      <c r="TMG31" s="28"/>
      <c r="TMH31" s="28"/>
      <c r="TMI31" s="28"/>
      <c r="TMJ31" s="28"/>
      <c r="TMK31" s="28"/>
      <c r="TML31" s="28"/>
      <c r="TMM31" s="28"/>
      <c r="TMN31" s="28"/>
      <c r="TMO31" s="28"/>
      <c r="TMP31" s="28"/>
      <c r="TMQ31" s="28"/>
      <c r="TMR31" s="28"/>
      <c r="TMS31" s="28"/>
      <c r="TMT31" s="28"/>
      <c r="TMU31" s="28"/>
      <c r="TMV31" s="28"/>
      <c r="TMW31" s="28"/>
      <c r="TMX31" s="28"/>
      <c r="TMY31" s="28"/>
      <c r="TMZ31" s="28"/>
      <c r="TNA31" s="28"/>
      <c r="TNB31" s="28"/>
      <c r="TNC31" s="28"/>
      <c r="TND31" s="28"/>
      <c r="TNE31" s="28"/>
      <c r="TNF31" s="28"/>
      <c r="TNG31" s="28"/>
      <c r="TNH31" s="28"/>
      <c r="TNI31" s="28"/>
      <c r="TNJ31" s="28"/>
      <c r="TNK31" s="28"/>
      <c r="TNL31" s="28"/>
      <c r="TNM31" s="28"/>
      <c r="TNN31" s="28"/>
      <c r="TNO31" s="28"/>
      <c r="TNP31" s="28"/>
      <c r="TNQ31" s="28"/>
      <c r="TNR31" s="28"/>
      <c r="TNS31" s="28"/>
      <c r="TNT31" s="28"/>
      <c r="TNU31" s="28"/>
      <c r="TNV31" s="28"/>
      <c r="TNW31" s="28"/>
      <c r="TNX31" s="28"/>
      <c r="TNY31" s="28"/>
      <c r="TNZ31" s="28"/>
      <c r="TOA31" s="28"/>
      <c r="TOB31" s="28"/>
      <c r="TOC31" s="28"/>
      <c r="TOD31" s="28"/>
      <c r="TOE31" s="28"/>
      <c r="TOF31" s="28"/>
      <c r="TOG31" s="28"/>
      <c r="TOH31" s="28"/>
      <c r="TOI31" s="28"/>
      <c r="TOJ31" s="28"/>
      <c r="TOK31" s="28"/>
      <c r="TOL31" s="28"/>
      <c r="TOM31" s="28"/>
      <c r="TON31" s="28"/>
      <c r="TOO31" s="28"/>
      <c r="TOP31" s="28"/>
      <c r="TOQ31" s="28"/>
      <c r="TOR31" s="28"/>
      <c r="TOS31" s="28"/>
      <c r="TOT31" s="28"/>
      <c r="TOU31" s="28"/>
      <c r="TOV31" s="28"/>
      <c r="TOW31" s="28"/>
      <c r="TOX31" s="28"/>
      <c r="TOY31" s="28"/>
      <c r="TOZ31" s="28"/>
      <c r="TPA31" s="28"/>
      <c r="TPB31" s="28"/>
      <c r="TPC31" s="28"/>
      <c r="TPD31" s="28"/>
      <c r="TPE31" s="28"/>
      <c r="TPF31" s="28"/>
      <c r="TPG31" s="28"/>
      <c r="TPH31" s="28"/>
      <c r="TPI31" s="28"/>
      <c r="TPJ31" s="28"/>
      <c r="TPK31" s="28"/>
      <c r="TPL31" s="28"/>
      <c r="TPM31" s="28"/>
      <c r="TPN31" s="28"/>
      <c r="TPO31" s="28"/>
      <c r="TPP31" s="28"/>
      <c r="TPQ31" s="28"/>
      <c r="TPR31" s="28"/>
      <c r="TPS31" s="28"/>
      <c r="TPT31" s="28"/>
      <c r="TPU31" s="28"/>
      <c r="TPV31" s="28"/>
      <c r="TPW31" s="28"/>
      <c r="TPX31" s="28"/>
      <c r="TPY31" s="28"/>
      <c r="TPZ31" s="28"/>
      <c r="TQA31" s="28"/>
      <c r="TQB31" s="28"/>
      <c r="TQC31" s="28"/>
      <c r="TQD31" s="28"/>
      <c r="TQE31" s="28"/>
      <c r="TQF31" s="28"/>
      <c r="TQG31" s="28"/>
      <c r="TQH31" s="28"/>
      <c r="TQI31" s="28"/>
      <c r="TQJ31" s="28"/>
      <c r="TQK31" s="28"/>
      <c r="TQL31" s="28"/>
      <c r="TQM31" s="28"/>
      <c r="TQN31" s="28"/>
      <c r="TQO31" s="28"/>
      <c r="TQP31" s="28"/>
      <c r="TQQ31" s="28"/>
      <c r="TQR31" s="28"/>
      <c r="TQS31" s="28"/>
      <c r="TQT31" s="28"/>
      <c r="TQU31" s="28"/>
      <c r="TQV31" s="28"/>
      <c r="TQW31" s="28"/>
      <c r="TQX31" s="28"/>
      <c r="TQY31" s="28"/>
      <c r="TQZ31" s="28"/>
      <c r="TRA31" s="28"/>
      <c r="TRB31" s="28"/>
      <c r="TRC31" s="28"/>
      <c r="TRD31" s="28"/>
      <c r="TRE31" s="28"/>
      <c r="TRF31" s="28"/>
      <c r="TRG31" s="28"/>
      <c r="TRH31" s="28"/>
      <c r="TRI31" s="28"/>
      <c r="TRJ31" s="28"/>
      <c r="TRK31" s="28"/>
      <c r="TRL31" s="28"/>
      <c r="TRM31" s="28"/>
      <c r="TRN31" s="28"/>
      <c r="TRO31" s="28"/>
      <c r="TRP31" s="28"/>
      <c r="TRQ31" s="28"/>
      <c r="TRR31" s="28"/>
      <c r="TRS31" s="28"/>
      <c r="TRT31" s="28"/>
      <c r="TRU31" s="28"/>
      <c r="TRV31" s="28"/>
      <c r="TRW31" s="28"/>
      <c r="TRX31" s="28"/>
      <c r="TRY31" s="28"/>
      <c r="TRZ31" s="28"/>
      <c r="TSA31" s="28"/>
      <c r="TSB31" s="28"/>
      <c r="TSC31" s="28"/>
      <c r="TSD31" s="28"/>
      <c r="TSE31" s="28"/>
      <c r="TSF31" s="28"/>
      <c r="TSG31" s="28"/>
      <c r="TSH31" s="28"/>
      <c r="TSI31" s="28"/>
      <c r="TSJ31" s="28"/>
      <c r="TSK31" s="28"/>
      <c r="TSL31" s="28"/>
      <c r="TSM31" s="28"/>
      <c r="TSN31" s="28"/>
      <c r="TSO31" s="28"/>
      <c r="TSP31" s="28"/>
      <c r="TSQ31" s="28"/>
      <c r="TSR31" s="28"/>
      <c r="TSS31" s="28"/>
      <c r="TST31" s="28"/>
      <c r="TSU31" s="28"/>
      <c r="TSV31" s="28"/>
      <c r="TSW31" s="28"/>
      <c r="TSX31" s="28"/>
      <c r="TSY31" s="28"/>
      <c r="TSZ31" s="28"/>
      <c r="TTA31" s="28"/>
      <c r="TTB31" s="28"/>
      <c r="TTC31" s="28"/>
      <c r="TTD31" s="28"/>
      <c r="TTE31" s="28"/>
      <c r="TTF31" s="28"/>
      <c r="TTG31" s="28"/>
      <c r="TTH31" s="28"/>
      <c r="TTI31" s="28"/>
      <c r="TTJ31" s="28"/>
      <c r="TTK31" s="28"/>
      <c r="TTL31" s="28"/>
      <c r="TTM31" s="28"/>
      <c r="TTN31" s="28"/>
      <c r="TTO31" s="28"/>
      <c r="TTP31" s="28"/>
      <c r="TTQ31" s="28"/>
      <c r="TTR31" s="28"/>
      <c r="TTS31" s="28"/>
      <c r="TTT31" s="28"/>
      <c r="TTU31" s="28"/>
      <c r="TTV31" s="28"/>
      <c r="TTW31" s="28"/>
      <c r="TTX31" s="28"/>
      <c r="TTY31" s="28"/>
      <c r="TTZ31" s="28"/>
      <c r="TUA31" s="28"/>
      <c r="TUB31" s="28"/>
      <c r="TUC31" s="28"/>
      <c r="TUD31" s="28"/>
      <c r="TUE31" s="28"/>
      <c r="TUF31" s="28"/>
      <c r="TUG31" s="28"/>
      <c r="TUH31" s="28"/>
      <c r="TUI31" s="28"/>
      <c r="TUJ31" s="28"/>
      <c r="TUK31" s="28"/>
      <c r="TUL31" s="28"/>
      <c r="TUM31" s="28"/>
      <c r="TUN31" s="28"/>
      <c r="TUO31" s="28"/>
      <c r="TUP31" s="28"/>
      <c r="TUQ31" s="28"/>
      <c r="TUR31" s="28"/>
      <c r="TUS31" s="28"/>
      <c r="TUT31" s="28"/>
      <c r="TUU31" s="28"/>
      <c r="TUV31" s="28"/>
      <c r="TUW31" s="28"/>
      <c r="TUX31" s="28"/>
      <c r="TUY31" s="28"/>
      <c r="TUZ31" s="28"/>
      <c r="TVA31" s="28"/>
      <c r="TVB31" s="28"/>
      <c r="TVC31" s="28"/>
      <c r="TVD31" s="28"/>
      <c r="TVE31" s="28"/>
      <c r="TVF31" s="28"/>
      <c r="TVG31" s="28"/>
      <c r="TVH31" s="28"/>
      <c r="TVI31" s="28"/>
      <c r="TVJ31" s="28"/>
      <c r="TVK31" s="28"/>
      <c r="TVL31" s="28"/>
      <c r="TVM31" s="28"/>
      <c r="TVN31" s="28"/>
      <c r="TVO31" s="28"/>
      <c r="TVP31" s="28"/>
      <c r="TVQ31" s="28"/>
      <c r="TVR31" s="28"/>
      <c r="TVS31" s="28"/>
      <c r="TVT31" s="28"/>
      <c r="TVU31" s="28"/>
      <c r="TVV31" s="28"/>
      <c r="TVW31" s="28"/>
      <c r="TVX31" s="28"/>
      <c r="TVY31" s="28"/>
      <c r="TVZ31" s="28"/>
      <c r="TWA31" s="28"/>
      <c r="TWB31" s="28"/>
      <c r="TWC31" s="28"/>
      <c r="TWD31" s="28"/>
      <c r="TWE31" s="28"/>
      <c r="TWF31" s="28"/>
      <c r="TWG31" s="28"/>
      <c r="TWH31" s="28"/>
      <c r="TWI31" s="28"/>
      <c r="TWJ31" s="28"/>
      <c r="TWK31" s="28"/>
      <c r="TWL31" s="28"/>
      <c r="TWM31" s="28"/>
      <c r="TWN31" s="28"/>
      <c r="TWO31" s="28"/>
      <c r="TWP31" s="28"/>
      <c r="TWQ31" s="28"/>
      <c r="TWR31" s="28"/>
      <c r="TWS31" s="28"/>
      <c r="TWT31" s="28"/>
      <c r="TWU31" s="28"/>
      <c r="TWV31" s="28"/>
      <c r="TWW31" s="28"/>
      <c r="TWX31" s="28"/>
      <c r="TWY31" s="28"/>
      <c r="TWZ31" s="28"/>
      <c r="TXA31" s="28"/>
      <c r="TXB31" s="28"/>
      <c r="TXC31" s="28"/>
      <c r="TXD31" s="28"/>
      <c r="TXE31" s="28"/>
      <c r="TXF31" s="28"/>
      <c r="TXG31" s="28"/>
      <c r="TXH31" s="28"/>
      <c r="TXI31" s="28"/>
      <c r="TXJ31" s="28"/>
      <c r="TXK31" s="28"/>
      <c r="TXL31" s="28"/>
      <c r="TXM31" s="28"/>
      <c r="TXN31" s="28"/>
      <c r="TXO31" s="28"/>
      <c r="TXP31" s="28"/>
      <c r="TXQ31" s="28"/>
      <c r="TXR31" s="28"/>
      <c r="TXS31" s="28"/>
      <c r="TXT31" s="28"/>
      <c r="TXU31" s="28"/>
      <c r="TXV31" s="28"/>
      <c r="TXW31" s="28"/>
      <c r="TXX31" s="28"/>
      <c r="TXY31" s="28"/>
      <c r="TXZ31" s="28"/>
      <c r="TYA31" s="28"/>
      <c r="TYB31" s="28"/>
      <c r="TYC31" s="28"/>
      <c r="TYD31" s="28"/>
      <c r="TYE31" s="28"/>
      <c r="TYF31" s="28"/>
      <c r="TYG31" s="28"/>
      <c r="TYH31" s="28"/>
      <c r="TYI31" s="28"/>
      <c r="TYJ31" s="28"/>
      <c r="TYK31" s="28"/>
      <c r="TYL31" s="28"/>
      <c r="TYM31" s="28"/>
      <c r="TYN31" s="28"/>
      <c r="TYO31" s="28"/>
      <c r="TYP31" s="28"/>
      <c r="TYQ31" s="28"/>
      <c r="TYR31" s="28"/>
      <c r="TYS31" s="28"/>
      <c r="TYT31" s="28"/>
      <c r="TYU31" s="28"/>
      <c r="TYV31" s="28"/>
      <c r="TYW31" s="28"/>
      <c r="TYX31" s="28"/>
      <c r="TYY31" s="28"/>
      <c r="TYZ31" s="28"/>
      <c r="TZA31" s="28"/>
      <c r="TZB31" s="28"/>
      <c r="TZC31" s="28"/>
      <c r="TZD31" s="28"/>
      <c r="TZE31" s="28"/>
      <c r="TZF31" s="28"/>
      <c r="TZG31" s="28"/>
      <c r="TZH31" s="28"/>
      <c r="TZI31" s="28"/>
      <c r="TZJ31" s="28"/>
      <c r="TZK31" s="28"/>
      <c r="TZL31" s="28"/>
      <c r="TZM31" s="28"/>
      <c r="TZN31" s="28"/>
      <c r="TZO31" s="28"/>
      <c r="TZP31" s="28"/>
      <c r="TZQ31" s="28"/>
      <c r="TZR31" s="28"/>
      <c r="TZS31" s="28"/>
      <c r="TZT31" s="28"/>
      <c r="TZU31" s="28"/>
      <c r="TZV31" s="28"/>
      <c r="TZW31" s="28"/>
      <c r="TZX31" s="28"/>
      <c r="TZY31" s="28"/>
      <c r="TZZ31" s="28"/>
      <c r="UAA31" s="28"/>
      <c r="UAB31" s="28"/>
      <c r="UAC31" s="28"/>
      <c r="UAD31" s="28"/>
      <c r="UAE31" s="28"/>
      <c r="UAF31" s="28"/>
      <c r="UAG31" s="28"/>
      <c r="UAH31" s="28"/>
      <c r="UAI31" s="28"/>
      <c r="UAJ31" s="28"/>
      <c r="UAK31" s="28"/>
      <c r="UAL31" s="28"/>
      <c r="UAM31" s="28"/>
      <c r="UAN31" s="28"/>
      <c r="UAO31" s="28"/>
      <c r="UAP31" s="28"/>
      <c r="UAQ31" s="28"/>
      <c r="UAR31" s="28"/>
      <c r="UAS31" s="28"/>
      <c r="UAT31" s="28"/>
      <c r="UAU31" s="28"/>
      <c r="UAV31" s="28"/>
      <c r="UAW31" s="28"/>
      <c r="UAX31" s="28"/>
      <c r="UAY31" s="28"/>
      <c r="UAZ31" s="28"/>
      <c r="UBA31" s="28"/>
      <c r="UBB31" s="28"/>
      <c r="UBC31" s="28"/>
      <c r="UBD31" s="28"/>
      <c r="UBE31" s="28"/>
      <c r="UBF31" s="28"/>
      <c r="UBG31" s="28"/>
      <c r="UBH31" s="28"/>
      <c r="UBI31" s="28"/>
      <c r="UBJ31" s="28"/>
      <c r="UBK31" s="28"/>
      <c r="UBL31" s="28"/>
      <c r="UBM31" s="28"/>
      <c r="UBN31" s="28"/>
      <c r="UBO31" s="28"/>
      <c r="UBP31" s="28"/>
      <c r="UBQ31" s="28"/>
      <c r="UBR31" s="28"/>
      <c r="UBS31" s="28"/>
      <c r="UBT31" s="28"/>
      <c r="UBU31" s="28"/>
      <c r="UBV31" s="28"/>
      <c r="UBW31" s="28"/>
      <c r="UBX31" s="28"/>
      <c r="UBY31" s="28"/>
      <c r="UBZ31" s="28"/>
      <c r="UCA31" s="28"/>
      <c r="UCB31" s="28"/>
      <c r="UCC31" s="28"/>
      <c r="UCD31" s="28"/>
      <c r="UCE31" s="28"/>
      <c r="UCF31" s="28"/>
      <c r="UCG31" s="28"/>
      <c r="UCH31" s="28"/>
      <c r="UCI31" s="28"/>
      <c r="UCJ31" s="28"/>
      <c r="UCK31" s="28"/>
      <c r="UCL31" s="28"/>
      <c r="UCM31" s="28"/>
      <c r="UCN31" s="28"/>
      <c r="UCO31" s="28"/>
      <c r="UCP31" s="28"/>
      <c r="UCQ31" s="28"/>
      <c r="UCR31" s="28"/>
      <c r="UCS31" s="28"/>
      <c r="UCT31" s="28"/>
      <c r="UCU31" s="28"/>
      <c r="UCV31" s="28"/>
      <c r="UCW31" s="28"/>
      <c r="UCX31" s="28"/>
      <c r="UCY31" s="28"/>
      <c r="UCZ31" s="28"/>
      <c r="UDA31" s="28"/>
      <c r="UDB31" s="28"/>
      <c r="UDC31" s="28"/>
      <c r="UDD31" s="28"/>
      <c r="UDE31" s="28"/>
      <c r="UDF31" s="28"/>
      <c r="UDG31" s="28"/>
      <c r="UDH31" s="28"/>
      <c r="UDI31" s="28"/>
      <c r="UDJ31" s="28"/>
      <c r="UDK31" s="28"/>
      <c r="UDL31" s="28"/>
      <c r="UDM31" s="28"/>
      <c r="UDN31" s="28"/>
      <c r="UDO31" s="28"/>
      <c r="UDP31" s="28"/>
      <c r="UDQ31" s="28"/>
      <c r="UDR31" s="28"/>
      <c r="UDS31" s="28"/>
      <c r="UDT31" s="28"/>
      <c r="UDU31" s="28"/>
      <c r="UDV31" s="28"/>
      <c r="UDW31" s="28"/>
      <c r="UDX31" s="28"/>
      <c r="UDY31" s="28"/>
      <c r="UDZ31" s="28"/>
      <c r="UEA31" s="28"/>
      <c r="UEB31" s="28"/>
      <c r="UEC31" s="28"/>
      <c r="UED31" s="28"/>
      <c r="UEE31" s="28"/>
      <c r="UEF31" s="28"/>
      <c r="UEG31" s="28"/>
      <c r="UEH31" s="28"/>
      <c r="UEI31" s="28"/>
      <c r="UEJ31" s="28"/>
      <c r="UEK31" s="28"/>
      <c r="UEL31" s="28"/>
      <c r="UEM31" s="28"/>
      <c r="UEN31" s="28"/>
      <c r="UEO31" s="28"/>
      <c r="UEP31" s="28"/>
      <c r="UEQ31" s="28"/>
      <c r="UER31" s="28"/>
      <c r="UES31" s="28"/>
      <c r="UET31" s="28"/>
      <c r="UEU31" s="28"/>
      <c r="UEV31" s="28"/>
      <c r="UEW31" s="28"/>
      <c r="UEX31" s="28"/>
      <c r="UEY31" s="28"/>
      <c r="UEZ31" s="28"/>
      <c r="UFA31" s="28"/>
      <c r="UFB31" s="28"/>
      <c r="UFC31" s="28"/>
      <c r="UFD31" s="28"/>
      <c r="UFE31" s="28"/>
      <c r="UFF31" s="28"/>
      <c r="UFG31" s="28"/>
      <c r="UFH31" s="28"/>
      <c r="UFI31" s="28"/>
      <c r="UFJ31" s="28"/>
      <c r="UFK31" s="28"/>
      <c r="UFL31" s="28"/>
      <c r="UFM31" s="28"/>
      <c r="UFN31" s="28"/>
      <c r="UFO31" s="28"/>
      <c r="UFP31" s="28"/>
      <c r="UFQ31" s="28"/>
      <c r="UFR31" s="28"/>
      <c r="UFS31" s="28"/>
      <c r="UFT31" s="28"/>
      <c r="UFU31" s="28"/>
      <c r="UFV31" s="28"/>
      <c r="UFW31" s="28"/>
      <c r="UFX31" s="28"/>
      <c r="UFY31" s="28"/>
      <c r="UFZ31" s="28"/>
      <c r="UGA31" s="28"/>
      <c r="UGB31" s="28"/>
      <c r="UGC31" s="28"/>
      <c r="UGD31" s="28"/>
      <c r="UGE31" s="28"/>
      <c r="UGF31" s="28"/>
      <c r="UGG31" s="28"/>
      <c r="UGH31" s="28"/>
      <c r="UGI31" s="28"/>
      <c r="UGJ31" s="28"/>
      <c r="UGK31" s="28"/>
      <c r="UGL31" s="28"/>
      <c r="UGM31" s="28"/>
      <c r="UGN31" s="28"/>
      <c r="UGO31" s="28"/>
      <c r="UGP31" s="28"/>
      <c r="UGQ31" s="28"/>
      <c r="UGR31" s="28"/>
      <c r="UGS31" s="28"/>
      <c r="UGT31" s="28"/>
      <c r="UGU31" s="28"/>
      <c r="UGV31" s="28"/>
      <c r="UGW31" s="28"/>
      <c r="UGX31" s="28"/>
      <c r="UGY31" s="28"/>
      <c r="UGZ31" s="28"/>
      <c r="UHA31" s="28"/>
      <c r="UHB31" s="28"/>
      <c r="UHC31" s="28"/>
      <c r="UHD31" s="28"/>
      <c r="UHE31" s="28"/>
      <c r="UHF31" s="28"/>
      <c r="UHG31" s="28"/>
      <c r="UHH31" s="28"/>
      <c r="UHI31" s="28"/>
      <c r="UHJ31" s="28"/>
      <c r="UHK31" s="28"/>
      <c r="UHL31" s="28"/>
      <c r="UHM31" s="28"/>
      <c r="UHN31" s="28"/>
      <c r="UHO31" s="28"/>
      <c r="UHP31" s="28"/>
      <c r="UHQ31" s="28"/>
      <c r="UHR31" s="28"/>
      <c r="UHS31" s="28"/>
      <c r="UHT31" s="28"/>
      <c r="UHU31" s="28"/>
      <c r="UHV31" s="28"/>
      <c r="UHW31" s="28"/>
      <c r="UHX31" s="28"/>
      <c r="UHY31" s="28"/>
      <c r="UHZ31" s="28"/>
      <c r="UIA31" s="28"/>
      <c r="UIB31" s="28"/>
      <c r="UIC31" s="28"/>
      <c r="UID31" s="28"/>
      <c r="UIE31" s="28"/>
      <c r="UIF31" s="28"/>
      <c r="UIG31" s="28"/>
      <c r="UIH31" s="28"/>
      <c r="UII31" s="28"/>
      <c r="UIJ31" s="28"/>
      <c r="UIK31" s="28"/>
      <c r="UIL31" s="28"/>
      <c r="UIM31" s="28"/>
      <c r="UIN31" s="28"/>
      <c r="UIO31" s="28"/>
      <c r="UIP31" s="28"/>
      <c r="UIQ31" s="28"/>
      <c r="UIR31" s="28"/>
      <c r="UIS31" s="28"/>
      <c r="UIT31" s="28"/>
      <c r="UIU31" s="28"/>
      <c r="UIV31" s="28"/>
      <c r="UIW31" s="28"/>
      <c r="UIX31" s="28"/>
      <c r="UIY31" s="28"/>
      <c r="UIZ31" s="28"/>
      <c r="UJA31" s="28"/>
      <c r="UJB31" s="28"/>
      <c r="UJC31" s="28"/>
      <c r="UJD31" s="28"/>
      <c r="UJE31" s="28"/>
      <c r="UJF31" s="28"/>
      <c r="UJG31" s="28"/>
      <c r="UJH31" s="28"/>
      <c r="UJI31" s="28"/>
      <c r="UJJ31" s="28"/>
      <c r="UJK31" s="28"/>
      <c r="UJL31" s="28"/>
      <c r="UJM31" s="28"/>
      <c r="UJN31" s="28"/>
      <c r="UJO31" s="28"/>
      <c r="UJP31" s="28"/>
      <c r="UJQ31" s="28"/>
      <c r="UJR31" s="28"/>
      <c r="UJS31" s="28"/>
      <c r="UJT31" s="28"/>
      <c r="UJU31" s="28"/>
      <c r="UJV31" s="28"/>
      <c r="UJW31" s="28"/>
      <c r="UJX31" s="28"/>
      <c r="UJY31" s="28"/>
      <c r="UJZ31" s="28"/>
      <c r="UKA31" s="28"/>
      <c r="UKB31" s="28"/>
      <c r="UKC31" s="28"/>
      <c r="UKD31" s="28"/>
      <c r="UKE31" s="28"/>
      <c r="UKF31" s="28"/>
      <c r="UKG31" s="28"/>
      <c r="UKH31" s="28"/>
      <c r="UKI31" s="28"/>
      <c r="UKJ31" s="28"/>
      <c r="UKK31" s="28"/>
      <c r="UKL31" s="28"/>
      <c r="UKM31" s="28"/>
      <c r="UKN31" s="28"/>
      <c r="UKO31" s="28"/>
      <c r="UKP31" s="28"/>
      <c r="UKQ31" s="28"/>
      <c r="UKR31" s="28"/>
      <c r="UKS31" s="28"/>
      <c r="UKT31" s="28"/>
      <c r="UKU31" s="28"/>
      <c r="UKV31" s="28"/>
      <c r="UKW31" s="28"/>
      <c r="UKX31" s="28"/>
      <c r="UKY31" s="28"/>
      <c r="UKZ31" s="28"/>
      <c r="ULA31" s="28"/>
      <c r="ULB31" s="28"/>
      <c r="ULC31" s="28"/>
      <c r="ULD31" s="28"/>
      <c r="ULE31" s="28"/>
      <c r="ULF31" s="28"/>
      <c r="ULG31" s="28"/>
      <c r="ULH31" s="28"/>
      <c r="ULI31" s="28"/>
      <c r="ULJ31" s="28"/>
      <c r="ULK31" s="28"/>
      <c r="ULL31" s="28"/>
      <c r="ULM31" s="28"/>
      <c r="ULN31" s="28"/>
      <c r="ULO31" s="28"/>
      <c r="ULP31" s="28"/>
      <c r="ULQ31" s="28"/>
      <c r="ULR31" s="28"/>
      <c r="ULS31" s="28"/>
      <c r="ULT31" s="28"/>
      <c r="ULU31" s="28"/>
      <c r="ULV31" s="28"/>
      <c r="ULW31" s="28"/>
      <c r="ULX31" s="28"/>
      <c r="ULY31" s="28"/>
      <c r="ULZ31" s="28"/>
      <c r="UMA31" s="28"/>
      <c r="UMB31" s="28"/>
      <c r="UMC31" s="28"/>
      <c r="UMD31" s="28"/>
      <c r="UME31" s="28"/>
      <c r="UMF31" s="28"/>
      <c r="UMG31" s="28"/>
      <c r="UMH31" s="28"/>
      <c r="UMI31" s="28"/>
      <c r="UMJ31" s="28"/>
      <c r="UMK31" s="28"/>
      <c r="UML31" s="28"/>
      <c r="UMM31" s="28"/>
      <c r="UMN31" s="28"/>
      <c r="UMO31" s="28"/>
      <c r="UMP31" s="28"/>
      <c r="UMQ31" s="28"/>
      <c r="UMR31" s="28"/>
      <c r="UMS31" s="28"/>
      <c r="UMT31" s="28"/>
      <c r="UMU31" s="28"/>
      <c r="UMV31" s="28"/>
      <c r="UMW31" s="28"/>
      <c r="UMX31" s="28"/>
      <c r="UMY31" s="28"/>
      <c r="UMZ31" s="28"/>
      <c r="UNA31" s="28"/>
      <c r="UNB31" s="28"/>
      <c r="UNC31" s="28"/>
      <c r="UND31" s="28"/>
      <c r="UNE31" s="28"/>
      <c r="UNF31" s="28"/>
      <c r="UNG31" s="28"/>
      <c r="UNH31" s="28"/>
      <c r="UNI31" s="28"/>
      <c r="UNJ31" s="28"/>
      <c r="UNK31" s="28"/>
      <c r="UNL31" s="28"/>
      <c r="UNM31" s="28"/>
      <c r="UNN31" s="28"/>
      <c r="UNO31" s="28"/>
      <c r="UNP31" s="28"/>
      <c r="UNQ31" s="28"/>
      <c r="UNR31" s="28"/>
      <c r="UNS31" s="28"/>
      <c r="UNT31" s="28"/>
      <c r="UNU31" s="28"/>
      <c r="UNV31" s="28"/>
      <c r="UNW31" s="28"/>
      <c r="UNX31" s="28"/>
      <c r="UNY31" s="28"/>
      <c r="UNZ31" s="28"/>
      <c r="UOA31" s="28"/>
      <c r="UOB31" s="28"/>
      <c r="UOC31" s="28"/>
      <c r="UOD31" s="28"/>
      <c r="UOE31" s="28"/>
      <c r="UOF31" s="28"/>
      <c r="UOG31" s="28"/>
      <c r="UOH31" s="28"/>
      <c r="UOI31" s="28"/>
      <c r="UOJ31" s="28"/>
      <c r="UOK31" s="28"/>
      <c r="UOL31" s="28"/>
      <c r="UOM31" s="28"/>
      <c r="UON31" s="28"/>
      <c r="UOO31" s="28"/>
      <c r="UOP31" s="28"/>
      <c r="UOQ31" s="28"/>
      <c r="UOR31" s="28"/>
      <c r="UOS31" s="28"/>
      <c r="UOT31" s="28"/>
      <c r="UOU31" s="28"/>
      <c r="UOV31" s="28"/>
      <c r="UOW31" s="28"/>
      <c r="UOX31" s="28"/>
      <c r="UOY31" s="28"/>
      <c r="UOZ31" s="28"/>
      <c r="UPA31" s="28"/>
      <c r="UPB31" s="28"/>
      <c r="UPC31" s="28"/>
      <c r="UPD31" s="28"/>
      <c r="UPE31" s="28"/>
      <c r="UPF31" s="28"/>
      <c r="UPG31" s="28"/>
      <c r="UPH31" s="28"/>
      <c r="UPI31" s="28"/>
      <c r="UPJ31" s="28"/>
      <c r="UPK31" s="28"/>
      <c r="UPL31" s="28"/>
      <c r="UPM31" s="28"/>
      <c r="UPN31" s="28"/>
      <c r="UPO31" s="28"/>
      <c r="UPP31" s="28"/>
      <c r="UPQ31" s="28"/>
      <c r="UPR31" s="28"/>
      <c r="UPS31" s="28"/>
      <c r="UPT31" s="28"/>
      <c r="UPU31" s="28"/>
      <c r="UPV31" s="28"/>
      <c r="UPW31" s="28"/>
      <c r="UPX31" s="28"/>
      <c r="UPY31" s="28"/>
      <c r="UPZ31" s="28"/>
      <c r="UQA31" s="28"/>
      <c r="UQB31" s="28"/>
      <c r="UQC31" s="28"/>
      <c r="UQD31" s="28"/>
      <c r="UQE31" s="28"/>
      <c r="UQF31" s="28"/>
      <c r="UQG31" s="28"/>
      <c r="UQH31" s="28"/>
      <c r="UQI31" s="28"/>
      <c r="UQJ31" s="28"/>
      <c r="UQK31" s="28"/>
      <c r="UQL31" s="28"/>
      <c r="UQM31" s="28"/>
      <c r="UQN31" s="28"/>
      <c r="UQO31" s="28"/>
      <c r="UQP31" s="28"/>
      <c r="UQQ31" s="28"/>
      <c r="UQR31" s="28"/>
      <c r="UQS31" s="28"/>
      <c r="UQT31" s="28"/>
      <c r="UQU31" s="28"/>
      <c r="UQV31" s="28"/>
      <c r="UQW31" s="28"/>
      <c r="UQX31" s="28"/>
      <c r="UQY31" s="28"/>
      <c r="UQZ31" s="28"/>
      <c r="URA31" s="28"/>
      <c r="URB31" s="28"/>
      <c r="URC31" s="28"/>
      <c r="URD31" s="28"/>
      <c r="URE31" s="28"/>
      <c r="URF31" s="28"/>
      <c r="URG31" s="28"/>
      <c r="URH31" s="28"/>
      <c r="URI31" s="28"/>
      <c r="URJ31" s="28"/>
      <c r="URK31" s="28"/>
      <c r="URL31" s="28"/>
      <c r="URM31" s="28"/>
      <c r="URN31" s="28"/>
      <c r="URO31" s="28"/>
      <c r="URP31" s="28"/>
      <c r="URQ31" s="28"/>
      <c r="URR31" s="28"/>
      <c r="URS31" s="28"/>
      <c r="URT31" s="28"/>
      <c r="URU31" s="28"/>
      <c r="URV31" s="28"/>
      <c r="URW31" s="28"/>
      <c r="URX31" s="28"/>
      <c r="URY31" s="28"/>
      <c r="URZ31" s="28"/>
      <c r="USA31" s="28"/>
      <c r="USB31" s="28"/>
      <c r="USC31" s="28"/>
      <c r="USD31" s="28"/>
      <c r="USE31" s="28"/>
      <c r="USF31" s="28"/>
      <c r="USG31" s="28"/>
      <c r="USH31" s="28"/>
      <c r="USI31" s="28"/>
      <c r="USJ31" s="28"/>
      <c r="USK31" s="28"/>
      <c r="USL31" s="28"/>
      <c r="USM31" s="28"/>
      <c r="USN31" s="28"/>
      <c r="USO31" s="28"/>
      <c r="USP31" s="28"/>
      <c r="USQ31" s="28"/>
      <c r="USR31" s="28"/>
      <c r="USS31" s="28"/>
      <c r="UST31" s="28"/>
      <c r="USU31" s="28"/>
      <c r="USV31" s="28"/>
      <c r="USW31" s="28"/>
      <c r="USX31" s="28"/>
      <c r="USY31" s="28"/>
      <c r="USZ31" s="28"/>
      <c r="UTA31" s="28"/>
      <c r="UTB31" s="28"/>
      <c r="UTC31" s="28"/>
      <c r="UTD31" s="28"/>
      <c r="UTE31" s="28"/>
      <c r="UTF31" s="28"/>
      <c r="UTG31" s="28"/>
      <c r="UTH31" s="28"/>
      <c r="UTI31" s="28"/>
      <c r="UTJ31" s="28"/>
      <c r="UTK31" s="28"/>
      <c r="UTL31" s="28"/>
      <c r="UTM31" s="28"/>
      <c r="UTN31" s="28"/>
      <c r="UTO31" s="28"/>
      <c r="UTP31" s="28"/>
      <c r="UTQ31" s="28"/>
      <c r="UTR31" s="28"/>
      <c r="UTS31" s="28"/>
      <c r="UTT31" s="28"/>
      <c r="UTU31" s="28"/>
      <c r="UTV31" s="28"/>
      <c r="UTW31" s="28"/>
      <c r="UTX31" s="28"/>
      <c r="UTY31" s="28"/>
      <c r="UTZ31" s="28"/>
      <c r="UUA31" s="28"/>
      <c r="UUB31" s="28"/>
      <c r="UUC31" s="28"/>
      <c r="UUD31" s="28"/>
      <c r="UUE31" s="28"/>
      <c r="UUF31" s="28"/>
      <c r="UUG31" s="28"/>
      <c r="UUH31" s="28"/>
      <c r="UUI31" s="28"/>
      <c r="UUJ31" s="28"/>
      <c r="UUK31" s="28"/>
      <c r="UUL31" s="28"/>
      <c r="UUM31" s="28"/>
      <c r="UUN31" s="28"/>
      <c r="UUO31" s="28"/>
      <c r="UUP31" s="28"/>
      <c r="UUQ31" s="28"/>
      <c r="UUR31" s="28"/>
      <c r="UUS31" s="28"/>
      <c r="UUT31" s="28"/>
      <c r="UUU31" s="28"/>
      <c r="UUV31" s="28"/>
      <c r="UUW31" s="28"/>
      <c r="UUX31" s="28"/>
      <c r="UUY31" s="28"/>
      <c r="UUZ31" s="28"/>
      <c r="UVA31" s="28"/>
      <c r="UVB31" s="28"/>
      <c r="UVC31" s="28"/>
      <c r="UVD31" s="28"/>
      <c r="UVE31" s="28"/>
      <c r="UVF31" s="28"/>
      <c r="UVG31" s="28"/>
      <c r="UVH31" s="28"/>
      <c r="UVI31" s="28"/>
      <c r="UVJ31" s="28"/>
      <c r="UVK31" s="28"/>
      <c r="UVL31" s="28"/>
      <c r="UVM31" s="28"/>
      <c r="UVN31" s="28"/>
      <c r="UVO31" s="28"/>
      <c r="UVP31" s="28"/>
      <c r="UVQ31" s="28"/>
      <c r="UVR31" s="28"/>
      <c r="UVS31" s="28"/>
      <c r="UVT31" s="28"/>
      <c r="UVU31" s="28"/>
      <c r="UVV31" s="28"/>
      <c r="UVW31" s="28"/>
      <c r="UVX31" s="28"/>
      <c r="UVY31" s="28"/>
      <c r="UVZ31" s="28"/>
      <c r="UWA31" s="28"/>
      <c r="UWB31" s="28"/>
      <c r="UWC31" s="28"/>
      <c r="UWD31" s="28"/>
      <c r="UWE31" s="28"/>
      <c r="UWF31" s="28"/>
      <c r="UWG31" s="28"/>
      <c r="UWH31" s="28"/>
      <c r="UWI31" s="28"/>
      <c r="UWJ31" s="28"/>
      <c r="UWK31" s="28"/>
      <c r="UWL31" s="28"/>
      <c r="UWM31" s="28"/>
      <c r="UWN31" s="28"/>
      <c r="UWO31" s="28"/>
      <c r="UWP31" s="28"/>
      <c r="UWQ31" s="28"/>
      <c r="UWR31" s="28"/>
      <c r="UWS31" s="28"/>
      <c r="UWT31" s="28"/>
      <c r="UWU31" s="28"/>
      <c r="UWV31" s="28"/>
      <c r="UWW31" s="28"/>
      <c r="UWX31" s="28"/>
      <c r="UWY31" s="28"/>
      <c r="UWZ31" s="28"/>
      <c r="UXA31" s="28"/>
      <c r="UXB31" s="28"/>
      <c r="UXC31" s="28"/>
      <c r="UXD31" s="28"/>
      <c r="UXE31" s="28"/>
      <c r="UXF31" s="28"/>
      <c r="UXG31" s="28"/>
      <c r="UXH31" s="28"/>
      <c r="UXI31" s="28"/>
      <c r="UXJ31" s="28"/>
      <c r="UXK31" s="28"/>
      <c r="UXL31" s="28"/>
      <c r="UXM31" s="28"/>
      <c r="UXN31" s="28"/>
      <c r="UXO31" s="28"/>
      <c r="UXP31" s="28"/>
      <c r="UXQ31" s="28"/>
      <c r="UXR31" s="28"/>
      <c r="UXS31" s="28"/>
      <c r="UXT31" s="28"/>
      <c r="UXU31" s="28"/>
      <c r="UXV31" s="28"/>
      <c r="UXW31" s="28"/>
      <c r="UXX31" s="28"/>
      <c r="UXY31" s="28"/>
      <c r="UXZ31" s="28"/>
      <c r="UYA31" s="28"/>
      <c r="UYB31" s="28"/>
      <c r="UYC31" s="28"/>
      <c r="UYD31" s="28"/>
      <c r="UYE31" s="28"/>
      <c r="UYF31" s="28"/>
      <c r="UYG31" s="28"/>
      <c r="UYH31" s="28"/>
      <c r="UYI31" s="28"/>
      <c r="UYJ31" s="28"/>
      <c r="UYK31" s="28"/>
      <c r="UYL31" s="28"/>
      <c r="UYM31" s="28"/>
      <c r="UYN31" s="28"/>
      <c r="UYO31" s="28"/>
      <c r="UYP31" s="28"/>
      <c r="UYQ31" s="28"/>
      <c r="UYR31" s="28"/>
      <c r="UYS31" s="28"/>
      <c r="UYT31" s="28"/>
      <c r="UYU31" s="28"/>
      <c r="UYV31" s="28"/>
      <c r="UYW31" s="28"/>
      <c r="UYX31" s="28"/>
      <c r="UYY31" s="28"/>
      <c r="UYZ31" s="28"/>
      <c r="UZA31" s="28"/>
      <c r="UZB31" s="28"/>
      <c r="UZC31" s="28"/>
      <c r="UZD31" s="28"/>
      <c r="UZE31" s="28"/>
      <c r="UZF31" s="28"/>
      <c r="UZG31" s="28"/>
      <c r="UZH31" s="28"/>
      <c r="UZI31" s="28"/>
      <c r="UZJ31" s="28"/>
      <c r="UZK31" s="28"/>
      <c r="UZL31" s="28"/>
      <c r="UZM31" s="28"/>
      <c r="UZN31" s="28"/>
      <c r="UZO31" s="28"/>
      <c r="UZP31" s="28"/>
      <c r="UZQ31" s="28"/>
      <c r="UZR31" s="28"/>
      <c r="UZS31" s="28"/>
      <c r="UZT31" s="28"/>
      <c r="UZU31" s="28"/>
      <c r="UZV31" s="28"/>
      <c r="UZW31" s="28"/>
      <c r="UZX31" s="28"/>
      <c r="UZY31" s="28"/>
      <c r="UZZ31" s="28"/>
      <c r="VAA31" s="28"/>
      <c r="VAB31" s="28"/>
      <c r="VAC31" s="28"/>
      <c r="VAD31" s="28"/>
      <c r="VAE31" s="28"/>
      <c r="VAF31" s="28"/>
      <c r="VAG31" s="28"/>
      <c r="VAH31" s="28"/>
      <c r="VAI31" s="28"/>
      <c r="VAJ31" s="28"/>
      <c r="VAK31" s="28"/>
      <c r="VAL31" s="28"/>
      <c r="VAM31" s="28"/>
      <c r="VAN31" s="28"/>
      <c r="VAO31" s="28"/>
      <c r="VAP31" s="28"/>
      <c r="VAQ31" s="28"/>
      <c r="VAR31" s="28"/>
      <c r="VAS31" s="28"/>
      <c r="VAT31" s="28"/>
      <c r="VAU31" s="28"/>
      <c r="VAV31" s="28"/>
      <c r="VAW31" s="28"/>
      <c r="VAX31" s="28"/>
      <c r="VAY31" s="28"/>
      <c r="VAZ31" s="28"/>
      <c r="VBA31" s="28"/>
      <c r="VBB31" s="28"/>
      <c r="VBC31" s="28"/>
      <c r="VBD31" s="28"/>
      <c r="VBE31" s="28"/>
      <c r="VBF31" s="28"/>
      <c r="VBG31" s="28"/>
      <c r="VBH31" s="28"/>
      <c r="VBI31" s="28"/>
      <c r="VBJ31" s="28"/>
      <c r="VBK31" s="28"/>
      <c r="VBL31" s="28"/>
      <c r="VBM31" s="28"/>
      <c r="VBN31" s="28"/>
      <c r="VBO31" s="28"/>
      <c r="VBP31" s="28"/>
      <c r="VBQ31" s="28"/>
      <c r="VBR31" s="28"/>
      <c r="VBS31" s="28"/>
      <c r="VBT31" s="28"/>
      <c r="VBU31" s="28"/>
      <c r="VBV31" s="28"/>
      <c r="VBW31" s="28"/>
      <c r="VBX31" s="28"/>
      <c r="VBY31" s="28"/>
      <c r="VBZ31" s="28"/>
      <c r="VCA31" s="28"/>
      <c r="VCB31" s="28"/>
      <c r="VCC31" s="28"/>
      <c r="VCD31" s="28"/>
      <c r="VCE31" s="28"/>
      <c r="VCF31" s="28"/>
      <c r="VCG31" s="28"/>
      <c r="VCH31" s="28"/>
      <c r="VCI31" s="28"/>
      <c r="VCJ31" s="28"/>
      <c r="VCK31" s="28"/>
      <c r="VCL31" s="28"/>
      <c r="VCM31" s="28"/>
      <c r="VCN31" s="28"/>
      <c r="VCO31" s="28"/>
      <c r="VCP31" s="28"/>
      <c r="VCQ31" s="28"/>
      <c r="VCR31" s="28"/>
      <c r="VCS31" s="28"/>
      <c r="VCT31" s="28"/>
      <c r="VCU31" s="28"/>
      <c r="VCV31" s="28"/>
      <c r="VCW31" s="28"/>
      <c r="VCX31" s="28"/>
      <c r="VCY31" s="28"/>
      <c r="VCZ31" s="28"/>
      <c r="VDA31" s="28"/>
      <c r="VDB31" s="28"/>
      <c r="VDC31" s="28"/>
      <c r="VDD31" s="28"/>
      <c r="VDE31" s="28"/>
      <c r="VDF31" s="28"/>
      <c r="VDG31" s="28"/>
      <c r="VDH31" s="28"/>
      <c r="VDI31" s="28"/>
      <c r="VDJ31" s="28"/>
      <c r="VDK31" s="28"/>
      <c r="VDL31" s="28"/>
      <c r="VDM31" s="28"/>
      <c r="VDN31" s="28"/>
      <c r="VDO31" s="28"/>
      <c r="VDP31" s="28"/>
      <c r="VDQ31" s="28"/>
      <c r="VDR31" s="28"/>
      <c r="VDS31" s="28"/>
      <c r="VDT31" s="28"/>
      <c r="VDU31" s="28"/>
      <c r="VDV31" s="28"/>
      <c r="VDW31" s="28"/>
      <c r="VDX31" s="28"/>
      <c r="VDY31" s="28"/>
      <c r="VDZ31" s="28"/>
      <c r="VEA31" s="28"/>
      <c r="VEB31" s="28"/>
      <c r="VEC31" s="28"/>
      <c r="VED31" s="28"/>
      <c r="VEE31" s="28"/>
      <c r="VEF31" s="28"/>
      <c r="VEG31" s="28"/>
      <c r="VEH31" s="28"/>
      <c r="VEI31" s="28"/>
      <c r="VEJ31" s="28"/>
      <c r="VEK31" s="28"/>
      <c r="VEL31" s="28"/>
      <c r="VEM31" s="28"/>
      <c r="VEN31" s="28"/>
      <c r="VEO31" s="28"/>
      <c r="VEP31" s="28"/>
      <c r="VEQ31" s="28"/>
      <c r="VER31" s="28"/>
      <c r="VES31" s="28"/>
      <c r="VET31" s="28"/>
      <c r="VEU31" s="28"/>
      <c r="VEV31" s="28"/>
      <c r="VEW31" s="28"/>
      <c r="VEX31" s="28"/>
      <c r="VEY31" s="28"/>
      <c r="VEZ31" s="28"/>
      <c r="VFA31" s="28"/>
      <c r="VFB31" s="28"/>
      <c r="VFC31" s="28"/>
      <c r="VFD31" s="28"/>
      <c r="VFE31" s="28"/>
      <c r="VFF31" s="28"/>
      <c r="VFG31" s="28"/>
      <c r="VFH31" s="28"/>
      <c r="VFI31" s="28"/>
      <c r="VFJ31" s="28"/>
      <c r="VFK31" s="28"/>
      <c r="VFL31" s="28"/>
      <c r="VFM31" s="28"/>
      <c r="VFN31" s="28"/>
      <c r="VFO31" s="28"/>
      <c r="VFP31" s="28"/>
      <c r="VFQ31" s="28"/>
      <c r="VFR31" s="28"/>
      <c r="VFS31" s="28"/>
      <c r="VFT31" s="28"/>
      <c r="VFU31" s="28"/>
      <c r="VFV31" s="28"/>
      <c r="VFW31" s="28"/>
      <c r="VFX31" s="28"/>
      <c r="VFY31" s="28"/>
      <c r="VFZ31" s="28"/>
      <c r="VGA31" s="28"/>
      <c r="VGB31" s="28"/>
      <c r="VGC31" s="28"/>
      <c r="VGD31" s="28"/>
      <c r="VGE31" s="28"/>
      <c r="VGF31" s="28"/>
      <c r="VGG31" s="28"/>
      <c r="VGH31" s="28"/>
      <c r="VGI31" s="28"/>
      <c r="VGJ31" s="28"/>
      <c r="VGK31" s="28"/>
      <c r="VGL31" s="28"/>
      <c r="VGM31" s="28"/>
      <c r="VGN31" s="28"/>
      <c r="VGO31" s="28"/>
      <c r="VGP31" s="28"/>
      <c r="VGQ31" s="28"/>
      <c r="VGR31" s="28"/>
      <c r="VGS31" s="28"/>
      <c r="VGT31" s="28"/>
      <c r="VGU31" s="28"/>
      <c r="VGV31" s="28"/>
      <c r="VGW31" s="28"/>
      <c r="VGX31" s="28"/>
      <c r="VGY31" s="28"/>
      <c r="VGZ31" s="28"/>
      <c r="VHA31" s="28"/>
      <c r="VHB31" s="28"/>
      <c r="VHC31" s="28"/>
      <c r="VHD31" s="28"/>
      <c r="VHE31" s="28"/>
      <c r="VHF31" s="28"/>
      <c r="VHG31" s="28"/>
      <c r="VHH31" s="28"/>
      <c r="VHI31" s="28"/>
      <c r="VHJ31" s="28"/>
      <c r="VHK31" s="28"/>
      <c r="VHL31" s="28"/>
      <c r="VHM31" s="28"/>
      <c r="VHN31" s="28"/>
      <c r="VHO31" s="28"/>
      <c r="VHP31" s="28"/>
      <c r="VHQ31" s="28"/>
      <c r="VHR31" s="28"/>
      <c r="VHS31" s="28"/>
      <c r="VHT31" s="28"/>
      <c r="VHU31" s="28"/>
      <c r="VHV31" s="28"/>
      <c r="VHW31" s="28"/>
      <c r="VHX31" s="28"/>
      <c r="VHY31" s="28"/>
      <c r="VHZ31" s="28"/>
      <c r="VIA31" s="28"/>
      <c r="VIB31" s="28"/>
      <c r="VIC31" s="28"/>
      <c r="VID31" s="28"/>
      <c r="VIE31" s="28"/>
      <c r="VIF31" s="28"/>
      <c r="VIG31" s="28"/>
      <c r="VIH31" s="28"/>
      <c r="VII31" s="28"/>
      <c r="VIJ31" s="28"/>
      <c r="VIK31" s="28"/>
      <c r="VIL31" s="28"/>
      <c r="VIM31" s="28"/>
      <c r="VIN31" s="28"/>
      <c r="VIO31" s="28"/>
      <c r="VIP31" s="28"/>
      <c r="VIQ31" s="28"/>
      <c r="VIR31" s="28"/>
      <c r="VIS31" s="28"/>
      <c r="VIT31" s="28"/>
      <c r="VIU31" s="28"/>
      <c r="VIV31" s="28"/>
      <c r="VIW31" s="28"/>
      <c r="VIX31" s="28"/>
      <c r="VIY31" s="28"/>
      <c r="VIZ31" s="28"/>
      <c r="VJA31" s="28"/>
      <c r="VJB31" s="28"/>
      <c r="VJC31" s="28"/>
      <c r="VJD31" s="28"/>
      <c r="VJE31" s="28"/>
      <c r="VJF31" s="28"/>
      <c r="VJG31" s="28"/>
      <c r="VJH31" s="28"/>
      <c r="VJI31" s="28"/>
      <c r="VJJ31" s="28"/>
      <c r="VJK31" s="28"/>
      <c r="VJL31" s="28"/>
      <c r="VJM31" s="28"/>
      <c r="VJN31" s="28"/>
      <c r="VJO31" s="28"/>
      <c r="VJP31" s="28"/>
      <c r="VJQ31" s="28"/>
      <c r="VJR31" s="28"/>
      <c r="VJS31" s="28"/>
      <c r="VJT31" s="28"/>
      <c r="VJU31" s="28"/>
      <c r="VJV31" s="28"/>
      <c r="VJW31" s="28"/>
      <c r="VJX31" s="28"/>
      <c r="VJY31" s="28"/>
      <c r="VJZ31" s="28"/>
      <c r="VKA31" s="28"/>
      <c r="VKB31" s="28"/>
      <c r="VKC31" s="28"/>
      <c r="VKD31" s="28"/>
      <c r="VKE31" s="28"/>
      <c r="VKF31" s="28"/>
      <c r="VKG31" s="28"/>
      <c r="VKH31" s="28"/>
      <c r="VKI31" s="28"/>
      <c r="VKJ31" s="28"/>
      <c r="VKK31" s="28"/>
      <c r="VKL31" s="28"/>
      <c r="VKM31" s="28"/>
      <c r="VKN31" s="28"/>
      <c r="VKO31" s="28"/>
      <c r="VKP31" s="28"/>
      <c r="VKQ31" s="28"/>
      <c r="VKR31" s="28"/>
      <c r="VKS31" s="28"/>
      <c r="VKT31" s="28"/>
      <c r="VKU31" s="28"/>
      <c r="VKV31" s="28"/>
      <c r="VKW31" s="28"/>
      <c r="VKX31" s="28"/>
      <c r="VKY31" s="28"/>
      <c r="VKZ31" s="28"/>
      <c r="VLA31" s="28"/>
      <c r="VLB31" s="28"/>
      <c r="VLC31" s="28"/>
      <c r="VLD31" s="28"/>
      <c r="VLE31" s="28"/>
      <c r="VLF31" s="28"/>
      <c r="VLG31" s="28"/>
      <c r="VLH31" s="28"/>
      <c r="VLI31" s="28"/>
      <c r="VLJ31" s="28"/>
      <c r="VLK31" s="28"/>
      <c r="VLL31" s="28"/>
      <c r="VLM31" s="28"/>
      <c r="VLN31" s="28"/>
      <c r="VLO31" s="28"/>
      <c r="VLP31" s="28"/>
      <c r="VLQ31" s="28"/>
      <c r="VLR31" s="28"/>
      <c r="VLS31" s="28"/>
      <c r="VLT31" s="28"/>
      <c r="VLU31" s="28"/>
      <c r="VLV31" s="28"/>
      <c r="VLW31" s="28"/>
      <c r="VLX31" s="28"/>
      <c r="VLY31" s="28"/>
      <c r="VLZ31" s="28"/>
      <c r="VMA31" s="28"/>
      <c r="VMB31" s="28"/>
      <c r="VMC31" s="28"/>
      <c r="VMD31" s="28"/>
      <c r="VME31" s="28"/>
      <c r="VMF31" s="28"/>
      <c r="VMG31" s="28"/>
      <c r="VMH31" s="28"/>
      <c r="VMI31" s="28"/>
      <c r="VMJ31" s="28"/>
      <c r="VMK31" s="28"/>
      <c r="VML31" s="28"/>
      <c r="VMM31" s="28"/>
      <c r="VMN31" s="28"/>
      <c r="VMO31" s="28"/>
      <c r="VMP31" s="28"/>
      <c r="VMQ31" s="28"/>
      <c r="VMR31" s="28"/>
      <c r="VMS31" s="28"/>
      <c r="VMT31" s="28"/>
      <c r="VMU31" s="28"/>
      <c r="VMV31" s="28"/>
      <c r="VMW31" s="28"/>
      <c r="VMX31" s="28"/>
      <c r="VMY31" s="28"/>
      <c r="VMZ31" s="28"/>
      <c r="VNA31" s="28"/>
      <c r="VNB31" s="28"/>
      <c r="VNC31" s="28"/>
      <c r="VND31" s="28"/>
      <c r="VNE31" s="28"/>
      <c r="VNF31" s="28"/>
      <c r="VNG31" s="28"/>
      <c r="VNH31" s="28"/>
      <c r="VNI31" s="28"/>
      <c r="VNJ31" s="28"/>
      <c r="VNK31" s="28"/>
      <c r="VNL31" s="28"/>
      <c r="VNM31" s="28"/>
      <c r="VNN31" s="28"/>
      <c r="VNO31" s="28"/>
      <c r="VNP31" s="28"/>
      <c r="VNQ31" s="28"/>
      <c r="VNR31" s="28"/>
      <c r="VNS31" s="28"/>
      <c r="VNT31" s="28"/>
      <c r="VNU31" s="28"/>
      <c r="VNV31" s="28"/>
      <c r="VNW31" s="28"/>
      <c r="VNX31" s="28"/>
      <c r="VNY31" s="28"/>
      <c r="VNZ31" s="28"/>
      <c r="VOA31" s="28"/>
      <c r="VOB31" s="28"/>
      <c r="VOC31" s="28"/>
      <c r="VOD31" s="28"/>
      <c r="VOE31" s="28"/>
      <c r="VOF31" s="28"/>
      <c r="VOG31" s="28"/>
      <c r="VOH31" s="28"/>
      <c r="VOI31" s="28"/>
      <c r="VOJ31" s="28"/>
      <c r="VOK31" s="28"/>
      <c r="VOL31" s="28"/>
      <c r="VOM31" s="28"/>
      <c r="VON31" s="28"/>
      <c r="VOO31" s="28"/>
      <c r="VOP31" s="28"/>
      <c r="VOQ31" s="28"/>
      <c r="VOR31" s="28"/>
      <c r="VOS31" s="28"/>
      <c r="VOT31" s="28"/>
      <c r="VOU31" s="28"/>
      <c r="VOV31" s="28"/>
      <c r="VOW31" s="28"/>
      <c r="VOX31" s="28"/>
      <c r="VOY31" s="28"/>
      <c r="VOZ31" s="28"/>
      <c r="VPA31" s="28"/>
      <c r="VPB31" s="28"/>
      <c r="VPC31" s="28"/>
      <c r="VPD31" s="28"/>
      <c r="VPE31" s="28"/>
      <c r="VPF31" s="28"/>
      <c r="VPG31" s="28"/>
      <c r="VPH31" s="28"/>
      <c r="VPI31" s="28"/>
      <c r="VPJ31" s="28"/>
      <c r="VPK31" s="28"/>
      <c r="VPL31" s="28"/>
      <c r="VPM31" s="28"/>
      <c r="VPN31" s="28"/>
      <c r="VPO31" s="28"/>
      <c r="VPP31" s="28"/>
      <c r="VPQ31" s="28"/>
      <c r="VPR31" s="28"/>
      <c r="VPS31" s="28"/>
      <c r="VPT31" s="28"/>
      <c r="VPU31" s="28"/>
      <c r="VPV31" s="28"/>
      <c r="VPW31" s="28"/>
      <c r="VPX31" s="28"/>
      <c r="VPY31" s="28"/>
      <c r="VPZ31" s="28"/>
      <c r="VQA31" s="28"/>
      <c r="VQB31" s="28"/>
      <c r="VQC31" s="28"/>
      <c r="VQD31" s="28"/>
      <c r="VQE31" s="28"/>
      <c r="VQF31" s="28"/>
      <c r="VQG31" s="28"/>
      <c r="VQH31" s="28"/>
      <c r="VQI31" s="28"/>
      <c r="VQJ31" s="28"/>
      <c r="VQK31" s="28"/>
      <c r="VQL31" s="28"/>
      <c r="VQM31" s="28"/>
      <c r="VQN31" s="28"/>
      <c r="VQO31" s="28"/>
      <c r="VQP31" s="28"/>
      <c r="VQQ31" s="28"/>
      <c r="VQR31" s="28"/>
      <c r="VQS31" s="28"/>
      <c r="VQT31" s="28"/>
      <c r="VQU31" s="28"/>
      <c r="VQV31" s="28"/>
      <c r="VQW31" s="28"/>
      <c r="VQX31" s="28"/>
      <c r="VQY31" s="28"/>
      <c r="VQZ31" s="28"/>
      <c r="VRA31" s="28"/>
      <c r="VRB31" s="28"/>
      <c r="VRC31" s="28"/>
      <c r="VRD31" s="28"/>
      <c r="VRE31" s="28"/>
      <c r="VRF31" s="28"/>
      <c r="VRG31" s="28"/>
      <c r="VRH31" s="28"/>
      <c r="VRI31" s="28"/>
      <c r="VRJ31" s="28"/>
      <c r="VRK31" s="28"/>
      <c r="VRL31" s="28"/>
      <c r="VRM31" s="28"/>
      <c r="VRN31" s="28"/>
      <c r="VRO31" s="28"/>
      <c r="VRP31" s="28"/>
      <c r="VRQ31" s="28"/>
      <c r="VRR31" s="28"/>
      <c r="VRS31" s="28"/>
      <c r="VRT31" s="28"/>
      <c r="VRU31" s="28"/>
      <c r="VRV31" s="28"/>
      <c r="VRW31" s="28"/>
      <c r="VRX31" s="28"/>
      <c r="VRY31" s="28"/>
      <c r="VRZ31" s="28"/>
      <c r="VSA31" s="28"/>
      <c r="VSB31" s="28"/>
      <c r="VSC31" s="28"/>
      <c r="VSD31" s="28"/>
      <c r="VSE31" s="28"/>
      <c r="VSF31" s="28"/>
      <c r="VSG31" s="28"/>
      <c r="VSH31" s="28"/>
      <c r="VSI31" s="28"/>
      <c r="VSJ31" s="28"/>
      <c r="VSK31" s="28"/>
      <c r="VSL31" s="28"/>
      <c r="VSM31" s="28"/>
      <c r="VSN31" s="28"/>
      <c r="VSO31" s="28"/>
      <c r="VSP31" s="28"/>
      <c r="VSQ31" s="28"/>
      <c r="VSR31" s="28"/>
      <c r="VSS31" s="28"/>
      <c r="VST31" s="28"/>
      <c r="VSU31" s="28"/>
      <c r="VSV31" s="28"/>
      <c r="VSW31" s="28"/>
      <c r="VSX31" s="28"/>
      <c r="VSY31" s="28"/>
      <c r="VSZ31" s="28"/>
      <c r="VTA31" s="28"/>
      <c r="VTB31" s="28"/>
      <c r="VTC31" s="28"/>
      <c r="VTD31" s="28"/>
      <c r="VTE31" s="28"/>
      <c r="VTF31" s="28"/>
      <c r="VTG31" s="28"/>
      <c r="VTH31" s="28"/>
      <c r="VTI31" s="28"/>
      <c r="VTJ31" s="28"/>
      <c r="VTK31" s="28"/>
      <c r="VTL31" s="28"/>
      <c r="VTM31" s="28"/>
      <c r="VTN31" s="28"/>
      <c r="VTO31" s="28"/>
      <c r="VTP31" s="28"/>
      <c r="VTQ31" s="28"/>
      <c r="VTR31" s="28"/>
      <c r="VTS31" s="28"/>
      <c r="VTT31" s="28"/>
      <c r="VTU31" s="28"/>
      <c r="VTV31" s="28"/>
      <c r="VTW31" s="28"/>
      <c r="VTX31" s="28"/>
      <c r="VTY31" s="28"/>
      <c r="VTZ31" s="28"/>
      <c r="VUA31" s="28"/>
      <c r="VUB31" s="28"/>
      <c r="VUC31" s="28"/>
      <c r="VUD31" s="28"/>
      <c r="VUE31" s="28"/>
      <c r="VUF31" s="28"/>
      <c r="VUG31" s="28"/>
      <c r="VUH31" s="28"/>
      <c r="VUI31" s="28"/>
      <c r="VUJ31" s="28"/>
      <c r="VUK31" s="28"/>
      <c r="VUL31" s="28"/>
      <c r="VUM31" s="28"/>
      <c r="VUN31" s="28"/>
      <c r="VUO31" s="28"/>
      <c r="VUP31" s="28"/>
      <c r="VUQ31" s="28"/>
      <c r="VUR31" s="28"/>
      <c r="VUS31" s="28"/>
      <c r="VUT31" s="28"/>
      <c r="VUU31" s="28"/>
      <c r="VUV31" s="28"/>
      <c r="VUW31" s="28"/>
      <c r="VUX31" s="28"/>
      <c r="VUY31" s="28"/>
      <c r="VUZ31" s="28"/>
      <c r="VVA31" s="28"/>
      <c r="VVB31" s="28"/>
      <c r="VVC31" s="28"/>
      <c r="VVD31" s="28"/>
      <c r="VVE31" s="28"/>
      <c r="VVF31" s="28"/>
      <c r="VVG31" s="28"/>
      <c r="VVH31" s="28"/>
      <c r="VVI31" s="28"/>
      <c r="VVJ31" s="28"/>
      <c r="VVK31" s="28"/>
      <c r="VVL31" s="28"/>
      <c r="VVM31" s="28"/>
      <c r="VVN31" s="28"/>
      <c r="VVO31" s="28"/>
      <c r="VVP31" s="28"/>
      <c r="VVQ31" s="28"/>
      <c r="VVR31" s="28"/>
      <c r="VVS31" s="28"/>
      <c r="VVT31" s="28"/>
      <c r="VVU31" s="28"/>
      <c r="VVV31" s="28"/>
      <c r="VVW31" s="28"/>
      <c r="VVX31" s="28"/>
      <c r="VVY31" s="28"/>
      <c r="VVZ31" s="28"/>
      <c r="VWA31" s="28"/>
      <c r="VWB31" s="28"/>
      <c r="VWC31" s="28"/>
      <c r="VWD31" s="28"/>
      <c r="VWE31" s="28"/>
      <c r="VWF31" s="28"/>
      <c r="VWG31" s="28"/>
      <c r="VWH31" s="28"/>
      <c r="VWI31" s="28"/>
      <c r="VWJ31" s="28"/>
      <c r="VWK31" s="28"/>
      <c r="VWL31" s="28"/>
      <c r="VWM31" s="28"/>
      <c r="VWN31" s="28"/>
      <c r="VWO31" s="28"/>
      <c r="VWP31" s="28"/>
      <c r="VWQ31" s="28"/>
      <c r="VWR31" s="28"/>
      <c r="VWS31" s="28"/>
      <c r="VWT31" s="28"/>
      <c r="VWU31" s="28"/>
      <c r="VWV31" s="28"/>
      <c r="VWW31" s="28"/>
      <c r="VWX31" s="28"/>
      <c r="VWY31" s="28"/>
      <c r="VWZ31" s="28"/>
      <c r="VXA31" s="28"/>
      <c r="VXB31" s="28"/>
      <c r="VXC31" s="28"/>
      <c r="VXD31" s="28"/>
      <c r="VXE31" s="28"/>
      <c r="VXF31" s="28"/>
      <c r="VXG31" s="28"/>
      <c r="VXH31" s="28"/>
      <c r="VXI31" s="28"/>
      <c r="VXJ31" s="28"/>
      <c r="VXK31" s="28"/>
      <c r="VXL31" s="28"/>
      <c r="VXM31" s="28"/>
      <c r="VXN31" s="28"/>
      <c r="VXO31" s="28"/>
      <c r="VXP31" s="28"/>
      <c r="VXQ31" s="28"/>
      <c r="VXR31" s="28"/>
      <c r="VXS31" s="28"/>
      <c r="VXT31" s="28"/>
      <c r="VXU31" s="28"/>
      <c r="VXV31" s="28"/>
      <c r="VXW31" s="28"/>
      <c r="VXX31" s="28"/>
      <c r="VXY31" s="28"/>
      <c r="VXZ31" s="28"/>
      <c r="VYA31" s="28"/>
      <c r="VYB31" s="28"/>
      <c r="VYC31" s="28"/>
      <c r="VYD31" s="28"/>
      <c r="VYE31" s="28"/>
      <c r="VYF31" s="28"/>
      <c r="VYG31" s="28"/>
      <c r="VYH31" s="28"/>
      <c r="VYI31" s="28"/>
      <c r="VYJ31" s="28"/>
      <c r="VYK31" s="28"/>
      <c r="VYL31" s="28"/>
      <c r="VYM31" s="28"/>
      <c r="VYN31" s="28"/>
      <c r="VYO31" s="28"/>
      <c r="VYP31" s="28"/>
      <c r="VYQ31" s="28"/>
      <c r="VYR31" s="28"/>
      <c r="VYS31" s="28"/>
      <c r="VYT31" s="28"/>
      <c r="VYU31" s="28"/>
      <c r="VYV31" s="28"/>
      <c r="VYW31" s="28"/>
      <c r="VYX31" s="28"/>
      <c r="VYY31" s="28"/>
      <c r="VYZ31" s="28"/>
      <c r="VZA31" s="28"/>
      <c r="VZB31" s="28"/>
      <c r="VZC31" s="28"/>
      <c r="VZD31" s="28"/>
      <c r="VZE31" s="28"/>
      <c r="VZF31" s="28"/>
      <c r="VZG31" s="28"/>
      <c r="VZH31" s="28"/>
      <c r="VZI31" s="28"/>
      <c r="VZJ31" s="28"/>
      <c r="VZK31" s="28"/>
      <c r="VZL31" s="28"/>
      <c r="VZM31" s="28"/>
      <c r="VZN31" s="28"/>
      <c r="VZO31" s="28"/>
      <c r="VZP31" s="28"/>
      <c r="VZQ31" s="28"/>
      <c r="VZR31" s="28"/>
      <c r="VZS31" s="28"/>
      <c r="VZT31" s="28"/>
      <c r="VZU31" s="28"/>
      <c r="VZV31" s="28"/>
      <c r="VZW31" s="28"/>
      <c r="VZX31" s="28"/>
      <c r="VZY31" s="28"/>
      <c r="VZZ31" s="28"/>
      <c r="WAA31" s="28"/>
      <c r="WAB31" s="28"/>
      <c r="WAC31" s="28"/>
      <c r="WAD31" s="28"/>
      <c r="WAE31" s="28"/>
      <c r="WAF31" s="28"/>
      <c r="WAG31" s="28"/>
      <c r="WAH31" s="28"/>
      <c r="WAI31" s="28"/>
      <c r="WAJ31" s="28"/>
      <c r="WAK31" s="28"/>
      <c r="WAL31" s="28"/>
      <c r="WAM31" s="28"/>
      <c r="WAN31" s="28"/>
      <c r="WAO31" s="28"/>
      <c r="WAP31" s="28"/>
      <c r="WAQ31" s="28"/>
      <c r="WAR31" s="28"/>
      <c r="WAS31" s="28"/>
      <c r="WAT31" s="28"/>
      <c r="WAU31" s="28"/>
      <c r="WAV31" s="28"/>
      <c r="WAW31" s="28"/>
      <c r="WAX31" s="28"/>
      <c r="WAY31" s="28"/>
      <c r="WAZ31" s="28"/>
      <c r="WBA31" s="28"/>
      <c r="WBB31" s="28"/>
      <c r="WBC31" s="28"/>
      <c r="WBD31" s="28"/>
      <c r="WBE31" s="28"/>
      <c r="WBF31" s="28"/>
      <c r="WBG31" s="28"/>
      <c r="WBH31" s="28"/>
      <c r="WBI31" s="28"/>
      <c r="WBJ31" s="28"/>
      <c r="WBK31" s="28"/>
      <c r="WBL31" s="28"/>
      <c r="WBM31" s="28"/>
      <c r="WBN31" s="28"/>
      <c r="WBO31" s="28"/>
      <c r="WBP31" s="28"/>
      <c r="WBQ31" s="28"/>
      <c r="WBR31" s="28"/>
      <c r="WBS31" s="28"/>
      <c r="WBT31" s="28"/>
      <c r="WBU31" s="28"/>
      <c r="WBV31" s="28"/>
      <c r="WBW31" s="28"/>
      <c r="WBX31" s="28"/>
      <c r="WBY31" s="28"/>
      <c r="WBZ31" s="28"/>
      <c r="WCA31" s="28"/>
      <c r="WCB31" s="28"/>
      <c r="WCC31" s="28"/>
      <c r="WCD31" s="28"/>
      <c r="WCE31" s="28"/>
      <c r="WCF31" s="28"/>
      <c r="WCG31" s="28"/>
      <c r="WCH31" s="28"/>
      <c r="WCI31" s="28"/>
      <c r="WCJ31" s="28"/>
      <c r="WCK31" s="28"/>
      <c r="WCL31" s="28"/>
      <c r="WCM31" s="28"/>
      <c r="WCN31" s="28"/>
      <c r="WCO31" s="28"/>
      <c r="WCP31" s="28"/>
      <c r="WCQ31" s="28"/>
      <c r="WCR31" s="28"/>
      <c r="WCS31" s="28"/>
      <c r="WCT31" s="28"/>
      <c r="WCU31" s="28"/>
      <c r="WCV31" s="28"/>
      <c r="WCW31" s="28"/>
      <c r="WCX31" s="28"/>
      <c r="WCY31" s="28"/>
      <c r="WCZ31" s="28"/>
      <c r="WDA31" s="28"/>
      <c r="WDB31" s="28"/>
      <c r="WDC31" s="28"/>
      <c r="WDD31" s="28"/>
      <c r="WDE31" s="28"/>
      <c r="WDF31" s="28"/>
      <c r="WDG31" s="28"/>
      <c r="WDH31" s="28"/>
      <c r="WDI31" s="28"/>
      <c r="WDJ31" s="28"/>
      <c r="WDK31" s="28"/>
      <c r="WDL31" s="28"/>
      <c r="WDM31" s="28"/>
      <c r="WDN31" s="28"/>
      <c r="WDO31" s="28"/>
      <c r="WDP31" s="28"/>
      <c r="WDQ31" s="28"/>
      <c r="WDR31" s="28"/>
      <c r="WDS31" s="28"/>
      <c r="WDT31" s="28"/>
      <c r="WDU31" s="28"/>
      <c r="WDV31" s="28"/>
      <c r="WDW31" s="28"/>
      <c r="WDX31" s="28"/>
      <c r="WDY31" s="28"/>
      <c r="WDZ31" s="28"/>
      <c r="WEA31" s="28"/>
      <c r="WEB31" s="28"/>
      <c r="WEC31" s="28"/>
      <c r="WED31" s="28"/>
      <c r="WEE31" s="28"/>
      <c r="WEF31" s="28"/>
      <c r="WEG31" s="28"/>
      <c r="WEH31" s="28"/>
      <c r="WEI31" s="28"/>
      <c r="WEJ31" s="28"/>
      <c r="WEK31" s="28"/>
      <c r="WEL31" s="28"/>
      <c r="WEM31" s="28"/>
      <c r="WEN31" s="28"/>
      <c r="WEO31" s="28"/>
      <c r="WEP31" s="28"/>
      <c r="WEQ31" s="28"/>
      <c r="WER31" s="28"/>
      <c r="WES31" s="28"/>
      <c r="WET31" s="28"/>
      <c r="WEU31" s="28"/>
      <c r="WEV31" s="28"/>
      <c r="WEW31" s="28"/>
      <c r="WEX31" s="28"/>
      <c r="WEY31" s="28"/>
      <c r="WEZ31" s="28"/>
      <c r="WFA31" s="28"/>
      <c r="WFB31" s="28"/>
      <c r="WFC31" s="28"/>
      <c r="WFD31" s="28"/>
      <c r="WFE31" s="28"/>
      <c r="WFF31" s="28"/>
      <c r="WFG31" s="28"/>
      <c r="WFH31" s="28"/>
      <c r="WFI31" s="28"/>
      <c r="WFJ31" s="28"/>
      <c r="WFK31" s="28"/>
      <c r="WFL31" s="28"/>
      <c r="WFM31" s="28"/>
      <c r="WFN31" s="28"/>
      <c r="WFO31" s="28"/>
      <c r="WFP31" s="28"/>
      <c r="WFQ31" s="28"/>
      <c r="WFR31" s="28"/>
      <c r="WFS31" s="28"/>
      <c r="WFT31" s="28"/>
      <c r="WFU31" s="28"/>
      <c r="WFV31" s="28"/>
      <c r="WFW31" s="28"/>
      <c r="WFX31" s="28"/>
      <c r="WFY31" s="28"/>
      <c r="WFZ31" s="28"/>
      <c r="WGA31" s="28"/>
      <c r="WGB31" s="28"/>
      <c r="WGC31" s="28"/>
      <c r="WGD31" s="28"/>
      <c r="WGE31" s="28"/>
      <c r="WGF31" s="28"/>
      <c r="WGG31" s="28"/>
      <c r="WGH31" s="28"/>
      <c r="WGI31" s="28"/>
      <c r="WGJ31" s="28"/>
      <c r="WGK31" s="28"/>
      <c r="WGL31" s="28"/>
      <c r="WGM31" s="28"/>
      <c r="WGN31" s="28"/>
      <c r="WGO31" s="28"/>
      <c r="WGP31" s="28"/>
      <c r="WGQ31" s="28"/>
      <c r="WGR31" s="28"/>
      <c r="WGS31" s="28"/>
      <c r="WGT31" s="28"/>
      <c r="WGU31" s="28"/>
      <c r="WGV31" s="28"/>
      <c r="WGW31" s="28"/>
      <c r="WGX31" s="28"/>
      <c r="WGY31" s="28"/>
      <c r="WGZ31" s="28"/>
      <c r="WHA31" s="28"/>
      <c r="WHB31" s="28"/>
      <c r="WHC31" s="28"/>
      <c r="WHD31" s="28"/>
      <c r="WHE31" s="28"/>
      <c r="WHF31" s="28"/>
      <c r="WHG31" s="28"/>
      <c r="WHH31" s="28"/>
      <c r="WHI31" s="28"/>
      <c r="WHJ31" s="28"/>
      <c r="WHK31" s="28"/>
      <c r="WHL31" s="28"/>
      <c r="WHM31" s="28"/>
      <c r="WHN31" s="28"/>
      <c r="WHO31" s="28"/>
      <c r="WHP31" s="28"/>
      <c r="WHQ31" s="28"/>
      <c r="WHR31" s="28"/>
      <c r="WHS31" s="28"/>
      <c r="WHT31" s="28"/>
      <c r="WHU31" s="28"/>
      <c r="WHV31" s="28"/>
      <c r="WHW31" s="28"/>
      <c r="WHX31" s="28"/>
      <c r="WHY31" s="28"/>
      <c r="WHZ31" s="28"/>
      <c r="WIA31" s="28"/>
      <c r="WIB31" s="28"/>
      <c r="WIC31" s="28"/>
      <c r="WID31" s="28"/>
      <c r="WIE31" s="28"/>
      <c r="WIF31" s="28"/>
      <c r="WIG31" s="28"/>
      <c r="WIH31" s="28"/>
      <c r="WII31" s="28"/>
      <c r="WIJ31" s="28"/>
      <c r="WIK31" s="28"/>
      <c r="WIL31" s="28"/>
      <c r="WIM31" s="28"/>
      <c r="WIN31" s="28"/>
      <c r="WIO31" s="28"/>
      <c r="WIP31" s="28"/>
      <c r="WIQ31" s="28"/>
      <c r="WIR31" s="28"/>
      <c r="WIS31" s="28"/>
      <c r="WIT31" s="28"/>
      <c r="WIU31" s="28"/>
      <c r="WIV31" s="28"/>
      <c r="WIW31" s="28"/>
      <c r="WIX31" s="28"/>
      <c r="WIY31" s="28"/>
      <c r="WIZ31" s="28"/>
      <c r="WJA31" s="28"/>
      <c r="WJB31" s="28"/>
      <c r="WJC31" s="28"/>
      <c r="WJD31" s="28"/>
      <c r="WJE31" s="28"/>
      <c r="WJF31" s="28"/>
      <c r="WJG31" s="28"/>
      <c r="WJH31" s="28"/>
      <c r="WJI31" s="28"/>
      <c r="WJJ31" s="28"/>
      <c r="WJK31" s="28"/>
      <c r="WJL31" s="28"/>
      <c r="WJM31" s="28"/>
      <c r="WJN31" s="28"/>
      <c r="WJO31" s="28"/>
      <c r="WJP31" s="28"/>
      <c r="WJQ31" s="28"/>
      <c r="WJR31" s="28"/>
      <c r="WJS31" s="28"/>
      <c r="WJT31" s="28"/>
      <c r="WJU31" s="28"/>
      <c r="WJV31" s="28"/>
      <c r="WJW31" s="28"/>
      <c r="WJX31" s="28"/>
      <c r="WJY31" s="28"/>
      <c r="WJZ31" s="28"/>
      <c r="WKA31" s="28"/>
      <c r="WKB31" s="28"/>
      <c r="WKC31" s="28"/>
      <c r="WKD31" s="28"/>
      <c r="WKE31" s="28"/>
      <c r="WKF31" s="28"/>
      <c r="WKG31" s="28"/>
      <c r="WKH31" s="28"/>
      <c r="WKI31" s="28"/>
      <c r="WKJ31" s="28"/>
      <c r="WKK31" s="28"/>
      <c r="WKL31" s="28"/>
      <c r="WKM31" s="28"/>
      <c r="WKN31" s="28"/>
      <c r="WKO31" s="28"/>
      <c r="WKP31" s="28"/>
      <c r="WKQ31" s="28"/>
      <c r="WKR31" s="28"/>
      <c r="WKS31" s="28"/>
      <c r="WKT31" s="28"/>
      <c r="WKU31" s="28"/>
      <c r="WKV31" s="28"/>
      <c r="WKW31" s="28"/>
      <c r="WKX31" s="28"/>
      <c r="WKY31" s="28"/>
      <c r="WKZ31" s="28"/>
      <c r="WLA31" s="28"/>
      <c r="WLB31" s="28"/>
      <c r="WLC31" s="28"/>
      <c r="WLD31" s="28"/>
      <c r="WLE31" s="28"/>
      <c r="WLF31" s="28"/>
      <c r="WLG31" s="28"/>
      <c r="WLH31" s="28"/>
      <c r="WLI31" s="28"/>
      <c r="WLJ31" s="28"/>
      <c r="WLK31" s="28"/>
      <c r="WLL31" s="28"/>
      <c r="WLM31" s="28"/>
      <c r="WLN31" s="28"/>
      <c r="WLO31" s="28"/>
      <c r="WLP31" s="28"/>
      <c r="WLQ31" s="28"/>
      <c r="WLR31" s="28"/>
      <c r="WLS31" s="28"/>
      <c r="WLT31" s="28"/>
      <c r="WLU31" s="28"/>
      <c r="WLV31" s="28"/>
      <c r="WLW31" s="28"/>
      <c r="WLX31" s="28"/>
      <c r="WLY31" s="28"/>
      <c r="WLZ31" s="28"/>
      <c r="WMA31" s="28"/>
      <c r="WMB31" s="28"/>
      <c r="WMC31" s="28"/>
      <c r="WMD31" s="28"/>
      <c r="WME31" s="28"/>
      <c r="WMF31" s="28"/>
      <c r="WMG31" s="28"/>
      <c r="WMH31" s="28"/>
      <c r="WMI31" s="28"/>
      <c r="WMJ31" s="28"/>
      <c r="WMK31" s="28"/>
      <c r="WML31" s="28"/>
      <c r="WMM31" s="28"/>
      <c r="WMN31" s="28"/>
      <c r="WMO31" s="28"/>
      <c r="WMP31" s="28"/>
      <c r="WMQ31" s="28"/>
      <c r="WMR31" s="28"/>
      <c r="WMS31" s="28"/>
      <c r="WMT31" s="28"/>
      <c r="WMU31" s="28"/>
      <c r="WMV31" s="28"/>
      <c r="WMW31" s="28"/>
      <c r="WMX31" s="28"/>
      <c r="WMY31" s="28"/>
      <c r="WMZ31" s="28"/>
      <c r="WNA31" s="28"/>
      <c r="WNB31" s="28"/>
      <c r="WNC31" s="28"/>
      <c r="WND31" s="28"/>
      <c r="WNE31" s="28"/>
      <c r="WNF31" s="28"/>
      <c r="WNG31" s="28"/>
      <c r="WNH31" s="28"/>
      <c r="WNI31" s="28"/>
      <c r="WNJ31" s="28"/>
      <c r="WNK31" s="28"/>
      <c r="WNL31" s="28"/>
      <c r="WNM31" s="28"/>
      <c r="WNN31" s="28"/>
      <c r="WNO31" s="28"/>
      <c r="WNP31" s="28"/>
      <c r="WNQ31" s="28"/>
      <c r="WNR31" s="28"/>
      <c r="WNS31" s="28"/>
      <c r="WNT31" s="28"/>
      <c r="WNU31" s="28"/>
      <c r="WNV31" s="28"/>
      <c r="WNW31" s="28"/>
      <c r="WNX31" s="28"/>
      <c r="WNY31" s="28"/>
      <c r="WNZ31" s="28"/>
      <c r="WOA31" s="28"/>
      <c r="WOB31" s="28"/>
      <c r="WOC31" s="28"/>
      <c r="WOD31" s="28"/>
      <c r="WOE31" s="28"/>
      <c r="WOF31" s="28"/>
      <c r="WOG31" s="28"/>
      <c r="WOH31" s="28"/>
      <c r="WOI31" s="28"/>
      <c r="WOJ31" s="28"/>
      <c r="WOK31" s="28"/>
      <c r="WOL31" s="28"/>
      <c r="WOM31" s="28"/>
      <c r="WON31" s="28"/>
      <c r="WOO31" s="28"/>
      <c r="WOP31" s="28"/>
      <c r="WOQ31" s="28"/>
      <c r="WOR31" s="28"/>
      <c r="WOS31" s="28"/>
      <c r="WOT31" s="28"/>
      <c r="WOU31" s="28"/>
      <c r="WOV31" s="28"/>
      <c r="WOW31" s="28"/>
      <c r="WOX31" s="28"/>
      <c r="WOY31" s="28"/>
      <c r="WOZ31" s="28"/>
      <c r="WPA31" s="28"/>
      <c r="WPB31" s="28"/>
      <c r="WPC31" s="28"/>
      <c r="WPD31" s="28"/>
      <c r="WPE31" s="28"/>
      <c r="WPF31" s="28"/>
      <c r="WPG31" s="28"/>
      <c r="WPH31" s="28"/>
      <c r="WPI31" s="28"/>
      <c r="WPJ31" s="28"/>
      <c r="WPK31" s="28"/>
      <c r="WPL31" s="28"/>
      <c r="WPM31" s="28"/>
      <c r="WPN31" s="28"/>
      <c r="WPO31" s="28"/>
      <c r="WPP31" s="28"/>
      <c r="WPQ31" s="28"/>
      <c r="WPR31" s="28"/>
      <c r="WPS31" s="28"/>
      <c r="WPT31" s="28"/>
      <c r="WPU31" s="28"/>
      <c r="WPV31" s="28"/>
      <c r="WPW31" s="28"/>
      <c r="WPX31" s="28"/>
      <c r="WPY31" s="28"/>
      <c r="WPZ31" s="28"/>
      <c r="WQA31" s="28"/>
      <c r="WQB31" s="28"/>
      <c r="WQC31" s="28"/>
      <c r="WQD31" s="28"/>
      <c r="WQE31" s="28"/>
      <c r="WQF31" s="28"/>
      <c r="WQG31" s="28"/>
      <c r="WQH31" s="28"/>
      <c r="WQI31" s="28"/>
      <c r="WQJ31" s="28"/>
      <c r="WQK31" s="28"/>
      <c r="WQL31" s="28"/>
      <c r="WQM31" s="28"/>
      <c r="WQN31" s="28"/>
      <c r="WQO31" s="28"/>
      <c r="WQP31" s="28"/>
      <c r="WQQ31" s="28"/>
      <c r="WQR31" s="28"/>
      <c r="WQS31" s="28"/>
      <c r="WQT31" s="28"/>
      <c r="WQU31" s="28"/>
      <c r="WQV31" s="28"/>
      <c r="WQW31" s="28"/>
      <c r="WQX31" s="28"/>
      <c r="WQY31" s="28"/>
      <c r="WQZ31" s="28"/>
      <c r="WRA31" s="28"/>
      <c r="WRB31" s="28"/>
      <c r="WRC31" s="28"/>
      <c r="WRD31" s="28"/>
      <c r="WRE31" s="28"/>
      <c r="WRF31" s="28"/>
      <c r="WRG31" s="28"/>
      <c r="WRH31" s="28"/>
      <c r="WRI31" s="28"/>
      <c r="WRJ31" s="28"/>
      <c r="WRK31" s="28"/>
      <c r="WRL31" s="28"/>
      <c r="WRM31" s="28"/>
      <c r="WRN31" s="28"/>
      <c r="WRO31" s="28"/>
      <c r="WRP31" s="28"/>
      <c r="WRQ31" s="28"/>
      <c r="WRR31" s="28"/>
      <c r="WRS31" s="28"/>
      <c r="WRT31" s="28"/>
      <c r="WRU31" s="28"/>
      <c r="WRV31" s="28"/>
      <c r="WRW31" s="28"/>
      <c r="WRX31" s="28"/>
      <c r="WRY31" s="28"/>
      <c r="WRZ31" s="28"/>
      <c r="WSA31" s="28"/>
      <c r="WSB31" s="28"/>
      <c r="WSC31" s="28"/>
      <c r="WSD31" s="28"/>
      <c r="WSE31" s="28"/>
      <c r="WSF31" s="28"/>
      <c r="WSG31" s="28"/>
      <c r="WSH31" s="28"/>
      <c r="WSI31" s="28"/>
      <c r="WSJ31" s="28"/>
      <c r="WSK31" s="28"/>
      <c r="WSL31" s="28"/>
      <c r="WSM31" s="28"/>
      <c r="WSN31" s="28"/>
      <c r="WSO31" s="28"/>
      <c r="WSP31" s="28"/>
      <c r="WSQ31" s="28"/>
      <c r="WSR31" s="28"/>
      <c r="WSS31" s="28"/>
      <c r="WST31" s="28"/>
      <c r="WSU31" s="28"/>
      <c r="WSV31" s="28"/>
      <c r="WSW31" s="28"/>
      <c r="WSX31" s="28"/>
      <c r="WSY31" s="28"/>
      <c r="WSZ31" s="28"/>
      <c r="WTA31" s="28"/>
      <c r="WTB31" s="28"/>
      <c r="WTC31" s="28"/>
      <c r="WTD31" s="28"/>
      <c r="WTE31" s="28"/>
      <c r="WTF31" s="28"/>
      <c r="WTG31" s="28"/>
      <c r="WTH31" s="28"/>
      <c r="WTI31" s="28"/>
      <c r="WTJ31" s="28"/>
      <c r="WTK31" s="28"/>
      <c r="WTL31" s="28"/>
      <c r="WTM31" s="28"/>
      <c r="WTN31" s="28"/>
      <c r="WTO31" s="28"/>
      <c r="WTP31" s="28"/>
      <c r="WTQ31" s="28"/>
      <c r="WTR31" s="28"/>
      <c r="WTS31" s="28"/>
      <c r="WTT31" s="28"/>
      <c r="WTU31" s="28"/>
      <c r="WTV31" s="28"/>
      <c r="WTW31" s="28"/>
      <c r="WTX31" s="28"/>
      <c r="WTY31" s="28"/>
      <c r="WTZ31" s="28"/>
      <c r="WUA31" s="28"/>
      <c r="WUB31" s="28"/>
      <c r="WUC31" s="28"/>
      <c r="WUD31" s="28"/>
      <c r="WUE31" s="28"/>
      <c r="WUF31" s="28"/>
      <c r="WUG31" s="28"/>
      <c r="WUH31" s="28"/>
      <c r="WUI31" s="28"/>
      <c r="WUJ31" s="28"/>
      <c r="WUK31" s="28"/>
      <c r="WUL31" s="28"/>
      <c r="WUM31" s="28"/>
      <c r="WUN31" s="28"/>
      <c r="WUO31" s="28"/>
      <c r="WUP31" s="28"/>
      <c r="WUQ31" s="28"/>
      <c r="WUR31" s="28"/>
      <c r="WUS31" s="28"/>
      <c r="WUT31" s="28"/>
      <c r="WUU31" s="28"/>
      <c r="WUV31" s="28"/>
      <c r="WUW31" s="28"/>
      <c r="WUX31" s="28"/>
      <c r="WUY31" s="28"/>
      <c r="WUZ31" s="28"/>
      <c r="WVA31" s="28"/>
      <c r="WVB31" s="28"/>
      <c r="WVC31" s="28"/>
      <c r="WVD31" s="28"/>
      <c r="WVE31" s="28"/>
      <c r="WVF31" s="28"/>
      <c r="WVG31" s="28"/>
      <c r="WVH31" s="28"/>
      <c r="WVI31" s="28"/>
      <c r="WVJ31" s="28"/>
      <c r="WVK31" s="28"/>
      <c r="WVL31" s="28"/>
      <c r="WVM31" s="28"/>
      <c r="WVN31" s="28"/>
      <c r="WVO31" s="28"/>
      <c r="WVP31" s="28"/>
      <c r="WVQ31" s="28"/>
      <c r="WVR31" s="28"/>
      <c r="WVS31" s="28"/>
      <c r="WVT31" s="28"/>
      <c r="WVU31" s="28"/>
      <c r="WVV31" s="28"/>
      <c r="WVW31" s="28"/>
      <c r="WVX31" s="28"/>
      <c r="WVY31" s="28"/>
      <c r="WVZ31" s="28"/>
      <c r="WWA31" s="28"/>
      <c r="WWB31" s="28"/>
      <c r="WWC31" s="28"/>
      <c r="WWD31" s="28"/>
      <c r="WWE31" s="28"/>
      <c r="WWF31" s="28"/>
      <c r="WWG31" s="28"/>
      <c r="WWH31" s="28"/>
      <c r="WWI31" s="28"/>
      <c r="WWJ31" s="28"/>
      <c r="WWK31" s="28"/>
      <c r="WWL31" s="28"/>
      <c r="WWM31" s="28"/>
      <c r="WWN31" s="28"/>
      <c r="WWO31" s="28"/>
      <c r="WWP31" s="28"/>
      <c r="WWQ31" s="28"/>
      <c r="WWR31" s="28"/>
      <c r="WWS31" s="28"/>
      <c r="WWT31" s="28"/>
      <c r="WWU31" s="28"/>
      <c r="WWV31" s="28"/>
      <c r="WWW31" s="28"/>
      <c r="WWX31" s="28"/>
      <c r="WWY31" s="28"/>
      <c r="WWZ31" s="28"/>
      <c r="WXA31" s="28"/>
      <c r="WXB31" s="28"/>
      <c r="WXC31" s="28"/>
      <c r="WXD31" s="28"/>
      <c r="WXE31" s="28"/>
      <c r="WXF31" s="28"/>
      <c r="WXG31" s="28"/>
      <c r="WXH31" s="28"/>
      <c r="WXI31" s="28"/>
      <c r="WXJ31" s="28"/>
      <c r="WXK31" s="28"/>
      <c r="WXL31" s="28"/>
      <c r="WXM31" s="28"/>
      <c r="WXN31" s="28"/>
      <c r="WXO31" s="28"/>
      <c r="WXP31" s="28"/>
      <c r="WXQ31" s="28"/>
      <c r="WXR31" s="28"/>
      <c r="WXS31" s="28"/>
      <c r="WXT31" s="28"/>
      <c r="WXU31" s="28"/>
      <c r="WXV31" s="28"/>
      <c r="WXW31" s="28"/>
      <c r="WXX31" s="28"/>
      <c r="WXY31" s="28"/>
      <c r="WXZ31" s="28"/>
      <c r="WYA31" s="28"/>
      <c r="WYB31" s="28"/>
      <c r="WYC31" s="28"/>
      <c r="WYD31" s="28"/>
      <c r="WYE31" s="28"/>
      <c r="WYF31" s="28"/>
      <c r="WYG31" s="28"/>
      <c r="WYH31" s="28"/>
      <c r="WYI31" s="28"/>
      <c r="WYJ31" s="28"/>
      <c r="WYK31" s="28"/>
      <c r="WYL31" s="28"/>
      <c r="WYM31" s="28"/>
      <c r="WYN31" s="28"/>
      <c r="WYO31" s="28"/>
      <c r="WYP31" s="28"/>
      <c r="WYQ31" s="28"/>
      <c r="WYR31" s="28"/>
      <c r="WYS31" s="28"/>
      <c r="WYT31" s="28"/>
      <c r="WYU31" s="28"/>
      <c r="WYV31" s="28"/>
      <c r="WYW31" s="28"/>
      <c r="WYX31" s="28"/>
      <c r="WYY31" s="28"/>
      <c r="WYZ31" s="28"/>
      <c r="WZA31" s="28"/>
      <c r="WZB31" s="28"/>
      <c r="WZC31" s="28"/>
      <c r="WZD31" s="28"/>
      <c r="WZE31" s="28"/>
      <c r="WZF31" s="28"/>
      <c r="WZG31" s="28"/>
      <c r="WZH31" s="28"/>
      <c r="WZI31" s="28"/>
      <c r="WZJ31" s="28"/>
      <c r="WZK31" s="28"/>
      <c r="WZL31" s="28"/>
      <c r="WZM31" s="28"/>
      <c r="WZN31" s="28"/>
      <c r="WZO31" s="28"/>
      <c r="WZP31" s="28"/>
      <c r="WZQ31" s="28"/>
      <c r="WZR31" s="28"/>
      <c r="WZS31" s="28"/>
      <c r="WZT31" s="28"/>
      <c r="WZU31" s="28"/>
      <c r="WZV31" s="28"/>
      <c r="WZW31" s="28"/>
      <c r="WZX31" s="28"/>
      <c r="WZY31" s="28"/>
      <c r="WZZ31" s="28"/>
      <c r="XAA31" s="28"/>
      <c r="XAB31" s="28"/>
      <c r="XAC31" s="28"/>
      <c r="XAD31" s="28"/>
      <c r="XAE31" s="28"/>
      <c r="XAF31" s="28"/>
      <c r="XAG31" s="28"/>
      <c r="XAH31" s="28"/>
      <c r="XAI31" s="28"/>
      <c r="XAJ31" s="28"/>
      <c r="XAK31" s="28"/>
      <c r="XAL31" s="28"/>
      <c r="XAM31" s="28"/>
      <c r="XAN31" s="28"/>
      <c r="XAO31" s="28"/>
      <c r="XAP31" s="28"/>
      <c r="XAQ31" s="28"/>
      <c r="XAR31" s="28"/>
      <c r="XAS31" s="28"/>
      <c r="XAT31" s="28"/>
      <c r="XAU31" s="28"/>
      <c r="XAV31" s="28"/>
      <c r="XAW31" s="28"/>
      <c r="XAX31" s="28"/>
      <c r="XAY31" s="28"/>
      <c r="XAZ31" s="28"/>
      <c r="XBA31" s="28"/>
      <c r="XBB31" s="28"/>
      <c r="XBC31" s="28"/>
      <c r="XBD31" s="28"/>
      <c r="XBE31" s="28"/>
      <c r="XBF31" s="28"/>
      <c r="XBG31" s="28"/>
      <c r="XBH31" s="28"/>
      <c r="XBI31" s="28"/>
      <c r="XBJ31" s="28"/>
      <c r="XBK31" s="28"/>
      <c r="XBL31" s="28"/>
      <c r="XBM31" s="28"/>
      <c r="XBN31" s="28"/>
      <c r="XBO31" s="28"/>
      <c r="XBP31" s="28"/>
      <c r="XBQ31" s="28"/>
      <c r="XBR31" s="28"/>
      <c r="XBS31" s="28"/>
      <c r="XBT31" s="28"/>
      <c r="XBU31" s="28"/>
      <c r="XBV31" s="28"/>
      <c r="XBW31" s="28"/>
      <c r="XBX31" s="28"/>
      <c r="XBY31" s="28"/>
      <c r="XBZ31" s="28"/>
      <c r="XCA31" s="28"/>
      <c r="XCB31" s="28"/>
      <c r="XCC31" s="28"/>
      <c r="XCD31" s="28"/>
      <c r="XCE31" s="28"/>
      <c r="XCF31" s="28"/>
      <c r="XCG31" s="28"/>
      <c r="XCH31" s="28"/>
      <c r="XCI31" s="28"/>
      <c r="XCJ31" s="28"/>
      <c r="XCK31" s="28"/>
      <c r="XCL31" s="28"/>
      <c r="XCM31" s="28"/>
      <c r="XCN31" s="28"/>
      <c r="XCO31" s="28"/>
      <c r="XCP31" s="28"/>
      <c r="XCQ31" s="28"/>
      <c r="XCR31" s="28"/>
      <c r="XCS31" s="28"/>
      <c r="XCT31" s="28"/>
      <c r="XCU31" s="28"/>
      <c r="XCV31" s="28"/>
      <c r="XCW31" s="28"/>
      <c r="XCX31" s="28"/>
      <c r="XCY31" s="28"/>
      <c r="XCZ31" s="28"/>
      <c r="XDA31" s="28"/>
      <c r="XDB31" s="28"/>
      <c r="XDC31" s="28"/>
      <c r="XDD31" s="28"/>
      <c r="XDE31" s="28"/>
      <c r="XDF31" s="28"/>
      <c r="XDG31" s="28"/>
      <c r="XDH31" s="28"/>
      <c r="XDI31" s="28"/>
      <c r="XDJ31" s="28"/>
      <c r="XDK31" s="28"/>
      <c r="XDL31" s="28"/>
      <c r="XDM31" s="28"/>
      <c r="XDN31" s="28"/>
      <c r="XDO31" s="28"/>
      <c r="XDP31" s="28"/>
      <c r="XDQ31" s="28"/>
      <c r="XDR31" s="28"/>
      <c r="XDS31" s="28"/>
      <c r="XDT31" s="28"/>
      <c r="XDU31" s="28"/>
      <c r="XDV31" s="28"/>
      <c r="XDW31" s="28"/>
      <c r="XDX31" s="28"/>
      <c r="XDY31" s="28"/>
      <c r="XDZ31" s="28"/>
      <c r="XEA31" s="28"/>
      <c r="XEB31" s="28"/>
      <c r="XEC31" s="28"/>
      <c r="XED31" s="28"/>
      <c r="XEE31" s="28"/>
      <c r="XEF31" s="28"/>
      <c r="XEG31" s="28"/>
      <c r="XEH31" s="28"/>
      <c r="XEI31" s="28"/>
      <c r="XEJ31" s="28"/>
      <c r="XEK31" s="28"/>
      <c r="XEL31" s="28"/>
      <c r="XEM31" s="28"/>
      <c r="XEN31" s="28"/>
      <c r="XEO31" s="28"/>
      <c r="XEP31" s="28"/>
      <c r="XEQ31" s="28"/>
      <c r="XER31" s="28"/>
    </row>
    <row r="32" spans="2:16382" ht="18" customHeight="1" thickBot="1" x14ac:dyDescent="0.3">
      <c r="B32" s="237"/>
      <c r="D32" s="182" t="s">
        <v>1370</v>
      </c>
      <c r="E32" s="181">
        <f>SUM(E25:E31)</f>
        <v>840</v>
      </c>
      <c r="F32" s="181">
        <f t="shared" ref="F32:I32" si="0">SUM(F25:F31)</f>
        <v>961.35</v>
      </c>
      <c r="G32" s="181">
        <f t="shared" si="0"/>
        <v>0</v>
      </c>
      <c r="H32" s="181">
        <f t="shared" si="0"/>
        <v>0</v>
      </c>
      <c r="I32" s="181">
        <f t="shared" si="0"/>
        <v>0</v>
      </c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  <c r="BR32" s="28"/>
      <c r="BS32" s="28"/>
      <c r="BT32" s="28"/>
      <c r="BU32" s="28"/>
      <c r="BV32" s="28"/>
      <c r="BW32" s="28"/>
      <c r="BX32" s="28"/>
      <c r="BY32" s="28"/>
      <c r="BZ32" s="28"/>
      <c r="CA32" s="28"/>
      <c r="CB32" s="28"/>
      <c r="CC32" s="28"/>
      <c r="CD32" s="28"/>
      <c r="CE32" s="28"/>
      <c r="CF32" s="28"/>
      <c r="CG32" s="28"/>
      <c r="CH32" s="28"/>
      <c r="CI32" s="28"/>
      <c r="CJ32" s="28"/>
      <c r="CK32" s="28"/>
      <c r="CL32" s="28"/>
      <c r="CM32" s="28"/>
      <c r="CN32" s="28"/>
      <c r="CO32" s="28"/>
      <c r="CP32" s="28"/>
      <c r="CQ32" s="28"/>
      <c r="CR32" s="28"/>
      <c r="CS32" s="28"/>
      <c r="CT32" s="28"/>
      <c r="CU32" s="28"/>
      <c r="CV32" s="28"/>
      <c r="CW32" s="28"/>
      <c r="CX32" s="28"/>
      <c r="CY32" s="28"/>
      <c r="CZ32" s="28"/>
      <c r="DA32" s="28"/>
      <c r="DB32" s="28"/>
      <c r="DC32" s="28"/>
      <c r="DD32" s="28"/>
      <c r="DE32" s="28"/>
      <c r="DF32" s="28"/>
      <c r="DG32" s="28"/>
      <c r="DH32" s="28"/>
      <c r="DI32" s="28"/>
      <c r="DJ32" s="28"/>
      <c r="DK32" s="28"/>
      <c r="DL32" s="28"/>
      <c r="DM32" s="28"/>
      <c r="DN32" s="28"/>
      <c r="DO32" s="28"/>
      <c r="DP32" s="28"/>
      <c r="DQ32" s="28"/>
      <c r="DR32" s="28"/>
      <c r="DS32" s="28"/>
      <c r="DT32" s="28"/>
      <c r="DU32" s="28"/>
      <c r="DV32" s="28"/>
      <c r="DW32" s="28"/>
      <c r="DX32" s="28"/>
      <c r="DY32" s="28"/>
      <c r="DZ32" s="28"/>
      <c r="EA32" s="28"/>
      <c r="EB32" s="28"/>
      <c r="EC32" s="28"/>
      <c r="ED32" s="28"/>
      <c r="EE32" s="28"/>
      <c r="EF32" s="28"/>
      <c r="EG32" s="28"/>
      <c r="EH32" s="28"/>
      <c r="EI32" s="28"/>
      <c r="EJ32" s="28"/>
      <c r="EK32" s="28"/>
      <c r="EL32" s="28"/>
      <c r="EM32" s="28"/>
      <c r="EN32" s="28"/>
      <c r="EO32" s="28"/>
      <c r="EP32" s="28"/>
      <c r="EQ32" s="28"/>
      <c r="ER32" s="28"/>
      <c r="ES32" s="28"/>
      <c r="ET32" s="28"/>
      <c r="EU32" s="28"/>
      <c r="EV32" s="28"/>
      <c r="EW32" s="28"/>
      <c r="EX32" s="28"/>
      <c r="EY32" s="28"/>
      <c r="EZ32" s="28"/>
      <c r="FA32" s="28"/>
      <c r="FB32" s="28"/>
      <c r="FC32" s="28"/>
      <c r="FD32" s="28"/>
      <c r="FE32" s="28"/>
      <c r="FF32" s="28"/>
      <c r="FG32" s="28"/>
      <c r="FH32" s="28"/>
      <c r="FI32" s="28"/>
      <c r="FJ32" s="28"/>
      <c r="FK32" s="28"/>
      <c r="FL32" s="28"/>
      <c r="FM32" s="28"/>
      <c r="FN32" s="28"/>
      <c r="FO32" s="28"/>
      <c r="FP32" s="28"/>
      <c r="FQ32" s="28"/>
      <c r="FR32" s="28"/>
      <c r="FS32" s="28"/>
      <c r="FT32" s="28"/>
      <c r="FU32" s="28"/>
      <c r="FV32" s="28"/>
      <c r="FW32" s="28"/>
      <c r="FX32" s="28"/>
      <c r="FY32" s="28"/>
      <c r="FZ32" s="28"/>
      <c r="GA32" s="28"/>
      <c r="GB32" s="28"/>
      <c r="GC32" s="28"/>
      <c r="GD32" s="28"/>
      <c r="GE32" s="28"/>
      <c r="GF32" s="28"/>
      <c r="GG32" s="28"/>
      <c r="GH32" s="28"/>
      <c r="GI32" s="28"/>
      <c r="GJ32" s="28"/>
      <c r="GK32" s="28"/>
      <c r="GL32" s="28"/>
      <c r="GM32" s="28"/>
      <c r="GN32" s="28"/>
      <c r="GO32" s="28"/>
      <c r="GP32" s="28"/>
      <c r="GQ32" s="28"/>
      <c r="GR32" s="28"/>
      <c r="GS32" s="28"/>
      <c r="GT32" s="28"/>
      <c r="GU32" s="28"/>
      <c r="GV32" s="28"/>
      <c r="GW32" s="28"/>
      <c r="GX32" s="28"/>
      <c r="GY32" s="28"/>
      <c r="GZ32" s="28"/>
      <c r="HA32" s="28"/>
      <c r="HB32" s="28"/>
      <c r="HC32" s="28"/>
      <c r="HD32" s="28"/>
      <c r="HE32" s="28"/>
      <c r="HF32" s="28"/>
      <c r="HG32" s="28"/>
      <c r="HH32" s="28"/>
      <c r="HI32" s="28"/>
      <c r="HJ32" s="28"/>
      <c r="HK32" s="28"/>
      <c r="HL32" s="28"/>
      <c r="HM32" s="28"/>
      <c r="HN32" s="28"/>
      <c r="HO32" s="28"/>
      <c r="HP32" s="28"/>
      <c r="HQ32" s="28"/>
      <c r="HR32" s="28"/>
      <c r="HS32" s="28"/>
      <c r="HT32" s="28"/>
      <c r="HU32" s="28"/>
      <c r="HV32" s="28"/>
      <c r="HW32" s="28"/>
      <c r="HX32" s="28"/>
      <c r="HY32" s="28"/>
      <c r="HZ32" s="28"/>
      <c r="IA32" s="28"/>
      <c r="IB32" s="28"/>
      <c r="IC32" s="28"/>
      <c r="ID32" s="28"/>
      <c r="IE32" s="28"/>
      <c r="IF32" s="28"/>
      <c r="IG32" s="28"/>
      <c r="IH32" s="28"/>
      <c r="II32" s="28"/>
      <c r="IJ32" s="28"/>
      <c r="IK32" s="28"/>
      <c r="IL32" s="28"/>
      <c r="IM32" s="28"/>
      <c r="IN32" s="28"/>
      <c r="IO32" s="28"/>
      <c r="IP32" s="28"/>
      <c r="IQ32" s="28"/>
      <c r="IR32" s="28"/>
      <c r="IS32" s="28"/>
      <c r="IT32" s="28"/>
      <c r="IU32" s="28"/>
      <c r="IV32" s="28"/>
      <c r="IW32" s="28"/>
      <c r="IX32" s="28"/>
      <c r="IY32" s="28"/>
      <c r="IZ32" s="28"/>
      <c r="JA32" s="28"/>
      <c r="JB32" s="28"/>
      <c r="JC32" s="28"/>
      <c r="JD32" s="28"/>
      <c r="JE32" s="28"/>
      <c r="JF32" s="28"/>
      <c r="JG32" s="28"/>
      <c r="JH32" s="28"/>
      <c r="JI32" s="28"/>
      <c r="JJ32" s="28"/>
      <c r="JK32" s="28"/>
      <c r="JL32" s="28"/>
      <c r="JM32" s="28"/>
      <c r="JN32" s="28"/>
      <c r="JO32" s="28"/>
      <c r="JP32" s="28"/>
      <c r="JQ32" s="28"/>
      <c r="JR32" s="28"/>
      <c r="JS32" s="28"/>
      <c r="JT32" s="28"/>
      <c r="JU32" s="28"/>
      <c r="JV32" s="28"/>
      <c r="JW32" s="28"/>
      <c r="JX32" s="28"/>
      <c r="JY32" s="28"/>
      <c r="JZ32" s="28"/>
      <c r="KA32" s="28"/>
      <c r="KB32" s="28"/>
      <c r="KC32" s="28"/>
      <c r="KD32" s="28"/>
      <c r="KE32" s="28"/>
      <c r="KF32" s="28"/>
      <c r="KG32" s="28"/>
      <c r="KH32" s="28"/>
      <c r="KI32" s="28"/>
      <c r="KJ32" s="28"/>
      <c r="KK32" s="28"/>
      <c r="KL32" s="28"/>
      <c r="KM32" s="28"/>
      <c r="KN32" s="28"/>
      <c r="KO32" s="28"/>
      <c r="KP32" s="28"/>
      <c r="KQ32" s="28"/>
      <c r="KR32" s="28"/>
      <c r="KS32" s="28"/>
      <c r="KT32" s="28"/>
      <c r="KU32" s="28"/>
      <c r="KV32" s="28"/>
      <c r="KW32" s="28"/>
      <c r="KX32" s="28"/>
      <c r="KY32" s="28"/>
      <c r="KZ32" s="28"/>
      <c r="LA32" s="28"/>
      <c r="LB32" s="28"/>
      <c r="LC32" s="28"/>
      <c r="LD32" s="28"/>
      <c r="LE32" s="28"/>
      <c r="LF32" s="28"/>
      <c r="LG32" s="28"/>
      <c r="LH32" s="28"/>
      <c r="LI32" s="28"/>
      <c r="LJ32" s="28"/>
      <c r="LK32" s="28"/>
      <c r="LL32" s="28"/>
      <c r="LM32" s="28"/>
      <c r="LN32" s="28"/>
      <c r="LO32" s="28"/>
      <c r="LP32" s="28"/>
      <c r="LQ32" s="28"/>
      <c r="LR32" s="28"/>
      <c r="LS32" s="28"/>
      <c r="LT32" s="28"/>
      <c r="LU32" s="28"/>
      <c r="LV32" s="28"/>
      <c r="LW32" s="28"/>
      <c r="LX32" s="28"/>
      <c r="LY32" s="28"/>
      <c r="LZ32" s="28"/>
      <c r="MA32" s="28"/>
      <c r="MB32" s="28"/>
      <c r="MC32" s="28"/>
      <c r="MD32" s="28"/>
      <c r="ME32" s="28"/>
      <c r="MF32" s="28"/>
      <c r="MG32" s="28"/>
      <c r="MH32" s="28"/>
      <c r="MI32" s="28"/>
      <c r="MJ32" s="28"/>
      <c r="MK32" s="28"/>
      <c r="ML32" s="28"/>
      <c r="MM32" s="28"/>
      <c r="MN32" s="28"/>
      <c r="MO32" s="28"/>
      <c r="MP32" s="28"/>
      <c r="MQ32" s="28"/>
      <c r="MR32" s="28"/>
      <c r="MS32" s="28"/>
      <c r="MT32" s="28"/>
      <c r="MU32" s="28"/>
      <c r="MV32" s="28"/>
      <c r="MW32" s="28"/>
      <c r="MX32" s="28"/>
      <c r="MY32" s="28"/>
      <c r="MZ32" s="28"/>
      <c r="NA32" s="28"/>
      <c r="NB32" s="28"/>
      <c r="NC32" s="28"/>
      <c r="ND32" s="28"/>
      <c r="NE32" s="28"/>
      <c r="NF32" s="28"/>
      <c r="NG32" s="28"/>
      <c r="NH32" s="28"/>
      <c r="NI32" s="28"/>
      <c r="NJ32" s="28"/>
      <c r="NK32" s="28"/>
      <c r="NL32" s="28"/>
      <c r="NM32" s="28"/>
      <c r="NN32" s="28"/>
      <c r="NO32" s="28"/>
      <c r="NP32" s="28"/>
      <c r="NQ32" s="28"/>
      <c r="NR32" s="28"/>
      <c r="NS32" s="28"/>
      <c r="NT32" s="28"/>
      <c r="NU32" s="28"/>
      <c r="NV32" s="28"/>
      <c r="NW32" s="28"/>
      <c r="NX32" s="28"/>
      <c r="NY32" s="28"/>
      <c r="NZ32" s="28"/>
      <c r="OA32" s="28"/>
      <c r="OB32" s="28"/>
      <c r="OC32" s="28"/>
      <c r="OD32" s="28"/>
      <c r="OE32" s="28"/>
      <c r="OF32" s="28"/>
      <c r="OG32" s="28"/>
      <c r="OH32" s="28"/>
      <c r="OI32" s="28"/>
      <c r="OJ32" s="28"/>
      <c r="OK32" s="28"/>
      <c r="OL32" s="28"/>
      <c r="OM32" s="28"/>
      <c r="ON32" s="28"/>
      <c r="OO32" s="28"/>
      <c r="OP32" s="28"/>
      <c r="OQ32" s="28"/>
      <c r="OR32" s="28"/>
      <c r="OS32" s="28"/>
      <c r="OT32" s="28"/>
      <c r="OU32" s="28"/>
      <c r="OV32" s="28"/>
      <c r="OW32" s="28"/>
      <c r="OX32" s="28"/>
      <c r="OY32" s="28"/>
      <c r="OZ32" s="28"/>
      <c r="PA32" s="28"/>
      <c r="PB32" s="28"/>
      <c r="PC32" s="28"/>
      <c r="PD32" s="28"/>
      <c r="PE32" s="28"/>
      <c r="PF32" s="28"/>
      <c r="PG32" s="28"/>
      <c r="PH32" s="28"/>
      <c r="PI32" s="28"/>
      <c r="PJ32" s="28"/>
      <c r="PK32" s="28"/>
      <c r="PL32" s="28"/>
      <c r="PM32" s="28"/>
      <c r="PN32" s="28"/>
      <c r="PO32" s="28"/>
      <c r="PP32" s="28"/>
      <c r="PQ32" s="28"/>
      <c r="PR32" s="28"/>
      <c r="PS32" s="28"/>
      <c r="PT32" s="28"/>
      <c r="PU32" s="28"/>
      <c r="PV32" s="28"/>
      <c r="PW32" s="28"/>
      <c r="PX32" s="28"/>
      <c r="PY32" s="28"/>
      <c r="PZ32" s="28"/>
      <c r="QA32" s="28"/>
      <c r="QB32" s="28"/>
      <c r="QC32" s="28"/>
      <c r="QD32" s="28"/>
      <c r="QE32" s="28"/>
      <c r="QF32" s="28"/>
      <c r="QG32" s="28"/>
      <c r="QH32" s="28"/>
      <c r="QI32" s="28"/>
      <c r="QJ32" s="28"/>
      <c r="QK32" s="28"/>
      <c r="QL32" s="28"/>
      <c r="QM32" s="28"/>
      <c r="QN32" s="28"/>
      <c r="QO32" s="28"/>
      <c r="QP32" s="28"/>
      <c r="QQ32" s="28"/>
      <c r="QR32" s="28"/>
      <c r="QS32" s="28"/>
      <c r="QT32" s="28"/>
      <c r="QU32" s="28"/>
      <c r="QV32" s="28"/>
      <c r="QW32" s="28"/>
      <c r="QX32" s="28"/>
      <c r="QY32" s="28"/>
      <c r="QZ32" s="28"/>
      <c r="RA32" s="28"/>
      <c r="RB32" s="28"/>
      <c r="RC32" s="28"/>
      <c r="RD32" s="28"/>
      <c r="RE32" s="28"/>
      <c r="RF32" s="28"/>
      <c r="RG32" s="28"/>
      <c r="RH32" s="28"/>
      <c r="RI32" s="28"/>
      <c r="RJ32" s="28"/>
      <c r="RK32" s="28"/>
      <c r="RL32" s="28"/>
      <c r="RM32" s="28"/>
      <c r="RN32" s="28"/>
      <c r="RO32" s="28"/>
      <c r="RP32" s="28"/>
      <c r="RQ32" s="28"/>
      <c r="RR32" s="28"/>
      <c r="RS32" s="28"/>
      <c r="RT32" s="28"/>
      <c r="RU32" s="28"/>
      <c r="RV32" s="28"/>
      <c r="RW32" s="28"/>
      <c r="RX32" s="28"/>
      <c r="RY32" s="28"/>
      <c r="RZ32" s="28"/>
      <c r="SA32" s="28"/>
      <c r="SB32" s="28"/>
      <c r="SC32" s="28"/>
      <c r="SD32" s="28"/>
      <c r="SE32" s="28"/>
      <c r="SF32" s="28"/>
      <c r="SG32" s="28"/>
      <c r="SH32" s="28"/>
      <c r="SI32" s="28"/>
      <c r="SJ32" s="28"/>
      <c r="SK32" s="28"/>
      <c r="SL32" s="28"/>
      <c r="SM32" s="28"/>
      <c r="SN32" s="28"/>
      <c r="SO32" s="28"/>
      <c r="SP32" s="28"/>
      <c r="SQ32" s="28"/>
      <c r="SR32" s="28"/>
      <c r="SS32" s="28"/>
      <c r="ST32" s="28"/>
      <c r="SU32" s="28"/>
      <c r="SV32" s="28"/>
      <c r="SW32" s="28"/>
      <c r="SX32" s="28"/>
      <c r="SY32" s="28"/>
      <c r="SZ32" s="28"/>
      <c r="TA32" s="28"/>
      <c r="TB32" s="28"/>
      <c r="TC32" s="28"/>
      <c r="TD32" s="28"/>
      <c r="TE32" s="28"/>
      <c r="TF32" s="28"/>
      <c r="TG32" s="28"/>
      <c r="TH32" s="28"/>
      <c r="TI32" s="28"/>
      <c r="TJ32" s="28"/>
      <c r="TK32" s="28"/>
      <c r="TL32" s="28"/>
      <c r="TM32" s="28"/>
      <c r="TN32" s="28"/>
      <c r="TO32" s="28"/>
      <c r="TP32" s="28"/>
      <c r="TQ32" s="28"/>
      <c r="TR32" s="28"/>
      <c r="TS32" s="28"/>
      <c r="TT32" s="28"/>
      <c r="TU32" s="28"/>
      <c r="TV32" s="28"/>
      <c r="TW32" s="28"/>
      <c r="TX32" s="28"/>
      <c r="TY32" s="28"/>
      <c r="TZ32" s="28"/>
      <c r="UA32" s="28"/>
      <c r="UB32" s="28"/>
      <c r="UC32" s="28"/>
      <c r="UD32" s="28"/>
      <c r="UE32" s="28"/>
      <c r="UF32" s="28"/>
      <c r="UG32" s="28"/>
      <c r="UH32" s="28"/>
      <c r="UI32" s="28"/>
      <c r="UJ32" s="28"/>
      <c r="UK32" s="28"/>
      <c r="UL32" s="28"/>
      <c r="UM32" s="28"/>
      <c r="UN32" s="28"/>
      <c r="UO32" s="28"/>
      <c r="UP32" s="28"/>
      <c r="UQ32" s="28"/>
      <c r="UR32" s="28"/>
      <c r="US32" s="28"/>
      <c r="UT32" s="28"/>
      <c r="UU32" s="28"/>
      <c r="UV32" s="28"/>
      <c r="UW32" s="28"/>
      <c r="UX32" s="28"/>
      <c r="UY32" s="28"/>
      <c r="UZ32" s="28"/>
      <c r="VA32" s="28"/>
      <c r="VB32" s="28"/>
      <c r="VC32" s="28"/>
      <c r="VD32" s="28"/>
      <c r="VE32" s="28"/>
      <c r="VF32" s="28"/>
      <c r="VG32" s="28"/>
      <c r="VH32" s="28"/>
      <c r="VI32" s="28"/>
      <c r="VJ32" s="28"/>
      <c r="VK32" s="28"/>
      <c r="VL32" s="28"/>
      <c r="VM32" s="28"/>
      <c r="VN32" s="28"/>
      <c r="VO32" s="28"/>
      <c r="VP32" s="28"/>
      <c r="VQ32" s="28"/>
      <c r="VR32" s="28"/>
      <c r="VS32" s="28"/>
      <c r="VT32" s="28"/>
      <c r="VU32" s="28"/>
      <c r="VV32" s="28"/>
      <c r="VW32" s="28"/>
      <c r="VX32" s="28"/>
      <c r="VY32" s="28"/>
      <c r="VZ32" s="28"/>
      <c r="WA32" s="28"/>
      <c r="WB32" s="28"/>
      <c r="WC32" s="28"/>
      <c r="WD32" s="28"/>
      <c r="WE32" s="28"/>
      <c r="WF32" s="28"/>
      <c r="WG32" s="28"/>
      <c r="WH32" s="28"/>
      <c r="WI32" s="28"/>
      <c r="WJ32" s="28"/>
      <c r="WK32" s="28"/>
      <c r="WL32" s="28"/>
      <c r="WM32" s="28"/>
      <c r="WN32" s="28"/>
      <c r="WO32" s="28"/>
      <c r="WP32" s="28"/>
      <c r="WQ32" s="28"/>
      <c r="WR32" s="28"/>
      <c r="WS32" s="28"/>
      <c r="WT32" s="28"/>
      <c r="WU32" s="28"/>
      <c r="WV32" s="28"/>
      <c r="WW32" s="28"/>
      <c r="WX32" s="28"/>
      <c r="WY32" s="28"/>
      <c r="WZ32" s="28"/>
      <c r="XA32" s="28"/>
      <c r="XB32" s="28"/>
      <c r="XC32" s="28"/>
      <c r="XD32" s="28"/>
      <c r="XE32" s="28"/>
      <c r="XF32" s="28"/>
      <c r="XG32" s="28"/>
      <c r="XH32" s="28"/>
      <c r="XI32" s="28"/>
      <c r="XJ32" s="28"/>
      <c r="XK32" s="28"/>
      <c r="XL32" s="28"/>
      <c r="XM32" s="28"/>
      <c r="XN32" s="28"/>
      <c r="XO32" s="28"/>
      <c r="XP32" s="28"/>
      <c r="XQ32" s="28"/>
      <c r="XR32" s="28"/>
      <c r="XS32" s="28"/>
      <c r="XT32" s="28"/>
      <c r="XU32" s="28"/>
      <c r="XV32" s="28"/>
      <c r="XW32" s="28"/>
      <c r="XX32" s="28"/>
      <c r="XY32" s="28"/>
      <c r="XZ32" s="28"/>
      <c r="YA32" s="28"/>
      <c r="YB32" s="28"/>
      <c r="YC32" s="28"/>
      <c r="YD32" s="28"/>
      <c r="YE32" s="28"/>
      <c r="YF32" s="28"/>
      <c r="YG32" s="28"/>
      <c r="YH32" s="28"/>
      <c r="YI32" s="28"/>
      <c r="YJ32" s="28"/>
      <c r="YK32" s="28"/>
      <c r="YL32" s="28"/>
      <c r="YM32" s="28"/>
      <c r="YN32" s="28"/>
      <c r="YO32" s="28"/>
      <c r="YP32" s="28"/>
      <c r="YQ32" s="28"/>
      <c r="YR32" s="28"/>
      <c r="YS32" s="28"/>
      <c r="YT32" s="28"/>
      <c r="YU32" s="28"/>
      <c r="YV32" s="28"/>
      <c r="YW32" s="28"/>
      <c r="YX32" s="28"/>
      <c r="YY32" s="28"/>
      <c r="YZ32" s="28"/>
      <c r="ZA32" s="28"/>
      <c r="ZB32" s="28"/>
      <c r="ZC32" s="28"/>
      <c r="ZD32" s="28"/>
      <c r="ZE32" s="28"/>
      <c r="ZF32" s="28"/>
      <c r="ZG32" s="28"/>
      <c r="ZH32" s="28"/>
      <c r="ZI32" s="28"/>
      <c r="ZJ32" s="28"/>
      <c r="ZK32" s="28"/>
      <c r="ZL32" s="28"/>
      <c r="ZM32" s="28"/>
      <c r="ZN32" s="28"/>
      <c r="ZO32" s="28"/>
      <c r="ZP32" s="28"/>
      <c r="ZQ32" s="28"/>
      <c r="ZR32" s="28"/>
      <c r="ZS32" s="28"/>
      <c r="ZT32" s="28"/>
      <c r="ZU32" s="28"/>
      <c r="ZV32" s="28"/>
      <c r="ZW32" s="28"/>
      <c r="ZX32" s="28"/>
      <c r="ZY32" s="28"/>
      <c r="ZZ32" s="28"/>
      <c r="AAA32" s="28"/>
      <c r="AAB32" s="28"/>
      <c r="AAC32" s="28"/>
      <c r="AAD32" s="28"/>
      <c r="AAE32" s="28"/>
      <c r="AAF32" s="28"/>
      <c r="AAG32" s="28"/>
      <c r="AAH32" s="28"/>
      <c r="AAI32" s="28"/>
      <c r="AAJ32" s="28"/>
      <c r="AAK32" s="28"/>
      <c r="AAL32" s="28"/>
      <c r="AAM32" s="28"/>
      <c r="AAN32" s="28"/>
      <c r="AAO32" s="28"/>
      <c r="AAP32" s="28"/>
      <c r="AAQ32" s="28"/>
      <c r="AAR32" s="28"/>
      <c r="AAS32" s="28"/>
      <c r="AAT32" s="28"/>
      <c r="AAU32" s="28"/>
      <c r="AAV32" s="28"/>
      <c r="AAW32" s="28"/>
      <c r="AAX32" s="28"/>
      <c r="AAY32" s="28"/>
      <c r="AAZ32" s="28"/>
      <c r="ABA32" s="28"/>
      <c r="ABB32" s="28"/>
      <c r="ABC32" s="28"/>
      <c r="ABD32" s="28"/>
      <c r="ABE32" s="28"/>
      <c r="ABF32" s="28"/>
      <c r="ABG32" s="28"/>
      <c r="ABH32" s="28"/>
      <c r="ABI32" s="28"/>
      <c r="ABJ32" s="28"/>
      <c r="ABK32" s="28"/>
      <c r="ABL32" s="28"/>
      <c r="ABM32" s="28"/>
      <c r="ABN32" s="28"/>
      <c r="ABO32" s="28"/>
      <c r="ABP32" s="28"/>
      <c r="ABQ32" s="28"/>
      <c r="ABR32" s="28"/>
      <c r="ABS32" s="28"/>
      <c r="ABT32" s="28"/>
      <c r="ABU32" s="28"/>
      <c r="ABV32" s="28"/>
      <c r="ABW32" s="28"/>
      <c r="ABX32" s="28"/>
      <c r="ABY32" s="28"/>
      <c r="ABZ32" s="28"/>
      <c r="ACA32" s="28"/>
      <c r="ACB32" s="28"/>
      <c r="ACC32" s="28"/>
      <c r="ACD32" s="28"/>
      <c r="ACE32" s="28"/>
      <c r="ACF32" s="28"/>
      <c r="ACG32" s="28"/>
      <c r="ACH32" s="28"/>
      <c r="ACI32" s="28"/>
      <c r="ACJ32" s="28"/>
      <c r="ACK32" s="28"/>
      <c r="ACL32" s="28"/>
      <c r="ACM32" s="28"/>
      <c r="ACN32" s="28"/>
      <c r="ACO32" s="28"/>
      <c r="ACP32" s="28"/>
      <c r="ACQ32" s="28"/>
      <c r="ACR32" s="28"/>
      <c r="ACS32" s="28"/>
      <c r="ACT32" s="28"/>
      <c r="ACU32" s="28"/>
      <c r="ACV32" s="28"/>
      <c r="ACW32" s="28"/>
      <c r="ACX32" s="28"/>
      <c r="ACY32" s="28"/>
      <c r="ACZ32" s="28"/>
      <c r="ADA32" s="28"/>
      <c r="ADB32" s="28"/>
      <c r="ADC32" s="28"/>
      <c r="ADD32" s="28"/>
      <c r="ADE32" s="28"/>
      <c r="ADF32" s="28"/>
      <c r="ADG32" s="28"/>
      <c r="ADH32" s="28"/>
      <c r="ADI32" s="28"/>
      <c r="ADJ32" s="28"/>
      <c r="ADK32" s="28"/>
      <c r="ADL32" s="28"/>
      <c r="ADM32" s="28"/>
      <c r="ADN32" s="28"/>
      <c r="ADO32" s="28"/>
      <c r="ADP32" s="28"/>
      <c r="ADQ32" s="28"/>
      <c r="ADR32" s="28"/>
      <c r="ADS32" s="28"/>
      <c r="ADT32" s="28"/>
      <c r="ADU32" s="28"/>
      <c r="ADV32" s="28"/>
      <c r="ADW32" s="28"/>
      <c r="ADX32" s="28"/>
      <c r="ADY32" s="28"/>
      <c r="ADZ32" s="28"/>
      <c r="AEA32" s="28"/>
      <c r="AEB32" s="28"/>
      <c r="AEC32" s="28"/>
      <c r="AED32" s="28"/>
      <c r="AEE32" s="28"/>
      <c r="AEF32" s="28"/>
      <c r="AEG32" s="28"/>
      <c r="AEH32" s="28"/>
      <c r="AEI32" s="28"/>
      <c r="AEJ32" s="28"/>
      <c r="AEK32" s="28"/>
      <c r="AEL32" s="28"/>
      <c r="AEM32" s="28"/>
      <c r="AEN32" s="28"/>
      <c r="AEO32" s="28"/>
      <c r="AEP32" s="28"/>
      <c r="AEQ32" s="28"/>
      <c r="AER32" s="28"/>
      <c r="AES32" s="28"/>
      <c r="AET32" s="28"/>
      <c r="AEU32" s="28"/>
      <c r="AEV32" s="28"/>
      <c r="AEW32" s="28"/>
      <c r="AEX32" s="28"/>
      <c r="AEY32" s="28"/>
      <c r="AEZ32" s="28"/>
      <c r="AFA32" s="28"/>
      <c r="AFB32" s="28"/>
      <c r="AFC32" s="28"/>
      <c r="AFD32" s="28"/>
      <c r="AFE32" s="28"/>
      <c r="AFF32" s="28"/>
      <c r="AFG32" s="28"/>
      <c r="AFH32" s="28"/>
      <c r="AFI32" s="28"/>
      <c r="AFJ32" s="28"/>
      <c r="AFK32" s="28"/>
      <c r="AFL32" s="28"/>
      <c r="AFM32" s="28"/>
      <c r="AFN32" s="28"/>
      <c r="AFO32" s="28"/>
      <c r="AFP32" s="28"/>
      <c r="AFQ32" s="28"/>
      <c r="AFR32" s="28"/>
      <c r="AFS32" s="28"/>
      <c r="AFT32" s="28"/>
      <c r="AFU32" s="28"/>
      <c r="AFV32" s="28"/>
      <c r="AFW32" s="28"/>
      <c r="AFX32" s="28"/>
      <c r="AFY32" s="28"/>
      <c r="AFZ32" s="28"/>
      <c r="AGA32" s="28"/>
      <c r="AGB32" s="28"/>
      <c r="AGC32" s="28"/>
      <c r="AGD32" s="28"/>
      <c r="AGE32" s="28"/>
      <c r="AGF32" s="28"/>
      <c r="AGG32" s="28"/>
      <c r="AGH32" s="28"/>
      <c r="AGI32" s="28"/>
      <c r="AGJ32" s="28"/>
      <c r="AGK32" s="28"/>
      <c r="AGL32" s="28"/>
      <c r="AGM32" s="28"/>
      <c r="AGN32" s="28"/>
      <c r="AGO32" s="28"/>
      <c r="AGP32" s="28"/>
      <c r="AGQ32" s="28"/>
      <c r="AGR32" s="28"/>
      <c r="AGS32" s="28"/>
      <c r="AGT32" s="28"/>
      <c r="AGU32" s="28"/>
      <c r="AGV32" s="28"/>
      <c r="AGW32" s="28"/>
      <c r="AGX32" s="28"/>
      <c r="AGY32" s="28"/>
      <c r="AGZ32" s="28"/>
      <c r="AHA32" s="28"/>
      <c r="AHB32" s="28"/>
      <c r="AHC32" s="28"/>
      <c r="AHD32" s="28"/>
      <c r="AHE32" s="28"/>
      <c r="AHF32" s="28"/>
      <c r="AHG32" s="28"/>
      <c r="AHH32" s="28"/>
      <c r="AHI32" s="28"/>
      <c r="AHJ32" s="28"/>
      <c r="AHK32" s="28"/>
      <c r="AHL32" s="28"/>
      <c r="AHM32" s="28"/>
      <c r="AHN32" s="28"/>
      <c r="AHO32" s="28"/>
      <c r="AHP32" s="28"/>
      <c r="AHQ32" s="28"/>
      <c r="AHR32" s="28"/>
      <c r="AHS32" s="28"/>
      <c r="AHT32" s="28"/>
      <c r="AHU32" s="28"/>
      <c r="AHV32" s="28"/>
      <c r="AHW32" s="28"/>
      <c r="AHX32" s="28"/>
      <c r="AHY32" s="28"/>
      <c r="AHZ32" s="28"/>
      <c r="AIA32" s="28"/>
      <c r="AIB32" s="28"/>
      <c r="AIC32" s="28"/>
      <c r="AID32" s="28"/>
      <c r="AIE32" s="28"/>
      <c r="AIF32" s="28"/>
      <c r="AIG32" s="28"/>
      <c r="AIH32" s="28"/>
      <c r="AII32" s="28"/>
      <c r="AIJ32" s="28"/>
      <c r="AIK32" s="28"/>
      <c r="AIL32" s="28"/>
      <c r="AIM32" s="28"/>
      <c r="AIN32" s="28"/>
      <c r="AIO32" s="28"/>
      <c r="AIP32" s="28"/>
      <c r="AIQ32" s="28"/>
      <c r="AIR32" s="28"/>
      <c r="AIS32" s="28"/>
      <c r="AIT32" s="28"/>
      <c r="AIU32" s="28"/>
      <c r="AIV32" s="28"/>
      <c r="AIW32" s="28"/>
      <c r="AIX32" s="28"/>
      <c r="AIY32" s="28"/>
      <c r="AIZ32" s="28"/>
      <c r="AJA32" s="28"/>
      <c r="AJB32" s="28"/>
      <c r="AJC32" s="28"/>
      <c r="AJD32" s="28"/>
      <c r="AJE32" s="28"/>
      <c r="AJF32" s="28"/>
      <c r="AJG32" s="28"/>
      <c r="AJH32" s="28"/>
      <c r="AJI32" s="28"/>
      <c r="AJJ32" s="28"/>
      <c r="AJK32" s="28"/>
      <c r="AJL32" s="28"/>
      <c r="AJM32" s="28"/>
      <c r="AJN32" s="28"/>
      <c r="AJO32" s="28"/>
      <c r="AJP32" s="28"/>
      <c r="AJQ32" s="28"/>
      <c r="AJR32" s="28"/>
      <c r="AJS32" s="28"/>
      <c r="AJT32" s="28"/>
      <c r="AJU32" s="28"/>
      <c r="AJV32" s="28"/>
      <c r="AJW32" s="28"/>
      <c r="AJX32" s="28"/>
      <c r="AJY32" s="28"/>
      <c r="AJZ32" s="28"/>
      <c r="AKA32" s="28"/>
      <c r="AKB32" s="28"/>
      <c r="AKC32" s="28"/>
      <c r="AKD32" s="28"/>
      <c r="AKE32" s="28"/>
      <c r="AKF32" s="28"/>
      <c r="AKG32" s="28"/>
      <c r="AKH32" s="28"/>
      <c r="AKI32" s="28"/>
      <c r="AKJ32" s="28"/>
      <c r="AKK32" s="28"/>
      <c r="AKL32" s="28"/>
      <c r="AKM32" s="28"/>
      <c r="AKN32" s="28"/>
      <c r="AKO32" s="28"/>
      <c r="AKP32" s="28"/>
      <c r="AKQ32" s="28"/>
      <c r="AKR32" s="28"/>
      <c r="AKS32" s="28"/>
      <c r="AKT32" s="28"/>
      <c r="AKU32" s="28"/>
      <c r="AKV32" s="28"/>
      <c r="AKW32" s="28"/>
      <c r="AKX32" s="28"/>
      <c r="AKY32" s="28"/>
      <c r="AKZ32" s="28"/>
      <c r="ALA32" s="28"/>
      <c r="ALB32" s="28"/>
      <c r="ALC32" s="28"/>
      <c r="ALD32" s="28"/>
      <c r="ALE32" s="28"/>
      <c r="ALF32" s="28"/>
      <c r="ALG32" s="28"/>
      <c r="ALH32" s="28"/>
      <c r="ALI32" s="28"/>
      <c r="ALJ32" s="28"/>
      <c r="ALK32" s="28"/>
      <c r="ALL32" s="28"/>
      <c r="ALM32" s="28"/>
      <c r="ALN32" s="28"/>
      <c r="ALO32" s="28"/>
      <c r="ALP32" s="28"/>
      <c r="ALQ32" s="28"/>
      <c r="ALR32" s="28"/>
      <c r="ALS32" s="28"/>
      <c r="ALT32" s="28"/>
      <c r="ALU32" s="28"/>
      <c r="ALV32" s="28"/>
      <c r="ALW32" s="28"/>
      <c r="ALX32" s="28"/>
      <c r="ALY32" s="28"/>
      <c r="ALZ32" s="28"/>
      <c r="AMA32" s="28"/>
      <c r="AMB32" s="28"/>
      <c r="AMC32" s="28"/>
      <c r="AMD32" s="28"/>
      <c r="AME32" s="28"/>
      <c r="AMF32" s="28"/>
      <c r="AMG32" s="28"/>
      <c r="AMH32" s="28"/>
      <c r="AMI32" s="28"/>
      <c r="AMJ32" s="28"/>
      <c r="AMK32" s="28"/>
      <c r="AML32" s="28"/>
      <c r="AMM32" s="28"/>
      <c r="AMN32" s="28"/>
      <c r="AMO32" s="28"/>
      <c r="AMP32" s="28"/>
      <c r="AMQ32" s="28"/>
      <c r="AMR32" s="28"/>
      <c r="AMS32" s="28"/>
      <c r="AMT32" s="28"/>
      <c r="AMU32" s="28"/>
      <c r="AMV32" s="28"/>
      <c r="AMW32" s="28"/>
      <c r="AMX32" s="28"/>
      <c r="AMY32" s="28"/>
      <c r="AMZ32" s="28"/>
      <c r="ANA32" s="28"/>
      <c r="ANB32" s="28"/>
      <c r="ANC32" s="28"/>
      <c r="AND32" s="28"/>
      <c r="ANE32" s="28"/>
      <c r="ANF32" s="28"/>
      <c r="ANG32" s="28"/>
      <c r="ANH32" s="28"/>
      <c r="ANI32" s="28"/>
      <c r="ANJ32" s="28"/>
      <c r="ANK32" s="28"/>
      <c r="ANL32" s="28"/>
      <c r="ANM32" s="28"/>
      <c r="ANN32" s="28"/>
      <c r="ANO32" s="28"/>
      <c r="ANP32" s="28"/>
      <c r="ANQ32" s="28"/>
      <c r="ANR32" s="28"/>
      <c r="ANS32" s="28"/>
      <c r="ANT32" s="28"/>
      <c r="ANU32" s="28"/>
      <c r="ANV32" s="28"/>
      <c r="ANW32" s="28"/>
      <c r="ANX32" s="28"/>
      <c r="ANY32" s="28"/>
      <c r="ANZ32" s="28"/>
      <c r="AOA32" s="28"/>
      <c r="AOB32" s="28"/>
      <c r="AOC32" s="28"/>
      <c r="AOD32" s="28"/>
      <c r="AOE32" s="28"/>
      <c r="AOF32" s="28"/>
      <c r="AOG32" s="28"/>
      <c r="AOH32" s="28"/>
      <c r="AOI32" s="28"/>
      <c r="AOJ32" s="28"/>
      <c r="AOK32" s="28"/>
      <c r="AOL32" s="28"/>
      <c r="AOM32" s="28"/>
      <c r="AON32" s="28"/>
      <c r="AOO32" s="28"/>
      <c r="AOP32" s="28"/>
      <c r="AOQ32" s="28"/>
      <c r="AOR32" s="28"/>
      <c r="AOS32" s="28"/>
      <c r="AOT32" s="28"/>
      <c r="AOU32" s="28"/>
      <c r="AOV32" s="28"/>
      <c r="AOW32" s="28"/>
      <c r="AOX32" s="28"/>
      <c r="AOY32" s="28"/>
      <c r="AOZ32" s="28"/>
      <c r="APA32" s="28"/>
      <c r="APB32" s="28"/>
      <c r="APC32" s="28"/>
      <c r="APD32" s="28"/>
      <c r="APE32" s="28"/>
      <c r="APF32" s="28"/>
      <c r="APG32" s="28"/>
      <c r="APH32" s="28"/>
      <c r="API32" s="28"/>
      <c r="APJ32" s="28"/>
      <c r="APK32" s="28"/>
      <c r="APL32" s="28"/>
      <c r="APM32" s="28"/>
      <c r="APN32" s="28"/>
      <c r="APO32" s="28"/>
      <c r="APP32" s="28"/>
      <c r="APQ32" s="28"/>
      <c r="APR32" s="28"/>
      <c r="APS32" s="28"/>
      <c r="APT32" s="28"/>
      <c r="APU32" s="28"/>
      <c r="APV32" s="28"/>
      <c r="APW32" s="28"/>
      <c r="APX32" s="28"/>
      <c r="APY32" s="28"/>
      <c r="APZ32" s="28"/>
      <c r="AQA32" s="28"/>
      <c r="AQB32" s="28"/>
      <c r="AQC32" s="28"/>
      <c r="AQD32" s="28"/>
      <c r="AQE32" s="28"/>
      <c r="AQF32" s="28"/>
      <c r="AQG32" s="28"/>
      <c r="AQH32" s="28"/>
      <c r="AQI32" s="28"/>
      <c r="AQJ32" s="28"/>
      <c r="AQK32" s="28"/>
      <c r="AQL32" s="28"/>
      <c r="AQM32" s="28"/>
      <c r="AQN32" s="28"/>
      <c r="AQO32" s="28"/>
      <c r="AQP32" s="28"/>
      <c r="AQQ32" s="28"/>
      <c r="AQR32" s="28"/>
      <c r="AQS32" s="28"/>
      <c r="AQT32" s="28"/>
      <c r="AQU32" s="28"/>
      <c r="AQV32" s="28"/>
      <c r="AQW32" s="28"/>
      <c r="AQX32" s="28"/>
      <c r="AQY32" s="28"/>
      <c r="AQZ32" s="28"/>
      <c r="ARA32" s="28"/>
      <c r="ARB32" s="28"/>
      <c r="ARC32" s="28"/>
      <c r="ARD32" s="28"/>
      <c r="ARE32" s="28"/>
      <c r="ARF32" s="28"/>
      <c r="ARG32" s="28"/>
      <c r="ARH32" s="28"/>
      <c r="ARI32" s="28"/>
      <c r="ARJ32" s="28"/>
      <c r="ARK32" s="28"/>
      <c r="ARL32" s="28"/>
      <c r="ARM32" s="28"/>
      <c r="ARN32" s="28"/>
      <c r="ARO32" s="28"/>
      <c r="ARP32" s="28"/>
      <c r="ARQ32" s="28"/>
      <c r="ARR32" s="28"/>
      <c r="ARS32" s="28"/>
      <c r="ART32" s="28"/>
      <c r="ARU32" s="28"/>
      <c r="ARV32" s="28"/>
      <c r="ARW32" s="28"/>
      <c r="ARX32" s="28"/>
      <c r="ARY32" s="28"/>
      <c r="ARZ32" s="28"/>
      <c r="ASA32" s="28"/>
      <c r="ASB32" s="28"/>
      <c r="ASC32" s="28"/>
      <c r="ASD32" s="28"/>
      <c r="ASE32" s="28"/>
      <c r="ASF32" s="28"/>
      <c r="ASG32" s="28"/>
      <c r="ASH32" s="28"/>
      <c r="ASI32" s="28"/>
      <c r="ASJ32" s="28"/>
      <c r="ASK32" s="28"/>
      <c r="ASL32" s="28"/>
      <c r="ASM32" s="28"/>
      <c r="ASN32" s="28"/>
      <c r="ASO32" s="28"/>
      <c r="ASP32" s="28"/>
      <c r="ASQ32" s="28"/>
      <c r="ASR32" s="28"/>
      <c r="ASS32" s="28"/>
      <c r="AST32" s="28"/>
      <c r="ASU32" s="28"/>
      <c r="ASV32" s="28"/>
      <c r="ASW32" s="28"/>
      <c r="ASX32" s="28"/>
      <c r="ASY32" s="28"/>
      <c r="ASZ32" s="28"/>
      <c r="ATA32" s="28"/>
      <c r="ATB32" s="28"/>
      <c r="ATC32" s="28"/>
      <c r="ATD32" s="28"/>
      <c r="ATE32" s="28"/>
      <c r="ATF32" s="28"/>
      <c r="ATG32" s="28"/>
      <c r="ATH32" s="28"/>
      <c r="ATI32" s="28"/>
      <c r="ATJ32" s="28"/>
      <c r="ATK32" s="28"/>
      <c r="ATL32" s="28"/>
      <c r="ATM32" s="28"/>
      <c r="ATN32" s="28"/>
      <c r="ATO32" s="28"/>
      <c r="ATP32" s="28"/>
      <c r="ATQ32" s="28"/>
      <c r="ATR32" s="28"/>
      <c r="ATS32" s="28"/>
      <c r="ATT32" s="28"/>
      <c r="ATU32" s="28"/>
      <c r="ATV32" s="28"/>
      <c r="ATW32" s="28"/>
      <c r="ATX32" s="28"/>
      <c r="ATY32" s="28"/>
      <c r="ATZ32" s="28"/>
      <c r="AUA32" s="28"/>
      <c r="AUB32" s="28"/>
      <c r="AUC32" s="28"/>
      <c r="AUD32" s="28"/>
      <c r="AUE32" s="28"/>
      <c r="AUF32" s="28"/>
      <c r="AUG32" s="28"/>
      <c r="AUH32" s="28"/>
      <c r="AUI32" s="28"/>
      <c r="AUJ32" s="28"/>
      <c r="AUK32" s="28"/>
      <c r="AUL32" s="28"/>
      <c r="AUM32" s="28"/>
      <c r="AUN32" s="28"/>
      <c r="AUO32" s="28"/>
      <c r="AUP32" s="28"/>
      <c r="AUQ32" s="28"/>
      <c r="AUR32" s="28"/>
      <c r="AUS32" s="28"/>
      <c r="AUT32" s="28"/>
      <c r="AUU32" s="28"/>
      <c r="AUV32" s="28"/>
      <c r="AUW32" s="28"/>
      <c r="AUX32" s="28"/>
      <c r="AUY32" s="28"/>
      <c r="AUZ32" s="28"/>
      <c r="AVA32" s="28"/>
      <c r="AVB32" s="28"/>
      <c r="AVC32" s="28"/>
      <c r="AVD32" s="28"/>
      <c r="AVE32" s="28"/>
      <c r="AVF32" s="28"/>
      <c r="AVG32" s="28"/>
      <c r="AVH32" s="28"/>
      <c r="AVI32" s="28"/>
      <c r="AVJ32" s="28"/>
      <c r="AVK32" s="28"/>
      <c r="AVL32" s="28"/>
      <c r="AVM32" s="28"/>
      <c r="AVN32" s="28"/>
      <c r="AVO32" s="28"/>
      <c r="AVP32" s="28"/>
      <c r="AVQ32" s="28"/>
      <c r="AVR32" s="28"/>
      <c r="AVS32" s="28"/>
      <c r="AVT32" s="28"/>
      <c r="AVU32" s="28"/>
      <c r="AVV32" s="28"/>
      <c r="AVW32" s="28"/>
      <c r="AVX32" s="28"/>
      <c r="AVY32" s="28"/>
      <c r="AVZ32" s="28"/>
      <c r="AWA32" s="28"/>
      <c r="AWB32" s="28"/>
      <c r="AWC32" s="28"/>
      <c r="AWD32" s="28"/>
      <c r="AWE32" s="28"/>
      <c r="AWF32" s="28"/>
      <c r="AWG32" s="28"/>
      <c r="AWH32" s="28"/>
      <c r="AWI32" s="28"/>
      <c r="AWJ32" s="28"/>
      <c r="AWK32" s="28"/>
      <c r="AWL32" s="28"/>
      <c r="AWM32" s="28"/>
      <c r="AWN32" s="28"/>
      <c r="AWO32" s="28"/>
      <c r="AWP32" s="28"/>
      <c r="AWQ32" s="28"/>
      <c r="AWR32" s="28"/>
      <c r="AWS32" s="28"/>
      <c r="AWT32" s="28"/>
      <c r="AWU32" s="28"/>
      <c r="AWV32" s="28"/>
      <c r="AWW32" s="28"/>
      <c r="AWX32" s="28"/>
      <c r="AWY32" s="28"/>
      <c r="AWZ32" s="28"/>
      <c r="AXA32" s="28"/>
      <c r="AXB32" s="28"/>
      <c r="AXC32" s="28"/>
      <c r="AXD32" s="28"/>
      <c r="AXE32" s="28"/>
      <c r="AXF32" s="28"/>
      <c r="AXG32" s="28"/>
      <c r="AXH32" s="28"/>
      <c r="AXI32" s="28"/>
      <c r="AXJ32" s="28"/>
      <c r="AXK32" s="28"/>
      <c r="AXL32" s="28"/>
      <c r="AXM32" s="28"/>
      <c r="AXN32" s="28"/>
      <c r="AXO32" s="28"/>
      <c r="AXP32" s="28"/>
      <c r="AXQ32" s="28"/>
      <c r="AXR32" s="28"/>
      <c r="AXS32" s="28"/>
      <c r="AXT32" s="28"/>
      <c r="AXU32" s="28"/>
      <c r="AXV32" s="28"/>
      <c r="AXW32" s="28"/>
      <c r="AXX32" s="28"/>
      <c r="AXY32" s="28"/>
      <c r="AXZ32" s="28"/>
      <c r="AYA32" s="28"/>
      <c r="AYB32" s="28"/>
      <c r="AYC32" s="28"/>
      <c r="AYD32" s="28"/>
      <c r="AYE32" s="28"/>
      <c r="AYF32" s="28"/>
      <c r="AYG32" s="28"/>
      <c r="AYH32" s="28"/>
      <c r="AYI32" s="28"/>
      <c r="AYJ32" s="28"/>
      <c r="AYK32" s="28"/>
      <c r="AYL32" s="28"/>
      <c r="AYM32" s="28"/>
      <c r="AYN32" s="28"/>
      <c r="AYO32" s="28"/>
      <c r="AYP32" s="28"/>
      <c r="AYQ32" s="28"/>
      <c r="AYR32" s="28"/>
      <c r="AYS32" s="28"/>
      <c r="AYT32" s="28"/>
      <c r="AYU32" s="28"/>
      <c r="AYV32" s="28"/>
      <c r="AYW32" s="28"/>
      <c r="AYX32" s="28"/>
      <c r="AYY32" s="28"/>
      <c r="AYZ32" s="28"/>
      <c r="AZA32" s="28"/>
      <c r="AZB32" s="28"/>
      <c r="AZC32" s="28"/>
      <c r="AZD32" s="28"/>
      <c r="AZE32" s="28"/>
      <c r="AZF32" s="28"/>
      <c r="AZG32" s="28"/>
      <c r="AZH32" s="28"/>
      <c r="AZI32" s="28"/>
      <c r="AZJ32" s="28"/>
      <c r="AZK32" s="28"/>
      <c r="AZL32" s="28"/>
      <c r="AZM32" s="28"/>
      <c r="AZN32" s="28"/>
      <c r="AZO32" s="28"/>
      <c r="AZP32" s="28"/>
      <c r="AZQ32" s="28"/>
      <c r="AZR32" s="28"/>
      <c r="AZS32" s="28"/>
      <c r="AZT32" s="28"/>
      <c r="AZU32" s="28"/>
      <c r="AZV32" s="28"/>
      <c r="AZW32" s="28"/>
      <c r="AZX32" s="28"/>
      <c r="AZY32" s="28"/>
      <c r="AZZ32" s="28"/>
      <c r="BAA32" s="28"/>
      <c r="BAB32" s="28"/>
      <c r="BAC32" s="28"/>
      <c r="BAD32" s="28"/>
      <c r="BAE32" s="28"/>
      <c r="BAF32" s="28"/>
      <c r="BAG32" s="28"/>
      <c r="BAH32" s="28"/>
      <c r="BAI32" s="28"/>
      <c r="BAJ32" s="28"/>
      <c r="BAK32" s="28"/>
      <c r="BAL32" s="28"/>
      <c r="BAM32" s="28"/>
      <c r="BAN32" s="28"/>
      <c r="BAO32" s="28"/>
      <c r="BAP32" s="28"/>
      <c r="BAQ32" s="28"/>
      <c r="BAR32" s="28"/>
      <c r="BAS32" s="28"/>
      <c r="BAT32" s="28"/>
      <c r="BAU32" s="28"/>
      <c r="BAV32" s="28"/>
      <c r="BAW32" s="28"/>
      <c r="BAX32" s="28"/>
      <c r="BAY32" s="28"/>
      <c r="BAZ32" s="28"/>
      <c r="BBA32" s="28"/>
      <c r="BBB32" s="28"/>
      <c r="BBC32" s="28"/>
      <c r="BBD32" s="28"/>
      <c r="BBE32" s="28"/>
      <c r="BBF32" s="28"/>
      <c r="BBG32" s="28"/>
      <c r="BBH32" s="28"/>
      <c r="BBI32" s="28"/>
      <c r="BBJ32" s="28"/>
      <c r="BBK32" s="28"/>
      <c r="BBL32" s="28"/>
      <c r="BBM32" s="28"/>
      <c r="BBN32" s="28"/>
      <c r="BBO32" s="28"/>
      <c r="BBP32" s="28"/>
      <c r="BBQ32" s="28"/>
      <c r="BBR32" s="28"/>
      <c r="BBS32" s="28"/>
      <c r="BBT32" s="28"/>
      <c r="BBU32" s="28"/>
      <c r="BBV32" s="28"/>
      <c r="BBW32" s="28"/>
      <c r="BBX32" s="28"/>
      <c r="BBY32" s="28"/>
      <c r="BBZ32" s="28"/>
      <c r="BCA32" s="28"/>
      <c r="BCB32" s="28"/>
      <c r="BCC32" s="28"/>
      <c r="BCD32" s="28"/>
      <c r="BCE32" s="28"/>
      <c r="BCF32" s="28"/>
      <c r="BCG32" s="28"/>
      <c r="BCH32" s="28"/>
      <c r="BCI32" s="28"/>
      <c r="BCJ32" s="28"/>
      <c r="BCK32" s="28"/>
      <c r="BCL32" s="28"/>
      <c r="BCM32" s="28"/>
      <c r="BCN32" s="28"/>
      <c r="BCO32" s="28"/>
      <c r="BCP32" s="28"/>
      <c r="BCQ32" s="28"/>
      <c r="BCR32" s="28"/>
      <c r="BCS32" s="28"/>
      <c r="BCT32" s="28"/>
      <c r="BCU32" s="28"/>
      <c r="BCV32" s="28"/>
      <c r="BCW32" s="28"/>
      <c r="BCX32" s="28"/>
      <c r="BCY32" s="28"/>
      <c r="BCZ32" s="28"/>
      <c r="BDA32" s="28"/>
      <c r="BDB32" s="28"/>
      <c r="BDC32" s="28"/>
      <c r="BDD32" s="28"/>
      <c r="BDE32" s="28"/>
      <c r="BDF32" s="28"/>
      <c r="BDG32" s="28"/>
      <c r="BDH32" s="28"/>
      <c r="BDI32" s="28"/>
      <c r="BDJ32" s="28"/>
      <c r="BDK32" s="28"/>
      <c r="BDL32" s="28"/>
      <c r="BDM32" s="28"/>
      <c r="BDN32" s="28"/>
      <c r="BDO32" s="28"/>
      <c r="BDP32" s="28"/>
      <c r="BDQ32" s="28"/>
      <c r="BDR32" s="28"/>
      <c r="BDS32" s="28"/>
      <c r="BDT32" s="28"/>
      <c r="BDU32" s="28"/>
      <c r="BDV32" s="28"/>
      <c r="BDW32" s="28"/>
      <c r="BDX32" s="28"/>
      <c r="BDY32" s="28"/>
      <c r="BDZ32" s="28"/>
      <c r="BEA32" s="28"/>
      <c r="BEB32" s="28"/>
      <c r="BEC32" s="28"/>
      <c r="BED32" s="28"/>
      <c r="BEE32" s="28"/>
      <c r="BEF32" s="28"/>
      <c r="BEG32" s="28"/>
      <c r="BEH32" s="28"/>
      <c r="BEI32" s="28"/>
      <c r="BEJ32" s="28"/>
      <c r="BEK32" s="28"/>
      <c r="BEL32" s="28"/>
      <c r="BEM32" s="28"/>
      <c r="BEN32" s="28"/>
      <c r="BEO32" s="28"/>
      <c r="BEP32" s="28"/>
      <c r="BEQ32" s="28"/>
      <c r="BER32" s="28"/>
      <c r="BES32" s="28"/>
      <c r="BET32" s="28"/>
      <c r="BEU32" s="28"/>
      <c r="BEV32" s="28"/>
      <c r="BEW32" s="28"/>
      <c r="BEX32" s="28"/>
      <c r="BEY32" s="28"/>
      <c r="BEZ32" s="28"/>
      <c r="BFA32" s="28"/>
      <c r="BFB32" s="28"/>
      <c r="BFC32" s="28"/>
      <c r="BFD32" s="28"/>
      <c r="BFE32" s="28"/>
      <c r="BFF32" s="28"/>
      <c r="BFG32" s="28"/>
      <c r="BFH32" s="28"/>
      <c r="BFI32" s="28"/>
      <c r="BFJ32" s="28"/>
      <c r="BFK32" s="28"/>
      <c r="BFL32" s="28"/>
      <c r="BFM32" s="28"/>
      <c r="BFN32" s="28"/>
      <c r="BFO32" s="28"/>
      <c r="BFP32" s="28"/>
      <c r="BFQ32" s="28"/>
      <c r="BFR32" s="28"/>
      <c r="BFS32" s="28"/>
      <c r="BFT32" s="28"/>
      <c r="BFU32" s="28"/>
      <c r="BFV32" s="28"/>
      <c r="BFW32" s="28"/>
      <c r="BFX32" s="28"/>
      <c r="BFY32" s="28"/>
      <c r="BFZ32" s="28"/>
      <c r="BGA32" s="28"/>
      <c r="BGB32" s="28"/>
      <c r="BGC32" s="28"/>
      <c r="BGD32" s="28"/>
      <c r="BGE32" s="28"/>
      <c r="BGF32" s="28"/>
      <c r="BGG32" s="28"/>
      <c r="BGH32" s="28"/>
      <c r="BGI32" s="28"/>
      <c r="BGJ32" s="28"/>
      <c r="BGK32" s="28"/>
      <c r="BGL32" s="28"/>
      <c r="BGM32" s="28"/>
      <c r="BGN32" s="28"/>
      <c r="BGO32" s="28"/>
      <c r="BGP32" s="28"/>
      <c r="BGQ32" s="28"/>
      <c r="BGR32" s="28"/>
      <c r="BGS32" s="28"/>
      <c r="BGT32" s="28"/>
      <c r="BGU32" s="28"/>
      <c r="BGV32" s="28"/>
      <c r="BGW32" s="28"/>
      <c r="BGX32" s="28"/>
      <c r="BGY32" s="28"/>
      <c r="BGZ32" s="28"/>
      <c r="BHA32" s="28"/>
      <c r="BHB32" s="28"/>
      <c r="BHC32" s="28"/>
      <c r="BHD32" s="28"/>
      <c r="BHE32" s="28"/>
      <c r="BHF32" s="28"/>
      <c r="BHG32" s="28"/>
      <c r="BHH32" s="28"/>
      <c r="BHI32" s="28"/>
      <c r="BHJ32" s="28"/>
      <c r="BHK32" s="28"/>
      <c r="BHL32" s="28"/>
      <c r="BHM32" s="28"/>
      <c r="BHN32" s="28"/>
      <c r="BHO32" s="28"/>
      <c r="BHP32" s="28"/>
      <c r="BHQ32" s="28"/>
      <c r="BHR32" s="28"/>
      <c r="BHS32" s="28"/>
      <c r="BHT32" s="28"/>
      <c r="BHU32" s="28"/>
      <c r="BHV32" s="28"/>
      <c r="BHW32" s="28"/>
      <c r="BHX32" s="28"/>
      <c r="BHY32" s="28"/>
      <c r="BHZ32" s="28"/>
      <c r="BIA32" s="28"/>
      <c r="BIB32" s="28"/>
      <c r="BIC32" s="28"/>
      <c r="BID32" s="28"/>
      <c r="BIE32" s="28"/>
      <c r="BIF32" s="28"/>
      <c r="BIG32" s="28"/>
      <c r="BIH32" s="28"/>
      <c r="BII32" s="28"/>
      <c r="BIJ32" s="28"/>
      <c r="BIK32" s="28"/>
      <c r="BIL32" s="28"/>
      <c r="BIM32" s="28"/>
      <c r="BIN32" s="28"/>
      <c r="BIO32" s="28"/>
      <c r="BIP32" s="28"/>
      <c r="BIQ32" s="28"/>
      <c r="BIR32" s="28"/>
      <c r="BIS32" s="28"/>
      <c r="BIT32" s="28"/>
      <c r="BIU32" s="28"/>
      <c r="BIV32" s="28"/>
      <c r="BIW32" s="28"/>
      <c r="BIX32" s="28"/>
      <c r="BIY32" s="28"/>
      <c r="BIZ32" s="28"/>
      <c r="BJA32" s="28"/>
      <c r="BJB32" s="28"/>
      <c r="BJC32" s="28"/>
      <c r="BJD32" s="28"/>
      <c r="BJE32" s="28"/>
      <c r="BJF32" s="28"/>
      <c r="BJG32" s="28"/>
      <c r="BJH32" s="28"/>
      <c r="BJI32" s="28"/>
      <c r="BJJ32" s="28"/>
      <c r="BJK32" s="28"/>
      <c r="BJL32" s="28"/>
      <c r="BJM32" s="28"/>
      <c r="BJN32" s="28"/>
      <c r="BJO32" s="28"/>
      <c r="BJP32" s="28"/>
      <c r="BJQ32" s="28"/>
      <c r="BJR32" s="28"/>
      <c r="BJS32" s="28"/>
      <c r="BJT32" s="28"/>
      <c r="BJU32" s="28"/>
      <c r="BJV32" s="28"/>
      <c r="BJW32" s="28"/>
      <c r="BJX32" s="28"/>
      <c r="BJY32" s="28"/>
      <c r="BJZ32" s="28"/>
      <c r="BKA32" s="28"/>
      <c r="BKB32" s="28"/>
      <c r="BKC32" s="28"/>
      <c r="BKD32" s="28"/>
      <c r="BKE32" s="28"/>
      <c r="BKF32" s="28"/>
      <c r="BKG32" s="28"/>
      <c r="BKH32" s="28"/>
      <c r="BKI32" s="28"/>
      <c r="BKJ32" s="28"/>
      <c r="BKK32" s="28"/>
      <c r="BKL32" s="28"/>
      <c r="BKM32" s="28"/>
      <c r="BKN32" s="28"/>
      <c r="BKO32" s="28"/>
      <c r="BKP32" s="28"/>
      <c r="BKQ32" s="28"/>
      <c r="BKR32" s="28"/>
      <c r="BKS32" s="28"/>
      <c r="BKT32" s="28"/>
      <c r="BKU32" s="28"/>
      <c r="BKV32" s="28"/>
      <c r="BKW32" s="28"/>
      <c r="BKX32" s="28"/>
      <c r="BKY32" s="28"/>
      <c r="BKZ32" s="28"/>
      <c r="BLA32" s="28"/>
      <c r="BLB32" s="28"/>
      <c r="BLC32" s="28"/>
      <c r="BLD32" s="28"/>
      <c r="BLE32" s="28"/>
      <c r="BLF32" s="28"/>
      <c r="BLG32" s="28"/>
      <c r="BLH32" s="28"/>
      <c r="BLI32" s="28"/>
      <c r="BLJ32" s="28"/>
      <c r="BLK32" s="28"/>
      <c r="BLL32" s="28"/>
      <c r="BLM32" s="28"/>
      <c r="BLN32" s="28"/>
      <c r="BLO32" s="28"/>
      <c r="BLP32" s="28"/>
      <c r="BLQ32" s="28"/>
      <c r="BLR32" s="28"/>
      <c r="BLS32" s="28"/>
      <c r="BLT32" s="28"/>
      <c r="BLU32" s="28"/>
      <c r="BLV32" s="28"/>
      <c r="BLW32" s="28"/>
      <c r="BLX32" s="28"/>
      <c r="BLY32" s="28"/>
      <c r="BLZ32" s="28"/>
      <c r="BMA32" s="28"/>
      <c r="BMB32" s="28"/>
      <c r="BMC32" s="28"/>
      <c r="BMD32" s="28"/>
      <c r="BME32" s="28"/>
      <c r="BMF32" s="28"/>
      <c r="BMG32" s="28"/>
      <c r="BMH32" s="28"/>
      <c r="BMI32" s="28"/>
      <c r="BMJ32" s="28"/>
      <c r="BMK32" s="28"/>
      <c r="BML32" s="28"/>
      <c r="BMM32" s="28"/>
      <c r="BMN32" s="28"/>
      <c r="BMO32" s="28"/>
      <c r="BMP32" s="28"/>
      <c r="BMQ32" s="28"/>
      <c r="BMR32" s="28"/>
      <c r="BMS32" s="28"/>
      <c r="BMT32" s="28"/>
      <c r="BMU32" s="28"/>
      <c r="BMV32" s="28"/>
      <c r="BMW32" s="28"/>
      <c r="BMX32" s="28"/>
      <c r="BMY32" s="28"/>
      <c r="BMZ32" s="28"/>
      <c r="BNA32" s="28"/>
      <c r="BNB32" s="28"/>
      <c r="BNC32" s="28"/>
      <c r="BND32" s="28"/>
      <c r="BNE32" s="28"/>
      <c r="BNF32" s="28"/>
      <c r="BNG32" s="28"/>
      <c r="BNH32" s="28"/>
      <c r="BNI32" s="28"/>
      <c r="BNJ32" s="28"/>
      <c r="BNK32" s="28"/>
      <c r="BNL32" s="28"/>
      <c r="BNM32" s="28"/>
      <c r="BNN32" s="28"/>
      <c r="BNO32" s="28"/>
      <c r="BNP32" s="28"/>
      <c r="BNQ32" s="28"/>
      <c r="BNR32" s="28"/>
      <c r="BNS32" s="28"/>
      <c r="BNT32" s="28"/>
      <c r="BNU32" s="28"/>
      <c r="BNV32" s="28"/>
      <c r="BNW32" s="28"/>
      <c r="BNX32" s="28"/>
      <c r="BNY32" s="28"/>
      <c r="BNZ32" s="28"/>
      <c r="BOA32" s="28"/>
      <c r="BOB32" s="28"/>
      <c r="BOC32" s="28"/>
      <c r="BOD32" s="28"/>
      <c r="BOE32" s="28"/>
      <c r="BOF32" s="28"/>
      <c r="BOG32" s="28"/>
      <c r="BOH32" s="28"/>
      <c r="BOI32" s="28"/>
      <c r="BOJ32" s="28"/>
      <c r="BOK32" s="28"/>
      <c r="BOL32" s="28"/>
      <c r="BOM32" s="28"/>
      <c r="BON32" s="28"/>
      <c r="BOO32" s="28"/>
      <c r="BOP32" s="28"/>
      <c r="BOQ32" s="28"/>
      <c r="BOR32" s="28"/>
      <c r="BOS32" s="28"/>
      <c r="BOT32" s="28"/>
      <c r="BOU32" s="28"/>
      <c r="BOV32" s="28"/>
      <c r="BOW32" s="28"/>
      <c r="BOX32" s="28"/>
      <c r="BOY32" s="28"/>
      <c r="BOZ32" s="28"/>
      <c r="BPA32" s="28"/>
      <c r="BPB32" s="28"/>
      <c r="BPC32" s="28"/>
      <c r="BPD32" s="28"/>
      <c r="BPE32" s="28"/>
      <c r="BPF32" s="28"/>
      <c r="BPG32" s="28"/>
      <c r="BPH32" s="28"/>
      <c r="BPI32" s="28"/>
      <c r="BPJ32" s="28"/>
      <c r="BPK32" s="28"/>
      <c r="BPL32" s="28"/>
      <c r="BPM32" s="28"/>
      <c r="BPN32" s="28"/>
      <c r="BPO32" s="28"/>
      <c r="BPP32" s="28"/>
      <c r="BPQ32" s="28"/>
      <c r="BPR32" s="28"/>
      <c r="BPS32" s="28"/>
      <c r="BPT32" s="28"/>
      <c r="BPU32" s="28"/>
      <c r="BPV32" s="28"/>
      <c r="BPW32" s="28"/>
      <c r="BPX32" s="28"/>
      <c r="BPY32" s="28"/>
      <c r="BPZ32" s="28"/>
      <c r="BQA32" s="28"/>
      <c r="BQB32" s="28"/>
      <c r="BQC32" s="28"/>
      <c r="BQD32" s="28"/>
      <c r="BQE32" s="28"/>
      <c r="BQF32" s="28"/>
      <c r="BQG32" s="28"/>
      <c r="BQH32" s="28"/>
      <c r="BQI32" s="28"/>
      <c r="BQJ32" s="28"/>
      <c r="BQK32" s="28"/>
      <c r="BQL32" s="28"/>
      <c r="BQM32" s="28"/>
      <c r="BQN32" s="28"/>
      <c r="BQO32" s="28"/>
      <c r="BQP32" s="28"/>
      <c r="BQQ32" s="28"/>
      <c r="BQR32" s="28"/>
      <c r="BQS32" s="28"/>
      <c r="BQT32" s="28"/>
      <c r="BQU32" s="28"/>
      <c r="BQV32" s="28"/>
      <c r="BQW32" s="28"/>
      <c r="BQX32" s="28"/>
      <c r="BQY32" s="28"/>
      <c r="BQZ32" s="28"/>
      <c r="BRA32" s="28"/>
      <c r="BRB32" s="28"/>
      <c r="BRC32" s="28"/>
      <c r="BRD32" s="28"/>
      <c r="BRE32" s="28"/>
      <c r="BRF32" s="28"/>
      <c r="BRG32" s="28"/>
      <c r="BRH32" s="28"/>
      <c r="BRI32" s="28"/>
      <c r="BRJ32" s="28"/>
      <c r="BRK32" s="28"/>
      <c r="BRL32" s="28"/>
      <c r="BRM32" s="28"/>
      <c r="BRN32" s="28"/>
      <c r="BRO32" s="28"/>
      <c r="BRP32" s="28"/>
      <c r="BRQ32" s="28"/>
      <c r="BRR32" s="28"/>
      <c r="BRS32" s="28"/>
      <c r="BRT32" s="28"/>
      <c r="BRU32" s="28"/>
      <c r="BRV32" s="28"/>
      <c r="BRW32" s="28"/>
      <c r="BRX32" s="28"/>
      <c r="BRY32" s="28"/>
      <c r="BRZ32" s="28"/>
      <c r="BSA32" s="28"/>
      <c r="BSB32" s="28"/>
      <c r="BSC32" s="28"/>
      <c r="BSD32" s="28"/>
      <c r="BSE32" s="28"/>
      <c r="BSF32" s="28"/>
      <c r="BSG32" s="28"/>
      <c r="BSH32" s="28"/>
      <c r="BSI32" s="28"/>
      <c r="BSJ32" s="28"/>
      <c r="BSK32" s="28"/>
      <c r="BSL32" s="28"/>
      <c r="BSM32" s="28"/>
      <c r="BSN32" s="28"/>
      <c r="BSO32" s="28"/>
      <c r="BSP32" s="28"/>
      <c r="BSQ32" s="28"/>
      <c r="BSR32" s="28"/>
      <c r="BSS32" s="28"/>
      <c r="BST32" s="28"/>
      <c r="BSU32" s="28"/>
      <c r="BSV32" s="28"/>
      <c r="BSW32" s="28"/>
      <c r="BSX32" s="28"/>
      <c r="BSY32" s="28"/>
      <c r="BSZ32" s="28"/>
      <c r="BTA32" s="28"/>
      <c r="BTB32" s="28"/>
      <c r="BTC32" s="28"/>
      <c r="BTD32" s="28"/>
      <c r="BTE32" s="28"/>
      <c r="BTF32" s="28"/>
      <c r="BTG32" s="28"/>
      <c r="BTH32" s="28"/>
      <c r="BTI32" s="28"/>
      <c r="BTJ32" s="28"/>
      <c r="BTK32" s="28"/>
      <c r="BTL32" s="28"/>
      <c r="BTM32" s="28"/>
      <c r="BTN32" s="28"/>
      <c r="BTO32" s="28"/>
      <c r="BTP32" s="28"/>
      <c r="BTQ32" s="28"/>
      <c r="BTR32" s="28"/>
      <c r="BTS32" s="28"/>
      <c r="BTT32" s="28"/>
      <c r="BTU32" s="28"/>
      <c r="BTV32" s="28"/>
      <c r="BTW32" s="28"/>
      <c r="BTX32" s="28"/>
      <c r="BTY32" s="28"/>
      <c r="BTZ32" s="28"/>
      <c r="BUA32" s="28"/>
      <c r="BUB32" s="28"/>
      <c r="BUC32" s="28"/>
      <c r="BUD32" s="28"/>
      <c r="BUE32" s="28"/>
      <c r="BUF32" s="28"/>
      <c r="BUG32" s="28"/>
      <c r="BUH32" s="28"/>
      <c r="BUI32" s="28"/>
      <c r="BUJ32" s="28"/>
      <c r="BUK32" s="28"/>
      <c r="BUL32" s="28"/>
      <c r="BUM32" s="28"/>
      <c r="BUN32" s="28"/>
      <c r="BUO32" s="28"/>
      <c r="BUP32" s="28"/>
      <c r="BUQ32" s="28"/>
      <c r="BUR32" s="28"/>
      <c r="BUS32" s="28"/>
      <c r="BUT32" s="28"/>
      <c r="BUU32" s="28"/>
      <c r="BUV32" s="28"/>
      <c r="BUW32" s="28"/>
      <c r="BUX32" s="28"/>
      <c r="BUY32" s="28"/>
      <c r="BUZ32" s="28"/>
      <c r="BVA32" s="28"/>
      <c r="BVB32" s="28"/>
      <c r="BVC32" s="28"/>
      <c r="BVD32" s="28"/>
      <c r="BVE32" s="28"/>
      <c r="BVF32" s="28"/>
      <c r="BVG32" s="28"/>
      <c r="BVH32" s="28"/>
      <c r="BVI32" s="28"/>
      <c r="BVJ32" s="28"/>
      <c r="BVK32" s="28"/>
      <c r="BVL32" s="28"/>
      <c r="BVM32" s="28"/>
      <c r="BVN32" s="28"/>
      <c r="BVO32" s="28"/>
      <c r="BVP32" s="28"/>
      <c r="BVQ32" s="28"/>
      <c r="BVR32" s="28"/>
      <c r="BVS32" s="28"/>
      <c r="BVT32" s="28"/>
      <c r="BVU32" s="28"/>
      <c r="BVV32" s="28"/>
      <c r="BVW32" s="28"/>
      <c r="BVX32" s="28"/>
      <c r="BVY32" s="28"/>
      <c r="BVZ32" s="28"/>
      <c r="BWA32" s="28"/>
      <c r="BWB32" s="28"/>
      <c r="BWC32" s="28"/>
      <c r="BWD32" s="28"/>
      <c r="BWE32" s="28"/>
      <c r="BWF32" s="28"/>
      <c r="BWG32" s="28"/>
      <c r="BWH32" s="28"/>
      <c r="BWI32" s="28"/>
      <c r="BWJ32" s="28"/>
      <c r="BWK32" s="28"/>
      <c r="BWL32" s="28"/>
      <c r="BWM32" s="28"/>
      <c r="BWN32" s="28"/>
      <c r="BWO32" s="28"/>
      <c r="BWP32" s="28"/>
      <c r="BWQ32" s="28"/>
      <c r="BWR32" s="28"/>
      <c r="BWS32" s="28"/>
      <c r="BWT32" s="28"/>
      <c r="BWU32" s="28"/>
      <c r="BWV32" s="28"/>
      <c r="BWW32" s="28"/>
      <c r="BWX32" s="28"/>
      <c r="BWY32" s="28"/>
      <c r="BWZ32" s="28"/>
      <c r="BXA32" s="28"/>
      <c r="BXB32" s="28"/>
      <c r="BXC32" s="28"/>
      <c r="BXD32" s="28"/>
      <c r="BXE32" s="28"/>
      <c r="BXF32" s="28"/>
      <c r="BXG32" s="28"/>
      <c r="BXH32" s="28"/>
      <c r="BXI32" s="28"/>
      <c r="BXJ32" s="28"/>
      <c r="BXK32" s="28"/>
      <c r="BXL32" s="28"/>
      <c r="BXM32" s="28"/>
      <c r="BXN32" s="28"/>
      <c r="BXO32" s="28"/>
      <c r="BXP32" s="28"/>
      <c r="BXQ32" s="28"/>
      <c r="BXR32" s="28"/>
      <c r="BXS32" s="28"/>
      <c r="BXT32" s="28"/>
      <c r="BXU32" s="28"/>
      <c r="BXV32" s="28"/>
      <c r="BXW32" s="28"/>
      <c r="BXX32" s="28"/>
      <c r="BXY32" s="28"/>
      <c r="BXZ32" s="28"/>
      <c r="BYA32" s="28"/>
      <c r="BYB32" s="28"/>
      <c r="BYC32" s="28"/>
      <c r="BYD32" s="28"/>
      <c r="BYE32" s="28"/>
      <c r="BYF32" s="28"/>
      <c r="BYG32" s="28"/>
      <c r="BYH32" s="28"/>
      <c r="BYI32" s="28"/>
      <c r="BYJ32" s="28"/>
      <c r="BYK32" s="28"/>
      <c r="BYL32" s="28"/>
      <c r="BYM32" s="28"/>
      <c r="BYN32" s="28"/>
      <c r="BYO32" s="28"/>
      <c r="BYP32" s="28"/>
      <c r="BYQ32" s="28"/>
      <c r="BYR32" s="28"/>
      <c r="BYS32" s="28"/>
      <c r="BYT32" s="28"/>
      <c r="BYU32" s="28"/>
      <c r="BYV32" s="28"/>
      <c r="BYW32" s="28"/>
      <c r="BYX32" s="28"/>
      <c r="BYY32" s="28"/>
      <c r="BYZ32" s="28"/>
      <c r="BZA32" s="28"/>
      <c r="BZB32" s="28"/>
      <c r="BZC32" s="28"/>
      <c r="BZD32" s="28"/>
      <c r="BZE32" s="28"/>
      <c r="BZF32" s="28"/>
      <c r="BZG32" s="28"/>
      <c r="BZH32" s="28"/>
      <c r="BZI32" s="28"/>
      <c r="BZJ32" s="28"/>
      <c r="BZK32" s="28"/>
      <c r="BZL32" s="28"/>
      <c r="BZM32" s="28"/>
      <c r="BZN32" s="28"/>
      <c r="BZO32" s="28"/>
      <c r="BZP32" s="28"/>
      <c r="BZQ32" s="28"/>
      <c r="BZR32" s="28"/>
      <c r="BZS32" s="28"/>
      <c r="BZT32" s="28"/>
      <c r="BZU32" s="28"/>
      <c r="BZV32" s="28"/>
      <c r="BZW32" s="28"/>
      <c r="BZX32" s="28"/>
      <c r="BZY32" s="28"/>
      <c r="BZZ32" s="28"/>
      <c r="CAA32" s="28"/>
      <c r="CAB32" s="28"/>
      <c r="CAC32" s="28"/>
      <c r="CAD32" s="28"/>
      <c r="CAE32" s="28"/>
      <c r="CAF32" s="28"/>
      <c r="CAG32" s="28"/>
      <c r="CAH32" s="28"/>
      <c r="CAI32" s="28"/>
      <c r="CAJ32" s="28"/>
      <c r="CAK32" s="28"/>
      <c r="CAL32" s="28"/>
      <c r="CAM32" s="28"/>
      <c r="CAN32" s="28"/>
      <c r="CAO32" s="28"/>
      <c r="CAP32" s="28"/>
      <c r="CAQ32" s="28"/>
      <c r="CAR32" s="28"/>
      <c r="CAS32" s="28"/>
      <c r="CAT32" s="28"/>
      <c r="CAU32" s="28"/>
      <c r="CAV32" s="28"/>
      <c r="CAW32" s="28"/>
      <c r="CAX32" s="28"/>
      <c r="CAY32" s="28"/>
      <c r="CAZ32" s="28"/>
      <c r="CBA32" s="28"/>
      <c r="CBB32" s="28"/>
      <c r="CBC32" s="28"/>
      <c r="CBD32" s="28"/>
      <c r="CBE32" s="28"/>
      <c r="CBF32" s="28"/>
      <c r="CBG32" s="28"/>
      <c r="CBH32" s="28"/>
      <c r="CBI32" s="28"/>
      <c r="CBJ32" s="28"/>
      <c r="CBK32" s="28"/>
      <c r="CBL32" s="28"/>
      <c r="CBM32" s="28"/>
      <c r="CBN32" s="28"/>
      <c r="CBO32" s="28"/>
      <c r="CBP32" s="28"/>
      <c r="CBQ32" s="28"/>
      <c r="CBR32" s="28"/>
      <c r="CBS32" s="28"/>
      <c r="CBT32" s="28"/>
      <c r="CBU32" s="28"/>
      <c r="CBV32" s="28"/>
      <c r="CBW32" s="28"/>
      <c r="CBX32" s="28"/>
      <c r="CBY32" s="28"/>
      <c r="CBZ32" s="28"/>
      <c r="CCA32" s="28"/>
      <c r="CCB32" s="28"/>
      <c r="CCC32" s="28"/>
      <c r="CCD32" s="28"/>
      <c r="CCE32" s="28"/>
      <c r="CCF32" s="28"/>
      <c r="CCG32" s="28"/>
      <c r="CCH32" s="28"/>
      <c r="CCI32" s="28"/>
      <c r="CCJ32" s="28"/>
      <c r="CCK32" s="28"/>
      <c r="CCL32" s="28"/>
      <c r="CCM32" s="28"/>
      <c r="CCN32" s="28"/>
      <c r="CCO32" s="28"/>
      <c r="CCP32" s="28"/>
      <c r="CCQ32" s="28"/>
      <c r="CCR32" s="28"/>
      <c r="CCS32" s="28"/>
      <c r="CCT32" s="28"/>
      <c r="CCU32" s="28"/>
      <c r="CCV32" s="28"/>
      <c r="CCW32" s="28"/>
      <c r="CCX32" s="28"/>
      <c r="CCY32" s="28"/>
      <c r="CCZ32" s="28"/>
      <c r="CDA32" s="28"/>
      <c r="CDB32" s="28"/>
      <c r="CDC32" s="28"/>
      <c r="CDD32" s="28"/>
      <c r="CDE32" s="28"/>
      <c r="CDF32" s="28"/>
      <c r="CDG32" s="28"/>
      <c r="CDH32" s="28"/>
      <c r="CDI32" s="28"/>
      <c r="CDJ32" s="28"/>
      <c r="CDK32" s="28"/>
      <c r="CDL32" s="28"/>
      <c r="CDM32" s="28"/>
      <c r="CDN32" s="28"/>
      <c r="CDO32" s="28"/>
      <c r="CDP32" s="28"/>
      <c r="CDQ32" s="28"/>
      <c r="CDR32" s="28"/>
      <c r="CDS32" s="28"/>
      <c r="CDT32" s="28"/>
      <c r="CDU32" s="28"/>
      <c r="CDV32" s="28"/>
      <c r="CDW32" s="28"/>
      <c r="CDX32" s="28"/>
      <c r="CDY32" s="28"/>
      <c r="CDZ32" s="28"/>
      <c r="CEA32" s="28"/>
      <c r="CEB32" s="28"/>
      <c r="CEC32" s="28"/>
      <c r="CED32" s="28"/>
      <c r="CEE32" s="28"/>
      <c r="CEF32" s="28"/>
      <c r="CEG32" s="28"/>
      <c r="CEH32" s="28"/>
      <c r="CEI32" s="28"/>
      <c r="CEJ32" s="28"/>
      <c r="CEK32" s="28"/>
      <c r="CEL32" s="28"/>
      <c r="CEM32" s="28"/>
      <c r="CEN32" s="28"/>
      <c r="CEO32" s="28"/>
      <c r="CEP32" s="28"/>
      <c r="CEQ32" s="28"/>
      <c r="CER32" s="28"/>
      <c r="CES32" s="28"/>
      <c r="CET32" s="28"/>
      <c r="CEU32" s="28"/>
      <c r="CEV32" s="28"/>
      <c r="CEW32" s="28"/>
      <c r="CEX32" s="28"/>
      <c r="CEY32" s="28"/>
      <c r="CEZ32" s="28"/>
      <c r="CFA32" s="28"/>
      <c r="CFB32" s="28"/>
      <c r="CFC32" s="28"/>
      <c r="CFD32" s="28"/>
      <c r="CFE32" s="28"/>
      <c r="CFF32" s="28"/>
      <c r="CFG32" s="28"/>
      <c r="CFH32" s="28"/>
      <c r="CFI32" s="28"/>
      <c r="CFJ32" s="28"/>
      <c r="CFK32" s="28"/>
      <c r="CFL32" s="28"/>
      <c r="CFM32" s="28"/>
      <c r="CFN32" s="28"/>
      <c r="CFO32" s="28"/>
      <c r="CFP32" s="28"/>
      <c r="CFQ32" s="28"/>
      <c r="CFR32" s="28"/>
      <c r="CFS32" s="28"/>
      <c r="CFT32" s="28"/>
      <c r="CFU32" s="28"/>
      <c r="CFV32" s="28"/>
      <c r="CFW32" s="28"/>
      <c r="CFX32" s="28"/>
      <c r="CFY32" s="28"/>
      <c r="CFZ32" s="28"/>
      <c r="CGA32" s="28"/>
      <c r="CGB32" s="28"/>
      <c r="CGC32" s="28"/>
      <c r="CGD32" s="28"/>
      <c r="CGE32" s="28"/>
      <c r="CGF32" s="28"/>
      <c r="CGG32" s="28"/>
      <c r="CGH32" s="28"/>
      <c r="CGI32" s="28"/>
      <c r="CGJ32" s="28"/>
      <c r="CGK32" s="28"/>
      <c r="CGL32" s="28"/>
      <c r="CGM32" s="28"/>
      <c r="CGN32" s="28"/>
      <c r="CGO32" s="28"/>
      <c r="CGP32" s="28"/>
      <c r="CGQ32" s="28"/>
      <c r="CGR32" s="28"/>
      <c r="CGS32" s="28"/>
      <c r="CGT32" s="28"/>
      <c r="CGU32" s="28"/>
      <c r="CGV32" s="28"/>
      <c r="CGW32" s="28"/>
      <c r="CGX32" s="28"/>
      <c r="CGY32" s="28"/>
      <c r="CGZ32" s="28"/>
      <c r="CHA32" s="28"/>
      <c r="CHB32" s="28"/>
      <c r="CHC32" s="28"/>
      <c r="CHD32" s="28"/>
      <c r="CHE32" s="28"/>
      <c r="CHF32" s="28"/>
      <c r="CHG32" s="28"/>
      <c r="CHH32" s="28"/>
      <c r="CHI32" s="28"/>
      <c r="CHJ32" s="28"/>
      <c r="CHK32" s="28"/>
      <c r="CHL32" s="28"/>
      <c r="CHM32" s="28"/>
      <c r="CHN32" s="28"/>
      <c r="CHO32" s="28"/>
      <c r="CHP32" s="28"/>
      <c r="CHQ32" s="28"/>
      <c r="CHR32" s="28"/>
      <c r="CHS32" s="28"/>
      <c r="CHT32" s="28"/>
      <c r="CHU32" s="28"/>
      <c r="CHV32" s="28"/>
      <c r="CHW32" s="28"/>
      <c r="CHX32" s="28"/>
      <c r="CHY32" s="28"/>
      <c r="CHZ32" s="28"/>
      <c r="CIA32" s="28"/>
      <c r="CIB32" s="28"/>
      <c r="CIC32" s="28"/>
      <c r="CID32" s="28"/>
      <c r="CIE32" s="28"/>
      <c r="CIF32" s="28"/>
      <c r="CIG32" s="28"/>
      <c r="CIH32" s="28"/>
      <c r="CII32" s="28"/>
      <c r="CIJ32" s="28"/>
      <c r="CIK32" s="28"/>
      <c r="CIL32" s="28"/>
      <c r="CIM32" s="28"/>
      <c r="CIN32" s="28"/>
      <c r="CIO32" s="28"/>
      <c r="CIP32" s="28"/>
      <c r="CIQ32" s="28"/>
      <c r="CIR32" s="28"/>
      <c r="CIS32" s="28"/>
      <c r="CIT32" s="28"/>
      <c r="CIU32" s="28"/>
      <c r="CIV32" s="28"/>
      <c r="CIW32" s="28"/>
      <c r="CIX32" s="28"/>
      <c r="CIY32" s="28"/>
      <c r="CIZ32" s="28"/>
      <c r="CJA32" s="28"/>
      <c r="CJB32" s="28"/>
      <c r="CJC32" s="28"/>
      <c r="CJD32" s="28"/>
      <c r="CJE32" s="28"/>
      <c r="CJF32" s="28"/>
      <c r="CJG32" s="28"/>
      <c r="CJH32" s="28"/>
      <c r="CJI32" s="28"/>
      <c r="CJJ32" s="28"/>
      <c r="CJK32" s="28"/>
      <c r="CJL32" s="28"/>
      <c r="CJM32" s="28"/>
      <c r="CJN32" s="28"/>
      <c r="CJO32" s="28"/>
      <c r="CJP32" s="28"/>
      <c r="CJQ32" s="28"/>
      <c r="CJR32" s="28"/>
      <c r="CJS32" s="28"/>
      <c r="CJT32" s="28"/>
      <c r="CJU32" s="28"/>
      <c r="CJV32" s="28"/>
      <c r="CJW32" s="28"/>
      <c r="CJX32" s="28"/>
      <c r="CJY32" s="28"/>
      <c r="CJZ32" s="28"/>
      <c r="CKA32" s="28"/>
      <c r="CKB32" s="28"/>
      <c r="CKC32" s="28"/>
      <c r="CKD32" s="28"/>
      <c r="CKE32" s="28"/>
      <c r="CKF32" s="28"/>
      <c r="CKG32" s="28"/>
      <c r="CKH32" s="28"/>
      <c r="CKI32" s="28"/>
      <c r="CKJ32" s="28"/>
      <c r="CKK32" s="28"/>
      <c r="CKL32" s="28"/>
      <c r="CKM32" s="28"/>
      <c r="CKN32" s="28"/>
      <c r="CKO32" s="28"/>
      <c r="CKP32" s="28"/>
      <c r="CKQ32" s="28"/>
      <c r="CKR32" s="28"/>
      <c r="CKS32" s="28"/>
      <c r="CKT32" s="28"/>
      <c r="CKU32" s="28"/>
      <c r="CKV32" s="28"/>
      <c r="CKW32" s="28"/>
      <c r="CKX32" s="28"/>
      <c r="CKY32" s="28"/>
      <c r="CKZ32" s="28"/>
      <c r="CLA32" s="28"/>
      <c r="CLB32" s="28"/>
      <c r="CLC32" s="28"/>
      <c r="CLD32" s="28"/>
      <c r="CLE32" s="28"/>
      <c r="CLF32" s="28"/>
      <c r="CLG32" s="28"/>
      <c r="CLH32" s="28"/>
      <c r="CLI32" s="28"/>
      <c r="CLJ32" s="28"/>
      <c r="CLK32" s="28"/>
      <c r="CLL32" s="28"/>
      <c r="CLM32" s="28"/>
      <c r="CLN32" s="28"/>
      <c r="CLO32" s="28"/>
      <c r="CLP32" s="28"/>
      <c r="CLQ32" s="28"/>
      <c r="CLR32" s="28"/>
      <c r="CLS32" s="28"/>
      <c r="CLT32" s="28"/>
      <c r="CLU32" s="28"/>
      <c r="CLV32" s="28"/>
      <c r="CLW32" s="28"/>
      <c r="CLX32" s="28"/>
      <c r="CLY32" s="28"/>
      <c r="CLZ32" s="28"/>
      <c r="CMA32" s="28"/>
      <c r="CMB32" s="28"/>
      <c r="CMC32" s="28"/>
      <c r="CMD32" s="28"/>
      <c r="CME32" s="28"/>
      <c r="CMF32" s="28"/>
      <c r="CMG32" s="28"/>
      <c r="CMH32" s="28"/>
      <c r="CMI32" s="28"/>
      <c r="CMJ32" s="28"/>
      <c r="CMK32" s="28"/>
      <c r="CML32" s="28"/>
      <c r="CMM32" s="28"/>
      <c r="CMN32" s="28"/>
      <c r="CMO32" s="28"/>
      <c r="CMP32" s="28"/>
      <c r="CMQ32" s="28"/>
      <c r="CMR32" s="28"/>
      <c r="CMS32" s="28"/>
      <c r="CMT32" s="28"/>
      <c r="CMU32" s="28"/>
      <c r="CMV32" s="28"/>
      <c r="CMW32" s="28"/>
      <c r="CMX32" s="28"/>
      <c r="CMY32" s="28"/>
      <c r="CMZ32" s="28"/>
      <c r="CNA32" s="28"/>
      <c r="CNB32" s="28"/>
      <c r="CNC32" s="28"/>
      <c r="CND32" s="28"/>
      <c r="CNE32" s="28"/>
      <c r="CNF32" s="28"/>
      <c r="CNG32" s="28"/>
      <c r="CNH32" s="28"/>
      <c r="CNI32" s="28"/>
      <c r="CNJ32" s="28"/>
      <c r="CNK32" s="28"/>
      <c r="CNL32" s="28"/>
      <c r="CNM32" s="28"/>
      <c r="CNN32" s="28"/>
      <c r="CNO32" s="28"/>
      <c r="CNP32" s="28"/>
      <c r="CNQ32" s="28"/>
      <c r="CNR32" s="28"/>
      <c r="CNS32" s="28"/>
      <c r="CNT32" s="28"/>
      <c r="CNU32" s="28"/>
      <c r="CNV32" s="28"/>
      <c r="CNW32" s="28"/>
      <c r="CNX32" s="28"/>
      <c r="CNY32" s="28"/>
      <c r="CNZ32" s="28"/>
      <c r="COA32" s="28"/>
      <c r="COB32" s="28"/>
      <c r="COC32" s="28"/>
      <c r="COD32" s="28"/>
      <c r="COE32" s="28"/>
      <c r="COF32" s="28"/>
      <c r="COG32" s="28"/>
      <c r="COH32" s="28"/>
      <c r="COI32" s="28"/>
      <c r="COJ32" s="28"/>
      <c r="COK32" s="28"/>
      <c r="COL32" s="28"/>
      <c r="COM32" s="28"/>
      <c r="CON32" s="28"/>
      <c r="COO32" s="28"/>
      <c r="COP32" s="28"/>
      <c r="COQ32" s="28"/>
      <c r="COR32" s="28"/>
      <c r="COS32" s="28"/>
      <c r="COT32" s="28"/>
      <c r="COU32" s="28"/>
      <c r="COV32" s="28"/>
      <c r="COW32" s="28"/>
      <c r="COX32" s="28"/>
      <c r="COY32" s="28"/>
      <c r="COZ32" s="28"/>
      <c r="CPA32" s="28"/>
      <c r="CPB32" s="28"/>
      <c r="CPC32" s="28"/>
      <c r="CPD32" s="28"/>
      <c r="CPE32" s="28"/>
      <c r="CPF32" s="28"/>
      <c r="CPG32" s="28"/>
      <c r="CPH32" s="28"/>
      <c r="CPI32" s="28"/>
      <c r="CPJ32" s="28"/>
      <c r="CPK32" s="28"/>
      <c r="CPL32" s="28"/>
      <c r="CPM32" s="28"/>
      <c r="CPN32" s="28"/>
      <c r="CPO32" s="28"/>
      <c r="CPP32" s="28"/>
      <c r="CPQ32" s="28"/>
      <c r="CPR32" s="28"/>
      <c r="CPS32" s="28"/>
      <c r="CPT32" s="28"/>
      <c r="CPU32" s="28"/>
      <c r="CPV32" s="28"/>
      <c r="CPW32" s="28"/>
      <c r="CPX32" s="28"/>
      <c r="CPY32" s="28"/>
      <c r="CPZ32" s="28"/>
      <c r="CQA32" s="28"/>
      <c r="CQB32" s="28"/>
      <c r="CQC32" s="28"/>
      <c r="CQD32" s="28"/>
      <c r="CQE32" s="28"/>
      <c r="CQF32" s="28"/>
      <c r="CQG32" s="28"/>
      <c r="CQH32" s="28"/>
      <c r="CQI32" s="28"/>
      <c r="CQJ32" s="28"/>
      <c r="CQK32" s="28"/>
      <c r="CQL32" s="28"/>
      <c r="CQM32" s="28"/>
      <c r="CQN32" s="28"/>
      <c r="CQO32" s="28"/>
      <c r="CQP32" s="28"/>
      <c r="CQQ32" s="28"/>
      <c r="CQR32" s="28"/>
      <c r="CQS32" s="28"/>
      <c r="CQT32" s="28"/>
      <c r="CQU32" s="28"/>
      <c r="CQV32" s="28"/>
      <c r="CQW32" s="28"/>
      <c r="CQX32" s="28"/>
      <c r="CQY32" s="28"/>
      <c r="CQZ32" s="28"/>
      <c r="CRA32" s="28"/>
      <c r="CRB32" s="28"/>
      <c r="CRC32" s="28"/>
      <c r="CRD32" s="28"/>
      <c r="CRE32" s="28"/>
      <c r="CRF32" s="28"/>
      <c r="CRG32" s="28"/>
      <c r="CRH32" s="28"/>
      <c r="CRI32" s="28"/>
      <c r="CRJ32" s="28"/>
      <c r="CRK32" s="28"/>
      <c r="CRL32" s="28"/>
      <c r="CRM32" s="28"/>
      <c r="CRN32" s="28"/>
      <c r="CRO32" s="28"/>
      <c r="CRP32" s="28"/>
      <c r="CRQ32" s="28"/>
      <c r="CRR32" s="28"/>
      <c r="CRS32" s="28"/>
      <c r="CRT32" s="28"/>
      <c r="CRU32" s="28"/>
      <c r="CRV32" s="28"/>
      <c r="CRW32" s="28"/>
      <c r="CRX32" s="28"/>
      <c r="CRY32" s="28"/>
      <c r="CRZ32" s="28"/>
      <c r="CSA32" s="28"/>
      <c r="CSB32" s="28"/>
      <c r="CSC32" s="28"/>
      <c r="CSD32" s="28"/>
      <c r="CSE32" s="28"/>
      <c r="CSF32" s="28"/>
      <c r="CSG32" s="28"/>
      <c r="CSH32" s="28"/>
      <c r="CSI32" s="28"/>
      <c r="CSJ32" s="28"/>
      <c r="CSK32" s="28"/>
      <c r="CSL32" s="28"/>
      <c r="CSM32" s="28"/>
      <c r="CSN32" s="28"/>
      <c r="CSO32" s="28"/>
      <c r="CSP32" s="28"/>
      <c r="CSQ32" s="28"/>
      <c r="CSR32" s="28"/>
      <c r="CSS32" s="28"/>
      <c r="CST32" s="28"/>
      <c r="CSU32" s="28"/>
      <c r="CSV32" s="28"/>
      <c r="CSW32" s="28"/>
      <c r="CSX32" s="28"/>
      <c r="CSY32" s="28"/>
      <c r="CSZ32" s="28"/>
      <c r="CTA32" s="28"/>
      <c r="CTB32" s="28"/>
      <c r="CTC32" s="28"/>
      <c r="CTD32" s="28"/>
      <c r="CTE32" s="28"/>
      <c r="CTF32" s="28"/>
      <c r="CTG32" s="28"/>
      <c r="CTH32" s="28"/>
      <c r="CTI32" s="28"/>
      <c r="CTJ32" s="28"/>
      <c r="CTK32" s="28"/>
      <c r="CTL32" s="28"/>
      <c r="CTM32" s="28"/>
      <c r="CTN32" s="28"/>
      <c r="CTO32" s="28"/>
      <c r="CTP32" s="28"/>
      <c r="CTQ32" s="28"/>
      <c r="CTR32" s="28"/>
      <c r="CTS32" s="28"/>
      <c r="CTT32" s="28"/>
      <c r="CTU32" s="28"/>
      <c r="CTV32" s="28"/>
      <c r="CTW32" s="28"/>
      <c r="CTX32" s="28"/>
      <c r="CTY32" s="28"/>
      <c r="CTZ32" s="28"/>
      <c r="CUA32" s="28"/>
      <c r="CUB32" s="28"/>
      <c r="CUC32" s="28"/>
      <c r="CUD32" s="28"/>
      <c r="CUE32" s="28"/>
      <c r="CUF32" s="28"/>
      <c r="CUG32" s="28"/>
      <c r="CUH32" s="28"/>
      <c r="CUI32" s="28"/>
      <c r="CUJ32" s="28"/>
      <c r="CUK32" s="28"/>
      <c r="CUL32" s="28"/>
      <c r="CUM32" s="28"/>
      <c r="CUN32" s="28"/>
      <c r="CUO32" s="28"/>
      <c r="CUP32" s="28"/>
      <c r="CUQ32" s="28"/>
      <c r="CUR32" s="28"/>
      <c r="CUS32" s="28"/>
      <c r="CUT32" s="28"/>
      <c r="CUU32" s="28"/>
      <c r="CUV32" s="28"/>
      <c r="CUW32" s="28"/>
      <c r="CUX32" s="28"/>
      <c r="CUY32" s="28"/>
      <c r="CUZ32" s="28"/>
      <c r="CVA32" s="28"/>
      <c r="CVB32" s="28"/>
      <c r="CVC32" s="28"/>
      <c r="CVD32" s="28"/>
      <c r="CVE32" s="28"/>
      <c r="CVF32" s="28"/>
      <c r="CVG32" s="28"/>
      <c r="CVH32" s="28"/>
      <c r="CVI32" s="28"/>
      <c r="CVJ32" s="28"/>
      <c r="CVK32" s="28"/>
      <c r="CVL32" s="28"/>
      <c r="CVM32" s="28"/>
      <c r="CVN32" s="28"/>
      <c r="CVO32" s="28"/>
      <c r="CVP32" s="28"/>
      <c r="CVQ32" s="28"/>
      <c r="CVR32" s="28"/>
      <c r="CVS32" s="28"/>
      <c r="CVT32" s="28"/>
      <c r="CVU32" s="28"/>
      <c r="CVV32" s="28"/>
      <c r="CVW32" s="28"/>
      <c r="CVX32" s="28"/>
      <c r="CVY32" s="28"/>
      <c r="CVZ32" s="28"/>
      <c r="CWA32" s="28"/>
      <c r="CWB32" s="28"/>
      <c r="CWC32" s="28"/>
      <c r="CWD32" s="28"/>
      <c r="CWE32" s="28"/>
      <c r="CWF32" s="28"/>
      <c r="CWG32" s="28"/>
      <c r="CWH32" s="28"/>
      <c r="CWI32" s="28"/>
      <c r="CWJ32" s="28"/>
      <c r="CWK32" s="28"/>
      <c r="CWL32" s="28"/>
      <c r="CWM32" s="28"/>
      <c r="CWN32" s="28"/>
      <c r="CWO32" s="28"/>
      <c r="CWP32" s="28"/>
      <c r="CWQ32" s="28"/>
      <c r="CWR32" s="28"/>
      <c r="CWS32" s="28"/>
      <c r="CWT32" s="28"/>
      <c r="CWU32" s="28"/>
      <c r="CWV32" s="28"/>
      <c r="CWW32" s="28"/>
      <c r="CWX32" s="28"/>
      <c r="CWY32" s="28"/>
      <c r="CWZ32" s="28"/>
      <c r="CXA32" s="28"/>
      <c r="CXB32" s="28"/>
      <c r="CXC32" s="28"/>
      <c r="CXD32" s="28"/>
      <c r="CXE32" s="28"/>
      <c r="CXF32" s="28"/>
      <c r="CXG32" s="28"/>
      <c r="CXH32" s="28"/>
      <c r="CXI32" s="28"/>
      <c r="CXJ32" s="28"/>
      <c r="CXK32" s="28"/>
      <c r="CXL32" s="28"/>
      <c r="CXM32" s="28"/>
      <c r="CXN32" s="28"/>
      <c r="CXO32" s="28"/>
      <c r="CXP32" s="28"/>
      <c r="CXQ32" s="28"/>
      <c r="CXR32" s="28"/>
      <c r="CXS32" s="28"/>
      <c r="CXT32" s="28"/>
      <c r="CXU32" s="28"/>
      <c r="CXV32" s="28"/>
      <c r="CXW32" s="28"/>
      <c r="CXX32" s="28"/>
      <c r="CXY32" s="28"/>
      <c r="CXZ32" s="28"/>
      <c r="CYA32" s="28"/>
      <c r="CYB32" s="28"/>
      <c r="CYC32" s="28"/>
      <c r="CYD32" s="28"/>
      <c r="CYE32" s="28"/>
      <c r="CYF32" s="28"/>
      <c r="CYG32" s="28"/>
      <c r="CYH32" s="28"/>
      <c r="CYI32" s="28"/>
      <c r="CYJ32" s="28"/>
      <c r="CYK32" s="28"/>
      <c r="CYL32" s="28"/>
      <c r="CYM32" s="28"/>
      <c r="CYN32" s="28"/>
      <c r="CYO32" s="28"/>
      <c r="CYP32" s="28"/>
      <c r="CYQ32" s="28"/>
      <c r="CYR32" s="28"/>
      <c r="CYS32" s="28"/>
      <c r="CYT32" s="28"/>
      <c r="CYU32" s="28"/>
      <c r="CYV32" s="28"/>
      <c r="CYW32" s="28"/>
      <c r="CYX32" s="28"/>
      <c r="CYY32" s="28"/>
      <c r="CYZ32" s="28"/>
      <c r="CZA32" s="28"/>
      <c r="CZB32" s="28"/>
      <c r="CZC32" s="28"/>
      <c r="CZD32" s="28"/>
      <c r="CZE32" s="28"/>
      <c r="CZF32" s="28"/>
      <c r="CZG32" s="28"/>
      <c r="CZH32" s="28"/>
      <c r="CZI32" s="28"/>
      <c r="CZJ32" s="28"/>
      <c r="CZK32" s="28"/>
      <c r="CZL32" s="28"/>
      <c r="CZM32" s="28"/>
      <c r="CZN32" s="28"/>
      <c r="CZO32" s="28"/>
      <c r="CZP32" s="28"/>
      <c r="CZQ32" s="28"/>
      <c r="CZR32" s="28"/>
      <c r="CZS32" s="28"/>
      <c r="CZT32" s="28"/>
      <c r="CZU32" s="28"/>
      <c r="CZV32" s="28"/>
      <c r="CZW32" s="28"/>
      <c r="CZX32" s="28"/>
      <c r="CZY32" s="28"/>
      <c r="CZZ32" s="28"/>
      <c r="DAA32" s="28"/>
      <c r="DAB32" s="28"/>
      <c r="DAC32" s="28"/>
      <c r="DAD32" s="28"/>
      <c r="DAE32" s="28"/>
      <c r="DAF32" s="28"/>
      <c r="DAG32" s="28"/>
      <c r="DAH32" s="28"/>
      <c r="DAI32" s="28"/>
      <c r="DAJ32" s="28"/>
      <c r="DAK32" s="28"/>
      <c r="DAL32" s="28"/>
      <c r="DAM32" s="28"/>
      <c r="DAN32" s="28"/>
      <c r="DAO32" s="28"/>
      <c r="DAP32" s="28"/>
      <c r="DAQ32" s="28"/>
      <c r="DAR32" s="28"/>
      <c r="DAS32" s="28"/>
      <c r="DAT32" s="28"/>
      <c r="DAU32" s="28"/>
      <c r="DAV32" s="28"/>
      <c r="DAW32" s="28"/>
      <c r="DAX32" s="28"/>
      <c r="DAY32" s="28"/>
      <c r="DAZ32" s="28"/>
      <c r="DBA32" s="28"/>
      <c r="DBB32" s="28"/>
      <c r="DBC32" s="28"/>
      <c r="DBD32" s="28"/>
      <c r="DBE32" s="28"/>
      <c r="DBF32" s="28"/>
      <c r="DBG32" s="28"/>
      <c r="DBH32" s="28"/>
      <c r="DBI32" s="28"/>
      <c r="DBJ32" s="28"/>
      <c r="DBK32" s="28"/>
      <c r="DBL32" s="28"/>
      <c r="DBM32" s="28"/>
      <c r="DBN32" s="28"/>
      <c r="DBO32" s="28"/>
      <c r="DBP32" s="28"/>
      <c r="DBQ32" s="28"/>
      <c r="DBR32" s="28"/>
      <c r="DBS32" s="28"/>
      <c r="DBT32" s="28"/>
      <c r="DBU32" s="28"/>
      <c r="DBV32" s="28"/>
      <c r="DBW32" s="28"/>
      <c r="DBX32" s="28"/>
      <c r="DBY32" s="28"/>
      <c r="DBZ32" s="28"/>
      <c r="DCA32" s="28"/>
      <c r="DCB32" s="28"/>
      <c r="DCC32" s="28"/>
      <c r="DCD32" s="28"/>
      <c r="DCE32" s="28"/>
      <c r="DCF32" s="28"/>
      <c r="DCG32" s="28"/>
      <c r="DCH32" s="28"/>
      <c r="DCI32" s="28"/>
      <c r="DCJ32" s="28"/>
      <c r="DCK32" s="28"/>
      <c r="DCL32" s="28"/>
      <c r="DCM32" s="28"/>
      <c r="DCN32" s="28"/>
      <c r="DCO32" s="28"/>
      <c r="DCP32" s="28"/>
      <c r="DCQ32" s="28"/>
      <c r="DCR32" s="28"/>
      <c r="DCS32" s="28"/>
      <c r="DCT32" s="28"/>
      <c r="DCU32" s="28"/>
      <c r="DCV32" s="28"/>
      <c r="DCW32" s="28"/>
      <c r="DCX32" s="28"/>
      <c r="DCY32" s="28"/>
      <c r="DCZ32" s="28"/>
      <c r="DDA32" s="28"/>
      <c r="DDB32" s="28"/>
      <c r="DDC32" s="28"/>
      <c r="DDD32" s="28"/>
      <c r="DDE32" s="28"/>
      <c r="DDF32" s="28"/>
      <c r="DDG32" s="28"/>
      <c r="DDH32" s="28"/>
      <c r="DDI32" s="28"/>
      <c r="DDJ32" s="28"/>
      <c r="DDK32" s="28"/>
      <c r="DDL32" s="28"/>
      <c r="DDM32" s="28"/>
      <c r="DDN32" s="28"/>
      <c r="DDO32" s="28"/>
      <c r="DDP32" s="28"/>
      <c r="DDQ32" s="28"/>
      <c r="DDR32" s="28"/>
      <c r="DDS32" s="28"/>
      <c r="DDT32" s="28"/>
      <c r="DDU32" s="28"/>
      <c r="DDV32" s="28"/>
      <c r="DDW32" s="28"/>
      <c r="DDX32" s="28"/>
      <c r="DDY32" s="28"/>
      <c r="DDZ32" s="28"/>
      <c r="DEA32" s="28"/>
      <c r="DEB32" s="28"/>
      <c r="DEC32" s="28"/>
      <c r="DED32" s="28"/>
      <c r="DEE32" s="28"/>
      <c r="DEF32" s="28"/>
      <c r="DEG32" s="28"/>
      <c r="DEH32" s="28"/>
      <c r="DEI32" s="28"/>
      <c r="DEJ32" s="28"/>
      <c r="DEK32" s="28"/>
      <c r="DEL32" s="28"/>
      <c r="DEM32" s="28"/>
      <c r="DEN32" s="28"/>
      <c r="DEO32" s="28"/>
      <c r="DEP32" s="28"/>
      <c r="DEQ32" s="28"/>
      <c r="DER32" s="28"/>
      <c r="DES32" s="28"/>
      <c r="DET32" s="28"/>
      <c r="DEU32" s="28"/>
      <c r="DEV32" s="28"/>
      <c r="DEW32" s="28"/>
      <c r="DEX32" s="28"/>
      <c r="DEY32" s="28"/>
      <c r="DEZ32" s="28"/>
      <c r="DFA32" s="28"/>
      <c r="DFB32" s="28"/>
      <c r="DFC32" s="28"/>
      <c r="DFD32" s="28"/>
      <c r="DFE32" s="28"/>
      <c r="DFF32" s="28"/>
      <c r="DFG32" s="28"/>
      <c r="DFH32" s="28"/>
      <c r="DFI32" s="28"/>
      <c r="DFJ32" s="28"/>
      <c r="DFK32" s="28"/>
      <c r="DFL32" s="28"/>
      <c r="DFM32" s="28"/>
      <c r="DFN32" s="28"/>
      <c r="DFO32" s="28"/>
      <c r="DFP32" s="28"/>
      <c r="DFQ32" s="28"/>
      <c r="DFR32" s="28"/>
      <c r="DFS32" s="28"/>
      <c r="DFT32" s="28"/>
      <c r="DFU32" s="28"/>
      <c r="DFV32" s="28"/>
      <c r="DFW32" s="28"/>
      <c r="DFX32" s="28"/>
      <c r="DFY32" s="28"/>
      <c r="DFZ32" s="28"/>
      <c r="DGA32" s="28"/>
      <c r="DGB32" s="28"/>
      <c r="DGC32" s="28"/>
      <c r="DGD32" s="28"/>
      <c r="DGE32" s="28"/>
      <c r="DGF32" s="28"/>
      <c r="DGG32" s="28"/>
      <c r="DGH32" s="28"/>
      <c r="DGI32" s="28"/>
      <c r="DGJ32" s="28"/>
      <c r="DGK32" s="28"/>
      <c r="DGL32" s="28"/>
      <c r="DGM32" s="28"/>
      <c r="DGN32" s="28"/>
      <c r="DGO32" s="28"/>
      <c r="DGP32" s="28"/>
      <c r="DGQ32" s="28"/>
      <c r="DGR32" s="28"/>
      <c r="DGS32" s="28"/>
      <c r="DGT32" s="28"/>
      <c r="DGU32" s="28"/>
      <c r="DGV32" s="28"/>
      <c r="DGW32" s="28"/>
      <c r="DGX32" s="28"/>
      <c r="DGY32" s="28"/>
      <c r="DGZ32" s="28"/>
      <c r="DHA32" s="28"/>
      <c r="DHB32" s="28"/>
      <c r="DHC32" s="28"/>
      <c r="DHD32" s="28"/>
      <c r="DHE32" s="28"/>
      <c r="DHF32" s="28"/>
      <c r="DHG32" s="28"/>
      <c r="DHH32" s="28"/>
      <c r="DHI32" s="28"/>
      <c r="DHJ32" s="28"/>
      <c r="DHK32" s="28"/>
      <c r="DHL32" s="28"/>
      <c r="DHM32" s="28"/>
      <c r="DHN32" s="28"/>
      <c r="DHO32" s="28"/>
      <c r="DHP32" s="28"/>
      <c r="DHQ32" s="28"/>
      <c r="DHR32" s="28"/>
      <c r="DHS32" s="28"/>
      <c r="DHT32" s="28"/>
      <c r="DHU32" s="28"/>
      <c r="DHV32" s="28"/>
      <c r="DHW32" s="28"/>
      <c r="DHX32" s="28"/>
      <c r="DHY32" s="28"/>
      <c r="DHZ32" s="28"/>
      <c r="DIA32" s="28"/>
      <c r="DIB32" s="28"/>
      <c r="DIC32" s="28"/>
      <c r="DID32" s="28"/>
      <c r="DIE32" s="28"/>
      <c r="DIF32" s="28"/>
      <c r="DIG32" s="28"/>
      <c r="DIH32" s="28"/>
      <c r="DII32" s="28"/>
      <c r="DIJ32" s="28"/>
      <c r="DIK32" s="28"/>
      <c r="DIL32" s="28"/>
      <c r="DIM32" s="28"/>
      <c r="DIN32" s="28"/>
      <c r="DIO32" s="28"/>
      <c r="DIP32" s="28"/>
      <c r="DIQ32" s="28"/>
      <c r="DIR32" s="28"/>
      <c r="DIS32" s="28"/>
      <c r="DIT32" s="28"/>
      <c r="DIU32" s="28"/>
      <c r="DIV32" s="28"/>
      <c r="DIW32" s="28"/>
      <c r="DIX32" s="28"/>
      <c r="DIY32" s="28"/>
      <c r="DIZ32" s="28"/>
      <c r="DJA32" s="28"/>
      <c r="DJB32" s="28"/>
      <c r="DJC32" s="28"/>
      <c r="DJD32" s="28"/>
      <c r="DJE32" s="28"/>
      <c r="DJF32" s="28"/>
      <c r="DJG32" s="28"/>
      <c r="DJH32" s="28"/>
      <c r="DJI32" s="28"/>
      <c r="DJJ32" s="28"/>
      <c r="DJK32" s="28"/>
      <c r="DJL32" s="28"/>
      <c r="DJM32" s="28"/>
      <c r="DJN32" s="28"/>
      <c r="DJO32" s="28"/>
      <c r="DJP32" s="28"/>
      <c r="DJQ32" s="28"/>
      <c r="DJR32" s="28"/>
      <c r="DJS32" s="28"/>
      <c r="DJT32" s="28"/>
      <c r="DJU32" s="28"/>
      <c r="DJV32" s="28"/>
      <c r="DJW32" s="28"/>
      <c r="DJX32" s="28"/>
      <c r="DJY32" s="28"/>
      <c r="DJZ32" s="28"/>
      <c r="DKA32" s="28"/>
      <c r="DKB32" s="28"/>
      <c r="DKC32" s="28"/>
      <c r="DKD32" s="28"/>
      <c r="DKE32" s="28"/>
      <c r="DKF32" s="28"/>
      <c r="DKG32" s="28"/>
      <c r="DKH32" s="28"/>
      <c r="DKI32" s="28"/>
      <c r="DKJ32" s="28"/>
      <c r="DKK32" s="28"/>
      <c r="DKL32" s="28"/>
      <c r="DKM32" s="28"/>
      <c r="DKN32" s="28"/>
      <c r="DKO32" s="28"/>
      <c r="DKP32" s="28"/>
      <c r="DKQ32" s="28"/>
      <c r="DKR32" s="28"/>
      <c r="DKS32" s="28"/>
      <c r="DKT32" s="28"/>
      <c r="DKU32" s="28"/>
      <c r="DKV32" s="28"/>
      <c r="DKW32" s="28"/>
      <c r="DKX32" s="28"/>
      <c r="DKY32" s="28"/>
      <c r="DKZ32" s="28"/>
      <c r="DLA32" s="28"/>
      <c r="DLB32" s="28"/>
      <c r="DLC32" s="28"/>
      <c r="DLD32" s="28"/>
      <c r="DLE32" s="28"/>
      <c r="DLF32" s="28"/>
      <c r="DLG32" s="28"/>
      <c r="DLH32" s="28"/>
      <c r="DLI32" s="28"/>
      <c r="DLJ32" s="28"/>
      <c r="DLK32" s="28"/>
      <c r="DLL32" s="28"/>
      <c r="DLM32" s="28"/>
      <c r="DLN32" s="28"/>
      <c r="DLO32" s="28"/>
      <c r="DLP32" s="28"/>
      <c r="DLQ32" s="28"/>
      <c r="DLR32" s="28"/>
      <c r="DLS32" s="28"/>
      <c r="DLT32" s="28"/>
      <c r="DLU32" s="28"/>
      <c r="DLV32" s="28"/>
      <c r="DLW32" s="28"/>
      <c r="DLX32" s="28"/>
      <c r="DLY32" s="28"/>
      <c r="DLZ32" s="28"/>
      <c r="DMA32" s="28"/>
      <c r="DMB32" s="28"/>
      <c r="DMC32" s="28"/>
      <c r="DMD32" s="28"/>
      <c r="DME32" s="28"/>
      <c r="DMF32" s="28"/>
      <c r="DMG32" s="28"/>
      <c r="DMH32" s="28"/>
      <c r="DMI32" s="28"/>
      <c r="DMJ32" s="28"/>
      <c r="DMK32" s="28"/>
      <c r="DML32" s="28"/>
      <c r="DMM32" s="28"/>
      <c r="DMN32" s="28"/>
      <c r="DMO32" s="28"/>
      <c r="DMP32" s="28"/>
      <c r="DMQ32" s="28"/>
      <c r="DMR32" s="28"/>
      <c r="DMS32" s="28"/>
      <c r="DMT32" s="28"/>
      <c r="DMU32" s="28"/>
      <c r="DMV32" s="28"/>
      <c r="DMW32" s="28"/>
      <c r="DMX32" s="28"/>
      <c r="DMY32" s="28"/>
      <c r="DMZ32" s="28"/>
      <c r="DNA32" s="28"/>
      <c r="DNB32" s="28"/>
      <c r="DNC32" s="28"/>
      <c r="DND32" s="28"/>
      <c r="DNE32" s="28"/>
      <c r="DNF32" s="28"/>
      <c r="DNG32" s="28"/>
      <c r="DNH32" s="28"/>
      <c r="DNI32" s="28"/>
      <c r="DNJ32" s="28"/>
      <c r="DNK32" s="28"/>
      <c r="DNL32" s="28"/>
      <c r="DNM32" s="28"/>
      <c r="DNN32" s="28"/>
      <c r="DNO32" s="28"/>
      <c r="DNP32" s="28"/>
      <c r="DNQ32" s="28"/>
      <c r="DNR32" s="28"/>
      <c r="DNS32" s="28"/>
      <c r="DNT32" s="28"/>
      <c r="DNU32" s="28"/>
      <c r="DNV32" s="28"/>
      <c r="DNW32" s="28"/>
      <c r="DNX32" s="28"/>
      <c r="DNY32" s="28"/>
      <c r="DNZ32" s="28"/>
      <c r="DOA32" s="28"/>
      <c r="DOB32" s="28"/>
      <c r="DOC32" s="28"/>
      <c r="DOD32" s="28"/>
      <c r="DOE32" s="28"/>
      <c r="DOF32" s="28"/>
      <c r="DOG32" s="28"/>
      <c r="DOH32" s="28"/>
      <c r="DOI32" s="28"/>
      <c r="DOJ32" s="28"/>
      <c r="DOK32" s="28"/>
      <c r="DOL32" s="28"/>
      <c r="DOM32" s="28"/>
      <c r="DON32" s="28"/>
      <c r="DOO32" s="28"/>
      <c r="DOP32" s="28"/>
      <c r="DOQ32" s="28"/>
      <c r="DOR32" s="28"/>
      <c r="DOS32" s="28"/>
      <c r="DOT32" s="28"/>
      <c r="DOU32" s="28"/>
      <c r="DOV32" s="28"/>
      <c r="DOW32" s="28"/>
      <c r="DOX32" s="28"/>
      <c r="DOY32" s="28"/>
      <c r="DOZ32" s="28"/>
      <c r="DPA32" s="28"/>
      <c r="DPB32" s="28"/>
      <c r="DPC32" s="28"/>
      <c r="DPD32" s="28"/>
      <c r="DPE32" s="28"/>
      <c r="DPF32" s="28"/>
      <c r="DPG32" s="28"/>
      <c r="DPH32" s="28"/>
      <c r="DPI32" s="28"/>
      <c r="DPJ32" s="28"/>
      <c r="DPK32" s="28"/>
      <c r="DPL32" s="28"/>
      <c r="DPM32" s="28"/>
      <c r="DPN32" s="28"/>
      <c r="DPO32" s="28"/>
      <c r="DPP32" s="28"/>
      <c r="DPQ32" s="28"/>
      <c r="DPR32" s="28"/>
      <c r="DPS32" s="28"/>
      <c r="DPT32" s="28"/>
      <c r="DPU32" s="28"/>
      <c r="DPV32" s="28"/>
      <c r="DPW32" s="28"/>
      <c r="DPX32" s="28"/>
      <c r="DPY32" s="28"/>
      <c r="DPZ32" s="28"/>
      <c r="DQA32" s="28"/>
      <c r="DQB32" s="28"/>
      <c r="DQC32" s="28"/>
      <c r="DQD32" s="28"/>
      <c r="DQE32" s="28"/>
      <c r="DQF32" s="28"/>
      <c r="DQG32" s="28"/>
      <c r="DQH32" s="28"/>
      <c r="DQI32" s="28"/>
      <c r="DQJ32" s="28"/>
      <c r="DQK32" s="28"/>
      <c r="DQL32" s="28"/>
      <c r="DQM32" s="28"/>
      <c r="DQN32" s="28"/>
      <c r="DQO32" s="28"/>
      <c r="DQP32" s="28"/>
      <c r="DQQ32" s="28"/>
      <c r="DQR32" s="28"/>
      <c r="DQS32" s="28"/>
      <c r="DQT32" s="28"/>
      <c r="DQU32" s="28"/>
      <c r="DQV32" s="28"/>
      <c r="DQW32" s="28"/>
      <c r="DQX32" s="28"/>
      <c r="DQY32" s="28"/>
      <c r="DQZ32" s="28"/>
      <c r="DRA32" s="28"/>
      <c r="DRB32" s="28"/>
      <c r="DRC32" s="28"/>
      <c r="DRD32" s="28"/>
      <c r="DRE32" s="28"/>
      <c r="DRF32" s="28"/>
      <c r="DRG32" s="28"/>
      <c r="DRH32" s="28"/>
      <c r="DRI32" s="28"/>
      <c r="DRJ32" s="28"/>
      <c r="DRK32" s="28"/>
      <c r="DRL32" s="28"/>
      <c r="DRM32" s="28"/>
      <c r="DRN32" s="28"/>
      <c r="DRO32" s="28"/>
      <c r="DRP32" s="28"/>
      <c r="DRQ32" s="28"/>
      <c r="DRR32" s="28"/>
      <c r="DRS32" s="28"/>
      <c r="DRT32" s="28"/>
      <c r="DRU32" s="28"/>
      <c r="DRV32" s="28"/>
      <c r="DRW32" s="28"/>
      <c r="DRX32" s="28"/>
      <c r="DRY32" s="28"/>
      <c r="DRZ32" s="28"/>
      <c r="DSA32" s="28"/>
      <c r="DSB32" s="28"/>
      <c r="DSC32" s="28"/>
      <c r="DSD32" s="28"/>
      <c r="DSE32" s="28"/>
      <c r="DSF32" s="28"/>
      <c r="DSG32" s="28"/>
      <c r="DSH32" s="28"/>
      <c r="DSI32" s="28"/>
      <c r="DSJ32" s="28"/>
      <c r="DSK32" s="28"/>
      <c r="DSL32" s="28"/>
      <c r="DSM32" s="28"/>
      <c r="DSN32" s="28"/>
      <c r="DSO32" s="28"/>
      <c r="DSP32" s="28"/>
      <c r="DSQ32" s="28"/>
      <c r="DSR32" s="28"/>
      <c r="DSS32" s="28"/>
      <c r="DST32" s="28"/>
      <c r="DSU32" s="28"/>
      <c r="DSV32" s="28"/>
      <c r="DSW32" s="28"/>
      <c r="DSX32" s="28"/>
      <c r="DSY32" s="28"/>
      <c r="DSZ32" s="28"/>
      <c r="DTA32" s="28"/>
      <c r="DTB32" s="28"/>
      <c r="DTC32" s="28"/>
      <c r="DTD32" s="28"/>
      <c r="DTE32" s="28"/>
      <c r="DTF32" s="28"/>
      <c r="DTG32" s="28"/>
      <c r="DTH32" s="28"/>
      <c r="DTI32" s="28"/>
      <c r="DTJ32" s="28"/>
      <c r="DTK32" s="28"/>
      <c r="DTL32" s="28"/>
      <c r="DTM32" s="28"/>
      <c r="DTN32" s="28"/>
      <c r="DTO32" s="28"/>
      <c r="DTP32" s="28"/>
      <c r="DTQ32" s="28"/>
      <c r="DTR32" s="28"/>
      <c r="DTS32" s="28"/>
      <c r="DTT32" s="28"/>
      <c r="DTU32" s="28"/>
      <c r="DTV32" s="28"/>
      <c r="DTW32" s="28"/>
      <c r="DTX32" s="28"/>
      <c r="DTY32" s="28"/>
      <c r="DTZ32" s="28"/>
      <c r="DUA32" s="28"/>
      <c r="DUB32" s="28"/>
      <c r="DUC32" s="28"/>
      <c r="DUD32" s="28"/>
      <c r="DUE32" s="28"/>
      <c r="DUF32" s="28"/>
      <c r="DUG32" s="28"/>
      <c r="DUH32" s="28"/>
      <c r="DUI32" s="28"/>
      <c r="DUJ32" s="28"/>
      <c r="DUK32" s="28"/>
      <c r="DUL32" s="28"/>
      <c r="DUM32" s="28"/>
      <c r="DUN32" s="28"/>
      <c r="DUO32" s="28"/>
      <c r="DUP32" s="28"/>
      <c r="DUQ32" s="28"/>
      <c r="DUR32" s="28"/>
      <c r="DUS32" s="28"/>
      <c r="DUT32" s="28"/>
      <c r="DUU32" s="28"/>
      <c r="DUV32" s="28"/>
      <c r="DUW32" s="28"/>
      <c r="DUX32" s="28"/>
      <c r="DUY32" s="28"/>
      <c r="DUZ32" s="28"/>
      <c r="DVA32" s="28"/>
      <c r="DVB32" s="28"/>
      <c r="DVC32" s="28"/>
      <c r="DVD32" s="28"/>
      <c r="DVE32" s="28"/>
      <c r="DVF32" s="28"/>
      <c r="DVG32" s="28"/>
      <c r="DVH32" s="28"/>
      <c r="DVI32" s="28"/>
      <c r="DVJ32" s="28"/>
      <c r="DVK32" s="28"/>
      <c r="DVL32" s="28"/>
      <c r="DVM32" s="28"/>
      <c r="DVN32" s="28"/>
      <c r="DVO32" s="28"/>
      <c r="DVP32" s="28"/>
      <c r="DVQ32" s="28"/>
      <c r="DVR32" s="28"/>
      <c r="DVS32" s="28"/>
      <c r="DVT32" s="28"/>
      <c r="DVU32" s="28"/>
      <c r="DVV32" s="28"/>
      <c r="DVW32" s="28"/>
      <c r="DVX32" s="28"/>
      <c r="DVY32" s="28"/>
      <c r="DVZ32" s="28"/>
      <c r="DWA32" s="28"/>
      <c r="DWB32" s="28"/>
      <c r="DWC32" s="28"/>
      <c r="DWD32" s="28"/>
      <c r="DWE32" s="28"/>
      <c r="DWF32" s="28"/>
      <c r="DWG32" s="28"/>
      <c r="DWH32" s="28"/>
      <c r="DWI32" s="28"/>
      <c r="DWJ32" s="28"/>
      <c r="DWK32" s="28"/>
      <c r="DWL32" s="28"/>
      <c r="DWM32" s="28"/>
      <c r="DWN32" s="28"/>
      <c r="DWO32" s="28"/>
      <c r="DWP32" s="28"/>
      <c r="DWQ32" s="28"/>
      <c r="DWR32" s="28"/>
      <c r="DWS32" s="28"/>
      <c r="DWT32" s="28"/>
      <c r="DWU32" s="28"/>
      <c r="DWV32" s="28"/>
      <c r="DWW32" s="28"/>
      <c r="DWX32" s="28"/>
      <c r="DWY32" s="28"/>
      <c r="DWZ32" s="28"/>
      <c r="DXA32" s="28"/>
      <c r="DXB32" s="28"/>
      <c r="DXC32" s="28"/>
      <c r="DXD32" s="28"/>
      <c r="DXE32" s="28"/>
      <c r="DXF32" s="28"/>
      <c r="DXG32" s="28"/>
      <c r="DXH32" s="28"/>
      <c r="DXI32" s="28"/>
      <c r="DXJ32" s="28"/>
      <c r="DXK32" s="28"/>
      <c r="DXL32" s="28"/>
      <c r="DXM32" s="28"/>
      <c r="DXN32" s="28"/>
      <c r="DXO32" s="28"/>
      <c r="DXP32" s="28"/>
      <c r="DXQ32" s="28"/>
      <c r="DXR32" s="28"/>
      <c r="DXS32" s="28"/>
      <c r="DXT32" s="28"/>
      <c r="DXU32" s="28"/>
      <c r="DXV32" s="28"/>
      <c r="DXW32" s="28"/>
      <c r="DXX32" s="28"/>
      <c r="DXY32" s="28"/>
      <c r="DXZ32" s="28"/>
      <c r="DYA32" s="28"/>
      <c r="DYB32" s="28"/>
      <c r="DYC32" s="28"/>
      <c r="DYD32" s="28"/>
      <c r="DYE32" s="28"/>
      <c r="DYF32" s="28"/>
      <c r="DYG32" s="28"/>
      <c r="DYH32" s="28"/>
      <c r="DYI32" s="28"/>
      <c r="DYJ32" s="28"/>
      <c r="DYK32" s="28"/>
      <c r="DYL32" s="28"/>
      <c r="DYM32" s="28"/>
      <c r="DYN32" s="28"/>
      <c r="DYO32" s="28"/>
      <c r="DYP32" s="28"/>
      <c r="DYQ32" s="28"/>
      <c r="DYR32" s="28"/>
      <c r="DYS32" s="28"/>
      <c r="DYT32" s="28"/>
      <c r="DYU32" s="28"/>
      <c r="DYV32" s="28"/>
      <c r="DYW32" s="28"/>
      <c r="DYX32" s="28"/>
      <c r="DYY32" s="28"/>
      <c r="DYZ32" s="28"/>
      <c r="DZA32" s="28"/>
      <c r="DZB32" s="28"/>
      <c r="DZC32" s="28"/>
      <c r="DZD32" s="28"/>
      <c r="DZE32" s="28"/>
      <c r="DZF32" s="28"/>
      <c r="DZG32" s="28"/>
      <c r="DZH32" s="28"/>
      <c r="DZI32" s="28"/>
      <c r="DZJ32" s="28"/>
      <c r="DZK32" s="28"/>
      <c r="DZL32" s="28"/>
      <c r="DZM32" s="28"/>
      <c r="DZN32" s="28"/>
      <c r="DZO32" s="28"/>
      <c r="DZP32" s="28"/>
      <c r="DZQ32" s="28"/>
      <c r="DZR32" s="28"/>
      <c r="DZS32" s="28"/>
      <c r="DZT32" s="28"/>
      <c r="DZU32" s="28"/>
      <c r="DZV32" s="28"/>
      <c r="DZW32" s="28"/>
      <c r="DZX32" s="28"/>
      <c r="DZY32" s="28"/>
      <c r="DZZ32" s="28"/>
      <c r="EAA32" s="28"/>
      <c r="EAB32" s="28"/>
      <c r="EAC32" s="28"/>
      <c r="EAD32" s="28"/>
      <c r="EAE32" s="28"/>
      <c r="EAF32" s="28"/>
      <c r="EAG32" s="28"/>
      <c r="EAH32" s="28"/>
      <c r="EAI32" s="28"/>
      <c r="EAJ32" s="28"/>
      <c r="EAK32" s="28"/>
      <c r="EAL32" s="28"/>
      <c r="EAM32" s="28"/>
      <c r="EAN32" s="28"/>
      <c r="EAO32" s="28"/>
      <c r="EAP32" s="28"/>
      <c r="EAQ32" s="28"/>
      <c r="EAR32" s="28"/>
      <c r="EAS32" s="28"/>
      <c r="EAT32" s="28"/>
      <c r="EAU32" s="28"/>
      <c r="EAV32" s="28"/>
      <c r="EAW32" s="28"/>
      <c r="EAX32" s="28"/>
      <c r="EAY32" s="28"/>
      <c r="EAZ32" s="28"/>
      <c r="EBA32" s="28"/>
      <c r="EBB32" s="28"/>
      <c r="EBC32" s="28"/>
      <c r="EBD32" s="28"/>
      <c r="EBE32" s="28"/>
      <c r="EBF32" s="28"/>
      <c r="EBG32" s="28"/>
      <c r="EBH32" s="28"/>
      <c r="EBI32" s="28"/>
      <c r="EBJ32" s="28"/>
      <c r="EBK32" s="28"/>
      <c r="EBL32" s="28"/>
      <c r="EBM32" s="28"/>
      <c r="EBN32" s="28"/>
      <c r="EBO32" s="28"/>
      <c r="EBP32" s="28"/>
      <c r="EBQ32" s="28"/>
      <c r="EBR32" s="28"/>
      <c r="EBS32" s="28"/>
      <c r="EBT32" s="28"/>
      <c r="EBU32" s="28"/>
      <c r="EBV32" s="28"/>
      <c r="EBW32" s="28"/>
      <c r="EBX32" s="28"/>
      <c r="EBY32" s="28"/>
      <c r="EBZ32" s="28"/>
      <c r="ECA32" s="28"/>
      <c r="ECB32" s="28"/>
      <c r="ECC32" s="28"/>
      <c r="ECD32" s="28"/>
      <c r="ECE32" s="28"/>
      <c r="ECF32" s="28"/>
      <c r="ECG32" s="28"/>
      <c r="ECH32" s="28"/>
      <c r="ECI32" s="28"/>
      <c r="ECJ32" s="28"/>
      <c r="ECK32" s="28"/>
      <c r="ECL32" s="28"/>
      <c r="ECM32" s="28"/>
      <c r="ECN32" s="28"/>
      <c r="ECO32" s="28"/>
      <c r="ECP32" s="28"/>
      <c r="ECQ32" s="28"/>
      <c r="ECR32" s="28"/>
      <c r="ECS32" s="28"/>
      <c r="ECT32" s="28"/>
      <c r="ECU32" s="28"/>
      <c r="ECV32" s="28"/>
      <c r="ECW32" s="28"/>
      <c r="ECX32" s="28"/>
      <c r="ECY32" s="28"/>
      <c r="ECZ32" s="28"/>
      <c r="EDA32" s="28"/>
      <c r="EDB32" s="28"/>
      <c r="EDC32" s="28"/>
      <c r="EDD32" s="28"/>
      <c r="EDE32" s="28"/>
      <c r="EDF32" s="28"/>
      <c r="EDG32" s="28"/>
      <c r="EDH32" s="28"/>
      <c r="EDI32" s="28"/>
      <c r="EDJ32" s="28"/>
      <c r="EDK32" s="28"/>
      <c r="EDL32" s="28"/>
      <c r="EDM32" s="28"/>
      <c r="EDN32" s="28"/>
      <c r="EDO32" s="28"/>
      <c r="EDP32" s="28"/>
      <c r="EDQ32" s="28"/>
      <c r="EDR32" s="28"/>
      <c r="EDS32" s="28"/>
      <c r="EDT32" s="28"/>
      <c r="EDU32" s="28"/>
      <c r="EDV32" s="28"/>
      <c r="EDW32" s="28"/>
      <c r="EDX32" s="28"/>
      <c r="EDY32" s="28"/>
      <c r="EDZ32" s="28"/>
      <c r="EEA32" s="28"/>
      <c r="EEB32" s="28"/>
      <c r="EEC32" s="28"/>
      <c r="EED32" s="28"/>
      <c r="EEE32" s="28"/>
      <c r="EEF32" s="28"/>
      <c r="EEG32" s="28"/>
      <c r="EEH32" s="28"/>
      <c r="EEI32" s="28"/>
      <c r="EEJ32" s="28"/>
      <c r="EEK32" s="28"/>
      <c r="EEL32" s="28"/>
      <c r="EEM32" s="28"/>
      <c r="EEN32" s="28"/>
      <c r="EEO32" s="28"/>
      <c r="EEP32" s="28"/>
      <c r="EEQ32" s="28"/>
      <c r="EER32" s="28"/>
      <c r="EES32" s="28"/>
      <c r="EET32" s="28"/>
      <c r="EEU32" s="28"/>
      <c r="EEV32" s="28"/>
      <c r="EEW32" s="28"/>
      <c r="EEX32" s="28"/>
      <c r="EEY32" s="28"/>
      <c r="EEZ32" s="28"/>
      <c r="EFA32" s="28"/>
      <c r="EFB32" s="28"/>
      <c r="EFC32" s="28"/>
      <c r="EFD32" s="28"/>
      <c r="EFE32" s="28"/>
      <c r="EFF32" s="28"/>
      <c r="EFG32" s="28"/>
      <c r="EFH32" s="28"/>
      <c r="EFI32" s="28"/>
      <c r="EFJ32" s="28"/>
      <c r="EFK32" s="28"/>
      <c r="EFL32" s="28"/>
      <c r="EFM32" s="28"/>
      <c r="EFN32" s="28"/>
      <c r="EFO32" s="28"/>
      <c r="EFP32" s="28"/>
      <c r="EFQ32" s="28"/>
      <c r="EFR32" s="28"/>
      <c r="EFS32" s="28"/>
      <c r="EFT32" s="28"/>
      <c r="EFU32" s="28"/>
      <c r="EFV32" s="28"/>
      <c r="EFW32" s="28"/>
      <c r="EFX32" s="28"/>
      <c r="EFY32" s="28"/>
      <c r="EFZ32" s="28"/>
      <c r="EGA32" s="28"/>
      <c r="EGB32" s="28"/>
      <c r="EGC32" s="28"/>
      <c r="EGD32" s="28"/>
      <c r="EGE32" s="28"/>
      <c r="EGF32" s="28"/>
      <c r="EGG32" s="28"/>
      <c r="EGH32" s="28"/>
      <c r="EGI32" s="28"/>
      <c r="EGJ32" s="28"/>
      <c r="EGK32" s="28"/>
      <c r="EGL32" s="28"/>
      <c r="EGM32" s="28"/>
      <c r="EGN32" s="28"/>
      <c r="EGO32" s="28"/>
      <c r="EGP32" s="28"/>
      <c r="EGQ32" s="28"/>
      <c r="EGR32" s="28"/>
      <c r="EGS32" s="28"/>
      <c r="EGT32" s="28"/>
      <c r="EGU32" s="28"/>
      <c r="EGV32" s="28"/>
      <c r="EGW32" s="28"/>
      <c r="EGX32" s="28"/>
      <c r="EGY32" s="28"/>
      <c r="EGZ32" s="28"/>
      <c r="EHA32" s="28"/>
      <c r="EHB32" s="28"/>
      <c r="EHC32" s="28"/>
      <c r="EHD32" s="28"/>
      <c r="EHE32" s="28"/>
      <c r="EHF32" s="28"/>
      <c r="EHG32" s="28"/>
      <c r="EHH32" s="28"/>
      <c r="EHI32" s="28"/>
      <c r="EHJ32" s="28"/>
      <c r="EHK32" s="28"/>
      <c r="EHL32" s="28"/>
      <c r="EHM32" s="28"/>
      <c r="EHN32" s="28"/>
      <c r="EHO32" s="28"/>
      <c r="EHP32" s="28"/>
      <c r="EHQ32" s="28"/>
      <c r="EHR32" s="28"/>
      <c r="EHS32" s="28"/>
      <c r="EHT32" s="28"/>
      <c r="EHU32" s="28"/>
      <c r="EHV32" s="28"/>
      <c r="EHW32" s="28"/>
      <c r="EHX32" s="28"/>
      <c r="EHY32" s="28"/>
      <c r="EHZ32" s="28"/>
      <c r="EIA32" s="28"/>
      <c r="EIB32" s="28"/>
      <c r="EIC32" s="28"/>
      <c r="EID32" s="28"/>
      <c r="EIE32" s="28"/>
      <c r="EIF32" s="28"/>
      <c r="EIG32" s="28"/>
      <c r="EIH32" s="28"/>
      <c r="EII32" s="28"/>
      <c r="EIJ32" s="28"/>
      <c r="EIK32" s="28"/>
      <c r="EIL32" s="28"/>
      <c r="EIM32" s="28"/>
      <c r="EIN32" s="28"/>
      <c r="EIO32" s="28"/>
      <c r="EIP32" s="28"/>
      <c r="EIQ32" s="28"/>
      <c r="EIR32" s="28"/>
      <c r="EIS32" s="28"/>
      <c r="EIT32" s="28"/>
      <c r="EIU32" s="28"/>
      <c r="EIV32" s="28"/>
      <c r="EIW32" s="28"/>
      <c r="EIX32" s="28"/>
      <c r="EIY32" s="28"/>
      <c r="EIZ32" s="28"/>
      <c r="EJA32" s="28"/>
      <c r="EJB32" s="28"/>
      <c r="EJC32" s="28"/>
      <c r="EJD32" s="28"/>
      <c r="EJE32" s="28"/>
      <c r="EJF32" s="28"/>
      <c r="EJG32" s="28"/>
      <c r="EJH32" s="28"/>
      <c r="EJI32" s="28"/>
      <c r="EJJ32" s="28"/>
      <c r="EJK32" s="28"/>
      <c r="EJL32" s="28"/>
      <c r="EJM32" s="28"/>
      <c r="EJN32" s="28"/>
      <c r="EJO32" s="28"/>
      <c r="EJP32" s="28"/>
      <c r="EJQ32" s="28"/>
      <c r="EJR32" s="28"/>
      <c r="EJS32" s="28"/>
      <c r="EJT32" s="28"/>
      <c r="EJU32" s="28"/>
      <c r="EJV32" s="28"/>
      <c r="EJW32" s="28"/>
      <c r="EJX32" s="28"/>
      <c r="EJY32" s="28"/>
      <c r="EJZ32" s="28"/>
      <c r="EKA32" s="28"/>
      <c r="EKB32" s="28"/>
      <c r="EKC32" s="28"/>
      <c r="EKD32" s="28"/>
      <c r="EKE32" s="28"/>
      <c r="EKF32" s="28"/>
      <c r="EKG32" s="28"/>
      <c r="EKH32" s="28"/>
      <c r="EKI32" s="28"/>
      <c r="EKJ32" s="28"/>
      <c r="EKK32" s="28"/>
      <c r="EKL32" s="28"/>
      <c r="EKM32" s="28"/>
      <c r="EKN32" s="28"/>
      <c r="EKO32" s="28"/>
      <c r="EKP32" s="28"/>
      <c r="EKQ32" s="28"/>
      <c r="EKR32" s="28"/>
      <c r="EKS32" s="28"/>
      <c r="EKT32" s="28"/>
      <c r="EKU32" s="28"/>
      <c r="EKV32" s="28"/>
      <c r="EKW32" s="28"/>
      <c r="EKX32" s="28"/>
      <c r="EKY32" s="28"/>
      <c r="EKZ32" s="28"/>
      <c r="ELA32" s="28"/>
      <c r="ELB32" s="28"/>
      <c r="ELC32" s="28"/>
      <c r="ELD32" s="28"/>
      <c r="ELE32" s="28"/>
      <c r="ELF32" s="28"/>
      <c r="ELG32" s="28"/>
      <c r="ELH32" s="28"/>
      <c r="ELI32" s="28"/>
      <c r="ELJ32" s="28"/>
      <c r="ELK32" s="28"/>
      <c r="ELL32" s="28"/>
      <c r="ELM32" s="28"/>
      <c r="ELN32" s="28"/>
      <c r="ELO32" s="28"/>
      <c r="ELP32" s="28"/>
      <c r="ELQ32" s="28"/>
      <c r="ELR32" s="28"/>
      <c r="ELS32" s="28"/>
      <c r="ELT32" s="28"/>
      <c r="ELU32" s="28"/>
      <c r="ELV32" s="28"/>
      <c r="ELW32" s="28"/>
      <c r="ELX32" s="28"/>
      <c r="ELY32" s="28"/>
      <c r="ELZ32" s="28"/>
      <c r="EMA32" s="28"/>
      <c r="EMB32" s="28"/>
      <c r="EMC32" s="28"/>
      <c r="EMD32" s="28"/>
      <c r="EME32" s="28"/>
      <c r="EMF32" s="28"/>
      <c r="EMG32" s="28"/>
      <c r="EMH32" s="28"/>
      <c r="EMI32" s="28"/>
      <c r="EMJ32" s="28"/>
      <c r="EMK32" s="28"/>
      <c r="EML32" s="28"/>
      <c r="EMM32" s="28"/>
      <c r="EMN32" s="28"/>
      <c r="EMO32" s="28"/>
      <c r="EMP32" s="28"/>
      <c r="EMQ32" s="28"/>
      <c r="EMR32" s="28"/>
      <c r="EMS32" s="28"/>
      <c r="EMT32" s="28"/>
      <c r="EMU32" s="28"/>
      <c r="EMV32" s="28"/>
      <c r="EMW32" s="28"/>
      <c r="EMX32" s="28"/>
      <c r="EMY32" s="28"/>
      <c r="EMZ32" s="28"/>
      <c r="ENA32" s="28"/>
      <c r="ENB32" s="28"/>
      <c r="ENC32" s="28"/>
      <c r="END32" s="28"/>
      <c r="ENE32" s="28"/>
      <c r="ENF32" s="28"/>
      <c r="ENG32" s="28"/>
      <c r="ENH32" s="28"/>
      <c r="ENI32" s="28"/>
      <c r="ENJ32" s="28"/>
      <c r="ENK32" s="28"/>
      <c r="ENL32" s="28"/>
      <c r="ENM32" s="28"/>
      <c r="ENN32" s="28"/>
      <c r="ENO32" s="28"/>
      <c r="ENP32" s="28"/>
      <c r="ENQ32" s="28"/>
      <c r="ENR32" s="28"/>
      <c r="ENS32" s="28"/>
      <c r="ENT32" s="28"/>
      <c r="ENU32" s="28"/>
      <c r="ENV32" s="28"/>
      <c r="ENW32" s="28"/>
      <c r="ENX32" s="28"/>
      <c r="ENY32" s="28"/>
      <c r="ENZ32" s="28"/>
      <c r="EOA32" s="28"/>
      <c r="EOB32" s="28"/>
      <c r="EOC32" s="28"/>
      <c r="EOD32" s="28"/>
      <c r="EOE32" s="28"/>
      <c r="EOF32" s="28"/>
      <c r="EOG32" s="28"/>
      <c r="EOH32" s="28"/>
      <c r="EOI32" s="28"/>
      <c r="EOJ32" s="28"/>
      <c r="EOK32" s="28"/>
      <c r="EOL32" s="28"/>
      <c r="EOM32" s="28"/>
      <c r="EON32" s="28"/>
      <c r="EOO32" s="28"/>
      <c r="EOP32" s="28"/>
      <c r="EOQ32" s="28"/>
      <c r="EOR32" s="28"/>
      <c r="EOS32" s="28"/>
      <c r="EOT32" s="28"/>
      <c r="EOU32" s="28"/>
      <c r="EOV32" s="28"/>
      <c r="EOW32" s="28"/>
      <c r="EOX32" s="28"/>
      <c r="EOY32" s="28"/>
      <c r="EOZ32" s="28"/>
      <c r="EPA32" s="28"/>
      <c r="EPB32" s="28"/>
      <c r="EPC32" s="28"/>
      <c r="EPD32" s="28"/>
      <c r="EPE32" s="28"/>
      <c r="EPF32" s="28"/>
      <c r="EPG32" s="28"/>
      <c r="EPH32" s="28"/>
      <c r="EPI32" s="28"/>
      <c r="EPJ32" s="28"/>
      <c r="EPK32" s="28"/>
      <c r="EPL32" s="28"/>
      <c r="EPM32" s="28"/>
      <c r="EPN32" s="28"/>
      <c r="EPO32" s="28"/>
      <c r="EPP32" s="28"/>
      <c r="EPQ32" s="28"/>
      <c r="EPR32" s="28"/>
      <c r="EPS32" s="28"/>
      <c r="EPT32" s="28"/>
      <c r="EPU32" s="28"/>
      <c r="EPV32" s="28"/>
      <c r="EPW32" s="28"/>
      <c r="EPX32" s="28"/>
      <c r="EPY32" s="28"/>
      <c r="EPZ32" s="28"/>
      <c r="EQA32" s="28"/>
      <c r="EQB32" s="28"/>
      <c r="EQC32" s="28"/>
      <c r="EQD32" s="28"/>
      <c r="EQE32" s="28"/>
      <c r="EQF32" s="28"/>
      <c r="EQG32" s="28"/>
      <c r="EQH32" s="28"/>
      <c r="EQI32" s="28"/>
      <c r="EQJ32" s="28"/>
      <c r="EQK32" s="28"/>
      <c r="EQL32" s="28"/>
      <c r="EQM32" s="28"/>
      <c r="EQN32" s="28"/>
      <c r="EQO32" s="28"/>
      <c r="EQP32" s="28"/>
      <c r="EQQ32" s="28"/>
      <c r="EQR32" s="28"/>
      <c r="EQS32" s="28"/>
      <c r="EQT32" s="28"/>
      <c r="EQU32" s="28"/>
      <c r="EQV32" s="28"/>
      <c r="EQW32" s="28"/>
      <c r="EQX32" s="28"/>
      <c r="EQY32" s="28"/>
      <c r="EQZ32" s="28"/>
      <c r="ERA32" s="28"/>
      <c r="ERB32" s="28"/>
      <c r="ERC32" s="28"/>
      <c r="ERD32" s="28"/>
      <c r="ERE32" s="28"/>
      <c r="ERF32" s="28"/>
      <c r="ERG32" s="28"/>
      <c r="ERH32" s="28"/>
      <c r="ERI32" s="28"/>
      <c r="ERJ32" s="28"/>
      <c r="ERK32" s="28"/>
      <c r="ERL32" s="28"/>
      <c r="ERM32" s="28"/>
      <c r="ERN32" s="28"/>
      <c r="ERO32" s="28"/>
      <c r="ERP32" s="28"/>
      <c r="ERQ32" s="28"/>
      <c r="ERR32" s="28"/>
      <c r="ERS32" s="28"/>
      <c r="ERT32" s="28"/>
      <c r="ERU32" s="28"/>
      <c r="ERV32" s="28"/>
      <c r="ERW32" s="28"/>
      <c r="ERX32" s="28"/>
      <c r="ERY32" s="28"/>
      <c r="ERZ32" s="28"/>
      <c r="ESA32" s="28"/>
      <c r="ESB32" s="28"/>
      <c r="ESC32" s="28"/>
      <c r="ESD32" s="28"/>
      <c r="ESE32" s="28"/>
      <c r="ESF32" s="28"/>
      <c r="ESG32" s="28"/>
      <c r="ESH32" s="28"/>
      <c r="ESI32" s="28"/>
      <c r="ESJ32" s="28"/>
      <c r="ESK32" s="28"/>
      <c r="ESL32" s="28"/>
      <c r="ESM32" s="28"/>
      <c r="ESN32" s="28"/>
      <c r="ESO32" s="28"/>
      <c r="ESP32" s="28"/>
      <c r="ESQ32" s="28"/>
      <c r="ESR32" s="28"/>
      <c r="ESS32" s="28"/>
      <c r="EST32" s="28"/>
      <c r="ESU32" s="28"/>
      <c r="ESV32" s="28"/>
      <c r="ESW32" s="28"/>
      <c r="ESX32" s="28"/>
      <c r="ESY32" s="28"/>
      <c r="ESZ32" s="28"/>
      <c r="ETA32" s="28"/>
      <c r="ETB32" s="28"/>
      <c r="ETC32" s="28"/>
      <c r="ETD32" s="28"/>
      <c r="ETE32" s="28"/>
      <c r="ETF32" s="28"/>
      <c r="ETG32" s="28"/>
      <c r="ETH32" s="28"/>
      <c r="ETI32" s="28"/>
      <c r="ETJ32" s="28"/>
      <c r="ETK32" s="28"/>
      <c r="ETL32" s="28"/>
      <c r="ETM32" s="28"/>
      <c r="ETN32" s="28"/>
      <c r="ETO32" s="28"/>
      <c r="ETP32" s="28"/>
      <c r="ETQ32" s="28"/>
      <c r="ETR32" s="28"/>
      <c r="ETS32" s="28"/>
      <c r="ETT32" s="28"/>
      <c r="ETU32" s="28"/>
      <c r="ETV32" s="28"/>
      <c r="ETW32" s="28"/>
      <c r="ETX32" s="28"/>
      <c r="ETY32" s="28"/>
      <c r="ETZ32" s="28"/>
      <c r="EUA32" s="28"/>
      <c r="EUB32" s="28"/>
      <c r="EUC32" s="28"/>
      <c r="EUD32" s="28"/>
      <c r="EUE32" s="28"/>
      <c r="EUF32" s="28"/>
      <c r="EUG32" s="28"/>
      <c r="EUH32" s="28"/>
      <c r="EUI32" s="28"/>
      <c r="EUJ32" s="28"/>
      <c r="EUK32" s="28"/>
      <c r="EUL32" s="28"/>
      <c r="EUM32" s="28"/>
      <c r="EUN32" s="28"/>
      <c r="EUO32" s="28"/>
      <c r="EUP32" s="28"/>
      <c r="EUQ32" s="28"/>
      <c r="EUR32" s="28"/>
      <c r="EUS32" s="28"/>
      <c r="EUT32" s="28"/>
      <c r="EUU32" s="28"/>
      <c r="EUV32" s="28"/>
      <c r="EUW32" s="28"/>
      <c r="EUX32" s="28"/>
      <c r="EUY32" s="28"/>
      <c r="EUZ32" s="28"/>
      <c r="EVA32" s="28"/>
      <c r="EVB32" s="28"/>
      <c r="EVC32" s="28"/>
      <c r="EVD32" s="28"/>
      <c r="EVE32" s="28"/>
      <c r="EVF32" s="28"/>
      <c r="EVG32" s="28"/>
      <c r="EVH32" s="28"/>
      <c r="EVI32" s="28"/>
      <c r="EVJ32" s="28"/>
      <c r="EVK32" s="28"/>
      <c r="EVL32" s="28"/>
      <c r="EVM32" s="28"/>
      <c r="EVN32" s="28"/>
      <c r="EVO32" s="28"/>
      <c r="EVP32" s="28"/>
      <c r="EVQ32" s="28"/>
      <c r="EVR32" s="28"/>
      <c r="EVS32" s="28"/>
      <c r="EVT32" s="28"/>
      <c r="EVU32" s="28"/>
      <c r="EVV32" s="28"/>
      <c r="EVW32" s="28"/>
      <c r="EVX32" s="28"/>
      <c r="EVY32" s="28"/>
      <c r="EVZ32" s="28"/>
      <c r="EWA32" s="28"/>
      <c r="EWB32" s="28"/>
      <c r="EWC32" s="28"/>
      <c r="EWD32" s="28"/>
      <c r="EWE32" s="28"/>
      <c r="EWF32" s="28"/>
      <c r="EWG32" s="28"/>
      <c r="EWH32" s="28"/>
      <c r="EWI32" s="28"/>
      <c r="EWJ32" s="28"/>
      <c r="EWK32" s="28"/>
      <c r="EWL32" s="28"/>
      <c r="EWM32" s="28"/>
      <c r="EWN32" s="28"/>
      <c r="EWO32" s="28"/>
      <c r="EWP32" s="28"/>
      <c r="EWQ32" s="28"/>
      <c r="EWR32" s="28"/>
      <c r="EWS32" s="28"/>
      <c r="EWT32" s="28"/>
      <c r="EWU32" s="28"/>
      <c r="EWV32" s="28"/>
      <c r="EWW32" s="28"/>
      <c r="EWX32" s="28"/>
      <c r="EWY32" s="28"/>
      <c r="EWZ32" s="28"/>
      <c r="EXA32" s="28"/>
      <c r="EXB32" s="28"/>
      <c r="EXC32" s="28"/>
      <c r="EXD32" s="28"/>
      <c r="EXE32" s="28"/>
      <c r="EXF32" s="28"/>
      <c r="EXG32" s="28"/>
      <c r="EXH32" s="28"/>
      <c r="EXI32" s="28"/>
      <c r="EXJ32" s="28"/>
      <c r="EXK32" s="28"/>
      <c r="EXL32" s="28"/>
      <c r="EXM32" s="28"/>
      <c r="EXN32" s="28"/>
      <c r="EXO32" s="28"/>
      <c r="EXP32" s="28"/>
      <c r="EXQ32" s="28"/>
      <c r="EXR32" s="28"/>
      <c r="EXS32" s="28"/>
      <c r="EXT32" s="28"/>
      <c r="EXU32" s="28"/>
      <c r="EXV32" s="28"/>
      <c r="EXW32" s="28"/>
      <c r="EXX32" s="28"/>
      <c r="EXY32" s="28"/>
      <c r="EXZ32" s="28"/>
      <c r="EYA32" s="28"/>
      <c r="EYB32" s="28"/>
      <c r="EYC32" s="28"/>
      <c r="EYD32" s="28"/>
      <c r="EYE32" s="28"/>
      <c r="EYF32" s="28"/>
      <c r="EYG32" s="28"/>
      <c r="EYH32" s="28"/>
      <c r="EYI32" s="28"/>
      <c r="EYJ32" s="28"/>
      <c r="EYK32" s="28"/>
      <c r="EYL32" s="28"/>
      <c r="EYM32" s="28"/>
      <c r="EYN32" s="28"/>
      <c r="EYO32" s="28"/>
      <c r="EYP32" s="28"/>
      <c r="EYQ32" s="28"/>
      <c r="EYR32" s="28"/>
      <c r="EYS32" s="28"/>
      <c r="EYT32" s="28"/>
      <c r="EYU32" s="28"/>
      <c r="EYV32" s="28"/>
      <c r="EYW32" s="28"/>
      <c r="EYX32" s="28"/>
      <c r="EYY32" s="28"/>
      <c r="EYZ32" s="28"/>
      <c r="EZA32" s="28"/>
      <c r="EZB32" s="28"/>
      <c r="EZC32" s="28"/>
      <c r="EZD32" s="28"/>
      <c r="EZE32" s="28"/>
      <c r="EZF32" s="28"/>
      <c r="EZG32" s="28"/>
      <c r="EZH32" s="28"/>
      <c r="EZI32" s="28"/>
      <c r="EZJ32" s="28"/>
      <c r="EZK32" s="28"/>
      <c r="EZL32" s="28"/>
      <c r="EZM32" s="28"/>
      <c r="EZN32" s="28"/>
      <c r="EZO32" s="28"/>
      <c r="EZP32" s="28"/>
      <c r="EZQ32" s="28"/>
      <c r="EZR32" s="28"/>
      <c r="EZS32" s="28"/>
      <c r="EZT32" s="28"/>
      <c r="EZU32" s="28"/>
      <c r="EZV32" s="28"/>
      <c r="EZW32" s="28"/>
      <c r="EZX32" s="28"/>
      <c r="EZY32" s="28"/>
      <c r="EZZ32" s="28"/>
      <c r="FAA32" s="28"/>
      <c r="FAB32" s="28"/>
      <c r="FAC32" s="28"/>
      <c r="FAD32" s="28"/>
      <c r="FAE32" s="28"/>
      <c r="FAF32" s="28"/>
      <c r="FAG32" s="28"/>
      <c r="FAH32" s="28"/>
      <c r="FAI32" s="28"/>
      <c r="FAJ32" s="28"/>
      <c r="FAK32" s="28"/>
      <c r="FAL32" s="28"/>
      <c r="FAM32" s="28"/>
      <c r="FAN32" s="28"/>
      <c r="FAO32" s="28"/>
      <c r="FAP32" s="28"/>
      <c r="FAQ32" s="28"/>
      <c r="FAR32" s="28"/>
      <c r="FAS32" s="28"/>
      <c r="FAT32" s="28"/>
      <c r="FAU32" s="28"/>
      <c r="FAV32" s="28"/>
      <c r="FAW32" s="28"/>
      <c r="FAX32" s="28"/>
      <c r="FAY32" s="28"/>
      <c r="FAZ32" s="28"/>
      <c r="FBA32" s="28"/>
      <c r="FBB32" s="28"/>
      <c r="FBC32" s="28"/>
      <c r="FBD32" s="28"/>
      <c r="FBE32" s="28"/>
      <c r="FBF32" s="28"/>
      <c r="FBG32" s="28"/>
      <c r="FBH32" s="28"/>
      <c r="FBI32" s="28"/>
      <c r="FBJ32" s="28"/>
      <c r="FBK32" s="28"/>
      <c r="FBL32" s="28"/>
      <c r="FBM32" s="28"/>
      <c r="FBN32" s="28"/>
      <c r="FBO32" s="28"/>
      <c r="FBP32" s="28"/>
      <c r="FBQ32" s="28"/>
      <c r="FBR32" s="28"/>
      <c r="FBS32" s="28"/>
      <c r="FBT32" s="28"/>
      <c r="FBU32" s="28"/>
      <c r="FBV32" s="28"/>
      <c r="FBW32" s="28"/>
      <c r="FBX32" s="28"/>
      <c r="FBY32" s="28"/>
      <c r="FBZ32" s="28"/>
      <c r="FCA32" s="28"/>
      <c r="FCB32" s="28"/>
      <c r="FCC32" s="28"/>
      <c r="FCD32" s="28"/>
      <c r="FCE32" s="28"/>
      <c r="FCF32" s="28"/>
      <c r="FCG32" s="28"/>
      <c r="FCH32" s="28"/>
      <c r="FCI32" s="28"/>
      <c r="FCJ32" s="28"/>
      <c r="FCK32" s="28"/>
      <c r="FCL32" s="28"/>
      <c r="FCM32" s="28"/>
      <c r="FCN32" s="28"/>
      <c r="FCO32" s="28"/>
      <c r="FCP32" s="28"/>
      <c r="FCQ32" s="28"/>
      <c r="FCR32" s="28"/>
      <c r="FCS32" s="28"/>
      <c r="FCT32" s="28"/>
      <c r="FCU32" s="28"/>
      <c r="FCV32" s="28"/>
      <c r="FCW32" s="28"/>
      <c r="FCX32" s="28"/>
      <c r="FCY32" s="28"/>
      <c r="FCZ32" s="28"/>
      <c r="FDA32" s="28"/>
      <c r="FDB32" s="28"/>
      <c r="FDC32" s="28"/>
      <c r="FDD32" s="28"/>
      <c r="FDE32" s="28"/>
      <c r="FDF32" s="28"/>
      <c r="FDG32" s="28"/>
      <c r="FDH32" s="28"/>
      <c r="FDI32" s="28"/>
      <c r="FDJ32" s="28"/>
      <c r="FDK32" s="28"/>
      <c r="FDL32" s="28"/>
      <c r="FDM32" s="28"/>
      <c r="FDN32" s="28"/>
      <c r="FDO32" s="28"/>
      <c r="FDP32" s="28"/>
      <c r="FDQ32" s="28"/>
      <c r="FDR32" s="28"/>
      <c r="FDS32" s="28"/>
      <c r="FDT32" s="28"/>
      <c r="FDU32" s="28"/>
      <c r="FDV32" s="28"/>
      <c r="FDW32" s="28"/>
      <c r="FDX32" s="28"/>
      <c r="FDY32" s="28"/>
      <c r="FDZ32" s="28"/>
      <c r="FEA32" s="28"/>
      <c r="FEB32" s="28"/>
      <c r="FEC32" s="28"/>
      <c r="FED32" s="28"/>
      <c r="FEE32" s="28"/>
      <c r="FEF32" s="28"/>
      <c r="FEG32" s="28"/>
      <c r="FEH32" s="28"/>
      <c r="FEI32" s="28"/>
      <c r="FEJ32" s="28"/>
      <c r="FEK32" s="28"/>
      <c r="FEL32" s="28"/>
      <c r="FEM32" s="28"/>
      <c r="FEN32" s="28"/>
      <c r="FEO32" s="28"/>
      <c r="FEP32" s="28"/>
      <c r="FEQ32" s="28"/>
      <c r="FER32" s="28"/>
      <c r="FES32" s="28"/>
      <c r="FET32" s="28"/>
      <c r="FEU32" s="28"/>
      <c r="FEV32" s="28"/>
      <c r="FEW32" s="28"/>
      <c r="FEX32" s="28"/>
      <c r="FEY32" s="28"/>
      <c r="FEZ32" s="28"/>
      <c r="FFA32" s="28"/>
      <c r="FFB32" s="28"/>
      <c r="FFC32" s="28"/>
      <c r="FFD32" s="28"/>
      <c r="FFE32" s="28"/>
      <c r="FFF32" s="28"/>
      <c r="FFG32" s="28"/>
      <c r="FFH32" s="28"/>
      <c r="FFI32" s="28"/>
      <c r="FFJ32" s="28"/>
      <c r="FFK32" s="28"/>
      <c r="FFL32" s="28"/>
      <c r="FFM32" s="28"/>
      <c r="FFN32" s="28"/>
      <c r="FFO32" s="28"/>
      <c r="FFP32" s="28"/>
      <c r="FFQ32" s="28"/>
      <c r="FFR32" s="28"/>
      <c r="FFS32" s="28"/>
      <c r="FFT32" s="28"/>
      <c r="FFU32" s="28"/>
      <c r="FFV32" s="28"/>
      <c r="FFW32" s="28"/>
      <c r="FFX32" s="28"/>
      <c r="FFY32" s="28"/>
      <c r="FFZ32" s="28"/>
      <c r="FGA32" s="28"/>
      <c r="FGB32" s="28"/>
      <c r="FGC32" s="28"/>
      <c r="FGD32" s="28"/>
      <c r="FGE32" s="28"/>
      <c r="FGF32" s="28"/>
      <c r="FGG32" s="28"/>
      <c r="FGH32" s="28"/>
      <c r="FGI32" s="28"/>
      <c r="FGJ32" s="28"/>
      <c r="FGK32" s="28"/>
      <c r="FGL32" s="28"/>
      <c r="FGM32" s="28"/>
      <c r="FGN32" s="28"/>
      <c r="FGO32" s="28"/>
      <c r="FGP32" s="28"/>
      <c r="FGQ32" s="28"/>
      <c r="FGR32" s="28"/>
      <c r="FGS32" s="28"/>
      <c r="FGT32" s="28"/>
      <c r="FGU32" s="28"/>
      <c r="FGV32" s="28"/>
      <c r="FGW32" s="28"/>
      <c r="FGX32" s="28"/>
      <c r="FGY32" s="28"/>
      <c r="FGZ32" s="28"/>
      <c r="FHA32" s="28"/>
      <c r="FHB32" s="28"/>
      <c r="FHC32" s="28"/>
      <c r="FHD32" s="28"/>
      <c r="FHE32" s="28"/>
      <c r="FHF32" s="28"/>
      <c r="FHG32" s="28"/>
      <c r="FHH32" s="28"/>
      <c r="FHI32" s="28"/>
      <c r="FHJ32" s="28"/>
      <c r="FHK32" s="28"/>
      <c r="FHL32" s="28"/>
      <c r="FHM32" s="28"/>
      <c r="FHN32" s="28"/>
      <c r="FHO32" s="28"/>
      <c r="FHP32" s="28"/>
      <c r="FHQ32" s="28"/>
      <c r="FHR32" s="28"/>
      <c r="FHS32" s="28"/>
      <c r="FHT32" s="28"/>
      <c r="FHU32" s="28"/>
      <c r="FHV32" s="28"/>
      <c r="FHW32" s="28"/>
      <c r="FHX32" s="28"/>
      <c r="FHY32" s="28"/>
      <c r="FHZ32" s="28"/>
      <c r="FIA32" s="28"/>
      <c r="FIB32" s="28"/>
      <c r="FIC32" s="28"/>
      <c r="FID32" s="28"/>
      <c r="FIE32" s="28"/>
      <c r="FIF32" s="28"/>
      <c r="FIG32" s="28"/>
      <c r="FIH32" s="28"/>
      <c r="FII32" s="28"/>
      <c r="FIJ32" s="28"/>
      <c r="FIK32" s="28"/>
      <c r="FIL32" s="28"/>
      <c r="FIM32" s="28"/>
      <c r="FIN32" s="28"/>
      <c r="FIO32" s="28"/>
      <c r="FIP32" s="28"/>
      <c r="FIQ32" s="28"/>
      <c r="FIR32" s="28"/>
      <c r="FIS32" s="28"/>
      <c r="FIT32" s="28"/>
      <c r="FIU32" s="28"/>
      <c r="FIV32" s="28"/>
      <c r="FIW32" s="28"/>
      <c r="FIX32" s="28"/>
      <c r="FIY32" s="28"/>
      <c r="FIZ32" s="28"/>
      <c r="FJA32" s="28"/>
      <c r="FJB32" s="28"/>
      <c r="FJC32" s="28"/>
      <c r="FJD32" s="28"/>
      <c r="FJE32" s="28"/>
      <c r="FJF32" s="28"/>
      <c r="FJG32" s="28"/>
      <c r="FJH32" s="28"/>
      <c r="FJI32" s="28"/>
      <c r="FJJ32" s="28"/>
      <c r="FJK32" s="28"/>
      <c r="FJL32" s="28"/>
      <c r="FJM32" s="28"/>
      <c r="FJN32" s="28"/>
      <c r="FJO32" s="28"/>
      <c r="FJP32" s="28"/>
      <c r="FJQ32" s="28"/>
      <c r="FJR32" s="28"/>
      <c r="FJS32" s="28"/>
      <c r="FJT32" s="28"/>
      <c r="FJU32" s="28"/>
      <c r="FJV32" s="28"/>
      <c r="FJW32" s="28"/>
      <c r="FJX32" s="28"/>
      <c r="FJY32" s="28"/>
      <c r="FJZ32" s="28"/>
      <c r="FKA32" s="28"/>
      <c r="FKB32" s="28"/>
      <c r="FKC32" s="28"/>
      <c r="FKD32" s="28"/>
      <c r="FKE32" s="28"/>
      <c r="FKF32" s="28"/>
      <c r="FKG32" s="28"/>
      <c r="FKH32" s="28"/>
      <c r="FKI32" s="28"/>
      <c r="FKJ32" s="28"/>
      <c r="FKK32" s="28"/>
      <c r="FKL32" s="28"/>
      <c r="FKM32" s="28"/>
      <c r="FKN32" s="28"/>
      <c r="FKO32" s="28"/>
      <c r="FKP32" s="28"/>
      <c r="FKQ32" s="28"/>
      <c r="FKR32" s="28"/>
      <c r="FKS32" s="28"/>
      <c r="FKT32" s="28"/>
      <c r="FKU32" s="28"/>
      <c r="FKV32" s="28"/>
      <c r="FKW32" s="28"/>
      <c r="FKX32" s="28"/>
      <c r="FKY32" s="28"/>
      <c r="FKZ32" s="28"/>
      <c r="FLA32" s="28"/>
      <c r="FLB32" s="28"/>
      <c r="FLC32" s="28"/>
      <c r="FLD32" s="28"/>
      <c r="FLE32" s="28"/>
      <c r="FLF32" s="28"/>
      <c r="FLG32" s="28"/>
      <c r="FLH32" s="28"/>
      <c r="FLI32" s="28"/>
      <c r="FLJ32" s="28"/>
      <c r="FLK32" s="28"/>
      <c r="FLL32" s="28"/>
      <c r="FLM32" s="28"/>
      <c r="FLN32" s="28"/>
      <c r="FLO32" s="28"/>
      <c r="FLP32" s="28"/>
      <c r="FLQ32" s="28"/>
      <c r="FLR32" s="28"/>
      <c r="FLS32" s="28"/>
      <c r="FLT32" s="28"/>
      <c r="FLU32" s="28"/>
      <c r="FLV32" s="28"/>
      <c r="FLW32" s="28"/>
      <c r="FLX32" s="28"/>
      <c r="FLY32" s="28"/>
      <c r="FLZ32" s="28"/>
      <c r="FMA32" s="28"/>
      <c r="FMB32" s="28"/>
      <c r="FMC32" s="28"/>
      <c r="FMD32" s="28"/>
      <c r="FME32" s="28"/>
      <c r="FMF32" s="28"/>
      <c r="FMG32" s="28"/>
      <c r="FMH32" s="28"/>
      <c r="FMI32" s="28"/>
      <c r="FMJ32" s="28"/>
      <c r="FMK32" s="28"/>
      <c r="FML32" s="28"/>
      <c r="FMM32" s="28"/>
      <c r="FMN32" s="28"/>
      <c r="FMO32" s="28"/>
      <c r="FMP32" s="28"/>
      <c r="FMQ32" s="28"/>
      <c r="FMR32" s="28"/>
      <c r="FMS32" s="28"/>
      <c r="FMT32" s="28"/>
      <c r="FMU32" s="28"/>
      <c r="FMV32" s="28"/>
      <c r="FMW32" s="28"/>
      <c r="FMX32" s="28"/>
      <c r="FMY32" s="28"/>
      <c r="FMZ32" s="28"/>
      <c r="FNA32" s="28"/>
      <c r="FNB32" s="28"/>
      <c r="FNC32" s="28"/>
      <c r="FND32" s="28"/>
      <c r="FNE32" s="28"/>
      <c r="FNF32" s="28"/>
      <c r="FNG32" s="28"/>
      <c r="FNH32" s="28"/>
      <c r="FNI32" s="28"/>
      <c r="FNJ32" s="28"/>
      <c r="FNK32" s="28"/>
      <c r="FNL32" s="28"/>
      <c r="FNM32" s="28"/>
      <c r="FNN32" s="28"/>
      <c r="FNO32" s="28"/>
      <c r="FNP32" s="28"/>
      <c r="FNQ32" s="28"/>
      <c r="FNR32" s="28"/>
      <c r="FNS32" s="28"/>
      <c r="FNT32" s="28"/>
      <c r="FNU32" s="28"/>
      <c r="FNV32" s="28"/>
      <c r="FNW32" s="28"/>
      <c r="FNX32" s="28"/>
      <c r="FNY32" s="28"/>
      <c r="FNZ32" s="28"/>
      <c r="FOA32" s="28"/>
      <c r="FOB32" s="28"/>
      <c r="FOC32" s="28"/>
      <c r="FOD32" s="28"/>
      <c r="FOE32" s="28"/>
      <c r="FOF32" s="28"/>
      <c r="FOG32" s="28"/>
      <c r="FOH32" s="28"/>
      <c r="FOI32" s="28"/>
      <c r="FOJ32" s="28"/>
      <c r="FOK32" s="28"/>
      <c r="FOL32" s="28"/>
      <c r="FOM32" s="28"/>
      <c r="FON32" s="28"/>
      <c r="FOO32" s="28"/>
      <c r="FOP32" s="28"/>
      <c r="FOQ32" s="28"/>
      <c r="FOR32" s="28"/>
      <c r="FOS32" s="28"/>
      <c r="FOT32" s="28"/>
      <c r="FOU32" s="28"/>
      <c r="FOV32" s="28"/>
      <c r="FOW32" s="28"/>
      <c r="FOX32" s="28"/>
      <c r="FOY32" s="28"/>
      <c r="FOZ32" s="28"/>
      <c r="FPA32" s="28"/>
      <c r="FPB32" s="28"/>
      <c r="FPC32" s="28"/>
      <c r="FPD32" s="28"/>
      <c r="FPE32" s="28"/>
      <c r="FPF32" s="28"/>
      <c r="FPG32" s="28"/>
      <c r="FPH32" s="28"/>
      <c r="FPI32" s="28"/>
      <c r="FPJ32" s="28"/>
      <c r="FPK32" s="28"/>
      <c r="FPL32" s="28"/>
      <c r="FPM32" s="28"/>
      <c r="FPN32" s="28"/>
      <c r="FPO32" s="28"/>
      <c r="FPP32" s="28"/>
      <c r="FPQ32" s="28"/>
      <c r="FPR32" s="28"/>
      <c r="FPS32" s="28"/>
      <c r="FPT32" s="28"/>
      <c r="FPU32" s="28"/>
      <c r="FPV32" s="28"/>
      <c r="FPW32" s="28"/>
      <c r="FPX32" s="28"/>
      <c r="FPY32" s="28"/>
      <c r="FPZ32" s="28"/>
      <c r="FQA32" s="28"/>
      <c r="FQB32" s="28"/>
      <c r="FQC32" s="28"/>
      <c r="FQD32" s="28"/>
      <c r="FQE32" s="28"/>
      <c r="FQF32" s="28"/>
      <c r="FQG32" s="28"/>
      <c r="FQH32" s="28"/>
      <c r="FQI32" s="28"/>
      <c r="FQJ32" s="28"/>
      <c r="FQK32" s="28"/>
      <c r="FQL32" s="28"/>
      <c r="FQM32" s="28"/>
      <c r="FQN32" s="28"/>
      <c r="FQO32" s="28"/>
      <c r="FQP32" s="28"/>
      <c r="FQQ32" s="28"/>
      <c r="FQR32" s="28"/>
      <c r="FQS32" s="28"/>
      <c r="FQT32" s="28"/>
      <c r="FQU32" s="28"/>
      <c r="FQV32" s="28"/>
      <c r="FQW32" s="28"/>
      <c r="FQX32" s="28"/>
      <c r="FQY32" s="28"/>
      <c r="FQZ32" s="28"/>
      <c r="FRA32" s="28"/>
      <c r="FRB32" s="28"/>
      <c r="FRC32" s="28"/>
      <c r="FRD32" s="28"/>
      <c r="FRE32" s="28"/>
      <c r="FRF32" s="28"/>
      <c r="FRG32" s="28"/>
      <c r="FRH32" s="28"/>
      <c r="FRI32" s="28"/>
      <c r="FRJ32" s="28"/>
      <c r="FRK32" s="28"/>
      <c r="FRL32" s="28"/>
      <c r="FRM32" s="28"/>
      <c r="FRN32" s="28"/>
      <c r="FRO32" s="28"/>
      <c r="FRP32" s="28"/>
      <c r="FRQ32" s="28"/>
      <c r="FRR32" s="28"/>
      <c r="FRS32" s="28"/>
      <c r="FRT32" s="28"/>
      <c r="FRU32" s="28"/>
      <c r="FRV32" s="28"/>
      <c r="FRW32" s="28"/>
      <c r="FRX32" s="28"/>
      <c r="FRY32" s="28"/>
      <c r="FRZ32" s="28"/>
      <c r="FSA32" s="28"/>
      <c r="FSB32" s="28"/>
      <c r="FSC32" s="28"/>
      <c r="FSD32" s="28"/>
      <c r="FSE32" s="28"/>
      <c r="FSF32" s="28"/>
      <c r="FSG32" s="28"/>
      <c r="FSH32" s="28"/>
      <c r="FSI32" s="28"/>
      <c r="FSJ32" s="28"/>
      <c r="FSK32" s="28"/>
      <c r="FSL32" s="28"/>
      <c r="FSM32" s="28"/>
      <c r="FSN32" s="28"/>
      <c r="FSO32" s="28"/>
      <c r="FSP32" s="28"/>
      <c r="FSQ32" s="28"/>
      <c r="FSR32" s="28"/>
      <c r="FSS32" s="28"/>
      <c r="FST32" s="28"/>
      <c r="FSU32" s="28"/>
      <c r="FSV32" s="28"/>
      <c r="FSW32" s="28"/>
      <c r="FSX32" s="28"/>
      <c r="FSY32" s="28"/>
      <c r="FSZ32" s="28"/>
      <c r="FTA32" s="28"/>
      <c r="FTB32" s="28"/>
      <c r="FTC32" s="28"/>
      <c r="FTD32" s="28"/>
      <c r="FTE32" s="28"/>
      <c r="FTF32" s="28"/>
      <c r="FTG32" s="28"/>
      <c r="FTH32" s="28"/>
      <c r="FTI32" s="28"/>
      <c r="FTJ32" s="28"/>
      <c r="FTK32" s="28"/>
      <c r="FTL32" s="28"/>
      <c r="FTM32" s="28"/>
      <c r="FTN32" s="28"/>
      <c r="FTO32" s="28"/>
      <c r="FTP32" s="28"/>
      <c r="FTQ32" s="28"/>
      <c r="FTR32" s="28"/>
      <c r="FTS32" s="28"/>
      <c r="FTT32" s="28"/>
      <c r="FTU32" s="28"/>
      <c r="FTV32" s="28"/>
      <c r="FTW32" s="28"/>
      <c r="FTX32" s="28"/>
      <c r="FTY32" s="28"/>
      <c r="FTZ32" s="28"/>
      <c r="FUA32" s="28"/>
      <c r="FUB32" s="28"/>
      <c r="FUC32" s="28"/>
      <c r="FUD32" s="28"/>
      <c r="FUE32" s="28"/>
      <c r="FUF32" s="28"/>
      <c r="FUG32" s="28"/>
      <c r="FUH32" s="28"/>
      <c r="FUI32" s="28"/>
      <c r="FUJ32" s="28"/>
      <c r="FUK32" s="28"/>
      <c r="FUL32" s="28"/>
      <c r="FUM32" s="28"/>
      <c r="FUN32" s="28"/>
      <c r="FUO32" s="28"/>
      <c r="FUP32" s="28"/>
      <c r="FUQ32" s="28"/>
      <c r="FUR32" s="28"/>
      <c r="FUS32" s="28"/>
      <c r="FUT32" s="28"/>
      <c r="FUU32" s="28"/>
      <c r="FUV32" s="28"/>
      <c r="FUW32" s="28"/>
      <c r="FUX32" s="28"/>
      <c r="FUY32" s="28"/>
      <c r="FUZ32" s="28"/>
      <c r="FVA32" s="28"/>
      <c r="FVB32" s="28"/>
      <c r="FVC32" s="28"/>
      <c r="FVD32" s="28"/>
      <c r="FVE32" s="28"/>
      <c r="FVF32" s="28"/>
      <c r="FVG32" s="28"/>
      <c r="FVH32" s="28"/>
      <c r="FVI32" s="28"/>
      <c r="FVJ32" s="28"/>
      <c r="FVK32" s="28"/>
      <c r="FVL32" s="28"/>
      <c r="FVM32" s="28"/>
      <c r="FVN32" s="28"/>
      <c r="FVO32" s="28"/>
      <c r="FVP32" s="28"/>
      <c r="FVQ32" s="28"/>
      <c r="FVR32" s="28"/>
      <c r="FVS32" s="28"/>
      <c r="FVT32" s="28"/>
      <c r="FVU32" s="28"/>
      <c r="FVV32" s="28"/>
      <c r="FVW32" s="28"/>
      <c r="FVX32" s="28"/>
      <c r="FVY32" s="28"/>
      <c r="FVZ32" s="28"/>
      <c r="FWA32" s="28"/>
      <c r="FWB32" s="28"/>
      <c r="FWC32" s="28"/>
      <c r="FWD32" s="28"/>
      <c r="FWE32" s="28"/>
      <c r="FWF32" s="28"/>
      <c r="FWG32" s="28"/>
      <c r="FWH32" s="28"/>
      <c r="FWI32" s="28"/>
      <c r="FWJ32" s="28"/>
      <c r="FWK32" s="28"/>
      <c r="FWL32" s="28"/>
      <c r="FWM32" s="28"/>
      <c r="FWN32" s="28"/>
      <c r="FWO32" s="28"/>
      <c r="FWP32" s="28"/>
      <c r="FWQ32" s="28"/>
      <c r="FWR32" s="28"/>
      <c r="FWS32" s="28"/>
      <c r="FWT32" s="28"/>
      <c r="FWU32" s="28"/>
      <c r="FWV32" s="28"/>
      <c r="FWW32" s="28"/>
      <c r="FWX32" s="28"/>
      <c r="FWY32" s="28"/>
      <c r="FWZ32" s="28"/>
      <c r="FXA32" s="28"/>
      <c r="FXB32" s="28"/>
      <c r="FXC32" s="28"/>
      <c r="FXD32" s="28"/>
      <c r="FXE32" s="28"/>
      <c r="FXF32" s="28"/>
      <c r="FXG32" s="28"/>
      <c r="FXH32" s="28"/>
      <c r="FXI32" s="28"/>
      <c r="FXJ32" s="28"/>
      <c r="FXK32" s="28"/>
      <c r="FXL32" s="28"/>
      <c r="FXM32" s="28"/>
      <c r="FXN32" s="28"/>
      <c r="FXO32" s="28"/>
      <c r="FXP32" s="28"/>
      <c r="FXQ32" s="28"/>
      <c r="FXR32" s="28"/>
      <c r="FXS32" s="28"/>
      <c r="FXT32" s="28"/>
      <c r="FXU32" s="28"/>
      <c r="FXV32" s="28"/>
      <c r="FXW32" s="28"/>
      <c r="FXX32" s="28"/>
      <c r="FXY32" s="28"/>
      <c r="FXZ32" s="28"/>
      <c r="FYA32" s="28"/>
      <c r="FYB32" s="28"/>
      <c r="FYC32" s="28"/>
      <c r="FYD32" s="28"/>
      <c r="FYE32" s="28"/>
      <c r="FYF32" s="28"/>
      <c r="FYG32" s="28"/>
      <c r="FYH32" s="28"/>
      <c r="FYI32" s="28"/>
      <c r="FYJ32" s="28"/>
      <c r="FYK32" s="28"/>
      <c r="FYL32" s="28"/>
      <c r="FYM32" s="28"/>
      <c r="FYN32" s="28"/>
      <c r="FYO32" s="28"/>
      <c r="FYP32" s="28"/>
      <c r="FYQ32" s="28"/>
      <c r="FYR32" s="28"/>
      <c r="FYS32" s="28"/>
      <c r="FYT32" s="28"/>
      <c r="FYU32" s="28"/>
      <c r="FYV32" s="28"/>
      <c r="FYW32" s="28"/>
      <c r="FYX32" s="28"/>
      <c r="FYY32" s="28"/>
      <c r="FYZ32" s="28"/>
      <c r="FZA32" s="28"/>
      <c r="FZB32" s="28"/>
      <c r="FZC32" s="28"/>
      <c r="FZD32" s="28"/>
      <c r="FZE32" s="28"/>
      <c r="FZF32" s="28"/>
      <c r="FZG32" s="28"/>
      <c r="FZH32" s="28"/>
      <c r="FZI32" s="28"/>
      <c r="FZJ32" s="28"/>
      <c r="FZK32" s="28"/>
      <c r="FZL32" s="28"/>
      <c r="FZM32" s="28"/>
      <c r="FZN32" s="28"/>
      <c r="FZO32" s="28"/>
      <c r="FZP32" s="28"/>
      <c r="FZQ32" s="28"/>
      <c r="FZR32" s="28"/>
      <c r="FZS32" s="28"/>
      <c r="FZT32" s="28"/>
      <c r="FZU32" s="28"/>
      <c r="FZV32" s="28"/>
      <c r="FZW32" s="28"/>
      <c r="FZX32" s="28"/>
      <c r="FZY32" s="28"/>
      <c r="FZZ32" s="28"/>
      <c r="GAA32" s="28"/>
      <c r="GAB32" s="28"/>
      <c r="GAC32" s="28"/>
      <c r="GAD32" s="28"/>
      <c r="GAE32" s="28"/>
      <c r="GAF32" s="28"/>
      <c r="GAG32" s="28"/>
      <c r="GAH32" s="28"/>
      <c r="GAI32" s="28"/>
      <c r="GAJ32" s="28"/>
      <c r="GAK32" s="28"/>
      <c r="GAL32" s="28"/>
      <c r="GAM32" s="28"/>
      <c r="GAN32" s="28"/>
      <c r="GAO32" s="28"/>
      <c r="GAP32" s="28"/>
      <c r="GAQ32" s="28"/>
      <c r="GAR32" s="28"/>
      <c r="GAS32" s="28"/>
      <c r="GAT32" s="28"/>
      <c r="GAU32" s="28"/>
      <c r="GAV32" s="28"/>
      <c r="GAW32" s="28"/>
      <c r="GAX32" s="28"/>
      <c r="GAY32" s="28"/>
      <c r="GAZ32" s="28"/>
      <c r="GBA32" s="28"/>
      <c r="GBB32" s="28"/>
      <c r="GBC32" s="28"/>
      <c r="GBD32" s="28"/>
      <c r="GBE32" s="28"/>
      <c r="GBF32" s="28"/>
      <c r="GBG32" s="28"/>
      <c r="GBH32" s="28"/>
      <c r="GBI32" s="28"/>
      <c r="GBJ32" s="28"/>
      <c r="GBK32" s="28"/>
      <c r="GBL32" s="28"/>
      <c r="GBM32" s="28"/>
      <c r="GBN32" s="28"/>
      <c r="GBO32" s="28"/>
      <c r="GBP32" s="28"/>
      <c r="GBQ32" s="28"/>
      <c r="GBR32" s="28"/>
      <c r="GBS32" s="28"/>
      <c r="GBT32" s="28"/>
      <c r="GBU32" s="28"/>
      <c r="GBV32" s="28"/>
      <c r="GBW32" s="28"/>
      <c r="GBX32" s="28"/>
      <c r="GBY32" s="28"/>
      <c r="GBZ32" s="28"/>
      <c r="GCA32" s="28"/>
      <c r="GCB32" s="28"/>
      <c r="GCC32" s="28"/>
      <c r="GCD32" s="28"/>
      <c r="GCE32" s="28"/>
      <c r="GCF32" s="28"/>
      <c r="GCG32" s="28"/>
      <c r="GCH32" s="28"/>
      <c r="GCI32" s="28"/>
      <c r="GCJ32" s="28"/>
      <c r="GCK32" s="28"/>
      <c r="GCL32" s="28"/>
      <c r="GCM32" s="28"/>
      <c r="GCN32" s="28"/>
      <c r="GCO32" s="28"/>
      <c r="GCP32" s="28"/>
      <c r="GCQ32" s="28"/>
      <c r="GCR32" s="28"/>
      <c r="GCS32" s="28"/>
      <c r="GCT32" s="28"/>
      <c r="GCU32" s="28"/>
      <c r="GCV32" s="28"/>
      <c r="GCW32" s="28"/>
      <c r="GCX32" s="28"/>
      <c r="GCY32" s="28"/>
      <c r="GCZ32" s="28"/>
      <c r="GDA32" s="28"/>
      <c r="GDB32" s="28"/>
      <c r="GDC32" s="28"/>
      <c r="GDD32" s="28"/>
      <c r="GDE32" s="28"/>
      <c r="GDF32" s="28"/>
      <c r="GDG32" s="28"/>
      <c r="GDH32" s="28"/>
      <c r="GDI32" s="28"/>
      <c r="GDJ32" s="28"/>
      <c r="GDK32" s="28"/>
      <c r="GDL32" s="28"/>
      <c r="GDM32" s="28"/>
      <c r="GDN32" s="28"/>
      <c r="GDO32" s="28"/>
      <c r="GDP32" s="28"/>
      <c r="GDQ32" s="28"/>
      <c r="GDR32" s="28"/>
      <c r="GDS32" s="28"/>
      <c r="GDT32" s="28"/>
      <c r="GDU32" s="28"/>
      <c r="GDV32" s="28"/>
      <c r="GDW32" s="28"/>
      <c r="GDX32" s="28"/>
      <c r="GDY32" s="28"/>
      <c r="GDZ32" s="28"/>
      <c r="GEA32" s="28"/>
      <c r="GEB32" s="28"/>
      <c r="GEC32" s="28"/>
      <c r="GED32" s="28"/>
      <c r="GEE32" s="28"/>
      <c r="GEF32" s="28"/>
      <c r="GEG32" s="28"/>
      <c r="GEH32" s="28"/>
      <c r="GEI32" s="28"/>
      <c r="GEJ32" s="28"/>
      <c r="GEK32" s="28"/>
      <c r="GEL32" s="28"/>
      <c r="GEM32" s="28"/>
      <c r="GEN32" s="28"/>
      <c r="GEO32" s="28"/>
      <c r="GEP32" s="28"/>
      <c r="GEQ32" s="28"/>
      <c r="GER32" s="28"/>
      <c r="GES32" s="28"/>
      <c r="GET32" s="28"/>
      <c r="GEU32" s="28"/>
      <c r="GEV32" s="28"/>
      <c r="GEW32" s="28"/>
      <c r="GEX32" s="28"/>
      <c r="GEY32" s="28"/>
      <c r="GEZ32" s="28"/>
      <c r="GFA32" s="28"/>
      <c r="GFB32" s="28"/>
      <c r="GFC32" s="28"/>
      <c r="GFD32" s="28"/>
      <c r="GFE32" s="28"/>
      <c r="GFF32" s="28"/>
      <c r="GFG32" s="28"/>
      <c r="GFH32" s="28"/>
      <c r="GFI32" s="28"/>
      <c r="GFJ32" s="28"/>
      <c r="GFK32" s="28"/>
      <c r="GFL32" s="28"/>
      <c r="GFM32" s="28"/>
      <c r="GFN32" s="28"/>
      <c r="GFO32" s="28"/>
      <c r="GFP32" s="28"/>
      <c r="GFQ32" s="28"/>
      <c r="GFR32" s="28"/>
      <c r="GFS32" s="28"/>
      <c r="GFT32" s="28"/>
      <c r="GFU32" s="28"/>
      <c r="GFV32" s="28"/>
      <c r="GFW32" s="28"/>
      <c r="GFX32" s="28"/>
      <c r="GFY32" s="28"/>
      <c r="GFZ32" s="28"/>
      <c r="GGA32" s="28"/>
      <c r="GGB32" s="28"/>
      <c r="GGC32" s="28"/>
      <c r="GGD32" s="28"/>
      <c r="GGE32" s="28"/>
      <c r="GGF32" s="28"/>
      <c r="GGG32" s="28"/>
      <c r="GGH32" s="28"/>
      <c r="GGI32" s="28"/>
      <c r="GGJ32" s="28"/>
      <c r="GGK32" s="28"/>
      <c r="GGL32" s="28"/>
      <c r="GGM32" s="28"/>
      <c r="GGN32" s="28"/>
      <c r="GGO32" s="28"/>
      <c r="GGP32" s="28"/>
      <c r="GGQ32" s="28"/>
      <c r="GGR32" s="28"/>
      <c r="GGS32" s="28"/>
      <c r="GGT32" s="28"/>
      <c r="GGU32" s="28"/>
      <c r="GGV32" s="28"/>
      <c r="GGW32" s="28"/>
      <c r="GGX32" s="28"/>
      <c r="GGY32" s="28"/>
      <c r="GGZ32" s="28"/>
      <c r="GHA32" s="28"/>
      <c r="GHB32" s="28"/>
      <c r="GHC32" s="28"/>
      <c r="GHD32" s="28"/>
      <c r="GHE32" s="28"/>
      <c r="GHF32" s="28"/>
      <c r="GHG32" s="28"/>
      <c r="GHH32" s="28"/>
      <c r="GHI32" s="28"/>
      <c r="GHJ32" s="28"/>
      <c r="GHK32" s="28"/>
      <c r="GHL32" s="28"/>
      <c r="GHM32" s="28"/>
      <c r="GHN32" s="28"/>
      <c r="GHO32" s="28"/>
      <c r="GHP32" s="28"/>
      <c r="GHQ32" s="28"/>
      <c r="GHR32" s="28"/>
      <c r="GHS32" s="28"/>
      <c r="GHT32" s="28"/>
      <c r="GHU32" s="28"/>
      <c r="GHV32" s="28"/>
      <c r="GHW32" s="28"/>
      <c r="GHX32" s="28"/>
      <c r="GHY32" s="28"/>
      <c r="GHZ32" s="28"/>
      <c r="GIA32" s="28"/>
      <c r="GIB32" s="28"/>
      <c r="GIC32" s="28"/>
      <c r="GID32" s="28"/>
      <c r="GIE32" s="28"/>
      <c r="GIF32" s="28"/>
      <c r="GIG32" s="28"/>
      <c r="GIH32" s="28"/>
      <c r="GII32" s="28"/>
      <c r="GIJ32" s="28"/>
      <c r="GIK32" s="28"/>
      <c r="GIL32" s="28"/>
      <c r="GIM32" s="28"/>
      <c r="GIN32" s="28"/>
      <c r="GIO32" s="28"/>
      <c r="GIP32" s="28"/>
      <c r="GIQ32" s="28"/>
      <c r="GIR32" s="28"/>
      <c r="GIS32" s="28"/>
      <c r="GIT32" s="28"/>
      <c r="GIU32" s="28"/>
      <c r="GIV32" s="28"/>
      <c r="GIW32" s="28"/>
      <c r="GIX32" s="28"/>
      <c r="GIY32" s="28"/>
      <c r="GIZ32" s="28"/>
      <c r="GJA32" s="28"/>
      <c r="GJB32" s="28"/>
      <c r="GJC32" s="28"/>
      <c r="GJD32" s="28"/>
      <c r="GJE32" s="28"/>
      <c r="GJF32" s="28"/>
      <c r="GJG32" s="28"/>
      <c r="GJH32" s="28"/>
      <c r="GJI32" s="28"/>
      <c r="GJJ32" s="28"/>
      <c r="GJK32" s="28"/>
      <c r="GJL32" s="28"/>
      <c r="GJM32" s="28"/>
      <c r="GJN32" s="28"/>
      <c r="GJO32" s="28"/>
      <c r="GJP32" s="28"/>
      <c r="GJQ32" s="28"/>
      <c r="GJR32" s="28"/>
      <c r="GJS32" s="28"/>
      <c r="GJT32" s="28"/>
      <c r="GJU32" s="28"/>
      <c r="GJV32" s="28"/>
      <c r="GJW32" s="28"/>
      <c r="GJX32" s="28"/>
      <c r="GJY32" s="28"/>
      <c r="GJZ32" s="28"/>
      <c r="GKA32" s="28"/>
      <c r="GKB32" s="28"/>
      <c r="GKC32" s="28"/>
      <c r="GKD32" s="28"/>
      <c r="GKE32" s="28"/>
      <c r="GKF32" s="28"/>
      <c r="GKG32" s="28"/>
      <c r="GKH32" s="28"/>
      <c r="GKI32" s="28"/>
      <c r="GKJ32" s="28"/>
      <c r="GKK32" s="28"/>
      <c r="GKL32" s="28"/>
      <c r="GKM32" s="28"/>
      <c r="GKN32" s="28"/>
      <c r="GKO32" s="28"/>
      <c r="GKP32" s="28"/>
      <c r="GKQ32" s="28"/>
      <c r="GKR32" s="28"/>
      <c r="GKS32" s="28"/>
      <c r="GKT32" s="28"/>
      <c r="GKU32" s="28"/>
      <c r="GKV32" s="28"/>
      <c r="GKW32" s="28"/>
      <c r="GKX32" s="28"/>
      <c r="GKY32" s="28"/>
      <c r="GKZ32" s="28"/>
      <c r="GLA32" s="28"/>
      <c r="GLB32" s="28"/>
      <c r="GLC32" s="28"/>
      <c r="GLD32" s="28"/>
      <c r="GLE32" s="28"/>
      <c r="GLF32" s="28"/>
      <c r="GLG32" s="28"/>
      <c r="GLH32" s="28"/>
      <c r="GLI32" s="28"/>
      <c r="GLJ32" s="28"/>
      <c r="GLK32" s="28"/>
      <c r="GLL32" s="28"/>
      <c r="GLM32" s="28"/>
      <c r="GLN32" s="28"/>
      <c r="GLO32" s="28"/>
      <c r="GLP32" s="28"/>
      <c r="GLQ32" s="28"/>
      <c r="GLR32" s="28"/>
      <c r="GLS32" s="28"/>
      <c r="GLT32" s="28"/>
      <c r="GLU32" s="28"/>
      <c r="GLV32" s="28"/>
      <c r="GLW32" s="28"/>
      <c r="GLX32" s="28"/>
      <c r="GLY32" s="28"/>
      <c r="GLZ32" s="28"/>
      <c r="GMA32" s="28"/>
      <c r="GMB32" s="28"/>
      <c r="GMC32" s="28"/>
      <c r="GMD32" s="28"/>
      <c r="GME32" s="28"/>
      <c r="GMF32" s="28"/>
      <c r="GMG32" s="28"/>
      <c r="GMH32" s="28"/>
      <c r="GMI32" s="28"/>
      <c r="GMJ32" s="28"/>
      <c r="GMK32" s="28"/>
      <c r="GML32" s="28"/>
      <c r="GMM32" s="28"/>
      <c r="GMN32" s="28"/>
      <c r="GMO32" s="28"/>
      <c r="GMP32" s="28"/>
      <c r="GMQ32" s="28"/>
      <c r="GMR32" s="28"/>
      <c r="GMS32" s="28"/>
      <c r="GMT32" s="28"/>
      <c r="GMU32" s="28"/>
      <c r="GMV32" s="28"/>
      <c r="GMW32" s="28"/>
      <c r="GMX32" s="28"/>
      <c r="GMY32" s="28"/>
      <c r="GMZ32" s="28"/>
      <c r="GNA32" s="28"/>
      <c r="GNB32" s="28"/>
      <c r="GNC32" s="28"/>
      <c r="GND32" s="28"/>
      <c r="GNE32" s="28"/>
      <c r="GNF32" s="28"/>
      <c r="GNG32" s="28"/>
      <c r="GNH32" s="28"/>
      <c r="GNI32" s="28"/>
      <c r="GNJ32" s="28"/>
      <c r="GNK32" s="28"/>
      <c r="GNL32" s="28"/>
      <c r="GNM32" s="28"/>
      <c r="GNN32" s="28"/>
      <c r="GNO32" s="28"/>
      <c r="GNP32" s="28"/>
      <c r="GNQ32" s="28"/>
      <c r="GNR32" s="28"/>
      <c r="GNS32" s="28"/>
      <c r="GNT32" s="28"/>
      <c r="GNU32" s="28"/>
      <c r="GNV32" s="28"/>
      <c r="GNW32" s="28"/>
      <c r="GNX32" s="28"/>
      <c r="GNY32" s="28"/>
      <c r="GNZ32" s="28"/>
      <c r="GOA32" s="28"/>
      <c r="GOB32" s="28"/>
      <c r="GOC32" s="28"/>
      <c r="GOD32" s="28"/>
      <c r="GOE32" s="28"/>
      <c r="GOF32" s="28"/>
      <c r="GOG32" s="28"/>
      <c r="GOH32" s="28"/>
      <c r="GOI32" s="28"/>
      <c r="GOJ32" s="28"/>
      <c r="GOK32" s="28"/>
      <c r="GOL32" s="28"/>
      <c r="GOM32" s="28"/>
      <c r="GON32" s="28"/>
      <c r="GOO32" s="28"/>
      <c r="GOP32" s="28"/>
      <c r="GOQ32" s="28"/>
      <c r="GOR32" s="28"/>
      <c r="GOS32" s="28"/>
      <c r="GOT32" s="28"/>
      <c r="GOU32" s="28"/>
      <c r="GOV32" s="28"/>
      <c r="GOW32" s="28"/>
      <c r="GOX32" s="28"/>
      <c r="GOY32" s="28"/>
      <c r="GOZ32" s="28"/>
      <c r="GPA32" s="28"/>
      <c r="GPB32" s="28"/>
      <c r="GPC32" s="28"/>
      <c r="GPD32" s="28"/>
      <c r="GPE32" s="28"/>
      <c r="GPF32" s="28"/>
      <c r="GPG32" s="28"/>
      <c r="GPH32" s="28"/>
      <c r="GPI32" s="28"/>
      <c r="GPJ32" s="28"/>
      <c r="GPK32" s="28"/>
      <c r="GPL32" s="28"/>
      <c r="GPM32" s="28"/>
      <c r="GPN32" s="28"/>
      <c r="GPO32" s="28"/>
      <c r="GPP32" s="28"/>
      <c r="GPQ32" s="28"/>
      <c r="GPR32" s="28"/>
      <c r="GPS32" s="28"/>
      <c r="GPT32" s="28"/>
      <c r="GPU32" s="28"/>
      <c r="GPV32" s="28"/>
      <c r="GPW32" s="28"/>
      <c r="GPX32" s="28"/>
      <c r="GPY32" s="28"/>
      <c r="GPZ32" s="28"/>
      <c r="GQA32" s="28"/>
      <c r="GQB32" s="28"/>
      <c r="GQC32" s="28"/>
      <c r="GQD32" s="28"/>
      <c r="GQE32" s="28"/>
      <c r="GQF32" s="28"/>
      <c r="GQG32" s="28"/>
      <c r="GQH32" s="28"/>
      <c r="GQI32" s="28"/>
      <c r="GQJ32" s="28"/>
      <c r="GQK32" s="28"/>
      <c r="GQL32" s="28"/>
      <c r="GQM32" s="28"/>
      <c r="GQN32" s="28"/>
      <c r="GQO32" s="28"/>
      <c r="GQP32" s="28"/>
      <c r="GQQ32" s="28"/>
      <c r="GQR32" s="28"/>
      <c r="GQS32" s="28"/>
      <c r="GQT32" s="28"/>
      <c r="GQU32" s="28"/>
      <c r="GQV32" s="28"/>
      <c r="GQW32" s="28"/>
      <c r="GQX32" s="28"/>
      <c r="GQY32" s="28"/>
      <c r="GQZ32" s="28"/>
      <c r="GRA32" s="28"/>
      <c r="GRB32" s="28"/>
      <c r="GRC32" s="28"/>
      <c r="GRD32" s="28"/>
      <c r="GRE32" s="28"/>
      <c r="GRF32" s="28"/>
      <c r="GRG32" s="28"/>
      <c r="GRH32" s="28"/>
      <c r="GRI32" s="28"/>
      <c r="GRJ32" s="28"/>
      <c r="GRK32" s="28"/>
      <c r="GRL32" s="28"/>
      <c r="GRM32" s="28"/>
      <c r="GRN32" s="28"/>
      <c r="GRO32" s="28"/>
      <c r="GRP32" s="28"/>
      <c r="GRQ32" s="28"/>
      <c r="GRR32" s="28"/>
      <c r="GRS32" s="28"/>
      <c r="GRT32" s="28"/>
      <c r="GRU32" s="28"/>
      <c r="GRV32" s="28"/>
      <c r="GRW32" s="28"/>
      <c r="GRX32" s="28"/>
      <c r="GRY32" s="28"/>
      <c r="GRZ32" s="28"/>
      <c r="GSA32" s="28"/>
      <c r="GSB32" s="28"/>
      <c r="GSC32" s="28"/>
      <c r="GSD32" s="28"/>
      <c r="GSE32" s="28"/>
      <c r="GSF32" s="28"/>
      <c r="GSG32" s="28"/>
      <c r="GSH32" s="28"/>
      <c r="GSI32" s="28"/>
      <c r="GSJ32" s="28"/>
      <c r="GSK32" s="28"/>
      <c r="GSL32" s="28"/>
      <c r="GSM32" s="28"/>
      <c r="GSN32" s="28"/>
      <c r="GSO32" s="28"/>
      <c r="GSP32" s="28"/>
      <c r="GSQ32" s="28"/>
      <c r="GSR32" s="28"/>
      <c r="GSS32" s="28"/>
      <c r="GST32" s="28"/>
      <c r="GSU32" s="28"/>
      <c r="GSV32" s="28"/>
      <c r="GSW32" s="28"/>
      <c r="GSX32" s="28"/>
      <c r="GSY32" s="28"/>
      <c r="GSZ32" s="28"/>
      <c r="GTA32" s="28"/>
      <c r="GTB32" s="28"/>
      <c r="GTC32" s="28"/>
      <c r="GTD32" s="28"/>
      <c r="GTE32" s="28"/>
      <c r="GTF32" s="28"/>
      <c r="GTG32" s="28"/>
      <c r="GTH32" s="28"/>
      <c r="GTI32" s="28"/>
      <c r="GTJ32" s="28"/>
      <c r="GTK32" s="28"/>
      <c r="GTL32" s="28"/>
      <c r="GTM32" s="28"/>
      <c r="GTN32" s="28"/>
      <c r="GTO32" s="28"/>
      <c r="GTP32" s="28"/>
      <c r="GTQ32" s="28"/>
      <c r="GTR32" s="28"/>
      <c r="GTS32" s="28"/>
      <c r="GTT32" s="28"/>
      <c r="GTU32" s="28"/>
      <c r="GTV32" s="28"/>
      <c r="GTW32" s="28"/>
      <c r="GTX32" s="28"/>
      <c r="GTY32" s="28"/>
      <c r="GTZ32" s="28"/>
      <c r="GUA32" s="28"/>
      <c r="GUB32" s="28"/>
      <c r="GUC32" s="28"/>
      <c r="GUD32" s="28"/>
      <c r="GUE32" s="28"/>
      <c r="GUF32" s="28"/>
      <c r="GUG32" s="28"/>
      <c r="GUH32" s="28"/>
      <c r="GUI32" s="28"/>
      <c r="GUJ32" s="28"/>
      <c r="GUK32" s="28"/>
      <c r="GUL32" s="28"/>
      <c r="GUM32" s="28"/>
      <c r="GUN32" s="28"/>
      <c r="GUO32" s="28"/>
      <c r="GUP32" s="28"/>
      <c r="GUQ32" s="28"/>
      <c r="GUR32" s="28"/>
      <c r="GUS32" s="28"/>
      <c r="GUT32" s="28"/>
      <c r="GUU32" s="28"/>
      <c r="GUV32" s="28"/>
      <c r="GUW32" s="28"/>
      <c r="GUX32" s="28"/>
      <c r="GUY32" s="28"/>
      <c r="GUZ32" s="28"/>
      <c r="GVA32" s="28"/>
      <c r="GVB32" s="28"/>
      <c r="GVC32" s="28"/>
      <c r="GVD32" s="28"/>
      <c r="GVE32" s="28"/>
      <c r="GVF32" s="28"/>
      <c r="GVG32" s="28"/>
      <c r="GVH32" s="28"/>
      <c r="GVI32" s="28"/>
      <c r="GVJ32" s="28"/>
      <c r="GVK32" s="28"/>
      <c r="GVL32" s="28"/>
      <c r="GVM32" s="28"/>
      <c r="GVN32" s="28"/>
      <c r="GVO32" s="28"/>
      <c r="GVP32" s="28"/>
      <c r="GVQ32" s="28"/>
      <c r="GVR32" s="28"/>
      <c r="GVS32" s="28"/>
      <c r="GVT32" s="28"/>
      <c r="GVU32" s="28"/>
      <c r="GVV32" s="28"/>
      <c r="GVW32" s="28"/>
      <c r="GVX32" s="28"/>
      <c r="GVY32" s="28"/>
      <c r="GVZ32" s="28"/>
      <c r="GWA32" s="28"/>
      <c r="GWB32" s="28"/>
      <c r="GWC32" s="28"/>
      <c r="GWD32" s="28"/>
      <c r="GWE32" s="28"/>
      <c r="GWF32" s="28"/>
      <c r="GWG32" s="28"/>
      <c r="GWH32" s="28"/>
      <c r="GWI32" s="28"/>
      <c r="GWJ32" s="28"/>
      <c r="GWK32" s="28"/>
      <c r="GWL32" s="28"/>
      <c r="GWM32" s="28"/>
      <c r="GWN32" s="28"/>
      <c r="GWO32" s="28"/>
      <c r="GWP32" s="28"/>
      <c r="GWQ32" s="28"/>
      <c r="GWR32" s="28"/>
      <c r="GWS32" s="28"/>
      <c r="GWT32" s="28"/>
      <c r="GWU32" s="28"/>
      <c r="GWV32" s="28"/>
      <c r="GWW32" s="28"/>
      <c r="GWX32" s="28"/>
      <c r="GWY32" s="28"/>
      <c r="GWZ32" s="28"/>
      <c r="GXA32" s="28"/>
      <c r="GXB32" s="28"/>
      <c r="GXC32" s="28"/>
      <c r="GXD32" s="28"/>
      <c r="GXE32" s="28"/>
      <c r="GXF32" s="28"/>
      <c r="GXG32" s="28"/>
      <c r="GXH32" s="28"/>
      <c r="GXI32" s="28"/>
      <c r="GXJ32" s="28"/>
      <c r="GXK32" s="28"/>
      <c r="GXL32" s="28"/>
      <c r="GXM32" s="28"/>
      <c r="GXN32" s="28"/>
      <c r="GXO32" s="28"/>
      <c r="GXP32" s="28"/>
      <c r="GXQ32" s="28"/>
      <c r="GXR32" s="28"/>
      <c r="GXS32" s="28"/>
      <c r="GXT32" s="28"/>
      <c r="GXU32" s="28"/>
      <c r="GXV32" s="28"/>
      <c r="GXW32" s="28"/>
      <c r="GXX32" s="28"/>
      <c r="GXY32" s="28"/>
      <c r="GXZ32" s="28"/>
      <c r="GYA32" s="28"/>
      <c r="GYB32" s="28"/>
      <c r="GYC32" s="28"/>
      <c r="GYD32" s="28"/>
      <c r="GYE32" s="28"/>
      <c r="GYF32" s="28"/>
      <c r="GYG32" s="28"/>
      <c r="GYH32" s="28"/>
      <c r="GYI32" s="28"/>
      <c r="GYJ32" s="28"/>
      <c r="GYK32" s="28"/>
      <c r="GYL32" s="28"/>
      <c r="GYM32" s="28"/>
      <c r="GYN32" s="28"/>
      <c r="GYO32" s="28"/>
      <c r="GYP32" s="28"/>
      <c r="GYQ32" s="28"/>
      <c r="GYR32" s="28"/>
      <c r="GYS32" s="28"/>
      <c r="GYT32" s="28"/>
      <c r="GYU32" s="28"/>
      <c r="GYV32" s="28"/>
      <c r="GYW32" s="28"/>
      <c r="GYX32" s="28"/>
      <c r="GYY32" s="28"/>
      <c r="GYZ32" s="28"/>
      <c r="GZA32" s="28"/>
      <c r="GZB32" s="28"/>
      <c r="GZC32" s="28"/>
      <c r="GZD32" s="28"/>
      <c r="GZE32" s="28"/>
      <c r="GZF32" s="28"/>
      <c r="GZG32" s="28"/>
      <c r="GZH32" s="28"/>
      <c r="GZI32" s="28"/>
      <c r="GZJ32" s="28"/>
      <c r="GZK32" s="28"/>
      <c r="GZL32" s="28"/>
      <c r="GZM32" s="28"/>
      <c r="GZN32" s="28"/>
      <c r="GZO32" s="28"/>
      <c r="GZP32" s="28"/>
      <c r="GZQ32" s="28"/>
      <c r="GZR32" s="28"/>
      <c r="GZS32" s="28"/>
      <c r="GZT32" s="28"/>
      <c r="GZU32" s="28"/>
      <c r="GZV32" s="28"/>
      <c r="GZW32" s="28"/>
      <c r="GZX32" s="28"/>
      <c r="GZY32" s="28"/>
      <c r="GZZ32" s="28"/>
      <c r="HAA32" s="28"/>
      <c r="HAB32" s="28"/>
      <c r="HAC32" s="28"/>
      <c r="HAD32" s="28"/>
      <c r="HAE32" s="28"/>
      <c r="HAF32" s="28"/>
      <c r="HAG32" s="28"/>
      <c r="HAH32" s="28"/>
      <c r="HAI32" s="28"/>
      <c r="HAJ32" s="28"/>
      <c r="HAK32" s="28"/>
      <c r="HAL32" s="28"/>
      <c r="HAM32" s="28"/>
      <c r="HAN32" s="28"/>
      <c r="HAO32" s="28"/>
      <c r="HAP32" s="28"/>
      <c r="HAQ32" s="28"/>
      <c r="HAR32" s="28"/>
      <c r="HAS32" s="28"/>
      <c r="HAT32" s="28"/>
      <c r="HAU32" s="28"/>
      <c r="HAV32" s="28"/>
      <c r="HAW32" s="28"/>
      <c r="HAX32" s="28"/>
      <c r="HAY32" s="28"/>
      <c r="HAZ32" s="28"/>
      <c r="HBA32" s="28"/>
      <c r="HBB32" s="28"/>
      <c r="HBC32" s="28"/>
      <c r="HBD32" s="28"/>
      <c r="HBE32" s="28"/>
      <c r="HBF32" s="28"/>
      <c r="HBG32" s="28"/>
      <c r="HBH32" s="28"/>
      <c r="HBI32" s="28"/>
      <c r="HBJ32" s="28"/>
      <c r="HBK32" s="28"/>
      <c r="HBL32" s="28"/>
      <c r="HBM32" s="28"/>
      <c r="HBN32" s="28"/>
      <c r="HBO32" s="28"/>
      <c r="HBP32" s="28"/>
      <c r="HBQ32" s="28"/>
      <c r="HBR32" s="28"/>
      <c r="HBS32" s="28"/>
      <c r="HBT32" s="28"/>
      <c r="HBU32" s="28"/>
      <c r="HBV32" s="28"/>
      <c r="HBW32" s="28"/>
      <c r="HBX32" s="28"/>
      <c r="HBY32" s="28"/>
      <c r="HBZ32" s="28"/>
      <c r="HCA32" s="28"/>
      <c r="HCB32" s="28"/>
      <c r="HCC32" s="28"/>
      <c r="HCD32" s="28"/>
      <c r="HCE32" s="28"/>
      <c r="HCF32" s="28"/>
      <c r="HCG32" s="28"/>
      <c r="HCH32" s="28"/>
      <c r="HCI32" s="28"/>
      <c r="HCJ32" s="28"/>
      <c r="HCK32" s="28"/>
      <c r="HCL32" s="28"/>
      <c r="HCM32" s="28"/>
      <c r="HCN32" s="28"/>
      <c r="HCO32" s="28"/>
      <c r="HCP32" s="28"/>
      <c r="HCQ32" s="28"/>
      <c r="HCR32" s="28"/>
      <c r="HCS32" s="28"/>
      <c r="HCT32" s="28"/>
      <c r="HCU32" s="28"/>
      <c r="HCV32" s="28"/>
      <c r="HCW32" s="28"/>
      <c r="HCX32" s="28"/>
      <c r="HCY32" s="28"/>
      <c r="HCZ32" s="28"/>
      <c r="HDA32" s="28"/>
      <c r="HDB32" s="28"/>
      <c r="HDC32" s="28"/>
      <c r="HDD32" s="28"/>
      <c r="HDE32" s="28"/>
      <c r="HDF32" s="28"/>
      <c r="HDG32" s="28"/>
      <c r="HDH32" s="28"/>
      <c r="HDI32" s="28"/>
      <c r="HDJ32" s="28"/>
      <c r="HDK32" s="28"/>
      <c r="HDL32" s="28"/>
      <c r="HDM32" s="28"/>
      <c r="HDN32" s="28"/>
      <c r="HDO32" s="28"/>
      <c r="HDP32" s="28"/>
      <c r="HDQ32" s="28"/>
      <c r="HDR32" s="28"/>
      <c r="HDS32" s="28"/>
      <c r="HDT32" s="28"/>
      <c r="HDU32" s="28"/>
      <c r="HDV32" s="28"/>
      <c r="HDW32" s="28"/>
      <c r="HDX32" s="28"/>
      <c r="HDY32" s="28"/>
      <c r="HDZ32" s="28"/>
      <c r="HEA32" s="28"/>
      <c r="HEB32" s="28"/>
      <c r="HEC32" s="28"/>
      <c r="HED32" s="28"/>
      <c r="HEE32" s="28"/>
      <c r="HEF32" s="28"/>
      <c r="HEG32" s="28"/>
      <c r="HEH32" s="28"/>
      <c r="HEI32" s="28"/>
      <c r="HEJ32" s="28"/>
      <c r="HEK32" s="28"/>
      <c r="HEL32" s="28"/>
      <c r="HEM32" s="28"/>
      <c r="HEN32" s="28"/>
      <c r="HEO32" s="28"/>
      <c r="HEP32" s="28"/>
      <c r="HEQ32" s="28"/>
      <c r="HER32" s="28"/>
      <c r="HES32" s="28"/>
      <c r="HET32" s="28"/>
      <c r="HEU32" s="28"/>
      <c r="HEV32" s="28"/>
      <c r="HEW32" s="28"/>
      <c r="HEX32" s="28"/>
      <c r="HEY32" s="28"/>
      <c r="HEZ32" s="28"/>
      <c r="HFA32" s="28"/>
      <c r="HFB32" s="28"/>
      <c r="HFC32" s="28"/>
      <c r="HFD32" s="28"/>
      <c r="HFE32" s="28"/>
      <c r="HFF32" s="28"/>
      <c r="HFG32" s="28"/>
      <c r="HFH32" s="28"/>
      <c r="HFI32" s="28"/>
      <c r="HFJ32" s="28"/>
      <c r="HFK32" s="28"/>
      <c r="HFL32" s="28"/>
      <c r="HFM32" s="28"/>
      <c r="HFN32" s="28"/>
      <c r="HFO32" s="28"/>
      <c r="HFP32" s="28"/>
      <c r="HFQ32" s="28"/>
      <c r="HFR32" s="28"/>
      <c r="HFS32" s="28"/>
      <c r="HFT32" s="28"/>
      <c r="HFU32" s="28"/>
      <c r="HFV32" s="28"/>
      <c r="HFW32" s="28"/>
      <c r="HFX32" s="28"/>
      <c r="HFY32" s="28"/>
      <c r="HFZ32" s="28"/>
      <c r="HGA32" s="28"/>
      <c r="HGB32" s="28"/>
      <c r="HGC32" s="28"/>
      <c r="HGD32" s="28"/>
      <c r="HGE32" s="28"/>
      <c r="HGF32" s="28"/>
      <c r="HGG32" s="28"/>
      <c r="HGH32" s="28"/>
      <c r="HGI32" s="28"/>
      <c r="HGJ32" s="28"/>
      <c r="HGK32" s="28"/>
      <c r="HGL32" s="28"/>
      <c r="HGM32" s="28"/>
      <c r="HGN32" s="28"/>
      <c r="HGO32" s="28"/>
      <c r="HGP32" s="28"/>
      <c r="HGQ32" s="28"/>
      <c r="HGR32" s="28"/>
      <c r="HGS32" s="28"/>
      <c r="HGT32" s="28"/>
      <c r="HGU32" s="28"/>
      <c r="HGV32" s="28"/>
      <c r="HGW32" s="28"/>
      <c r="HGX32" s="28"/>
      <c r="HGY32" s="28"/>
      <c r="HGZ32" s="28"/>
      <c r="HHA32" s="28"/>
      <c r="HHB32" s="28"/>
      <c r="HHC32" s="28"/>
      <c r="HHD32" s="28"/>
      <c r="HHE32" s="28"/>
      <c r="HHF32" s="28"/>
      <c r="HHG32" s="28"/>
      <c r="HHH32" s="28"/>
      <c r="HHI32" s="28"/>
      <c r="HHJ32" s="28"/>
      <c r="HHK32" s="28"/>
      <c r="HHL32" s="28"/>
      <c r="HHM32" s="28"/>
      <c r="HHN32" s="28"/>
      <c r="HHO32" s="28"/>
      <c r="HHP32" s="28"/>
      <c r="HHQ32" s="28"/>
      <c r="HHR32" s="28"/>
      <c r="HHS32" s="28"/>
      <c r="HHT32" s="28"/>
      <c r="HHU32" s="28"/>
      <c r="HHV32" s="28"/>
      <c r="HHW32" s="28"/>
      <c r="HHX32" s="28"/>
      <c r="HHY32" s="28"/>
      <c r="HHZ32" s="28"/>
      <c r="HIA32" s="28"/>
      <c r="HIB32" s="28"/>
      <c r="HIC32" s="28"/>
      <c r="HID32" s="28"/>
      <c r="HIE32" s="28"/>
      <c r="HIF32" s="28"/>
      <c r="HIG32" s="28"/>
      <c r="HIH32" s="28"/>
      <c r="HII32" s="28"/>
      <c r="HIJ32" s="28"/>
      <c r="HIK32" s="28"/>
      <c r="HIL32" s="28"/>
      <c r="HIM32" s="28"/>
      <c r="HIN32" s="28"/>
      <c r="HIO32" s="28"/>
      <c r="HIP32" s="28"/>
      <c r="HIQ32" s="28"/>
      <c r="HIR32" s="28"/>
      <c r="HIS32" s="28"/>
      <c r="HIT32" s="28"/>
      <c r="HIU32" s="28"/>
      <c r="HIV32" s="28"/>
      <c r="HIW32" s="28"/>
      <c r="HIX32" s="28"/>
      <c r="HIY32" s="28"/>
      <c r="HIZ32" s="28"/>
      <c r="HJA32" s="28"/>
      <c r="HJB32" s="28"/>
      <c r="HJC32" s="28"/>
      <c r="HJD32" s="28"/>
      <c r="HJE32" s="28"/>
      <c r="HJF32" s="28"/>
      <c r="HJG32" s="28"/>
      <c r="HJH32" s="28"/>
      <c r="HJI32" s="28"/>
      <c r="HJJ32" s="28"/>
      <c r="HJK32" s="28"/>
      <c r="HJL32" s="28"/>
      <c r="HJM32" s="28"/>
      <c r="HJN32" s="28"/>
      <c r="HJO32" s="28"/>
      <c r="HJP32" s="28"/>
      <c r="HJQ32" s="28"/>
      <c r="HJR32" s="28"/>
      <c r="HJS32" s="28"/>
      <c r="HJT32" s="28"/>
      <c r="HJU32" s="28"/>
      <c r="HJV32" s="28"/>
      <c r="HJW32" s="28"/>
      <c r="HJX32" s="28"/>
      <c r="HJY32" s="28"/>
      <c r="HJZ32" s="28"/>
      <c r="HKA32" s="28"/>
      <c r="HKB32" s="28"/>
      <c r="HKC32" s="28"/>
      <c r="HKD32" s="28"/>
      <c r="HKE32" s="28"/>
      <c r="HKF32" s="28"/>
      <c r="HKG32" s="28"/>
      <c r="HKH32" s="28"/>
      <c r="HKI32" s="28"/>
      <c r="HKJ32" s="28"/>
      <c r="HKK32" s="28"/>
      <c r="HKL32" s="28"/>
      <c r="HKM32" s="28"/>
      <c r="HKN32" s="28"/>
      <c r="HKO32" s="28"/>
      <c r="HKP32" s="28"/>
      <c r="HKQ32" s="28"/>
      <c r="HKR32" s="28"/>
      <c r="HKS32" s="28"/>
      <c r="HKT32" s="28"/>
      <c r="HKU32" s="28"/>
      <c r="HKV32" s="28"/>
      <c r="HKW32" s="28"/>
      <c r="HKX32" s="28"/>
      <c r="HKY32" s="28"/>
      <c r="HKZ32" s="28"/>
      <c r="HLA32" s="28"/>
      <c r="HLB32" s="28"/>
      <c r="HLC32" s="28"/>
      <c r="HLD32" s="28"/>
      <c r="HLE32" s="28"/>
      <c r="HLF32" s="28"/>
      <c r="HLG32" s="28"/>
      <c r="HLH32" s="28"/>
      <c r="HLI32" s="28"/>
      <c r="HLJ32" s="28"/>
      <c r="HLK32" s="28"/>
      <c r="HLL32" s="28"/>
      <c r="HLM32" s="28"/>
      <c r="HLN32" s="28"/>
      <c r="HLO32" s="28"/>
      <c r="HLP32" s="28"/>
      <c r="HLQ32" s="28"/>
      <c r="HLR32" s="28"/>
      <c r="HLS32" s="28"/>
      <c r="HLT32" s="28"/>
      <c r="HLU32" s="28"/>
      <c r="HLV32" s="28"/>
      <c r="HLW32" s="28"/>
      <c r="HLX32" s="28"/>
      <c r="HLY32" s="28"/>
      <c r="HLZ32" s="28"/>
      <c r="HMA32" s="28"/>
      <c r="HMB32" s="28"/>
      <c r="HMC32" s="28"/>
      <c r="HMD32" s="28"/>
      <c r="HME32" s="28"/>
      <c r="HMF32" s="28"/>
      <c r="HMG32" s="28"/>
      <c r="HMH32" s="28"/>
      <c r="HMI32" s="28"/>
      <c r="HMJ32" s="28"/>
      <c r="HMK32" s="28"/>
      <c r="HML32" s="28"/>
      <c r="HMM32" s="28"/>
      <c r="HMN32" s="28"/>
      <c r="HMO32" s="28"/>
      <c r="HMP32" s="28"/>
      <c r="HMQ32" s="28"/>
      <c r="HMR32" s="28"/>
      <c r="HMS32" s="28"/>
      <c r="HMT32" s="28"/>
      <c r="HMU32" s="28"/>
      <c r="HMV32" s="28"/>
      <c r="HMW32" s="28"/>
      <c r="HMX32" s="28"/>
      <c r="HMY32" s="28"/>
      <c r="HMZ32" s="28"/>
      <c r="HNA32" s="28"/>
      <c r="HNB32" s="28"/>
      <c r="HNC32" s="28"/>
      <c r="HND32" s="28"/>
      <c r="HNE32" s="28"/>
      <c r="HNF32" s="28"/>
      <c r="HNG32" s="28"/>
      <c r="HNH32" s="28"/>
      <c r="HNI32" s="28"/>
      <c r="HNJ32" s="28"/>
      <c r="HNK32" s="28"/>
      <c r="HNL32" s="28"/>
      <c r="HNM32" s="28"/>
      <c r="HNN32" s="28"/>
      <c r="HNO32" s="28"/>
      <c r="HNP32" s="28"/>
      <c r="HNQ32" s="28"/>
      <c r="HNR32" s="28"/>
      <c r="HNS32" s="28"/>
      <c r="HNT32" s="28"/>
      <c r="HNU32" s="28"/>
      <c r="HNV32" s="28"/>
      <c r="HNW32" s="28"/>
      <c r="HNX32" s="28"/>
      <c r="HNY32" s="28"/>
      <c r="HNZ32" s="28"/>
      <c r="HOA32" s="28"/>
      <c r="HOB32" s="28"/>
      <c r="HOC32" s="28"/>
      <c r="HOD32" s="28"/>
      <c r="HOE32" s="28"/>
      <c r="HOF32" s="28"/>
      <c r="HOG32" s="28"/>
      <c r="HOH32" s="28"/>
      <c r="HOI32" s="28"/>
      <c r="HOJ32" s="28"/>
      <c r="HOK32" s="28"/>
      <c r="HOL32" s="28"/>
      <c r="HOM32" s="28"/>
      <c r="HON32" s="28"/>
      <c r="HOO32" s="28"/>
      <c r="HOP32" s="28"/>
      <c r="HOQ32" s="28"/>
      <c r="HOR32" s="28"/>
      <c r="HOS32" s="28"/>
      <c r="HOT32" s="28"/>
      <c r="HOU32" s="28"/>
      <c r="HOV32" s="28"/>
      <c r="HOW32" s="28"/>
      <c r="HOX32" s="28"/>
      <c r="HOY32" s="28"/>
      <c r="HOZ32" s="28"/>
      <c r="HPA32" s="28"/>
      <c r="HPB32" s="28"/>
      <c r="HPC32" s="28"/>
      <c r="HPD32" s="28"/>
      <c r="HPE32" s="28"/>
      <c r="HPF32" s="28"/>
      <c r="HPG32" s="28"/>
      <c r="HPH32" s="28"/>
      <c r="HPI32" s="28"/>
      <c r="HPJ32" s="28"/>
      <c r="HPK32" s="28"/>
      <c r="HPL32" s="28"/>
      <c r="HPM32" s="28"/>
      <c r="HPN32" s="28"/>
      <c r="HPO32" s="28"/>
      <c r="HPP32" s="28"/>
      <c r="HPQ32" s="28"/>
      <c r="HPR32" s="28"/>
      <c r="HPS32" s="28"/>
      <c r="HPT32" s="28"/>
      <c r="HPU32" s="28"/>
      <c r="HPV32" s="28"/>
      <c r="HPW32" s="28"/>
      <c r="HPX32" s="28"/>
      <c r="HPY32" s="28"/>
      <c r="HPZ32" s="28"/>
      <c r="HQA32" s="28"/>
      <c r="HQB32" s="28"/>
      <c r="HQC32" s="28"/>
      <c r="HQD32" s="28"/>
      <c r="HQE32" s="28"/>
      <c r="HQF32" s="28"/>
      <c r="HQG32" s="28"/>
      <c r="HQH32" s="28"/>
      <c r="HQI32" s="28"/>
      <c r="HQJ32" s="28"/>
      <c r="HQK32" s="28"/>
      <c r="HQL32" s="28"/>
      <c r="HQM32" s="28"/>
      <c r="HQN32" s="28"/>
      <c r="HQO32" s="28"/>
      <c r="HQP32" s="28"/>
      <c r="HQQ32" s="28"/>
      <c r="HQR32" s="28"/>
      <c r="HQS32" s="28"/>
      <c r="HQT32" s="28"/>
      <c r="HQU32" s="28"/>
      <c r="HQV32" s="28"/>
      <c r="HQW32" s="28"/>
      <c r="HQX32" s="28"/>
      <c r="HQY32" s="28"/>
      <c r="HQZ32" s="28"/>
      <c r="HRA32" s="28"/>
      <c r="HRB32" s="28"/>
      <c r="HRC32" s="28"/>
      <c r="HRD32" s="28"/>
      <c r="HRE32" s="28"/>
      <c r="HRF32" s="28"/>
      <c r="HRG32" s="28"/>
      <c r="HRH32" s="28"/>
      <c r="HRI32" s="28"/>
      <c r="HRJ32" s="28"/>
      <c r="HRK32" s="28"/>
      <c r="HRL32" s="28"/>
      <c r="HRM32" s="28"/>
      <c r="HRN32" s="28"/>
      <c r="HRO32" s="28"/>
      <c r="HRP32" s="28"/>
      <c r="HRQ32" s="28"/>
      <c r="HRR32" s="28"/>
      <c r="HRS32" s="28"/>
      <c r="HRT32" s="28"/>
      <c r="HRU32" s="28"/>
      <c r="HRV32" s="28"/>
      <c r="HRW32" s="28"/>
      <c r="HRX32" s="28"/>
      <c r="HRY32" s="28"/>
      <c r="HRZ32" s="28"/>
      <c r="HSA32" s="28"/>
      <c r="HSB32" s="28"/>
      <c r="HSC32" s="28"/>
      <c r="HSD32" s="28"/>
      <c r="HSE32" s="28"/>
      <c r="HSF32" s="28"/>
      <c r="HSG32" s="28"/>
      <c r="HSH32" s="28"/>
      <c r="HSI32" s="28"/>
      <c r="HSJ32" s="28"/>
      <c r="HSK32" s="28"/>
      <c r="HSL32" s="28"/>
      <c r="HSM32" s="28"/>
      <c r="HSN32" s="28"/>
      <c r="HSO32" s="28"/>
      <c r="HSP32" s="28"/>
      <c r="HSQ32" s="28"/>
      <c r="HSR32" s="28"/>
      <c r="HSS32" s="28"/>
      <c r="HST32" s="28"/>
      <c r="HSU32" s="28"/>
      <c r="HSV32" s="28"/>
      <c r="HSW32" s="28"/>
      <c r="HSX32" s="28"/>
      <c r="HSY32" s="28"/>
      <c r="HSZ32" s="28"/>
      <c r="HTA32" s="28"/>
      <c r="HTB32" s="28"/>
      <c r="HTC32" s="28"/>
      <c r="HTD32" s="28"/>
      <c r="HTE32" s="28"/>
      <c r="HTF32" s="28"/>
      <c r="HTG32" s="28"/>
      <c r="HTH32" s="28"/>
      <c r="HTI32" s="28"/>
      <c r="HTJ32" s="28"/>
      <c r="HTK32" s="28"/>
      <c r="HTL32" s="28"/>
      <c r="HTM32" s="28"/>
      <c r="HTN32" s="28"/>
      <c r="HTO32" s="28"/>
      <c r="HTP32" s="28"/>
      <c r="HTQ32" s="28"/>
      <c r="HTR32" s="28"/>
      <c r="HTS32" s="28"/>
      <c r="HTT32" s="28"/>
      <c r="HTU32" s="28"/>
      <c r="HTV32" s="28"/>
      <c r="HTW32" s="28"/>
      <c r="HTX32" s="28"/>
      <c r="HTY32" s="28"/>
      <c r="HTZ32" s="28"/>
      <c r="HUA32" s="28"/>
      <c r="HUB32" s="28"/>
      <c r="HUC32" s="28"/>
      <c r="HUD32" s="28"/>
      <c r="HUE32" s="28"/>
      <c r="HUF32" s="28"/>
      <c r="HUG32" s="28"/>
      <c r="HUH32" s="28"/>
      <c r="HUI32" s="28"/>
      <c r="HUJ32" s="28"/>
      <c r="HUK32" s="28"/>
      <c r="HUL32" s="28"/>
      <c r="HUM32" s="28"/>
      <c r="HUN32" s="28"/>
      <c r="HUO32" s="28"/>
      <c r="HUP32" s="28"/>
      <c r="HUQ32" s="28"/>
      <c r="HUR32" s="28"/>
      <c r="HUS32" s="28"/>
      <c r="HUT32" s="28"/>
      <c r="HUU32" s="28"/>
      <c r="HUV32" s="28"/>
      <c r="HUW32" s="28"/>
      <c r="HUX32" s="28"/>
      <c r="HUY32" s="28"/>
      <c r="HUZ32" s="28"/>
      <c r="HVA32" s="28"/>
      <c r="HVB32" s="28"/>
      <c r="HVC32" s="28"/>
      <c r="HVD32" s="28"/>
      <c r="HVE32" s="28"/>
      <c r="HVF32" s="28"/>
      <c r="HVG32" s="28"/>
      <c r="HVH32" s="28"/>
      <c r="HVI32" s="28"/>
      <c r="HVJ32" s="28"/>
      <c r="HVK32" s="28"/>
      <c r="HVL32" s="28"/>
      <c r="HVM32" s="28"/>
      <c r="HVN32" s="28"/>
      <c r="HVO32" s="28"/>
      <c r="HVP32" s="28"/>
      <c r="HVQ32" s="28"/>
      <c r="HVR32" s="28"/>
      <c r="HVS32" s="28"/>
      <c r="HVT32" s="28"/>
      <c r="HVU32" s="28"/>
      <c r="HVV32" s="28"/>
      <c r="HVW32" s="28"/>
      <c r="HVX32" s="28"/>
      <c r="HVY32" s="28"/>
      <c r="HVZ32" s="28"/>
      <c r="HWA32" s="28"/>
      <c r="HWB32" s="28"/>
      <c r="HWC32" s="28"/>
      <c r="HWD32" s="28"/>
      <c r="HWE32" s="28"/>
      <c r="HWF32" s="28"/>
      <c r="HWG32" s="28"/>
      <c r="HWH32" s="28"/>
      <c r="HWI32" s="28"/>
      <c r="HWJ32" s="28"/>
      <c r="HWK32" s="28"/>
      <c r="HWL32" s="28"/>
      <c r="HWM32" s="28"/>
      <c r="HWN32" s="28"/>
      <c r="HWO32" s="28"/>
      <c r="HWP32" s="28"/>
      <c r="HWQ32" s="28"/>
      <c r="HWR32" s="28"/>
      <c r="HWS32" s="28"/>
      <c r="HWT32" s="28"/>
      <c r="HWU32" s="28"/>
      <c r="HWV32" s="28"/>
      <c r="HWW32" s="28"/>
      <c r="HWX32" s="28"/>
      <c r="HWY32" s="28"/>
      <c r="HWZ32" s="28"/>
      <c r="HXA32" s="28"/>
      <c r="HXB32" s="28"/>
      <c r="HXC32" s="28"/>
      <c r="HXD32" s="28"/>
      <c r="HXE32" s="28"/>
      <c r="HXF32" s="28"/>
      <c r="HXG32" s="28"/>
      <c r="HXH32" s="28"/>
      <c r="HXI32" s="28"/>
      <c r="HXJ32" s="28"/>
      <c r="HXK32" s="28"/>
      <c r="HXL32" s="28"/>
      <c r="HXM32" s="28"/>
      <c r="HXN32" s="28"/>
      <c r="HXO32" s="28"/>
      <c r="HXP32" s="28"/>
      <c r="HXQ32" s="28"/>
      <c r="HXR32" s="28"/>
      <c r="HXS32" s="28"/>
      <c r="HXT32" s="28"/>
      <c r="HXU32" s="28"/>
      <c r="HXV32" s="28"/>
      <c r="HXW32" s="28"/>
      <c r="HXX32" s="28"/>
      <c r="HXY32" s="28"/>
      <c r="HXZ32" s="28"/>
      <c r="HYA32" s="28"/>
      <c r="HYB32" s="28"/>
      <c r="HYC32" s="28"/>
      <c r="HYD32" s="28"/>
      <c r="HYE32" s="28"/>
      <c r="HYF32" s="28"/>
      <c r="HYG32" s="28"/>
      <c r="HYH32" s="28"/>
      <c r="HYI32" s="28"/>
      <c r="HYJ32" s="28"/>
      <c r="HYK32" s="28"/>
      <c r="HYL32" s="28"/>
      <c r="HYM32" s="28"/>
      <c r="HYN32" s="28"/>
      <c r="HYO32" s="28"/>
      <c r="HYP32" s="28"/>
      <c r="HYQ32" s="28"/>
      <c r="HYR32" s="28"/>
      <c r="HYS32" s="28"/>
      <c r="HYT32" s="28"/>
      <c r="HYU32" s="28"/>
      <c r="HYV32" s="28"/>
      <c r="HYW32" s="28"/>
      <c r="HYX32" s="28"/>
      <c r="HYY32" s="28"/>
      <c r="HYZ32" s="28"/>
      <c r="HZA32" s="28"/>
      <c r="HZB32" s="28"/>
      <c r="HZC32" s="28"/>
      <c r="HZD32" s="28"/>
      <c r="HZE32" s="28"/>
      <c r="HZF32" s="28"/>
      <c r="HZG32" s="28"/>
      <c r="HZH32" s="28"/>
      <c r="HZI32" s="28"/>
      <c r="HZJ32" s="28"/>
      <c r="HZK32" s="28"/>
      <c r="HZL32" s="28"/>
      <c r="HZM32" s="28"/>
      <c r="HZN32" s="28"/>
      <c r="HZO32" s="28"/>
      <c r="HZP32" s="28"/>
      <c r="HZQ32" s="28"/>
      <c r="HZR32" s="28"/>
      <c r="HZS32" s="28"/>
      <c r="HZT32" s="28"/>
      <c r="HZU32" s="28"/>
      <c r="HZV32" s="28"/>
      <c r="HZW32" s="28"/>
      <c r="HZX32" s="28"/>
      <c r="HZY32" s="28"/>
      <c r="HZZ32" s="28"/>
      <c r="IAA32" s="28"/>
      <c r="IAB32" s="28"/>
      <c r="IAC32" s="28"/>
      <c r="IAD32" s="28"/>
      <c r="IAE32" s="28"/>
      <c r="IAF32" s="28"/>
      <c r="IAG32" s="28"/>
      <c r="IAH32" s="28"/>
      <c r="IAI32" s="28"/>
      <c r="IAJ32" s="28"/>
      <c r="IAK32" s="28"/>
      <c r="IAL32" s="28"/>
      <c r="IAM32" s="28"/>
      <c r="IAN32" s="28"/>
      <c r="IAO32" s="28"/>
      <c r="IAP32" s="28"/>
      <c r="IAQ32" s="28"/>
      <c r="IAR32" s="28"/>
      <c r="IAS32" s="28"/>
      <c r="IAT32" s="28"/>
      <c r="IAU32" s="28"/>
      <c r="IAV32" s="28"/>
      <c r="IAW32" s="28"/>
      <c r="IAX32" s="28"/>
      <c r="IAY32" s="28"/>
      <c r="IAZ32" s="28"/>
      <c r="IBA32" s="28"/>
      <c r="IBB32" s="28"/>
      <c r="IBC32" s="28"/>
      <c r="IBD32" s="28"/>
      <c r="IBE32" s="28"/>
      <c r="IBF32" s="28"/>
      <c r="IBG32" s="28"/>
      <c r="IBH32" s="28"/>
      <c r="IBI32" s="28"/>
      <c r="IBJ32" s="28"/>
      <c r="IBK32" s="28"/>
      <c r="IBL32" s="28"/>
      <c r="IBM32" s="28"/>
      <c r="IBN32" s="28"/>
      <c r="IBO32" s="28"/>
      <c r="IBP32" s="28"/>
      <c r="IBQ32" s="28"/>
      <c r="IBR32" s="28"/>
      <c r="IBS32" s="28"/>
      <c r="IBT32" s="28"/>
      <c r="IBU32" s="28"/>
      <c r="IBV32" s="28"/>
      <c r="IBW32" s="28"/>
      <c r="IBX32" s="28"/>
      <c r="IBY32" s="28"/>
      <c r="IBZ32" s="28"/>
      <c r="ICA32" s="28"/>
      <c r="ICB32" s="28"/>
      <c r="ICC32" s="28"/>
      <c r="ICD32" s="28"/>
      <c r="ICE32" s="28"/>
      <c r="ICF32" s="28"/>
      <c r="ICG32" s="28"/>
      <c r="ICH32" s="28"/>
      <c r="ICI32" s="28"/>
      <c r="ICJ32" s="28"/>
      <c r="ICK32" s="28"/>
      <c r="ICL32" s="28"/>
      <c r="ICM32" s="28"/>
      <c r="ICN32" s="28"/>
      <c r="ICO32" s="28"/>
      <c r="ICP32" s="28"/>
      <c r="ICQ32" s="28"/>
      <c r="ICR32" s="28"/>
      <c r="ICS32" s="28"/>
      <c r="ICT32" s="28"/>
      <c r="ICU32" s="28"/>
      <c r="ICV32" s="28"/>
      <c r="ICW32" s="28"/>
      <c r="ICX32" s="28"/>
      <c r="ICY32" s="28"/>
      <c r="ICZ32" s="28"/>
      <c r="IDA32" s="28"/>
      <c r="IDB32" s="28"/>
      <c r="IDC32" s="28"/>
      <c r="IDD32" s="28"/>
      <c r="IDE32" s="28"/>
      <c r="IDF32" s="28"/>
      <c r="IDG32" s="28"/>
      <c r="IDH32" s="28"/>
      <c r="IDI32" s="28"/>
      <c r="IDJ32" s="28"/>
      <c r="IDK32" s="28"/>
      <c r="IDL32" s="28"/>
      <c r="IDM32" s="28"/>
      <c r="IDN32" s="28"/>
      <c r="IDO32" s="28"/>
      <c r="IDP32" s="28"/>
      <c r="IDQ32" s="28"/>
      <c r="IDR32" s="28"/>
      <c r="IDS32" s="28"/>
      <c r="IDT32" s="28"/>
      <c r="IDU32" s="28"/>
      <c r="IDV32" s="28"/>
      <c r="IDW32" s="28"/>
      <c r="IDX32" s="28"/>
      <c r="IDY32" s="28"/>
      <c r="IDZ32" s="28"/>
      <c r="IEA32" s="28"/>
      <c r="IEB32" s="28"/>
      <c r="IEC32" s="28"/>
      <c r="IED32" s="28"/>
      <c r="IEE32" s="28"/>
      <c r="IEF32" s="28"/>
      <c r="IEG32" s="28"/>
      <c r="IEH32" s="28"/>
      <c r="IEI32" s="28"/>
      <c r="IEJ32" s="28"/>
      <c r="IEK32" s="28"/>
      <c r="IEL32" s="28"/>
      <c r="IEM32" s="28"/>
      <c r="IEN32" s="28"/>
      <c r="IEO32" s="28"/>
      <c r="IEP32" s="28"/>
      <c r="IEQ32" s="28"/>
      <c r="IER32" s="28"/>
      <c r="IES32" s="28"/>
      <c r="IET32" s="28"/>
      <c r="IEU32" s="28"/>
      <c r="IEV32" s="28"/>
      <c r="IEW32" s="28"/>
      <c r="IEX32" s="28"/>
      <c r="IEY32" s="28"/>
      <c r="IEZ32" s="28"/>
      <c r="IFA32" s="28"/>
      <c r="IFB32" s="28"/>
      <c r="IFC32" s="28"/>
      <c r="IFD32" s="28"/>
      <c r="IFE32" s="28"/>
      <c r="IFF32" s="28"/>
      <c r="IFG32" s="28"/>
      <c r="IFH32" s="28"/>
      <c r="IFI32" s="28"/>
      <c r="IFJ32" s="28"/>
      <c r="IFK32" s="28"/>
      <c r="IFL32" s="28"/>
      <c r="IFM32" s="28"/>
      <c r="IFN32" s="28"/>
      <c r="IFO32" s="28"/>
      <c r="IFP32" s="28"/>
      <c r="IFQ32" s="28"/>
      <c r="IFR32" s="28"/>
      <c r="IFS32" s="28"/>
      <c r="IFT32" s="28"/>
      <c r="IFU32" s="28"/>
      <c r="IFV32" s="28"/>
      <c r="IFW32" s="28"/>
      <c r="IFX32" s="28"/>
      <c r="IFY32" s="28"/>
      <c r="IFZ32" s="28"/>
      <c r="IGA32" s="28"/>
      <c r="IGB32" s="28"/>
      <c r="IGC32" s="28"/>
      <c r="IGD32" s="28"/>
      <c r="IGE32" s="28"/>
      <c r="IGF32" s="28"/>
      <c r="IGG32" s="28"/>
      <c r="IGH32" s="28"/>
      <c r="IGI32" s="28"/>
      <c r="IGJ32" s="28"/>
      <c r="IGK32" s="28"/>
      <c r="IGL32" s="28"/>
      <c r="IGM32" s="28"/>
      <c r="IGN32" s="28"/>
      <c r="IGO32" s="28"/>
      <c r="IGP32" s="28"/>
      <c r="IGQ32" s="28"/>
      <c r="IGR32" s="28"/>
      <c r="IGS32" s="28"/>
      <c r="IGT32" s="28"/>
      <c r="IGU32" s="28"/>
      <c r="IGV32" s="28"/>
      <c r="IGW32" s="28"/>
      <c r="IGX32" s="28"/>
      <c r="IGY32" s="28"/>
      <c r="IGZ32" s="28"/>
      <c r="IHA32" s="28"/>
      <c r="IHB32" s="28"/>
      <c r="IHC32" s="28"/>
      <c r="IHD32" s="28"/>
      <c r="IHE32" s="28"/>
      <c r="IHF32" s="28"/>
      <c r="IHG32" s="28"/>
      <c r="IHH32" s="28"/>
      <c r="IHI32" s="28"/>
      <c r="IHJ32" s="28"/>
      <c r="IHK32" s="28"/>
      <c r="IHL32" s="28"/>
      <c r="IHM32" s="28"/>
      <c r="IHN32" s="28"/>
      <c r="IHO32" s="28"/>
      <c r="IHP32" s="28"/>
      <c r="IHQ32" s="28"/>
      <c r="IHR32" s="28"/>
      <c r="IHS32" s="28"/>
      <c r="IHT32" s="28"/>
      <c r="IHU32" s="28"/>
      <c r="IHV32" s="28"/>
      <c r="IHW32" s="28"/>
      <c r="IHX32" s="28"/>
      <c r="IHY32" s="28"/>
      <c r="IHZ32" s="28"/>
      <c r="IIA32" s="28"/>
      <c r="IIB32" s="28"/>
      <c r="IIC32" s="28"/>
      <c r="IID32" s="28"/>
      <c r="IIE32" s="28"/>
      <c r="IIF32" s="28"/>
      <c r="IIG32" s="28"/>
      <c r="IIH32" s="28"/>
      <c r="III32" s="28"/>
      <c r="IIJ32" s="28"/>
      <c r="IIK32" s="28"/>
      <c r="IIL32" s="28"/>
      <c r="IIM32" s="28"/>
      <c r="IIN32" s="28"/>
      <c r="IIO32" s="28"/>
      <c r="IIP32" s="28"/>
      <c r="IIQ32" s="28"/>
      <c r="IIR32" s="28"/>
      <c r="IIS32" s="28"/>
      <c r="IIT32" s="28"/>
      <c r="IIU32" s="28"/>
      <c r="IIV32" s="28"/>
      <c r="IIW32" s="28"/>
      <c r="IIX32" s="28"/>
      <c r="IIY32" s="28"/>
      <c r="IIZ32" s="28"/>
      <c r="IJA32" s="28"/>
      <c r="IJB32" s="28"/>
      <c r="IJC32" s="28"/>
      <c r="IJD32" s="28"/>
      <c r="IJE32" s="28"/>
      <c r="IJF32" s="28"/>
      <c r="IJG32" s="28"/>
      <c r="IJH32" s="28"/>
      <c r="IJI32" s="28"/>
      <c r="IJJ32" s="28"/>
      <c r="IJK32" s="28"/>
      <c r="IJL32" s="28"/>
      <c r="IJM32" s="28"/>
      <c r="IJN32" s="28"/>
      <c r="IJO32" s="28"/>
      <c r="IJP32" s="28"/>
      <c r="IJQ32" s="28"/>
      <c r="IJR32" s="28"/>
      <c r="IJS32" s="28"/>
      <c r="IJT32" s="28"/>
      <c r="IJU32" s="28"/>
      <c r="IJV32" s="28"/>
      <c r="IJW32" s="28"/>
      <c r="IJX32" s="28"/>
      <c r="IJY32" s="28"/>
      <c r="IJZ32" s="28"/>
      <c r="IKA32" s="28"/>
      <c r="IKB32" s="28"/>
      <c r="IKC32" s="28"/>
      <c r="IKD32" s="28"/>
      <c r="IKE32" s="28"/>
      <c r="IKF32" s="28"/>
      <c r="IKG32" s="28"/>
      <c r="IKH32" s="28"/>
      <c r="IKI32" s="28"/>
      <c r="IKJ32" s="28"/>
      <c r="IKK32" s="28"/>
      <c r="IKL32" s="28"/>
      <c r="IKM32" s="28"/>
      <c r="IKN32" s="28"/>
      <c r="IKO32" s="28"/>
      <c r="IKP32" s="28"/>
      <c r="IKQ32" s="28"/>
      <c r="IKR32" s="28"/>
      <c r="IKS32" s="28"/>
      <c r="IKT32" s="28"/>
      <c r="IKU32" s="28"/>
      <c r="IKV32" s="28"/>
      <c r="IKW32" s="28"/>
      <c r="IKX32" s="28"/>
      <c r="IKY32" s="28"/>
      <c r="IKZ32" s="28"/>
      <c r="ILA32" s="28"/>
      <c r="ILB32" s="28"/>
      <c r="ILC32" s="28"/>
      <c r="ILD32" s="28"/>
      <c r="ILE32" s="28"/>
      <c r="ILF32" s="28"/>
      <c r="ILG32" s="28"/>
      <c r="ILH32" s="28"/>
      <c r="ILI32" s="28"/>
      <c r="ILJ32" s="28"/>
      <c r="ILK32" s="28"/>
      <c r="ILL32" s="28"/>
      <c r="ILM32" s="28"/>
      <c r="ILN32" s="28"/>
      <c r="ILO32" s="28"/>
      <c r="ILP32" s="28"/>
      <c r="ILQ32" s="28"/>
      <c r="ILR32" s="28"/>
      <c r="ILS32" s="28"/>
      <c r="ILT32" s="28"/>
      <c r="ILU32" s="28"/>
      <c r="ILV32" s="28"/>
      <c r="ILW32" s="28"/>
      <c r="ILX32" s="28"/>
      <c r="ILY32" s="28"/>
      <c r="ILZ32" s="28"/>
      <c r="IMA32" s="28"/>
      <c r="IMB32" s="28"/>
      <c r="IMC32" s="28"/>
      <c r="IMD32" s="28"/>
      <c r="IME32" s="28"/>
      <c r="IMF32" s="28"/>
      <c r="IMG32" s="28"/>
      <c r="IMH32" s="28"/>
      <c r="IMI32" s="28"/>
      <c r="IMJ32" s="28"/>
      <c r="IMK32" s="28"/>
      <c r="IML32" s="28"/>
      <c r="IMM32" s="28"/>
      <c r="IMN32" s="28"/>
      <c r="IMO32" s="28"/>
      <c r="IMP32" s="28"/>
      <c r="IMQ32" s="28"/>
      <c r="IMR32" s="28"/>
      <c r="IMS32" s="28"/>
      <c r="IMT32" s="28"/>
      <c r="IMU32" s="28"/>
      <c r="IMV32" s="28"/>
      <c r="IMW32" s="28"/>
      <c r="IMX32" s="28"/>
      <c r="IMY32" s="28"/>
      <c r="IMZ32" s="28"/>
      <c r="INA32" s="28"/>
      <c r="INB32" s="28"/>
      <c r="INC32" s="28"/>
      <c r="IND32" s="28"/>
      <c r="INE32" s="28"/>
      <c r="INF32" s="28"/>
      <c r="ING32" s="28"/>
      <c r="INH32" s="28"/>
      <c r="INI32" s="28"/>
      <c r="INJ32" s="28"/>
      <c r="INK32" s="28"/>
      <c r="INL32" s="28"/>
      <c r="INM32" s="28"/>
      <c r="INN32" s="28"/>
      <c r="INO32" s="28"/>
      <c r="INP32" s="28"/>
      <c r="INQ32" s="28"/>
      <c r="INR32" s="28"/>
      <c r="INS32" s="28"/>
      <c r="INT32" s="28"/>
      <c r="INU32" s="28"/>
      <c r="INV32" s="28"/>
      <c r="INW32" s="28"/>
      <c r="INX32" s="28"/>
      <c r="INY32" s="28"/>
      <c r="INZ32" s="28"/>
      <c r="IOA32" s="28"/>
      <c r="IOB32" s="28"/>
      <c r="IOC32" s="28"/>
      <c r="IOD32" s="28"/>
      <c r="IOE32" s="28"/>
      <c r="IOF32" s="28"/>
      <c r="IOG32" s="28"/>
      <c r="IOH32" s="28"/>
      <c r="IOI32" s="28"/>
      <c r="IOJ32" s="28"/>
      <c r="IOK32" s="28"/>
      <c r="IOL32" s="28"/>
      <c r="IOM32" s="28"/>
      <c r="ION32" s="28"/>
      <c r="IOO32" s="28"/>
      <c r="IOP32" s="28"/>
      <c r="IOQ32" s="28"/>
      <c r="IOR32" s="28"/>
      <c r="IOS32" s="28"/>
      <c r="IOT32" s="28"/>
      <c r="IOU32" s="28"/>
      <c r="IOV32" s="28"/>
      <c r="IOW32" s="28"/>
      <c r="IOX32" s="28"/>
      <c r="IOY32" s="28"/>
      <c r="IOZ32" s="28"/>
      <c r="IPA32" s="28"/>
      <c r="IPB32" s="28"/>
      <c r="IPC32" s="28"/>
      <c r="IPD32" s="28"/>
      <c r="IPE32" s="28"/>
      <c r="IPF32" s="28"/>
      <c r="IPG32" s="28"/>
      <c r="IPH32" s="28"/>
      <c r="IPI32" s="28"/>
      <c r="IPJ32" s="28"/>
      <c r="IPK32" s="28"/>
      <c r="IPL32" s="28"/>
      <c r="IPM32" s="28"/>
      <c r="IPN32" s="28"/>
      <c r="IPO32" s="28"/>
      <c r="IPP32" s="28"/>
      <c r="IPQ32" s="28"/>
      <c r="IPR32" s="28"/>
      <c r="IPS32" s="28"/>
      <c r="IPT32" s="28"/>
      <c r="IPU32" s="28"/>
      <c r="IPV32" s="28"/>
      <c r="IPW32" s="28"/>
      <c r="IPX32" s="28"/>
      <c r="IPY32" s="28"/>
      <c r="IPZ32" s="28"/>
      <c r="IQA32" s="28"/>
      <c r="IQB32" s="28"/>
      <c r="IQC32" s="28"/>
      <c r="IQD32" s="28"/>
      <c r="IQE32" s="28"/>
      <c r="IQF32" s="28"/>
      <c r="IQG32" s="28"/>
      <c r="IQH32" s="28"/>
      <c r="IQI32" s="28"/>
      <c r="IQJ32" s="28"/>
      <c r="IQK32" s="28"/>
      <c r="IQL32" s="28"/>
      <c r="IQM32" s="28"/>
      <c r="IQN32" s="28"/>
      <c r="IQO32" s="28"/>
      <c r="IQP32" s="28"/>
      <c r="IQQ32" s="28"/>
      <c r="IQR32" s="28"/>
      <c r="IQS32" s="28"/>
      <c r="IQT32" s="28"/>
      <c r="IQU32" s="28"/>
      <c r="IQV32" s="28"/>
      <c r="IQW32" s="28"/>
      <c r="IQX32" s="28"/>
      <c r="IQY32" s="28"/>
      <c r="IQZ32" s="28"/>
      <c r="IRA32" s="28"/>
      <c r="IRB32" s="28"/>
      <c r="IRC32" s="28"/>
      <c r="IRD32" s="28"/>
      <c r="IRE32" s="28"/>
      <c r="IRF32" s="28"/>
      <c r="IRG32" s="28"/>
      <c r="IRH32" s="28"/>
      <c r="IRI32" s="28"/>
      <c r="IRJ32" s="28"/>
      <c r="IRK32" s="28"/>
      <c r="IRL32" s="28"/>
      <c r="IRM32" s="28"/>
      <c r="IRN32" s="28"/>
      <c r="IRO32" s="28"/>
      <c r="IRP32" s="28"/>
      <c r="IRQ32" s="28"/>
      <c r="IRR32" s="28"/>
      <c r="IRS32" s="28"/>
      <c r="IRT32" s="28"/>
      <c r="IRU32" s="28"/>
      <c r="IRV32" s="28"/>
      <c r="IRW32" s="28"/>
      <c r="IRX32" s="28"/>
      <c r="IRY32" s="28"/>
      <c r="IRZ32" s="28"/>
      <c r="ISA32" s="28"/>
      <c r="ISB32" s="28"/>
      <c r="ISC32" s="28"/>
      <c r="ISD32" s="28"/>
      <c r="ISE32" s="28"/>
      <c r="ISF32" s="28"/>
      <c r="ISG32" s="28"/>
      <c r="ISH32" s="28"/>
      <c r="ISI32" s="28"/>
      <c r="ISJ32" s="28"/>
      <c r="ISK32" s="28"/>
      <c r="ISL32" s="28"/>
      <c r="ISM32" s="28"/>
      <c r="ISN32" s="28"/>
      <c r="ISO32" s="28"/>
      <c r="ISP32" s="28"/>
      <c r="ISQ32" s="28"/>
      <c r="ISR32" s="28"/>
      <c r="ISS32" s="28"/>
      <c r="IST32" s="28"/>
      <c r="ISU32" s="28"/>
      <c r="ISV32" s="28"/>
      <c r="ISW32" s="28"/>
      <c r="ISX32" s="28"/>
      <c r="ISY32" s="28"/>
      <c r="ISZ32" s="28"/>
      <c r="ITA32" s="28"/>
      <c r="ITB32" s="28"/>
      <c r="ITC32" s="28"/>
      <c r="ITD32" s="28"/>
      <c r="ITE32" s="28"/>
      <c r="ITF32" s="28"/>
      <c r="ITG32" s="28"/>
      <c r="ITH32" s="28"/>
      <c r="ITI32" s="28"/>
      <c r="ITJ32" s="28"/>
      <c r="ITK32" s="28"/>
      <c r="ITL32" s="28"/>
      <c r="ITM32" s="28"/>
      <c r="ITN32" s="28"/>
      <c r="ITO32" s="28"/>
      <c r="ITP32" s="28"/>
      <c r="ITQ32" s="28"/>
      <c r="ITR32" s="28"/>
      <c r="ITS32" s="28"/>
      <c r="ITT32" s="28"/>
      <c r="ITU32" s="28"/>
      <c r="ITV32" s="28"/>
      <c r="ITW32" s="28"/>
      <c r="ITX32" s="28"/>
      <c r="ITY32" s="28"/>
      <c r="ITZ32" s="28"/>
      <c r="IUA32" s="28"/>
      <c r="IUB32" s="28"/>
      <c r="IUC32" s="28"/>
      <c r="IUD32" s="28"/>
      <c r="IUE32" s="28"/>
      <c r="IUF32" s="28"/>
      <c r="IUG32" s="28"/>
      <c r="IUH32" s="28"/>
      <c r="IUI32" s="28"/>
      <c r="IUJ32" s="28"/>
      <c r="IUK32" s="28"/>
      <c r="IUL32" s="28"/>
      <c r="IUM32" s="28"/>
      <c r="IUN32" s="28"/>
      <c r="IUO32" s="28"/>
      <c r="IUP32" s="28"/>
      <c r="IUQ32" s="28"/>
      <c r="IUR32" s="28"/>
      <c r="IUS32" s="28"/>
      <c r="IUT32" s="28"/>
      <c r="IUU32" s="28"/>
      <c r="IUV32" s="28"/>
      <c r="IUW32" s="28"/>
      <c r="IUX32" s="28"/>
      <c r="IUY32" s="28"/>
      <c r="IUZ32" s="28"/>
      <c r="IVA32" s="28"/>
      <c r="IVB32" s="28"/>
      <c r="IVC32" s="28"/>
      <c r="IVD32" s="28"/>
      <c r="IVE32" s="28"/>
      <c r="IVF32" s="28"/>
      <c r="IVG32" s="28"/>
      <c r="IVH32" s="28"/>
      <c r="IVI32" s="28"/>
      <c r="IVJ32" s="28"/>
      <c r="IVK32" s="28"/>
      <c r="IVL32" s="28"/>
      <c r="IVM32" s="28"/>
      <c r="IVN32" s="28"/>
      <c r="IVO32" s="28"/>
      <c r="IVP32" s="28"/>
      <c r="IVQ32" s="28"/>
      <c r="IVR32" s="28"/>
      <c r="IVS32" s="28"/>
      <c r="IVT32" s="28"/>
      <c r="IVU32" s="28"/>
      <c r="IVV32" s="28"/>
      <c r="IVW32" s="28"/>
      <c r="IVX32" s="28"/>
      <c r="IVY32" s="28"/>
      <c r="IVZ32" s="28"/>
      <c r="IWA32" s="28"/>
      <c r="IWB32" s="28"/>
      <c r="IWC32" s="28"/>
      <c r="IWD32" s="28"/>
      <c r="IWE32" s="28"/>
      <c r="IWF32" s="28"/>
      <c r="IWG32" s="28"/>
      <c r="IWH32" s="28"/>
      <c r="IWI32" s="28"/>
      <c r="IWJ32" s="28"/>
      <c r="IWK32" s="28"/>
      <c r="IWL32" s="28"/>
      <c r="IWM32" s="28"/>
      <c r="IWN32" s="28"/>
      <c r="IWO32" s="28"/>
      <c r="IWP32" s="28"/>
      <c r="IWQ32" s="28"/>
      <c r="IWR32" s="28"/>
      <c r="IWS32" s="28"/>
      <c r="IWT32" s="28"/>
      <c r="IWU32" s="28"/>
      <c r="IWV32" s="28"/>
      <c r="IWW32" s="28"/>
      <c r="IWX32" s="28"/>
      <c r="IWY32" s="28"/>
      <c r="IWZ32" s="28"/>
      <c r="IXA32" s="28"/>
      <c r="IXB32" s="28"/>
      <c r="IXC32" s="28"/>
      <c r="IXD32" s="28"/>
      <c r="IXE32" s="28"/>
      <c r="IXF32" s="28"/>
      <c r="IXG32" s="28"/>
      <c r="IXH32" s="28"/>
      <c r="IXI32" s="28"/>
      <c r="IXJ32" s="28"/>
      <c r="IXK32" s="28"/>
      <c r="IXL32" s="28"/>
      <c r="IXM32" s="28"/>
      <c r="IXN32" s="28"/>
      <c r="IXO32" s="28"/>
      <c r="IXP32" s="28"/>
      <c r="IXQ32" s="28"/>
      <c r="IXR32" s="28"/>
      <c r="IXS32" s="28"/>
      <c r="IXT32" s="28"/>
      <c r="IXU32" s="28"/>
      <c r="IXV32" s="28"/>
      <c r="IXW32" s="28"/>
      <c r="IXX32" s="28"/>
      <c r="IXY32" s="28"/>
      <c r="IXZ32" s="28"/>
      <c r="IYA32" s="28"/>
      <c r="IYB32" s="28"/>
      <c r="IYC32" s="28"/>
      <c r="IYD32" s="28"/>
      <c r="IYE32" s="28"/>
      <c r="IYF32" s="28"/>
      <c r="IYG32" s="28"/>
      <c r="IYH32" s="28"/>
      <c r="IYI32" s="28"/>
      <c r="IYJ32" s="28"/>
      <c r="IYK32" s="28"/>
      <c r="IYL32" s="28"/>
      <c r="IYM32" s="28"/>
      <c r="IYN32" s="28"/>
      <c r="IYO32" s="28"/>
      <c r="IYP32" s="28"/>
      <c r="IYQ32" s="28"/>
      <c r="IYR32" s="28"/>
      <c r="IYS32" s="28"/>
      <c r="IYT32" s="28"/>
      <c r="IYU32" s="28"/>
      <c r="IYV32" s="28"/>
      <c r="IYW32" s="28"/>
      <c r="IYX32" s="28"/>
      <c r="IYY32" s="28"/>
      <c r="IYZ32" s="28"/>
      <c r="IZA32" s="28"/>
      <c r="IZB32" s="28"/>
      <c r="IZC32" s="28"/>
      <c r="IZD32" s="28"/>
      <c r="IZE32" s="28"/>
      <c r="IZF32" s="28"/>
      <c r="IZG32" s="28"/>
      <c r="IZH32" s="28"/>
      <c r="IZI32" s="28"/>
      <c r="IZJ32" s="28"/>
      <c r="IZK32" s="28"/>
      <c r="IZL32" s="28"/>
      <c r="IZM32" s="28"/>
      <c r="IZN32" s="28"/>
      <c r="IZO32" s="28"/>
      <c r="IZP32" s="28"/>
      <c r="IZQ32" s="28"/>
      <c r="IZR32" s="28"/>
      <c r="IZS32" s="28"/>
      <c r="IZT32" s="28"/>
      <c r="IZU32" s="28"/>
      <c r="IZV32" s="28"/>
      <c r="IZW32" s="28"/>
      <c r="IZX32" s="28"/>
      <c r="IZY32" s="28"/>
      <c r="IZZ32" s="28"/>
      <c r="JAA32" s="28"/>
      <c r="JAB32" s="28"/>
      <c r="JAC32" s="28"/>
      <c r="JAD32" s="28"/>
      <c r="JAE32" s="28"/>
      <c r="JAF32" s="28"/>
      <c r="JAG32" s="28"/>
      <c r="JAH32" s="28"/>
      <c r="JAI32" s="28"/>
      <c r="JAJ32" s="28"/>
      <c r="JAK32" s="28"/>
      <c r="JAL32" s="28"/>
      <c r="JAM32" s="28"/>
      <c r="JAN32" s="28"/>
      <c r="JAO32" s="28"/>
      <c r="JAP32" s="28"/>
      <c r="JAQ32" s="28"/>
      <c r="JAR32" s="28"/>
      <c r="JAS32" s="28"/>
      <c r="JAT32" s="28"/>
      <c r="JAU32" s="28"/>
      <c r="JAV32" s="28"/>
      <c r="JAW32" s="28"/>
      <c r="JAX32" s="28"/>
      <c r="JAY32" s="28"/>
      <c r="JAZ32" s="28"/>
      <c r="JBA32" s="28"/>
      <c r="JBB32" s="28"/>
      <c r="JBC32" s="28"/>
      <c r="JBD32" s="28"/>
      <c r="JBE32" s="28"/>
      <c r="JBF32" s="28"/>
      <c r="JBG32" s="28"/>
      <c r="JBH32" s="28"/>
      <c r="JBI32" s="28"/>
      <c r="JBJ32" s="28"/>
      <c r="JBK32" s="28"/>
      <c r="JBL32" s="28"/>
      <c r="JBM32" s="28"/>
      <c r="JBN32" s="28"/>
      <c r="JBO32" s="28"/>
      <c r="JBP32" s="28"/>
      <c r="JBQ32" s="28"/>
      <c r="JBR32" s="28"/>
      <c r="JBS32" s="28"/>
      <c r="JBT32" s="28"/>
      <c r="JBU32" s="28"/>
      <c r="JBV32" s="28"/>
      <c r="JBW32" s="28"/>
      <c r="JBX32" s="28"/>
      <c r="JBY32" s="28"/>
      <c r="JBZ32" s="28"/>
      <c r="JCA32" s="28"/>
      <c r="JCB32" s="28"/>
      <c r="JCC32" s="28"/>
      <c r="JCD32" s="28"/>
      <c r="JCE32" s="28"/>
      <c r="JCF32" s="28"/>
      <c r="JCG32" s="28"/>
      <c r="JCH32" s="28"/>
      <c r="JCI32" s="28"/>
      <c r="JCJ32" s="28"/>
      <c r="JCK32" s="28"/>
      <c r="JCL32" s="28"/>
      <c r="JCM32" s="28"/>
      <c r="JCN32" s="28"/>
      <c r="JCO32" s="28"/>
      <c r="JCP32" s="28"/>
      <c r="JCQ32" s="28"/>
      <c r="JCR32" s="28"/>
      <c r="JCS32" s="28"/>
      <c r="JCT32" s="28"/>
      <c r="JCU32" s="28"/>
      <c r="JCV32" s="28"/>
      <c r="JCW32" s="28"/>
      <c r="JCX32" s="28"/>
      <c r="JCY32" s="28"/>
      <c r="JCZ32" s="28"/>
      <c r="JDA32" s="28"/>
      <c r="JDB32" s="28"/>
      <c r="JDC32" s="28"/>
      <c r="JDD32" s="28"/>
      <c r="JDE32" s="28"/>
      <c r="JDF32" s="28"/>
      <c r="JDG32" s="28"/>
      <c r="JDH32" s="28"/>
      <c r="JDI32" s="28"/>
      <c r="JDJ32" s="28"/>
      <c r="JDK32" s="28"/>
      <c r="JDL32" s="28"/>
      <c r="JDM32" s="28"/>
      <c r="JDN32" s="28"/>
      <c r="JDO32" s="28"/>
      <c r="JDP32" s="28"/>
      <c r="JDQ32" s="28"/>
      <c r="JDR32" s="28"/>
      <c r="JDS32" s="28"/>
      <c r="JDT32" s="28"/>
      <c r="JDU32" s="28"/>
      <c r="JDV32" s="28"/>
      <c r="JDW32" s="28"/>
      <c r="JDX32" s="28"/>
      <c r="JDY32" s="28"/>
      <c r="JDZ32" s="28"/>
      <c r="JEA32" s="28"/>
      <c r="JEB32" s="28"/>
      <c r="JEC32" s="28"/>
      <c r="JED32" s="28"/>
      <c r="JEE32" s="28"/>
      <c r="JEF32" s="28"/>
      <c r="JEG32" s="28"/>
      <c r="JEH32" s="28"/>
      <c r="JEI32" s="28"/>
      <c r="JEJ32" s="28"/>
      <c r="JEK32" s="28"/>
      <c r="JEL32" s="28"/>
      <c r="JEM32" s="28"/>
      <c r="JEN32" s="28"/>
      <c r="JEO32" s="28"/>
      <c r="JEP32" s="28"/>
      <c r="JEQ32" s="28"/>
      <c r="JER32" s="28"/>
      <c r="JES32" s="28"/>
      <c r="JET32" s="28"/>
      <c r="JEU32" s="28"/>
      <c r="JEV32" s="28"/>
      <c r="JEW32" s="28"/>
      <c r="JEX32" s="28"/>
      <c r="JEY32" s="28"/>
      <c r="JEZ32" s="28"/>
      <c r="JFA32" s="28"/>
      <c r="JFB32" s="28"/>
      <c r="JFC32" s="28"/>
      <c r="JFD32" s="28"/>
      <c r="JFE32" s="28"/>
      <c r="JFF32" s="28"/>
      <c r="JFG32" s="28"/>
      <c r="JFH32" s="28"/>
      <c r="JFI32" s="28"/>
      <c r="JFJ32" s="28"/>
      <c r="JFK32" s="28"/>
      <c r="JFL32" s="28"/>
      <c r="JFM32" s="28"/>
      <c r="JFN32" s="28"/>
      <c r="JFO32" s="28"/>
      <c r="JFP32" s="28"/>
      <c r="JFQ32" s="28"/>
      <c r="JFR32" s="28"/>
      <c r="JFS32" s="28"/>
      <c r="JFT32" s="28"/>
      <c r="JFU32" s="28"/>
      <c r="JFV32" s="28"/>
      <c r="JFW32" s="28"/>
      <c r="JFX32" s="28"/>
      <c r="JFY32" s="28"/>
      <c r="JFZ32" s="28"/>
      <c r="JGA32" s="28"/>
      <c r="JGB32" s="28"/>
      <c r="JGC32" s="28"/>
      <c r="JGD32" s="28"/>
      <c r="JGE32" s="28"/>
      <c r="JGF32" s="28"/>
      <c r="JGG32" s="28"/>
      <c r="JGH32" s="28"/>
      <c r="JGI32" s="28"/>
      <c r="JGJ32" s="28"/>
      <c r="JGK32" s="28"/>
      <c r="JGL32" s="28"/>
      <c r="JGM32" s="28"/>
      <c r="JGN32" s="28"/>
      <c r="JGO32" s="28"/>
      <c r="JGP32" s="28"/>
      <c r="JGQ32" s="28"/>
      <c r="JGR32" s="28"/>
      <c r="JGS32" s="28"/>
      <c r="JGT32" s="28"/>
      <c r="JGU32" s="28"/>
      <c r="JGV32" s="28"/>
      <c r="JGW32" s="28"/>
      <c r="JGX32" s="28"/>
      <c r="JGY32" s="28"/>
      <c r="JGZ32" s="28"/>
      <c r="JHA32" s="28"/>
      <c r="JHB32" s="28"/>
      <c r="JHC32" s="28"/>
      <c r="JHD32" s="28"/>
      <c r="JHE32" s="28"/>
      <c r="JHF32" s="28"/>
      <c r="JHG32" s="28"/>
      <c r="JHH32" s="28"/>
      <c r="JHI32" s="28"/>
      <c r="JHJ32" s="28"/>
      <c r="JHK32" s="28"/>
      <c r="JHL32" s="28"/>
      <c r="JHM32" s="28"/>
      <c r="JHN32" s="28"/>
      <c r="JHO32" s="28"/>
      <c r="JHP32" s="28"/>
      <c r="JHQ32" s="28"/>
      <c r="JHR32" s="28"/>
      <c r="JHS32" s="28"/>
      <c r="JHT32" s="28"/>
      <c r="JHU32" s="28"/>
      <c r="JHV32" s="28"/>
      <c r="JHW32" s="28"/>
      <c r="JHX32" s="28"/>
      <c r="JHY32" s="28"/>
      <c r="JHZ32" s="28"/>
      <c r="JIA32" s="28"/>
      <c r="JIB32" s="28"/>
      <c r="JIC32" s="28"/>
      <c r="JID32" s="28"/>
      <c r="JIE32" s="28"/>
      <c r="JIF32" s="28"/>
      <c r="JIG32" s="28"/>
      <c r="JIH32" s="28"/>
      <c r="JII32" s="28"/>
      <c r="JIJ32" s="28"/>
      <c r="JIK32" s="28"/>
      <c r="JIL32" s="28"/>
      <c r="JIM32" s="28"/>
      <c r="JIN32" s="28"/>
      <c r="JIO32" s="28"/>
      <c r="JIP32" s="28"/>
      <c r="JIQ32" s="28"/>
      <c r="JIR32" s="28"/>
      <c r="JIS32" s="28"/>
      <c r="JIT32" s="28"/>
      <c r="JIU32" s="28"/>
      <c r="JIV32" s="28"/>
      <c r="JIW32" s="28"/>
      <c r="JIX32" s="28"/>
      <c r="JIY32" s="28"/>
      <c r="JIZ32" s="28"/>
      <c r="JJA32" s="28"/>
      <c r="JJB32" s="28"/>
      <c r="JJC32" s="28"/>
      <c r="JJD32" s="28"/>
      <c r="JJE32" s="28"/>
      <c r="JJF32" s="28"/>
      <c r="JJG32" s="28"/>
      <c r="JJH32" s="28"/>
      <c r="JJI32" s="28"/>
      <c r="JJJ32" s="28"/>
      <c r="JJK32" s="28"/>
      <c r="JJL32" s="28"/>
      <c r="JJM32" s="28"/>
      <c r="JJN32" s="28"/>
      <c r="JJO32" s="28"/>
      <c r="JJP32" s="28"/>
      <c r="JJQ32" s="28"/>
      <c r="JJR32" s="28"/>
      <c r="JJS32" s="28"/>
      <c r="JJT32" s="28"/>
      <c r="JJU32" s="28"/>
      <c r="JJV32" s="28"/>
      <c r="JJW32" s="28"/>
      <c r="JJX32" s="28"/>
      <c r="JJY32" s="28"/>
      <c r="JJZ32" s="28"/>
      <c r="JKA32" s="28"/>
      <c r="JKB32" s="28"/>
      <c r="JKC32" s="28"/>
      <c r="JKD32" s="28"/>
      <c r="JKE32" s="28"/>
      <c r="JKF32" s="28"/>
      <c r="JKG32" s="28"/>
      <c r="JKH32" s="28"/>
      <c r="JKI32" s="28"/>
      <c r="JKJ32" s="28"/>
      <c r="JKK32" s="28"/>
      <c r="JKL32" s="28"/>
      <c r="JKM32" s="28"/>
      <c r="JKN32" s="28"/>
      <c r="JKO32" s="28"/>
      <c r="JKP32" s="28"/>
      <c r="JKQ32" s="28"/>
      <c r="JKR32" s="28"/>
      <c r="JKS32" s="28"/>
      <c r="JKT32" s="28"/>
      <c r="JKU32" s="28"/>
      <c r="JKV32" s="28"/>
      <c r="JKW32" s="28"/>
      <c r="JKX32" s="28"/>
      <c r="JKY32" s="28"/>
      <c r="JKZ32" s="28"/>
      <c r="JLA32" s="28"/>
      <c r="JLB32" s="28"/>
      <c r="JLC32" s="28"/>
      <c r="JLD32" s="28"/>
      <c r="JLE32" s="28"/>
      <c r="JLF32" s="28"/>
      <c r="JLG32" s="28"/>
      <c r="JLH32" s="28"/>
      <c r="JLI32" s="28"/>
      <c r="JLJ32" s="28"/>
      <c r="JLK32" s="28"/>
      <c r="JLL32" s="28"/>
      <c r="JLM32" s="28"/>
      <c r="JLN32" s="28"/>
      <c r="JLO32" s="28"/>
      <c r="JLP32" s="28"/>
      <c r="JLQ32" s="28"/>
      <c r="JLR32" s="28"/>
      <c r="JLS32" s="28"/>
      <c r="JLT32" s="28"/>
      <c r="JLU32" s="28"/>
      <c r="JLV32" s="28"/>
      <c r="JLW32" s="28"/>
      <c r="JLX32" s="28"/>
      <c r="JLY32" s="28"/>
      <c r="JLZ32" s="28"/>
      <c r="JMA32" s="28"/>
      <c r="JMB32" s="28"/>
      <c r="JMC32" s="28"/>
      <c r="JMD32" s="28"/>
      <c r="JME32" s="28"/>
      <c r="JMF32" s="28"/>
      <c r="JMG32" s="28"/>
      <c r="JMH32" s="28"/>
      <c r="JMI32" s="28"/>
      <c r="JMJ32" s="28"/>
      <c r="JMK32" s="28"/>
      <c r="JML32" s="28"/>
      <c r="JMM32" s="28"/>
      <c r="JMN32" s="28"/>
      <c r="JMO32" s="28"/>
      <c r="JMP32" s="28"/>
      <c r="JMQ32" s="28"/>
      <c r="JMR32" s="28"/>
      <c r="JMS32" s="28"/>
      <c r="JMT32" s="28"/>
      <c r="JMU32" s="28"/>
      <c r="JMV32" s="28"/>
      <c r="JMW32" s="28"/>
      <c r="JMX32" s="28"/>
      <c r="JMY32" s="28"/>
      <c r="JMZ32" s="28"/>
      <c r="JNA32" s="28"/>
      <c r="JNB32" s="28"/>
      <c r="JNC32" s="28"/>
      <c r="JND32" s="28"/>
      <c r="JNE32" s="28"/>
      <c r="JNF32" s="28"/>
      <c r="JNG32" s="28"/>
      <c r="JNH32" s="28"/>
      <c r="JNI32" s="28"/>
      <c r="JNJ32" s="28"/>
      <c r="JNK32" s="28"/>
      <c r="JNL32" s="28"/>
      <c r="JNM32" s="28"/>
      <c r="JNN32" s="28"/>
      <c r="JNO32" s="28"/>
      <c r="JNP32" s="28"/>
      <c r="JNQ32" s="28"/>
      <c r="JNR32" s="28"/>
      <c r="JNS32" s="28"/>
      <c r="JNT32" s="28"/>
      <c r="JNU32" s="28"/>
      <c r="JNV32" s="28"/>
      <c r="JNW32" s="28"/>
      <c r="JNX32" s="28"/>
      <c r="JNY32" s="28"/>
      <c r="JNZ32" s="28"/>
      <c r="JOA32" s="28"/>
      <c r="JOB32" s="28"/>
      <c r="JOC32" s="28"/>
      <c r="JOD32" s="28"/>
      <c r="JOE32" s="28"/>
      <c r="JOF32" s="28"/>
      <c r="JOG32" s="28"/>
      <c r="JOH32" s="28"/>
      <c r="JOI32" s="28"/>
      <c r="JOJ32" s="28"/>
      <c r="JOK32" s="28"/>
      <c r="JOL32" s="28"/>
      <c r="JOM32" s="28"/>
      <c r="JON32" s="28"/>
      <c r="JOO32" s="28"/>
      <c r="JOP32" s="28"/>
      <c r="JOQ32" s="28"/>
      <c r="JOR32" s="28"/>
      <c r="JOS32" s="28"/>
      <c r="JOT32" s="28"/>
      <c r="JOU32" s="28"/>
      <c r="JOV32" s="28"/>
      <c r="JOW32" s="28"/>
      <c r="JOX32" s="28"/>
      <c r="JOY32" s="28"/>
      <c r="JOZ32" s="28"/>
      <c r="JPA32" s="28"/>
      <c r="JPB32" s="28"/>
      <c r="JPC32" s="28"/>
      <c r="JPD32" s="28"/>
      <c r="JPE32" s="28"/>
      <c r="JPF32" s="28"/>
      <c r="JPG32" s="28"/>
      <c r="JPH32" s="28"/>
      <c r="JPI32" s="28"/>
      <c r="JPJ32" s="28"/>
      <c r="JPK32" s="28"/>
      <c r="JPL32" s="28"/>
      <c r="JPM32" s="28"/>
      <c r="JPN32" s="28"/>
      <c r="JPO32" s="28"/>
      <c r="JPP32" s="28"/>
      <c r="JPQ32" s="28"/>
      <c r="JPR32" s="28"/>
      <c r="JPS32" s="28"/>
      <c r="JPT32" s="28"/>
      <c r="JPU32" s="28"/>
      <c r="JPV32" s="28"/>
      <c r="JPW32" s="28"/>
      <c r="JPX32" s="28"/>
      <c r="JPY32" s="28"/>
      <c r="JPZ32" s="28"/>
      <c r="JQA32" s="28"/>
      <c r="JQB32" s="28"/>
      <c r="JQC32" s="28"/>
      <c r="JQD32" s="28"/>
      <c r="JQE32" s="28"/>
      <c r="JQF32" s="28"/>
      <c r="JQG32" s="28"/>
      <c r="JQH32" s="28"/>
      <c r="JQI32" s="28"/>
      <c r="JQJ32" s="28"/>
      <c r="JQK32" s="28"/>
      <c r="JQL32" s="28"/>
      <c r="JQM32" s="28"/>
      <c r="JQN32" s="28"/>
      <c r="JQO32" s="28"/>
      <c r="JQP32" s="28"/>
      <c r="JQQ32" s="28"/>
      <c r="JQR32" s="28"/>
      <c r="JQS32" s="28"/>
      <c r="JQT32" s="28"/>
      <c r="JQU32" s="28"/>
      <c r="JQV32" s="28"/>
      <c r="JQW32" s="28"/>
      <c r="JQX32" s="28"/>
      <c r="JQY32" s="28"/>
      <c r="JQZ32" s="28"/>
      <c r="JRA32" s="28"/>
      <c r="JRB32" s="28"/>
      <c r="JRC32" s="28"/>
      <c r="JRD32" s="28"/>
      <c r="JRE32" s="28"/>
      <c r="JRF32" s="28"/>
      <c r="JRG32" s="28"/>
      <c r="JRH32" s="28"/>
      <c r="JRI32" s="28"/>
      <c r="JRJ32" s="28"/>
      <c r="JRK32" s="28"/>
      <c r="JRL32" s="28"/>
      <c r="JRM32" s="28"/>
      <c r="JRN32" s="28"/>
      <c r="JRO32" s="28"/>
      <c r="JRP32" s="28"/>
      <c r="JRQ32" s="28"/>
      <c r="JRR32" s="28"/>
      <c r="JRS32" s="28"/>
      <c r="JRT32" s="28"/>
      <c r="JRU32" s="28"/>
      <c r="JRV32" s="28"/>
      <c r="JRW32" s="28"/>
      <c r="JRX32" s="28"/>
      <c r="JRY32" s="28"/>
      <c r="JRZ32" s="28"/>
      <c r="JSA32" s="28"/>
      <c r="JSB32" s="28"/>
      <c r="JSC32" s="28"/>
      <c r="JSD32" s="28"/>
      <c r="JSE32" s="28"/>
      <c r="JSF32" s="28"/>
      <c r="JSG32" s="28"/>
      <c r="JSH32" s="28"/>
      <c r="JSI32" s="28"/>
      <c r="JSJ32" s="28"/>
      <c r="JSK32" s="28"/>
      <c r="JSL32" s="28"/>
      <c r="JSM32" s="28"/>
      <c r="JSN32" s="28"/>
      <c r="JSO32" s="28"/>
      <c r="JSP32" s="28"/>
      <c r="JSQ32" s="28"/>
      <c r="JSR32" s="28"/>
      <c r="JSS32" s="28"/>
      <c r="JST32" s="28"/>
      <c r="JSU32" s="28"/>
      <c r="JSV32" s="28"/>
      <c r="JSW32" s="28"/>
      <c r="JSX32" s="28"/>
      <c r="JSY32" s="28"/>
      <c r="JSZ32" s="28"/>
      <c r="JTA32" s="28"/>
      <c r="JTB32" s="28"/>
      <c r="JTC32" s="28"/>
      <c r="JTD32" s="28"/>
      <c r="JTE32" s="28"/>
      <c r="JTF32" s="28"/>
      <c r="JTG32" s="28"/>
      <c r="JTH32" s="28"/>
      <c r="JTI32" s="28"/>
      <c r="JTJ32" s="28"/>
      <c r="JTK32" s="28"/>
      <c r="JTL32" s="28"/>
      <c r="JTM32" s="28"/>
      <c r="JTN32" s="28"/>
      <c r="JTO32" s="28"/>
      <c r="JTP32" s="28"/>
      <c r="JTQ32" s="28"/>
      <c r="JTR32" s="28"/>
      <c r="JTS32" s="28"/>
      <c r="JTT32" s="28"/>
      <c r="JTU32" s="28"/>
      <c r="JTV32" s="28"/>
      <c r="JTW32" s="28"/>
      <c r="JTX32" s="28"/>
      <c r="JTY32" s="28"/>
      <c r="JTZ32" s="28"/>
      <c r="JUA32" s="28"/>
      <c r="JUB32" s="28"/>
      <c r="JUC32" s="28"/>
      <c r="JUD32" s="28"/>
      <c r="JUE32" s="28"/>
      <c r="JUF32" s="28"/>
      <c r="JUG32" s="28"/>
      <c r="JUH32" s="28"/>
      <c r="JUI32" s="28"/>
      <c r="JUJ32" s="28"/>
      <c r="JUK32" s="28"/>
      <c r="JUL32" s="28"/>
      <c r="JUM32" s="28"/>
      <c r="JUN32" s="28"/>
      <c r="JUO32" s="28"/>
      <c r="JUP32" s="28"/>
      <c r="JUQ32" s="28"/>
      <c r="JUR32" s="28"/>
      <c r="JUS32" s="28"/>
      <c r="JUT32" s="28"/>
      <c r="JUU32" s="28"/>
      <c r="JUV32" s="28"/>
      <c r="JUW32" s="28"/>
      <c r="JUX32" s="28"/>
      <c r="JUY32" s="28"/>
      <c r="JUZ32" s="28"/>
      <c r="JVA32" s="28"/>
      <c r="JVB32" s="28"/>
      <c r="JVC32" s="28"/>
      <c r="JVD32" s="28"/>
      <c r="JVE32" s="28"/>
      <c r="JVF32" s="28"/>
      <c r="JVG32" s="28"/>
      <c r="JVH32" s="28"/>
      <c r="JVI32" s="28"/>
      <c r="JVJ32" s="28"/>
      <c r="JVK32" s="28"/>
      <c r="JVL32" s="28"/>
      <c r="JVM32" s="28"/>
      <c r="JVN32" s="28"/>
      <c r="JVO32" s="28"/>
      <c r="JVP32" s="28"/>
      <c r="JVQ32" s="28"/>
      <c r="JVR32" s="28"/>
      <c r="JVS32" s="28"/>
      <c r="JVT32" s="28"/>
      <c r="JVU32" s="28"/>
      <c r="JVV32" s="28"/>
      <c r="JVW32" s="28"/>
      <c r="JVX32" s="28"/>
      <c r="JVY32" s="28"/>
      <c r="JVZ32" s="28"/>
      <c r="JWA32" s="28"/>
      <c r="JWB32" s="28"/>
      <c r="JWC32" s="28"/>
      <c r="JWD32" s="28"/>
      <c r="JWE32" s="28"/>
      <c r="JWF32" s="28"/>
      <c r="JWG32" s="28"/>
      <c r="JWH32" s="28"/>
      <c r="JWI32" s="28"/>
      <c r="JWJ32" s="28"/>
      <c r="JWK32" s="28"/>
      <c r="JWL32" s="28"/>
      <c r="JWM32" s="28"/>
      <c r="JWN32" s="28"/>
      <c r="JWO32" s="28"/>
      <c r="JWP32" s="28"/>
      <c r="JWQ32" s="28"/>
      <c r="JWR32" s="28"/>
      <c r="JWS32" s="28"/>
      <c r="JWT32" s="28"/>
      <c r="JWU32" s="28"/>
      <c r="JWV32" s="28"/>
      <c r="JWW32" s="28"/>
      <c r="JWX32" s="28"/>
      <c r="JWY32" s="28"/>
      <c r="JWZ32" s="28"/>
      <c r="JXA32" s="28"/>
      <c r="JXB32" s="28"/>
      <c r="JXC32" s="28"/>
      <c r="JXD32" s="28"/>
      <c r="JXE32" s="28"/>
      <c r="JXF32" s="28"/>
      <c r="JXG32" s="28"/>
      <c r="JXH32" s="28"/>
      <c r="JXI32" s="28"/>
      <c r="JXJ32" s="28"/>
      <c r="JXK32" s="28"/>
      <c r="JXL32" s="28"/>
      <c r="JXM32" s="28"/>
      <c r="JXN32" s="28"/>
      <c r="JXO32" s="28"/>
      <c r="JXP32" s="28"/>
      <c r="JXQ32" s="28"/>
      <c r="JXR32" s="28"/>
      <c r="JXS32" s="28"/>
      <c r="JXT32" s="28"/>
      <c r="JXU32" s="28"/>
      <c r="JXV32" s="28"/>
      <c r="JXW32" s="28"/>
      <c r="JXX32" s="28"/>
      <c r="JXY32" s="28"/>
      <c r="JXZ32" s="28"/>
      <c r="JYA32" s="28"/>
      <c r="JYB32" s="28"/>
      <c r="JYC32" s="28"/>
      <c r="JYD32" s="28"/>
      <c r="JYE32" s="28"/>
      <c r="JYF32" s="28"/>
      <c r="JYG32" s="28"/>
      <c r="JYH32" s="28"/>
      <c r="JYI32" s="28"/>
      <c r="JYJ32" s="28"/>
      <c r="JYK32" s="28"/>
      <c r="JYL32" s="28"/>
      <c r="JYM32" s="28"/>
      <c r="JYN32" s="28"/>
      <c r="JYO32" s="28"/>
      <c r="JYP32" s="28"/>
      <c r="JYQ32" s="28"/>
      <c r="JYR32" s="28"/>
      <c r="JYS32" s="28"/>
      <c r="JYT32" s="28"/>
      <c r="JYU32" s="28"/>
      <c r="JYV32" s="28"/>
      <c r="JYW32" s="28"/>
      <c r="JYX32" s="28"/>
      <c r="JYY32" s="28"/>
      <c r="JYZ32" s="28"/>
      <c r="JZA32" s="28"/>
      <c r="JZB32" s="28"/>
      <c r="JZC32" s="28"/>
      <c r="JZD32" s="28"/>
      <c r="JZE32" s="28"/>
      <c r="JZF32" s="28"/>
      <c r="JZG32" s="28"/>
      <c r="JZH32" s="28"/>
      <c r="JZI32" s="28"/>
      <c r="JZJ32" s="28"/>
      <c r="JZK32" s="28"/>
      <c r="JZL32" s="28"/>
      <c r="JZM32" s="28"/>
      <c r="JZN32" s="28"/>
      <c r="JZO32" s="28"/>
      <c r="JZP32" s="28"/>
      <c r="JZQ32" s="28"/>
      <c r="JZR32" s="28"/>
      <c r="JZS32" s="28"/>
      <c r="JZT32" s="28"/>
      <c r="JZU32" s="28"/>
      <c r="JZV32" s="28"/>
      <c r="JZW32" s="28"/>
      <c r="JZX32" s="28"/>
      <c r="JZY32" s="28"/>
      <c r="JZZ32" s="28"/>
      <c r="KAA32" s="28"/>
      <c r="KAB32" s="28"/>
      <c r="KAC32" s="28"/>
      <c r="KAD32" s="28"/>
      <c r="KAE32" s="28"/>
      <c r="KAF32" s="28"/>
      <c r="KAG32" s="28"/>
      <c r="KAH32" s="28"/>
      <c r="KAI32" s="28"/>
      <c r="KAJ32" s="28"/>
      <c r="KAK32" s="28"/>
      <c r="KAL32" s="28"/>
      <c r="KAM32" s="28"/>
      <c r="KAN32" s="28"/>
      <c r="KAO32" s="28"/>
      <c r="KAP32" s="28"/>
      <c r="KAQ32" s="28"/>
      <c r="KAR32" s="28"/>
      <c r="KAS32" s="28"/>
      <c r="KAT32" s="28"/>
      <c r="KAU32" s="28"/>
      <c r="KAV32" s="28"/>
      <c r="KAW32" s="28"/>
      <c r="KAX32" s="28"/>
      <c r="KAY32" s="28"/>
      <c r="KAZ32" s="28"/>
      <c r="KBA32" s="28"/>
      <c r="KBB32" s="28"/>
      <c r="KBC32" s="28"/>
      <c r="KBD32" s="28"/>
      <c r="KBE32" s="28"/>
      <c r="KBF32" s="28"/>
      <c r="KBG32" s="28"/>
      <c r="KBH32" s="28"/>
      <c r="KBI32" s="28"/>
      <c r="KBJ32" s="28"/>
      <c r="KBK32" s="28"/>
      <c r="KBL32" s="28"/>
      <c r="KBM32" s="28"/>
      <c r="KBN32" s="28"/>
      <c r="KBO32" s="28"/>
      <c r="KBP32" s="28"/>
      <c r="KBQ32" s="28"/>
      <c r="KBR32" s="28"/>
      <c r="KBS32" s="28"/>
      <c r="KBT32" s="28"/>
      <c r="KBU32" s="28"/>
      <c r="KBV32" s="28"/>
      <c r="KBW32" s="28"/>
      <c r="KBX32" s="28"/>
      <c r="KBY32" s="28"/>
      <c r="KBZ32" s="28"/>
      <c r="KCA32" s="28"/>
      <c r="KCB32" s="28"/>
      <c r="KCC32" s="28"/>
      <c r="KCD32" s="28"/>
      <c r="KCE32" s="28"/>
      <c r="KCF32" s="28"/>
      <c r="KCG32" s="28"/>
      <c r="KCH32" s="28"/>
      <c r="KCI32" s="28"/>
      <c r="KCJ32" s="28"/>
      <c r="KCK32" s="28"/>
      <c r="KCL32" s="28"/>
      <c r="KCM32" s="28"/>
      <c r="KCN32" s="28"/>
      <c r="KCO32" s="28"/>
      <c r="KCP32" s="28"/>
      <c r="KCQ32" s="28"/>
      <c r="KCR32" s="28"/>
      <c r="KCS32" s="28"/>
      <c r="KCT32" s="28"/>
      <c r="KCU32" s="28"/>
      <c r="KCV32" s="28"/>
      <c r="KCW32" s="28"/>
      <c r="KCX32" s="28"/>
      <c r="KCY32" s="28"/>
      <c r="KCZ32" s="28"/>
      <c r="KDA32" s="28"/>
      <c r="KDB32" s="28"/>
      <c r="KDC32" s="28"/>
      <c r="KDD32" s="28"/>
      <c r="KDE32" s="28"/>
      <c r="KDF32" s="28"/>
      <c r="KDG32" s="28"/>
      <c r="KDH32" s="28"/>
      <c r="KDI32" s="28"/>
      <c r="KDJ32" s="28"/>
      <c r="KDK32" s="28"/>
      <c r="KDL32" s="28"/>
      <c r="KDM32" s="28"/>
      <c r="KDN32" s="28"/>
      <c r="KDO32" s="28"/>
      <c r="KDP32" s="28"/>
      <c r="KDQ32" s="28"/>
      <c r="KDR32" s="28"/>
      <c r="KDS32" s="28"/>
      <c r="KDT32" s="28"/>
      <c r="KDU32" s="28"/>
      <c r="KDV32" s="28"/>
      <c r="KDW32" s="28"/>
      <c r="KDX32" s="28"/>
      <c r="KDY32" s="28"/>
      <c r="KDZ32" s="28"/>
      <c r="KEA32" s="28"/>
      <c r="KEB32" s="28"/>
      <c r="KEC32" s="28"/>
      <c r="KED32" s="28"/>
      <c r="KEE32" s="28"/>
      <c r="KEF32" s="28"/>
      <c r="KEG32" s="28"/>
      <c r="KEH32" s="28"/>
      <c r="KEI32" s="28"/>
      <c r="KEJ32" s="28"/>
      <c r="KEK32" s="28"/>
      <c r="KEL32" s="28"/>
      <c r="KEM32" s="28"/>
      <c r="KEN32" s="28"/>
      <c r="KEO32" s="28"/>
      <c r="KEP32" s="28"/>
      <c r="KEQ32" s="28"/>
      <c r="KER32" s="28"/>
      <c r="KES32" s="28"/>
      <c r="KET32" s="28"/>
      <c r="KEU32" s="28"/>
      <c r="KEV32" s="28"/>
      <c r="KEW32" s="28"/>
      <c r="KEX32" s="28"/>
      <c r="KEY32" s="28"/>
      <c r="KEZ32" s="28"/>
      <c r="KFA32" s="28"/>
      <c r="KFB32" s="28"/>
      <c r="KFC32" s="28"/>
      <c r="KFD32" s="28"/>
      <c r="KFE32" s="28"/>
      <c r="KFF32" s="28"/>
      <c r="KFG32" s="28"/>
      <c r="KFH32" s="28"/>
      <c r="KFI32" s="28"/>
      <c r="KFJ32" s="28"/>
      <c r="KFK32" s="28"/>
      <c r="KFL32" s="28"/>
      <c r="KFM32" s="28"/>
      <c r="KFN32" s="28"/>
      <c r="KFO32" s="28"/>
      <c r="KFP32" s="28"/>
      <c r="KFQ32" s="28"/>
      <c r="KFR32" s="28"/>
      <c r="KFS32" s="28"/>
      <c r="KFT32" s="28"/>
      <c r="KFU32" s="28"/>
      <c r="KFV32" s="28"/>
      <c r="KFW32" s="28"/>
      <c r="KFX32" s="28"/>
      <c r="KFY32" s="28"/>
      <c r="KFZ32" s="28"/>
      <c r="KGA32" s="28"/>
      <c r="KGB32" s="28"/>
      <c r="KGC32" s="28"/>
      <c r="KGD32" s="28"/>
      <c r="KGE32" s="28"/>
      <c r="KGF32" s="28"/>
      <c r="KGG32" s="28"/>
      <c r="KGH32" s="28"/>
      <c r="KGI32" s="28"/>
      <c r="KGJ32" s="28"/>
      <c r="KGK32" s="28"/>
      <c r="KGL32" s="28"/>
      <c r="KGM32" s="28"/>
      <c r="KGN32" s="28"/>
      <c r="KGO32" s="28"/>
      <c r="KGP32" s="28"/>
      <c r="KGQ32" s="28"/>
      <c r="KGR32" s="28"/>
      <c r="KGS32" s="28"/>
      <c r="KGT32" s="28"/>
      <c r="KGU32" s="28"/>
      <c r="KGV32" s="28"/>
      <c r="KGW32" s="28"/>
      <c r="KGX32" s="28"/>
      <c r="KGY32" s="28"/>
      <c r="KGZ32" s="28"/>
      <c r="KHA32" s="28"/>
      <c r="KHB32" s="28"/>
      <c r="KHC32" s="28"/>
      <c r="KHD32" s="28"/>
      <c r="KHE32" s="28"/>
      <c r="KHF32" s="28"/>
      <c r="KHG32" s="28"/>
      <c r="KHH32" s="28"/>
      <c r="KHI32" s="28"/>
      <c r="KHJ32" s="28"/>
      <c r="KHK32" s="28"/>
      <c r="KHL32" s="28"/>
      <c r="KHM32" s="28"/>
      <c r="KHN32" s="28"/>
      <c r="KHO32" s="28"/>
      <c r="KHP32" s="28"/>
      <c r="KHQ32" s="28"/>
      <c r="KHR32" s="28"/>
      <c r="KHS32" s="28"/>
      <c r="KHT32" s="28"/>
      <c r="KHU32" s="28"/>
      <c r="KHV32" s="28"/>
      <c r="KHW32" s="28"/>
      <c r="KHX32" s="28"/>
      <c r="KHY32" s="28"/>
      <c r="KHZ32" s="28"/>
      <c r="KIA32" s="28"/>
      <c r="KIB32" s="28"/>
      <c r="KIC32" s="28"/>
      <c r="KID32" s="28"/>
      <c r="KIE32" s="28"/>
      <c r="KIF32" s="28"/>
      <c r="KIG32" s="28"/>
      <c r="KIH32" s="28"/>
      <c r="KII32" s="28"/>
      <c r="KIJ32" s="28"/>
      <c r="KIK32" s="28"/>
      <c r="KIL32" s="28"/>
      <c r="KIM32" s="28"/>
      <c r="KIN32" s="28"/>
      <c r="KIO32" s="28"/>
      <c r="KIP32" s="28"/>
      <c r="KIQ32" s="28"/>
      <c r="KIR32" s="28"/>
      <c r="KIS32" s="28"/>
      <c r="KIT32" s="28"/>
      <c r="KIU32" s="28"/>
      <c r="KIV32" s="28"/>
      <c r="KIW32" s="28"/>
      <c r="KIX32" s="28"/>
      <c r="KIY32" s="28"/>
      <c r="KIZ32" s="28"/>
      <c r="KJA32" s="28"/>
      <c r="KJB32" s="28"/>
      <c r="KJC32" s="28"/>
      <c r="KJD32" s="28"/>
      <c r="KJE32" s="28"/>
      <c r="KJF32" s="28"/>
      <c r="KJG32" s="28"/>
      <c r="KJH32" s="28"/>
      <c r="KJI32" s="28"/>
      <c r="KJJ32" s="28"/>
      <c r="KJK32" s="28"/>
      <c r="KJL32" s="28"/>
      <c r="KJM32" s="28"/>
      <c r="KJN32" s="28"/>
      <c r="KJO32" s="28"/>
      <c r="KJP32" s="28"/>
      <c r="KJQ32" s="28"/>
      <c r="KJR32" s="28"/>
      <c r="KJS32" s="28"/>
      <c r="KJT32" s="28"/>
      <c r="KJU32" s="28"/>
      <c r="KJV32" s="28"/>
      <c r="KJW32" s="28"/>
      <c r="KJX32" s="28"/>
      <c r="KJY32" s="28"/>
      <c r="KJZ32" s="28"/>
      <c r="KKA32" s="28"/>
      <c r="KKB32" s="28"/>
      <c r="KKC32" s="28"/>
      <c r="KKD32" s="28"/>
      <c r="KKE32" s="28"/>
      <c r="KKF32" s="28"/>
      <c r="KKG32" s="28"/>
      <c r="KKH32" s="28"/>
      <c r="KKI32" s="28"/>
      <c r="KKJ32" s="28"/>
      <c r="KKK32" s="28"/>
      <c r="KKL32" s="28"/>
      <c r="KKM32" s="28"/>
      <c r="KKN32" s="28"/>
      <c r="KKO32" s="28"/>
      <c r="KKP32" s="28"/>
      <c r="KKQ32" s="28"/>
      <c r="KKR32" s="28"/>
      <c r="KKS32" s="28"/>
      <c r="KKT32" s="28"/>
      <c r="KKU32" s="28"/>
      <c r="KKV32" s="28"/>
      <c r="KKW32" s="28"/>
      <c r="KKX32" s="28"/>
      <c r="KKY32" s="28"/>
      <c r="KKZ32" s="28"/>
      <c r="KLA32" s="28"/>
      <c r="KLB32" s="28"/>
      <c r="KLC32" s="28"/>
      <c r="KLD32" s="28"/>
      <c r="KLE32" s="28"/>
      <c r="KLF32" s="28"/>
      <c r="KLG32" s="28"/>
      <c r="KLH32" s="28"/>
      <c r="KLI32" s="28"/>
      <c r="KLJ32" s="28"/>
      <c r="KLK32" s="28"/>
      <c r="KLL32" s="28"/>
      <c r="KLM32" s="28"/>
      <c r="KLN32" s="28"/>
      <c r="KLO32" s="28"/>
      <c r="KLP32" s="28"/>
      <c r="KLQ32" s="28"/>
      <c r="KLR32" s="28"/>
      <c r="KLS32" s="28"/>
      <c r="KLT32" s="28"/>
      <c r="KLU32" s="28"/>
      <c r="KLV32" s="28"/>
      <c r="KLW32" s="28"/>
      <c r="KLX32" s="28"/>
      <c r="KLY32" s="28"/>
      <c r="KLZ32" s="28"/>
      <c r="KMA32" s="28"/>
      <c r="KMB32" s="28"/>
      <c r="KMC32" s="28"/>
      <c r="KMD32" s="28"/>
      <c r="KME32" s="28"/>
      <c r="KMF32" s="28"/>
      <c r="KMG32" s="28"/>
      <c r="KMH32" s="28"/>
      <c r="KMI32" s="28"/>
      <c r="KMJ32" s="28"/>
      <c r="KMK32" s="28"/>
      <c r="KML32" s="28"/>
      <c r="KMM32" s="28"/>
      <c r="KMN32" s="28"/>
      <c r="KMO32" s="28"/>
      <c r="KMP32" s="28"/>
      <c r="KMQ32" s="28"/>
      <c r="KMR32" s="28"/>
      <c r="KMS32" s="28"/>
      <c r="KMT32" s="28"/>
      <c r="KMU32" s="28"/>
      <c r="KMV32" s="28"/>
      <c r="KMW32" s="28"/>
      <c r="KMX32" s="28"/>
      <c r="KMY32" s="28"/>
      <c r="KMZ32" s="28"/>
      <c r="KNA32" s="28"/>
      <c r="KNB32" s="28"/>
      <c r="KNC32" s="28"/>
      <c r="KND32" s="28"/>
      <c r="KNE32" s="28"/>
      <c r="KNF32" s="28"/>
      <c r="KNG32" s="28"/>
      <c r="KNH32" s="28"/>
      <c r="KNI32" s="28"/>
      <c r="KNJ32" s="28"/>
      <c r="KNK32" s="28"/>
      <c r="KNL32" s="28"/>
      <c r="KNM32" s="28"/>
      <c r="KNN32" s="28"/>
      <c r="KNO32" s="28"/>
      <c r="KNP32" s="28"/>
      <c r="KNQ32" s="28"/>
      <c r="KNR32" s="28"/>
      <c r="KNS32" s="28"/>
      <c r="KNT32" s="28"/>
      <c r="KNU32" s="28"/>
      <c r="KNV32" s="28"/>
      <c r="KNW32" s="28"/>
      <c r="KNX32" s="28"/>
      <c r="KNY32" s="28"/>
      <c r="KNZ32" s="28"/>
      <c r="KOA32" s="28"/>
      <c r="KOB32" s="28"/>
      <c r="KOC32" s="28"/>
      <c r="KOD32" s="28"/>
      <c r="KOE32" s="28"/>
      <c r="KOF32" s="28"/>
      <c r="KOG32" s="28"/>
      <c r="KOH32" s="28"/>
      <c r="KOI32" s="28"/>
      <c r="KOJ32" s="28"/>
      <c r="KOK32" s="28"/>
      <c r="KOL32" s="28"/>
      <c r="KOM32" s="28"/>
      <c r="KON32" s="28"/>
      <c r="KOO32" s="28"/>
      <c r="KOP32" s="28"/>
      <c r="KOQ32" s="28"/>
      <c r="KOR32" s="28"/>
      <c r="KOS32" s="28"/>
      <c r="KOT32" s="28"/>
      <c r="KOU32" s="28"/>
      <c r="KOV32" s="28"/>
      <c r="KOW32" s="28"/>
      <c r="KOX32" s="28"/>
      <c r="KOY32" s="28"/>
      <c r="KOZ32" s="28"/>
      <c r="KPA32" s="28"/>
      <c r="KPB32" s="28"/>
      <c r="KPC32" s="28"/>
      <c r="KPD32" s="28"/>
      <c r="KPE32" s="28"/>
      <c r="KPF32" s="28"/>
      <c r="KPG32" s="28"/>
      <c r="KPH32" s="28"/>
      <c r="KPI32" s="28"/>
      <c r="KPJ32" s="28"/>
      <c r="KPK32" s="28"/>
      <c r="KPL32" s="28"/>
      <c r="KPM32" s="28"/>
      <c r="KPN32" s="28"/>
      <c r="KPO32" s="28"/>
      <c r="KPP32" s="28"/>
      <c r="KPQ32" s="28"/>
      <c r="KPR32" s="28"/>
      <c r="KPS32" s="28"/>
      <c r="KPT32" s="28"/>
      <c r="KPU32" s="28"/>
      <c r="KPV32" s="28"/>
      <c r="KPW32" s="28"/>
      <c r="KPX32" s="28"/>
      <c r="KPY32" s="28"/>
      <c r="KPZ32" s="28"/>
      <c r="KQA32" s="28"/>
      <c r="KQB32" s="28"/>
      <c r="KQC32" s="28"/>
      <c r="KQD32" s="28"/>
      <c r="KQE32" s="28"/>
      <c r="KQF32" s="28"/>
      <c r="KQG32" s="28"/>
      <c r="KQH32" s="28"/>
      <c r="KQI32" s="28"/>
      <c r="KQJ32" s="28"/>
      <c r="KQK32" s="28"/>
      <c r="KQL32" s="28"/>
      <c r="KQM32" s="28"/>
      <c r="KQN32" s="28"/>
      <c r="KQO32" s="28"/>
      <c r="KQP32" s="28"/>
      <c r="KQQ32" s="28"/>
      <c r="KQR32" s="28"/>
      <c r="KQS32" s="28"/>
      <c r="KQT32" s="28"/>
      <c r="KQU32" s="28"/>
      <c r="KQV32" s="28"/>
      <c r="KQW32" s="28"/>
      <c r="KQX32" s="28"/>
      <c r="KQY32" s="28"/>
      <c r="KQZ32" s="28"/>
      <c r="KRA32" s="28"/>
      <c r="KRB32" s="28"/>
      <c r="KRC32" s="28"/>
      <c r="KRD32" s="28"/>
      <c r="KRE32" s="28"/>
      <c r="KRF32" s="28"/>
      <c r="KRG32" s="28"/>
      <c r="KRH32" s="28"/>
      <c r="KRI32" s="28"/>
      <c r="KRJ32" s="28"/>
      <c r="KRK32" s="28"/>
      <c r="KRL32" s="28"/>
      <c r="KRM32" s="28"/>
      <c r="KRN32" s="28"/>
      <c r="KRO32" s="28"/>
      <c r="KRP32" s="28"/>
      <c r="KRQ32" s="28"/>
      <c r="KRR32" s="28"/>
      <c r="KRS32" s="28"/>
      <c r="KRT32" s="28"/>
      <c r="KRU32" s="28"/>
      <c r="KRV32" s="28"/>
      <c r="KRW32" s="28"/>
      <c r="KRX32" s="28"/>
      <c r="KRY32" s="28"/>
      <c r="KRZ32" s="28"/>
      <c r="KSA32" s="28"/>
      <c r="KSB32" s="28"/>
      <c r="KSC32" s="28"/>
      <c r="KSD32" s="28"/>
      <c r="KSE32" s="28"/>
      <c r="KSF32" s="28"/>
      <c r="KSG32" s="28"/>
      <c r="KSH32" s="28"/>
      <c r="KSI32" s="28"/>
      <c r="KSJ32" s="28"/>
      <c r="KSK32" s="28"/>
      <c r="KSL32" s="28"/>
      <c r="KSM32" s="28"/>
      <c r="KSN32" s="28"/>
      <c r="KSO32" s="28"/>
      <c r="KSP32" s="28"/>
      <c r="KSQ32" s="28"/>
      <c r="KSR32" s="28"/>
      <c r="KSS32" s="28"/>
      <c r="KST32" s="28"/>
      <c r="KSU32" s="28"/>
      <c r="KSV32" s="28"/>
      <c r="KSW32" s="28"/>
      <c r="KSX32" s="28"/>
      <c r="KSY32" s="28"/>
      <c r="KSZ32" s="28"/>
      <c r="KTA32" s="28"/>
      <c r="KTB32" s="28"/>
      <c r="KTC32" s="28"/>
      <c r="KTD32" s="28"/>
      <c r="KTE32" s="28"/>
      <c r="KTF32" s="28"/>
      <c r="KTG32" s="28"/>
      <c r="KTH32" s="28"/>
      <c r="KTI32" s="28"/>
      <c r="KTJ32" s="28"/>
      <c r="KTK32" s="28"/>
      <c r="KTL32" s="28"/>
      <c r="KTM32" s="28"/>
      <c r="KTN32" s="28"/>
      <c r="KTO32" s="28"/>
      <c r="KTP32" s="28"/>
      <c r="KTQ32" s="28"/>
      <c r="KTR32" s="28"/>
      <c r="KTS32" s="28"/>
      <c r="KTT32" s="28"/>
      <c r="KTU32" s="28"/>
      <c r="KTV32" s="28"/>
      <c r="KTW32" s="28"/>
      <c r="KTX32" s="28"/>
      <c r="KTY32" s="28"/>
      <c r="KTZ32" s="28"/>
      <c r="KUA32" s="28"/>
      <c r="KUB32" s="28"/>
      <c r="KUC32" s="28"/>
      <c r="KUD32" s="28"/>
      <c r="KUE32" s="28"/>
      <c r="KUF32" s="28"/>
      <c r="KUG32" s="28"/>
      <c r="KUH32" s="28"/>
      <c r="KUI32" s="28"/>
      <c r="KUJ32" s="28"/>
      <c r="KUK32" s="28"/>
      <c r="KUL32" s="28"/>
      <c r="KUM32" s="28"/>
      <c r="KUN32" s="28"/>
      <c r="KUO32" s="28"/>
      <c r="KUP32" s="28"/>
      <c r="KUQ32" s="28"/>
      <c r="KUR32" s="28"/>
      <c r="KUS32" s="28"/>
      <c r="KUT32" s="28"/>
      <c r="KUU32" s="28"/>
      <c r="KUV32" s="28"/>
      <c r="KUW32" s="28"/>
      <c r="KUX32" s="28"/>
      <c r="KUY32" s="28"/>
      <c r="KUZ32" s="28"/>
      <c r="KVA32" s="28"/>
      <c r="KVB32" s="28"/>
      <c r="KVC32" s="28"/>
      <c r="KVD32" s="28"/>
      <c r="KVE32" s="28"/>
      <c r="KVF32" s="28"/>
      <c r="KVG32" s="28"/>
      <c r="KVH32" s="28"/>
      <c r="KVI32" s="28"/>
      <c r="KVJ32" s="28"/>
      <c r="KVK32" s="28"/>
      <c r="KVL32" s="28"/>
      <c r="KVM32" s="28"/>
      <c r="KVN32" s="28"/>
      <c r="KVO32" s="28"/>
      <c r="KVP32" s="28"/>
      <c r="KVQ32" s="28"/>
      <c r="KVR32" s="28"/>
      <c r="KVS32" s="28"/>
      <c r="KVT32" s="28"/>
      <c r="KVU32" s="28"/>
      <c r="KVV32" s="28"/>
      <c r="KVW32" s="28"/>
      <c r="KVX32" s="28"/>
      <c r="KVY32" s="28"/>
      <c r="KVZ32" s="28"/>
      <c r="KWA32" s="28"/>
      <c r="KWB32" s="28"/>
      <c r="KWC32" s="28"/>
      <c r="KWD32" s="28"/>
      <c r="KWE32" s="28"/>
      <c r="KWF32" s="28"/>
      <c r="KWG32" s="28"/>
      <c r="KWH32" s="28"/>
      <c r="KWI32" s="28"/>
      <c r="KWJ32" s="28"/>
      <c r="KWK32" s="28"/>
      <c r="KWL32" s="28"/>
      <c r="KWM32" s="28"/>
      <c r="KWN32" s="28"/>
      <c r="KWO32" s="28"/>
      <c r="KWP32" s="28"/>
      <c r="KWQ32" s="28"/>
      <c r="KWR32" s="28"/>
      <c r="KWS32" s="28"/>
      <c r="KWT32" s="28"/>
      <c r="KWU32" s="28"/>
      <c r="KWV32" s="28"/>
      <c r="KWW32" s="28"/>
      <c r="KWX32" s="28"/>
      <c r="KWY32" s="28"/>
      <c r="KWZ32" s="28"/>
      <c r="KXA32" s="28"/>
      <c r="KXB32" s="28"/>
      <c r="KXC32" s="28"/>
      <c r="KXD32" s="28"/>
      <c r="KXE32" s="28"/>
      <c r="KXF32" s="28"/>
      <c r="KXG32" s="28"/>
      <c r="KXH32" s="28"/>
      <c r="KXI32" s="28"/>
      <c r="KXJ32" s="28"/>
      <c r="KXK32" s="28"/>
      <c r="KXL32" s="28"/>
      <c r="KXM32" s="28"/>
      <c r="KXN32" s="28"/>
      <c r="KXO32" s="28"/>
      <c r="KXP32" s="28"/>
      <c r="KXQ32" s="28"/>
      <c r="KXR32" s="28"/>
      <c r="KXS32" s="28"/>
      <c r="KXT32" s="28"/>
      <c r="KXU32" s="28"/>
      <c r="KXV32" s="28"/>
      <c r="KXW32" s="28"/>
      <c r="KXX32" s="28"/>
      <c r="KXY32" s="28"/>
      <c r="KXZ32" s="28"/>
      <c r="KYA32" s="28"/>
      <c r="KYB32" s="28"/>
      <c r="KYC32" s="28"/>
      <c r="KYD32" s="28"/>
      <c r="KYE32" s="28"/>
      <c r="KYF32" s="28"/>
      <c r="KYG32" s="28"/>
      <c r="KYH32" s="28"/>
      <c r="KYI32" s="28"/>
      <c r="KYJ32" s="28"/>
      <c r="KYK32" s="28"/>
      <c r="KYL32" s="28"/>
      <c r="KYM32" s="28"/>
      <c r="KYN32" s="28"/>
      <c r="KYO32" s="28"/>
      <c r="KYP32" s="28"/>
      <c r="KYQ32" s="28"/>
      <c r="KYR32" s="28"/>
      <c r="KYS32" s="28"/>
      <c r="KYT32" s="28"/>
      <c r="KYU32" s="28"/>
      <c r="KYV32" s="28"/>
      <c r="KYW32" s="28"/>
      <c r="KYX32" s="28"/>
      <c r="KYY32" s="28"/>
      <c r="KYZ32" s="28"/>
      <c r="KZA32" s="28"/>
      <c r="KZB32" s="28"/>
      <c r="KZC32" s="28"/>
      <c r="KZD32" s="28"/>
      <c r="KZE32" s="28"/>
      <c r="KZF32" s="28"/>
      <c r="KZG32" s="28"/>
      <c r="KZH32" s="28"/>
      <c r="KZI32" s="28"/>
      <c r="KZJ32" s="28"/>
      <c r="KZK32" s="28"/>
      <c r="KZL32" s="28"/>
      <c r="KZM32" s="28"/>
      <c r="KZN32" s="28"/>
      <c r="KZO32" s="28"/>
      <c r="KZP32" s="28"/>
      <c r="KZQ32" s="28"/>
      <c r="KZR32" s="28"/>
      <c r="KZS32" s="28"/>
      <c r="KZT32" s="28"/>
      <c r="KZU32" s="28"/>
      <c r="KZV32" s="28"/>
      <c r="KZW32" s="28"/>
      <c r="KZX32" s="28"/>
      <c r="KZY32" s="28"/>
      <c r="KZZ32" s="28"/>
      <c r="LAA32" s="28"/>
      <c r="LAB32" s="28"/>
      <c r="LAC32" s="28"/>
      <c r="LAD32" s="28"/>
      <c r="LAE32" s="28"/>
      <c r="LAF32" s="28"/>
      <c r="LAG32" s="28"/>
      <c r="LAH32" s="28"/>
      <c r="LAI32" s="28"/>
      <c r="LAJ32" s="28"/>
      <c r="LAK32" s="28"/>
      <c r="LAL32" s="28"/>
      <c r="LAM32" s="28"/>
      <c r="LAN32" s="28"/>
      <c r="LAO32" s="28"/>
      <c r="LAP32" s="28"/>
      <c r="LAQ32" s="28"/>
      <c r="LAR32" s="28"/>
      <c r="LAS32" s="28"/>
      <c r="LAT32" s="28"/>
      <c r="LAU32" s="28"/>
      <c r="LAV32" s="28"/>
      <c r="LAW32" s="28"/>
      <c r="LAX32" s="28"/>
      <c r="LAY32" s="28"/>
      <c r="LAZ32" s="28"/>
      <c r="LBA32" s="28"/>
      <c r="LBB32" s="28"/>
      <c r="LBC32" s="28"/>
      <c r="LBD32" s="28"/>
      <c r="LBE32" s="28"/>
      <c r="LBF32" s="28"/>
      <c r="LBG32" s="28"/>
      <c r="LBH32" s="28"/>
      <c r="LBI32" s="28"/>
      <c r="LBJ32" s="28"/>
      <c r="LBK32" s="28"/>
      <c r="LBL32" s="28"/>
      <c r="LBM32" s="28"/>
      <c r="LBN32" s="28"/>
      <c r="LBO32" s="28"/>
      <c r="LBP32" s="28"/>
      <c r="LBQ32" s="28"/>
      <c r="LBR32" s="28"/>
      <c r="LBS32" s="28"/>
      <c r="LBT32" s="28"/>
      <c r="LBU32" s="28"/>
      <c r="LBV32" s="28"/>
      <c r="LBW32" s="28"/>
      <c r="LBX32" s="28"/>
      <c r="LBY32" s="28"/>
      <c r="LBZ32" s="28"/>
      <c r="LCA32" s="28"/>
      <c r="LCB32" s="28"/>
      <c r="LCC32" s="28"/>
      <c r="LCD32" s="28"/>
      <c r="LCE32" s="28"/>
      <c r="LCF32" s="28"/>
      <c r="LCG32" s="28"/>
      <c r="LCH32" s="28"/>
      <c r="LCI32" s="28"/>
      <c r="LCJ32" s="28"/>
      <c r="LCK32" s="28"/>
      <c r="LCL32" s="28"/>
      <c r="LCM32" s="28"/>
      <c r="LCN32" s="28"/>
      <c r="LCO32" s="28"/>
      <c r="LCP32" s="28"/>
      <c r="LCQ32" s="28"/>
      <c r="LCR32" s="28"/>
      <c r="LCS32" s="28"/>
      <c r="LCT32" s="28"/>
      <c r="LCU32" s="28"/>
      <c r="LCV32" s="28"/>
      <c r="LCW32" s="28"/>
      <c r="LCX32" s="28"/>
      <c r="LCY32" s="28"/>
      <c r="LCZ32" s="28"/>
      <c r="LDA32" s="28"/>
      <c r="LDB32" s="28"/>
      <c r="LDC32" s="28"/>
      <c r="LDD32" s="28"/>
      <c r="LDE32" s="28"/>
      <c r="LDF32" s="28"/>
      <c r="LDG32" s="28"/>
      <c r="LDH32" s="28"/>
      <c r="LDI32" s="28"/>
      <c r="LDJ32" s="28"/>
      <c r="LDK32" s="28"/>
      <c r="LDL32" s="28"/>
      <c r="LDM32" s="28"/>
      <c r="LDN32" s="28"/>
      <c r="LDO32" s="28"/>
      <c r="LDP32" s="28"/>
      <c r="LDQ32" s="28"/>
      <c r="LDR32" s="28"/>
      <c r="LDS32" s="28"/>
      <c r="LDT32" s="28"/>
      <c r="LDU32" s="28"/>
      <c r="LDV32" s="28"/>
      <c r="LDW32" s="28"/>
      <c r="LDX32" s="28"/>
      <c r="LDY32" s="28"/>
      <c r="LDZ32" s="28"/>
      <c r="LEA32" s="28"/>
      <c r="LEB32" s="28"/>
      <c r="LEC32" s="28"/>
      <c r="LED32" s="28"/>
      <c r="LEE32" s="28"/>
      <c r="LEF32" s="28"/>
      <c r="LEG32" s="28"/>
      <c r="LEH32" s="28"/>
      <c r="LEI32" s="28"/>
      <c r="LEJ32" s="28"/>
      <c r="LEK32" s="28"/>
      <c r="LEL32" s="28"/>
      <c r="LEM32" s="28"/>
      <c r="LEN32" s="28"/>
      <c r="LEO32" s="28"/>
      <c r="LEP32" s="28"/>
      <c r="LEQ32" s="28"/>
      <c r="LER32" s="28"/>
      <c r="LES32" s="28"/>
      <c r="LET32" s="28"/>
      <c r="LEU32" s="28"/>
      <c r="LEV32" s="28"/>
      <c r="LEW32" s="28"/>
      <c r="LEX32" s="28"/>
      <c r="LEY32" s="28"/>
      <c r="LEZ32" s="28"/>
      <c r="LFA32" s="28"/>
      <c r="LFB32" s="28"/>
      <c r="LFC32" s="28"/>
      <c r="LFD32" s="28"/>
      <c r="LFE32" s="28"/>
      <c r="LFF32" s="28"/>
      <c r="LFG32" s="28"/>
      <c r="LFH32" s="28"/>
      <c r="LFI32" s="28"/>
      <c r="LFJ32" s="28"/>
      <c r="LFK32" s="28"/>
      <c r="LFL32" s="28"/>
      <c r="LFM32" s="28"/>
      <c r="LFN32" s="28"/>
      <c r="LFO32" s="28"/>
      <c r="LFP32" s="28"/>
      <c r="LFQ32" s="28"/>
      <c r="LFR32" s="28"/>
      <c r="LFS32" s="28"/>
      <c r="LFT32" s="28"/>
      <c r="LFU32" s="28"/>
      <c r="LFV32" s="28"/>
      <c r="LFW32" s="28"/>
      <c r="LFX32" s="28"/>
      <c r="LFY32" s="28"/>
      <c r="LFZ32" s="28"/>
      <c r="LGA32" s="28"/>
      <c r="LGB32" s="28"/>
      <c r="LGC32" s="28"/>
      <c r="LGD32" s="28"/>
      <c r="LGE32" s="28"/>
      <c r="LGF32" s="28"/>
      <c r="LGG32" s="28"/>
      <c r="LGH32" s="28"/>
      <c r="LGI32" s="28"/>
      <c r="LGJ32" s="28"/>
      <c r="LGK32" s="28"/>
      <c r="LGL32" s="28"/>
      <c r="LGM32" s="28"/>
      <c r="LGN32" s="28"/>
      <c r="LGO32" s="28"/>
      <c r="LGP32" s="28"/>
      <c r="LGQ32" s="28"/>
      <c r="LGR32" s="28"/>
      <c r="LGS32" s="28"/>
      <c r="LGT32" s="28"/>
      <c r="LGU32" s="28"/>
      <c r="LGV32" s="28"/>
      <c r="LGW32" s="28"/>
      <c r="LGX32" s="28"/>
      <c r="LGY32" s="28"/>
      <c r="LGZ32" s="28"/>
      <c r="LHA32" s="28"/>
      <c r="LHB32" s="28"/>
      <c r="LHC32" s="28"/>
      <c r="LHD32" s="28"/>
      <c r="LHE32" s="28"/>
      <c r="LHF32" s="28"/>
      <c r="LHG32" s="28"/>
      <c r="LHH32" s="28"/>
      <c r="LHI32" s="28"/>
      <c r="LHJ32" s="28"/>
      <c r="LHK32" s="28"/>
      <c r="LHL32" s="28"/>
      <c r="LHM32" s="28"/>
      <c r="LHN32" s="28"/>
      <c r="LHO32" s="28"/>
      <c r="LHP32" s="28"/>
      <c r="LHQ32" s="28"/>
      <c r="LHR32" s="28"/>
      <c r="LHS32" s="28"/>
      <c r="LHT32" s="28"/>
      <c r="LHU32" s="28"/>
      <c r="LHV32" s="28"/>
      <c r="LHW32" s="28"/>
      <c r="LHX32" s="28"/>
      <c r="LHY32" s="28"/>
      <c r="LHZ32" s="28"/>
      <c r="LIA32" s="28"/>
      <c r="LIB32" s="28"/>
      <c r="LIC32" s="28"/>
      <c r="LID32" s="28"/>
      <c r="LIE32" s="28"/>
      <c r="LIF32" s="28"/>
      <c r="LIG32" s="28"/>
      <c r="LIH32" s="28"/>
      <c r="LII32" s="28"/>
      <c r="LIJ32" s="28"/>
      <c r="LIK32" s="28"/>
      <c r="LIL32" s="28"/>
      <c r="LIM32" s="28"/>
      <c r="LIN32" s="28"/>
      <c r="LIO32" s="28"/>
      <c r="LIP32" s="28"/>
      <c r="LIQ32" s="28"/>
      <c r="LIR32" s="28"/>
      <c r="LIS32" s="28"/>
      <c r="LIT32" s="28"/>
      <c r="LIU32" s="28"/>
      <c r="LIV32" s="28"/>
      <c r="LIW32" s="28"/>
      <c r="LIX32" s="28"/>
      <c r="LIY32" s="28"/>
      <c r="LIZ32" s="28"/>
      <c r="LJA32" s="28"/>
      <c r="LJB32" s="28"/>
      <c r="LJC32" s="28"/>
      <c r="LJD32" s="28"/>
      <c r="LJE32" s="28"/>
      <c r="LJF32" s="28"/>
      <c r="LJG32" s="28"/>
      <c r="LJH32" s="28"/>
      <c r="LJI32" s="28"/>
      <c r="LJJ32" s="28"/>
      <c r="LJK32" s="28"/>
      <c r="LJL32" s="28"/>
      <c r="LJM32" s="28"/>
      <c r="LJN32" s="28"/>
      <c r="LJO32" s="28"/>
      <c r="LJP32" s="28"/>
      <c r="LJQ32" s="28"/>
      <c r="LJR32" s="28"/>
      <c r="LJS32" s="28"/>
      <c r="LJT32" s="28"/>
      <c r="LJU32" s="28"/>
      <c r="LJV32" s="28"/>
      <c r="LJW32" s="28"/>
      <c r="LJX32" s="28"/>
      <c r="LJY32" s="28"/>
      <c r="LJZ32" s="28"/>
      <c r="LKA32" s="28"/>
      <c r="LKB32" s="28"/>
      <c r="LKC32" s="28"/>
      <c r="LKD32" s="28"/>
      <c r="LKE32" s="28"/>
      <c r="LKF32" s="28"/>
      <c r="LKG32" s="28"/>
      <c r="LKH32" s="28"/>
      <c r="LKI32" s="28"/>
      <c r="LKJ32" s="28"/>
      <c r="LKK32" s="28"/>
      <c r="LKL32" s="28"/>
      <c r="LKM32" s="28"/>
      <c r="LKN32" s="28"/>
      <c r="LKO32" s="28"/>
      <c r="LKP32" s="28"/>
      <c r="LKQ32" s="28"/>
      <c r="LKR32" s="28"/>
      <c r="LKS32" s="28"/>
      <c r="LKT32" s="28"/>
      <c r="LKU32" s="28"/>
      <c r="LKV32" s="28"/>
      <c r="LKW32" s="28"/>
      <c r="LKX32" s="28"/>
      <c r="LKY32" s="28"/>
      <c r="LKZ32" s="28"/>
      <c r="LLA32" s="28"/>
      <c r="LLB32" s="28"/>
      <c r="LLC32" s="28"/>
      <c r="LLD32" s="28"/>
      <c r="LLE32" s="28"/>
      <c r="LLF32" s="28"/>
      <c r="LLG32" s="28"/>
      <c r="LLH32" s="28"/>
      <c r="LLI32" s="28"/>
      <c r="LLJ32" s="28"/>
      <c r="LLK32" s="28"/>
      <c r="LLL32" s="28"/>
      <c r="LLM32" s="28"/>
      <c r="LLN32" s="28"/>
      <c r="LLO32" s="28"/>
      <c r="LLP32" s="28"/>
      <c r="LLQ32" s="28"/>
      <c r="LLR32" s="28"/>
      <c r="LLS32" s="28"/>
      <c r="LLT32" s="28"/>
      <c r="LLU32" s="28"/>
      <c r="LLV32" s="28"/>
      <c r="LLW32" s="28"/>
      <c r="LLX32" s="28"/>
      <c r="LLY32" s="28"/>
      <c r="LLZ32" s="28"/>
      <c r="LMA32" s="28"/>
      <c r="LMB32" s="28"/>
      <c r="LMC32" s="28"/>
      <c r="LMD32" s="28"/>
      <c r="LME32" s="28"/>
      <c r="LMF32" s="28"/>
      <c r="LMG32" s="28"/>
      <c r="LMH32" s="28"/>
      <c r="LMI32" s="28"/>
      <c r="LMJ32" s="28"/>
      <c r="LMK32" s="28"/>
      <c r="LML32" s="28"/>
      <c r="LMM32" s="28"/>
      <c r="LMN32" s="28"/>
      <c r="LMO32" s="28"/>
      <c r="LMP32" s="28"/>
      <c r="LMQ32" s="28"/>
      <c r="LMR32" s="28"/>
      <c r="LMS32" s="28"/>
      <c r="LMT32" s="28"/>
      <c r="LMU32" s="28"/>
      <c r="LMV32" s="28"/>
      <c r="LMW32" s="28"/>
      <c r="LMX32" s="28"/>
      <c r="LMY32" s="28"/>
      <c r="LMZ32" s="28"/>
      <c r="LNA32" s="28"/>
      <c r="LNB32" s="28"/>
      <c r="LNC32" s="28"/>
      <c r="LND32" s="28"/>
      <c r="LNE32" s="28"/>
      <c r="LNF32" s="28"/>
      <c r="LNG32" s="28"/>
      <c r="LNH32" s="28"/>
      <c r="LNI32" s="28"/>
      <c r="LNJ32" s="28"/>
      <c r="LNK32" s="28"/>
      <c r="LNL32" s="28"/>
      <c r="LNM32" s="28"/>
      <c r="LNN32" s="28"/>
      <c r="LNO32" s="28"/>
      <c r="LNP32" s="28"/>
      <c r="LNQ32" s="28"/>
      <c r="LNR32" s="28"/>
      <c r="LNS32" s="28"/>
      <c r="LNT32" s="28"/>
      <c r="LNU32" s="28"/>
      <c r="LNV32" s="28"/>
      <c r="LNW32" s="28"/>
      <c r="LNX32" s="28"/>
      <c r="LNY32" s="28"/>
      <c r="LNZ32" s="28"/>
      <c r="LOA32" s="28"/>
      <c r="LOB32" s="28"/>
      <c r="LOC32" s="28"/>
      <c r="LOD32" s="28"/>
      <c r="LOE32" s="28"/>
      <c r="LOF32" s="28"/>
      <c r="LOG32" s="28"/>
      <c r="LOH32" s="28"/>
      <c r="LOI32" s="28"/>
      <c r="LOJ32" s="28"/>
      <c r="LOK32" s="28"/>
      <c r="LOL32" s="28"/>
      <c r="LOM32" s="28"/>
      <c r="LON32" s="28"/>
      <c r="LOO32" s="28"/>
      <c r="LOP32" s="28"/>
      <c r="LOQ32" s="28"/>
      <c r="LOR32" s="28"/>
      <c r="LOS32" s="28"/>
      <c r="LOT32" s="28"/>
      <c r="LOU32" s="28"/>
      <c r="LOV32" s="28"/>
      <c r="LOW32" s="28"/>
      <c r="LOX32" s="28"/>
      <c r="LOY32" s="28"/>
      <c r="LOZ32" s="28"/>
      <c r="LPA32" s="28"/>
      <c r="LPB32" s="28"/>
      <c r="LPC32" s="28"/>
      <c r="LPD32" s="28"/>
      <c r="LPE32" s="28"/>
      <c r="LPF32" s="28"/>
      <c r="LPG32" s="28"/>
      <c r="LPH32" s="28"/>
      <c r="LPI32" s="28"/>
      <c r="LPJ32" s="28"/>
      <c r="LPK32" s="28"/>
      <c r="LPL32" s="28"/>
      <c r="LPM32" s="28"/>
      <c r="LPN32" s="28"/>
      <c r="LPO32" s="28"/>
      <c r="LPP32" s="28"/>
      <c r="LPQ32" s="28"/>
      <c r="LPR32" s="28"/>
      <c r="LPS32" s="28"/>
      <c r="LPT32" s="28"/>
      <c r="LPU32" s="28"/>
      <c r="LPV32" s="28"/>
      <c r="LPW32" s="28"/>
      <c r="LPX32" s="28"/>
      <c r="LPY32" s="28"/>
      <c r="LPZ32" s="28"/>
      <c r="LQA32" s="28"/>
      <c r="LQB32" s="28"/>
      <c r="LQC32" s="28"/>
      <c r="LQD32" s="28"/>
      <c r="LQE32" s="28"/>
      <c r="LQF32" s="28"/>
      <c r="LQG32" s="28"/>
      <c r="LQH32" s="28"/>
      <c r="LQI32" s="28"/>
      <c r="LQJ32" s="28"/>
      <c r="LQK32" s="28"/>
      <c r="LQL32" s="28"/>
      <c r="LQM32" s="28"/>
      <c r="LQN32" s="28"/>
      <c r="LQO32" s="28"/>
      <c r="LQP32" s="28"/>
      <c r="LQQ32" s="28"/>
      <c r="LQR32" s="28"/>
      <c r="LQS32" s="28"/>
      <c r="LQT32" s="28"/>
      <c r="LQU32" s="28"/>
      <c r="LQV32" s="28"/>
      <c r="LQW32" s="28"/>
      <c r="LQX32" s="28"/>
      <c r="LQY32" s="28"/>
      <c r="LQZ32" s="28"/>
      <c r="LRA32" s="28"/>
      <c r="LRB32" s="28"/>
      <c r="LRC32" s="28"/>
      <c r="LRD32" s="28"/>
      <c r="LRE32" s="28"/>
      <c r="LRF32" s="28"/>
      <c r="LRG32" s="28"/>
      <c r="LRH32" s="28"/>
      <c r="LRI32" s="28"/>
      <c r="LRJ32" s="28"/>
      <c r="LRK32" s="28"/>
      <c r="LRL32" s="28"/>
      <c r="LRM32" s="28"/>
      <c r="LRN32" s="28"/>
      <c r="LRO32" s="28"/>
      <c r="LRP32" s="28"/>
      <c r="LRQ32" s="28"/>
      <c r="LRR32" s="28"/>
      <c r="LRS32" s="28"/>
      <c r="LRT32" s="28"/>
      <c r="LRU32" s="28"/>
      <c r="LRV32" s="28"/>
      <c r="LRW32" s="28"/>
      <c r="LRX32" s="28"/>
      <c r="LRY32" s="28"/>
      <c r="LRZ32" s="28"/>
      <c r="LSA32" s="28"/>
      <c r="LSB32" s="28"/>
      <c r="LSC32" s="28"/>
      <c r="LSD32" s="28"/>
      <c r="LSE32" s="28"/>
      <c r="LSF32" s="28"/>
      <c r="LSG32" s="28"/>
      <c r="LSH32" s="28"/>
      <c r="LSI32" s="28"/>
      <c r="LSJ32" s="28"/>
      <c r="LSK32" s="28"/>
      <c r="LSL32" s="28"/>
      <c r="LSM32" s="28"/>
      <c r="LSN32" s="28"/>
      <c r="LSO32" s="28"/>
      <c r="LSP32" s="28"/>
      <c r="LSQ32" s="28"/>
      <c r="LSR32" s="28"/>
      <c r="LSS32" s="28"/>
      <c r="LST32" s="28"/>
      <c r="LSU32" s="28"/>
      <c r="LSV32" s="28"/>
      <c r="LSW32" s="28"/>
      <c r="LSX32" s="28"/>
      <c r="LSY32" s="28"/>
      <c r="LSZ32" s="28"/>
      <c r="LTA32" s="28"/>
      <c r="LTB32" s="28"/>
      <c r="LTC32" s="28"/>
      <c r="LTD32" s="28"/>
      <c r="LTE32" s="28"/>
      <c r="LTF32" s="28"/>
      <c r="LTG32" s="28"/>
      <c r="LTH32" s="28"/>
      <c r="LTI32" s="28"/>
      <c r="LTJ32" s="28"/>
      <c r="LTK32" s="28"/>
      <c r="LTL32" s="28"/>
      <c r="LTM32" s="28"/>
      <c r="LTN32" s="28"/>
      <c r="LTO32" s="28"/>
      <c r="LTP32" s="28"/>
      <c r="LTQ32" s="28"/>
      <c r="LTR32" s="28"/>
      <c r="LTS32" s="28"/>
      <c r="LTT32" s="28"/>
      <c r="LTU32" s="28"/>
      <c r="LTV32" s="28"/>
      <c r="LTW32" s="28"/>
      <c r="LTX32" s="28"/>
      <c r="LTY32" s="28"/>
      <c r="LTZ32" s="28"/>
      <c r="LUA32" s="28"/>
      <c r="LUB32" s="28"/>
      <c r="LUC32" s="28"/>
      <c r="LUD32" s="28"/>
      <c r="LUE32" s="28"/>
      <c r="LUF32" s="28"/>
      <c r="LUG32" s="28"/>
      <c r="LUH32" s="28"/>
      <c r="LUI32" s="28"/>
      <c r="LUJ32" s="28"/>
      <c r="LUK32" s="28"/>
      <c r="LUL32" s="28"/>
      <c r="LUM32" s="28"/>
      <c r="LUN32" s="28"/>
      <c r="LUO32" s="28"/>
      <c r="LUP32" s="28"/>
      <c r="LUQ32" s="28"/>
      <c r="LUR32" s="28"/>
      <c r="LUS32" s="28"/>
      <c r="LUT32" s="28"/>
      <c r="LUU32" s="28"/>
      <c r="LUV32" s="28"/>
      <c r="LUW32" s="28"/>
      <c r="LUX32" s="28"/>
      <c r="LUY32" s="28"/>
      <c r="LUZ32" s="28"/>
      <c r="LVA32" s="28"/>
      <c r="LVB32" s="28"/>
      <c r="LVC32" s="28"/>
      <c r="LVD32" s="28"/>
      <c r="LVE32" s="28"/>
      <c r="LVF32" s="28"/>
      <c r="LVG32" s="28"/>
      <c r="LVH32" s="28"/>
      <c r="LVI32" s="28"/>
      <c r="LVJ32" s="28"/>
      <c r="LVK32" s="28"/>
      <c r="LVL32" s="28"/>
      <c r="LVM32" s="28"/>
      <c r="LVN32" s="28"/>
      <c r="LVO32" s="28"/>
      <c r="LVP32" s="28"/>
      <c r="LVQ32" s="28"/>
      <c r="LVR32" s="28"/>
      <c r="LVS32" s="28"/>
      <c r="LVT32" s="28"/>
      <c r="LVU32" s="28"/>
      <c r="LVV32" s="28"/>
      <c r="LVW32" s="28"/>
      <c r="LVX32" s="28"/>
      <c r="LVY32" s="28"/>
      <c r="LVZ32" s="28"/>
      <c r="LWA32" s="28"/>
      <c r="LWB32" s="28"/>
      <c r="LWC32" s="28"/>
      <c r="LWD32" s="28"/>
      <c r="LWE32" s="28"/>
      <c r="LWF32" s="28"/>
      <c r="LWG32" s="28"/>
      <c r="LWH32" s="28"/>
      <c r="LWI32" s="28"/>
      <c r="LWJ32" s="28"/>
      <c r="LWK32" s="28"/>
      <c r="LWL32" s="28"/>
      <c r="LWM32" s="28"/>
      <c r="LWN32" s="28"/>
      <c r="LWO32" s="28"/>
      <c r="LWP32" s="28"/>
      <c r="LWQ32" s="28"/>
      <c r="LWR32" s="28"/>
      <c r="LWS32" s="28"/>
      <c r="LWT32" s="28"/>
      <c r="LWU32" s="28"/>
      <c r="LWV32" s="28"/>
      <c r="LWW32" s="28"/>
      <c r="LWX32" s="28"/>
      <c r="LWY32" s="28"/>
      <c r="LWZ32" s="28"/>
      <c r="LXA32" s="28"/>
      <c r="LXB32" s="28"/>
      <c r="LXC32" s="28"/>
      <c r="LXD32" s="28"/>
      <c r="LXE32" s="28"/>
      <c r="LXF32" s="28"/>
      <c r="LXG32" s="28"/>
      <c r="LXH32" s="28"/>
      <c r="LXI32" s="28"/>
      <c r="LXJ32" s="28"/>
      <c r="LXK32" s="28"/>
      <c r="LXL32" s="28"/>
      <c r="LXM32" s="28"/>
      <c r="LXN32" s="28"/>
      <c r="LXO32" s="28"/>
      <c r="LXP32" s="28"/>
      <c r="LXQ32" s="28"/>
      <c r="LXR32" s="28"/>
      <c r="LXS32" s="28"/>
      <c r="LXT32" s="28"/>
      <c r="LXU32" s="28"/>
      <c r="LXV32" s="28"/>
      <c r="LXW32" s="28"/>
      <c r="LXX32" s="28"/>
      <c r="LXY32" s="28"/>
      <c r="LXZ32" s="28"/>
      <c r="LYA32" s="28"/>
      <c r="LYB32" s="28"/>
      <c r="LYC32" s="28"/>
      <c r="LYD32" s="28"/>
      <c r="LYE32" s="28"/>
      <c r="LYF32" s="28"/>
      <c r="LYG32" s="28"/>
      <c r="LYH32" s="28"/>
      <c r="LYI32" s="28"/>
      <c r="LYJ32" s="28"/>
      <c r="LYK32" s="28"/>
      <c r="LYL32" s="28"/>
      <c r="LYM32" s="28"/>
      <c r="LYN32" s="28"/>
      <c r="LYO32" s="28"/>
      <c r="LYP32" s="28"/>
      <c r="LYQ32" s="28"/>
      <c r="LYR32" s="28"/>
      <c r="LYS32" s="28"/>
      <c r="LYT32" s="28"/>
      <c r="LYU32" s="28"/>
      <c r="LYV32" s="28"/>
      <c r="LYW32" s="28"/>
      <c r="LYX32" s="28"/>
      <c r="LYY32" s="28"/>
      <c r="LYZ32" s="28"/>
      <c r="LZA32" s="28"/>
      <c r="LZB32" s="28"/>
      <c r="LZC32" s="28"/>
      <c r="LZD32" s="28"/>
      <c r="LZE32" s="28"/>
      <c r="LZF32" s="28"/>
      <c r="LZG32" s="28"/>
      <c r="LZH32" s="28"/>
      <c r="LZI32" s="28"/>
      <c r="LZJ32" s="28"/>
      <c r="LZK32" s="28"/>
      <c r="LZL32" s="28"/>
      <c r="LZM32" s="28"/>
      <c r="LZN32" s="28"/>
      <c r="LZO32" s="28"/>
      <c r="LZP32" s="28"/>
      <c r="LZQ32" s="28"/>
      <c r="LZR32" s="28"/>
      <c r="LZS32" s="28"/>
      <c r="LZT32" s="28"/>
      <c r="LZU32" s="28"/>
      <c r="LZV32" s="28"/>
      <c r="LZW32" s="28"/>
      <c r="LZX32" s="28"/>
      <c r="LZY32" s="28"/>
      <c r="LZZ32" s="28"/>
      <c r="MAA32" s="28"/>
      <c r="MAB32" s="28"/>
      <c r="MAC32" s="28"/>
      <c r="MAD32" s="28"/>
      <c r="MAE32" s="28"/>
      <c r="MAF32" s="28"/>
      <c r="MAG32" s="28"/>
      <c r="MAH32" s="28"/>
      <c r="MAI32" s="28"/>
      <c r="MAJ32" s="28"/>
      <c r="MAK32" s="28"/>
      <c r="MAL32" s="28"/>
      <c r="MAM32" s="28"/>
      <c r="MAN32" s="28"/>
      <c r="MAO32" s="28"/>
      <c r="MAP32" s="28"/>
      <c r="MAQ32" s="28"/>
      <c r="MAR32" s="28"/>
      <c r="MAS32" s="28"/>
      <c r="MAT32" s="28"/>
      <c r="MAU32" s="28"/>
      <c r="MAV32" s="28"/>
      <c r="MAW32" s="28"/>
      <c r="MAX32" s="28"/>
      <c r="MAY32" s="28"/>
      <c r="MAZ32" s="28"/>
      <c r="MBA32" s="28"/>
      <c r="MBB32" s="28"/>
      <c r="MBC32" s="28"/>
      <c r="MBD32" s="28"/>
      <c r="MBE32" s="28"/>
      <c r="MBF32" s="28"/>
      <c r="MBG32" s="28"/>
      <c r="MBH32" s="28"/>
      <c r="MBI32" s="28"/>
      <c r="MBJ32" s="28"/>
      <c r="MBK32" s="28"/>
      <c r="MBL32" s="28"/>
      <c r="MBM32" s="28"/>
      <c r="MBN32" s="28"/>
      <c r="MBO32" s="28"/>
      <c r="MBP32" s="28"/>
      <c r="MBQ32" s="28"/>
      <c r="MBR32" s="28"/>
      <c r="MBS32" s="28"/>
      <c r="MBT32" s="28"/>
      <c r="MBU32" s="28"/>
      <c r="MBV32" s="28"/>
      <c r="MBW32" s="28"/>
      <c r="MBX32" s="28"/>
      <c r="MBY32" s="28"/>
      <c r="MBZ32" s="28"/>
      <c r="MCA32" s="28"/>
      <c r="MCB32" s="28"/>
      <c r="MCC32" s="28"/>
      <c r="MCD32" s="28"/>
      <c r="MCE32" s="28"/>
      <c r="MCF32" s="28"/>
      <c r="MCG32" s="28"/>
      <c r="MCH32" s="28"/>
      <c r="MCI32" s="28"/>
      <c r="MCJ32" s="28"/>
      <c r="MCK32" s="28"/>
      <c r="MCL32" s="28"/>
      <c r="MCM32" s="28"/>
      <c r="MCN32" s="28"/>
      <c r="MCO32" s="28"/>
      <c r="MCP32" s="28"/>
      <c r="MCQ32" s="28"/>
      <c r="MCR32" s="28"/>
      <c r="MCS32" s="28"/>
      <c r="MCT32" s="28"/>
      <c r="MCU32" s="28"/>
      <c r="MCV32" s="28"/>
      <c r="MCW32" s="28"/>
      <c r="MCX32" s="28"/>
      <c r="MCY32" s="28"/>
      <c r="MCZ32" s="28"/>
      <c r="MDA32" s="28"/>
      <c r="MDB32" s="28"/>
      <c r="MDC32" s="28"/>
      <c r="MDD32" s="28"/>
      <c r="MDE32" s="28"/>
      <c r="MDF32" s="28"/>
      <c r="MDG32" s="28"/>
      <c r="MDH32" s="28"/>
      <c r="MDI32" s="28"/>
      <c r="MDJ32" s="28"/>
      <c r="MDK32" s="28"/>
      <c r="MDL32" s="28"/>
      <c r="MDM32" s="28"/>
      <c r="MDN32" s="28"/>
      <c r="MDO32" s="28"/>
      <c r="MDP32" s="28"/>
      <c r="MDQ32" s="28"/>
      <c r="MDR32" s="28"/>
      <c r="MDS32" s="28"/>
      <c r="MDT32" s="28"/>
      <c r="MDU32" s="28"/>
      <c r="MDV32" s="28"/>
      <c r="MDW32" s="28"/>
      <c r="MDX32" s="28"/>
      <c r="MDY32" s="28"/>
      <c r="MDZ32" s="28"/>
      <c r="MEA32" s="28"/>
      <c r="MEB32" s="28"/>
      <c r="MEC32" s="28"/>
      <c r="MED32" s="28"/>
      <c r="MEE32" s="28"/>
      <c r="MEF32" s="28"/>
      <c r="MEG32" s="28"/>
      <c r="MEH32" s="28"/>
      <c r="MEI32" s="28"/>
      <c r="MEJ32" s="28"/>
      <c r="MEK32" s="28"/>
      <c r="MEL32" s="28"/>
      <c r="MEM32" s="28"/>
      <c r="MEN32" s="28"/>
      <c r="MEO32" s="28"/>
      <c r="MEP32" s="28"/>
      <c r="MEQ32" s="28"/>
      <c r="MER32" s="28"/>
      <c r="MES32" s="28"/>
      <c r="MET32" s="28"/>
      <c r="MEU32" s="28"/>
      <c r="MEV32" s="28"/>
      <c r="MEW32" s="28"/>
      <c r="MEX32" s="28"/>
      <c r="MEY32" s="28"/>
      <c r="MEZ32" s="28"/>
      <c r="MFA32" s="28"/>
      <c r="MFB32" s="28"/>
      <c r="MFC32" s="28"/>
      <c r="MFD32" s="28"/>
      <c r="MFE32" s="28"/>
      <c r="MFF32" s="28"/>
      <c r="MFG32" s="28"/>
      <c r="MFH32" s="28"/>
      <c r="MFI32" s="28"/>
      <c r="MFJ32" s="28"/>
      <c r="MFK32" s="28"/>
      <c r="MFL32" s="28"/>
      <c r="MFM32" s="28"/>
      <c r="MFN32" s="28"/>
      <c r="MFO32" s="28"/>
      <c r="MFP32" s="28"/>
      <c r="MFQ32" s="28"/>
      <c r="MFR32" s="28"/>
      <c r="MFS32" s="28"/>
      <c r="MFT32" s="28"/>
      <c r="MFU32" s="28"/>
      <c r="MFV32" s="28"/>
      <c r="MFW32" s="28"/>
      <c r="MFX32" s="28"/>
      <c r="MFY32" s="28"/>
      <c r="MFZ32" s="28"/>
      <c r="MGA32" s="28"/>
      <c r="MGB32" s="28"/>
      <c r="MGC32" s="28"/>
      <c r="MGD32" s="28"/>
      <c r="MGE32" s="28"/>
      <c r="MGF32" s="28"/>
      <c r="MGG32" s="28"/>
      <c r="MGH32" s="28"/>
      <c r="MGI32" s="28"/>
      <c r="MGJ32" s="28"/>
      <c r="MGK32" s="28"/>
      <c r="MGL32" s="28"/>
      <c r="MGM32" s="28"/>
      <c r="MGN32" s="28"/>
      <c r="MGO32" s="28"/>
      <c r="MGP32" s="28"/>
      <c r="MGQ32" s="28"/>
      <c r="MGR32" s="28"/>
      <c r="MGS32" s="28"/>
      <c r="MGT32" s="28"/>
      <c r="MGU32" s="28"/>
      <c r="MGV32" s="28"/>
      <c r="MGW32" s="28"/>
      <c r="MGX32" s="28"/>
      <c r="MGY32" s="28"/>
      <c r="MGZ32" s="28"/>
      <c r="MHA32" s="28"/>
      <c r="MHB32" s="28"/>
      <c r="MHC32" s="28"/>
      <c r="MHD32" s="28"/>
      <c r="MHE32" s="28"/>
      <c r="MHF32" s="28"/>
      <c r="MHG32" s="28"/>
      <c r="MHH32" s="28"/>
      <c r="MHI32" s="28"/>
      <c r="MHJ32" s="28"/>
      <c r="MHK32" s="28"/>
      <c r="MHL32" s="28"/>
      <c r="MHM32" s="28"/>
      <c r="MHN32" s="28"/>
      <c r="MHO32" s="28"/>
      <c r="MHP32" s="28"/>
      <c r="MHQ32" s="28"/>
      <c r="MHR32" s="28"/>
      <c r="MHS32" s="28"/>
      <c r="MHT32" s="28"/>
      <c r="MHU32" s="28"/>
      <c r="MHV32" s="28"/>
      <c r="MHW32" s="28"/>
      <c r="MHX32" s="28"/>
      <c r="MHY32" s="28"/>
      <c r="MHZ32" s="28"/>
      <c r="MIA32" s="28"/>
      <c r="MIB32" s="28"/>
      <c r="MIC32" s="28"/>
      <c r="MID32" s="28"/>
      <c r="MIE32" s="28"/>
      <c r="MIF32" s="28"/>
      <c r="MIG32" s="28"/>
      <c r="MIH32" s="28"/>
      <c r="MII32" s="28"/>
      <c r="MIJ32" s="28"/>
      <c r="MIK32" s="28"/>
      <c r="MIL32" s="28"/>
      <c r="MIM32" s="28"/>
      <c r="MIN32" s="28"/>
      <c r="MIO32" s="28"/>
      <c r="MIP32" s="28"/>
      <c r="MIQ32" s="28"/>
      <c r="MIR32" s="28"/>
      <c r="MIS32" s="28"/>
      <c r="MIT32" s="28"/>
      <c r="MIU32" s="28"/>
      <c r="MIV32" s="28"/>
      <c r="MIW32" s="28"/>
      <c r="MIX32" s="28"/>
      <c r="MIY32" s="28"/>
      <c r="MIZ32" s="28"/>
      <c r="MJA32" s="28"/>
      <c r="MJB32" s="28"/>
      <c r="MJC32" s="28"/>
      <c r="MJD32" s="28"/>
      <c r="MJE32" s="28"/>
      <c r="MJF32" s="28"/>
      <c r="MJG32" s="28"/>
      <c r="MJH32" s="28"/>
      <c r="MJI32" s="28"/>
      <c r="MJJ32" s="28"/>
      <c r="MJK32" s="28"/>
      <c r="MJL32" s="28"/>
      <c r="MJM32" s="28"/>
      <c r="MJN32" s="28"/>
      <c r="MJO32" s="28"/>
      <c r="MJP32" s="28"/>
      <c r="MJQ32" s="28"/>
      <c r="MJR32" s="28"/>
      <c r="MJS32" s="28"/>
      <c r="MJT32" s="28"/>
      <c r="MJU32" s="28"/>
      <c r="MJV32" s="28"/>
      <c r="MJW32" s="28"/>
      <c r="MJX32" s="28"/>
      <c r="MJY32" s="28"/>
      <c r="MJZ32" s="28"/>
      <c r="MKA32" s="28"/>
      <c r="MKB32" s="28"/>
      <c r="MKC32" s="28"/>
      <c r="MKD32" s="28"/>
      <c r="MKE32" s="28"/>
      <c r="MKF32" s="28"/>
      <c r="MKG32" s="28"/>
      <c r="MKH32" s="28"/>
      <c r="MKI32" s="28"/>
      <c r="MKJ32" s="28"/>
      <c r="MKK32" s="28"/>
      <c r="MKL32" s="28"/>
      <c r="MKM32" s="28"/>
      <c r="MKN32" s="28"/>
      <c r="MKO32" s="28"/>
      <c r="MKP32" s="28"/>
      <c r="MKQ32" s="28"/>
      <c r="MKR32" s="28"/>
      <c r="MKS32" s="28"/>
      <c r="MKT32" s="28"/>
      <c r="MKU32" s="28"/>
      <c r="MKV32" s="28"/>
      <c r="MKW32" s="28"/>
      <c r="MKX32" s="28"/>
      <c r="MKY32" s="28"/>
      <c r="MKZ32" s="28"/>
      <c r="MLA32" s="28"/>
      <c r="MLB32" s="28"/>
      <c r="MLC32" s="28"/>
      <c r="MLD32" s="28"/>
      <c r="MLE32" s="28"/>
      <c r="MLF32" s="28"/>
      <c r="MLG32" s="28"/>
      <c r="MLH32" s="28"/>
      <c r="MLI32" s="28"/>
      <c r="MLJ32" s="28"/>
      <c r="MLK32" s="28"/>
      <c r="MLL32" s="28"/>
      <c r="MLM32" s="28"/>
      <c r="MLN32" s="28"/>
      <c r="MLO32" s="28"/>
      <c r="MLP32" s="28"/>
      <c r="MLQ32" s="28"/>
      <c r="MLR32" s="28"/>
      <c r="MLS32" s="28"/>
      <c r="MLT32" s="28"/>
      <c r="MLU32" s="28"/>
      <c r="MLV32" s="28"/>
      <c r="MLW32" s="28"/>
      <c r="MLX32" s="28"/>
      <c r="MLY32" s="28"/>
      <c r="MLZ32" s="28"/>
      <c r="MMA32" s="28"/>
      <c r="MMB32" s="28"/>
      <c r="MMC32" s="28"/>
      <c r="MMD32" s="28"/>
      <c r="MME32" s="28"/>
      <c r="MMF32" s="28"/>
      <c r="MMG32" s="28"/>
      <c r="MMH32" s="28"/>
      <c r="MMI32" s="28"/>
      <c r="MMJ32" s="28"/>
      <c r="MMK32" s="28"/>
      <c r="MML32" s="28"/>
      <c r="MMM32" s="28"/>
      <c r="MMN32" s="28"/>
      <c r="MMO32" s="28"/>
      <c r="MMP32" s="28"/>
      <c r="MMQ32" s="28"/>
      <c r="MMR32" s="28"/>
      <c r="MMS32" s="28"/>
      <c r="MMT32" s="28"/>
      <c r="MMU32" s="28"/>
      <c r="MMV32" s="28"/>
      <c r="MMW32" s="28"/>
      <c r="MMX32" s="28"/>
      <c r="MMY32" s="28"/>
      <c r="MMZ32" s="28"/>
      <c r="MNA32" s="28"/>
      <c r="MNB32" s="28"/>
      <c r="MNC32" s="28"/>
      <c r="MND32" s="28"/>
      <c r="MNE32" s="28"/>
      <c r="MNF32" s="28"/>
      <c r="MNG32" s="28"/>
      <c r="MNH32" s="28"/>
      <c r="MNI32" s="28"/>
      <c r="MNJ32" s="28"/>
      <c r="MNK32" s="28"/>
      <c r="MNL32" s="28"/>
      <c r="MNM32" s="28"/>
      <c r="MNN32" s="28"/>
      <c r="MNO32" s="28"/>
      <c r="MNP32" s="28"/>
      <c r="MNQ32" s="28"/>
      <c r="MNR32" s="28"/>
      <c r="MNS32" s="28"/>
      <c r="MNT32" s="28"/>
      <c r="MNU32" s="28"/>
      <c r="MNV32" s="28"/>
      <c r="MNW32" s="28"/>
      <c r="MNX32" s="28"/>
      <c r="MNY32" s="28"/>
      <c r="MNZ32" s="28"/>
      <c r="MOA32" s="28"/>
      <c r="MOB32" s="28"/>
      <c r="MOC32" s="28"/>
      <c r="MOD32" s="28"/>
      <c r="MOE32" s="28"/>
      <c r="MOF32" s="28"/>
      <c r="MOG32" s="28"/>
      <c r="MOH32" s="28"/>
      <c r="MOI32" s="28"/>
      <c r="MOJ32" s="28"/>
      <c r="MOK32" s="28"/>
      <c r="MOL32" s="28"/>
      <c r="MOM32" s="28"/>
      <c r="MON32" s="28"/>
      <c r="MOO32" s="28"/>
      <c r="MOP32" s="28"/>
      <c r="MOQ32" s="28"/>
      <c r="MOR32" s="28"/>
      <c r="MOS32" s="28"/>
      <c r="MOT32" s="28"/>
      <c r="MOU32" s="28"/>
      <c r="MOV32" s="28"/>
      <c r="MOW32" s="28"/>
      <c r="MOX32" s="28"/>
      <c r="MOY32" s="28"/>
      <c r="MOZ32" s="28"/>
      <c r="MPA32" s="28"/>
      <c r="MPB32" s="28"/>
      <c r="MPC32" s="28"/>
      <c r="MPD32" s="28"/>
      <c r="MPE32" s="28"/>
      <c r="MPF32" s="28"/>
      <c r="MPG32" s="28"/>
      <c r="MPH32" s="28"/>
      <c r="MPI32" s="28"/>
      <c r="MPJ32" s="28"/>
      <c r="MPK32" s="28"/>
      <c r="MPL32" s="28"/>
      <c r="MPM32" s="28"/>
      <c r="MPN32" s="28"/>
      <c r="MPO32" s="28"/>
      <c r="MPP32" s="28"/>
      <c r="MPQ32" s="28"/>
      <c r="MPR32" s="28"/>
      <c r="MPS32" s="28"/>
      <c r="MPT32" s="28"/>
      <c r="MPU32" s="28"/>
      <c r="MPV32" s="28"/>
      <c r="MPW32" s="28"/>
      <c r="MPX32" s="28"/>
      <c r="MPY32" s="28"/>
      <c r="MPZ32" s="28"/>
      <c r="MQA32" s="28"/>
      <c r="MQB32" s="28"/>
      <c r="MQC32" s="28"/>
      <c r="MQD32" s="28"/>
      <c r="MQE32" s="28"/>
      <c r="MQF32" s="28"/>
      <c r="MQG32" s="28"/>
      <c r="MQH32" s="28"/>
      <c r="MQI32" s="28"/>
      <c r="MQJ32" s="28"/>
      <c r="MQK32" s="28"/>
      <c r="MQL32" s="28"/>
      <c r="MQM32" s="28"/>
      <c r="MQN32" s="28"/>
      <c r="MQO32" s="28"/>
      <c r="MQP32" s="28"/>
      <c r="MQQ32" s="28"/>
      <c r="MQR32" s="28"/>
      <c r="MQS32" s="28"/>
      <c r="MQT32" s="28"/>
      <c r="MQU32" s="28"/>
      <c r="MQV32" s="28"/>
      <c r="MQW32" s="28"/>
      <c r="MQX32" s="28"/>
      <c r="MQY32" s="28"/>
      <c r="MQZ32" s="28"/>
      <c r="MRA32" s="28"/>
      <c r="MRB32" s="28"/>
      <c r="MRC32" s="28"/>
      <c r="MRD32" s="28"/>
      <c r="MRE32" s="28"/>
      <c r="MRF32" s="28"/>
      <c r="MRG32" s="28"/>
      <c r="MRH32" s="28"/>
      <c r="MRI32" s="28"/>
      <c r="MRJ32" s="28"/>
      <c r="MRK32" s="28"/>
      <c r="MRL32" s="28"/>
      <c r="MRM32" s="28"/>
      <c r="MRN32" s="28"/>
      <c r="MRO32" s="28"/>
      <c r="MRP32" s="28"/>
      <c r="MRQ32" s="28"/>
      <c r="MRR32" s="28"/>
      <c r="MRS32" s="28"/>
      <c r="MRT32" s="28"/>
      <c r="MRU32" s="28"/>
      <c r="MRV32" s="28"/>
      <c r="MRW32" s="28"/>
      <c r="MRX32" s="28"/>
      <c r="MRY32" s="28"/>
      <c r="MRZ32" s="28"/>
      <c r="MSA32" s="28"/>
      <c r="MSB32" s="28"/>
      <c r="MSC32" s="28"/>
      <c r="MSD32" s="28"/>
      <c r="MSE32" s="28"/>
      <c r="MSF32" s="28"/>
      <c r="MSG32" s="28"/>
      <c r="MSH32" s="28"/>
      <c r="MSI32" s="28"/>
      <c r="MSJ32" s="28"/>
      <c r="MSK32" s="28"/>
      <c r="MSL32" s="28"/>
      <c r="MSM32" s="28"/>
      <c r="MSN32" s="28"/>
      <c r="MSO32" s="28"/>
      <c r="MSP32" s="28"/>
      <c r="MSQ32" s="28"/>
      <c r="MSR32" s="28"/>
      <c r="MSS32" s="28"/>
      <c r="MST32" s="28"/>
      <c r="MSU32" s="28"/>
      <c r="MSV32" s="28"/>
      <c r="MSW32" s="28"/>
      <c r="MSX32" s="28"/>
      <c r="MSY32" s="28"/>
      <c r="MSZ32" s="28"/>
      <c r="MTA32" s="28"/>
      <c r="MTB32" s="28"/>
      <c r="MTC32" s="28"/>
      <c r="MTD32" s="28"/>
      <c r="MTE32" s="28"/>
      <c r="MTF32" s="28"/>
      <c r="MTG32" s="28"/>
      <c r="MTH32" s="28"/>
      <c r="MTI32" s="28"/>
      <c r="MTJ32" s="28"/>
      <c r="MTK32" s="28"/>
      <c r="MTL32" s="28"/>
      <c r="MTM32" s="28"/>
      <c r="MTN32" s="28"/>
      <c r="MTO32" s="28"/>
      <c r="MTP32" s="28"/>
      <c r="MTQ32" s="28"/>
      <c r="MTR32" s="28"/>
      <c r="MTS32" s="28"/>
      <c r="MTT32" s="28"/>
      <c r="MTU32" s="28"/>
      <c r="MTV32" s="28"/>
      <c r="MTW32" s="28"/>
      <c r="MTX32" s="28"/>
      <c r="MTY32" s="28"/>
      <c r="MTZ32" s="28"/>
      <c r="MUA32" s="28"/>
      <c r="MUB32" s="28"/>
      <c r="MUC32" s="28"/>
      <c r="MUD32" s="28"/>
      <c r="MUE32" s="28"/>
      <c r="MUF32" s="28"/>
      <c r="MUG32" s="28"/>
      <c r="MUH32" s="28"/>
      <c r="MUI32" s="28"/>
      <c r="MUJ32" s="28"/>
      <c r="MUK32" s="28"/>
      <c r="MUL32" s="28"/>
      <c r="MUM32" s="28"/>
      <c r="MUN32" s="28"/>
      <c r="MUO32" s="28"/>
      <c r="MUP32" s="28"/>
      <c r="MUQ32" s="28"/>
      <c r="MUR32" s="28"/>
      <c r="MUS32" s="28"/>
      <c r="MUT32" s="28"/>
      <c r="MUU32" s="28"/>
      <c r="MUV32" s="28"/>
      <c r="MUW32" s="28"/>
      <c r="MUX32" s="28"/>
      <c r="MUY32" s="28"/>
      <c r="MUZ32" s="28"/>
      <c r="MVA32" s="28"/>
      <c r="MVB32" s="28"/>
      <c r="MVC32" s="28"/>
      <c r="MVD32" s="28"/>
      <c r="MVE32" s="28"/>
      <c r="MVF32" s="28"/>
      <c r="MVG32" s="28"/>
      <c r="MVH32" s="28"/>
      <c r="MVI32" s="28"/>
      <c r="MVJ32" s="28"/>
      <c r="MVK32" s="28"/>
      <c r="MVL32" s="28"/>
      <c r="MVM32" s="28"/>
      <c r="MVN32" s="28"/>
      <c r="MVO32" s="28"/>
      <c r="MVP32" s="28"/>
      <c r="MVQ32" s="28"/>
      <c r="MVR32" s="28"/>
      <c r="MVS32" s="28"/>
      <c r="MVT32" s="28"/>
      <c r="MVU32" s="28"/>
      <c r="MVV32" s="28"/>
      <c r="MVW32" s="28"/>
      <c r="MVX32" s="28"/>
      <c r="MVY32" s="28"/>
      <c r="MVZ32" s="28"/>
      <c r="MWA32" s="28"/>
      <c r="MWB32" s="28"/>
      <c r="MWC32" s="28"/>
      <c r="MWD32" s="28"/>
      <c r="MWE32" s="28"/>
      <c r="MWF32" s="28"/>
      <c r="MWG32" s="28"/>
      <c r="MWH32" s="28"/>
      <c r="MWI32" s="28"/>
      <c r="MWJ32" s="28"/>
      <c r="MWK32" s="28"/>
      <c r="MWL32" s="28"/>
      <c r="MWM32" s="28"/>
      <c r="MWN32" s="28"/>
      <c r="MWO32" s="28"/>
      <c r="MWP32" s="28"/>
      <c r="MWQ32" s="28"/>
      <c r="MWR32" s="28"/>
      <c r="MWS32" s="28"/>
      <c r="MWT32" s="28"/>
      <c r="MWU32" s="28"/>
      <c r="MWV32" s="28"/>
      <c r="MWW32" s="28"/>
      <c r="MWX32" s="28"/>
      <c r="MWY32" s="28"/>
      <c r="MWZ32" s="28"/>
      <c r="MXA32" s="28"/>
      <c r="MXB32" s="28"/>
      <c r="MXC32" s="28"/>
      <c r="MXD32" s="28"/>
      <c r="MXE32" s="28"/>
      <c r="MXF32" s="28"/>
      <c r="MXG32" s="28"/>
      <c r="MXH32" s="28"/>
      <c r="MXI32" s="28"/>
      <c r="MXJ32" s="28"/>
      <c r="MXK32" s="28"/>
      <c r="MXL32" s="28"/>
      <c r="MXM32" s="28"/>
      <c r="MXN32" s="28"/>
      <c r="MXO32" s="28"/>
      <c r="MXP32" s="28"/>
      <c r="MXQ32" s="28"/>
      <c r="MXR32" s="28"/>
      <c r="MXS32" s="28"/>
      <c r="MXT32" s="28"/>
      <c r="MXU32" s="28"/>
      <c r="MXV32" s="28"/>
      <c r="MXW32" s="28"/>
      <c r="MXX32" s="28"/>
      <c r="MXY32" s="28"/>
      <c r="MXZ32" s="28"/>
      <c r="MYA32" s="28"/>
      <c r="MYB32" s="28"/>
      <c r="MYC32" s="28"/>
      <c r="MYD32" s="28"/>
      <c r="MYE32" s="28"/>
      <c r="MYF32" s="28"/>
      <c r="MYG32" s="28"/>
      <c r="MYH32" s="28"/>
      <c r="MYI32" s="28"/>
      <c r="MYJ32" s="28"/>
      <c r="MYK32" s="28"/>
      <c r="MYL32" s="28"/>
      <c r="MYM32" s="28"/>
      <c r="MYN32" s="28"/>
      <c r="MYO32" s="28"/>
      <c r="MYP32" s="28"/>
      <c r="MYQ32" s="28"/>
      <c r="MYR32" s="28"/>
      <c r="MYS32" s="28"/>
      <c r="MYT32" s="28"/>
      <c r="MYU32" s="28"/>
      <c r="MYV32" s="28"/>
      <c r="MYW32" s="28"/>
      <c r="MYX32" s="28"/>
      <c r="MYY32" s="28"/>
      <c r="MYZ32" s="28"/>
      <c r="MZA32" s="28"/>
      <c r="MZB32" s="28"/>
      <c r="MZC32" s="28"/>
      <c r="MZD32" s="28"/>
      <c r="MZE32" s="28"/>
      <c r="MZF32" s="28"/>
      <c r="MZG32" s="28"/>
      <c r="MZH32" s="28"/>
      <c r="MZI32" s="28"/>
      <c r="MZJ32" s="28"/>
      <c r="MZK32" s="28"/>
      <c r="MZL32" s="28"/>
      <c r="MZM32" s="28"/>
      <c r="MZN32" s="28"/>
      <c r="MZO32" s="28"/>
      <c r="MZP32" s="28"/>
      <c r="MZQ32" s="28"/>
      <c r="MZR32" s="28"/>
      <c r="MZS32" s="28"/>
      <c r="MZT32" s="28"/>
      <c r="MZU32" s="28"/>
      <c r="MZV32" s="28"/>
      <c r="MZW32" s="28"/>
      <c r="MZX32" s="28"/>
      <c r="MZY32" s="28"/>
      <c r="MZZ32" s="28"/>
      <c r="NAA32" s="28"/>
      <c r="NAB32" s="28"/>
      <c r="NAC32" s="28"/>
      <c r="NAD32" s="28"/>
      <c r="NAE32" s="28"/>
      <c r="NAF32" s="28"/>
      <c r="NAG32" s="28"/>
      <c r="NAH32" s="28"/>
      <c r="NAI32" s="28"/>
      <c r="NAJ32" s="28"/>
      <c r="NAK32" s="28"/>
      <c r="NAL32" s="28"/>
      <c r="NAM32" s="28"/>
      <c r="NAN32" s="28"/>
      <c r="NAO32" s="28"/>
      <c r="NAP32" s="28"/>
      <c r="NAQ32" s="28"/>
      <c r="NAR32" s="28"/>
      <c r="NAS32" s="28"/>
      <c r="NAT32" s="28"/>
      <c r="NAU32" s="28"/>
      <c r="NAV32" s="28"/>
      <c r="NAW32" s="28"/>
      <c r="NAX32" s="28"/>
      <c r="NAY32" s="28"/>
      <c r="NAZ32" s="28"/>
      <c r="NBA32" s="28"/>
      <c r="NBB32" s="28"/>
      <c r="NBC32" s="28"/>
      <c r="NBD32" s="28"/>
      <c r="NBE32" s="28"/>
      <c r="NBF32" s="28"/>
      <c r="NBG32" s="28"/>
      <c r="NBH32" s="28"/>
      <c r="NBI32" s="28"/>
      <c r="NBJ32" s="28"/>
      <c r="NBK32" s="28"/>
      <c r="NBL32" s="28"/>
      <c r="NBM32" s="28"/>
      <c r="NBN32" s="28"/>
      <c r="NBO32" s="28"/>
      <c r="NBP32" s="28"/>
      <c r="NBQ32" s="28"/>
      <c r="NBR32" s="28"/>
      <c r="NBS32" s="28"/>
      <c r="NBT32" s="28"/>
      <c r="NBU32" s="28"/>
      <c r="NBV32" s="28"/>
      <c r="NBW32" s="28"/>
      <c r="NBX32" s="28"/>
      <c r="NBY32" s="28"/>
      <c r="NBZ32" s="28"/>
      <c r="NCA32" s="28"/>
      <c r="NCB32" s="28"/>
      <c r="NCC32" s="28"/>
      <c r="NCD32" s="28"/>
      <c r="NCE32" s="28"/>
      <c r="NCF32" s="28"/>
      <c r="NCG32" s="28"/>
      <c r="NCH32" s="28"/>
      <c r="NCI32" s="28"/>
      <c r="NCJ32" s="28"/>
      <c r="NCK32" s="28"/>
      <c r="NCL32" s="28"/>
      <c r="NCM32" s="28"/>
      <c r="NCN32" s="28"/>
      <c r="NCO32" s="28"/>
      <c r="NCP32" s="28"/>
      <c r="NCQ32" s="28"/>
      <c r="NCR32" s="28"/>
      <c r="NCS32" s="28"/>
      <c r="NCT32" s="28"/>
      <c r="NCU32" s="28"/>
      <c r="NCV32" s="28"/>
      <c r="NCW32" s="28"/>
      <c r="NCX32" s="28"/>
      <c r="NCY32" s="28"/>
      <c r="NCZ32" s="28"/>
      <c r="NDA32" s="28"/>
      <c r="NDB32" s="28"/>
      <c r="NDC32" s="28"/>
      <c r="NDD32" s="28"/>
      <c r="NDE32" s="28"/>
      <c r="NDF32" s="28"/>
      <c r="NDG32" s="28"/>
      <c r="NDH32" s="28"/>
      <c r="NDI32" s="28"/>
      <c r="NDJ32" s="28"/>
      <c r="NDK32" s="28"/>
      <c r="NDL32" s="28"/>
      <c r="NDM32" s="28"/>
      <c r="NDN32" s="28"/>
      <c r="NDO32" s="28"/>
      <c r="NDP32" s="28"/>
      <c r="NDQ32" s="28"/>
      <c r="NDR32" s="28"/>
      <c r="NDS32" s="28"/>
      <c r="NDT32" s="28"/>
      <c r="NDU32" s="28"/>
      <c r="NDV32" s="28"/>
      <c r="NDW32" s="28"/>
      <c r="NDX32" s="28"/>
      <c r="NDY32" s="28"/>
      <c r="NDZ32" s="28"/>
      <c r="NEA32" s="28"/>
      <c r="NEB32" s="28"/>
      <c r="NEC32" s="28"/>
      <c r="NED32" s="28"/>
      <c r="NEE32" s="28"/>
      <c r="NEF32" s="28"/>
      <c r="NEG32" s="28"/>
      <c r="NEH32" s="28"/>
      <c r="NEI32" s="28"/>
      <c r="NEJ32" s="28"/>
      <c r="NEK32" s="28"/>
      <c r="NEL32" s="28"/>
      <c r="NEM32" s="28"/>
      <c r="NEN32" s="28"/>
      <c r="NEO32" s="28"/>
      <c r="NEP32" s="28"/>
      <c r="NEQ32" s="28"/>
      <c r="NER32" s="28"/>
      <c r="NES32" s="28"/>
      <c r="NET32" s="28"/>
      <c r="NEU32" s="28"/>
      <c r="NEV32" s="28"/>
      <c r="NEW32" s="28"/>
      <c r="NEX32" s="28"/>
      <c r="NEY32" s="28"/>
      <c r="NEZ32" s="28"/>
      <c r="NFA32" s="28"/>
      <c r="NFB32" s="28"/>
      <c r="NFC32" s="28"/>
      <c r="NFD32" s="28"/>
      <c r="NFE32" s="28"/>
      <c r="NFF32" s="28"/>
      <c r="NFG32" s="28"/>
      <c r="NFH32" s="28"/>
      <c r="NFI32" s="28"/>
      <c r="NFJ32" s="28"/>
      <c r="NFK32" s="28"/>
      <c r="NFL32" s="28"/>
      <c r="NFM32" s="28"/>
      <c r="NFN32" s="28"/>
      <c r="NFO32" s="28"/>
      <c r="NFP32" s="28"/>
      <c r="NFQ32" s="28"/>
      <c r="NFR32" s="28"/>
      <c r="NFS32" s="28"/>
      <c r="NFT32" s="28"/>
      <c r="NFU32" s="28"/>
      <c r="NFV32" s="28"/>
      <c r="NFW32" s="28"/>
      <c r="NFX32" s="28"/>
      <c r="NFY32" s="28"/>
      <c r="NFZ32" s="28"/>
      <c r="NGA32" s="28"/>
      <c r="NGB32" s="28"/>
      <c r="NGC32" s="28"/>
      <c r="NGD32" s="28"/>
      <c r="NGE32" s="28"/>
      <c r="NGF32" s="28"/>
      <c r="NGG32" s="28"/>
      <c r="NGH32" s="28"/>
      <c r="NGI32" s="28"/>
      <c r="NGJ32" s="28"/>
      <c r="NGK32" s="28"/>
      <c r="NGL32" s="28"/>
      <c r="NGM32" s="28"/>
      <c r="NGN32" s="28"/>
      <c r="NGO32" s="28"/>
      <c r="NGP32" s="28"/>
      <c r="NGQ32" s="28"/>
      <c r="NGR32" s="28"/>
      <c r="NGS32" s="28"/>
      <c r="NGT32" s="28"/>
      <c r="NGU32" s="28"/>
      <c r="NGV32" s="28"/>
      <c r="NGW32" s="28"/>
      <c r="NGX32" s="28"/>
      <c r="NGY32" s="28"/>
      <c r="NGZ32" s="28"/>
      <c r="NHA32" s="28"/>
      <c r="NHB32" s="28"/>
      <c r="NHC32" s="28"/>
      <c r="NHD32" s="28"/>
      <c r="NHE32" s="28"/>
      <c r="NHF32" s="28"/>
      <c r="NHG32" s="28"/>
      <c r="NHH32" s="28"/>
      <c r="NHI32" s="28"/>
      <c r="NHJ32" s="28"/>
      <c r="NHK32" s="28"/>
      <c r="NHL32" s="28"/>
      <c r="NHM32" s="28"/>
      <c r="NHN32" s="28"/>
      <c r="NHO32" s="28"/>
      <c r="NHP32" s="28"/>
      <c r="NHQ32" s="28"/>
      <c r="NHR32" s="28"/>
      <c r="NHS32" s="28"/>
      <c r="NHT32" s="28"/>
      <c r="NHU32" s="28"/>
      <c r="NHV32" s="28"/>
      <c r="NHW32" s="28"/>
      <c r="NHX32" s="28"/>
      <c r="NHY32" s="28"/>
      <c r="NHZ32" s="28"/>
      <c r="NIA32" s="28"/>
      <c r="NIB32" s="28"/>
      <c r="NIC32" s="28"/>
      <c r="NID32" s="28"/>
      <c r="NIE32" s="28"/>
      <c r="NIF32" s="28"/>
      <c r="NIG32" s="28"/>
      <c r="NIH32" s="28"/>
      <c r="NII32" s="28"/>
      <c r="NIJ32" s="28"/>
      <c r="NIK32" s="28"/>
      <c r="NIL32" s="28"/>
      <c r="NIM32" s="28"/>
      <c r="NIN32" s="28"/>
      <c r="NIO32" s="28"/>
      <c r="NIP32" s="28"/>
      <c r="NIQ32" s="28"/>
      <c r="NIR32" s="28"/>
      <c r="NIS32" s="28"/>
      <c r="NIT32" s="28"/>
      <c r="NIU32" s="28"/>
      <c r="NIV32" s="28"/>
      <c r="NIW32" s="28"/>
      <c r="NIX32" s="28"/>
      <c r="NIY32" s="28"/>
      <c r="NIZ32" s="28"/>
      <c r="NJA32" s="28"/>
      <c r="NJB32" s="28"/>
      <c r="NJC32" s="28"/>
      <c r="NJD32" s="28"/>
      <c r="NJE32" s="28"/>
      <c r="NJF32" s="28"/>
      <c r="NJG32" s="28"/>
      <c r="NJH32" s="28"/>
      <c r="NJI32" s="28"/>
      <c r="NJJ32" s="28"/>
      <c r="NJK32" s="28"/>
      <c r="NJL32" s="28"/>
      <c r="NJM32" s="28"/>
      <c r="NJN32" s="28"/>
      <c r="NJO32" s="28"/>
      <c r="NJP32" s="28"/>
      <c r="NJQ32" s="28"/>
      <c r="NJR32" s="28"/>
      <c r="NJS32" s="28"/>
      <c r="NJT32" s="28"/>
      <c r="NJU32" s="28"/>
      <c r="NJV32" s="28"/>
      <c r="NJW32" s="28"/>
      <c r="NJX32" s="28"/>
      <c r="NJY32" s="28"/>
      <c r="NJZ32" s="28"/>
      <c r="NKA32" s="28"/>
      <c r="NKB32" s="28"/>
      <c r="NKC32" s="28"/>
      <c r="NKD32" s="28"/>
      <c r="NKE32" s="28"/>
      <c r="NKF32" s="28"/>
      <c r="NKG32" s="28"/>
      <c r="NKH32" s="28"/>
      <c r="NKI32" s="28"/>
      <c r="NKJ32" s="28"/>
      <c r="NKK32" s="28"/>
      <c r="NKL32" s="28"/>
      <c r="NKM32" s="28"/>
      <c r="NKN32" s="28"/>
      <c r="NKO32" s="28"/>
      <c r="NKP32" s="28"/>
      <c r="NKQ32" s="28"/>
      <c r="NKR32" s="28"/>
      <c r="NKS32" s="28"/>
      <c r="NKT32" s="28"/>
      <c r="NKU32" s="28"/>
      <c r="NKV32" s="28"/>
      <c r="NKW32" s="28"/>
      <c r="NKX32" s="28"/>
      <c r="NKY32" s="28"/>
      <c r="NKZ32" s="28"/>
      <c r="NLA32" s="28"/>
      <c r="NLB32" s="28"/>
      <c r="NLC32" s="28"/>
      <c r="NLD32" s="28"/>
      <c r="NLE32" s="28"/>
      <c r="NLF32" s="28"/>
      <c r="NLG32" s="28"/>
      <c r="NLH32" s="28"/>
      <c r="NLI32" s="28"/>
      <c r="NLJ32" s="28"/>
      <c r="NLK32" s="28"/>
      <c r="NLL32" s="28"/>
      <c r="NLM32" s="28"/>
      <c r="NLN32" s="28"/>
      <c r="NLO32" s="28"/>
      <c r="NLP32" s="28"/>
      <c r="NLQ32" s="28"/>
      <c r="NLR32" s="28"/>
      <c r="NLS32" s="28"/>
      <c r="NLT32" s="28"/>
      <c r="NLU32" s="28"/>
      <c r="NLV32" s="28"/>
      <c r="NLW32" s="28"/>
      <c r="NLX32" s="28"/>
      <c r="NLY32" s="28"/>
      <c r="NLZ32" s="28"/>
      <c r="NMA32" s="28"/>
      <c r="NMB32" s="28"/>
      <c r="NMC32" s="28"/>
      <c r="NMD32" s="28"/>
      <c r="NME32" s="28"/>
      <c r="NMF32" s="28"/>
      <c r="NMG32" s="28"/>
      <c r="NMH32" s="28"/>
      <c r="NMI32" s="28"/>
      <c r="NMJ32" s="28"/>
      <c r="NMK32" s="28"/>
      <c r="NML32" s="28"/>
      <c r="NMM32" s="28"/>
      <c r="NMN32" s="28"/>
      <c r="NMO32" s="28"/>
      <c r="NMP32" s="28"/>
      <c r="NMQ32" s="28"/>
      <c r="NMR32" s="28"/>
      <c r="NMS32" s="28"/>
      <c r="NMT32" s="28"/>
      <c r="NMU32" s="28"/>
      <c r="NMV32" s="28"/>
      <c r="NMW32" s="28"/>
      <c r="NMX32" s="28"/>
      <c r="NMY32" s="28"/>
      <c r="NMZ32" s="28"/>
      <c r="NNA32" s="28"/>
      <c r="NNB32" s="28"/>
      <c r="NNC32" s="28"/>
      <c r="NND32" s="28"/>
      <c r="NNE32" s="28"/>
      <c r="NNF32" s="28"/>
      <c r="NNG32" s="28"/>
      <c r="NNH32" s="28"/>
      <c r="NNI32" s="28"/>
      <c r="NNJ32" s="28"/>
      <c r="NNK32" s="28"/>
      <c r="NNL32" s="28"/>
      <c r="NNM32" s="28"/>
      <c r="NNN32" s="28"/>
      <c r="NNO32" s="28"/>
      <c r="NNP32" s="28"/>
      <c r="NNQ32" s="28"/>
      <c r="NNR32" s="28"/>
      <c r="NNS32" s="28"/>
      <c r="NNT32" s="28"/>
      <c r="NNU32" s="28"/>
      <c r="NNV32" s="28"/>
      <c r="NNW32" s="28"/>
      <c r="NNX32" s="28"/>
      <c r="NNY32" s="28"/>
      <c r="NNZ32" s="28"/>
      <c r="NOA32" s="28"/>
      <c r="NOB32" s="28"/>
      <c r="NOC32" s="28"/>
      <c r="NOD32" s="28"/>
      <c r="NOE32" s="28"/>
      <c r="NOF32" s="28"/>
      <c r="NOG32" s="28"/>
      <c r="NOH32" s="28"/>
      <c r="NOI32" s="28"/>
      <c r="NOJ32" s="28"/>
      <c r="NOK32" s="28"/>
      <c r="NOL32" s="28"/>
      <c r="NOM32" s="28"/>
      <c r="NON32" s="28"/>
      <c r="NOO32" s="28"/>
      <c r="NOP32" s="28"/>
      <c r="NOQ32" s="28"/>
      <c r="NOR32" s="28"/>
      <c r="NOS32" s="28"/>
      <c r="NOT32" s="28"/>
      <c r="NOU32" s="28"/>
      <c r="NOV32" s="28"/>
      <c r="NOW32" s="28"/>
      <c r="NOX32" s="28"/>
      <c r="NOY32" s="28"/>
      <c r="NOZ32" s="28"/>
      <c r="NPA32" s="28"/>
      <c r="NPB32" s="28"/>
      <c r="NPC32" s="28"/>
      <c r="NPD32" s="28"/>
      <c r="NPE32" s="28"/>
      <c r="NPF32" s="28"/>
      <c r="NPG32" s="28"/>
      <c r="NPH32" s="28"/>
      <c r="NPI32" s="28"/>
      <c r="NPJ32" s="28"/>
      <c r="NPK32" s="28"/>
      <c r="NPL32" s="28"/>
      <c r="NPM32" s="28"/>
      <c r="NPN32" s="28"/>
      <c r="NPO32" s="28"/>
      <c r="NPP32" s="28"/>
      <c r="NPQ32" s="28"/>
      <c r="NPR32" s="28"/>
      <c r="NPS32" s="28"/>
      <c r="NPT32" s="28"/>
      <c r="NPU32" s="28"/>
      <c r="NPV32" s="28"/>
      <c r="NPW32" s="28"/>
      <c r="NPX32" s="28"/>
      <c r="NPY32" s="28"/>
      <c r="NPZ32" s="28"/>
      <c r="NQA32" s="28"/>
      <c r="NQB32" s="28"/>
      <c r="NQC32" s="28"/>
      <c r="NQD32" s="28"/>
      <c r="NQE32" s="28"/>
      <c r="NQF32" s="28"/>
      <c r="NQG32" s="28"/>
      <c r="NQH32" s="28"/>
      <c r="NQI32" s="28"/>
      <c r="NQJ32" s="28"/>
      <c r="NQK32" s="28"/>
      <c r="NQL32" s="28"/>
      <c r="NQM32" s="28"/>
      <c r="NQN32" s="28"/>
      <c r="NQO32" s="28"/>
      <c r="NQP32" s="28"/>
      <c r="NQQ32" s="28"/>
      <c r="NQR32" s="28"/>
      <c r="NQS32" s="28"/>
      <c r="NQT32" s="28"/>
      <c r="NQU32" s="28"/>
      <c r="NQV32" s="28"/>
      <c r="NQW32" s="28"/>
      <c r="NQX32" s="28"/>
      <c r="NQY32" s="28"/>
      <c r="NQZ32" s="28"/>
      <c r="NRA32" s="28"/>
      <c r="NRB32" s="28"/>
      <c r="NRC32" s="28"/>
      <c r="NRD32" s="28"/>
      <c r="NRE32" s="28"/>
      <c r="NRF32" s="28"/>
      <c r="NRG32" s="28"/>
      <c r="NRH32" s="28"/>
      <c r="NRI32" s="28"/>
      <c r="NRJ32" s="28"/>
      <c r="NRK32" s="28"/>
      <c r="NRL32" s="28"/>
      <c r="NRM32" s="28"/>
      <c r="NRN32" s="28"/>
      <c r="NRO32" s="28"/>
      <c r="NRP32" s="28"/>
      <c r="NRQ32" s="28"/>
      <c r="NRR32" s="28"/>
      <c r="NRS32" s="28"/>
      <c r="NRT32" s="28"/>
      <c r="NRU32" s="28"/>
      <c r="NRV32" s="28"/>
      <c r="NRW32" s="28"/>
      <c r="NRX32" s="28"/>
      <c r="NRY32" s="28"/>
      <c r="NRZ32" s="28"/>
      <c r="NSA32" s="28"/>
      <c r="NSB32" s="28"/>
      <c r="NSC32" s="28"/>
      <c r="NSD32" s="28"/>
      <c r="NSE32" s="28"/>
      <c r="NSF32" s="28"/>
      <c r="NSG32" s="28"/>
      <c r="NSH32" s="28"/>
      <c r="NSI32" s="28"/>
      <c r="NSJ32" s="28"/>
      <c r="NSK32" s="28"/>
      <c r="NSL32" s="28"/>
      <c r="NSM32" s="28"/>
      <c r="NSN32" s="28"/>
      <c r="NSO32" s="28"/>
      <c r="NSP32" s="28"/>
      <c r="NSQ32" s="28"/>
      <c r="NSR32" s="28"/>
      <c r="NSS32" s="28"/>
      <c r="NST32" s="28"/>
      <c r="NSU32" s="28"/>
      <c r="NSV32" s="28"/>
      <c r="NSW32" s="28"/>
      <c r="NSX32" s="28"/>
      <c r="NSY32" s="28"/>
      <c r="NSZ32" s="28"/>
      <c r="NTA32" s="28"/>
      <c r="NTB32" s="28"/>
      <c r="NTC32" s="28"/>
      <c r="NTD32" s="28"/>
      <c r="NTE32" s="28"/>
      <c r="NTF32" s="28"/>
      <c r="NTG32" s="28"/>
      <c r="NTH32" s="28"/>
      <c r="NTI32" s="28"/>
      <c r="NTJ32" s="28"/>
      <c r="NTK32" s="28"/>
      <c r="NTL32" s="28"/>
      <c r="NTM32" s="28"/>
      <c r="NTN32" s="28"/>
      <c r="NTO32" s="28"/>
      <c r="NTP32" s="28"/>
      <c r="NTQ32" s="28"/>
      <c r="NTR32" s="28"/>
      <c r="NTS32" s="28"/>
      <c r="NTT32" s="28"/>
      <c r="NTU32" s="28"/>
      <c r="NTV32" s="28"/>
      <c r="NTW32" s="28"/>
      <c r="NTX32" s="28"/>
      <c r="NTY32" s="28"/>
      <c r="NTZ32" s="28"/>
      <c r="NUA32" s="28"/>
      <c r="NUB32" s="28"/>
      <c r="NUC32" s="28"/>
      <c r="NUD32" s="28"/>
      <c r="NUE32" s="28"/>
      <c r="NUF32" s="28"/>
      <c r="NUG32" s="28"/>
      <c r="NUH32" s="28"/>
      <c r="NUI32" s="28"/>
      <c r="NUJ32" s="28"/>
      <c r="NUK32" s="28"/>
      <c r="NUL32" s="28"/>
      <c r="NUM32" s="28"/>
      <c r="NUN32" s="28"/>
      <c r="NUO32" s="28"/>
      <c r="NUP32" s="28"/>
      <c r="NUQ32" s="28"/>
      <c r="NUR32" s="28"/>
      <c r="NUS32" s="28"/>
      <c r="NUT32" s="28"/>
      <c r="NUU32" s="28"/>
      <c r="NUV32" s="28"/>
      <c r="NUW32" s="28"/>
      <c r="NUX32" s="28"/>
      <c r="NUY32" s="28"/>
      <c r="NUZ32" s="28"/>
      <c r="NVA32" s="28"/>
      <c r="NVB32" s="28"/>
      <c r="NVC32" s="28"/>
      <c r="NVD32" s="28"/>
      <c r="NVE32" s="28"/>
      <c r="NVF32" s="28"/>
      <c r="NVG32" s="28"/>
      <c r="NVH32" s="28"/>
      <c r="NVI32" s="28"/>
      <c r="NVJ32" s="28"/>
      <c r="NVK32" s="28"/>
      <c r="NVL32" s="28"/>
      <c r="NVM32" s="28"/>
      <c r="NVN32" s="28"/>
      <c r="NVO32" s="28"/>
      <c r="NVP32" s="28"/>
      <c r="NVQ32" s="28"/>
      <c r="NVR32" s="28"/>
      <c r="NVS32" s="28"/>
      <c r="NVT32" s="28"/>
      <c r="NVU32" s="28"/>
      <c r="NVV32" s="28"/>
      <c r="NVW32" s="28"/>
      <c r="NVX32" s="28"/>
      <c r="NVY32" s="28"/>
      <c r="NVZ32" s="28"/>
      <c r="NWA32" s="28"/>
      <c r="NWB32" s="28"/>
      <c r="NWC32" s="28"/>
      <c r="NWD32" s="28"/>
      <c r="NWE32" s="28"/>
      <c r="NWF32" s="28"/>
      <c r="NWG32" s="28"/>
      <c r="NWH32" s="28"/>
      <c r="NWI32" s="28"/>
      <c r="NWJ32" s="28"/>
      <c r="NWK32" s="28"/>
      <c r="NWL32" s="28"/>
      <c r="NWM32" s="28"/>
      <c r="NWN32" s="28"/>
      <c r="NWO32" s="28"/>
      <c r="NWP32" s="28"/>
      <c r="NWQ32" s="28"/>
      <c r="NWR32" s="28"/>
      <c r="NWS32" s="28"/>
      <c r="NWT32" s="28"/>
      <c r="NWU32" s="28"/>
      <c r="NWV32" s="28"/>
      <c r="NWW32" s="28"/>
      <c r="NWX32" s="28"/>
      <c r="NWY32" s="28"/>
      <c r="NWZ32" s="28"/>
      <c r="NXA32" s="28"/>
      <c r="NXB32" s="28"/>
      <c r="NXC32" s="28"/>
      <c r="NXD32" s="28"/>
      <c r="NXE32" s="28"/>
      <c r="NXF32" s="28"/>
      <c r="NXG32" s="28"/>
      <c r="NXH32" s="28"/>
      <c r="NXI32" s="28"/>
      <c r="NXJ32" s="28"/>
      <c r="NXK32" s="28"/>
      <c r="NXL32" s="28"/>
      <c r="NXM32" s="28"/>
      <c r="NXN32" s="28"/>
      <c r="NXO32" s="28"/>
      <c r="NXP32" s="28"/>
      <c r="NXQ32" s="28"/>
      <c r="NXR32" s="28"/>
      <c r="NXS32" s="28"/>
      <c r="NXT32" s="28"/>
      <c r="NXU32" s="28"/>
      <c r="NXV32" s="28"/>
      <c r="NXW32" s="28"/>
      <c r="NXX32" s="28"/>
      <c r="NXY32" s="28"/>
      <c r="NXZ32" s="28"/>
      <c r="NYA32" s="28"/>
      <c r="NYB32" s="28"/>
      <c r="NYC32" s="28"/>
      <c r="NYD32" s="28"/>
      <c r="NYE32" s="28"/>
      <c r="NYF32" s="28"/>
      <c r="NYG32" s="28"/>
      <c r="NYH32" s="28"/>
      <c r="NYI32" s="28"/>
      <c r="NYJ32" s="28"/>
      <c r="NYK32" s="28"/>
      <c r="NYL32" s="28"/>
      <c r="NYM32" s="28"/>
      <c r="NYN32" s="28"/>
      <c r="NYO32" s="28"/>
      <c r="NYP32" s="28"/>
      <c r="NYQ32" s="28"/>
      <c r="NYR32" s="28"/>
      <c r="NYS32" s="28"/>
      <c r="NYT32" s="28"/>
      <c r="NYU32" s="28"/>
      <c r="NYV32" s="28"/>
      <c r="NYW32" s="28"/>
      <c r="NYX32" s="28"/>
      <c r="NYY32" s="28"/>
      <c r="NYZ32" s="28"/>
      <c r="NZA32" s="28"/>
      <c r="NZB32" s="28"/>
      <c r="NZC32" s="28"/>
      <c r="NZD32" s="28"/>
      <c r="NZE32" s="28"/>
      <c r="NZF32" s="28"/>
      <c r="NZG32" s="28"/>
      <c r="NZH32" s="28"/>
      <c r="NZI32" s="28"/>
      <c r="NZJ32" s="28"/>
      <c r="NZK32" s="28"/>
      <c r="NZL32" s="28"/>
      <c r="NZM32" s="28"/>
      <c r="NZN32" s="28"/>
      <c r="NZO32" s="28"/>
      <c r="NZP32" s="28"/>
      <c r="NZQ32" s="28"/>
      <c r="NZR32" s="28"/>
      <c r="NZS32" s="28"/>
      <c r="NZT32" s="28"/>
      <c r="NZU32" s="28"/>
      <c r="NZV32" s="28"/>
      <c r="NZW32" s="28"/>
      <c r="NZX32" s="28"/>
      <c r="NZY32" s="28"/>
      <c r="NZZ32" s="28"/>
      <c r="OAA32" s="28"/>
      <c r="OAB32" s="28"/>
      <c r="OAC32" s="28"/>
      <c r="OAD32" s="28"/>
      <c r="OAE32" s="28"/>
      <c r="OAF32" s="28"/>
      <c r="OAG32" s="28"/>
      <c r="OAH32" s="28"/>
      <c r="OAI32" s="28"/>
      <c r="OAJ32" s="28"/>
      <c r="OAK32" s="28"/>
      <c r="OAL32" s="28"/>
      <c r="OAM32" s="28"/>
      <c r="OAN32" s="28"/>
      <c r="OAO32" s="28"/>
      <c r="OAP32" s="28"/>
      <c r="OAQ32" s="28"/>
      <c r="OAR32" s="28"/>
      <c r="OAS32" s="28"/>
      <c r="OAT32" s="28"/>
      <c r="OAU32" s="28"/>
      <c r="OAV32" s="28"/>
      <c r="OAW32" s="28"/>
      <c r="OAX32" s="28"/>
      <c r="OAY32" s="28"/>
      <c r="OAZ32" s="28"/>
      <c r="OBA32" s="28"/>
      <c r="OBB32" s="28"/>
      <c r="OBC32" s="28"/>
      <c r="OBD32" s="28"/>
      <c r="OBE32" s="28"/>
      <c r="OBF32" s="28"/>
      <c r="OBG32" s="28"/>
      <c r="OBH32" s="28"/>
      <c r="OBI32" s="28"/>
      <c r="OBJ32" s="28"/>
      <c r="OBK32" s="28"/>
      <c r="OBL32" s="28"/>
      <c r="OBM32" s="28"/>
      <c r="OBN32" s="28"/>
      <c r="OBO32" s="28"/>
      <c r="OBP32" s="28"/>
      <c r="OBQ32" s="28"/>
      <c r="OBR32" s="28"/>
      <c r="OBS32" s="28"/>
      <c r="OBT32" s="28"/>
      <c r="OBU32" s="28"/>
      <c r="OBV32" s="28"/>
      <c r="OBW32" s="28"/>
      <c r="OBX32" s="28"/>
      <c r="OBY32" s="28"/>
      <c r="OBZ32" s="28"/>
      <c r="OCA32" s="28"/>
      <c r="OCB32" s="28"/>
      <c r="OCC32" s="28"/>
      <c r="OCD32" s="28"/>
      <c r="OCE32" s="28"/>
      <c r="OCF32" s="28"/>
      <c r="OCG32" s="28"/>
      <c r="OCH32" s="28"/>
      <c r="OCI32" s="28"/>
      <c r="OCJ32" s="28"/>
      <c r="OCK32" s="28"/>
      <c r="OCL32" s="28"/>
      <c r="OCM32" s="28"/>
      <c r="OCN32" s="28"/>
      <c r="OCO32" s="28"/>
      <c r="OCP32" s="28"/>
      <c r="OCQ32" s="28"/>
      <c r="OCR32" s="28"/>
      <c r="OCS32" s="28"/>
      <c r="OCT32" s="28"/>
      <c r="OCU32" s="28"/>
      <c r="OCV32" s="28"/>
      <c r="OCW32" s="28"/>
      <c r="OCX32" s="28"/>
      <c r="OCY32" s="28"/>
      <c r="OCZ32" s="28"/>
      <c r="ODA32" s="28"/>
      <c r="ODB32" s="28"/>
      <c r="ODC32" s="28"/>
      <c r="ODD32" s="28"/>
      <c r="ODE32" s="28"/>
      <c r="ODF32" s="28"/>
      <c r="ODG32" s="28"/>
      <c r="ODH32" s="28"/>
      <c r="ODI32" s="28"/>
      <c r="ODJ32" s="28"/>
      <c r="ODK32" s="28"/>
      <c r="ODL32" s="28"/>
      <c r="ODM32" s="28"/>
      <c r="ODN32" s="28"/>
      <c r="ODO32" s="28"/>
      <c r="ODP32" s="28"/>
      <c r="ODQ32" s="28"/>
      <c r="ODR32" s="28"/>
      <c r="ODS32" s="28"/>
      <c r="ODT32" s="28"/>
      <c r="ODU32" s="28"/>
      <c r="ODV32" s="28"/>
      <c r="ODW32" s="28"/>
      <c r="ODX32" s="28"/>
      <c r="ODY32" s="28"/>
      <c r="ODZ32" s="28"/>
      <c r="OEA32" s="28"/>
      <c r="OEB32" s="28"/>
      <c r="OEC32" s="28"/>
      <c r="OED32" s="28"/>
      <c r="OEE32" s="28"/>
      <c r="OEF32" s="28"/>
      <c r="OEG32" s="28"/>
      <c r="OEH32" s="28"/>
      <c r="OEI32" s="28"/>
      <c r="OEJ32" s="28"/>
      <c r="OEK32" s="28"/>
      <c r="OEL32" s="28"/>
      <c r="OEM32" s="28"/>
      <c r="OEN32" s="28"/>
      <c r="OEO32" s="28"/>
      <c r="OEP32" s="28"/>
      <c r="OEQ32" s="28"/>
      <c r="OER32" s="28"/>
      <c r="OES32" s="28"/>
      <c r="OET32" s="28"/>
      <c r="OEU32" s="28"/>
      <c r="OEV32" s="28"/>
      <c r="OEW32" s="28"/>
      <c r="OEX32" s="28"/>
      <c r="OEY32" s="28"/>
      <c r="OEZ32" s="28"/>
      <c r="OFA32" s="28"/>
      <c r="OFB32" s="28"/>
      <c r="OFC32" s="28"/>
      <c r="OFD32" s="28"/>
      <c r="OFE32" s="28"/>
      <c r="OFF32" s="28"/>
      <c r="OFG32" s="28"/>
      <c r="OFH32" s="28"/>
      <c r="OFI32" s="28"/>
      <c r="OFJ32" s="28"/>
      <c r="OFK32" s="28"/>
      <c r="OFL32" s="28"/>
      <c r="OFM32" s="28"/>
      <c r="OFN32" s="28"/>
      <c r="OFO32" s="28"/>
      <c r="OFP32" s="28"/>
      <c r="OFQ32" s="28"/>
      <c r="OFR32" s="28"/>
      <c r="OFS32" s="28"/>
      <c r="OFT32" s="28"/>
      <c r="OFU32" s="28"/>
      <c r="OFV32" s="28"/>
      <c r="OFW32" s="28"/>
      <c r="OFX32" s="28"/>
      <c r="OFY32" s="28"/>
      <c r="OFZ32" s="28"/>
      <c r="OGA32" s="28"/>
      <c r="OGB32" s="28"/>
      <c r="OGC32" s="28"/>
      <c r="OGD32" s="28"/>
      <c r="OGE32" s="28"/>
      <c r="OGF32" s="28"/>
      <c r="OGG32" s="28"/>
      <c r="OGH32" s="28"/>
      <c r="OGI32" s="28"/>
      <c r="OGJ32" s="28"/>
      <c r="OGK32" s="28"/>
      <c r="OGL32" s="28"/>
      <c r="OGM32" s="28"/>
      <c r="OGN32" s="28"/>
      <c r="OGO32" s="28"/>
      <c r="OGP32" s="28"/>
      <c r="OGQ32" s="28"/>
      <c r="OGR32" s="28"/>
      <c r="OGS32" s="28"/>
      <c r="OGT32" s="28"/>
      <c r="OGU32" s="28"/>
      <c r="OGV32" s="28"/>
      <c r="OGW32" s="28"/>
      <c r="OGX32" s="28"/>
      <c r="OGY32" s="28"/>
      <c r="OGZ32" s="28"/>
      <c r="OHA32" s="28"/>
      <c r="OHB32" s="28"/>
      <c r="OHC32" s="28"/>
      <c r="OHD32" s="28"/>
      <c r="OHE32" s="28"/>
      <c r="OHF32" s="28"/>
      <c r="OHG32" s="28"/>
      <c r="OHH32" s="28"/>
      <c r="OHI32" s="28"/>
      <c r="OHJ32" s="28"/>
      <c r="OHK32" s="28"/>
      <c r="OHL32" s="28"/>
      <c r="OHM32" s="28"/>
      <c r="OHN32" s="28"/>
      <c r="OHO32" s="28"/>
      <c r="OHP32" s="28"/>
      <c r="OHQ32" s="28"/>
      <c r="OHR32" s="28"/>
      <c r="OHS32" s="28"/>
      <c r="OHT32" s="28"/>
      <c r="OHU32" s="28"/>
      <c r="OHV32" s="28"/>
      <c r="OHW32" s="28"/>
      <c r="OHX32" s="28"/>
      <c r="OHY32" s="28"/>
      <c r="OHZ32" s="28"/>
      <c r="OIA32" s="28"/>
      <c r="OIB32" s="28"/>
      <c r="OIC32" s="28"/>
      <c r="OID32" s="28"/>
      <c r="OIE32" s="28"/>
      <c r="OIF32" s="28"/>
      <c r="OIG32" s="28"/>
      <c r="OIH32" s="28"/>
      <c r="OII32" s="28"/>
      <c r="OIJ32" s="28"/>
      <c r="OIK32" s="28"/>
      <c r="OIL32" s="28"/>
      <c r="OIM32" s="28"/>
      <c r="OIN32" s="28"/>
      <c r="OIO32" s="28"/>
      <c r="OIP32" s="28"/>
      <c r="OIQ32" s="28"/>
      <c r="OIR32" s="28"/>
      <c r="OIS32" s="28"/>
      <c r="OIT32" s="28"/>
      <c r="OIU32" s="28"/>
      <c r="OIV32" s="28"/>
      <c r="OIW32" s="28"/>
      <c r="OIX32" s="28"/>
      <c r="OIY32" s="28"/>
      <c r="OIZ32" s="28"/>
      <c r="OJA32" s="28"/>
      <c r="OJB32" s="28"/>
      <c r="OJC32" s="28"/>
      <c r="OJD32" s="28"/>
      <c r="OJE32" s="28"/>
      <c r="OJF32" s="28"/>
      <c r="OJG32" s="28"/>
      <c r="OJH32" s="28"/>
      <c r="OJI32" s="28"/>
      <c r="OJJ32" s="28"/>
      <c r="OJK32" s="28"/>
      <c r="OJL32" s="28"/>
      <c r="OJM32" s="28"/>
      <c r="OJN32" s="28"/>
      <c r="OJO32" s="28"/>
      <c r="OJP32" s="28"/>
      <c r="OJQ32" s="28"/>
      <c r="OJR32" s="28"/>
      <c r="OJS32" s="28"/>
      <c r="OJT32" s="28"/>
      <c r="OJU32" s="28"/>
      <c r="OJV32" s="28"/>
      <c r="OJW32" s="28"/>
      <c r="OJX32" s="28"/>
      <c r="OJY32" s="28"/>
      <c r="OJZ32" s="28"/>
      <c r="OKA32" s="28"/>
      <c r="OKB32" s="28"/>
      <c r="OKC32" s="28"/>
      <c r="OKD32" s="28"/>
      <c r="OKE32" s="28"/>
      <c r="OKF32" s="28"/>
      <c r="OKG32" s="28"/>
      <c r="OKH32" s="28"/>
      <c r="OKI32" s="28"/>
      <c r="OKJ32" s="28"/>
      <c r="OKK32" s="28"/>
      <c r="OKL32" s="28"/>
      <c r="OKM32" s="28"/>
      <c r="OKN32" s="28"/>
      <c r="OKO32" s="28"/>
      <c r="OKP32" s="28"/>
      <c r="OKQ32" s="28"/>
      <c r="OKR32" s="28"/>
      <c r="OKS32" s="28"/>
      <c r="OKT32" s="28"/>
      <c r="OKU32" s="28"/>
      <c r="OKV32" s="28"/>
      <c r="OKW32" s="28"/>
      <c r="OKX32" s="28"/>
      <c r="OKY32" s="28"/>
      <c r="OKZ32" s="28"/>
      <c r="OLA32" s="28"/>
      <c r="OLB32" s="28"/>
      <c r="OLC32" s="28"/>
      <c r="OLD32" s="28"/>
      <c r="OLE32" s="28"/>
      <c r="OLF32" s="28"/>
      <c r="OLG32" s="28"/>
      <c r="OLH32" s="28"/>
      <c r="OLI32" s="28"/>
      <c r="OLJ32" s="28"/>
      <c r="OLK32" s="28"/>
      <c r="OLL32" s="28"/>
      <c r="OLM32" s="28"/>
      <c r="OLN32" s="28"/>
      <c r="OLO32" s="28"/>
      <c r="OLP32" s="28"/>
      <c r="OLQ32" s="28"/>
      <c r="OLR32" s="28"/>
      <c r="OLS32" s="28"/>
      <c r="OLT32" s="28"/>
      <c r="OLU32" s="28"/>
      <c r="OLV32" s="28"/>
      <c r="OLW32" s="28"/>
      <c r="OLX32" s="28"/>
      <c r="OLY32" s="28"/>
      <c r="OLZ32" s="28"/>
      <c r="OMA32" s="28"/>
      <c r="OMB32" s="28"/>
      <c r="OMC32" s="28"/>
      <c r="OMD32" s="28"/>
      <c r="OME32" s="28"/>
      <c r="OMF32" s="28"/>
      <c r="OMG32" s="28"/>
      <c r="OMH32" s="28"/>
      <c r="OMI32" s="28"/>
      <c r="OMJ32" s="28"/>
      <c r="OMK32" s="28"/>
      <c r="OML32" s="28"/>
      <c r="OMM32" s="28"/>
      <c r="OMN32" s="28"/>
      <c r="OMO32" s="28"/>
      <c r="OMP32" s="28"/>
      <c r="OMQ32" s="28"/>
      <c r="OMR32" s="28"/>
      <c r="OMS32" s="28"/>
      <c r="OMT32" s="28"/>
      <c r="OMU32" s="28"/>
      <c r="OMV32" s="28"/>
      <c r="OMW32" s="28"/>
      <c r="OMX32" s="28"/>
      <c r="OMY32" s="28"/>
      <c r="OMZ32" s="28"/>
      <c r="ONA32" s="28"/>
      <c r="ONB32" s="28"/>
      <c r="ONC32" s="28"/>
      <c r="OND32" s="28"/>
      <c r="ONE32" s="28"/>
      <c r="ONF32" s="28"/>
      <c r="ONG32" s="28"/>
      <c r="ONH32" s="28"/>
      <c r="ONI32" s="28"/>
      <c r="ONJ32" s="28"/>
      <c r="ONK32" s="28"/>
      <c r="ONL32" s="28"/>
      <c r="ONM32" s="28"/>
      <c r="ONN32" s="28"/>
      <c r="ONO32" s="28"/>
      <c r="ONP32" s="28"/>
      <c r="ONQ32" s="28"/>
      <c r="ONR32" s="28"/>
      <c r="ONS32" s="28"/>
      <c r="ONT32" s="28"/>
      <c r="ONU32" s="28"/>
      <c r="ONV32" s="28"/>
      <c r="ONW32" s="28"/>
      <c r="ONX32" s="28"/>
      <c r="ONY32" s="28"/>
      <c r="ONZ32" s="28"/>
      <c r="OOA32" s="28"/>
      <c r="OOB32" s="28"/>
      <c r="OOC32" s="28"/>
      <c r="OOD32" s="28"/>
      <c r="OOE32" s="28"/>
      <c r="OOF32" s="28"/>
      <c r="OOG32" s="28"/>
      <c r="OOH32" s="28"/>
      <c r="OOI32" s="28"/>
      <c r="OOJ32" s="28"/>
      <c r="OOK32" s="28"/>
      <c r="OOL32" s="28"/>
      <c r="OOM32" s="28"/>
      <c r="OON32" s="28"/>
      <c r="OOO32" s="28"/>
      <c r="OOP32" s="28"/>
      <c r="OOQ32" s="28"/>
      <c r="OOR32" s="28"/>
      <c r="OOS32" s="28"/>
      <c r="OOT32" s="28"/>
      <c r="OOU32" s="28"/>
      <c r="OOV32" s="28"/>
      <c r="OOW32" s="28"/>
      <c r="OOX32" s="28"/>
      <c r="OOY32" s="28"/>
      <c r="OOZ32" s="28"/>
      <c r="OPA32" s="28"/>
      <c r="OPB32" s="28"/>
      <c r="OPC32" s="28"/>
      <c r="OPD32" s="28"/>
      <c r="OPE32" s="28"/>
      <c r="OPF32" s="28"/>
      <c r="OPG32" s="28"/>
      <c r="OPH32" s="28"/>
      <c r="OPI32" s="28"/>
      <c r="OPJ32" s="28"/>
      <c r="OPK32" s="28"/>
      <c r="OPL32" s="28"/>
      <c r="OPM32" s="28"/>
      <c r="OPN32" s="28"/>
      <c r="OPO32" s="28"/>
      <c r="OPP32" s="28"/>
      <c r="OPQ32" s="28"/>
      <c r="OPR32" s="28"/>
      <c r="OPS32" s="28"/>
      <c r="OPT32" s="28"/>
      <c r="OPU32" s="28"/>
      <c r="OPV32" s="28"/>
      <c r="OPW32" s="28"/>
      <c r="OPX32" s="28"/>
      <c r="OPY32" s="28"/>
      <c r="OPZ32" s="28"/>
      <c r="OQA32" s="28"/>
      <c r="OQB32" s="28"/>
      <c r="OQC32" s="28"/>
      <c r="OQD32" s="28"/>
      <c r="OQE32" s="28"/>
      <c r="OQF32" s="28"/>
      <c r="OQG32" s="28"/>
      <c r="OQH32" s="28"/>
      <c r="OQI32" s="28"/>
      <c r="OQJ32" s="28"/>
      <c r="OQK32" s="28"/>
      <c r="OQL32" s="28"/>
      <c r="OQM32" s="28"/>
      <c r="OQN32" s="28"/>
      <c r="OQO32" s="28"/>
      <c r="OQP32" s="28"/>
      <c r="OQQ32" s="28"/>
      <c r="OQR32" s="28"/>
      <c r="OQS32" s="28"/>
      <c r="OQT32" s="28"/>
      <c r="OQU32" s="28"/>
      <c r="OQV32" s="28"/>
      <c r="OQW32" s="28"/>
      <c r="OQX32" s="28"/>
      <c r="OQY32" s="28"/>
      <c r="OQZ32" s="28"/>
      <c r="ORA32" s="28"/>
      <c r="ORB32" s="28"/>
      <c r="ORC32" s="28"/>
      <c r="ORD32" s="28"/>
      <c r="ORE32" s="28"/>
      <c r="ORF32" s="28"/>
      <c r="ORG32" s="28"/>
      <c r="ORH32" s="28"/>
      <c r="ORI32" s="28"/>
      <c r="ORJ32" s="28"/>
      <c r="ORK32" s="28"/>
      <c r="ORL32" s="28"/>
      <c r="ORM32" s="28"/>
      <c r="ORN32" s="28"/>
      <c r="ORO32" s="28"/>
      <c r="ORP32" s="28"/>
      <c r="ORQ32" s="28"/>
      <c r="ORR32" s="28"/>
      <c r="ORS32" s="28"/>
      <c r="ORT32" s="28"/>
      <c r="ORU32" s="28"/>
      <c r="ORV32" s="28"/>
      <c r="ORW32" s="28"/>
      <c r="ORX32" s="28"/>
      <c r="ORY32" s="28"/>
      <c r="ORZ32" s="28"/>
      <c r="OSA32" s="28"/>
      <c r="OSB32" s="28"/>
      <c r="OSC32" s="28"/>
      <c r="OSD32" s="28"/>
      <c r="OSE32" s="28"/>
      <c r="OSF32" s="28"/>
      <c r="OSG32" s="28"/>
      <c r="OSH32" s="28"/>
      <c r="OSI32" s="28"/>
      <c r="OSJ32" s="28"/>
      <c r="OSK32" s="28"/>
      <c r="OSL32" s="28"/>
      <c r="OSM32" s="28"/>
      <c r="OSN32" s="28"/>
      <c r="OSO32" s="28"/>
      <c r="OSP32" s="28"/>
      <c r="OSQ32" s="28"/>
      <c r="OSR32" s="28"/>
      <c r="OSS32" s="28"/>
      <c r="OST32" s="28"/>
      <c r="OSU32" s="28"/>
      <c r="OSV32" s="28"/>
      <c r="OSW32" s="28"/>
      <c r="OSX32" s="28"/>
      <c r="OSY32" s="28"/>
      <c r="OSZ32" s="28"/>
      <c r="OTA32" s="28"/>
      <c r="OTB32" s="28"/>
      <c r="OTC32" s="28"/>
      <c r="OTD32" s="28"/>
      <c r="OTE32" s="28"/>
      <c r="OTF32" s="28"/>
      <c r="OTG32" s="28"/>
      <c r="OTH32" s="28"/>
      <c r="OTI32" s="28"/>
      <c r="OTJ32" s="28"/>
      <c r="OTK32" s="28"/>
      <c r="OTL32" s="28"/>
      <c r="OTM32" s="28"/>
      <c r="OTN32" s="28"/>
      <c r="OTO32" s="28"/>
      <c r="OTP32" s="28"/>
      <c r="OTQ32" s="28"/>
      <c r="OTR32" s="28"/>
      <c r="OTS32" s="28"/>
      <c r="OTT32" s="28"/>
      <c r="OTU32" s="28"/>
      <c r="OTV32" s="28"/>
      <c r="OTW32" s="28"/>
      <c r="OTX32" s="28"/>
      <c r="OTY32" s="28"/>
      <c r="OTZ32" s="28"/>
      <c r="OUA32" s="28"/>
      <c r="OUB32" s="28"/>
      <c r="OUC32" s="28"/>
      <c r="OUD32" s="28"/>
      <c r="OUE32" s="28"/>
      <c r="OUF32" s="28"/>
      <c r="OUG32" s="28"/>
      <c r="OUH32" s="28"/>
      <c r="OUI32" s="28"/>
      <c r="OUJ32" s="28"/>
      <c r="OUK32" s="28"/>
      <c r="OUL32" s="28"/>
      <c r="OUM32" s="28"/>
      <c r="OUN32" s="28"/>
      <c r="OUO32" s="28"/>
      <c r="OUP32" s="28"/>
      <c r="OUQ32" s="28"/>
      <c r="OUR32" s="28"/>
      <c r="OUS32" s="28"/>
      <c r="OUT32" s="28"/>
      <c r="OUU32" s="28"/>
      <c r="OUV32" s="28"/>
      <c r="OUW32" s="28"/>
      <c r="OUX32" s="28"/>
      <c r="OUY32" s="28"/>
      <c r="OUZ32" s="28"/>
      <c r="OVA32" s="28"/>
      <c r="OVB32" s="28"/>
      <c r="OVC32" s="28"/>
      <c r="OVD32" s="28"/>
      <c r="OVE32" s="28"/>
      <c r="OVF32" s="28"/>
      <c r="OVG32" s="28"/>
      <c r="OVH32" s="28"/>
      <c r="OVI32" s="28"/>
      <c r="OVJ32" s="28"/>
      <c r="OVK32" s="28"/>
      <c r="OVL32" s="28"/>
      <c r="OVM32" s="28"/>
      <c r="OVN32" s="28"/>
      <c r="OVO32" s="28"/>
      <c r="OVP32" s="28"/>
      <c r="OVQ32" s="28"/>
      <c r="OVR32" s="28"/>
      <c r="OVS32" s="28"/>
      <c r="OVT32" s="28"/>
      <c r="OVU32" s="28"/>
      <c r="OVV32" s="28"/>
      <c r="OVW32" s="28"/>
      <c r="OVX32" s="28"/>
      <c r="OVY32" s="28"/>
      <c r="OVZ32" s="28"/>
      <c r="OWA32" s="28"/>
      <c r="OWB32" s="28"/>
      <c r="OWC32" s="28"/>
      <c r="OWD32" s="28"/>
      <c r="OWE32" s="28"/>
      <c r="OWF32" s="28"/>
      <c r="OWG32" s="28"/>
      <c r="OWH32" s="28"/>
      <c r="OWI32" s="28"/>
      <c r="OWJ32" s="28"/>
      <c r="OWK32" s="28"/>
      <c r="OWL32" s="28"/>
      <c r="OWM32" s="28"/>
      <c r="OWN32" s="28"/>
      <c r="OWO32" s="28"/>
      <c r="OWP32" s="28"/>
      <c r="OWQ32" s="28"/>
      <c r="OWR32" s="28"/>
      <c r="OWS32" s="28"/>
      <c r="OWT32" s="28"/>
      <c r="OWU32" s="28"/>
      <c r="OWV32" s="28"/>
      <c r="OWW32" s="28"/>
      <c r="OWX32" s="28"/>
      <c r="OWY32" s="28"/>
      <c r="OWZ32" s="28"/>
      <c r="OXA32" s="28"/>
      <c r="OXB32" s="28"/>
      <c r="OXC32" s="28"/>
      <c r="OXD32" s="28"/>
      <c r="OXE32" s="28"/>
      <c r="OXF32" s="28"/>
      <c r="OXG32" s="28"/>
      <c r="OXH32" s="28"/>
      <c r="OXI32" s="28"/>
      <c r="OXJ32" s="28"/>
      <c r="OXK32" s="28"/>
      <c r="OXL32" s="28"/>
      <c r="OXM32" s="28"/>
      <c r="OXN32" s="28"/>
      <c r="OXO32" s="28"/>
      <c r="OXP32" s="28"/>
      <c r="OXQ32" s="28"/>
      <c r="OXR32" s="28"/>
      <c r="OXS32" s="28"/>
      <c r="OXT32" s="28"/>
      <c r="OXU32" s="28"/>
      <c r="OXV32" s="28"/>
      <c r="OXW32" s="28"/>
      <c r="OXX32" s="28"/>
      <c r="OXY32" s="28"/>
      <c r="OXZ32" s="28"/>
      <c r="OYA32" s="28"/>
      <c r="OYB32" s="28"/>
      <c r="OYC32" s="28"/>
      <c r="OYD32" s="28"/>
      <c r="OYE32" s="28"/>
      <c r="OYF32" s="28"/>
      <c r="OYG32" s="28"/>
      <c r="OYH32" s="28"/>
      <c r="OYI32" s="28"/>
      <c r="OYJ32" s="28"/>
      <c r="OYK32" s="28"/>
      <c r="OYL32" s="28"/>
      <c r="OYM32" s="28"/>
      <c r="OYN32" s="28"/>
      <c r="OYO32" s="28"/>
      <c r="OYP32" s="28"/>
      <c r="OYQ32" s="28"/>
      <c r="OYR32" s="28"/>
      <c r="OYS32" s="28"/>
      <c r="OYT32" s="28"/>
      <c r="OYU32" s="28"/>
      <c r="OYV32" s="28"/>
      <c r="OYW32" s="28"/>
      <c r="OYX32" s="28"/>
      <c r="OYY32" s="28"/>
      <c r="OYZ32" s="28"/>
      <c r="OZA32" s="28"/>
      <c r="OZB32" s="28"/>
      <c r="OZC32" s="28"/>
      <c r="OZD32" s="28"/>
      <c r="OZE32" s="28"/>
      <c r="OZF32" s="28"/>
      <c r="OZG32" s="28"/>
      <c r="OZH32" s="28"/>
      <c r="OZI32" s="28"/>
      <c r="OZJ32" s="28"/>
      <c r="OZK32" s="28"/>
      <c r="OZL32" s="28"/>
      <c r="OZM32" s="28"/>
      <c r="OZN32" s="28"/>
      <c r="OZO32" s="28"/>
      <c r="OZP32" s="28"/>
      <c r="OZQ32" s="28"/>
      <c r="OZR32" s="28"/>
      <c r="OZS32" s="28"/>
      <c r="OZT32" s="28"/>
      <c r="OZU32" s="28"/>
      <c r="OZV32" s="28"/>
      <c r="OZW32" s="28"/>
      <c r="OZX32" s="28"/>
      <c r="OZY32" s="28"/>
      <c r="OZZ32" s="28"/>
      <c r="PAA32" s="28"/>
      <c r="PAB32" s="28"/>
      <c r="PAC32" s="28"/>
      <c r="PAD32" s="28"/>
      <c r="PAE32" s="28"/>
      <c r="PAF32" s="28"/>
      <c r="PAG32" s="28"/>
      <c r="PAH32" s="28"/>
      <c r="PAI32" s="28"/>
      <c r="PAJ32" s="28"/>
      <c r="PAK32" s="28"/>
      <c r="PAL32" s="28"/>
      <c r="PAM32" s="28"/>
      <c r="PAN32" s="28"/>
      <c r="PAO32" s="28"/>
      <c r="PAP32" s="28"/>
      <c r="PAQ32" s="28"/>
      <c r="PAR32" s="28"/>
      <c r="PAS32" s="28"/>
      <c r="PAT32" s="28"/>
      <c r="PAU32" s="28"/>
      <c r="PAV32" s="28"/>
      <c r="PAW32" s="28"/>
      <c r="PAX32" s="28"/>
      <c r="PAY32" s="28"/>
      <c r="PAZ32" s="28"/>
      <c r="PBA32" s="28"/>
      <c r="PBB32" s="28"/>
      <c r="PBC32" s="28"/>
      <c r="PBD32" s="28"/>
      <c r="PBE32" s="28"/>
      <c r="PBF32" s="28"/>
      <c r="PBG32" s="28"/>
      <c r="PBH32" s="28"/>
      <c r="PBI32" s="28"/>
      <c r="PBJ32" s="28"/>
      <c r="PBK32" s="28"/>
      <c r="PBL32" s="28"/>
      <c r="PBM32" s="28"/>
      <c r="PBN32" s="28"/>
      <c r="PBO32" s="28"/>
      <c r="PBP32" s="28"/>
      <c r="PBQ32" s="28"/>
      <c r="PBR32" s="28"/>
      <c r="PBS32" s="28"/>
      <c r="PBT32" s="28"/>
      <c r="PBU32" s="28"/>
      <c r="PBV32" s="28"/>
      <c r="PBW32" s="28"/>
      <c r="PBX32" s="28"/>
      <c r="PBY32" s="28"/>
      <c r="PBZ32" s="28"/>
      <c r="PCA32" s="28"/>
      <c r="PCB32" s="28"/>
      <c r="PCC32" s="28"/>
      <c r="PCD32" s="28"/>
      <c r="PCE32" s="28"/>
      <c r="PCF32" s="28"/>
      <c r="PCG32" s="28"/>
      <c r="PCH32" s="28"/>
      <c r="PCI32" s="28"/>
      <c r="PCJ32" s="28"/>
      <c r="PCK32" s="28"/>
      <c r="PCL32" s="28"/>
      <c r="PCM32" s="28"/>
      <c r="PCN32" s="28"/>
      <c r="PCO32" s="28"/>
      <c r="PCP32" s="28"/>
      <c r="PCQ32" s="28"/>
      <c r="PCR32" s="28"/>
      <c r="PCS32" s="28"/>
      <c r="PCT32" s="28"/>
      <c r="PCU32" s="28"/>
      <c r="PCV32" s="28"/>
      <c r="PCW32" s="28"/>
      <c r="PCX32" s="28"/>
      <c r="PCY32" s="28"/>
      <c r="PCZ32" s="28"/>
      <c r="PDA32" s="28"/>
      <c r="PDB32" s="28"/>
      <c r="PDC32" s="28"/>
      <c r="PDD32" s="28"/>
      <c r="PDE32" s="28"/>
      <c r="PDF32" s="28"/>
      <c r="PDG32" s="28"/>
      <c r="PDH32" s="28"/>
      <c r="PDI32" s="28"/>
      <c r="PDJ32" s="28"/>
      <c r="PDK32" s="28"/>
      <c r="PDL32" s="28"/>
      <c r="PDM32" s="28"/>
      <c r="PDN32" s="28"/>
      <c r="PDO32" s="28"/>
      <c r="PDP32" s="28"/>
      <c r="PDQ32" s="28"/>
      <c r="PDR32" s="28"/>
      <c r="PDS32" s="28"/>
      <c r="PDT32" s="28"/>
      <c r="PDU32" s="28"/>
      <c r="PDV32" s="28"/>
      <c r="PDW32" s="28"/>
      <c r="PDX32" s="28"/>
      <c r="PDY32" s="28"/>
      <c r="PDZ32" s="28"/>
      <c r="PEA32" s="28"/>
      <c r="PEB32" s="28"/>
      <c r="PEC32" s="28"/>
      <c r="PED32" s="28"/>
      <c r="PEE32" s="28"/>
      <c r="PEF32" s="28"/>
      <c r="PEG32" s="28"/>
      <c r="PEH32" s="28"/>
      <c r="PEI32" s="28"/>
      <c r="PEJ32" s="28"/>
      <c r="PEK32" s="28"/>
      <c r="PEL32" s="28"/>
      <c r="PEM32" s="28"/>
      <c r="PEN32" s="28"/>
      <c r="PEO32" s="28"/>
      <c r="PEP32" s="28"/>
      <c r="PEQ32" s="28"/>
      <c r="PER32" s="28"/>
      <c r="PES32" s="28"/>
      <c r="PET32" s="28"/>
      <c r="PEU32" s="28"/>
      <c r="PEV32" s="28"/>
      <c r="PEW32" s="28"/>
      <c r="PEX32" s="28"/>
      <c r="PEY32" s="28"/>
      <c r="PEZ32" s="28"/>
      <c r="PFA32" s="28"/>
      <c r="PFB32" s="28"/>
      <c r="PFC32" s="28"/>
      <c r="PFD32" s="28"/>
      <c r="PFE32" s="28"/>
      <c r="PFF32" s="28"/>
      <c r="PFG32" s="28"/>
      <c r="PFH32" s="28"/>
      <c r="PFI32" s="28"/>
      <c r="PFJ32" s="28"/>
      <c r="PFK32" s="28"/>
      <c r="PFL32" s="28"/>
      <c r="PFM32" s="28"/>
      <c r="PFN32" s="28"/>
      <c r="PFO32" s="28"/>
      <c r="PFP32" s="28"/>
      <c r="PFQ32" s="28"/>
      <c r="PFR32" s="28"/>
      <c r="PFS32" s="28"/>
      <c r="PFT32" s="28"/>
      <c r="PFU32" s="28"/>
      <c r="PFV32" s="28"/>
      <c r="PFW32" s="28"/>
      <c r="PFX32" s="28"/>
      <c r="PFY32" s="28"/>
      <c r="PFZ32" s="28"/>
      <c r="PGA32" s="28"/>
      <c r="PGB32" s="28"/>
      <c r="PGC32" s="28"/>
      <c r="PGD32" s="28"/>
      <c r="PGE32" s="28"/>
      <c r="PGF32" s="28"/>
      <c r="PGG32" s="28"/>
      <c r="PGH32" s="28"/>
      <c r="PGI32" s="28"/>
      <c r="PGJ32" s="28"/>
      <c r="PGK32" s="28"/>
      <c r="PGL32" s="28"/>
      <c r="PGM32" s="28"/>
      <c r="PGN32" s="28"/>
      <c r="PGO32" s="28"/>
      <c r="PGP32" s="28"/>
      <c r="PGQ32" s="28"/>
      <c r="PGR32" s="28"/>
      <c r="PGS32" s="28"/>
      <c r="PGT32" s="28"/>
      <c r="PGU32" s="28"/>
      <c r="PGV32" s="28"/>
      <c r="PGW32" s="28"/>
      <c r="PGX32" s="28"/>
      <c r="PGY32" s="28"/>
      <c r="PGZ32" s="28"/>
      <c r="PHA32" s="28"/>
      <c r="PHB32" s="28"/>
      <c r="PHC32" s="28"/>
      <c r="PHD32" s="28"/>
      <c r="PHE32" s="28"/>
      <c r="PHF32" s="28"/>
      <c r="PHG32" s="28"/>
      <c r="PHH32" s="28"/>
      <c r="PHI32" s="28"/>
      <c r="PHJ32" s="28"/>
      <c r="PHK32" s="28"/>
      <c r="PHL32" s="28"/>
      <c r="PHM32" s="28"/>
      <c r="PHN32" s="28"/>
      <c r="PHO32" s="28"/>
      <c r="PHP32" s="28"/>
      <c r="PHQ32" s="28"/>
      <c r="PHR32" s="28"/>
      <c r="PHS32" s="28"/>
      <c r="PHT32" s="28"/>
      <c r="PHU32" s="28"/>
      <c r="PHV32" s="28"/>
      <c r="PHW32" s="28"/>
      <c r="PHX32" s="28"/>
      <c r="PHY32" s="28"/>
      <c r="PHZ32" s="28"/>
      <c r="PIA32" s="28"/>
      <c r="PIB32" s="28"/>
      <c r="PIC32" s="28"/>
      <c r="PID32" s="28"/>
      <c r="PIE32" s="28"/>
      <c r="PIF32" s="28"/>
      <c r="PIG32" s="28"/>
      <c r="PIH32" s="28"/>
      <c r="PII32" s="28"/>
      <c r="PIJ32" s="28"/>
      <c r="PIK32" s="28"/>
      <c r="PIL32" s="28"/>
      <c r="PIM32" s="28"/>
      <c r="PIN32" s="28"/>
      <c r="PIO32" s="28"/>
      <c r="PIP32" s="28"/>
      <c r="PIQ32" s="28"/>
      <c r="PIR32" s="28"/>
      <c r="PIS32" s="28"/>
      <c r="PIT32" s="28"/>
      <c r="PIU32" s="28"/>
      <c r="PIV32" s="28"/>
      <c r="PIW32" s="28"/>
      <c r="PIX32" s="28"/>
      <c r="PIY32" s="28"/>
      <c r="PIZ32" s="28"/>
      <c r="PJA32" s="28"/>
      <c r="PJB32" s="28"/>
      <c r="PJC32" s="28"/>
      <c r="PJD32" s="28"/>
      <c r="PJE32" s="28"/>
      <c r="PJF32" s="28"/>
      <c r="PJG32" s="28"/>
      <c r="PJH32" s="28"/>
      <c r="PJI32" s="28"/>
      <c r="PJJ32" s="28"/>
      <c r="PJK32" s="28"/>
      <c r="PJL32" s="28"/>
      <c r="PJM32" s="28"/>
      <c r="PJN32" s="28"/>
      <c r="PJO32" s="28"/>
      <c r="PJP32" s="28"/>
      <c r="PJQ32" s="28"/>
      <c r="PJR32" s="28"/>
      <c r="PJS32" s="28"/>
      <c r="PJT32" s="28"/>
      <c r="PJU32" s="28"/>
      <c r="PJV32" s="28"/>
      <c r="PJW32" s="28"/>
      <c r="PJX32" s="28"/>
      <c r="PJY32" s="28"/>
      <c r="PJZ32" s="28"/>
      <c r="PKA32" s="28"/>
      <c r="PKB32" s="28"/>
      <c r="PKC32" s="28"/>
      <c r="PKD32" s="28"/>
      <c r="PKE32" s="28"/>
      <c r="PKF32" s="28"/>
      <c r="PKG32" s="28"/>
      <c r="PKH32" s="28"/>
      <c r="PKI32" s="28"/>
      <c r="PKJ32" s="28"/>
      <c r="PKK32" s="28"/>
      <c r="PKL32" s="28"/>
      <c r="PKM32" s="28"/>
      <c r="PKN32" s="28"/>
      <c r="PKO32" s="28"/>
      <c r="PKP32" s="28"/>
      <c r="PKQ32" s="28"/>
      <c r="PKR32" s="28"/>
      <c r="PKS32" s="28"/>
      <c r="PKT32" s="28"/>
      <c r="PKU32" s="28"/>
      <c r="PKV32" s="28"/>
      <c r="PKW32" s="28"/>
      <c r="PKX32" s="28"/>
      <c r="PKY32" s="28"/>
      <c r="PKZ32" s="28"/>
      <c r="PLA32" s="28"/>
      <c r="PLB32" s="28"/>
      <c r="PLC32" s="28"/>
      <c r="PLD32" s="28"/>
      <c r="PLE32" s="28"/>
      <c r="PLF32" s="28"/>
      <c r="PLG32" s="28"/>
      <c r="PLH32" s="28"/>
      <c r="PLI32" s="28"/>
      <c r="PLJ32" s="28"/>
      <c r="PLK32" s="28"/>
      <c r="PLL32" s="28"/>
      <c r="PLM32" s="28"/>
      <c r="PLN32" s="28"/>
      <c r="PLO32" s="28"/>
      <c r="PLP32" s="28"/>
      <c r="PLQ32" s="28"/>
      <c r="PLR32" s="28"/>
      <c r="PLS32" s="28"/>
      <c r="PLT32" s="28"/>
      <c r="PLU32" s="28"/>
      <c r="PLV32" s="28"/>
      <c r="PLW32" s="28"/>
      <c r="PLX32" s="28"/>
      <c r="PLY32" s="28"/>
      <c r="PLZ32" s="28"/>
      <c r="PMA32" s="28"/>
      <c r="PMB32" s="28"/>
      <c r="PMC32" s="28"/>
      <c r="PMD32" s="28"/>
      <c r="PME32" s="28"/>
      <c r="PMF32" s="28"/>
      <c r="PMG32" s="28"/>
      <c r="PMH32" s="28"/>
      <c r="PMI32" s="28"/>
      <c r="PMJ32" s="28"/>
      <c r="PMK32" s="28"/>
      <c r="PML32" s="28"/>
      <c r="PMM32" s="28"/>
      <c r="PMN32" s="28"/>
      <c r="PMO32" s="28"/>
      <c r="PMP32" s="28"/>
      <c r="PMQ32" s="28"/>
      <c r="PMR32" s="28"/>
      <c r="PMS32" s="28"/>
      <c r="PMT32" s="28"/>
      <c r="PMU32" s="28"/>
      <c r="PMV32" s="28"/>
      <c r="PMW32" s="28"/>
      <c r="PMX32" s="28"/>
      <c r="PMY32" s="28"/>
      <c r="PMZ32" s="28"/>
      <c r="PNA32" s="28"/>
      <c r="PNB32" s="28"/>
      <c r="PNC32" s="28"/>
      <c r="PND32" s="28"/>
      <c r="PNE32" s="28"/>
      <c r="PNF32" s="28"/>
      <c r="PNG32" s="28"/>
      <c r="PNH32" s="28"/>
      <c r="PNI32" s="28"/>
      <c r="PNJ32" s="28"/>
      <c r="PNK32" s="28"/>
      <c r="PNL32" s="28"/>
      <c r="PNM32" s="28"/>
      <c r="PNN32" s="28"/>
      <c r="PNO32" s="28"/>
      <c r="PNP32" s="28"/>
      <c r="PNQ32" s="28"/>
      <c r="PNR32" s="28"/>
      <c r="PNS32" s="28"/>
      <c r="PNT32" s="28"/>
      <c r="PNU32" s="28"/>
      <c r="PNV32" s="28"/>
      <c r="PNW32" s="28"/>
      <c r="PNX32" s="28"/>
      <c r="PNY32" s="28"/>
      <c r="PNZ32" s="28"/>
      <c r="POA32" s="28"/>
      <c r="POB32" s="28"/>
      <c r="POC32" s="28"/>
      <c r="POD32" s="28"/>
      <c r="POE32" s="28"/>
      <c r="POF32" s="28"/>
      <c r="POG32" s="28"/>
      <c r="POH32" s="28"/>
      <c r="POI32" s="28"/>
      <c r="POJ32" s="28"/>
      <c r="POK32" s="28"/>
      <c r="POL32" s="28"/>
      <c r="POM32" s="28"/>
      <c r="PON32" s="28"/>
      <c r="POO32" s="28"/>
      <c r="POP32" s="28"/>
      <c r="POQ32" s="28"/>
      <c r="POR32" s="28"/>
      <c r="POS32" s="28"/>
      <c r="POT32" s="28"/>
      <c r="POU32" s="28"/>
      <c r="POV32" s="28"/>
      <c r="POW32" s="28"/>
      <c r="POX32" s="28"/>
      <c r="POY32" s="28"/>
      <c r="POZ32" s="28"/>
      <c r="PPA32" s="28"/>
      <c r="PPB32" s="28"/>
      <c r="PPC32" s="28"/>
      <c r="PPD32" s="28"/>
      <c r="PPE32" s="28"/>
      <c r="PPF32" s="28"/>
      <c r="PPG32" s="28"/>
      <c r="PPH32" s="28"/>
      <c r="PPI32" s="28"/>
      <c r="PPJ32" s="28"/>
      <c r="PPK32" s="28"/>
      <c r="PPL32" s="28"/>
      <c r="PPM32" s="28"/>
      <c r="PPN32" s="28"/>
      <c r="PPO32" s="28"/>
      <c r="PPP32" s="28"/>
      <c r="PPQ32" s="28"/>
      <c r="PPR32" s="28"/>
      <c r="PPS32" s="28"/>
      <c r="PPT32" s="28"/>
      <c r="PPU32" s="28"/>
      <c r="PPV32" s="28"/>
      <c r="PPW32" s="28"/>
      <c r="PPX32" s="28"/>
      <c r="PPY32" s="28"/>
      <c r="PPZ32" s="28"/>
      <c r="PQA32" s="28"/>
      <c r="PQB32" s="28"/>
      <c r="PQC32" s="28"/>
      <c r="PQD32" s="28"/>
      <c r="PQE32" s="28"/>
      <c r="PQF32" s="28"/>
      <c r="PQG32" s="28"/>
      <c r="PQH32" s="28"/>
      <c r="PQI32" s="28"/>
      <c r="PQJ32" s="28"/>
      <c r="PQK32" s="28"/>
      <c r="PQL32" s="28"/>
      <c r="PQM32" s="28"/>
      <c r="PQN32" s="28"/>
      <c r="PQO32" s="28"/>
      <c r="PQP32" s="28"/>
      <c r="PQQ32" s="28"/>
      <c r="PQR32" s="28"/>
      <c r="PQS32" s="28"/>
      <c r="PQT32" s="28"/>
      <c r="PQU32" s="28"/>
      <c r="PQV32" s="28"/>
      <c r="PQW32" s="28"/>
      <c r="PQX32" s="28"/>
      <c r="PQY32" s="28"/>
      <c r="PQZ32" s="28"/>
      <c r="PRA32" s="28"/>
      <c r="PRB32" s="28"/>
      <c r="PRC32" s="28"/>
      <c r="PRD32" s="28"/>
      <c r="PRE32" s="28"/>
      <c r="PRF32" s="28"/>
      <c r="PRG32" s="28"/>
      <c r="PRH32" s="28"/>
      <c r="PRI32" s="28"/>
      <c r="PRJ32" s="28"/>
      <c r="PRK32" s="28"/>
      <c r="PRL32" s="28"/>
      <c r="PRM32" s="28"/>
      <c r="PRN32" s="28"/>
      <c r="PRO32" s="28"/>
      <c r="PRP32" s="28"/>
      <c r="PRQ32" s="28"/>
      <c r="PRR32" s="28"/>
      <c r="PRS32" s="28"/>
      <c r="PRT32" s="28"/>
      <c r="PRU32" s="28"/>
      <c r="PRV32" s="28"/>
      <c r="PRW32" s="28"/>
      <c r="PRX32" s="28"/>
      <c r="PRY32" s="28"/>
      <c r="PRZ32" s="28"/>
      <c r="PSA32" s="28"/>
      <c r="PSB32" s="28"/>
      <c r="PSC32" s="28"/>
      <c r="PSD32" s="28"/>
      <c r="PSE32" s="28"/>
      <c r="PSF32" s="28"/>
      <c r="PSG32" s="28"/>
      <c r="PSH32" s="28"/>
      <c r="PSI32" s="28"/>
      <c r="PSJ32" s="28"/>
      <c r="PSK32" s="28"/>
      <c r="PSL32" s="28"/>
      <c r="PSM32" s="28"/>
      <c r="PSN32" s="28"/>
      <c r="PSO32" s="28"/>
      <c r="PSP32" s="28"/>
      <c r="PSQ32" s="28"/>
      <c r="PSR32" s="28"/>
      <c r="PSS32" s="28"/>
      <c r="PST32" s="28"/>
      <c r="PSU32" s="28"/>
      <c r="PSV32" s="28"/>
      <c r="PSW32" s="28"/>
      <c r="PSX32" s="28"/>
      <c r="PSY32" s="28"/>
      <c r="PSZ32" s="28"/>
      <c r="PTA32" s="28"/>
      <c r="PTB32" s="28"/>
      <c r="PTC32" s="28"/>
      <c r="PTD32" s="28"/>
      <c r="PTE32" s="28"/>
      <c r="PTF32" s="28"/>
      <c r="PTG32" s="28"/>
      <c r="PTH32" s="28"/>
      <c r="PTI32" s="28"/>
      <c r="PTJ32" s="28"/>
      <c r="PTK32" s="28"/>
      <c r="PTL32" s="28"/>
      <c r="PTM32" s="28"/>
      <c r="PTN32" s="28"/>
      <c r="PTO32" s="28"/>
      <c r="PTP32" s="28"/>
      <c r="PTQ32" s="28"/>
      <c r="PTR32" s="28"/>
      <c r="PTS32" s="28"/>
      <c r="PTT32" s="28"/>
      <c r="PTU32" s="28"/>
      <c r="PTV32" s="28"/>
      <c r="PTW32" s="28"/>
      <c r="PTX32" s="28"/>
      <c r="PTY32" s="28"/>
      <c r="PTZ32" s="28"/>
      <c r="PUA32" s="28"/>
      <c r="PUB32" s="28"/>
      <c r="PUC32" s="28"/>
      <c r="PUD32" s="28"/>
      <c r="PUE32" s="28"/>
      <c r="PUF32" s="28"/>
      <c r="PUG32" s="28"/>
      <c r="PUH32" s="28"/>
      <c r="PUI32" s="28"/>
      <c r="PUJ32" s="28"/>
      <c r="PUK32" s="28"/>
      <c r="PUL32" s="28"/>
      <c r="PUM32" s="28"/>
      <c r="PUN32" s="28"/>
      <c r="PUO32" s="28"/>
      <c r="PUP32" s="28"/>
      <c r="PUQ32" s="28"/>
      <c r="PUR32" s="28"/>
      <c r="PUS32" s="28"/>
      <c r="PUT32" s="28"/>
      <c r="PUU32" s="28"/>
      <c r="PUV32" s="28"/>
      <c r="PUW32" s="28"/>
      <c r="PUX32" s="28"/>
      <c r="PUY32" s="28"/>
      <c r="PUZ32" s="28"/>
      <c r="PVA32" s="28"/>
      <c r="PVB32" s="28"/>
      <c r="PVC32" s="28"/>
      <c r="PVD32" s="28"/>
      <c r="PVE32" s="28"/>
      <c r="PVF32" s="28"/>
      <c r="PVG32" s="28"/>
      <c r="PVH32" s="28"/>
      <c r="PVI32" s="28"/>
      <c r="PVJ32" s="28"/>
      <c r="PVK32" s="28"/>
      <c r="PVL32" s="28"/>
      <c r="PVM32" s="28"/>
      <c r="PVN32" s="28"/>
      <c r="PVO32" s="28"/>
      <c r="PVP32" s="28"/>
      <c r="PVQ32" s="28"/>
      <c r="PVR32" s="28"/>
      <c r="PVS32" s="28"/>
      <c r="PVT32" s="28"/>
      <c r="PVU32" s="28"/>
      <c r="PVV32" s="28"/>
      <c r="PVW32" s="28"/>
      <c r="PVX32" s="28"/>
      <c r="PVY32" s="28"/>
      <c r="PVZ32" s="28"/>
      <c r="PWA32" s="28"/>
      <c r="PWB32" s="28"/>
      <c r="PWC32" s="28"/>
      <c r="PWD32" s="28"/>
      <c r="PWE32" s="28"/>
      <c r="PWF32" s="28"/>
      <c r="PWG32" s="28"/>
      <c r="PWH32" s="28"/>
      <c r="PWI32" s="28"/>
      <c r="PWJ32" s="28"/>
      <c r="PWK32" s="28"/>
      <c r="PWL32" s="28"/>
      <c r="PWM32" s="28"/>
      <c r="PWN32" s="28"/>
      <c r="PWO32" s="28"/>
      <c r="PWP32" s="28"/>
      <c r="PWQ32" s="28"/>
      <c r="PWR32" s="28"/>
      <c r="PWS32" s="28"/>
      <c r="PWT32" s="28"/>
      <c r="PWU32" s="28"/>
      <c r="PWV32" s="28"/>
      <c r="PWW32" s="28"/>
      <c r="PWX32" s="28"/>
      <c r="PWY32" s="28"/>
      <c r="PWZ32" s="28"/>
      <c r="PXA32" s="28"/>
      <c r="PXB32" s="28"/>
      <c r="PXC32" s="28"/>
      <c r="PXD32" s="28"/>
      <c r="PXE32" s="28"/>
      <c r="PXF32" s="28"/>
      <c r="PXG32" s="28"/>
      <c r="PXH32" s="28"/>
      <c r="PXI32" s="28"/>
      <c r="PXJ32" s="28"/>
      <c r="PXK32" s="28"/>
      <c r="PXL32" s="28"/>
      <c r="PXM32" s="28"/>
      <c r="PXN32" s="28"/>
      <c r="PXO32" s="28"/>
      <c r="PXP32" s="28"/>
      <c r="PXQ32" s="28"/>
      <c r="PXR32" s="28"/>
      <c r="PXS32" s="28"/>
      <c r="PXT32" s="28"/>
      <c r="PXU32" s="28"/>
      <c r="PXV32" s="28"/>
      <c r="PXW32" s="28"/>
      <c r="PXX32" s="28"/>
      <c r="PXY32" s="28"/>
      <c r="PXZ32" s="28"/>
      <c r="PYA32" s="28"/>
      <c r="PYB32" s="28"/>
      <c r="PYC32" s="28"/>
      <c r="PYD32" s="28"/>
      <c r="PYE32" s="28"/>
      <c r="PYF32" s="28"/>
      <c r="PYG32" s="28"/>
      <c r="PYH32" s="28"/>
      <c r="PYI32" s="28"/>
      <c r="PYJ32" s="28"/>
      <c r="PYK32" s="28"/>
      <c r="PYL32" s="28"/>
      <c r="PYM32" s="28"/>
      <c r="PYN32" s="28"/>
      <c r="PYO32" s="28"/>
      <c r="PYP32" s="28"/>
      <c r="PYQ32" s="28"/>
      <c r="PYR32" s="28"/>
      <c r="PYS32" s="28"/>
      <c r="PYT32" s="28"/>
      <c r="PYU32" s="28"/>
      <c r="PYV32" s="28"/>
      <c r="PYW32" s="28"/>
      <c r="PYX32" s="28"/>
      <c r="PYY32" s="28"/>
      <c r="PYZ32" s="28"/>
      <c r="PZA32" s="28"/>
      <c r="PZB32" s="28"/>
      <c r="PZC32" s="28"/>
      <c r="PZD32" s="28"/>
      <c r="PZE32" s="28"/>
      <c r="PZF32" s="28"/>
      <c r="PZG32" s="28"/>
      <c r="PZH32" s="28"/>
      <c r="PZI32" s="28"/>
      <c r="PZJ32" s="28"/>
      <c r="PZK32" s="28"/>
      <c r="PZL32" s="28"/>
      <c r="PZM32" s="28"/>
      <c r="PZN32" s="28"/>
      <c r="PZO32" s="28"/>
      <c r="PZP32" s="28"/>
      <c r="PZQ32" s="28"/>
      <c r="PZR32" s="28"/>
      <c r="PZS32" s="28"/>
      <c r="PZT32" s="28"/>
      <c r="PZU32" s="28"/>
      <c r="PZV32" s="28"/>
      <c r="PZW32" s="28"/>
      <c r="PZX32" s="28"/>
      <c r="PZY32" s="28"/>
      <c r="PZZ32" s="28"/>
      <c r="QAA32" s="28"/>
      <c r="QAB32" s="28"/>
      <c r="QAC32" s="28"/>
      <c r="QAD32" s="28"/>
      <c r="QAE32" s="28"/>
      <c r="QAF32" s="28"/>
      <c r="QAG32" s="28"/>
      <c r="QAH32" s="28"/>
      <c r="QAI32" s="28"/>
      <c r="QAJ32" s="28"/>
      <c r="QAK32" s="28"/>
      <c r="QAL32" s="28"/>
      <c r="QAM32" s="28"/>
      <c r="QAN32" s="28"/>
      <c r="QAO32" s="28"/>
      <c r="QAP32" s="28"/>
      <c r="QAQ32" s="28"/>
      <c r="QAR32" s="28"/>
      <c r="QAS32" s="28"/>
      <c r="QAT32" s="28"/>
      <c r="QAU32" s="28"/>
      <c r="QAV32" s="28"/>
      <c r="QAW32" s="28"/>
      <c r="QAX32" s="28"/>
      <c r="QAY32" s="28"/>
      <c r="QAZ32" s="28"/>
      <c r="QBA32" s="28"/>
      <c r="QBB32" s="28"/>
      <c r="QBC32" s="28"/>
      <c r="QBD32" s="28"/>
      <c r="QBE32" s="28"/>
      <c r="QBF32" s="28"/>
      <c r="QBG32" s="28"/>
      <c r="QBH32" s="28"/>
      <c r="QBI32" s="28"/>
      <c r="QBJ32" s="28"/>
      <c r="QBK32" s="28"/>
      <c r="QBL32" s="28"/>
      <c r="QBM32" s="28"/>
      <c r="QBN32" s="28"/>
      <c r="QBO32" s="28"/>
      <c r="QBP32" s="28"/>
      <c r="QBQ32" s="28"/>
      <c r="QBR32" s="28"/>
      <c r="QBS32" s="28"/>
      <c r="QBT32" s="28"/>
      <c r="QBU32" s="28"/>
      <c r="QBV32" s="28"/>
      <c r="QBW32" s="28"/>
      <c r="QBX32" s="28"/>
      <c r="QBY32" s="28"/>
      <c r="QBZ32" s="28"/>
      <c r="QCA32" s="28"/>
      <c r="QCB32" s="28"/>
      <c r="QCC32" s="28"/>
      <c r="QCD32" s="28"/>
      <c r="QCE32" s="28"/>
      <c r="QCF32" s="28"/>
      <c r="QCG32" s="28"/>
      <c r="QCH32" s="28"/>
      <c r="QCI32" s="28"/>
      <c r="QCJ32" s="28"/>
      <c r="QCK32" s="28"/>
      <c r="QCL32" s="28"/>
      <c r="QCM32" s="28"/>
      <c r="QCN32" s="28"/>
      <c r="QCO32" s="28"/>
      <c r="QCP32" s="28"/>
      <c r="QCQ32" s="28"/>
      <c r="QCR32" s="28"/>
      <c r="QCS32" s="28"/>
      <c r="QCT32" s="28"/>
      <c r="QCU32" s="28"/>
      <c r="QCV32" s="28"/>
      <c r="QCW32" s="28"/>
      <c r="QCX32" s="28"/>
      <c r="QCY32" s="28"/>
      <c r="QCZ32" s="28"/>
      <c r="QDA32" s="28"/>
      <c r="QDB32" s="28"/>
      <c r="QDC32" s="28"/>
      <c r="QDD32" s="28"/>
      <c r="QDE32" s="28"/>
      <c r="QDF32" s="28"/>
      <c r="QDG32" s="28"/>
      <c r="QDH32" s="28"/>
      <c r="QDI32" s="28"/>
      <c r="QDJ32" s="28"/>
      <c r="QDK32" s="28"/>
      <c r="QDL32" s="28"/>
      <c r="QDM32" s="28"/>
      <c r="QDN32" s="28"/>
      <c r="QDO32" s="28"/>
      <c r="QDP32" s="28"/>
      <c r="QDQ32" s="28"/>
      <c r="QDR32" s="28"/>
      <c r="QDS32" s="28"/>
      <c r="QDT32" s="28"/>
      <c r="QDU32" s="28"/>
      <c r="QDV32" s="28"/>
      <c r="QDW32" s="28"/>
      <c r="QDX32" s="28"/>
      <c r="QDY32" s="28"/>
      <c r="QDZ32" s="28"/>
      <c r="QEA32" s="28"/>
      <c r="QEB32" s="28"/>
      <c r="QEC32" s="28"/>
      <c r="QED32" s="28"/>
      <c r="QEE32" s="28"/>
      <c r="QEF32" s="28"/>
      <c r="QEG32" s="28"/>
      <c r="QEH32" s="28"/>
      <c r="QEI32" s="28"/>
      <c r="QEJ32" s="28"/>
      <c r="QEK32" s="28"/>
      <c r="QEL32" s="28"/>
      <c r="QEM32" s="28"/>
      <c r="QEN32" s="28"/>
      <c r="QEO32" s="28"/>
      <c r="QEP32" s="28"/>
      <c r="QEQ32" s="28"/>
      <c r="QER32" s="28"/>
      <c r="QES32" s="28"/>
      <c r="QET32" s="28"/>
      <c r="QEU32" s="28"/>
      <c r="QEV32" s="28"/>
      <c r="QEW32" s="28"/>
      <c r="QEX32" s="28"/>
      <c r="QEY32" s="28"/>
      <c r="QEZ32" s="28"/>
      <c r="QFA32" s="28"/>
      <c r="QFB32" s="28"/>
      <c r="QFC32" s="28"/>
      <c r="QFD32" s="28"/>
      <c r="QFE32" s="28"/>
      <c r="QFF32" s="28"/>
      <c r="QFG32" s="28"/>
      <c r="QFH32" s="28"/>
      <c r="QFI32" s="28"/>
      <c r="QFJ32" s="28"/>
      <c r="QFK32" s="28"/>
      <c r="QFL32" s="28"/>
      <c r="QFM32" s="28"/>
      <c r="QFN32" s="28"/>
      <c r="QFO32" s="28"/>
      <c r="QFP32" s="28"/>
      <c r="QFQ32" s="28"/>
      <c r="QFR32" s="28"/>
      <c r="QFS32" s="28"/>
      <c r="QFT32" s="28"/>
      <c r="QFU32" s="28"/>
      <c r="QFV32" s="28"/>
      <c r="QFW32" s="28"/>
      <c r="QFX32" s="28"/>
      <c r="QFY32" s="28"/>
      <c r="QFZ32" s="28"/>
      <c r="QGA32" s="28"/>
      <c r="QGB32" s="28"/>
      <c r="QGC32" s="28"/>
      <c r="QGD32" s="28"/>
      <c r="QGE32" s="28"/>
      <c r="QGF32" s="28"/>
      <c r="QGG32" s="28"/>
      <c r="QGH32" s="28"/>
      <c r="QGI32" s="28"/>
      <c r="QGJ32" s="28"/>
      <c r="QGK32" s="28"/>
      <c r="QGL32" s="28"/>
      <c r="QGM32" s="28"/>
      <c r="QGN32" s="28"/>
      <c r="QGO32" s="28"/>
      <c r="QGP32" s="28"/>
      <c r="QGQ32" s="28"/>
      <c r="QGR32" s="28"/>
      <c r="QGS32" s="28"/>
      <c r="QGT32" s="28"/>
      <c r="QGU32" s="28"/>
      <c r="QGV32" s="28"/>
      <c r="QGW32" s="28"/>
      <c r="QGX32" s="28"/>
      <c r="QGY32" s="28"/>
      <c r="QGZ32" s="28"/>
      <c r="QHA32" s="28"/>
      <c r="QHB32" s="28"/>
      <c r="QHC32" s="28"/>
      <c r="QHD32" s="28"/>
      <c r="QHE32" s="28"/>
      <c r="QHF32" s="28"/>
      <c r="QHG32" s="28"/>
      <c r="QHH32" s="28"/>
      <c r="QHI32" s="28"/>
      <c r="QHJ32" s="28"/>
      <c r="QHK32" s="28"/>
      <c r="QHL32" s="28"/>
      <c r="QHM32" s="28"/>
      <c r="QHN32" s="28"/>
      <c r="QHO32" s="28"/>
      <c r="QHP32" s="28"/>
      <c r="QHQ32" s="28"/>
      <c r="QHR32" s="28"/>
      <c r="QHS32" s="28"/>
      <c r="QHT32" s="28"/>
      <c r="QHU32" s="28"/>
      <c r="QHV32" s="28"/>
      <c r="QHW32" s="28"/>
      <c r="QHX32" s="28"/>
      <c r="QHY32" s="28"/>
      <c r="QHZ32" s="28"/>
      <c r="QIA32" s="28"/>
      <c r="QIB32" s="28"/>
      <c r="QIC32" s="28"/>
      <c r="QID32" s="28"/>
      <c r="QIE32" s="28"/>
      <c r="QIF32" s="28"/>
      <c r="QIG32" s="28"/>
      <c r="QIH32" s="28"/>
      <c r="QII32" s="28"/>
      <c r="QIJ32" s="28"/>
      <c r="QIK32" s="28"/>
      <c r="QIL32" s="28"/>
      <c r="QIM32" s="28"/>
      <c r="QIN32" s="28"/>
      <c r="QIO32" s="28"/>
      <c r="QIP32" s="28"/>
      <c r="QIQ32" s="28"/>
      <c r="QIR32" s="28"/>
      <c r="QIS32" s="28"/>
      <c r="QIT32" s="28"/>
      <c r="QIU32" s="28"/>
      <c r="QIV32" s="28"/>
      <c r="QIW32" s="28"/>
      <c r="QIX32" s="28"/>
      <c r="QIY32" s="28"/>
      <c r="QIZ32" s="28"/>
      <c r="QJA32" s="28"/>
      <c r="QJB32" s="28"/>
      <c r="QJC32" s="28"/>
      <c r="QJD32" s="28"/>
      <c r="QJE32" s="28"/>
      <c r="QJF32" s="28"/>
      <c r="QJG32" s="28"/>
      <c r="QJH32" s="28"/>
      <c r="QJI32" s="28"/>
      <c r="QJJ32" s="28"/>
      <c r="QJK32" s="28"/>
      <c r="QJL32" s="28"/>
      <c r="QJM32" s="28"/>
      <c r="QJN32" s="28"/>
      <c r="QJO32" s="28"/>
      <c r="QJP32" s="28"/>
      <c r="QJQ32" s="28"/>
      <c r="QJR32" s="28"/>
      <c r="QJS32" s="28"/>
      <c r="QJT32" s="28"/>
      <c r="QJU32" s="28"/>
      <c r="QJV32" s="28"/>
      <c r="QJW32" s="28"/>
      <c r="QJX32" s="28"/>
      <c r="QJY32" s="28"/>
      <c r="QJZ32" s="28"/>
      <c r="QKA32" s="28"/>
      <c r="QKB32" s="28"/>
      <c r="QKC32" s="28"/>
      <c r="QKD32" s="28"/>
      <c r="QKE32" s="28"/>
      <c r="QKF32" s="28"/>
      <c r="QKG32" s="28"/>
      <c r="QKH32" s="28"/>
      <c r="QKI32" s="28"/>
      <c r="QKJ32" s="28"/>
      <c r="QKK32" s="28"/>
      <c r="QKL32" s="28"/>
      <c r="QKM32" s="28"/>
      <c r="QKN32" s="28"/>
      <c r="QKO32" s="28"/>
      <c r="QKP32" s="28"/>
      <c r="QKQ32" s="28"/>
      <c r="QKR32" s="28"/>
      <c r="QKS32" s="28"/>
      <c r="QKT32" s="28"/>
      <c r="QKU32" s="28"/>
      <c r="QKV32" s="28"/>
      <c r="QKW32" s="28"/>
      <c r="QKX32" s="28"/>
      <c r="QKY32" s="28"/>
      <c r="QKZ32" s="28"/>
      <c r="QLA32" s="28"/>
      <c r="QLB32" s="28"/>
      <c r="QLC32" s="28"/>
      <c r="QLD32" s="28"/>
      <c r="QLE32" s="28"/>
      <c r="QLF32" s="28"/>
      <c r="QLG32" s="28"/>
      <c r="QLH32" s="28"/>
      <c r="QLI32" s="28"/>
      <c r="QLJ32" s="28"/>
      <c r="QLK32" s="28"/>
      <c r="QLL32" s="28"/>
      <c r="QLM32" s="28"/>
      <c r="QLN32" s="28"/>
      <c r="QLO32" s="28"/>
      <c r="QLP32" s="28"/>
      <c r="QLQ32" s="28"/>
      <c r="QLR32" s="28"/>
      <c r="QLS32" s="28"/>
      <c r="QLT32" s="28"/>
      <c r="QLU32" s="28"/>
      <c r="QLV32" s="28"/>
      <c r="QLW32" s="28"/>
      <c r="QLX32" s="28"/>
      <c r="QLY32" s="28"/>
      <c r="QLZ32" s="28"/>
      <c r="QMA32" s="28"/>
      <c r="QMB32" s="28"/>
      <c r="QMC32" s="28"/>
      <c r="QMD32" s="28"/>
      <c r="QME32" s="28"/>
      <c r="QMF32" s="28"/>
      <c r="QMG32" s="28"/>
      <c r="QMH32" s="28"/>
      <c r="QMI32" s="28"/>
      <c r="QMJ32" s="28"/>
      <c r="QMK32" s="28"/>
      <c r="QML32" s="28"/>
      <c r="QMM32" s="28"/>
      <c r="QMN32" s="28"/>
      <c r="QMO32" s="28"/>
      <c r="QMP32" s="28"/>
      <c r="QMQ32" s="28"/>
      <c r="QMR32" s="28"/>
      <c r="QMS32" s="28"/>
      <c r="QMT32" s="28"/>
      <c r="QMU32" s="28"/>
      <c r="QMV32" s="28"/>
      <c r="QMW32" s="28"/>
      <c r="QMX32" s="28"/>
      <c r="QMY32" s="28"/>
      <c r="QMZ32" s="28"/>
      <c r="QNA32" s="28"/>
      <c r="QNB32" s="28"/>
      <c r="QNC32" s="28"/>
      <c r="QND32" s="28"/>
      <c r="QNE32" s="28"/>
      <c r="QNF32" s="28"/>
      <c r="QNG32" s="28"/>
      <c r="QNH32" s="28"/>
      <c r="QNI32" s="28"/>
      <c r="QNJ32" s="28"/>
      <c r="QNK32" s="28"/>
      <c r="QNL32" s="28"/>
      <c r="QNM32" s="28"/>
      <c r="QNN32" s="28"/>
      <c r="QNO32" s="28"/>
      <c r="QNP32" s="28"/>
      <c r="QNQ32" s="28"/>
      <c r="QNR32" s="28"/>
      <c r="QNS32" s="28"/>
      <c r="QNT32" s="28"/>
      <c r="QNU32" s="28"/>
      <c r="QNV32" s="28"/>
      <c r="QNW32" s="28"/>
      <c r="QNX32" s="28"/>
      <c r="QNY32" s="28"/>
      <c r="QNZ32" s="28"/>
      <c r="QOA32" s="28"/>
      <c r="QOB32" s="28"/>
      <c r="QOC32" s="28"/>
      <c r="QOD32" s="28"/>
      <c r="QOE32" s="28"/>
      <c r="QOF32" s="28"/>
      <c r="QOG32" s="28"/>
      <c r="QOH32" s="28"/>
      <c r="QOI32" s="28"/>
      <c r="QOJ32" s="28"/>
      <c r="QOK32" s="28"/>
      <c r="QOL32" s="28"/>
      <c r="QOM32" s="28"/>
      <c r="QON32" s="28"/>
      <c r="QOO32" s="28"/>
      <c r="QOP32" s="28"/>
      <c r="QOQ32" s="28"/>
      <c r="QOR32" s="28"/>
      <c r="QOS32" s="28"/>
      <c r="QOT32" s="28"/>
      <c r="QOU32" s="28"/>
      <c r="QOV32" s="28"/>
      <c r="QOW32" s="28"/>
      <c r="QOX32" s="28"/>
      <c r="QOY32" s="28"/>
      <c r="QOZ32" s="28"/>
      <c r="QPA32" s="28"/>
      <c r="QPB32" s="28"/>
      <c r="QPC32" s="28"/>
      <c r="QPD32" s="28"/>
      <c r="QPE32" s="28"/>
      <c r="QPF32" s="28"/>
      <c r="QPG32" s="28"/>
      <c r="QPH32" s="28"/>
      <c r="QPI32" s="28"/>
      <c r="QPJ32" s="28"/>
      <c r="QPK32" s="28"/>
      <c r="QPL32" s="28"/>
      <c r="QPM32" s="28"/>
      <c r="QPN32" s="28"/>
      <c r="QPO32" s="28"/>
      <c r="QPP32" s="28"/>
      <c r="QPQ32" s="28"/>
      <c r="QPR32" s="28"/>
      <c r="QPS32" s="28"/>
      <c r="QPT32" s="28"/>
      <c r="QPU32" s="28"/>
      <c r="QPV32" s="28"/>
      <c r="QPW32" s="28"/>
      <c r="QPX32" s="28"/>
      <c r="QPY32" s="28"/>
      <c r="QPZ32" s="28"/>
      <c r="QQA32" s="28"/>
      <c r="QQB32" s="28"/>
      <c r="QQC32" s="28"/>
      <c r="QQD32" s="28"/>
      <c r="QQE32" s="28"/>
      <c r="QQF32" s="28"/>
      <c r="QQG32" s="28"/>
      <c r="QQH32" s="28"/>
      <c r="QQI32" s="28"/>
      <c r="QQJ32" s="28"/>
      <c r="QQK32" s="28"/>
      <c r="QQL32" s="28"/>
      <c r="QQM32" s="28"/>
      <c r="QQN32" s="28"/>
      <c r="QQO32" s="28"/>
      <c r="QQP32" s="28"/>
      <c r="QQQ32" s="28"/>
      <c r="QQR32" s="28"/>
      <c r="QQS32" s="28"/>
      <c r="QQT32" s="28"/>
      <c r="QQU32" s="28"/>
      <c r="QQV32" s="28"/>
      <c r="QQW32" s="28"/>
      <c r="QQX32" s="28"/>
      <c r="QQY32" s="28"/>
      <c r="QQZ32" s="28"/>
      <c r="QRA32" s="28"/>
      <c r="QRB32" s="28"/>
      <c r="QRC32" s="28"/>
      <c r="QRD32" s="28"/>
      <c r="QRE32" s="28"/>
      <c r="QRF32" s="28"/>
      <c r="QRG32" s="28"/>
      <c r="QRH32" s="28"/>
      <c r="QRI32" s="28"/>
      <c r="QRJ32" s="28"/>
      <c r="QRK32" s="28"/>
      <c r="QRL32" s="28"/>
      <c r="QRM32" s="28"/>
      <c r="QRN32" s="28"/>
      <c r="QRO32" s="28"/>
      <c r="QRP32" s="28"/>
      <c r="QRQ32" s="28"/>
      <c r="QRR32" s="28"/>
      <c r="QRS32" s="28"/>
      <c r="QRT32" s="28"/>
      <c r="QRU32" s="28"/>
      <c r="QRV32" s="28"/>
      <c r="QRW32" s="28"/>
      <c r="QRX32" s="28"/>
      <c r="QRY32" s="28"/>
      <c r="QRZ32" s="28"/>
      <c r="QSA32" s="28"/>
      <c r="QSB32" s="28"/>
      <c r="QSC32" s="28"/>
      <c r="QSD32" s="28"/>
      <c r="QSE32" s="28"/>
      <c r="QSF32" s="28"/>
      <c r="QSG32" s="28"/>
      <c r="QSH32" s="28"/>
      <c r="QSI32" s="28"/>
      <c r="QSJ32" s="28"/>
      <c r="QSK32" s="28"/>
      <c r="QSL32" s="28"/>
      <c r="QSM32" s="28"/>
      <c r="QSN32" s="28"/>
      <c r="QSO32" s="28"/>
      <c r="QSP32" s="28"/>
      <c r="QSQ32" s="28"/>
      <c r="QSR32" s="28"/>
      <c r="QSS32" s="28"/>
      <c r="QST32" s="28"/>
      <c r="QSU32" s="28"/>
      <c r="QSV32" s="28"/>
      <c r="QSW32" s="28"/>
      <c r="QSX32" s="28"/>
      <c r="QSY32" s="28"/>
      <c r="QSZ32" s="28"/>
      <c r="QTA32" s="28"/>
      <c r="QTB32" s="28"/>
      <c r="QTC32" s="28"/>
      <c r="QTD32" s="28"/>
      <c r="QTE32" s="28"/>
      <c r="QTF32" s="28"/>
      <c r="QTG32" s="28"/>
      <c r="QTH32" s="28"/>
      <c r="QTI32" s="28"/>
      <c r="QTJ32" s="28"/>
      <c r="QTK32" s="28"/>
      <c r="QTL32" s="28"/>
      <c r="QTM32" s="28"/>
      <c r="QTN32" s="28"/>
      <c r="QTO32" s="28"/>
      <c r="QTP32" s="28"/>
      <c r="QTQ32" s="28"/>
      <c r="QTR32" s="28"/>
      <c r="QTS32" s="28"/>
      <c r="QTT32" s="28"/>
      <c r="QTU32" s="28"/>
      <c r="QTV32" s="28"/>
      <c r="QTW32" s="28"/>
      <c r="QTX32" s="28"/>
      <c r="QTY32" s="28"/>
      <c r="QTZ32" s="28"/>
      <c r="QUA32" s="28"/>
      <c r="QUB32" s="28"/>
      <c r="QUC32" s="28"/>
      <c r="QUD32" s="28"/>
      <c r="QUE32" s="28"/>
      <c r="QUF32" s="28"/>
      <c r="QUG32" s="28"/>
      <c r="QUH32" s="28"/>
      <c r="QUI32" s="28"/>
      <c r="QUJ32" s="28"/>
      <c r="QUK32" s="28"/>
      <c r="QUL32" s="28"/>
      <c r="QUM32" s="28"/>
      <c r="QUN32" s="28"/>
      <c r="QUO32" s="28"/>
      <c r="QUP32" s="28"/>
      <c r="QUQ32" s="28"/>
      <c r="QUR32" s="28"/>
      <c r="QUS32" s="28"/>
      <c r="QUT32" s="28"/>
      <c r="QUU32" s="28"/>
      <c r="QUV32" s="28"/>
      <c r="QUW32" s="28"/>
      <c r="QUX32" s="28"/>
      <c r="QUY32" s="28"/>
      <c r="QUZ32" s="28"/>
      <c r="QVA32" s="28"/>
      <c r="QVB32" s="28"/>
      <c r="QVC32" s="28"/>
      <c r="QVD32" s="28"/>
      <c r="QVE32" s="28"/>
      <c r="QVF32" s="28"/>
      <c r="QVG32" s="28"/>
      <c r="QVH32" s="28"/>
      <c r="QVI32" s="28"/>
      <c r="QVJ32" s="28"/>
      <c r="QVK32" s="28"/>
      <c r="QVL32" s="28"/>
      <c r="QVM32" s="28"/>
      <c r="QVN32" s="28"/>
      <c r="QVO32" s="28"/>
      <c r="QVP32" s="28"/>
      <c r="QVQ32" s="28"/>
      <c r="QVR32" s="28"/>
      <c r="QVS32" s="28"/>
      <c r="QVT32" s="28"/>
      <c r="QVU32" s="28"/>
      <c r="QVV32" s="28"/>
      <c r="QVW32" s="28"/>
      <c r="QVX32" s="28"/>
      <c r="QVY32" s="28"/>
      <c r="QVZ32" s="28"/>
      <c r="QWA32" s="28"/>
      <c r="QWB32" s="28"/>
      <c r="QWC32" s="28"/>
      <c r="QWD32" s="28"/>
      <c r="QWE32" s="28"/>
      <c r="QWF32" s="28"/>
      <c r="QWG32" s="28"/>
      <c r="QWH32" s="28"/>
      <c r="QWI32" s="28"/>
      <c r="QWJ32" s="28"/>
      <c r="QWK32" s="28"/>
      <c r="QWL32" s="28"/>
      <c r="QWM32" s="28"/>
      <c r="QWN32" s="28"/>
      <c r="QWO32" s="28"/>
      <c r="QWP32" s="28"/>
      <c r="QWQ32" s="28"/>
      <c r="QWR32" s="28"/>
      <c r="QWS32" s="28"/>
      <c r="QWT32" s="28"/>
      <c r="QWU32" s="28"/>
      <c r="QWV32" s="28"/>
      <c r="QWW32" s="28"/>
      <c r="QWX32" s="28"/>
      <c r="QWY32" s="28"/>
      <c r="QWZ32" s="28"/>
      <c r="QXA32" s="28"/>
      <c r="QXB32" s="28"/>
      <c r="QXC32" s="28"/>
      <c r="QXD32" s="28"/>
      <c r="QXE32" s="28"/>
      <c r="QXF32" s="28"/>
      <c r="QXG32" s="28"/>
      <c r="QXH32" s="28"/>
      <c r="QXI32" s="28"/>
      <c r="QXJ32" s="28"/>
      <c r="QXK32" s="28"/>
      <c r="QXL32" s="28"/>
      <c r="QXM32" s="28"/>
      <c r="QXN32" s="28"/>
      <c r="QXO32" s="28"/>
      <c r="QXP32" s="28"/>
      <c r="QXQ32" s="28"/>
      <c r="QXR32" s="28"/>
      <c r="QXS32" s="28"/>
      <c r="QXT32" s="28"/>
      <c r="QXU32" s="28"/>
      <c r="QXV32" s="28"/>
      <c r="QXW32" s="28"/>
      <c r="QXX32" s="28"/>
      <c r="QXY32" s="28"/>
      <c r="QXZ32" s="28"/>
      <c r="QYA32" s="28"/>
      <c r="QYB32" s="28"/>
      <c r="QYC32" s="28"/>
      <c r="QYD32" s="28"/>
      <c r="QYE32" s="28"/>
      <c r="QYF32" s="28"/>
      <c r="QYG32" s="28"/>
      <c r="QYH32" s="28"/>
      <c r="QYI32" s="28"/>
      <c r="QYJ32" s="28"/>
      <c r="QYK32" s="28"/>
      <c r="QYL32" s="28"/>
      <c r="QYM32" s="28"/>
      <c r="QYN32" s="28"/>
      <c r="QYO32" s="28"/>
      <c r="QYP32" s="28"/>
      <c r="QYQ32" s="28"/>
      <c r="QYR32" s="28"/>
      <c r="QYS32" s="28"/>
      <c r="QYT32" s="28"/>
      <c r="QYU32" s="28"/>
      <c r="QYV32" s="28"/>
      <c r="QYW32" s="28"/>
      <c r="QYX32" s="28"/>
      <c r="QYY32" s="28"/>
      <c r="QYZ32" s="28"/>
      <c r="QZA32" s="28"/>
      <c r="QZB32" s="28"/>
      <c r="QZC32" s="28"/>
      <c r="QZD32" s="28"/>
      <c r="QZE32" s="28"/>
      <c r="QZF32" s="28"/>
      <c r="QZG32" s="28"/>
      <c r="QZH32" s="28"/>
      <c r="QZI32" s="28"/>
      <c r="QZJ32" s="28"/>
      <c r="QZK32" s="28"/>
      <c r="QZL32" s="28"/>
      <c r="QZM32" s="28"/>
      <c r="QZN32" s="28"/>
      <c r="QZO32" s="28"/>
      <c r="QZP32" s="28"/>
      <c r="QZQ32" s="28"/>
      <c r="QZR32" s="28"/>
      <c r="QZS32" s="28"/>
      <c r="QZT32" s="28"/>
      <c r="QZU32" s="28"/>
      <c r="QZV32" s="28"/>
      <c r="QZW32" s="28"/>
      <c r="QZX32" s="28"/>
      <c r="QZY32" s="28"/>
      <c r="QZZ32" s="28"/>
      <c r="RAA32" s="28"/>
      <c r="RAB32" s="28"/>
      <c r="RAC32" s="28"/>
      <c r="RAD32" s="28"/>
      <c r="RAE32" s="28"/>
      <c r="RAF32" s="28"/>
      <c r="RAG32" s="28"/>
      <c r="RAH32" s="28"/>
      <c r="RAI32" s="28"/>
      <c r="RAJ32" s="28"/>
      <c r="RAK32" s="28"/>
      <c r="RAL32" s="28"/>
      <c r="RAM32" s="28"/>
      <c r="RAN32" s="28"/>
      <c r="RAO32" s="28"/>
      <c r="RAP32" s="28"/>
      <c r="RAQ32" s="28"/>
      <c r="RAR32" s="28"/>
      <c r="RAS32" s="28"/>
      <c r="RAT32" s="28"/>
      <c r="RAU32" s="28"/>
      <c r="RAV32" s="28"/>
      <c r="RAW32" s="28"/>
      <c r="RAX32" s="28"/>
      <c r="RAY32" s="28"/>
      <c r="RAZ32" s="28"/>
      <c r="RBA32" s="28"/>
      <c r="RBB32" s="28"/>
      <c r="RBC32" s="28"/>
      <c r="RBD32" s="28"/>
      <c r="RBE32" s="28"/>
      <c r="RBF32" s="28"/>
      <c r="RBG32" s="28"/>
      <c r="RBH32" s="28"/>
      <c r="RBI32" s="28"/>
      <c r="RBJ32" s="28"/>
      <c r="RBK32" s="28"/>
      <c r="RBL32" s="28"/>
      <c r="RBM32" s="28"/>
      <c r="RBN32" s="28"/>
      <c r="RBO32" s="28"/>
      <c r="RBP32" s="28"/>
      <c r="RBQ32" s="28"/>
      <c r="RBR32" s="28"/>
      <c r="RBS32" s="28"/>
      <c r="RBT32" s="28"/>
      <c r="RBU32" s="28"/>
      <c r="RBV32" s="28"/>
      <c r="RBW32" s="28"/>
      <c r="RBX32" s="28"/>
      <c r="RBY32" s="28"/>
      <c r="RBZ32" s="28"/>
      <c r="RCA32" s="28"/>
      <c r="RCB32" s="28"/>
      <c r="RCC32" s="28"/>
      <c r="RCD32" s="28"/>
      <c r="RCE32" s="28"/>
      <c r="RCF32" s="28"/>
      <c r="RCG32" s="28"/>
      <c r="RCH32" s="28"/>
      <c r="RCI32" s="28"/>
      <c r="RCJ32" s="28"/>
      <c r="RCK32" s="28"/>
      <c r="RCL32" s="28"/>
      <c r="RCM32" s="28"/>
      <c r="RCN32" s="28"/>
      <c r="RCO32" s="28"/>
      <c r="RCP32" s="28"/>
      <c r="RCQ32" s="28"/>
      <c r="RCR32" s="28"/>
      <c r="RCS32" s="28"/>
      <c r="RCT32" s="28"/>
      <c r="RCU32" s="28"/>
      <c r="RCV32" s="28"/>
      <c r="RCW32" s="28"/>
      <c r="RCX32" s="28"/>
      <c r="RCY32" s="28"/>
      <c r="RCZ32" s="28"/>
      <c r="RDA32" s="28"/>
      <c r="RDB32" s="28"/>
      <c r="RDC32" s="28"/>
      <c r="RDD32" s="28"/>
      <c r="RDE32" s="28"/>
      <c r="RDF32" s="28"/>
      <c r="RDG32" s="28"/>
      <c r="RDH32" s="28"/>
      <c r="RDI32" s="28"/>
      <c r="RDJ32" s="28"/>
      <c r="RDK32" s="28"/>
      <c r="RDL32" s="28"/>
      <c r="RDM32" s="28"/>
      <c r="RDN32" s="28"/>
      <c r="RDO32" s="28"/>
      <c r="RDP32" s="28"/>
      <c r="RDQ32" s="28"/>
      <c r="RDR32" s="28"/>
      <c r="RDS32" s="28"/>
      <c r="RDT32" s="28"/>
      <c r="RDU32" s="28"/>
      <c r="RDV32" s="28"/>
      <c r="RDW32" s="28"/>
      <c r="RDX32" s="28"/>
      <c r="RDY32" s="28"/>
      <c r="RDZ32" s="28"/>
      <c r="REA32" s="28"/>
      <c r="REB32" s="28"/>
      <c r="REC32" s="28"/>
      <c r="RED32" s="28"/>
      <c r="REE32" s="28"/>
      <c r="REF32" s="28"/>
      <c r="REG32" s="28"/>
      <c r="REH32" s="28"/>
      <c r="REI32" s="28"/>
      <c r="REJ32" s="28"/>
      <c r="REK32" s="28"/>
      <c r="REL32" s="28"/>
      <c r="REM32" s="28"/>
      <c r="REN32" s="28"/>
      <c r="REO32" s="28"/>
      <c r="REP32" s="28"/>
      <c r="REQ32" s="28"/>
      <c r="RER32" s="28"/>
      <c r="RES32" s="28"/>
      <c r="RET32" s="28"/>
      <c r="REU32" s="28"/>
      <c r="REV32" s="28"/>
      <c r="REW32" s="28"/>
      <c r="REX32" s="28"/>
      <c r="REY32" s="28"/>
      <c r="REZ32" s="28"/>
      <c r="RFA32" s="28"/>
      <c r="RFB32" s="28"/>
      <c r="RFC32" s="28"/>
      <c r="RFD32" s="28"/>
      <c r="RFE32" s="28"/>
      <c r="RFF32" s="28"/>
      <c r="RFG32" s="28"/>
      <c r="RFH32" s="28"/>
      <c r="RFI32" s="28"/>
      <c r="RFJ32" s="28"/>
      <c r="RFK32" s="28"/>
      <c r="RFL32" s="28"/>
      <c r="RFM32" s="28"/>
      <c r="RFN32" s="28"/>
      <c r="RFO32" s="28"/>
      <c r="RFP32" s="28"/>
      <c r="RFQ32" s="28"/>
      <c r="RFR32" s="28"/>
      <c r="RFS32" s="28"/>
      <c r="RFT32" s="28"/>
      <c r="RFU32" s="28"/>
      <c r="RFV32" s="28"/>
      <c r="RFW32" s="28"/>
      <c r="RFX32" s="28"/>
      <c r="RFY32" s="28"/>
      <c r="RFZ32" s="28"/>
      <c r="RGA32" s="28"/>
      <c r="RGB32" s="28"/>
      <c r="RGC32" s="28"/>
      <c r="RGD32" s="28"/>
      <c r="RGE32" s="28"/>
      <c r="RGF32" s="28"/>
      <c r="RGG32" s="28"/>
      <c r="RGH32" s="28"/>
      <c r="RGI32" s="28"/>
      <c r="RGJ32" s="28"/>
      <c r="RGK32" s="28"/>
      <c r="RGL32" s="28"/>
      <c r="RGM32" s="28"/>
      <c r="RGN32" s="28"/>
      <c r="RGO32" s="28"/>
      <c r="RGP32" s="28"/>
      <c r="RGQ32" s="28"/>
      <c r="RGR32" s="28"/>
      <c r="RGS32" s="28"/>
      <c r="RGT32" s="28"/>
      <c r="RGU32" s="28"/>
      <c r="RGV32" s="28"/>
      <c r="RGW32" s="28"/>
      <c r="RGX32" s="28"/>
      <c r="RGY32" s="28"/>
      <c r="RGZ32" s="28"/>
      <c r="RHA32" s="28"/>
      <c r="RHB32" s="28"/>
      <c r="RHC32" s="28"/>
      <c r="RHD32" s="28"/>
      <c r="RHE32" s="28"/>
      <c r="RHF32" s="28"/>
      <c r="RHG32" s="28"/>
      <c r="RHH32" s="28"/>
      <c r="RHI32" s="28"/>
      <c r="RHJ32" s="28"/>
      <c r="RHK32" s="28"/>
      <c r="RHL32" s="28"/>
      <c r="RHM32" s="28"/>
      <c r="RHN32" s="28"/>
      <c r="RHO32" s="28"/>
      <c r="RHP32" s="28"/>
      <c r="RHQ32" s="28"/>
      <c r="RHR32" s="28"/>
      <c r="RHS32" s="28"/>
      <c r="RHT32" s="28"/>
      <c r="RHU32" s="28"/>
      <c r="RHV32" s="28"/>
      <c r="RHW32" s="28"/>
      <c r="RHX32" s="28"/>
      <c r="RHY32" s="28"/>
      <c r="RHZ32" s="28"/>
      <c r="RIA32" s="28"/>
      <c r="RIB32" s="28"/>
      <c r="RIC32" s="28"/>
      <c r="RID32" s="28"/>
      <c r="RIE32" s="28"/>
      <c r="RIF32" s="28"/>
      <c r="RIG32" s="28"/>
      <c r="RIH32" s="28"/>
      <c r="RII32" s="28"/>
      <c r="RIJ32" s="28"/>
      <c r="RIK32" s="28"/>
      <c r="RIL32" s="28"/>
      <c r="RIM32" s="28"/>
      <c r="RIN32" s="28"/>
      <c r="RIO32" s="28"/>
      <c r="RIP32" s="28"/>
      <c r="RIQ32" s="28"/>
      <c r="RIR32" s="28"/>
      <c r="RIS32" s="28"/>
      <c r="RIT32" s="28"/>
      <c r="RIU32" s="28"/>
      <c r="RIV32" s="28"/>
      <c r="RIW32" s="28"/>
      <c r="RIX32" s="28"/>
      <c r="RIY32" s="28"/>
      <c r="RIZ32" s="28"/>
      <c r="RJA32" s="28"/>
      <c r="RJB32" s="28"/>
      <c r="RJC32" s="28"/>
      <c r="RJD32" s="28"/>
      <c r="RJE32" s="28"/>
      <c r="RJF32" s="28"/>
      <c r="RJG32" s="28"/>
      <c r="RJH32" s="28"/>
      <c r="RJI32" s="28"/>
      <c r="RJJ32" s="28"/>
      <c r="RJK32" s="28"/>
      <c r="RJL32" s="28"/>
      <c r="RJM32" s="28"/>
      <c r="RJN32" s="28"/>
      <c r="RJO32" s="28"/>
      <c r="RJP32" s="28"/>
      <c r="RJQ32" s="28"/>
      <c r="RJR32" s="28"/>
      <c r="RJS32" s="28"/>
      <c r="RJT32" s="28"/>
      <c r="RJU32" s="28"/>
      <c r="RJV32" s="28"/>
      <c r="RJW32" s="28"/>
      <c r="RJX32" s="28"/>
      <c r="RJY32" s="28"/>
      <c r="RJZ32" s="28"/>
      <c r="RKA32" s="28"/>
      <c r="RKB32" s="28"/>
      <c r="RKC32" s="28"/>
      <c r="RKD32" s="28"/>
      <c r="RKE32" s="28"/>
      <c r="RKF32" s="28"/>
      <c r="RKG32" s="28"/>
      <c r="RKH32" s="28"/>
      <c r="RKI32" s="28"/>
      <c r="RKJ32" s="28"/>
      <c r="RKK32" s="28"/>
      <c r="RKL32" s="28"/>
      <c r="RKM32" s="28"/>
      <c r="RKN32" s="28"/>
      <c r="RKO32" s="28"/>
      <c r="RKP32" s="28"/>
      <c r="RKQ32" s="28"/>
      <c r="RKR32" s="28"/>
      <c r="RKS32" s="28"/>
      <c r="RKT32" s="28"/>
      <c r="RKU32" s="28"/>
      <c r="RKV32" s="28"/>
      <c r="RKW32" s="28"/>
      <c r="RKX32" s="28"/>
      <c r="RKY32" s="28"/>
      <c r="RKZ32" s="28"/>
      <c r="RLA32" s="28"/>
      <c r="RLB32" s="28"/>
      <c r="RLC32" s="28"/>
      <c r="RLD32" s="28"/>
      <c r="RLE32" s="28"/>
      <c r="RLF32" s="28"/>
      <c r="RLG32" s="28"/>
      <c r="RLH32" s="28"/>
      <c r="RLI32" s="28"/>
      <c r="RLJ32" s="28"/>
      <c r="RLK32" s="28"/>
      <c r="RLL32" s="28"/>
      <c r="RLM32" s="28"/>
      <c r="RLN32" s="28"/>
      <c r="RLO32" s="28"/>
      <c r="RLP32" s="28"/>
      <c r="RLQ32" s="28"/>
      <c r="RLR32" s="28"/>
      <c r="RLS32" s="28"/>
      <c r="RLT32" s="28"/>
      <c r="RLU32" s="28"/>
      <c r="RLV32" s="28"/>
      <c r="RLW32" s="28"/>
      <c r="RLX32" s="28"/>
      <c r="RLY32" s="28"/>
      <c r="RLZ32" s="28"/>
      <c r="RMA32" s="28"/>
      <c r="RMB32" s="28"/>
      <c r="RMC32" s="28"/>
      <c r="RMD32" s="28"/>
      <c r="RME32" s="28"/>
      <c r="RMF32" s="28"/>
      <c r="RMG32" s="28"/>
      <c r="RMH32" s="28"/>
      <c r="RMI32" s="28"/>
      <c r="RMJ32" s="28"/>
      <c r="RMK32" s="28"/>
      <c r="RML32" s="28"/>
      <c r="RMM32" s="28"/>
      <c r="RMN32" s="28"/>
      <c r="RMO32" s="28"/>
      <c r="RMP32" s="28"/>
      <c r="RMQ32" s="28"/>
      <c r="RMR32" s="28"/>
      <c r="RMS32" s="28"/>
      <c r="RMT32" s="28"/>
      <c r="RMU32" s="28"/>
      <c r="RMV32" s="28"/>
      <c r="RMW32" s="28"/>
      <c r="RMX32" s="28"/>
      <c r="RMY32" s="28"/>
      <c r="RMZ32" s="28"/>
      <c r="RNA32" s="28"/>
      <c r="RNB32" s="28"/>
      <c r="RNC32" s="28"/>
      <c r="RND32" s="28"/>
      <c r="RNE32" s="28"/>
      <c r="RNF32" s="28"/>
      <c r="RNG32" s="28"/>
      <c r="RNH32" s="28"/>
      <c r="RNI32" s="28"/>
      <c r="RNJ32" s="28"/>
      <c r="RNK32" s="28"/>
      <c r="RNL32" s="28"/>
      <c r="RNM32" s="28"/>
      <c r="RNN32" s="28"/>
      <c r="RNO32" s="28"/>
      <c r="RNP32" s="28"/>
      <c r="RNQ32" s="28"/>
      <c r="RNR32" s="28"/>
      <c r="RNS32" s="28"/>
      <c r="RNT32" s="28"/>
      <c r="RNU32" s="28"/>
      <c r="RNV32" s="28"/>
      <c r="RNW32" s="28"/>
      <c r="RNX32" s="28"/>
      <c r="RNY32" s="28"/>
      <c r="RNZ32" s="28"/>
      <c r="ROA32" s="28"/>
      <c r="ROB32" s="28"/>
      <c r="ROC32" s="28"/>
      <c r="ROD32" s="28"/>
      <c r="ROE32" s="28"/>
      <c r="ROF32" s="28"/>
      <c r="ROG32" s="28"/>
      <c r="ROH32" s="28"/>
      <c r="ROI32" s="28"/>
      <c r="ROJ32" s="28"/>
      <c r="ROK32" s="28"/>
      <c r="ROL32" s="28"/>
      <c r="ROM32" s="28"/>
      <c r="RON32" s="28"/>
      <c r="ROO32" s="28"/>
      <c r="ROP32" s="28"/>
      <c r="ROQ32" s="28"/>
      <c r="ROR32" s="28"/>
      <c r="ROS32" s="28"/>
      <c r="ROT32" s="28"/>
      <c r="ROU32" s="28"/>
      <c r="ROV32" s="28"/>
      <c r="ROW32" s="28"/>
      <c r="ROX32" s="28"/>
      <c r="ROY32" s="28"/>
      <c r="ROZ32" s="28"/>
      <c r="RPA32" s="28"/>
      <c r="RPB32" s="28"/>
      <c r="RPC32" s="28"/>
      <c r="RPD32" s="28"/>
      <c r="RPE32" s="28"/>
      <c r="RPF32" s="28"/>
      <c r="RPG32" s="28"/>
      <c r="RPH32" s="28"/>
      <c r="RPI32" s="28"/>
      <c r="RPJ32" s="28"/>
      <c r="RPK32" s="28"/>
      <c r="RPL32" s="28"/>
      <c r="RPM32" s="28"/>
      <c r="RPN32" s="28"/>
      <c r="RPO32" s="28"/>
      <c r="RPP32" s="28"/>
      <c r="RPQ32" s="28"/>
      <c r="RPR32" s="28"/>
      <c r="RPS32" s="28"/>
      <c r="RPT32" s="28"/>
      <c r="RPU32" s="28"/>
      <c r="RPV32" s="28"/>
      <c r="RPW32" s="28"/>
      <c r="RPX32" s="28"/>
      <c r="RPY32" s="28"/>
      <c r="RPZ32" s="28"/>
      <c r="RQA32" s="28"/>
      <c r="RQB32" s="28"/>
      <c r="RQC32" s="28"/>
      <c r="RQD32" s="28"/>
      <c r="RQE32" s="28"/>
      <c r="RQF32" s="28"/>
      <c r="RQG32" s="28"/>
      <c r="RQH32" s="28"/>
      <c r="RQI32" s="28"/>
      <c r="RQJ32" s="28"/>
      <c r="RQK32" s="28"/>
      <c r="RQL32" s="28"/>
      <c r="RQM32" s="28"/>
      <c r="RQN32" s="28"/>
      <c r="RQO32" s="28"/>
      <c r="RQP32" s="28"/>
      <c r="RQQ32" s="28"/>
      <c r="RQR32" s="28"/>
      <c r="RQS32" s="28"/>
      <c r="RQT32" s="28"/>
      <c r="RQU32" s="28"/>
      <c r="RQV32" s="28"/>
      <c r="RQW32" s="28"/>
      <c r="RQX32" s="28"/>
      <c r="RQY32" s="28"/>
      <c r="RQZ32" s="28"/>
      <c r="RRA32" s="28"/>
      <c r="RRB32" s="28"/>
      <c r="RRC32" s="28"/>
      <c r="RRD32" s="28"/>
      <c r="RRE32" s="28"/>
      <c r="RRF32" s="28"/>
      <c r="RRG32" s="28"/>
      <c r="RRH32" s="28"/>
      <c r="RRI32" s="28"/>
      <c r="RRJ32" s="28"/>
      <c r="RRK32" s="28"/>
      <c r="RRL32" s="28"/>
      <c r="RRM32" s="28"/>
      <c r="RRN32" s="28"/>
      <c r="RRO32" s="28"/>
      <c r="RRP32" s="28"/>
      <c r="RRQ32" s="28"/>
      <c r="RRR32" s="28"/>
      <c r="RRS32" s="28"/>
      <c r="RRT32" s="28"/>
      <c r="RRU32" s="28"/>
      <c r="RRV32" s="28"/>
      <c r="RRW32" s="28"/>
      <c r="RRX32" s="28"/>
      <c r="RRY32" s="28"/>
      <c r="RRZ32" s="28"/>
      <c r="RSA32" s="28"/>
      <c r="RSB32" s="28"/>
      <c r="RSC32" s="28"/>
      <c r="RSD32" s="28"/>
      <c r="RSE32" s="28"/>
      <c r="RSF32" s="28"/>
      <c r="RSG32" s="28"/>
      <c r="RSH32" s="28"/>
      <c r="RSI32" s="28"/>
      <c r="RSJ32" s="28"/>
      <c r="RSK32" s="28"/>
      <c r="RSL32" s="28"/>
      <c r="RSM32" s="28"/>
      <c r="RSN32" s="28"/>
      <c r="RSO32" s="28"/>
      <c r="RSP32" s="28"/>
      <c r="RSQ32" s="28"/>
      <c r="RSR32" s="28"/>
      <c r="RSS32" s="28"/>
      <c r="RST32" s="28"/>
      <c r="RSU32" s="28"/>
      <c r="RSV32" s="28"/>
      <c r="RSW32" s="28"/>
      <c r="RSX32" s="28"/>
      <c r="RSY32" s="28"/>
      <c r="RSZ32" s="28"/>
      <c r="RTA32" s="28"/>
      <c r="RTB32" s="28"/>
      <c r="RTC32" s="28"/>
      <c r="RTD32" s="28"/>
      <c r="RTE32" s="28"/>
      <c r="RTF32" s="28"/>
      <c r="RTG32" s="28"/>
      <c r="RTH32" s="28"/>
      <c r="RTI32" s="28"/>
      <c r="RTJ32" s="28"/>
      <c r="RTK32" s="28"/>
      <c r="RTL32" s="28"/>
      <c r="RTM32" s="28"/>
      <c r="RTN32" s="28"/>
      <c r="RTO32" s="28"/>
      <c r="RTP32" s="28"/>
      <c r="RTQ32" s="28"/>
      <c r="RTR32" s="28"/>
      <c r="RTS32" s="28"/>
      <c r="RTT32" s="28"/>
      <c r="RTU32" s="28"/>
      <c r="RTV32" s="28"/>
      <c r="RTW32" s="28"/>
      <c r="RTX32" s="28"/>
      <c r="RTY32" s="28"/>
      <c r="RTZ32" s="28"/>
      <c r="RUA32" s="28"/>
      <c r="RUB32" s="28"/>
      <c r="RUC32" s="28"/>
      <c r="RUD32" s="28"/>
      <c r="RUE32" s="28"/>
      <c r="RUF32" s="28"/>
      <c r="RUG32" s="28"/>
      <c r="RUH32" s="28"/>
      <c r="RUI32" s="28"/>
      <c r="RUJ32" s="28"/>
      <c r="RUK32" s="28"/>
      <c r="RUL32" s="28"/>
      <c r="RUM32" s="28"/>
      <c r="RUN32" s="28"/>
      <c r="RUO32" s="28"/>
      <c r="RUP32" s="28"/>
      <c r="RUQ32" s="28"/>
      <c r="RUR32" s="28"/>
      <c r="RUS32" s="28"/>
      <c r="RUT32" s="28"/>
      <c r="RUU32" s="28"/>
      <c r="RUV32" s="28"/>
      <c r="RUW32" s="28"/>
      <c r="RUX32" s="28"/>
      <c r="RUY32" s="28"/>
      <c r="RUZ32" s="28"/>
      <c r="RVA32" s="28"/>
      <c r="RVB32" s="28"/>
      <c r="RVC32" s="28"/>
      <c r="RVD32" s="28"/>
      <c r="RVE32" s="28"/>
      <c r="RVF32" s="28"/>
      <c r="RVG32" s="28"/>
      <c r="RVH32" s="28"/>
      <c r="RVI32" s="28"/>
      <c r="RVJ32" s="28"/>
      <c r="RVK32" s="28"/>
      <c r="RVL32" s="28"/>
      <c r="RVM32" s="28"/>
      <c r="RVN32" s="28"/>
      <c r="RVO32" s="28"/>
      <c r="RVP32" s="28"/>
      <c r="RVQ32" s="28"/>
      <c r="RVR32" s="28"/>
      <c r="RVS32" s="28"/>
      <c r="RVT32" s="28"/>
      <c r="RVU32" s="28"/>
      <c r="RVV32" s="28"/>
      <c r="RVW32" s="28"/>
      <c r="RVX32" s="28"/>
      <c r="RVY32" s="28"/>
      <c r="RVZ32" s="28"/>
      <c r="RWA32" s="28"/>
      <c r="RWB32" s="28"/>
      <c r="RWC32" s="28"/>
      <c r="RWD32" s="28"/>
      <c r="RWE32" s="28"/>
      <c r="RWF32" s="28"/>
      <c r="RWG32" s="28"/>
      <c r="RWH32" s="28"/>
      <c r="RWI32" s="28"/>
      <c r="RWJ32" s="28"/>
      <c r="RWK32" s="28"/>
      <c r="RWL32" s="28"/>
      <c r="RWM32" s="28"/>
      <c r="RWN32" s="28"/>
      <c r="RWO32" s="28"/>
      <c r="RWP32" s="28"/>
      <c r="RWQ32" s="28"/>
      <c r="RWR32" s="28"/>
      <c r="RWS32" s="28"/>
      <c r="RWT32" s="28"/>
      <c r="RWU32" s="28"/>
      <c r="RWV32" s="28"/>
      <c r="RWW32" s="28"/>
      <c r="RWX32" s="28"/>
      <c r="RWY32" s="28"/>
      <c r="RWZ32" s="28"/>
      <c r="RXA32" s="28"/>
      <c r="RXB32" s="28"/>
      <c r="RXC32" s="28"/>
      <c r="RXD32" s="28"/>
      <c r="RXE32" s="28"/>
      <c r="RXF32" s="28"/>
      <c r="RXG32" s="28"/>
      <c r="RXH32" s="28"/>
      <c r="RXI32" s="28"/>
      <c r="RXJ32" s="28"/>
      <c r="RXK32" s="28"/>
      <c r="RXL32" s="28"/>
      <c r="RXM32" s="28"/>
      <c r="RXN32" s="28"/>
      <c r="RXO32" s="28"/>
      <c r="RXP32" s="28"/>
      <c r="RXQ32" s="28"/>
      <c r="RXR32" s="28"/>
      <c r="RXS32" s="28"/>
      <c r="RXT32" s="28"/>
      <c r="RXU32" s="28"/>
      <c r="RXV32" s="28"/>
      <c r="RXW32" s="28"/>
      <c r="RXX32" s="28"/>
      <c r="RXY32" s="28"/>
      <c r="RXZ32" s="28"/>
      <c r="RYA32" s="28"/>
      <c r="RYB32" s="28"/>
      <c r="RYC32" s="28"/>
      <c r="RYD32" s="28"/>
      <c r="RYE32" s="28"/>
      <c r="RYF32" s="28"/>
      <c r="RYG32" s="28"/>
      <c r="RYH32" s="28"/>
      <c r="RYI32" s="28"/>
      <c r="RYJ32" s="28"/>
      <c r="RYK32" s="28"/>
      <c r="RYL32" s="28"/>
      <c r="RYM32" s="28"/>
      <c r="RYN32" s="28"/>
      <c r="RYO32" s="28"/>
      <c r="RYP32" s="28"/>
      <c r="RYQ32" s="28"/>
      <c r="RYR32" s="28"/>
      <c r="RYS32" s="28"/>
      <c r="RYT32" s="28"/>
      <c r="RYU32" s="28"/>
      <c r="RYV32" s="28"/>
      <c r="RYW32" s="28"/>
      <c r="RYX32" s="28"/>
      <c r="RYY32" s="28"/>
      <c r="RYZ32" s="28"/>
      <c r="RZA32" s="28"/>
      <c r="RZB32" s="28"/>
      <c r="RZC32" s="28"/>
      <c r="RZD32" s="28"/>
      <c r="RZE32" s="28"/>
      <c r="RZF32" s="28"/>
      <c r="RZG32" s="28"/>
      <c r="RZH32" s="28"/>
      <c r="RZI32" s="28"/>
      <c r="RZJ32" s="28"/>
      <c r="RZK32" s="28"/>
      <c r="RZL32" s="28"/>
      <c r="RZM32" s="28"/>
      <c r="RZN32" s="28"/>
      <c r="RZO32" s="28"/>
      <c r="RZP32" s="28"/>
      <c r="RZQ32" s="28"/>
      <c r="RZR32" s="28"/>
      <c r="RZS32" s="28"/>
      <c r="RZT32" s="28"/>
      <c r="RZU32" s="28"/>
      <c r="RZV32" s="28"/>
      <c r="RZW32" s="28"/>
      <c r="RZX32" s="28"/>
      <c r="RZY32" s="28"/>
      <c r="RZZ32" s="28"/>
      <c r="SAA32" s="28"/>
      <c r="SAB32" s="28"/>
      <c r="SAC32" s="28"/>
      <c r="SAD32" s="28"/>
      <c r="SAE32" s="28"/>
      <c r="SAF32" s="28"/>
      <c r="SAG32" s="28"/>
      <c r="SAH32" s="28"/>
      <c r="SAI32" s="28"/>
      <c r="SAJ32" s="28"/>
      <c r="SAK32" s="28"/>
      <c r="SAL32" s="28"/>
      <c r="SAM32" s="28"/>
      <c r="SAN32" s="28"/>
      <c r="SAO32" s="28"/>
      <c r="SAP32" s="28"/>
      <c r="SAQ32" s="28"/>
      <c r="SAR32" s="28"/>
      <c r="SAS32" s="28"/>
      <c r="SAT32" s="28"/>
      <c r="SAU32" s="28"/>
      <c r="SAV32" s="28"/>
      <c r="SAW32" s="28"/>
      <c r="SAX32" s="28"/>
      <c r="SAY32" s="28"/>
      <c r="SAZ32" s="28"/>
      <c r="SBA32" s="28"/>
      <c r="SBB32" s="28"/>
      <c r="SBC32" s="28"/>
      <c r="SBD32" s="28"/>
      <c r="SBE32" s="28"/>
      <c r="SBF32" s="28"/>
      <c r="SBG32" s="28"/>
      <c r="SBH32" s="28"/>
      <c r="SBI32" s="28"/>
      <c r="SBJ32" s="28"/>
      <c r="SBK32" s="28"/>
      <c r="SBL32" s="28"/>
      <c r="SBM32" s="28"/>
      <c r="SBN32" s="28"/>
      <c r="SBO32" s="28"/>
      <c r="SBP32" s="28"/>
      <c r="SBQ32" s="28"/>
      <c r="SBR32" s="28"/>
      <c r="SBS32" s="28"/>
      <c r="SBT32" s="28"/>
      <c r="SBU32" s="28"/>
      <c r="SBV32" s="28"/>
      <c r="SBW32" s="28"/>
      <c r="SBX32" s="28"/>
      <c r="SBY32" s="28"/>
      <c r="SBZ32" s="28"/>
      <c r="SCA32" s="28"/>
      <c r="SCB32" s="28"/>
      <c r="SCC32" s="28"/>
      <c r="SCD32" s="28"/>
      <c r="SCE32" s="28"/>
      <c r="SCF32" s="28"/>
      <c r="SCG32" s="28"/>
      <c r="SCH32" s="28"/>
      <c r="SCI32" s="28"/>
      <c r="SCJ32" s="28"/>
      <c r="SCK32" s="28"/>
      <c r="SCL32" s="28"/>
      <c r="SCM32" s="28"/>
      <c r="SCN32" s="28"/>
      <c r="SCO32" s="28"/>
      <c r="SCP32" s="28"/>
      <c r="SCQ32" s="28"/>
      <c r="SCR32" s="28"/>
      <c r="SCS32" s="28"/>
      <c r="SCT32" s="28"/>
      <c r="SCU32" s="28"/>
      <c r="SCV32" s="28"/>
      <c r="SCW32" s="28"/>
      <c r="SCX32" s="28"/>
      <c r="SCY32" s="28"/>
      <c r="SCZ32" s="28"/>
      <c r="SDA32" s="28"/>
      <c r="SDB32" s="28"/>
      <c r="SDC32" s="28"/>
      <c r="SDD32" s="28"/>
      <c r="SDE32" s="28"/>
      <c r="SDF32" s="28"/>
      <c r="SDG32" s="28"/>
      <c r="SDH32" s="28"/>
      <c r="SDI32" s="28"/>
      <c r="SDJ32" s="28"/>
      <c r="SDK32" s="28"/>
      <c r="SDL32" s="28"/>
      <c r="SDM32" s="28"/>
      <c r="SDN32" s="28"/>
      <c r="SDO32" s="28"/>
      <c r="SDP32" s="28"/>
      <c r="SDQ32" s="28"/>
      <c r="SDR32" s="28"/>
      <c r="SDS32" s="28"/>
      <c r="SDT32" s="28"/>
      <c r="SDU32" s="28"/>
      <c r="SDV32" s="28"/>
      <c r="SDW32" s="28"/>
      <c r="SDX32" s="28"/>
      <c r="SDY32" s="28"/>
      <c r="SDZ32" s="28"/>
      <c r="SEA32" s="28"/>
      <c r="SEB32" s="28"/>
      <c r="SEC32" s="28"/>
      <c r="SED32" s="28"/>
      <c r="SEE32" s="28"/>
      <c r="SEF32" s="28"/>
      <c r="SEG32" s="28"/>
      <c r="SEH32" s="28"/>
      <c r="SEI32" s="28"/>
      <c r="SEJ32" s="28"/>
      <c r="SEK32" s="28"/>
      <c r="SEL32" s="28"/>
      <c r="SEM32" s="28"/>
      <c r="SEN32" s="28"/>
      <c r="SEO32" s="28"/>
      <c r="SEP32" s="28"/>
      <c r="SEQ32" s="28"/>
      <c r="SER32" s="28"/>
      <c r="SES32" s="28"/>
      <c r="SET32" s="28"/>
      <c r="SEU32" s="28"/>
      <c r="SEV32" s="28"/>
      <c r="SEW32" s="28"/>
      <c r="SEX32" s="28"/>
      <c r="SEY32" s="28"/>
      <c r="SEZ32" s="28"/>
      <c r="SFA32" s="28"/>
      <c r="SFB32" s="28"/>
      <c r="SFC32" s="28"/>
      <c r="SFD32" s="28"/>
      <c r="SFE32" s="28"/>
      <c r="SFF32" s="28"/>
      <c r="SFG32" s="28"/>
      <c r="SFH32" s="28"/>
      <c r="SFI32" s="28"/>
      <c r="SFJ32" s="28"/>
      <c r="SFK32" s="28"/>
      <c r="SFL32" s="28"/>
      <c r="SFM32" s="28"/>
      <c r="SFN32" s="28"/>
      <c r="SFO32" s="28"/>
      <c r="SFP32" s="28"/>
      <c r="SFQ32" s="28"/>
      <c r="SFR32" s="28"/>
      <c r="SFS32" s="28"/>
      <c r="SFT32" s="28"/>
      <c r="SFU32" s="28"/>
      <c r="SFV32" s="28"/>
      <c r="SFW32" s="28"/>
      <c r="SFX32" s="28"/>
      <c r="SFY32" s="28"/>
      <c r="SFZ32" s="28"/>
      <c r="SGA32" s="28"/>
      <c r="SGB32" s="28"/>
      <c r="SGC32" s="28"/>
      <c r="SGD32" s="28"/>
      <c r="SGE32" s="28"/>
      <c r="SGF32" s="28"/>
      <c r="SGG32" s="28"/>
      <c r="SGH32" s="28"/>
      <c r="SGI32" s="28"/>
      <c r="SGJ32" s="28"/>
      <c r="SGK32" s="28"/>
      <c r="SGL32" s="28"/>
      <c r="SGM32" s="28"/>
      <c r="SGN32" s="28"/>
      <c r="SGO32" s="28"/>
      <c r="SGP32" s="28"/>
      <c r="SGQ32" s="28"/>
      <c r="SGR32" s="28"/>
      <c r="SGS32" s="28"/>
      <c r="SGT32" s="28"/>
      <c r="SGU32" s="28"/>
      <c r="SGV32" s="28"/>
      <c r="SGW32" s="28"/>
      <c r="SGX32" s="28"/>
      <c r="SGY32" s="28"/>
      <c r="SGZ32" s="28"/>
      <c r="SHA32" s="28"/>
      <c r="SHB32" s="28"/>
      <c r="SHC32" s="28"/>
      <c r="SHD32" s="28"/>
      <c r="SHE32" s="28"/>
      <c r="SHF32" s="28"/>
      <c r="SHG32" s="28"/>
      <c r="SHH32" s="28"/>
      <c r="SHI32" s="28"/>
      <c r="SHJ32" s="28"/>
      <c r="SHK32" s="28"/>
      <c r="SHL32" s="28"/>
      <c r="SHM32" s="28"/>
      <c r="SHN32" s="28"/>
      <c r="SHO32" s="28"/>
      <c r="SHP32" s="28"/>
      <c r="SHQ32" s="28"/>
      <c r="SHR32" s="28"/>
      <c r="SHS32" s="28"/>
      <c r="SHT32" s="28"/>
      <c r="SHU32" s="28"/>
      <c r="SHV32" s="28"/>
      <c r="SHW32" s="28"/>
      <c r="SHX32" s="28"/>
      <c r="SHY32" s="28"/>
      <c r="SHZ32" s="28"/>
      <c r="SIA32" s="28"/>
      <c r="SIB32" s="28"/>
      <c r="SIC32" s="28"/>
      <c r="SID32" s="28"/>
      <c r="SIE32" s="28"/>
      <c r="SIF32" s="28"/>
      <c r="SIG32" s="28"/>
      <c r="SIH32" s="28"/>
      <c r="SII32" s="28"/>
      <c r="SIJ32" s="28"/>
      <c r="SIK32" s="28"/>
      <c r="SIL32" s="28"/>
      <c r="SIM32" s="28"/>
      <c r="SIN32" s="28"/>
      <c r="SIO32" s="28"/>
      <c r="SIP32" s="28"/>
      <c r="SIQ32" s="28"/>
      <c r="SIR32" s="28"/>
      <c r="SIS32" s="28"/>
      <c r="SIT32" s="28"/>
      <c r="SIU32" s="28"/>
      <c r="SIV32" s="28"/>
      <c r="SIW32" s="28"/>
      <c r="SIX32" s="28"/>
      <c r="SIY32" s="28"/>
      <c r="SIZ32" s="28"/>
      <c r="SJA32" s="28"/>
      <c r="SJB32" s="28"/>
      <c r="SJC32" s="28"/>
      <c r="SJD32" s="28"/>
      <c r="SJE32" s="28"/>
      <c r="SJF32" s="28"/>
      <c r="SJG32" s="28"/>
      <c r="SJH32" s="28"/>
      <c r="SJI32" s="28"/>
      <c r="SJJ32" s="28"/>
      <c r="SJK32" s="28"/>
      <c r="SJL32" s="28"/>
      <c r="SJM32" s="28"/>
      <c r="SJN32" s="28"/>
      <c r="SJO32" s="28"/>
      <c r="SJP32" s="28"/>
      <c r="SJQ32" s="28"/>
      <c r="SJR32" s="28"/>
      <c r="SJS32" s="28"/>
      <c r="SJT32" s="28"/>
      <c r="SJU32" s="28"/>
      <c r="SJV32" s="28"/>
      <c r="SJW32" s="28"/>
      <c r="SJX32" s="28"/>
      <c r="SJY32" s="28"/>
      <c r="SJZ32" s="28"/>
      <c r="SKA32" s="28"/>
      <c r="SKB32" s="28"/>
      <c r="SKC32" s="28"/>
      <c r="SKD32" s="28"/>
      <c r="SKE32" s="28"/>
      <c r="SKF32" s="28"/>
      <c r="SKG32" s="28"/>
      <c r="SKH32" s="28"/>
      <c r="SKI32" s="28"/>
      <c r="SKJ32" s="28"/>
      <c r="SKK32" s="28"/>
      <c r="SKL32" s="28"/>
      <c r="SKM32" s="28"/>
      <c r="SKN32" s="28"/>
      <c r="SKO32" s="28"/>
      <c r="SKP32" s="28"/>
      <c r="SKQ32" s="28"/>
      <c r="SKR32" s="28"/>
      <c r="SKS32" s="28"/>
      <c r="SKT32" s="28"/>
      <c r="SKU32" s="28"/>
      <c r="SKV32" s="28"/>
      <c r="SKW32" s="28"/>
      <c r="SKX32" s="28"/>
      <c r="SKY32" s="28"/>
      <c r="SKZ32" s="28"/>
      <c r="SLA32" s="28"/>
      <c r="SLB32" s="28"/>
      <c r="SLC32" s="28"/>
      <c r="SLD32" s="28"/>
      <c r="SLE32" s="28"/>
      <c r="SLF32" s="28"/>
      <c r="SLG32" s="28"/>
      <c r="SLH32" s="28"/>
      <c r="SLI32" s="28"/>
      <c r="SLJ32" s="28"/>
      <c r="SLK32" s="28"/>
      <c r="SLL32" s="28"/>
      <c r="SLM32" s="28"/>
      <c r="SLN32" s="28"/>
      <c r="SLO32" s="28"/>
      <c r="SLP32" s="28"/>
      <c r="SLQ32" s="28"/>
      <c r="SLR32" s="28"/>
      <c r="SLS32" s="28"/>
      <c r="SLT32" s="28"/>
      <c r="SLU32" s="28"/>
      <c r="SLV32" s="28"/>
      <c r="SLW32" s="28"/>
      <c r="SLX32" s="28"/>
      <c r="SLY32" s="28"/>
      <c r="SLZ32" s="28"/>
      <c r="SMA32" s="28"/>
      <c r="SMB32" s="28"/>
      <c r="SMC32" s="28"/>
      <c r="SMD32" s="28"/>
      <c r="SME32" s="28"/>
      <c r="SMF32" s="28"/>
      <c r="SMG32" s="28"/>
      <c r="SMH32" s="28"/>
      <c r="SMI32" s="28"/>
      <c r="SMJ32" s="28"/>
      <c r="SMK32" s="28"/>
      <c r="SML32" s="28"/>
      <c r="SMM32" s="28"/>
      <c r="SMN32" s="28"/>
      <c r="SMO32" s="28"/>
      <c r="SMP32" s="28"/>
      <c r="SMQ32" s="28"/>
      <c r="SMR32" s="28"/>
      <c r="SMS32" s="28"/>
      <c r="SMT32" s="28"/>
      <c r="SMU32" s="28"/>
      <c r="SMV32" s="28"/>
      <c r="SMW32" s="28"/>
      <c r="SMX32" s="28"/>
      <c r="SMY32" s="28"/>
      <c r="SMZ32" s="28"/>
      <c r="SNA32" s="28"/>
      <c r="SNB32" s="28"/>
      <c r="SNC32" s="28"/>
      <c r="SND32" s="28"/>
      <c r="SNE32" s="28"/>
      <c r="SNF32" s="28"/>
      <c r="SNG32" s="28"/>
      <c r="SNH32" s="28"/>
      <c r="SNI32" s="28"/>
      <c r="SNJ32" s="28"/>
      <c r="SNK32" s="28"/>
      <c r="SNL32" s="28"/>
      <c r="SNM32" s="28"/>
      <c r="SNN32" s="28"/>
      <c r="SNO32" s="28"/>
      <c r="SNP32" s="28"/>
      <c r="SNQ32" s="28"/>
      <c r="SNR32" s="28"/>
      <c r="SNS32" s="28"/>
      <c r="SNT32" s="28"/>
      <c r="SNU32" s="28"/>
      <c r="SNV32" s="28"/>
      <c r="SNW32" s="28"/>
      <c r="SNX32" s="28"/>
      <c r="SNY32" s="28"/>
      <c r="SNZ32" s="28"/>
      <c r="SOA32" s="28"/>
      <c r="SOB32" s="28"/>
      <c r="SOC32" s="28"/>
      <c r="SOD32" s="28"/>
      <c r="SOE32" s="28"/>
      <c r="SOF32" s="28"/>
      <c r="SOG32" s="28"/>
      <c r="SOH32" s="28"/>
      <c r="SOI32" s="28"/>
      <c r="SOJ32" s="28"/>
      <c r="SOK32" s="28"/>
      <c r="SOL32" s="28"/>
      <c r="SOM32" s="28"/>
      <c r="SON32" s="28"/>
      <c r="SOO32" s="28"/>
      <c r="SOP32" s="28"/>
      <c r="SOQ32" s="28"/>
      <c r="SOR32" s="28"/>
      <c r="SOS32" s="28"/>
      <c r="SOT32" s="28"/>
      <c r="SOU32" s="28"/>
      <c r="SOV32" s="28"/>
      <c r="SOW32" s="28"/>
      <c r="SOX32" s="28"/>
      <c r="SOY32" s="28"/>
      <c r="SOZ32" s="28"/>
      <c r="SPA32" s="28"/>
      <c r="SPB32" s="28"/>
      <c r="SPC32" s="28"/>
      <c r="SPD32" s="28"/>
      <c r="SPE32" s="28"/>
      <c r="SPF32" s="28"/>
      <c r="SPG32" s="28"/>
      <c r="SPH32" s="28"/>
      <c r="SPI32" s="28"/>
      <c r="SPJ32" s="28"/>
      <c r="SPK32" s="28"/>
      <c r="SPL32" s="28"/>
      <c r="SPM32" s="28"/>
      <c r="SPN32" s="28"/>
      <c r="SPO32" s="28"/>
      <c r="SPP32" s="28"/>
      <c r="SPQ32" s="28"/>
      <c r="SPR32" s="28"/>
      <c r="SPS32" s="28"/>
      <c r="SPT32" s="28"/>
      <c r="SPU32" s="28"/>
      <c r="SPV32" s="28"/>
      <c r="SPW32" s="28"/>
      <c r="SPX32" s="28"/>
      <c r="SPY32" s="28"/>
      <c r="SPZ32" s="28"/>
      <c r="SQA32" s="28"/>
      <c r="SQB32" s="28"/>
      <c r="SQC32" s="28"/>
      <c r="SQD32" s="28"/>
      <c r="SQE32" s="28"/>
      <c r="SQF32" s="28"/>
      <c r="SQG32" s="28"/>
      <c r="SQH32" s="28"/>
      <c r="SQI32" s="28"/>
      <c r="SQJ32" s="28"/>
      <c r="SQK32" s="28"/>
      <c r="SQL32" s="28"/>
      <c r="SQM32" s="28"/>
      <c r="SQN32" s="28"/>
      <c r="SQO32" s="28"/>
      <c r="SQP32" s="28"/>
      <c r="SQQ32" s="28"/>
      <c r="SQR32" s="28"/>
      <c r="SQS32" s="28"/>
      <c r="SQT32" s="28"/>
      <c r="SQU32" s="28"/>
      <c r="SQV32" s="28"/>
      <c r="SQW32" s="28"/>
      <c r="SQX32" s="28"/>
      <c r="SQY32" s="28"/>
      <c r="SQZ32" s="28"/>
      <c r="SRA32" s="28"/>
      <c r="SRB32" s="28"/>
      <c r="SRC32" s="28"/>
      <c r="SRD32" s="28"/>
      <c r="SRE32" s="28"/>
      <c r="SRF32" s="28"/>
      <c r="SRG32" s="28"/>
      <c r="SRH32" s="28"/>
      <c r="SRI32" s="28"/>
      <c r="SRJ32" s="28"/>
      <c r="SRK32" s="28"/>
      <c r="SRL32" s="28"/>
      <c r="SRM32" s="28"/>
      <c r="SRN32" s="28"/>
      <c r="SRO32" s="28"/>
      <c r="SRP32" s="28"/>
      <c r="SRQ32" s="28"/>
      <c r="SRR32" s="28"/>
      <c r="SRS32" s="28"/>
      <c r="SRT32" s="28"/>
      <c r="SRU32" s="28"/>
      <c r="SRV32" s="28"/>
      <c r="SRW32" s="28"/>
      <c r="SRX32" s="28"/>
      <c r="SRY32" s="28"/>
      <c r="SRZ32" s="28"/>
      <c r="SSA32" s="28"/>
      <c r="SSB32" s="28"/>
      <c r="SSC32" s="28"/>
      <c r="SSD32" s="28"/>
      <c r="SSE32" s="28"/>
      <c r="SSF32" s="28"/>
      <c r="SSG32" s="28"/>
      <c r="SSH32" s="28"/>
      <c r="SSI32" s="28"/>
      <c r="SSJ32" s="28"/>
      <c r="SSK32" s="28"/>
      <c r="SSL32" s="28"/>
      <c r="SSM32" s="28"/>
      <c r="SSN32" s="28"/>
      <c r="SSO32" s="28"/>
      <c r="SSP32" s="28"/>
      <c r="SSQ32" s="28"/>
      <c r="SSR32" s="28"/>
      <c r="SSS32" s="28"/>
      <c r="SST32" s="28"/>
      <c r="SSU32" s="28"/>
      <c r="SSV32" s="28"/>
      <c r="SSW32" s="28"/>
      <c r="SSX32" s="28"/>
      <c r="SSY32" s="28"/>
      <c r="SSZ32" s="28"/>
      <c r="STA32" s="28"/>
      <c r="STB32" s="28"/>
      <c r="STC32" s="28"/>
      <c r="STD32" s="28"/>
      <c r="STE32" s="28"/>
      <c r="STF32" s="28"/>
      <c r="STG32" s="28"/>
      <c r="STH32" s="28"/>
      <c r="STI32" s="28"/>
      <c r="STJ32" s="28"/>
      <c r="STK32" s="28"/>
      <c r="STL32" s="28"/>
      <c r="STM32" s="28"/>
      <c r="STN32" s="28"/>
      <c r="STO32" s="28"/>
      <c r="STP32" s="28"/>
      <c r="STQ32" s="28"/>
      <c r="STR32" s="28"/>
      <c r="STS32" s="28"/>
      <c r="STT32" s="28"/>
      <c r="STU32" s="28"/>
      <c r="STV32" s="28"/>
      <c r="STW32" s="28"/>
      <c r="STX32" s="28"/>
      <c r="STY32" s="28"/>
      <c r="STZ32" s="28"/>
      <c r="SUA32" s="28"/>
      <c r="SUB32" s="28"/>
      <c r="SUC32" s="28"/>
      <c r="SUD32" s="28"/>
      <c r="SUE32" s="28"/>
      <c r="SUF32" s="28"/>
      <c r="SUG32" s="28"/>
      <c r="SUH32" s="28"/>
      <c r="SUI32" s="28"/>
      <c r="SUJ32" s="28"/>
      <c r="SUK32" s="28"/>
      <c r="SUL32" s="28"/>
      <c r="SUM32" s="28"/>
      <c r="SUN32" s="28"/>
      <c r="SUO32" s="28"/>
      <c r="SUP32" s="28"/>
      <c r="SUQ32" s="28"/>
      <c r="SUR32" s="28"/>
      <c r="SUS32" s="28"/>
      <c r="SUT32" s="28"/>
      <c r="SUU32" s="28"/>
      <c r="SUV32" s="28"/>
      <c r="SUW32" s="28"/>
      <c r="SUX32" s="28"/>
      <c r="SUY32" s="28"/>
      <c r="SUZ32" s="28"/>
      <c r="SVA32" s="28"/>
      <c r="SVB32" s="28"/>
      <c r="SVC32" s="28"/>
      <c r="SVD32" s="28"/>
      <c r="SVE32" s="28"/>
      <c r="SVF32" s="28"/>
      <c r="SVG32" s="28"/>
      <c r="SVH32" s="28"/>
      <c r="SVI32" s="28"/>
      <c r="SVJ32" s="28"/>
      <c r="SVK32" s="28"/>
      <c r="SVL32" s="28"/>
      <c r="SVM32" s="28"/>
      <c r="SVN32" s="28"/>
      <c r="SVO32" s="28"/>
      <c r="SVP32" s="28"/>
      <c r="SVQ32" s="28"/>
      <c r="SVR32" s="28"/>
      <c r="SVS32" s="28"/>
      <c r="SVT32" s="28"/>
      <c r="SVU32" s="28"/>
      <c r="SVV32" s="28"/>
      <c r="SVW32" s="28"/>
      <c r="SVX32" s="28"/>
      <c r="SVY32" s="28"/>
      <c r="SVZ32" s="28"/>
      <c r="SWA32" s="28"/>
      <c r="SWB32" s="28"/>
      <c r="SWC32" s="28"/>
      <c r="SWD32" s="28"/>
      <c r="SWE32" s="28"/>
      <c r="SWF32" s="28"/>
      <c r="SWG32" s="28"/>
      <c r="SWH32" s="28"/>
      <c r="SWI32" s="28"/>
      <c r="SWJ32" s="28"/>
      <c r="SWK32" s="28"/>
      <c r="SWL32" s="28"/>
      <c r="SWM32" s="28"/>
      <c r="SWN32" s="28"/>
      <c r="SWO32" s="28"/>
      <c r="SWP32" s="28"/>
      <c r="SWQ32" s="28"/>
      <c r="SWR32" s="28"/>
      <c r="SWS32" s="28"/>
      <c r="SWT32" s="28"/>
      <c r="SWU32" s="28"/>
      <c r="SWV32" s="28"/>
      <c r="SWW32" s="28"/>
      <c r="SWX32" s="28"/>
      <c r="SWY32" s="28"/>
      <c r="SWZ32" s="28"/>
      <c r="SXA32" s="28"/>
      <c r="SXB32" s="28"/>
      <c r="SXC32" s="28"/>
      <c r="SXD32" s="28"/>
      <c r="SXE32" s="28"/>
      <c r="SXF32" s="28"/>
      <c r="SXG32" s="28"/>
      <c r="SXH32" s="28"/>
      <c r="SXI32" s="28"/>
      <c r="SXJ32" s="28"/>
      <c r="SXK32" s="28"/>
      <c r="SXL32" s="28"/>
      <c r="SXM32" s="28"/>
      <c r="SXN32" s="28"/>
      <c r="SXO32" s="28"/>
      <c r="SXP32" s="28"/>
      <c r="SXQ32" s="28"/>
      <c r="SXR32" s="28"/>
      <c r="SXS32" s="28"/>
      <c r="SXT32" s="28"/>
      <c r="SXU32" s="28"/>
      <c r="SXV32" s="28"/>
      <c r="SXW32" s="28"/>
      <c r="SXX32" s="28"/>
      <c r="SXY32" s="28"/>
      <c r="SXZ32" s="28"/>
      <c r="SYA32" s="28"/>
      <c r="SYB32" s="28"/>
      <c r="SYC32" s="28"/>
      <c r="SYD32" s="28"/>
      <c r="SYE32" s="28"/>
      <c r="SYF32" s="28"/>
      <c r="SYG32" s="28"/>
      <c r="SYH32" s="28"/>
      <c r="SYI32" s="28"/>
      <c r="SYJ32" s="28"/>
      <c r="SYK32" s="28"/>
      <c r="SYL32" s="28"/>
      <c r="SYM32" s="28"/>
      <c r="SYN32" s="28"/>
      <c r="SYO32" s="28"/>
      <c r="SYP32" s="28"/>
      <c r="SYQ32" s="28"/>
      <c r="SYR32" s="28"/>
      <c r="SYS32" s="28"/>
      <c r="SYT32" s="28"/>
      <c r="SYU32" s="28"/>
      <c r="SYV32" s="28"/>
      <c r="SYW32" s="28"/>
      <c r="SYX32" s="28"/>
      <c r="SYY32" s="28"/>
      <c r="SYZ32" s="28"/>
      <c r="SZA32" s="28"/>
      <c r="SZB32" s="28"/>
      <c r="SZC32" s="28"/>
      <c r="SZD32" s="28"/>
      <c r="SZE32" s="28"/>
      <c r="SZF32" s="28"/>
      <c r="SZG32" s="28"/>
      <c r="SZH32" s="28"/>
      <c r="SZI32" s="28"/>
      <c r="SZJ32" s="28"/>
      <c r="SZK32" s="28"/>
      <c r="SZL32" s="28"/>
      <c r="SZM32" s="28"/>
      <c r="SZN32" s="28"/>
      <c r="SZO32" s="28"/>
      <c r="SZP32" s="28"/>
      <c r="SZQ32" s="28"/>
      <c r="SZR32" s="28"/>
      <c r="SZS32" s="28"/>
      <c r="SZT32" s="28"/>
      <c r="SZU32" s="28"/>
      <c r="SZV32" s="28"/>
      <c r="SZW32" s="28"/>
      <c r="SZX32" s="28"/>
      <c r="SZY32" s="28"/>
      <c r="SZZ32" s="28"/>
      <c r="TAA32" s="28"/>
      <c r="TAB32" s="28"/>
      <c r="TAC32" s="28"/>
      <c r="TAD32" s="28"/>
      <c r="TAE32" s="28"/>
      <c r="TAF32" s="28"/>
      <c r="TAG32" s="28"/>
      <c r="TAH32" s="28"/>
      <c r="TAI32" s="28"/>
      <c r="TAJ32" s="28"/>
      <c r="TAK32" s="28"/>
      <c r="TAL32" s="28"/>
      <c r="TAM32" s="28"/>
      <c r="TAN32" s="28"/>
      <c r="TAO32" s="28"/>
      <c r="TAP32" s="28"/>
      <c r="TAQ32" s="28"/>
      <c r="TAR32" s="28"/>
      <c r="TAS32" s="28"/>
      <c r="TAT32" s="28"/>
      <c r="TAU32" s="28"/>
      <c r="TAV32" s="28"/>
      <c r="TAW32" s="28"/>
      <c r="TAX32" s="28"/>
      <c r="TAY32" s="28"/>
      <c r="TAZ32" s="28"/>
      <c r="TBA32" s="28"/>
      <c r="TBB32" s="28"/>
      <c r="TBC32" s="28"/>
      <c r="TBD32" s="28"/>
      <c r="TBE32" s="28"/>
      <c r="TBF32" s="28"/>
      <c r="TBG32" s="28"/>
      <c r="TBH32" s="28"/>
      <c r="TBI32" s="28"/>
      <c r="TBJ32" s="28"/>
      <c r="TBK32" s="28"/>
      <c r="TBL32" s="28"/>
      <c r="TBM32" s="28"/>
      <c r="TBN32" s="28"/>
      <c r="TBO32" s="28"/>
      <c r="TBP32" s="28"/>
      <c r="TBQ32" s="28"/>
      <c r="TBR32" s="28"/>
      <c r="TBS32" s="28"/>
      <c r="TBT32" s="28"/>
      <c r="TBU32" s="28"/>
      <c r="TBV32" s="28"/>
      <c r="TBW32" s="28"/>
      <c r="TBX32" s="28"/>
      <c r="TBY32" s="28"/>
      <c r="TBZ32" s="28"/>
      <c r="TCA32" s="28"/>
      <c r="TCB32" s="28"/>
      <c r="TCC32" s="28"/>
      <c r="TCD32" s="28"/>
      <c r="TCE32" s="28"/>
      <c r="TCF32" s="28"/>
      <c r="TCG32" s="28"/>
      <c r="TCH32" s="28"/>
      <c r="TCI32" s="28"/>
      <c r="TCJ32" s="28"/>
      <c r="TCK32" s="28"/>
      <c r="TCL32" s="28"/>
      <c r="TCM32" s="28"/>
      <c r="TCN32" s="28"/>
      <c r="TCO32" s="28"/>
      <c r="TCP32" s="28"/>
      <c r="TCQ32" s="28"/>
      <c r="TCR32" s="28"/>
      <c r="TCS32" s="28"/>
      <c r="TCT32" s="28"/>
      <c r="TCU32" s="28"/>
      <c r="TCV32" s="28"/>
      <c r="TCW32" s="28"/>
      <c r="TCX32" s="28"/>
      <c r="TCY32" s="28"/>
      <c r="TCZ32" s="28"/>
      <c r="TDA32" s="28"/>
      <c r="TDB32" s="28"/>
      <c r="TDC32" s="28"/>
      <c r="TDD32" s="28"/>
      <c r="TDE32" s="28"/>
      <c r="TDF32" s="28"/>
      <c r="TDG32" s="28"/>
      <c r="TDH32" s="28"/>
      <c r="TDI32" s="28"/>
      <c r="TDJ32" s="28"/>
      <c r="TDK32" s="28"/>
      <c r="TDL32" s="28"/>
      <c r="TDM32" s="28"/>
      <c r="TDN32" s="28"/>
      <c r="TDO32" s="28"/>
      <c r="TDP32" s="28"/>
      <c r="TDQ32" s="28"/>
      <c r="TDR32" s="28"/>
      <c r="TDS32" s="28"/>
      <c r="TDT32" s="28"/>
      <c r="TDU32" s="28"/>
      <c r="TDV32" s="28"/>
      <c r="TDW32" s="28"/>
      <c r="TDX32" s="28"/>
      <c r="TDY32" s="28"/>
      <c r="TDZ32" s="28"/>
      <c r="TEA32" s="28"/>
      <c r="TEB32" s="28"/>
      <c r="TEC32" s="28"/>
      <c r="TED32" s="28"/>
      <c r="TEE32" s="28"/>
      <c r="TEF32" s="28"/>
      <c r="TEG32" s="28"/>
      <c r="TEH32" s="28"/>
      <c r="TEI32" s="28"/>
      <c r="TEJ32" s="28"/>
      <c r="TEK32" s="28"/>
      <c r="TEL32" s="28"/>
      <c r="TEM32" s="28"/>
      <c r="TEN32" s="28"/>
      <c r="TEO32" s="28"/>
      <c r="TEP32" s="28"/>
      <c r="TEQ32" s="28"/>
      <c r="TER32" s="28"/>
      <c r="TES32" s="28"/>
      <c r="TET32" s="28"/>
      <c r="TEU32" s="28"/>
      <c r="TEV32" s="28"/>
      <c r="TEW32" s="28"/>
      <c r="TEX32" s="28"/>
      <c r="TEY32" s="28"/>
      <c r="TEZ32" s="28"/>
      <c r="TFA32" s="28"/>
      <c r="TFB32" s="28"/>
      <c r="TFC32" s="28"/>
      <c r="TFD32" s="28"/>
      <c r="TFE32" s="28"/>
      <c r="TFF32" s="28"/>
      <c r="TFG32" s="28"/>
      <c r="TFH32" s="28"/>
      <c r="TFI32" s="28"/>
      <c r="TFJ32" s="28"/>
      <c r="TFK32" s="28"/>
      <c r="TFL32" s="28"/>
      <c r="TFM32" s="28"/>
      <c r="TFN32" s="28"/>
      <c r="TFO32" s="28"/>
      <c r="TFP32" s="28"/>
      <c r="TFQ32" s="28"/>
      <c r="TFR32" s="28"/>
      <c r="TFS32" s="28"/>
      <c r="TFT32" s="28"/>
      <c r="TFU32" s="28"/>
      <c r="TFV32" s="28"/>
      <c r="TFW32" s="28"/>
      <c r="TFX32" s="28"/>
      <c r="TFY32" s="28"/>
      <c r="TFZ32" s="28"/>
      <c r="TGA32" s="28"/>
      <c r="TGB32" s="28"/>
      <c r="TGC32" s="28"/>
      <c r="TGD32" s="28"/>
      <c r="TGE32" s="28"/>
      <c r="TGF32" s="28"/>
      <c r="TGG32" s="28"/>
      <c r="TGH32" s="28"/>
      <c r="TGI32" s="28"/>
      <c r="TGJ32" s="28"/>
      <c r="TGK32" s="28"/>
      <c r="TGL32" s="28"/>
      <c r="TGM32" s="28"/>
      <c r="TGN32" s="28"/>
      <c r="TGO32" s="28"/>
      <c r="TGP32" s="28"/>
      <c r="TGQ32" s="28"/>
      <c r="TGR32" s="28"/>
      <c r="TGS32" s="28"/>
      <c r="TGT32" s="28"/>
      <c r="TGU32" s="28"/>
      <c r="TGV32" s="28"/>
      <c r="TGW32" s="28"/>
      <c r="TGX32" s="28"/>
      <c r="TGY32" s="28"/>
      <c r="TGZ32" s="28"/>
      <c r="THA32" s="28"/>
      <c r="THB32" s="28"/>
      <c r="THC32" s="28"/>
      <c r="THD32" s="28"/>
      <c r="THE32" s="28"/>
      <c r="THF32" s="28"/>
      <c r="THG32" s="28"/>
      <c r="THH32" s="28"/>
      <c r="THI32" s="28"/>
      <c r="THJ32" s="28"/>
      <c r="THK32" s="28"/>
      <c r="THL32" s="28"/>
      <c r="THM32" s="28"/>
      <c r="THN32" s="28"/>
      <c r="THO32" s="28"/>
      <c r="THP32" s="28"/>
      <c r="THQ32" s="28"/>
      <c r="THR32" s="28"/>
      <c r="THS32" s="28"/>
      <c r="THT32" s="28"/>
      <c r="THU32" s="28"/>
      <c r="THV32" s="28"/>
      <c r="THW32" s="28"/>
      <c r="THX32" s="28"/>
      <c r="THY32" s="28"/>
      <c r="THZ32" s="28"/>
      <c r="TIA32" s="28"/>
      <c r="TIB32" s="28"/>
      <c r="TIC32" s="28"/>
      <c r="TID32" s="28"/>
      <c r="TIE32" s="28"/>
      <c r="TIF32" s="28"/>
      <c r="TIG32" s="28"/>
      <c r="TIH32" s="28"/>
      <c r="TII32" s="28"/>
      <c r="TIJ32" s="28"/>
      <c r="TIK32" s="28"/>
      <c r="TIL32" s="28"/>
      <c r="TIM32" s="28"/>
      <c r="TIN32" s="28"/>
      <c r="TIO32" s="28"/>
      <c r="TIP32" s="28"/>
      <c r="TIQ32" s="28"/>
      <c r="TIR32" s="28"/>
      <c r="TIS32" s="28"/>
      <c r="TIT32" s="28"/>
      <c r="TIU32" s="28"/>
      <c r="TIV32" s="28"/>
      <c r="TIW32" s="28"/>
      <c r="TIX32" s="28"/>
      <c r="TIY32" s="28"/>
      <c r="TIZ32" s="28"/>
      <c r="TJA32" s="28"/>
      <c r="TJB32" s="28"/>
      <c r="TJC32" s="28"/>
      <c r="TJD32" s="28"/>
      <c r="TJE32" s="28"/>
      <c r="TJF32" s="28"/>
      <c r="TJG32" s="28"/>
      <c r="TJH32" s="28"/>
      <c r="TJI32" s="28"/>
      <c r="TJJ32" s="28"/>
      <c r="TJK32" s="28"/>
      <c r="TJL32" s="28"/>
      <c r="TJM32" s="28"/>
      <c r="TJN32" s="28"/>
      <c r="TJO32" s="28"/>
      <c r="TJP32" s="28"/>
      <c r="TJQ32" s="28"/>
      <c r="TJR32" s="28"/>
      <c r="TJS32" s="28"/>
      <c r="TJT32" s="28"/>
      <c r="TJU32" s="28"/>
      <c r="TJV32" s="28"/>
      <c r="TJW32" s="28"/>
      <c r="TJX32" s="28"/>
      <c r="TJY32" s="28"/>
      <c r="TJZ32" s="28"/>
      <c r="TKA32" s="28"/>
      <c r="TKB32" s="28"/>
      <c r="TKC32" s="28"/>
      <c r="TKD32" s="28"/>
      <c r="TKE32" s="28"/>
      <c r="TKF32" s="28"/>
      <c r="TKG32" s="28"/>
      <c r="TKH32" s="28"/>
      <c r="TKI32" s="28"/>
      <c r="TKJ32" s="28"/>
      <c r="TKK32" s="28"/>
      <c r="TKL32" s="28"/>
      <c r="TKM32" s="28"/>
      <c r="TKN32" s="28"/>
      <c r="TKO32" s="28"/>
      <c r="TKP32" s="28"/>
      <c r="TKQ32" s="28"/>
      <c r="TKR32" s="28"/>
      <c r="TKS32" s="28"/>
      <c r="TKT32" s="28"/>
      <c r="TKU32" s="28"/>
      <c r="TKV32" s="28"/>
      <c r="TKW32" s="28"/>
      <c r="TKX32" s="28"/>
      <c r="TKY32" s="28"/>
      <c r="TKZ32" s="28"/>
      <c r="TLA32" s="28"/>
      <c r="TLB32" s="28"/>
      <c r="TLC32" s="28"/>
      <c r="TLD32" s="28"/>
      <c r="TLE32" s="28"/>
      <c r="TLF32" s="28"/>
      <c r="TLG32" s="28"/>
      <c r="TLH32" s="28"/>
      <c r="TLI32" s="28"/>
      <c r="TLJ32" s="28"/>
      <c r="TLK32" s="28"/>
      <c r="TLL32" s="28"/>
      <c r="TLM32" s="28"/>
      <c r="TLN32" s="28"/>
      <c r="TLO32" s="28"/>
      <c r="TLP32" s="28"/>
      <c r="TLQ32" s="28"/>
      <c r="TLR32" s="28"/>
      <c r="TLS32" s="28"/>
      <c r="TLT32" s="28"/>
      <c r="TLU32" s="28"/>
      <c r="TLV32" s="28"/>
      <c r="TLW32" s="28"/>
      <c r="TLX32" s="28"/>
      <c r="TLY32" s="28"/>
      <c r="TLZ32" s="28"/>
      <c r="TMA32" s="28"/>
      <c r="TMB32" s="28"/>
      <c r="TMC32" s="28"/>
      <c r="TMD32" s="28"/>
      <c r="TME32" s="28"/>
      <c r="TMF32" s="28"/>
      <c r="TMG32" s="28"/>
      <c r="TMH32" s="28"/>
      <c r="TMI32" s="28"/>
      <c r="TMJ32" s="28"/>
      <c r="TMK32" s="28"/>
      <c r="TML32" s="28"/>
      <c r="TMM32" s="28"/>
      <c r="TMN32" s="28"/>
      <c r="TMO32" s="28"/>
      <c r="TMP32" s="28"/>
      <c r="TMQ32" s="28"/>
      <c r="TMR32" s="28"/>
      <c r="TMS32" s="28"/>
      <c r="TMT32" s="28"/>
      <c r="TMU32" s="28"/>
      <c r="TMV32" s="28"/>
      <c r="TMW32" s="28"/>
      <c r="TMX32" s="28"/>
      <c r="TMY32" s="28"/>
      <c r="TMZ32" s="28"/>
      <c r="TNA32" s="28"/>
      <c r="TNB32" s="28"/>
      <c r="TNC32" s="28"/>
      <c r="TND32" s="28"/>
      <c r="TNE32" s="28"/>
      <c r="TNF32" s="28"/>
      <c r="TNG32" s="28"/>
      <c r="TNH32" s="28"/>
      <c r="TNI32" s="28"/>
      <c r="TNJ32" s="28"/>
      <c r="TNK32" s="28"/>
      <c r="TNL32" s="28"/>
      <c r="TNM32" s="28"/>
      <c r="TNN32" s="28"/>
      <c r="TNO32" s="28"/>
      <c r="TNP32" s="28"/>
      <c r="TNQ32" s="28"/>
      <c r="TNR32" s="28"/>
      <c r="TNS32" s="28"/>
      <c r="TNT32" s="28"/>
      <c r="TNU32" s="28"/>
      <c r="TNV32" s="28"/>
      <c r="TNW32" s="28"/>
      <c r="TNX32" s="28"/>
      <c r="TNY32" s="28"/>
      <c r="TNZ32" s="28"/>
      <c r="TOA32" s="28"/>
      <c r="TOB32" s="28"/>
      <c r="TOC32" s="28"/>
      <c r="TOD32" s="28"/>
      <c r="TOE32" s="28"/>
      <c r="TOF32" s="28"/>
      <c r="TOG32" s="28"/>
      <c r="TOH32" s="28"/>
      <c r="TOI32" s="28"/>
      <c r="TOJ32" s="28"/>
      <c r="TOK32" s="28"/>
      <c r="TOL32" s="28"/>
      <c r="TOM32" s="28"/>
      <c r="TON32" s="28"/>
      <c r="TOO32" s="28"/>
      <c r="TOP32" s="28"/>
      <c r="TOQ32" s="28"/>
      <c r="TOR32" s="28"/>
      <c r="TOS32" s="28"/>
      <c r="TOT32" s="28"/>
      <c r="TOU32" s="28"/>
      <c r="TOV32" s="28"/>
      <c r="TOW32" s="28"/>
      <c r="TOX32" s="28"/>
      <c r="TOY32" s="28"/>
      <c r="TOZ32" s="28"/>
      <c r="TPA32" s="28"/>
      <c r="TPB32" s="28"/>
      <c r="TPC32" s="28"/>
      <c r="TPD32" s="28"/>
      <c r="TPE32" s="28"/>
      <c r="TPF32" s="28"/>
      <c r="TPG32" s="28"/>
      <c r="TPH32" s="28"/>
      <c r="TPI32" s="28"/>
      <c r="TPJ32" s="28"/>
      <c r="TPK32" s="28"/>
      <c r="TPL32" s="28"/>
      <c r="TPM32" s="28"/>
      <c r="TPN32" s="28"/>
      <c r="TPO32" s="28"/>
      <c r="TPP32" s="28"/>
      <c r="TPQ32" s="28"/>
      <c r="TPR32" s="28"/>
      <c r="TPS32" s="28"/>
      <c r="TPT32" s="28"/>
      <c r="TPU32" s="28"/>
      <c r="TPV32" s="28"/>
      <c r="TPW32" s="28"/>
      <c r="TPX32" s="28"/>
      <c r="TPY32" s="28"/>
      <c r="TPZ32" s="28"/>
      <c r="TQA32" s="28"/>
      <c r="TQB32" s="28"/>
      <c r="TQC32" s="28"/>
      <c r="TQD32" s="28"/>
      <c r="TQE32" s="28"/>
      <c r="TQF32" s="28"/>
      <c r="TQG32" s="28"/>
      <c r="TQH32" s="28"/>
      <c r="TQI32" s="28"/>
      <c r="TQJ32" s="28"/>
      <c r="TQK32" s="28"/>
      <c r="TQL32" s="28"/>
      <c r="TQM32" s="28"/>
      <c r="TQN32" s="28"/>
      <c r="TQO32" s="28"/>
      <c r="TQP32" s="28"/>
      <c r="TQQ32" s="28"/>
      <c r="TQR32" s="28"/>
      <c r="TQS32" s="28"/>
      <c r="TQT32" s="28"/>
      <c r="TQU32" s="28"/>
      <c r="TQV32" s="28"/>
      <c r="TQW32" s="28"/>
      <c r="TQX32" s="28"/>
      <c r="TQY32" s="28"/>
      <c r="TQZ32" s="28"/>
      <c r="TRA32" s="28"/>
      <c r="TRB32" s="28"/>
      <c r="TRC32" s="28"/>
      <c r="TRD32" s="28"/>
      <c r="TRE32" s="28"/>
      <c r="TRF32" s="28"/>
      <c r="TRG32" s="28"/>
      <c r="TRH32" s="28"/>
      <c r="TRI32" s="28"/>
      <c r="TRJ32" s="28"/>
      <c r="TRK32" s="28"/>
      <c r="TRL32" s="28"/>
      <c r="TRM32" s="28"/>
      <c r="TRN32" s="28"/>
      <c r="TRO32" s="28"/>
      <c r="TRP32" s="28"/>
      <c r="TRQ32" s="28"/>
      <c r="TRR32" s="28"/>
      <c r="TRS32" s="28"/>
      <c r="TRT32" s="28"/>
      <c r="TRU32" s="28"/>
      <c r="TRV32" s="28"/>
      <c r="TRW32" s="28"/>
      <c r="TRX32" s="28"/>
      <c r="TRY32" s="28"/>
      <c r="TRZ32" s="28"/>
      <c r="TSA32" s="28"/>
      <c r="TSB32" s="28"/>
      <c r="TSC32" s="28"/>
      <c r="TSD32" s="28"/>
      <c r="TSE32" s="28"/>
      <c r="TSF32" s="28"/>
      <c r="TSG32" s="28"/>
      <c r="TSH32" s="28"/>
      <c r="TSI32" s="28"/>
      <c r="TSJ32" s="28"/>
      <c r="TSK32" s="28"/>
      <c r="TSL32" s="28"/>
      <c r="TSM32" s="28"/>
      <c r="TSN32" s="28"/>
      <c r="TSO32" s="28"/>
      <c r="TSP32" s="28"/>
      <c r="TSQ32" s="28"/>
      <c r="TSR32" s="28"/>
      <c r="TSS32" s="28"/>
      <c r="TST32" s="28"/>
      <c r="TSU32" s="28"/>
      <c r="TSV32" s="28"/>
      <c r="TSW32" s="28"/>
      <c r="TSX32" s="28"/>
      <c r="TSY32" s="28"/>
      <c r="TSZ32" s="28"/>
      <c r="TTA32" s="28"/>
      <c r="TTB32" s="28"/>
      <c r="TTC32" s="28"/>
      <c r="TTD32" s="28"/>
      <c r="TTE32" s="28"/>
      <c r="TTF32" s="28"/>
      <c r="TTG32" s="28"/>
      <c r="TTH32" s="28"/>
      <c r="TTI32" s="28"/>
      <c r="TTJ32" s="28"/>
      <c r="TTK32" s="28"/>
      <c r="TTL32" s="28"/>
      <c r="TTM32" s="28"/>
      <c r="TTN32" s="28"/>
      <c r="TTO32" s="28"/>
      <c r="TTP32" s="28"/>
      <c r="TTQ32" s="28"/>
      <c r="TTR32" s="28"/>
      <c r="TTS32" s="28"/>
      <c r="TTT32" s="28"/>
      <c r="TTU32" s="28"/>
      <c r="TTV32" s="28"/>
      <c r="TTW32" s="28"/>
      <c r="TTX32" s="28"/>
      <c r="TTY32" s="28"/>
      <c r="TTZ32" s="28"/>
      <c r="TUA32" s="28"/>
      <c r="TUB32" s="28"/>
      <c r="TUC32" s="28"/>
      <c r="TUD32" s="28"/>
      <c r="TUE32" s="28"/>
      <c r="TUF32" s="28"/>
      <c r="TUG32" s="28"/>
      <c r="TUH32" s="28"/>
      <c r="TUI32" s="28"/>
      <c r="TUJ32" s="28"/>
      <c r="TUK32" s="28"/>
      <c r="TUL32" s="28"/>
      <c r="TUM32" s="28"/>
      <c r="TUN32" s="28"/>
      <c r="TUO32" s="28"/>
      <c r="TUP32" s="28"/>
      <c r="TUQ32" s="28"/>
      <c r="TUR32" s="28"/>
      <c r="TUS32" s="28"/>
      <c r="TUT32" s="28"/>
      <c r="TUU32" s="28"/>
      <c r="TUV32" s="28"/>
      <c r="TUW32" s="28"/>
      <c r="TUX32" s="28"/>
      <c r="TUY32" s="28"/>
      <c r="TUZ32" s="28"/>
      <c r="TVA32" s="28"/>
      <c r="TVB32" s="28"/>
      <c r="TVC32" s="28"/>
      <c r="TVD32" s="28"/>
      <c r="TVE32" s="28"/>
      <c r="TVF32" s="28"/>
      <c r="TVG32" s="28"/>
      <c r="TVH32" s="28"/>
      <c r="TVI32" s="28"/>
      <c r="TVJ32" s="28"/>
      <c r="TVK32" s="28"/>
      <c r="TVL32" s="28"/>
      <c r="TVM32" s="28"/>
      <c r="TVN32" s="28"/>
      <c r="TVO32" s="28"/>
      <c r="TVP32" s="28"/>
      <c r="TVQ32" s="28"/>
      <c r="TVR32" s="28"/>
      <c r="TVS32" s="28"/>
      <c r="TVT32" s="28"/>
      <c r="TVU32" s="28"/>
      <c r="TVV32" s="28"/>
      <c r="TVW32" s="28"/>
      <c r="TVX32" s="28"/>
      <c r="TVY32" s="28"/>
      <c r="TVZ32" s="28"/>
      <c r="TWA32" s="28"/>
      <c r="TWB32" s="28"/>
      <c r="TWC32" s="28"/>
      <c r="TWD32" s="28"/>
      <c r="TWE32" s="28"/>
      <c r="TWF32" s="28"/>
      <c r="TWG32" s="28"/>
      <c r="TWH32" s="28"/>
      <c r="TWI32" s="28"/>
      <c r="TWJ32" s="28"/>
      <c r="TWK32" s="28"/>
      <c r="TWL32" s="28"/>
      <c r="TWM32" s="28"/>
      <c r="TWN32" s="28"/>
      <c r="TWO32" s="28"/>
      <c r="TWP32" s="28"/>
      <c r="TWQ32" s="28"/>
      <c r="TWR32" s="28"/>
      <c r="TWS32" s="28"/>
      <c r="TWT32" s="28"/>
      <c r="TWU32" s="28"/>
      <c r="TWV32" s="28"/>
      <c r="TWW32" s="28"/>
      <c r="TWX32" s="28"/>
      <c r="TWY32" s="28"/>
      <c r="TWZ32" s="28"/>
      <c r="TXA32" s="28"/>
      <c r="TXB32" s="28"/>
      <c r="TXC32" s="28"/>
      <c r="TXD32" s="28"/>
      <c r="TXE32" s="28"/>
      <c r="TXF32" s="28"/>
      <c r="TXG32" s="28"/>
      <c r="TXH32" s="28"/>
      <c r="TXI32" s="28"/>
      <c r="TXJ32" s="28"/>
      <c r="TXK32" s="28"/>
      <c r="TXL32" s="28"/>
      <c r="TXM32" s="28"/>
      <c r="TXN32" s="28"/>
      <c r="TXO32" s="28"/>
      <c r="TXP32" s="28"/>
      <c r="TXQ32" s="28"/>
      <c r="TXR32" s="28"/>
      <c r="TXS32" s="28"/>
      <c r="TXT32" s="28"/>
      <c r="TXU32" s="28"/>
      <c r="TXV32" s="28"/>
      <c r="TXW32" s="28"/>
      <c r="TXX32" s="28"/>
      <c r="TXY32" s="28"/>
      <c r="TXZ32" s="28"/>
      <c r="TYA32" s="28"/>
      <c r="TYB32" s="28"/>
      <c r="TYC32" s="28"/>
      <c r="TYD32" s="28"/>
      <c r="TYE32" s="28"/>
      <c r="TYF32" s="28"/>
      <c r="TYG32" s="28"/>
      <c r="TYH32" s="28"/>
      <c r="TYI32" s="28"/>
      <c r="TYJ32" s="28"/>
      <c r="TYK32" s="28"/>
      <c r="TYL32" s="28"/>
      <c r="TYM32" s="28"/>
      <c r="TYN32" s="28"/>
      <c r="TYO32" s="28"/>
      <c r="TYP32" s="28"/>
      <c r="TYQ32" s="28"/>
      <c r="TYR32" s="28"/>
      <c r="TYS32" s="28"/>
      <c r="TYT32" s="28"/>
      <c r="TYU32" s="28"/>
      <c r="TYV32" s="28"/>
      <c r="TYW32" s="28"/>
      <c r="TYX32" s="28"/>
      <c r="TYY32" s="28"/>
      <c r="TYZ32" s="28"/>
      <c r="TZA32" s="28"/>
      <c r="TZB32" s="28"/>
      <c r="TZC32" s="28"/>
      <c r="TZD32" s="28"/>
      <c r="TZE32" s="28"/>
      <c r="TZF32" s="28"/>
      <c r="TZG32" s="28"/>
      <c r="TZH32" s="28"/>
      <c r="TZI32" s="28"/>
      <c r="TZJ32" s="28"/>
      <c r="TZK32" s="28"/>
      <c r="TZL32" s="28"/>
      <c r="TZM32" s="28"/>
      <c r="TZN32" s="28"/>
      <c r="TZO32" s="28"/>
      <c r="TZP32" s="28"/>
      <c r="TZQ32" s="28"/>
      <c r="TZR32" s="28"/>
      <c r="TZS32" s="28"/>
      <c r="TZT32" s="28"/>
      <c r="TZU32" s="28"/>
      <c r="TZV32" s="28"/>
      <c r="TZW32" s="28"/>
      <c r="TZX32" s="28"/>
      <c r="TZY32" s="28"/>
      <c r="TZZ32" s="28"/>
      <c r="UAA32" s="28"/>
      <c r="UAB32" s="28"/>
      <c r="UAC32" s="28"/>
      <c r="UAD32" s="28"/>
      <c r="UAE32" s="28"/>
      <c r="UAF32" s="28"/>
      <c r="UAG32" s="28"/>
      <c r="UAH32" s="28"/>
      <c r="UAI32" s="28"/>
      <c r="UAJ32" s="28"/>
      <c r="UAK32" s="28"/>
      <c r="UAL32" s="28"/>
      <c r="UAM32" s="28"/>
      <c r="UAN32" s="28"/>
      <c r="UAO32" s="28"/>
      <c r="UAP32" s="28"/>
      <c r="UAQ32" s="28"/>
      <c r="UAR32" s="28"/>
      <c r="UAS32" s="28"/>
      <c r="UAT32" s="28"/>
      <c r="UAU32" s="28"/>
      <c r="UAV32" s="28"/>
      <c r="UAW32" s="28"/>
      <c r="UAX32" s="28"/>
      <c r="UAY32" s="28"/>
      <c r="UAZ32" s="28"/>
      <c r="UBA32" s="28"/>
      <c r="UBB32" s="28"/>
      <c r="UBC32" s="28"/>
      <c r="UBD32" s="28"/>
      <c r="UBE32" s="28"/>
      <c r="UBF32" s="28"/>
      <c r="UBG32" s="28"/>
      <c r="UBH32" s="28"/>
      <c r="UBI32" s="28"/>
      <c r="UBJ32" s="28"/>
      <c r="UBK32" s="28"/>
      <c r="UBL32" s="28"/>
      <c r="UBM32" s="28"/>
      <c r="UBN32" s="28"/>
      <c r="UBO32" s="28"/>
      <c r="UBP32" s="28"/>
      <c r="UBQ32" s="28"/>
      <c r="UBR32" s="28"/>
      <c r="UBS32" s="28"/>
      <c r="UBT32" s="28"/>
      <c r="UBU32" s="28"/>
      <c r="UBV32" s="28"/>
      <c r="UBW32" s="28"/>
      <c r="UBX32" s="28"/>
      <c r="UBY32" s="28"/>
      <c r="UBZ32" s="28"/>
      <c r="UCA32" s="28"/>
      <c r="UCB32" s="28"/>
      <c r="UCC32" s="28"/>
      <c r="UCD32" s="28"/>
      <c r="UCE32" s="28"/>
      <c r="UCF32" s="28"/>
      <c r="UCG32" s="28"/>
      <c r="UCH32" s="28"/>
      <c r="UCI32" s="28"/>
      <c r="UCJ32" s="28"/>
      <c r="UCK32" s="28"/>
      <c r="UCL32" s="28"/>
      <c r="UCM32" s="28"/>
      <c r="UCN32" s="28"/>
      <c r="UCO32" s="28"/>
      <c r="UCP32" s="28"/>
      <c r="UCQ32" s="28"/>
      <c r="UCR32" s="28"/>
      <c r="UCS32" s="28"/>
      <c r="UCT32" s="28"/>
      <c r="UCU32" s="28"/>
      <c r="UCV32" s="28"/>
      <c r="UCW32" s="28"/>
      <c r="UCX32" s="28"/>
      <c r="UCY32" s="28"/>
      <c r="UCZ32" s="28"/>
      <c r="UDA32" s="28"/>
      <c r="UDB32" s="28"/>
      <c r="UDC32" s="28"/>
      <c r="UDD32" s="28"/>
      <c r="UDE32" s="28"/>
      <c r="UDF32" s="28"/>
      <c r="UDG32" s="28"/>
      <c r="UDH32" s="28"/>
      <c r="UDI32" s="28"/>
      <c r="UDJ32" s="28"/>
      <c r="UDK32" s="28"/>
      <c r="UDL32" s="28"/>
      <c r="UDM32" s="28"/>
      <c r="UDN32" s="28"/>
      <c r="UDO32" s="28"/>
      <c r="UDP32" s="28"/>
      <c r="UDQ32" s="28"/>
      <c r="UDR32" s="28"/>
      <c r="UDS32" s="28"/>
      <c r="UDT32" s="28"/>
      <c r="UDU32" s="28"/>
      <c r="UDV32" s="28"/>
      <c r="UDW32" s="28"/>
      <c r="UDX32" s="28"/>
      <c r="UDY32" s="28"/>
      <c r="UDZ32" s="28"/>
      <c r="UEA32" s="28"/>
      <c r="UEB32" s="28"/>
      <c r="UEC32" s="28"/>
      <c r="UED32" s="28"/>
      <c r="UEE32" s="28"/>
      <c r="UEF32" s="28"/>
      <c r="UEG32" s="28"/>
      <c r="UEH32" s="28"/>
      <c r="UEI32" s="28"/>
      <c r="UEJ32" s="28"/>
      <c r="UEK32" s="28"/>
      <c r="UEL32" s="28"/>
      <c r="UEM32" s="28"/>
      <c r="UEN32" s="28"/>
      <c r="UEO32" s="28"/>
      <c r="UEP32" s="28"/>
      <c r="UEQ32" s="28"/>
      <c r="UER32" s="28"/>
      <c r="UES32" s="28"/>
      <c r="UET32" s="28"/>
      <c r="UEU32" s="28"/>
      <c r="UEV32" s="28"/>
      <c r="UEW32" s="28"/>
      <c r="UEX32" s="28"/>
      <c r="UEY32" s="28"/>
      <c r="UEZ32" s="28"/>
      <c r="UFA32" s="28"/>
      <c r="UFB32" s="28"/>
      <c r="UFC32" s="28"/>
      <c r="UFD32" s="28"/>
      <c r="UFE32" s="28"/>
      <c r="UFF32" s="28"/>
      <c r="UFG32" s="28"/>
      <c r="UFH32" s="28"/>
      <c r="UFI32" s="28"/>
      <c r="UFJ32" s="28"/>
      <c r="UFK32" s="28"/>
      <c r="UFL32" s="28"/>
      <c r="UFM32" s="28"/>
      <c r="UFN32" s="28"/>
      <c r="UFO32" s="28"/>
      <c r="UFP32" s="28"/>
      <c r="UFQ32" s="28"/>
      <c r="UFR32" s="28"/>
      <c r="UFS32" s="28"/>
      <c r="UFT32" s="28"/>
      <c r="UFU32" s="28"/>
      <c r="UFV32" s="28"/>
      <c r="UFW32" s="28"/>
      <c r="UFX32" s="28"/>
      <c r="UFY32" s="28"/>
      <c r="UFZ32" s="28"/>
      <c r="UGA32" s="28"/>
      <c r="UGB32" s="28"/>
      <c r="UGC32" s="28"/>
      <c r="UGD32" s="28"/>
      <c r="UGE32" s="28"/>
      <c r="UGF32" s="28"/>
      <c r="UGG32" s="28"/>
      <c r="UGH32" s="28"/>
      <c r="UGI32" s="28"/>
      <c r="UGJ32" s="28"/>
      <c r="UGK32" s="28"/>
      <c r="UGL32" s="28"/>
      <c r="UGM32" s="28"/>
      <c r="UGN32" s="28"/>
      <c r="UGO32" s="28"/>
      <c r="UGP32" s="28"/>
      <c r="UGQ32" s="28"/>
      <c r="UGR32" s="28"/>
      <c r="UGS32" s="28"/>
      <c r="UGT32" s="28"/>
      <c r="UGU32" s="28"/>
      <c r="UGV32" s="28"/>
      <c r="UGW32" s="28"/>
      <c r="UGX32" s="28"/>
      <c r="UGY32" s="28"/>
      <c r="UGZ32" s="28"/>
      <c r="UHA32" s="28"/>
      <c r="UHB32" s="28"/>
      <c r="UHC32" s="28"/>
      <c r="UHD32" s="28"/>
      <c r="UHE32" s="28"/>
      <c r="UHF32" s="28"/>
      <c r="UHG32" s="28"/>
      <c r="UHH32" s="28"/>
      <c r="UHI32" s="28"/>
      <c r="UHJ32" s="28"/>
      <c r="UHK32" s="28"/>
      <c r="UHL32" s="28"/>
      <c r="UHM32" s="28"/>
      <c r="UHN32" s="28"/>
      <c r="UHO32" s="28"/>
      <c r="UHP32" s="28"/>
      <c r="UHQ32" s="28"/>
      <c r="UHR32" s="28"/>
      <c r="UHS32" s="28"/>
      <c r="UHT32" s="28"/>
      <c r="UHU32" s="28"/>
      <c r="UHV32" s="28"/>
      <c r="UHW32" s="28"/>
      <c r="UHX32" s="28"/>
      <c r="UHY32" s="28"/>
      <c r="UHZ32" s="28"/>
      <c r="UIA32" s="28"/>
      <c r="UIB32" s="28"/>
      <c r="UIC32" s="28"/>
      <c r="UID32" s="28"/>
      <c r="UIE32" s="28"/>
      <c r="UIF32" s="28"/>
      <c r="UIG32" s="28"/>
      <c r="UIH32" s="28"/>
      <c r="UII32" s="28"/>
      <c r="UIJ32" s="28"/>
      <c r="UIK32" s="28"/>
      <c r="UIL32" s="28"/>
      <c r="UIM32" s="28"/>
      <c r="UIN32" s="28"/>
      <c r="UIO32" s="28"/>
      <c r="UIP32" s="28"/>
      <c r="UIQ32" s="28"/>
      <c r="UIR32" s="28"/>
      <c r="UIS32" s="28"/>
      <c r="UIT32" s="28"/>
      <c r="UIU32" s="28"/>
      <c r="UIV32" s="28"/>
      <c r="UIW32" s="28"/>
      <c r="UIX32" s="28"/>
      <c r="UIY32" s="28"/>
      <c r="UIZ32" s="28"/>
      <c r="UJA32" s="28"/>
      <c r="UJB32" s="28"/>
      <c r="UJC32" s="28"/>
      <c r="UJD32" s="28"/>
      <c r="UJE32" s="28"/>
      <c r="UJF32" s="28"/>
      <c r="UJG32" s="28"/>
      <c r="UJH32" s="28"/>
      <c r="UJI32" s="28"/>
      <c r="UJJ32" s="28"/>
      <c r="UJK32" s="28"/>
      <c r="UJL32" s="28"/>
      <c r="UJM32" s="28"/>
      <c r="UJN32" s="28"/>
      <c r="UJO32" s="28"/>
      <c r="UJP32" s="28"/>
      <c r="UJQ32" s="28"/>
      <c r="UJR32" s="28"/>
      <c r="UJS32" s="28"/>
      <c r="UJT32" s="28"/>
      <c r="UJU32" s="28"/>
      <c r="UJV32" s="28"/>
      <c r="UJW32" s="28"/>
      <c r="UJX32" s="28"/>
      <c r="UJY32" s="28"/>
      <c r="UJZ32" s="28"/>
      <c r="UKA32" s="28"/>
      <c r="UKB32" s="28"/>
      <c r="UKC32" s="28"/>
      <c r="UKD32" s="28"/>
      <c r="UKE32" s="28"/>
      <c r="UKF32" s="28"/>
      <c r="UKG32" s="28"/>
      <c r="UKH32" s="28"/>
      <c r="UKI32" s="28"/>
      <c r="UKJ32" s="28"/>
      <c r="UKK32" s="28"/>
      <c r="UKL32" s="28"/>
      <c r="UKM32" s="28"/>
      <c r="UKN32" s="28"/>
      <c r="UKO32" s="28"/>
      <c r="UKP32" s="28"/>
      <c r="UKQ32" s="28"/>
      <c r="UKR32" s="28"/>
      <c r="UKS32" s="28"/>
      <c r="UKT32" s="28"/>
      <c r="UKU32" s="28"/>
      <c r="UKV32" s="28"/>
      <c r="UKW32" s="28"/>
      <c r="UKX32" s="28"/>
      <c r="UKY32" s="28"/>
      <c r="UKZ32" s="28"/>
      <c r="ULA32" s="28"/>
      <c r="ULB32" s="28"/>
      <c r="ULC32" s="28"/>
      <c r="ULD32" s="28"/>
      <c r="ULE32" s="28"/>
      <c r="ULF32" s="28"/>
      <c r="ULG32" s="28"/>
      <c r="ULH32" s="28"/>
      <c r="ULI32" s="28"/>
      <c r="ULJ32" s="28"/>
      <c r="ULK32" s="28"/>
      <c r="ULL32" s="28"/>
      <c r="ULM32" s="28"/>
      <c r="ULN32" s="28"/>
      <c r="ULO32" s="28"/>
      <c r="ULP32" s="28"/>
      <c r="ULQ32" s="28"/>
      <c r="ULR32" s="28"/>
      <c r="ULS32" s="28"/>
      <c r="ULT32" s="28"/>
      <c r="ULU32" s="28"/>
      <c r="ULV32" s="28"/>
      <c r="ULW32" s="28"/>
      <c r="ULX32" s="28"/>
      <c r="ULY32" s="28"/>
      <c r="ULZ32" s="28"/>
      <c r="UMA32" s="28"/>
      <c r="UMB32" s="28"/>
      <c r="UMC32" s="28"/>
      <c r="UMD32" s="28"/>
      <c r="UME32" s="28"/>
      <c r="UMF32" s="28"/>
      <c r="UMG32" s="28"/>
      <c r="UMH32" s="28"/>
      <c r="UMI32" s="28"/>
      <c r="UMJ32" s="28"/>
      <c r="UMK32" s="28"/>
      <c r="UML32" s="28"/>
      <c r="UMM32" s="28"/>
      <c r="UMN32" s="28"/>
      <c r="UMO32" s="28"/>
      <c r="UMP32" s="28"/>
      <c r="UMQ32" s="28"/>
      <c r="UMR32" s="28"/>
      <c r="UMS32" s="28"/>
      <c r="UMT32" s="28"/>
      <c r="UMU32" s="28"/>
      <c r="UMV32" s="28"/>
      <c r="UMW32" s="28"/>
      <c r="UMX32" s="28"/>
      <c r="UMY32" s="28"/>
      <c r="UMZ32" s="28"/>
      <c r="UNA32" s="28"/>
      <c r="UNB32" s="28"/>
      <c r="UNC32" s="28"/>
      <c r="UND32" s="28"/>
      <c r="UNE32" s="28"/>
      <c r="UNF32" s="28"/>
      <c r="UNG32" s="28"/>
      <c r="UNH32" s="28"/>
      <c r="UNI32" s="28"/>
      <c r="UNJ32" s="28"/>
      <c r="UNK32" s="28"/>
      <c r="UNL32" s="28"/>
      <c r="UNM32" s="28"/>
      <c r="UNN32" s="28"/>
      <c r="UNO32" s="28"/>
      <c r="UNP32" s="28"/>
      <c r="UNQ32" s="28"/>
      <c r="UNR32" s="28"/>
      <c r="UNS32" s="28"/>
      <c r="UNT32" s="28"/>
      <c r="UNU32" s="28"/>
      <c r="UNV32" s="28"/>
      <c r="UNW32" s="28"/>
      <c r="UNX32" s="28"/>
      <c r="UNY32" s="28"/>
      <c r="UNZ32" s="28"/>
      <c r="UOA32" s="28"/>
      <c r="UOB32" s="28"/>
      <c r="UOC32" s="28"/>
      <c r="UOD32" s="28"/>
      <c r="UOE32" s="28"/>
      <c r="UOF32" s="28"/>
      <c r="UOG32" s="28"/>
      <c r="UOH32" s="28"/>
      <c r="UOI32" s="28"/>
      <c r="UOJ32" s="28"/>
      <c r="UOK32" s="28"/>
      <c r="UOL32" s="28"/>
      <c r="UOM32" s="28"/>
      <c r="UON32" s="28"/>
      <c r="UOO32" s="28"/>
      <c r="UOP32" s="28"/>
      <c r="UOQ32" s="28"/>
      <c r="UOR32" s="28"/>
      <c r="UOS32" s="28"/>
      <c r="UOT32" s="28"/>
      <c r="UOU32" s="28"/>
      <c r="UOV32" s="28"/>
      <c r="UOW32" s="28"/>
      <c r="UOX32" s="28"/>
      <c r="UOY32" s="28"/>
      <c r="UOZ32" s="28"/>
      <c r="UPA32" s="28"/>
      <c r="UPB32" s="28"/>
      <c r="UPC32" s="28"/>
      <c r="UPD32" s="28"/>
      <c r="UPE32" s="28"/>
      <c r="UPF32" s="28"/>
      <c r="UPG32" s="28"/>
      <c r="UPH32" s="28"/>
      <c r="UPI32" s="28"/>
      <c r="UPJ32" s="28"/>
      <c r="UPK32" s="28"/>
      <c r="UPL32" s="28"/>
      <c r="UPM32" s="28"/>
      <c r="UPN32" s="28"/>
      <c r="UPO32" s="28"/>
      <c r="UPP32" s="28"/>
      <c r="UPQ32" s="28"/>
      <c r="UPR32" s="28"/>
      <c r="UPS32" s="28"/>
      <c r="UPT32" s="28"/>
      <c r="UPU32" s="28"/>
      <c r="UPV32" s="28"/>
      <c r="UPW32" s="28"/>
      <c r="UPX32" s="28"/>
      <c r="UPY32" s="28"/>
      <c r="UPZ32" s="28"/>
      <c r="UQA32" s="28"/>
      <c r="UQB32" s="28"/>
      <c r="UQC32" s="28"/>
      <c r="UQD32" s="28"/>
      <c r="UQE32" s="28"/>
      <c r="UQF32" s="28"/>
      <c r="UQG32" s="28"/>
      <c r="UQH32" s="28"/>
      <c r="UQI32" s="28"/>
      <c r="UQJ32" s="28"/>
      <c r="UQK32" s="28"/>
      <c r="UQL32" s="28"/>
      <c r="UQM32" s="28"/>
      <c r="UQN32" s="28"/>
      <c r="UQO32" s="28"/>
      <c r="UQP32" s="28"/>
      <c r="UQQ32" s="28"/>
      <c r="UQR32" s="28"/>
      <c r="UQS32" s="28"/>
      <c r="UQT32" s="28"/>
      <c r="UQU32" s="28"/>
      <c r="UQV32" s="28"/>
      <c r="UQW32" s="28"/>
      <c r="UQX32" s="28"/>
      <c r="UQY32" s="28"/>
      <c r="UQZ32" s="28"/>
      <c r="URA32" s="28"/>
      <c r="URB32" s="28"/>
      <c r="URC32" s="28"/>
      <c r="URD32" s="28"/>
      <c r="URE32" s="28"/>
      <c r="URF32" s="28"/>
      <c r="URG32" s="28"/>
      <c r="URH32" s="28"/>
      <c r="URI32" s="28"/>
      <c r="URJ32" s="28"/>
      <c r="URK32" s="28"/>
      <c r="URL32" s="28"/>
      <c r="URM32" s="28"/>
      <c r="URN32" s="28"/>
      <c r="URO32" s="28"/>
      <c r="URP32" s="28"/>
      <c r="URQ32" s="28"/>
      <c r="URR32" s="28"/>
      <c r="URS32" s="28"/>
      <c r="URT32" s="28"/>
      <c r="URU32" s="28"/>
      <c r="URV32" s="28"/>
      <c r="URW32" s="28"/>
      <c r="URX32" s="28"/>
      <c r="URY32" s="28"/>
      <c r="URZ32" s="28"/>
      <c r="USA32" s="28"/>
      <c r="USB32" s="28"/>
      <c r="USC32" s="28"/>
      <c r="USD32" s="28"/>
      <c r="USE32" s="28"/>
      <c r="USF32" s="28"/>
      <c r="USG32" s="28"/>
      <c r="USH32" s="28"/>
      <c r="USI32" s="28"/>
      <c r="USJ32" s="28"/>
      <c r="USK32" s="28"/>
      <c r="USL32" s="28"/>
      <c r="USM32" s="28"/>
      <c r="USN32" s="28"/>
      <c r="USO32" s="28"/>
      <c r="USP32" s="28"/>
      <c r="USQ32" s="28"/>
      <c r="USR32" s="28"/>
      <c r="USS32" s="28"/>
      <c r="UST32" s="28"/>
      <c r="USU32" s="28"/>
      <c r="USV32" s="28"/>
      <c r="USW32" s="28"/>
      <c r="USX32" s="28"/>
      <c r="USY32" s="28"/>
      <c r="USZ32" s="28"/>
      <c r="UTA32" s="28"/>
      <c r="UTB32" s="28"/>
      <c r="UTC32" s="28"/>
      <c r="UTD32" s="28"/>
      <c r="UTE32" s="28"/>
      <c r="UTF32" s="28"/>
      <c r="UTG32" s="28"/>
      <c r="UTH32" s="28"/>
      <c r="UTI32" s="28"/>
      <c r="UTJ32" s="28"/>
      <c r="UTK32" s="28"/>
      <c r="UTL32" s="28"/>
      <c r="UTM32" s="28"/>
      <c r="UTN32" s="28"/>
      <c r="UTO32" s="28"/>
      <c r="UTP32" s="28"/>
      <c r="UTQ32" s="28"/>
      <c r="UTR32" s="28"/>
      <c r="UTS32" s="28"/>
      <c r="UTT32" s="28"/>
      <c r="UTU32" s="28"/>
      <c r="UTV32" s="28"/>
      <c r="UTW32" s="28"/>
      <c r="UTX32" s="28"/>
      <c r="UTY32" s="28"/>
      <c r="UTZ32" s="28"/>
      <c r="UUA32" s="28"/>
      <c r="UUB32" s="28"/>
      <c r="UUC32" s="28"/>
      <c r="UUD32" s="28"/>
      <c r="UUE32" s="28"/>
      <c r="UUF32" s="28"/>
      <c r="UUG32" s="28"/>
      <c r="UUH32" s="28"/>
      <c r="UUI32" s="28"/>
      <c r="UUJ32" s="28"/>
      <c r="UUK32" s="28"/>
      <c r="UUL32" s="28"/>
      <c r="UUM32" s="28"/>
      <c r="UUN32" s="28"/>
      <c r="UUO32" s="28"/>
      <c r="UUP32" s="28"/>
      <c r="UUQ32" s="28"/>
      <c r="UUR32" s="28"/>
      <c r="UUS32" s="28"/>
      <c r="UUT32" s="28"/>
      <c r="UUU32" s="28"/>
      <c r="UUV32" s="28"/>
      <c r="UUW32" s="28"/>
      <c r="UUX32" s="28"/>
      <c r="UUY32" s="28"/>
      <c r="UUZ32" s="28"/>
      <c r="UVA32" s="28"/>
      <c r="UVB32" s="28"/>
      <c r="UVC32" s="28"/>
      <c r="UVD32" s="28"/>
      <c r="UVE32" s="28"/>
      <c r="UVF32" s="28"/>
      <c r="UVG32" s="28"/>
      <c r="UVH32" s="28"/>
      <c r="UVI32" s="28"/>
      <c r="UVJ32" s="28"/>
      <c r="UVK32" s="28"/>
      <c r="UVL32" s="28"/>
      <c r="UVM32" s="28"/>
      <c r="UVN32" s="28"/>
      <c r="UVO32" s="28"/>
      <c r="UVP32" s="28"/>
      <c r="UVQ32" s="28"/>
      <c r="UVR32" s="28"/>
      <c r="UVS32" s="28"/>
      <c r="UVT32" s="28"/>
      <c r="UVU32" s="28"/>
      <c r="UVV32" s="28"/>
      <c r="UVW32" s="28"/>
      <c r="UVX32" s="28"/>
      <c r="UVY32" s="28"/>
      <c r="UVZ32" s="28"/>
      <c r="UWA32" s="28"/>
      <c r="UWB32" s="28"/>
      <c r="UWC32" s="28"/>
      <c r="UWD32" s="28"/>
      <c r="UWE32" s="28"/>
      <c r="UWF32" s="28"/>
      <c r="UWG32" s="28"/>
      <c r="UWH32" s="28"/>
      <c r="UWI32" s="28"/>
      <c r="UWJ32" s="28"/>
      <c r="UWK32" s="28"/>
      <c r="UWL32" s="28"/>
      <c r="UWM32" s="28"/>
      <c r="UWN32" s="28"/>
      <c r="UWO32" s="28"/>
      <c r="UWP32" s="28"/>
      <c r="UWQ32" s="28"/>
      <c r="UWR32" s="28"/>
      <c r="UWS32" s="28"/>
      <c r="UWT32" s="28"/>
      <c r="UWU32" s="28"/>
      <c r="UWV32" s="28"/>
      <c r="UWW32" s="28"/>
      <c r="UWX32" s="28"/>
      <c r="UWY32" s="28"/>
      <c r="UWZ32" s="28"/>
      <c r="UXA32" s="28"/>
      <c r="UXB32" s="28"/>
      <c r="UXC32" s="28"/>
      <c r="UXD32" s="28"/>
      <c r="UXE32" s="28"/>
      <c r="UXF32" s="28"/>
      <c r="UXG32" s="28"/>
      <c r="UXH32" s="28"/>
      <c r="UXI32" s="28"/>
      <c r="UXJ32" s="28"/>
      <c r="UXK32" s="28"/>
      <c r="UXL32" s="28"/>
      <c r="UXM32" s="28"/>
      <c r="UXN32" s="28"/>
      <c r="UXO32" s="28"/>
      <c r="UXP32" s="28"/>
      <c r="UXQ32" s="28"/>
      <c r="UXR32" s="28"/>
      <c r="UXS32" s="28"/>
      <c r="UXT32" s="28"/>
      <c r="UXU32" s="28"/>
      <c r="UXV32" s="28"/>
      <c r="UXW32" s="28"/>
      <c r="UXX32" s="28"/>
      <c r="UXY32" s="28"/>
      <c r="UXZ32" s="28"/>
      <c r="UYA32" s="28"/>
      <c r="UYB32" s="28"/>
      <c r="UYC32" s="28"/>
      <c r="UYD32" s="28"/>
      <c r="UYE32" s="28"/>
      <c r="UYF32" s="28"/>
      <c r="UYG32" s="28"/>
      <c r="UYH32" s="28"/>
      <c r="UYI32" s="28"/>
      <c r="UYJ32" s="28"/>
      <c r="UYK32" s="28"/>
      <c r="UYL32" s="28"/>
      <c r="UYM32" s="28"/>
      <c r="UYN32" s="28"/>
      <c r="UYO32" s="28"/>
      <c r="UYP32" s="28"/>
      <c r="UYQ32" s="28"/>
      <c r="UYR32" s="28"/>
      <c r="UYS32" s="28"/>
      <c r="UYT32" s="28"/>
      <c r="UYU32" s="28"/>
      <c r="UYV32" s="28"/>
      <c r="UYW32" s="28"/>
      <c r="UYX32" s="28"/>
      <c r="UYY32" s="28"/>
      <c r="UYZ32" s="28"/>
      <c r="UZA32" s="28"/>
      <c r="UZB32" s="28"/>
      <c r="UZC32" s="28"/>
      <c r="UZD32" s="28"/>
      <c r="UZE32" s="28"/>
      <c r="UZF32" s="28"/>
      <c r="UZG32" s="28"/>
      <c r="UZH32" s="28"/>
      <c r="UZI32" s="28"/>
      <c r="UZJ32" s="28"/>
      <c r="UZK32" s="28"/>
      <c r="UZL32" s="28"/>
      <c r="UZM32" s="28"/>
      <c r="UZN32" s="28"/>
      <c r="UZO32" s="28"/>
      <c r="UZP32" s="28"/>
      <c r="UZQ32" s="28"/>
      <c r="UZR32" s="28"/>
      <c r="UZS32" s="28"/>
      <c r="UZT32" s="28"/>
      <c r="UZU32" s="28"/>
      <c r="UZV32" s="28"/>
      <c r="UZW32" s="28"/>
      <c r="UZX32" s="28"/>
      <c r="UZY32" s="28"/>
      <c r="UZZ32" s="28"/>
      <c r="VAA32" s="28"/>
      <c r="VAB32" s="28"/>
      <c r="VAC32" s="28"/>
      <c r="VAD32" s="28"/>
      <c r="VAE32" s="28"/>
      <c r="VAF32" s="28"/>
      <c r="VAG32" s="28"/>
      <c r="VAH32" s="28"/>
      <c r="VAI32" s="28"/>
      <c r="VAJ32" s="28"/>
      <c r="VAK32" s="28"/>
      <c r="VAL32" s="28"/>
      <c r="VAM32" s="28"/>
      <c r="VAN32" s="28"/>
      <c r="VAO32" s="28"/>
      <c r="VAP32" s="28"/>
      <c r="VAQ32" s="28"/>
      <c r="VAR32" s="28"/>
      <c r="VAS32" s="28"/>
      <c r="VAT32" s="28"/>
      <c r="VAU32" s="28"/>
      <c r="VAV32" s="28"/>
      <c r="VAW32" s="28"/>
      <c r="VAX32" s="28"/>
      <c r="VAY32" s="28"/>
      <c r="VAZ32" s="28"/>
      <c r="VBA32" s="28"/>
      <c r="VBB32" s="28"/>
      <c r="VBC32" s="28"/>
      <c r="VBD32" s="28"/>
      <c r="VBE32" s="28"/>
      <c r="VBF32" s="28"/>
      <c r="VBG32" s="28"/>
      <c r="VBH32" s="28"/>
      <c r="VBI32" s="28"/>
      <c r="VBJ32" s="28"/>
      <c r="VBK32" s="28"/>
      <c r="VBL32" s="28"/>
      <c r="VBM32" s="28"/>
      <c r="VBN32" s="28"/>
      <c r="VBO32" s="28"/>
      <c r="VBP32" s="28"/>
      <c r="VBQ32" s="28"/>
      <c r="VBR32" s="28"/>
      <c r="VBS32" s="28"/>
      <c r="VBT32" s="28"/>
      <c r="VBU32" s="28"/>
      <c r="VBV32" s="28"/>
      <c r="VBW32" s="28"/>
      <c r="VBX32" s="28"/>
      <c r="VBY32" s="28"/>
      <c r="VBZ32" s="28"/>
      <c r="VCA32" s="28"/>
      <c r="VCB32" s="28"/>
      <c r="VCC32" s="28"/>
      <c r="VCD32" s="28"/>
      <c r="VCE32" s="28"/>
      <c r="VCF32" s="28"/>
      <c r="VCG32" s="28"/>
      <c r="VCH32" s="28"/>
      <c r="VCI32" s="28"/>
      <c r="VCJ32" s="28"/>
      <c r="VCK32" s="28"/>
      <c r="VCL32" s="28"/>
      <c r="VCM32" s="28"/>
      <c r="VCN32" s="28"/>
      <c r="VCO32" s="28"/>
      <c r="VCP32" s="28"/>
      <c r="VCQ32" s="28"/>
      <c r="VCR32" s="28"/>
      <c r="VCS32" s="28"/>
      <c r="VCT32" s="28"/>
      <c r="VCU32" s="28"/>
      <c r="VCV32" s="28"/>
      <c r="VCW32" s="28"/>
      <c r="VCX32" s="28"/>
      <c r="VCY32" s="28"/>
      <c r="VCZ32" s="28"/>
      <c r="VDA32" s="28"/>
      <c r="VDB32" s="28"/>
      <c r="VDC32" s="28"/>
      <c r="VDD32" s="28"/>
      <c r="VDE32" s="28"/>
      <c r="VDF32" s="28"/>
      <c r="VDG32" s="28"/>
      <c r="VDH32" s="28"/>
      <c r="VDI32" s="28"/>
      <c r="VDJ32" s="28"/>
      <c r="VDK32" s="28"/>
      <c r="VDL32" s="28"/>
      <c r="VDM32" s="28"/>
      <c r="VDN32" s="28"/>
      <c r="VDO32" s="28"/>
      <c r="VDP32" s="28"/>
      <c r="VDQ32" s="28"/>
      <c r="VDR32" s="28"/>
      <c r="VDS32" s="28"/>
      <c r="VDT32" s="28"/>
      <c r="VDU32" s="28"/>
      <c r="VDV32" s="28"/>
      <c r="VDW32" s="28"/>
      <c r="VDX32" s="28"/>
      <c r="VDY32" s="28"/>
      <c r="VDZ32" s="28"/>
      <c r="VEA32" s="28"/>
      <c r="VEB32" s="28"/>
      <c r="VEC32" s="28"/>
      <c r="VED32" s="28"/>
      <c r="VEE32" s="28"/>
      <c r="VEF32" s="28"/>
      <c r="VEG32" s="28"/>
      <c r="VEH32" s="28"/>
      <c r="VEI32" s="28"/>
      <c r="VEJ32" s="28"/>
      <c r="VEK32" s="28"/>
      <c r="VEL32" s="28"/>
      <c r="VEM32" s="28"/>
      <c r="VEN32" s="28"/>
      <c r="VEO32" s="28"/>
      <c r="VEP32" s="28"/>
      <c r="VEQ32" s="28"/>
      <c r="VER32" s="28"/>
      <c r="VES32" s="28"/>
      <c r="VET32" s="28"/>
      <c r="VEU32" s="28"/>
      <c r="VEV32" s="28"/>
      <c r="VEW32" s="28"/>
      <c r="VEX32" s="28"/>
      <c r="VEY32" s="28"/>
      <c r="VEZ32" s="28"/>
      <c r="VFA32" s="28"/>
      <c r="VFB32" s="28"/>
      <c r="VFC32" s="28"/>
      <c r="VFD32" s="28"/>
      <c r="VFE32" s="28"/>
      <c r="VFF32" s="28"/>
      <c r="VFG32" s="28"/>
      <c r="VFH32" s="28"/>
      <c r="VFI32" s="28"/>
      <c r="VFJ32" s="28"/>
      <c r="VFK32" s="28"/>
      <c r="VFL32" s="28"/>
      <c r="VFM32" s="28"/>
      <c r="VFN32" s="28"/>
      <c r="VFO32" s="28"/>
      <c r="VFP32" s="28"/>
      <c r="VFQ32" s="28"/>
      <c r="VFR32" s="28"/>
      <c r="VFS32" s="28"/>
      <c r="VFT32" s="28"/>
      <c r="VFU32" s="28"/>
      <c r="VFV32" s="28"/>
      <c r="VFW32" s="28"/>
      <c r="VFX32" s="28"/>
      <c r="VFY32" s="28"/>
      <c r="VFZ32" s="28"/>
      <c r="VGA32" s="28"/>
      <c r="VGB32" s="28"/>
      <c r="VGC32" s="28"/>
      <c r="VGD32" s="28"/>
      <c r="VGE32" s="28"/>
      <c r="VGF32" s="28"/>
      <c r="VGG32" s="28"/>
      <c r="VGH32" s="28"/>
      <c r="VGI32" s="28"/>
      <c r="VGJ32" s="28"/>
      <c r="VGK32" s="28"/>
      <c r="VGL32" s="28"/>
      <c r="VGM32" s="28"/>
      <c r="VGN32" s="28"/>
      <c r="VGO32" s="28"/>
      <c r="VGP32" s="28"/>
      <c r="VGQ32" s="28"/>
      <c r="VGR32" s="28"/>
      <c r="VGS32" s="28"/>
      <c r="VGT32" s="28"/>
      <c r="VGU32" s="28"/>
      <c r="VGV32" s="28"/>
      <c r="VGW32" s="28"/>
      <c r="VGX32" s="28"/>
      <c r="VGY32" s="28"/>
      <c r="VGZ32" s="28"/>
      <c r="VHA32" s="28"/>
      <c r="VHB32" s="28"/>
      <c r="VHC32" s="28"/>
      <c r="VHD32" s="28"/>
      <c r="VHE32" s="28"/>
      <c r="VHF32" s="28"/>
      <c r="VHG32" s="28"/>
      <c r="VHH32" s="28"/>
      <c r="VHI32" s="28"/>
      <c r="VHJ32" s="28"/>
      <c r="VHK32" s="28"/>
      <c r="VHL32" s="28"/>
      <c r="VHM32" s="28"/>
      <c r="VHN32" s="28"/>
      <c r="VHO32" s="28"/>
      <c r="VHP32" s="28"/>
      <c r="VHQ32" s="28"/>
      <c r="VHR32" s="28"/>
      <c r="VHS32" s="28"/>
      <c r="VHT32" s="28"/>
      <c r="VHU32" s="28"/>
      <c r="VHV32" s="28"/>
      <c r="VHW32" s="28"/>
      <c r="VHX32" s="28"/>
      <c r="VHY32" s="28"/>
      <c r="VHZ32" s="28"/>
      <c r="VIA32" s="28"/>
      <c r="VIB32" s="28"/>
      <c r="VIC32" s="28"/>
      <c r="VID32" s="28"/>
      <c r="VIE32" s="28"/>
      <c r="VIF32" s="28"/>
      <c r="VIG32" s="28"/>
      <c r="VIH32" s="28"/>
      <c r="VII32" s="28"/>
      <c r="VIJ32" s="28"/>
      <c r="VIK32" s="28"/>
      <c r="VIL32" s="28"/>
      <c r="VIM32" s="28"/>
      <c r="VIN32" s="28"/>
      <c r="VIO32" s="28"/>
      <c r="VIP32" s="28"/>
      <c r="VIQ32" s="28"/>
      <c r="VIR32" s="28"/>
      <c r="VIS32" s="28"/>
      <c r="VIT32" s="28"/>
      <c r="VIU32" s="28"/>
      <c r="VIV32" s="28"/>
      <c r="VIW32" s="28"/>
      <c r="VIX32" s="28"/>
      <c r="VIY32" s="28"/>
      <c r="VIZ32" s="28"/>
      <c r="VJA32" s="28"/>
      <c r="VJB32" s="28"/>
      <c r="VJC32" s="28"/>
      <c r="VJD32" s="28"/>
      <c r="VJE32" s="28"/>
      <c r="VJF32" s="28"/>
      <c r="VJG32" s="28"/>
      <c r="VJH32" s="28"/>
      <c r="VJI32" s="28"/>
      <c r="VJJ32" s="28"/>
      <c r="VJK32" s="28"/>
      <c r="VJL32" s="28"/>
      <c r="VJM32" s="28"/>
      <c r="VJN32" s="28"/>
      <c r="VJO32" s="28"/>
      <c r="VJP32" s="28"/>
      <c r="VJQ32" s="28"/>
      <c r="VJR32" s="28"/>
      <c r="VJS32" s="28"/>
      <c r="VJT32" s="28"/>
      <c r="VJU32" s="28"/>
      <c r="VJV32" s="28"/>
      <c r="VJW32" s="28"/>
      <c r="VJX32" s="28"/>
      <c r="VJY32" s="28"/>
      <c r="VJZ32" s="28"/>
      <c r="VKA32" s="28"/>
      <c r="VKB32" s="28"/>
      <c r="VKC32" s="28"/>
      <c r="VKD32" s="28"/>
      <c r="VKE32" s="28"/>
      <c r="VKF32" s="28"/>
      <c r="VKG32" s="28"/>
      <c r="VKH32" s="28"/>
      <c r="VKI32" s="28"/>
      <c r="VKJ32" s="28"/>
      <c r="VKK32" s="28"/>
      <c r="VKL32" s="28"/>
      <c r="VKM32" s="28"/>
      <c r="VKN32" s="28"/>
      <c r="VKO32" s="28"/>
      <c r="VKP32" s="28"/>
      <c r="VKQ32" s="28"/>
      <c r="VKR32" s="28"/>
      <c r="VKS32" s="28"/>
      <c r="VKT32" s="28"/>
      <c r="VKU32" s="28"/>
      <c r="VKV32" s="28"/>
      <c r="VKW32" s="28"/>
      <c r="VKX32" s="28"/>
      <c r="VKY32" s="28"/>
      <c r="VKZ32" s="28"/>
      <c r="VLA32" s="28"/>
      <c r="VLB32" s="28"/>
      <c r="VLC32" s="28"/>
      <c r="VLD32" s="28"/>
      <c r="VLE32" s="28"/>
      <c r="VLF32" s="28"/>
      <c r="VLG32" s="28"/>
      <c r="VLH32" s="28"/>
      <c r="VLI32" s="28"/>
      <c r="VLJ32" s="28"/>
      <c r="VLK32" s="28"/>
      <c r="VLL32" s="28"/>
      <c r="VLM32" s="28"/>
      <c r="VLN32" s="28"/>
      <c r="VLO32" s="28"/>
      <c r="VLP32" s="28"/>
      <c r="VLQ32" s="28"/>
      <c r="VLR32" s="28"/>
      <c r="VLS32" s="28"/>
      <c r="VLT32" s="28"/>
      <c r="VLU32" s="28"/>
      <c r="VLV32" s="28"/>
      <c r="VLW32" s="28"/>
      <c r="VLX32" s="28"/>
      <c r="VLY32" s="28"/>
      <c r="VLZ32" s="28"/>
      <c r="VMA32" s="28"/>
      <c r="VMB32" s="28"/>
      <c r="VMC32" s="28"/>
      <c r="VMD32" s="28"/>
      <c r="VME32" s="28"/>
      <c r="VMF32" s="28"/>
      <c r="VMG32" s="28"/>
      <c r="VMH32" s="28"/>
      <c r="VMI32" s="28"/>
      <c r="VMJ32" s="28"/>
      <c r="VMK32" s="28"/>
      <c r="VML32" s="28"/>
      <c r="VMM32" s="28"/>
      <c r="VMN32" s="28"/>
      <c r="VMO32" s="28"/>
      <c r="VMP32" s="28"/>
      <c r="VMQ32" s="28"/>
      <c r="VMR32" s="28"/>
      <c r="VMS32" s="28"/>
      <c r="VMT32" s="28"/>
      <c r="VMU32" s="28"/>
      <c r="VMV32" s="28"/>
      <c r="VMW32" s="28"/>
      <c r="VMX32" s="28"/>
      <c r="VMY32" s="28"/>
      <c r="VMZ32" s="28"/>
      <c r="VNA32" s="28"/>
      <c r="VNB32" s="28"/>
      <c r="VNC32" s="28"/>
      <c r="VND32" s="28"/>
      <c r="VNE32" s="28"/>
      <c r="VNF32" s="28"/>
      <c r="VNG32" s="28"/>
      <c r="VNH32" s="28"/>
      <c r="VNI32" s="28"/>
      <c r="VNJ32" s="28"/>
      <c r="VNK32" s="28"/>
      <c r="VNL32" s="28"/>
      <c r="VNM32" s="28"/>
      <c r="VNN32" s="28"/>
      <c r="VNO32" s="28"/>
      <c r="VNP32" s="28"/>
      <c r="VNQ32" s="28"/>
      <c r="VNR32" s="28"/>
      <c r="VNS32" s="28"/>
      <c r="VNT32" s="28"/>
      <c r="VNU32" s="28"/>
      <c r="VNV32" s="28"/>
      <c r="VNW32" s="28"/>
      <c r="VNX32" s="28"/>
      <c r="VNY32" s="28"/>
      <c r="VNZ32" s="28"/>
      <c r="VOA32" s="28"/>
      <c r="VOB32" s="28"/>
      <c r="VOC32" s="28"/>
      <c r="VOD32" s="28"/>
      <c r="VOE32" s="28"/>
      <c r="VOF32" s="28"/>
      <c r="VOG32" s="28"/>
      <c r="VOH32" s="28"/>
      <c r="VOI32" s="28"/>
      <c r="VOJ32" s="28"/>
      <c r="VOK32" s="28"/>
      <c r="VOL32" s="28"/>
      <c r="VOM32" s="28"/>
      <c r="VON32" s="28"/>
      <c r="VOO32" s="28"/>
      <c r="VOP32" s="28"/>
      <c r="VOQ32" s="28"/>
      <c r="VOR32" s="28"/>
      <c r="VOS32" s="28"/>
      <c r="VOT32" s="28"/>
      <c r="VOU32" s="28"/>
      <c r="VOV32" s="28"/>
      <c r="VOW32" s="28"/>
      <c r="VOX32" s="28"/>
      <c r="VOY32" s="28"/>
      <c r="VOZ32" s="28"/>
      <c r="VPA32" s="28"/>
      <c r="VPB32" s="28"/>
      <c r="VPC32" s="28"/>
      <c r="VPD32" s="28"/>
      <c r="VPE32" s="28"/>
      <c r="VPF32" s="28"/>
      <c r="VPG32" s="28"/>
      <c r="VPH32" s="28"/>
      <c r="VPI32" s="28"/>
      <c r="VPJ32" s="28"/>
      <c r="VPK32" s="28"/>
      <c r="VPL32" s="28"/>
      <c r="VPM32" s="28"/>
      <c r="VPN32" s="28"/>
      <c r="VPO32" s="28"/>
      <c r="VPP32" s="28"/>
      <c r="VPQ32" s="28"/>
      <c r="VPR32" s="28"/>
      <c r="VPS32" s="28"/>
      <c r="VPT32" s="28"/>
      <c r="VPU32" s="28"/>
      <c r="VPV32" s="28"/>
      <c r="VPW32" s="28"/>
      <c r="VPX32" s="28"/>
      <c r="VPY32" s="28"/>
      <c r="VPZ32" s="28"/>
      <c r="VQA32" s="28"/>
      <c r="VQB32" s="28"/>
      <c r="VQC32" s="28"/>
      <c r="VQD32" s="28"/>
      <c r="VQE32" s="28"/>
      <c r="VQF32" s="28"/>
      <c r="VQG32" s="28"/>
      <c r="VQH32" s="28"/>
      <c r="VQI32" s="28"/>
      <c r="VQJ32" s="28"/>
      <c r="VQK32" s="28"/>
      <c r="VQL32" s="28"/>
      <c r="VQM32" s="28"/>
      <c r="VQN32" s="28"/>
      <c r="VQO32" s="28"/>
      <c r="VQP32" s="28"/>
      <c r="VQQ32" s="28"/>
      <c r="VQR32" s="28"/>
      <c r="VQS32" s="28"/>
      <c r="VQT32" s="28"/>
      <c r="VQU32" s="28"/>
      <c r="VQV32" s="28"/>
      <c r="VQW32" s="28"/>
      <c r="VQX32" s="28"/>
      <c r="VQY32" s="28"/>
      <c r="VQZ32" s="28"/>
      <c r="VRA32" s="28"/>
      <c r="VRB32" s="28"/>
      <c r="VRC32" s="28"/>
      <c r="VRD32" s="28"/>
      <c r="VRE32" s="28"/>
      <c r="VRF32" s="28"/>
      <c r="VRG32" s="28"/>
      <c r="VRH32" s="28"/>
      <c r="VRI32" s="28"/>
      <c r="VRJ32" s="28"/>
      <c r="VRK32" s="28"/>
      <c r="VRL32" s="28"/>
      <c r="VRM32" s="28"/>
      <c r="VRN32" s="28"/>
      <c r="VRO32" s="28"/>
      <c r="VRP32" s="28"/>
      <c r="VRQ32" s="28"/>
      <c r="VRR32" s="28"/>
      <c r="VRS32" s="28"/>
      <c r="VRT32" s="28"/>
      <c r="VRU32" s="28"/>
      <c r="VRV32" s="28"/>
      <c r="VRW32" s="28"/>
      <c r="VRX32" s="28"/>
      <c r="VRY32" s="28"/>
      <c r="VRZ32" s="28"/>
      <c r="VSA32" s="28"/>
      <c r="VSB32" s="28"/>
      <c r="VSC32" s="28"/>
      <c r="VSD32" s="28"/>
      <c r="VSE32" s="28"/>
      <c r="VSF32" s="28"/>
      <c r="VSG32" s="28"/>
      <c r="VSH32" s="28"/>
      <c r="VSI32" s="28"/>
      <c r="VSJ32" s="28"/>
      <c r="VSK32" s="28"/>
      <c r="VSL32" s="28"/>
      <c r="VSM32" s="28"/>
      <c r="VSN32" s="28"/>
      <c r="VSO32" s="28"/>
      <c r="VSP32" s="28"/>
      <c r="VSQ32" s="28"/>
      <c r="VSR32" s="28"/>
      <c r="VSS32" s="28"/>
      <c r="VST32" s="28"/>
      <c r="VSU32" s="28"/>
      <c r="VSV32" s="28"/>
      <c r="VSW32" s="28"/>
      <c r="VSX32" s="28"/>
      <c r="VSY32" s="28"/>
      <c r="VSZ32" s="28"/>
      <c r="VTA32" s="28"/>
      <c r="VTB32" s="28"/>
      <c r="VTC32" s="28"/>
      <c r="VTD32" s="28"/>
      <c r="VTE32" s="28"/>
      <c r="VTF32" s="28"/>
      <c r="VTG32" s="28"/>
      <c r="VTH32" s="28"/>
      <c r="VTI32" s="28"/>
      <c r="VTJ32" s="28"/>
      <c r="VTK32" s="28"/>
      <c r="VTL32" s="28"/>
      <c r="VTM32" s="28"/>
      <c r="VTN32" s="28"/>
      <c r="VTO32" s="28"/>
      <c r="VTP32" s="28"/>
      <c r="VTQ32" s="28"/>
      <c r="VTR32" s="28"/>
      <c r="VTS32" s="28"/>
      <c r="VTT32" s="28"/>
      <c r="VTU32" s="28"/>
      <c r="VTV32" s="28"/>
      <c r="VTW32" s="28"/>
      <c r="VTX32" s="28"/>
      <c r="VTY32" s="28"/>
      <c r="VTZ32" s="28"/>
      <c r="VUA32" s="28"/>
      <c r="VUB32" s="28"/>
      <c r="VUC32" s="28"/>
      <c r="VUD32" s="28"/>
      <c r="VUE32" s="28"/>
      <c r="VUF32" s="28"/>
      <c r="VUG32" s="28"/>
      <c r="VUH32" s="28"/>
      <c r="VUI32" s="28"/>
      <c r="VUJ32" s="28"/>
      <c r="VUK32" s="28"/>
      <c r="VUL32" s="28"/>
      <c r="VUM32" s="28"/>
      <c r="VUN32" s="28"/>
      <c r="VUO32" s="28"/>
      <c r="VUP32" s="28"/>
      <c r="VUQ32" s="28"/>
      <c r="VUR32" s="28"/>
      <c r="VUS32" s="28"/>
      <c r="VUT32" s="28"/>
      <c r="VUU32" s="28"/>
      <c r="VUV32" s="28"/>
      <c r="VUW32" s="28"/>
      <c r="VUX32" s="28"/>
      <c r="VUY32" s="28"/>
      <c r="VUZ32" s="28"/>
      <c r="VVA32" s="28"/>
      <c r="VVB32" s="28"/>
      <c r="VVC32" s="28"/>
      <c r="VVD32" s="28"/>
      <c r="VVE32" s="28"/>
      <c r="VVF32" s="28"/>
      <c r="VVG32" s="28"/>
      <c r="VVH32" s="28"/>
      <c r="VVI32" s="28"/>
      <c r="VVJ32" s="28"/>
      <c r="VVK32" s="28"/>
      <c r="VVL32" s="28"/>
      <c r="VVM32" s="28"/>
      <c r="VVN32" s="28"/>
      <c r="VVO32" s="28"/>
      <c r="VVP32" s="28"/>
      <c r="VVQ32" s="28"/>
      <c r="VVR32" s="28"/>
      <c r="VVS32" s="28"/>
      <c r="VVT32" s="28"/>
      <c r="VVU32" s="28"/>
      <c r="VVV32" s="28"/>
      <c r="VVW32" s="28"/>
      <c r="VVX32" s="28"/>
      <c r="VVY32" s="28"/>
      <c r="VVZ32" s="28"/>
      <c r="VWA32" s="28"/>
      <c r="VWB32" s="28"/>
      <c r="VWC32" s="28"/>
      <c r="VWD32" s="28"/>
      <c r="VWE32" s="28"/>
      <c r="VWF32" s="28"/>
      <c r="VWG32" s="28"/>
      <c r="VWH32" s="28"/>
      <c r="VWI32" s="28"/>
      <c r="VWJ32" s="28"/>
      <c r="VWK32" s="28"/>
      <c r="VWL32" s="28"/>
      <c r="VWM32" s="28"/>
      <c r="VWN32" s="28"/>
      <c r="VWO32" s="28"/>
      <c r="VWP32" s="28"/>
      <c r="VWQ32" s="28"/>
      <c r="VWR32" s="28"/>
      <c r="VWS32" s="28"/>
      <c r="VWT32" s="28"/>
      <c r="VWU32" s="28"/>
      <c r="VWV32" s="28"/>
      <c r="VWW32" s="28"/>
      <c r="VWX32" s="28"/>
      <c r="VWY32" s="28"/>
      <c r="VWZ32" s="28"/>
      <c r="VXA32" s="28"/>
      <c r="VXB32" s="28"/>
      <c r="VXC32" s="28"/>
      <c r="VXD32" s="28"/>
      <c r="VXE32" s="28"/>
      <c r="VXF32" s="28"/>
      <c r="VXG32" s="28"/>
      <c r="VXH32" s="28"/>
      <c r="VXI32" s="28"/>
      <c r="VXJ32" s="28"/>
      <c r="VXK32" s="28"/>
      <c r="VXL32" s="28"/>
      <c r="VXM32" s="28"/>
      <c r="VXN32" s="28"/>
      <c r="VXO32" s="28"/>
      <c r="VXP32" s="28"/>
      <c r="VXQ32" s="28"/>
      <c r="VXR32" s="28"/>
      <c r="VXS32" s="28"/>
      <c r="VXT32" s="28"/>
      <c r="VXU32" s="28"/>
      <c r="VXV32" s="28"/>
      <c r="VXW32" s="28"/>
      <c r="VXX32" s="28"/>
      <c r="VXY32" s="28"/>
      <c r="VXZ32" s="28"/>
      <c r="VYA32" s="28"/>
      <c r="VYB32" s="28"/>
      <c r="VYC32" s="28"/>
      <c r="VYD32" s="28"/>
      <c r="VYE32" s="28"/>
      <c r="VYF32" s="28"/>
      <c r="VYG32" s="28"/>
      <c r="VYH32" s="28"/>
      <c r="VYI32" s="28"/>
      <c r="VYJ32" s="28"/>
      <c r="VYK32" s="28"/>
      <c r="VYL32" s="28"/>
      <c r="VYM32" s="28"/>
      <c r="VYN32" s="28"/>
      <c r="VYO32" s="28"/>
      <c r="VYP32" s="28"/>
      <c r="VYQ32" s="28"/>
      <c r="VYR32" s="28"/>
      <c r="VYS32" s="28"/>
      <c r="VYT32" s="28"/>
      <c r="VYU32" s="28"/>
      <c r="VYV32" s="28"/>
      <c r="VYW32" s="28"/>
      <c r="VYX32" s="28"/>
      <c r="VYY32" s="28"/>
      <c r="VYZ32" s="28"/>
      <c r="VZA32" s="28"/>
      <c r="VZB32" s="28"/>
      <c r="VZC32" s="28"/>
      <c r="VZD32" s="28"/>
      <c r="VZE32" s="28"/>
      <c r="VZF32" s="28"/>
      <c r="VZG32" s="28"/>
      <c r="VZH32" s="28"/>
      <c r="VZI32" s="28"/>
      <c r="VZJ32" s="28"/>
      <c r="VZK32" s="28"/>
      <c r="VZL32" s="28"/>
      <c r="VZM32" s="28"/>
      <c r="VZN32" s="28"/>
      <c r="VZO32" s="28"/>
      <c r="VZP32" s="28"/>
      <c r="VZQ32" s="28"/>
      <c r="VZR32" s="28"/>
      <c r="VZS32" s="28"/>
      <c r="VZT32" s="28"/>
      <c r="VZU32" s="28"/>
      <c r="VZV32" s="28"/>
      <c r="VZW32" s="28"/>
      <c r="VZX32" s="28"/>
      <c r="VZY32" s="28"/>
      <c r="VZZ32" s="28"/>
      <c r="WAA32" s="28"/>
      <c r="WAB32" s="28"/>
      <c r="WAC32" s="28"/>
      <c r="WAD32" s="28"/>
      <c r="WAE32" s="28"/>
      <c r="WAF32" s="28"/>
      <c r="WAG32" s="28"/>
      <c r="WAH32" s="28"/>
      <c r="WAI32" s="28"/>
      <c r="WAJ32" s="28"/>
      <c r="WAK32" s="28"/>
      <c r="WAL32" s="28"/>
      <c r="WAM32" s="28"/>
      <c r="WAN32" s="28"/>
      <c r="WAO32" s="28"/>
      <c r="WAP32" s="28"/>
      <c r="WAQ32" s="28"/>
      <c r="WAR32" s="28"/>
      <c r="WAS32" s="28"/>
      <c r="WAT32" s="28"/>
      <c r="WAU32" s="28"/>
      <c r="WAV32" s="28"/>
      <c r="WAW32" s="28"/>
      <c r="WAX32" s="28"/>
      <c r="WAY32" s="28"/>
      <c r="WAZ32" s="28"/>
      <c r="WBA32" s="28"/>
      <c r="WBB32" s="28"/>
      <c r="WBC32" s="28"/>
      <c r="WBD32" s="28"/>
      <c r="WBE32" s="28"/>
      <c r="WBF32" s="28"/>
      <c r="WBG32" s="28"/>
      <c r="WBH32" s="28"/>
      <c r="WBI32" s="28"/>
      <c r="WBJ32" s="28"/>
      <c r="WBK32" s="28"/>
      <c r="WBL32" s="28"/>
      <c r="WBM32" s="28"/>
      <c r="WBN32" s="28"/>
      <c r="WBO32" s="28"/>
      <c r="WBP32" s="28"/>
      <c r="WBQ32" s="28"/>
      <c r="WBR32" s="28"/>
      <c r="WBS32" s="28"/>
      <c r="WBT32" s="28"/>
      <c r="WBU32" s="28"/>
      <c r="WBV32" s="28"/>
      <c r="WBW32" s="28"/>
      <c r="WBX32" s="28"/>
      <c r="WBY32" s="28"/>
      <c r="WBZ32" s="28"/>
      <c r="WCA32" s="28"/>
      <c r="WCB32" s="28"/>
      <c r="WCC32" s="28"/>
      <c r="WCD32" s="28"/>
      <c r="WCE32" s="28"/>
      <c r="WCF32" s="28"/>
      <c r="WCG32" s="28"/>
      <c r="WCH32" s="28"/>
      <c r="WCI32" s="28"/>
      <c r="WCJ32" s="28"/>
      <c r="WCK32" s="28"/>
      <c r="WCL32" s="28"/>
      <c r="WCM32" s="28"/>
      <c r="WCN32" s="28"/>
      <c r="WCO32" s="28"/>
      <c r="WCP32" s="28"/>
      <c r="WCQ32" s="28"/>
      <c r="WCR32" s="28"/>
      <c r="WCS32" s="28"/>
      <c r="WCT32" s="28"/>
      <c r="WCU32" s="28"/>
      <c r="WCV32" s="28"/>
      <c r="WCW32" s="28"/>
      <c r="WCX32" s="28"/>
      <c r="WCY32" s="28"/>
      <c r="WCZ32" s="28"/>
      <c r="WDA32" s="28"/>
      <c r="WDB32" s="28"/>
      <c r="WDC32" s="28"/>
      <c r="WDD32" s="28"/>
      <c r="WDE32" s="28"/>
      <c r="WDF32" s="28"/>
      <c r="WDG32" s="28"/>
      <c r="WDH32" s="28"/>
      <c r="WDI32" s="28"/>
      <c r="WDJ32" s="28"/>
      <c r="WDK32" s="28"/>
      <c r="WDL32" s="28"/>
      <c r="WDM32" s="28"/>
      <c r="WDN32" s="28"/>
      <c r="WDO32" s="28"/>
      <c r="WDP32" s="28"/>
      <c r="WDQ32" s="28"/>
      <c r="WDR32" s="28"/>
      <c r="WDS32" s="28"/>
      <c r="WDT32" s="28"/>
      <c r="WDU32" s="28"/>
      <c r="WDV32" s="28"/>
      <c r="WDW32" s="28"/>
      <c r="WDX32" s="28"/>
      <c r="WDY32" s="28"/>
      <c r="WDZ32" s="28"/>
      <c r="WEA32" s="28"/>
      <c r="WEB32" s="28"/>
      <c r="WEC32" s="28"/>
      <c r="WED32" s="28"/>
      <c r="WEE32" s="28"/>
      <c r="WEF32" s="28"/>
      <c r="WEG32" s="28"/>
      <c r="WEH32" s="28"/>
      <c r="WEI32" s="28"/>
      <c r="WEJ32" s="28"/>
      <c r="WEK32" s="28"/>
      <c r="WEL32" s="28"/>
      <c r="WEM32" s="28"/>
      <c r="WEN32" s="28"/>
      <c r="WEO32" s="28"/>
      <c r="WEP32" s="28"/>
      <c r="WEQ32" s="28"/>
      <c r="WER32" s="28"/>
      <c r="WES32" s="28"/>
      <c r="WET32" s="28"/>
      <c r="WEU32" s="28"/>
      <c r="WEV32" s="28"/>
      <c r="WEW32" s="28"/>
      <c r="WEX32" s="28"/>
      <c r="WEY32" s="28"/>
      <c r="WEZ32" s="28"/>
      <c r="WFA32" s="28"/>
      <c r="WFB32" s="28"/>
      <c r="WFC32" s="28"/>
      <c r="WFD32" s="28"/>
      <c r="WFE32" s="28"/>
      <c r="WFF32" s="28"/>
      <c r="WFG32" s="28"/>
      <c r="WFH32" s="28"/>
      <c r="WFI32" s="28"/>
      <c r="WFJ32" s="28"/>
      <c r="WFK32" s="28"/>
      <c r="WFL32" s="28"/>
      <c r="WFM32" s="28"/>
      <c r="WFN32" s="28"/>
      <c r="WFO32" s="28"/>
      <c r="WFP32" s="28"/>
      <c r="WFQ32" s="28"/>
      <c r="WFR32" s="28"/>
      <c r="WFS32" s="28"/>
      <c r="WFT32" s="28"/>
      <c r="WFU32" s="28"/>
      <c r="WFV32" s="28"/>
      <c r="WFW32" s="28"/>
      <c r="WFX32" s="28"/>
      <c r="WFY32" s="28"/>
      <c r="WFZ32" s="28"/>
      <c r="WGA32" s="28"/>
      <c r="WGB32" s="28"/>
      <c r="WGC32" s="28"/>
      <c r="WGD32" s="28"/>
      <c r="WGE32" s="28"/>
      <c r="WGF32" s="28"/>
      <c r="WGG32" s="28"/>
      <c r="WGH32" s="28"/>
      <c r="WGI32" s="28"/>
      <c r="WGJ32" s="28"/>
      <c r="WGK32" s="28"/>
      <c r="WGL32" s="28"/>
      <c r="WGM32" s="28"/>
      <c r="WGN32" s="28"/>
      <c r="WGO32" s="28"/>
      <c r="WGP32" s="28"/>
      <c r="WGQ32" s="28"/>
      <c r="WGR32" s="28"/>
      <c r="WGS32" s="28"/>
      <c r="WGT32" s="28"/>
      <c r="WGU32" s="28"/>
      <c r="WGV32" s="28"/>
      <c r="WGW32" s="28"/>
      <c r="WGX32" s="28"/>
      <c r="WGY32" s="28"/>
      <c r="WGZ32" s="28"/>
      <c r="WHA32" s="28"/>
      <c r="WHB32" s="28"/>
      <c r="WHC32" s="28"/>
      <c r="WHD32" s="28"/>
      <c r="WHE32" s="28"/>
      <c r="WHF32" s="28"/>
      <c r="WHG32" s="28"/>
      <c r="WHH32" s="28"/>
      <c r="WHI32" s="28"/>
      <c r="WHJ32" s="28"/>
      <c r="WHK32" s="28"/>
      <c r="WHL32" s="28"/>
      <c r="WHM32" s="28"/>
      <c r="WHN32" s="28"/>
      <c r="WHO32" s="28"/>
      <c r="WHP32" s="28"/>
      <c r="WHQ32" s="28"/>
      <c r="WHR32" s="28"/>
      <c r="WHS32" s="28"/>
      <c r="WHT32" s="28"/>
      <c r="WHU32" s="28"/>
      <c r="WHV32" s="28"/>
      <c r="WHW32" s="28"/>
      <c r="WHX32" s="28"/>
      <c r="WHY32" s="28"/>
      <c r="WHZ32" s="28"/>
      <c r="WIA32" s="28"/>
      <c r="WIB32" s="28"/>
      <c r="WIC32" s="28"/>
      <c r="WID32" s="28"/>
      <c r="WIE32" s="28"/>
      <c r="WIF32" s="28"/>
      <c r="WIG32" s="28"/>
      <c r="WIH32" s="28"/>
      <c r="WII32" s="28"/>
      <c r="WIJ32" s="28"/>
      <c r="WIK32" s="28"/>
      <c r="WIL32" s="28"/>
      <c r="WIM32" s="28"/>
      <c r="WIN32" s="28"/>
      <c r="WIO32" s="28"/>
      <c r="WIP32" s="28"/>
      <c r="WIQ32" s="28"/>
      <c r="WIR32" s="28"/>
      <c r="WIS32" s="28"/>
      <c r="WIT32" s="28"/>
      <c r="WIU32" s="28"/>
      <c r="WIV32" s="28"/>
      <c r="WIW32" s="28"/>
      <c r="WIX32" s="28"/>
      <c r="WIY32" s="28"/>
      <c r="WIZ32" s="28"/>
      <c r="WJA32" s="28"/>
      <c r="WJB32" s="28"/>
      <c r="WJC32" s="28"/>
      <c r="WJD32" s="28"/>
      <c r="WJE32" s="28"/>
      <c r="WJF32" s="28"/>
      <c r="WJG32" s="28"/>
      <c r="WJH32" s="28"/>
      <c r="WJI32" s="28"/>
      <c r="WJJ32" s="28"/>
      <c r="WJK32" s="28"/>
      <c r="WJL32" s="28"/>
      <c r="WJM32" s="28"/>
      <c r="WJN32" s="28"/>
      <c r="WJO32" s="28"/>
      <c r="WJP32" s="28"/>
      <c r="WJQ32" s="28"/>
      <c r="WJR32" s="28"/>
      <c r="WJS32" s="28"/>
      <c r="WJT32" s="28"/>
      <c r="WJU32" s="28"/>
      <c r="WJV32" s="28"/>
      <c r="WJW32" s="28"/>
      <c r="WJX32" s="28"/>
      <c r="WJY32" s="28"/>
      <c r="WJZ32" s="28"/>
      <c r="WKA32" s="28"/>
      <c r="WKB32" s="28"/>
      <c r="WKC32" s="28"/>
      <c r="WKD32" s="28"/>
      <c r="WKE32" s="28"/>
      <c r="WKF32" s="28"/>
      <c r="WKG32" s="28"/>
      <c r="WKH32" s="28"/>
      <c r="WKI32" s="28"/>
      <c r="WKJ32" s="28"/>
      <c r="WKK32" s="28"/>
      <c r="WKL32" s="28"/>
      <c r="WKM32" s="28"/>
      <c r="WKN32" s="28"/>
      <c r="WKO32" s="28"/>
      <c r="WKP32" s="28"/>
      <c r="WKQ32" s="28"/>
      <c r="WKR32" s="28"/>
      <c r="WKS32" s="28"/>
      <c r="WKT32" s="28"/>
      <c r="WKU32" s="28"/>
      <c r="WKV32" s="28"/>
      <c r="WKW32" s="28"/>
      <c r="WKX32" s="28"/>
      <c r="WKY32" s="28"/>
      <c r="WKZ32" s="28"/>
      <c r="WLA32" s="28"/>
      <c r="WLB32" s="28"/>
      <c r="WLC32" s="28"/>
      <c r="WLD32" s="28"/>
      <c r="WLE32" s="28"/>
      <c r="WLF32" s="28"/>
      <c r="WLG32" s="28"/>
      <c r="WLH32" s="28"/>
      <c r="WLI32" s="28"/>
      <c r="WLJ32" s="28"/>
      <c r="WLK32" s="28"/>
      <c r="WLL32" s="28"/>
      <c r="WLM32" s="28"/>
      <c r="WLN32" s="28"/>
      <c r="WLO32" s="28"/>
      <c r="WLP32" s="28"/>
      <c r="WLQ32" s="28"/>
      <c r="WLR32" s="28"/>
      <c r="WLS32" s="28"/>
      <c r="WLT32" s="28"/>
      <c r="WLU32" s="28"/>
      <c r="WLV32" s="28"/>
      <c r="WLW32" s="28"/>
      <c r="WLX32" s="28"/>
      <c r="WLY32" s="28"/>
      <c r="WLZ32" s="28"/>
      <c r="WMA32" s="28"/>
      <c r="WMB32" s="28"/>
      <c r="WMC32" s="28"/>
      <c r="WMD32" s="28"/>
      <c r="WME32" s="28"/>
      <c r="WMF32" s="28"/>
      <c r="WMG32" s="28"/>
      <c r="WMH32" s="28"/>
      <c r="WMI32" s="28"/>
      <c r="WMJ32" s="28"/>
      <c r="WMK32" s="28"/>
      <c r="WML32" s="28"/>
      <c r="WMM32" s="28"/>
      <c r="WMN32" s="28"/>
      <c r="WMO32" s="28"/>
      <c r="WMP32" s="28"/>
      <c r="WMQ32" s="28"/>
      <c r="WMR32" s="28"/>
      <c r="WMS32" s="28"/>
      <c r="WMT32" s="28"/>
      <c r="WMU32" s="28"/>
      <c r="WMV32" s="28"/>
      <c r="WMW32" s="28"/>
      <c r="WMX32" s="28"/>
      <c r="WMY32" s="28"/>
      <c r="WMZ32" s="28"/>
      <c r="WNA32" s="28"/>
      <c r="WNB32" s="28"/>
      <c r="WNC32" s="28"/>
      <c r="WND32" s="28"/>
      <c r="WNE32" s="28"/>
      <c r="WNF32" s="28"/>
      <c r="WNG32" s="28"/>
      <c r="WNH32" s="28"/>
      <c r="WNI32" s="28"/>
      <c r="WNJ32" s="28"/>
      <c r="WNK32" s="28"/>
      <c r="WNL32" s="28"/>
      <c r="WNM32" s="28"/>
      <c r="WNN32" s="28"/>
      <c r="WNO32" s="28"/>
      <c r="WNP32" s="28"/>
      <c r="WNQ32" s="28"/>
      <c r="WNR32" s="28"/>
      <c r="WNS32" s="28"/>
      <c r="WNT32" s="28"/>
      <c r="WNU32" s="28"/>
      <c r="WNV32" s="28"/>
      <c r="WNW32" s="28"/>
      <c r="WNX32" s="28"/>
      <c r="WNY32" s="28"/>
      <c r="WNZ32" s="28"/>
      <c r="WOA32" s="28"/>
      <c r="WOB32" s="28"/>
      <c r="WOC32" s="28"/>
      <c r="WOD32" s="28"/>
      <c r="WOE32" s="28"/>
      <c r="WOF32" s="28"/>
      <c r="WOG32" s="28"/>
      <c r="WOH32" s="28"/>
      <c r="WOI32" s="28"/>
      <c r="WOJ32" s="28"/>
      <c r="WOK32" s="28"/>
      <c r="WOL32" s="28"/>
      <c r="WOM32" s="28"/>
      <c r="WON32" s="28"/>
      <c r="WOO32" s="28"/>
      <c r="WOP32" s="28"/>
      <c r="WOQ32" s="28"/>
      <c r="WOR32" s="28"/>
      <c r="WOS32" s="28"/>
      <c r="WOT32" s="28"/>
      <c r="WOU32" s="28"/>
      <c r="WOV32" s="28"/>
      <c r="WOW32" s="28"/>
      <c r="WOX32" s="28"/>
      <c r="WOY32" s="28"/>
      <c r="WOZ32" s="28"/>
      <c r="WPA32" s="28"/>
      <c r="WPB32" s="28"/>
      <c r="WPC32" s="28"/>
      <c r="WPD32" s="28"/>
      <c r="WPE32" s="28"/>
      <c r="WPF32" s="28"/>
      <c r="WPG32" s="28"/>
      <c r="WPH32" s="28"/>
      <c r="WPI32" s="28"/>
      <c r="WPJ32" s="28"/>
      <c r="WPK32" s="28"/>
      <c r="WPL32" s="28"/>
      <c r="WPM32" s="28"/>
      <c r="WPN32" s="28"/>
      <c r="WPO32" s="28"/>
      <c r="WPP32" s="28"/>
      <c r="WPQ32" s="28"/>
      <c r="WPR32" s="28"/>
      <c r="WPS32" s="28"/>
      <c r="WPT32" s="28"/>
      <c r="WPU32" s="28"/>
      <c r="WPV32" s="28"/>
      <c r="WPW32" s="28"/>
      <c r="WPX32" s="28"/>
      <c r="WPY32" s="28"/>
      <c r="WPZ32" s="28"/>
      <c r="WQA32" s="28"/>
      <c r="WQB32" s="28"/>
      <c r="WQC32" s="28"/>
      <c r="WQD32" s="28"/>
      <c r="WQE32" s="28"/>
      <c r="WQF32" s="28"/>
      <c r="WQG32" s="28"/>
      <c r="WQH32" s="28"/>
      <c r="WQI32" s="28"/>
      <c r="WQJ32" s="28"/>
      <c r="WQK32" s="28"/>
      <c r="WQL32" s="28"/>
      <c r="WQM32" s="28"/>
      <c r="WQN32" s="28"/>
      <c r="WQO32" s="28"/>
      <c r="WQP32" s="28"/>
      <c r="WQQ32" s="28"/>
      <c r="WQR32" s="28"/>
      <c r="WQS32" s="28"/>
      <c r="WQT32" s="28"/>
      <c r="WQU32" s="28"/>
      <c r="WQV32" s="28"/>
      <c r="WQW32" s="28"/>
      <c r="WQX32" s="28"/>
      <c r="WQY32" s="28"/>
      <c r="WQZ32" s="28"/>
      <c r="WRA32" s="28"/>
      <c r="WRB32" s="28"/>
      <c r="WRC32" s="28"/>
      <c r="WRD32" s="28"/>
      <c r="WRE32" s="28"/>
      <c r="WRF32" s="28"/>
      <c r="WRG32" s="28"/>
      <c r="WRH32" s="28"/>
      <c r="WRI32" s="28"/>
      <c r="WRJ32" s="28"/>
      <c r="WRK32" s="28"/>
      <c r="WRL32" s="28"/>
      <c r="WRM32" s="28"/>
      <c r="WRN32" s="28"/>
      <c r="WRO32" s="28"/>
      <c r="WRP32" s="28"/>
      <c r="WRQ32" s="28"/>
      <c r="WRR32" s="28"/>
      <c r="WRS32" s="28"/>
      <c r="WRT32" s="28"/>
      <c r="WRU32" s="28"/>
      <c r="WRV32" s="28"/>
      <c r="WRW32" s="28"/>
      <c r="WRX32" s="28"/>
      <c r="WRY32" s="28"/>
      <c r="WRZ32" s="28"/>
      <c r="WSA32" s="28"/>
      <c r="WSB32" s="28"/>
      <c r="WSC32" s="28"/>
      <c r="WSD32" s="28"/>
      <c r="WSE32" s="28"/>
      <c r="WSF32" s="28"/>
      <c r="WSG32" s="28"/>
      <c r="WSH32" s="28"/>
      <c r="WSI32" s="28"/>
      <c r="WSJ32" s="28"/>
      <c r="WSK32" s="28"/>
      <c r="WSL32" s="28"/>
      <c r="WSM32" s="28"/>
      <c r="WSN32" s="28"/>
      <c r="WSO32" s="28"/>
      <c r="WSP32" s="28"/>
      <c r="WSQ32" s="28"/>
      <c r="WSR32" s="28"/>
      <c r="WSS32" s="28"/>
      <c r="WST32" s="28"/>
      <c r="WSU32" s="28"/>
      <c r="WSV32" s="28"/>
      <c r="WSW32" s="28"/>
      <c r="WSX32" s="28"/>
      <c r="WSY32" s="28"/>
      <c r="WSZ32" s="28"/>
      <c r="WTA32" s="28"/>
      <c r="WTB32" s="28"/>
      <c r="WTC32" s="28"/>
      <c r="WTD32" s="28"/>
      <c r="WTE32" s="28"/>
      <c r="WTF32" s="28"/>
      <c r="WTG32" s="28"/>
      <c r="WTH32" s="28"/>
      <c r="WTI32" s="28"/>
      <c r="WTJ32" s="28"/>
      <c r="WTK32" s="28"/>
      <c r="WTL32" s="28"/>
      <c r="WTM32" s="28"/>
      <c r="WTN32" s="28"/>
      <c r="WTO32" s="28"/>
      <c r="WTP32" s="28"/>
      <c r="WTQ32" s="28"/>
      <c r="WTR32" s="28"/>
      <c r="WTS32" s="28"/>
      <c r="WTT32" s="28"/>
      <c r="WTU32" s="28"/>
      <c r="WTV32" s="28"/>
      <c r="WTW32" s="28"/>
      <c r="WTX32" s="28"/>
      <c r="WTY32" s="28"/>
      <c r="WTZ32" s="28"/>
      <c r="WUA32" s="28"/>
      <c r="WUB32" s="28"/>
      <c r="WUC32" s="28"/>
      <c r="WUD32" s="28"/>
      <c r="WUE32" s="28"/>
      <c r="WUF32" s="28"/>
      <c r="WUG32" s="28"/>
      <c r="WUH32" s="28"/>
      <c r="WUI32" s="28"/>
      <c r="WUJ32" s="28"/>
      <c r="WUK32" s="28"/>
      <c r="WUL32" s="28"/>
      <c r="WUM32" s="28"/>
      <c r="WUN32" s="28"/>
      <c r="WUO32" s="28"/>
      <c r="WUP32" s="28"/>
      <c r="WUQ32" s="28"/>
      <c r="WUR32" s="28"/>
      <c r="WUS32" s="28"/>
      <c r="WUT32" s="28"/>
      <c r="WUU32" s="28"/>
      <c r="WUV32" s="28"/>
      <c r="WUW32" s="28"/>
      <c r="WUX32" s="28"/>
      <c r="WUY32" s="28"/>
      <c r="WUZ32" s="28"/>
      <c r="WVA32" s="28"/>
      <c r="WVB32" s="28"/>
      <c r="WVC32" s="28"/>
      <c r="WVD32" s="28"/>
      <c r="WVE32" s="28"/>
      <c r="WVF32" s="28"/>
      <c r="WVG32" s="28"/>
      <c r="WVH32" s="28"/>
      <c r="WVI32" s="28"/>
      <c r="WVJ32" s="28"/>
      <c r="WVK32" s="28"/>
      <c r="WVL32" s="28"/>
      <c r="WVM32" s="28"/>
      <c r="WVN32" s="28"/>
      <c r="WVO32" s="28"/>
      <c r="WVP32" s="28"/>
      <c r="WVQ32" s="28"/>
      <c r="WVR32" s="28"/>
      <c r="WVS32" s="28"/>
      <c r="WVT32" s="28"/>
      <c r="WVU32" s="28"/>
      <c r="WVV32" s="28"/>
      <c r="WVW32" s="28"/>
      <c r="WVX32" s="28"/>
      <c r="WVY32" s="28"/>
      <c r="WVZ32" s="28"/>
      <c r="WWA32" s="28"/>
      <c r="WWB32" s="28"/>
      <c r="WWC32" s="28"/>
      <c r="WWD32" s="28"/>
      <c r="WWE32" s="28"/>
      <c r="WWF32" s="28"/>
      <c r="WWG32" s="28"/>
      <c r="WWH32" s="28"/>
      <c r="WWI32" s="28"/>
      <c r="WWJ32" s="28"/>
      <c r="WWK32" s="28"/>
      <c r="WWL32" s="28"/>
      <c r="WWM32" s="28"/>
      <c r="WWN32" s="28"/>
      <c r="WWO32" s="28"/>
      <c r="WWP32" s="28"/>
      <c r="WWQ32" s="28"/>
      <c r="WWR32" s="28"/>
      <c r="WWS32" s="28"/>
      <c r="WWT32" s="28"/>
      <c r="WWU32" s="28"/>
      <c r="WWV32" s="28"/>
      <c r="WWW32" s="28"/>
      <c r="WWX32" s="28"/>
      <c r="WWY32" s="28"/>
      <c r="WWZ32" s="28"/>
      <c r="WXA32" s="28"/>
      <c r="WXB32" s="28"/>
      <c r="WXC32" s="28"/>
      <c r="WXD32" s="28"/>
      <c r="WXE32" s="28"/>
      <c r="WXF32" s="28"/>
      <c r="WXG32" s="28"/>
      <c r="WXH32" s="28"/>
      <c r="WXI32" s="28"/>
      <c r="WXJ32" s="28"/>
      <c r="WXK32" s="28"/>
      <c r="WXL32" s="28"/>
      <c r="WXM32" s="28"/>
      <c r="WXN32" s="28"/>
      <c r="WXO32" s="28"/>
      <c r="WXP32" s="28"/>
      <c r="WXQ32" s="28"/>
      <c r="WXR32" s="28"/>
      <c r="WXS32" s="28"/>
      <c r="WXT32" s="28"/>
      <c r="WXU32" s="28"/>
      <c r="WXV32" s="28"/>
      <c r="WXW32" s="28"/>
      <c r="WXX32" s="28"/>
      <c r="WXY32" s="28"/>
      <c r="WXZ32" s="28"/>
      <c r="WYA32" s="28"/>
      <c r="WYB32" s="28"/>
      <c r="WYC32" s="28"/>
      <c r="WYD32" s="28"/>
      <c r="WYE32" s="28"/>
      <c r="WYF32" s="28"/>
      <c r="WYG32" s="28"/>
      <c r="WYH32" s="28"/>
      <c r="WYI32" s="28"/>
      <c r="WYJ32" s="28"/>
      <c r="WYK32" s="28"/>
      <c r="WYL32" s="28"/>
      <c r="WYM32" s="28"/>
      <c r="WYN32" s="28"/>
      <c r="WYO32" s="28"/>
      <c r="WYP32" s="28"/>
      <c r="WYQ32" s="28"/>
      <c r="WYR32" s="28"/>
      <c r="WYS32" s="28"/>
      <c r="WYT32" s="28"/>
      <c r="WYU32" s="28"/>
      <c r="WYV32" s="28"/>
      <c r="WYW32" s="28"/>
      <c r="WYX32" s="28"/>
      <c r="WYY32" s="28"/>
      <c r="WYZ32" s="28"/>
      <c r="WZA32" s="28"/>
      <c r="WZB32" s="28"/>
      <c r="WZC32" s="28"/>
      <c r="WZD32" s="28"/>
      <c r="WZE32" s="28"/>
      <c r="WZF32" s="28"/>
      <c r="WZG32" s="28"/>
      <c r="WZH32" s="28"/>
      <c r="WZI32" s="28"/>
      <c r="WZJ32" s="28"/>
      <c r="WZK32" s="28"/>
      <c r="WZL32" s="28"/>
      <c r="WZM32" s="28"/>
      <c r="WZN32" s="28"/>
      <c r="WZO32" s="28"/>
      <c r="WZP32" s="28"/>
      <c r="WZQ32" s="28"/>
      <c r="WZR32" s="28"/>
      <c r="WZS32" s="28"/>
      <c r="WZT32" s="28"/>
      <c r="WZU32" s="28"/>
      <c r="WZV32" s="28"/>
      <c r="WZW32" s="28"/>
      <c r="WZX32" s="28"/>
      <c r="WZY32" s="28"/>
      <c r="WZZ32" s="28"/>
      <c r="XAA32" s="28"/>
      <c r="XAB32" s="28"/>
      <c r="XAC32" s="28"/>
      <c r="XAD32" s="28"/>
      <c r="XAE32" s="28"/>
      <c r="XAF32" s="28"/>
      <c r="XAG32" s="28"/>
      <c r="XAH32" s="28"/>
      <c r="XAI32" s="28"/>
      <c r="XAJ32" s="28"/>
      <c r="XAK32" s="28"/>
      <c r="XAL32" s="28"/>
      <c r="XAM32" s="28"/>
      <c r="XAN32" s="28"/>
      <c r="XAO32" s="28"/>
      <c r="XAP32" s="28"/>
      <c r="XAQ32" s="28"/>
      <c r="XAR32" s="28"/>
      <c r="XAS32" s="28"/>
      <c r="XAT32" s="28"/>
      <c r="XAU32" s="28"/>
      <c r="XAV32" s="28"/>
      <c r="XAW32" s="28"/>
      <c r="XAX32" s="28"/>
      <c r="XAY32" s="28"/>
      <c r="XAZ32" s="28"/>
      <c r="XBA32" s="28"/>
      <c r="XBB32" s="28"/>
      <c r="XBC32" s="28"/>
      <c r="XBD32" s="28"/>
      <c r="XBE32" s="28"/>
      <c r="XBF32" s="28"/>
      <c r="XBG32" s="28"/>
      <c r="XBH32" s="28"/>
      <c r="XBI32" s="28"/>
      <c r="XBJ32" s="28"/>
      <c r="XBK32" s="28"/>
      <c r="XBL32" s="28"/>
      <c r="XBM32" s="28"/>
      <c r="XBN32" s="28"/>
      <c r="XBO32" s="28"/>
      <c r="XBP32" s="28"/>
      <c r="XBQ32" s="28"/>
      <c r="XBR32" s="28"/>
      <c r="XBS32" s="28"/>
      <c r="XBT32" s="28"/>
      <c r="XBU32" s="28"/>
      <c r="XBV32" s="28"/>
      <c r="XBW32" s="28"/>
      <c r="XBX32" s="28"/>
      <c r="XBY32" s="28"/>
      <c r="XBZ32" s="28"/>
      <c r="XCA32" s="28"/>
      <c r="XCB32" s="28"/>
      <c r="XCC32" s="28"/>
      <c r="XCD32" s="28"/>
      <c r="XCE32" s="28"/>
      <c r="XCF32" s="28"/>
      <c r="XCG32" s="28"/>
      <c r="XCH32" s="28"/>
      <c r="XCI32" s="28"/>
      <c r="XCJ32" s="28"/>
      <c r="XCK32" s="28"/>
      <c r="XCL32" s="28"/>
      <c r="XCM32" s="28"/>
      <c r="XCN32" s="28"/>
      <c r="XCO32" s="28"/>
      <c r="XCP32" s="28"/>
      <c r="XCQ32" s="28"/>
      <c r="XCR32" s="28"/>
      <c r="XCS32" s="28"/>
      <c r="XCT32" s="28"/>
      <c r="XCU32" s="28"/>
      <c r="XCV32" s="28"/>
      <c r="XCW32" s="28"/>
      <c r="XCX32" s="28"/>
      <c r="XCY32" s="28"/>
      <c r="XCZ32" s="28"/>
      <c r="XDA32" s="28"/>
      <c r="XDB32" s="28"/>
      <c r="XDC32" s="28"/>
      <c r="XDD32" s="28"/>
      <c r="XDE32" s="28"/>
      <c r="XDF32" s="28"/>
      <c r="XDG32" s="28"/>
      <c r="XDH32" s="28"/>
      <c r="XDI32" s="28"/>
      <c r="XDJ32" s="28"/>
      <c r="XDK32" s="28"/>
      <c r="XDL32" s="28"/>
      <c r="XDM32" s="28"/>
      <c r="XDN32" s="28"/>
      <c r="XDO32" s="28"/>
      <c r="XDP32" s="28"/>
      <c r="XDQ32" s="28"/>
      <c r="XDR32" s="28"/>
      <c r="XDS32" s="28"/>
      <c r="XDT32" s="28"/>
      <c r="XDU32" s="28"/>
      <c r="XDV32" s="28"/>
      <c r="XDW32" s="28"/>
      <c r="XDX32" s="28"/>
      <c r="XDY32" s="28"/>
      <c r="XDZ32" s="28"/>
      <c r="XEA32" s="28"/>
      <c r="XEB32" s="28"/>
      <c r="XEC32" s="28"/>
      <c r="XED32" s="28"/>
      <c r="XEE32" s="28"/>
      <c r="XEF32" s="28"/>
      <c r="XEG32" s="28"/>
      <c r="XEH32" s="28"/>
      <c r="XEI32" s="28"/>
      <c r="XEJ32" s="28"/>
      <c r="XEK32" s="28"/>
      <c r="XEL32" s="28"/>
      <c r="XEM32" s="28"/>
      <c r="XEN32" s="28"/>
      <c r="XEO32" s="28"/>
      <c r="XEP32" s="28"/>
      <c r="XEQ32" s="28"/>
      <c r="XER32" s="28"/>
      <c r="XES32" s="28"/>
      <c r="XET32" s="28"/>
      <c r="XEU32" s="28"/>
      <c r="XEV32" s="28"/>
      <c r="XEW32" s="28"/>
      <c r="XEX32" s="28"/>
      <c r="XEY32" s="28"/>
      <c r="XEZ32" s="28"/>
      <c r="XFA32" s="28"/>
      <c r="XFB32" s="28"/>
    </row>
    <row r="33" spans="1:16382" ht="18" customHeight="1" x14ac:dyDescent="0.2"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  <c r="BR33" s="28"/>
      <c r="BS33" s="28"/>
      <c r="BT33" s="28"/>
      <c r="BU33" s="28"/>
      <c r="BV33" s="28"/>
      <c r="BW33" s="28"/>
      <c r="BX33" s="28"/>
      <c r="BY33" s="28"/>
      <c r="BZ33" s="28"/>
      <c r="CA33" s="28"/>
      <c r="CB33" s="28"/>
      <c r="CC33" s="28"/>
      <c r="CD33" s="28"/>
      <c r="CE33" s="28"/>
      <c r="CF33" s="28"/>
      <c r="CG33" s="28"/>
      <c r="CH33" s="28"/>
      <c r="CI33" s="28"/>
      <c r="CJ33" s="28"/>
      <c r="CK33" s="28"/>
      <c r="CL33" s="28"/>
      <c r="CM33" s="28"/>
      <c r="CN33" s="28"/>
      <c r="CO33" s="28"/>
      <c r="CP33" s="28"/>
      <c r="CQ33" s="28"/>
      <c r="CR33" s="28"/>
      <c r="CS33" s="28"/>
      <c r="CT33" s="28"/>
      <c r="CU33" s="28"/>
      <c r="CV33" s="28"/>
      <c r="CW33" s="28"/>
      <c r="CX33" s="28"/>
      <c r="CY33" s="28"/>
      <c r="CZ33" s="28"/>
      <c r="DA33" s="28"/>
      <c r="DB33" s="28"/>
      <c r="DC33" s="28"/>
      <c r="DD33" s="28"/>
      <c r="DE33" s="28"/>
      <c r="DF33" s="28"/>
      <c r="DG33" s="28"/>
      <c r="DH33" s="28"/>
      <c r="DI33" s="28"/>
      <c r="DJ33" s="28"/>
      <c r="DK33" s="28"/>
      <c r="DL33" s="28"/>
      <c r="DM33" s="28"/>
      <c r="DN33" s="28"/>
      <c r="DO33" s="28"/>
      <c r="DP33" s="28"/>
      <c r="DQ33" s="28"/>
      <c r="DR33" s="28"/>
      <c r="DS33" s="28"/>
      <c r="DT33" s="28"/>
      <c r="DU33" s="28"/>
      <c r="DV33" s="28"/>
      <c r="DW33" s="28"/>
      <c r="DX33" s="28"/>
      <c r="DY33" s="28"/>
      <c r="DZ33" s="28"/>
      <c r="EA33" s="28"/>
      <c r="EB33" s="28"/>
      <c r="EC33" s="28"/>
      <c r="ED33" s="28"/>
      <c r="EE33" s="28"/>
      <c r="EF33" s="28"/>
      <c r="EG33" s="28"/>
      <c r="EH33" s="28"/>
      <c r="EI33" s="28"/>
      <c r="EJ33" s="28"/>
      <c r="EK33" s="28"/>
      <c r="EL33" s="28"/>
      <c r="EM33" s="28"/>
      <c r="EN33" s="28"/>
      <c r="EO33" s="28"/>
      <c r="EP33" s="28"/>
      <c r="EQ33" s="28"/>
      <c r="ER33" s="28"/>
      <c r="ES33" s="28"/>
      <c r="ET33" s="28"/>
      <c r="EU33" s="28"/>
      <c r="EV33" s="28"/>
      <c r="EW33" s="28"/>
      <c r="EX33" s="28"/>
      <c r="EY33" s="28"/>
      <c r="EZ33" s="28"/>
      <c r="FA33" s="28"/>
      <c r="FB33" s="28"/>
      <c r="FC33" s="28"/>
      <c r="FD33" s="28"/>
      <c r="FE33" s="28"/>
      <c r="FF33" s="28"/>
      <c r="FG33" s="28"/>
      <c r="FH33" s="28"/>
      <c r="FI33" s="28"/>
      <c r="FJ33" s="28"/>
      <c r="FK33" s="28"/>
      <c r="FL33" s="28"/>
      <c r="FM33" s="28"/>
      <c r="FN33" s="28"/>
      <c r="FO33" s="28"/>
      <c r="FP33" s="28"/>
      <c r="FQ33" s="28"/>
      <c r="FR33" s="28"/>
      <c r="FS33" s="28"/>
      <c r="FT33" s="28"/>
      <c r="FU33" s="28"/>
      <c r="FV33" s="28"/>
      <c r="FW33" s="28"/>
      <c r="FX33" s="28"/>
      <c r="FY33" s="28"/>
      <c r="FZ33" s="28"/>
      <c r="GA33" s="28"/>
      <c r="GB33" s="28"/>
      <c r="GC33" s="28"/>
      <c r="GD33" s="28"/>
      <c r="GE33" s="28"/>
      <c r="GF33" s="28"/>
      <c r="GG33" s="28"/>
      <c r="GH33" s="28"/>
      <c r="GI33" s="28"/>
      <c r="GJ33" s="28"/>
      <c r="GK33" s="28"/>
      <c r="GL33" s="28"/>
      <c r="GM33" s="28"/>
      <c r="GN33" s="28"/>
      <c r="GO33" s="28"/>
      <c r="GP33" s="28"/>
      <c r="GQ33" s="28"/>
      <c r="GR33" s="28"/>
      <c r="GS33" s="28"/>
      <c r="GT33" s="28"/>
      <c r="GU33" s="28"/>
      <c r="GV33" s="28"/>
      <c r="GW33" s="28"/>
      <c r="GX33" s="28"/>
      <c r="GY33" s="28"/>
      <c r="GZ33" s="28"/>
      <c r="HA33" s="28"/>
      <c r="HB33" s="28"/>
      <c r="HC33" s="28"/>
      <c r="HD33" s="28"/>
      <c r="HE33" s="28"/>
      <c r="HF33" s="28"/>
      <c r="HG33" s="28"/>
      <c r="HH33" s="28"/>
      <c r="HI33" s="28"/>
      <c r="HJ33" s="28"/>
      <c r="HK33" s="28"/>
      <c r="HL33" s="28"/>
      <c r="HM33" s="28"/>
      <c r="HN33" s="28"/>
      <c r="HO33" s="28"/>
      <c r="HP33" s="28"/>
      <c r="HQ33" s="28"/>
      <c r="HR33" s="28"/>
      <c r="HS33" s="28"/>
      <c r="HT33" s="28"/>
      <c r="HU33" s="28"/>
      <c r="HV33" s="28"/>
      <c r="HW33" s="28"/>
      <c r="HX33" s="28"/>
      <c r="HY33" s="28"/>
      <c r="HZ33" s="28"/>
      <c r="IA33" s="28"/>
      <c r="IB33" s="28"/>
      <c r="IC33" s="28"/>
      <c r="ID33" s="28"/>
      <c r="IE33" s="28"/>
      <c r="IF33" s="28"/>
      <c r="IG33" s="28"/>
      <c r="IH33" s="28"/>
      <c r="II33" s="28"/>
      <c r="IJ33" s="28"/>
      <c r="IK33" s="28"/>
      <c r="IL33" s="28"/>
      <c r="IM33" s="28"/>
      <c r="IN33" s="28"/>
      <c r="IO33" s="28"/>
      <c r="IP33" s="28"/>
      <c r="IQ33" s="28"/>
      <c r="IR33" s="28"/>
      <c r="IS33" s="28"/>
      <c r="IT33" s="28"/>
      <c r="IU33" s="28"/>
      <c r="IV33" s="28"/>
      <c r="IW33" s="28"/>
      <c r="IX33" s="28"/>
      <c r="IY33" s="28"/>
      <c r="IZ33" s="28"/>
      <c r="JA33" s="28"/>
      <c r="JB33" s="28"/>
      <c r="JC33" s="28"/>
      <c r="JD33" s="28"/>
      <c r="JE33" s="28"/>
      <c r="JF33" s="28"/>
      <c r="JG33" s="28"/>
      <c r="JH33" s="28"/>
      <c r="JI33" s="28"/>
      <c r="JJ33" s="28"/>
      <c r="JK33" s="28"/>
      <c r="JL33" s="28"/>
      <c r="JM33" s="28"/>
      <c r="JN33" s="28"/>
      <c r="JO33" s="28"/>
      <c r="JP33" s="28"/>
      <c r="JQ33" s="28"/>
      <c r="JR33" s="28"/>
      <c r="JS33" s="28"/>
      <c r="JT33" s="28"/>
      <c r="JU33" s="28"/>
      <c r="JV33" s="28"/>
      <c r="JW33" s="28"/>
      <c r="JX33" s="28"/>
      <c r="JY33" s="28"/>
      <c r="JZ33" s="28"/>
      <c r="KA33" s="28"/>
      <c r="KB33" s="28"/>
      <c r="KC33" s="28"/>
      <c r="KD33" s="28"/>
      <c r="KE33" s="28"/>
      <c r="KF33" s="28"/>
      <c r="KG33" s="28"/>
      <c r="KH33" s="28"/>
      <c r="KI33" s="28"/>
      <c r="KJ33" s="28"/>
      <c r="KK33" s="28"/>
      <c r="KL33" s="28"/>
      <c r="KM33" s="28"/>
      <c r="KN33" s="28"/>
      <c r="KO33" s="28"/>
      <c r="KP33" s="28"/>
      <c r="KQ33" s="28"/>
      <c r="KR33" s="28"/>
      <c r="KS33" s="28"/>
      <c r="KT33" s="28"/>
      <c r="KU33" s="28"/>
      <c r="KV33" s="28"/>
      <c r="KW33" s="28"/>
      <c r="KX33" s="28"/>
      <c r="KY33" s="28"/>
      <c r="KZ33" s="28"/>
      <c r="LA33" s="28"/>
      <c r="LB33" s="28"/>
      <c r="LC33" s="28"/>
      <c r="LD33" s="28"/>
      <c r="LE33" s="28"/>
      <c r="LF33" s="28"/>
      <c r="LG33" s="28"/>
      <c r="LH33" s="28"/>
      <c r="LI33" s="28"/>
      <c r="LJ33" s="28"/>
      <c r="LK33" s="28"/>
      <c r="LL33" s="28"/>
      <c r="LM33" s="28"/>
      <c r="LN33" s="28"/>
      <c r="LO33" s="28"/>
      <c r="LP33" s="28"/>
      <c r="LQ33" s="28"/>
      <c r="LR33" s="28"/>
      <c r="LS33" s="28"/>
      <c r="LT33" s="28"/>
      <c r="LU33" s="28"/>
      <c r="LV33" s="28"/>
      <c r="LW33" s="28"/>
      <c r="LX33" s="28"/>
      <c r="LY33" s="28"/>
      <c r="LZ33" s="28"/>
      <c r="MA33" s="28"/>
      <c r="MB33" s="28"/>
      <c r="MC33" s="28"/>
      <c r="MD33" s="28"/>
      <c r="ME33" s="28"/>
      <c r="MF33" s="28"/>
      <c r="MG33" s="28"/>
      <c r="MH33" s="28"/>
      <c r="MI33" s="28"/>
      <c r="MJ33" s="28"/>
      <c r="MK33" s="28"/>
      <c r="ML33" s="28"/>
      <c r="MM33" s="28"/>
      <c r="MN33" s="28"/>
      <c r="MO33" s="28"/>
      <c r="MP33" s="28"/>
      <c r="MQ33" s="28"/>
      <c r="MR33" s="28"/>
      <c r="MS33" s="28"/>
      <c r="MT33" s="28"/>
      <c r="MU33" s="28"/>
      <c r="MV33" s="28"/>
      <c r="MW33" s="28"/>
      <c r="MX33" s="28"/>
      <c r="MY33" s="28"/>
      <c r="MZ33" s="28"/>
      <c r="NA33" s="28"/>
      <c r="NB33" s="28"/>
      <c r="NC33" s="28"/>
      <c r="ND33" s="28"/>
      <c r="NE33" s="28"/>
      <c r="NF33" s="28"/>
      <c r="NG33" s="28"/>
      <c r="NH33" s="28"/>
      <c r="NI33" s="28"/>
      <c r="NJ33" s="28"/>
      <c r="NK33" s="28"/>
      <c r="NL33" s="28"/>
      <c r="NM33" s="28"/>
      <c r="NN33" s="28"/>
      <c r="NO33" s="28"/>
      <c r="NP33" s="28"/>
      <c r="NQ33" s="28"/>
      <c r="NR33" s="28"/>
      <c r="NS33" s="28"/>
      <c r="NT33" s="28"/>
      <c r="NU33" s="28"/>
      <c r="NV33" s="28"/>
      <c r="NW33" s="28"/>
      <c r="NX33" s="28"/>
      <c r="NY33" s="28"/>
      <c r="NZ33" s="28"/>
      <c r="OA33" s="28"/>
      <c r="OB33" s="28"/>
      <c r="OC33" s="28"/>
      <c r="OD33" s="28"/>
      <c r="OE33" s="28"/>
      <c r="OF33" s="28"/>
      <c r="OG33" s="28"/>
      <c r="OH33" s="28"/>
      <c r="OI33" s="28"/>
      <c r="OJ33" s="28"/>
      <c r="OK33" s="28"/>
      <c r="OL33" s="28"/>
      <c r="OM33" s="28"/>
      <c r="ON33" s="28"/>
      <c r="OO33" s="28"/>
      <c r="OP33" s="28"/>
      <c r="OQ33" s="28"/>
      <c r="OR33" s="28"/>
      <c r="OS33" s="28"/>
      <c r="OT33" s="28"/>
      <c r="OU33" s="28"/>
      <c r="OV33" s="28"/>
      <c r="OW33" s="28"/>
      <c r="OX33" s="28"/>
      <c r="OY33" s="28"/>
      <c r="OZ33" s="28"/>
      <c r="PA33" s="28"/>
      <c r="PB33" s="28"/>
      <c r="PC33" s="28"/>
      <c r="PD33" s="28"/>
      <c r="PE33" s="28"/>
      <c r="PF33" s="28"/>
      <c r="PG33" s="28"/>
      <c r="PH33" s="28"/>
      <c r="PI33" s="28"/>
      <c r="PJ33" s="28"/>
      <c r="PK33" s="28"/>
      <c r="PL33" s="28"/>
      <c r="PM33" s="28"/>
      <c r="PN33" s="28"/>
      <c r="PO33" s="28"/>
      <c r="PP33" s="28"/>
      <c r="PQ33" s="28"/>
      <c r="PR33" s="28"/>
      <c r="PS33" s="28"/>
      <c r="PT33" s="28"/>
      <c r="PU33" s="28"/>
      <c r="PV33" s="28"/>
      <c r="PW33" s="28"/>
      <c r="PX33" s="28"/>
      <c r="PY33" s="28"/>
      <c r="PZ33" s="28"/>
      <c r="QA33" s="28"/>
      <c r="QB33" s="28"/>
      <c r="QC33" s="28"/>
      <c r="QD33" s="28"/>
      <c r="QE33" s="28"/>
      <c r="QF33" s="28"/>
      <c r="QG33" s="28"/>
      <c r="QH33" s="28"/>
      <c r="QI33" s="28"/>
      <c r="QJ33" s="28"/>
      <c r="QK33" s="28"/>
      <c r="QL33" s="28"/>
      <c r="QM33" s="28"/>
      <c r="QN33" s="28"/>
      <c r="QO33" s="28"/>
      <c r="QP33" s="28"/>
      <c r="QQ33" s="28"/>
      <c r="QR33" s="28"/>
      <c r="QS33" s="28"/>
      <c r="QT33" s="28"/>
      <c r="QU33" s="28"/>
      <c r="QV33" s="28"/>
      <c r="QW33" s="28"/>
      <c r="QX33" s="28"/>
      <c r="QY33" s="28"/>
      <c r="QZ33" s="28"/>
      <c r="RA33" s="28"/>
      <c r="RB33" s="28"/>
      <c r="RC33" s="28"/>
      <c r="RD33" s="28"/>
      <c r="RE33" s="28"/>
      <c r="RF33" s="28"/>
      <c r="RG33" s="28"/>
      <c r="RH33" s="28"/>
      <c r="RI33" s="28"/>
      <c r="RJ33" s="28"/>
      <c r="RK33" s="28"/>
      <c r="RL33" s="28"/>
      <c r="RM33" s="28"/>
      <c r="RN33" s="28"/>
      <c r="RO33" s="28"/>
      <c r="RP33" s="28"/>
      <c r="RQ33" s="28"/>
      <c r="RR33" s="28"/>
      <c r="RS33" s="28"/>
      <c r="RT33" s="28"/>
      <c r="RU33" s="28"/>
      <c r="RV33" s="28"/>
      <c r="RW33" s="28"/>
      <c r="RX33" s="28"/>
      <c r="RY33" s="28"/>
      <c r="RZ33" s="28"/>
      <c r="SA33" s="28"/>
      <c r="SB33" s="28"/>
      <c r="SC33" s="28"/>
      <c r="SD33" s="28"/>
      <c r="SE33" s="28"/>
      <c r="SF33" s="28"/>
      <c r="SG33" s="28"/>
      <c r="SH33" s="28"/>
      <c r="SI33" s="28"/>
      <c r="SJ33" s="28"/>
      <c r="SK33" s="28"/>
      <c r="SL33" s="28"/>
      <c r="SM33" s="28"/>
      <c r="SN33" s="28"/>
      <c r="SO33" s="28"/>
      <c r="SP33" s="28"/>
      <c r="SQ33" s="28"/>
      <c r="SR33" s="28"/>
      <c r="SS33" s="28"/>
      <c r="ST33" s="28"/>
      <c r="SU33" s="28"/>
      <c r="SV33" s="28"/>
      <c r="SW33" s="28"/>
      <c r="SX33" s="28"/>
      <c r="SY33" s="28"/>
      <c r="SZ33" s="28"/>
      <c r="TA33" s="28"/>
      <c r="TB33" s="28"/>
      <c r="TC33" s="28"/>
      <c r="TD33" s="28"/>
      <c r="TE33" s="28"/>
      <c r="TF33" s="28"/>
      <c r="TG33" s="28"/>
      <c r="TH33" s="28"/>
      <c r="TI33" s="28"/>
      <c r="TJ33" s="28"/>
      <c r="TK33" s="28"/>
      <c r="TL33" s="28"/>
      <c r="TM33" s="28"/>
      <c r="TN33" s="28"/>
      <c r="TO33" s="28"/>
      <c r="TP33" s="28"/>
      <c r="TQ33" s="28"/>
      <c r="TR33" s="28"/>
      <c r="TS33" s="28"/>
      <c r="TT33" s="28"/>
      <c r="TU33" s="28"/>
      <c r="TV33" s="28"/>
      <c r="TW33" s="28"/>
      <c r="TX33" s="28"/>
      <c r="TY33" s="28"/>
      <c r="TZ33" s="28"/>
      <c r="UA33" s="28"/>
      <c r="UB33" s="28"/>
      <c r="UC33" s="28"/>
      <c r="UD33" s="28"/>
      <c r="UE33" s="28"/>
      <c r="UF33" s="28"/>
      <c r="UG33" s="28"/>
      <c r="UH33" s="28"/>
      <c r="UI33" s="28"/>
      <c r="UJ33" s="28"/>
      <c r="UK33" s="28"/>
      <c r="UL33" s="28"/>
      <c r="UM33" s="28"/>
      <c r="UN33" s="28"/>
      <c r="UO33" s="28"/>
      <c r="UP33" s="28"/>
      <c r="UQ33" s="28"/>
      <c r="UR33" s="28"/>
      <c r="US33" s="28"/>
      <c r="UT33" s="28"/>
      <c r="UU33" s="28"/>
      <c r="UV33" s="28"/>
      <c r="UW33" s="28"/>
      <c r="UX33" s="28"/>
      <c r="UY33" s="28"/>
      <c r="UZ33" s="28"/>
      <c r="VA33" s="28"/>
      <c r="VB33" s="28"/>
      <c r="VC33" s="28"/>
      <c r="VD33" s="28"/>
      <c r="VE33" s="28"/>
      <c r="VF33" s="28"/>
      <c r="VG33" s="28"/>
      <c r="VH33" s="28"/>
      <c r="VI33" s="28"/>
      <c r="VJ33" s="28"/>
      <c r="VK33" s="28"/>
      <c r="VL33" s="28"/>
      <c r="VM33" s="28"/>
      <c r="VN33" s="28"/>
      <c r="VO33" s="28"/>
      <c r="VP33" s="28"/>
      <c r="VQ33" s="28"/>
      <c r="VR33" s="28"/>
      <c r="VS33" s="28"/>
      <c r="VT33" s="28"/>
      <c r="VU33" s="28"/>
      <c r="VV33" s="28"/>
      <c r="VW33" s="28"/>
      <c r="VX33" s="28"/>
      <c r="VY33" s="28"/>
      <c r="VZ33" s="28"/>
      <c r="WA33" s="28"/>
      <c r="WB33" s="28"/>
      <c r="WC33" s="28"/>
      <c r="WD33" s="28"/>
      <c r="WE33" s="28"/>
      <c r="WF33" s="28"/>
      <c r="WG33" s="28"/>
      <c r="WH33" s="28"/>
      <c r="WI33" s="28"/>
      <c r="WJ33" s="28"/>
      <c r="WK33" s="28"/>
      <c r="WL33" s="28"/>
      <c r="WM33" s="28"/>
      <c r="WN33" s="28"/>
      <c r="WO33" s="28"/>
      <c r="WP33" s="28"/>
      <c r="WQ33" s="28"/>
      <c r="WR33" s="28"/>
      <c r="WS33" s="28"/>
      <c r="WT33" s="28"/>
      <c r="WU33" s="28"/>
      <c r="WV33" s="28"/>
      <c r="WW33" s="28"/>
      <c r="WX33" s="28"/>
      <c r="WY33" s="28"/>
      <c r="WZ33" s="28"/>
      <c r="XA33" s="28"/>
      <c r="XB33" s="28"/>
      <c r="XC33" s="28"/>
      <c r="XD33" s="28"/>
      <c r="XE33" s="28"/>
      <c r="XF33" s="28"/>
      <c r="XG33" s="28"/>
      <c r="XH33" s="28"/>
      <c r="XI33" s="28"/>
      <c r="XJ33" s="28"/>
      <c r="XK33" s="28"/>
      <c r="XL33" s="28"/>
      <c r="XM33" s="28"/>
      <c r="XN33" s="28"/>
      <c r="XO33" s="28"/>
      <c r="XP33" s="28"/>
      <c r="XQ33" s="28"/>
      <c r="XR33" s="28"/>
      <c r="XS33" s="28"/>
      <c r="XT33" s="28"/>
      <c r="XU33" s="28"/>
      <c r="XV33" s="28"/>
      <c r="XW33" s="28"/>
      <c r="XX33" s="28"/>
      <c r="XY33" s="28"/>
      <c r="XZ33" s="28"/>
      <c r="YA33" s="28"/>
      <c r="YB33" s="28"/>
      <c r="YC33" s="28"/>
      <c r="YD33" s="28"/>
      <c r="YE33" s="28"/>
      <c r="YF33" s="28"/>
      <c r="YG33" s="28"/>
      <c r="YH33" s="28"/>
      <c r="YI33" s="28"/>
      <c r="YJ33" s="28"/>
      <c r="YK33" s="28"/>
      <c r="YL33" s="28"/>
      <c r="YM33" s="28"/>
      <c r="YN33" s="28"/>
      <c r="YO33" s="28"/>
      <c r="YP33" s="28"/>
      <c r="YQ33" s="28"/>
      <c r="YR33" s="28"/>
      <c r="YS33" s="28"/>
      <c r="YT33" s="28"/>
      <c r="YU33" s="28"/>
      <c r="YV33" s="28"/>
      <c r="YW33" s="28"/>
      <c r="YX33" s="28"/>
      <c r="YY33" s="28"/>
      <c r="YZ33" s="28"/>
      <c r="ZA33" s="28"/>
      <c r="ZB33" s="28"/>
      <c r="ZC33" s="28"/>
      <c r="ZD33" s="28"/>
      <c r="ZE33" s="28"/>
      <c r="ZF33" s="28"/>
      <c r="ZG33" s="28"/>
      <c r="ZH33" s="28"/>
      <c r="ZI33" s="28"/>
      <c r="ZJ33" s="28"/>
      <c r="ZK33" s="28"/>
      <c r="ZL33" s="28"/>
      <c r="ZM33" s="28"/>
      <c r="ZN33" s="28"/>
      <c r="ZO33" s="28"/>
      <c r="ZP33" s="28"/>
      <c r="ZQ33" s="28"/>
      <c r="ZR33" s="28"/>
      <c r="ZS33" s="28"/>
      <c r="ZT33" s="28"/>
      <c r="ZU33" s="28"/>
      <c r="ZV33" s="28"/>
      <c r="ZW33" s="28"/>
      <c r="ZX33" s="28"/>
      <c r="ZY33" s="28"/>
      <c r="ZZ33" s="28"/>
      <c r="AAA33" s="28"/>
      <c r="AAB33" s="28"/>
      <c r="AAC33" s="28"/>
      <c r="AAD33" s="28"/>
      <c r="AAE33" s="28"/>
      <c r="AAF33" s="28"/>
      <c r="AAG33" s="28"/>
      <c r="AAH33" s="28"/>
      <c r="AAI33" s="28"/>
      <c r="AAJ33" s="28"/>
      <c r="AAK33" s="28"/>
      <c r="AAL33" s="28"/>
      <c r="AAM33" s="28"/>
      <c r="AAN33" s="28"/>
      <c r="AAO33" s="28"/>
      <c r="AAP33" s="28"/>
      <c r="AAQ33" s="28"/>
      <c r="AAR33" s="28"/>
      <c r="AAS33" s="28"/>
      <c r="AAT33" s="28"/>
      <c r="AAU33" s="28"/>
      <c r="AAV33" s="28"/>
      <c r="AAW33" s="28"/>
      <c r="AAX33" s="28"/>
      <c r="AAY33" s="28"/>
      <c r="AAZ33" s="28"/>
      <c r="ABA33" s="28"/>
      <c r="ABB33" s="28"/>
      <c r="ABC33" s="28"/>
      <c r="ABD33" s="28"/>
      <c r="ABE33" s="28"/>
      <c r="ABF33" s="28"/>
      <c r="ABG33" s="28"/>
      <c r="ABH33" s="28"/>
      <c r="ABI33" s="28"/>
      <c r="ABJ33" s="28"/>
      <c r="ABK33" s="28"/>
      <c r="ABL33" s="28"/>
      <c r="ABM33" s="28"/>
      <c r="ABN33" s="28"/>
      <c r="ABO33" s="28"/>
      <c r="ABP33" s="28"/>
      <c r="ABQ33" s="28"/>
      <c r="ABR33" s="28"/>
      <c r="ABS33" s="28"/>
      <c r="ABT33" s="28"/>
      <c r="ABU33" s="28"/>
      <c r="ABV33" s="28"/>
      <c r="ABW33" s="28"/>
      <c r="ABX33" s="28"/>
      <c r="ABY33" s="28"/>
      <c r="ABZ33" s="28"/>
      <c r="ACA33" s="28"/>
      <c r="ACB33" s="28"/>
      <c r="ACC33" s="28"/>
      <c r="ACD33" s="28"/>
      <c r="ACE33" s="28"/>
      <c r="ACF33" s="28"/>
      <c r="ACG33" s="28"/>
      <c r="ACH33" s="28"/>
      <c r="ACI33" s="28"/>
      <c r="ACJ33" s="28"/>
      <c r="ACK33" s="28"/>
      <c r="ACL33" s="28"/>
      <c r="ACM33" s="28"/>
      <c r="ACN33" s="28"/>
      <c r="ACO33" s="28"/>
      <c r="ACP33" s="28"/>
      <c r="ACQ33" s="28"/>
      <c r="ACR33" s="28"/>
      <c r="ACS33" s="28"/>
      <c r="ACT33" s="28"/>
      <c r="ACU33" s="28"/>
      <c r="ACV33" s="28"/>
      <c r="ACW33" s="28"/>
      <c r="ACX33" s="28"/>
      <c r="ACY33" s="28"/>
      <c r="ACZ33" s="28"/>
      <c r="ADA33" s="28"/>
      <c r="ADB33" s="28"/>
      <c r="ADC33" s="28"/>
      <c r="ADD33" s="28"/>
      <c r="ADE33" s="28"/>
      <c r="ADF33" s="28"/>
      <c r="ADG33" s="28"/>
      <c r="ADH33" s="28"/>
      <c r="ADI33" s="28"/>
      <c r="ADJ33" s="28"/>
      <c r="ADK33" s="28"/>
      <c r="ADL33" s="28"/>
      <c r="ADM33" s="28"/>
      <c r="ADN33" s="28"/>
      <c r="ADO33" s="28"/>
      <c r="ADP33" s="28"/>
      <c r="ADQ33" s="28"/>
      <c r="ADR33" s="28"/>
      <c r="ADS33" s="28"/>
      <c r="ADT33" s="28"/>
      <c r="ADU33" s="28"/>
      <c r="ADV33" s="28"/>
      <c r="ADW33" s="28"/>
      <c r="ADX33" s="28"/>
      <c r="ADY33" s="28"/>
      <c r="ADZ33" s="28"/>
      <c r="AEA33" s="28"/>
      <c r="AEB33" s="28"/>
      <c r="AEC33" s="28"/>
      <c r="AED33" s="28"/>
      <c r="AEE33" s="28"/>
      <c r="AEF33" s="28"/>
      <c r="AEG33" s="28"/>
      <c r="AEH33" s="28"/>
      <c r="AEI33" s="28"/>
      <c r="AEJ33" s="28"/>
      <c r="AEK33" s="28"/>
      <c r="AEL33" s="28"/>
      <c r="AEM33" s="28"/>
      <c r="AEN33" s="28"/>
      <c r="AEO33" s="28"/>
      <c r="AEP33" s="28"/>
      <c r="AEQ33" s="28"/>
      <c r="AER33" s="28"/>
      <c r="AES33" s="28"/>
      <c r="AET33" s="28"/>
      <c r="AEU33" s="28"/>
      <c r="AEV33" s="28"/>
      <c r="AEW33" s="28"/>
      <c r="AEX33" s="28"/>
      <c r="AEY33" s="28"/>
      <c r="AEZ33" s="28"/>
      <c r="AFA33" s="28"/>
      <c r="AFB33" s="28"/>
      <c r="AFC33" s="28"/>
      <c r="AFD33" s="28"/>
      <c r="AFE33" s="28"/>
      <c r="AFF33" s="28"/>
      <c r="AFG33" s="28"/>
      <c r="AFH33" s="28"/>
      <c r="AFI33" s="28"/>
      <c r="AFJ33" s="28"/>
      <c r="AFK33" s="28"/>
      <c r="AFL33" s="28"/>
      <c r="AFM33" s="28"/>
      <c r="AFN33" s="28"/>
      <c r="AFO33" s="28"/>
      <c r="AFP33" s="28"/>
      <c r="AFQ33" s="28"/>
      <c r="AFR33" s="28"/>
      <c r="AFS33" s="28"/>
      <c r="AFT33" s="28"/>
      <c r="AFU33" s="28"/>
      <c r="AFV33" s="28"/>
      <c r="AFW33" s="28"/>
      <c r="AFX33" s="28"/>
      <c r="AFY33" s="28"/>
      <c r="AFZ33" s="28"/>
      <c r="AGA33" s="28"/>
      <c r="AGB33" s="28"/>
      <c r="AGC33" s="28"/>
      <c r="AGD33" s="28"/>
      <c r="AGE33" s="28"/>
      <c r="AGF33" s="28"/>
      <c r="AGG33" s="28"/>
      <c r="AGH33" s="28"/>
      <c r="AGI33" s="28"/>
      <c r="AGJ33" s="28"/>
      <c r="AGK33" s="28"/>
      <c r="AGL33" s="28"/>
      <c r="AGM33" s="28"/>
      <c r="AGN33" s="28"/>
      <c r="AGO33" s="28"/>
      <c r="AGP33" s="28"/>
      <c r="AGQ33" s="28"/>
      <c r="AGR33" s="28"/>
      <c r="AGS33" s="28"/>
      <c r="AGT33" s="28"/>
      <c r="AGU33" s="28"/>
      <c r="AGV33" s="28"/>
      <c r="AGW33" s="28"/>
      <c r="AGX33" s="28"/>
      <c r="AGY33" s="28"/>
      <c r="AGZ33" s="28"/>
      <c r="AHA33" s="28"/>
      <c r="AHB33" s="28"/>
      <c r="AHC33" s="28"/>
      <c r="AHD33" s="28"/>
      <c r="AHE33" s="28"/>
      <c r="AHF33" s="28"/>
      <c r="AHG33" s="28"/>
      <c r="AHH33" s="28"/>
      <c r="AHI33" s="28"/>
      <c r="AHJ33" s="28"/>
      <c r="AHK33" s="28"/>
      <c r="AHL33" s="28"/>
      <c r="AHM33" s="28"/>
      <c r="AHN33" s="28"/>
      <c r="AHO33" s="28"/>
      <c r="AHP33" s="28"/>
      <c r="AHQ33" s="28"/>
      <c r="AHR33" s="28"/>
      <c r="AHS33" s="28"/>
      <c r="AHT33" s="28"/>
      <c r="AHU33" s="28"/>
      <c r="AHV33" s="28"/>
      <c r="AHW33" s="28"/>
      <c r="AHX33" s="28"/>
      <c r="AHY33" s="28"/>
      <c r="AHZ33" s="28"/>
      <c r="AIA33" s="28"/>
      <c r="AIB33" s="28"/>
      <c r="AIC33" s="28"/>
      <c r="AID33" s="28"/>
      <c r="AIE33" s="28"/>
      <c r="AIF33" s="28"/>
      <c r="AIG33" s="28"/>
      <c r="AIH33" s="28"/>
      <c r="AII33" s="28"/>
      <c r="AIJ33" s="28"/>
      <c r="AIK33" s="28"/>
      <c r="AIL33" s="28"/>
      <c r="AIM33" s="28"/>
      <c r="AIN33" s="28"/>
      <c r="AIO33" s="28"/>
      <c r="AIP33" s="28"/>
      <c r="AIQ33" s="28"/>
      <c r="AIR33" s="28"/>
      <c r="AIS33" s="28"/>
      <c r="AIT33" s="28"/>
      <c r="AIU33" s="28"/>
      <c r="AIV33" s="28"/>
      <c r="AIW33" s="28"/>
      <c r="AIX33" s="28"/>
      <c r="AIY33" s="28"/>
      <c r="AIZ33" s="28"/>
      <c r="AJA33" s="28"/>
      <c r="AJB33" s="28"/>
      <c r="AJC33" s="28"/>
      <c r="AJD33" s="28"/>
      <c r="AJE33" s="28"/>
      <c r="AJF33" s="28"/>
      <c r="AJG33" s="28"/>
      <c r="AJH33" s="28"/>
      <c r="AJI33" s="28"/>
      <c r="AJJ33" s="28"/>
      <c r="AJK33" s="28"/>
      <c r="AJL33" s="28"/>
      <c r="AJM33" s="28"/>
      <c r="AJN33" s="28"/>
      <c r="AJO33" s="28"/>
      <c r="AJP33" s="28"/>
      <c r="AJQ33" s="28"/>
      <c r="AJR33" s="28"/>
      <c r="AJS33" s="28"/>
      <c r="AJT33" s="28"/>
      <c r="AJU33" s="28"/>
      <c r="AJV33" s="28"/>
      <c r="AJW33" s="28"/>
      <c r="AJX33" s="28"/>
      <c r="AJY33" s="28"/>
      <c r="AJZ33" s="28"/>
      <c r="AKA33" s="28"/>
      <c r="AKB33" s="28"/>
      <c r="AKC33" s="28"/>
      <c r="AKD33" s="28"/>
      <c r="AKE33" s="28"/>
      <c r="AKF33" s="28"/>
      <c r="AKG33" s="28"/>
      <c r="AKH33" s="28"/>
      <c r="AKI33" s="28"/>
      <c r="AKJ33" s="28"/>
      <c r="AKK33" s="28"/>
      <c r="AKL33" s="28"/>
      <c r="AKM33" s="28"/>
      <c r="AKN33" s="28"/>
      <c r="AKO33" s="28"/>
      <c r="AKP33" s="28"/>
      <c r="AKQ33" s="28"/>
      <c r="AKR33" s="28"/>
      <c r="AKS33" s="28"/>
      <c r="AKT33" s="28"/>
      <c r="AKU33" s="28"/>
      <c r="AKV33" s="28"/>
      <c r="AKW33" s="28"/>
      <c r="AKX33" s="28"/>
      <c r="AKY33" s="28"/>
      <c r="AKZ33" s="28"/>
      <c r="ALA33" s="28"/>
      <c r="ALB33" s="28"/>
      <c r="ALC33" s="28"/>
      <c r="ALD33" s="28"/>
      <c r="ALE33" s="28"/>
      <c r="ALF33" s="28"/>
      <c r="ALG33" s="28"/>
      <c r="ALH33" s="28"/>
      <c r="ALI33" s="28"/>
      <c r="ALJ33" s="28"/>
      <c r="ALK33" s="28"/>
      <c r="ALL33" s="28"/>
      <c r="ALM33" s="28"/>
      <c r="ALN33" s="28"/>
      <c r="ALO33" s="28"/>
      <c r="ALP33" s="28"/>
      <c r="ALQ33" s="28"/>
      <c r="ALR33" s="28"/>
      <c r="ALS33" s="28"/>
      <c r="ALT33" s="28"/>
      <c r="ALU33" s="28"/>
      <c r="ALV33" s="28"/>
      <c r="ALW33" s="28"/>
      <c r="ALX33" s="28"/>
      <c r="ALY33" s="28"/>
      <c r="ALZ33" s="28"/>
      <c r="AMA33" s="28"/>
      <c r="AMB33" s="28"/>
      <c r="AMC33" s="28"/>
      <c r="AMD33" s="28"/>
      <c r="AME33" s="28"/>
      <c r="AMF33" s="28"/>
      <c r="AMG33" s="28"/>
      <c r="AMH33" s="28"/>
      <c r="AMI33" s="28"/>
      <c r="AMJ33" s="28"/>
      <c r="AMK33" s="28"/>
      <c r="AML33" s="28"/>
      <c r="AMM33" s="28"/>
      <c r="AMN33" s="28"/>
      <c r="AMO33" s="28"/>
      <c r="AMP33" s="28"/>
      <c r="AMQ33" s="28"/>
      <c r="AMR33" s="28"/>
      <c r="AMS33" s="28"/>
      <c r="AMT33" s="28"/>
      <c r="AMU33" s="28"/>
      <c r="AMV33" s="28"/>
      <c r="AMW33" s="28"/>
      <c r="AMX33" s="28"/>
      <c r="AMY33" s="28"/>
      <c r="AMZ33" s="28"/>
      <c r="ANA33" s="28"/>
      <c r="ANB33" s="28"/>
      <c r="ANC33" s="28"/>
      <c r="AND33" s="28"/>
      <c r="ANE33" s="28"/>
      <c r="ANF33" s="28"/>
      <c r="ANG33" s="28"/>
      <c r="ANH33" s="28"/>
      <c r="ANI33" s="28"/>
      <c r="ANJ33" s="28"/>
      <c r="ANK33" s="28"/>
      <c r="ANL33" s="28"/>
      <c r="ANM33" s="28"/>
      <c r="ANN33" s="28"/>
      <c r="ANO33" s="28"/>
      <c r="ANP33" s="28"/>
      <c r="ANQ33" s="28"/>
      <c r="ANR33" s="28"/>
      <c r="ANS33" s="28"/>
      <c r="ANT33" s="28"/>
      <c r="ANU33" s="28"/>
      <c r="ANV33" s="28"/>
      <c r="ANW33" s="28"/>
      <c r="ANX33" s="28"/>
      <c r="ANY33" s="28"/>
      <c r="ANZ33" s="28"/>
      <c r="AOA33" s="28"/>
      <c r="AOB33" s="28"/>
      <c r="AOC33" s="28"/>
      <c r="AOD33" s="28"/>
      <c r="AOE33" s="28"/>
      <c r="AOF33" s="28"/>
      <c r="AOG33" s="28"/>
      <c r="AOH33" s="28"/>
      <c r="AOI33" s="28"/>
      <c r="AOJ33" s="28"/>
      <c r="AOK33" s="28"/>
      <c r="AOL33" s="28"/>
      <c r="AOM33" s="28"/>
      <c r="AON33" s="28"/>
      <c r="AOO33" s="28"/>
      <c r="AOP33" s="28"/>
      <c r="AOQ33" s="28"/>
      <c r="AOR33" s="28"/>
      <c r="AOS33" s="28"/>
      <c r="AOT33" s="28"/>
      <c r="AOU33" s="28"/>
      <c r="AOV33" s="28"/>
      <c r="AOW33" s="28"/>
      <c r="AOX33" s="28"/>
      <c r="AOY33" s="28"/>
      <c r="AOZ33" s="28"/>
      <c r="APA33" s="28"/>
      <c r="APB33" s="28"/>
      <c r="APC33" s="28"/>
      <c r="APD33" s="28"/>
      <c r="APE33" s="28"/>
      <c r="APF33" s="28"/>
      <c r="APG33" s="28"/>
      <c r="APH33" s="28"/>
      <c r="API33" s="28"/>
      <c r="APJ33" s="28"/>
      <c r="APK33" s="28"/>
      <c r="APL33" s="28"/>
      <c r="APM33" s="28"/>
      <c r="APN33" s="28"/>
      <c r="APO33" s="28"/>
      <c r="APP33" s="28"/>
      <c r="APQ33" s="28"/>
      <c r="APR33" s="28"/>
      <c r="APS33" s="28"/>
      <c r="APT33" s="28"/>
      <c r="APU33" s="28"/>
      <c r="APV33" s="28"/>
      <c r="APW33" s="28"/>
      <c r="APX33" s="28"/>
      <c r="APY33" s="28"/>
      <c r="APZ33" s="28"/>
      <c r="AQA33" s="28"/>
      <c r="AQB33" s="28"/>
      <c r="AQC33" s="28"/>
      <c r="AQD33" s="28"/>
      <c r="AQE33" s="28"/>
      <c r="AQF33" s="28"/>
      <c r="AQG33" s="28"/>
      <c r="AQH33" s="28"/>
      <c r="AQI33" s="28"/>
      <c r="AQJ33" s="28"/>
      <c r="AQK33" s="28"/>
      <c r="AQL33" s="28"/>
      <c r="AQM33" s="28"/>
      <c r="AQN33" s="28"/>
      <c r="AQO33" s="28"/>
      <c r="AQP33" s="28"/>
      <c r="AQQ33" s="28"/>
      <c r="AQR33" s="28"/>
      <c r="AQS33" s="28"/>
      <c r="AQT33" s="28"/>
      <c r="AQU33" s="28"/>
      <c r="AQV33" s="28"/>
      <c r="AQW33" s="28"/>
      <c r="AQX33" s="28"/>
      <c r="AQY33" s="28"/>
      <c r="AQZ33" s="28"/>
      <c r="ARA33" s="28"/>
      <c r="ARB33" s="28"/>
      <c r="ARC33" s="28"/>
      <c r="ARD33" s="28"/>
      <c r="ARE33" s="28"/>
      <c r="ARF33" s="28"/>
      <c r="ARG33" s="28"/>
      <c r="ARH33" s="28"/>
      <c r="ARI33" s="28"/>
      <c r="ARJ33" s="28"/>
      <c r="ARK33" s="28"/>
      <c r="ARL33" s="28"/>
      <c r="ARM33" s="28"/>
      <c r="ARN33" s="28"/>
      <c r="ARO33" s="28"/>
      <c r="ARP33" s="28"/>
      <c r="ARQ33" s="28"/>
      <c r="ARR33" s="28"/>
      <c r="ARS33" s="28"/>
      <c r="ART33" s="28"/>
      <c r="ARU33" s="28"/>
      <c r="ARV33" s="28"/>
      <c r="ARW33" s="28"/>
      <c r="ARX33" s="28"/>
      <c r="ARY33" s="28"/>
      <c r="ARZ33" s="28"/>
      <c r="ASA33" s="28"/>
      <c r="ASB33" s="28"/>
      <c r="ASC33" s="28"/>
      <c r="ASD33" s="28"/>
      <c r="ASE33" s="28"/>
      <c r="ASF33" s="28"/>
      <c r="ASG33" s="28"/>
      <c r="ASH33" s="28"/>
      <c r="ASI33" s="28"/>
      <c r="ASJ33" s="28"/>
      <c r="ASK33" s="28"/>
      <c r="ASL33" s="28"/>
      <c r="ASM33" s="28"/>
      <c r="ASN33" s="28"/>
      <c r="ASO33" s="28"/>
      <c r="ASP33" s="28"/>
      <c r="ASQ33" s="28"/>
      <c r="ASR33" s="28"/>
      <c r="ASS33" s="28"/>
      <c r="AST33" s="28"/>
      <c r="ASU33" s="28"/>
      <c r="ASV33" s="28"/>
      <c r="ASW33" s="28"/>
      <c r="ASX33" s="28"/>
      <c r="ASY33" s="28"/>
      <c r="ASZ33" s="28"/>
      <c r="ATA33" s="28"/>
      <c r="ATB33" s="28"/>
      <c r="ATC33" s="28"/>
      <c r="ATD33" s="28"/>
      <c r="ATE33" s="28"/>
      <c r="ATF33" s="28"/>
      <c r="ATG33" s="28"/>
      <c r="ATH33" s="28"/>
      <c r="ATI33" s="28"/>
      <c r="ATJ33" s="28"/>
      <c r="ATK33" s="28"/>
      <c r="ATL33" s="28"/>
      <c r="ATM33" s="28"/>
      <c r="ATN33" s="28"/>
      <c r="ATO33" s="28"/>
      <c r="ATP33" s="28"/>
      <c r="ATQ33" s="28"/>
      <c r="ATR33" s="28"/>
      <c r="ATS33" s="28"/>
      <c r="ATT33" s="28"/>
      <c r="ATU33" s="28"/>
      <c r="ATV33" s="28"/>
      <c r="ATW33" s="28"/>
      <c r="ATX33" s="28"/>
      <c r="ATY33" s="28"/>
      <c r="ATZ33" s="28"/>
      <c r="AUA33" s="28"/>
      <c r="AUB33" s="28"/>
      <c r="AUC33" s="28"/>
      <c r="AUD33" s="28"/>
      <c r="AUE33" s="28"/>
      <c r="AUF33" s="28"/>
      <c r="AUG33" s="28"/>
      <c r="AUH33" s="28"/>
      <c r="AUI33" s="28"/>
      <c r="AUJ33" s="28"/>
      <c r="AUK33" s="28"/>
      <c r="AUL33" s="28"/>
      <c r="AUM33" s="28"/>
      <c r="AUN33" s="28"/>
      <c r="AUO33" s="28"/>
      <c r="AUP33" s="28"/>
      <c r="AUQ33" s="28"/>
      <c r="AUR33" s="28"/>
      <c r="AUS33" s="28"/>
      <c r="AUT33" s="28"/>
      <c r="AUU33" s="28"/>
      <c r="AUV33" s="28"/>
      <c r="AUW33" s="28"/>
      <c r="AUX33" s="28"/>
      <c r="AUY33" s="28"/>
      <c r="AUZ33" s="28"/>
      <c r="AVA33" s="28"/>
      <c r="AVB33" s="28"/>
      <c r="AVC33" s="28"/>
      <c r="AVD33" s="28"/>
      <c r="AVE33" s="28"/>
      <c r="AVF33" s="28"/>
      <c r="AVG33" s="28"/>
      <c r="AVH33" s="28"/>
      <c r="AVI33" s="28"/>
      <c r="AVJ33" s="28"/>
      <c r="AVK33" s="28"/>
      <c r="AVL33" s="28"/>
      <c r="AVM33" s="28"/>
      <c r="AVN33" s="28"/>
      <c r="AVO33" s="28"/>
      <c r="AVP33" s="28"/>
      <c r="AVQ33" s="28"/>
      <c r="AVR33" s="28"/>
      <c r="AVS33" s="28"/>
      <c r="AVT33" s="28"/>
      <c r="AVU33" s="28"/>
      <c r="AVV33" s="28"/>
      <c r="AVW33" s="28"/>
      <c r="AVX33" s="28"/>
      <c r="AVY33" s="28"/>
      <c r="AVZ33" s="28"/>
      <c r="AWA33" s="28"/>
      <c r="AWB33" s="28"/>
      <c r="AWC33" s="28"/>
      <c r="AWD33" s="28"/>
      <c r="AWE33" s="28"/>
      <c r="AWF33" s="28"/>
      <c r="AWG33" s="28"/>
      <c r="AWH33" s="28"/>
      <c r="AWI33" s="28"/>
      <c r="AWJ33" s="28"/>
      <c r="AWK33" s="28"/>
      <c r="AWL33" s="28"/>
      <c r="AWM33" s="28"/>
      <c r="AWN33" s="28"/>
      <c r="AWO33" s="28"/>
      <c r="AWP33" s="28"/>
      <c r="AWQ33" s="28"/>
      <c r="AWR33" s="28"/>
      <c r="AWS33" s="28"/>
      <c r="AWT33" s="28"/>
      <c r="AWU33" s="28"/>
      <c r="AWV33" s="28"/>
      <c r="AWW33" s="28"/>
      <c r="AWX33" s="28"/>
      <c r="AWY33" s="28"/>
      <c r="AWZ33" s="28"/>
      <c r="AXA33" s="28"/>
      <c r="AXB33" s="28"/>
      <c r="AXC33" s="28"/>
      <c r="AXD33" s="28"/>
      <c r="AXE33" s="28"/>
      <c r="AXF33" s="28"/>
      <c r="AXG33" s="28"/>
      <c r="AXH33" s="28"/>
      <c r="AXI33" s="28"/>
      <c r="AXJ33" s="28"/>
      <c r="AXK33" s="28"/>
      <c r="AXL33" s="28"/>
      <c r="AXM33" s="28"/>
      <c r="AXN33" s="28"/>
      <c r="AXO33" s="28"/>
      <c r="AXP33" s="28"/>
      <c r="AXQ33" s="28"/>
      <c r="AXR33" s="28"/>
      <c r="AXS33" s="28"/>
      <c r="AXT33" s="28"/>
      <c r="AXU33" s="28"/>
      <c r="AXV33" s="28"/>
      <c r="AXW33" s="28"/>
      <c r="AXX33" s="28"/>
      <c r="AXY33" s="28"/>
      <c r="AXZ33" s="28"/>
      <c r="AYA33" s="28"/>
      <c r="AYB33" s="28"/>
      <c r="AYC33" s="28"/>
      <c r="AYD33" s="28"/>
      <c r="AYE33" s="28"/>
      <c r="AYF33" s="28"/>
      <c r="AYG33" s="28"/>
      <c r="AYH33" s="28"/>
      <c r="AYI33" s="28"/>
      <c r="AYJ33" s="28"/>
      <c r="AYK33" s="28"/>
      <c r="AYL33" s="28"/>
      <c r="AYM33" s="28"/>
      <c r="AYN33" s="28"/>
      <c r="AYO33" s="28"/>
      <c r="AYP33" s="28"/>
      <c r="AYQ33" s="28"/>
      <c r="AYR33" s="28"/>
      <c r="AYS33" s="28"/>
      <c r="AYT33" s="28"/>
      <c r="AYU33" s="28"/>
      <c r="AYV33" s="28"/>
      <c r="AYW33" s="28"/>
      <c r="AYX33" s="28"/>
      <c r="AYY33" s="28"/>
      <c r="AYZ33" s="28"/>
      <c r="AZA33" s="28"/>
      <c r="AZB33" s="28"/>
      <c r="AZC33" s="28"/>
      <c r="AZD33" s="28"/>
      <c r="AZE33" s="28"/>
      <c r="AZF33" s="28"/>
      <c r="AZG33" s="28"/>
      <c r="AZH33" s="28"/>
      <c r="AZI33" s="28"/>
      <c r="AZJ33" s="28"/>
      <c r="AZK33" s="28"/>
      <c r="AZL33" s="28"/>
      <c r="AZM33" s="28"/>
      <c r="AZN33" s="28"/>
      <c r="AZO33" s="28"/>
      <c r="AZP33" s="28"/>
      <c r="AZQ33" s="28"/>
      <c r="AZR33" s="28"/>
      <c r="AZS33" s="28"/>
      <c r="AZT33" s="28"/>
      <c r="AZU33" s="28"/>
      <c r="AZV33" s="28"/>
      <c r="AZW33" s="28"/>
      <c r="AZX33" s="28"/>
      <c r="AZY33" s="28"/>
      <c r="AZZ33" s="28"/>
      <c r="BAA33" s="28"/>
      <c r="BAB33" s="28"/>
      <c r="BAC33" s="28"/>
      <c r="BAD33" s="28"/>
      <c r="BAE33" s="28"/>
      <c r="BAF33" s="28"/>
      <c r="BAG33" s="28"/>
      <c r="BAH33" s="28"/>
      <c r="BAI33" s="28"/>
      <c r="BAJ33" s="28"/>
      <c r="BAK33" s="28"/>
      <c r="BAL33" s="28"/>
      <c r="BAM33" s="28"/>
      <c r="BAN33" s="28"/>
      <c r="BAO33" s="28"/>
      <c r="BAP33" s="28"/>
      <c r="BAQ33" s="28"/>
      <c r="BAR33" s="28"/>
      <c r="BAS33" s="28"/>
      <c r="BAT33" s="28"/>
      <c r="BAU33" s="28"/>
      <c r="BAV33" s="28"/>
      <c r="BAW33" s="28"/>
      <c r="BAX33" s="28"/>
      <c r="BAY33" s="28"/>
      <c r="BAZ33" s="28"/>
      <c r="BBA33" s="28"/>
      <c r="BBB33" s="28"/>
      <c r="BBC33" s="28"/>
      <c r="BBD33" s="28"/>
      <c r="BBE33" s="28"/>
      <c r="BBF33" s="28"/>
      <c r="BBG33" s="28"/>
      <c r="BBH33" s="28"/>
      <c r="BBI33" s="28"/>
      <c r="BBJ33" s="28"/>
      <c r="BBK33" s="28"/>
      <c r="BBL33" s="28"/>
      <c r="BBM33" s="28"/>
      <c r="BBN33" s="28"/>
      <c r="BBO33" s="28"/>
      <c r="BBP33" s="28"/>
      <c r="BBQ33" s="28"/>
      <c r="BBR33" s="28"/>
      <c r="BBS33" s="28"/>
      <c r="BBT33" s="28"/>
      <c r="BBU33" s="28"/>
      <c r="BBV33" s="28"/>
      <c r="BBW33" s="28"/>
      <c r="BBX33" s="28"/>
      <c r="BBY33" s="28"/>
      <c r="BBZ33" s="28"/>
      <c r="BCA33" s="28"/>
      <c r="BCB33" s="28"/>
      <c r="BCC33" s="28"/>
      <c r="BCD33" s="28"/>
      <c r="BCE33" s="28"/>
      <c r="BCF33" s="28"/>
      <c r="BCG33" s="28"/>
      <c r="BCH33" s="28"/>
      <c r="BCI33" s="28"/>
      <c r="BCJ33" s="28"/>
      <c r="BCK33" s="28"/>
      <c r="BCL33" s="28"/>
      <c r="BCM33" s="28"/>
      <c r="BCN33" s="28"/>
      <c r="BCO33" s="28"/>
      <c r="BCP33" s="28"/>
      <c r="BCQ33" s="28"/>
      <c r="BCR33" s="28"/>
      <c r="BCS33" s="28"/>
      <c r="BCT33" s="28"/>
      <c r="BCU33" s="28"/>
      <c r="BCV33" s="28"/>
      <c r="BCW33" s="28"/>
      <c r="BCX33" s="28"/>
      <c r="BCY33" s="28"/>
      <c r="BCZ33" s="28"/>
      <c r="BDA33" s="28"/>
      <c r="BDB33" s="28"/>
      <c r="BDC33" s="28"/>
      <c r="BDD33" s="28"/>
      <c r="BDE33" s="28"/>
      <c r="BDF33" s="28"/>
      <c r="BDG33" s="28"/>
      <c r="BDH33" s="28"/>
      <c r="BDI33" s="28"/>
      <c r="BDJ33" s="28"/>
      <c r="BDK33" s="28"/>
      <c r="BDL33" s="28"/>
      <c r="BDM33" s="28"/>
      <c r="BDN33" s="28"/>
      <c r="BDO33" s="28"/>
      <c r="BDP33" s="28"/>
      <c r="BDQ33" s="28"/>
      <c r="BDR33" s="28"/>
      <c r="BDS33" s="28"/>
      <c r="BDT33" s="28"/>
      <c r="BDU33" s="28"/>
      <c r="BDV33" s="28"/>
      <c r="BDW33" s="28"/>
      <c r="BDX33" s="28"/>
      <c r="BDY33" s="28"/>
      <c r="BDZ33" s="28"/>
      <c r="BEA33" s="28"/>
      <c r="BEB33" s="28"/>
      <c r="BEC33" s="28"/>
      <c r="BED33" s="28"/>
      <c r="BEE33" s="28"/>
      <c r="BEF33" s="28"/>
      <c r="BEG33" s="28"/>
      <c r="BEH33" s="28"/>
      <c r="BEI33" s="28"/>
      <c r="BEJ33" s="28"/>
      <c r="BEK33" s="28"/>
      <c r="BEL33" s="28"/>
      <c r="BEM33" s="28"/>
      <c r="BEN33" s="28"/>
      <c r="BEO33" s="28"/>
      <c r="BEP33" s="28"/>
      <c r="BEQ33" s="28"/>
      <c r="BER33" s="28"/>
      <c r="BES33" s="28"/>
      <c r="BET33" s="28"/>
      <c r="BEU33" s="28"/>
      <c r="BEV33" s="28"/>
      <c r="BEW33" s="28"/>
      <c r="BEX33" s="28"/>
      <c r="BEY33" s="28"/>
      <c r="BEZ33" s="28"/>
      <c r="BFA33" s="28"/>
      <c r="BFB33" s="28"/>
      <c r="BFC33" s="28"/>
      <c r="BFD33" s="28"/>
      <c r="BFE33" s="28"/>
      <c r="BFF33" s="28"/>
      <c r="BFG33" s="28"/>
      <c r="BFH33" s="28"/>
      <c r="BFI33" s="28"/>
      <c r="BFJ33" s="28"/>
      <c r="BFK33" s="28"/>
      <c r="BFL33" s="28"/>
      <c r="BFM33" s="28"/>
      <c r="BFN33" s="28"/>
      <c r="BFO33" s="28"/>
      <c r="BFP33" s="28"/>
      <c r="BFQ33" s="28"/>
      <c r="BFR33" s="28"/>
      <c r="BFS33" s="28"/>
      <c r="BFT33" s="28"/>
      <c r="BFU33" s="28"/>
      <c r="BFV33" s="28"/>
      <c r="BFW33" s="28"/>
      <c r="BFX33" s="28"/>
      <c r="BFY33" s="28"/>
      <c r="BFZ33" s="28"/>
      <c r="BGA33" s="28"/>
      <c r="BGB33" s="28"/>
      <c r="BGC33" s="28"/>
      <c r="BGD33" s="28"/>
      <c r="BGE33" s="28"/>
      <c r="BGF33" s="28"/>
      <c r="BGG33" s="28"/>
      <c r="BGH33" s="28"/>
      <c r="BGI33" s="28"/>
      <c r="BGJ33" s="28"/>
      <c r="BGK33" s="28"/>
      <c r="BGL33" s="28"/>
      <c r="BGM33" s="28"/>
      <c r="BGN33" s="28"/>
      <c r="BGO33" s="28"/>
      <c r="BGP33" s="28"/>
      <c r="BGQ33" s="28"/>
      <c r="BGR33" s="28"/>
      <c r="BGS33" s="28"/>
      <c r="BGT33" s="28"/>
      <c r="BGU33" s="28"/>
      <c r="BGV33" s="28"/>
      <c r="BGW33" s="28"/>
      <c r="BGX33" s="28"/>
      <c r="BGY33" s="28"/>
      <c r="BGZ33" s="28"/>
      <c r="BHA33" s="28"/>
      <c r="BHB33" s="28"/>
      <c r="BHC33" s="28"/>
      <c r="BHD33" s="28"/>
      <c r="BHE33" s="28"/>
      <c r="BHF33" s="28"/>
      <c r="BHG33" s="28"/>
      <c r="BHH33" s="28"/>
      <c r="BHI33" s="28"/>
      <c r="BHJ33" s="28"/>
      <c r="BHK33" s="28"/>
      <c r="BHL33" s="28"/>
      <c r="BHM33" s="28"/>
      <c r="BHN33" s="28"/>
      <c r="BHO33" s="28"/>
      <c r="BHP33" s="28"/>
      <c r="BHQ33" s="28"/>
      <c r="BHR33" s="28"/>
      <c r="BHS33" s="28"/>
      <c r="BHT33" s="28"/>
      <c r="BHU33" s="28"/>
      <c r="BHV33" s="28"/>
      <c r="BHW33" s="28"/>
      <c r="BHX33" s="28"/>
      <c r="BHY33" s="28"/>
      <c r="BHZ33" s="28"/>
      <c r="BIA33" s="28"/>
      <c r="BIB33" s="28"/>
      <c r="BIC33" s="28"/>
      <c r="BID33" s="28"/>
      <c r="BIE33" s="28"/>
      <c r="BIF33" s="28"/>
      <c r="BIG33" s="28"/>
      <c r="BIH33" s="28"/>
      <c r="BII33" s="28"/>
      <c r="BIJ33" s="28"/>
      <c r="BIK33" s="28"/>
      <c r="BIL33" s="28"/>
      <c r="BIM33" s="28"/>
      <c r="BIN33" s="28"/>
      <c r="BIO33" s="28"/>
      <c r="BIP33" s="28"/>
      <c r="BIQ33" s="28"/>
      <c r="BIR33" s="28"/>
      <c r="BIS33" s="28"/>
      <c r="BIT33" s="28"/>
      <c r="BIU33" s="28"/>
      <c r="BIV33" s="28"/>
      <c r="BIW33" s="28"/>
      <c r="BIX33" s="28"/>
      <c r="BIY33" s="28"/>
      <c r="BIZ33" s="28"/>
      <c r="BJA33" s="28"/>
      <c r="BJB33" s="28"/>
      <c r="BJC33" s="28"/>
      <c r="BJD33" s="28"/>
      <c r="BJE33" s="28"/>
      <c r="BJF33" s="28"/>
      <c r="BJG33" s="28"/>
      <c r="BJH33" s="28"/>
      <c r="BJI33" s="28"/>
      <c r="BJJ33" s="28"/>
      <c r="BJK33" s="28"/>
      <c r="BJL33" s="28"/>
      <c r="BJM33" s="28"/>
      <c r="BJN33" s="28"/>
      <c r="BJO33" s="28"/>
      <c r="BJP33" s="28"/>
      <c r="BJQ33" s="28"/>
      <c r="BJR33" s="28"/>
      <c r="BJS33" s="28"/>
      <c r="BJT33" s="28"/>
      <c r="BJU33" s="28"/>
      <c r="BJV33" s="28"/>
      <c r="BJW33" s="28"/>
      <c r="BJX33" s="28"/>
      <c r="BJY33" s="28"/>
      <c r="BJZ33" s="28"/>
      <c r="BKA33" s="28"/>
      <c r="BKB33" s="28"/>
      <c r="BKC33" s="28"/>
      <c r="BKD33" s="28"/>
      <c r="BKE33" s="28"/>
      <c r="BKF33" s="28"/>
      <c r="BKG33" s="28"/>
      <c r="BKH33" s="28"/>
      <c r="BKI33" s="28"/>
      <c r="BKJ33" s="28"/>
      <c r="BKK33" s="28"/>
      <c r="BKL33" s="28"/>
      <c r="BKM33" s="28"/>
      <c r="BKN33" s="28"/>
      <c r="BKO33" s="28"/>
      <c r="BKP33" s="28"/>
      <c r="BKQ33" s="28"/>
      <c r="BKR33" s="28"/>
      <c r="BKS33" s="28"/>
      <c r="BKT33" s="28"/>
      <c r="BKU33" s="28"/>
      <c r="BKV33" s="28"/>
      <c r="BKW33" s="28"/>
      <c r="BKX33" s="28"/>
      <c r="BKY33" s="28"/>
      <c r="BKZ33" s="28"/>
      <c r="BLA33" s="28"/>
      <c r="BLB33" s="28"/>
      <c r="BLC33" s="28"/>
      <c r="BLD33" s="28"/>
      <c r="BLE33" s="28"/>
      <c r="BLF33" s="28"/>
      <c r="BLG33" s="28"/>
      <c r="BLH33" s="28"/>
      <c r="BLI33" s="28"/>
      <c r="BLJ33" s="28"/>
      <c r="BLK33" s="28"/>
      <c r="BLL33" s="28"/>
      <c r="BLM33" s="28"/>
      <c r="BLN33" s="28"/>
      <c r="BLO33" s="28"/>
      <c r="BLP33" s="28"/>
      <c r="BLQ33" s="28"/>
      <c r="BLR33" s="28"/>
      <c r="BLS33" s="28"/>
      <c r="BLT33" s="28"/>
      <c r="BLU33" s="28"/>
      <c r="BLV33" s="28"/>
      <c r="BLW33" s="28"/>
      <c r="BLX33" s="28"/>
      <c r="BLY33" s="28"/>
      <c r="BLZ33" s="28"/>
      <c r="BMA33" s="28"/>
      <c r="BMB33" s="28"/>
      <c r="BMC33" s="28"/>
      <c r="BMD33" s="28"/>
      <c r="BME33" s="28"/>
      <c r="BMF33" s="28"/>
      <c r="BMG33" s="28"/>
      <c r="BMH33" s="28"/>
      <c r="BMI33" s="28"/>
      <c r="BMJ33" s="28"/>
      <c r="BMK33" s="28"/>
      <c r="BML33" s="28"/>
      <c r="BMM33" s="28"/>
      <c r="BMN33" s="28"/>
      <c r="BMO33" s="28"/>
      <c r="BMP33" s="28"/>
      <c r="BMQ33" s="28"/>
      <c r="BMR33" s="28"/>
      <c r="BMS33" s="28"/>
      <c r="BMT33" s="28"/>
      <c r="BMU33" s="28"/>
      <c r="BMV33" s="28"/>
      <c r="BMW33" s="28"/>
      <c r="BMX33" s="28"/>
      <c r="BMY33" s="28"/>
      <c r="BMZ33" s="28"/>
      <c r="BNA33" s="28"/>
      <c r="BNB33" s="28"/>
      <c r="BNC33" s="28"/>
      <c r="BND33" s="28"/>
      <c r="BNE33" s="28"/>
      <c r="BNF33" s="28"/>
      <c r="BNG33" s="28"/>
      <c r="BNH33" s="28"/>
      <c r="BNI33" s="28"/>
      <c r="BNJ33" s="28"/>
      <c r="BNK33" s="28"/>
      <c r="BNL33" s="28"/>
      <c r="BNM33" s="28"/>
      <c r="BNN33" s="28"/>
      <c r="BNO33" s="28"/>
      <c r="BNP33" s="28"/>
      <c r="BNQ33" s="28"/>
      <c r="BNR33" s="28"/>
      <c r="BNS33" s="28"/>
      <c r="BNT33" s="28"/>
      <c r="BNU33" s="28"/>
      <c r="BNV33" s="28"/>
      <c r="BNW33" s="28"/>
      <c r="BNX33" s="28"/>
      <c r="BNY33" s="28"/>
      <c r="BNZ33" s="28"/>
      <c r="BOA33" s="28"/>
      <c r="BOB33" s="28"/>
      <c r="BOC33" s="28"/>
      <c r="BOD33" s="28"/>
      <c r="BOE33" s="28"/>
      <c r="BOF33" s="28"/>
      <c r="BOG33" s="28"/>
      <c r="BOH33" s="28"/>
      <c r="BOI33" s="28"/>
      <c r="BOJ33" s="28"/>
      <c r="BOK33" s="28"/>
      <c r="BOL33" s="28"/>
      <c r="BOM33" s="28"/>
      <c r="BON33" s="28"/>
      <c r="BOO33" s="28"/>
      <c r="BOP33" s="28"/>
      <c r="BOQ33" s="28"/>
      <c r="BOR33" s="28"/>
      <c r="BOS33" s="28"/>
      <c r="BOT33" s="28"/>
      <c r="BOU33" s="28"/>
      <c r="BOV33" s="28"/>
      <c r="BOW33" s="28"/>
      <c r="BOX33" s="28"/>
      <c r="BOY33" s="28"/>
      <c r="BOZ33" s="28"/>
      <c r="BPA33" s="28"/>
      <c r="BPB33" s="28"/>
      <c r="BPC33" s="28"/>
      <c r="BPD33" s="28"/>
      <c r="BPE33" s="28"/>
      <c r="BPF33" s="28"/>
      <c r="BPG33" s="28"/>
      <c r="BPH33" s="28"/>
      <c r="BPI33" s="28"/>
      <c r="BPJ33" s="28"/>
      <c r="BPK33" s="28"/>
      <c r="BPL33" s="28"/>
      <c r="BPM33" s="28"/>
      <c r="BPN33" s="28"/>
      <c r="BPO33" s="28"/>
      <c r="BPP33" s="28"/>
      <c r="BPQ33" s="28"/>
      <c r="BPR33" s="28"/>
      <c r="BPS33" s="28"/>
      <c r="BPT33" s="28"/>
      <c r="BPU33" s="28"/>
      <c r="BPV33" s="28"/>
      <c r="BPW33" s="28"/>
      <c r="BPX33" s="28"/>
      <c r="BPY33" s="28"/>
      <c r="BPZ33" s="28"/>
      <c r="BQA33" s="28"/>
      <c r="BQB33" s="28"/>
      <c r="BQC33" s="28"/>
      <c r="BQD33" s="28"/>
      <c r="BQE33" s="28"/>
      <c r="BQF33" s="28"/>
      <c r="BQG33" s="28"/>
      <c r="BQH33" s="28"/>
      <c r="BQI33" s="28"/>
      <c r="BQJ33" s="28"/>
      <c r="BQK33" s="28"/>
      <c r="BQL33" s="28"/>
      <c r="BQM33" s="28"/>
      <c r="BQN33" s="28"/>
      <c r="BQO33" s="28"/>
      <c r="BQP33" s="28"/>
      <c r="BQQ33" s="28"/>
      <c r="BQR33" s="28"/>
      <c r="BQS33" s="28"/>
      <c r="BQT33" s="28"/>
      <c r="BQU33" s="28"/>
      <c r="BQV33" s="28"/>
      <c r="BQW33" s="28"/>
      <c r="BQX33" s="28"/>
      <c r="BQY33" s="28"/>
      <c r="BQZ33" s="28"/>
      <c r="BRA33" s="28"/>
      <c r="BRB33" s="28"/>
      <c r="BRC33" s="28"/>
      <c r="BRD33" s="28"/>
      <c r="BRE33" s="28"/>
      <c r="BRF33" s="28"/>
      <c r="BRG33" s="28"/>
      <c r="BRH33" s="28"/>
      <c r="BRI33" s="28"/>
      <c r="BRJ33" s="28"/>
      <c r="BRK33" s="28"/>
      <c r="BRL33" s="28"/>
      <c r="BRM33" s="28"/>
      <c r="BRN33" s="28"/>
      <c r="BRO33" s="28"/>
      <c r="BRP33" s="28"/>
      <c r="BRQ33" s="28"/>
      <c r="BRR33" s="28"/>
      <c r="BRS33" s="28"/>
      <c r="BRT33" s="28"/>
      <c r="BRU33" s="28"/>
      <c r="BRV33" s="28"/>
      <c r="BRW33" s="28"/>
      <c r="BRX33" s="28"/>
      <c r="BRY33" s="28"/>
      <c r="BRZ33" s="28"/>
      <c r="BSA33" s="28"/>
      <c r="BSB33" s="28"/>
      <c r="BSC33" s="28"/>
      <c r="BSD33" s="28"/>
      <c r="BSE33" s="28"/>
      <c r="BSF33" s="28"/>
      <c r="BSG33" s="28"/>
      <c r="BSH33" s="28"/>
      <c r="BSI33" s="28"/>
      <c r="BSJ33" s="28"/>
      <c r="BSK33" s="28"/>
      <c r="BSL33" s="28"/>
      <c r="BSM33" s="28"/>
      <c r="BSN33" s="28"/>
      <c r="BSO33" s="28"/>
      <c r="BSP33" s="28"/>
      <c r="BSQ33" s="28"/>
      <c r="BSR33" s="28"/>
      <c r="BSS33" s="28"/>
      <c r="BST33" s="28"/>
      <c r="BSU33" s="28"/>
      <c r="BSV33" s="28"/>
      <c r="BSW33" s="28"/>
      <c r="BSX33" s="28"/>
      <c r="BSY33" s="28"/>
      <c r="BSZ33" s="28"/>
      <c r="BTA33" s="28"/>
      <c r="BTB33" s="28"/>
      <c r="BTC33" s="28"/>
      <c r="BTD33" s="28"/>
      <c r="BTE33" s="28"/>
      <c r="BTF33" s="28"/>
      <c r="BTG33" s="28"/>
      <c r="BTH33" s="28"/>
      <c r="BTI33" s="28"/>
      <c r="BTJ33" s="28"/>
      <c r="BTK33" s="28"/>
      <c r="BTL33" s="28"/>
      <c r="BTM33" s="28"/>
      <c r="BTN33" s="28"/>
      <c r="BTO33" s="28"/>
      <c r="BTP33" s="28"/>
      <c r="BTQ33" s="28"/>
      <c r="BTR33" s="28"/>
      <c r="BTS33" s="28"/>
      <c r="BTT33" s="28"/>
      <c r="BTU33" s="28"/>
      <c r="BTV33" s="28"/>
      <c r="BTW33" s="28"/>
      <c r="BTX33" s="28"/>
      <c r="BTY33" s="28"/>
      <c r="BTZ33" s="28"/>
      <c r="BUA33" s="28"/>
      <c r="BUB33" s="28"/>
      <c r="BUC33" s="28"/>
      <c r="BUD33" s="28"/>
      <c r="BUE33" s="28"/>
      <c r="BUF33" s="28"/>
      <c r="BUG33" s="28"/>
      <c r="BUH33" s="28"/>
      <c r="BUI33" s="28"/>
      <c r="BUJ33" s="28"/>
      <c r="BUK33" s="28"/>
      <c r="BUL33" s="28"/>
      <c r="BUM33" s="28"/>
      <c r="BUN33" s="28"/>
      <c r="BUO33" s="28"/>
      <c r="BUP33" s="28"/>
      <c r="BUQ33" s="28"/>
      <c r="BUR33" s="28"/>
      <c r="BUS33" s="28"/>
      <c r="BUT33" s="28"/>
      <c r="BUU33" s="28"/>
      <c r="BUV33" s="28"/>
      <c r="BUW33" s="28"/>
      <c r="BUX33" s="28"/>
      <c r="BUY33" s="28"/>
      <c r="BUZ33" s="28"/>
      <c r="BVA33" s="28"/>
      <c r="BVB33" s="28"/>
      <c r="BVC33" s="28"/>
      <c r="BVD33" s="28"/>
      <c r="BVE33" s="28"/>
      <c r="BVF33" s="28"/>
      <c r="BVG33" s="28"/>
      <c r="BVH33" s="28"/>
      <c r="BVI33" s="28"/>
      <c r="BVJ33" s="28"/>
      <c r="BVK33" s="28"/>
      <c r="BVL33" s="28"/>
      <c r="BVM33" s="28"/>
      <c r="BVN33" s="28"/>
      <c r="BVO33" s="28"/>
      <c r="BVP33" s="28"/>
      <c r="BVQ33" s="28"/>
      <c r="BVR33" s="28"/>
      <c r="BVS33" s="28"/>
      <c r="BVT33" s="28"/>
      <c r="BVU33" s="28"/>
      <c r="BVV33" s="28"/>
      <c r="BVW33" s="28"/>
      <c r="BVX33" s="28"/>
      <c r="BVY33" s="28"/>
      <c r="BVZ33" s="28"/>
      <c r="BWA33" s="28"/>
      <c r="BWB33" s="28"/>
      <c r="BWC33" s="28"/>
      <c r="BWD33" s="28"/>
      <c r="BWE33" s="28"/>
      <c r="BWF33" s="28"/>
      <c r="BWG33" s="28"/>
      <c r="BWH33" s="28"/>
      <c r="BWI33" s="28"/>
      <c r="BWJ33" s="28"/>
      <c r="BWK33" s="28"/>
      <c r="BWL33" s="28"/>
      <c r="BWM33" s="28"/>
      <c r="BWN33" s="28"/>
      <c r="BWO33" s="28"/>
      <c r="BWP33" s="28"/>
      <c r="BWQ33" s="28"/>
      <c r="BWR33" s="28"/>
      <c r="BWS33" s="28"/>
      <c r="BWT33" s="28"/>
      <c r="BWU33" s="28"/>
      <c r="BWV33" s="28"/>
      <c r="BWW33" s="28"/>
      <c r="BWX33" s="28"/>
      <c r="BWY33" s="28"/>
      <c r="BWZ33" s="28"/>
      <c r="BXA33" s="28"/>
      <c r="BXB33" s="28"/>
      <c r="BXC33" s="28"/>
      <c r="BXD33" s="28"/>
      <c r="BXE33" s="28"/>
      <c r="BXF33" s="28"/>
      <c r="BXG33" s="28"/>
      <c r="BXH33" s="28"/>
      <c r="BXI33" s="28"/>
      <c r="BXJ33" s="28"/>
      <c r="BXK33" s="28"/>
      <c r="BXL33" s="28"/>
      <c r="BXM33" s="28"/>
      <c r="BXN33" s="28"/>
      <c r="BXO33" s="28"/>
      <c r="BXP33" s="28"/>
      <c r="BXQ33" s="28"/>
      <c r="BXR33" s="28"/>
      <c r="BXS33" s="28"/>
      <c r="BXT33" s="28"/>
      <c r="BXU33" s="28"/>
      <c r="BXV33" s="28"/>
      <c r="BXW33" s="28"/>
      <c r="BXX33" s="28"/>
      <c r="BXY33" s="28"/>
      <c r="BXZ33" s="28"/>
      <c r="BYA33" s="28"/>
      <c r="BYB33" s="28"/>
      <c r="BYC33" s="28"/>
      <c r="BYD33" s="28"/>
      <c r="BYE33" s="28"/>
      <c r="BYF33" s="28"/>
      <c r="BYG33" s="28"/>
      <c r="BYH33" s="28"/>
      <c r="BYI33" s="28"/>
      <c r="BYJ33" s="28"/>
      <c r="BYK33" s="28"/>
      <c r="BYL33" s="28"/>
      <c r="BYM33" s="28"/>
      <c r="BYN33" s="28"/>
      <c r="BYO33" s="28"/>
      <c r="BYP33" s="28"/>
      <c r="BYQ33" s="28"/>
      <c r="BYR33" s="28"/>
      <c r="BYS33" s="28"/>
      <c r="BYT33" s="28"/>
      <c r="BYU33" s="28"/>
      <c r="BYV33" s="28"/>
      <c r="BYW33" s="28"/>
      <c r="BYX33" s="28"/>
      <c r="BYY33" s="28"/>
      <c r="BYZ33" s="28"/>
      <c r="BZA33" s="28"/>
      <c r="BZB33" s="28"/>
      <c r="BZC33" s="28"/>
      <c r="BZD33" s="28"/>
      <c r="BZE33" s="28"/>
      <c r="BZF33" s="28"/>
      <c r="BZG33" s="28"/>
      <c r="BZH33" s="28"/>
      <c r="BZI33" s="28"/>
      <c r="BZJ33" s="28"/>
      <c r="BZK33" s="28"/>
      <c r="BZL33" s="28"/>
      <c r="BZM33" s="28"/>
      <c r="BZN33" s="28"/>
      <c r="BZO33" s="28"/>
      <c r="BZP33" s="28"/>
      <c r="BZQ33" s="28"/>
      <c r="BZR33" s="28"/>
      <c r="BZS33" s="28"/>
      <c r="BZT33" s="28"/>
      <c r="BZU33" s="28"/>
      <c r="BZV33" s="28"/>
      <c r="BZW33" s="28"/>
      <c r="BZX33" s="28"/>
      <c r="BZY33" s="28"/>
      <c r="BZZ33" s="28"/>
      <c r="CAA33" s="28"/>
      <c r="CAB33" s="28"/>
      <c r="CAC33" s="28"/>
      <c r="CAD33" s="28"/>
      <c r="CAE33" s="28"/>
      <c r="CAF33" s="28"/>
      <c r="CAG33" s="28"/>
      <c r="CAH33" s="28"/>
      <c r="CAI33" s="28"/>
      <c r="CAJ33" s="28"/>
      <c r="CAK33" s="28"/>
      <c r="CAL33" s="28"/>
      <c r="CAM33" s="28"/>
      <c r="CAN33" s="28"/>
      <c r="CAO33" s="28"/>
      <c r="CAP33" s="28"/>
      <c r="CAQ33" s="28"/>
      <c r="CAR33" s="28"/>
      <c r="CAS33" s="28"/>
      <c r="CAT33" s="28"/>
      <c r="CAU33" s="28"/>
      <c r="CAV33" s="28"/>
      <c r="CAW33" s="28"/>
      <c r="CAX33" s="28"/>
      <c r="CAY33" s="28"/>
      <c r="CAZ33" s="28"/>
      <c r="CBA33" s="28"/>
      <c r="CBB33" s="28"/>
      <c r="CBC33" s="28"/>
      <c r="CBD33" s="28"/>
      <c r="CBE33" s="28"/>
      <c r="CBF33" s="28"/>
      <c r="CBG33" s="28"/>
      <c r="CBH33" s="28"/>
      <c r="CBI33" s="28"/>
      <c r="CBJ33" s="28"/>
      <c r="CBK33" s="28"/>
      <c r="CBL33" s="28"/>
      <c r="CBM33" s="28"/>
      <c r="CBN33" s="28"/>
      <c r="CBO33" s="28"/>
      <c r="CBP33" s="28"/>
      <c r="CBQ33" s="28"/>
      <c r="CBR33" s="28"/>
      <c r="CBS33" s="28"/>
      <c r="CBT33" s="28"/>
      <c r="CBU33" s="28"/>
      <c r="CBV33" s="28"/>
      <c r="CBW33" s="28"/>
      <c r="CBX33" s="28"/>
      <c r="CBY33" s="28"/>
      <c r="CBZ33" s="28"/>
      <c r="CCA33" s="28"/>
      <c r="CCB33" s="28"/>
      <c r="CCC33" s="28"/>
      <c r="CCD33" s="28"/>
      <c r="CCE33" s="28"/>
      <c r="CCF33" s="28"/>
      <c r="CCG33" s="28"/>
      <c r="CCH33" s="28"/>
      <c r="CCI33" s="28"/>
      <c r="CCJ33" s="28"/>
      <c r="CCK33" s="28"/>
      <c r="CCL33" s="28"/>
      <c r="CCM33" s="28"/>
      <c r="CCN33" s="28"/>
      <c r="CCO33" s="28"/>
      <c r="CCP33" s="28"/>
      <c r="CCQ33" s="28"/>
      <c r="CCR33" s="28"/>
      <c r="CCS33" s="28"/>
      <c r="CCT33" s="28"/>
      <c r="CCU33" s="28"/>
      <c r="CCV33" s="28"/>
      <c r="CCW33" s="28"/>
      <c r="CCX33" s="28"/>
      <c r="CCY33" s="28"/>
      <c r="CCZ33" s="28"/>
      <c r="CDA33" s="28"/>
      <c r="CDB33" s="28"/>
      <c r="CDC33" s="28"/>
      <c r="CDD33" s="28"/>
      <c r="CDE33" s="28"/>
      <c r="CDF33" s="28"/>
      <c r="CDG33" s="28"/>
      <c r="CDH33" s="28"/>
      <c r="CDI33" s="28"/>
      <c r="CDJ33" s="28"/>
      <c r="CDK33" s="28"/>
      <c r="CDL33" s="28"/>
      <c r="CDM33" s="28"/>
      <c r="CDN33" s="28"/>
      <c r="CDO33" s="28"/>
      <c r="CDP33" s="28"/>
      <c r="CDQ33" s="28"/>
      <c r="CDR33" s="28"/>
      <c r="CDS33" s="28"/>
      <c r="CDT33" s="28"/>
      <c r="CDU33" s="28"/>
      <c r="CDV33" s="28"/>
      <c r="CDW33" s="28"/>
      <c r="CDX33" s="28"/>
      <c r="CDY33" s="28"/>
      <c r="CDZ33" s="28"/>
      <c r="CEA33" s="28"/>
      <c r="CEB33" s="28"/>
      <c r="CEC33" s="28"/>
      <c r="CED33" s="28"/>
      <c r="CEE33" s="28"/>
      <c r="CEF33" s="28"/>
      <c r="CEG33" s="28"/>
      <c r="CEH33" s="28"/>
      <c r="CEI33" s="28"/>
      <c r="CEJ33" s="28"/>
      <c r="CEK33" s="28"/>
      <c r="CEL33" s="28"/>
      <c r="CEM33" s="28"/>
      <c r="CEN33" s="28"/>
      <c r="CEO33" s="28"/>
      <c r="CEP33" s="28"/>
      <c r="CEQ33" s="28"/>
      <c r="CER33" s="28"/>
      <c r="CES33" s="28"/>
      <c r="CET33" s="28"/>
      <c r="CEU33" s="28"/>
      <c r="CEV33" s="28"/>
      <c r="CEW33" s="28"/>
      <c r="CEX33" s="28"/>
      <c r="CEY33" s="28"/>
      <c r="CEZ33" s="28"/>
      <c r="CFA33" s="28"/>
      <c r="CFB33" s="28"/>
      <c r="CFC33" s="28"/>
      <c r="CFD33" s="28"/>
      <c r="CFE33" s="28"/>
      <c r="CFF33" s="28"/>
      <c r="CFG33" s="28"/>
      <c r="CFH33" s="28"/>
      <c r="CFI33" s="28"/>
      <c r="CFJ33" s="28"/>
      <c r="CFK33" s="28"/>
      <c r="CFL33" s="28"/>
      <c r="CFM33" s="28"/>
      <c r="CFN33" s="28"/>
      <c r="CFO33" s="28"/>
      <c r="CFP33" s="28"/>
      <c r="CFQ33" s="28"/>
      <c r="CFR33" s="28"/>
      <c r="CFS33" s="28"/>
      <c r="CFT33" s="28"/>
      <c r="CFU33" s="28"/>
      <c r="CFV33" s="28"/>
      <c r="CFW33" s="28"/>
      <c r="CFX33" s="28"/>
      <c r="CFY33" s="28"/>
      <c r="CFZ33" s="28"/>
      <c r="CGA33" s="28"/>
      <c r="CGB33" s="28"/>
      <c r="CGC33" s="28"/>
      <c r="CGD33" s="28"/>
      <c r="CGE33" s="28"/>
      <c r="CGF33" s="28"/>
      <c r="CGG33" s="28"/>
      <c r="CGH33" s="28"/>
      <c r="CGI33" s="28"/>
      <c r="CGJ33" s="28"/>
      <c r="CGK33" s="28"/>
      <c r="CGL33" s="28"/>
      <c r="CGM33" s="28"/>
      <c r="CGN33" s="28"/>
      <c r="CGO33" s="28"/>
      <c r="CGP33" s="28"/>
      <c r="CGQ33" s="28"/>
      <c r="CGR33" s="28"/>
      <c r="CGS33" s="28"/>
      <c r="CGT33" s="28"/>
      <c r="CGU33" s="28"/>
      <c r="CGV33" s="28"/>
      <c r="CGW33" s="28"/>
      <c r="CGX33" s="28"/>
      <c r="CGY33" s="28"/>
      <c r="CGZ33" s="28"/>
      <c r="CHA33" s="28"/>
      <c r="CHB33" s="28"/>
      <c r="CHC33" s="28"/>
      <c r="CHD33" s="28"/>
      <c r="CHE33" s="28"/>
      <c r="CHF33" s="28"/>
      <c r="CHG33" s="28"/>
      <c r="CHH33" s="28"/>
      <c r="CHI33" s="28"/>
      <c r="CHJ33" s="28"/>
      <c r="CHK33" s="28"/>
      <c r="CHL33" s="28"/>
      <c r="CHM33" s="28"/>
      <c r="CHN33" s="28"/>
      <c r="CHO33" s="28"/>
      <c r="CHP33" s="28"/>
      <c r="CHQ33" s="28"/>
      <c r="CHR33" s="28"/>
      <c r="CHS33" s="28"/>
      <c r="CHT33" s="28"/>
      <c r="CHU33" s="28"/>
      <c r="CHV33" s="28"/>
      <c r="CHW33" s="28"/>
      <c r="CHX33" s="28"/>
      <c r="CHY33" s="28"/>
      <c r="CHZ33" s="28"/>
      <c r="CIA33" s="28"/>
      <c r="CIB33" s="28"/>
      <c r="CIC33" s="28"/>
      <c r="CID33" s="28"/>
      <c r="CIE33" s="28"/>
      <c r="CIF33" s="28"/>
      <c r="CIG33" s="28"/>
      <c r="CIH33" s="28"/>
      <c r="CII33" s="28"/>
      <c r="CIJ33" s="28"/>
      <c r="CIK33" s="28"/>
      <c r="CIL33" s="28"/>
      <c r="CIM33" s="28"/>
      <c r="CIN33" s="28"/>
      <c r="CIO33" s="28"/>
      <c r="CIP33" s="28"/>
      <c r="CIQ33" s="28"/>
      <c r="CIR33" s="28"/>
      <c r="CIS33" s="28"/>
      <c r="CIT33" s="28"/>
      <c r="CIU33" s="28"/>
      <c r="CIV33" s="28"/>
      <c r="CIW33" s="28"/>
      <c r="CIX33" s="28"/>
      <c r="CIY33" s="28"/>
      <c r="CIZ33" s="28"/>
      <c r="CJA33" s="28"/>
      <c r="CJB33" s="28"/>
      <c r="CJC33" s="28"/>
      <c r="CJD33" s="28"/>
      <c r="CJE33" s="28"/>
      <c r="CJF33" s="28"/>
      <c r="CJG33" s="28"/>
      <c r="CJH33" s="28"/>
      <c r="CJI33" s="28"/>
      <c r="CJJ33" s="28"/>
      <c r="CJK33" s="28"/>
      <c r="CJL33" s="28"/>
      <c r="CJM33" s="28"/>
      <c r="CJN33" s="28"/>
      <c r="CJO33" s="28"/>
      <c r="CJP33" s="28"/>
      <c r="CJQ33" s="28"/>
      <c r="CJR33" s="28"/>
      <c r="CJS33" s="28"/>
      <c r="CJT33" s="28"/>
      <c r="CJU33" s="28"/>
      <c r="CJV33" s="28"/>
      <c r="CJW33" s="28"/>
      <c r="CJX33" s="28"/>
      <c r="CJY33" s="28"/>
      <c r="CJZ33" s="28"/>
      <c r="CKA33" s="28"/>
      <c r="CKB33" s="28"/>
      <c r="CKC33" s="28"/>
      <c r="CKD33" s="28"/>
      <c r="CKE33" s="28"/>
      <c r="CKF33" s="28"/>
      <c r="CKG33" s="28"/>
      <c r="CKH33" s="28"/>
      <c r="CKI33" s="28"/>
      <c r="CKJ33" s="28"/>
      <c r="CKK33" s="28"/>
      <c r="CKL33" s="28"/>
      <c r="CKM33" s="28"/>
      <c r="CKN33" s="28"/>
      <c r="CKO33" s="28"/>
      <c r="CKP33" s="28"/>
      <c r="CKQ33" s="28"/>
      <c r="CKR33" s="28"/>
      <c r="CKS33" s="28"/>
      <c r="CKT33" s="28"/>
      <c r="CKU33" s="28"/>
      <c r="CKV33" s="28"/>
      <c r="CKW33" s="28"/>
      <c r="CKX33" s="28"/>
      <c r="CKY33" s="28"/>
      <c r="CKZ33" s="28"/>
      <c r="CLA33" s="28"/>
      <c r="CLB33" s="28"/>
      <c r="CLC33" s="28"/>
      <c r="CLD33" s="28"/>
      <c r="CLE33" s="28"/>
      <c r="CLF33" s="28"/>
      <c r="CLG33" s="28"/>
      <c r="CLH33" s="28"/>
      <c r="CLI33" s="28"/>
      <c r="CLJ33" s="28"/>
      <c r="CLK33" s="28"/>
      <c r="CLL33" s="28"/>
      <c r="CLM33" s="28"/>
      <c r="CLN33" s="28"/>
      <c r="CLO33" s="28"/>
      <c r="CLP33" s="28"/>
      <c r="CLQ33" s="28"/>
      <c r="CLR33" s="28"/>
      <c r="CLS33" s="28"/>
      <c r="CLT33" s="28"/>
      <c r="CLU33" s="28"/>
      <c r="CLV33" s="28"/>
      <c r="CLW33" s="28"/>
      <c r="CLX33" s="28"/>
      <c r="CLY33" s="28"/>
      <c r="CLZ33" s="28"/>
      <c r="CMA33" s="28"/>
      <c r="CMB33" s="28"/>
      <c r="CMC33" s="28"/>
      <c r="CMD33" s="28"/>
      <c r="CME33" s="28"/>
      <c r="CMF33" s="28"/>
      <c r="CMG33" s="28"/>
      <c r="CMH33" s="28"/>
      <c r="CMI33" s="28"/>
      <c r="CMJ33" s="28"/>
      <c r="CMK33" s="28"/>
      <c r="CML33" s="28"/>
      <c r="CMM33" s="28"/>
      <c r="CMN33" s="28"/>
      <c r="CMO33" s="28"/>
      <c r="CMP33" s="28"/>
      <c r="CMQ33" s="28"/>
      <c r="CMR33" s="28"/>
      <c r="CMS33" s="28"/>
      <c r="CMT33" s="28"/>
      <c r="CMU33" s="28"/>
      <c r="CMV33" s="28"/>
      <c r="CMW33" s="28"/>
      <c r="CMX33" s="28"/>
      <c r="CMY33" s="28"/>
      <c r="CMZ33" s="28"/>
      <c r="CNA33" s="28"/>
      <c r="CNB33" s="28"/>
      <c r="CNC33" s="28"/>
      <c r="CND33" s="28"/>
      <c r="CNE33" s="28"/>
      <c r="CNF33" s="28"/>
      <c r="CNG33" s="28"/>
      <c r="CNH33" s="28"/>
      <c r="CNI33" s="28"/>
      <c r="CNJ33" s="28"/>
      <c r="CNK33" s="28"/>
      <c r="CNL33" s="28"/>
      <c r="CNM33" s="28"/>
      <c r="CNN33" s="28"/>
      <c r="CNO33" s="28"/>
      <c r="CNP33" s="28"/>
      <c r="CNQ33" s="28"/>
      <c r="CNR33" s="28"/>
      <c r="CNS33" s="28"/>
      <c r="CNT33" s="28"/>
      <c r="CNU33" s="28"/>
      <c r="CNV33" s="28"/>
      <c r="CNW33" s="28"/>
      <c r="CNX33" s="28"/>
      <c r="CNY33" s="28"/>
      <c r="CNZ33" s="28"/>
      <c r="COA33" s="28"/>
      <c r="COB33" s="28"/>
      <c r="COC33" s="28"/>
      <c r="COD33" s="28"/>
      <c r="COE33" s="28"/>
      <c r="COF33" s="28"/>
      <c r="COG33" s="28"/>
      <c r="COH33" s="28"/>
      <c r="COI33" s="28"/>
      <c r="COJ33" s="28"/>
      <c r="COK33" s="28"/>
      <c r="COL33" s="28"/>
      <c r="COM33" s="28"/>
      <c r="CON33" s="28"/>
      <c r="COO33" s="28"/>
      <c r="COP33" s="28"/>
      <c r="COQ33" s="28"/>
      <c r="COR33" s="28"/>
      <c r="COS33" s="28"/>
      <c r="COT33" s="28"/>
      <c r="COU33" s="28"/>
      <c r="COV33" s="28"/>
      <c r="COW33" s="28"/>
      <c r="COX33" s="28"/>
      <c r="COY33" s="28"/>
      <c r="COZ33" s="28"/>
      <c r="CPA33" s="28"/>
      <c r="CPB33" s="28"/>
      <c r="CPC33" s="28"/>
      <c r="CPD33" s="28"/>
      <c r="CPE33" s="28"/>
      <c r="CPF33" s="28"/>
      <c r="CPG33" s="28"/>
      <c r="CPH33" s="28"/>
      <c r="CPI33" s="28"/>
      <c r="CPJ33" s="28"/>
      <c r="CPK33" s="28"/>
      <c r="CPL33" s="28"/>
      <c r="CPM33" s="28"/>
      <c r="CPN33" s="28"/>
      <c r="CPO33" s="28"/>
      <c r="CPP33" s="28"/>
      <c r="CPQ33" s="28"/>
      <c r="CPR33" s="28"/>
      <c r="CPS33" s="28"/>
      <c r="CPT33" s="28"/>
      <c r="CPU33" s="28"/>
      <c r="CPV33" s="28"/>
      <c r="CPW33" s="28"/>
      <c r="CPX33" s="28"/>
      <c r="CPY33" s="28"/>
      <c r="CPZ33" s="28"/>
      <c r="CQA33" s="28"/>
      <c r="CQB33" s="28"/>
      <c r="CQC33" s="28"/>
      <c r="CQD33" s="28"/>
      <c r="CQE33" s="28"/>
      <c r="CQF33" s="28"/>
      <c r="CQG33" s="28"/>
      <c r="CQH33" s="28"/>
      <c r="CQI33" s="28"/>
      <c r="CQJ33" s="28"/>
      <c r="CQK33" s="28"/>
      <c r="CQL33" s="28"/>
      <c r="CQM33" s="28"/>
      <c r="CQN33" s="28"/>
      <c r="CQO33" s="28"/>
      <c r="CQP33" s="28"/>
      <c r="CQQ33" s="28"/>
      <c r="CQR33" s="28"/>
      <c r="CQS33" s="28"/>
      <c r="CQT33" s="28"/>
      <c r="CQU33" s="28"/>
      <c r="CQV33" s="28"/>
      <c r="CQW33" s="28"/>
      <c r="CQX33" s="28"/>
      <c r="CQY33" s="28"/>
      <c r="CQZ33" s="28"/>
      <c r="CRA33" s="28"/>
      <c r="CRB33" s="28"/>
      <c r="CRC33" s="28"/>
      <c r="CRD33" s="28"/>
      <c r="CRE33" s="28"/>
      <c r="CRF33" s="28"/>
      <c r="CRG33" s="28"/>
      <c r="CRH33" s="28"/>
      <c r="CRI33" s="28"/>
      <c r="CRJ33" s="28"/>
      <c r="CRK33" s="28"/>
      <c r="CRL33" s="28"/>
      <c r="CRM33" s="28"/>
      <c r="CRN33" s="28"/>
      <c r="CRO33" s="28"/>
      <c r="CRP33" s="28"/>
      <c r="CRQ33" s="28"/>
      <c r="CRR33" s="28"/>
      <c r="CRS33" s="28"/>
      <c r="CRT33" s="28"/>
      <c r="CRU33" s="28"/>
      <c r="CRV33" s="28"/>
      <c r="CRW33" s="28"/>
      <c r="CRX33" s="28"/>
      <c r="CRY33" s="28"/>
      <c r="CRZ33" s="28"/>
      <c r="CSA33" s="28"/>
      <c r="CSB33" s="28"/>
      <c r="CSC33" s="28"/>
      <c r="CSD33" s="28"/>
      <c r="CSE33" s="28"/>
      <c r="CSF33" s="28"/>
      <c r="CSG33" s="28"/>
      <c r="CSH33" s="28"/>
      <c r="CSI33" s="28"/>
      <c r="CSJ33" s="28"/>
      <c r="CSK33" s="28"/>
      <c r="CSL33" s="28"/>
      <c r="CSM33" s="28"/>
      <c r="CSN33" s="28"/>
      <c r="CSO33" s="28"/>
      <c r="CSP33" s="28"/>
      <c r="CSQ33" s="28"/>
      <c r="CSR33" s="28"/>
      <c r="CSS33" s="28"/>
      <c r="CST33" s="28"/>
      <c r="CSU33" s="28"/>
      <c r="CSV33" s="28"/>
      <c r="CSW33" s="28"/>
      <c r="CSX33" s="28"/>
      <c r="CSY33" s="28"/>
      <c r="CSZ33" s="28"/>
      <c r="CTA33" s="28"/>
      <c r="CTB33" s="28"/>
      <c r="CTC33" s="28"/>
      <c r="CTD33" s="28"/>
      <c r="CTE33" s="28"/>
      <c r="CTF33" s="28"/>
      <c r="CTG33" s="28"/>
      <c r="CTH33" s="28"/>
      <c r="CTI33" s="28"/>
      <c r="CTJ33" s="28"/>
      <c r="CTK33" s="28"/>
      <c r="CTL33" s="28"/>
      <c r="CTM33" s="28"/>
      <c r="CTN33" s="28"/>
      <c r="CTO33" s="28"/>
      <c r="CTP33" s="28"/>
      <c r="CTQ33" s="28"/>
      <c r="CTR33" s="28"/>
      <c r="CTS33" s="28"/>
      <c r="CTT33" s="28"/>
      <c r="CTU33" s="28"/>
      <c r="CTV33" s="28"/>
      <c r="CTW33" s="28"/>
      <c r="CTX33" s="28"/>
      <c r="CTY33" s="28"/>
      <c r="CTZ33" s="28"/>
      <c r="CUA33" s="28"/>
      <c r="CUB33" s="28"/>
      <c r="CUC33" s="28"/>
      <c r="CUD33" s="28"/>
      <c r="CUE33" s="28"/>
      <c r="CUF33" s="28"/>
      <c r="CUG33" s="28"/>
      <c r="CUH33" s="28"/>
      <c r="CUI33" s="28"/>
      <c r="CUJ33" s="28"/>
      <c r="CUK33" s="28"/>
      <c r="CUL33" s="28"/>
      <c r="CUM33" s="28"/>
      <c r="CUN33" s="28"/>
      <c r="CUO33" s="28"/>
      <c r="CUP33" s="28"/>
      <c r="CUQ33" s="28"/>
      <c r="CUR33" s="28"/>
      <c r="CUS33" s="28"/>
      <c r="CUT33" s="28"/>
      <c r="CUU33" s="28"/>
      <c r="CUV33" s="28"/>
      <c r="CUW33" s="28"/>
      <c r="CUX33" s="28"/>
      <c r="CUY33" s="28"/>
      <c r="CUZ33" s="28"/>
      <c r="CVA33" s="28"/>
      <c r="CVB33" s="28"/>
      <c r="CVC33" s="28"/>
      <c r="CVD33" s="28"/>
      <c r="CVE33" s="28"/>
      <c r="CVF33" s="28"/>
      <c r="CVG33" s="28"/>
      <c r="CVH33" s="28"/>
      <c r="CVI33" s="28"/>
      <c r="CVJ33" s="28"/>
      <c r="CVK33" s="28"/>
      <c r="CVL33" s="28"/>
      <c r="CVM33" s="28"/>
      <c r="CVN33" s="28"/>
      <c r="CVO33" s="28"/>
      <c r="CVP33" s="28"/>
      <c r="CVQ33" s="28"/>
      <c r="CVR33" s="28"/>
      <c r="CVS33" s="28"/>
      <c r="CVT33" s="28"/>
      <c r="CVU33" s="28"/>
      <c r="CVV33" s="28"/>
      <c r="CVW33" s="28"/>
      <c r="CVX33" s="28"/>
      <c r="CVY33" s="28"/>
      <c r="CVZ33" s="28"/>
      <c r="CWA33" s="28"/>
      <c r="CWB33" s="28"/>
      <c r="CWC33" s="28"/>
      <c r="CWD33" s="28"/>
      <c r="CWE33" s="28"/>
      <c r="CWF33" s="28"/>
      <c r="CWG33" s="28"/>
      <c r="CWH33" s="28"/>
      <c r="CWI33" s="28"/>
      <c r="CWJ33" s="28"/>
      <c r="CWK33" s="28"/>
      <c r="CWL33" s="28"/>
      <c r="CWM33" s="28"/>
      <c r="CWN33" s="28"/>
      <c r="CWO33" s="28"/>
      <c r="CWP33" s="28"/>
      <c r="CWQ33" s="28"/>
      <c r="CWR33" s="28"/>
      <c r="CWS33" s="28"/>
      <c r="CWT33" s="28"/>
      <c r="CWU33" s="28"/>
      <c r="CWV33" s="28"/>
      <c r="CWW33" s="28"/>
      <c r="CWX33" s="28"/>
      <c r="CWY33" s="28"/>
      <c r="CWZ33" s="28"/>
      <c r="CXA33" s="28"/>
      <c r="CXB33" s="28"/>
      <c r="CXC33" s="28"/>
      <c r="CXD33" s="28"/>
      <c r="CXE33" s="28"/>
      <c r="CXF33" s="28"/>
      <c r="CXG33" s="28"/>
      <c r="CXH33" s="28"/>
      <c r="CXI33" s="28"/>
      <c r="CXJ33" s="28"/>
      <c r="CXK33" s="28"/>
      <c r="CXL33" s="28"/>
      <c r="CXM33" s="28"/>
      <c r="CXN33" s="28"/>
      <c r="CXO33" s="28"/>
      <c r="CXP33" s="28"/>
      <c r="CXQ33" s="28"/>
      <c r="CXR33" s="28"/>
      <c r="CXS33" s="28"/>
      <c r="CXT33" s="28"/>
      <c r="CXU33" s="28"/>
      <c r="CXV33" s="28"/>
      <c r="CXW33" s="28"/>
      <c r="CXX33" s="28"/>
      <c r="CXY33" s="28"/>
      <c r="CXZ33" s="28"/>
      <c r="CYA33" s="28"/>
      <c r="CYB33" s="28"/>
      <c r="CYC33" s="28"/>
      <c r="CYD33" s="28"/>
      <c r="CYE33" s="28"/>
      <c r="CYF33" s="28"/>
      <c r="CYG33" s="28"/>
      <c r="CYH33" s="28"/>
      <c r="CYI33" s="28"/>
      <c r="CYJ33" s="28"/>
      <c r="CYK33" s="28"/>
      <c r="CYL33" s="28"/>
      <c r="CYM33" s="28"/>
      <c r="CYN33" s="28"/>
      <c r="CYO33" s="28"/>
      <c r="CYP33" s="28"/>
      <c r="CYQ33" s="28"/>
      <c r="CYR33" s="28"/>
      <c r="CYS33" s="28"/>
      <c r="CYT33" s="28"/>
      <c r="CYU33" s="28"/>
      <c r="CYV33" s="28"/>
      <c r="CYW33" s="28"/>
      <c r="CYX33" s="28"/>
      <c r="CYY33" s="28"/>
      <c r="CYZ33" s="28"/>
      <c r="CZA33" s="28"/>
      <c r="CZB33" s="28"/>
      <c r="CZC33" s="28"/>
      <c r="CZD33" s="28"/>
      <c r="CZE33" s="28"/>
      <c r="CZF33" s="28"/>
      <c r="CZG33" s="28"/>
      <c r="CZH33" s="28"/>
      <c r="CZI33" s="28"/>
      <c r="CZJ33" s="28"/>
      <c r="CZK33" s="28"/>
      <c r="CZL33" s="28"/>
      <c r="CZM33" s="28"/>
      <c r="CZN33" s="28"/>
      <c r="CZO33" s="28"/>
      <c r="CZP33" s="28"/>
      <c r="CZQ33" s="28"/>
      <c r="CZR33" s="28"/>
      <c r="CZS33" s="28"/>
      <c r="CZT33" s="28"/>
      <c r="CZU33" s="28"/>
      <c r="CZV33" s="28"/>
      <c r="CZW33" s="28"/>
      <c r="CZX33" s="28"/>
      <c r="CZY33" s="28"/>
      <c r="CZZ33" s="28"/>
      <c r="DAA33" s="28"/>
      <c r="DAB33" s="28"/>
      <c r="DAC33" s="28"/>
      <c r="DAD33" s="28"/>
      <c r="DAE33" s="28"/>
      <c r="DAF33" s="28"/>
      <c r="DAG33" s="28"/>
      <c r="DAH33" s="28"/>
      <c r="DAI33" s="28"/>
      <c r="DAJ33" s="28"/>
      <c r="DAK33" s="28"/>
      <c r="DAL33" s="28"/>
      <c r="DAM33" s="28"/>
      <c r="DAN33" s="28"/>
      <c r="DAO33" s="28"/>
      <c r="DAP33" s="28"/>
      <c r="DAQ33" s="28"/>
      <c r="DAR33" s="28"/>
      <c r="DAS33" s="28"/>
      <c r="DAT33" s="28"/>
      <c r="DAU33" s="28"/>
      <c r="DAV33" s="28"/>
      <c r="DAW33" s="28"/>
      <c r="DAX33" s="28"/>
      <c r="DAY33" s="28"/>
      <c r="DAZ33" s="28"/>
      <c r="DBA33" s="28"/>
      <c r="DBB33" s="28"/>
      <c r="DBC33" s="28"/>
      <c r="DBD33" s="28"/>
      <c r="DBE33" s="28"/>
      <c r="DBF33" s="28"/>
      <c r="DBG33" s="28"/>
      <c r="DBH33" s="28"/>
      <c r="DBI33" s="28"/>
      <c r="DBJ33" s="28"/>
      <c r="DBK33" s="28"/>
      <c r="DBL33" s="28"/>
      <c r="DBM33" s="28"/>
      <c r="DBN33" s="28"/>
      <c r="DBO33" s="28"/>
      <c r="DBP33" s="28"/>
      <c r="DBQ33" s="28"/>
      <c r="DBR33" s="28"/>
      <c r="DBS33" s="28"/>
      <c r="DBT33" s="28"/>
      <c r="DBU33" s="28"/>
      <c r="DBV33" s="28"/>
      <c r="DBW33" s="28"/>
      <c r="DBX33" s="28"/>
      <c r="DBY33" s="28"/>
      <c r="DBZ33" s="28"/>
      <c r="DCA33" s="28"/>
      <c r="DCB33" s="28"/>
      <c r="DCC33" s="28"/>
      <c r="DCD33" s="28"/>
      <c r="DCE33" s="28"/>
      <c r="DCF33" s="28"/>
      <c r="DCG33" s="28"/>
      <c r="DCH33" s="28"/>
      <c r="DCI33" s="28"/>
      <c r="DCJ33" s="28"/>
      <c r="DCK33" s="28"/>
      <c r="DCL33" s="28"/>
      <c r="DCM33" s="28"/>
      <c r="DCN33" s="28"/>
      <c r="DCO33" s="28"/>
      <c r="DCP33" s="28"/>
      <c r="DCQ33" s="28"/>
      <c r="DCR33" s="28"/>
      <c r="DCS33" s="28"/>
      <c r="DCT33" s="28"/>
      <c r="DCU33" s="28"/>
      <c r="DCV33" s="28"/>
      <c r="DCW33" s="28"/>
      <c r="DCX33" s="28"/>
      <c r="DCY33" s="28"/>
      <c r="DCZ33" s="28"/>
      <c r="DDA33" s="28"/>
      <c r="DDB33" s="28"/>
      <c r="DDC33" s="28"/>
      <c r="DDD33" s="28"/>
      <c r="DDE33" s="28"/>
      <c r="DDF33" s="28"/>
      <c r="DDG33" s="28"/>
      <c r="DDH33" s="28"/>
      <c r="DDI33" s="28"/>
      <c r="DDJ33" s="28"/>
      <c r="DDK33" s="28"/>
      <c r="DDL33" s="28"/>
      <c r="DDM33" s="28"/>
      <c r="DDN33" s="28"/>
      <c r="DDO33" s="28"/>
      <c r="DDP33" s="28"/>
      <c r="DDQ33" s="28"/>
      <c r="DDR33" s="28"/>
      <c r="DDS33" s="28"/>
      <c r="DDT33" s="28"/>
      <c r="DDU33" s="28"/>
      <c r="DDV33" s="28"/>
      <c r="DDW33" s="28"/>
      <c r="DDX33" s="28"/>
      <c r="DDY33" s="28"/>
      <c r="DDZ33" s="28"/>
      <c r="DEA33" s="28"/>
      <c r="DEB33" s="28"/>
      <c r="DEC33" s="28"/>
      <c r="DED33" s="28"/>
      <c r="DEE33" s="28"/>
      <c r="DEF33" s="28"/>
      <c r="DEG33" s="28"/>
      <c r="DEH33" s="28"/>
      <c r="DEI33" s="28"/>
      <c r="DEJ33" s="28"/>
      <c r="DEK33" s="28"/>
      <c r="DEL33" s="28"/>
      <c r="DEM33" s="28"/>
      <c r="DEN33" s="28"/>
      <c r="DEO33" s="28"/>
      <c r="DEP33" s="28"/>
      <c r="DEQ33" s="28"/>
      <c r="DER33" s="28"/>
      <c r="DES33" s="28"/>
      <c r="DET33" s="28"/>
      <c r="DEU33" s="28"/>
      <c r="DEV33" s="28"/>
      <c r="DEW33" s="28"/>
      <c r="DEX33" s="28"/>
      <c r="DEY33" s="28"/>
      <c r="DEZ33" s="28"/>
      <c r="DFA33" s="28"/>
      <c r="DFB33" s="28"/>
      <c r="DFC33" s="28"/>
      <c r="DFD33" s="28"/>
      <c r="DFE33" s="28"/>
      <c r="DFF33" s="28"/>
      <c r="DFG33" s="28"/>
      <c r="DFH33" s="28"/>
      <c r="DFI33" s="28"/>
      <c r="DFJ33" s="28"/>
      <c r="DFK33" s="28"/>
      <c r="DFL33" s="28"/>
      <c r="DFM33" s="28"/>
      <c r="DFN33" s="28"/>
      <c r="DFO33" s="28"/>
      <c r="DFP33" s="28"/>
      <c r="DFQ33" s="28"/>
      <c r="DFR33" s="28"/>
      <c r="DFS33" s="28"/>
      <c r="DFT33" s="28"/>
      <c r="DFU33" s="28"/>
      <c r="DFV33" s="28"/>
      <c r="DFW33" s="28"/>
      <c r="DFX33" s="28"/>
      <c r="DFY33" s="28"/>
      <c r="DFZ33" s="28"/>
      <c r="DGA33" s="28"/>
      <c r="DGB33" s="28"/>
      <c r="DGC33" s="28"/>
      <c r="DGD33" s="28"/>
      <c r="DGE33" s="28"/>
      <c r="DGF33" s="28"/>
      <c r="DGG33" s="28"/>
      <c r="DGH33" s="28"/>
      <c r="DGI33" s="28"/>
      <c r="DGJ33" s="28"/>
      <c r="DGK33" s="28"/>
      <c r="DGL33" s="28"/>
      <c r="DGM33" s="28"/>
      <c r="DGN33" s="28"/>
      <c r="DGO33" s="28"/>
      <c r="DGP33" s="28"/>
      <c r="DGQ33" s="28"/>
      <c r="DGR33" s="28"/>
      <c r="DGS33" s="28"/>
      <c r="DGT33" s="28"/>
      <c r="DGU33" s="28"/>
      <c r="DGV33" s="28"/>
      <c r="DGW33" s="28"/>
      <c r="DGX33" s="28"/>
      <c r="DGY33" s="28"/>
      <c r="DGZ33" s="28"/>
      <c r="DHA33" s="28"/>
      <c r="DHB33" s="28"/>
      <c r="DHC33" s="28"/>
      <c r="DHD33" s="28"/>
      <c r="DHE33" s="28"/>
      <c r="DHF33" s="28"/>
      <c r="DHG33" s="28"/>
      <c r="DHH33" s="28"/>
      <c r="DHI33" s="28"/>
      <c r="DHJ33" s="28"/>
      <c r="DHK33" s="28"/>
      <c r="DHL33" s="28"/>
      <c r="DHM33" s="28"/>
      <c r="DHN33" s="28"/>
      <c r="DHO33" s="28"/>
      <c r="DHP33" s="28"/>
      <c r="DHQ33" s="28"/>
      <c r="DHR33" s="28"/>
      <c r="DHS33" s="28"/>
      <c r="DHT33" s="28"/>
      <c r="DHU33" s="28"/>
      <c r="DHV33" s="28"/>
      <c r="DHW33" s="28"/>
      <c r="DHX33" s="28"/>
      <c r="DHY33" s="28"/>
      <c r="DHZ33" s="28"/>
      <c r="DIA33" s="28"/>
      <c r="DIB33" s="28"/>
      <c r="DIC33" s="28"/>
      <c r="DID33" s="28"/>
      <c r="DIE33" s="28"/>
      <c r="DIF33" s="28"/>
      <c r="DIG33" s="28"/>
      <c r="DIH33" s="28"/>
      <c r="DII33" s="28"/>
      <c r="DIJ33" s="28"/>
      <c r="DIK33" s="28"/>
      <c r="DIL33" s="28"/>
      <c r="DIM33" s="28"/>
      <c r="DIN33" s="28"/>
      <c r="DIO33" s="28"/>
      <c r="DIP33" s="28"/>
      <c r="DIQ33" s="28"/>
      <c r="DIR33" s="28"/>
      <c r="DIS33" s="28"/>
      <c r="DIT33" s="28"/>
      <c r="DIU33" s="28"/>
      <c r="DIV33" s="28"/>
      <c r="DIW33" s="28"/>
      <c r="DIX33" s="28"/>
      <c r="DIY33" s="28"/>
      <c r="DIZ33" s="28"/>
      <c r="DJA33" s="28"/>
      <c r="DJB33" s="28"/>
      <c r="DJC33" s="28"/>
      <c r="DJD33" s="28"/>
      <c r="DJE33" s="28"/>
      <c r="DJF33" s="28"/>
      <c r="DJG33" s="28"/>
      <c r="DJH33" s="28"/>
      <c r="DJI33" s="28"/>
      <c r="DJJ33" s="28"/>
      <c r="DJK33" s="28"/>
      <c r="DJL33" s="28"/>
      <c r="DJM33" s="28"/>
      <c r="DJN33" s="28"/>
      <c r="DJO33" s="28"/>
      <c r="DJP33" s="28"/>
      <c r="DJQ33" s="28"/>
      <c r="DJR33" s="28"/>
      <c r="DJS33" s="28"/>
      <c r="DJT33" s="28"/>
      <c r="DJU33" s="28"/>
      <c r="DJV33" s="28"/>
      <c r="DJW33" s="28"/>
      <c r="DJX33" s="28"/>
      <c r="DJY33" s="28"/>
      <c r="DJZ33" s="28"/>
      <c r="DKA33" s="28"/>
      <c r="DKB33" s="28"/>
      <c r="DKC33" s="28"/>
      <c r="DKD33" s="28"/>
      <c r="DKE33" s="28"/>
      <c r="DKF33" s="28"/>
      <c r="DKG33" s="28"/>
      <c r="DKH33" s="28"/>
      <c r="DKI33" s="28"/>
      <c r="DKJ33" s="28"/>
      <c r="DKK33" s="28"/>
      <c r="DKL33" s="28"/>
      <c r="DKM33" s="28"/>
      <c r="DKN33" s="28"/>
      <c r="DKO33" s="28"/>
      <c r="DKP33" s="28"/>
      <c r="DKQ33" s="28"/>
      <c r="DKR33" s="28"/>
      <c r="DKS33" s="28"/>
      <c r="DKT33" s="28"/>
      <c r="DKU33" s="28"/>
      <c r="DKV33" s="28"/>
      <c r="DKW33" s="28"/>
      <c r="DKX33" s="28"/>
      <c r="DKY33" s="28"/>
      <c r="DKZ33" s="28"/>
      <c r="DLA33" s="28"/>
      <c r="DLB33" s="28"/>
      <c r="DLC33" s="28"/>
      <c r="DLD33" s="28"/>
      <c r="DLE33" s="28"/>
      <c r="DLF33" s="28"/>
      <c r="DLG33" s="28"/>
      <c r="DLH33" s="28"/>
      <c r="DLI33" s="28"/>
      <c r="DLJ33" s="28"/>
      <c r="DLK33" s="28"/>
      <c r="DLL33" s="28"/>
      <c r="DLM33" s="28"/>
      <c r="DLN33" s="28"/>
      <c r="DLO33" s="28"/>
      <c r="DLP33" s="28"/>
      <c r="DLQ33" s="28"/>
      <c r="DLR33" s="28"/>
      <c r="DLS33" s="28"/>
      <c r="DLT33" s="28"/>
      <c r="DLU33" s="28"/>
      <c r="DLV33" s="28"/>
      <c r="DLW33" s="28"/>
      <c r="DLX33" s="28"/>
      <c r="DLY33" s="28"/>
      <c r="DLZ33" s="28"/>
      <c r="DMA33" s="28"/>
      <c r="DMB33" s="28"/>
      <c r="DMC33" s="28"/>
      <c r="DMD33" s="28"/>
      <c r="DME33" s="28"/>
      <c r="DMF33" s="28"/>
      <c r="DMG33" s="28"/>
      <c r="DMH33" s="28"/>
      <c r="DMI33" s="28"/>
      <c r="DMJ33" s="28"/>
      <c r="DMK33" s="28"/>
      <c r="DML33" s="28"/>
      <c r="DMM33" s="28"/>
      <c r="DMN33" s="28"/>
      <c r="DMO33" s="28"/>
      <c r="DMP33" s="28"/>
      <c r="DMQ33" s="28"/>
      <c r="DMR33" s="28"/>
      <c r="DMS33" s="28"/>
      <c r="DMT33" s="28"/>
      <c r="DMU33" s="28"/>
      <c r="DMV33" s="28"/>
      <c r="DMW33" s="28"/>
      <c r="DMX33" s="28"/>
      <c r="DMY33" s="28"/>
      <c r="DMZ33" s="28"/>
      <c r="DNA33" s="28"/>
      <c r="DNB33" s="28"/>
      <c r="DNC33" s="28"/>
      <c r="DND33" s="28"/>
      <c r="DNE33" s="28"/>
      <c r="DNF33" s="28"/>
      <c r="DNG33" s="28"/>
      <c r="DNH33" s="28"/>
      <c r="DNI33" s="28"/>
      <c r="DNJ33" s="28"/>
      <c r="DNK33" s="28"/>
      <c r="DNL33" s="28"/>
      <c r="DNM33" s="28"/>
      <c r="DNN33" s="28"/>
      <c r="DNO33" s="28"/>
      <c r="DNP33" s="28"/>
      <c r="DNQ33" s="28"/>
      <c r="DNR33" s="28"/>
      <c r="DNS33" s="28"/>
      <c r="DNT33" s="28"/>
      <c r="DNU33" s="28"/>
      <c r="DNV33" s="28"/>
      <c r="DNW33" s="28"/>
      <c r="DNX33" s="28"/>
      <c r="DNY33" s="28"/>
      <c r="DNZ33" s="28"/>
      <c r="DOA33" s="28"/>
      <c r="DOB33" s="28"/>
      <c r="DOC33" s="28"/>
      <c r="DOD33" s="28"/>
      <c r="DOE33" s="28"/>
      <c r="DOF33" s="28"/>
      <c r="DOG33" s="28"/>
      <c r="DOH33" s="28"/>
      <c r="DOI33" s="28"/>
      <c r="DOJ33" s="28"/>
      <c r="DOK33" s="28"/>
      <c r="DOL33" s="28"/>
      <c r="DOM33" s="28"/>
      <c r="DON33" s="28"/>
      <c r="DOO33" s="28"/>
      <c r="DOP33" s="28"/>
      <c r="DOQ33" s="28"/>
      <c r="DOR33" s="28"/>
      <c r="DOS33" s="28"/>
      <c r="DOT33" s="28"/>
      <c r="DOU33" s="28"/>
      <c r="DOV33" s="28"/>
      <c r="DOW33" s="28"/>
      <c r="DOX33" s="28"/>
      <c r="DOY33" s="28"/>
      <c r="DOZ33" s="28"/>
      <c r="DPA33" s="28"/>
      <c r="DPB33" s="28"/>
      <c r="DPC33" s="28"/>
      <c r="DPD33" s="28"/>
      <c r="DPE33" s="28"/>
      <c r="DPF33" s="28"/>
      <c r="DPG33" s="28"/>
      <c r="DPH33" s="28"/>
      <c r="DPI33" s="28"/>
      <c r="DPJ33" s="28"/>
      <c r="DPK33" s="28"/>
      <c r="DPL33" s="28"/>
      <c r="DPM33" s="28"/>
      <c r="DPN33" s="28"/>
      <c r="DPO33" s="28"/>
      <c r="DPP33" s="28"/>
      <c r="DPQ33" s="28"/>
      <c r="DPR33" s="28"/>
      <c r="DPS33" s="28"/>
      <c r="DPT33" s="28"/>
      <c r="DPU33" s="28"/>
      <c r="DPV33" s="28"/>
      <c r="DPW33" s="28"/>
      <c r="DPX33" s="28"/>
      <c r="DPY33" s="28"/>
      <c r="DPZ33" s="28"/>
      <c r="DQA33" s="28"/>
      <c r="DQB33" s="28"/>
      <c r="DQC33" s="28"/>
      <c r="DQD33" s="28"/>
      <c r="DQE33" s="28"/>
      <c r="DQF33" s="28"/>
      <c r="DQG33" s="28"/>
      <c r="DQH33" s="28"/>
      <c r="DQI33" s="28"/>
      <c r="DQJ33" s="28"/>
      <c r="DQK33" s="28"/>
      <c r="DQL33" s="28"/>
      <c r="DQM33" s="28"/>
      <c r="DQN33" s="28"/>
      <c r="DQO33" s="28"/>
      <c r="DQP33" s="28"/>
      <c r="DQQ33" s="28"/>
      <c r="DQR33" s="28"/>
      <c r="DQS33" s="28"/>
      <c r="DQT33" s="28"/>
      <c r="DQU33" s="28"/>
      <c r="DQV33" s="28"/>
      <c r="DQW33" s="28"/>
      <c r="DQX33" s="28"/>
      <c r="DQY33" s="28"/>
      <c r="DQZ33" s="28"/>
      <c r="DRA33" s="28"/>
      <c r="DRB33" s="28"/>
      <c r="DRC33" s="28"/>
      <c r="DRD33" s="28"/>
      <c r="DRE33" s="28"/>
      <c r="DRF33" s="28"/>
      <c r="DRG33" s="28"/>
      <c r="DRH33" s="28"/>
      <c r="DRI33" s="28"/>
      <c r="DRJ33" s="28"/>
      <c r="DRK33" s="28"/>
      <c r="DRL33" s="28"/>
      <c r="DRM33" s="28"/>
      <c r="DRN33" s="28"/>
      <c r="DRO33" s="28"/>
      <c r="DRP33" s="28"/>
      <c r="DRQ33" s="28"/>
      <c r="DRR33" s="28"/>
      <c r="DRS33" s="28"/>
      <c r="DRT33" s="28"/>
      <c r="DRU33" s="28"/>
      <c r="DRV33" s="28"/>
      <c r="DRW33" s="28"/>
      <c r="DRX33" s="28"/>
      <c r="DRY33" s="28"/>
      <c r="DRZ33" s="28"/>
      <c r="DSA33" s="28"/>
      <c r="DSB33" s="28"/>
      <c r="DSC33" s="28"/>
      <c r="DSD33" s="28"/>
      <c r="DSE33" s="28"/>
      <c r="DSF33" s="28"/>
      <c r="DSG33" s="28"/>
      <c r="DSH33" s="28"/>
      <c r="DSI33" s="28"/>
      <c r="DSJ33" s="28"/>
      <c r="DSK33" s="28"/>
      <c r="DSL33" s="28"/>
      <c r="DSM33" s="28"/>
      <c r="DSN33" s="28"/>
      <c r="DSO33" s="28"/>
      <c r="DSP33" s="28"/>
      <c r="DSQ33" s="28"/>
      <c r="DSR33" s="28"/>
      <c r="DSS33" s="28"/>
      <c r="DST33" s="28"/>
      <c r="DSU33" s="28"/>
      <c r="DSV33" s="28"/>
      <c r="DSW33" s="28"/>
      <c r="DSX33" s="28"/>
      <c r="DSY33" s="28"/>
      <c r="DSZ33" s="28"/>
      <c r="DTA33" s="28"/>
      <c r="DTB33" s="28"/>
      <c r="DTC33" s="28"/>
      <c r="DTD33" s="28"/>
      <c r="DTE33" s="28"/>
      <c r="DTF33" s="28"/>
      <c r="DTG33" s="28"/>
      <c r="DTH33" s="28"/>
      <c r="DTI33" s="28"/>
      <c r="DTJ33" s="28"/>
      <c r="DTK33" s="28"/>
      <c r="DTL33" s="28"/>
      <c r="DTM33" s="28"/>
      <c r="DTN33" s="28"/>
      <c r="DTO33" s="28"/>
      <c r="DTP33" s="28"/>
      <c r="DTQ33" s="28"/>
      <c r="DTR33" s="28"/>
      <c r="DTS33" s="28"/>
      <c r="DTT33" s="28"/>
      <c r="DTU33" s="28"/>
      <c r="DTV33" s="28"/>
      <c r="DTW33" s="28"/>
      <c r="DTX33" s="28"/>
      <c r="DTY33" s="28"/>
      <c r="DTZ33" s="28"/>
      <c r="DUA33" s="28"/>
      <c r="DUB33" s="28"/>
      <c r="DUC33" s="28"/>
      <c r="DUD33" s="28"/>
      <c r="DUE33" s="28"/>
      <c r="DUF33" s="28"/>
      <c r="DUG33" s="28"/>
      <c r="DUH33" s="28"/>
      <c r="DUI33" s="28"/>
      <c r="DUJ33" s="28"/>
      <c r="DUK33" s="28"/>
      <c r="DUL33" s="28"/>
      <c r="DUM33" s="28"/>
      <c r="DUN33" s="28"/>
      <c r="DUO33" s="28"/>
      <c r="DUP33" s="28"/>
      <c r="DUQ33" s="28"/>
      <c r="DUR33" s="28"/>
      <c r="DUS33" s="28"/>
      <c r="DUT33" s="28"/>
      <c r="DUU33" s="28"/>
      <c r="DUV33" s="28"/>
      <c r="DUW33" s="28"/>
      <c r="DUX33" s="28"/>
      <c r="DUY33" s="28"/>
      <c r="DUZ33" s="28"/>
      <c r="DVA33" s="28"/>
      <c r="DVB33" s="28"/>
      <c r="DVC33" s="28"/>
      <c r="DVD33" s="28"/>
      <c r="DVE33" s="28"/>
      <c r="DVF33" s="28"/>
      <c r="DVG33" s="28"/>
      <c r="DVH33" s="28"/>
      <c r="DVI33" s="28"/>
      <c r="DVJ33" s="28"/>
      <c r="DVK33" s="28"/>
      <c r="DVL33" s="28"/>
      <c r="DVM33" s="28"/>
      <c r="DVN33" s="28"/>
      <c r="DVO33" s="28"/>
      <c r="DVP33" s="28"/>
      <c r="DVQ33" s="28"/>
      <c r="DVR33" s="28"/>
      <c r="DVS33" s="28"/>
      <c r="DVT33" s="28"/>
      <c r="DVU33" s="28"/>
      <c r="DVV33" s="28"/>
      <c r="DVW33" s="28"/>
      <c r="DVX33" s="28"/>
      <c r="DVY33" s="28"/>
      <c r="DVZ33" s="28"/>
      <c r="DWA33" s="28"/>
      <c r="DWB33" s="28"/>
      <c r="DWC33" s="28"/>
      <c r="DWD33" s="28"/>
      <c r="DWE33" s="28"/>
      <c r="DWF33" s="28"/>
      <c r="DWG33" s="28"/>
      <c r="DWH33" s="28"/>
      <c r="DWI33" s="28"/>
      <c r="DWJ33" s="28"/>
      <c r="DWK33" s="28"/>
      <c r="DWL33" s="28"/>
      <c r="DWM33" s="28"/>
      <c r="DWN33" s="28"/>
      <c r="DWO33" s="28"/>
      <c r="DWP33" s="28"/>
      <c r="DWQ33" s="28"/>
      <c r="DWR33" s="28"/>
      <c r="DWS33" s="28"/>
      <c r="DWT33" s="28"/>
      <c r="DWU33" s="28"/>
      <c r="DWV33" s="28"/>
      <c r="DWW33" s="28"/>
      <c r="DWX33" s="28"/>
      <c r="DWY33" s="28"/>
      <c r="DWZ33" s="28"/>
      <c r="DXA33" s="28"/>
      <c r="DXB33" s="28"/>
      <c r="DXC33" s="28"/>
      <c r="DXD33" s="28"/>
      <c r="DXE33" s="28"/>
      <c r="DXF33" s="28"/>
      <c r="DXG33" s="28"/>
      <c r="DXH33" s="28"/>
      <c r="DXI33" s="28"/>
      <c r="DXJ33" s="28"/>
      <c r="DXK33" s="28"/>
      <c r="DXL33" s="28"/>
      <c r="DXM33" s="28"/>
      <c r="DXN33" s="28"/>
      <c r="DXO33" s="28"/>
      <c r="DXP33" s="28"/>
      <c r="DXQ33" s="28"/>
      <c r="DXR33" s="28"/>
      <c r="DXS33" s="28"/>
      <c r="DXT33" s="28"/>
      <c r="DXU33" s="28"/>
      <c r="DXV33" s="28"/>
      <c r="DXW33" s="28"/>
      <c r="DXX33" s="28"/>
      <c r="DXY33" s="28"/>
      <c r="DXZ33" s="28"/>
      <c r="DYA33" s="28"/>
      <c r="DYB33" s="28"/>
      <c r="DYC33" s="28"/>
      <c r="DYD33" s="28"/>
      <c r="DYE33" s="28"/>
      <c r="DYF33" s="28"/>
      <c r="DYG33" s="28"/>
      <c r="DYH33" s="28"/>
      <c r="DYI33" s="28"/>
      <c r="DYJ33" s="28"/>
      <c r="DYK33" s="28"/>
      <c r="DYL33" s="28"/>
      <c r="DYM33" s="28"/>
      <c r="DYN33" s="28"/>
      <c r="DYO33" s="28"/>
      <c r="DYP33" s="28"/>
      <c r="DYQ33" s="28"/>
      <c r="DYR33" s="28"/>
      <c r="DYS33" s="28"/>
      <c r="DYT33" s="28"/>
      <c r="DYU33" s="28"/>
      <c r="DYV33" s="28"/>
      <c r="DYW33" s="28"/>
      <c r="DYX33" s="28"/>
      <c r="DYY33" s="28"/>
      <c r="DYZ33" s="28"/>
      <c r="DZA33" s="28"/>
      <c r="DZB33" s="28"/>
      <c r="DZC33" s="28"/>
      <c r="DZD33" s="28"/>
      <c r="DZE33" s="28"/>
      <c r="DZF33" s="28"/>
      <c r="DZG33" s="28"/>
      <c r="DZH33" s="28"/>
      <c r="DZI33" s="28"/>
      <c r="DZJ33" s="28"/>
      <c r="DZK33" s="28"/>
      <c r="DZL33" s="28"/>
      <c r="DZM33" s="28"/>
      <c r="DZN33" s="28"/>
      <c r="DZO33" s="28"/>
      <c r="DZP33" s="28"/>
      <c r="DZQ33" s="28"/>
      <c r="DZR33" s="28"/>
      <c r="DZS33" s="28"/>
      <c r="DZT33" s="28"/>
      <c r="DZU33" s="28"/>
      <c r="DZV33" s="28"/>
      <c r="DZW33" s="28"/>
      <c r="DZX33" s="28"/>
      <c r="DZY33" s="28"/>
      <c r="DZZ33" s="28"/>
      <c r="EAA33" s="28"/>
      <c r="EAB33" s="28"/>
      <c r="EAC33" s="28"/>
      <c r="EAD33" s="28"/>
      <c r="EAE33" s="28"/>
      <c r="EAF33" s="28"/>
      <c r="EAG33" s="28"/>
      <c r="EAH33" s="28"/>
      <c r="EAI33" s="28"/>
      <c r="EAJ33" s="28"/>
      <c r="EAK33" s="28"/>
      <c r="EAL33" s="28"/>
      <c r="EAM33" s="28"/>
      <c r="EAN33" s="28"/>
      <c r="EAO33" s="28"/>
      <c r="EAP33" s="28"/>
      <c r="EAQ33" s="28"/>
      <c r="EAR33" s="28"/>
      <c r="EAS33" s="28"/>
      <c r="EAT33" s="28"/>
      <c r="EAU33" s="28"/>
      <c r="EAV33" s="28"/>
      <c r="EAW33" s="28"/>
      <c r="EAX33" s="28"/>
      <c r="EAY33" s="28"/>
      <c r="EAZ33" s="28"/>
      <c r="EBA33" s="28"/>
      <c r="EBB33" s="28"/>
      <c r="EBC33" s="28"/>
      <c r="EBD33" s="28"/>
      <c r="EBE33" s="28"/>
      <c r="EBF33" s="28"/>
      <c r="EBG33" s="28"/>
      <c r="EBH33" s="28"/>
      <c r="EBI33" s="28"/>
      <c r="EBJ33" s="28"/>
      <c r="EBK33" s="28"/>
      <c r="EBL33" s="28"/>
      <c r="EBM33" s="28"/>
      <c r="EBN33" s="28"/>
      <c r="EBO33" s="28"/>
      <c r="EBP33" s="28"/>
      <c r="EBQ33" s="28"/>
      <c r="EBR33" s="28"/>
      <c r="EBS33" s="28"/>
      <c r="EBT33" s="28"/>
      <c r="EBU33" s="28"/>
      <c r="EBV33" s="28"/>
      <c r="EBW33" s="28"/>
      <c r="EBX33" s="28"/>
      <c r="EBY33" s="28"/>
      <c r="EBZ33" s="28"/>
      <c r="ECA33" s="28"/>
      <c r="ECB33" s="28"/>
      <c r="ECC33" s="28"/>
      <c r="ECD33" s="28"/>
      <c r="ECE33" s="28"/>
      <c r="ECF33" s="28"/>
      <c r="ECG33" s="28"/>
      <c r="ECH33" s="28"/>
      <c r="ECI33" s="28"/>
      <c r="ECJ33" s="28"/>
      <c r="ECK33" s="28"/>
      <c r="ECL33" s="28"/>
      <c r="ECM33" s="28"/>
      <c r="ECN33" s="28"/>
      <c r="ECO33" s="28"/>
      <c r="ECP33" s="28"/>
      <c r="ECQ33" s="28"/>
      <c r="ECR33" s="28"/>
      <c r="ECS33" s="28"/>
      <c r="ECT33" s="28"/>
      <c r="ECU33" s="28"/>
      <c r="ECV33" s="28"/>
      <c r="ECW33" s="28"/>
      <c r="ECX33" s="28"/>
      <c r="ECY33" s="28"/>
      <c r="ECZ33" s="28"/>
      <c r="EDA33" s="28"/>
      <c r="EDB33" s="28"/>
      <c r="EDC33" s="28"/>
      <c r="EDD33" s="28"/>
      <c r="EDE33" s="28"/>
      <c r="EDF33" s="28"/>
      <c r="EDG33" s="28"/>
      <c r="EDH33" s="28"/>
      <c r="EDI33" s="28"/>
      <c r="EDJ33" s="28"/>
      <c r="EDK33" s="28"/>
      <c r="EDL33" s="28"/>
      <c r="EDM33" s="28"/>
      <c r="EDN33" s="28"/>
      <c r="EDO33" s="28"/>
      <c r="EDP33" s="28"/>
      <c r="EDQ33" s="28"/>
      <c r="EDR33" s="28"/>
      <c r="EDS33" s="28"/>
      <c r="EDT33" s="28"/>
      <c r="EDU33" s="28"/>
      <c r="EDV33" s="28"/>
      <c r="EDW33" s="28"/>
      <c r="EDX33" s="28"/>
      <c r="EDY33" s="28"/>
      <c r="EDZ33" s="28"/>
      <c r="EEA33" s="28"/>
      <c r="EEB33" s="28"/>
      <c r="EEC33" s="28"/>
      <c r="EED33" s="28"/>
      <c r="EEE33" s="28"/>
      <c r="EEF33" s="28"/>
      <c r="EEG33" s="28"/>
      <c r="EEH33" s="28"/>
      <c r="EEI33" s="28"/>
      <c r="EEJ33" s="28"/>
      <c r="EEK33" s="28"/>
      <c r="EEL33" s="28"/>
      <c r="EEM33" s="28"/>
      <c r="EEN33" s="28"/>
      <c r="EEO33" s="28"/>
      <c r="EEP33" s="28"/>
      <c r="EEQ33" s="28"/>
      <c r="EER33" s="28"/>
      <c r="EES33" s="28"/>
      <c r="EET33" s="28"/>
      <c r="EEU33" s="28"/>
      <c r="EEV33" s="28"/>
      <c r="EEW33" s="28"/>
      <c r="EEX33" s="28"/>
      <c r="EEY33" s="28"/>
      <c r="EEZ33" s="28"/>
      <c r="EFA33" s="28"/>
      <c r="EFB33" s="28"/>
      <c r="EFC33" s="28"/>
      <c r="EFD33" s="28"/>
      <c r="EFE33" s="28"/>
      <c r="EFF33" s="28"/>
      <c r="EFG33" s="28"/>
      <c r="EFH33" s="28"/>
      <c r="EFI33" s="28"/>
      <c r="EFJ33" s="28"/>
      <c r="EFK33" s="28"/>
      <c r="EFL33" s="28"/>
      <c r="EFM33" s="28"/>
      <c r="EFN33" s="28"/>
      <c r="EFO33" s="28"/>
      <c r="EFP33" s="28"/>
      <c r="EFQ33" s="28"/>
      <c r="EFR33" s="28"/>
      <c r="EFS33" s="28"/>
      <c r="EFT33" s="28"/>
      <c r="EFU33" s="28"/>
      <c r="EFV33" s="28"/>
      <c r="EFW33" s="28"/>
      <c r="EFX33" s="28"/>
      <c r="EFY33" s="28"/>
      <c r="EFZ33" s="28"/>
      <c r="EGA33" s="28"/>
      <c r="EGB33" s="28"/>
      <c r="EGC33" s="28"/>
      <c r="EGD33" s="28"/>
      <c r="EGE33" s="28"/>
      <c r="EGF33" s="28"/>
      <c r="EGG33" s="28"/>
      <c r="EGH33" s="28"/>
      <c r="EGI33" s="28"/>
      <c r="EGJ33" s="28"/>
      <c r="EGK33" s="28"/>
      <c r="EGL33" s="28"/>
      <c r="EGM33" s="28"/>
      <c r="EGN33" s="28"/>
      <c r="EGO33" s="28"/>
      <c r="EGP33" s="28"/>
      <c r="EGQ33" s="28"/>
      <c r="EGR33" s="28"/>
      <c r="EGS33" s="28"/>
      <c r="EGT33" s="28"/>
      <c r="EGU33" s="28"/>
      <c r="EGV33" s="28"/>
      <c r="EGW33" s="28"/>
      <c r="EGX33" s="28"/>
      <c r="EGY33" s="28"/>
      <c r="EGZ33" s="28"/>
      <c r="EHA33" s="28"/>
      <c r="EHB33" s="28"/>
      <c r="EHC33" s="28"/>
      <c r="EHD33" s="28"/>
      <c r="EHE33" s="28"/>
      <c r="EHF33" s="28"/>
      <c r="EHG33" s="28"/>
      <c r="EHH33" s="28"/>
      <c r="EHI33" s="28"/>
      <c r="EHJ33" s="28"/>
      <c r="EHK33" s="28"/>
      <c r="EHL33" s="28"/>
      <c r="EHM33" s="28"/>
      <c r="EHN33" s="28"/>
      <c r="EHO33" s="28"/>
      <c r="EHP33" s="28"/>
      <c r="EHQ33" s="28"/>
      <c r="EHR33" s="28"/>
      <c r="EHS33" s="28"/>
      <c r="EHT33" s="28"/>
      <c r="EHU33" s="28"/>
      <c r="EHV33" s="28"/>
      <c r="EHW33" s="28"/>
      <c r="EHX33" s="28"/>
      <c r="EHY33" s="28"/>
      <c r="EHZ33" s="28"/>
      <c r="EIA33" s="28"/>
      <c r="EIB33" s="28"/>
      <c r="EIC33" s="28"/>
      <c r="EID33" s="28"/>
      <c r="EIE33" s="28"/>
      <c r="EIF33" s="28"/>
      <c r="EIG33" s="28"/>
      <c r="EIH33" s="28"/>
      <c r="EII33" s="28"/>
      <c r="EIJ33" s="28"/>
      <c r="EIK33" s="28"/>
      <c r="EIL33" s="28"/>
      <c r="EIM33" s="28"/>
      <c r="EIN33" s="28"/>
      <c r="EIO33" s="28"/>
      <c r="EIP33" s="28"/>
      <c r="EIQ33" s="28"/>
      <c r="EIR33" s="28"/>
      <c r="EIS33" s="28"/>
      <c r="EIT33" s="28"/>
      <c r="EIU33" s="28"/>
      <c r="EIV33" s="28"/>
      <c r="EIW33" s="28"/>
      <c r="EIX33" s="28"/>
      <c r="EIY33" s="28"/>
      <c r="EIZ33" s="28"/>
      <c r="EJA33" s="28"/>
      <c r="EJB33" s="28"/>
      <c r="EJC33" s="28"/>
      <c r="EJD33" s="28"/>
      <c r="EJE33" s="28"/>
      <c r="EJF33" s="28"/>
      <c r="EJG33" s="28"/>
      <c r="EJH33" s="28"/>
      <c r="EJI33" s="28"/>
      <c r="EJJ33" s="28"/>
      <c r="EJK33" s="28"/>
      <c r="EJL33" s="28"/>
      <c r="EJM33" s="28"/>
      <c r="EJN33" s="28"/>
      <c r="EJO33" s="28"/>
      <c r="EJP33" s="28"/>
      <c r="EJQ33" s="28"/>
      <c r="EJR33" s="28"/>
      <c r="EJS33" s="28"/>
      <c r="EJT33" s="28"/>
      <c r="EJU33" s="28"/>
      <c r="EJV33" s="28"/>
      <c r="EJW33" s="28"/>
      <c r="EJX33" s="28"/>
      <c r="EJY33" s="28"/>
      <c r="EJZ33" s="28"/>
      <c r="EKA33" s="28"/>
      <c r="EKB33" s="28"/>
      <c r="EKC33" s="28"/>
      <c r="EKD33" s="28"/>
      <c r="EKE33" s="28"/>
      <c r="EKF33" s="28"/>
      <c r="EKG33" s="28"/>
      <c r="EKH33" s="28"/>
      <c r="EKI33" s="28"/>
      <c r="EKJ33" s="28"/>
      <c r="EKK33" s="28"/>
      <c r="EKL33" s="28"/>
      <c r="EKM33" s="28"/>
      <c r="EKN33" s="28"/>
      <c r="EKO33" s="28"/>
      <c r="EKP33" s="28"/>
      <c r="EKQ33" s="28"/>
      <c r="EKR33" s="28"/>
      <c r="EKS33" s="28"/>
      <c r="EKT33" s="28"/>
      <c r="EKU33" s="28"/>
      <c r="EKV33" s="28"/>
      <c r="EKW33" s="28"/>
      <c r="EKX33" s="28"/>
      <c r="EKY33" s="28"/>
      <c r="EKZ33" s="28"/>
      <c r="ELA33" s="28"/>
      <c r="ELB33" s="28"/>
      <c r="ELC33" s="28"/>
      <c r="ELD33" s="28"/>
      <c r="ELE33" s="28"/>
      <c r="ELF33" s="28"/>
      <c r="ELG33" s="28"/>
      <c r="ELH33" s="28"/>
      <c r="ELI33" s="28"/>
      <c r="ELJ33" s="28"/>
      <c r="ELK33" s="28"/>
      <c r="ELL33" s="28"/>
      <c r="ELM33" s="28"/>
      <c r="ELN33" s="28"/>
      <c r="ELO33" s="28"/>
      <c r="ELP33" s="28"/>
      <c r="ELQ33" s="28"/>
      <c r="ELR33" s="28"/>
      <c r="ELS33" s="28"/>
      <c r="ELT33" s="28"/>
      <c r="ELU33" s="28"/>
      <c r="ELV33" s="28"/>
      <c r="ELW33" s="28"/>
      <c r="ELX33" s="28"/>
      <c r="ELY33" s="28"/>
      <c r="ELZ33" s="28"/>
      <c r="EMA33" s="28"/>
      <c r="EMB33" s="28"/>
      <c r="EMC33" s="28"/>
      <c r="EMD33" s="28"/>
      <c r="EME33" s="28"/>
      <c r="EMF33" s="28"/>
      <c r="EMG33" s="28"/>
      <c r="EMH33" s="28"/>
      <c r="EMI33" s="28"/>
      <c r="EMJ33" s="28"/>
      <c r="EMK33" s="28"/>
      <c r="EML33" s="28"/>
      <c r="EMM33" s="28"/>
      <c r="EMN33" s="28"/>
      <c r="EMO33" s="28"/>
      <c r="EMP33" s="28"/>
      <c r="EMQ33" s="28"/>
      <c r="EMR33" s="28"/>
      <c r="EMS33" s="28"/>
      <c r="EMT33" s="28"/>
      <c r="EMU33" s="28"/>
      <c r="EMV33" s="28"/>
      <c r="EMW33" s="28"/>
      <c r="EMX33" s="28"/>
      <c r="EMY33" s="28"/>
      <c r="EMZ33" s="28"/>
      <c r="ENA33" s="28"/>
      <c r="ENB33" s="28"/>
      <c r="ENC33" s="28"/>
      <c r="END33" s="28"/>
      <c r="ENE33" s="28"/>
      <c r="ENF33" s="28"/>
      <c r="ENG33" s="28"/>
      <c r="ENH33" s="28"/>
      <c r="ENI33" s="28"/>
      <c r="ENJ33" s="28"/>
      <c r="ENK33" s="28"/>
      <c r="ENL33" s="28"/>
      <c r="ENM33" s="28"/>
      <c r="ENN33" s="28"/>
      <c r="ENO33" s="28"/>
      <c r="ENP33" s="28"/>
      <c r="ENQ33" s="28"/>
      <c r="ENR33" s="28"/>
      <c r="ENS33" s="28"/>
      <c r="ENT33" s="28"/>
      <c r="ENU33" s="28"/>
      <c r="ENV33" s="28"/>
      <c r="ENW33" s="28"/>
      <c r="ENX33" s="28"/>
      <c r="ENY33" s="28"/>
      <c r="ENZ33" s="28"/>
      <c r="EOA33" s="28"/>
      <c r="EOB33" s="28"/>
      <c r="EOC33" s="28"/>
      <c r="EOD33" s="28"/>
      <c r="EOE33" s="28"/>
      <c r="EOF33" s="28"/>
      <c r="EOG33" s="28"/>
      <c r="EOH33" s="28"/>
      <c r="EOI33" s="28"/>
      <c r="EOJ33" s="28"/>
      <c r="EOK33" s="28"/>
      <c r="EOL33" s="28"/>
      <c r="EOM33" s="28"/>
      <c r="EON33" s="28"/>
      <c r="EOO33" s="28"/>
      <c r="EOP33" s="28"/>
      <c r="EOQ33" s="28"/>
      <c r="EOR33" s="28"/>
      <c r="EOS33" s="28"/>
      <c r="EOT33" s="28"/>
      <c r="EOU33" s="28"/>
      <c r="EOV33" s="28"/>
      <c r="EOW33" s="28"/>
      <c r="EOX33" s="28"/>
      <c r="EOY33" s="28"/>
      <c r="EOZ33" s="28"/>
      <c r="EPA33" s="28"/>
      <c r="EPB33" s="28"/>
      <c r="EPC33" s="28"/>
      <c r="EPD33" s="28"/>
      <c r="EPE33" s="28"/>
      <c r="EPF33" s="28"/>
      <c r="EPG33" s="28"/>
      <c r="EPH33" s="28"/>
      <c r="EPI33" s="28"/>
      <c r="EPJ33" s="28"/>
      <c r="EPK33" s="28"/>
      <c r="EPL33" s="28"/>
      <c r="EPM33" s="28"/>
      <c r="EPN33" s="28"/>
      <c r="EPO33" s="28"/>
      <c r="EPP33" s="28"/>
      <c r="EPQ33" s="28"/>
      <c r="EPR33" s="28"/>
      <c r="EPS33" s="28"/>
      <c r="EPT33" s="28"/>
      <c r="EPU33" s="28"/>
      <c r="EPV33" s="28"/>
      <c r="EPW33" s="28"/>
      <c r="EPX33" s="28"/>
      <c r="EPY33" s="28"/>
      <c r="EPZ33" s="28"/>
      <c r="EQA33" s="28"/>
      <c r="EQB33" s="28"/>
      <c r="EQC33" s="28"/>
      <c r="EQD33" s="28"/>
      <c r="EQE33" s="28"/>
      <c r="EQF33" s="28"/>
      <c r="EQG33" s="28"/>
      <c r="EQH33" s="28"/>
      <c r="EQI33" s="28"/>
      <c r="EQJ33" s="28"/>
      <c r="EQK33" s="28"/>
      <c r="EQL33" s="28"/>
      <c r="EQM33" s="28"/>
      <c r="EQN33" s="28"/>
      <c r="EQO33" s="28"/>
      <c r="EQP33" s="28"/>
      <c r="EQQ33" s="28"/>
      <c r="EQR33" s="28"/>
      <c r="EQS33" s="28"/>
      <c r="EQT33" s="28"/>
      <c r="EQU33" s="28"/>
      <c r="EQV33" s="28"/>
      <c r="EQW33" s="28"/>
      <c r="EQX33" s="28"/>
      <c r="EQY33" s="28"/>
      <c r="EQZ33" s="28"/>
      <c r="ERA33" s="28"/>
      <c r="ERB33" s="28"/>
      <c r="ERC33" s="28"/>
      <c r="ERD33" s="28"/>
      <c r="ERE33" s="28"/>
      <c r="ERF33" s="28"/>
      <c r="ERG33" s="28"/>
      <c r="ERH33" s="28"/>
      <c r="ERI33" s="28"/>
      <c r="ERJ33" s="28"/>
      <c r="ERK33" s="28"/>
      <c r="ERL33" s="28"/>
      <c r="ERM33" s="28"/>
      <c r="ERN33" s="28"/>
      <c r="ERO33" s="28"/>
      <c r="ERP33" s="28"/>
      <c r="ERQ33" s="28"/>
      <c r="ERR33" s="28"/>
      <c r="ERS33" s="28"/>
      <c r="ERT33" s="28"/>
      <c r="ERU33" s="28"/>
      <c r="ERV33" s="28"/>
      <c r="ERW33" s="28"/>
      <c r="ERX33" s="28"/>
      <c r="ERY33" s="28"/>
      <c r="ERZ33" s="28"/>
      <c r="ESA33" s="28"/>
      <c r="ESB33" s="28"/>
      <c r="ESC33" s="28"/>
      <c r="ESD33" s="28"/>
      <c r="ESE33" s="28"/>
      <c r="ESF33" s="28"/>
      <c r="ESG33" s="28"/>
      <c r="ESH33" s="28"/>
      <c r="ESI33" s="28"/>
      <c r="ESJ33" s="28"/>
      <c r="ESK33" s="28"/>
      <c r="ESL33" s="28"/>
      <c r="ESM33" s="28"/>
      <c r="ESN33" s="28"/>
      <c r="ESO33" s="28"/>
      <c r="ESP33" s="28"/>
      <c r="ESQ33" s="28"/>
      <c r="ESR33" s="28"/>
      <c r="ESS33" s="28"/>
      <c r="EST33" s="28"/>
      <c r="ESU33" s="28"/>
      <c r="ESV33" s="28"/>
      <c r="ESW33" s="28"/>
      <c r="ESX33" s="28"/>
      <c r="ESY33" s="28"/>
      <c r="ESZ33" s="28"/>
      <c r="ETA33" s="28"/>
      <c r="ETB33" s="28"/>
      <c r="ETC33" s="28"/>
      <c r="ETD33" s="28"/>
      <c r="ETE33" s="28"/>
      <c r="ETF33" s="28"/>
      <c r="ETG33" s="28"/>
      <c r="ETH33" s="28"/>
      <c r="ETI33" s="28"/>
      <c r="ETJ33" s="28"/>
      <c r="ETK33" s="28"/>
      <c r="ETL33" s="28"/>
      <c r="ETM33" s="28"/>
      <c r="ETN33" s="28"/>
      <c r="ETO33" s="28"/>
      <c r="ETP33" s="28"/>
      <c r="ETQ33" s="28"/>
      <c r="ETR33" s="28"/>
      <c r="ETS33" s="28"/>
      <c r="ETT33" s="28"/>
      <c r="ETU33" s="28"/>
      <c r="ETV33" s="28"/>
      <c r="ETW33" s="28"/>
      <c r="ETX33" s="28"/>
      <c r="ETY33" s="28"/>
      <c r="ETZ33" s="28"/>
      <c r="EUA33" s="28"/>
      <c r="EUB33" s="28"/>
      <c r="EUC33" s="28"/>
      <c r="EUD33" s="28"/>
      <c r="EUE33" s="28"/>
      <c r="EUF33" s="28"/>
      <c r="EUG33" s="28"/>
      <c r="EUH33" s="28"/>
      <c r="EUI33" s="28"/>
      <c r="EUJ33" s="28"/>
      <c r="EUK33" s="28"/>
      <c r="EUL33" s="28"/>
      <c r="EUM33" s="28"/>
      <c r="EUN33" s="28"/>
      <c r="EUO33" s="28"/>
      <c r="EUP33" s="28"/>
      <c r="EUQ33" s="28"/>
      <c r="EUR33" s="28"/>
      <c r="EUS33" s="28"/>
      <c r="EUT33" s="28"/>
      <c r="EUU33" s="28"/>
      <c r="EUV33" s="28"/>
      <c r="EUW33" s="28"/>
      <c r="EUX33" s="28"/>
      <c r="EUY33" s="28"/>
      <c r="EUZ33" s="28"/>
      <c r="EVA33" s="28"/>
      <c r="EVB33" s="28"/>
      <c r="EVC33" s="28"/>
      <c r="EVD33" s="28"/>
      <c r="EVE33" s="28"/>
      <c r="EVF33" s="28"/>
      <c r="EVG33" s="28"/>
      <c r="EVH33" s="28"/>
      <c r="EVI33" s="28"/>
      <c r="EVJ33" s="28"/>
      <c r="EVK33" s="28"/>
      <c r="EVL33" s="28"/>
      <c r="EVM33" s="28"/>
      <c r="EVN33" s="28"/>
      <c r="EVO33" s="28"/>
      <c r="EVP33" s="28"/>
      <c r="EVQ33" s="28"/>
      <c r="EVR33" s="28"/>
      <c r="EVS33" s="28"/>
      <c r="EVT33" s="28"/>
      <c r="EVU33" s="28"/>
      <c r="EVV33" s="28"/>
      <c r="EVW33" s="28"/>
      <c r="EVX33" s="28"/>
      <c r="EVY33" s="28"/>
      <c r="EVZ33" s="28"/>
      <c r="EWA33" s="28"/>
      <c r="EWB33" s="28"/>
      <c r="EWC33" s="28"/>
      <c r="EWD33" s="28"/>
      <c r="EWE33" s="28"/>
      <c r="EWF33" s="28"/>
      <c r="EWG33" s="28"/>
      <c r="EWH33" s="28"/>
      <c r="EWI33" s="28"/>
      <c r="EWJ33" s="28"/>
      <c r="EWK33" s="28"/>
      <c r="EWL33" s="28"/>
      <c r="EWM33" s="28"/>
      <c r="EWN33" s="28"/>
      <c r="EWO33" s="28"/>
      <c r="EWP33" s="28"/>
      <c r="EWQ33" s="28"/>
      <c r="EWR33" s="28"/>
      <c r="EWS33" s="28"/>
      <c r="EWT33" s="28"/>
      <c r="EWU33" s="28"/>
      <c r="EWV33" s="28"/>
      <c r="EWW33" s="28"/>
      <c r="EWX33" s="28"/>
      <c r="EWY33" s="28"/>
      <c r="EWZ33" s="28"/>
      <c r="EXA33" s="28"/>
      <c r="EXB33" s="28"/>
      <c r="EXC33" s="28"/>
      <c r="EXD33" s="28"/>
      <c r="EXE33" s="28"/>
      <c r="EXF33" s="28"/>
      <c r="EXG33" s="28"/>
      <c r="EXH33" s="28"/>
      <c r="EXI33" s="28"/>
      <c r="EXJ33" s="28"/>
      <c r="EXK33" s="28"/>
      <c r="EXL33" s="28"/>
      <c r="EXM33" s="28"/>
      <c r="EXN33" s="28"/>
      <c r="EXO33" s="28"/>
      <c r="EXP33" s="28"/>
      <c r="EXQ33" s="28"/>
      <c r="EXR33" s="28"/>
      <c r="EXS33" s="28"/>
      <c r="EXT33" s="28"/>
      <c r="EXU33" s="28"/>
      <c r="EXV33" s="28"/>
      <c r="EXW33" s="28"/>
      <c r="EXX33" s="28"/>
      <c r="EXY33" s="28"/>
      <c r="EXZ33" s="28"/>
      <c r="EYA33" s="28"/>
      <c r="EYB33" s="28"/>
      <c r="EYC33" s="28"/>
      <c r="EYD33" s="28"/>
      <c r="EYE33" s="28"/>
      <c r="EYF33" s="28"/>
      <c r="EYG33" s="28"/>
      <c r="EYH33" s="28"/>
      <c r="EYI33" s="28"/>
      <c r="EYJ33" s="28"/>
      <c r="EYK33" s="28"/>
      <c r="EYL33" s="28"/>
      <c r="EYM33" s="28"/>
      <c r="EYN33" s="28"/>
      <c r="EYO33" s="28"/>
      <c r="EYP33" s="28"/>
      <c r="EYQ33" s="28"/>
      <c r="EYR33" s="28"/>
      <c r="EYS33" s="28"/>
      <c r="EYT33" s="28"/>
      <c r="EYU33" s="28"/>
      <c r="EYV33" s="28"/>
      <c r="EYW33" s="28"/>
      <c r="EYX33" s="28"/>
      <c r="EYY33" s="28"/>
      <c r="EYZ33" s="28"/>
      <c r="EZA33" s="28"/>
      <c r="EZB33" s="28"/>
      <c r="EZC33" s="28"/>
      <c r="EZD33" s="28"/>
      <c r="EZE33" s="28"/>
      <c r="EZF33" s="28"/>
      <c r="EZG33" s="28"/>
      <c r="EZH33" s="28"/>
      <c r="EZI33" s="28"/>
      <c r="EZJ33" s="28"/>
      <c r="EZK33" s="28"/>
      <c r="EZL33" s="28"/>
      <c r="EZM33" s="28"/>
      <c r="EZN33" s="28"/>
      <c r="EZO33" s="28"/>
      <c r="EZP33" s="28"/>
      <c r="EZQ33" s="28"/>
      <c r="EZR33" s="28"/>
      <c r="EZS33" s="28"/>
      <c r="EZT33" s="28"/>
      <c r="EZU33" s="28"/>
      <c r="EZV33" s="28"/>
      <c r="EZW33" s="28"/>
      <c r="EZX33" s="28"/>
      <c r="EZY33" s="28"/>
      <c r="EZZ33" s="28"/>
      <c r="FAA33" s="28"/>
      <c r="FAB33" s="28"/>
      <c r="FAC33" s="28"/>
      <c r="FAD33" s="28"/>
      <c r="FAE33" s="28"/>
      <c r="FAF33" s="28"/>
      <c r="FAG33" s="28"/>
      <c r="FAH33" s="28"/>
      <c r="FAI33" s="28"/>
      <c r="FAJ33" s="28"/>
      <c r="FAK33" s="28"/>
      <c r="FAL33" s="28"/>
      <c r="FAM33" s="28"/>
      <c r="FAN33" s="28"/>
      <c r="FAO33" s="28"/>
      <c r="FAP33" s="28"/>
      <c r="FAQ33" s="28"/>
      <c r="FAR33" s="28"/>
      <c r="FAS33" s="28"/>
      <c r="FAT33" s="28"/>
      <c r="FAU33" s="28"/>
      <c r="FAV33" s="28"/>
      <c r="FAW33" s="28"/>
      <c r="FAX33" s="28"/>
      <c r="FAY33" s="28"/>
      <c r="FAZ33" s="28"/>
      <c r="FBA33" s="28"/>
      <c r="FBB33" s="28"/>
      <c r="FBC33" s="28"/>
      <c r="FBD33" s="28"/>
      <c r="FBE33" s="28"/>
      <c r="FBF33" s="28"/>
      <c r="FBG33" s="28"/>
      <c r="FBH33" s="28"/>
      <c r="FBI33" s="28"/>
      <c r="FBJ33" s="28"/>
      <c r="FBK33" s="28"/>
      <c r="FBL33" s="28"/>
      <c r="FBM33" s="28"/>
      <c r="FBN33" s="28"/>
      <c r="FBO33" s="28"/>
      <c r="FBP33" s="28"/>
      <c r="FBQ33" s="28"/>
      <c r="FBR33" s="28"/>
      <c r="FBS33" s="28"/>
      <c r="FBT33" s="28"/>
      <c r="FBU33" s="28"/>
      <c r="FBV33" s="28"/>
      <c r="FBW33" s="28"/>
      <c r="FBX33" s="28"/>
      <c r="FBY33" s="28"/>
      <c r="FBZ33" s="28"/>
      <c r="FCA33" s="28"/>
      <c r="FCB33" s="28"/>
      <c r="FCC33" s="28"/>
      <c r="FCD33" s="28"/>
      <c r="FCE33" s="28"/>
      <c r="FCF33" s="28"/>
      <c r="FCG33" s="28"/>
      <c r="FCH33" s="28"/>
      <c r="FCI33" s="28"/>
      <c r="FCJ33" s="28"/>
      <c r="FCK33" s="28"/>
      <c r="FCL33" s="28"/>
      <c r="FCM33" s="28"/>
      <c r="FCN33" s="28"/>
      <c r="FCO33" s="28"/>
      <c r="FCP33" s="28"/>
      <c r="FCQ33" s="28"/>
      <c r="FCR33" s="28"/>
      <c r="FCS33" s="28"/>
      <c r="FCT33" s="28"/>
      <c r="FCU33" s="28"/>
      <c r="FCV33" s="28"/>
      <c r="FCW33" s="28"/>
      <c r="FCX33" s="28"/>
      <c r="FCY33" s="28"/>
      <c r="FCZ33" s="28"/>
      <c r="FDA33" s="28"/>
      <c r="FDB33" s="28"/>
      <c r="FDC33" s="28"/>
      <c r="FDD33" s="28"/>
      <c r="FDE33" s="28"/>
      <c r="FDF33" s="28"/>
      <c r="FDG33" s="28"/>
      <c r="FDH33" s="28"/>
      <c r="FDI33" s="28"/>
      <c r="FDJ33" s="28"/>
      <c r="FDK33" s="28"/>
      <c r="FDL33" s="28"/>
      <c r="FDM33" s="28"/>
      <c r="FDN33" s="28"/>
      <c r="FDO33" s="28"/>
      <c r="FDP33" s="28"/>
      <c r="FDQ33" s="28"/>
      <c r="FDR33" s="28"/>
      <c r="FDS33" s="28"/>
      <c r="FDT33" s="28"/>
      <c r="FDU33" s="28"/>
      <c r="FDV33" s="28"/>
      <c r="FDW33" s="28"/>
      <c r="FDX33" s="28"/>
      <c r="FDY33" s="28"/>
      <c r="FDZ33" s="28"/>
      <c r="FEA33" s="28"/>
      <c r="FEB33" s="28"/>
      <c r="FEC33" s="28"/>
      <c r="FED33" s="28"/>
      <c r="FEE33" s="28"/>
      <c r="FEF33" s="28"/>
      <c r="FEG33" s="28"/>
      <c r="FEH33" s="28"/>
      <c r="FEI33" s="28"/>
      <c r="FEJ33" s="28"/>
      <c r="FEK33" s="28"/>
      <c r="FEL33" s="28"/>
      <c r="FEM33" s="28"/>
      <c r="FEN33" s="28"/>
      <c r="FEO33" s="28"/>
      <c r="FEP33" s="28"/>
      <c r="FEQ33" s="28"/>
      <c r="FER33" s="28"/>
      <c r="FES33" s="28"/>
      <c r="FET33" s="28"/>
      <c r="FEU33" s="28"/>
      <c r="FEV33" s="28"/>
      <c r="FEW33" s="28"/>
      <c r="FEX33" s="28"/>
      <c r="FEY33" s="28"/>
      <c r="FEZ33" s="28"/>
      <c r="FFA33" s="28"/>
      <c r="FFB33" s="28"/>
      <c r="FFC33" s="28"/>
      <c r="FFD33" s="28"/>
      <c r="FFE33" s="28"/>
      <c r="FFF33" s="28"/>
      <c r="FFG33" s="28"/>
      <c r="FFH33" s="28"/>
      <c r="FFI33" s="28"/>
      <c r="FFJ33" s="28"/>
      <c r="FFK33" s="28"/>
      <c r="FFL33" s="28"/>
      <c r="FFM33" s="28"/>
      <c r="FFN33" s="28"/>
      <c r="FFO33" s="28"/>
      <c r="FFP33" s="28"/>
      <c r="FFQ33" s="28"/>
      <c r="FFR33" s="28"/>
      <c r="FFS33" s="28"/>
      <c r="FFT33" s="28"/>
      <c r="FFU33" s="28"/>
      <c r="FFV33" s="28"/>
      <c r="FFW33" s="28"/>
      <c r="FFX33" s="28"/>
      <c r="FFY33" s="28"/>
      <c r="FFZ33" s="28"/>
      <c r="FGA33" s="28"/>
      <c r="FGB33" s="28"/>
      <c r="FGC33" s="28"/>
      <c r="FGD33" s="28"/>
      <c r="FGE33" s="28"/>
      <c r="FGF33" s="28"/>
      <c r="FGG33" s="28"/>
      <c r="FGH33" s="28"/>
      <c r="FGI33" s="28"/>
      <c r="FGJ33" s="28"/>
      <c r="FGK33" s="28"/>
      <c r="FGL33" s="28"/>
      <c r="FGM33" s="28"/>
      <c r="FGN33" s="28"/>
      <c r="FGO33" s="28"/>
      <c r="FGP33" s="28"/>
      <c r="FGQ33" s="28"/>
      <c r="FGR33" s="28"/>
      <c r="FGS33" s="28"/>
      <c r="FGT33" s="28"/>
      <c r="FGU33" s="28"/>
      <c r="FGV33" s="28"/>
      <c r="FGW33" s="28"/>
      <c r="FGX33" s="28"/>
      <c r="FGY33" s="28"/>
      <c r="FGZ33" s="28"/>
      <c r="FHA33" s="28"/>
      <c r="FHB33" s="28"/>
      <c r="FHC33" s="28"/>
      <c r="FHD33" s="28"/>
      <c r="FHE33" s="28"/>
      <c r="FHF33" s="28"/>
      <c r="FHG33" s="28"/>
      <c r="FHH33" s="28"/>
      <c r="FHI33" s="28"/>
      <c r="FHJ33" s="28"/>
      <c r="FHK33" s="28"/>
      <c r="FHL33" s="28"/>
      <c r="FHM33" s="28"/>
      <c r="FHN33" s="28"/>
      <c r="FHO33" s="28"/>
      <c r="FHP33" s="28"/>
      <c r="FHQ33" s="28"/>
      <c r="FHR33" s="28"/>
      <c r="FHS33" s="28"/>
      <c r="FHT33" s="28"/>
      <c r="FHU33" s="28"/>
      <c r="FHV33" s="28"/>
      <c r="FHW33" s="28"/>
      <c r="FHX33" s="28"/>
      <c r="FHY33" s="28"/>
      <c r="FHZ33" s="28"/>
      <c r="FIA33" s="28"/>
      <c r="FIB33" s="28"/>
      <c r="FIC33" s="28"/>
      <c r="FID33" s="28"/>
      <c r="FIE33" s="28"/>
      <c r="FIF33" s="28"/>
      <c r="FIG33" s="28"/>
      <c r="FIH33" s="28"/>
      <c r="FII33" s="28"/>
      <c r="FIJ33" s="28"/>
      <c r="FIK33" s="28"/>
      <c r="FIL33" s="28"/>
      <c r="FIM33" s="28"/>
      <c r="FIN33" s="28"/>
      <c r="FIO33" s="28"/>
      <c r="FIP33" s="28"/>
      <c r="FIQ33" s="28"/>
      <c r="FIR33" s="28"/>
      <c r="FIS33" s="28"/>
      <c r="FIT33" s="28"/>
      <c r="FIU33" s="28"/>
      <c r="FIV33" s="28"/>
      <c r="FIW33" s="28"/>
      <c r="FIX33" s="28"/>
      <c r="FIY33" s="28"/>
      <c r="FIZ33" s="28"/>
      <c r="FJA33" s="28"/>
      <c r="FJB33" s="28"/>
      <c r="FJC33" s="28"/>
      <c r="FJD33" s="28"/>
      <c r="FJE33" s="28"/>
      <c r="FJF33" s="28"/>
      <c r="FJG33" s="28"/>
      <c r="FJH33" s="28"/>
      <c r="FJI33" s="28"/>
      <c r="FJJ33" s="28"/>
      <c r="FJK33" s="28"/>
      <c r="FJL33" s="28"/>
      <c r="FJM33" s="28"/>
      <c r="FJN33" s="28"/>
      <c r="FJO33" s="28"/>
      <c r="FJP33" s="28"/>
      <c r="FJQ33" s="28"/>
      <c r="FJR33" s="28"/>
      <c r="FJS33" s="28"/>
      <c r="FJT33" s="28"/>
      <c r="FJU33" s="28"/>
      <c r="FJV33" s="28"/>
      <c r="FJW33" s="28"/>
      <c r="FJX33" s="28"/>
      <c r="FJY33" s="28"/>
      <c r="FJZ33" s="28"/>
      <c r="FKA33" s="28"/>
      <c r="FKB33" s="28"/>
      <c r="FKC33" s="28"/>
      <c r="FKD33" s="28"/>
      <c r="FKE33" s="28"/>
      <c r="FKF33" s="28"/>
      <c r="FKG33" s="28"/>
      <c r="FKH33" s="28"/>
      <c r="FKI33" s="28"/>
      <c r="FKJ33" s="28"/>
      <c r="FKK33" s="28"/>
      <c r="FKL33" s="28"/>
      <c r="FKM33" s="28"/>
      <c r="FKN33" s="28"/>
      <c r="FKO33" s="28"/>
      <c r="FKP33" s="28"/>
      <c r="FKQ33" s="28"/>
      <c r="FKR33" s="28"/>
      <c r="FKS33" s="28"/>
      <c r="FKT33" s="28"/>
      <c r="FKU33" s="28"/>
      <c r="FKV33" s="28"/>
      <c r="FKW33" s="28"/>
      <c r="FKX33" s="28"/>
      <c r="FKY33" s="28"/>
      <c r="FKZ33" s="28"/>
      <c r="FLA33" s="28"/>
      <c r="FLB33" s="28"/>
      <c r="FLC33" s="28"/>
      <c r="FLD33" s="28"/>
      <c r="FLE33" s="28"/>
      <c r="FLF33" s="28"/>
      <c r="FLG33" s="28"/>
      <c r="FLH33" s="28"/>
      <c r="FLI33" s="28"/>
      <c r="FLJ33" s="28"/>
      <c r="FLK33" s="28"/>
      <c r="FLL33" s="28"/>
      <c r="FLM33" s="28"/>
      <c r="FLN33" s="28"/>
      <c r="FLO33" s="28"/>
      <c r="FLP33" s="28"/>
      <c r="FLQ33" s="28"/>
      <c r="FLR33" s="28"/>
      <c r="FLS33" s="28"/>
      <c r="FLT33" s="28"/>
      <c r="FLU33" s="28"/>
      <c r="FLV33" s="28"/>
      <c r="FLW33" s="28"/>
      <c r="FLX33" s="28"/>
      <c r="FLY33" s="28"/>
      <c r="FLZ33" s="28"/>
      <c r="FMA33" s="28"/>
      <c r="FMB33" s="28"/>
      <c r="FMC33" s="28"/>
      <c r="FMD33" s="28"/>
      <c r="FME33" s="28"/>
      <c r="FMF33" s="28"/>
      <c r="FMG33" s="28"/>
      <c r="FMH33" s="28"/>
      <c r="FMI33" s="28"/>
      <c r="FMJ33" s="28"/>
      <c r="FMK33" s="28"/>
      <c r="FML33" s="28"/>
      <c r="FMM33" s="28"/>
      <c r="FMN33" s="28"/>
      <c r="FMO33" s="28"/>
      <c r="FMP33" s="28"/>
      <c r="FMQ33" s="28"/>
      <c r="FMR33" s="28"/>
      <c r="FMS33" s="28"/>
      <c r="FMT33" s="28"/>
      <c r="FMU33" s="28"/>
      <c r="FMV33" s="28"/>
      <c r="FMW33" s="28"/>
      <c r="FMX33" s="28"/>
      <c r="FMY33" s="28"/>
      <c r="FMZ33" s="28"/>
      <c r="FNA33" s="28"/>
      <c r="FNB33" s="28"/>
      <c r="FNC33" s="28"/>
      <c r="FND33" s="28"/>
      <c r="FNE33" s="28"/>
      <c r="FNF33" s="28"/>
      <c r="FNG33" s="28"/>
      <c r="FNH33" s="28"/>
      <c r="FNI33" s="28"/>
      <c r="FNJ33" s="28"/>
      <c r="FNK33" s="28"/>
      <c r="FNL33" s="28"/>
      <c r="FNM33" s="28"/>
      <c r="FNN33" s="28"/>
      <c r="FNO33" s="28"/>
      <c r="FNP33" s="28"/>
      <c r="FNQ33" s="28"/>
      <c r="FNR33" s="28"/>
      <c r="FNS33" s="28"/>
      <c r="FNT33" s="28"/>
      <c r="FNU33" s="28"/>
      <c r="FNV33" s="28"/>
      <c r="FNW33" s="28"/>
      <c r="FNX33" s="28"/>
      <c r="FNY33" s="28"/>
      <c r="FNZ33" s="28"/>
      <c r="FOA33" s="28"/>
      <c r="FOB33" s="28"/>
      <c r="FOC33" s="28"/>
      <c r="FOD33" s="28"/>
      <c r="FOE33" s="28"/>
      <c r="FOF33" s="28"/>
      <c r="FOG33" s="28"/>
      <c r="FOH33" s="28"/>
      <c r="FOI33" s="28"/>
      <c r="FOJ33" s="28"/>
      <c r="FOK33" s="28"/>
      <c r="FOL33" s="28"/>
      <c r="FOM33" s="28"/>
      <c r="FON33" s="28"/>
      <c r="FOO33" s="28"/>
      <c r="FOP33" s="28"/>
      <c r="FOQ33" s="28"/>
      <c r="FOR33" s="28"/>
      <c r="FOS33" s="28"/>
      <c r="FOT33" s="28"/>
      <c r="FOU33" s="28"/>
      <c r="FOV33" s="28"/>
      <c r="FOW33" s="28"/>
      <c r="FOX33" s="28"/>
      <c r="FOY33" s="28"/>
      <c r="FOZ33" s="28"/>
      <c r="FPA33" s="28"/>
      <c r="FPB33" s="28"/>
      <c r="FPC33" s="28"/>
      <c r="FPD33" s="28"/>
      <c r="FPE33" s="28"/>
      <c r="FPF33" s="28"/>
      <c r="FPG33" s="28"/>
      <c r="FPH33" s="28"/>
      <c r="FPI33" s="28"/>
      <c r="FPJ33" s="28"/>
      <c r="FPK33" s="28"/>
      <c r="FPL33" s="28"/>
      <c r="FPM33" s="28"/>
      <c r="FPN33" s="28"/>
      <c r="FPO33" s="28"/>
      <c r="FPP33" s="28"/>
      <c r="FPQ33" s="28"/>
      <c r="FPR33" s="28"/>
      <c r="FPS33" s="28"/>
      <c r="FPT33" s="28"/>
      <c r="FPU33" s="28"/>
      <c r="FPV33" s="28"/>
      <c r="FPW33" s="28"/>
      <c r="FPX33" s="28"/>
      <c r="FPY33" s="28"/>
      <c r="FPZ33" s="28"/>
      <c r="FQA33" s="28"/>
      <c r="FQB33" s="28"/>
      <c r="FQC33" s="28"/>
      <c r="FQD33" s="28"/>
      <c r="FQE33" s="28"/>
      <c r="FQF33" s="28"/>
      <c r="FQG33" s="28"/>
      <c r="FQH33" s="28"/>
      <c r="FQI33" s="28"/>
      <c r="FQJ33" s="28"/>
      <c r="FQK33" s="28"/>
      <c r="FQL33" s="28"/>
      <c r="FQM33" s="28"/>
      <c r="FQN33" s="28"/>
      <c r="FQO33" s="28"/>
      <c r="FQP33" s="28"/>
      <c r="FQQ33" s="28"/>
      <c r="FQR33" s="28"/>
      <c r="FQS33" s="28"/>
      <c r="FQT33" s="28"/>
      <c r="FQU33" s="28"/>
      <c r="FQV33" s="28"/>
      <c r="FQW33" s="28"/>
      <c r="FQX33" s="28"/>
      <c r="FQY33" s="28"/>
      <c r="FQZ33" s="28"/>
      <c r="FRA33" s="28"/>
      <c r="FRB33" s="28"/>
      <c r="FRC33" s="28"/>
      <c r="FRD33" s="28"/>
      <c r="FRE33" s="28"/>
      <c r="FRF33" s="28"/>
      <c r="FRG33" s="28"/>
      <c r="FRH33" s="28"/>
      <c r="FRI33" s="28"/>
      <c r="FRJ33" s="28"/>
      <c r="FRK33" s="28"/>
      <c r="FRL33" s="28"/>
      <c r="FRM33" s="28"/>
      <c r="FRN33" s="28"/>
      <c r="FRO33" s="28"/>
      <c r="FRP33" s="28"/>
      <c r="FRQ33" s="28"/>
      <c r="FRR33" s="28"/>
      <c r="FRS33" s="28"/>
      <c r="FRT33" s="28"/>
      <c r="FRU33" s="28"/>
      <c r="FRV33" s="28"/>
      <c r="FRW33" s="28"/>
      <c r="FRX33" s="28"/>
      <c r="FRY33" s="28"/>
      <c r="FRZ33" s="28"/>
      <c r="FSA33" s="28"/>
      <c r="FSB33" s="28"/>
      <c r="FSC33" s="28"/>
      <c r="FSD33" s="28"/>
      <c r="FSE33" s="28"/>
      <c r="FSF33" s="28"/>
      <c r="FSG33" s="28"/>
      <c r="FSH33" s="28"/>
      <c r="FSI33" s="28"/>
      <c r="FSJ33" s="28"/>
      <c r="FSK33" s="28"/>
      <c r="FSL33" s="28"/>
      <c r="FSM33" s="28"/>
      <c r="FSN33" s="28"/>
      <c r="FSO33" s="28"/>
      <c r="FSP33" s="28"/>
      <c r="FSQ33" s="28"/>
      <c r="FSR33" s="28"/>
      <c r="FSS33" s="28"/>
      <c r="FST33" s="28"/>
      <c r="FSU33" s="28"/>
      <c r="FSV33" s="28"/>
      <c r="FSW33" s="28"/>
      <c r="FSX33" s="28"/>
      <c r="FSY33" s="28"/>
      <c r="FSZ33" s="28"/>
      <c r="FTA33" s="28"/>
      <c r="FTB33" s="28"/>
      <c r="FTC33" s="28"/>
      <c r="FTD33" s="28"/>
      <c r="FTE33" s="28"/>
      <c r="FTF33" s="28"/>
      <c r="FTG33" s="28"/>
      <c r="FTH33" s="28"/>
      <c r="FTI33" s="28"/>
      <c r="FTJ33" s="28"/>
      <c r="FTK33" s="28"/>
      <c r="FTL33" s="28"/>
      <c r="FTM33" s="28"/>
      <c r="FTN33" s="28"/>
      <c r="FTO33" s="28"/>
      <c r="FTP33" s="28"/>
      <c r="FTQ33" s="28"/>
      <c r="FTR33" s="28"/>
      <c r="FTS33" s="28"/>
      <c r="FTT33" s="28"/>
      <c r="FTU33" s="28"/>
      <c r="FTV33" s="28"/>
      <c r="FTW33" s="28"/>
      <c r="FTX33" s="28"/>
      <c r="FTY33" s="28"/>
      <c r="FTZ33" s="28"/>
      <c r="FUA33" s="28"/>
      <c r="FUB33" s="28"/>
      <c r="FUC33" s="28"/>
      <c r="FUD33" s="28"/>
      <c r="FUE33" s="28"/>
      <c r="FUF33" s="28"/>
      <c r="FUG33" s="28"/>
      <c r="FUH33" s="28"/>
      <c r="FUI33" s="28"/>
      <c r="FUJ33" s="28"/>
      <c r="FUK33" s="28"/>
      <c r="FUL33" s="28"/>
      <c r="FUM33" s="28"/>
      <c r="FUN33" s="28"/>
      <c r="FUO33" s="28"/>
      <c r="FUP33" s="28"/>
      <c r="FUQ33" s="28"/>
      <c r="FUR33" s="28"/>
      <c r="FUS33" s="28"/>
      <c r="FUT33" s="28"/>
      <c r="FUU33" s="28"/>
      <c r="FUV33" s="28"/>
      <c r="FUW33" s="28"/>
      <c r="FUX33" s="28"/>
      <c r="FUY33" s="28"/>
      <c r="FUZ33" s="28"/>
      <c r="FVA33" s="28"/>
      <c r="FVB33" s="28"/>
      <c r="FVC33" s="28"/>
      <c r="FVD33" s="28"/>
      <c r="FVE33" s="28"/>
      <c r="FVF33" s="28"/>
      <c r="FVG33" s="28"/>
      <c r="FVH33" s="28"/>
      <c r="FVI33" s="28"/>
      <c r="FVJ33" s="28"/>
      <c r="FVK33" s="28"/>
      <c r="FVL33" s="28"/>
      <c r="FVM33" s="28"/>
      <c r="FVN33" s="28"/>
      <c r="FVO33" s="28"/>
      <c r="FVP33" s="28"/>
      <c r="FVQ33" s="28"/>
      <c r="FVR33" s="28"/>
      <c r="FVS33" s="28"/>
      <c r="FVT33" s="28"/>
      <c r="FVU33" s="28"/>
      <c r="FVV33" s="28"/>
      <c r="FVW33" s="28"/>
      <c r="FVX33" s="28"/>
      <c r="FVY33" s="28"/>
      <c r="FVZ33" s="28"/>
      <c r="FWA33" s="28"/>
      <c r="FWB33" s="28"/>
      <c r="FWC33" s="28"/>
      <c r="FWD33" s="28"/>
      <c r="FWE33" s="28"/>
      <c r="FWF33" s="28"/>
      <c r="FWG33" s="28"/>
      <c r="FWH33" s="28"/>
      <c r="FWI33" s="28"/>
      <c r="FWJ33" s="28"/>
      <c r="FWK33" s="28"/>
      <c r="FWL33" s="28"/>
      <c r="FWM33" s="28"/>
      <c r="FWN33" s="28"/>
      <c r="FWO33" s="28"/>
      <c r="FWP33" s="28"/>
      <c r="FWQ33" s="28"/>
      <c r="FWR33" s="28"/>
      <c r="FWS33" s="28"/>
      <c r="FWT33" s="28"/>
      <c r="FWU33" s="28"/>
      <c r="FWV33" s="28"/>
      <c r="FWW33" s="28"/>
      <c r="FWX33" s="28"/>
      <c r="FWY33" s="28"/>
      <c r="FWZ33" s="28"/>
      <c r="FXA33" s="28"/>
      <c r="FXB33" s="28"/>
      <c r="FXC33" s="28"/>
      <c r="FXD33" s="28"/>
      <c r="FXE33" s="28"/>
      <c r="FXF33" s="28"/>
      <c r="FXG33" s="28"/>
      <c r="FXH33" s="28"/>
      <c r="FXI33" s="28"/>
      <c r="FXJ33" s="28"/>
      <c r="FXK33" s="28"/>
      <c r="FXL33" s="28"/>
      <c r="FXM33" s="28"/>
      <c r="FXN33" s="28"/>
      <c r="FXO33" s="28"/>
      <c r="FXP33" s="28"/>
      <c r="FXQ33" s="28"/>
      <c r="FXR33" s="28"/>
      <c r="FXS33" s="28"/>
      <c r="FXT33" s="28"/>
      <c r="FXU33" s="28"/>
      <c r="FXV33" s="28"/>
      <c r="FXW33" s="28"/>
      <c r="FXX33" s="28"/>
      <c r="FXY33" s="28"/>
      <c r="FXZ33" s="28"/>
      <c r="FYA33" s="28"/>
      <c r="FYB33" s="28"/>
      <c r="FYC33" s="28"/>
      <c r="FYD33" s="28"/>
      <c r="FYE33" s="28"/>
      <c r="FYF33" s="28"/>
      <c r="FYG33" s="28"/>
      <c r="FYH33" s="28"/>
      <c r="FYI33" s="28"/>
      <c r="FYJ33" s="28"/>
      <c r="FYK33" s="28"/>
      <c r="FYL33" s="28"/>
      <c r="FYM33" s="28"/>
      <c r="FYN33" s="28"/>
      <c r="FYO33" s="28"/>
      <c r="FYP33" s="28"/>
      <c r="FYQ33" s="28"/>
      <c r="FYR33" s="28"/>
      <c r="FYS33" s="28"/>
      <c r="FYT33" s="28"/>
      <c r="FYU33" s="28"/>
      <c r="FYV33" s="28"/>
      <c r="FYW33" s="28"/>
      <c r="FYX33" s="28"/>
      <c r="FYY33" s="28"/>
      <c r="FYZ33" s="28"/>
      <c r="FZA33" s="28"/>
      <c r="FZB33" s="28"/>
      <c r="FZC33" s="28"/>
      <c r="FZD33" s="28"/>
      <c r="FZE33" s="28"/>
      <c r="FZF33" s="28"/>
      <c r="FZG33" s="28"/>
      <c r="FZH33" s="28"/>
      <c r="FZI33" s="28"/>
      <c r="FZJ33" s="28"/>
      <c r="FZK33" s="28"/>
      <c r="FZL33" s="28"/>
      <c r="FZM33" s="28"/>
      <c r="FZN33" s="28"/>
      <c r="FZO33" s="28"/>
      <c r="FZP33" s="28"/>
      <c r="FZQ33" s="28"/>
      <c r="FZR33" s="28"/>
      <c r="FZS33" s="28"/>
      <c r="FZT33" s="28"/>
      <c r="FZU33" s="28"/>
      <c r="FZV33" s="28"/>
      <c r="FZW33" s="28"/>
      <c r="FZX33" s="28"/>
      <c r="FZY33" s="28"/>
      <c r="FZZ33" s="28"/>
      <c r="GAA33" s="28"/>
      <c r="GAB33" s="28"/>
      <c r="GAC33" s="28"/>
      <c r="GAD33" s="28"/>
      <c r="GAE33" s="28"/>
      <c r="GAF33" s="28"/>
      <c r="GAG33" s="28"/>
      <c r="GAH33" s="28"/>
      <c r="GAI33" s="28"/>
      <c r="GAJ33" s="28"/>
      <c r="GAK33" s="28"/>
      <c r="GAL33" s="28"/>
      <c r="GAM33" s="28"/>
      <c r="GAN33" s="28"/>
      <c r="GAO33" s="28"/>
      <c r="GAP33" s="28"/>
      <c r="GAQ33" s="28"/>
      <c r="GAR33" s="28"/>
      <c r="GAS33" s="28"/>
      <c r="GAT33" s="28"/>
      <c r="GAU33" s="28"/>
      <c r="GAV33" s="28"/>
      <c r="GAW33" s="28"/>
      <c r="GAX33" s="28"/>
      <c r="GAY33" s="28"/>
      <c r="GAZ33" s="28"/>
      <c r="GBA33" s="28"/>
      <c r="GBB33" s="28"/>
      <c r="GBC33" s="28"/>
      <c r="GBD33" s="28"/>
      <c r="GBE33" s="28"/>
      <c r="GBF33" s="28"/>
      <c r="GBG33" s="28"/>
      <c r="GBH33" s="28"/>
      <c r="GBI33" s="28"/>
      <c r="GBJ33" s="28"/>
      <c r="GBK33" s="28"/>
      <c r="GBL33" s="28"/>
      <c r="GBM33" s="28"/>
      <c r="GBN33" s="28"/>
      <c r="GBO33" s="28"/>
      <c r="GBP33" s="28"/>
      <c r="GBQ33" s="28"/>
      <c r="GBR33" s="28"/>
      <c r="GBS33" s="28"/>
      <c r="GBT33" s="28"/>
      <c r="GBU33" s="28"/>
      <c r="GBV33" s="28"/>
      <c r="GBW33" s="28"/>
      <c r="GBX33" s="28"/>
      <c r="GBY33" s="28"/>
      <c r="GBZ33" s="28"/>
      <c r="GCA33" s="28"/>
      <c r="GCB33" s="28"/>
      <c r="GCC33" s="28"/>
      <c r="GCD33" s="28"/>
      <c r="GCE33" s="28"/>
      <c r="GCF33" s="28"/>
      <c r="GCG33" s="28"/>
      <c r="GCH33" s="28"/>
      <c r="GCI33" s="28"/>
      <c r="GCJ33" s="28"/>
      <c r="GCK33" s="28"/>
      <c r="GCL33" s="28"/>
      <c r="GCM33" s="28"/>
      <c r="GCN33" s="28"/>
      <c r="GCO33" s="28"/>
      <c r="GCP33" s="28"/>
      <c r="GCQ33" s="28"/>
      <c r="GCR33" s="28"/>
      <c r="GCS33" s="28"/>
      <c r="GCT33" s="28"/>
      <c r="GCU33" s="28"/>
      <c r="GCV33" s="28"/>
      <c r="GCW33" s="28"/>
      <c r="GCX33" s="28"/>
      <c r="GCY33" s="28"/>
      <c r="GCZ33" s="28"/>
      <c r="GDA33" s="28"/>
      <c r="GDB33" s="28"/>
      <c r="GDC33" s="28"/>
      <c r="GDD33" s="28"/>
      <c r="GDE33" s="28"/>
      <c r="GDF33" s="28"/>
      <c r="GDG33" s="28"/>
      <c r="GDH33" s="28"/>
      <c r="GDI33" s="28"/>
      <c r="GDJ33" s="28"/>
      <c r="GDK33" s="28"/>
      <c r="GDL33" s="28"/>
      <c r="GDM33" s="28"/>
      <c r="GDN33" s="28"/>
      <c r="GDO33" s="28"/>
      <c r="GDP33" s="28"/>
      <c r="GDQ33" s="28"/>
      <c r="GDR33" s="28"/>
      <c r="GDS33" s="28"/>
      <c r="GDT33" s="28"/>
      <c r="GDU33" s="28"/>
      <c r="GDV33" s="28"/>
      <c r="GDW33" s="28"/>
      <c r="GDX33" s="28"/>
      <c r="GDY33" s="28"/>
      <c r="GDZ33" s="28"/>
      <c r="GEA33" s="28"/>
      <c r="GEB33" s="28"/>
      <c r="GEC33" s="28"/>
      <c r="GED33" s="28"/>
      <c r="GEE33" s="28"/>
      <c r="GEF33" s="28"/>
      <c r="GEG33" s="28"/>
      <c r="GEH33" s="28"/>
      <c r="GEI33" s="28"/>
      <c r="GEJ33" s="28"/>
      <c r="GEK33" s="28"/>
      <c r="GEL33" s="28"/>
      <c r="GEM33" s="28"/>
      <c r="GEN33" s="28"/>
      <c r="GEO33" s="28"/>
      <c r="GEP33" s="28"/>
      <c r="GEQ33" s="28"/>
      <c r="GER33" s="28"/>
      <c r="GES33" s="28"/>
      <c r="GET33" s="28"/>
      <c r="GEU33" s="28"/>
      <c r="GEV33" s="28"/>
      <c r="GEW33" s="28"/>
      <c r="GEX33" s="28"/>
      <c r="GEY33" s="28"/>
      <c r="GEZ33" s="28"/>
      <c r="GFA33" s="28"/>
      <c r="GFB33" s="28"/>
      <c r="GFC33" s="28"/>
      <c r="GFD33" s="28"/>
      <c r="GFE33" s="28"/>
      <c r="GFF33" s="28"/>
      <c r="GFG33" s="28"/>
      <c r="GFH33" s="28"/>
      <c r="GFI33" s="28"/>
      <c r="GFJ33" s="28"/>
      <c r="GFK33" s="28"/>
      <c r="GFL33" s="28"/>
      <c r="GFM33" s="28"/>
      <c r="GFN33" s="28"/>
      <c r="GFO33" s="28"/>
      <c r="GFP33" s="28"/>
      <c r="GFQ33" s="28"/>
      <c r="GFR33" s="28"/>
      <c r="GFS33" s="28"/>
      <c r="GFT33" s="28"/>
      <c r="GFU33" s="28"/>
      <c r="GFV33" s="28"/>
      <c r="GFW33" s="28"/>
      <c r="GFX33" s="28"/>
      <c r="GFY33" s="28"/>
      <c r="GFZ33" s="28"/>
      <c r="GGA33" s="28"/>
      <c r="GGB33" s="28"/>
      <c r="GGC33" s="28"/>
      <c r="GGD33" s="28"/>
      <c r="GGE33" s="28"/>
      <c r="GGF33" s="28"/>
      <c r="GGG33" s="28"/>
      <c r="GGH33" s="28"/>
      <c r="GGI33" s="28"/>
      <c r="GGJ33" s="28"/>
      <c r="GGK33" s="28"/>
      <c r="GGL33" s="28"/>
      <c r="GGM33" s="28"/>
      <c r="GGN33" s="28"/>
      <c r="GGO33" s="28"/>
      <c r="GGP33" s="28"/>
      <c r="GGQ33" s="28"/>
      <c r="GGR33" s="28"/>
      <c r="GGS33" s="28"/>
      <c r="GGT33" s="28"/>
      <c r="GGU33" s="28"/>
      <c r="GGV33" s="28"/>
      <c r="GGW33" s="28"/>
      <c r="GGX33" s="28"/>
      <c r="GGY33" s="28"/>
      <c r="GGZ33" s="28"/>
      <c r="GHA33" s="28"/>
      <c r="GHB33" s="28"/>
      <c r="GHC33" s="28"/>
      <c r="GHD33" s="28"/>
      <c r="GHE33" s="28"/>
      <c r="GHF33" s="28"/>
      <c r="GHG33" s="28"/>
      <c r="GHH33" s="28"/>
      <c r="GHI33" s="28"/>
      <c r="GHJ33" s="28"/>
      <c r="GHK33" s="28"/>
      <c r="GHL33" s="28"/>
      <c r="GHM33" s="28"/>
      <c r="GHN33" s="28"/>
      <c r="GHO33" s="28"/>
      <c r="GHP33" s="28"/>
      <c r="GHQ33" s="28"/>
      <c r="GHR33" s="28"/>
      <c r="GHS33" s="28"/>
      <c r="GHT33" s="28"/>
      <c r="GHU33" s="28"/>
      <c r="GHV33" s="28"/>
      <c r="GHW33" s="28"/>
      <c r="GHX33" s="28"/>
      <c r="GHY33" s="28"/>
      <c r="GHZ33" s="28"/>
      <c r="GIA33" s="28"/>
      <c r="GIB33" s="28"/>
      <c r="GIC33" s="28"/>
      <c r="GID33" s="28"/>
      <c r="GIE33" s="28"/>
      <c r="GIF33" s="28"/>
      <c r="GIG33" s="28"/>
      <c r="GIH33" s="28"/>
      <c r="GII33" s="28"/>
      <c r="GIJ33" s="28"/>
      <c r="GIK33" s="28"/>
      <c r="GIL33" s="28"/>
      <c r="GIM33" s="28"/>
      <c r="GIN33" s="28"/>
      <c r="GIO33" s="28"/>
      <c r="GIP33" s="28"/>
      <c r="GIQ33" s="28"/>
      <c r="GIR33" s="28"/>
      <c r="GIS33" s="28"/>
      <c r="GIT33" s="28"/>
      <c r="GIU33" s="28"/>
      <c r="GIV33" s="28"/>
      <c r="GIW33" s="28"/>
      <c r="GIX33" s="28"/>
      <c r="GIY33" s="28"/>
      <c r="GIZ33" s="28"/>
      <c r="GJA33" s="28"/>
      <c r="GJB33" s="28"/>
      <c r="GJC33" s="28"/>
      <c r="GJD33" s="28"/>
      <c r="GJE33" s="28"/>
      <c r="GJF33" s="28"/>
      <c r="GJG33" s="28"/>
      <c r="GJH33" s="28"/>
      <c r="GJI33" s="28"/>
      <c r="GJJ33" s="28"/>
      <c r="GJK33" s="28"/>
      <c r="GJL33" s="28"/>
      <c r="GJM33" s="28"/>
      <c r="GJN33" s="28"/>
      <c r="GJO33" s="28"/>
      <c r="GJP33" s="28"/>
      <c r="GJQ33" s="28"/>
      <c r="GJR33" s="28"/>
      <c r="GJS33" s="28"/>
      <c r="GJT33" s="28"/>
      <c r="GJU33" s="28"/>
      <c r="GJV33" s="28"/>
      <c r="GJW33" s="28"/>
      <c r="GJX33" s="28"/>
      <c r="GJY33" s="28"/>
      <c r="GJZ33" s="28"/>
      <c r="GKA33" s="28"/>
      <c r="GKB33" s="28"/>
      <c r="GKC33" s="28"/>
      <c r="GKD33" s="28"/>
      <c r="GKE33" s="28"/>
      <c r="GKF33" s="28"/>
      <c r="GKG33" s="28"/>
      <c r="GKH33" s="28"/>
      <c r="GKI33" s="28"/>
      <c r="GKJ33" s="28"/>
      <c r="GKK33" s="28"/>
      <c r="GKL33" s="28"/>
      <c r="GKM33" s="28"/>
      <c r="GKN33" s="28"/>
      <c r="GKO33" s="28"/>
      <c r="GKP33" s="28"/>
      <c r="GKQ33" s="28"/>
      <c r="GKR33" s="28"/>
      <c r="GKS33" s="28"/>
      <c r="GKT33" s="28"/>
      <c r="GKU33" s="28"/>
      <c r="GKV33" s="28"/>
      <c r="GKW33" s="28"/>
      <c r="GKX33" s="28"/>
      <c r="GKY33" s="28"/>
      <c r="GKZ33" s="28"/>
      <c r="GLA33" s="28"/>
      <c r="GLB33" s="28"/>
      <c r="GLC33" s="28"/>
      <c r="GLD33" s="28"/>
      <c r="GLE33" s="28"/>
      <c r="GLF33" s="28"/>
      <c r="GLG33" s="28"/>
      <c r="GLH33" s="28"/>
      <c r="GLI33" s="28"/>
      <c r="GLJ33" s="28"/>
      <c r="GLK33" s="28"/>
      <c r="GLL33" s="28"/>
      <c r="GLM33" s="28"/>
      <c r="GLN33" s="28"/>
      <c r="GLO33" s="28"/>
      <c r="GLP33" s="28"/>
      <c r="GLQ33" s="28"/>
      <c r="GLR33" s="28"/>
      <c r="GLS33" s="28"/>
      <c r="GLT33" s="28"/>
      <c r="GLU33" s="28"/>
      <c r="GLV33" s="28"/>
      <c r="GLW33" s="28"/>
      <c r="GLX33" s="28"/>
      <c r="GLY33" s="28"/>
      <c r="GLZ33" s="28"/>
      <c r="GMA33" s="28"/>
      <c r="GMB33" s="28"/>
      <c r="GMC33" s="28"/>
      <c r="GMD33" s="28"/>
      <c r="GME33" s="28"/>
      <c r="GMF33" s="28"/>
      <c r="GMG33" s="28"/>
      <c r="GMH33" s="28"/>
      <c r="GMI33" s="28"/>
      <c r="GMJ33" s="28"/>
      <c r="GMK33" s="28"/>
      <c r="GML33" s="28"/>
      <c r="GMM33" s="28"/>
      <c r="GMN33" s="28"/>
      <c r="GMO33" s="28"/>
      <c r="GMP33" s="28"/>
      <c r="GMQ33" s="28"/>
      <c r="GMR33" s="28"/>
      <c r="GMS33" s="28"/>
      <c r="GMT33" s="28"/>
      <c r="GMU33" s="28"/>
      <c r="GMV33" s="28"/>
      <c r="GMW33" s="28"/>
      <c r="GMX33" s="28"/>
      <c r="GMY33" s="28"/>
      <c r="GMZ33" s="28"/>
      <c r="GNA33" s="28"/>
      <c r="GNB33" s="28"/>
      <c r="GNC33" s="28"/>
      <c r="GND33" s="28"/>
      <c r="GNE33" s="28"/>
      <c r="GNF33" s="28"/>
      <c r="GNG33" s="28"/>
      <c r="GNH33" s="28"/>
      <c r="GNI33" s="28"/>
      <c r="GNJ33" s="28"/>
      <c r="GNK33" s="28"/>
      <c r="GNL33" s="28"/>
      <c r="GNM33" s="28"/>
      <c r="GNN33" s="28"/>
      <c r="GNO33" s="28"/>
      <c r="GNP33" s="28"/>
      <c r="GNQ33" s="28"/>
      <c r="GNR33" s="28"/>
      <c r="GNS33" s="28"/>
      <c r="GNT33" s="28"/>
      <c r="GNU33" s="28"/>
      <c r="GNV33" s="28"/>
      <c r="GNW33" s="28"/>
      <c r="GNX33" s="28"/>
      <c r="GNY33" s="28"/>
      <c r="GNZ33" s="28"/>
      <c r="GOA33" s="28"/>
      <c r="GOB33" s="28"/>
      <c r="GOC33" s="28"/>
      <c r="GOD33" s="28"/>
      <c r="GOE33" s="28"/>
      <c r="GOF33" s="28"/>
      <c r="GOG33" s="28"/>
      <c r="GOH33" s="28"/>
      <c r="GOI33" s="28"/>
      <c r="GOJ33" s="28"/>
      <c r="GOK33" s="28"/>
      <c r="GOL33" s="28"/>
      <c r="GOM33" s="28"/>
      <c r="GON33" s="28"/>
      <c r="GOO33" s="28"/>
      <c r="GOP33" s="28"/>
      <c r="GOQ33" s="28"/>
      <c r="GOR33" s="28"/>
      <c r="GOS33" s="28"/>
      <c r="GOT33" s="28"/>
      <c r="GOU33" s="28"/>
      <c r="GOV33" s="28"/>
      <c r="GOW33" s="28"/>
      <c r="GOX33" s="28"/>
      <c r="GOY33" s="28"/>
      <c r="GOZ33" s="28"/>
      <c r="GPA33" s="28"/>
      <c r="GPB33" s="28"/>
      <c r="GPC33" s="28"/>
      <c r="GPD33" s="28"/>
      <c r="GPE33" s="28"/>
      <c r="GPF33" s="28"/>
      <c r="GPG33" s="28"/>
      <c r="GPH33" s="28"/>
      <c r="GPI33" s="28"/>
      <c r="GPJ33" s="28"/>
      <c r="GPK33" s="28"/>
      <c r="GPL33" s="28"/>
      <c r="GPM33" s="28"/>
      <c r="GPN33" s="28"/>
      <c r="GPO33" s="28"/>
      <c r="GPP33" s="28"/>
      <c r="GPQ33" s="28"/>
      <c r="GPR33" s="28"/>
      <c r="GPS33" s="28"/>
      <c r="GPT33" s="28"/>
      <c r="GPU33" s="28"/>
      <c r="GPV33" s="28"/>
      <c r="GPW33" s="28"/>
      <c r="GPX33" s="28"/>
      <c r="GPY33" s="28"/>
      <c r="GPZ33" s="28"/>
      <c r="GQA33" s="28"/>
      <c r="GQB33" s="28"/>
      <c r="GQC33" s="28"/>
      <c r="GQD33" s="28"/>
      <c r="GQE33" s="28"/>
      <c r="GQF33" s="28"/>
      <c r="GQG33" s="28"/>
      <c r="GQH33" s="28"/>
      <c r="GQI33" s="28"/>
      <c r="GQJ33" s="28"/>
      <c r="GQK33" s="28"/>
      <c r="GQL33" s="28"/>
      <c r="GQM33" s="28"/>
      <c r="GQN33" s="28"/>
      <c r="GQO33" s="28"/>
      <c r="GQP33" s="28"/>
      <c r="GQQ33" s="28"/>
      <c r="GQR33" s="28"/>
      <c r="GQS33" s="28"/>
      <c r="GQT33" s="28"/>
      <c r="GQU33" s="28"/>
      <c r="GQV33" s="28"/>
      <c r="GQW33" s="28"/>
      <c r="GQX33" s="28"/>
      <c r="GQY33" s="28"/>
      <c r="GQZ33" s="28"/>
      <c r="GRA33" s="28"/>
      <c r="GRB33" s="28"/>
      <c r="GRC33" s="28"/>
      <c r="GRD33" s="28"/>
      <c r="GRE33" s="28"/>
      <c r="GRF33" s="28"/>
      <c r="GRG33" s="28"/>
      <c r="GRH33" s="28"/>
      <c r="GRI33" s="28"/>
      <c r="GRJ33" s="28"/>
      <c r="GRK33" s="28"/>
      <c r="GRL33" s="28"/>
      <c r="GRM33" s="28"/>
      <c r="GRN33" s="28"/>
      <c r="GRO33" s="28"/>
      <c r="GRP33" s="28"/>
      <c r="GRQ33" s="28"/>
      <c r="GRR33" s="28"/>
      <c r="GRS33" s="28"/>
      <c r="GRT33" s="28"/>
      <c r="GRU33" s="28"/>
      <c r="GRV33" s="28"/>
      <c r="GRW33" s="28"/>
      <c r="GRX33" s="28"/>
      <c r="GRY33" s="28"/>
      <c r="GRZ33" s="28"/>
      <c r="GSA33" s="28"/>
      <c r="GSB33" s="28"/>
      <c r="GSC33" s="28"/>
      <c r="GSD33" s="28"/>
      <c r="GSE33" s="28"/>
      <c r="GSF33" s="28"/>
      <c r="GSG33" s="28"/>
      <c r="GSH33" s="28"/>
      <c r="GSI33" s="28"/>
      <c r="GSJ33" s="28"/>
      <c r="GSK33" s="28"/>
      <c r="GSL33" s="28"/>
      <c r="GSM33" s="28"/>
      <c r="GSN33" s="28"/>
      <c r="GSO33" s="28"/>
      <c r="GSP33" s="28"/>
      <c r="GSQ33" s="28"/>
      <c r="GSR33" s="28"/>
      <c r="GSS33" s="28"/>
      <c r="GST33" s="28"/>
      <c r="GSU33" s="28"/>
      <c r="GSV33" s="28"/>
      <c r="GSW33" s="28"/>
      <c r="GSX33" s="28"/>
      <c r="GSY33" s="28"/>
      <c r="GSZ33" s="28"/>
      <c r="GTA33" s="28"/>
      <c r="GTB33" s="28"/>
      <c r="GTC33" s="28"/>
      <c r="GTD33" s="28"/>
      <c r="GTE33" s="28"/>
      <c r="GTF33" s="28"/>
      <c r="GTG33" s="28"/>
      <c r="GTH33" s="28"/>
      <c r="GTI33" s="28"/>
      <c r="GTJ33" s="28"/>
      <c r="GTK33" s="28"/>
      <c r="GTL33" s="28"/>
      <c r="GTM33" s="28"/>
      <c r="GTN33" s="28"/>
      <c r="GTO33" s="28"/>
      <c r="GTP33" s="28"/>
      <c r="GTQ33" s="28"/>
      <c r="GTR33" s="28"/>
      <c r="GTS33" s="28"/>
      <c r="GTT33" s="28"/>
      <c r="GTU33" s="28"/>
      <c r="GTV33" s="28"/>
      <c r="GTW33" s="28"/>
      <c r="GTX33" s="28"/>
      <c r="GTY33" s="28"/>
      <c r="GTZ33" s="28"/>
      <c r="GUA33" s="28"/>
      <c r="GUB33" s="28"/>
      <c r="GUC33" s="28"/>
      <c r="GUD33" s="28"/>
      <c r="GUE33" s="28"/>
      <c r="GUF33" s="28"/>
      <c r="GUG33" s="28"/>
      <c r="GUH33" s="28"/>
      <c r="GUI33" s="28"/>
      <c r="GUJ33" s="28"/>
      <c r="GUK33" s="28"/>
      <c r="GUL33" s="28"/>
      <c r="GUM33" s="28"/>
      <c r="GUN33" s="28"/>
      <c r="GUO33" s="28"/>
      <c r="GUP33" s="28"/>
      <c r="GUQ33" s="28"/>
      <c r="GUR33" s="28"/>
      <c r="GUS33" s="28"/>
      <c r="GUT33" s="28"/>
      <c r="GUU33" s="28"/>
      <c r="GUV33" s="28"/>
      <c r="GUW33" s="28"/>
      <c r="GUX33" s="28"/>
      <c r="GUY33" s="28"/>
      <c r="GUZ33" s="28"/>
      <c r="GVA33" s="28"/>
      <c r="GVB33" s="28"/>
      <c r="GVC33" s="28"/>
      <c r="GVD33" s="28"/>
      <c r="GVE33" s="28"/>
      <c r="GVF33" s="28"/>
      <c r="GVG33" s="28"/>
      <c r="GVH33" s="28"/>
      <c r="GVI33" s="28"/>
      <c r="GVJ33" s="28"/>
      <c r="GVK33" s="28"/>
      <c r="GVL33" s="28"/>
      <c r="GVM33" s="28"/>
      <c r="GVN33" s="28"/>
      <c r="GVO33" s="28"/>
      <c r="GVP33" s="28"/>
      <c r="GVQ33" s="28"/>
      <c r="GVR33" s="28"/>
      <c r="GVS33" s="28"/>
      <c r="GVT33" s="28"/>
      <c r="GVU33" s="28"/>
      <c r="GVV33" s="28"/>
      <c r="GVW33" s="28"/>
      <c r="GVX33" s="28"/>
      <c r="GVY33" s="28"/>
      <c r="GVZ33" s="28"/>
      <c r="GWA33" s="28"/>
      <c r="GWB33" s="28"/>
      <c r="GWC33" s="28"/>
      <c r="GWD33" s="28"/>
      <c r="GWE33" s="28"/>
      <c r="GWF33" s="28"/>
      <c r="GWG33" s="28"/>
      <c r="GWH33" s="28"/>
      <c r="GWI33" s="28"/>
      <c r="GWJ33" s="28"/>
      <c r="GWK33" s="28"/>
      <c r="GWL33" s="28"/>
      <c r="GWM33" s="28"/>
      <c r="GWN33" s="28"/>
      <c r="GWO33" s="28"/>
      <c r="GWP33" s="28"/>
      <c r="GWQ33" s="28"/>
      <c r="GWR33" s="28"/>
      <c r="GWS33" s="28"/>
      <c r="GWT33" s="28"/>
      <c r="GWU33" s="28"/>
      <c r="GWV33" s="28"/>
      <c r="GWW33" s="28"/>
      <c r="GWX33" s="28"/>
      <c r="GWY33" s="28"/>
      <c r="GWZ33" s="28"/>
      <c r="GXA33" s="28"/>
      <c r="GXB33" s="28"/>
      <c r="GXC33" s="28"/>
      <c r="GXD33" s="28"/>
      <c r="GXE33" s="28"/>
      <c r="GXF33" s="28"/>
      <c r="GXG33" s="28"/>
      <c r="GXH33" s="28"/>
      <c r="GXI33" s="28"/>
      <c r="GXJ33" s="28"/>
      <c r="GXK33" s="28"/>
      <c r="GXL33" s="28"/>
      <c r="GXM33" s="28"/>
      <c r="GXN33" s="28"/>
      <c r="GXO33" s="28"/>
      <c r="GXP33" s="28"/>
      <c r="GXQ33" s="28"/>
      <c r="GXR33" s="28"/>
      <c r="GXS33" s="28"/>
      <c r="GXT33" s="28"/>
      <c r="GXU33" s="28"/>
      <c r="GXV33" s="28"/>
      <c r="GXW33" s="28"/>
      <c r="GXX33" s="28"/>
      <c r="GXY33" s="28"/>
      <c r="GXZ33" s="28"/>
      <c r="GYA33" s="28"/>
      <c r="GYB33" s="28"/>
      <c r="GYC33" s="28"/>
      <c r="GYD33" s="28"/>
      <c r="GYE33" s="28"/>
      <c r="GYF33" s="28"/>
      <c r="GYG33" s="28"/>
      <c r="GYH33" s="28"/>
      <c r="GYI33" s="28"/>
      <c r="GYJ33" s="28"/>
      <c r="GYK33" s="28"/>
      <c r="GYL33" s="28"/>
      <c r="GYM33" s="28"/>
      <c r="GYN33" s="28"/>
      <c r="GYO33" s="28"/>
      <c r="GYP33" s="28"/>
      <c r="GYQ33" s="28"/>
      <c r="GYR33" s="28"/>
      <c r="GYS33" s="28"/>
      <c r="GYT33" s="28"/>
      <c r="GYU33" s="28"/>
      <c r="GYV33" s="28"/>
      <c r="GYW33" s="28"/>
      <c r="GYX33" s="28"/>
      <c r="GYY33" s="28"/>
      <c r="GYZ33" s="28"/>
      <c r="GZA33" s="28"/>
      <c r="GZB33" s="28"/>
      <c r="GZC33" s="28"/>
      <c r="GZD33" s="28"/>
      <c r="GZE33" s="28"/>
      <c r="GZF33" s="28"/>
      <c r="GZG33" s="28"/>
      <c r="GZH33" s="28"/>
      <c r="GZI33" s="28"/>
      <c r="GZJ33" s="28"/>
      <c r="GZK33" s="28"/>
      <c r="GZL33" s="28"/>
      <c r="GZM33" s="28"/>
      <c r="GZN33" s="28"/>
      <c r="GZO33" s="28"/>
      <c r="GZP33" s="28"/>
      <c r="GZQ33" s="28"/>
      <c r="GZR33" s="28"/>
      <c r="GZS33" s="28"/>
      <c r="GZT33" s="28"/>
      <c r="GZU33" s="28"/>
      <c r="GZV33" s="28"/>
      <c r="GZW33" s="28"/>
      <c r="GZX33" s="28"/>
      <c r="GZY33" s="28"/>
      <c r="GZZ33" s="28"/>
      <c r="HAA33" s="28"/>
      <c r="HAB33" s="28"/>
      <c r="HAC33" s="28"/>
      <c r="HAD33" s="28"/>
      <c r="HAE33" s="28"/>
      <c r="HAF33" s="28"/>
      <c r="HAG33" s="28"/>
      <c r="HAH33" s="28"/>
      <c r="HAI33" s="28"/>
      <c r="HAJ33" s="28"/>
      <c r="HAK33" s="28"/>
      <c r="HAL33" s="28"/>
      <c r="HAM33" s="28"/>
      <c r="HAN33" s="28"/>
      <c r="HAO33" s="28"/>
      <c r="HAP33" s="28"/>
      <c r="HAQ33" s="28"/>
      <c r="HAR33" s="28"/>
      <c r="HAS33" s="28"/>
      <c r="HAT33" s="28"/>
      <c r="HAU33" s="28"/>
      <c r="HAV33" s="28"/>
      <c r="HAW33" s="28"/>
      <c r="HAX33" s="28"/>
      <c r="HAY33" s="28"/>
      <c r="HAZ33" s="28"/>
      <c r="HBA33" s="28"/>
      <c r="HBB33" s="28"/>
      <c r="HBC33" s="28"/>
      <c r="HBD33" s="28"/>
      <c r="HBE33" s="28"/>
      <c r="HBF33" s="28"/>
      <c r="HBG33" s="28"/>
      <c r="HBH33" s="28"/>
      <c r="HBI33" s="28"/>
      <c r="HBJ33" s="28"/>
      <c r="HBK33" s="28"/>
      <c r="HBL33" s="28"/>
      <c r="HBM33" s="28"/>
      <c r="HBN33" s="28"/>
      <c r="HBO33" s="28"/>
      <c r="HBP33" s="28"/>
      <c r="HBQ33" s="28"/>
      <c r="HBR33" s="28"/>
      <c r="HBS33" s="28"/>
      <c r="HBT33" s="28"/>
      <c r="HBU33" s="28"/>
      <c r="HBV33" s="28"/>
      <c r="HBW33" s="28"/>
      <c r="HBX33" s="28"/>
      <c r="HBY33" s="28"/>
      <c r="HBZ33" s="28"/>
      <c r="HCA33" s="28"/>
      <c r="HCB33" s="28"/>
      <c r="HCC33" s="28"/>
      <c r="HCD33" s="28"/>
      <c r="HCE33" s="28"/>
      <c r="HCF33" s="28"/>
      <c r="HCG33" s="28"/>
      <c r="HCH33" s="28"/>
      <c r="HCI33" s="28"/>
      <c r="HCJ33" s="28"/>
      <c r="HCK33" s="28"/>
      <c r="HCL33" s="28"/>
      <c r="HCM33" s="28"/>
      <c r="HCN33" s="28"/>
      <c r="HCO33" s="28"/>
      <c r="HCP33" s="28"/>
      <c r="HCQ33" s="28"/>
      <c r="HCR33" s="28"/>
      <c r="HCS33" s="28"/>
      <c r="HCT33" s="28"/>
      <c r="HCU33" s="28"/>
      <c r="HCV33" s="28"/>
      <c r="HCW33" s="28"/>
      <c r="HCX33" s="28"/>
      <c r="HCY33" s="28"/>
      <c r="HCZ33" s="28"/>
      <c r="HDA33" s="28"/>
      <c r="HDB33" s="28"/>
      <c r="HDC33" s="28"/>
      <c r="HDD33" s="28"/>
      <c r="HDE33" s="28"/>
      <c r="HDF33" s="28"/>
      <c r="HDG33" s="28"/>
      <c r="HDH33" s="28"/>
      <c r="HDI33" s="28"/>
      <c r="HDJ33" s="28"/>
      <c r="HDK33" s="28"/>
      <c r="HDL33" s="28"/>
      <c r="HDM33" s="28"/>
      <c r="HDN33" s="28"/>
      <c r="HDO33" s="28"/>
      <c r="HDP33" s="28"/>
      <c r="HDQ33" s="28"/>
      <c r="HDR33" s="28"/>
      <c r="HDS33" s="28"/>
      <c r="HDT33" s="28"/>
      <c r="HDU33" s="28"/>
      <c r="HDV33" s="28"/>
      <c r="HDW33" s="28"/>
      <c r="HDX33" s="28"/>
      <c r="HDY33" s="28"/>
      <c r="HDZ33" s="28"/>
      <c r="HEA33" s="28"/>
      <c r="HEB33" s="28"/>
      <c r="HEC33" s="28"/>
      <c r="HED33" s="28"/>
      <c r="HEE33" s="28"/>
      <c r="HEF33" s="28"/>
      <c r="HEG33" s="28"/>
      <c r="HEH33" s="28"/>
      <c r="HEI33" s="28"/>
      <c r="HEJ33" s="28"/>
      <c r="HEK33" s="28"/>
      <c r="HEL33" s="28"/>
      <c r="HEM33" s="28"/>
      <c r="HEN33" s="28"/>
      <c r="HEO33" s="28"/>
      <c r="HEP33" s="28"/>
      <c r="HEQ33" s="28"/>
      <c r="HER33" s="28"/>
      <c r="HES33" s="28"/>
      <c r="HET33" s="28"/>
      <c r="HEU33" s="28"/>
      <c r="HEV33" s="28"/>
      <c r="HEW33" s="28"/>
      <c r="HEX33" s="28"/>
      <c r="HEY33" s="28"/>
      <c r="HEZ33" s="28"/>
      <c r="HFA33" s="28"/>
      <c r="HFB33" s="28"/>
      <c r="HFC33" s="28"/>
      <c r="HFD33" s="28"/>
      <c r="HFE33" s="28"/>
      <c r="HFF33" s="28"/>
      <c r="HFG33" s="28"/>
      <c r="HFH33" s="28"/>
      <c r="HFI33" s="28"/>
      <c r="HFJ33" s="28"/>
      <c r="HFK33" s="28"/>
      <c r="HFL33" s="28"/>
      <c r="HFM33" s="28"/>
      <c r="HFN33" s="28"/>
      <c r="HFO33" s="28"/>
      <c r="HFP33" s="28"/>
      <c r="HFQ33" s="28"/>
      <c r="HFR33" s="28"/>
      <c r="HFS33" s="28"/>
      <c r="HFT33" s="28"/>
      <c r="HFU33" s="28"/>
      <c r="HFV33" s="28"/>
      <c r="HFW33" s="28"/>
      <c r="HFX33" s="28"/>
      <c r="HFY33" s="28"/>
      <c r="HFZ33" s="28"/>
      <c r="HGA33" s="28"/>
      <c r="HGB33" s="28"/>
      <c r="HGC33" s="28"/>
      <c r="HGD33" s="28"/>
      <c r="HGE33" s="28"/>
      <c r="HGF33" s="28"/>
      <c r="HGG33" s="28"/>
      <c r="HGH33" s="28"/>
      <c r="HGI33" s="28"/>
      <c r="HGJ33" s="28"/>
      <c r="HGK33" s="28"/>
      <c r="HGL33" s="28"/>
      <c r="HGM33" s="28"/>
      <c r="HGN33" s="28"/>
      <c r="HGO33" s="28"/>
      <c r="HGP33" s="28"/>
      <c r="HGQ33" s="28"/>
      <c r="HGR33" s="28"/>
      <c r="HGS33" s="28"/>
      <c r="HGT33" s="28"/>
      <c r="HGU33" s="28"/>
      <c r="HGV33" s="28"/>
      <c r="HGW33" s="28"/>
      <c r="HGX33" s="28"/>
      <c r="HGY33" s="28"/>
      <c r="HGZ33" s="28"/>
      <c r="HHA33" s="28"/>
      <c r="HHB33" s="28"/>
      <c r="HHC33" s="28"/>
      <c r="HHD33" s="28"/>
      <c r="HHE33" s="28"/>
      <c r="HHF33" s="28"/>
      <c r="HHG33" s="28"/>
      <c r="HHH33" s="28"/>
      <c r="HHI33" s="28"/>
      <c r="HHJ33" s="28"/>
      <c r="HHK33" s="28"/>
      <c r="HHL33" s="28"/>
      <c r="HHM33" s="28"/>
      <c r="HHN33" s="28"/>
      <c r="HHO33" s="28"/>
      <c r="HHP33" s="28"/>
      <c r="HHQ33" s="28"/>
      <c r="HHR33" s="28"/>
      <c r="HHS33" s="28"/>
      <c r="HHT33" s="28"/>
      <c r="HHU33" s="28"/>
      <c r="HHV33" s="28"/>
      <c r="HHW33" s="28"/>
      <c r="HHX33" s="28"/>
      <c r="HHY33" s="28"/>
      <c r="HHZ33" s="28"/>
      <c r="HIA33" s="28"/>
      <c r="HIB33" s="28"/>
      <c r="HIC33" s="28"/>
      <c r="HID33" s="28"/>
      <c r="HIE33" s="28"/>
      <c r="HIF33" s="28"/>
      <c r="HIG33" s="28"/>
      <c r="HIH33" s="28"/>
      <c r="HII33" s="28"/>
      <c r="HIJ33" s="28"/>
      <c r="HIK33" s="28"/>
      <c r="HIL33" s="28"/>
      <c r="HIM33" s="28"/>
      <c r="HIN33" s="28"/>
      <c r="HIO33" s="28"/>
      <c r="HIP33" s="28"/>
      <c r="HIQ33" s="28"/>
      <c r="HIR33" s="28"/>
      <c r="HIS33" s="28"/>
      <c r="HIT33" s="28"/>
      <c r="HIU33" s="28"/>
      <c r="HIV33" s="28"/>
      <c r="HIW33" s="28"/>
      <c r="HIX33" s="28"/>
      <c r="HIY33" s="28"/>
      <c r="HIZ33" s="28"/>
      <c r="HJA33" s="28"/>
      <c r="HJB33" s="28"/>
      <c r="HJC33" s="28"/>
      <c r="HJD33" s="28"/>
      <c r="HJE33" s="28"/>
      <c r="HJF33" s="28"/>
      <c r="HJG33" s="28"/>
      <c r="HJH33" s="28"/>
      <c r="HJI33" s="28"/>
      <c r="HJJ33" s="28"/>
      <c r="HJK33" s="28"/>
      <c r="HJL33" s="28"/>
      <c r="HJM33" s="28"/>
      <c r="HJN33" s="28"/>
      <c r="HJO33" s="28"/>
      <c r="HJP33" s="28"/>
      <c r="HJQ33" s="28"/>
      <c r="HJR33" s="28"/>
      <c r="HJS33" s="28"/>
      <c r="HJT33" s="28"/>
      <c r="HJU33" s="28"/>
      <c r="HJV33" s="28"/>
      <c r="HJW33" s="28"/>
      <c r="HJX33" s="28"/>
      <c r="HJY33" s="28"/>
      <c r="HJZ33" s="28"/>
      <c r="HKA33" s="28"/>
      <c r="HKB33" s="28"/>
      <c r="HKC33" s="28"/>
      <c r="HKD33" s="28"/>
      <c r="HKE33" s="28"/>
      <c r="HKF33" s="28"/>
      <c r="HKG33" s="28"/>
      <c r="HKH33" s="28"/>
      <c r="HKI33" s="28"/>
      <c r="HKJ33" s="28"/>
      <c r="HKK33" s="28"/>
      <c r="HKL33" s="28"/>
      <c r="HKM33" s="28"/>
      <c r="HKN33" s="28"/>
      <c r="HKO33" s="28"/>
      <c r="HKP33" s="28"/>
      <c r="HKQ33" s="28"/>
      <c r="HKR33" s="28"/>
      <c r="HKS33" s="28"/>
      <c r="HKT33" s="28"/>
      <c r="HKU33" s="28"/>
      <c r="HKV33" s="28"/>
      <c r="HKW33" s="28"/>
      <c r="HKX33" s="28"/>
      <c r="HKY33" s="28"/>
      <c r="HKZ33" s="28"/>
      <c r="HLA33" s="28"/>
      <c r="HLB33" s="28"/>
      <c r="HLC33" s="28"/>
      <c r="HLD33" s="28"/>
      <c r="HLE33" s="28"/>
      <c r="HLF33" s="28"/>
      <c r="HLG33" s="28"/>
      <c r="HLH33" s="28"/>
      <c r="HLI33" s="28"/>
      <c r="HLJ33" s="28"/>
      <c r="HLK33" s="28"/>
      <c r="HLL33" s="28"/>
      <c r="HLM33" s="28"/>
      <c r="HLN33" s="28"/>
      <c r="HLO33" s="28"/>
      <c r="HLP33" s="28"/>
      <c r="HLQ33" s="28"/>
      <c r="HLR33" s="28"/>
      <c r="HLS33" s="28"/>
      <c r="HLT33" s="28"/>
      <c r="HLU33" s="28"/>
      <c r="HLV33" s="28"/>
      <c r="HLW33" s="28"/>
      <c r="HLX33" s="28"/>
      <c r="HLY33" s="28"/>
      <c r="HLZ33" s="28"/>
      <c r="HMA33" s="28"/>
      <c r="HMB33" s="28"/>
      <c r="HMC33" s="28"/>
      <c r="HMD33" s="28"/>
      <c r="HME33" s="28"/>
      <c r="HMF33" s="28"/>
      <c r="HMG33" s="28"/>
      <c r="HMH33" s="28"/>
      <c r="HMI33" s="28"/>
      <c r="HMJ33" s="28"/>
      <c r="HMK33" s="28"/>
      <c r="HML33" s="28"/>
      <c r="HMM33" s="28"/>
      <c r="HMN33" s="28"/>
      <c r="HMO33" s="28"/>
      <c r="HMP33" s="28"/>
      <c r="HMQ33" s="28"/>
      <c r="HMR33" s="28"/>
      <c r="HMS33" s="28"/>
      <c r="HMT33" s="28"/>
      <c r="HMU33" s="28"/>
      <c r="HMV33" s="28"/>
      <c r="HMW33" s="28"/>
      <c r="HMX33" s="28"/>
      <c r="HMY33" s="28"/>
      <c r="HMZ33" s="28"/>
      <c r="HNA33" s="28"/>
      <c r="HNB33" s="28"/>
      <c r="HNC33" s="28"/>
      <c r="HND33" s="28"/>
      <c r="HNE33" s="28"/>
      <c r="HNF33" s="28"/>
      <c r="HNG33" s="28"/>
      <c r="HNH33" s="28"/>
      <c r="HNI33" s="28"/>
      <c r="HNJ33" s="28"/>
      <c r="HNK33" s="28"/>
      <c r="HNL33" s="28"/>
      <c r="HNM33" s="28"/>
      <c r="HNN33" s="28"/>
      <c r="HNO33" s="28"/>
      <c r="HNP33" s="28"/>
      <c r="HNQ33" s="28"/>
      <c r="HNR33" s="28"/>
      <c r="HNS33" s="28"/>
      <c r="HNT33" s="28"/>
      <c r="HNU33" s="28"/>
      <c r="HNV33" s="28"/>
      <c r="HNW33" s="28"/>
      <c r="HNX33" s="28"/>
      <c r="HNY33" s="28"/>
      <c r="HNZ33" s="28"/>
      <c r="HOA33" s="28"/>
      <c r="HOB33" s="28"/>
      <c r="HOC33" s="28"/>
      <c r="HOD33" s="28"/>
      <c r="HOE33" s="28"/>
      <c r="HOF33" s="28"/>
      <c r="HOG33" s="28"/>
      <c r="HOH33" s="28"/>
      <c r="HOI33" s="28"/>
      <c r="HOJ33" s="28"/>
      <c r="HOK33" s="28"/>
      <c r="HOL33" s="28"/>
      <c r="HOM33" s="28"/>
      <c r="HON33" s="28"/>
      <c r="HOO33" s="28"/>
      <c r="HOP33" s="28"/>
      <c r="HOQ33" s="28"/>
      <c r="HOR33" s="28"/>
      <c r="HOS33" s="28"/>
      <c r="HOT33" s="28"/>
      <c r="HOU33" s="28"/>
      <c r="HOV33" s="28"/>
      <c r="HOW33" s="28"/>
      <c r="HOX33" s="28"/>
      <c r="HOY33" s="28"/>
      <c r="HOZ33" s="28"/>
      <c r="HPA33" s="28"/>
      <c r="HPB33" s="28"/>
      <c r="HPC33" s="28"/>
      <c r="HPD33" s="28"/>
      <c r="HPE33" s="28"/>
      <c r="HPF33" s="28"/>
      <c r="HPG33" s="28"/>
      <c r="HPH33" s="28"/>
      <c r="HPI33" s="28"/>
      <c r="HPJ33" s="28"/>
      <c r="HPK33" s="28"/>
      <c r="HPL33" s="28"/>
      <c r="HPM33" s="28"/>
      <c r="HPN33" s="28"/>
      <c r="HPO33" s="28"/>
      <c r="HPP33" s="28"/>
      <c r="HPQ33" s="28"/>
      <c r="HPR33" s="28"/>
      <c r="HPS33" s="28"/>
      <c r="HPT33" s="28"/>
      <c r="HPU33" s="28"/>
      <c r="HPV33" s="28"/>
      <c r="HPW33" s="28"/>
      <c r="HPX33" s="28"/>
      <c r="HPY33" s="28"/>
      <c r="HPZ33" s="28"/>
      <c r="HQA33" s="28"/>
      <c r="HQB33" s="28"/>
      <c r="HQC33" s="28"/>
      <c r="HQD33" s="28"/>
      <c r="HQE33" s="28"/>
      <c r="HQF33" s="28"/>
      <c r="HQG33" s="28"/>
      <c r="HQH33" s="28"/>
      <c r="HQI33" s="28"/>
      <c r="HQJ33" s="28"/>
      <c r="HQK33" s="28"/>
      <c r="HQL33" s="28"/>
      <c r="HQM33" s="28"/>
      <c r="HQN33" s="28"/>
      <c r="HQO33" s="28"/>
      <c r="HQP33" s="28"/>
      <c r="HQQ33" s="28"/>
      <c r="HQR33" s="28"/>
      <c r="HQS33" s="28"/>
      <c r="HQT33" s="28"/>
      <c r="HQU33" s="28"/>
      <c r="HQV33" s="28"/>
      <c r="HQW33" s="28"/>
      <c r="HQX33" s="28"/>
      <c r="HQY33" s="28"/>
      <c r="HQZ33" s="28"/>
      <c r="HRA33" s="28"/>
      <c r="HRB33" s="28"/>
      <c r="HRC33" s="28"/>
      <c r="HRD33" s="28"/>
      <c r="HRE33" s="28"/>
      <c r="HRF33" s="28"/>
      <c r="HRG33" s="28"/>
      <c r="HRH33" s="28"/>
      <c r="HRI33" s="28"/>
      <c r="HRJ33" s="28"/>
      <c r="HRK33" s="28"/>
      <c r="HRL33" s="28"/>
      <c r="HRM33" s="28"/>
      <c r="HRN33" s="28"/>
      <c r="HRO33" s="28"/>
      <c r="HRP33" s="28"/>
      <c r="HRQ33" s="28"/>
      <c r="HRR33" s="28"/>
      <c r="HRS33" s="28"/>
      <c r="HRT33" s="28"/>
      <c r="HRU33" s="28"/>
      <c r="HRV33" s="28"/>
      <c r="HRW33" s="28"/>
      <c r="HRX33" s="28"/>
      <c r="HRY33" s="28"/>
      <c r="HRZ33" s="28"/>
      <c r="HSA33" s="28"/>
      <c r="HSB33" s="28"/>
      <c r="HSC33" s="28"/>
      <c r="HSD33" s="28"/>
      <c r="HSE33" s="28"/>
      <c r="HSF33" s="28"/>
      <c r="HSG33" s="28"/>
      <c r="HSH33" s="28"/>
      <c r="HSI33" s="28"/>
      <c r="HSJ33" s="28"/>
      <c r="HSK33" s="28"/>
      <c r="HSL33" s="28"/>
      <c r="HSM33" s="28"/>
      <c r="HSN33" s="28"/>
      <c r="HSO33" s="28"/>
      <c r="HSP33" s="28"/>
      <c r="HSQ33" s="28"/>
      <c r="HSR33" s="28"/>
      <c r="HSS33" s="28"/>
      <c r="HST33" s="28"/>
      <c r="HSU33" s="28"/>
      <c r="HSV33" s="28"/>
      <c r="HSW33" s="28"/>
      <c r="HSX33" s="28"/>
      <c r="HSY33" s="28"/>
      <c r="HSZ33" s="28"/>
      <c r="HTA33" s="28"/>
      <c r="HTB33" s="28"/>
      <c r="HTC33" s="28"/>
      <c r="HTD33" s="28"/>
      <c r="HTE33" s="28"/>
      <c r="HTF33" s="28"/>
      <c r="HTG33" s="28"/>
      <c r="HTH33" s="28"/>
      <c r="HTI33" s="28"/>
      <c r="HTJ33" s="28"/>
      <c r="HTK33" s="28"/>
      <c r="HTL33" s="28"/>
      <c r="HTM33" s="28"/>
      <c r="HTN33" s="28"/>
      <c r="HTO33" s="28"/>
      <c r="HTP33" s="28"/>
      <c r="HTQ33" s="28"/>
      <c r="HTR33" s="28"/>
      <c r="HTS33" s="28"/>
      <c r="HTT33" s="28"/>
      <c r="HTU33" s="28"/>
      <c r="HTV33" s="28"/>
      <c r="HTW33" s="28"/>
      <c r="HTX33" s="28"/>
      <c r="HTY33" s="28"/>
      <c r="HTZ33" s="28"/>
      <c r="HUA33" s="28"/>
      <c r="HUB33" s="28"/>
      <c r="HUC33" s="28"/>
      <c r="HUD33" s="28"/>
      <c r="HUE33" s="28"/>
      <c r="HUF33" s="28"/>
      <c r="HUG33" s="28"/>
      <c r="HUH33" s="28"/>
      <c r="HUI33" s="28"/>
      <c r="HUJ33" s="28"/>
      <c r="HUK33" s="28"/>
      <c r="HUL33" s="28"/>
      <c r="HUM33" s="28"/>
      <c r="HUN33" s="28"/>
      <c r="HUO33" s="28"/>
      <c r="HUP33" s="28"/>
      <c r="HUQ33" s="28"/>
      <c r="HUR33" s="28"/>
      <c r="HUS33" s="28"/>
      <c r="HUT33" s="28"/>
      <c r="HUU33" s="28"/>
      <c r="HUV33" s="28"/>
      <c r="HUW33" s="28"/>
      <c r="HUX33" s="28"/>
      <c r="HUY33" s="28"/>
      <c r="HUZ33" s="28"/>
      <c r="HVA33" s="28"/>
      <c r="HVB33" s="28"/>
      <c r="HVC33" s="28"/>
      <c r="HVD33" s="28"/>
      <c r="HVE33" s="28"/>
      <c r="HVF33" s="28"/>
      <c r="HVG33" s="28"/>
      <c r="HVH33" s="28"/>
      <c r="HVI33" s="28"/>
      <c r="HVJ33" s="28"/>
      <c r="HVK33" s="28"/>
      <c r="HVL33" s="28"/>
      <c r="HVM33" s="28"/>
      <c r="HVN33" s="28"/>
      <c r="HVO33" s="28"/>
      <c r="HVP33" s="28"/>
      <c r="HVQ33" s="28"/>
      <c r="HVR33" s="28"/>
      <c r="HVS33" s="28"/>
      <c r="HVT33" s="28"/>
      <c r="HVU33" s="28"/>
      <c r="HVV33" s="28"/>
      <c r="HVW33" s="28"/>
      <c r="HVX33" s="28"/>
      <c r="HVY33" s="28"/>
      <c r="HVZ33" s="28"/>
      <c r="HWA33" s="28"/>
      <c r="HWB33" s="28"/>
      <c r="HWC33" s="28"/>
      <c r="HWD33" s="28"/>
      <c r="HWE33" s="28"/>
      <c r="HWF33" s="28"/>
      <c r="HWG33" s="28"/>
      <c r="HWH33" s="28"/>
      <c r="HWI33" s="28"/>
      <c r="HWJ33" s="28"/>
      <c r="HWK33" s="28"/>
      <c r="HWL33" s="28"/>
      <c r="HWM33" s="28"/>
      <c r="HWN33" s="28"/>
      <c r="HWO33" s="28"/>
      <c r="HWP33" s="28"/>
      <c r="HWQ33" s="28"/>
      <c r="HWR33" s="28"/>
      <c r="HWS33" s="28"/>
      <c r="HWT33" s="28"/>
      <c r="HWU33" s="28"/>
      <c r="HWV33" s="28"/>
      <c r="HWW33" s="28"/>
      <c r="HWX33" s="28"/>
      <c r="HWY33" s="28"/>
      <c r="HWZ33" s="28"/>
      <c r="HXA33" s="28"/>
      <c r="HXB33" s="28"/>
      <c r="HXC33" s="28"/>
      <c r="HXD33" s="28"/>
      <c r="HXE33" s="28"/>
      <c r="HXF33" s="28"/>
      <c r="HXG33" s="28"/>
      <c r="HXH33" s="28"/>
      <c r="HXI33" s="28"/>
      <c r="HXJ33" s="28"/>
      <c r="HXK33" s="28"/>
      <c r="HXL33" s="28"/>
      <c r="HXM33" s="28"/>
      <c r="HXN33" s="28"/>
      <c r="HXO33" s="28"/>
      <c r="HXP33" s="28"/>
      <c r="HXQ33" s="28"/>
      <c r="HXR33" s="28"/>
      <c r="HXS33" s="28"/>
      <c r="HXT33" s="28"/>
      <c r="HXU33" s="28"/>
      <c r="HXV33" s="28"/>
      <c r="HXW33" s="28"/>
      <c r="HXX33" s="28"/>
      <c r="HXY33" s="28"/>
      <c r="HXZ33" s="28"/>
      <c r="HYA33" s="28"/>
      <c r="HYB33" s="28"/>
      <c r="HYC33" s="28"/>
      <c r="HYD33" s="28"/>
      <c r="HYE33" s="28"/>
      <c r="HYF33" s="28"/>
      <c r="HYG33" s="28"/>
      <c r="HYH33" s="28"/>
      <c r="HYI33" s="28"/>
      <c r="HYJ33" s="28"/>
      <c r="HYK33" s="28"/>
      <c r="HYL33" s="28"/>
      <c r="HYM33" s="28"/>
      <c r="HYN33" s="28"/>
      <c r="HYO33" s="28"/>
      <c r="HYP33" s="28"/>
      <c r="HYQ33" s="28"/>
      <c r="HYR33" s="28"/>
      <c r="HYS33" s="28"/>
      <c r="HYT33" s="28"/>
      <c r="HYU33" s="28"/>
      <c r="HYV33" s="28"/>
      <c r="HYW33" s="28"/>
      <c r="HYX33" s="28"/>
      <c r="HYY33" s="28"/>
      <c r="HYZ33" s="28"/>
      <c r="HZA33" s="28"/>
      <c r="HZB33" s="28"/>
      <c r="HZC33" s="28"/>
      <c r="HZD33" s="28"/>
      <c r="HZE33" s="28"/>
      <c r="HZF33" s="28"/>
      <c r="HZG33" s="28"/>
      <c r="HZH33" s="28"/>
      <c r="HZI33" s="28"/>
      <c r="HZJ33" s="28"/>
      <c r="HZK33" s="28"/>
      <c r="HZL33" s="28"/>
      <c r="HZM33" s="28"/>
      <c r="HZN33" s="28"/>
      <c r="HZO33" s="28"/>
      <c r="HZP33" s="28"/>
      <c r="HZQ33" s="28"/>
      <c r="HZR33" s="28"/>
      <c r="HZS33" s="28"/>
      <c r="HZT33" s="28"/>
      <c r="HZU33" s="28"/>
      <c r="HZV33" s="28"/>
      <c r="HZW33" s="28"/>
      <c r="HZX33" s="28"/>
      <c r="HZY33" s="28"/>
      <c r="HZZ33" s="28"/>
      <c r="IAA33" s="28"/>
      <c r="IAB33" s="28"/>
      <c r="IAC33" s="28"/>
      <c r="IAD33" s="28"/>
      <c r="IAE33" s="28"/>
      <c r="IAF33" s="28"/>
      <c r="IAG33" s="28"/>
      <c r="IAH33" s="28"/>
      <c r="IAI33" s="28"/>
      <c r="IAJ33" s="28"/>
      <c r="IAK33" s="28"/>
      <c r="IAL33" s="28"/>
      <c r="IAM33" s="28"/>
      <c r="IAN33" s="28"/>
      <c r="IAO33" s="28"/>
      <c r="IAP33" s="28"/>
      <c r="IAQ33" s="28"/>
      <c r="IAR33" s="28"/>
      <c r="IAS33" s="28"/>
      <c r="IAT33" s="28"/>
      <c r="IAU33" s="28"/>
      <c r="IAV33" s="28"/>
      <c r="IAW33" s="28"/>
      <c r="IAX33" s="28"/>
      <c r="IAY33" s="28"/>
      <c r="IAZ33" s="28"/>
      <c r="IBA33" s="28"/>
      <c r="IBB33" s="28"/>
      <c r="IBC33" s="28"/>
      <c r="IBD33" s="28"/>
      <c r="IBE33" s="28"/>
      <c r="IBF33" s="28"/>
      <c r="IBG33" s="28"/>
      <c r="IBH33" s="28"/>
      <c r="IBI33" s="28"/>
      <c r="IBJ33" s="28"/>
      <c r="IBK33" s="28"/>
      <c r="IBL33" s="28"/>
      <c r="IBM33" s="28"/>
      <c r="IBN33" s="28"/>
      <c r="IBO33" s="28"/>
      <c r="IBP33" s="28"/>
      <c r="IBQ33" s="28"/>
      <c r="IBR33" s="28"/>
      <c r="IBS33" s="28"/>
      <c r="IBT33" s="28"/>
      <c r="IBU33" s="28"/>
      <c r="IBV33" s="28"/>
      <c r="IBW33" s="28"/>
      <c r="IBX33" s="28"/>
      <c r="IBY33" s="28"/>
      <c r="IBZ33" s="28"/>
      <c r="ICA33" s="28"/>
      <c r="ICB33" s="28"/>
      <c r="ICC33" s="28"/>
      <c r="ICD33" s="28"/>
      <c r="ICE33" s="28"/>
      <c r="ICF33" s="28"/>
      <c r="ICG33" s="28"/>
      <c r="ICH33" s="28"/>
      <c r="ICI33" s="28"/>
      <c r="ICJ33" s="28"/>
      <c r="ICK33" s="28"/>
      <c r="ICL33" s="28"/>
      <c r="ICM33" s="28"/>
      <c r="ICN33" s="28"/>
      <c r="ICO33" s="28"/>
      <c r="ICP33" s="28"/>
      <c r="ICQ33" s="28"/>
      <c r="ICR33" s="28"/>
      <c r="ICS33" s="28"/>
      <c r="ICT33" s="28"/>
      <c r="ICU33" s="28"/>
      <c r="ICV33" s="28"/>
      <c r="ICW33" s="28"/>
      <c r="ICX33" s="28"/>
      <c r="ICY33" s="28"/>
      <c r="ICZ33" s="28"/>
      <c r="IDA33" s="28"/>
      <c r="IDB33" s="28"/>
      <c r="IDC33" s="28"/>
      <c r="IDD33" s="28"/>
      <c r="IDE33" s="28"/>
      <c r="IDF33" s="28"/>
      <c r="IDG33" s="28"/>
      <c r="IDH33" s="28"/>
      <c r="IDI33" s="28"/>
      <c r="IDJ33" s="28"/>
      <c r="IDK33" s="28"/>
      <c r="IDL33" s="28"/>
      <c r="IDM33" s="28"/>
      <c r="IDN33" s="28"/>
      <c r="IDO33" s="28"/>
      <c r="IDP33" s="28"/>
      <c r="IDQ33" s="28"/>
      <c r="IDR33" s="28"/>
      <c r="IDS33" s="28"/>
      <c r="IDT33" s="28"/>
      <c r="IDU33" s="28"/>
      <c r="IDV33" s="28"/>
      <c r="IDW33" s="28"/>
      <c r="IDX33" s="28"/>
      <c r="IDY33" s="28"/>
      <c r="IDZ33" s="28"/>
      <c r="IEA33" s="28"/>
      <c r="IEB33" s="28"/>
      <c r="IEC33" s="28"/>
      <c r="IED33" s="28"/>
      <c r="IEE33" s="28"/>
      <c r="IEF33" s="28"/>
      <c r="IEG33" s="28"/>
      <c r="IEH33" s="28"/>
      <c r="IEI33" s="28"/>
      <c r="IEJ33" s="28"/>
      <c r="IEK33" s="28"/>
      <c r="IEL33" s="28"/>
      <c r="IEM33" s="28"/>
      <c r="IEN33" s="28"/>
      <c r="IEO33" s="28"/>
      <c r="IEP33" s="28"/>
      <c r="IEQ33" s="28"/>
      <c r="IER33" s="28"/>
      <c r="IES33" s="28"/>
      <c r="IET33" s="28"/>
      <c r="IEU33" s="28"/>
      <c r="IEV33" s="28"/>
      <c r="IEW33" s="28"/>
      <c r="IEX33" s="28"/>
      <c r="IEY33" s="28"/>
      <c r="IEZ33" s="28"/>
      <c r="IFA33" s="28"/>
      <c r="IFB33" s="28"/>
      <c r="IFC33" s="28"/>
      <c r="IFD33" s="28"/>
      <c r="IFE33" s="28"/>
      <c r="IFF33" s="28"/>
      <c r="IFG33" s="28"/>
      <c r="IFH33" s="28"/>
      <c r="IFI33" s="28"/>
      <c r="IFJ33" s="28"/>
      <c r="IFK33" s="28"/>
      <c r="IFL33" s="28"/>
      <c r="IFM33" s="28"/>
      <c r="IFN33" s="28"/>
      <c r="IFO33" s="28"/>
      <c r="IFP33" s="28"/>
      <c r="IFQ33" s="28"/>
      <c r="IFR33" s="28"/>
      <c r="IFS33" s="28"/>
      <c r="IFT33" s="28"/>
      <c r="IFU33" s="28"/>
      <c r="IFV33" s="28"/>
      <c r="IFW33" s="28"/>
      <c r="IFX33" s="28"/>
      <c r="IFY33" s="28"/>
      <c r="IFZ33" s="28"/>
      <c r="IGA33" s="28"/>
      <c r="IGB33" s="28"/>
      <c r="IGC33" s="28"/>
      <c r="IGD33" s="28"/>
      <c r="IGE33" s="28"/>
      <c r="IGF33" s="28"/>
      <c r="IGG33" s="28"/>
      <c r="IGH33" s="28"/>
      <c r="IGI33" s="28"/>
      <c r="IGJ33" s="28"/>
      <c r="IGK33" s="28"/>
      <c r="IGL33" s="28"/>
      <c r="IGM33" s="28"/>
      <c r="IGN33" s="28"/>
      <c r="IGO33" s="28"/>
      <c r="IGP33" s="28"/>
      <c r="IGQ33" s="28"/>
      <c r="IGR33" s="28"/>
      <c r="IGS33" s="28"/>
      <c r="IGT33" s="28"/>
      <c r="IGU33" s="28"/>
      <c r="IGV33" s="28"/>
      <c r="IGW33" s="28"/>
      <c r="IGX33" s="28"/>
      <c r="IGY33" s="28"/>
      <c r="IGZ33" s="28"/>
      <c r="IHA33" s="28"/>
      <c r="IHB33" s="28"/>
      <c r="IHC33" s="28"/>
      <c r="IHD33" s="28"/>
      <c r="IHE33" s="28"/>
      <c r="IHF33" s="28"/>
      <c r="IHG33" s="28"/>
      <c r="IHH33" s="28"/>
      <c r="IHI33" s="28"/>
      <c r="IHJ33" s="28"/>
      <c r="IHK33" s="28"/>
      <c r="IHL33" s="28"/>
      <c r="IHM33" s="28"/>
      <c r="IHN33" s="28"/>
      <c r="IHO33" s="28"/>
      <c r="IHP33" s="28"/>
      <c r="IHQ33" s="28"/>
      <c r="IHR33" s="28"/>
      <c r="IHS33" s="28"/>
      <c r="IHT33" s="28"/>
      <c r="IHU33" s="28"/>
      <c r="IHV33" s="28"/>
      <c r="IHW33" s="28"/>
      <c r="IHX33" s="28"/>
      <c r="IHY33" s="28"/>
      <c r="IHZ33" s="28"/>
      <c r="IIA33" s="28"/>
      <c r="IIB33" s="28"/>
      <c r="IIC33" s="28"/>
      <c r="IID33" s="28"/>
      <c r="IIE33" s="28"/>
      <c r="IIF33" s="28"/>
      <c r="IIG33" s="28"/>
      <c r="IIH33" s="28"/>
      <c r="III33" s="28"/>
      <c r="IIJ33" s="28"/>
      <c r="IIK33" s="28"/>
      <c r="IIL33" s="28"/>
      <c r="IIM33" s="28"/>
      <c r="IIN33" s="28"/>
      <c r="IIO33" s="28"/>
      <c r="IIP33" s="28"/>
      <c r="IIQ33" s="28"/>
      <c r="IIR33" s="28"/>
      <c r="IIS33" s="28"/>
      <c r="IIT33" s="28"/>
      <c r="IIU33" s="28"/>
      <c r="IIV33" s="28"/>
      <c r="IIW33" s="28"/>
      <c r="IIX33" s="28"/>
      <c r="IIY33" s="28"/>
      <c r="IIZ33" s="28"/>
      <c r="IJA33" s="28"/>
      <c r="IJB33" s="28"/>
      <c r="IJC33" s="28"/>
      <c r="IJD33" s="28"/>
      <c r="IJE33" s="28"/>
      <c r="IJF33" s="28"/>
      <c r="IJG33" s="28"/>
      <c r="IJH33" s="28"/>
      <c r="IJI33" s="28"/>
      <c r="IJJ33" s="28"/>
      <c r="IJK33" s="28"/>
      <c r="IJL33" s="28"/>
      <c r="IJM33" s="28"/>
      <c r="IJN33" s="28"/>
      <c r="IJO33" s="28"/>
      <c r="IJP33" s="28"/>
      <c r="IJQ33" s="28"/>
      <c r="IJR33" s="28"/>
      <c r="IJS33" s="28"/>
      <c r="IJT33" s="28"/>
      <c r="IJU33" s="28"/>
      <c r="IJV33" s="28"/>
      <c r="IJW33" s="28"/>
      <c r="IJX33" s="28"/>
      <c r="IJY33" s="28"/>
      <c r="IJZ33" s="28"/>
      <c r="IKA33" s="28"/>
      <c r="IKB33" s="28"/>
      <c r="IKC33" s="28"/>
      <c r="IKD33" s="28"/>
      <c r="IKE33" s="28"/>
      <c r="IKF33" s="28"/>
      <c r="IKG33" s="28"/>
      <c r="IKH33" s="28"/>
      <c r="IKI33" s="28"/>
      <c r="IKJ33" s="28"/>
      <c r="IKK33" s="28"/>
      <c r="IKL33" s="28"/>
      <c r="IKM33" s="28"/>
      <c r="IKN33" s="28"/>
      <c r="IKO33" s="28"/>
      <c r="IKP33" s="28"/>
      <c r="IKQ33" s="28"/>
      <c r="IKR33" s="28"/>
      <c r="IKS33" s="28"/>
      <c r="IKT33" s="28"/>
      <c r="IKU33" s="28"/>
      <c r="IKV33" s="28"/>
      <c r="IKW33" s="28"/>
      <c r="IKX33" s="28"/>
      <c r="IKY33" s="28"/>
      <c r="IKZ33" s="28"/>
      <c r="ILA33" s="28"/>
      <c r="ILB33" s="28"/>
      <c r="ILC33" s="28"/>
      <c r="ILD33" s="28"/>
      <c r="ILE33" s="28"/>
      <c r="ILF33" s="28"/>
      <c r="ILG33" s="28"/>
      <c r="ILH33" s="28"/>
      <c r="ILI33" s="28"/>
      <c r="ILJ33" s="28"/>
      <c r="ILK33" s="28"/>
      <c r="ILL33" s="28"/>
      <c r="ILM33" s="28"/>
      <c r="ILN33" s="28"/>
      <c r="ILO33" s="28"/>
      <c r="ILP33" s="28"/>
      <c r="ILQ33" s="28"/>
      <c r="ILR33" s="28"/>
      <c r="ILS33" s="28"/>
      <c r="ILT33" s="28"/>
      <c r="ILU33" s="28"/>
      <c r="ILV33" s="28"/>
      <c r="ILW33" s="28"/>
      <c r="ILX33" s="28"/>
      <c r="ILY33" s="28"/>
      <c r="ILZ33" s="28"/>
      <c r="IMA33" s="28"/>
      <c r="IMB33" s="28"/>
      <c r="IMC33" s="28"/>
      <c r="IMD33" s="28"/>
      <c r="IME33" s="28"/>
      <c r="IMF33" s="28"/>
      <c r="IMG33" s="28"/>
      <c r="IMH33" s="28"/>
      <c r="IMI33" s="28"/>
      <c r="IMJ33" s="28"/>
      <c r="IMK33" s="28"/>
      <c r="IML33" s="28"/>
      <c r="IMM33" s="28"/>
      <c r="IMN33" s="28"/>
      <c r="IMO33" s="28"/>
      <c r="IMP33" s="28"/>
      <c r="IMQ33" s="28"/>
      <c r="IMR33" s="28"/>
      <c r="IMS33" s="28"/>
      <c r="IMT33" s="28"/>
      <c r="IMU33" s="28"/>
      <c r="IMV33" s="28"/>
      <c r="IMW33" s="28"/>
      <c r="IMX33" s="28"/>
      <c r="IMY33" s="28"/>
      <c r="IMZ33" s="28"/>
      <c r="INA33" s="28"/>
      <c r="INB33" s="28"/>
      <c r="INC33" s="28"/>
      <c r="IND33" s="28"/>
      <c r="INE33" s="28"/>
      <c r="INF33" s="28"/>
      <c r="ING33" s="28"/>
      <c r="INH33" s="28"/>
      <c r="INI33" s="28"/>
      <c r="INJ33" s="28"/>
      <c r="INK33" s="28"/>
      <c r="INL33" s="28"/>
      <c r="INM33" s="28"/>
      <c r="INN33" s="28"/>
      <c r="INO33" s="28"/>
      <c r="INP33" s="28"/>
      <c r="INQ33" s="28"/>
      <c r="INR33" s="28"/>
      <c r="INS33" s="28"/>
      <c r="INT33" s="28"/>
      <c r="INU33" s="28"/>
      <c r="INV33" s="28"/>
      <c r="INW33" s="28"/>
      <c r="INX33" s="28"/>
      <c r="INY33" s="28"/>
      <c r="INZ33" s="28"/>
      <c r="IOA33" s="28"/>
      <c r="IOB33" s="28"/>
      <c r="IOC33" s="28"/>
      <c r="IOD33" s="28"/>
      <c r="IOE33" s="28"/>
      <c r="IOF33" s="28"/>
      <c r="IOG33" s="28"/>
      <c r="IOH33" s="28"/>
      <c r="IOI33" s="28"/>
      <c r="IOJ33" s="28"/>
      <c r="IOK33" s="28"/>
      <c r="IOL33" s="28"/>
      <c r="IOM33" s="28"/>
      <c r="ION33" s="28"/>
      <c r="IOO33" s="28"/>
      <c r="IOP33" s="28"/>
      <c r="IOQ33" s="28"/>
      <c r="IOR33" s="28"/>
      <c r="IOS33" s="28"/>
      <c r="IOT33" s="28"/>
      <c r="IOU33" s="28"/>
      <c r="IOV33" s="28"/>
      <c r="IOW33" s="28"/>
      <c r="IOX33" s="28"/>
      <c r="IOY33" s="28"/>
      <c r="IOZ33" s="28"/>
      <c r="IPA33" s="28"/>
      <c r="IPB33" s="28"/>
      <c r="IPC33" s="28"/>
      <c r="IPD33" s="28"/>
      <c r="IPE33" s="28"/>
      <c r="IPF33" s="28"/>
      <c r="IPG33" s="28"/>
      <c r="IPH33" s="28"/>
      <c r="IPI33" s="28"/>
      <c r="IPJ33" s="28"/>
      <c r="IPK33" s="28"/>
      <c r="IPL33" s="28"/>
      <c r="IPM33" s="28"/>
      <c r="IPN33" s="28"/>
      <c r="IPO33" s="28"/>
      <c r="IPP33" s="28"/>
      <c r="IPQ33" s="28"/>
      <c r="IPR33" s="28"/>
      <c r="IPS33" s="28"/>
      <c r="IPT33" s="28"/>
      <c r="IPU33" s="28"/>
      <c r="IPV33" s="28"/>
      <c r="IPW33" s="28"/>
      <c r="IPX33" s="28"/>
      <c r="IPY33" s="28"/>
      <c r="IPZ33" s="28"/>
      <c r="IQA33" s="28"/>
      <c r="IQB33" s="28"/>
      <c r="IQC33" s="28"/>
      <c r="IQD33" s="28"/>
      <c r="IQE33" s="28"/>
      <c r="IQF33" s="28"/>
      <c r="IQG33" s="28"/>
      <c r="IQH33" s="28"/>
      <c r="IQI33" s="28"/>
      <c r="IQJ33" s="28"/>
      <c r="IQK33" s="28"/>
      <c r="IQL33" s="28"/>
      <c r="IQM33" s="28"/>
      <c r="IQN33" s="28"/>
      <c r="IQO33" s="28"/>
      <c r="IQP33" s="28"/>
      <c r="IQQ33" s="28"/>
      <c r="IQR33" s="28"/>
      <c r="IQS33" s="28"/>
      <c r="IQT33" s="28"/>
      <c r="IQU33" s="28"/>
      <c r="IQV33" s="28"/>
      <c r="IQW33" s="28"/>
      <c r="IQX33" s="28"/>
      <c r="IQY33" s="28"/>
      <c r="IQZ33" s="28"/>
      <c r="IRA33" s="28"/>
      <c r="IRB33" s="28"/>
      <c r="IRC33" s="28"/>
      <c r="IRD33" s="28"/>
      <c r="IRE33" s="28"/>
      <c r="IRF33" s="28"/>
      <c r="IRG33" s="28"/>
      <c r="IRH33" s="28"/>
      <c r="IRI33" s="28"/>
      <c r="IRJ33" s="28"/>
      <c r="IRK33" s="28"/>
      <c r="IRL33" s="28"/>
      <c r="IRM33" s="28"/>
      <c r="IRN33" s="28"/>
      <c r="IRO33" s="28"/>
      <c r="IRP33" s="28"/>
      <c r="IRQ33" s="28"/>
      <c r="IRR33" s="28"/>
      <c r="IRS33" s="28"/>
      <c r="IRT33" s="28"/>
      <c r="IRU33" s="28"/>
      <c r="IRV33" s="28"/>
      <c r="IRW33" s="28"/>
      <c r="IRX33" s="28"/>
      <c r="IRY33" s="28"/>
      <c r="IRZ33" s="28"/>
      <c r="ISA33" s="28"/>
      <c r="ISB33" s="28"/>
      <c r="ISC33" s="28"/>
      <c r="ISD33" s="28"/>
      <c r="ISE33" s="28"/>
      <c r="ISF33" s="28"/>
      <c r="ISG33" s="28"/>
      <c r="ISH33" s="28"/>
      <c r="ISI33" s="28"/>
      <c r="ISJ33" s="28"/>
      <c r="ISK33" s="28"/>
      <c r="ISL33" s="28"/>
      <c r="ISM33" s="28"/>
      <c r="ISN33" s="28"/>
      <c r="ISO33" s="28"/>
      <c r="ISP33" s="28"/>
      <c r="ISQ33" s="28"/>
      <c r="ISR33" s="28"/>
      <c r="ISS33" s="28"/>
      <c r="IST33" s="28"/>
      <c r="ISU33" s="28"/>
      <c r="ISV33" s="28"/>
      <c r="ISW33" s="28"/>
      <c r="ISX33" s="28"/>
      <c r="ISY33" s="28"/>
      <c r="ISZ33" s="28"/>
      <c r="ITA33" s="28"/>
      <c r="ITB33" s="28"/>
      <c r="ITC33" s="28"/>
      <c r="ITD33" s="28"/>
      <c r="ITE33" s="28"/>
      <c r="ITF33" s="28"/>
      <c r="ITG33" s="28"/>
      <c r="ITH33" s="28"/>
      <c r="ITI33" s="28"/>
      <c r="ITJ33" s="28"/>
      <c r="ITK33" s="28"/>
      <c r="ITL33" s="28"/>
      <c r="ITM33" s="28"/>
      <c r="ITN33" s="28"/>
      <c r="ITO33" s="28"/>
      <c r="ITP33" s="28"/>
      <c r="ITQ33" s="28"/>
      <c r="ITR33" s="28"/>
      <c r="ITS33" s="28"/>
      <c r="ITT33" s="28"/>
      <c r="ITU33" s="28"/>
      <c r="ITV33" s="28"/>
      <c r="ITW33" s="28"/>
      <c r="ITX33" s="28"/>
      <c r="ITY33" s="28"/>
      <c r="ITZ33" s="28"/>
      <c r="IUA33" s="28"/>
      <c r="IUB33" s="28"/>
      <c r="IUC33" s="28"/>
      <c r="IUD33" s="28"/>
      <c r="IUE33" s="28"/>
      <c r="IUF33" s="28"/>
      <c r="IUG33" s="28"/>
      <c r="IUH33" s="28"/>
      <c r="IUI33" s="28"/>
      <c r="IUJ33" s="28"/>
      <c r="IUK33" s="28"/>
      <c r="IUL33" s="28"/>
      <c r="IUM33" s="28"/>
      <c r="IUN33" s="28"/>
      <c r="IUO33" s="28"/>
      <c r="IUP33" s="28"/>
      <c r="IUQ33" s="28"/>
      <c r="IUR33" s="28"/>
      <c r="IUS33" s="28"/>
      <c r="IUT33" s="28"/>
      <c r="IUU33" s="28"/>
      <c r="IUV33" s="28"/>
      <c r="IUW33" s="28"/>
      <c r="IUX33" s="28"/>
      <c r="IUY33" s="28"/>
      <c r="IUZ33" s="28"/>
      <c r="IVA33" s="28"/>
      <c r="IVB33" s="28"/>
      <c r="IVC33" s="28"/>
      <c r="IVD33" s="28"/>
      <c r="IVE33" s="28"/>
      <c r="IVF33" s="28"/>
      <c r="IVG33" s="28"/>
      <c r="IVH33" s="28"/>
      <c r="IVI33" s="28"/>
      <c r="IVJ33" s="28"/>
      <c r="IVK33" s="28"/>
      <c r="IVL33" s="28"/>
      <c r="IVM33" s="28"/>
      <c r="IVN33" s="28"/>
      <c r="IVO33" s="28"/>
      <c r="IVP33" s="28"/>
      <c r="IVQ33" s="28"/>
      <c r="IVR33" s="28"/>
      <c r="IVS33" s="28"/>
      <c r="IVT33" s="28"/>
      <c r="IVU33" s="28"/>
      <c r="IVV33" s="28"/>
      <c r="IVW33" s="28"/>
      <c r="IVX33" s="28"/>
      <c r="IVY33" s="28"/>
      <c r="IVZ33" s="28"/>
      <c r="IWA33" s="28"/>
      <c r="IWB33" s="28"/>
      <c r="IWC33" s="28"/>
      <c r="IWD33" s="28"/>
      <c r="IWE33" s="28"/>
      <c r="IWF33" s="28"/>
      <c r="IWG33" s="28"/>
      <c r="IWH33" s="28"/>
      <c r="IWI33" s="28"/>
      <c r="IWJ33" s="28"/>
      <c r="IWK33" s="28"/>
      <c r="IWL33" s="28"/>
      <c r="IWM33" s="28"/>
      <c r="IWN33" s="28"/>
      <c r="IWO33" s="28"/>
      <c r="IWP33" s="28"/>
      <c r="IWQ33" s="28"/>
      <c r="IWR33" s="28"/>
      <c r="IWS33" s="28"/>
      <c r="IWT33" s="28"/>
      <c r="IWU33" s="28"/>
      <c r="IWV33" s="28"/>
      <c r="IWW33" s="28"/>
      <c r="IWX33" s="28"/>
      <c r="IWY33" s="28"/>
      <c r="IWZ33" s="28"/>
      <c r="IXA33" s="28"/>
      <c r="IXB33" s="28"/>
      <c r="IXC33" s="28"/>
      <c r="IXD33" s="28"/>
      <c r="IXE33" s="28"/>
      <c r="IXF33" s="28"/>
      <c r="IXG33" s="28"/>
      <c r="IXH33" s="28"/>
      <c r="IXI33" s="28"/>
      <c r="IXJ33" s="28"/>
      <c r="IXK33" s="28"/>
      <c r="IXL33" s="28"/>
      <c r="IXM33" s="28"/>
      <c r="IXN33" s="28"/>
      <c r="IXO33" s="28"/>
      <c r="IXP33" s="28"/>
      <c r="IXQ33" s="28"/>
      <c r="IXR33" s="28"/>
      <c r="IXS33" s="28"/>
      <c r="IXT33" s="28"/>
      <c r="IXU33" s="28"/>
      <c r="IXV33" s="28"/>
      <c r="IXW33" s="28"/>
      <c r="IXX33" s="28"/>
      <c r="IXY33" s="28"/>
      <c r="IXZ33" s="28"/>
      <c r="IYA33" s="28"/>
      <c r="IYB33" s="28"/>
      <c r="IYC33" s="28"/>
      <c r="IYD33" s="28"/>
      <c r="IYE33" s="28"/>
      <c r="IYF33" s="28"/>
      <c r="IYG33" s="28"/>
      <c r="IYH33" s="28"/>
      <c r="IYI33" s="28"/>
      <c r="IYJ33" s="28"/>
      <c r="IYK33" s="28"/>
      <c r="IYL33" s="28"/>
      <c r="IYM33" s="28"/>
      <c r="IYN33" s="28"/>
      <c r="IYO33" s="28"/>
      <c r="IYP33" s="28"/>
      <c r="IYQ33" s="28"/>
      <c r="IYR33" s="28"/>
      <c r="IYS33" s="28"/>
      <c r="IYT33" s="28"/>
      <c r="IYU33" s="28"/>
      <c r="IYV33" s="28"/>
      <c r="IYW33" s="28"/>
      <c r="IYX33" s="28"/>
      <c r="IYY33" s="28"/>
      <c r="IYZ33" s="28"/>
      <c r="IZA33" s="28"/>
      <c r="IZB33" s="28"/>
      <c r="IZC33" s="28"/>
      <c r="IZD33" s="28"/>
      <c r="IZE33" s="28"/>
      <c r="IZF33" s="28"/>
      <c r="IZG33" s="28"/>
      <c r="IZH33" s="28"/>
      <c r="IZI33" s="28"/>
      <c r="IZJ33" s="28"/>
      <c r="IZK33" s="28"/>
      <c r="IZL33" s="28"/>
      <c r="IZM33" s="28"/>
      <c r="IZN33" s="28"/>
      <c r="IZO33" s="28"/>
      <c r="IZP33" s="28"/>
      <c r="IZQ33" s="28"/>
      <c r="IZR33" s="28"/>
      <c r="IZS33" s="28"/>
      <c r="IZT33" s="28"/>
      <c r="IZU33" s="28"/>
      <c r="IZV33" s="28"/>
      <c r="IZW33" s="28"/>
      <c r="IZX33" s="28"/>
      <c r="IZY33" s="28"/>
      <c r="IZZ33" s="28"/>
      <c r="JAA33" s="28"/>
      <c r="JAB33" s="28"/>
      <c r="JAC33" s="28"/>
      <c r="JAD33" s="28"/>
      <c r="JAE33" s="28"/>
      <c r="JAF33" s="28"/>
      <c r="JAG33" s="28"/>
      <c r="JAH33" s="28"/>
      <c r="JAI33" s="28"/>
      <c r="JAJ33" s="28"/>
      <c r="JAK33" s="28"/>
      <c r="JAL33" s="28"/>
      <c r="JAM33" s="28"/>
      <c r="JAN33" s="28"/>
      <c r="JAO33" s="28"/>
      <c r="JAP33" s="28"/>
      <c r="JAQ33" s="28"/>
      <c r="JAR33" s="28"/>
      <c r="JAS33" s="28"/>
      <c r="JAT33" s="28"/>
      <c r="JAU33" s="28"/>
      <c r="JAV33" s="28"/>
      <c r="JAW33" s="28"/>
      <c r="JAX33" s="28"/>
      <c r="JAY33" s="28"/>
      <c r="JAZ33" s="28"/>
      <c r="JBA33" s="28"/>
      <c r="JBB33" s="28"/>
      <c r="JBC33" s="28"/>
      <c r="JBD33" s="28"/>
      <c r="JBE33" s="28"/>
      <c r="JBF33" s="28"/>
      <c r="JBG33" s="28"/>
      <c r="JBH33" s="28"/>
      <c r="JBI33" s="28"/>
      <c r="JBJ33" s="28"/>
      <c r="JBK33" s="28"/>
      <c r="JBL33" s="28"/>
      <c r="JBM33" s="28"/>
      <c r="JBN33" s="28"/>
      <c r="JBO33" s="28"/>
      <c r="JBP33" s="28"/>
      <c r="JBQ33" s="28"/>
      <c r="JBR33" s="28"/>
      <c r="JBS33" s="28"/>
      <c r="JBT33" s="28"/>
      <c r="JBU33" s="28"/>
      <c r="JBV33" s="28"/>
      <c r="JBW33" s="28"/>
      <c r="JBX33" s="28"/>
      <c r="JBY33" s="28"/>
      <c r="JBZ33" s="28"/>
      <c r="JCA33" s="28"/>
      <c r="JCB33" s="28"/>
      <c r="JCC33" s="28"/>
      <c r="JCD33" s="28"/>
      <c r="JCE33" s="28"/>
      <c r="JCF33" s="28"/>
      <c r="JCG33" s="28"/>
      <c r="JCH33" s="28"/>
      <c r="JCI33" s="28"/>
      <c r="JCJ33" s="28"/>
      <c r="JCK33" s="28"/>
      <c r="JCL33" s="28"/>
      <c r="JCM33" s="28"/>
      <c r="JCN33" s="28"/>
      <c r="JCO33" s="28"/>
      <c r="JCP33" s="28"/>
      <c r="JCQ33" s="28"/>
      <c r="JCR33" s="28"/>
      <c r="JCS33" s="28"/>
      <c r="JCT33" s="28"/>
      <c r="JCU33" s="28"/>
      <c r="JCV33" s="28"/>
      <c r="JCW33" s="28"/>
      <c r="JCX33" s="28"/>
      <c r="JCY33" s="28"/>
      <c r="JCZ33" s="28"/>
      <c r="JDA33" s="28"/>
      <c r="JDB33" s="28"/>
      <c r="JDC33" s="28"/>
      <c r="JDD33" s="28"/>
      <c r="JDE33" s="28"/>
      <c r="JDF33" s="28"/>
      <c r="JDG33" s="28"/>
      <c r="JDH33" s="28"/>
      <c r="JDI33" s="28"/>
      <c r="JDJ33" s="28"/>
      <c r="JDK33" s="28"/>
      <c r="JDL33" s="28"/>
      <c r="JDM33" s="28"/>
      <c r="JDN33" s="28"/>
      <c r="JDO33" s="28"/>
      <c r="JDP33" s="28"/>
      <c r="JDQ33" s="28"/>
      <c r="JDR33" s="28"/>
      <c r="JDS33" s="28"/>
      <c r="JDT33" s="28"/>
      <c r="JDU33" s="28"/>
      <c r="JDV33" s="28"/>
      <c r="JDW33" s="28"/>
      <c r="JDX33" s="28"/>
      <c r="JDY33" s="28"/>
      <c r="JDZ33" s="28"/>
      <c r="JEA33" s="28"/>
      <c r="JEB33" s="28"/>
      <c r="JEC33" s="28"/>
      <c r="JED33" s="28"/>
      <c r="JEE33" s="28"/>
      <c r="JEF33" s="28"/>
      <c r="JEG33" s="28"/>
      <c r="JEH33" s="28"/>
      <c r="JEI33" s="28"/>
      <c r="JEJ33" s="28"/>
      <c r="JEK33" s="28"/>
      <c r="JEL33" s="28"/>
      <c r="JEM33" s="28"/>
      <c r="JEN33" s="28"/>
      <c r="JEO33" s="28"/>
      <c r="JEP33" s="28"/>
      <c r="JEQ33" s="28"/>
      <c r="JER33" s="28"/>
      <c r="JES33" s="28"/>
      <c r="JET33" s="28"/>
      <c r="JEU33" s="28"/>
      <c r="JEV33" s="28"/>
      <c r="JEW33" s="28"/>
      <c r="JEX33" s="28"/>
      <c r="JEY33" s="28"/>
      <c r="JEZ33" s="28"/>
      <c r="JFA33" s="28"/>
      <c r="JFB33" s="28"/>
      <c r="JFC33" s="28"/>
      <c r="JFD33" s="28"/>
      <c r="JFE33" s="28"/>
      <c r="JFF33" s="28"/>
      <c r="JFG33" s="28"/>
      <c r="JFH33" s="28"/>
      <c r="JFI33" s="28"/>
      <c r="JFJ33" s="28"/>
      <c r="JFK33" s="28"/>
      <c r="JFL33" s="28"/>
      <c r="JFM33" s="28"/>
      <c r="JFN33" s="28"/>
      <c r="JFO33" s="28"/>
      <c r="JFP33" s="28"/>
      <c r="JFQ33" s="28"/>
      <c r="JFR33" s="28"/>
      <c r="JFS33" s="28"/>
      <c r="JFT33" s="28"/>
      <c r="JFU33" s="28"/>
      <c r="JFV33" s="28"/>
      <c r="JFW33" s="28"/>
      <c r="JFX33" s="28"/>
      <c r="JFY33" s="28"/>
      <c r="JFZ33" s="28"/>
      <c r="JGA33" s="28"/>
      <c r="JGB33" s="28"/>
      <c r="JGC33" s="28"/>
      <c r="JGD33" s="28"/>
      <c r="JGE33" s="28"/>
      <c r="JGF33" s="28"/>
      <c r="JGG33" s="28"/>
      <c r="JGH33" s="28"/>
      <c r="JGI33" s="28"/>
      <c r="JGJ33" s="28"/>
      <c r="JGK33" s="28"/>
      <c r="JGL33" s="28"/>
      <c r="JGM33" s="28"/>
      <c r="JGN33" s="28"/>
      <c r="JGO33" s="28"/>
      <c r="JGP33" s="28"/>
      <c r="JGQ33" s="28"/>
      <c r="JGR33" s="28"/>
      <c r="JGS33" s="28"/>
      <c r="JGT33" s="28"/>
      <c r="JGU33" s="28"/>
      <c r="JGV33" s="28"/>
      <c r="JGW33" s="28"/>
      <c r="JGX33" s="28"/>
      <c r="JGY33" s="28"/>
      <c r="JGZ33" s="28"/>
      <c r="JHA33" s="28"/>
      <c r="JHB33" s="28"/>
      <c r="JHC33" s="28"/>
      <c r="JHD33" s="28"/>
      <c r="JHE33" s="28"/>
      <c r="JHF33" s="28"/>
      <c r="JHG33" s="28"/>
      <c r="JHH33" s="28"/>
      <c r="JHI33" s="28"/>
      <c r="JHJ33" s="28"/>
      <c r="JHK33" s="28"/>
      <c r="JHL33" s="28"/>
      <c r="JHM33" s="28"/>
      <c r="JHN33" s="28"/>
      <c r="JHO33" s="28"/>
      <c r="JHP33" s="28"/>
      <c r="JHQ33" s="28"/>
      <c r="JHR33" s="28"/>
      <c r="JHS33" s="28"/>
      <c r="JHT33" s="28"/>
      <c r="JHU33" s="28"/>
      <c r="JHV33" s="28"/>
      <c r="JHW33" s="28"/>
      <c r="JHX33" s="28"/>
      <c r="JHY33" s="28"/>
      <c r="JHZ33" s="28"/>
      <c r="JIA33" s="28"/>
      <c r="JIB33" s="28"/>
      <c r="JIC33" s="28"/>
      <c r="JID33" s="28"/>
      <c r="JIE33" s="28"/>
      <c r="JIF33" s="28"/>
      <c r="JIG33" s="28"/>
      <c r="JIH33" s="28"/>
      <c r="JII33" s="28"/>
      <c r="JIJ33" s="28"/>
      <c r="JIK33" s="28"/>
      <c r="JIL33" s="28"/>
      <c r="JIM33" s="28"/>
      <c r="JIN33" s="28"/>
      <c r="JIO33" s="28"/>
      <c r="JIP33" s="28"/>
      <c r="JIQ33" s="28"/>
      <c r="JIR33" s="28"/>
      <c r="JIS33" s="28"/>
      <c r="JIT33" s="28"/>
      <c r="JIU33" s="28"/>
      <c r="JIV33" s="28"/>
      <c r="JIW33" s="28"/>
      <c r="JIX33" s="28"/>
      <c r="JIY33" s="28"/>
      <c r="JIZ33" s="28"/>
      <c r="JJA33" s="28"/>
      <c r="JJB33" s="28"/>
      <c r="JJC33" s="28"/>
      <c r="JJD33" s="28"/>
      <c r="JJE33" s="28"/>
      <c r="JJF33" s="28"/>
      <c r="JJG33" s="28"/>
      <c r="JJH33" s="28"/>
      <c r="JJI33" s="28"/>
      <c r="JJJ33" s="28"/>
      <c r="JJK33" s="28"/>
      <c r="JJL33" s="28"/>
      <c r="JJM33" s="28"/>
      <c r="JJN33" s="28"/>
      <c r="JJO33" s="28"/>
      <c r="JJP33" s="28"/>
      <c r="JJQ33" s="28"/>
      <c r="JJR33" s="28"/>
      <c r="JJS33" s="28"/>
      <c r="JJT33" s="28"/>
      <c r="JJU33" s="28"/>
      <c r="JJV33" s="28"/>
      <c r="JJW33" s="28"/>
      <c r="JJX33" s="28"/>
      <c r="JJY33" s="28"/>
      <c r="JJZ33" s="28"/>
      <c r="JKA33" s="28"/>
      <c r="JKB33" s="28"/>
      <c r="JKC33" s="28"/>
      <c r="JKD33" s="28"/>
      <c r="JKE33" s="28"/>
      <c r="JKF33" s="28"/>
      <c r="JKG33" s="28"/>
      <c r="JKH33" s="28"/>
      <c r="JKI33" s="28"/>
      <c r="JKJ33" s="28"/>
      <c r="JKK33" s="28"/>
      <c r="JKL33" s="28"/>
      <c r="JKM33" s="28"/>
      <c r="JKN33" s="28"/>
      <c r="JKO33" s="28"/>
      <c r="JKP33" s="28"/>
      <c r="JKQ33" s="28"/>
      <c r="JKR33" s="28"/>
      <c r="JKS33" s="28"/>
      <c r="JKT33" s="28"/>
      <c r="JKU33" s="28"/>
      <c r="JKV33" s="28"/>
      <c r="JKW33" s="28"/>
      <c r="JKX33" s="28"/>
      <c r="JKY33" s="28"/>
      <c r="JKZ33" s="28"/>
      <c r="JLA33" s="28"/>
      <c r="JLB33" s="28"/>
      <c r="JLC33" s="28"/>
      <c r="JLD33" s="28"/>
      <c r="JLE33" s="28"/>
      <c r="JLF33" s="28"/>
      <c r="JLG33" s="28"/>
      <c r="JLH33" s="28"/>
      <c r="JLI33" s="28"/>
      <c r="JLJ33" s="28"/>
      <c r="JLK33" s="28"/>
      <c r="JLL33" s="28"/>
      <c r="JLM33" s="28"/>
      <c r="JLN33" s="28"/>
      <c r="JLO33" s="28"/>
      <c r="JLP33" s="28"/>
      <c r="JLQ33" s="28"/>
      <c r="JLR33" s="28"/>
      <c r="JLS33" s="28"/>
      <c r="JLT33" s="28"/>
      <c r="JLU33" s="28"/>
      <c r="JLV33" s="28"/>
      <c r="JLW33" s="28"/>
      <c r="JLX33" s="28"/>
      <c r="JLY33" s="28"/>
      <c r="JLZ33" s="28"/>
      <c r="JMA33" s="28"/>
      <c r="JMB33" s="28"/>
      <c r="JMC33" s="28"/>
      <c r="JMD33" s="28"/>
      <c r="JME33" s="28"/>
      <c r="JMF33" s="28"/>
      <c r="JMG33" s="28"/>
      <c r="JMH33" s="28"/>
      <c r="JMI33" s="28"/>
      <c r="JMJ33" s="28"/>
      <c r="JMK33" s="28"/>
      <c r="JML33" s="28"/>
      <c r="JMM33" s="28"/>
      <c r="JMN33" s="28"/>
      <c r="JMO33" s="28"/>
      <c r="JMP33" s="28"/>
      <c r="JMQ33" s="28"/>
      <c r="JMR33" s="28"/>
      <c r="JMS33" s="28"/>
      <c r="JMT33" s="28"/>
      <c r="JMU33" s="28"/>
      <c r="JMV33" s="28"/>
      <c r="JMW33" s="28"/>
      <c r="JMX33" s="28"/>
      <c r="JMY33" s="28"/>
      <c r="JMZ33" s="28"/>
      <c r="JNA33" s="28"/>
      <c r="JNB33" s="28"/>
      <c r="JNC33" s="28"/>
      <c r="JND33" s="28"/>
      <c r="JNE33" s="28"/>
      <c r="JNF33" s="28"/>
      <c r="JNG33" s="28"/>
      <c r="JNH33" s="28"/>
      <c r="JNI33" s="28"/>
      <c r="JNJ33" s="28"/>
      <c r="JNK33" s="28"/>
      <c r="JNL33" s="28"/>
      <c r="JNM33" s="28"/>
      <c r="JNN33" s="28"/>
      <c r="JNO33" s="28"/>
      <c r="JNP33" s="28"/>
      <c r="JNQ33" s="28"/>
      <c r="JNR33" s="28"/>
      <c r="JNS33" s="28"/>
      <c r="JNT33" s="28"/>
      <c r="JNU33" s="28"/>
      <c r="JNV33" s="28"/>
      <c r="JNW33" s="28"/>
      <c r="JNX33" s="28"/>
      <c r="JNY33" s="28"/>
      <c r="JNZ33" s="28"/>
      <c r="JOA33" s="28"/>
      <c r="JOB33" s="28"/>
      <c r="JOC33" s="28"/>
      <c r="JOD33" s="28"/>
      <c r="JOE33" s="28"/>
      <c r="JOF33" s="28"/>
      <c r="JOG33" s="28"/>
      <c r="JOH33" s="28"/>
      <c r="JOI33" s="28"/>
      <c r="JOJ33" s="28"/>
      <c r="JOK33" s="28"/>
      <c r="JOL33" s="28"/>
      <c r="JOM33" s="28"/>
      <c r="JON33" s="28"/>
      <c r="JOO33" s="28"/>
      <c r="JOP33" s="28"/>
      <c r="JOQ33" s="28"/>
      <c r="JOR33" s="28"/>
      <c r="JOS33" s="28"/>
      <c r="JOT33" s="28"/>
      <c r="JOU33" s="28"/>
      <c r="JOV33" s="28"/>
      <c r="JOW33" s="28"/>
      <c r="JOX33" s="28"/>
      <c r="JOY33" s="28"/>
      <c r="JOZ33" s="28"/>
      <c r="JPA33" s="28"/>
      <c r="JPB33" s="28"/>
      <c r="JPC33" s="28"/>
      <c r="JPD33" s="28"/>
      <c r="JPE33" s="28"/>
      <c r="JPF33" s="28"/>
      <c r="JPG33" s="28"/>
      <c r="JPH33" s="28"/>
      <c r="JPI33" s="28"/>
      <c r="JPJ33" s="28"/>
      <c r="JPK33" s="28"/>
      <c r="JPL33" s="28"/>
      <c r="JPM33" s="28"/>
      <c r="JPN33" s="28"/>
      <c r="JPO33" s="28"/>
      <c r="JPP33" s="28"/>
      <c r="JPQ33" s="28"/>
      <c r="JPR33" s="28"/>
      <c r="JPS33" s="28"/>
      <c r="JPT33" s="28"/>
      <c r="JPU33" s="28"/>
      <c r="JPV33" s="28"/>
      <c r="JPW33" s="28"/>
      <c r="JPX33" s="28"/>
      <c r="JPY33" s="28"/>
      <c r="JPZ33" s="28"/>
      <c r="JQA33" s="28"/>
      <c r="JQB33" s="28"/>
      <c r="JQC33" s="28"/>
      <c r="JQD33" s="28"/>
      <c r="JQE33" s="28"/>
      <c r="JQF33" s="28"/>
      <c r="JQG33" s="28"/>
      <c r="JQH33" s="28"/>
      <c r="JQI33" s="28"/>
      <c r="JQJ33" s="28"/>
      <c r="JQK33" s="28"/>
      <c r="JQL33" s="28"/>
      <c r="JQM33" s="28"/>
      <c r="JQN33" s="28"/>
      <c r="JQO33" s="28"/>
      <c r="JQP33" s="28"/>
      <c r="JQQ33" s="28"/>
      <c r="JQR33" s="28"/>
      <c r="JQS33" s="28"/>
      <c r="JQT33" s="28"/>
      <c r="JQU33" s="28"/>
      <c r="JQV33" s="28"/>
      <c r="JQW33" s="28"/>
      <c r="JQX33" s="28"/>
      <c r="JQY33" s="28"/>
      <c r="JQZ33" s="28"/>
      <c r="JRA33" s="28"/>
      <c r="JRB33" s="28"/>
      <c r="JRC33" s="28"/>
      <c r="JRD33" s="28"/>
      <c r="JRE33" s="28"/>
      <c r="JRF33" s="28"/>
      <c r="JRG33" s="28"/>
      <c r="JRH33" s="28"/>
      <c r="JRI33" s="28"/>
      <c r="JRJ33" s="28"/>
      <c r="JRK33" s="28"/>
      <c r="JRL33" s="28"/>
      <c r="JRM33" s="28"/>
      <c r="JRN33" s="28"/>
      <c r="JRO33" s="28"/>
      <c r="JRP33" s="28"/>
      <c r="JRQ33" s="28"/>
      <c r="JRR33" s="28"/>
      <c r="JRS33" s="28"/>
      <c r="JRT33" s="28"/>
      <c r="JRU33" s="28"/>
      <c r="JRV33" s="28"/>
      <c r="JRW33" s="28"/>
      <c r="JRX33" s="28"/>
      <c r="JRY33" s="28"/>
      <c r="JRZ33" s="28"/>
      <c r="JSA33" s="28"/>
      <c r="JSB33" s="28"/>
      <c r="JSC33" s="28"/>
      <c r="JSD33" s="28"/>
      <c r="JSE33" s="28"/>
      <c r="JSF33" s="28"/>
      <c r="JSG33" s="28"/>
      <c r="JSH33" s="28"/>
      <c r="JSI33" s="28"/>
      <c r="JSJ33" s="28"/>
      <c r="JSK33" s="28"/>
      <c r="JSL33" s="28"/>
      <c r="JSM33" s="28"/>
      <c r="JSN33" s="28"/>
      <c r="JSO33" s="28"/>
      <c r="JSP33" s="28"/>
      <c r="JSQ33" s="28"/>
      <c r="JSR33" s="28"/>
      <c r="JSS33" s="28"/>
      <c r="JST33" s="28"/>
      <c r="JSU33" s="28"/>
      <c r="JSV33" s="28"/>
      <c r="JSW33" s="28"/>
      <c r="JSX33" s="28"/>
      <c r="JSY33" s="28"/>
      <c r="JSZ33" s="28"/>
      <c r="JTA33" s="28"/>
      <c r="JTB33" s="28"/>
      <c r="JTC33" s="28"/>
      <c r="JTD33" s="28"/>
      <c r="JTE33" s="28"/>
      <c r="JTF33" s="28"/>
      <c r="JTG33" s="28"/>
      <c r="JTH33" s="28"/>
      <c r="JTI33" s="28"/>
      <c r="JTJ33" s="28"/>
      <c r="JTK33" s="28"/>
      <c r="JTL33" s="28"/>
      <c r="JTM33" s="28"/>
      <c r="JTN33" s="28"/>
      <c r="JTO33" s="28"/>
      <c r="JTP33" s="28"/>
      <c r="JTQ33" s="28"/>
      <c r="JTR33" s="28"/>
      <c r="JTS33" s="28"/>
      <c r="JTT33" s="28"/>
      <c r="JTU33" s="28"/>
      <c r="JTV33" s="28"/>
      <c r="JTW33" s="28"/>
      <c r="JTX33" s="28"/>
      <c r="JTY33" s="28"/>
      <c r="JTZ33" s="28"/>
      <c r="JUA33" s="28"/>
      <c r="JUB33" s="28"/>
      <c r="JUC33" s="28"/>
      <c r="JUD33" s="28"/>
      <c r="JUE33" s="28"/>
      <c r="JUF33" s="28"/>
      <c r="JUG33" s="28"/>
      <c r="JUH33" s="28"/>
      <c r="JUI33" s="28"/>
      <c r="JUJ33" s="28"/>
      <c r="JUK33" s="28"/>
      <c r="JUL33" s="28"/>
      <c r="JUM33" s="28"/>
      <c r="JUN33" s="28"/>
      <c r="JUO33" s="28"/>
      <c r="JUP33" s="28"/>
      <c r="JUQ33" s="28"/>
      <c r="JUR33" s="28"/>
      <c r="JUS33" s="28"/>
      <c r="JUT33" s="28"/>
      <c r="JUU33" s="28"/>
      <c r="JUV33" s="28"/>
      <c r="JUW33" s="28"/>
      <c r="JUX33" s="28"/>
      <c r="JUY33" s="28"/>
      <c r="JUZ33" s="28"/>
      <c r="JVA33" s="28"/>
      <c r="JVB33" s="28"/>
      <c r="JVC33" s="28"/>
      <c r="JVD33" s="28"/>
      <c r="JVE33" s="28"/>
      <c r="JVF33" s="28"/>
      <c r="JVG33" s="28"/>
      <c r="JVH33" s="28"/>
      <c r="JVI33" s="28"/>
      <c r="JVJ33" s="28"/>
      <c r="JVK33" s="28"/>
      <c r="JVL33" s="28"/>
      <c r="JVM33" s="28"/>
      <c r="JVN33" s="28"/>
      <c r="JVO33" s="28"/>
      <c r="JVP33" s="28"/>
      <c r="JVQ33" s="28"/>
      <c r="JVR33" s="28"/>
      <c r="JVS33" s="28"/>
      <c r="JVT33" s="28"/>
      <c r="JVU33" s="28"/>
      <c r="JVV33" s="28"/>
      <c r="JVW33" s="28"/>
      <c r="JVX33" s="28"/>
      <c r="JVY33" s="28"/>
      <c r="JVZ33" s="28"/>
      <c r="JWA33" s="28"/>
      <c r="JWB33" s="28"/>
      <c r="JWC33" s="28"/>
      <c r="JWD33" s="28"/>
      <c r="JWE33" s="28"/>
      <c r="JWF33" s="28"/>
      <c r="JWG33" s="28"/>
      <c r="JWH33" s="28"/>
      <c r="JWI33" s="28"/>
      <c r="JWJ33" s="28"/>
      <c r="JWK33" s="28"/>
      <c r="JWL33" s="28"/>
      <c r="JWM33" s="28"/>
      <c r="JWN33" s="28"/>
      <c r="JWO33" s="28"/>
      <c r="JWP33" s="28"/>
      <c r="JWQ33" s="28"/>
      <c r="JWR33" s="28"/>
      <c r="JWS33" s="28"/>
      <c r="JWT33" s="28"/>
      <c r="JWU33" s="28"/>
      <c r="JWV33" s="28"/>
      <c r="JWW33" s="28"/>
      <c r="JWX33" s="28"/>
      <c r="JWY33" s="28"/>
      <c r="JWZ33" s="28"/>
      <c r="JXA33" s="28"/>
      <c r="JXB33" s="28"/>
      <c r="JXC33" s="28"/>
      <c r="JXD33" s="28"/>
      <c r="JXE33" s="28"/>
      <c r="JXF33" s="28"/>
      <c r="JXG33" s="28"/>
      <c r="JXH33" s="28"/>
      <c r="JXI33" s="28"/>
      <c r="JXJ33" s="28"/>
      <c r="JXK33" s="28"/>
      <c r="JXL33" s="28"/>
      <c r="JXM33" s="28"/>
      <c r="JXN33" s="28"/>
      <c r="JXO33" s="28"/>
      <c r="JXP33" s="28"/>
      <c r="JXQ33" s="28"/>
      <c r="JXR33" s="28"/>
      <c r="JXS33" s="28"/>
      <c r="JXT33" s="28"/>
      <c r="JXU33" s="28"/>
      <c r="JXV33" s="28"/>
      <c r="JXW33" s="28"/>
      <c r="JXX33" s="28"/>
      <c r="JXY33" s="28"/>
      <c r="JXZ33" s="28"/>
      <c r="JYA33" s="28"/>
      <c r="JYB33" s="28"/>
      <c r="JYC33" s="28"/>
      <c r="JYD33" s="28"/>
      <c r="JYE33" s="28"/>
      <c r="JYF33" s="28"/>
      <c r="JYG33" s="28"/>
      <c r="JYH33" s="28"/>
      <c r="JYI33" s="28"/>
      <c r="JYJ33" s="28"/>
      <c r="JYK33" s="28"/>
      <c r="JYL33" s="28"/>
      <c r="JYM33" s="28"/>
      <c r="JYN33" s="28"/>
      <c r="JYO33" s="28"/>
      <c r="JYP33" s="28"/>
      <c r="JYQ33" s="28"/>
      <c r="JYR33" s="28"/>
      <c r="JYS33" s="28"/>
      <c r="JYT33" s="28"/>
      <c r="JYU33" s="28"/>
      <c r="JYV33" s="28"/>
      <c r="JYW33" s="28"/>
      <c r="JYX33" s="28"/>
      <c r="JYY33" s="28"/>
      <c r="JYZ33" s="28"/>
      <c r="JZA33" s="28"/>
      <c r="JZB33" s="28"/>
      <c r="JZC33" s="28"/>
      <c r="JZD33" s="28"/>
      <c r="JZE33" s="28"/>
      <c r="JZF33" s="28"/>
      <c r="JZG33" s="28"/>
      <c r="JZH33" s="28"/>
      <c r="JZI33" s="28"/>
      <c r="JZJ33" s="28"/>
      <c r="JZK33" s="28"/>
      <c r="JZL33" s="28"/>
      <c r="JZM33" s="28"/>
      <c r="JZN33" s="28"/>
      <c r="JZO33" s="28"/>
      <c r="JZP33" s="28"/>
      <c r="JZQ33" s="28"/>
      <c r="JZR33" s="28"/>
      <c r="JZS33" s="28"/>
      <c r="JZT33" s="28"/>
      <c r="JZU33" s="28"/>
      <c r="JZV33" s="28"/>
      <c r="JZW33" s="28"/>
      <c r="JZX33" s="28"/>
      <c r="JZY33" s="28"/>
      <c r="JZZ33" s="28"/>
      <c r="KAA33" s="28"/>
      <c r="KAB33" s="28"/>
      <c r="KAC33" s="28"/>
      <c r="KAD33" s="28"/>
      <c r="KAE33" s="28"/>
      <c r="KAF33" s="28"/>
      <c r="KAG33" s="28"/>
      <c r="KAH33" s="28"/>
      <c r="KAI33" s="28"/>
      <c r="KAJ33" s="28"/>
      <c r="KAK33" s="28"/>
      <c r="KAL33" s="28"/>
      <c r="KAM33" s="28"/>
      <c r="KAN33" s="28"/>
      <c r="KAO33" s="28"/>
      <c r="KAP33" s="28"/>
      <c r="KAQ33" s="28"/>
      <c r="KAR33" s="28"/>
      <c r="KAS33" s="28"/>
      <c r="KAT33" s="28"/>
      <c r="KAU33" s="28"/>
      <c r="KAV33" s="28"/>
      <c r="KAW33" s="28"/>
      <c r="KAX33" s="28"/>
      <c r="KAY33" s="28"/>
      <c r="KAZ33" s="28"/>
      <c r="KBA33" s="28"/>
      <c r="KBB33" s="28"/>
      <c r="KBC33" s="28"/>
      <c r="KBD33" s="28"/>
      <c r="KBE33" s="28"/>
      <c r="KBF33" s="28"/>
      <c r="KBG33" s="28"/>
      <c r="KBH33" s="28"/>
      <c r="KBI33" s="28"/>
      <c r="KBJ33" s="28"/>
      <c r="KBK33" s="28"/>
      <c r="KBL33" s="28"/>
      <c r="KBM33" s="28"/>
      <c r="KBN33" s="28"/>
      <c r="KBO33" s="28"/>
      <c r="KBP33" s="28"/>
      <c r="KBQ33" s="28"/>
      <c r="KBR33" s="28"/>
      <c r="KBS33" s="28"/>
      <c r="KBT33" s="28"/>
      <c r="KBU33" s="28"/>
      <c r="KBV33" s="28"/>
      <c r="KBW33" s="28"/>
      <c r="KBX33" s="28"/>
      <c r="KBY33" s="28"/>
      <c r="KBZ33" s="28"/>
      <c r="KCA33" s="28"/>
      <c r="KCB33" s="28"/>
      <c r="KCC33" s="28"/>
      <c r="KCD33" s="28"/>
      <c r="KCE33" s="28"/>
      <c r="KCF33" s="28"/>
      <c r="KCG33" s="28"/>
      <c r="KCH33" s="28"/>
      <c r="KCI33" s="28"/>
      <c r="KCJ33" s="28"/>
      <c r="KCK33" s="28"/>
      <c r="KCL33" s="28"/>
      <c r="KCM33" s="28"/>
      <c r="KCN33" s="28"/>
      <c r="KCO33" s="28"/>
      <c r="KCP33" s="28"/>
      <c r="KCQ33" s="28"/>
      <c r="KCR33" s="28"/>
      <c r="KCS33" s="28"/>
      <c r="KCT33" s="28"/>
      <c r="KCU33" s="28"/>
      <c r="KCV33" s="28"/>
      <c r="KCW33" s="28"/>
      <c r="KCX33" s="28"/>
      <c r="KCY33" s="28"/>
      <c r="KCZ33" s="28"/>
      <c r="KDA33" s="28"/>
      <c r="KDB33" s="28"/>
      <c r="KDC33" s="28"/>
      <c r="KDD33" s="28"/>
      <c r="KDE33" s="28"/>
      <c r="KDF33" s="28"/>
      <c r="KDG33" s="28"/>
      <c r="KDH33" s="28"/>
      <c r="KDI33" s="28"/>
      <c r="KDJ33" s="28"/>
      <c r="KDK33" s="28"/>
      <c r="KDL33" s="28"/>
      <c r="KDM33" s="28"/>
      <c r="KDN33" s="28"/>
      <c r="KDO33" s="28"/>
      <c r="KDP33" s="28"/>
      <c r="KDQ33" s="28"/>
      <c r="KDR33" s="28"/>
      <c r="KDS33" s="28"/>
      <c r="KDT33" s="28"/>
      <c r="KDU33" s="28"/>
      <c r="KDV33" s="28"/>
      <c r="KDW33" s="28"/>
      <c r="KDX33" s="28"/>
      <c r="KDY33" s="28"/>
      <c r="KDZ33" s="28"/>
      <c r="KEA33" s="28"/>
      <c r="KEB33" s="28"/>
      <c r="KEC33" s="28"/>
      <c r="KED33" s="28"/>
      <c r="KEE33" s="28"/>
      <c r="KEF33" s="28"/>
      <c r="KEG33" s="28"/>
      <c r="KEH33" s="28"/>
      <c r="KEI33" s="28"/>
      <c r="KEJ33" s="28"/>
      <c r="KEK33" s="28"/>
      <c r="KEL33" s="28"/>
      <c r="KEM33" s="28"/>
      <c r="KEN33" s="28"/>
      <c r="KEO33" s="28"/>
      <c r="KEP33" s="28"/>
      <c r="KEQ33" s="28"/>
      <c r="KER33" s="28"/>
      <c r="KES33" s="28"/>
      <c r="KET33" s="28"/>
      <c r="KEU33" s="28"/>
      <c r="KEV33" s="28"/>
      <c r="KEW33" s="28"/>
      <c r="KEX33" s="28"/>
      <c r="KEY33" s="28"/>
      <c r="KEZ33" s="28"/>
      <c r="KFA33" s="28"/>
      <c r="KFB33" s="28"/>
      <c r="KFC33" s="28"/>
      <c r="KFD33" s="28"/>
      <c r="KFE33" s="28"/>
      <c r="KFF33" s="28"/>
      <c r="KFG33" s="28"/>
      <c r="KFH33" s="28"/>
      <c r="KFI33" s="28"/>
      <c r="KFJ33" s="28"/>
      <c r="KFK33" s="28"/>
      <c r="KFL33" s="28"/>
      <c r="KFM33" s="28"/>
      <c r="KFN33" s="28"/>
      <c r="KFO33" s="28"/>
      <c r="KFP33" s="28"/>
      <c r="KFQ33" s="28"/>
      <c r="KFR33" s="28"/>
      <c r="KFS33" s="28"/>
      <c r="KFT33" s="28"/>
      <c r="KFU33" s="28"/>
      <c r="KFV33" s="28"/>
      <c r="KFW33" s="28"/>
      <c r="KFX33" s="28"/>
      <c r="KFY33" s="28"/>
      <c r="KFZ33" s="28"/>
      <c r="KGA33" s="28"/>
      <c r="KGB33" s="28"/>
      <c r="KGC33" s="28"/>
      <c r="KGD33" s="28"/>
      <c r="KGE33" s="28"/>
      <c r="KGF33" s="28"/>
      <c r="KGG33" s="28"/>
      <c r="KGH33" s="28"/>
      <c r="KGI33" s="28"/>
      <c r="KGJ33" s="28"/>
      <c r="KGK33" s="28"/>
      <c r="KGL33" s="28"/>
      <c r="KGM33" s="28"/>
      <c r="KGN33" s="28"/>
      <c r="KGO33" s="28"/>
      <c r="KGP33" s="28"/>
      <c r="KGQ33" s="28"/>
      <c r="KGR33" s="28"/>
      <c r="KGS33" s="28"/>
      <c r="KGT33" s="28"/>
      <c r="KGU33" s="28"/>
      <c r="KGV33" s="28"/>
      <c r="KGW33" s="28"/>
      <c r="KGX33" s="28"/>
      <c r="KGY33" s="28"/>
      <c r="KGZ33" s="28"/>
      <c r="KHA33" s="28"/>
      <c r="KHB33" s="28"/>
      <c r="KHC33" s="28"/>
      <c r="KHD33" s="28"/>
      <c r="KHE33" s="28"/>
      <c r="KHF33" s="28"/>
      <c r="KHG33" s="28"/>
      <c r="KHH33" s="28"/>
      <c r="KHI33" s="28"/>
      <c r="KHJ33" s="28"/>
      <c r="KHK33" s="28"/>
      <c r="KHL33" s="28"/>
      <c r="KHM33" s="28"/>
      <c r="KHN33" s="28"/>
      <c r="KHO33" s="28"/>
      <c r="KHP33" s="28"/>
      <c r="KHQ33" s="28"/>
      <c r="KHR33" s="28"/>
      <c r="KHS33" s="28"/>
      <c r="KHT33" s="28"/>
      <c r="KHU33" s="28"/>
      <c r="KHV33" s="28"/>
      <c r="KHW33" s="28"/>
      <c r="KHX33" s="28"/>
      <c r="KHY33" s="28"/>
      <c r="KHZ33" s="28"/>
      <c r="KIA33" s="28"/>
      <c r="KIB33" s="28"/>
      <c r="KIC33" s="28"/>
      <c r="KID33" s="28"/>
      <c r="KIE33" s="28"/>
      <c r="KIF33" s="28"/>
      <c r="KIG33" s="28"/>
      <c r="KIH33" s="28"/>
      <c r="KII33" s="28"/>
      <c r="KIJ33" s="28"/>
      <c r="KIK33" s="28"/>
      <c r="KIL33" s="28"/>
      <c r="KIM33" s="28"/>
      <c r="KIN33" s="28"/>
      <c r="KIO33" s="28"/>
      <c r="KIP33" s="28"/>
      <c r="KIQ33" s="28"/>
      <c r="KIR33" s="28"/>
      <c r="KIS33" s="28"/>
      <c r="KIT33" s="28"/>
      <c r="KIU33" s="28"/>
      <c r="KIV33" s="28"/>
      <c r="KIW33" s="28"/>
      <c r="KIX33" s="28"/>
      <c r="KIY33" s="28"/>
      <c r="KIZ33" s="28"/>
      <c r="KJA33" s="28"/>
      <c r="KJB33" s="28"/>
      <c r="KJC33" s="28"/>
      <c r="KJD33" s="28"/>
      <c r="KJE33" s="28"/>
      <c r="KJF33" s="28"/>
      <c r="KJG33" s="28"/>
      <c r="KJH33" s="28"/>
      <c r="KJI33" s="28"/>
      <c r="KJJ33" s="28"/>
      <c r="KJK33" s="28"/>
      <c r="KJL33" s="28"/>
      <c r="KJM33" s="28"/>
      <c r="KJN33" s="28"/>
      <c r="KJO33" s="28"/>
      <c r="KJP33" s="28"/>
      <c r="KJQ33" s="28"/>
      <c r="KJR33" s="28"/>
      <c r="KJS33" s="28"/>
      <c r="KJT33" s="28"/>
      <c r="KJU33" s="28"/>
      <c r="KJV33" s="28"/>
      <c r="KJW33" s="28"/>
      <c r="KJX33" s="28"/>
      <c r="KJY33" s="28"/>
      <c r="KJZ33" s="28"/>
      <c r="KKA33" s="28"/>
      <c r="KKB33" s="28"/>
      <c r="KKC33" s="28"/>
      <c r="KKD33" s="28"/>
      <c r="KKE33" s="28"/>
      <c r="KKF33" s="28"/>
      <c r="KKG33" s="28"/>
      <c r="KKH33" s="28"/>
      <c r="KKI33" s="28"/>
      <c r="KKJ33" s="28"/>
      <c r="KKK33" s="28"/>
      <c r="KKL33" s="28"/>
      <c r="KKM33" s="28"/>
      <c r="KKN33" s="28"/>
      <c r="KKO33" s="28"/>
      <c r="KKP33" s="28"/>
      <c r="KKQ33" s="28"/>
      <c r="KKR33" s="28"/>
      <c r="KKS33" s="28"/>
      <c r="KKT33" s="28"/>
      <c r="KKU33" s="28"/>
      <c r="KKV33" s="28"/>
      <c r="KKW33" s="28"/>
      <c r="KKX33" s="28"/>
      <c r="KKY33" s="28"/>
      <c r="KKZ33" s="28"/>
      <c r="KLA33" s="28"/>
      <c r="KLB33" s="28"/>
      <c r="KLC33" s="28"/>
      <c r="KLD33" s="28"/>
      <c r="KLE33" s="28"/>
      <c r="KLF33" s="28"/>
      <c r="KLG33" s="28"/>
      <c r="KLH33" s="28"/>
      <c r="KLI33" s="28"/>
      <c r="KLJ33" s="28"/>
      <c r="KLK33" s="28"/>
      <c r="KLL33" s="28"/>
      <c r="KLM33" s="28"/>
      <c r="KLN33" s="28"/>
      <c r="KLO33" s="28"/>
      <c r="KLP33" s="28"/>
      <c r="KLQ33" s="28"/>
      <c r="KLR33" s="28"/>
      <c r="KLS33" s="28"/>
      <c r="KLT33" s="28"/>
      <c r="KLU33" s="28"/>
      <c r="KLV33" s="28"/>
      <c r="KLW33" s="28"/>
      <c r="KLX33" s="28"/>
      <c r="KLY33" s="28"/>
      <c r="KLZ33" s="28"/>
      <c r="KMA33" s="28"/>
      <c r="KMB33" s="28"/>
      <c r="KMC33" s="28"/>
      <c r="KMD33" s="28"/>
      <c r="KME33" s="28"/>
      <c r="KMF33" s="28"/>
      <c r="KMG33" s="28"/>
      <c r="KMH33" s="28"/>
      <c r="KMI33" s="28"/>
      <c r="KMJ33" s="28"/>
      <c r="KMK33" s="28"/>
      <c r="KML33" s="28"/>
      <c r="KMM33" s="28"/>
      <c r="KMN33" s="28"/>
      <c r="KMO33" s="28"/>
      <c r="KMP33" s="28"/>
      <c r="KMQ33" s="28"/>
      <c r="KMR33" s="28"/>
      <c r="KMS33" s="28"/>
      <c r="KMT33" s="28"/>
      <c r="KMU33" s="28"/>
      <c r="KMV33" s="28"/>
      <c r="KMW33" s="28"/>
      <c r="KMX33" s="28"/>
      <c r="KMY33" s="28"/>
      <c r="KMZ33" s="28"/>
      <c r="KNA33" s="28"/>
      <c r="KNB33" s="28"/>
      <c r="KNC33" s="28"/>
      <c r="KND33" s="28"/>
      <c r="KNE33" s="28"/>
      <c r="KNF33" s="28"/>
      <c r="KNG33" s="28"/>
      <c r="KNH33" s="28"/>
      <c r="KNI33" s="28"/>
      <c r="KNJ33" s="28"/>
      <c r="KNK33" s="28"/>
      <c r="KNL33" s="28"/>
      <c r="KNM33" s="28"/>
      <c r="KNN33" s="28"/>
      <c r="KNO33" s="28"/>
      <c r="KNP33" s="28"/>
      <c r="KNQ33" s="28"/>
      <c r="KNR33" s="28"/>
      <c r="KNS33" s="28"/>
      <c r="KNT33" s="28"/>
      <c r="KNU33" s="28"/>
      <c r="KNV33" s="28"/>
      <c r="KNW33" s="28"/>
      <c r="KNX33" s="28"/>
      <c r="KNY33" s="28"/>
      <c r="KNZ33" s="28"/>
      <c r="KOA33" s="28"/>
      <c r="KOB33" s="28"/>
      <c r="KOC33" s="28"/>
      <c r="KOD33" s="28"/>
      <c r="KOE33" s="28"/>
      <c r="KOF33" s="28"/>
      <c r="KOG33" s="28"/>
      <c r="KOH33" s="28"/>
      <c r="KOI33" s="28"/>
      <c r="KOJ33" s="28"/>
      <c r="KOK33" s="28"/>
      <c r="KOL33" s="28"/>
      <c r="KOM33" s="28"/>
      <c r="KON33" s="28"/>
      <c r="KOO33" s="28"/>
      <c r="KOP33" s="28"/>
      <c r="KOQ33" s="28"/>
      <c r="KOR33" s="28"/>
      <c r="KOS33" s="28"/>
      <c r="KOT33" s="28"/>
      <c r="KOU33" s="28"/>
      <c r="KOV33" s="28"/>
      <c r="KOW33" s="28"/>
      <c r="KOX33" s="28"/>
      <c r="KOY33" s="28"/>
      <c r="KOZ33" s="28"/>
      <c r="KPA33" s="28"/>
      <c r="KPB33" s="28"/>
      <c r="KPC33" s="28"/>
      <c r="KPD33" s="28"/>
      <c r="KPE33" s="28"/>
      <c r="KPF33" s="28"/>
      <c r="KPG33" s="28"/>
      <c r="KPH33" s="28"/>
      <c r="KPI33" s="28"/>
      <c r="KPJ33" s="28"/>
      <c r="KPK33" s="28"/>
      <c r="KPL33" s="28"/>
      <c r="KPM33" s="28"/>
      <c r="KPN33" s="28"/>
      <c r="KPO33" s="28"/>
      <c r="KPP33" s="28"/>
      <c r="KPQ33" s="28"/>
      <c r="KPR33" s="28"/>
      <c r="KPS33" s="28"/>
      <c r="KPT33" s="28"/>
      <c r="KPU33" s="28"/>
      <c r="KPV33" s="28"/>
      <c r="KPW33" s="28"/>
      <c r="KPX33" s="28"/>
      <c r="KPY33" s="28"/>
      <c r="KPZ33" s="28"/>
      <c r="KQA33" s="28"/>
      <c r="KQB33" s="28"/>
      <c r="KQC33" s="28"/>
      <c r="KQD33" s="28"/>
      <c r="KQE33" s="28"/>
      <c r="KQF33" s="28"/>
      <c r="KQG33" s="28"/>
      <c r="KQH33" s="28"/>
      <c r="KQI33" s="28"/>
      <c r="KQJ33" s="28"/>
      <c r="KQK33" s="28"/>
      <c r="KQL33" s="28"/>
      <c r="KQM33" s="28"/>
      <c r="KQN33" s="28"/>
      <c r="KQO33" s="28"/>
      <c r="KQP33" s="28"/>
      <c r="KQQ33" s="28"/>
      <c r="KQR33" s="28"/>
      <c r="KQS33" s="28"/>
      <c r="KQT33" s="28"/>
      <c r="KQU33" s="28"/>
      <c r="KQV33" s="28"/>
      <c r="KQW33" s="28"/>
      <c r="KQX33" s="28"/>
      <c r="KQY33" s="28"/>
      <c r="KQZ33" s="28"/>
      <c r="KRA33" s="28"/>
      <c r="KRB33" s="28"/>
      <c r="KRC33" s="28"/>
      <c r="KRD33" s="28"/>
      <c r="KRE33" s="28"/>
      <c r="KRF33" s="28"/>
      <c r="KRG33" s="28"/>
      <c r="KRH33" s="28"/>
      <c r="KRI33" s="28"/>
      <c r="KRJ33" s="28"/>
      <c r="KRK33" s="28"/>
      <c r="KRL33" s="28"/>
      <c r="KRM33" s="28"/>
      <c r="KRN33" s="28"/>
      <c r="KRO33" s="28"/>
      <c r="KRP33" s="28"/>
      <c r="KRQ33" s="28"/>
      <c r="KRR33" s="28"/>
      <c r="KRS33" s="28"/>
      <c r="KRT33" s="28"/>
      <c r="KRU33" s="28"/>
      <c r="KRV33" s="28"/>
      <c r="KRW33" s="28"/>
      <c r="KRX33" s="28"/>
      <c r="KRY33" s="28"/>
      <c r="KRZ33" s="28"/>
      <c r="KSA33" s="28"/>
      <c r="KSB33" s="28"/>
      <c r="KSC33" s="28"/>
      <c r="KSD33" s="28"/>
      <c r="KSE33" s="28"/>
      <c r="KSF33" s="28"/>
      <c r="KSG33" s="28"/>
      <c r="KSH33" s="28"/>
      <c r="KSI33" s="28"/>
      <c r="KSJ33" s="28"/>
      <c r="KSK33" s="28"/>
      <c r="KSL33" s="28"/>
      <c r="KSM33" s="28"/>
      <c r="KSN33" s="28"/>
      <c r="KSO33" s="28"/>
      <c r="KSP33" s="28"/>
      <c r="KSQ33" s="28"/>
      <c r="KSR33" s="28"/>
      <c r="KSS33" s="28"/>
      <c r="KST33" s="28"/>
      <c r="KSU33" s="28"/>
      <c r="KSV33" s="28"/>
      <c r="KSW33" s="28"/>
      <c r="KSX33" s="28"/>
      <c r="KSY33" s="28"/>
      <c r="KSZ33" s="28"/>
      <c r="KTA33" s="28"/>
      <c r="KTB33" s="28"/>
      <c r="KTC33" s="28"/>
      <c r="KTD33" s="28"/>
      <c r="KTE33" s="28"/>
      <c r="KTF33" s="28"/>
      <c r="KTG33" s="28"/>
      <c r="KTH33" s="28"/>
      <c r="KTI33" s="28"/>
      <c r="KTJ33" s="28"/>
      <c r="KTK33" s="28"/>
      <c r="KTL33" s="28"/>
      <c r="KTM33" s="28"/>
      <c r="KTN33" s="28"/>
      <c r="KTO33" s="28"/>
      <c r="KTP33" s="28"/>
      <c r="KTQ33" s="28"/>
      <c r="KTR33" s="28"/>
      <c r="KTS33" s="28"/>
      <c r="KTT33" s="28"/>
      <c r="KTU33" s="28"/>
      <c r="KTV33" s="28"/>
      <c r="KTW33" s="28"/>
      <c r="KTX33" s="28"/>
      <c r="KTY33" s="28"/>
      <c r="KTZ33" s="28"/>
      <c r="KUA33" s="28"/>
      <c r="KUB33" s="28"/>
      <c r="KUC33" s="28"/>
      <c r="KUD33" s="28"/>
      <c r="KUE33" s="28"/>
      <c r="KUF33" s="28"/>
      <c r="KUG33" s="28"/>
      <c r="KUH33" s="28"/>
      <c r="KUI33" s="28"/>
      <c r="KUJ33" s="28"/>
      <c r="KUK33" s="28"/>
      <c r="KUL33" s="28"/>
      <c r="KUM33" s="28"/>
      <c r="KUN33" s="28"/>
      <c r="KUO33" s="28"/>
      <c r="KUP33" s="28"/>
      <c r="KUQ33" s="28"/>
      <c r="KUR33" s="28"/>
      <c r="KUS33" s="28"/>
      <c r="KUT33" s="28"/>
      <c r="KUU33" s="28"/>
      <c r="KUV33" s="28"/>
      <c r="KUW33" s="28"/>
      <c r="KUX33" s="28"/>
      <c r="KUY33" s="28"/>
      <c r="KUZ33" s="28"/>
      <c r="KVA33" s="28"/>
      <c r="KVB33" s="28"/>
      <c r="KVC33" s="28"/>
      <c r="KVD33" s="28"/>
      <c r="KVE33" s="28"/>
      <c r="KVF33" s="28"/>
      <c r="KVG33" s="28"/>
      <c r="KVH33" s="28"/>
      <c r="KVI33" s="28"/>
      <c r="KVJ33" s="28"/>
      <c r="KVK33" s="28"/>
      <c r="KVL33" s="28"/>
      <c r="KVM33" s="28"/>
      <c r="KVN33" s="28"/>
      <c r="KVO33" s="28"/>
      <c r="KVP33" s="28"/>
      <c r="KVQ33" s="28"/>
      <c r="KVR33" s="28"/>
      <c r="KVS33" s="28"/>
      <c r="KVT33" s="28"/>
      <c r="KVU33" s="28"/>
      <c r="KVV33" s="28"/>
      <c r="KVW33" s="28"/>
      <c r="KVX33" s="28"/>
      <c r="KVY33" s="28"/>
      <c r="KVZ33" s="28"/>
      <c r="KWA33" s="28"/>
      <c r="KWB33" s="28"/>
      <c r="KWC33" s="28"/>
      <c r="KWD33" s="28"/>
      <c r="KWE33" s="28"/>
      <c r="KWF33" s="28"/>
      <c r="KWG33" s="28"/>
      <c r="KWH33" s="28"/>
      <c r="KWI33" s="28"/>
      <c r="KWJ33" s="28"/>
      <c r="KWK33" s="28"/>
      <c r="KWL33" s="28"/>
      <c r="KWM33" s="28"/>
      <c r="KWN33" s="28"/>
      <c r="KWO33" s="28"/>
      <c r="KWP33" s="28"/>
      <c r="KWQ33" s="28"/>
      <c r="KWR33" s="28"/>
      <c r="KWS33" s="28"/>
      <c r="KWT33" s="28"/>
      <c r="KWU33" s="28"/>
      <c r="KWV33" s="28"/>
      <c r="KWW33" s="28"/>
      <c r="KWX33" s="28"/>
      <c r="KWY33" s="28"/>
      <c r="KWZ33" s="28"/>
      <c r="KXA33" s="28"/>
      <c r="KXB33" s="28"/>
      <c r="KXC33" s="28"/>
      <c r="KXD33" s="28"/>
      <c r="KXE33" s="28"/>
      <c r="KXF33" s="28"/>
      <c r="KXG33" s="28"/>
      <c r="KXH33" s="28"/>
      <c r="KXI33" s="28"/>
      <c r="KXJ33" s="28"/>
      <c r="KXK33" s="28"/>
      <c r="KXL33" s="28"/>
      <c r="KXM33" s="28"/>
      <c r="KXN33" s="28"/>
      <c r="KXO33" s="28"/>
      <c r="KXP33" s="28"/>
      <c r="KXQ33" s="28"/>
      <c r="KXR33" s="28"/>
      <c r="KXS33" s="28"/>
      <c r="KXT33" s="28"/>
      <c r="KXU33" s="28"/>
      <c r="KXV33" s="28"/>
      <c r="KXW33" s="28"/>
      <c r="KXX33" s="28"/>
      <c r="KXY33" s="28"/>
      <c r="KXZ33" s="28"/>
      <c r="KYA33" s="28"/>
      <c r="KYB33" s="28"/>
      <c r="KYC33" s="28"/>
      <c r="KYD33" s="28"/>
      <c r="KYE33" s="28"/>
      <c r="KYF33" s="28"/>
      <c r="KYG33" s="28"/>
      <c r="KYH33" s="28"/>
      <c r="KYI33" s="28"/>
      <c r="KYJ33" s="28"/>
      <c r="KYK33" s="28"/>
      <c r="KYL33" s="28"/>
      <c r="KYM33" s="28"/>
      <c r="KYN33" s="28"/>
      <c r="KYO33" s="28"/>
      <c r="KYP33" s="28"/>
      <c r="KYQ33" s="28"/>
      <c r="KYR33" s="28"/>
      <c r="KYS33" s="28"/>
      <c r="KYT33" s="28"/>
      <c r="KYU33" s="28"/>
      <c r="KYV33" s="28"/>
      <c r="KYW33" s="28"/>
      <c r="KYX33" s="28"/>
      <c r="KYY33" s="28"/>
      <c r="KYZ33" s="28"/>
      <c r="KZA33" s="28"/>
      <c r="KZB33" s="28"/>
      <c r="KZC33" s="28"/>
      <c r="KZD33" s="28"/>
      <c r="KZE33" s="28"/>
      <c r="KZF33" s="28"/>
      <c r="KZG33" s="28"/>
      <c r="KZH33" s="28"/>
      <c r="KZI33" s="28"/>
      <c r="KZJ33" s="28"/>
      <c r="KZK33" s="28"/>
      <c r="KZL33" s="28"/>
      <c r="KZM33" s="28"/>
      <c r="KZN33" s="28"/>
      <c r="KZO33" s="28"/>
      <c r="KZP33" s="28"/>
      <c r="KZQ33" s="28"/>
      <c r="KZR33" s="28"/>
      <c r="KZS33" s="28"/>
      <c r="KZT33" s="28"/>
      <c r="KZU33" s="28"/>
      <c r="KZV33" s="28"/>
      <c r="KZW33" s="28"/>
      <c r="KZX33" s="28"/>
      <c r="KZY33" s="28"/>
      <c r="KZZ33" s="28"/>
      <c r="LAA33" s="28"/>
      <c r="LAB33" s="28"/>
      <c r="LAC33" s="28"/>
      <c r="LAD33" s="28"/>
      <c r="LAE33" s="28"/>
      <c r="LAF33" s="28"/>
      <c r="LAG33" s="28"/>
      <c r="LAH33" s="28"/>
      <c r="LAI33" s="28"/>
      <c r="LAJ33" s="28"/>
      <c r="LAK33" s="28"/>
      <c r="LAL33" s="28"/>
      <c r="LAM33" s="28"/>
      <c r="LAN33" s="28"/>
      <c r="LAO33" s="28"/>
      <c r="LAP33" s="28"/>
      <c r="LAQ33" s="28"/>
      <c r="LAR33" s="28"/>
      <c r="LAS33" s="28"/>
      <c r="LAT33" s="28"/>
      <c r="LAU33" s="28"/>
      <c r="LAV33" s="28"/>
      <c r="LAW33" s="28"/>
      <c r="LAX33" s="28"/>
      <c r="LAY33" s="28"/>
      <c r="LAZ33" s="28"/>
      <c r="LBA33" s="28"/>
      <c r="LBB33" s="28"/>
      <c r="LBC33" s="28"/>
      <c r="LBD33" s="28"/>
      <c r="LBE33" s="28"/>
      <c r="LBF33" s="28"/>
      <c r="LBG33" s="28"/>
      <c r="LBH33" s="28"/>
      <c r="LBI33" s="28"/>
      <c r="LBJ33" s="28"/>
      <c r="LBK33" s="28"/>
      <c r="LBL33" s="28"/>
      <c r="LBM33" s="28"/>
      <c r="LBN33" s="28"/>
      <c r="LBO33" s="28"/>
      <c r="LBP33" s="28"/>
      <c r="LBQ33" s="28"/>
      <c r="LBR33" s="28"/>
      <c r="LBS33" s="28"/>
      <c r="LBT33" s="28"/>
      <c r="LBU33" s="28"/>
      <c r="LBV33" s="28"/>
      <c r="LBW33" s="28"/>
      <c r="LBX33" s="28"/>
      <c r="LBY33" s="28"/>
      <c r="LBZ33" s="28"/>
      <c r="LCA33" s="28"/>
      <c r="LCB33" s="28"/>
      <c r="LCC33" s="28"/>
      <c r="LCD33" s="28"/>
      <c r="LCE33" s="28"/>
      <c r="LCF33" s="28"/>
      <c r="LCG33" s="28"/>
      <c r="LCH33" s="28"/>
      <c r="LCI33" s="28"/>
      <c r="LCJ33" s="28"/>
      <c r="LCK33" s="28"/>
      <c r="LCL33" s="28"/>
      <c r="LCM33" s="28"/>
      <c r="LCN33" s="28"/>
      <c r="LCO33" s="28"/>
      <c r="LCP33" s="28"/>
      <c r="LCQ33" s="28"/>
      <c r="LCR33" s="28"/>
      <c r="LCS33" s="28"/>
      <c r="LCT33" s="28"/>
      <c r="LCU33" s="28"/>
      <c r="LCV33" s="28"/>
      <c r="LCW33" s="28"/>
      <c r="LCX33" s="28"/>
      <c r="LCY33" s="28"/>
      <c r="LCZ33" s="28"/>
      <c r="LDA33" s="28"/>
      <c r="LDB33" s="28"/>
      <c r="LDC33" s="28"/>
      <c r="LDD33" s="28"/>
      <c r="LDE33" s="28"/>
      <c r="LDF33" s="28"/>
      <c r="LDG33" s="28"/>
      <c r="LDH33" s="28"/>
      <c r="LDI33" s="28"/>
      <c r="LDJ33" s="28"/>
      <c r="LDK33" s="28"/>
      <c r="LDL33" s="28"/>
      <c r="LDM33" s="28"/>
      <c r="LDN33" s="28"/>
      <c r="LDO33" s="28"/>
      <c r="LDP33" s="28"/>
      <c r="LDQ33" s="28"/>
      <c r="LDR33" s="28"/>
      <c r="LDS33" s="28"/>
      <c r="LDT33" s="28"/>
      <c r="LDU33" s="28"/>
      <c r="LDV33" s="28"/>
      <c r="LDW33" s="28"/>
      <c r="LDX33" s="28"/>
      <c r="LDY33" s="28"/>
      <c r="LDZ33" s="28"/>
      <c r="LEA33" s="28"/>
      <c r="LEB33" s="28"/>
      <c r="LEC33" s="28"/>
      <c r="LED33" s="28"/>
      <c r="LEE33" s="28"/>
      <c r="LEF33" s="28"/>
      <c r="LEG33" s="28"/>
      <c r="LEH33" s="28"/>
      <c r="LEI33" s="28"/>
      <c r="LEJ33" s="28"/>
      <c r="LEK33" s="28"/>
      <c r="LEL33" s="28"/>
      <c r="LEM33" s="28"/>
      <c r="LEN33" s="28"/>
      <c r="LEO33" s="28"/>
      <c r="LEP33" s="28"/>
      <c r="LEQ33" s="28"/>
      <c r="LER33" s="28"/>
      <c r="LES33" s="28"/>
      <c r="LET33" s="28"/>
      <c r="LEU33" s="28"/>
      <c r="LEV33" s="28"/>
      <c r="LEW33" s="28"/>
      <c r="LEX33" s="28"/>
      <c r="LEY33" s="28"/>
      <c r="LEZ33" s="28"/>
      <c r="LFA33" s="28"/>
      <c r="LFB33" s="28"/>
      <c r="LFC33" s="28"/>
      <c r="LFD33" s="28"/>
      <c r="LFE33" s="28"/>
      <c r="LFF33" s="28"/>
      <c r="LFG33" s="28"/>
      <c r="LFH33" s="28"/>
      <c r="LFI33" s="28"/>
      <c r="LFJ33" s="28"/>
      <c r="LFK33" s="28"/>
      <c r="LFL33" s="28"/>
      <c r="LFM33" s="28"/>
      <c r="LFN33" s="28"/>
      <c r="LFO33" s="28"/>
      <c r="LFP33" s="28"/>
      <c r="LFQ33" s="28"/>
      <c r="LFR33" s="28"/>
      <c r="LFS33" s="28"/>
      <c r="LFT33" s="28"/>
      <c r="LFU33" s="28"/>
      <c r="LFV33" s="28"/>
      <c r="LFW33" s="28"/>
      <c r="LFX33" s="28"/>
      <c r="LFY33" s="28"/>
      <c r="LFZ33" s="28"/>
      <c r="LGA33" s="28"/>
      <c r="LGB33" s="28"/>
      <c r="LGC33" s="28"/>
      <c r="LGD33" s="28"/>
      <c r="LGE33" s="28"/>
      <c r="LGF33" s="28"/>
      <c r="LGG33" s="28"/>
      <c r="LGH33" s="28"/>
      <c r="LGI33" s="28"/>
      <c r="LGJ33" s="28"/>
      <c r="LGK33" s="28"/>
      <c r="LGL33" s="28"/>
      <c r="LGM33" s="28"/>
      <c r="LGN33" s="28"/>
      <c r="LGO33" s="28"/>
      <c r="LGP33" s="28"/>
      <c r="LGQ33" s="28"/>
      <c r="LGR33" s="28"/>
      <c r="LGS33" s="28"/>
      <c r="LGT33" s="28"/>
      <c r="LGU33" s="28"/>
      <c r="LGV33" s="28"/>
      <c r="LGW33" s="28"/>
      <c r="LGX33" s="28"/>
      <c r="LGY33" s="28"/>
      <c r="LGZ33" s="28"/>
      <c r="LHA33" s="28"/>
      <c r="LHB33" s="28"/>
      <c r="LHC33" s="28"/>
      <c r="LHD33" s="28"/>
      <c r="LHE33" s="28"/>
      <c r="LHF33" s="28"/>
      <c r="LHG33" s="28"/>
      <c r="LHH33" s="28"/>
      <c r="LHI33" s="28"/>
      <c r="LHJ33" s="28"/>
      <c r="LHK33" s="28"/>
      <c r="LHL33" s="28"/>
      <c r="LHM33" s="28"/>
      <c r="LHN33" s="28"/>
      <c r="LHO33" s="28"/>
      <c r="LHP33" s="28"/>
      <c r="LHQ33" s="28"/>
      <c r="LHR33" s="28"/>
      <c r="LHS33" s="28"/>
      <c r="LHT33" s="28"/>
      <c r="LHU33" s="28"/>
      <c r="LHV33" s="28"/>
      <c r="LHW33" s="28"/>
      <c r="LHX33" s="28"/>
      <c r="LHY33" s="28"/>
      <c r="LHZ33" s="28"/>
      <c r="LIA33" s="28"/>
      <c r="LIB33" s="28"/>
      <c r="LIC33" s="28"/>
      <c r="LID33" s="28"/>
      <c r="LIE33" s="28"/>
      <c r="LIF33" s="28"/>
      <c r="LIG33" s="28"/>
      <c r="LIH33" s="28"/>
      <c r="LII33" s="28"/>
      <c r="LIJ33" s="28"/>
      <c r="LIK33" s="28"/>
      <c r="LIL33" s="28"/>
      <c r="LIM33" s="28"/>
      <c r="LIN33" s="28"/>
      <c r="LIO33" s="28"/>
      <c r="LIP33" s="28"/>
      <c r="LIQ33" s="28"/>
      <c r="LIR33" s="28"/>
      <c r="LIS33" s="28"/>
      <c r="LIT33" s="28"/>
      <c r="LIU33" s="28"/>
      <c r="LIV33" s="28"/>
      <c r="LIW33" s="28"/>
      <c r="LIX33" s="28"/>
      <c r="LIY33" s="28"/>
      <c r="LIZ33" s="28"/>
      <c r="LJA33" s="28"/>
      <c r="LJB33" s="28"/>
      <c r="LJC33" s="28"/>
      <c r="LJD33" s="28"/>
      <c r="LJE33" s="28"/>
      <c r="LJF33" s="28"/>
      <c r="LJG33" s="28"/>
      <c r="LJH33" s="28"/>
      <c r="LJI33" s="28"/>
      <c r="LJJ33" s="28"/>
      <c r="LJK33" s="28"/>
      <c r="LJL33" s="28"/>
      <c r="LJM33" s="28"/>
      <c r="LJN33" s="28"/>
      <c r="LJO33" s="28"/>
      <c r="LJP33" s="28"/>
      <c r="LJQ33" s="28"/>
      <c r="LJR33" s="28"/>
      <c r="LJS33" s="28"/>
      <c r="LJT33" s="28"/>
      <c r="LJU33" s="28"/>
      <c r="LJV33" s="28"/>
      <c r="LJW33" s="28"/>
      <c r="LJX33" s="28"/>
      <c r="LJY33" s="28"/>
      <c r="LJZ33" s="28"/>
      <c r="LKA33" s="28"/>
      <c r="LKB33" s="28"/>
      <c r="LKC33" s="28"/>
      <c r="LKD33" s="28"/>
      <c r="LKE33" s="28"/>
      <c r="LKF33" s="28"/>
      <c r="LKG33" s="28"/>
      <c r="LKH33" s="28"/>
      <c r="LKI33" s="28"/>
      <c r="LKJ33" s="28"/>
      <c r="LKK33" s="28"/>
      <c r="LKL33" s="28"/>
      <c r="LKM33" s="28"/>
      <c r="LKN33" s="28"/>
      <c r="LKO33" s="28"/>
      <c r="LKP33" s="28"/>
      <c r="LKQ33" s="28"/>
      <c r="LKR33" s="28"/>
      <c r="LKS33" s="28"/>
      <c r="LKT33" s="28"/>
      <c r="LKU33" s="28"/>
      <c r="LKV33" s="28"/>
      <c r="LKW33" s="28"/>
      <c r="LKX33" s="28"/>
      <c r="LKY33" s="28"/>
      <c r="LKZ33" s="28"/>
      <c r="LLA33" s="28"/>
      <c r="LLB33" s="28"/>
      <c r="LLC33" s="28"/>
      <c r="LLD33" s="28"/>
      <c r="LLE33" s="28"/>
      <c r="LLF33" s="28"/>
      <c r="LLG33" s="28"/>
      <c r="LLH33" s="28"/>
      <c r="LLI33" s="28"/>
      <c r="LLJ33" s="28"/>
      <c r="LLK33" s="28"/>
      <c r="LLL33" s="28"/>
      <c r="LLM33" s="28"/>
      <c r="LLN33" s="28"/>
      <c r="LLO33" s="28"/>
      <c r="LLP33" s="28"/>
      <c r="LLQ33" s="28"/>
      <c r="LLR33" s="28"/>
      <c r="LLS33" s="28"/>
      <c r="LLT33" s="28"/>
      <c r="LLU33" s="28"/>
      <c r="LLV33" s="28"/>
      <c r="LLW33" s="28"/>
      <c r="LLX33" s="28"/>
      <c r="LLY33" s="28"/>
      <c r="LLZ33" s="28"/>
      <c r="LMA33" s="28"/>
      <c r="LMB33" s="28"/>
      <c r="LMC33" s="28"/>
      <c r="LMD33" s="28"/>
      <c r="LME33" s="28"/>
      <c r="LMF33" s="28"/>
      <c r="LMG33" s="28"/>
      <c r="LMH33" s="28"/>
      <c r="LMI33" s="28"/>
      <c r="LMJ33" s="28"/>
      <c r="LMK33" s="28"/>
      <c r="LML33" s="28"/>
      <c r="LMM33" s="28"/>
      <c r="LMN33" s="28"/>
      <c r="LMO33" s="28"/>
      <c r="LMP33" s="28"/>
      <c r="LMQ33" s="28"/>
      <c r="LMR33" s="28"/>
      <c r="LMS33" s="28"/>
      <c r="LMT33" s="28"/>
      <c r="LMU33" s="28"/>
      <c r="LMV33" s="28"/>
      <c r="LMW33" s="28"/>
      <c r="LMX33" s="28"/>
      <c r="LMY33" s="28"/>
      <c r="LMZ33" s="28"/>
      <c r="LNA33" s="28"/>
      <c r="LNB33" s="28"/>
      <c r="LNC33" s="28"/>
      <c r="LND33" s="28"/>
      <c r="LNE33" s="28"/>
      <c r="LNF33" s="28"/>
      <c r="LNG33" s="28"/>
      <c r="LNH33" s="28"/>
      <c r="LNI33" s="28"/>
      <c r="LNJ33" s="28"/>
      <c r="LNK33" s="28"/>
      <c r="LNL33" s="28"/>
      <c r="LNM33" s="28"/>
      <c r="LNN33" s="28"/>
      <c r="LNO33" s="28"/>
      <c r="LNP33" s="28"/>
      <c r="LNQ33" s="28"/>
      <c r="LNR33" s="28"/>
      <c r="LNS33" s="28"/>
      <c r="LNT33" s="28"/>
      <c r="LNU33" s="28"/>
      <c r="LNV33" s="28"/>
      <c r="LNW33" s="28"/>
      <c r="LNX33" s="28"/>
      <c r="LNY33" s="28"/>
      <c r="LNZ33" s="28"/>
      <c r="LOA33" s="28"/>
      <c r="LOB33" s="28"/>
      <c r="LOC33" s="28"/>
      <c r="LOD33" s="28"/>
      <c r="LOE33" s="28"/>
      <c r="LOF33" s="28"/>
      <c r="LOG33" s="28"/>
      <c r="LOH33" s="28"/>
      <c r="LOI33" s="28"/>
      <c r="LOJ33" s="28"/>
      <c r="LOK33" s="28"/>
      <c r="LOL33" s="28"/>
      <c r="LOM33" s="28"/>
      <c r="LON33" s="28"/>
      <c r="LOO33" s="28"/>
      <c r="LOP33" s="28"/>
      <c r="LOQ33" s="28"/>
      <c r="LOR33" s="28"/>
      <c r="LOS33" s="28"/>
      <c r="LOT33" s="28"/>
      <c r="LOU33" s="28"/>
      <c r="LOV33" s="28"/>
      <c r="LOW33" s="28"/>
      <c r="LOX33" s="28"/>
      <c r="LOY33" s="28"/>
      <c r="LOZ33" s="28"/>
      <c r="LPA33" s="28"/>
      <c r="LPB33" s="28"/>
      <c r="LPC33" s="28"/>
      <c r="LPD33" s="28"/>
      <c r="LPE33" s="28"/>
      <c r="LPF33" s="28"/>
      <c r="LPG33" s="28"/>
      <c r="LPH33" s="28"/>
      <c r="LPI33" s="28"/>
      <c r="LPJ33" s="28"/>
      <c r="LPK33" s="28"/>
      <c r="LPL33" s="28"/>
      <c r="LPM33" s="28"/>
      <c r="LPN33" s="28"/>
      <c r="LPO33" s="28"/>
      <c r="LPP33" s="28"/>
      <c r="LPQ33" s="28"/>
      <c r="LPR33" s="28"/>
      <c r="LPS33" s="28"/>
      <c r="LPT33" s="28"/>
      <c r="LPU33" s="28"/>
      <c r="LPV33" s="28"/>
      <c r="LPW33" s="28"/>
      <c r="LPX33" s="28"/>
      <c r="LPY33" s="28"/>
      <c r="LPZ33" s="28"/>
      <c r="LQA33" s="28"/>
      <c r="LQB33" s="28"/>
      <c r="LQC33" s="28"/>
      <c r="LQD33" s="28"/>
      <c r="LQE33" s="28"/>
      <c r="LQF33" s="28"/>
      <c r="LQG33" s="28"/>
      <c r="LQH33" s="28"/>
      <c r="LQI33" s="28"/>
      <c r="LQJ33" s="28"/>
      <c r="LQK33" s="28"/>
      <c r="LQL33" s="28"/>
      <c r="LQM33" s="28"/>
      <c r="LQN33" s="28"/>
      <c r="LQO33" s="28"/>
      <c r="LQP33" s="28"/>
      <c r="LQQ33" s="28"/>
      <c r="LQR33" s="28"/>
      <c r="LQS33" s="28"/>
      <c r="LQT33" s="28"/>
      <c r="LQU33" s="28"/>
      <c r="LQV33" s="28"/>
      <c r="LQW33" s="28"/>
      <c r="LQX33" s="28"/>
      <c r="LQY33" s="28"/>
      <c r="LQZ33" s="28"/>
      <c r="LRA33" s="28"/>
      <c r="LRB33" s="28"/>
      <c r="LRC33" s="28"/>
      <c r="LRD33" s="28"/>
      <c r="LRE33" s="28"/>
      <c r="LRF33" s="28"/>
      <c r="LRG33" s="28"/>
      <c r="LRH33" s="28"/>
      <c r="LRI33" s="28"/>
      <c r="LRJ33" s="28"/>
      <c r="LRK33" s="28"/>
      <c r="LRL33" s="28"/>
      <c r="LRM33" s="28"/>
      <c r="LRN33" s="28"/>
      <c r="LRO33" s="28"/>
      <c r="LRP33" s="28"/>
      <c r="LRQ33" s="28"/>
      <c r="LRR33" s="28"/>
      <c r="LRS33" s="28"/>
      <c r="LRT33" s="28"/>
      <c r="LRU33" s="28"/>
      <c r="LRV33" s="28"/>
      <c r="LRW33" s="28"/>
      <c r="LRX33" s="28"/>
      <c r="LRY33" s="28"/>
      <c r="LRZ33" s="28"/>
      <c r="LSA33" s="28"/>
      <c r="LSB33" s="28"/>
      <c r="LSC33" s="28"/>
      <c r="LSD33" s="28"/>
      <c r="LSE33" s="28"/>
      <c r="LSF33" s="28"/>
      <c r="LSG33" s="28"/>
      <c r="LSH33" s="28"/>
      <c r="LSI33" s="28"/>
      <c r="LSJ33" s="28"/>
      <c r="LSK33" s="28"/>
      <c r="LSL33" s="28"/>
      <c r="LSM33" s="28"/>
      <c r="LSN33" s="28"/>
      <c r="LSO33" s="28"/>
      <c r="LSP33" s="28"/>
      <c r="LSQ33" s="28"/>
      <c r="LSR33" s="28"/>
      <c r="LSS33" s="28"/>
      <c r="LST33" s="28"/>
      <c r="LSU33" s="28"/>
      <c r="LSV33" s="28"/>
      <c r="LSW33" s="28"/>
      <c r="LSX33" s="28"/>
      <c r="LSY33" s="28"/>
      <c r="LSZ33" s="28"/>
      <c r="LTA33" s="28"/>
      <c r="LTB33" s="28"/>
      <c r="LTC33" s="28"/>
      <c r="LTD33" s="28"/>
      <c r="LTE33" s="28"/>
      <c r="LTF33" s="28"/>
      <c r="LTG33" s="28"/>
      <c r="LTH33" s="28"/>
      <c r="LTI33" s="28"/>
      <c r="LTJ33" s="28"/>
      <c r="LTK33" s="28"/>
      <c r="LTL33" s="28"/>
      <c r="LTM33" s="28"/>
      <c r="LTN33" s="28"/>
      <c r="LTO33" s="28"/>
      <c r="LTP33" s="28"/>
      <c r="LTQ33" s="28"/>
      <c r="LTR33" s="28"/>
      <c r="LTS33" s="28"/>
      <c r="LTT33" s="28"/>
      <c r="LTU33" s="28"/>
      <c r="LTV33" s="28"/>
      <c r="LTW33" s="28"/>
      <c r="LTX33" s="28"/>
      <c r="LTY33" s="28"/>
      <c r="LTZ33" s="28"/>
      <c r="LUA33" s="28"/>
      <c r="LUB33" s="28"/>
      <c r="LUC33" s="28"/>
      <c r="LUD33" s="28"/>
      <c r="LUE33" s="28"/>
      <c r="LUF33" s="28"/>
      <c r="LUG33" s="28"/>
      <c r="LUH33" s="28"/>
      <c r="LUI33" s="28"/>
      <c r="LUJ33" s="28"/>
      <c r="LUK33" s="28"/>
      <c r="LUL33" s="28"/>
      <c r="LUM33" s="28"/>
      <c r="LUN33" s="28"/>
      <c r="LUO33" s="28"/>
      <c r="LUP33" s="28"/>
      <c r="LUQ33" s="28"/>
      <c r="LUR33" s="28"/>
      <c r="LUS33" s="28"/>
      <c r="LUT33" s="28"/>
      <c r="LUU33" s="28"/>
      <c r="LUV33" s="28"/>
      <c r="LUW33" s="28"/>
      <c r="LUX33" s="28"/>
      <c r="LUY33" s="28"/>
      <c r="LUZ33" s="28"/>
      <c r="LVA33" s="28"/>
      <c r="LVB33" s="28"/>
      <c r="LVC33" s="28"/>
      <c r="LVD33" s="28"/>
      <c r="LVE33" s="28"/>
      <c r="LVF33" s="28"/>
      <c r="LVG33" s="28"/>
      <c r="LVH33" s="28"/>
      <c r="LVI33" s="28"/>
      <c r="LVJ33" s="28"/>
      <c r="LVK33" s="28"/>
      <c r="LVL33" s="28"/>
      <c r="LVM33" s="28"/>
      <c r="LVN33" s="28"/>
      <c r="LVO33" s="28"/>
      <c r="LVP33" s="28"/>
      <c r="LVQ33" s="28"/>
      <c r="LVR33" s="28"/>
      <c r="LVS33" s="28"/>
      <c r="LVT33" s="28"/>
      <c r="LVU33" s="28"/>
      <c r="LVV33" s="28"/>
      <c r="LVW33" s="28"/>
      <c r="LVX33" s="28"/>
      <c r="LVY33" s="28"/>
      <c r="LVZ33" s="28"/>
      <c r="LWA33" s="28"/>
      <c r="LWB33" s="28"/>
      <c r="LWC33" s="28"/>
      <c r="LWD33" s="28"/>
      <c r="LWE33" s="28"/>
      <c r="LWF33" s="28"/>
      <c r="LWG33" s="28"/>
      <c r="LWH33" s="28"/>
      <c r="LWI33" s="28"/>
      <c r="LWJ33" s="28"/>
      <c r="LWK33" s="28"/>
      <c r="LWL33" s="28"/>
      <c r="LWM33" s="28"/>
      <c r="LWN33" s="28"/>
      <c r="LWO33" s="28"/>
      <c r="LWP33" s="28"/>
      <c r="LWQ33" s="28"/>
      <c r="LWR33" s="28"/>
      <c r="LWS33" s="28"/>
      <c r="LWT33" s="28"/>
      <c r="LWU33" s="28"/>
      <c r="LWV33" s="28"/>
      <c r="LWW33" s="28"/>
      <c r="LWX33" s="28"/>
      <c r="LWY33" s="28"/>
      <c r="LWZ33" s="28"/>
      <c r="LXA33" s="28"/>
      <c r="LXB33" s="28"/>
      <c r="LXC33" s="28"/>
      <c r="LXD33" s="28"/>
      <c r="LXE33" s="28"/>
      <c r="LXF33" s="28"/>
      <c r="LXG33" s="28"/>
      <c r="LXH33" s="28"/>
      <c r="LXI33" s="28"/>
      <c r="LXJ33" s="28"/>
      <c r="LXK33" s="28"/>
      <c r="LXL33" s="28"/>
      <c r="LXM33" s="28"/>
      <c r="LXN33" s="28"/>
      <c r="LXO33" s="28"/>
      <c r="LXP33" s="28"/>
      <c r="LXQ33" s="28"/>
      <c r="LXR33" s="28"/>
      <c r="LXS33" s="28"/>
      <c r="LXT33" s="28"/>
      <c r="LXU33" s="28"/>
      <c r="LXV33" s="28"/>
      <c r="LXW33" s="28"/>
      <c r="LXX33" s="28"/>
      <c r="LXY33" s="28"/>
      <c r="LXZ33" s="28"/>
      <c r="LYA33" s="28"/>
      <c r="LYB33" s="28"/>
      <c r="LYC33" s="28"/>
      <c r="LYD33" s="28"/>
      <c r="LYE33" s="28"/>
      <c r="LYF33" s="28"/>
      <c r="LYG33" s="28"/>
      <c r="LYH33" s="28"/>
      <c r="LYI33" s="28"/>
      <c r="LYJ33" s="28"/>
      <c r="LYK33" s="28"/>
      <c r="LYL33" s="28"/>
      <c r="LYM33" s="28"/>
      <c r="LYN33" s="28"/>
      <c r="LYO33" s="28"/>
      <c r="LYP33" s="28"/>
      <c r="LYQ33" s="28"/>
      <c r="LYR33" s="28"/>
      <c r="LYS33" s="28"/>
      <c r="LYT33" s="28"/>
      <c r="LYU33" s="28"/>
      <c r="LYV33" s="28"/>
      <c r="LYW33" s="28"/>
      <c r="LYX33" s="28"/>
      <c r="LYY33" s="28"/>
      <c r="LYZ33" s="28"/>
      <c r="LZA33" s="28"/>
      <c r="LZB33" s="28"/>
      <c r="LZC33" s="28"/>
      <c r="LZD33" s="28"/>
      <c r="LZE33" s="28"/>
      <c r="LZF33" s="28"/>
      <c r="LZG33" s="28"/>
      <c r="LZH33" s="28"/>
      <c r="LZI33" s="28"/>
      <c r="LZJ33" s="28"/>
      <c r="LZK33" s="28"/>
      <c r="LZL33" s="28"/>
      <c r="LZM33" s="28"/>
      <c r="LZN33" s="28"/>
      <c r="LZO33" s="28"/>
      <c r="LZP33" s="28"/>
      <c r="LZQ33" s="28"/>
      <c r="LZR33" s="28"/>
      <c r="LZS33" s="28"/>
      <c r="LZT33" s="28"/>
      <c r="LZU33" s="28"/>
      <c r="LZV33" s="28"/>
      <c r="LZW33" s="28"/>
      <c r="LZX33" s="28"/>
      <c r="LZY33" s="28"/>
      <c r="LZZ33" s="28"/>
      <c r="MAA33" s="28"/>
      <c r="MAB33" s="28"/>
      <c r="MAC33" s="28"/>
      <c r="MAD33" s="28"/>
      <c r="MAE33" s="28"/>
      <c r="MAF33" s="28"/>
      <c r="MAG33" s="28"/>
      <c r="MAH33" s="28"/>
      <c r="MAI33" s="28"/>
      <c r="MAJ33" s="28"/>
      <c r="MAK33" s="28"/>
      <c r="MAL33" s="28"/>
      <c r="MAM33" s="28"/>
      <c r="MAN33" s="28"/>
      <c r="MAO33" s="28"/>
      <c r="MAP33" s="28"/>
      <c r="MAQ33" s="28"/>
      <c r="MAR33" s="28"/>
      <c r="MAS33" s="28"/>
      <c r="MAT33" s="28"/>
      <c r="MAU33" s="28"/>
      <c r="MAV33" s="28"/>
      <c r="MAW33" s="28"/>
      <c r="MAX33" s="28"/>
      <c r="MAY33" s="28"/>
      <c r="MAZ33" s="28"/>
      <c r="MBA33" s="28"/>
      <c r="MBB33" s="28"/>
      <c r="MBC33" s="28"/>
      <c r="MBD33" s="28"/>
      <c r="MBE33" s="28"/>
      <c r="MBF33" s="28"/>
      <c r="MBG33" s="28"/>
      <c r="MBH33" s="28"/>
      <c r="MBI33" s="28"/>
      <c r="MBJ33" s="28"/>
      <c r="MBK33" s="28"/>
      <c r="MBL33" s="28"/>
      <c r="MBM33" s="28"/>
      <c r="MBN33" s="28"/>
      <c r="MBO33" s="28"/>
      <c r="MBP33" s="28"/>
      <c r="MBQ33" s="28"/>
      <c r="MBR33" s="28"/>
      <c r="MBS33" s="28"/>
      <c r="MBT33" s="28"/>
      <c r="MBU33" s="28"/>
      <c r="MBV33" s="28"/>
      <c r="MBW33" s="28"/>
      <c r="MBX33" s="28"/>
      <c r="MBY33" s="28"/>
      <c r="MBZ33" s="28"/>
      <c r="MCA33" s="28"/>
      <c r="MCB33" s="28"/>
      <c r="MCC33" s="28"/>
      <c r="MCD33" s="28"/>
      <c r="MCE33" s="28"/>
      <c r="MCF33" s="28"/>
      <c r="MCG33" s="28"/>
      <c r="MCH33" s="28"/>
      <c r="MCI33" s="28"/>
      <c r="MCJ33" s="28"/>
      <c r="MCK33" s="28"/>
      <c r="MCL33" s="28"/>
      <c r="MCM33" s="28"/>
      <c r="MCN33" s="28"/>
      <c r="MCO33" s="28"/>
      <c r="MCP33" s="28"/>
      <c r="MCQ33" s="28"/>
      <c r="MCR33" s="28"/>
      <c r="MCS33" s="28"/>
      <c r="MCT33" s="28"/>
      <c r="MCU33" s="28"/>
      <c r="MCV33" s="28"/>
      <c r="MCW33" s="28"/>
      <c r="MCX33" s="28"/>
      <c r="MCY33" s="28"/>
      <c r="MCZ33" s="28"/>
      <c r="MDA33" s="28"/>
      <c r="MDB33" s="28"/>
      <c r="MDC33" s="28"/>
      <c r="MDD33" s="28"/>
      <c r="MDE33" s="28"/>
      <c r="MDF33" s="28"/>
      <c r="MDG33" s="28"/>
      <c r="MDH33" s="28"/>
      <c r="MDI33" s="28"/>
      <c r="MDJ33" s="28"/>
      <c r="MDK33" s="28"/>
      <c r="MDL33" s="28"/>
      <c r="MDM33" s="28"/>
      <c r="MDN33" s="28"/>
      <c r="MDO33" s="28"/>
      <c r="MDP33" s="28"/>
      <c r="MDQ33" s="28"/>
      <c r="MDR33" s="28"/>
      <c r="MDS33" s="28"/>
      <c r="MDT33" s="28"/>
      <c r="MDU33" s="28"/>
      <c r="MDV33" s="28"/>
      <c r="MDW33" s="28"/>
      <c r="MDX33" s="28"/>
      <c r="MDY33" s="28"/>
      <c r="MDZ33" s="28"/>
      <c r="MEA33" s="28"/>
      <c r="MEB33" s="28"/>
      <c r="MEC33" s="28"/>
      <c r="MED33" s="28"/>
      <c r="MEE33" s="28"/>
      <c r="MEF33" s="28"/>
      <c r="MEG33" s="28"/>
      <c r="MEH33" s="28"/>
      <c r="MEI33" s="28"/>
      <c r="MEJ33" s="28"/>
      <c r="MEK33" s="28"/>
      <c r="MEL33" s="28"/>
      <c r="MEM33" s="28"/>
      <c r="MEN33" s="28"/>
      <c r="MEO33" s="28"/>
      <c r="MEP33" s="28"/>
      <c r="MEQ33" s="28"/>
      <c r="MER33" s="28"/>
      <c r="MES33" s="28"/>
      <c r="MET33" s="28"/>
      <c r="MEU33" s="28"/>
      <c r="MEV33" s="28"/>
      <c r="MEW33" s="28"/>
      <c r="MEX33" s="28"/>
      <c r="MEY33" s="28"/>
      <c r="MEZ33" s="28"/>
      <c r="MFA33" s="28"/>
      <c r="MFB33" s="28"/>
      <c r="MFC33" s="28"/>
      <c r="MFD33" s="28"/>
      <c r="MFE33" s="28"/>
      <c r="MFF33" s="28"/>
      <c r="MFG33" s="28"/>
      <c r="MFH33" s="28"/>
      <c r="MFI33" s="28"/>
      <c r="MFJ33" s="28"/>
      <c r="MFK33" s="28"/>
      <c r="MFL33" s="28"/>
      <c r="MFM33" s="28"/>
      <c r="MFN33" s="28"/>
      <c r="MFO33" s="28"/>
      <c r="MFP33" s="28"/>
      <c r="MFQ33" s="28"/>
      <c r="MFR33" s="28"/>
      <c r="MFS33" s="28"/>
      <c r="MFT33" s="28"/>
      <c r="MFU33" s="28"/>
      <c r="MFV33" s="28"/>
      <c r="MFW33" s="28"/>
      <c r="MFX33" s="28"/>
      <c r="MFY33" s="28"/>
      <c r="MFZ33" s="28"/>
      <c r="MGA33" s="28"/>
      <c r="MGB33" s="28"/>
      <c r="MGC33" s="28"/>
      <c r="MGD33" s="28"/>
      <c r="MGE33" s="28"/>
      <c r="MGF33" s="28"/>
      <c r="MGG33" s="28"/>
      <c r="MGH33" s="28"/>
      <c r="MGI33" s="28"/>
      <c r="MGJ33" s="28"/>
      <c r="MGK33" s="28"/>
      <c r="MGL33" s="28"/>
      <c r="MGM33" s="28"/>
      <c r="MGN33" s="28"/>
      <c r="MGO33" s="28"/>
      <c r="MGP33" s="28"/>
      <c r="MGQ33" s="28"/>
      <c r="MGR33" s="28"/>
      <c r="MGS33" s="28"/>
      <c r="MGT33" s="28"/>
      <c r="MGU33" s="28"/>
      <c r="MGV33" s="28"/>
      <c r="MGW33" s="28"/>
      <c r="MGX33" s="28"/>
      <c r="MGY33" s="28"/>
      <c r="MGZ33" s="28"/>
      <c r="MHA33" s="28"/>
      <c r="MHB33" s="28"/>
      <c r="MHC33" s="28"/>
      <c r="MHD33" s="28"/>
      <c r="MHE33" s="28"/>
      <c r="MHF33" s="28"/>
      <c r="MHG33" s="28"/>
      <c r="MHH33" s="28"/>
      <c r="MHI33" s="28"/>
      <c r="MHJ33" s="28"/>
      <c r="MHK33" s="28"/>
      <c r="MHL33" s="28"/>
      <c r="MHM33" s="28"/>
      <c r="MHN33" s="28"/>
      <c r="MHO33" s="28"/>
      <c r="MHP33" s="28"/>
      <c r="MHQ33" s="28"/>
      <c r="MHR33" s="28"/>
      <c r="MHS33" s="28"/>
      <c r="MHT33" s="28"/>
      <c r="MHU33" s="28"/>
      <c r="MHV33" s="28"/>
      <c r="MHW33" s="28"/>
      <c r="MHX33" s="28"/>
      <c r="MHY33" s="28"/>
      <c r="MHZ33" s="28"/>
      <c r="MIA33" s="28"/>
      <c r="MIB33" s="28"/>
      <c r="MIC33" s="28"/>
      <c r="MID33" s="28"/>
      <c r="MIE33" s="28"/>
      <c r="MIF33" s="28"/>
      <c r="MIG33" s="28"/>
      <c r="MIH33" s="28"/>
      <c r="MII33" s="28"/>
      <c r="MIJ33" s="28"/>
      <c r="MIK33" s="28"/>
      <c r="MIL33" s="28"/>
      <c r="MIM33" s="28"/>
      <c r="MIN33" s="28"/>
      <c r="MIO33" s="28"/>
      <c r="MIP33" s="28"/>
      <c r="MIQ33" s="28"/>
      <c r="MIR33" s="28"/>
      <c r="MIS33" s="28"/>
      <c r="MIT33" s="28"/>
      <c r="MIU33" s="28"/>
      <c r="MIV33" s="28"/>
      <c r="MIW33" s="28"/>
      <c r="MIX33" s="28"/>
      <c r="MIY33" s="28"/>
      <c r="MIZ33" s="28"/>
      <c r="MJA33" s="28"/>
      <c r="MJB33" s="28"/>
      <c r="MJC33" s="28"/>
      <c r="MJD33" s="28"/>
      <c r="MJE33" s="28"/>
      <c r="MJF33" s="28"/>
      <c r="MJG33" s="28"/>
      <c r="MJH33" s="28"/>
      <c r="MJI33" s="28"/>
      <c r="MJJ33" s="28"/>
      <c r="MJK33" s="28"/>
      <c r="MJL33" s="28"/>
      <c r="MJM33" s="28"/>
      <c r="MJN33" s="28"/>
      <c r="MJO33" s="28"/>
      <c r="MJP33" s="28"/>
      <c r="MJQ33" s="28"/>
      <c r="MJR33" s="28"/>
      <c r="MJS33" s="28"/>
      <c r="MJT33" s="28"/>
      <c r="MJU33" s="28"/>
      <c r="MJV33" s="28"/>
      <c r="MJW33" s="28"/>
      <c r="MJX33" s="28"/>
      <c r="MJY33" s="28"/>
      <c r="MJZ33" s="28"/>
      <c r="MKA33" s="28"/>
      <c r="MKB33" s="28"/>
      <c r="MKC33" s="28"/>
      <c r="MKD33" s="28"/>
      <c r="MKE33" s="28"/>
      <c r="MKF33" s="28"/>
      <c r="MKG33" s="28"/>
      <c r="MKH33" s="28"/>
      <c r="MKI33" s="28"/>
      <c r="MKJ33" s="28"/>
      <c r="MKK33" s="28"/>
      <c r="MKL33" s="28"/>
      <c r="MKM33" s="28"/>
      <c r="MKN33" s="28"/>
      <c r="MKO33" s="28"/>
      <c r="MKP33" s="28"/>
      <c r="MKQ33" s="28"/>
      <c r="MKR33" s="28"/>
      <c r="MKS33" s="28"/>
      <c r="MKT33" s="28"/>
      <c r="MKU33" s="28"/>
      <c r="MKV33" s="28"/>
      <c r="MKW33" s="28"/>
      <c r="MKX33" s="28"/>
      <c r="MKY33" s="28"/>
      <c r="MKZ33" s="28"/>
      <c r="MLA33" s="28"/>
      <c r="MLB33" s="28"/>
      <c r="MLC33" s="28"/>
      <c r="MLD33" s="28"/>
      <c r="MLE33" s="28"/>
      <c r="MLF33" s="28"/>
      <c r="MLG33" s="28"/>
      <c r="MLH33" s="28"/>
      <c r="MLI33" s="28"/>
      <c r="MLJ33" s="28"/>
      <c r="MLK33" s="28"/>
      <c r="MLL33" s="28"/>
      <c r="MLM33" s="28"/>
      <c r="MLN33" s="28"/>
      <c r="MLO33" s="28"/>
      <c r="MLP33" s="28"/>
      <c r="MLQ33" s="28"/>
      <c r="MLR33" s="28"/>
      <c r="MLS33" s="28"/>
      <c r="MLT33" s="28"/>
      <c r="MLU33" s="28"/>
      <c r="MLV33" s="28"/>
      <c r="MLW33" s="28"/>
      <c r="MLX33" s="28"/>
      <c r="MLY33" s="28"/>
      <c r="MLZ33" s="28"/>
      <c r="MMA33" s="28"/>
      <c r="MMB33" s="28"/>
      <c r="MMC33" s="28"/>
      <c r="MMD33" s="28"/>
      <c r="MME33" s="28"/>
      <c r="MMF33" s="28"/>
      <c r="MMG33" s="28"/>
      <c r="MMH33" s="28"/>
      <c r="MMI33" s="28"/>
      <c r="MMJ33" s="28"/>
      <c r="MMK33" s="28"/>
      <c r="MML33" s="28"/>
      <c r="MMM33" s="28"/>
      <c r="MMN33" s="28"/>
      <c r="MMO33" s="28"/>
      <c r="MMP33" s="28"/>
      <c r="MMQ33" s="28"/>
      <c r="MMR33" s="28"/>
      <c r="MMS33" s="28"/>
      <c r="MMT33" s="28"/>
      <c r="MMU33" s="28"/>
      <c r="MMV33" s="28"/>
      <c r="MMW33" s="28"/>
      <c r="MMX33" s="28"/>
      <c r="MMY33" s="28"/>
      <c r="MMZ33" s="28"/>
      <c r="MNA33" s="28"/>
      <c r="MNB33" s="28"/>
      <c r="MNC33" s="28"/>
      <c r="MND33" s="28"/>
      <c r="MNE33" s="28"/>
      <c r="MNF33" s="28"/>
      <c r="MNG33" s="28"/>
      <c r="MNH33" s="28"/>
      <c r="MNI33" s="28"/>
      <c r="MNJ33" s="28"/>
      <c r="MNK33" s="28"/>
      <c r="MNL33" s="28"/>
      <c r="MNM33" s="28"/>
      <c r="MNN33" s="28"/>
      <c r="MNO33" s="28"/>
      <c r="MNP33" s="28"/>
      <c r="MNQ33" s="28"/>
      <c r="MNR33" s="28"/>
      <c r="MNS33" s="28"/>
      <c r="MNT33" s="28"/>
      <c r="MNU33" s="28"/>
      <c r="MNV33" s="28"/>
      <c r="MNW33" s="28"/>
      <c r="MNX33" s="28"/>
      <c r="MNY33" s="28"/>
      <c r="MNZ33" s="28"/>
      <c r="MOA33" s="28"/>
      <c r="MOB33" s="28"/>
      <c r="MOC33" s="28"/>
      <c r="MOD33" s="28"/>
      <c r="MOE33" s="28"/>
      <c r="MOF33" s="28"/>
      <c r="MOG33" s="28"/>
      <c r="MOH33" s="28"/>
      <c r="MOI33" s="28"/>
      <c r="MOJ33" s="28"/>
      <c r="MOK33" s="28"/>
      <c r="MOL33" s="28"/>
      <c r="MOM33" s="28"/>
      <c r="MON33" s="28"/>
      <c r="MOO33" s="28"/>
      <c r="MOP33" s="28"/>
      <c r="MOQ33" s="28"/>
      <c r="MOR33" s="28"/>
      <c r="MOS33" s="28"/>
      <c r="MOT33" s="28"/>
      <c r="MOU33" s="28"/>
      <c r="MOV33" s="28"/>
      <c r="MOW33" s="28"/>
      <c r="MOX33" s="28"/>
      <c r="MOY33" s="28"/>
      <c r="MOZ33" s="28"/>
      <c r="MPA33" s="28"/>
      <c r="MPB33" s="28"/>
      <c r="MPC33" s="28"/>
      <c r="MPD33" s="28"/>
      <c r="MPE33" s="28"/>
      <c r="MPF33" s="28"/>
      <c r="MPG33" s="28"/>
      <c r="MPH33" s="28"/>
      <c r="MPI33" s="28"/>
      <c r="MPJ33" s="28"/>
      <c r="MPK33" s="28"/>
      <c r="MPL33" s="28"/>
      <c r="MPM33" s="28"/>
      <c r="MPN33" s="28"/>
      <c r="MPO33" s="28"/>
      <c r="MPP33" s="28"/>
      <c r="MPQ33" s="28"/>
      <c r="MPR33" s="28"/>
      <c r="MPS33" s="28"/>
      <c r="MPT33" s="28"/>
      <c r="MPU33" s="28"/>
      <c r="MPV33" s="28"/>
      <c r="MPW33" s="28"/>
      <c r="MPX33" s="28"/>
      <c r="MPY33" s="28"/>
      <c r="MPZ33" s="28"/>
      <c r="MQA33" s="28"/>
      <c r="MQB33" s="28"/>
      <c r="MQC33" s="28"/>
      <c r="MQD33" s="28"/>
      <c r="MQE33" s="28"/>
      <c r="MQF33" s="28"/>
      <c r="MQG33" s="28"/>
      <c r="MQH33" s="28"/>
      <c r="MQI33" s="28"/>
      <c r="MQJ33" s="28"/>
      <c r="MQK33" s="28"/>
      <c r="MQL33" s="28"/>
      <c r="MQM33" s="28"/>
      <c r="MQN33" s="28"/>
      <c r="MQO33" s="28"/>
      <c r="MQP33" s="28"/>
      <c r="MQQ33" s="28"/>
      <c r="MQR33" s="28"/>
      <c r="MQS33" s="28"/>
      <c r="MQT33" s="28"/>
      <c r="MQU33" s="28"/>
      <c r="MQV33" s="28"/>
      <c r="MQW33" s="28"/>
      <c r="MQX33" s="28"/>
      <c r="MQY33" s="28"/>
      <c r="MQZ33" s="28"/>
      <c r="MRA33" s="28"/>
      <c r="MRB33" s="28"/>
      <c r="MRC33" s="28"/>
      <c r="MRD33" s="28"/>
      <c r="MRE33" s="28"/>
      <c r="MRF33" s="28"/>
      <c r="MRG33" s="28"/>
      <c r="MRH33" s="28"/>
      <c r="MRI33" s="28"/>
      <c r="MRJ33" s="28"/>
      <c r="MRK33" s="28"/>
      <c r="MRL33" s="28"/>
      <c r="MRM33" s="28"/>
      <c r="MRN33" s="28"/>
      <c r="MRO33" s="28"/>
      <c r="MRP33" s="28"/>
      <c r="MRQ33" s="28"/>
      <c r="MRR33" s="28"/>
      <c r="MRS33" s="28"/>
      <c r="MRT33" s="28"/>
      <c r="MRU33" s="28"/>
      <c r="MRV33" s="28"/>
      <c r="MRW33" s="28"/>
      <c r="MRX33" s="28"/>
      <c r="MRY33" s="28"/>
      <c r="MRZ33" s="28"/>
      <c r="MSA33" s="28"/>
      <c r="MSB33" s="28"/>
      <c r="MSC33" s="28"/>
      <c r="MSD33" s="28"/>
      <c r="MSE33" s="28"/>
      <c r="MSF33" s="28"/>
      <c r="MSG33" s="28"/>
      <c r="MSH33" s="28"/>
      <c r="MSI33" s="28"/>
      <c r="MSJ33" s="28"/>
      <c r="MSK33" s="28"/>
      <c r="MSL33" s="28"/>
      <c r="MSM33" s="28"/>
      <c r="MSN33" s="28"/>
      <c r="MSO33" s="28"/>
      <c r="MSP33" s="28"/>
      <c r="MSQ33" s="28"/>
      <c r="MSR33" s="28"/>
      <c r="MSS33" s="28"/>
      <c r="MST33" s="28"/>
      <c r="MSU33" s="28"/>
      <c r="MSV33" s="28"/>
      <c r="MSW33" s="28"/>
      <c r="MSX33" s="28"/>
      <c r="MSY33" s="28"/>
      <c r="MSZ33" s="28"/>
      <c r="MTA33" s="28"/>
      <c r="MTB33" s="28"/>
      <c r="MTC33" s="28"/>
      <c r="MTD33" s="28"/>
      <c r="MTE33" s="28"/>
      <c r="MTF33" s="28"/>
      <c r="MTG33" s="28"/>
      <c r="MTH33" s="28"/>
      <c r="MTI33" s="28"/>
      <c r="MTJ33" s="28"/>
      <c r="MTK33" s="28"/>
      <c r="MTL33" s="28"/>
      <c r="MTM33" s="28"/>
      <c r="MTN33" s="28"/>
      <c r="MTO33" s="28"/>
      <c r="MTP33" s="28"/>
      <c r="MTQ33" s="28"/>
      <c r="MTR33" s="28"/>
      <c r="MTS33" s="28"/>
      <c r="MTT33" s="28"/>
      <c r="MTU33" s="28"/>
      <c r="MTV33" s="28"/>
      <c r="MTW33" s="28"/>
      <c r="MTX33" s="28"/>
      <c r="MTY33" s="28"/>
      <c r="MTZ33" s="28"/>
      <c r="MUA33" s="28"/>
      <c r="MUB33" s="28"/>
      <c r="MUC33" s="28"/>
      <c r="MUD33" s="28"/>
      <c r="MUE33" s="28"/>
      <c r="MUF33" s="28"/>
      <c r="MUG33" s="28"/>
      <c r="MUH33" s="28"/>
      <c r="MUI33" s="28"/>
      <c r="MUJ33" s="28"/>
      <c r="MUK33" s="28"/>
      <c r="MUL33" s="28"/>
      <c r="MUM33" s="28"/>
      <c r="MUN33" s="28"/>
      <c r="MUO33" s="28"/>
      <c r="MUP33" s="28"/>
      <c r="MUQ33" s="28"/>
      <c r="MUR33" s="28"/>
      <c r="MUS33" s="28"/>
      <c r="MUT33" s="28"/>
      <c r="MUU33" s="28"/>
      <c r="MUV33" s="28"/>
      <c r="MUW33" s="28"/>
      <c r="MUX33" s="28"/>
      <c r="MUY33" s="28"/>
      <c r="MUZ33" s="28"/>
      <c r="MVA33" s="28"/>
      <c r="MVB33" s="28"/>
      <c r="MVC33" s="28"/>
      <c r="MVD33" s="28"/>
      <c r="MVE33" s="28"/>
      <c r="MVF33" s="28"/>
      <c r="MVG33" s="28"/>
      <c r="MVH33" s="28"/>
      <c r="MVI33" s="28"/>
      <c r="MVJ33" s="28"/>
      <c r="MVK33" s="28"/>
      <c r="MVL33" s="28"/>
      <c r="MVM33" s="28"/>
      <c r="MVN33" s="28"/>
      <c r="MVO33" s="28"/>
      <c r="MVP33" s="28"/>
      <c r="MVQ33" s="28"/>
      <c r="MVR33" s="28"/>
      <c r="MVS33" s="28"/>
      <c r="MVT33" s="28"/>
      <c r="MVU33" s="28"/>
      <c r="MVV33" s="28"/>
      <c r="MVW33" s="28"/>
      <c r="MVX33" s="28"/>
      <c r="MVY33" s="28"/>
      <c r="MVZ33" s="28"/>
      <c r="MWA33" s="28"/>
      <c r="MWB33" s="28"/>
      <c r="MWC33" s="28"/>
      <c r="MWD33" s="28"/>
      <c r="MWE33" s="28"/>
      <c r="MWF33" s="28"/>
      <c r="MWG33" s="28"/>
      <c r="MWH33" s="28"/>
      <c r="MWI33" s="28"/>
      <c r="MWJ33" s="28"/>
      <c r="MWK33" s="28"/>
      <c r="MWL33" s="28"/>
      <c r="MWM33" s="28"/>
      <c r="MWN33" s="28"/>
      <c r="MWO33" s="28"/>
      <c r="MWP33" s="28"/>
      <c r="MWQ33" s="28"/>
      <c r="MWR33" s="28"/>
      <c r="MWS33" s="28"/>
      <c r="MWT33" s="28"/>
      <c r="MWU33" s="28"/>
      <c r="MWV33" s="28"/>
      <c r="MWW33" s="28"/>
      <c r="MWX33" s="28"/>
      <c r="MWY33" s="28"/>
      <c r="MWZ33" s="28"/>
      <c r="MXA33" s="28"/>
      <c r="MXB33" s="28"/>
      <c r="MXC33" s="28"/>
      <c r="MXD33" s="28"/>
      <c r="MXE33" s="28"/>
      <c r="MXF33" s="28"/>
      <c r="MXG33" s="28"/>
      <c r="MXH33" s="28"/>
      <c r="MXI33" s="28"/>
      <c r="MXJ33" s="28"/>
      <c r="MXK33" s="28"/>
      <c r="MXL33" s="28"/>
      <c r="MXM33" s="28"/>
      <c r="MXN33" s="28"/>
      <c r="MXO33" s="28"/>
      <c r="MXP33" s="28"/>
      <c r="MXQ33" s="28"/>
      <c r="MXR33" s="28"/>
      <c r="MXS33" s="28"/>
      <c r="MXT33" s="28"/>
      <c r="MXU33" s="28"/>
      <c r="MXV33" s="28"/>
      <c r="MXW33" s="28"/>
      <c r="MXX33" s="28"/>
      <c r="MXY33" s="28"/>
      <c r="MXZ33" s="28"/>
      <c r="MYA33" s="28"/>
      <c r="MYB33" s="28"/>
      <c r="MYC33" s="28"/>
      <c r="MYD33" s="28"/>
      <c r="MYE33" s="28"/>
      <c r="MYF33" s="28"/>
      <c r="MYG33" s="28"/>
      <c r="MYH33" s="28"/>
      <c r="MYI33" s="28"/>
      <c r="MYJ33" s="28"/>
      <c r="MYK33" s="28"/>
      <c r="MYL33" s="28"/>
      <c r="MYM33" s="28"/>
      <c r="MYN33" s="28"/>
      <c r="MYO33" s="28"/>
      <c r="MYP33" s="28"/>
      <c r="MYQ33" s="28"/>
      <c r="MYR33" s="28"/>
      <c r="MYS33" s="28"/>
      <c r="MYT33" s="28"/>
      <c r="MYU33" s="28"/>
      <c r="MYV33" s="28"/>
      <c r="MYW33" s="28"/>
      <c r="MYX33" s="28"/>
      <c r="MYY33" s="28"/>
      <c r="MYZ33" s="28"/>
      <c r="MZA33" s="28"/>
      <c r="MZB33" s="28"/>
      <c r="MZC33" s="28"/>
      <c r="MZD33" s="28"/>
      <c r="MZE33" s="28"/>
      <c r="MZF33" s="28"/>
      <c r="MZG33" s="28"/>
      <c r="MZH33" s="28"/>
      <c r="MZI33" s="28"/>
      <c r="MZJ33" s="28"/>
      <c r="MZK33" s="28"/>
      <c r="MZL33" s="28"/>
      <c r="MZM33" s="28"/>
      <c r="MZN33" s="28"/>
      <c r="MZO33" s="28"/>
      <c r="MZP33" s="28"/>
      <c r="MZQ33" s="28"/>
      <c r="MZR33" s="28"/>
      <c r="MZS33" s="28"/>
      <c r="MZT33" s="28"/>
      <c r="MZU33" s="28"/>
      <c r="MZV33" s="28"/>
      <c r="MZW33" s="28"/>
      <c r="MZX33" s="28"/>
      <c r="MZY33" s="28"/>
      <c r="MZZ33" s="28"/>
      <c r="NAA33" s="28"/>
      <c r="NAB33" s="28"/>
      <c r="NAC33" s="28"/>
      <c r="NAD33" s="28"/>
      <c r="NAE33" s="28"/>
      <c r="NAF33" s="28"/>
      <c r="NAG33" s="28"/>
      <c r="NAH33" s="28"/>
      <c r="NAI33" s="28"/>
      <c r="NAJ33" s="28"/>
      <c r="NAK33" s="28"/>
      <c r="NAL33" s="28"/>
      <c r="NAM33" s="28"/>
      <c r="NAN33" s="28"/>
      <c r="NAO33" s="28"/>
      <c r="NAP33" s="28"/>
      <c r="NAQ33" s="28"/>
      <c r="NAR33" s="28"/>
      <c r="NAS33" s="28"/>
      <c r="NAT33" s="28"/>
      <c r="NAU33" s="28"/>
      <c r="NAV33" s="28"/>
      <c r="NAW33" s="28"/>
      <c r="NAX33" s="28"/>
      <c r="NAY33" s="28"/>
      <c r="NAZ33" s="28"/>
      <c r="NBA33" s="28"/>
      <c r="NBB33" s="28"/>
      <c r="NBC33" s="28"/>
      <c r="NBD33" s="28"/>
      <c r="NBE33" s="28"/>
      <c r="NBF33" s="28"/>
      <c r="NBG33" s="28"/>
      <c r="NBH33" s="28"/>
      <c r="NBI33" s="28"/>
      <c r="NBJ33" s="28"/>
      <c r="NBK33" s="28"/>
      <c r="NBL33" s="28"/>
      <c r="NBM33" s="28"/>
      <c r="NBN33" s="28"/>
      <c r="NBO33" s="28"/>
      <c r="NBP33" s="28"/>
      <c r="NBQ33" s="28"/>
      <c r="NBR33" s="28"/>
      <c r="NBS33" s="28"/>
      <c r="NBT33" s="28"/>
      <c r="NBU33" s="28"/>
      <c r="NBV33" s="28"/>
      <c r="NBW33" s="28"/>
      <c r="NBX33" s="28"/>
      <c r="NBY33" s="28"/>
      <c r="NBZ33" s="28"/>
      <c r="NCA33" s="28"/>
      <c r="NCB33" s="28"/>
      <c r="NCC33" s="28"/>
      <c r="NCD33" s="28"/>
      <c r="NCE33" s="28"/>
      <c r="NCF33" s="28"/>
      <c r="NCG33" s="28"/>
      <c r="NCH33" s="28"/>
      <c r="NCI33" s="28"/>
      <c r="NCJ33" s="28"/>
      <c r="NCK33" s="28"/>
      <c r="NCL33" s="28"/>
      <c r="NCM33" s="28"/>
      <c r="NCN33" s="28"/>
      <c r="NCO33" s="28"/>
      <c r="NCP33" s="28"/>
      <c r="NCQ33" s="28"/>
      <c r="NCR33" s="28"/>
      <c r="NCS33" s="28"/>
      <c r="NCT33" s="28"/>
      <c r="NCU33" s="28"/>
      <c r="NCV33" s="28"/>
      <c r="NCW33" s="28"/>
      <c r="NCX33" s="28"/>
      <c r="NCY33" s="28"/>
      <c r="NCZ33" s="28"/>
      <c r="NDA33" s="28"/>
      <c r="NDB33" s="28"/>
      <c r="NDC33" s="28"/>
      <c r="NDD33" s="28"/>
      <c r="NDE33" s="28"/>
      <c r="NDF33" s="28"/>
      <c r="NDG33" s="28"/>
      <c r="NDH33" s="28"/>
      <c r="NDI33" s="28"/>
      <c r="NDJ33" s="28"/>
      <c r="NDK33" s="28"/>
      <c r="NDL33" s="28"/>
      <c r="NDM33" s="28"/>
      <c r="NDN33" s="28"/>
      <c r="NDO33" s="28"/>
      <c r="NDP33" s="28"/>
      <c r="NDQ33" s="28"/>
      <c r="NDR33" s="28"/>
      <c r="NDS33" s="28"/>
      <c r="NDT33" s="28"/>
      <c r="NDU33" s="28"/>
      <c r="NDV33" s="28"/>
      <c r="NDW33" s="28"/>
      <c r="NDX33" s="28"/>
      <c r="NDY33" s="28"/>
      <c r="NDZ33" s="28"/>
      <c r="NEA33" s="28"/>
      <c r="NEB33" s="28"/>
      <c r="NEC33" s="28"/>
      <c r="NED33" s="28"/>
      <c r="NEE33" s="28"/>
      <c r="NEF33" s="28"/>
      <c r="NEG33" s="28"/>
      <c r="NEH33" s="28"/>
      <c r="NEI33" s="28"/>
      <c r="NEJ33" s="28"/>
      <c r="NEK33" s="28"/>
      <c r="NEL33" s="28"/>
      <c r="NEM33" s="28"/>
      <c r="NEN33" s="28"/>
      <c r="NEO33" s="28"/>
      <c r="NEP33" s="28"/>
      <c r="NEQ33" s="28"/>
      <c r="NER33" s="28"/>
      <c r="NES33" s="28"/>
      <c r="NET33" s="28"/>
      <c r="NEU33" s="28"/>
      <c r="NEV33" s="28"/>
      <c r="NEW33" s="28"/>
      <c r="NEX33" s="28"/>
      <c r="NEY33" s="28"/>
      <c r="NEZ33" s="28"/>
      <c r="NFA33" s="28"/>
      <c r="NFB33" s="28"/>
      <c r="NFC33" s="28"/>
      <c r="NFD33" s="28"/>
      <c r="NFE33" s="28"/>
      <c r="NFF33" s="28"/>
      <c r="NFG33" s="28"/>
      <c r="NFH33" s="28"/>
      <c r="NFI33" s="28"/>
      <c r="NFJ33" s="28"/>
      <c r="NFK33" s="28"/>
      <c r="NFL33" s="28"/>
      <c r="NFM33" s="28"/>
      <c r="NFN33" s="28"/>
      <c r="NFO33" s="28"/>
      <c r="NFP33" s="28"/>
      <c r="NFQ33" s="28"/>
      <c r="NFR33" s="28"/>
      <c r="NFS33" s="28"/>
      <c r="NFT33" s="28"/>
      <c r="NFU33" s="28"/>
      <c r="NFV33" s="28"/>
      <c r="NFW33" s="28"/>
      <c r="NFX33" s="28"/>
      <c r="NFY33" s="28"/>
      <c r="NFZ33" s="28"/>
      <c r="NGA33" s="28"/>
      <c r="NGB33" s="28"/>
      <c r="NGC33" s="28"/>
      <c r="NGD33" s="28"/>
      <c r="NGE33" s="28"/>
      <c r="NGF33" s="28"/>
      <c r="NGG33" s="28"/>
      <c r="NGH33" s="28"/>
      <c r="NGI33" s="28"/>
      <c r="NGJ33" s="28"/>
      <c r="NGK33" s="28"/>
      <c r="NGL33" s="28"/>
      <c r="NGM33" s="28"/>
      <c r="NGN33" s="28"/>
      <c r="NGO33" s="28"/>
      <c r="NGP33" s="28"/>
      <c r="NGQ33" s="28"/>
      <c r="NGR33" s="28"/>
      <c r="NGS33" s="28"/>
      <c r="NGT33" s="28"/>
      <c r="NGU33" s="28"/>
      <c r="NGV33" s="28"/>
      <c r="NGW33" s="28"/>
      <c r="NGX33" s="28"/>
      <c r="NGY33" s="28"/>
      <c r="NGZ33" s="28"/>
      <c r="NHA33" s="28"/>
      <c r="NHB33" s="28"/>
      <c r="NHC33" s="28"/>
      <c r="NHD33" s="28"/>
      <c r="NHE33" s="28"/>
      <c r="NHF33" s="28"/>
      <c r="NHG33" s="28"/>
      <c r="NHH33" s="28"/>
      <c r="NHI33" s="28"/>
      <c r="NHJ33" s="28"/>
      <c r="NHK33" s="28"/>
      <c r="NHL33" s="28"/>
      <c r="NHM33" s="28"/>
      <c r="NHN33" s="28"/>
      <c r="NHO33" s="28"/>
      <c r="NHP33" s="28"/>
      <c r="NHQ33" s="28"/>
      <c r="NHR33" s="28"/>
      <c r="NHS33" s="28"/>
      <c r="NHT33" s="28"/>
      <c r="NHU33" s="28"/>
      <c r="NHV33" s="28"/>
      <c r="NHW33" s="28"/>
      <c r="NHX33" s="28"/>
      <c r="NHY33" s="28"/>
      <c r="NHZ33" s="28"/>
      <c r="NIA33" s="28"/>
      <c r="NIB33" s="28"/>
      <c r="NIC33" s="28"/>
      <c r="NID33" s="28"/>
      <c r="NIE33" s="28"/>
      <c r="NIF33" s="28"/>
      <c r="NIG33" s="28"/>
      <c r="NIH33" s="28"/>
      <c r="NII33" s="28"/>
      <c r="NIJ33" s="28"/>
      <c r="NIK33" s="28"/>
      <c r="NIL33" s="28"/>
      <c r="NIM33" s="28"/>
      <c r="NIN33" s="28"/>
      <c r="NIO33" s="28"/>
      <c r="NIP33" s="28"/>
      <c r="NIQ33" s="28"/>
      <c r="NIR33" s="28"/>
      <c r="NIS33" s="28"/>
      <c r="NIT33" s="28"/>
      <c r="NIU33" s="28"/>
      <c r="NIV33" s="28"/>
      <c r="NIW33" s="28"/>
      <c r="NIX33" s="28"/>
      <c r="NIY33" s="28"/>
      <c r="NIZ33" s="28"/>
      <c r="NJA33" s="28"/>
      <c r="NJB33" s="28"/>
      <c r="NJC33" s="28"/>
      <c r="NJD33" s="28"/>
      <c r="NJE33" s="28"/>
      <c r="NJF33" s="28"/>
      <c r="NJG33" s="28"/>
      <c r="NJH33" s="28"/>
      <c r="NJI33" s="28"/>
      <c r="NJJ33" s="28"/>
      <c r="NJK33" s="28"/>
      <c r="NJL33" s="28"/>
      <c r="NJM33" s="28"/>
      <c r="NJN33" s="28"/>
      <c r="NJO33" s="28"/>
      <c r="NJP33" s="28"/>
      <c r="NJQ33" s="28"/>
      <c r="NJR33" s="28"/>
      <c r="NJS33" s="28"/>
      <c r="NJT33" s="28"/>
      <c r="NJU33" s="28"/>
      <c r="NJV33" s="28"/>
      <c r="NJW33" s="28"/>
      <c r="NJX33" s="28"/>
      <c r="NJY33" s="28"/>
      <c r="NJZ33" s="28"/>
      <c r="NKA33" s="28"/>
      <c r="NKB33" s="28"/>
      <c r="NKC33" s="28"/>
      <c r="NKD33" s="28"/>
      <c r="NKE33" s="28"/>
      <c r="NKF33" s="28"/>
      <c r="NKG33" s="28"/>
      <c r="NKH33" s="28"/>
      <c r="NKI33" s="28"/>
      <c r="NKJ33" s="28"/>
      <c r="NKK33" s="28"/>
      <c r="NKL33" s="28"/>
      <c r="NKM33" s="28"/>
      <c r="NKN33" s="28"/>
      <c r="NKO33" s="28"/>
      <c r="NKP33" s="28"/>
      <c r="NKQ33" s="28"/>
      <c r="NKR33" s="28"/>
      <c r="NKS33" s="28"/>
      <c r="NKT33" s="28"/>
      <c r="NKU33" s="28"/>
      <c r="NKV33" s="28"/>
      <c r="NKW33" s="28"/>
      <c r="NKX33" s="28"/>
      <c r="NKY33" s="28"/>
      <c r="NKZ33" s="28"/>
      <c r="NLA33" s="28"/>
      <c r="NLB33" s="28"/>
      <c r="NLC33" s="28"/>
      <c r="NLD33" s="28"/>
      <c r="NLE33" s="28"/>
      <c r="NLF33" s="28"/>
      <c r="NLG33" s="28"/>
      <c r="NLH33" s="28"/>
      <c r="NLI33" s="28"/>
      <c r="NLJ33" s="28"/>
      <c r="NLK33" s="28"/>
      <c r="NLL33" s="28"/>
      <c r="NLM33" s="28"/>
      <c r="NLN33" s="28"/>
      <c r="NLO33" s="28"/>
      <c r="NLP33" s="28"/>
      <c r="NLQ33" s="28"/>
      <c r="NLR33" s="28"/>
      <c r="NLS33" s="28"/>
      <c r="NLT33" s="28"/>
      <c r="NLU33" s="28"/>
      <c r="NLV33" s="28"/>
      <c r="NLW33" s="28"/>
      <c r="NLX33" s="28"/>
      <c r="NLY33" s="28"/>
      <c r="NLZ33" s="28"/>
      <c r="NMA33" s="28"/>
      <c r="NMB33" s="28"/>
      <c r="NMC33" s="28"/>
      <c r="NMD33" s="28"/>
      <c r="NME33" s="28"/>
      <c r="NMF33" s="28"/>
      <c r="NMG33" s="28"/>
      <c r="NMH33" s="28"/>
      <c r="NMI33" s="28"/>
      <c r="NMJ33" s="28"/>
      <c r="NMK33" s="28"/>
      <c r="NML33" s="28"/>
      <c r="NMM33" s="28"/>
      <c r="NMN33" s="28"/>
      <c r="NMO33" s="28"/>
      <c r="NMP33" s="28"/>
      <c r="NMQ33" s="28"/>
      <c r="NMR33" s="28"/>
      <c r="NMS33" s="28"/>
      <c r="NMT33" s="28"/>
      <c r="NMU33" s="28"/>
      <c r="NMV33" s="28"/>
      <c r="NMW33" s="28"/>
      <c r="NMX33" s="28"/>
      <c r="NMY33" s="28"/>
      <c r="NMZ33" s="28"/>
      <c r="NNA33" s="28"/>
      <c r="NNB33" s="28"/>
      <c r="NNC33" s="28"/>
      <c r="NND33" s="28"/>
      <c r="NNE33" s="28"/>
      <c r="NNF33" s="28"/>
      <c r="NNG33" s="28"/>
      <c r="NNH33" s="28"/>
      <c r="NNI33" s="28"/>
      <c r="NNJ33" s="28"/>
      <c r="NNK33" s="28"/>
      <c r="NNL33" s="28"/>
      <c r="NNM33" s="28"/>
      <c r="NNN33" s="28"/>
      <c r="NNO33" s="28"/>
      <c r="NNP33" s="28"/>
      <c r="NNQ33" s="28"/>
      <c r="NNR33" s="28"/>
      <c r="NNS33" s="28"/>
      <c r="NNT33" s="28"/>
      <c r="NNU33" s="28"/>
      <c r="NNV33" s="28"/>
      <c r="NNW33" s="28"/>
      <c r="NNX33" s="28"/>
      <c r="NNY33" s="28"/>
      <c r="NNZ33" s="28"/>
      <c r="NOA33" s="28"/>
      <c r="NOB33" s="28"/>
      <c r="NOC33" s="28"/>
      <c r="NOD33" s="28"/>
      <c r="NOE33" s="28"/>
      <c r="NOF33" s="28"/>
      <c r="NOG33" s="28"/>
      <c r="NOH33" s="28"/>
      <c r="NOI33" s="28"/>
      <c r="NOJ33" s="28"/>
      <c r="NOK33" s="28"/>
      <c r="NOL33" s="28"/>
      <c r="NOM33" s="28"/>
      <c r="NON33" s="28"/>
      <c r="NOO33" s="28"/>
      <c r="NOP33" s="28"/>
      <c r="NOQ33" s="28"/>
      <c r="NOR33" s="28"/>
      <c r="NOS33" s="28"/>
      <c r="NOT33" s="28"/>
      <c r="NOU33" s="28"/>
      <c r="NOV33" s="28"/>
      <c r="NOW33" s="28"/>
      <c r="NOX33" s="28"/>
      <c r="NOY33" s="28"/>
      <c r="NOZ33" s="28"/>
      <c r="NPA33" s="28"/>
      <c r="NPB33" s="28"/>
      <c r="NPC33" s="28"/>
      <c r="NPD33" s="28"/>
      <c r="NPE33" s="28"/>
      <c r="NPF33" s="28"/>
      <c r="NPG33" s="28"/>
      <c r="NPH33" s="28"/>
      <c r="NPI33" s="28"/>
      <c r="NPJ33" s="28"/>
      <c r="NPK33" s="28"/>
      <c r="NPL33" s="28"/>
      <c r="NPM33" s="28"/>
      <c r="NPN33" s="28"/>
      <c r="NPO33" s="28"/>
      <c r="NPP33" s="28"/>
      <c r="NPQ33" s="28"/>
      <c r="NPR33" s="28"/>
      <c r="NPS33" s="28"/>
      <c r="NPT33" s="28"/>
      <c r="NPU33" s="28"/>
      <c r="NPV33" s="28"/>
      <c r="NPW33" s="28"/>
      <c r="NPX33" s="28"/>
      <c r="NPY33" s="28"/>
      <c r="NPZ33" s="28"/>
      <c r="NQA33" s="28"/>
      <c r="NQB33" s="28"/>
      <c r="NQC33" s="28"/>
      <c r="NQD33" s="28"/>
      <c r="NQE33" s="28"/>
      <c r="NQF33" s="28"/>
      <c r="NQG33" s="28"/>
      <c r="NQH33" s="28"/>
      <c r="NQI33" s="28"/>
      <c r="NQJ33" s="28"/>
      <c r="NQK33" s="28"/>
      <c r="NQL33" s="28"/>
      <c r="NQM33" s="28"/>
      <c r="NQN33" s="28"/>
      <c r="NQO33" s="28"/>
      <c r="NQP33" s="28"/>
      <c r="NQQ33" s="28"/>
      <c r="NQR33" s="28"/>
      <c r="NQS33" s="28"/>
      <c r="NQT33" s="28"/>
      <c r="NQU33" s="28"/>
      <c r="NQV33" s="28"/>
      <c r="NQW33" s="28"/>
      <c r="NQX33" s="28"/>
      <c r="NQY33" s="28"/>
      <c r="NQZ33" s="28"/>
      <c r="NRA33" s="28"/>
      <c r="NRB33" s="28"/>
      <c r="NRC33" s="28"/>
      <c r="NRD33" s="28"/>
      <c r="NRE33" s="28"/>
      <c r="NRF33" s="28"/>
      <c r="NRG33" s="28"/>
      <c r="NRH33" s="28"/>
      <c r="NRI33" s="28"/>
      <c r="NRJ33" s="28"/>
      <c r="NRK33" s="28"/>
      <c r="NRL33" s="28"/>
      <c r="NRM33" s="28"/>
      <c r="NRN33" s="28"/>
      <c r="NRO33" s="28"/>
      <c r="NRP33" s="28"/>
      <c r="NRQ33" s="28"/>
      <c r="NRR33" s="28"/>
      <c r="NRS33" s="28"/>
      <c r="NRT33" s="28"/>
      <c r="NRU33" s="28"/>
      <c r="NRV33" s="28"/>
      <c r="NRW33" s="28"/>
      <c r="NRX33" s="28"/>
      <c r="NRY33" s="28"/>
      <c r="NRZ33" s="28"/>
      <c r="NSA33" s="28"/>
      <c r="NSB33" s="28"/>
      <c r="NSC33" s="28"/>
      <c r="NSD33" s="28"/>
      <c r="NSE33" s="28"/>
      <c r="NSF33" s="28"/>
      <c r="NSG33" s="28"/>
      <c r="NSH33" s="28"/>
      <c r="NSI33" s="28"/>
      <c r="NSJ33" s="28"/>
      <c r="NSK33" s="28"/>
      <c r="NSL33" s="28"/>
      <c r="NSM33" s="28"/>
      <c r="NSN33" s="28"/>
      <c r="NSO33" s="28"/>
      <c r="NSP33" s="28"/>
      <c r="NSQ33" s="28"/>
      <c r="NSR33" s="28"/>
      <c r="NSS33" s="28"/>
      <c r="NST33" s="28"/>
      <c r="NSU33" s="28"/>
      <c r="NSV33" s="28"/>
      <c r="NSW33" s="28"/>
      <c r="NSX33" s="28"/>
      <c r="NSY33" s="28"/>
      <c r="NSZ33" s="28"/>
      <c r="NTA33" s="28"/>
      <c r="NTB33" s="28"/>
      <c r="NTC33" s="28"/>
      <c r="NTD33" s="28"/>
      <c r="NTE33" s="28"/>
      <c r="NTF33" s="28"/>
      <c r="NTG33" s="28"/>
      <c r="NTH33" s="28"/>
      <c r="NTI33" s="28"/>
      <c r="NTJ33" s="28"/>
      <c r="NTK33" s="28"/>
      <c r="NTL33" s="28"/>
      <c r="NTM33" s="28"/>
      <c r="NTN33" s="28"/>
      <c r="NTO33" s="28"/>
      <c r="NTP33" s="28"/>
      <c r="NTQ33" s="28"/>
      <c r="NTR33" s="28"/>
      <c r="NTS33" s="28"/>
      <c r="NTT33" s="28"/>
      <c r="NTU33" s="28"/>
      <c r="NTV33" s="28"/>
      <c r="NTW33" s="28"/>
      <c r="NTX33" s="28"/>
      <c r="NTY33" s="28"/>
      <c r="NTZ33" s="28"/>
      <c r="NUA33" s="28"/>
      <c r="NUB33" s="28"/>
      <c r="NUC33" s="28"/>
      <c r="NUD33" s="28"/>
      <c r="NUE33" s="28"/>
      <c r="NUF33" s="28"/>
      <c r="NUG33" s="28"/>
      <c r="NUH33" s="28"/>
      <c r="NUI33" s="28"/>
      <c r="NUJ33" s="28"/>
      <c r="NUK33" s="28"/>
      <c r="NUL33" s="28"/>
      <c r="NUM33" s="28"/>
      <c r="NUN33" s="28"/>
      <c r="NUO33" s="28"/>
      <c r="NUP33" s="28"/>
      <c r="NUQ33" s="28"/>
      <c r="NUR33" s="28"/>
      <c r="NUS33" s="28"/>
      <c r="NUT33" s="28"/>
      <c r="NUU33" s="28"/>
      <c r="NUV33" s="28"/>
      <c r="NUW33" s="28"/>
      <c r="NUX33" s="28"/>
      <c r="NUY33" s="28"/>
      <c r="NUZ33" s="28"/>
      <c r="NVA33" s="28"/>
      <c r="NVB33" s="28"/>
      <c r="NVC33" s="28"/>
      <c r="NVD33" s="28"/>
      <c r="NVE33" s="28"/>
      <c r="NVF33" s="28"/>
      <c r="NVG33" s="28"/>
      <c r="NVH33" s="28"/>
      <c r="NVI33" s="28"/>
      <c r="NVJ33" s="28"/>
      <c r="NVK33" s="28"/>
      <c r="NVL33" s="28"/>
      <c r="NVM33" s="28"/>
      <c r="NVN33" s="28"/>
      <c r="NVO33" s="28"/>
      <c r="NVP33" s="28"/>
      <c r="NVQ33" s="28"/>
      <c r="NVR33" s="28"/>
      <c r="NVS33" s="28"/>
      <c r="NVT33" s="28"/>
      <c r="NVU33" s="28"/>
      <c r="NVV33" s="28"/>
      <c r="NVW33" s="28"/>
      <c r="NVX33" s="28"/>
      <c r="NVY33" s="28"/>
      <c r="NVZ33" s="28"/>
      <c r="NWA33" s="28"/>
      <c r="NWB33" s="28"/>
      <c r="NWC33" s="28"/>
      <c r="NWD33" s="28"/>
      <c r="NWE33" s="28"/>
      <c r="NWF33" s="28"/>
      <c r="NWG33" s="28"/>
      <c r="NWH33" s="28"/>
      <c r="NWI33" s="28"/>
      <c r="NWJ33" s="28"/>
      <c r="NWK33" s="28"/>
      <c r="NWL33" s="28"/>
      <c r="NWM33" s="28"/>
      <c r="NWN33" s="28"/>
      <c r="NWO33" s="28"/>
      <c r="NWP33" s="28"/>
      <c r="NWQ33" s="28"/>
      <c r="NWR33" s="28"/>
      <c r="NWS33" s="28"/>
      <c r="NWT33" s="28"/>
      <c r="NWU33" s="28"/>
      <c r="NWV33" s="28"/>
      <c r="NWW33" s="28"/>
      <c r="NWX33" s="28"/>
      <c r="NWY33" s="28"/>
      <c r="NWZ33" s="28"/>
      <c r="NXA33" s="28"/>
      <c r="NXB33" s="28"/>
      <c r="NXC33" s="28"/>
      <c r="NXD33" s="28"/>
      <c r="NXE33" s="28"/>
      <c r="NXF33" s="28"/>
      <c r="NXG33" s="28"/>
      <c r="NXH33" s="28"/>
      <c r="NXI33" s="28"/>
      <c r="NXJ33" s="28"/>
      <c r="NXK33" s="28"/>
      <c r="NXL33" s="28"/>
      <c r="NXM33" s="28"/>
      <c r="NXN33" s="28"/>
      <c r="NXO33" s="28"/>
      <c r="NXP33" s="28"/>
      <c r="NXQ33" s="28"/>
      <c r="NXR33" s="28"/>
      <c r="NXS33" s="28"/>
      <c r="NXT33" s="28"/>
      <c r="NXU33" s="28"/>
      <c r="NXV33" s="28"/>
      <c r="NXW33" s="28"/>
      <c r="NXX33" s="28"/>
      <c r="NXY33" s="28"/>
      <c r="NXZ33" s="28"/>
      <c r="NYA33" s="28"/>
      <c r="NYB33" s="28"/>
      <c r="NYC33" s="28"/>
      <c r="NYD33" s="28"/>
      <c r="NYE33" s="28"/>
      <c r="NYF33" s="28"/>
      <c r="NYG33" s="28"/>
      <c r="NYH33" s="28"/>
      <c r="NYI33" s="28"/>
      <c r="NYJ33" s="28"/>
      <c r="NYK33" s="28"/>
      <c r="NYL33" s="28"/>
      <c r="NYM33" s="28"/>
      <c r="NYN33" s="28"/>
      <c r="NYO33" s="28"/>
      <c r="NYP33" s="28"/>
      <c r="NYQ33" s="28"/>
      <c r="NYR33" s="28"/>
      <c r="NYS33" s="28"/>
      <c r="NYT33" s="28"/>
      <c r="NYU33" s="28"/>
      <c r="NYV33" s="28"/>
      <c r="NYW33" s="28"/>
      <c r="NYX33" s="28"/>
      <c r="NYY33" s="28"/>
      <c r="NYZ33" s="28"/>
      <c r="NZA33" s="28"/>
      <c r="NZB33" s="28"/>
      <c r="NZC33" s="28"/>
      <c r="NZD33" s="28"/>
      <c r="NZE33" s="28"/>
      <c r="NZF33" s="28"/>
      <c r="NZG33" s="28"/>
      <c r="NZH33" s="28"/>
      <c r="NZI33" s="28"/>
      <c r="NZJ33" s="28"/>
      <c r="NZK33" s="28"/>
      <c r="NZL33" s="28"/>
      <c r="NZM33" s="28"/>
      <c r="NZN33" s="28"/>
      <c r="NZO33" s="28"/>
      <c r="NZP33" s="28"/>
      <c r="NZQ33" s="28"/>
      <c r="NZR33" s="28"/>
      <c r="NZS33" s="28"/>
      <c r="NZT33" s="28"/>
      <c r="NZU33" s="28"/>
      <c r="NZV33" s="28"/>
      <c r="NZW33" s="28"/>
      <c r="NZX33" s="28"/>
      <c r="NZY33" s="28"/>
      <c r="NZZ33" s="28"/>
      <c r="OAA33" s="28"/>
      <c r="OAB33" s="28"/>
      <c r="OAC33" s="28"/>
      <c r="OAD33" s="28"/>
      <c r="OAE33" s="28"/>
      <c r="OAF33" s="28"/>
      <c r="OAG33" s="28"/>
      <c r="OAH33" s="28"/>
      <c r="OAI33" s="28"/>
      <c r="OAJ33" s="28"/>
      <c r="OAK33" s="28"/>
      <c r="OAL33" s="28"/>
      <c r="OAM33" s="28"/>
      <c r="OAN33" s="28"/>
      <c r="OAO33" s="28"/>
      <c r="OAP33" s="28"/>
      <c r="OAQ33" s="28"/>
      <c r="OAR33" s="28"/>
      <c r="OAS33" s="28"/>
      <c r="OAT33" s="28"/>
      <c r="OAU33" s="28"/>
      <c r="OAV33" s="28"/>
      <c r="OAW33" s="28"/>
      <c r="OAX33" s="28"/>
      <c r="OAY33" s="28"/>
      <c r="OAZ33" s="28"/>
      <c r="OBA33" s="28"/>
      <c r="OBB33" s="28"/>
      <c r="OBC33" s="28"/>
      <c r="OBD33" s="28"/>
      <c r="OBE33" s="28"/>
      <c r="OBF33" s="28"/>
      <c r="OBG33" s="28"/>
      <c r="OBH33" s="28"/>
      <c r="OBI33" s="28"/>
      <c r="OBJ33" s="28"/>
      <c r="OBK33" s="28"/>
      <c r="OBL33" s="28"/>
      <c r="OBM33" s="28"/>
      <c r="OBN33" s="28"/>
      <c r="OBO33" s="28"/>
      <c r="OBP33" s="28"/>
      <c r="OBQ33" s="28"/>
      <c r="OBR33" s="28"/>
      <c r="OBS33" s="28"/>
      <c r="OBT33" s="28"/>
      <c r="OBU33" s="28"/>
      <c r="OBV33" s="28"/>
      <c r="OBW33" s="28"/>
      <c r="OBX33" s="28"/>
      <c r="OBY33" s="28"/>
      <c r="OBZ33" s="28"/>
      <c r="OCA33" s="28"/>
      <c r="OCB33" s="28"/>
      <c r="OCC33" s="28"/>
      <c r="OCD33" s="28"/>
      <c r="OCE33" s="28"/>
      <c r="OCF33" s="28"/>
      <c r="OCG33" s="28"/>
      <c r="OCH33" s="28"/>
      <c r="OCI33" s="28"/>
      <c r="OCJ33" s="28"/>
      <c r="OCK33" s="28"/>
      <c r="OCL33" s="28"/>
      <c r="OCM33" s="28"/>
      <c r="OCN33" s="28"/>
      <c r="OCO33" s="28"/>
      <c r="OCP33" s="28"/>
      <c r="OCQ33" s="28"/>
      <c r="OCR33" s="28"/>
      <c r="OCS33" s="28"/>
      <c r="OCT33" s="28"/>
      <c r="OCU33" s="28"/>
      <c r="OCV33" s="28"/>
      <c r="OCW33" s="28"/>
      <c r="OCX33" s="28"/>
      <c r="OCY33" s="28"/>
      <c r="OCZ33" s="28"/>
      <c r="ODA33" s="28"/>
      <c r="ODB33" s="28"/>
      <c r="ODC33" s="28"/>
      <c r="ODD33" s="28"/>
      <c r="ODE33" s="28"/>
      <c r="ODF33" s="28"/>
      <c r="ODG33" s="28"/>
      <c r="ODH33" s="28"/>
      <c r="ODI33" s="28"/>
      <c r="ODJ33" s="28"/>
      <c r="ODK33" s="28"/>
      <c r="ODL33" s="28"/>
      <c r="ODM33" s="28"/>
      <c r="ODN33" s="28"/>
      <c r="ODO33" s="28"/>
      <c r="ODP33" s="28"/>
      <c r="ODQ33" s="28"/>
      <c r="ODR33" s="28"/>
      <c r="ODS33" s="28"/>
      <c r="ODT33" s="28"/>
      <c r="ODU33" s="28"/>
      <c r="ODV33" s="28"/>
      <c r="ODW33" s="28"/>
      <c r="ODX33" s="28"/>
      <c r="ODY33" s="28"/>
      <c r="ODZ33" s="28"/>
      <c r="OEA33" s="28"/>
      <c r="OEB33" s="28"/>
      <c r="OEC33" s="28"/>
      <c r="OED33" s="28"/>
      <c r="OEE33" s="28"/>
      <c r="OEF33" s="28"/>
      <c r="OEG33" s="28"/>
      <c r="OEH33" s="28"/>
      <c r="OEI33" s="28"/>
      <c r="OEJ33" s="28"/>
      <c r="OEK33" s="28"/>
      <c r="OEL33" s="28"/>
      <c r="OEM33" s="28"/>
      <c r="OEN33" s="28"/>
      <c r="OEO33" s="28"/>
      <c r="OEP33" s="28"/>
      <c r="OEQ33" s="28"/>
      <c r="OER33" s="28"/>
      <c r="OES33" s="28"/>
      <c r="OET33" s="28"/>
      <c r="OEU33" s="28"/>
      <c r="OEV33" s="28"/>
      <c r="OEW33" s="28"/>
      <c r="OEX33" s="28"/>
      <c r="OEY33" s="28"/>
      <c r="OEZ33" s="28"/>
      <c r="OFA33" s="28"/>
      <c r="OFB33" s="28"/>
      <c r="OFC33" s="28"/>
      <c r="OFD33" s="28"/>
      <c r="OFE33" s="28"/>
      <c r="OFF33" s="28"/>
      <c r="OFG33" s="28"/>
      <c r="OFH33" s="28"/>
      <c r="OFI33" s="28"/>
      <c r="OFJ33" s="28"/>
      <c r="OFK33" s="28"/>
      <c r="OFL33" s="28"/>
      <c r="OFM33" s="28"/>
      <c r="OFN33" s="28"/>
      <c r="OFO33" s="28"/>
      <c r="OFP33" s="28"/>
      <c r="OFQ33" s="28"/>
      <c r="OFR33" s="28"/>
      <c r="OFS33" s="28"/>
      <c r="OFT33" s="28"/>
      <c r="OFU33" s="28"/>
      <c r="OFV33" s="28"/>
      <c r="OFW33" s="28"/>
      <c r="OFX33" s="28"/>
      <c r="OFY33" s="28"/>
      <c r="OFZ33" s="28"/>
      <c r="OGA33" s="28"/>
      <c r="OGB33" s="28"/>
      <c r="OGC33" s="28"/>
      <c r="OGD33" s="28"/>
      <c r="OGE33" s="28"/>
      <c r="OGF33" s="28"/>
      <c r="OGG33" s="28"/>
      <c r="OGH33" s="28"/>
      <c r="OGI33" s="28"/>
      <c r="OGJ33" s="28"/>
      <c r="OGK33" s="28"/>
      <c r="OGL33" s="28"/>
      <c r="OGM33" s="28"/>
      <c r="OGN33" s="28"/>
      <c r="OGO33" s="28"/>
      <c r="OGP33" s="28"/>
      <c r="OGQ33" s="28"/>
      <c r="OGR33" s="28"/>
      <c r="OGS33" s="28"/>
      <c r="OGT33" s="28"/>
      <c r="OGU33" s="28"/>
      <c r="OGV33" s="28"/>
      <c r="OGW33" s="28"/>
      <c r="OGX33" s="28"/>
      <c r="OGY33" s="28"/>
      <c r="OGZ33" s="28"/>
      <c r="OHA33" s="28"/>
      <c r="OHB33" s="28"/>
      <c r="OHC33" s="28"/>
      <c r="OHD33" s="28"/>
      <c r="OHE33" s="28"/>
      <c r="OHF33" s="28"/>
      <c r="OHG33" s="28"/>
      <c r="OHH33" s="28"/>
      <c r="OHI33" s="28"/>
      <c r="OHJ33" s="28"/>
      <c r="OHK33" s="28"/>
      <c r="OHL33" s="28"/>
      <c r="OHM33" s="28"/>
      <c r="OHN33" s="28"/>
      <c r="OHO33" s="28"/>
      <c r="OHP33" s="28"/>
      <c r="OHQ33" s="28"/>
      <c r="OHR33" s="28"/>
      <c r="OHS33" s="28"/>
      <c r="OHT33" s="28"/>
      <c r="OHU33" s="28"/>
      <c r="OHV33" s="28"/>
      <c r="OHW33" s="28"/>
      <c r="OHX33" s="28"/>
      <c r="OHY33" s="28"/>
      <c r="OHZ33" s="28"/>
      <c r="OIA33" s="28"/>
      <c r="OIB33" s="28"/>
      <c r="OIC33" s="28"/>
      <c r="OID33" s="28"/>
      <c r="OIE33" s="28"/>
      <c r="OIF33" s="28"/>
      <c r="OIG33" s="28"/>
      <c r="OIH33" s="28"/>
      <c r="OII33" s="28"/>
      <c r="OIJ33" s="28"/>
      <c r="OIK33" s="28"/>
      <c r="OIL33" s="28"/>
      <c r="OIM33" s="28"/>
      <c r="OIN33" s="28"/>
      <c r="OIO33" s="28"/>
      <c r="OIP33" s="28"/>
      <c r="OIQ33" s="28"/>
      <c r="OIR33" s="28"/>
      <c r="OIS33" s="28"/>
      <c r="OIT33" s="28"/>
      <c r="OIU33" s="28"/>
      <c r="OIV33" s="28"/>
      <c r="OIW33" s="28"/>
      <c r="OIX33" s="28"/>
      <c r="OIY33" s="28"/>
      <c r="OIZ33" s="28"/>
      <c r="OJA33" s="28"/>
      <c r="OJB33" s="28"/>
      <c r="OJC33" s="28"/>
      <c r="OJD33" s="28"/>
      <c r="OJE33" s="28"/>
      <c r="OJF33" s="28"/>
      <c r="OJG33" s="28"/>
      <c r="OJH33" s="28"/>
      <c r="OJI33" s="28"/>
      <c r="OJJ33" s="28"/>
      <c r="OJK33" s="28"/>
      <c r="OJL33" s="28"/>
      <c r="OJM33" s="28"/>
      <c r="OJN33" s="28"/>
      <c r="OJO33" s="28"/>
      <c r="OJP33" s="28"/>
      <c r="OJQ33" s="28"/>
      <c r="OJR33" s="28"/>
      <c r="OJS33" s="28"/>
      <c r="OJT33" s="28"/>
      <c r="OJU33" s="28"/>
      <c r="OJV33" s="28"/>
      <c r="OJW33" s="28"/>
      <c r="OJX33" s="28"/>
      <c r="OJY33" s="28"/>
      <c r="OJZ33" s="28"/>
      <c r="OKA33" s="28"/>
      <c r="OKB33" s="28"/>
      <c r="OKC33" s="28"/>
      <c r="OKD33" s="28"/>
      <c r="OKE33" s="28"/>
      <c r="OKF33" s="28"/>
      <c r="OKG33" s="28"/>
      <c r="OKH33" s="28"/>
      <c r="OKI33" s="28"/>
      <c r="OKJ33" s="28"/>
      <c r="OKK33" s="28"/>
      <c r="OKL33" s="28"/>
      <c r="OKM33" s="28"/>
      <c r="OKN33" s="28"/>
      <c r="OKO33" s="28"/>
      <c r="OKP33" s="28"/>
      <c r="OKQ33" s="28"/>
      <c r="OKR33" s="28"/>
      <c r="OKS33" s="28"/>
      <c r="OKT33" s="28"/>
      <c r="OKU33" s="28"/>
      <c r="OKV33" s="28"/>
      <c r="OKW33" s="28"/>
      <c r="OKX33" s="28"/>
      <c r="OKY33" s="28"/>
      <c r="OKZ33" s="28"/>
      <c r="OLA33" s="28"/>
      <c r="OLB33" s="28"/>
      <c r="OLC33" s="28"/>
      <c r="OLD33" s="28"/>
      <c r="OLE33" s="28"/>
      <c r="OLF33" s="28"/>
      <c r="OLG33" s="28"/>
      <c r="OLH33" s="28"/>
      <c r="OLI33" s="28"/>
      <c r="OLJ33" s="28"/>
      <c r="OLK33" s="28"/>
      <c r="OLL33" s="28"/>
      <c r="OLM33" s="28"/>
      <c r="OLN33" s="28"/>
      <c r="OLO33" s="28"/>
      <c r="OLP33" s="28"/>
      <c r="OLQ33" s="28"/>
      <c r="OLR33" s="28"/>
      <c r="OLS33" s="28"/>
      <c r="OLT33" s="28"/>
      <c r="OLU33" s="28"/>
      <c r="OLV33" s="28"/>
      <c r="OLW33" s="28"/>
      <c r="OLX33" s="28"/>
      <c r="OLY33" s="28"/>
      <c r="OLZ33" s="28"/>
      <c r="OMA33" s="28"/>
      <c r="OMB33" s="28"/>
      <c r="OMC33" s="28"/>
      <c r="OMD33" s="28"/>
      <c r="OME33" s="28"/>
      <c r="OMF33" s="28"/>
      <c r="OMG33" s="28"/>
      <c r="OMH33" s="28"/>
      <c r="OMI33" s="28"/>
      <c r="OMJ33" s="28"/>
      <c r="OMK33" s="28"/>
      <c r="OML33" s="28"/>
      <c r="OMM33" s="28"/>
      <c r="OMN33" s="28"/>
      <c r="OMO33" s="28"/>
      <c r="OMP33" s="28"/>
      <c r="OMQ33" s="28"/>
      <c r="OMR33" s="28"/>
      <c r="OMS33" s="28"/>
      <c r="OMT33" s="28"/>
      <c r="OMU33" s="28"/>
      <c r="OMV33" s="28"/>
      <c r="OMW33" s="28"/>
      <c r="OMX33" s="28"/>
      <c r="OMY33" s="28"/>
      <c r="OMZ33" s="28"/>
      <c r="ONA33" s="28"/>
      <c r="ONB33" s="28"/>
      <c r="ONC33" s="28"/>
      <c r="OND33" s="28"/>
      <c r="ONE33" s="28"/>
      <c r="ONF33" s="28"/>
      <c r="ONG33" s="28"/>
      <c r="ONH33" s="28"/>
      <c r="ONI33" s="28"/>
      <c r="ONJ33" s="28"/>
      <c r="ONK33" s="28"/>
      <c r="ONL33" s="28"/>
      <c r="ONM33" s="28"/>
      <c r="ONN33" s="28"/>
      <c r="ONO33" s="28"/>
      <c r="ONP33" s="28"/>
      <c r="ONQ33" s="28"/>
      <c r="ONR33" s="28"/>
      <c r="ONS33" s="28"/>
      <c r="ONT33" s="28"/>
      <c r="ONU33" s="28"/>
      <c r="ONV33" s="28"/>
      <c r="ONW33" s="28"/>
      <c r="ONX33" s="28"/>
      <c r="ONY33" s="28"/>
      <c r="ONZ33" s="28"/>
      <c r="OOA33" s="28"/>
      <c r="OOB33" s="28"/>
      <c r="OOC33" s="28"/>
      <c r="OOD33" s="28"/>
      <c r="OOE33" s="28"/>
      <c r="OOF33" s="28"/>
      <c r="OOG33" s="28"/>
      <c r="OOH33" s="28"/>
      <c r="OOI33" s="28"/>
      <c r="OOJ33" s="28"/>
      <c r="OOK33" s="28"/>
      <c r="OOL33" s="28"/>
      <c r="OOM33" s="28"/>
      <c r="OON33" s="28"/>
      <c r="OOO33" s="28"/>
      <c r="OOP33" s="28"/>
      <c r="OOQ33" s="28"/>
      <c r="OOR33" s="28"/>
      <c r="OOS33" s="28"/>
      <c r="OOT33" s="28"/>
      <c r="OOU33" s="28"/>
      <c r="OOV33" s="28"/>
      <c r="OOW33" s="28"/>
      <c r="OOX33" s="28"/>
      <c r="OOY33" s="28"/>
      <c r="OOZ33" s="28"/>
      <c r="OPA33" s="28"/>
      <c r="OPB33" s="28"/>
      <c r="OPC33" s="28"/>
      <c r="OPD33" s="28"/>
      <c r="OPE33" s="28"/>
      <c r="OPF33" s="28"/>
      <c r="OPG33" s="28"/>
      <c r="OPH33" s="28"/>
      <c r="OPI33" s="28"/>
      <c r="OPJ33" s="28"/>
      <c r="OPK33" s="28"/>
      <c r="OPL33" s="28"/>
      <c r="OPM33" s="28"/>
      <c r="OPN33" s="28"/>
      <c r="OPO33" s="28"/>
      <c r="OPP33" s="28"/>
      <c r="OPQ33" s="28"/>
      <c r="OPR33" s="28"/>
      <c r="OPS33" s="28"/>
      <c r="OPT33" s="28"/>
      <c r="OPU33" s="28"/>
      <c r="OPV33" s="28"/>
      <c r="OPW33" s="28"/>
      <c r="OPX33" s="28"/>
      <c r="OPY33" s="28"/>
      <c r="OPZ33" s="28"/>
      <c r="OQA33" s="28"/>
      <c r="OQB33" s="28"/>
      <c r="OQC33" s="28"/>
      <c r="OQD33" s="28"/>
      <c r="OQE33" s="28"/>
      <c r="OQF33" s="28"/>
      <c r="OQG33" s="28"/>
      <c r="OQH33" s="28"/>
      <c r="OQI33" s="28"/>
      <c r="OQJ33" s="28"/>
      <c r="OQK33" s="28"/>
      <c r="OQL33" s="28"/>
      <c r="OQM33" s="28"/>
      <c r="OQN33" s="28"/>
      <c r="OQO33" s="28"/>
      <c r="OQP33" s="28"/>
      <c r="OQQ33" s="28"/>
      <c r="OQR33" s="28"/>
      <c r="OQS33" s="28"/>
      <c r="OQT33" s="28"/>
      <c r="OQU33" s="28"/>
      <c r="OQV33" s="28"/>
      <c r="OQW33" s="28"/>
      <c r="OQX33" s="28"/>
      <c r="OQY33" s="28"/>
      <c r="OQZ33" s="28"/>
      <c r="ORA33" s="28"/>
      <c r="ORB33" s="28"/>
      <c r="ORC33" s="28"/>
      <c r="ORD33" s="28"/>
      <c r="ORE33" s="28"/>
      <c r="ORF33" s="28"/>
      <c r="ORG33" s="28"/>
      <c r="ORH33" s="28"/>
      <c r="ORI33" s="28"/>
      <c r="ORJ33" s="28"/>
      <c r="ORK33" s="28"/>
      <c r="ORL33" s="28"/>
      <c r="ORM33" s="28"/>
      <c r="ORN33" s="28"/>
      <c r="ORO33" s="28"/>
      <c r="ORP33" s="28"/>
      <c r="ORQ33" s="28"/>
      <c r="ORR33" s="28"/>
      <c r="ORS33" s="28"/>
      <c r="ORT33" s="28"/>
      <c r="ORU33" s="28"/>
      <c r="ORV33" s="28"/>
      <c r="ORW33" s="28"/>
      <c r="ORX33" s="28"/>
      <c r="ORY33" s="28"/>
      <c r="ORZ33" s="28"/>
      <c r="OSA33" s="28"/>
      <c r="OSB33" s="28"/>
      <c r="OSC33" s="28"/>
      <c r="OSD33" s="28"/>
      <c r="OSE33" s="28"/>
      <c r="OSF33" s="28"/>
      <c r="OSG33" s="28"/>
      <c r="OSH33" s="28"/>
      <c r="OSI33" s="28"/>
      <c r="OSJ33" s="28"/>
      <c r="OSK33" s="28"/>
      <c r="OSL33" s="28"/>
      <c r="OSM33" s="28"/>
      <c r="OSN33" s="28"/>
      <c r="OSO33" s="28"/>
      <c r="OSP33" s="28"/>
      <c r="OSQ33" s="28"/>
      <c r="OSR33" s="28"/>
      <c r="OSS33" s="28"/>
      <c r="OST33" s="28"/>
      <c r="OSU33" s="28"/>
      <c r="OSV33" s="28"/>
      <c r="OSW33" s="28"/>
      <c r="OSX33" s="28"/>
      <c r="OSY33" s="28"/>
      <c r="OSZ33" s="28"/>
      <c r="OTA33" s="28"/>
      <c r="OTB33" s="28"/>
      <c r="OTC33" s="28"/>
      <c r="OTD33" s="28"/>
      <c r="OTE33" s="28"/>
      <c r="OTF33" s="28"/>
      <c r="OTG33" s="28"/>
      <c r="OTH33" s="28"/>
      <c r="OTI33" s="28"/>
      <c r="OTJ33" s="28"/>
      <c r="OTK33" s="28"/>
      <c r="OTL33" s="28"/>
      <c r="OTM33" s="28"/>
      <c r="OTN33" s="28"/>
      <c r="OTO33" s="28"/>
      <c r="OTP33" s="28"/>
      <c r="OTQ33" s="28"/>
      <c r="OTR33" s="28"/>
      <c r="OTS33" s="28"/>
      <c r="OTT33" s="28"/>
      <c r="OTU33" s="28"/>
      <c r="OTV33" s="28"/>
      <c r="OTW33" s="28"/>
      <c r="OTX33" s="28"/>
      <c r="OTY33" s="28"/>
      <c r="OTZ33" s="28"/>
      <c r="OUA33" s="28"/>
      <c r="OUB33" s="28"/>
      <c r="OUC33" s="28"/>
      <c r="OUD33" s="28"/>
      <c r="OUE33" s="28"/>
      <c r="OUF33" s="28"/>
      <c r="OUG33" s="28"/>
      <c r="OUH33" s="28"/>
      <c r="OUI33" s="28"/>
      <c r="OUJ33" s="28"/>
      <c r="OUK33" s="28"/>
      <c r="OUL33" s="28"/>
      <c r="OUM33" s="28"/>
      <c r="OUN33" s="28"/>
      <c r="OUO33" s="28"/>
      <c r="OUP33" s="28"/>
      <c r="OUQ33" s="28"/>
      <c r="OUR33" s="28"/>
      <c r="OUS33" s="28"/>
      <c r="OUT33" s="28"/>
      <c r="OUU33" s="28"/>
      <c r="OUV33" s="28"/>
      <c r="OUW33" s="28"/>
      <c r="OUX33" s="28"/>
      <c r="OUY33" s="28"/>
      <c r="OUZ33" s="28"/>
      <c r="OVA33" s="28"/>
      <c r="OVB33" s="28"/>
      <c r="OVC33" s="28"/>
      <c r="OVD33" s="28"/>
      <c r="OVE33" s="28"/>
      <c r="OVF33" s="28"/>
      <c r="OVG33" s="28"/>
      <c r="OVH33" s="28"/>
      <c r="OVI33" s="28"/>
      <c r="OVJ33" s="28"/>
      <c r="OVK33" s="28"/>
      <c r="OVL33" s="28"/>
      <c r="OVM33" s="28"/>
      <c r="OVN33" s="28"/>
      <c r="OVO33" s="28"/>
      <c r="OVP33" s="28"/>
      <c r="OVQ33" s="28"/>
      <c r="OVR33" s="28"/>
      <c r="OVS33" s="28"/>
      <c r="OVT33" s="28"/>
      <c r="OVU33" s="28"/>
      <c r="OVV33" s="28"/>
      <c r="OVW33" s="28"/>
      <c r="OVX33" s="28"/>
      <c r="OVY33" s="28"/>
      <c r="OVZ33" s="28"/>
      <c r="OWA33" s="28"/>
      <c r="OWB33" s="28"/>
      <c r="OWC33" s="28"/>
      <c r="OWD33" s="28"/>
      <c r="OWE33" s="28"/>
      <c r="OWF33" s="28"/>
      <c r="OWG33" s="28"/>
      <c r="OWH33" s="28"/>
      <c r="OWI33" s="28"/>
      <c r="OWJ33" s="28"/>
      <c r="OWK33" s="28"/>
      <c r="OWL33" s="28"/>
      <c r="OWM33" s="28"/>
      <c r="OWN33" s="28"/>
      <c r="OWO33" s="28"/>
      <c r="OWP33" s="28"/>
      <c r="OWQ33" s="28"/>
      <c r="OWR33" s="28"/>
      <c r="OWS33" s="28"/>
      <c r="OWT33" s="28"/>
      <c r="OWU33" s="28"/>
      <c r="OWV33" s="28"/>
      <c r="OWW33" s="28"/>
      <c r="OWX33" s="28"/>
      <c r="OWY33" s="28"/>
      <c r="OWZ33" s="28"/>
      <c r="OXA33" s="28"/>
      <c r="OXB33" s="28"/>
      <c r="OXC33" s="28"/>
      <c r="OXD33" s="28"/>
      <c r="OXE33" s="28"/>
      <c r="OXF33" s="28"/>
      <c r="OXG33" s="28"/>
      <c r="OXH33" s="28"/>
      <c r="OXI33" s="28"/>
      <c r="OXJ33" s="28"/>
      <c r="OXK33" s="28"/>
      <c r="OXL33" s="28"/>
      <c r="OXM33" s="28"/>
      <c r="OXN33" s="28"/>
      <c r="OXO33" s="28"/>
      <c r="OXP33" s="28"/>
      <c r="OXQ33" s="28"/>
      <c r="OXR33" s="28"/>
      <c r="OXS33" s="28"/>
      <c r="OXT33" s="28"/>
      <c r="OXU33" s="28"/>
      <c r="OXV33" s="28"/>
      <c r="OXW33" s="28"/>
      <c r="OXX33" s="28"/>
      <c r="OXY33" s="28"/>
      <c r="OXZ33" s="28"/>
      <c r="OYA33" s="28"/>
      <c r="OYB33" s="28"/>
      <c r="OYC33" s="28"/>
      <c r="OYD33" s="28"/>
      <c r="OYE33" s="28"/>
      <c r="OYF33" s="28"/>
      <c r="OYG33" s="28"/>
      <c r="OYH33" s="28"/>
      <c r="OYI33" s="28"/>
      <c r="OYJ33" s="28"/>
      <c r="OYK33" s="28"/>
      <c r="OYL33" s="28"/>
      <c r="OYM33" s="28"/>
      <c r="OYN33" s="28"/>
      <c r="OYO33" s="28"/>
      <c r="OYP33" s="28"/>
      <c r="OYQ33" s="28"/>
      <c r="OYR33" s="28"/>
      <c r="OYS33" s="28"/>
      <c r="OYT33" s="28"/>
      <c r="OYU33" s="28"/>
      <c r="OYV33" s="28"/>
      <c r="OYW33" s="28"/>
      <c r="OYX33" s="28"/>
      <c r="OYY33" s="28"/>
      <c r="OYZ33" s="28"/>
      <c r="OZA33" s="28"/>
      <c r="OZB33" s="28"/>
      <c r="OZC33" s="28"/>
      <c r="OZD33" s="28"/>
      <c r="OZE33" s="28"/>
      <c r="OZF33" s="28"/>
      <c r="OZG33" s="28"/>
      <c r="OZH33" s="28"/>
      <c r="OZI33" s="28"/>
      <c r="OZJ33" s="28"/>
      <c r="OZK33" s="28"/>
      <c r="OZL33" s="28"/>
      <c r="OZM33" s="28"/>
      <c r="OZN33" s="28"/>
      <c r="OZO33" s="28"/>
      <c r="OZP33" s="28"/>
      <c r="OZQ33" s="28"/>
      <c r="OZR33" s="28"/>
      <c r="OZS33" s="28"/>
      <c r="OZT33" s="28"/>
      <c r="OZU33" s="28"/>
      <c r="OZV33" s="28"/>
      <c r="OZW33" s="28"/>
      <c r="OZX33" s="28"/>
      <c r="OZY33" s="28"/>
      <c r="OZZ33" s="28"/>
      <c r="PAA33" s="28"/>
      <c r="PAB33" s="28"/>
      <c r="PAC33" s="28"/>
      <c r="PAD33" s="28"/>
      <c r="PAE33" s="28"/>
      <c r="PAF33" s="28"/>
      <c r="PAG33" s="28"/>
      <c r="PAH33" s="28"/>
      <c r="PAI33" s="28"/>
      <c r="PAJ33" s="28"/>
      <c r="PAK33" s="28"/>
      <c r="PAL33" s="28"/>
      <c r="PAM33" s="28"/>
      <c r="PAN33" s="28"/>
      <c r="PAO33" s="28"/>
      <c r="PAP33" s="28"/>
      <c r="PAQ33" s="28"/>
      <c r="PAR33" s="28"/>
      <c r="PAS33" s="28"/>
      <c r="PAT33" s="28"/>
      <c r="PAU33" s="28"/>
      <c r="PAV33" s="28"/>
      <c r="PAW33" s="28"/>
      <c r="PAX33" s="28"/>
      <c r="PAY33" s="28"/>
      <c r="PAZ33" s="28"/>
      <c r="PBA33" s="28"/>
      <c r="PBB33" s="28"/>
      <c r="PBC33" s="28"/>
      <c r="PBD33" s="28"/>
      <c r="PBE33" s="28"/>
      <c r="PBF33" s="28"/>
      <c r="PBG33" s="28"/>
      <c r="PBH33" s="28"/>
      <c r="PBI33" s="28"/>
      <c r="PBJ33" s="28"/>
      <c r="PBK33" s="28"/>
      <c r="PBL33" s="28"/>
      <c r="PBM33" s="28"/>
      <c r="PBN33" s="28"/>
      <c r="PBO33" s="28"/>
      <c r="PBP33" s="28"/>
      <c r="PBQ33" s="28"/>
      <c r="PBR33" s="28"/>
      <c r="PBS33" s="28"/>
      <c r="PBT33" s="28"/>
      <c r="PBU33" s="28"/>
      <c r="PBV33" s="28"/>
      <c r="PBW33" s="28"/>
      <c r="PBX33" s="28"/>
      <c r="PBY33" s="28"/>
      <c r="PBZ33" s="28"/>
      <c r="PCA33" s="28"/>
      <c r="PCB33" s="28"/>
      <c r="PCC33" s="28"/>
      <c r="PCD33" s="28"/>
      <c r="PCE33" s="28"/>
      <c r="PCF33" s="28"/>
      <c r="PCG33" s="28"/>
      <c r="PCH33" s="28"/>
      <c r="PCI33" s="28"/>
      <c r="PCJ33" s="28"/>
      <c r="PCK33" s="28"/>
      <c r="PCL33" s="28"/>
      <c r="PCM33" s="28"/>
      <c r="PCN33" s="28"/>
      <c r="PCO33" s="28"/>
      <c r="PCP33" s="28"/>
      <c r="PCQ33" s="28"/>
      <c r="PCR33" s="28"/>
      <c r="PCS33" s="28"/>
      <c r="PCT33" s="28"/>
      <c r="PCU33" s="28"/>
      <c r="PCV33" s="28"/>
      <c r="PCW33" s="28"/>
      <c r="PCX33" s="28"/>
      <c r="PCY33" s="28"/>
      <c r="PCZ33" s="28"/>
      <c r="PDA33" s="28"/>
      <c r="PDB33" s="28"/>
      <c r="PDC33" s="28"/>
      <c r="PDD33" s="28"/>
      <c r="PDE33" s="28"/>
      <c r="PDF33" s="28"/>
      <c r="PDG33" s="28"/>
      <c r="PDH33" s="28"/>
      <c r="PDI33" s="28"/>
      <c r="PDJ33" s="28"/>
      <c r="PDK33" s="28"/>
      <c r="PDL33" s="28"/>
      <c r="PDM33" s="28"/>
      <c r="PDN33" s="28"/>
      <c r="PDO33" s="28"/>
      <c r="PDP33" s="28"/>
      <c r="PDQ33" s="28"/>
      <c r="PDR33" s="28"/>
      <c r="PDS33" s="28"/>
      <c r="PDT33" s="28"/>
      <c r="PDU33" s="28"/>
      <c r="PDV33" s="28"/>
      <c r="PDW33" s="28"/>
      <c r="PDX33" s="28"/>
      <c r="PDY33" s="28"/>
      <c r="PDZ33" s="28"/>
      <c r="PEA33" s="28"/>
      <c r="PEB33" s="28"/>
      <c r="PEC33" s="28"/>
      <c r="PED33" s="28"/>
      <c r="PEE33" s="28"/>
      <c r="PEF33" s="28"/>
      <c r="PEG33" s="28"/>
      <c r="PEH33" s="28"/>
      <c r="PEI33" s="28"/>
      <c r="PEJ33" s="28"/>
      <c r="PEK33" s="28"/>
      <c r="PEL33" s="28"/>
      <c r="PEM33" s="28"/>
      <c r="PEN33" s="28"/>
      <c r="PEO33" s="28"/>
      <c r="PEP33" s="28"/>
      <c r="PEQ33" s="28"/>
      <c r="PER33" s="28"/>
      <c r="PES33" s="28"/>
      <c r="PET33" s="28"/>
      <c r="PEU33" s="28"/>
      <c r="PEV33" s="28"/>
      <c r="PEW33" s="28"/>
      <c r="PEX33" s="28"/>
      <c r="PEY33" s="28"/>
      <c r="PEZ33" s="28"/>
      <c r="PFA33" s="28"/>
      <c r="PFB33" s="28"/>
      <c r="PFC33" s="28"/>
      <c r="PFD33" s="28"/>
      <c r="PFE33" s="28"/>
      <c r="PFF33" s="28"/>
      <c r="PFG33" s="28"/>
      <c r="PFH33" s="28"/>
      <c r="PFI33" s="28"/>
      <c r="PFJ33" s="28"/>
      <c r="PFK33" s="28"/>
      <c r="PFL33" s="28"/>
      <c r="PFM33" s="28"/>
      <c r="PFN33" s="28"/>
      <c r="PFO33" s="28"/>
      <c r="PFP33" s="28"/>
      <c r="PFQ33" s="28"/>
      <c r="PFR33" s="28"/>
      <c r="PFS33" s="28"/>
      <c r="PFT33" s="28"/>
      <c r="PFU33" s="28"/>
      <c r="PFV33" s="28"/>
      <c r="PFW33" s="28"/>
      <c r="PFX33" s="28"/>
      <c r="PFY33" s="28"/>
      <c r="PFZ33" s="28"/>
      <c r="PGA33" s="28"/>
      <c r="PGB33" s="28"/>
      <c r="PGC33" s="28"/>
      <c r="PGD33" s="28"/>
      <c r="PGE33" s="28"/>
      <c r="PGF33" s="28"/>
      <c r="PGG33" s="28"/>
      <c r="PGH33" s="28"/>
      <c r="PGI33" s="28"/>
      <c r="PGJ33" s="28"/>
      <c r="PGK33" s="28"/>
      <c r="PGL33" s="28"/>
      <c r="PGM33" s="28"/>
      <c r="PGN33" s="28"/>
      <c r="PGO33" s="28"/>
      <c r="PGP33" s="28"/>
      <c r="PGQ33" s="28"/>
      <c r="PGR33" s="28"/>
      <c r="PGS33" s="28"/>
      <c r="PGT33" s="28"/>
      <c r="PGU33" s="28"/>
      <c r="PGV33" s="28"/>
      <c r="PGW33" s="28"/>
      <c r="PGX33" s="28"/>
      <c r="PGY33" s="28"/>
      <c r="PGZ33" s="28"/>
      <c r="PHA33" s="28"/>
      <c r="PHB33" s="28"/>
      <c r="PHC33" s="28"/>
      <c r="PHD33" s="28"/>
      <c r="PHE33" s="28"/>
      <c r="PHF33" s="28"/>
      <c r="PHG33" s="28"/>
      <c r="PHH33" s="28"/>
      <c r="PHI33" s="28"/>
      <c r="PHJ33" s="28"/>
      <c r="PHK33" s="28"/>
      <c r="PHL33" s="28"/>
      <c r="PHM33" s="28"/>
      <c r="PHN33" s="28"/>
      <c r="PHO33" s="28"/>
      <c r="PHP33" s="28"/>
      <c r="PHQ33" s="28"/>
      <c r="PHR33" s="28"/>
      <c r="PHS33" s="28"/>
      <c r="PHT33" s="28"/>
      <c r="PHU33" s="28"/>
      <c r="PHV33" s="28"/>
      <c r="PHW33" s="28"/>
      <c r="PHX33" s="28"/>
      <c r="PHY33" s="28"/>
      <c r="PHZ33" s="28"/>
      <c r="PIA33" s="28"/>
      <c r="PIB33" s="28"/>
      <c r="PIC33" s="28"/>
      <c r="PID33" s="28"/>
      <c r="PIE33" s="28"/>
      <c r="PIF33" s="28"/>
      <c r="PIG33" s="28"/>
      <c r="PIH33" s="28"/>
      <c r="PII33" s="28"/>
      <c r="PIJ33" s="28"/>
      <c r="PIK33" s="28"/>
      <c r="PIL33" s="28"/>
      <c r="PIM33" s="28"/>
      <c r="PIN33" s="28"/>
      <c r="PIO33" s="28"/>
      <c r="PIP33" s="28"/>
      <c r="PIQ33" s="28"/>
      <c r="PIR33" s="28"/>
      <c r="PIS33" s="28"/>
      <c r="PIT33" s="28"/>
      <c r="PIU33" s="28"/>
      <c r="PIV33" s="28"/>
      <c r="PIW33" s="28"/>
      <c r="PIX33" s="28"/>
      <c r="PIY33" s="28"/>
      <c r="PIZ33" s="28"/>
      <c r="PJA33" s="28"/>
      <c r="PJB33" s="28"/>
      <c r="PJC33" s="28"/>
      <c r="PJD33" s="28"/>
      <c r="PJE33" s="28"/>
      <c r="PJF33" s="28"/>
      <c r="PJG33" s="28"/>
      <c r="PJH33" s="28"/>
      <c r="PJI33" s="28"/>
      <c r="PJJ33" s="28"/>
      <c r="PJK33" s="28"/>
      <c r="PJL33" s="28"/>
      <c r="PJM33" s="28"/>
      <c r="PJN33" s="28"/>
      <c r="PJO33" s="28"/>
      <c r="PJP33" s="28"/>
      <c r="PJQ33" s="28"/>
      <c r="PJR33" s="28"/>
      <c r="PJS33" s="28"/>
      <c r="PJT33" s="28"/>
      <c r="PJU33" s="28"/>
      <c r="PJV33" s="28"/>
      <c r="PJW33" s="28"/>
      <c r="PJX33" s="28"/>
      <c r="PJY33" s="28"/>
      <c r="PJZ33" s="28"/>
      <c r="PKA33" s="28"/>
      <c r="PKB33" s="28"/>
      <c r="PKC33" s="28"/>
      <c r="PKD33" s="28"/>
      <c r="PKE33" s="28"/>
      <c r="PKF33" s="28"/>
      <c r="PKG33" s="28"/>
      <c r="PKH33" s="28"/>
      <c r="PKI33" s="28"/>
      <c r="PKJ33" s="28"/>
      <c r="PKK33" s="28"/>
      <c r="PKL33" s="28"/>
      <c r="PKM33" s="28"/>
      <c r="PKN33" s="28"/>
      <c r="PKO33" s="28"/>
      <c r="PKP33" s="28"/>
      <c r="PKQ33" s="28"/>
      <c r="PKR33" s="28"/>
      <c r="PKS33" s="28"/>
      <c r="PKT33" s="28"/>
      <c r="PKU33" s="28"/>
      <c r="PKV33" s="28"/>
      <c r="PKW33" s="28"/>
      <c r="PKX33" s="28"/>
      <c r="PKY33" s="28"/>
      <c r="PKZ33" s="28"/>
      <c r="PLA33" s="28"/>
      <c r="PLB33" s="28"/>
      <c r="PLC33" s="28"/>
      <c r="PLD33" s="28"/>
      <c r="PLE33" s="28"/>
      <c r="PLF33" s="28"/>
      <c r="PLG33" s="28"/>
      <c r="PLH33" s="28"/>
      <c r="PLI33" s="28"/>
      <c r="PLJ33" s="28"/>
      <c r="PLK33" s="28"/>
      <c r="PLL33" s="28"/>
      <c r="PLM33" s="28"/>
      <c r="PLN33" s="28"/>
      <c r="PLO33" s="28"/>
      <c r="PLP33" s="28"/>
      <c r="PLQ33" s="28"/>
      <c r="PLR33" s="28"/>
      <c r="PLS33" s="28"/>
      <c r="PLT33" s="28"/>
      <c r="PLU33" s="28"/>
      <c r="PLV33" s="28"/>
      <c r="PLW33" s="28"/>
      <c r="PLX33" s="28"/>
      <c r="PLY33" s="28"/>
      <c r="PLZ33" s="28"/>
      <c r="PMA33" s="28"/>
      <c r="PMB33" s="28"/>
      <c r="PMC33" s="28"/>
      <c r="PMD33" s="28"/>
      <c r="PME33" s="28"/>
      <c r="PMF33" s="28"/>
      <c r="PMG33" s="28"/>
      <c r="PMH33" s="28"/>
      <c r="PMI33" s="28"/>
      <c r="PMJ33" s="28"/>
      <c r="PMK33" s="28"/>
      <c r="PML33" s="28"/>
      <c r="PMM33" s="28"/>
      <c r="PMN33" s="28"/>
      <c r="PMO33" s="28"/>
      <c r="PMP33" s="28"/>
      <c r="PMQ33" s="28"/>
      <c r="PMR33" s="28"/>
      <c r="PMS33" s="28"/>
      <c r="PMT33" s="28"/>
      <c r="PMU33" s="28"/>
      <c r="PMV33" s="28"/>
      <c r="PMW33" s="28"/>
      <c r="PMX33" s="28"/>
      <c r="PMY33" s="28"/>
      <c r="PMZ33" s="28"/>
      <c r="PNA33" s="28"/>
      <c r="PNB33" s="28"/>
      <c r="PNC33" s="28"/>
      <c r="PND33" s="28"/>
      <c r="PNE33" s="28"/>
      <c r="PNF33" s="28"/>
      <c r="PNG33" s="28"/>
      <c r="PNH33" s="28"/>
      <c r="PNI33" s="28"/>
      <c r="PNJ33" s="28"/>
      <c r="PNK33" s="28"/>
      <c r="PNL33" s="28"/>
      <c r="PNM33" s="28"/>
      <c r="PNN33" s="28"/>
      <c r="PNO33" s="28"/>
      <c r="PNP33" s="28"/>
      <c r="PNQ33" s="28"/>
      <c r="PNR33" s="28"/>
      <c r="PNS33" s="28"/>
      <c r="PNT33" s="28"/>
      <c r="PNU33" s="28"/>
      <c r="PNV33" s="28"/>
      <c r="PNW33" s="28"/>
      <c r="PNX33" s="28"/>
      <c r="PNY33" s="28"/>
      <c r="PNZ33" s="28"/>
      <c r="POA33" s="28"/>
      <c r="POB33" s="28"/>
      <c r="POC33" s="28"/>
      <c r="POD33" s="28"/>
      <c r="POE33" s="28"/>
      <c r="POF33" s="28"/>
      <c r="POG33" s="28"/>
      <c r="POH33" s="28"/>
      <c r="POI33" s="28"/>
      <c r="POJ33" s="28"/>
      <c r="POK33" s="28"/>
      <c r="POL33" s="28"/>
      <c r="POM33" s="28"/>
      <c r="PON33" s="28"/>
      <c r="POO33" s="28"/>
      <c r="POP33" s="28"/>
      <c r="POQ33" s="28"/>
      <c r="POR33" s="28"/>
      <c r="POS33" s="28"/>
      <c r="POT33" s="28"/>
      <c r="POU33" s="28"/>
      <c r="POV33" s="28"/>
      <c r="POW33" s="28"/>
      <c r="POX33" s="28"/>
      <c r="POY33" s="28"/>
      <c r="POZ33" s="28"/>
      <c r="PPA33" s="28"/>
      <c r="PPB33" s="28"/>
      <c r="PPC33" s="28"/>
      <c r="PPD33" s="28"/>
      <c r="PPE33" s="28"/>
      <c r="PPF33" s="28"/>
      <c r="PPG33" s="28"/>
      <c r="PPH33" s="28"/>
      <c r="PPI33" s="28"/>
      <c r="PPJ33" s="28"/>
      <c r="PPK33" s="28"/>
      <c r="PPL33" s="28"/>
      <c r="PPM33" s="28"/>
      <c r="PPN33" s="28"/>
      <c r="PPO33" s="28"/>
      <c r="PPP33" s="28"/>
      <c r="PPQ33" s="28"/>
      <c r="PPR33" s="28"/>
      <c r="PPS33" s="28"/>
      <c r="PPT33" s="28"/>
      <c r="PPU33" s="28"/>
      <c r="PPV33" s="28"/>
      <c r="PPW33" s="28"/>
      <c r="PPX33" s="28"/>
      <c r="PPY33" s="28"/>
      <c r="PPZ33" s="28"/>
      <c r="PQA33" s="28"/>
      <c r="PQB33" s="28"/>
      <c r="PQC33" s="28"/>
      <c r="PQD33" s="28"/>
      <c r="PQE33" s="28"/>
      <c r="PQF33" s="28"/>
      <c r="PQG33" s="28"/>
      <c r="PQH33" s="28"/>
      <c r="PQI33" s="28"/>
      <c r="PQJ33" s="28"/>
      <c r="PQK33" s="28"/>
      <c r="PQL33" s="28"/>
      <c r="PQM33" s="28"/>
      <c r="PQN33" s="28"/>
      <c r="PQO33" s="28"/>
      <c r="PQP33" s="28"/>
      <c r="PQQ33" s="28"/>
      <c r="PQR33" s="28"/>
      <c r="PQS33" s="28"/>
      <c r="PQT33" s="28"/>
      <c r="PQU33" s="28"/>
      <c r="PQV33" s="28"/>
      <c r="PQW33" s="28"/>
      <c r="PQX33" s="28"/>
      <c r="PQY33" s="28"/>
      <c r="PQZ33" s="28"/>
      <c r="PRA33" s="28"/>
      <c r="PRB33" s="28"/>
      <c r="PRC33" s="28"/>
      <c r="PRD33" s="28"/>
      <c r="PRE33" s="28"/>
      <c r="PRF33" s="28"/>
      <c r="PRG33" s="28"/>
      <c r="PRH33" s="28"/>
      <c r="PRI33" s="28"/>
      <c r="PRJ33" s="28"/>
      <c r="PRK33" s="28"/>
      <c r="PRL33" s="28"/>
      <c r="PRM33" s="28"/>
      <c r="PRN33" s="28"/>
      <c r="PRO33" s="28"/>
      <c r="PRP33" s="28"/>
      <c r="PRQ33" s="28"/>
      <c r="PRR33" s="28"/>
      <c r="PRS33" s="28"/>
      <c r="PRT33" s="28"/>
      <c r="PRU33" s="28"/>
      <c r="PRV33" s="28"/>
      <c r="PRW33" s="28"/>
      <c r="PRX33" s="28"/>
      <c r="PRY33" s="28"/>
      <c r="PRZ33" s="28"/>
      <c r="PSA33" s="28"/>
      <c r="PSB33" s="28"/>
      <c r="PSC33" s="28"/>
      <c r="PSD33" s="28"/>
      <c r="PSE33" s="28"/>
      <c r="PSF33" s="28"/>
      <c r="PSG33" s="28"/>
      <c r="PSH33" s="28"/>
      <c r="PSI33" s="28"/>
      <c r="PSJ33" s="28"/>
      <c r="PSK33" s="28"/>
      <c r="PSL33" s="28"/>
      <c r="PSM33" s="28"/>
      <c r="PSN33" s="28"/>
      <c r="PSO33" s="28"/>
      <c r="PSP33" s="28"/>
      <c r="PSQ33" s="28"/>
      <c r="PSR33" s="28"/>
      <c r="PSS33" s="28"/>
      <c r="PST33" s="28"/>
      <c r="PSU33" s="28"/>
      <c r="PSV33" s="28"/>
      <c r="PSW33" s="28"/>
      <c r="PSX33" s="28"/>
      <c r="PSY33" s="28"/>
      <c r="PSZ33" s="28"/>
      <c r="PTA33" s="28"/>
      <c r="PTB33" s="28"/>
      <c r="PTC33" s="28"/>
      <c r="PTD33" s="28"/>
      <c r="PTE33" s="28"/>
      <c r="PTF33" s="28"/>
      <c r="PTG33" s="28"/>
      <c r="PTH33" s="28"/>
      <c r="PTI33" s="28"/>
      <c r="PTJ33" s="28"/>
      <c r="PTK33" s="28"/>
      <c r="PTL33" s="28"/>
      <c r="PTM33" s="28"/>
      <c r="PTN33" s="28"/>
      <c r="PTO33" s="28"/>
      <c r="PTP33" s="28"/>
      <c r="PTQ33" s="28"/>
      <c r="PTR33" s="28"/>
      <c r="PTS33" s="28"/>
      <c r="PTT33" s="28"/>
      <c r="PTU33" s="28"/>
      <c r="PTV33" s="28"/>
      <c r="PTW33" s="28"/>
      <c r="PTX33" s="28"/>
      <c r="PTY33" s="28"/>
      <c r="PTZ33" s="28"/>
      <c r="PUA33" s="28"/>
      <c r="PUB33" s="28"/>
      <c r="PUC33" s="28"/>
      <c r="PUD33" s="28"/>
      <c r="PUE33" s="28"/>
      <c r="PUF33" s="28"/>
      <c r="PUG33" s="28"/>
      <c r="PUH33" s="28"/>
      <c r="PUI33" s="28"/>
      <c r="PUJ33" s="28"/>
      <c r="PUK33" s="28"/>
      <c r="PUL33" s="28"/>
      <c r="PUM33" s="28"/>
      <c r="PUN33" s="28"/>
      <c r="PUO33" s="28"/>
      <c r="PUP33" s="28"/>
      <c r="PUQ33" s="28"/>
      <c r="PUR33" s="28"/>
      <c r="PUS33" s="28"/>
      <c r="PUT33" s="28"/>
      <c r="PUU33" s="28"/>
      <c r="PUV33" s="28"/>
      <c r="PUW33" s="28"/>
      <c r="PUX33" s="28"/>
      <c r="PUY33" s="28"/>
      <c r="PUZ33" s="28"/>
      <c r="PVA33" s="28"/>
      <c r="PVB33" s="28"/>
      <c r="PVC33" s="28"/>
      <c r="PVD33" s="28"/>
      <c r="PVE33" s="28"/>
      <c r="PVF33" s="28"/>
      <c r="PVG33" s="28"/>
      <c r="PVH33" s="28"/>
      <c r="PVI33" s="28"/>
      <c r="PVJ33" s="28"/>
      <c r="PVK33" s="28"/>
      <c r="PVL33" s="28"/>
      <c r="PVM33" s="28"/>
      <c r="PVN33" s="28"/>
      <c r="PVO33" s="28"/>
      <c r="PVP33" s="28"/>
      <c r="PVQ33" s="28"/>
      <c r="PVR33" s="28"/>
      <c r="PVS33" s="28"/>
      <c r="PVT33" s="28"/>
      <c r="PVU33" s="28"/>
      <c r="PVV33" s="28"/>
      <c r="PVW33" s="28"/>
      <c r="PVX33" s="28"/>
      <c r="PVY33" s="28"/>
      <c r="PVZ33" s="28"/>
      <c r="PWA33" s="28"/>
      <c r="PWB33" s="28"/>
      <c r="PWC33" s="28"/>
      <c r="PWD33" s="28"/>
      <c r="PWE33" s="28"/>
      <c r="PWF33" s="28"/>
      <c r="PWG33" s="28"/>
      <c r="PWH33" s="28"/>
      <c r="PWI33" s="28"/>
      <c r="PWJ33" s="28"/>
      <c r="PWK33" s="28"/>
      <c r="PWL33" s="28"/>
      <c r="PWM33" s="28"/>
      <c r="PWN33" s="28"/>
      <c r="PWO33" s="28"/>
      <c r="PWP33" s="28"/>
      <c r="PWQ33" s="28"/>
      <c r="PWR33" s="28"/>
      <c r="PWS33" s="28"/>
      <c r="PWT33" s="28"/>
      <c r="PWU33" s="28"/>
      <c r="PWV33" s="28"/>
      <c r="PWW33" s="28"/>
      <c r="PWX33" s="28"/>
      <c r="PWY33" s="28"/>
      <c r="PWZ33" s="28"/>
      <c r="PXA33" s="28"/>
      <c r="PXB33" s="28"/>
      <c r="PXC33" s="28"/>
      <c r="PXD33" s="28"/>
      <c r="PXE33" s="28"/>
      <c r="PXF33" s="28"/>
      <c r="PXG33" s="28"/>
      <c r="PXH33" s="28"/>
      <c r="PXI33" s="28"/>
      <c r="PXJ33" s="28"/>
      <c r="PXK33" s="28"/>
      <c r="PXL33" s="28"/>
      <c r="PXM33" s="28"/>
      <c r="PXN33" s="28"/>
      <c r="PXO33" s="28"/>
      <c r="PXP33" s="28"/>
      <c r="PXQ33" s="28"/>
      <c r="PXR33" s="28"/>
      <c r="PXS33" s="28"/>
      <c r="PXT33" s="28"/>
      <c r="PXU33" s="28"/>
      <c r="PXV33" s="28"/>
      <c r="PXW33" s="28"/>
      <c r="PXX33" s="28"/>
      <c r="PXY33" s="28"/>
      <c r="PXZ33" s="28"/>
      <c r="PYA33" s="28"/>
      <c r="PYB33" s="28"/>
      <c r="PYC33" s="28"/>
      <c r="PYD33" s="28"/>
      <c r="PYE33" s="28"/>
      <c r="PYF33" s="28"/>
      <c r="PYG33" s="28"/>
      <c r="PYH33" s="28"/>
      <c r="PYI33" s="28"/>
      <c r="PYJ33" s="28"/>
      <c r="PYK33" s="28"/>
      <c r="PYL33" s="28"/>
      <c r="PYM33" s="28"/>
      <c r="PYN33" s="28"/>
      <c r="PYO33" s="28"/>
      <c r="PYP33" s="28"/>
      <c r="PYQ33" s="28"/>
      <c r="PYR33" s="28"/>
      <c r="PYS33" s="28"/>
      <c r="PYT33" s="28"/>
      <c r="PYU33" s="28"/>
      <c r="PYV33" s="28"/>
      <c r="PYW33" s="28"/>
      <c r="PYX33" s="28"/>
      <c r="PYY33" s="28"/>
      <c r="PYZ33" s="28"/>
      <c r="PZA33" s="28"/>
      <c r="PZB33" s="28"/>
      <c r="PZC33" s="28"/>
      <c r="PZD33" s="28"/>
      <c r="PZE33" s="28"/>
      <c r="PZF33" s="28"/>
      <c r="PZG33" s="28"/>
      <c r="PZH33" s="28"/>
      <c r="PZI33" s="28"/>
      <c r="PZJ33" s="28"/>
      <c r="PZK33" s="28"/>
      <c r="PZL33" s="28"/>
      <c r="PZM33" s="28"/>
      <c r="PZN33" s="28"/>
      <c r="PZO33" s="28"/>
      <c r="PZP33" s="28"/>
      <c r="PZQ33" s="28"/>
      <c r="PZR33" s="28"/>
      <c r="PZS33" s="28"/>
      <c r="PZT33" s="28"/>
      <c r="PZU33" s="28"/>
      <c r="PZV33" s="28"/>
      <c r="PZW33" s="28"/>
      <c r="PZX33" s="28"/>
      <c r="PZY33" s="28"/>
      <c r="PZZ33" s="28"/>
      <c r="QAA33" s="28"/>
      <c r="QAB33" s="28"/>
      <c r="QAC33" s="28"/>
      <c r="QAD33" s="28"/>
      <c r="QAE33" s="28"/>
      <c r="QAF33" s="28"/>
      <c r="QAG33" s="28"/>
      <c r="QAH33" s="28"/>
      <c r="QAI33" s="28"/>
      <c r="QAJ33" s="28"/>
      <c r="QAK33" s="28"/>
      <c r="QAL33" s="28"/>
      <c r="QAM33" s="28"/>
      <c r="QAN33" s="28"/>
      <c r="QAO33" s="28"/>
      <c r="QAP33" s="28"/>
      <c r="QAQ33" s="28"/>
      <c r="QAR33" s="28"/>
      <c r="QAS33" s="28"/>
      <c r="QAT33" s="28"/>
      <c r="QAU33" s="28"/>
      <c r="QAV33" s="28"/>
      <c r="QAW33" s="28"/>
      <c r="QAX33" s="28"/>
      <c r="QAY33" s="28"/>
      <c r="QAZ33" s="28"/>
      <c r="QBA33" s="28"/>
      <c r="QBB33" s="28"/>
      <c r="QBC33" s="28"/>
      <c r="QBD33" s="28"/>
      <c r="QBE33" s="28"/>
      <c r="QBF33" s="28"/>
      <c r="QBG33" s="28"/>
      <c r="QBH33" s="28"/>
      <c r="QBI33" s="28"/>
      <c r="QBJ33" s="28"/>
      <c r="QBK33" s="28"/>
      <c r="QBL33" s="28"/>
      <c r="QBM33" s="28"/>
      <c r="QBN33" s="28"/>
      <c r="QBO33" s="28"/>
      <c r="QBP33" s="28"/>
      <c r="QBQ33" s="28"/>
      <c r="QBR33" s="28"/>
      <c r="QBS33" s="28"/>
      <c r="QBT33" s="28"/>
      <c r="QBU33" s="28"/>
      <c r="QBV33" s="28"/>
      <c r="QBW33" s="28"/>
      <c r="QBX33" s="28"/>
      <c r="QBY33" s="28"/>
      <c r="QBZ33" s="28"/>
      <c r="QCA33" s="28"/>
      <c r="QCB33" s="28"/>
      <c r="QCC33" s="28"/>
      <c r="QCD33" s="28"/>
      <c r="QCE33" s="28"/>
      <c r="QCF33" s="28"/>
      <c r="QCG33" s="28"/>
      <c r="QCH33" s="28"/>
      <c r="QCI33" s="28"/>
      <c r="QCJ33" s="28"/>
      <c r="QCK33" s="28"/>
      <c r="QCL33" s="28"/>
      <c r="QCM33" s="28"/>
      <c r="QCN33" s="28"/>
      <c r="QCO33" s="28"/>
      <c r="QCP33" s="28"/>
      <c r="QCQ33" s="28"/>
      <c r="QCR33" s="28"/>
      <c r="QCS33" s="28"/>
      <c r="QCT33" s="28"/>
      <c r="QCU33" s="28"/>
      <c r="QCV33" s="28"/>
      <c r="QCW33" s="28"/>
      <c r="QCX33" s="28"/>
      <c r="QCY33" s="28"/>
      <c r="QCZ33" s="28"/>
      <c r="QDA33" s="28"/>
      <c r="QDB33" s="28"/>
      <c r="QDC33" s="28"/>
      <c r="QDD33" s="28"/>
      <c r="QDE33" s="28"/>
      <c r="QDF33" s="28"/>
      <c r="QDG33" s="28"/>
      <c r="QDH33" s="28"/>
      <c r="QDI33" s="28"/>
      <c r="QDJ33" s="28"/>
      <c r="QDK33" s="28"/>
      <c r="QDL33" s="28"/>
      <c r="QDM33" s="28"/>
      <c r="QDN33" s="28"/>
      <c r="QDO33" s="28"/>
      <c r="QDP33" s="28"/>
      <c r="QDQ33" s="28"/>
      <c r="QDR33" s="28"/>
      <c r="QDS33" s="28"/>
      <c r="QDT33" s="28"/>
      <c r="QDU33" s="28"/>
      <c r="QDV33" s="28"/>
      <c r="QDW33" s="28"/>
      <c r="QDX33" s="28"/>
      <c r="QDY33" s="28"/>
      <c r="QDZ33" s="28"/>
      <c r="QEA33" s="28"/>
      <c r="QEB33" s="28"/>
      <c r="QEC33" s="28"/>
      <c r="QED33" s="28"/>
      <c r="QEE33" s="28"/>
      <c r="QEF33" s="28"/>
      <c r="QEG33" s="28"/>
      <c r="QEH33" s="28"/>
      <c r="QEI33" s="28"/>
      <c r="QEJ33" s="28"/>
      <c r="QEK33" s="28"/>
      <c r="QEL33" s="28"/>
      <c r="QEM33" s="28"/>
      <c r="QEN33" s="28"/>
      <c r="QEO33" s="28"/>
      <c r="QEP33" s="28"/>
      <c r="QEQ33" s="28"/>
      <c r="QER33" s="28"/>
      <c r="QES33" s="28"/>
      <c r="QET33" s="28"/>
      <c r="QEU33" s="28"/>
      <c r="QEV33" s="28"/>
      <c r="QEW33" s="28"/>
      <c r="QEX33" s="28"/>
      <c r="QEY33" s="28"/>
      <c r="QEZ33" s="28"/>
      <c r="QFA33" s="28"/>
      <c r="QFB33" s="28"/>
      <c r="QFC33" s="28"/>
      <c r="QFD33" s="28"/>
      <c r="QFE33" s="28"/>
      <c r="QFF33" s="28"/>
      <c r="QFG33" s="28"/>
      <c r="QFH33" s="28"/>
      <c r="QFI33" s="28"/>
      <c r="QFJ33" s="28"/>
      <c r="QFK33" s="28"/>
      <c r="QFL33" s="28"/>
      <c r="QFM33" s="28"/>
      <c r="QFN33" s="28"/>
      <c r="QFO33" s="28"/>
      <c r="QFP33" s="28"/>
      <c r="QFQ33" s="28"/>
      <c r="QFR33" s="28"/>
      <c r="QFS33" s="28"/>
      <c r="QFT33" s="28"/>
      <c r="QFU33" s="28"/>
      <c r="QFV33" s="28"/>
      <c r="QFW33" s="28"/>
      <c r="QFX33" s="28"/>
      <c r="QFY33" s="28"/>
      <c r="QFZ33" s="28"/>
      <c r="QGA33" s="28"/>
      <c r="QGB33" s="28"/>
      <c r="QGC33" s="28"/>
      <c r="QGD33" s="28"/>
      <c r="QGE33" s="28"/>
      <c r="QGF33" s="28"/>
      <c r="QGG33" s="28"/>
      <c r="QGH33" s="28"/>
      <c r="QGI33" s="28"/>
      <c r="QGJ33" s="28"/>
      <c r="QGK33" s="28"/>
      <c r="QGL33" s="28"/>
      <c r="QGM33" s="28"/>
      <c r="QGN33" s="28"/>
      <c r="QGO33" s="28"/>
      <c r="QGP33" s="28"/>
      <c r="QGQ33" s="28"/>
      <c r="QGR33" s="28"/>
      <c r="QGS33" s="28"/>
      <c r="QGT33" s="28"/>
      <c r="QGU33" s="28"/>
      <c r="QGV33" s="28"/>
      <c r="QGW33" s="28"/>
      <c r="QGX33" s="28"/>
      <c r="QGY33" s="28"/>
      <c r="QGZ33" s="28"/>
      <c r="QHA33" s="28"/>
      <c r="QHB33" s="28"/>
      <c r="QHC33" s="28"/>
      <c r="QHD33" s="28"/>
      <c r="QHE33" s="28"/>
      <c r="QHF33" s="28"/>
      <c r="QHG33" s="28"/>
      <c r="QHH33" s="28"/>
      <c r="QHI33" s="28"/>
      <c r="QHJ33" s="28"/>
      <c r="QHK33" s="28"/>
      <c r="QHL33" s="28"/>
      <c r="QHM33" s="28"/>
      <c r="QHN33" s="28"/>
      <c r="QHO33" s="28"/>
      <c r="QHP33" s="28"/>
      <c r="QHQ33" s="28"/>
      <c r="QHR33" s="28"/>
      <c r="QHS33" s="28"/>
      <c r="QHT33" s="28"/>
      <c r="QHU33" s="28"/>
      <c r="QHV33" s="28"/>
      <c r="QHW33" s="28"/>
      <c r="QHX33" s="28"/>
      <c r="QHY33" s="28"/>
      <c r="QHZ33" s="28"/>
      <c r="QIA33" s="28"/>
      <c r="QIB33" s="28"/>
      <c r="QIC33" s="28"/>
      <c r="QID33" s="28"/>
      <c r="QIE33" s="28"/>
      <c r="QIF33" s="28"/>
      <c r="QIG33" s="28"/>
      <c r="QIH33" s="28"/>
      <c r="QII33" s="28"/>
      <c r="QIJ33" s="28"/>
      <c r="QIK33" s="28"/>
      <c r="QIL33" s="28"/>
      <c r="QIM33" s="28"/>
      <c r="QIN33" s="28"/>
      <c r="QIO33" s="28"/>
      <c r="QIP33" s="28"/>
      <c r="QIQ33" s="28"/>
      <c r="QIR33" s="28"/>
      <c r="QIS33" s="28"/>
      <c r="QIT33" s="28"/>
      <c r="QIU33" s="28"/>
      <c r="QIV33" s="28"/>
      <c r="QIW33" s="28"/>
      <c r="QIX33" s="28"/>
      <c r="QIY33" s="28"/>
      <c r="QIZ33" s="28"/>
      <c r="QJA33" s="28"/>
      <c r="QJB33" s="28"/>
      <c r="QJC33" s="28"/>
      <c r="QJD33" s="28"/>
      <c r="QJE33" s="28"/>
      <c r="QJF33" s="28"/>
      <c r="QJG33" s="28"/>
      <c r="QJH33" s="28"/>
      <c r="QJI33" s="28"/>
      <c r="QJJ33" s="28"/>
      <c r="QJK33" s="28"/>
      <c r="QJL33" s="28"/>
      <c r="QJM33" s="28"/>
      <c r="QJN33" s="28"/>
      <c r="QJO33" s="28"/>
      <c r="QJP33" s="28"/>
      <c r="QJQ33" s="28"/>
      <c r="QJR33" s="28"/>
      <c r="QJS33" s="28"/>
      <c r="QJT33" s="28"/>
      <c r="QJU33" s="28"/>
      <c r="QJV33" s="28"/>
      <c r="QJW33" s="28"/>
      <c r="QJX33" s="28"/>
      <c r="QJY33" s="28"/>
      <c r="QJZ33" s="28"/>
      <c r="QKA33" s="28"/>
      <c r="QKB33" s="28"/>
      <c r="QKC33" s="28"/>
      <c r="QKD33" s="28"/>
      <c r="QKE33" s="28"/>
      <c r="QKF33" s="28"/>
      <c r="QKG33" s="28"/>
      <c r="QKH33" s="28"/>
      <c r="QKI33" s="28"/>
      <c r="QKJ33" s="28"/>
      <c r="QKK33" s="28"/>
      <c r="QKL33" s="28"/>
      <c r="QKM33" s="28"/>
      <c r="QKN33" s="28"/>
      <c r="QKO33" s="28"/>
      <c r="QKP33" s="28"/>
      <c r="QKQ33" s="28"/>
      <c r="QKR33" s="28"/>
      <c r="QKS33" s="28"/>
      <c r="QKT33" s="28"/>
      <c r="QKU33" s="28"/>
      <c r="QKV33" s="28"/>
      <c r="QKW33" s="28"/>
      <c r="QKX33" s="28"/>
      <c r="QKY33" s="28"/>
      <c r="QKZ33" s="28"/>
      <c r="QLA33" s="28"/>
      <c r="QLB33" s="28"/>
      <c r="QLC33" s="28"/>
      <c r="QLD33" s="28"/>
      <c r="QLE33" s="28"/>
      <c r="QLF33" s="28"/>
      <c r="QLG33" s="28"/>
      <c r="QLH33" s="28"/>
      <c r="QLI33" s="28"/>
      <c r="QLJ33" s="28"/>
      <c r="QLK33" s="28"/>
      <c r="QLL33" s="28"/>
      <c r="QLM33" s="28"/>
      <c r="QLN33" s="28"/>
      <c r="QLO33" s="28"/>
      <c r="QLP33" s="28"/>
      <c r="QLQ33" s="28"/>
      <c r="QLR33" s="28"/>
      <c r="QLS33" s="28"/>
      <c r="QLT33" s="28"/>
      <c r="QLU33" s="28"/>
      <c r="QLV33" s="28"/>
      <c r="QLW33" s="28"/>
      <c r="QLX33" s="28"/>
      <c r="QLY33" s="28"/>
      <c r="QLZ33" s="28"/>
      <c r="QMA33" s="28"/>
      <c r="QMB33" s="28"/>
      <c r="QMC33" s="28"/>
      <c r="QMD33" s="28"/>
      <c r="QME33" s="28"/>
      <c r="QMF33" s="28"/>
      <c r="QMG33" s="28"/>
      <c r="QMH33" s="28"/>
      <c r="QMI33" s="28"/>
      <c r="QMJ33" s="28"/>
      <c r="QMK33" s="28"/>
      <c r="QML33" s="28"/>
      <c r="QMM33" s="28"/>
      <c r="QMN33" s="28"/>
      <c r="QMO33" s="28"/>
      <c r="QMP33" s="28"/>
      <c r="QMQ33" s="28"/>
      <c r="QMR33" s="28"/>
      <c r="QMS33" s="28"/>
      <c r="QMT33" s="28"/>
      <c r="QMU33" s="28"/>
      <c r="QMV33" s="28"/>
      <c r="QMW33" s="28"/>
      <c r="QMX33" s="28"/>
      <c r="QMY33" s="28"/>
      <c r="QMZ33" s="28"/>
      <c r="QNA33" s="28"/>
      <c r="QNB33" s="28"/>
      <c r="QNC33" s="28"/>
      <c r="QND33" s="28"/>
      <c r="QNE33" s="28"/>
      <c r="QNF33" s="28"/>
      <c r="QNG33" s="28"/>
      <c r="QNH33" s="28"/>
      <c r="QNI33" s="28"/>
      <c r="QNJ33" s="28"/>
      <c r="QNK33" s="28"/>
      <c r="QNL33" s="28"/>
      <c r="QNM33" s="28"/>
      <c r="QNN33" s="28"/>
      <c r="QNO33" s="28"/>
      <c r="QNP33" s="28"/>
      <c r="QNQ33" s="28"/>
      <c r="QNR33" s="28"/>
      <c r="QNS33" s="28"/>
      <c r="QNT33" s="28"/>
      <c r="QNU33" s="28"/>
      <c r="QNV33" s="28"/>
      <c r="QNW33" s="28"/>
      <c r="QNX33" s="28"/>
      <c r="QNY33" s="28"/>
      <c r="QNZ33" s="28"/>
      <c r="QOA33" s="28"/>
      <c r="QOB33" s="28"/>
      <c r="QOC33" s="28"/>
      <c r="QOD33" s="28"/>
      <c r="QOE33" s="28"/>
      <c r="QOF33" s="28"/>
      <c r="QOG33" s="28"/>
      <c r="QOH33" s="28"/>
      <c r="QOI33" s="28"/>
      <c r="QOJ33" s="28"/>
      <c r="QOK33" s="28"/>
      <c r="QOL33" s="28"/>
      <c r="QOM33" s="28"/>
      <c r="QON33" s="28"/>
      <c r="QOO33" s="28"/>
      <c r="QOP33" s="28"/>
      <c r="QOQ33" s="28"/>
      <c r="QOR33" s="28"/>
      <c r="QOS33" s="28"/>
      <c r="QOT33" s="28"/>
      <c r="QOU33" s="28"/>
      <c r="QOV33" s="28"/>
      <c r="QOW33" s="28"/>
      <c r="QOX33" s="28"/>
      <c r="QOY33" s="28"/>
      <c r="QOZ33" s="28"/>
      <c r="QPA33" s="28"/>
      <c r="QPB33" s="28"/>
      <c r="QPC33" s="28"/>
      <c r="QPD33" s="28"/>
      <c r="QPE33" s="28"/>
      <c r="QPF33" s="28"/>
      <c r="QPG33" s="28"/>
      <c r="QPH33" s="28"/>
      <c r="QPI33" s="28"/>
      <c r="QPJ33" s="28"/>
      <c r="QPK33" s="28"/>
      <c r="QPL33" s="28"/>
      <c r="QPM33" s="28"/>
      <c r="QPN33" s="28"/>
      <c r="QPO33" s="28"/>
      <c r="QPP33" s="28"/>
      <c r="QPQ33" s="28"/>
      <c r="QPR33" s="28"/>
      <c r="QPS33" s="28"/>
      <c r="QPT33" s="28"/>
      <c r="QPU33" s="28"/>
      <c r="QPV33" s="28"/>
      <c r="QPW33" s="28"/>
      <c r="QPX33" s="28"/>
      <c r="QPY33" s="28"/>
      <c r="QPZ33" s="28"/>
      <c r="QQA33" s="28"/>
      <c r="QQB33" s="28"/>
      <c r="QQC33" s="28"/>
      <c r="QQD33" s="28"/>
      <c r="QQE33" s="28"/>
      <c r="QQF33" s="28"/>
      <c r="QQG33" s="28"/>
      <c r="QQH33" s="28"/>
      <c r="QQI33" s="28"/>
      <c r="QQJ33" s="28"/>
      <c r="QQK33" s="28"/>
      <c r="QQL33" s="28"/>
      <c r="QQM33" s="28"/>
      <c r="QQN33" s="28"/>
      <c r="QQO33" s="28"/>
      <c r="QQP33" s="28"/>
      <c r="QQQ33" s="28"/>
      <c r="QQR33" s="28"/>
      <c r="QQS33" s="28"/>
      <c r="QQT33" s="28"/>
      <c r="QQU33" s="28"/>
      <c r="QQV33" s="28"/>
      <c r="QQW33" s="28"/>
      <c r="QQX33" s="28"/>
      <c r="QQY33" s="28"/>
      <c r="QQZ33" s="28"/>
      <c r="QRA33" s="28"/>
      <c r="QRB33" s="28"/>
      <c r="QRC33" s="28"/>
      <c r="QRD33" s="28"/>
      <c r="QRE33" s="28"/>
      <c r="QRF33" s="28"/>
      <c r="QRG33" s="28"/>
      <c r="QRH33" s="28"/>
      <c r="QRI33" s="28"/>
      <c r="QRJ33" s="28"/>
      <c r="QRK33" s="28"/>
      <c r="QRL33" s="28"/>
      <c r="QRM33" s="28"/>
      <c r="QRN33" s="28"/>
      <c r="QRO33" s="28"/>
      <c r="QRP33" s="28"/>
      <c r="QRQ33" s="28"/>
      <c r="QRR33" s="28"/>
      <c r="QRS33" s="28"/>
      <c r="QRT33" s="28"/>
      <c r="QRU33" s="28"/>
      <c r="QRV33" s="28"/>
      <c r="QRW33" s="28"/>
      <c r="QRX33" s="28"/>
      <c r="QRY33" s="28"/>
      <c r="QRZ33" s="28"/>
      <c r="QSA33" s="28"/>
      <c r="QSB33" s="28"/>
      <c r="QSC33" s="28"/>
      <c r="QSD33" s="28"/>
      <c r="QSE33" s="28"/>
      <c r="QSF33" s="28"/>
      <c r="QSG33" s="28"/>
      <c r="QSH33" s="28"/>
      <c r="QSI33" s="28"/>
      <c r="QSJ33" s="28"/>
      <c r="QSK33" s="28"/>
      <c r="QSL33" s="28"/>
      <c r="QSM33" s="28"/>
      <c r="QSN33" s="28"/>
      <c r="QSO33" s="28"/>
      <c r="QSP33" s="28"/>
      <c r="QSQ33" s="28"/>
      <c r="QSR33" s="28"/>
      <c r="QSS33" s="28"/>
      <c r="QST33" s="28"/>
      <c r="QSU33" s="28"/>
      <c r="QSV33" s="28"/>
      <c r="QSW33" s="28"/>
      <c r="QSX33" s="28"/>
      <c r="QSY33" s="28"/>
      <c r="QSZ33" s="28"/>
      <c r="QTA33" s="28"/>
      <c r="QTB33" s="28"/>
      <c r="QTC33" s="28"/>
      <c r="QTD33" s="28"/>
      <c r="QTE33" s="28"/>
      <c r="QTF33" s="28"/>
      <c r="QTG33" s="28"/>
      <c r="QTH33" s="28"/>
      <c r="QTI33" s="28"/>
      <c r="QTJ33" s="28"/>
      <c r="QTK33" s="28"/>
      <c r="QTL33" s="28"/>
      <c r="QTM33" s="28"/>
      <c r="QTN33" s="28"/>
      <c r="QTO33" s="28"/>
      <c r="QTP33" s="28"/>
      <c r="QTQ33" s="28"/>
      <c r="QTR33" s="28"/>
      <c r="QTS33" s="28"/>
      <c r="QTT33" s="28"/>
      <c r="QTU33" s="28"/>
      <c r="QTV33" s="28"/>
      <c r="QTW33" s="28"/>
      <c r="QTX33" s="28"/>
      <c r="QTY33" s="28"/>
      <c r="QTZ33" s="28"/>
      <c r="QUA33" s="28"/>
      <c r="QUB33" s="28"/>
      <c r="QUC33" s="28"/>
      <c r="QUD33" s="28"/>
      <c r="QUE33" s="28"/>
      <c r="QUF33" s="28"/>
      <c r="QUG33" s="28"/>
      <c r="QUH33" s="28"/>
      <c r="QUI33" s="28"/>
      <c r="QUJ33" s="28"/>
      <c r="QUK33" s="28"/>
      <c r="QUL33" s="28"/>
      <c r="QUM33" s="28"/>
      <c r="QUN33" s="28"/>
      <c r="QUO33" s="28"/>
      <c r="QUP33" s="28"/>
      <c r="QUQ33" s="28"/>
      <c r="QUR33" s="28"/>
      <c r="QUS33" s="28"/>
      <c r="QUT33" s="28"/>
      <c r="QUU33" s="28"/>
      <c r="QUV33" s="28"/>
      <c r="QUW33" s="28"/>
      <c r="QUX33" s="28"/>
      <c r="QUY33" s="28"/>
      <c r="QUZ33" s="28"/>
      <c r="QVA33" s="28"/>
      <c r="QVB33" s="28"/>
      <c r="QVC33" s="28"/>
      <c r="QVD33" s="28"/>
      <c r="QVE33" s="28"/>
      <c r="QVF33" s="28"/>
      <c r="QVG33" s="28"/>
      <c r="QVH33" s="28"/>
      <c r="QVI33" s="28"/>
      <c r="QVJ33" s="28"/>
      <c r="QVK33" s="28"/>
      <c r="QVL33" s="28"/>
      <c r="QVM33" s="28"/>
      <c r="QVN33" s="28"/>
      <c r="QVO33" s="28"/>
      <c r="QVP33" s="28"/>
      <c r="QVQ33" s="28"/>
      <c r="QVR33" s="28"/>
      <c r="QVS33" s="28"/>
      <c r="QVT33" s="28"/>
      <c r="QVU33" s="28"/>
      <c r="QVV33" s="28"/>
      <c r="QVW33" s="28"/>
      <c r="QVX33" s="28"/>
      <c r="QVY33" s="28"/>
      <c r="QVZ33" s="28"/>
      <c r="QWA33" s="28"/>
      <c r="QWB33" s="28"/>
      <c r="QWC33" s="28"/>
      <c r="QWD33" s="28"/>
      <c r="QWE33" s="28"/>
      <c r="QWF33" s="28"/>
      <c r="QWG33" s="28"/>
      <c r="QWH33" s="28"/>
      <c r="QWI33" s="28"/>
      <c r="QWJ33" s="28"/>
      <c r="QWK33" s="28"/>
      <c r="QWL33" s="28"/>
      <c r="QWM33" s="28"/>
      <c r="QWN33" s="28"/>
      <c r="QWO33" s="28"/>
      <c r="QWP33" s="28"/>
      <c r="QWQ33" s="28"/>
      <c r="QWR33" s="28"/>
      <c r="QWS33" s="28"/>
      <c r="QWT33" s="28"/>
      <c r="QWU33" s="28"/>
      <c r="QWV33" s="28"/>
      <c r="QWW33" s="28"/>
      <c r="QWX33" s="28"/>
      <c r="QWY33" s="28"/>
      <c r="QWZ33" s="28"/>
      <c r="QXA33" s="28"/>
      <c r="QXB33" s="28"/>
      <c r="QXC33" s="28"/>
      <c r="QXD33" s="28"/>
      <c r="QXE33" s="28"/>
      <c r="QXF33" s="28"/>
      <c r="QXG33" s="28"/>
      <c r="QXH33" s="28"/>
      <c r="QXI33" s="28"/>
      <c r="QXJ33" s="28"/>
      <c r="QXK33" s="28"/>
      <c r="QXL33" s="28"/>
      <c r="QXM33" s="28"/>
      <c r="QXN33" s="28"/>
      <c r="QXO33" s="28"/>
      <c r="QXP33" s="28"/>
      <c r="QXQ33" s="28"/>
      <c r="QXR33" s="28"/>
      <c r="QXS33" s="28"/>
      <c r="QXT33" s="28"/>
      <c r="QXU33" s="28"/>
      <c r="QXV33" s="28"/>
      <c r="QXW33" s="28"/>
      <c r="QXX33" s="28"/>
      <c r="QXY33" s="28"/>
      <c r="QXZ33" s="28"/>
      <c r="QYA33" s="28"/>
      <c r="QYB33" s="28"/>
      <c r="QYC33" s="28"/>
      <c r="QYD33" s="28"/>
      <c r="QYE33" s="28"/>
      <c r="QYF33" s="28"/>
      <c r="QYG33" s="28"/>
      <c r="QYH33" s="28"/>
      <c r="QYI33" s="28"/>
      <c r="QYJ33" s="28"/>
      <c r="QYK33" s="28"/>
      <c r="QYL33" s="28"/>
      <c r="QYM33" s="28"/>
      <c r="QYN33" s="28"/>
      <c r="QYO33" s="28"/>
      <c r="QYP33" s="28"/>
      <c r="QYQ33" s="28"/>
      <c r="QYR33" s="28"/>
      <c r="QYS33" s="28"/>
      <c r="QYT33" s="28"/>
      <c r="QYU33" s="28"/>
      <c r="QYV33" s="28"/>
      <c r="QYW33" s="28"/>
      <c r="QYX33" s="28"/>
      <c r="QYY33" s="28"/>
      <c r="QYZ33" s="28"/>
      <c r="QZA33" s="28"/>
      <c r="QZB33" s="28"/>
      <c r="QZC33" s="28"/>
      <c r="QZD33" s="28"/>
      <c r="QZE33" s="28"/>
      <c r="QZF33" s="28"/>
      <c r="QZG33" s="28"/>
      <c r="QZH33" s="28"/>
      <c r="QZI33" s="28"/>
      <c r="QZJ33" s="28"/>
      <c r="QZK33" s="28"/>
      <c r="QZL33" s="28"/>
      <c r="QZM33" s="28"/>
      <c r="QZN33" s="28"/>
      <c r="QZO33" s="28"/>
      <c r="QZP33" s="28"/>
      <c r="QZQ33" s="28"/>
      <c r="QZR33" s="28"/>
      <c r="QZS33" s="28"/>
      <c r="QZT33" s="28"/>
      <c r="QZU33" s="28"/>
      <c r="QZV33" s="28"/>
      <c r="QZW33" s="28"/>
      <c r="QZX33" s="28"/>
      <c r="QZY33" s="28"/>
      <c r="QZZ33" s="28"/>
      <c r="RAA33" s="28"/>
      <c r="RAB33" s="28"/>
      <c r="RAC33" s="28"/>
      <c r="RAD33" s="28"/>
      <c r="RAE33" s="28"/>
      <c r="RAF33" s="28"/>
      <c r="RAG33" s="28"/>
      <c r="RAH33" s="28"/>
      <c r="RAI33" s="28"/>
      <c r="RAJ33" s="28"/>
      <c r="RAK33" s="28"/>
      <c r="RAL33" s="28"/>
      <c r="RAM33" s="28"/>
      <c r="RAN33" s="28"/>
      <c r="RAO33" s="28"/>
      <c r="RAP33" s="28"/>
      <c r="RAQ33" s="28"/>
      <c r="RAR33" s="28"/>
      <c r="RAS33" s="28"/>
      <c r="RAT33" s="28"/>
      <c r="RAU33" s="28"/>
      <c r="RAV33" s="28"/>
      <c r="RAW33" s="28"/>
      <c r="RAX33" s="28"/>
      <c r="RAY33" s="28"/>
      <c r="RAZ33" s="28"/>
      <c r="RBA33" s="28"/>
      <c r="RBB33" s="28"/>
      <c r="RBC33" s="28"/>
      <c r="RBD33" s="28"/>
      <c r="RBE33" s="28"/>
      <c r="RBF33" s="28"/>
      <c r="RBG33" s="28"/>
      <c r="RBH33" s="28"/>
      <c r="RBI33" s="28"/>
      <c r="RBJ33" s="28"/>
      <c r="RBK33" s="28"/>
      <c r="RBL33" s="28"/>
      <c r="RBM33" s="28"/>
      <c r="RBN33" s="28"/>
      <c r="RBO33" s="28"/>
      <c r="RBP33" s="28"/>
      <c r="RBQ33" s="28"/>
      <c r="RBR33" s="28"/>
      <c r="RBS33" s="28"/>
      <c r="RBT33" s="28"/>
      <c r="RBU33" s="28"/>
      <c r="RBV33" s="28"/>
      <c r="RBW33" s="28"/>
      <c r="RBX33" s="28"/>
      <c r="RBY33" s="28"/>
      <c r="RBZ33" s="28"/>
      <c r="RCA33" s="28"/>
      <c r="RCB33" s="28"/>
      <c r="RCC33" s="28"/>
      <c r="RCD33" s="28"/>
      <c r="RCE33" s="28"/>
      <c r="RCF33" s="28"/>
      <c r="RCG33" s="28"/>
      <c r="RCH33" s="28"/>
      <c r="RCI33" s="28"/>
      <c r="RCJ33" s="28"/>
      <c r="RCK33" s="28"/>
      <c r="RCL33" s="28"/>
      <c r="RCM33" s="28"/>
      <c r="RCN33" s="28"/>
      <c r="RCO33" s="28"/>
      <c r="RCP33" s="28"/>
      <c r="RCQ33" s="28"/>
      <c r="RCR33" s="28"/>
      <c r="RCS33" s="28"/>
      <c r="RCT33" s="28"/>
      <c r="RCU33" s="28"/>
      <c r="RCV33" s="28"/>
      <c r="RCW33" s="28"/>
      <c r="RCX33" s="28"/>
      <c r="RCY33" s="28"/>
      <c r="RCZ33" s="28"/>
      <c r="RDA33" s="28"/>
      <c r="RDB33" s="28"/>
      <c r="RDC33" s="28"/>
      <c r="RDD33" s="28"/>
      <c r="RDE33" s="28"/>
      <c r="RDF33" s="28"/>
      <c r="RDG33" s="28"/>
      <c r="RDH33" s="28"/>
      <c r="RDI33" s="28"/>
      <c r="RDJ33" s="28"/>
      <c r="RDK33" s="28"/>
      <c r="RDL33" s="28"/>
      <c r="RDM33" s="28"/>
      <c r="RDN33" s="28"/>
      <c r="RDO33" s="28"/>
      <c r="RDP33" s="28"/>
      <c r="RDQ33" s="28"/>
      <c r="RDR33" s="28"/>
      <c r="RDS33" s="28"/>
      <c r="RDT33" s="28"/>
      <c r="RDU33" s="28"/>
      <c r="RDV33" s="28"/>
      <c r="RDW33" s="28"/>
      <c r="RDX33" s="28"/>
      <c r="RDY33" s="28"/>
      <c r="RDZ33" s="28"/>
      <c r="REA33" s="28"/>
      <c r="REB33" s="28"/>
      <c r="REC33" s="28"/>
      <c r="RED33" s="28"/>
      <c r="REE33" s="28"/>
      <c r="REF33" s="28"/>
      <c r="REG33" s="28"/>
      <c r="REH33" s="28"/>
      <c r="REI33" s="28"/>
      <c r="REJ33" s="28"/>
      <c r="REK33" s="28"/>
      <c r="REL33" s="28"/>
      <c r="REM33" s="28"/>
      <c r="REN33" s="28"/>
      <c r="REO33" s="28"/>
      <c r="REP33" s="28"/>
      <c r="REQ33" s="28"/>
      <c r="RER33" s="28"/>
      <c r="RES33" s="28"/>
      <c r="RET33" s="28"/>
      <c r="REU33" s="28"/>
      <c r="REV33" s="28"/>
      <c r="REW33" s="28"/>
      <c r="REX33" s="28"/>
      <c r="REY33" s="28"/>
      <c r="REZ33" s="28"/>
      <c r="RFA33" s="28"/>
      <c r="RFB33" s="28"/>
      <c r="RFC33" s="28"/>
      <c r="RFD33" s="28"/>
      <c r="RFE33" s="28"/>
      <c r="RFF33" s="28"/>
      <c r="RFG33" s="28"/>
      <c r="RFH33" s="28"/>
      <c r="RFI33" s="28"/>
      <c r="RFJ33" s="28"/>
      <c r="RFK33" s="28"/>
      <c r="RFL33" s="28"/>
      <c r="RFM33" s="28"/>
      <c r="RFN33" s="28"/>
      <c r="RFO33" s="28"/>
      <c r="RFP33" s="28"/>
      <c r="RFQ33" s="28"/>
      <c r="RFR33" s="28"/>
      <c r="RFS33" s="28"/>
      <c r="RFT33" s="28"/>
      <c r="RFU33" s="28"/>
      <c r="RFV33" s="28"/>
      <c r="RFW33" s="28"/>
      <c r="RFX33" s="28"/>
      <c r="RFY33" s="28"/>
      <c r="RFZ33" s="28"/>
      <c r="RGA33" s="28"/>
      <c r="RGB33" s="28"/>
      <c r="RGC33" s="28"/>
      <c r="RGD33" s="28"/>
      <c r="RGE33" s="28"/>
      <c r="RGF33" s="28"/>
      <c r="RGG33" s="28"/>
      <c r="RGH33" s="28"/>
      <c r="RGI33" s="28"/>
      <c r="RGJ33" s="28"/>
      <c r="RGK33" s="28"/>
      <c r="RGL33" s="28"/>
      <c r="RGM33" s="28"/>
      <c r="RGN33" s="28"/>
      <c r="RGO33" s="28"/>
      <c r="RGP33" s="28"/>
      <c r="RGQ33" s="28"/>
      <c r="RGR33" s="28"/>
      <c r="RGS33" s="28"/>
      <c r="RGT33" s="28"/>
      <c r="RGU33" s="28"/>
      <c r="RGV33" s="28"/>
      <c r="RGW33" s="28"/>
      <c r="RGX33" s="28"/>
      <c r="RGY33" s="28"/>
      <c r="RGZ33" s="28"/>
      <c r="RHA33" s="28"/>
      <c r="RHB33" s="28"/>
      <c r="RHC33" s="28"/>
      <c r="RHD33" s="28"/>
      <c r="RHE33" s="28"/>
      <c r="RHF33" s="28"/>
      <c r="RHG33" s="28"/>
      <c r="RHH33" s="28"/>
      <c r="RHI33" s="28"/>
      <c r="RHJ33" s="28"/>
      <c r="RHK33" s="28"/>
      <c r="RHL33" s="28"/>
      <c r="RHM33" s="28"/>
      <c r="RHN33" s="28"/>
      <c r="RHO33" s="28"/>
      <c r="RHP33" s="28"/>
      <c r="RHQ33" s="28"/>
      <c r="RHR33" s="28"/>
      <c r="RHS33" s="28"/>
      <c r="RHT33" s="28"/>
      <c r="RHU33" s="28"/>
      <c r="RHV33" s="28"/>
      <c r="RHW33" s="28"/>
      <c r="RHX33" s="28"/>
      <c r="RHY33" s="28"/>
      <c r="RHZ33" s="28"/>
      <c r="RIA33" s="28"/>
      <c r="RIB33" s="28"/>
      <c r="RIC33" s="28"/>
      <c r="RID33" s="28"/>
      <c r="RIE33" s="28"/>
      <c r="RIF33" s="28"/>
      <c r="RIG33" s="28"/>
      <c r="RIH33" s="28"/>
      <c r="RII33" s="28"/>
      <c r="RIJ33" s="28"/>
      <c r="RIK33" s="28"/>
      <c r="RIL33" s="28"/>
      <c r="RIM33" s="28"/>
      <c r="RIN33" s="28"/>
      <c r="RIO33" s="28"/>
      <c r="RIP33" s="28"/>
      <c r="RIQ33" s="28"/>
      <c r="RIR33" s="28"/>
      <c r="RIS33" s="28"/>
      <c r="RIT33" s="28"/>
      <c r="RIU33" s="28"/>
      <c r="RIV33" s="28"/>
      <c r="RIW33" s="28"/>
      <c r="RIX33" s="28"/>
      <c r="RIY33" s="28"/>
      <c r="RIZ33" s="28"/>
      <c r="RJA33" s="28"/>
      <c r="RJB33" s="28"/>
      <c r="RJC33" s="28"/>
      <c r="RJD33" s="28"/>
      <c r="RJE33" s="28"/>
      <c r="RJF33" s="28"/>
      <c r="RJG33" s="28"/>
      <c r="RJH33" s="28"/>
      <c r="RJI33" s="28"/>
      <c r="RJJ33" s="28"/>
      <c r="RJK33" s="28"/>
      <c r="RJL33" s="28"/>
      <c r="RJM33" s="28"/>
      <c r="RJN33" s="28"/>
      <c r="RJO33" s="28"/>
      <c r="RJP33" s="28"/>
      <c r="RJQ33" s="28"/>
      <c r="RJR33" s="28"/>
      <c r="RJS33" s="28"/>
      <c r="RJT33" s="28"/>
      <c r="RJU33" s="28"/>
      <c r="RJV33" s="28"/>
      <c r="RJW33" s="28"/>
      <c r="RJX33" s="28"/>
      <c r="RJY33" s="28"/>
      <c r="RJZ33" s="28"/>
      <c r="RKA33" s="28"/>
      <c r="RKB33" s="28"/>
      <c r="RKC33" s="28"/>
      <c r="RKD33" s="28"/>
      <c r="RKE33" s="28"/>
      <c r="RKF33" s="28"/>
      <c r="RKG33" s="28"/>
      <c r="RKH33" s="28"/>
      <c r="RKI33" s="28"/>
      <c r="RKJ33" s="28"/>
      <c r="RKK33" s="28"/>
      <c r="RKL33" s="28"/>
      <c r="RKM33" s="28"/>
      <c r="RKN33" s="28"/>
      <c r="RKO33" s="28"/>
      <c r="RKP33" s="28"/>
      <c r="RKQ33" s="28"/>
      <c r="RKR33" s="28"/>
      <c r="RKS33" s="28"/>
      <c r="RKT33" s="28"/>
      <c r="RKU33" s="28"/>
      <c r="RKV33" s="28"/>
      <c r="RKW33" s="28"/>
      <c r="RKX33" s="28"/>
      <c r="RKY33" s="28"/>
      <c r="RKZ33" s="28"/>
      <c r="RLA33" s="28"/>
      <c r="RLB33" s="28"/>
      <c r="RLC33" s="28"/>
      <c r="RLD33" s="28"/>
      <c r="RLE33" s="28"/>
      <c r="RLF33" s="28"/>
      <c r="RLG33" s="28"/>
      <c r="RLH33" s="28"/>
      <c r="RLI33" s="28"/>
      <c r="RLJ33" s="28"/>
      <c r="RLK33" s="28"/>
      <c r="RLL33" s="28"/>
      <c r="RLM33" s="28"/>
      <c r="RLN33" s="28"/>
      <c r="RLO33" s="28"/>
      <c r="RLP33" s="28"/>
      <c r="RLQ33" s="28"/>
      <c r="RLR33" s="28"/>
      <c r="RLS33" s="28"/>
      <c r="RLT33" s="28"/>
      <c r="RLU33" s="28"/>
      <c r="RLV33" s="28"/>
      <c r="RLW33" s="28"/>
      <c r="RLX33" s="28"/>
      <c r="RLY33" s="28"/>
      <c r="RLZ33" s="28"/>
      <c r="RMA33" s="28"/>
      <c r="RMB33" s="28"/>
      <c r="RMC33" s="28"/>
      <c r="RMD33" s="28"/>
      <c r="RME33" s="28"/>
      <c r="RMF33" s="28"/>
      <c r="RMG33" s="28"/>
      <c r="RMH33" s="28"/>
      <c r="RMI33" s="28"/>
      <c r="RMJ33" s="28"/>
      <c r="RMK33" s="28"/>
      <c r="RML33" s="28"/>
      <c r="RMM33" s="28"/>
      <c r="RMN33" s="28"/>
      <c r="RMO33" s="28"/>
      <c r="RMP33" s="28"/>
      <c r="RMQ33" s="28"/>
      <c r="RMR33" s="28"/>
      <c r="RMS33" s="28"/>
      <c r="RMT33" s="28"/>
      <c r="RMU33" s="28"/>
      <c r="RMV33" s="28"/>
      <c r="RMW33" s="28"/>
      <c r="RMX33" s="28"/>
      <c r="RMY33" s="28"/>
      <c r="RMZ33" s="28"/>
      <c r="RNA33" s="28"/>
      <c r="RNB33" s="28"/>
      <c r="RNC33" s="28"/>
      <c r="RND33" s="28"/>
      <c r="RNE33" s="28"/>
      <c r="RNF33" s="28"/>
      <c r="RNG33" s="28"/>
      <c r="RNH33" s="28"/>
      <c r="RNI33" s="28"/>
      <c r="RNJ33" s="28"/>
      <c r="RNK33" s="28"/>
      <c r="RNL33" s="28"/>
      <c r="RNM33" s="28"/>
      <c r="RNN33" s="28"/>
      <c r="RNO33" s="28"/>
      <c r="RNP33" s="28"/>
      <c r="RNQ33" s="28"/>
      <c r="RNR33" s="28"/>
      <c r="RNS33" s="28"/>
      <c r="RNT33" s="28"/>
      <c r="RNU33" s="28"/>
      <c r="RNV33" s="28"/>
      <c r="RNW33" s="28"/>
      <c r="RNX33" s="28"/>
      <c r="RNY33" s="28"/>
      <c r="RNZ33" s="28"/>
      <c r="ROA33" s="28"/>
      <c r="ROB33" s="28"/>
      <c r="ROC33" s="28"/>
      <c r="ROD33" s="28"/>
      <c r="ROE33" s="28"/>
      <c r="ROF33" s="28"/>
      <c r="ROG33" s="28"/>
      <c r="ROH33" s="28"/>
      <c r="ROI33" s="28"/>
      <c r="ROJ33" s="28"/>
      <c r="ROK33" s="28"/>
      <c r="ROL33" s="28"/>
      <c r="ROM33" s="28"/>
      <c r="RON33" s="28"/>
      <c r="ROO33" s="28"/>
      <c r="ROP33" s="28"/>
      <c r="ROQ33" s="28"/>
      <c r="ROR33" s="28"/>
      <c r="ROS33" s="28"/>
      <c r="ROT33" s="28"/>
      <c r="ROU33" s="28"/>
      <c r="ROV33" s="28"/>
      <c r="ROW33" s="28"/>
      <c r="ROX33" s="28"/>
      <c r="ROY33" s="28"/>
      <c r="ROZ33" s="28"/>
      <c r="RPA33" s="28"/>
      <c r="RPB33" s="28"/>
      <c r="RPC33" s="28"/>
      <c r="RPD33" s="28"/>
      <c r="RPE33" s="28"/>
      <c r="RPF33" s="28"/>
      <c r="RPG33" s="28"/>
      <c r="RPH33" s="28"/>
      <c r="RPI33" s="28"/>
      <c r="RPJ33" s="28"/>
      <c r="RPK33" s="28"/>
      <c r="RPL33" s="28"/>
      <c r="RPM33" s="28"/>
      <c r="RPN33" s="28"/>
      <c r="RPO33" s="28"/>
      <c r="RPP33" s="28"/>
      <c r="RPQ33" s="28"/>
      <c r="RPR33" s="28"/>
      <c r="RPS33" s="28"/>
      <c r="RPT33" s="28"/>
      <c r="RPU33" s="28"/>
      <c r="RPV33" s="28"/>
      <c r="RPW33" s="28"/>
      <c r="RPX33" s="28"/>
      <c r="RPY33" s="28"/>
      <c r="RPZ33" s="28"/>
      <c r="RQA33" s="28"/>
      <c r="RQB33" s="28"/>
      <c r="RQC33" s="28"/>
      <c r="RQD33" s="28"/>
      <c r="RQE33" s="28"/>
      <c r="RQF33" s="28"/>
      <c r="RQG33" s="28"/>
      <c r="RQH33" s="28"/>
      <c r="RQI33" s="28"/>
      <c r="RQJ33" s="28"/>
      <c r="RQK33" s="28"/>
      <c r="RQL33" s="28"/>
      <c r="RQM33" s="28"/>
      <c r="RQN33" s="28"/>
      <c r="RQO33" s="28"/>
      <c r="RQP33" s="28"/>
      <c r="RQQ33" s="28"/>
      <c r="RQR33" s="28"/>
      <c r="RQS33" s="28"/>
      <c r="RQT33" s="28"/>
      <c r="RQU33" s="28"/>
      <c r="RQV33" s="28"/>
      <c r="RQW33" s="28"/>
      <c r="RQX33" s="28"/>
      <c r="RQY33" s="28"/>
      <c r="RQZ33" s="28"/>
      <c r="RRA33" s="28"/>
      <c r="RRB33" s="28"/>
      <c r="RRC33" s="28"/>
      <c r="RRD33" s="28"/>
      <c r="RRE33" s="28"/>
      <c r="RRF33" s="28"/>
      <c r="RRG33" s="28"/>
      <c r="RRH33" s="28"/>
      <c r="RRI33" s="28"/>
      <c r="RRJ33" s="28"/>
      <c r="RRK33" s="28"/>
      <c r="RRL33" s="28"/>
      <c r="RRM33" s="28"/>
      <c r="RRN33" s="28"/>
      <c r="RRO33" s="28"/>
      <c r="RRP33" s="28"/>
      <c r="RRQ33" s="28"/>
      <c r="RRR33" s="28"/>
      <c r="RRS33" s="28"/>
      <c r="RRT33" s="28"/>
      <c r="RRU33" s="28"/>
      <c r="RRV33" s="28"/>
      <c r="RRW33" s="28"/>
      <c r="RRX33" s="28"/>
      <c r="RRY33" s="28"/>
      <c r="RRZ33" s="28"/>
      <c r="RSA33" s="28"/>
      <c r="RSB33" s="28"/>
      <c r="RSC33" s="28"/>
      <c r="RSD33" s="28"/>
      <c r="RSE33" s="28"/>
      <c r="RSF33" s="28"/>
      <c r="RSG33" s="28"/>
      <c r="RSH33" s="28"/>
      <c r="RSI33" s="28"/>
      <c r="RSJ33" s="28"/>
      <c r="RSK33" s="28"/>
      <c r="RSL33" s="28"/>
      <c r="RSM33" s="28"/>
      <c r="RSN33" s="28"/>
      <c r="RSO33" s="28"/>
      <c r="RSP33" s="28"/>
      <c r="RSQ33" s="28"/>
      <c r="RSR33" s="28"/>
      <c r="RSS33" s="28"/>
      <c r="RST33" s="28"/>
      <c r="RSU33" s="28"/>
      <c r="RSV33" s="28"/>
      <c r="RSW33" s="28"/>
      <c r="RSX33" s="28"/>
      <c r="RSY33" s="28"/>
      <c r="RSZ33" s="28"/>
      <c r="RTA33" s="28"/>
      <c r="RTB33" s="28"/>
      <c r="RTC33" s="28"/>
      <c r="RTD33" s="28"/>
      <c r="RTE33" s="28"/>
      <c r="RTF33" s="28"/>
      <c r="RTG33" s="28"/>
      <c r="RTH33" s="28"/>
      <c r="RTI33" s="28"/>
      <c r="RTJ33" s="28"/>
      <c r="RTK33" s="28"/>
      <c r="RTL33" s="28"/>
      <c r="RTM33" s="28"/>
      <c r="RTN33" s="28"/>
      <c r="RTO33" s="28"/>
      <c r="RTP33" s="28"/>
      <c r="RTQ33" s="28"/>
      <c r="RTR33" s="28"/>
      <c r="RTS33" s="28"/>
      <c r="RTT33" s="28"/>
      <c r="RTU33" s="28"/>
      <c r="RTV33" s="28"/>
      <c r="RTW33" s="28"/>
      <c r="RTX33" s="28"/>
      <c r="RTY33" s="28"/>
      <c r="RTZ33" s="28"/>
      <c r="RUA33" s="28"/>
      <c r="RUB33" s="28"/>
      <c r="RUC33" s="28"/>
      <c r="RUD33" s="28"/>
      <c r="RUE33" s="28"/>
      <c r="RUF33" s="28"/>
      <c r="RUG33" s="28"/>
      <c r="RUH33" s="28"/>
      <c r="RUI33" s="28"/>
      <c r="RUJ33" s="28"/>
      <c r="RUK33" s="28"/>
      <c r="RUL33" s="28"/>
      <c r="RUM33" s="28"/>
      <c r="RUN33" s="28"/>
      <c r="RUO33" s="28"/>
      <c r="RUP33" s="28"/>
      <c r="RUQ33" s="28"/>
      <c r="RUR33" s="28"/>
      <c r="RUS33" s="28"/>
      <c r="RUT33" s="28"/>
      <c r="RUU33" s="28"/>
      <c r="RUV33" s="28"/>
      <c r="RUW33" s="28"/>
      <c r="RUX33" s="28"/>
      <c r="RUY33" s="28"/>
      <c r="RUZ33" s="28"/>
      <c r="RVA33" s="28"/>
      <c r="RVB33" s="28"/>
      <c r="RVC33" s="28"/>
      <c r="RVD33" s="28"/>
      <c r="RVE33" s="28"/>
      <c r="RVF33" s="28"/>
      <c r="RVG33" s="28"/>
      <c r="RVH33" s="28"/>
      <c r="RVI33" s="28"/>
      <c r="RVJ33" s="28"/>
      <c r="RVK33" s="28"/>
      <c r="RVL33" s="28"/>
      <c r="RVM33" s="28"/>
      <c r="RVN33" s="28"/>
      <c r="RVO33" s="28"/>
      <c r="RVP33" s="28"/>
      <c r="RVQ33" s="28"/>
      <c r="RVR33" s="28"/>
      <c r="RVS33" s="28"/>
      <c r="RVT33" s="28"/>
      <c r="RVU33" s="28"/>
      <c r="RVV33" s="28"/>
      <c r="RVW33" s="28"/>
      <c r="RVX33" s="28"/>
      <c r="RVY33" s="28"/>
      <c r="RVZ33" s="28"/>
      <c r="RWA33" s="28"/>
      <c r="RWB33" s="28"/>
      <c r="RWC33" s="28"/>
      <c r="RWD33" s="28"/>
      <c r="RWE33" s="28"/>
      <c r="RWF33" s="28"/>
      <c r="RWG33" s="28"/>
      <c r="RWH33" s="28"/>
      <c r="RWI33" s="28"/>
      <c r="RWJ33" s="28"/>
      <c r="RWK33" s="28"/>
      <c r="RWL33" s="28"/>
      <c r="RWM33" s="28"/>
      <c r="RWN33" s="28"/>
      <c r="RWO33" s="28"/>
      <c r="RWP33" s="28"/>
      <c r="RWQ33" s="28"/>
      <c r="RWR33" s="28"/>
      <c r="RWS33" s="28"/>
      <c r="RWT33" s="28"/>
      <c r="RWU33" s="28"/>
      <c r="RWV33" s="28"/>
      <c r="RWW33" s="28"/>
      <c r="RWX33" s="28"/>
      <c r="RWY33" s="28"/>
      <c r="RWZ33" s="28"/>
      <c r="RXA33" s="28"/>
      <c r="RXB33" s="28"/>
      <c r="RXC33" s="28"/>
      <c r="RXD33" s="28"/>
      <c r="RXE33" s="28"/>
      <c r="RXF33" s="28"/>
      <c r="RXG33" s="28"/>
      <c r="RXH33" s="28"/>
      <c r="RXI33" s="28"/>
      <c r="RXJ33" s="28"/>
      <c r="RXK33" s="28"/>
      <c r="RXL33" s="28"/>
      <c r="RXM33" s="28"/>
      <c r="RXN33" s="28"/>
      <c r="RXO33" s="28"/>
      <c r="RXP33" s="28"/>
      <c r="RXQ33" s="28"/>
      <c r="RXR33" s="28"/>
      <c r="RXS33" s="28"/>
      <c r="RXT33" s="28"/>
      <c r="RXU33" s="28"/>
      <c r="RXV33" s="28"/>
      <c r="RXW33" s="28"/>
      <c r="RXX33" s="28"/>
      <c r="RXY33" s="28"/>
      <c r="RXZ33" s="28"/>
      <c r="RYA33" s="28"/>
      <c r="RYB33" s="28"/>
      <c r="RYC33" s="28"/>
      <c r="RYD33" s="28"/>
      <c r="RYE33" s="28"/>
      <c r="RYF33" s="28"/>
      <c r="RYG33" s="28"/>
      <c r="RYH33" s="28"/>
      <c r="RYI33" s="28"/>
      <c r="RYJ33" s="28"/>
      <c r="RYK33" s="28"/>
      <c r="RYL33" s="28"/>
      <c r="RYM33" s="28"/>
      <c r="RYN33" s="28"/>
      <c r="RYO33" s="28"/>
      <c r="RYP33" s="28"/>
      <c r="RYQ33" s="28"/>
      <c r="RYR33" s="28"/>
      <c r="RYS33" s="28"/>
      <c r="RYT33" s="28"/>
      <c r="RYU33" s="28"/>
      <c r="RYV33" s="28"/>
      <c r="RYW33" s="28"/>
      <c r="RYX33" s="28"/>
      <c r="RYY33" s="28"/>
      <c r="RYZ33" s="28"/>
      <c r="RZA33" s="28"/>
      <c r="RZB33" s="28"/>
      <c r="RZC33" s="28"/>
      <c r="RZD33" s="28"/>
      <c r="RZE33" s="28"/>
      <c r="RZF33" s="28"/>
      <c r="RZG33" s="28"/>
      <c r="RZH33" s="28"/>
      <c r="RZI33" s="28"/>
      <c r="RZJ33" s="28"/>
      <c r="RZK33" s="28"/>
      <c r="RZL33" s="28"/>
      <c r="RZM33" s="28"/>
      <c r="RZN33" s="28"/>
      <c r="RZO33" s="28"/>
      <c r="RZP33" s="28"/>
      <c r="RZQ33" s="28"/>
      <c r="RZR33" s="28"/>
      <c r="RZS33" s="28"/>
      <c r="RZT33" s="28"/>
      <c r="RZU33" s="28"/>
      <c r="RZV33" s="28"/>
      <c r="RZW33" s="28"/>
      <c r="RZX33" s="28"/>
      <c r="RZY33" s="28"/>
      <c r="RZZ33" s="28"/>
      <c r="SAA33" s="28"/>
      <c r="SAB33" s="28"/>
      <c r="SAC33" s="28"/>
      <c r="SAD33" s="28"/>
      <c r="SAE33" s="28"/>
      <c r="SAF33" s="28"/>
      <c r="SAG33" s="28"/>
      <c r="SAH33" s="28"/>
      <c r="SAI33" s="28"/>
      <c r="SAJ33" s="28"/>
      <c r="SAK33" s="28"/>
      <c r="SAL33" s="28"/>
      <c r="SAM33" s="28"/>
      <c r="SAN33" s="28"/>
      <c r="SAO33" s="28"/>
      <c r="SAP33" s="28"/>
      <c r="SAQ33" s="28"/>
      <c r="SAR33" s="28"/>
      <c r="SAS33" s="28"/>
      <c r="SAT33" s="28"/>
      <c r="SAU33" s="28"/>
      <c r="SAV33" s="28"/>
      <c r="SAW33" s="28"/>
      <c r="SAX33" s="28"/>
      <c r="SAY33" s="28"/>
      <c r="SAZ33" s="28"/>
      <c r="SBA33" s="28"/>
      <c r="SBB33" s="28"/>
      <c r="SBC33" s="28"/>
      <c r="SBD33" s="28"/>
      <c r="SBE33" s="28"/>
      <c r="SBF33" s="28"/>
      <c r="SBG33" s="28"/>
      <c r="SBH33" s="28"/>
      <c r="SBI33" s="28"/>
      <c r="SBJ33" s="28"/>
      <c r="SBK33" s="28"/>
      <c r="SBL33" s="28"/>
      <c r="SBM33" s="28"/>
      <c r="SBN33" s="28"/>
      <c r="SBO33" s="28"/>
      <c r="SBP33" s="28"/>
      <c r="SBQ33" s="28"/>
      <c r="SBR33" s="28"/>
      <c r="SBS33" s="28"/>
      <c r="SBT33" s="28"/>
      <c r="SBU33" s="28"/>
      <c r="SBV33" s="28"/>
      <c r="SBW33" s="28"/>
      <c r="SBX33" s="28"/>
      <c r="SBY33" s="28"/>
      <c r="SBZ33" s="28"/>
      <c r="SCA33" s="28"/>
      <c r="SCB33" s="28"/>
      <c r="SCC33" s="28"/>
      <c r="SCD33" s="28"/>
      <c r="SCE33" s="28"/>
      <c r="SCF33" s="28"/>
      <c r="SCG33" s="28"/>
      <c r="SCH33" s="28"/>
      <c r="SCI33" s="28"/>
      <c r="SCJ33" s="28"/>
      <c r="SCK33" s="28"/>
      <c r="SCL33" s="28"/>
      <c r="SCM33" s="28"/>
      <c r="SCN33" s="28"/>
      <c r="SCO33" s="28"/>
      <c r="SCP33" s="28"/>
      <c r="SCQ33" s="28"/>
      <c r="SCR33" s="28"/>
      <c r="SCS33" s="28"/>
      <c r="SCT33" s="28"/>
      <c r="SCU33" s="28"/>
      <c r="SCV33" s="28"/>
      <c r="SCW33" s="28"/>
      <c r="SCX33" s="28"/>
      <c r="SCY33" s="28"/>
      <c r="SCZ33" s="28"/>
      <c r="SDA33" s="28"/>
      <c r="SDB33" s="28"/>
      <c r="SDC33" s="28"/>
      <c r="SDD33" s="28"/>
      <c r="SDE33" s="28"/>
      <c r="SDF33" s="28"/>
      <c r="SDG33" s="28"/>
      <c r="SDH33" s="28"/>
      <c r="SDI33" s="28"/>
      <c r="SDJ33" s="28"/>
      <c r="SDK33" s="28"/>
      <c r="SDL33" s="28"/>
      <c r="SDM33" s="28"/>
      <c r="SDN33" s="28"/>
      <c r="SDO33" s="28"/>
      <c r="SDP33" s="28"/>
      <c r="SDQ33" s="28"/>
      <c r="SDR33" s="28"/>
      <c r="SDS33" s="28"/>
      <c r="SDT33" s="28"/>
      <c r="SDU33" s="28"/>
      <c r="SDV33" s="28"/>
      <c r="SDW33" s="28"/>
      <c r="SDX33" s="28"/>
      <c r="SDY33" s="28"/>
      <c r="SDZ33" s="28"/>
      <c r="SEA33" s="28"/>
      <c r="SEB33" s="28"/>
      <c r="SEC33" s="28"/>
      <c r="SED33" s="28"/>
      <c r="SEE33" s="28"/>
      <c r="SEF33" s="28"/>
      <c r="SEG33" s="28"/>
      <c r="SEH33" s="28"/>
      <c r="SEI33" s="28"/>
      <c r="SEJ33" s="28"/>
      <c r="SEK33" s="28"/>
      <c r="SEL33" s="28"/>
      <c r="SEM33" s="28"/>
      <c r="SEN33" s="28"/>
      <c r="SEO33" s="28"/>
      <c r="SEP33" s="28"/>
      <c r="SEQ33" s="28"/>
      <c r="SER33" s="28"/>
      <c r="SES33" s="28"/>
      <c r="SET33" s="28"/>
      <c r="SEU33" s="28"/>
      <c r="SEV33" s="28"/>
      <c r="SEW33" s="28"/>
      <c r="SEX33" s="28"/>
      <c r="SEY33" s="28"/>
      <c r="SEZ33" s="28"/>
      <c r="SFA33" s="28"/>
      <c r="SFB33" s="28"/>
      <c r="SFC33" s="28"/>
      <c r="SFD33" s="28"/>
      <c r="SFE33" s="28"/>
      <c r="SFF33" s="28"/>
      <c r="SFG33" s="28"/>
      <c r="SFH33" s="28"/>
      <c r="SFI33" s="28"/>
      <c r="SFJ33" s="28"/>
      <c r="SFK33" s="28"/>
      <c r="SFL33" s="28"/>
      <c r="SFM33" s="28"/>
      <c r="SFN33" s="28"/>
      <c r="SFO33" s="28"/>
      <c r="SFP33" s="28"/>
      <c r="SFQ33" s="28"/>
      <c r="SFR33" s="28"/>
      <c r="SFS33" s="28"/>
      <c r="SFT33" s="28"/>
      <c r="SFU33" s="28"/>
      <c r="SFV33" s="28"/>
      <c r="SFW33" s="28"/>
      <c r="SFX33" s="28"/>
      <c r="SFY33" s="28"/>
      <c r="SFZ33" s="28"/>
      <c r="SGA33" s="28"/>
      <c r="SGB33" s="28"/>
      <c r="SGC33" s="28"/>
      <c r="SGD33" s="28"/>
      <c r="SGE33" s="28"/>
      <c r="SGF33" s="28"/>
      <c r="SGG33" s="28"/>
      <c r="SGH33" s="28"/>
      <c r="SGI33" s="28"/>
      <c r="SGJ33" s="28"/>
      <c r="SGK33" s="28"/>
      <c r="SGL33" s="28"/>
      <c r="SGM33" s="28"/>
      <c r="SGN33" s="28"/>
      <c r="SGO33" s="28"/>
      <c r="SGP33" s="28"/>
      <c r="SGQ33" s="28"/>
      <c r="SGR33" s="28"/>
      <c r="SGS33" s="28"/>
      <c r="SGT33" s="28"/>
      <c r="SGU33" s="28"/>
      <c r="SGV33" s="28"/>
      <c r="SGW33" s="28"/>
      <c r="SGX33" s="28"/>
      <c r="SGY33" s="28"/>
      <c r="SGZ33" s="28"/>
      <c r="SHA33" s="28"/>
      <c r="SHB33" s="28"/>
      <c r="SHC33" s="28"/>
      <c r="SHD33" s="28"/>
      <c r="SHE33" s="28"/>
      <c r="SHF33" s="28"/>
      <c r="SHG33" s="28"/>
      <c r="SHH33" s="28"/>
      <c r="SHI33" s="28"/>
      <c r="SHJ33" s="28"/>
      <c r="SHK33" s="28"/>
      <c r="SHL33" s="28"/>
      <c r="SHM33" s="28"/>
      <c r="SHN33" s="28"/>
      <c r="SHO33" s="28"/>
      <c r="SHP33" s="28"/>
      <c r="SHQ33" s="28"/>
      <c r="SHR33" s="28"/>
      <c r="SHS33" s="28"/>
      <c r="SHT33" s="28"/>
      <c r="SHU33" s="28"/>
      <c r="SHV33" s="28"/>
      <c r="SHW33" s="28"/>
      <c r="SHX33" s="28"/>
      <c r="SHY33" s="28"/>
      <c r="SHZ33" s="28"/>
      <c r="SIA33" s="28"/>
      <c r="SIB33" s="28"/>
      <c r="SIC33" s="28"/>
      <c r="SID33" s="28"/>
      <c r="SIE33" s="28"/>
      <c r="SIF33" s="28"/>
      <c r="SIG33" s="28"/>
      <c r="SIH33" s="28"/>
      <c r="SII33" s="28"/>
      <c r="SIJ33" s="28"/>
      <c r="SIK33" s="28"/>
      <c r="SIL33" s="28"/>
      <c r="SIM33" s="28"/>
      <c r="SIN33" s="28"/>
      <c r="SIO33" s="28"/>
      <c r="SIP33" s="28"/>
      <c r="SIQ33" s="28"/>
      <c r="SIR33" s="28"/>
      <c r="SIS33" s="28"/>
      <c r="SIT33" s="28"/>
      <c r="SIU33" s="28"/>
      <c r="SIV33" s="28"/>
      <c r="SIW33" s="28"/>
      <c r="SIX33" s="28"/>
      <c r="SIY33" s="28"/>
      <c r="SIZ33" s="28"/>
      <c r="SJA33" s="28"/>
      <c r="SJB33" s="28"/>
      <c r="SJC33" s="28"/>
      <c r="SJD33" s="28"/>
      <c r="SJE33" s="28"/>
      <c r="SJF33" s="28"/>
      <c r="SJG33" s="28"/>
      <c r="SJH33" s="28"/>
      <c r="SJI33" s="28"/>
      <c r="SJJ33" s="28"/>
      <c r="SJK33" s="28"/>
      <c r="SJL33" s="28"/>
      <c r="SJM33" s="28"/>
      <c r="SJN33" s="28"/>
      <c r="SJO33" s="28"/>
      <c r="SJP33" s="28"/>
      <c r="SJQ33" s="28"/>
      <c r="SJR33" s="28"/>
      <c r="SJS33" s="28"/>
      <c r="SJT33" s="28"/>
      <c r="SJU33" s="28"/>
      <c r="SJV33" s="28"/>
      <c r="SJW33" s="28"/>
      <c r="SJX33" s="28"/>
      <c r="SJY33" s="28"/>
      <c r="SJZ33" s="28"/>
      <c r="SKA33" s="28"/>
      <c r="SKB33" s="28"/>
      <c r="SKC33" s="28"/>
      <c r="SKD33" s="28"/>
      <c r="SKE33" s="28"/>
      <c r="SKF33" s="28"/>
      <c r="SKG33" s="28"/>
      <c r="SKH33" s="28"/>
      <c r="SKI33" s="28"/>
      <c r="SKJ33" s="28"/>
      <c r="SKK33" s="28"/>
      <c r="SKL33" s="28"/>
      <c r="SKM33" s="28"/>
      <c r="SKN33" s="28"/>
      <c r="SKO33" s="28"/>
      <c r="SKP33" s="28"/>
      <c r="SKQ33" s="28"/>
      <c r="SKR33" s="28"/>
      <c r="SKS33" s="28"/>
      <c r="SKT33" s="28"/>
      <c r="SKU33" s="28"/>
      <c r="SKV33" s="28"/>
      <c r="SKW33" s="28"/>
      <c r="SKX33" s="28"/>
      <c r="SKY33" s="28"/>
      <c r="SKZ33" s="28"/>
      <c r="SLA33" s="28"/>
      <c r="SLB33" s="28"/>
      <c r="SLC33" s="28"/>
      <c r="SLD33" s="28"/>
      <c r="SLE33" s="28"/>
      <c r="SLF33" s="28"/>
      <c r="SLG33" s="28"/>
      <c r="SLH33" s="28"/>
      <c r="SLI33" s="28"/>
      <c r="SLJ33" s="28"/>
      <c r="SLK33" s="28"/>
      <c r="SLL33" s="28"/>
      <c r="SLM33" s="28"/>
      <c r="SLN33" s="28"/>
      <c r="SLO33" s="28"/>
      <c r="SLP33" s="28"/>
      <c r="SLQ33" s="28"/>
      <c r="SLR33" s="28"/>
      <c r="SLS33" s="28"/>
      <c r="SLT33" s="28"/>
      <c r="SLU33" s="28"/>
      <c r="SLV33" s="28"/>
      <c r="SLW33" s="28"/>
      <c r="SLX33" s="28"/>
      <c r="SLY33" s="28"/>
      <c r="SLZ33" s="28"/>
      <c r="SMA33" s="28"/>
      <c r="SMB33" s="28"/>
      <c r="SMC33" s="28"/>
      <c r="SMD33" s="28"/>
      <c r="SME33" s="28"/>
      <c r="SMF33" s="28"/>
      <c r="SMG33" s="28"/>
      <c r="SMH33" s="28"/>
      <c r="SMI33" s="28"/>
      <c r="SMJ33" s="28"/>
      <c r="SMK33" s="28"/>
      <c r="SML33" s="28"/>
      <c r="SMM33" s="28"/>
      <c r="SMN33" s="28"/>
      <c r="SMO33" s="28"/>
      <c r="SMP33" s="28"/>
      <c r="SMQ33" s="28"/>
      <c r="SMR33" s="28"/>
      <c r="SMS33" s="28"/>
      <c r="SMT33" s="28"/>
      <c r="SMU33" s="28"/>
      <c r="SMV33" s="28"/>
      <c r="SMW33" s="28"/>
      <c r="SMX33" s="28"/>
      <c r="SMY33" s="28"/>
      <c r="SMZ33" s="28"/>
      <c r="SNA33" s="28"/>
      <c r="SNB33" s="28"/>
      <c r="SNC33" s="28"/>
      <c r="SND33" s="28"/>
      <c r="SNE33" s="28"/>
      <c r="SNF33" s="28"/>
      <c r="SNG33" s="28"/>
      <c r="SNH33" s="28"/>
      <c r="SNI33" s="28"/>
      <c r="SNJ33" s="28"/>
      <c r="SNK33" s="28"/>
      <c r="SNL33" s="28"/>
      <c r="SNM33" s="28"/>
      <c r="SNN33" s="28"/>
      <c r="SNO33" s="28"/>
      <c r="SNP33" s="28"/>
      <c r="SNQ33" s="28"/>
      <c r="SNR33" s="28"/>
      <c r="SNS33" s="28"/>
      <c r="SNT33" s="28"/>
      <c r="SNU33" s="28"/>
      <c r="SNV33" s="28"/>
      <c r="SNW33" s="28"/>
      <c r="SNX33" s="28"/>
      <c r="SNY33" s="28"/>
      <c r="SNZ33" s="28"/>
      <c r="SOA33" s="28"/>
      <c r="SOB33" s="28"/>
      <c r="SOC33" s="28"/>
      <c r="SOD33" s="28"/>
      <c r="SOE33" s="28"/>
      <c r="SOF33" s="28"/>
      <c r="SOG33" s="28"/>
      <c r="SOH33" s="28"/>
      <c r="SOI33" s="28"/>
      <c r="SOJ33" s="28"/>
      <c r="SOK33" s="28"/>
      <c r="SOL33" s="28"/>
      <c r="SOM33" s="28"/>
      <c r="SON33" s="28"/>
      <c r="SOO33" s="28"/>
      <c r="SOP33" s="28"/>
      <c r="SOQ33" s="28"/>
      <c r="SOR33" s="28"/>
      <c r="SOS33" s="28"/>
      <c r="SOT33" s="28"/>
      <c r="SOU33" s="28"/>
      <c r="SOV33" s="28"/>
      <c r="SOW33" s="28"/>
      <c r="SOX33" s="28"/>
      <c r="SOY33" s="28"/>
      <c r="SOZ33" s="28"/>
      <c r="SPA33" s="28"/>
      <c r="SPB33" s="28"/>
      <c r="SPC33" s="28"/>
      <c r="SPD33" s="28"/>
      <c r="SPE33" s="28"/>
      <c r="SPF33" s="28"/>
      <c r="SPG33" s="28"/>
      <c r="SPH33" s="28"/>
      <c r="SPI33" s="28"/>
      <c r="SPJ33" s="28"/>
      <c r="SPK33" s="28"/>
      <c r="SPL33" s="28"/>
      <c r="SPM33" s="28"/>
      <c r="SPN33" s="28"/>
      <c r="SPO33" s="28"/>
      <c r="SPP33" s="28"/>
      <c r="SPQ33" s="28"/>
      <c r="SPR33" s="28"/>
      <c r="SPS33" s="28"/>
      <c r="SPT33" s="28"/>
      <c r="SPU33" s="28"/>
      <c r="SPV33" s="28"/>
      <c r="SPW33" s="28"/>
      <c r="SPX33" s="28"/>
      <c r="SPY33" s="28"/>
      <c r="SPZ33" s="28"/>
      <c r="SQA33" s="28"/>
      <c r="SQB33" s="28"/>
      <c r="SQC33" s="28"/>
      <c r="SQD33" s="28"/>
      <c r="SQE33" s="28"/>
      <c r="SQF33" s="28"/>
      <c r="SQG33" s="28"/>
      <c r="SQH33" s="28"/>
      <c r="SQI33" s="28"/>
      <c r="SQJ33" s="28"/>
      <c r="SQK33" s="28"/>
      <c r="SQL33" s="28"/>
      <c r="SQM33" s="28"/>
      <c r="SQN33" s="28"/>
      <c r="SQO33" s="28"/>
      <c r="SQP33" s="28"/>
      <c r="SQQ33" s="28"/>
      <c r="SQR33" s="28"/>
      <c r="SQS33" s="28"/>
      <c r="SQT33" s="28"/>
      <c r="SQU33" s="28"/>
      <c r="SQV33" s="28"/>
      <c r="SQW33" s="28"/>
      <c r="SQX33" s="28"/>
      <c r="SQY33" s="28"/>
      <c r="SQZ33" s="28"/>
      <c r="SRA33" s="28"/>
      <c r="SRB33" s="28"/>
      <c r="SRC33" s="28"/>
      <c r="SRD33" s="28"/>
      <c r="SRE33" s="28"/>
      <c r="SRF33" s="28"/>
      <c r="SRG33" s="28"/>
      <c r="SRH33" s="28"/>
      <c r="SRI33" s="28"/>
      <c r="SRJ33" s="28"/>
      <c r="SRK33" s="28"/>
      <c r="SRL33" s="28"/>
      <c r="SRM33" s="28"/>
      <c r="SRN33" s="28"/>
      <c r="SRO33" s="28"/>
      <c r="SRP33" s="28"/>
      <c r="SRQ33" s="28"/>
      <c r="SRR33" s="28"/>
      <c r="SRS33" s="28"/>
      <c r="SRT33" s="28"/>
      <c r="SRU33" s="28"/>
      <c r="SRV33" s="28"/>
      <c r="SRW33" s="28"/>
      <c r="SRX33" s="28"/>
      <c r="SRY33" s="28"/>
      <c r="SRZ33" s="28"/>
      <c r="SSA33" s="28"/>
      <c r="SSB33" s="28"/>
      <c r="SSC33" s="28"/>
      <c r="SSD33" s="28"/>
      <c r="SSE33" s="28"/>
      <c r="SSF33" s="28"/>
      <c r="SSG33" s="28"/>
      <c r="SSH33" s="28"/>
      <c r="SSI33" s="28"/>
      <c r="SSJ33" s="28"/>
      <c r="SSK33" s="28"/>
      <c r="SSL33" s="28"/>
      <c r="SSM33" s="28"/>
      <c r="SSN33" s="28"/>
      <c r="SSO33" s="28"/>
      <c r="SSP33" s="28"/>
      <c r="SSQ33" s="28"/>
      <c r="SSR33" s="28"/>
      <c r="SSS33" s="28"/>
      <c r="SST33" s="28"/>
      <c r="SSU33" s="28"/>
      <c r="SSV33" s="28"/>
      <c r="SSW33" s="28"/>
      <c r="SSX33" s="28"/>
      <c r="SSY33" s="28"/>
      <c r="SSZ33" s="28"/>
      <c r="STA33" s="28"/>
      <c r="STB33" s="28"/>
      <c r="STC33" s="28"/>
      <c r="STD33" s="28"/>
      <c r="STE33" s="28"/>
      <c r="STF33" s="28"/>
      <c r="STG33" s="28"/>
      <c r="STH33" s="28"/>
      <c r="STI33" s="28"/>
      <c r="STJ33" s="28"/>
      <c r="STK33" s="28"/>
      <c r="STL33" s="28"/>
      <c r="STM33" s="28"/>
      <c r="STN33" s="28"/>
      <c r="STO33" s="28"/>
      <c r="STP33" s="28"/>
      <c r="STQ33" s="28"/>
      <c r="STR33" s="28"/>
      <c r="STS33" s="28"/>
      <c r="STT33" s="28"/>
      <c r="STU33" s="28"/>
      <c r="STV33" s="28"/>
      <c r="STW33" s="28"/>
      <c r="STX33" s="28"/>
      <c r="STY33" s="28"/>
      <c r="STZ33" s="28"/>
      <c r="SUA33" s="28"/>
      <c r="SUB33" s="28"/>
      <c r="SUC33" s="28"/>
      <c r="SUD33" s="28"/>
      <c r="SUE33" s="28"/>
      <c r="SUF33" s="28"/>
      <c r="SUG33" s="28"/>
      <c r="SUH33" s="28"/>
      <c r="SUI33" s="28"/>
      <c r="SUJ33" s="28"/>
      <c r="SUK33" s="28"/>
      <c r="SUL33" s="28"/>
      <c r="SUM33" s="28"/>
      <c r="SUN33" s="28"/>
      <c r="SUO33" s="28"/>
      <c r="SUP33" s="28"/>
      <c r="SUQ33" s="28"/>
      <c r="SUR33" s="28"/>
      <c r="SUS33" s="28"/>
      <c r="SUT33" s="28"/>
      <c r="SUU33" s="28"/>
      <c r="SUV33" s="28"/>
      <c r="SUW33" s="28"/>
      <c r="SUX33" s="28"/>
      <c r="SUY33" s="28"/>
      <c r="SUZ33" s="28"/>
      <c r="SVA33" s="28"/>
      <c r="SVB33" s="28"/>
      <c r="SVC33" s="28"/>
      <c r="SVD33" s="28"/>
      <c r="SVE33" s="28"/>
      <c r="SVF33" s="28"/>
      <c r="SVG33" s="28"/>
      <c r="SVH33" s="28"/>
      <c r="SVI33" s="28"/>
      <c r="SVJ33" s="28"/>
      <c r="SVK33" s="28"/>
      <c r="SVL33" s="28"/>
      <c r="SVM33" s="28"/>
      <c r="SVN33" s="28"/>
      <c r="SVO33" s="28"/>
      <c r="SVP33" s="28"/>
      <c r="SVQ33" s="28"/>
      <c r="SVR33" s="28"/>
      <c r="SVS33" s="28"/>
      <c r="SVT33" s="28"/>
      <c r="SVU33" s="28"/>
      <c r="SVV33" s="28"/>
      <c r="SVW33" s="28"/>
      <c r="SVX33" s="28"/>
      <c r="SVY33" s="28"/>
      <c r="SVZ33" s="28"/>
      <c r="SWA33" s="28"/>
      <c r="SWB33" s="28"/>
      <c r="SWC33" s="28"/>
      <c r="SWD33" s="28"/>
      <c r="SWE33" s="28"/>
      <c r="SWF33" s="28"/>
      <c r="SWG33" s="28"/>
      <c r="SWH33" s="28"/>
      <c r="SWI33" s="28"/>
      <c r="SWJ33" s="28"/>
      <c r="SWK33" s="28"/>
      <c r="SWL33" s="28"/>
      <c r="SWM33" s="28"/>
      <c r="SWN33" s="28"/>
      <c r="SWO33" s="28"/>
      <c r="SWP33" s="28"/>
      <c r="SWQ33" s="28"/>
      <c r="SWR33" s="28"/>
      <c r="SWS33" s="28"/>
      <c r="SWT33" s="28"/>
      <c r="SWU33" s="28"/>
      <c r="SWV33" s="28"/>
      <c r="SWW33" s="28"/>
      <c r="SWX33" s="28"/>
      <c r="SWY33" s="28"/>
      <c r="SWZ33" s="28"/>
      <c r="SXA33" s="28"/>
      <c r="SXB33" s="28"/>
      <c r="SXC33" s="28"/>
      <c r="SXD33" s="28"/>
      <c r="SXE33" s="28"/>
      <c r="SXF33" s="28"/>
      <c r="SXG33" s="28"/>
      <c r="SXH33" s="28"/>
      <c r="SXI33" s="28"/>
      <c r="SXJ33" s="28"/>
      <c r="SXK33" s="28"/>
      <c r="SXL33" s="28"/>
      <c r="SXM33" s="28"/>
      <c r="SXN33" s="28"/>
      <c r="SXO33" s="28"/>
      <c r="SXP33" s="28"/>
      <c r="SXQ33" s="28"/>
      <c r="SXR33" s="28"/>
      <c r="SXS33" s="28"/>
      <c r="SXT33" s="28"/>
      <c r="SXU33" s="28"/>
      <c r="SXV33" s="28"/>
      <c r="SXW33" s="28"/>
      <c r="SXX33" s="28"/>
      <c r="SXY33" s="28"/>
      <c r="SXZ33" s="28"/>
      <c r="SYA33" s="28"/>
      <c r="SYB33" s="28"/>
      <c r="SYC33" s="28"/>
      <c r="SYD33" s="28"/>
      <c r="SYE33" s="28"/>
      <c r="SYF33" s="28"/>
      <c r="SYG33" s="28"/>
      <c r="SYH33" s="28"/>
      <c r="SYI33" s="28"/>
      <c r="SYJ33" s="28"/>
      <c r="SYK33" s="28"/>
      <c r="SYL33" s="28"/>
      <c r="SYM33" s="28"/>
      <c r="SYN33" s="28"/>
      <c r="SYO33" s="28"/>
      <c r="SYP33" s="28"/>
      <c r="SYQ33" s="28"/>
      <c r="SYR33" s="28"/>
      <c r="SYS33" s="28"/>
      <c r="SYT33" s="28"/>
      <c r="SYU33" s="28"/>
      <c r="SYV33" s="28"/>
      <c r="SYW33" s="28"/>
      <c r="SYX33" s="28"/>
      <c r="SYY33" s="28"/>
      <c r="SYZ33" s="28"/>
      <c r="SZA33" s="28"/>
      <c r="SZB33" s="28"/>
      <c r="SZC33" s="28"/>
      <c r="SZD33" s="28"/>
      <c r="SZE33" s="28"/>
      <c r="SZF33" s="28"/>
      <c r="SZG33" s="28"/>
      <c r="SZH33" s="28"/>
      <c r="SZI33" s="28"/>
      <c r="SZJ33" s="28"/>
      <c r="SZK33" s="28"/>
      <c r="SZL33" s="28"/>
      <c r="SZM33" s="28"/>
      <c r="SZN33" s="28"/>
      <c r="SZO33" s="28"/>
      <c r="SZP33" s="28"/>
      <c r="SZQ33" s="28"/>
      <c r="SZR33" s="28"/>
      <c r="SZS33" s="28"/>
      <c r="SZT33" s="28"/>
      <c r="SZU33" s="28"/>
      <c r="SZV33" s="28"/>
      <c r="SZW33" s="28"/>
      <c r="SZX33" s="28"/>
      <c r="SZY33" s="28"/>
      <c r="SZZ33" s="28"/>
      <c r="TAA33" s="28"/>
      <c r="TAB33" s="28"/>
      <c r="TAC33" s="28"/>
      <c r="TAD33" s="28"/>
      <c r="TAE33" s="28"/>
      <c r="TAF33" s="28"/>
      <c r="TAG33" s="28"/>
      <c r="TAH33" s="28"/>
      <c r="TAI33" s="28"/>
      <c r="TAJ33" s="28"/>
      <c r="TAK33" s="28"/>
      <c r="TAL33" s="28"/>
      <c r="TAM33" s="28"/>
      <c r="TAN33" s="28"/>
      <c r="TAO33" s="28"/>
      <c r="TAP33" s="28"/>
      <c r="TAQ33" s="28"/>
      <c r="TAR33" s="28"/>
      <c r="TAS33" s="28"/>
      <c r="TAT33" s="28"/>
      <c r="TAU33" s="28"/>
      <c r="TAV33" s="28"/>
      <c r="TAW33" s="28"/>
      <c r="TAX33" s="28"/>
      <c r="TAY33" s="28"/>
      <c r="TAZ33" s="28"/>
      <c r="TBA33" s="28"/>
      <c r="TBB33" s="28"/>
      <c r="TBC33" s="28"/>
      <c r="TBD33" s="28"/>
      <c r="TBE33" s="28"/>
      <c r="TBF33" s="28"/>
      <c r="TBG33" s="28"/>
      <c r="TBH33" s="28"/>
      <c r="TBI33" s="28"/>
      <c r="TBJ33" s="28"/>
      <c r="TBK33" s="28"/>
      <c r="TBL33" s="28"/>
      <c r="TBM33" s="28"/>
      <c r="TBN33" s="28"/>
      <c r="TBO33" s="28"/>
      <c r="TBP33" s="28"/>
      <c r="TBQ33" s="28"/>
      <c r="TBR33" s="28"/>
      <c r="TBS33" s="28"/>
      <c r="TBT33" s="28"/>
      <c r="TBU33" s="28"/>
      <c r="TBV33" s="28"/>
      <c r="TBW33" s="28"/>
      <c r="TBX33" s="28"/>
      <c r="TBY33" s="28"/>
      <c r="TBZ33" s="28"/>
      <c r="TCA33" s="28"/>
      <c r="TCB33" s="28"/>
      <c r="TCC33" s="28"/>
      <c r="TCD33" s="28"/>
      <c r="TCE33" s="28"/>
      <c r="TCF33" s="28"/>
      <c r="TCG33" s="28"/>
      <c r="TCH33" s="28"/>
      <c r="TCI33" s="28"/>
      <c r="TCJ33" s="28"/>
      <c r="TCK33" s="28"/>
      <c r="TCL33" s="28"/>
      <c r="TCM33" s="28"/>
      <c r="TCN33" s="28"/>
      <c r="TCO33" s="28"/>
      <c r="TCP33" s="28"/>
      <c r="TCQ33" s="28"/>
      <c r="TCR33" s="28"/>
      <c r="TCS33" s="28"/>
      <c r="TCT33" s="28"/>
      <c r="TCU33" s="28"/>
      <c r="TCV33" s="28"/>
      <c r="TCW33" s="28"/>
      <c r="TCX33" s="28"/>
      <c r="TCY33" s="28"/>
      <c r="TCZ33" s="28"/>
      <c r="TDA33" s="28"/>
      <c r="TDB33" s="28"/>
      <c r="TDC33" s="28"/>
      <c r="TDD33" s="28"/>
      <c r="TDE33" s="28"/>
      <c r="TDF33" s="28"/>
      <c r="TDG33" s="28"/>
      <c r="TDH33" s="28"/>
      <c r="TDI33" s="28"/>
      <c r="TDJ33" s="28"/>
      <c r="TDK33" s="28"/>
      <c r="TDL33" s="28"/>
      <c r="TDM33" s="28"/>
      <c r="TDN33" s="28"/>
      <c r="TDO33" s="28"/>
      <c r="TDP33" s="28"/>
      <c r="TDQ33" s="28"/>
      <c r="TDR33" s="28"/>
      <c r="TDS33" s="28"/>
      <c r="TDT33" s="28"/>
      <c r="TDU33" s="28"/>
      <c r="TDV33" s="28"/>
      <c r="TDW33" s="28"/>
      <c r="TDX33" s="28"/>
      <c r="TDY33" s="28"/>
      <c r="TDZ33" s="28"/>
      <c r="TEA33" s="28"/>
      <c r="TEB33" s="28"/>
      <c r="TEC33" s="28"/>
      <c r="TED33" s="28"/>
      <c r="TEE33" s="28"/>
      <c r="TEF33" s="28"/>
      <c r="TEG33" s="28"/>
      <c r="TEH33" s="28"/>
      <c r="TEI33" s="28"/>
      <c r="TEJ33" s="28"/>
      <c r="TEK33" s="28"/>
      <c r="TEL33" s="28"/>
      <c r="TEM33" s="28"/>
      <c r="TEN33" s="28"/>
      <c r="TEO33" s="28"/>
      <c r="TEP33" s="28"/>
      <c r="TEQ33" s="28"/>
      <c r="TER33" s="28"/>
      <c r="TES33" s="28"/>
      <c r="TET33" s="28"/>
      <c r="TEU33" s="28"/>
      <c r="TEV33" s="28"/>
      <c r="TEW33" s="28"/>
      <c r="TEX33" s="28"/>
      <c r="TEY33" s="28"/>
      <c r="TEZ33" s="28"/>
      <c r="TFA33" s="28"/>
      <c r="TFB33" s="28"/>
      <c r="TFC33" s="28"/>
      <c r="TFD33" s="28"/>
      <c r="TFE33" s="28"/>
      <c r="TFF33" s="28"/>
      <c r="TFG33" s="28"/>
      <c r="TFH33" s="28"/>
      <c r="TFI33" s="28"/>
      <c r="TFJ33" s="28"/>
      <c r="TFK33" s="28"/>
      <c r="TFL33" s="28"/>
      <c r="TFM33" s="28"/>
      <c r="TFN33" s="28"/>
      <c r="TFO33" s="28"/>
      <c r="TFP33" s="28"/>
      <c r="TFQ33" s="28"/>
      <c r="TFR33" s="28"/>
      <c r="TFS33" s="28"/>
      <c r="TFT33" s="28"/>
      <c r="TFU33" s="28"/>
      <c r="TFV33" s="28"/>
      <c r="TFW33" s="28"/>
      <c r="TFX33" s="28"/>
      <c r="TFY33" s="28"/>
      <c r="TFZ33" s="28"/>
      <c r="TGA33" s="28"/>
      <c r="TGB33" s="28"/>
      <c r="TGC33" s="28"/>
      <c r="TGD33" s="28"/>
      <c r="TGE33" s="28"/>
      <c r="TGF33" s="28"/>
      <c r="TGG33" s="28"/>
      <c r="TGH33" s="28"/>
      <c r="TGI33" s="28"/>
      <c r="TGJ33" s="28"/>
      <c r="TGK33" s="28"/>
      <c r="TGL33" s="28"/>
      <c r="TGM33" s="28"/>
      <c r="TGN33" s="28"/>
      <c r="TGO33" s="28"/>
      <c r="TGP33" s="28"/>
      <c r="TGQ33" s="28"/>
      <c r="TGR33" s="28"/>
      <c r="TGS33" s="28"/>
      <c r="TGT33" s="28"/>
      <c r="TGU33" s="28"/>
      <c r="TGV33" s="28"/>
      <c r="TGW33" s="28"/>
      <c r="TGX33" s="28"/>
      <c r="TGY33" s="28"/>
      <c r="TGZ33" s="28"/>
      <c r="THA33" s="28"/>
      <c r="THB33" s="28"/>
      <c r="THC33" s="28"/>
      <c r="THD33" s="28"/>
      <c r="THE33" s="28"/>
      <c r="THF33" s="28"/>
      <c r="THG33" s="28"/>
      <c r="THH33" s="28"/>
      <c r="THI33" s="28"/>
      <c r="THJ33" s="28"/>
      <c r="THK33" s="28"/>
      <c r="THL33" s="28"/>
      <c r="THM33" s="28"/>
      <c r="THN33" s="28"/>
      <c r="THO33" s="28"/>
      <c r="THP33" s="28"/>
      <c r="THQ33" s="28"/>
      <c r="THR33" s="28"/>
      <c r="THS33" s="28"/>
      <c r="THT33" s="28"/>
      <c r="THU33" s="28"/>
      <c r="THV33" s="28"/>
      <c r="THW33" s="28"/>
      <c r="THX33" s="28"/>
      <c r="THY33" s="28"/>
      <c r="THZ33" s="28"/>
      <c r="TIA33" s="28"/>
      <c r="TIB33" s="28"/>
      <c r="TIC33" s="28"/>
      <c r="TID33" s="28"/>
      <c r="TIE33" s="28"/>
      <c r="TIF33" s="28"/>
      <c r="TIG33" s="28"/>
      <c r="TIH33" s="28"/>
      <c r="TII33" s="28"/>
      <c r="TIJ33" s="28"/>
      <c r="TIK33" s="28"/>
      <c r="TIL33" s="28"/>
      <c r="TIM33" s="28"/>
      <c r="TIN33" s="28"/>
      <c r="TIO33" s="28"/>
      <c r="TIP33" s="28"/>
      <c r="TIQ33" s="28"/>
      <c r="TIR33" s="28"/>
      <c r="TIS33" s="28"/>
      <c r="TIT33" s="28"/>
      <c r="TIU33" s="28"/>
      <c r="TIV33" s="28"/>
      <c r="TIW33" s="28"/>
      <c r="TIX33" s="28"/>
      <c r="TIY33" s="28"/>
      <c r="TIZ33" s="28"/>
      <c r="TJA33" s="28"/>
      <c r="TJB33" s="28"/>
      <c r="TJC33" s="28"/>
      <c r="TJD33" s="28"/>
      <c r="TJE33" s="28"/>
      <c r="TJF33" s="28"/>
      <c r="TJG33" s="28"/>
      <c r="TJH33" s="28"/>
      <c r="TJI33" s="28"/>
      <c r="TJJ33" s="28"/>
      <c r="TJK33" s="28"/>
      <c r="TJL33" s="28"/>
      <c r="TJM33" s="28"/>
      <c r="TJN33" s="28"/>
      <c r="TJO33" s="28"/>
      <c r="TJP33" s="28"/>
      <c r="TJQ33" s="28"/>
      <c r="TJR33" s="28"/>
      <c r="TJS33" s="28"/>
      <c r="TJT33" s="28"/>
      <c r="TJU33" s="28"/>
      <c r="TJV33" s="28"/>
      <c r="TJW33" s="28"/>
      <c r="TJX33" s="28"/>
      <c r="TJY33" s="28"/>
      <c r="TJZ33" s="28"/>
      <c r="TKA33" s="28"/>
      <c r="TKB33" s="28"/>
      <c r="TKC33" s="28"/>
      <c r="TKD33" s="28"/>
      <c r="TKE33" s="28"/>
      <c r="TKF33" s="28"/>
      <c r="TKG33" s="28"/>
      <c r="TKH33" s="28"/>
      <c r="TKI33" s="28"/>
      <c r="TKJ33" s="28"/>
      <c r="TKK33" s="28"/>
      <c r="TKL33" s="28"/>
      <c r="TKM33" s="28"/>
      <c r="TKN33" s="28"/>
      <c r="TKO33" s="28"/>
      <c r="TKP33" s="28"/>
      <c r="TKQ33" s="28"/>
      <c r="TKR33" s="28"/>
      <c r="TKS33" s="28"/>
      <c r="TKT33" s="28"/>
      <c r="TKU33" s="28"/>
      <c r="TKV33" s="28"/>
      <c r="TKW33" s="28"/>
      <c r="TKX33" s="28"/>
      <c r="TKY33" s="28"/>
      <c r="TKZ33" s="28"/>
      <c r="TLA33" s="28"/>
      <c r="TLB33" s="28"/>
      <c r="TLC33" s="28"/>
      <c r="TLD33" s="28"/>
      <c r="TLE33" s="28"/>
      <c r="TLF33" s="28"/>
      <c r="TLG33" s="28"/>
      <c r="TLH33" s="28"/>
      <c r="TLI33" s="28"/>
      <c r="TLJ33" s="28"/>
      <c r="TLK33" s="28"/>
      <c r="TLL33" s="28"/>
      <c r="TLM33" s="28"/>
      <c r="TLN33" s="28"/>
      <c r="TLO33" s="28"/>
      <c r="TLP33" s="28"/>
      <c r="TLQ33" s="28"/>
      <c r="TLR33" s="28"/>
      <c r="TLS33" s="28"/>
      <c r="TLT33" s="28"/>
      <c r="TLU33" s="28"/>
      <c r="TLV33" s="28"/>
      <c r="TLW33" s="28"/>
      <c r="TLX33" s="28"/>
      <c r="TLY33" s="28"/>
      <c r="TLZ33" s="28"/>
      <c r="TMA33" s="28"/>
      <c r="TMB33" s="28"/>
      <c r="TMC33" s="28"/>
      <c r="TMD33" s="28"/>
      <c r="TME33" s="28"/>
      <c r="TMF33" s="28"/>
      <c r="TMG33" s="28"/>
      <c r="TMH33" s="28"/>
      <c r="TMI33" s="28"/>
      <c r="TMJ33" s="28"/>
      <c r="TMK33" s="28"/>
      <c r="TML33" s="28"/>
      <c r="TMM33" s="28"/>
      <c r="TMN33" s="28"/>
      <c r="TMO33" s="28"/>
      <c r="TMP33" s="28"/>
      <c r="TMQ33" s="28"/>
      <c r="TMR33" s="28"/>
      <c r="TMS33" s="28"/>
      <c r="TMT33" s="28"/>
      <c r="TMU33" s="28"/>
      <c r="TMV33" s="28"/>
      <c r="TMW33" s="28"/>
      <c r="TMX33" s="28"/>
      <c r="TMY33" s="28"/>
      <c r="TMZ33" s="28"/>
      <c r="TNA33" s="28"/>
      <c r="TNB33" s="28"/>
      <c r="TNC33" s="28"/>
      <c r="TND33" s="28"/>
      <c r="TNE33" s="28"/>
      <c r="TNF33" s="28"/>
      <c r="TNG33" s="28"/>
      <c r="TNH33" s="28"/>
      <c r="TNI33" s="28"/>
      <c r="TNJ33" s="28"/>
      <c r="TNK33" s="28"/>
      <c r="TNL33" s="28"/>
      <c r="TNM33" s="28"/>
      <c r="TNN33" s="28"/>
      <c r="TNO33" s="28"/>
      <c r="TNP33" s="28"/>
      <c r="TNQ33" s="28"/>
      <c r="TNR33" s="28"/>
      <c r="TNS33" s="28"/>
      <c r="TNT33" s="28"/>
      <c r="TNU33" s="28"/>
      <c r="TNV33" s="28"/>
      <c r="TNW33" s="28"/>
      <c r="TNX33" s="28"/>
      <c r="TNY33" s="28"/>
      <c r="TNZ33" s="28"/>
      <c r="TOA33" s="28"/>
      <c r="TOB33" s="28"/>
      <c r="TOC33" s="28"/>
      <c r="TOD33" s="28"/>
      <c r="TOE33" s="28"/>
      <c r="TOF33" s="28"/>
      <c r="TOG33" s="28"/>
      <c r="TOH33" s="28"/>
      <c r="TOI33" s="28"/>
      <c r="TOJ33" s="28"/>
      <c r="TOK33" s="28"/>
      <c r="TOL33" s="28"/>
      <c r="TOM33" s="28"/>
      <c r="TON33" s="28"/>
      <c r="TOO33" s="28"/>
      <c r="TOP33" s="28"/>
      <c r="TOQ33" s="28"/>
      <c r="TOR33" s="28"/>
      <c r="TOS33" s="28"/>
      <c r="TOT33" s="28"/>
      <c r="TOU33" s="28"/>
      <c r="TOV33" s="28"/>
      <c r="TOW33" s="28"/>
      <c r="TOX33" s="28"/>
      <c r="TOY33" s="28"/>
      <c r="TOZ33" s="28"/>
      <c r="TPA33" s="28"/>
      <c r="TPB33" s="28"/>
      <c r="TPC33" s="28"/>
      <c r="TPD33" s="28"/>
      <c r="TPE33" s="28"/>
      <c r="TPF33" s="28"/>
      <c r="TPG33" s="28"/>
      <c r="TPH33" s="28"/>
      <c r="TPI33" s="28"/>
      <c r="TPJ33" s="28"/>
      <c r="TPK33" s="28"/>
      <c r="TPL33" s="28"/>
      <c r="TPM33" s="28"/>
      <c r="TPN33" s="28"/>
      <c r="TPO33" s="28"/>
      <c r="TPP33" s="28"/>
      <c r="TPQ33" s="28"/>
      <c r="TPR33" s="28"/>
      <c r="TPS33" s="28"/>
      <c r="TPT33" s="28"/>
      <c r="TPU33" s="28"/>
      <c r="TPV33" s="28"/>
      <c r="TPW33" s="28"/>
      <c r="TPX33" s="28"/>
      <c r="TPY33" s="28"/>
      <c r="TPZ33" s="28"/>
      <c r="TQA33" s="28"/>
      <c r="TQB33" s="28"/>
      <c r="TQC33" s="28"/>
      <c r="TQD33" s="28"/>
      <c r="TQE33" s="28"/>
      <c r="TQF33" s="28"/>
      <c r="TQG33" s="28"/>
      <c r="TQH33" s="28"/>
      <c r="TQI33" s="28"/>
      <c r="TQJ33" s="28"/>
      <c r="TQK33" s="28"/>
      <c r="TQL33" s="28"/>
      <c r="TQM33" s="28"/>
      <c r="TQN33" s="28"/>
      <c r="TQO33" s="28"/>
      <c r="TQP33" s="28"/>
      <c r="TQQ33" s="28"/>
      <c r="TQR33" s="28"/>
      <c r="TQS33" s="28"/>
      <c r="TQT33" s="28"/>
      <c r="TQU33" s="28"/>
      <c r="TQV33" s="28"/>
      <c r="TQW33" s="28"/>
      <c r="TQX33" s="28"/>
      <c r="TQY33" s="28"/>
      <c r="TQZ33" s="28"/>
      <c r="TRA33" s="28"/>
      <c r="TRB33" s="28"/>
      <c r="TRC33" s="28"/>
      <c r="TRD33" s="28"/>
      <c r="TRE33" s="28"/>
      <c r="TRF33" s="28"/>
      <c r="TRG33" s="28"/>
      <c r="TRH33" s="28"/>
      <c r="TRI33" s="28"/>
      <c r="TRJ33" s="28"/>
      <c r="TRK33" s="28"/>
      <c r="TRL33" s="28"/>
      <c r="TRM33" s="28"/>
      <c r="TRN33" s="28"/>
      <c r="TRO33" s="28"/>
      <c r="TRP33" s="28"/>
      <c r="TRQ33" s="28"/>
      <c r="TRR33" s="28"/>
      <c r="TRS33" s="28"/>
      <c r="TRT33" s="28"/>
      <c r="TRU33" s="28"/>
      <c r="TRV33" s="28"/>
      <c r="TRW33" s="28"/>
      <c r="TRX33" s="28"/>
      <c r="TRY33" s="28"/>
      <c r="TRZ33" s="28"/>
      <c r="TSA33" s="28"/>
      <c r="TSB33" s="28"/>
      <c r="TSC33" s="28"/>
      <c r="TSD33" s="28"/>
      <c r="TSE33" s="28"/>
      <c r="TSF33" s="28"/>
      <c r="TSG33" s="28"/>
      <c r="TSH33" s="28"/>
      <c r="TSI33" s="28"/>
      <c r="TSJ33" s="28"/>
      <c r="TSK33" s="28"/>
      <c r="TSL33" s="28"/>
      <c r="TSM33" s="28"/>
      <c r="TSN33" s="28"/>
      <c r="TSO33" s="28"/>
      <c r="TSP33" s="28"/>
      <c r="TSQ33" s="28"/>
      <c r="TSR33" s="28"/>
      <c r="TSS33" s="28"/>
      <c r="TST33" s="28"/>
      <c r="TSU33" s="28"/>
      <c r="TSV33" s="28"/>
      <c r="TSW33" s="28"/>
      <c r="TSX33" s="28"/>
      <c r="TSY33" s="28"/>
      <c r="TSZ33" s="28"/>
      <c r="TTA33" s="28"/>
      <c r="TTB33" s="28"/>
      <c r="TTC33" s="28"/>
      <c r="TTD33" s="28"/>
      <c r="TTE33" s="28"/>
      <c r="TTF33" s="28"/>
      <c r="TTG33" s="28"/>
      <c r="TTH33" s="28"/>
      <c r="TTI33" s="28"/>
      <c r="TTJ33" s="28"/>
      <c r="TTK33" s="28"/>
      <c r="TTL33" s="28"/>
      <c r="TTM33" s="28"/>
      <c r="TTN33" s="28"/>
      <c r="TTO33" s="28"/>
      <c r="TTP33" s="28"/>
      <c r="TTQ33" s="28"/>
      <c r="TTR33" s="28"/>
      <c r="TTS33" s="28"/>
      <c r="TTT33" s="28"/>
      <c r="TTU33" s="28"/>
      <c r="TTV33" s="28"/>
      <c r="TTW33" s="28"/>
      <c r="TTX33" s="28"/>
      <c r="TTY33" s="28"/>
      <c r="TTZ33" s="28"/>
      <c r="TUA33" s="28"/>
      <c r="TUB33" s="28"/>
      <c r="TUC33" s="28"/>
      <c r="TUD33" s="28"/>
      <c r="TUE33" s="28"/>
      <c r="TUF33" s="28"/>
      <c r="TUG33" s="28"/>
      <c r="TUH33" s="28"/>
      <c r="TUI33" s="28"/>
      <c r="TUJ33" s="28"/>
      <c r="TUK33" s="28"/>
      <c r="TUL33" s="28"/>
      <c r="TUM33" s="28"/>
      <c r="TUN33" s="28"/>
      <c r="TUO33" s="28"/>
      <c r="TUP33" s="28"/>
      <c r="TUQ33" s="28"/>
      <c r="TUR33" s="28"/>
      <c r="TUS33" s="28"/>
      <c r="TUT33" s="28"/>
      <c r="TUU33" s="28"/>
      <c r="TUV33" s="28"/>
      <c r="TUW33" s="28"/>
      <c r="TUX33" s="28"/>
      <c r="TUY33" s="28"/>
      <c r="TUZ33" s="28"/>
      <c r="TVA33" s="28"/>
      <c r="TVB33" s="28"/>
      <c r="TVC33" s="28"/>
      <c r="TVD33" s="28"/>
      <c r="TVE33" s="28"/>
      <c r="TVF33" s="28"/>
      <c r="TVG33" s="28"/>
      <c r="TVH33" s="28"/>
      <c r="TVI33" s="28"/>
      <c r="TVJ33" s="28"/>
      <c r="TVK33" s="28"/>
      <c r="TVL33" s="28"/>
      <c r="TVM33" s="28"/>
      <c r="TVN33" s="28"/>
      <c r="TVO33" s="28"/>
      <c r="TVP33" s="28"/>
      <c r="TVQ33" s="28"/>
      <c r="TVR33" s="28"/>
      <c r="TVS33" s="28"/>
      <c r="TVT33" s="28"/>
      <c r="TVU33" s="28"/>
      <c r="TVV33" s="28"/>
      <c r="TVW33" s="28"/>
      <c r="TVX33" s="28"/>
      <c r="TVY33" s="28"/>
      <c r="TVZ33" s="28"/>
      <c r="TWA33" s="28"/>
      <c r="TWB33" s="28"/>
      <c r="TWC33" s="28"/>
      <c r="TWD33" s="28"/>
      <c r="TWE33" s="28"/>
      <c r="TWF33" s="28"/>
      <c r="TWG33" s="28"/>
      <c r="TWH33" s="28"/>
      <c r="TWI33" s="28"/>
      <c r="TWJ33" s="28"/>
      <c r="TWK33" s="28"/>
      <c r="TWL33" s="28"/>
      <c r="TWM33" s="28"/>
      <c r="TWN33" s="28"/>
      <c r="TWO33" s="28"/>
      <c r="TWP33" s="28"/>
      <c r="TWQ33" s="28"/>
      <c r="TWR33" s="28"/>
      <c r="TWS33" s="28"/>
      <c r="TWT33" s="28"/>
      <c r="TWU33" s="28"/>
      <c r="TWV33" s="28"/>
      <c r="TWW33" s="28"/>
      <c r="TWX33" s="28"/>
      <c r="TWY33" s="28"/>
      <c r="TWZ33" s="28"/>
      <c r="TXA33" s="28"/>
      <c r="TXB33" s="28"/>
      <c r="TXC33" s="28"/>
      <c r="TXD33" s="28"/>
      <c r="TXE33" s="28"/>
      <c r="TXF33" s="28"/>
      <c r="TXG33" s="28"/>
      <c r="TXH33" s="28"/>
      <c r="TXI33" s="28"/>
      <c r="TXJ33" s="28"/>
      <c r="TXK33" s="28"/>
      <c r="TXL33" s="28"/>
      <c r="TXM33" s="28"/>
      <c r="TXN33" s="28"/>
      <c r="TXO33" s="28"/>
      <c r="TXP33" s="28"/>
      <c r="TXQ33" s="28"/>
      <c r="TXR33" s="28"/>
      <c r="TXS33" s="28"/>
      <c r="TXT33" s="28"/>
      <c r="TXU33" s="28"/>
      <c r="TXV33" s="28"/>
      <c r="TXW33" s="28"/>
      <c r="TXX33" s="28"/>
      <c r="TXY33" s="28"/>
      <c r="TXZ33" s="28"/>
      <c r="TYA33" s="28"/>
      <c r="TYB33" s="28"/>
      <c r="TYC33" s="28"/>
      <c r="TYD33" s="28"/>
      <c r="TYE33" s="28"/>
      <c r="TYF33" s="28"/>
      <c r="TYG33" s="28"/>
      <c r="TYH33" s="28"/>
      <c r="TYI33" s="28"/>
      <c r="TYJ33" s="28"/>
      <c r="TYK33" s="28"/>
      <c r="TYL33" s="28"/>
      <c r="TYM33" s="28"/>
      <c r="TYN33" s="28"/>
      <c r="TYO33" s="28"/>
      <c r="TYP33" s="28"/>
      <c r="TYQ33" s="28"/>
      <c r="TYR33" s="28"/>
      <c r="TYS33" s="28"/>
      <c r="TYT33" s="28"/>
      <c r="TYU33" s="28"/>
      <c r="TYV33" s="28"/>
      <c r="TYW33" s="28"/>
      <c r="TYX33" s="28"/>
      <c r="TYY33" s="28"/>
      <c r="TYZ33" s="28"/>
      <c r="TZA33" s="28"/>
      <c r="TZB33" s="28"/>
      <c r="TZC33" s="28"/>
      <c r="TZD33" s="28"/>
      <c r="TZE33" s="28"/>
      <c r="TZF33" s="28"/>
      <c r="TZG33" s="28"/>
      <c r="TZH33" s="28"/>
      <c r="TZI33" s="28"/>
      <c r="TZJ33" s="28"/>
      <c r="TZK33" s="28"/>
      <c r="TZL33" s="28"/>
      <c r="TZM33" s="28"/>
      <c r="TZN33" s="28"/>
      <c r="TZO33" s="28"/>
      <c r="TZP33" s="28"/>
      <c r="TZQ33" s="28"/>
      <c r="TZR33" s="28"/>
      <c r="TZS33" s="28"/>
      <c r="TZT33" s="28"/>
      <c r="TZU33" s="28"/>
      <c r="TZV33" s="28"/>
      <c r="TZW33" s="28"/>
      <c r="TZX33" s="28"/>
      <c r="TZY33" s="28"/>
      <c r="TZZ33" s="28"/>
      <c r="UAA33" s="28"/>
      <c r="UAB33" s="28"/>
      <c r="UAC33" s="28"/>
      <c r="UAD33" s="28"/>
      <c r="UAE33" s="28"/>
      <c r="UAF33" s="28"/>
      <c r="UAG33" s="28"/>
      <c r="UAH33" s="28"/>
      <c r="UAI33" s="28"/>
      <c r="UAJ33" s="28"/>
      <c r="UAK33" s="28"/>
      <c r="UAL33" s="28"/>
      <c r="UAM33" s="28"/>
      <c r="UAN33" s="28"/>
      <c r="UAO33" s="28"/>
      <c r="UAP33" s="28"/>
      <c r="UAQ33" s="28"/>
      <c r="UAR33" s="28"/>
      <c r="UAS33" s="28"/>
      <c r="UAT33" s="28"/>
      <c r="UAU33" s="28"/>
      <c r="UAV33" s="28"/>
      <c r="UAW33" s="28"/>
      <c r="UAX33" s="28"/>
      <c r="UAY33" s="28"/>
      <c r="UAZ33" s="28"/>
      <c r="UBA33" s="28"/>
      <c r="UBB33" s="28"/>
      <c r="UBC33" s="28"/>
      <c r="UBD33" s="28"/>
      <c r="UBE33" s="28"/>
      <c r="UBF33" s="28"/>
      <c r="UBG33" s="28"/>
      <c r="UBH33" s="28"/>
      <c r="UBI33" s="28"/>
      <c r="UBJ33" s="28"/>
      <c r="UBK33" s="28"/>
      <c r="UBL33" s="28"/>
      <c r="UBM33" s="28"/>
      <c r="UBN33" s="28"/>
      <c r="UBO33" s="28"/>
      <c r="UBP33" s="28"/>
      <c r="UBQ33" s="28"/>
      <c r="UBR33" s="28"/>
      <c r="UBS33" s="28"/>
      <c r="UBT33" s="28"/>
      <c r="UBU33" s="28"/>
      <c r="UBV33" s="28"/>
      <c r="UBW33" s="28"/>
      <c r="UBX33" s="28"/>
      <c r="UBY33" s="28"/>
      <c r="UBZ33" s="28"/>
      <c r="UCA33" s="28"/>
      <c r="UCB33" s="28"/>
      <c r="UCC33" s="28"/>
      <c r="UCD33" s="28"/>
      <c r="UCE33" s="28"/>
      <c r="UCF33" s="28"/>
      <c r="UCG33" s="28"/>
      <c r="UCH33" s="28"/>
      <c r="UCI33" s="28"/>
      <c r="UCJ33" s="28"/>
      <c r="UCK33" s="28"/>
      <c r="UCL33" s="28"/>
      <c r="UCM33" s="28"/>
      <c r="UCN33" s="28"/>
      <c r="UCO33" s="28"/>
      <c r="UCP33" s="28"/>
      <c r="UCQ33" s="28"/>
      <c r="UCR33" s="28"/>
      <c r="UCS33" s="28"/>
      <c r="UCT33" s="28"/>
      <c r="UCU33" s="28"/>
      <c r="UCV33" s="28"/>
      <c r="UCW33" s="28"/>
      <c r="UCX33" s="28"/>
      <c r="UCY33" s="28"/>
      <c r="UCZ33" s="28"/>
      <c r="UDA33" s="28"/>
      <c r="UDB33" s="28"/>
      <c r="UDC33" s="28"/>
      <c r="UDD33" s="28"/>
      <c r="UDE33" s="28"/>
      <c r="UDF33" s="28"/>
      <c r="UDG33" s="28"/>
      <c r="UDH33" s="28"/>
      <c r="UDI33" s="28"/>
      <c r="UDJ33" s="28"/>
      <c r="UDK33" s="28"/>
      <c r="UDL33" s="28"/>
      <c r="UDM33" s="28"/>
      <c r="UDN33" s="28"/>
      <c r="UDO33" s="28"/>
      <c r="UDP33" s="28"/>
      <c r="UDQ33" s="28"/>
      <c r="UDR33" s="28"/>
      <c r="UDS33" s="28"/>
      <c r="UDT33" s="28"/>
      <c r="UDU33" s="28"/>
      <c r="UDV33" s="28"/>
      <c r="UDW33" s="28"/>
      <c r="UDX33" s="28"/>
      <c r="UDY33" s="28"/>
      <c r="UDZ33" s="28"/>
      <c r="UEA33" s="28"/>
      <c r="UEB33" s="28"/>
      <c r="UEC33" s="28"/>
      <c r="UED33" s="28"/>
      <c r="UEE33" s="28"/>
      <c r="UEF33" s="28"/>
      <c r="UEG33" s="28"/>
      <c r="UEH33" s="28"/>
      <c r="UEI33" s="28"/>
      <c r="UEJ33" s="28"/>
      <c r="UEK33" s="28"/>
      <c r="UEL33" s="28"/>
      <c r="UEM33" s="28"/>
      <c r="UEN33" s="28"/>
      <c r="UEO33" s="28"/>
      <c r="UEP33" s="28"/>
      <c r="UEQ33" s="28"/>
      <c r="UER33" s="28"/>
      <c r="UES33" s="28"/>
      <c r="UET33" s="28"/>
      <c r="UEU33" s="28"/>
      <c r="UEV33" s="28"/>
      <c r="UEW33" s="28"/>
      <c r="UEX33" s="28"/>
      <c r="UEY33" s="28"/>
      <c r="UEZ33" s="28"/>
      <c r="UFA33" s="28"/>
      <c r="UFB33" s="28"/>
      <c r="UFC33" s="28"/>
      <c r="UFD33" s="28"/>
      <c r="UFE33" s="28"/>
      <c r="UFF33" s="28"/>
      <c r="UFG33" s="28"/>
      <c r="UFH33" s="28"/>
      <c r="UFI33" s="28"/>
      <c r="UFJ33" s="28"/>
      <c r="UFK33" s="28"/>
      <c r="UFL33" s="28"/>
      <c r="UFM33" s="28"/>
      <c r="UFN33" s="28"/>
      <c r="UFO33" s="28"/>
      <c r="UFP33" s="28"/>
      <c r="UFQ33" s="28"/>
      <c r="UFR33" s="28"/>
      <c r="UFS33" s="28"/>
      <c r="UFT33" s="28"/>
      <c r="UFU33" s="28"/>
      <c r="UFV33" s="28"/>
      <c r="UFW33" s="28"/>
      <c r="UFX33" s="28"/>
      <c r="UFY33" s="28"/>
      <c r="UFZ33" s="28"/>
      <c r="UGA33" s="28"/>
      <c r="UGB33" s="28"/>
      <c r="UGC33" s="28"/>
      <c r="UGD33" s="28"/>
      <c r="UGE33" s="28"/>
      <c r="UGF33" s="28"/>
      <c r="UGG33" s="28"/>
      <c r="UGH33" s="28"/>
      <c r="UGI33" s="28"/>
      <c r="UGJ33" s="28"/>
      <c r="UGK33" s="28"/>
      <c r="UGL33" s="28"/>
      <c r="UGM33" s="28"/>
      <c r="UGN33" s="28"/>
      <c r="UGO33" s="28"/>
      <c r="UGP33" s="28"/>
      <c r="UGQ33" s="28"/>
      <c r="UGR33" s="28"/>
      <c r="UGS33" s="28"/>
      <c r="UGT33" s="28"/>
      <c r="UGU33" s="28"/>
      <c r="UGV33" s="28"/>
      <c r="UGW33" s="28"/>
      <c r="UGX33" s="28"/>
      <c r="UGY33" s="28"/>
      <c r="UGZ33" s="28"/>
      <c r="UHA33" s="28"/>
      <c r="UHB33" s="28"/>
      <c r="UHC33" s="28"/>
      <c r="UHD33" s="28"/>
      <c r="UHE33" s="28"/>
      <c r="UHF33" s="28"/>
      <c r="UHG33" s="28"/>
      <c r="UHH33" s="28"/>
      <c r="UHI33" s="28"/>
      <c r="UHJ33" s="28"/>
      <c r="UHK33" s="28"/>
      <c r="UHL33" s="28"/>
      <c r="UHM33" s="28"/>
      <c r="UHN33" s="28"/>
      <c r="UHO33" s="28"/>
      <c r="UHP33" s="28"/>
      <c r="UHQ33" s="28"/>
      <c r="UHR33" s="28"/>
      <c r="UHS33" s="28"/>
      <c r="UHT33" s="28"/>
      <c r="UHU33" s="28"/>
      <c r="UHV33" s="28"/>
      <c r="UHW33" s="28"/>
      <c r="UHX33" s="28"/>
      <c r="UHY33" s="28"/>
      <c r="UHZ33" s="28"/>
      <c r="UIA33" s="28"/>
      <c r="UIB33" s="28"/>
      <c r="UIC33" s="28"/>
      <c r="UID33" s="28"/>
      <c r="UIE33" s="28"/>
      <c r="UIF33" s="28"/>
      <c r="UIG33" s="28"/>
      <c r="UIH33" s="28"/>
      <c r="UII33" s="28"/>
      <c r="UIJ33" s="28"/>
      <c r="UIK33" s="28"/>
      <c r="UIL33" s="28"/>
      <c r="UIM33" s="28"/>
      <c r="UIN33" s="28"/>
      <c r="UIO33" s="28"/>
      <c r="UIP33" s="28"/>
      <c r="UIQ33" s="28"/>
      <c r="UIR33" s="28"/>
      <c r="UIS33" s="28"/>
      <c r="UIT33" s="28"/>
      <c r="UIU33" s="28"/>
      <c r="UIV33" s="28"/>
      <c r="UIW33" s="28"/>
      <c r="UIX33" s="28"/>
      <c r="UIY33" s="28"/>
      <c r="UIZ33" s="28"/>
      <c r="UJA33" s="28"/>
      <c r="UJB33" s="28"/>
      <c r="UJC33" s="28"/>
      <c r="UJD33" s="28"/>
      <c r="UJE33" s="28"/>
      <c r="UJF33" s="28"/>
      <c r="UJG33" s="28"/>
      <c r="UJH33" s="28"/>
      <c r="UJI33" s="28"/>
      <c r="UJJ33" s="28"/>
      <c r="UJK33" s="28"/>
      <c r="UJL33" s="28"/>
      <c r="UJM33" s="28"/>
      <c r="UJN33" s="28"/>
      <c r="UJO33" s="28"/>
      <c r="UJP33" s="28"/>
      <c r="UJQ33" s="28"/>
      <c r="UJR33" s="28"/>
      <c r="UJS33" s="28"/>
      <c r="UJT33" s="28"/>
      <c r="UJU33" s="28"/>
      <c r="UJV33" s="28"/>
      <c r="UJW33" s="28"/>
      <c r="UJX33" s="28"/>
      <c r="UJY33" s="28"/>
      <c r="UJZ33" s="28"/>
      <c r="UKA33" s="28"/>
      <c r="UKB33" s="28"/>
      <c r="UKC33" s="28"/>
      <c r="UKD33" s="28"/>
      <c r="UKE33" s="28"/>
      <c r="UKF33" s="28"/>
      <c r="UKG33" s="28"/>
      <c r="UKH33" s="28"/>
      <c r="UKI33" s="28"/>
      <c r="UKJ33" s="28"/>
      <c r="UKK33" s="28"/>
      <c r="UKL33" s="28"/>
      <c r="UKM33" s="28"/>
      <c r="UKN33" s="28"/>
      <c r="UKO33" s="28"/>
      <c r="UKP33" s="28"/>
      <c r="UKQ33" s="28"/>
      <c r="UKR33" s="28"/>
      <c r="UKS33" s="28"/>
      <c r="UKT33" s="28"/>
      <c r="UKU33" s="28"/>
      <c r="UKV33" s="28"/>
      <c r="UKW33" s="28"/>
      <c r="UKX33" s="28"/>
      <c r="UKY33" s="28"/>
      <c r="UKZ33" s="28"/>
      <c r="ULA33" s="28"/>
      <c r="ULB33" s="28"/>
      <c r="ULC33" s="28"/>
      <c r="ULD33" s="28"/>
      <c r="ULE33" s="28"/>
      <c r="ULF33" s="28"/>
      <c r="ULG33" s="28"/>
      <c r="ULH33" s="28"/>
      <c r="ULI33" s="28"/>
      <c r="ULJ33" s="28"/>
      <c r="ULK33" s="28"/>
      <c r="ULL33" s="28"/>
      <c r="ULM33" s="28"/>
      <c r="ULN33" s="28"/>
      <c r="ULO33" s="28"/>
      <c r="ULP33" s="28"/>
      <c r="ULQ33" s="28"/>
      <c r="ULR33" s="28"/>
      <c r="ULS33" s="28"/>
      <c r="ULT33" s="28"/>
      <c r="ULU33" s="28"/>
      <c r="ULV33" s="28"/>
      <c r="ULW33" s="28"/>
      <c r="ULX33" s="28"/>
      <c r="ULY33" s="28"/>
      <c r="ULZ33" s="28"/>
      <c r="UMA33" s="28"/>
      <c r="UMB33" s="28"/>
      <c r="UMC33" s="28"/>
      <c r="UMD33" s="28"/>
      <c r="UME33" s="28"/>
      <c r="UMF33" s="28"/>
      <c r="UMG33" s="28"/>
      <c r="UMH33" s="28"/>
      <c r="UMI33" s="28"/>
      <c r="UMJ33" s="28"/>
      <c r="UMK33" s="28"/>
      <c r="UML33" s="28"/>
      <c r="UMM33" s="28"/>
      <c r="UMN33" s="28"/>
      <c r="UMO33" s="28"/>
      <c r="UMP33" s="28"/>
      <c r="UMQ33" s="28"/>
      <c r="UMR33" s="28"/>
      <c r="UMS33" s="28"/>
      <c r="UMT33" s="28"/>
      <c r="UMU33" s="28"/>
      <c r="UMV33" s="28"/>
      <c r="UMW33" s="28"/>
      <c r="UMX33" s="28"/>
      <c r="UMY33" s="28"/>
      <c r="UMZ33" s="28"/>
      <c r="UNA33" s="28"/>
      <c r="UNB33" s="28"/>
      <c r="UNC33" s="28"/>
      <c r="UND33" s="28"/>
      <c r="UNE33" s="28"/>
      <c r="UNF33" s="28"/>
      <c r="UNG33" s="28"/>
      <c r="UNH33" s="28"/>
      <c r="UNI33" s="28"/>
      <c r="UNJ33" s="28"/>
      <c r="UNK33" s="28"/>
      <c r="UNL33" s="28"/>
      <c r="UNM33" s="28"/>
      <c r="UNN33" s="28"/>
      <c r="UNO33" s="28"/>
      <c r="UNP33" s="28"/>
      <c r="UNQ33" s="28"/>
      <c r="UNR33" s="28"/>
      <c r="UNS33" s="28"/>
      <c r="UNT33" s="28"/>
      <c r="UNU33" s="28"/>
      <c r="UNV33" s="28"/>
      <c r="UNW33" s="28"/>
      <c r="UNX33" s="28"/>
      <c r="UNY33" s="28"/>
      <c r="UNZ33" s="28"/>
      <c r="UOA33" s="28"/>
      <c r="UOB33" s="28"/>
      <c r="UOC33" s="28"/>
      <c r="UOD33" s="28"/>
      <c r="UOE33" s="28"/>
      <c r="UOF33" s="28"/>
      <c r="UOG33" s="28"/>
      <c r="UOH33" s="28"/>
      <c r="UOI33" s="28"/>
      <c r="UOJ33" s="28"/>
      <c r="UOK33" s="28"/>
      <c r="UOL33" s="28"/>
      <c r="UOM33" s="28"/>
      <c r="UON33" s="28"/>
      <c r="UOO33" s="28"/>
      <c r="UOP33" s="28"/>
      <c r="UOQ33" s="28"/>
      <c r="UOR33" s="28"/>
      <c r="UOS33" s="28"/>
      <c r="UOT33" s="28"/>
      <c r="UOU33" s="28"/>
      <c r="UOV33" s="28"/>
      <c r="UOW33" s="28"/>
      <c r="UOX33" s="28"/>
      <c r="UOY33" s="28"/>
      <c r="UOZ33" s="28"/>
      <c r="UPA33" s="28"/>
      <c r="UPB33" s="28"/>
      <c r="UPC33" s="28"/>
      <c r="UPD33" s="28"/>
      <c r="UPE33" s="28"/>
      <c r="UPF33" s="28"/>
      <c r="UPG33" s="28"/>
      <c r="UPH33" s="28"/>
      <c r="UPI33" s="28"/>
      <c r="UPJ33" s="28"/>
      <c r="UPK33" s="28"/>
      <c r="UPL33" s="28"/>
      <c r="UPM33" s="28"/>
      <c r="UPN33" s="28"/>
      <c r="UPO33" s="28"/>
      <c r="UPP33" s="28"/>
      <c r="UPQ33" s="28"/>
      <c r="UPR33" s="28"/>
      <c r="UPS33" s="28"/>
      <c r="UPT33" s="28"/>
      <c r="UPU33" s="28"/>
      <c r="UPV33" s="28"/>
      <c r="UPW33" s="28"/>
      <c r="UPX33" s="28"/>
      <c r="UPY33" s="28"/>
      <c r="UPZ33" s="28"/>
      <c r="UQA33" s="28"/>
      <c r="UQB33" s="28"/>
      <c r="UQC33" s="28"/>
      <c r="UQD33" s="28"/>
      <c r="UQE33" s="28"/>
      <c r="UQF33" s="28"/>
      <c r="UQG33" s="28"/>
      <c r="UQH33" s="28"/>
      <c r="UQI33" s="28"/>
      <c r="UQJ33" s="28"/>
      <c r="UQK33" s="28"/>
      <c r="UQL33" s="28"/>
      <c r="UQM33" s="28"/>
      <c r="UQN33" s="28"/>
      <c r="UQO33" s="28"/>
      <c r="UQP33" s="28"/>
      <c r="UQQ33" s="28"/>
      <c r="UQR33" s="28"/>
      <c r="UQS33" s="28"/>
      <c r="UQT33" s="28"/>
      <c r="UQU33" s="28"/>
      <c r="UQV33" s="28"/>
      <c r="UQW33" s="28"/>
      <c r="UQX33" s="28"/>
      <c r="UQY33" s="28"/>
      <c r="UQZ33" s="28"/>
      <c r="URA33" s="28"/>
      <c r="URB33" s="28"/>
      <c r="URC33" s="28"/>
      <c r="URD33" s="28"/>
      <c r="URE33" s="28"/>
      <c r="URF33" s="28"/>
      <c r="URG33" s="28"/>
      <c r="URH33" s="28"/>
      <c r="URI33" s="28"/>
      <c r="URJ33" s="28"/>
      <c r="URK33" s="28"/>
      <c r="URL33" s="28"/>
      <c r="URM33" s="28"/>
      <c r="URN33" s="28"/>
      <c r="URO33" s="28"/>
      <c r="URP33" s="28"/>
      <c r="URQ33" s="28"/>
      <c r="URR33" s="28"/>
      <c r="URS33" s="28"/>
      <c r="URT33" s="28"/>
      <c r="URU33" s="28"/>
      <c r="URV33" s="28"/>
      <c r="URW33" s="28"/>
      <c r="URX33" s="28"/>
      <c r="URY33" s="28"/>
      <c r="URZ33" s="28"/>
      <c r="USA33" s="28"/>
      <c r="USB33" s="28"/>
      <c r="USC33" s="28"/>
      <c r="USD33" s="28"/>
      <c r="USE33" s="28"/>
      <c r="USF33" s="28"/>
      <c r="USG33" s="28"/>
      <c r="USH33" s="28"/>
      <c r="USI33" s="28"/>
      <c r="USJ33" s="28"/>
      <c r="USK33" s="28"/>
      <c r="USL33" s="28"/>
      <c r="USM33" s="28"/>
      <c r="USN33" s="28"/>
      <c r="USO33" s="28"/>
      <c r="USP33" s="28"/>
      <c r="USQ33" s="28"/>
      <c r="USR33" s="28"/>
      <c r="USS33" s="28"/>
      <c r="UST33" s="28"/>
      <c r="USU33" s="28"/>
      <c r="USV33" s="28"/>
      <c r="USW33" s="28"/>
      <c r="USX33" s="28"/>
      <c r="USY33" s="28"/>
      <c r="USZ33" s="28"/>
      <c r="UTA33" s="28"/>
      <c r="UTB33" s="28"/>
      <c r="UTC33" s="28"/>
      <c r="UTD33" s="28"/>
      <c r="UTE33" s="28"/>
      <c r="UTF33" s="28"/>
      <c r="UTG33" s="28"/>
      <c r="UTH33" s="28"/>
      <c r="UTI33" s="28"/>
      <c r="UTJ33" s="28"/>
      <c r="UTK33" s="28"/>
      <c r="UTL33" s="28"/>
      <c r="UTM33" s="28"/>
      <c r="UTN33" s="28"/>
      <c r="UTO33" s="28"/>
      <c r="UTP33" s="28"/>
      <c r="UTQ33" s="28"/>
      <c r="UTR33" s="28"/>
      <c r="UTS33" s="28"/>
      <c r="UTT33" s="28"/>
      <c r="UTU33" s="28"/>
      <c r="UTV33" s="28"/>
      <c r="UTW33" s="28"/>
      <c r="UTX33" s="28"/>
      <c r="UTY33" s="28"/>
      <c r="UTZ33" s="28"/>
      <c r="UUA33" s="28"/>
      <c r="UUB33" s="28"/>
      <c r="UUC33" s="28"/>
      <c r="UUD33" s="28"/>
      <c r="UUE33" s="28"/>
      <c r="UUF33" s="28"/>
      <c r="UUG33" s="28"/>
      <c r="UUH33" s="28"/>
      <c r="UUI33" s="28"/>
      <c r="UUJ33" s="28"/>
      <c r="UUK33" s="28"/>
      <c r="UUL33" s="28"/>
      <c r="UUM33" s="28"/>
      <c r="UUN33" s="28"/>
      <c r="UUO33" s="28"/>
      <c r="UUP33" s="28"/>
      <c r="UUQ33" s="28"/>
      <c r="UUR33" s="28"/>
      <c r="UUS33" s="28"/>
      <c r="UUT33" s="28"/>
      <c r="UUU33" s="28"/>
      <c r="UUV33" s="28"/>
      <c r="UUW33" s="28"/>
      <c r="UUX33" s="28"/>
      <c r="UUY33" s="28"/>
      <c r="UUZ33" s="28"/>
      <c r="UVA33" s="28"/>
      <c r="UVB33" s="28"/>
      <c r="UVC33" s="28"/>
      <c r="UVD33" s="28"/>
      <c r="UVE33" s="28"/>
      <c r="UVF33" s="28"/>
      <c r="UVG33" s="28"/>
      <c r="UVH33" s="28"/>
      <c r="UVI33" s="28"/>
      <c r="UVJ33" s="28"/>
      <c r="UVK33" s="28"/>
      <c r="UVL33" s="28"/>
      <c r="UVM33" s="28"/>
      <c r="UVN33" s="28"/>
      <c r="UVO33" s="28"/>
      <c r="UVP33" s="28"/>
      <c r="UVQ33" s="28"/>
      <c r="UVR33" s="28"/>
      <c r="UVS33" s="28"/>
      <c r="UVT33" s="28"/>
      <c r="UVU33" s="28"/>
      <c r="UVV33" s="28"/>
      <c r="UVW33" s="28"/>
      <c r="UVX33" s="28"/>
      <c r="UVY33" s="28"/>
      <c r="UVZ33" s="28"/>
      <c r="UWA33" s="28"/>
      <c r="UWB33" s="28"/>
      <c r="UWC33" s="28"/>
      <c r="UWD33" s="28"/>
      <c r="UWE33" s="28"/>
      <c r="UWF33" s="28"/>
      <c r="UWG33" s="28"/>
      <c r="UWH33" s="28"/>
      <c r="UWI33" s="28"/>
      <c r="UWJ33" s="28"/>
      <c r="UWK33" s="28"/>
      <c r="UWL33" s="28"/>
      <c r="UWM33" s="28"/>
      <c r="UWN33" s="28"/>
      <c r="UWO33" s="28"/>
      <c r="UWP33" s="28"/>
      <c r="UWQ33" s="28"/>
      <c r="UWR33" s="28"/>
      <c r="UWS33" s="28"/>
      <c r="UWT33" s="28"/>
      <c r="UWU33" s="28"/>
      <c r="UWV33" s="28"/>
      <c r="UWW33" s="28"/>
      <c r="UWX33" s="28"/>
      <c r="UWY33" s="28"/>
      <c r="UWZ33" s="28"/>
      <c r="UXA33" s="28"/>
      <c r="UXB33" s="28"/>
      <c r="UXC33" s="28"/>
      <c r="UXD33" s="28"/>
      <c r="UXE33" s="28"/>
      <c r="UXF33" s="28"/>
      <c r="UXG33" s="28"/>
      <c r="UXH33" s="28"/>
      <c r="UXI33" s="28"/>
      <c r="UXJ33" s="28"/>
      <c r="UXK33" s="28"/>
      <c r="UXL33" s="28"/>
      <c r="UXM33" s="28"/>
      <c r="UXN33" s="28"/>
      <c r="UXO33" s="28"/>
      <c r="UXP33" s="28"/>
      <c r="UXQ33" s="28"/>
      <c r="UXR33" s="28"/>
      <c r="UXS33" s="28"/>
      <c r="UXT33" s="28"/>
      <c r="UXU33" s="28"/>
      <c r="UXV33" s="28"/>
      <c r="UXW33" s="28"/>
      <c r="UXX33" s="28"/>
      <c r="UXY33" s="28"/>
      <c r="UXZ33" s="28"/>
      <c r="UYA33" s="28"/>
      <c r="UYB33" s="28"/>
      <c r="UYC33" s="28"/>
      <c r="UYD33" s="28"/>
      <c r="UYE33" s="28"/>
      <c r="UYF33" s="28"/>
      <c r="UYG33" s="28"/>
      <c r="UYH33" s="28"/>
      <c r="UYI33" s="28"/>
      <c r="UYJ33" s="28"/>
      <c r="UYK33" s="28"/>
      <c r="UYL33" s="28"/>
      <c r="UYM33" s="28"/>
      <c r="UYN33" s="28"/>
      <c r="UYO33" s="28"/>
      <c r="UYP33" s="28"/>
      <c r="UYQ33" s="28"/>
      <c r="UYR33" s="28"/>
      <c r="UYS33" s="28"/>
      <c r="UYT33" s="28"/>
      <c r="UYU33" s="28"/>
      <c r="UYV33" s="28"/>
      <c r="UYW33" s="28"/>
      <c r="UYX33" s="28"/>
      <c r="UYY33" s="28"/>
      <c r="UYZ33" s="28"/>
      <c r="UZA33" s="28"/>
      <c r="UZB33" s="28"/>
      <c r="UZC33" s="28"/>
      <c r="UZD33" s="28"/>
      <c r="UZE33" s="28"/>
      <c r="UZF33" s="28"/>
      <c r="UZG33" s="28"/>
      <c r="UZH33" s="28"/>
      <c r="UZI33" s="28"/>
      <c r="UZJ33" s="28"/>
      <c r="UZK33" s="28"/>
      <c r="UZL33" s="28"/>
      <c r="UZM33" s="28"/>
      <c r="UZN33" s="28"/>
      <c r="UZO33" s="28"/>
      <c r="UZP33" s="28"/>
      <c r="UZQ33" s="28"/>
      <c r="UZR33" s="28"/>
      <c r="UZS33" s="28"/>
      <c r="UZT33" s="28"/>
      <c r="UZU33" s="28"/>
      <c r="UZV33" s="28"/>
      <c r="UZW33" s="28"/>
      <c r="UZX33" s="28"/>
      <c r="UZY33" s="28"/>
      <c r="UZZ33" s="28"/>
      <c r="VAA33" s="28"/>
      <c r="VAB33" s="28"/>
      <c r="VAC33" s="28"/>
      <c r="VAD33" s="28"/>
      <c r="VAE33" s="28"/>
      <c r="VAF33" s="28"/>
      <c r="VAG33" s="28"/>
      <c r="VAH33" s="28"/>
      <c r="VAI33" s="28"/>
      <c r="VAJ33" s="28"/>
      <c r="VAK33" s="28"/>
      <c r="VAL33" s="28"/>
      <c r="VAM33" s="28"/>
      <c r="VAN33" s="28"/>
      <c r="VAO33" s="28"/>
      <c r="VAP33" s="28"/>
      <c r="VAQ33" s="28"/>
      <c r="VAR33" s="28"/>
      <c r="VAS33" s="28"/>
      <c r="VAT33" s="28"/>
      <c r="VAU33" s="28"/>
      <c r="VAV33" s="28"/>
      <c r="VAW33" s="28"/>
      <c r="VAX33" s="28"/>
      <c r="VAY33" s="28"/>
      <c r="VAZ33" s="28"/>
      <c r="VBA33" s="28"/>
      <c r="VBB33" s="28"/>
      <c r="VBC33" s="28"/>
      <c r="VBD33" s="28"/>
      <c r="VBE33" s="28"/>
      <c r="VBF33" s="28"/>
      <c r="VBG33" s="28"/>
      <c r="VBH33" s="28"/>
      <c r="VBI33" s="28"/>
      <c r="VBJ33" s="28"/>
      <c r="VBK33" s="28"/>
      <c r="VBL33" s="28"/>
      <c r="VBM33" s="28"/>
      <c r="VBN33" s="28"/>
      <c r="VBO33" s="28"/>
      <c r="VBP33" s="28"/>
      <c r="VBQ33" s="28"/>
      <c r="VBR33" s="28"/>
      <c r="VBS33" s="28"/>
      <c r="VBT33" s="28"/>
      <c r="VBU33" s="28"/>
      <c r="VBV33" s="28"/>
      <c r="VBW33" s="28"/>
      <c r="VBX33" s="28"/>
      <c r="VBY33" s="28"/>
      <c r="VBZ33" s="28"/>
      <c r="VCA33" s="28"/>
      <c r="VCB33" s="28"/>
      <c r="VCC33" s="28"/>
      <c r="VCD33" s="28"/>
      <c r="VCE33" s="28"/>
      <c r="VCF33" s="28"/>
      <c r="VCG33" s="28"/>
      <c r="VCH33" s="28"/>
      <c r="VCI33" s="28"/>
      <c r="VCJ33" s="28"/>
      <c r="VCK33" s="28"/>
      <c r="VCL33" s="28"/>
      <c r="VCM33" s="28"/>
      <c r="VCN33" s="28"/>
      <c r="VCO33" s="28"/>
      <c r="VCP33" s="28"/>
      <c r="VCQ33" s="28"/>
      <c r="VCR33" s="28"/>
      <c r="VCS33" s="28"/>
      <c r="VCT33" s="28"/>
      <c r="VCU33" s="28"/>
      <c r="VCV33" s="28"/>
      <c r="VCW33" s="28"/>
      <c r="VCX33" s="28"/>
      <c r="VCY33" s="28"/>
      <c r="VCZ33" s="28"/>
      <c r="VDA33" s="28"/>
      <c r="VDB33" s="28"/>
      <c r="VDC33" s="28"/>
      <c r="VDD33" s="28"/>
      <c r="VDE33" s="28"/>
      <c r="VDF33" s="28"/>
      <c r="VDG33" s="28"/>
      <c r="VDH33" s="28"/>
      <c r="VDI33" s="28"/>
      <c r="VDJ33" s="28"/>
      <c r="VDK33" s="28"/>
      <c r="VDL33" s="28"/>
      <c r="VDM33" s="28"/>
      <c r="VDN33" s="28"/>
      <c r="VDO33" s="28"/>
      <c r="VDP33" s="28"/>
      <c r="VDQ33" s="28"/>
      <c r="VDR33" s="28"/>
      <c r="VDS33" s="28"/>
      <c r="VDT33" s="28"/>
      <c r="VDU33" s="28"/>
      <c r="VDV33" s="28"/>
      <c r="VDW33" s="28"/>
      <c r="VDX33" s="28"/>
      <c r="VDY33" s="28"/>
      <c r="VDZ33" s="28"/>
      <c r="VEA33" s="28"/>
      <c r="VEB33" s="28"/>
      <c r="VEC33" s="28"/>
      <c r="VED33" s="28"/>
      <c r="VEE33" s="28"/>
      <c r="VEF33" s="28"/>
      <c r="VEG33" s="28"/>
      <c r="VEH33" s="28"/>
      <c r="VEI33" s="28"/>
      <c r="VEJ33" s="28"/>
      <c r="VEK33" s="28"/>
      <c r="VEL33" s="28"/>
      <c r="VEM33" s="28"/>
      <c r="VEN33" s="28"/>
      <c r="VEO33" s="28"/>
      <c r="VEP33" s="28"/>
      <c r="VEQ33" s="28"/>
      <c r="VER33" s="28"/>
      <c r="VES33" s="28"/>
      <c r="VET33" s="28"/>
      <c r="VEU33" s="28"/>
      <c r="VEV33" s="28"/>
      <c r="VEW33" s="28"/>
      <c r="VEX33" s="28"/>
      <c r="VEY33" s="28"/>
      <c r="VEZ33" s="28"/>
      <c r="VFA33" s="28"/>
      <c r="VFB33" s="28"/>
      <c r="VFC33" s="28"/>
      <c r="VFD33" s="28"/>
      <c r="VFE33" s="28"/>
      <c r="VFF33" s="28"/>
      <c r="VFG33" s="28"/>
      <c r="VFH33" s="28"/>
      <c r="VFI33" s="28"/>
      <c r="VFJ33" s="28"/>
      <c r="VFK33" s="28"/>
      <c r="VFL33" s="28"/>
      <c r="VFM33" s="28"/>
      <c r="VFN33" s="28"/>
      <c r="VFO33" s="28"/>
      <c r="VFP33" s="28"/>
      <c r="VFQ33" s="28"/>
      <c r="VFR33" s="28"/>
      <c r="VFS33" s="28"/>
      <c r="VFT33" s="28"/>
      <c r="VFU33" s="28"/>
      <c r="VFV33" s="28"/>
      <c r="VFW33" s="28"/>
      <c r="VFX33" s="28"/>
      <c r="VFY33" s="28"/>
      <c r="VFZ33" s="28"/>
      <c r="VGA33" s="28"/>
      <c r="VGB33" s="28"/>
      <c r="VGC33" s="28"/>
      <c r="VGD33" s="28"/>
      <c r="VGE33" s="28"/>
      <c r="VGF33" s="28"/>
      <c r="VGG33" s="28"/>
      <c r="VGH33" s="28"/>
      <c r="VGI33" s="28"/>
      <c r="VGJ33" s="28"/>
      <c r="VGK33" s="28"/>
      <c r="VGL33" s="28"/>
      <c r="VGM33" s="28"/>
      <c r="VGN33" s="28"/>
      <c r="VGO33" s="28"/>
      <c r="VGP33" s="28"/>
      <c r="VGQ33" s="28"/>
      <c r="VGR33" s="28"/>
      <c r="VGS33" s="28"/>
      <c r="VGT33" s="28"/>
      <c r="VGU33" s="28"/>
      <c r="VGV33" s="28"/>
      <c r="VGW33" s="28"/>
      <c r="VGX33" s="28"/>
      <c r="VGY33" s="28"/>
      <c r="VGZ33" s="28"/>
      <c r="VHA33" s="28"/>
      <c r="VHB33" s="28"/>
      <c r="VHC33" s="28"/>
      <c r="VHD33" s="28"/>
      <c r="VHE33" s="28"/>
      <c r="VHF33" s="28"/>
      <c r="VHG33" s="28"/>
      <c r="VHH33" s="28"/>
      <c r="VHI33" s="28"/>
      <c r="VHJ33" s="28"/>
      <c r="VHK33" s="28"/>
      <c r="VHL33" s="28"/>
      <c r="VHM33" s="28"/>
      <c r="VHN33" s="28"/>
      <c r="VHO33" s="28"/>
      <c r="VHP33" s="28"/>
      <c r="VHQ33" s="28"/>
      <c r="VHR33" s="28"/>
      <c r="VHS33" s="28"/>
      <c r="VHT33" s="28"/>
      <c r="VHU33" s="28"/>
      <c r="VHV33" s="28"/>
      <c r="VHW33" s="28"/>
      <c r="VHX33" s="28"/>
      <c r="VHY33" s="28"/>
      <c r="VHZ33" s="28"/>
      <c r="VIA33" s="28"/>
      <c r="VIB33" s="28"/>
      <c r="VIC33" s="28"/>
      <c r="VID33" s="28"/>
      <c r="VIE33" s="28"/>
      <c r="VIF33" s="28"/>
      <c r="VIG33" s="28"/>
      <c r="VIH33" s="28"/>
      <c r="VII33" s="28"/>
      <c r="VIJ33" s="28"/>
      <c r="VIK33" s="28"/>
      <c r="VIL33" s="28"/>
      <c r="VIM33" s="28"/>
      <c r="VIN33" s="28"/>
      <c r="VIO33" s="28"/>
      <c r="VIP33" s="28"/>
      <c r="VIQ33" s="28"/>
      <c r="VIR33" s="28"/>
      <c r="VIS33" s="28"/>
      <c r="VIT33" s="28"/>
      <c r="VIU33" s="28"/>
      <c r="VIV33" s="28"/>
      <c r="VIW33" s="28"/>
      <c r="VIX33" s="28"/>
      <c r="VIY33" s="28"/>
      <c r="VIZ33" s="28"/>
      <c r="VJA33" s="28"/>
      <c r="VJB33" s="28"/>
      <c r="VJC33" s="28"/>
      <c r="VJD33" s="28"/>
      <c r="VJE33" s="28"/>
      <c r="VJF33" s="28"/>
      <c r="VJG33" s="28"/>
      <c r="VJH33" s="28"/>
      <c r="VJI33" s="28"/>
      <c r="VJJ33" s="28"/>
      <c r="VJK33" s="28"/>
      <c r="VJL33" s="28"/>
      <c r="VJM33" s="28"/>
      <c r="VJN33" s="28"/>
      <c r="VJO33" s="28"/>
      <c r="VJP33" s="28"/>
      <c r="VJQ33" s="28"/>
      <c r="VJR33" s="28"/>
      <c r="VJS33" s="28"/>
      <c r="VJT33" s="28"/>
      <c r="VJU33" s="28"/>
      <c r="VJV33" s="28"/>
      <c r="VJW33" s="28"/>
      <c r="VJX33" s="28"/>
      <c r="VJY33" s="28"/>
      <c r="VJZ33" s="28"/>
      <c r="VKA33" s="28"/>
      <c r="VKB33" s="28"/>
      <c r="VKC33" s="28"/>
      <c r="VKD33" s="28"/>
      <c r="VKE33" s="28"/>
      <c r="VKF33" s="28"/>
      <c r="VKG33" s="28"/>
      <c r="VKH33" s="28"/>
      <c r="VKI33" s="28"/>
      <c r="VKJ33" s="28"/>
      <c r="VKK33" s="28"/>
      <c r="VKL33" s="28"/>
      <c r="VKM33" s="28"/>
      <c r="VKN33" s="28"/>
      <c r="VKO33" s="28"/>
      <c r="VKP33" s="28"/>
      <c r="VKQ33" s="28"/>
      <c r="VKR33" s="28"/>
      <c r="VKS33" s="28"/>
      <c r="VKT33" s="28"/>
      <c r="VKU33" s="28"/>
      <c r="VKV33" s="28"/>
      <c r="VKW33" s="28"/>
      <c r="VKX33" s="28"/>
      <c r="VKY33" s="28"/>
      <c r="VKZ33" s="28"/>
      <c r="VLA33" s="28"/>
      <c r="VLB33" s="28"/>
      <c r="VLC33" s="28"/>
      <c r="VLD33" s="28"/>
      <c r="VLE33" s="28"/>
      <c r="VLF33" s="28"/>
      <c r="VLG33" s="28"/>
      <c r="VLH33" s="28"/>
      <c r="VLI33" s="28"/>
      <c r="VLJ33" s="28"/>
      <c r="VLK33" s="28"/>
      <c r="VLL33" s="28"/>
      <c r="VLM33" s="28"/>
      <c r="VLN33" s="28"/>
      <c r="VLO33" s="28"/>
      <c r="VLP33" s="28"/>
      <c r="VLQ33" s="28"/>
      <c r="VLR33" s="28"/>
      <c r="VLS33" s="28"/>
      <c r="VLT33" s="28"/>
      <c r="VLU33" s="28"/>
      <c r="VLV33" s="28"/>
      <c r="VLW33" s="28"/>
      <c r="VLX33" s="28"/>
      <c r="VLY33" s="28"/>
      <c r="VLZ33" s="28"/>
      <c r="VMA33" s="28"/>
      <c r="VMB33" s="28"/>
      <c r="VMC33" s="28"/>
      <c r="VMD33" s="28"/>
      <c r="VME33" s="28"/>
      <c r="VMF33" s="28"/>
      <c r="VMG33" s="28"/>
      <c r="VMH33" s="28"/>
      <c r="VMI33" s="28"/>
      <c r="VMJ33" s="28"/>
      <c r="VMK33" s="28"/>
      <c r="VML33" s="28"/>
      <c r="VMM33" s="28"/>
      <c r="VMN33" s="28"/>
      <c r="VMO33" s="28"/>
      <c r="VMP33" s="28"/>
      <c r="VMQ33" s="28"/>
      <c r="VMR33" s="28"/>
      <c r="VMS33" s="28"/>
      <c r="VMT33" s="28"/>
      <c r="VMU33" s="28"/>
      <c r="VMV33" s="28"/>
      <c r="VMW33" s="28"/>
      <c r="VMX33" s="28"/>
      <c r="VMY33" s="28"/>
      <c r="VMZ33" s="28"/>
      <c r="VNA33" s="28"/>
      <c r="VNB33" s="28"/>
      <c r="VNC33" s="28"/>
      <c r="VND33" s="28"/>
      <c r="VNE33" s="28"/>
      <c r="VNF33" s="28"/>
      <c r="VNG33" s="28"/>
      <c r="VNH33" s="28"/>
      <c r="VNI33" s="28"/>
      <c r="VNJ33" s="28"/>
      <c r="VNK33" s="28"/>
      <c r="VNL33" s="28"/>
      <c r="VNM33" s="28"/>
      <c r="VNN33" s="28"/>
      <c r="VNO33" s="28"/>
      <c r="VNP33" s="28"/>
      <c r="VNQ33" s="28"/>
      <c r="VNR33" s="28"/>
      <c r="VNS33" s="28"/>
      <c r="VNT33" s="28"/>
      <c r="VNU33" s="28"/>
      <c r="VNV33" s="28"/>
      <c r="VNW33" s="28"/>
      <c r="VNX33" s="28"/>
      <c r="VNY33" s="28"/>
      <c r="VNZ33" s="28"/>
      <c r="VOA33" s="28"/>
      <c r="VOB33" s="28"/>
      <c r="VOC33" s="28"/>
      <c r="VOD33" s="28"/>
      <c r="VOE33" s="28"/>
      <c r="VOF33" s="28"/>
      <c r="VOG33" s="28"/>
      <c r="VOH33" s="28"/>
      <c r="VOI33" s="28"/>
      <c r="VOJ33" s="28"/>
      <c r="VOK33" s="28"/>
      <c r="VOL33" s="28"/>
      <c r="VOM33" s="28"/>
      <c r="VON33" s="28"/>
      <c r="VOO33" s="28"/>
      <c r="VOP33" s="28"/>
      <c r="VOQ33" s="28"/>
      <c r="VOR33" s="28"/>
      <c r="VOS33" s="28"/>
      <c r="VOT33" s="28"/>
      <c r="VOU33" s="28"/>
      <c r="VOV33" s="28"/>
      <c r="VOW33" s="28"/>
      <c r="VOX33" s="28"/>
      <c r="VOY33" s="28"/>
      <c r="VOZ33" s="28"/>
      <c r="VPA33" s="28"/>
      <c r="VPB33" s="28"/>
      <c r="VPC33" s="28"/>
      <c r="VPD33" s="28"/>
      <c r="VPE33" s="28"/>
      <c r="VPF33" s="28"/>
      <c r="VPG33" s="28"/>
      <c r="VPH33" s="28"/>
      <c r="VPI33" s="28"/>
      <c r="VPJ33" s="28"/>
      <c r="VPK33" s="28"/>
      <c r="VPL33" s="28"/>
      <c r="VPM33" s="28"/>
      <c r="VPN33" s="28"/>
      <c r="VPO33" s="28"/>
      <c r="VPP33" s="28"/>
      <c r="VPQ33" s="28"/>
      <c r="VPR33" s="28"/>
      <c r="VPS33" s="28"/>
      <c r="VPT33" s="28"/>
      <c r="VPU33" s="28"/>
      <c r="VPV33" s="28"/>
      <c r="VPW33" s="28"/>
      <c r="VPX33" s="28"/>
      <c r="VPY33" s="28"/>
      <c r="VPZ33" s="28"/>
      <c r="VQA33" s="28"/>
      <c r="VQB33" s="28"/>
      <c r="VQC33" s="28"/>
      <c r="VQD33" s="28"/>
      <c r="VQE33" s="28"/>
      <c r="VQF33" s="28"/>
      <c r="VQG33" s="28"/>
      <c r="VQH33" s="28"/>
      <c r="VQI33" s="28"/>
      <c r="VQJ33" s="28"/>
      <c r="VQK33" s="28"/>
      <c r="VQL33" s="28"/>
      <c r="VQM33" s="28"/>
      <c r="VQN33" s="28"/>
      <c r="VQO33" s="28"/>
      <c r="VQP33" s="28"/>
      <c r="VQQ33" s="28"/>
      <c r="VQR33" s="28"/>
      <c r="VQS33" s="28"/>
      <c r="VQT33" s="28"/>
      <c r="VQU33" s="28"/>
      <c r="VQV33" s="28"/>
      <c r="VQW33" s="28"/>
      <c r="VQX33" s="28"/>
      <c r="VQY33" s="28"/>
      <c r="VQZ33" s="28"/>
      <c r="VRA33" s="28"/>
      <c r="VRB33" s="28"/>
      <c r="VRC33" s="28"/>
      <c r="VRD33" s="28"/>
      <c r="VRE33" s="28"/>
      <c r="VRF33" s="28"/>
      <c r="VRG33" s="28"/>
      <c r="VRH33" s="28"/>
      <c r="VRI33" s="28"/>
      <c r="VRJ33" s="28"/>
      <c r="VRK33" s="28"/>
      <c r="VRL33" s="28"/>
      <c r="VRM33" s="28"/>
      <c r="VRN33" s="28"/>
      <c r="VRO33" s="28"/>
      <c r="VRP33" s="28"/>
      <c r="VRQ33" s="28"/>
      <c r="VRR33" s="28"/>
      <c r="VRS33" s="28"/>
      <c r="VRT33" s="28"/>
      <c r="VRU33" s="28"/>
      <c r="VRV33" s="28"/>
      <c r="VRW33" s="28"/>
      <c r="VRX33" s="28"/>
      <c r="VRY33" s="28"/>
      <c r="VRZ33" s="28"/>
      <c r="VSA33" s="28"/>
      <c r="VSB33" s="28"/>
      <c r="VSC33" s="28"/>
      <c r="VSD33" s="28"/>
      <c r="VSE33" s="28"/>
      <c r="VSF33" s="28"/>
      <c r="VSG33" s="28"/>
      <c r="VSH33" s="28"/>
      <c r="VSI33" s="28"/>
      <c r="VSJ33" s="28"/>
      <c r="VSK33" s="28"/>
      <c r="VSL33" s="28"/>
      <c r="VSM33" s="28"/>
      <c r="VSN33" s="28"/>
      <c r="VSO33" s="28"/>
      <c r="VSP33" s="28"/>
      <c r="VSQ33" s="28"/>
      <c r="VSR33" s="28"/>
      <c r="VSS33" s="28"/>
      <c r="VST33" s="28"/>
      <c r="VSU33" s="28"/>
      <c r="VSV33" s="28"/>
      <c r="VSW33" s="28"/>
      <c r="VSX33" s="28"/>
      <c r="VSY33" s="28"/>
      <c r="VSZ33" s="28"/>
      <c r="VTA33" s="28"/>
      <c r="VTB33" s="28"/>
      <c r="VTC33" s="28"/>
      <c r="VTD33" s="28"/>
      <c r="VTE33" s="28"/>
      <c r="VTF33" s="28"/>
      <c r="VTG33" s="28"/>
      <c r="VTH33" s="28"/>
      <c r="VTI33" s="28"/>
      <c r="VTJ33" s="28"/>
      <c r="VTK33" s="28"/>
      <c r="VTL33" s="28"/>
      <c r="VTM33" s="28"/>
      <c r="VTN33" s="28"/>
      <c r="VTO33" s="28"/>
      <c r="VTP33" s="28"/>
      <c r="VTQ33" s="28"/>
      <c r="VTR33" s="28"/>
      <c r="VTS33" s="28"/>
      <c r="VTT33" s="28"/>
      <c r="VTU33" s="28"/>
      <c r="VTV33" s="28"/>
      <c r="VTW33" s="28"/>
      <c r="VTX33" s="28"/>
      <c r="VTY33" s="28"/>
      <c r="VTZ33" s="28"/>
      <c r="VUA33" s="28"/>
      <c r="VUB33" s="28"/>
      <c r="VUC33" s="28"/>
      <c r="VUD33" s="28"/>
      <c r="VUE33" s="28"/>
      <c r="VUF33" s="28"/>
      <c r="VUG33" s="28"/>
      <c r="VUH33" s="28"/>
      <c r="VUI33" s="28"/>
      <c r="VUJ33" s="28"/>
      <c r="VUK33" s="28"/>
      <c r="VUL33" s="28"/>
      <c r="VUM33" s="28"/>
      <c r="VUN33" s="28"/>
      <c r="VUO33" s="28"/>
      <c r="VUP33" s="28"/>
      <c r="VUQ33" s="28"/>
      <c r="VUR33" s="28"/>
      <c r="VUS33" s="28"/>
      <c r="VUT33" s="28"/>
      <c r="VUU33" s="28"/>
      <c r="VUV33" s="28"/>
      <c r="VUW33" s="28"/>
      <c r="VUX33" s="28"/>
      <c r="VUY33" s="28"/>
      <c r="VUZ33" s="28"/>
      <c r="VVA33" s="28"/>
      <c r="VVB33" s="28"/>
      <c r="VVC33" s="28"/>
      <c r="VVD33" s="28"/>
      <c r="VVE33" s="28"/>
      <c r="VVF33" s="28"/>
      <c r="VVG33" s="28"/>
      <c r="VVH33" s="28"/>
      <c r="VVI33" s="28"/>
      <c r="VVJ33" s="28"/>
      <c r="VVK33" s="28"/>
      <c r="VVL33" s="28"/>
      <c r="VVM33" s="28"/>
      <c r="VVN33" s="28"/>
      <c r="VVO33" s="28"/>
      <c r="VVP33" s="28"/>
      <c r="VVQ33" s="28"/>
      <c r="VVR33" s="28"/>
      <c r="VVS33" s="28"/>
      <c r="VVT33" s="28"/>
      <c r="VVU33" s="28"/>
      <c r="VVV33" s="28"/>
      <c r="VVW33" s="28"/>
      <c r="VVX33" s="28"/>
      <c r="VVY33" s="28"/>
      <c r="VVZ33" s="28"/>
      <c r="VWA33" s="28"/>
      <c r="VWB33" s="28"/>
      <c r="VWC33" s="28"/>
      <c r="VWD33" s="28"/>
      <c r="VWE33" s="28"/>
      <c r="VWF33" s="28"/>
      <c r="VWG33" s="28"/>
      <c r="VWH33" s="28"/>
      <c r="VWI33" s="28"/>
      <c r="VWJ33" s="28"/>
      <c r="VWK33" s="28"/>
      <c r="VWL33" s="28"/>
      <c r="VWM33" s="28"/>
      <c r="VWN33" s="28"/>
      <c r="VWO33" s="28"/>
      <c r="VWP33" s="28"/>
      <c r="VWQ33" s="28"/>
      <c r="VWR33" s="28"/>
      <c r="VWS33" s="28"/>
      <c r="VWT33" s="28"/>
      <c r="VWU33" s="28"/>
      <c r="VWV33" s="28"/>
      <c r="VWW33" s="28"/>
      <c r="VWX33" s="28"/>
      <c r="VWY33" s="28"/>
      <c r="VWZ33" s="28"/>
      <c r="VXA33" s="28"/>
      <c r="VXB33" s="28"/>
      <c r="VXC33" s="28"/>
      <c r="VXD33" s="28"/>
      <c r="VXE33" s="28"/>
      <c r="VXF33" s="28"/>
      <c r="VXG33" s="28"/>
      <c r="VXH33" s="28"/>
      <c r="VXI33" s="28"/>
      <c r="VXJ33" s="28"/>
      <c r="VXK33" s="28"/>
      <c r="VXL33" s="28"/>
      <c r="VXM33" s="28"/>
      <c r="VXN33" s="28"/>
      <c r="VXO33" s="28"/>
      <c r="VXP33" s="28"/>
      <c r="VXQ33" s="28"/>
      <c r="VXR33" s="28"/>
      <c r="VXS33" s="28"/>
      <c r="VXT33" s="28"/>
      <c r="VXU33" s="28"/>
      <c r="VXV33" s="28"/>
      <c r="VXW33" s="28"/>
      <c r="VXX33" s="28"/>
      <c r="VXY33" s="28"/>
      <c r="VXZ33" s="28"/>
      <c r="VYA33" s="28"/>
      <c r="VYB33" s="28"/>
      <c r="VYC33" s="28"/>
      <c r="VYD33" s="28"/>
      <c r="VYE33" s="28"/>
      <c r="VYF33" s="28"/>
      <c r="VYG33" s="28"/>
      <c r="VYH33" s="28"/>
      <c r="VYI33" s="28"/>
      <c r="VYJ33" s="28"/>
      <c r="VYK33" s="28"/>
      <c r="VYL33" s="28"/>
      <c r="VYM33" s="28"/>
      <c r="VYN33" s="28"/>
      <c r="VYO33" s="28"/>
      <c r="VYP33" s="28"/>
      <c r="VYQ33" s="28"/>
      <c r="VYR33" s="28"/>
      <c r="VYS33" s="28"/>
      <c r="VYT33" s="28"/>
      <c r="VYU33" s="28"/>
      <c r="VYV33" s="28"/>
      <c r="VYW33" s="28"/>
      <c r="VYX33" s="28"/>
      <c r="VYY33" s="28"/>
      <c r="VYZ33" s="28"/>
      <c r="VZA33" s="28"/>
      <c r="VZB33" s="28"/>
      <c r="VZC33" s="28"/>
      <c r="VZD33" s="28"/>
      <c r="VZE33" s="28"/>
      <c r="VZF33" s="28"/>
      <c r="VZG33" s="28"/>
      <c r="VZH33" s="28"/>
      <c r="VZI33" s="28"/>
      <c r="VZJ33" s="28"/>
      <c r="VZK33" s="28"/>
      <c r="VZL33" s="28"/>
      <c r="VZM33" s="28"/>
      <c r="VZN33" s="28"/>
      <c r="VZO33" s="28"/>
      <c r="VZP33" s="28"/>
      <c r="VZQ33" s="28"/>
      <c r="VZR33" s="28"/>
      <c r="VZS33" s="28"/>
      <c r="VZT33" s="28"/>
      <c r="VZU33" s="28"/>
      <c r="VZV33" s="28"/>
      <c r="VZW33" s="28"/>
      <c r="VZX33" s="28"/>
      <c r="VZY33" s="28"/>
      <c r="VZZ33" s="28"/>
      <c r="WAA33" s="28"/>
      <c r="WAB33" s="28"/>
      <c r="WAC33" s="28"/>
      <c r="WAD33" s="28"/>
      <c r="WAE33" s="28"/>
      <c r="WAF33" s="28"/>
      <c r="WAG33" s="28"/>
      <c r="WAH33" s="28"/>
      <c r="WAI33" s="28"/>
      <c r="WAJ33" s="28"/>
      <c r="WAK33" s="28"/>
      <c r="WAL33" s="28"/>
      <c r="WAM33" s="28"/>
      <c r="WAN33" s="28"/>
      <c r="WAO33" s="28"/>
      <c r="WAP33" s="28"/>
      <c r="WAQ33" s="28"/>
      <c r="WAR33" s="28"/>
      <c r="WAS33" s="28"/>
      <c r="WAT33" s="28"/>
      <c r="WAU33" s="28"/>
      <c r="WAV33" s="28"/>
      <c r="WAW33" s="28"/>
      <c r="WAX33" s="28"/>
      <c r="WAY33" s="28"/>
      <c r="WAZ33" s="28"/>
      <c r="WBA33" s="28"/>
      <c r="WBB33" s="28"/>
      <c r="WBC33" s="28"/>
      <c r="WBD33" s="28"/>
      <c r="WBE33" s="28"/>
      <c r="WBF33" s="28"/>
      <c r="WBG33" s="28"/>
      <c r="WBH33" s="28"/>
      <c r="WBI33" s="28"/>
      <c r="WBJ33" s="28"/>
      <c r="WBK33" s="28"/>
      <c r="WBL33" s="28"/>
      <c r="WBM33" s="28"/>
      <c r="WBN33" s="28"/>
      <c r="WBO33" s="28"/>
      <c r="WBP33" s="28"/>
      <c r="WBQ33" s="28"/>
      <c r="WBR33" s="28"/>
      <c r="WBS33" s="28"/>
      <c r="WBT33" s="28"/>
      <c r="WBU33" s="28"/>
      <c r="WBV33" s="28"/>
      <c r="WBW33" s="28"/>
      <c r="WBX33" s="28"/>
      <c r="WBY33" s="28"/>
      <c r="WBZ33" s="28"/>
      <c r="WCA33" s="28"/>
      <c r="WCB33" s="28"/>
      <c r="WCC33" s="28"/>
      <c r="WCD33" s="28"/>
      <c r="WCE33" s="28"/>
      <c r="WCF33" s="28"/>
      <c r="WCG33" s="28"/>
      <c r="WCH33" s="28"/>
      <c r="WCI33" s="28"/>
      <c r="WCJ33" s="28"/>
      <c r="WCK33" s="28"/>
      <c r="WCL33" s="28"/>
      <c r="WCM33" s="28"/>
      <c r="WCN33" s="28"/>
      <c r="WCO33" s="28"/>
      <c r="WCP33" s="28"/>
      <c r="WCQ33" s="28"/>
      <c r="WCR33" s="28"/>
      <c r="WCS33" s="28"/>
      <c r="WCT33" s="28"/>
      <c r="WCU33" s="28"/>
      <c r="WCV33" s="28"/>
      <c r="WCW33" s="28"/>
      <c r="WCX33" s="28"/>
      <c r="WCY33" s="28"/>
      <c r="WCZ33" s="28"/>
      <c r="WDA33" s="28"/>
      <c r="WDB33" s="28"/>
      <c r="WDC33" s="28"/>
      <c r="WDD33" s="28"/>
      <c r="WDE33" s="28"/>
      <c r="WDF33" s="28"/>
      <c r="WDG33" s="28"/>
      <c r="WDH33" s="28"/>
      <c r="WDI33" s="28"/>
      <c r="WDJ33" s="28"/>
      <c r="WDK33" s="28"/>
      <c r="WDL33" s="28"/>
      <c r="WDM33" s="28"/>
      <c r="WDN33" s="28"/>
      <c r="WDO33" s="28"/>
      <c r="WDP33" s="28"/>
      <c r="WDQ33" s="28"/>
      <c r="WDR33" s="28"/>
      <c r="WDS33" s="28"/>
      <c r="WDT33" s="28"/>
      <c r="WDU33" s="28"/>
      <c r="WDV33" s="28"/>
      <c r="WDW33" s="28"/>
      <c r="WDX33" s="28"/>
      <c r="WDY33" s="28"/>
      <c r="WDZ33" s="28"/>
      <c r="WEA33" s="28"/>
      <c r="WEB33" s="28"/>
      <c r="WEC33" s="28"/>
      <c r="WED33" s="28"/>
      <c r="WEE33" s="28"/>
      <c r="WEF33" s="28"/>
      <c r="WEG33" s="28"/>
      <c r="WEH33" s="28"/>
      <c r="WEI33" s="28"/>
      <c r="WEJ33" s="28"/>
      <c r="WEK33" s="28"/>
      <c r="WEL33" s="28"/>
      <c r="WEM33" s="28"/>
      <c r="WEN33" s="28"/>
      <c r="WEO33" s="28"/>
      <c r="WEP33" s="28"/>
      <c r="WEQ33" s="28"/>
      <c r="WER33" s="28"/>
      <c r="WES33" s="28"/>
      <c r="WET33" s="28"/>
      <c r="WEU33" s="28"/>
      <c r="WEV33" s="28"/>
      <c r="WEW33" s="28"/>
      <c r="WEX33" s="28"/>
      <c r="WEY33" s="28"/>
      <c r="WEZ33" s="28"/>
      <c r="WFA33" s="28"/>
      <c r="WFB33" s="28"/>
      <c r="WFC33" s="28"/>
      <c r="WFD33" s="28"/>
      <c r="WFE33" s="28"/>
      <c r="WFF33" s="28"/>
      <c r="WFG33" s="28"/>
      <c r="WFH33" s="28"/>
      <c r="WFI33" s="28"/>
      <c r="WFJ33" s="28"/>
      <c r="WFK33" s="28"/>
      <c r="WFL33" s="28"/>
      <c r="WFM33" s="28"/>
      <c r="WFN33" s="28"/>
      <c r="WFO33" s="28"/>
      <c r="WFP33" s="28"/>
      <c r="WFQ33" s="28"/>
      <c r="WFR33" s="28"/>
      <c r="WFS33" s="28"/>
      <c r="WFT33" s="28"/>
      <c r="WFU33" s="28"/>
      <c r="WFV33" s="28"/>
      <c r="WFW33" s="28"/>
      <c r="WFX33" s="28"/>
      <c r="WFY33" s="28"/>
      <c r="WFZ33" s="28"/>
      <c r="WGA33" s="28"/>
      <c r="WGB33" s="28"/>
      <c r="WGC33" s="28"/>
      <c r="WGD33" s="28"/>
      <c r="WGE33" s="28"/>
      <c r="WGF33" s="28"/>
      <c r="WGG33" s="28"/>
      <c r="WGH33" s="28"/>
      <c r="WGI33" s="28"/>
      <c r="WGJ33" s="28"/>
      <c r="WGK33" s="28"/>
      <c r="WGL33" s="28"/>
      <c r="WGM33" s="28"/>
      <c r="WGN33" s="28"/>
      <c r="WGO33" s="28"/>
      <c r="WGP33" s="28"/>
      <c r="WGQ33" s="28"/>
      <c r="WGR33" s="28"/>
      <c r="WGS33" s="28"/>
      <c r="WGT33" s="28"/>
      <c r="WGU33" s="28"/>
      <c r="WGV33" s="28"/>
      <c r="WGW33" s="28"/>
      <c r="WGX33" s="28"/>
      <c r="WGY33" s="28"/>
      <c r="WGZ33" s="28"/>
      <c r="WHA33" s="28"/>
      <c r="WHB33" s="28"/>
      <c r="WHC33" s="28"/>
      <c r="WHD33" s="28"/>
      <c r="WHE33" s="28"/>
      <c r="WHF33" s="28"/>
      <c r="WHG33" s="28"/>
      <c r="WHH33" s="28"/>
      <c r="WHI33" s="28"/>
      <c r="WHJ33" s="28"/>
      <c r="WHK33" s="28"/>
      <c r="WHL33" s="28"/>
      <c r="WHM33" s="28"/>
      <c r="WHN33" s="28"/>
      <c r="WHO33" s="28"/>
      <c r="WHP33" s="28"/>
      <c r="WHQ33" s="28"/>
      <c r="WHR33" s="28"/>
      <c r="WHS33" s="28"/>
      <c r="WHT33" s="28"/>
      <c r="WHU33" s="28"/>
      <c r="WHV33" s="28"/>
      <c r="WHW33" s="28"/>
      <c r="WHX33" s="28"/>
      <c r="WHY33" s="28"/>
      <c r="WHZ33" s="28"/>
      <c r="WIA33" s="28"/>
      <c r="WIB33" s="28"/>
      <c r="WIC33" s="28"/>
      <c r="WID33" s="28"/>
      <c r="WIE33" s="28"/>
      <c r="WIF33" s="28"/>
      <c r="WIG33" s="28"/>
      <c r="WIH33" s="28"/>
      <c r="WII33" s="28"/>
      <c r="WIJ33" s="28"/>
      <c r="WIK33" s="28"/>
      <c r="WIL33" s="28"/>
      <c r="WIM33" s="28"/>
      <c r="WIN33" s="28"/>
      <c r="WIO33" s="28"/>
      <c r="WIP33" s="28"/>
      <c r="WIQ33" s="28"/>
      <c r="WIR33" s="28"/>
      <c r="WIS33" s="28"/>
      <c r="WIT33" s="28"/>
      <c r="WIU33" s="28"/>
      <c r="WIV33" s="28"/>
      <c r="WIW33" s="28"/>
      <c r="WIX33" s="28"/>
      <c r="WIY33" s="28"/>
      <c r="WIZ33" s="28"/>
      <c r="WJA33" s="28"/>
      <c r="WJB33" s="28"/>
      <c r="WJC33" s="28"/>
      <c r="WJD33" s="28"/>
      <c r="WJE33" s="28"/>
      <c r="WJF33" s="28"/>
      <c r="WJG33" s="28"/>
      <c r="WJH33" s="28"/>
      <c r="WJI33" s="28"/>
      <c r="WJJ33" s="28"/>
      <c r="WJK33" s="28"/>
      <c r="WJL33" s="28"/>
      <c r="WJM33" s="28"/>
      <c r="WJN33" s="28"/>
      <c r="WJO33" s="28"/>
      <c r="WJP33" s="28"/>
      <c r="WJQ33" s="28"/>
      <c r="WJR33" s="28"/>
      <c r="WJS33" s="28"/>
      <c r="WJT33" s="28"/>
      <c r="WJU33" s="28"/>
      <c r="WJV33" s="28"/>
      <c r="WJW33" s="28"/>
      <c r="WJX33" s="28"/>
      <c r="WJY33" s="28"/>
      <c r="WJZ33" s="28"/>
      <c r="WKA33" s="28"/>
      <c r="WKB33" s="28"/>
      <c r="WKC33" s="28"/>
      <c r="WKD33" s="28"/>
      <c r="WKE33" s="28"/>
      <c r="WKF33" s="28"/>
      <c r="WKG33" s="28"/>
      <c r="WKH33" s="28"/>
      <c r="WKI33" s="28"/>
      <c r="WKJ33" s="28"/>
      <c r="WKK33" s="28"/>
      <c r="WKL33" s="28"/>
      <c r="WKM33" s="28"/>
      <c r="WKN33" s="28"/>
      <c r="WKO33" s="28"/>
      <c r="WKP33" s="28"/>
      <c r="WKQ33" s="28"/>
      <c r="WKR33" s="28"/>
      <c r="WKS33" s="28"/>
      <c r="WKT33" s="28"/>
      <c r="WKU33" s="28"/>
      <c r="WKV33" s="28"/>
      <c r="WKW33" s="28"/>
      <c r="WKX33" s="28"/>
      <c r="WKY33" s="28"/>
      <c r="WKZ33" s="28"/>
      <c r="WLA33" s="28"/>
      <c r="WLB33" s="28"/>
      <c r="WLC33" s="28"/>
      <c r="WLD33" s="28"/>
      <c r="WLE33" s="28"/>
      <c r="WLF33" s="28"/>
      <c r="WLG33" s="28"/>
      <c r="WLH33" s="28"/>
      <c r="WLI33" s="28"/>
      <c r="WLJ33" s="28"/>
      <c r="WLK33" s="28"/>
      <c r="WLL33" s="28"/>
      <c r="WLM33" s="28"/>
      <c r="WLN33" s="28"/>
      <c r="WLO33" s="28"/>
      <c r="WLP33" s="28"/>
      <c r="WLQ33" s="28"/>
      <c r="WLR33" s="28"/>
      <c r="WLS33" s="28"/>
      <c r="WLT33" s="28"/>
      <c r="WLU33" s="28"/>
      <c r="WLV33" s="28"/>
      <c r="WLW33" s="28"/>
      <c r="WLX33" s="28"/>
      <c r="WLY33" s="28"/>
      <c r="WLZ33" s="28"/>
      <c r="WMA33" s="28"/>
      <c r="WMB33" s="28"/>
      <c r="WMC33" s="28"/>
      <c r="WMD33" s="28"/>
      <c r="WME33" s="28"/>
      <c r="WMF33" s="28"/>
      <c r="WMG33" s="28"/>
      <c r="WMH33" s="28"/>
      <c r="WMI33" s="28"/>
      <c r="WMJ33" s="28"/>
      <c r="WMK33" s="28"/>
      <c r="WML33" s="28"/>
      <c r="WMM33" s="28"/>
      <c r="WMN33" s="28"/>
      <c r="WMO33" s="28"/>
      <c r="WMP33" s="28"/>
      <c r="WMQ33" s="28"/>
      <c r="WMR33" s="28"/>
      <c r="WMS33" s="28"/>
      <c r="WMT33" s="28"/>
      <c r="WMU33" s="28"/>
      <c r="WMV33" s="28"/>
      <c r="WMW33" s="28"/>
      <c r="WMX33" s="28"/>
      <c r="WMY33" s="28"/>
      <c r="WMZ33" s="28"/>
      <c r="WNA33" s="28"/>
      <c r="WNB33" s="28"/>
      <c r="WNC33" s="28"/>
      <c r="WND33" s="28"/>
      <c r="WNE33" s="28"/>
      <c r="WNF33" s="28"/>
      <c r="WNG33" s="28"/>
      <c r="WNH33" s="28"/>
      <c r="WNI33" s="28"/>
      <c r="WNJ33" s="28"/>
      <c r="WNK33" s="28"/>
      <c r="WNL33" s="28"/>
      <c r="WNM33" s="28"/>
      <c r="WNN33" s="28"/>
      <c r="WNO33" s="28"/>
      <c r="WNP33" s="28"/>
      <c r="WNQ33" s="28"/>
      <c r="WNR33" s="28"/>
      <c r="WNS33" s="28"/>
      <c r="WNT33" s="28"/>
      <c r="WNU33" s="28"/>
      <c r="WNV33" s="28"/>
      <c r="WNW33" s="28"/>
      <c r="WNX33" s="28"/>
      <c r="WNY33" s="28"/>
      <c r="WNZ33" s="28"/>
      <c r="WOA33" s="28"/>
      <c r="WOB33" s="28"/>
      <c r="WOC33" s="28"/>
      <c r="WOD33" s="28"/>
      <c r="WOE33" s="28"/>
      <c r="WOF33" s="28"/>
      <c r="WOG33" s="28"/>
      <c r="WOH33" s="28"/>
      <c r="WOI33" s="28"/>
      <c r="WOJ33" s="28"/>
      <c r="WOK33" s="28"/>
      <c r="WOL33" s="28"/>
      <c r="WOM33" s="28"/>
      <c r="WON33" s="28"/>
      <c r="WOO33" s="28"/>
      <c r="WOP33" s="28"/>
      <c r="WOQ33" s="28"/>
      <c r="WOR33" s="28"/>
      <c r="WOS33" s="28"/>
      <c r="WOT33" s="28"/>
      <c r="WOU33" s="28"/>
      <c r="WOV33" s="28"/>
      <c r="WOW33" s="28"/>
      <c r="WOX33" s="28"/>
      <c r="WOY33" s="28"/>
      <c r="WOZ33" s="28"/>
      <c r="WPA33" s="28"/>
      <c r="WPB33" s="28"/>
      <c r="WPC33" s="28"/>
      <c r="WPD33" s="28"/>
      <c r="WPE33" s="28"/>
      <c r="WPF33" s="28"/>
      <c r="WPG33" s="28"/>
      <c r="WPH33" s="28"/>
      <c r="WPI33" s="28"/>
      <c r="WPJ33" s="28"/>
      <c r="WPK33" s="28"/>
      <c r="WPL33" s="28"/>
      <c r="WPM33" s="28"/>
      <c r="WPN33" s="28"/>
      <c r="WPO33" s="28"/>
      <c r="WPP33" s="28"/>
      <c r="WPQ33" s="28"/>
      <c r="WPR33" s="28"/>
      <c r="WPS33" s="28"/>
      <c r="WPT33" s="28"/>
      <c r="WPU33" s="28"/>
      <c r="WPV33" s="28"/>
      <c r="WPW33" s="28"/>
      <c r="WPX33" s="28"/>
      <c r="WPY33" s="28"/>
      <c r="WPZ33" s="28"/>
      <c r="WQA33" s="28"/>
      <c r="WQB33" s="28"/>
      <c r="WQC33" s="28"/>
      <c r="WQD33" s="28"/>
      <c r="WQE33" s="28"/>
      <c r="WQF33" s="28"/>
      <c r="WQG33" s="28"/>
      <c r="WQH33" s="28"/>
      <c r="WQI33" s="28"/>
      <c r="WQJ33" s="28"/>
      <c r="WQK33" s="28"/>
      <c r="WQL33" s="28"/>
      <c r="WQM33" s="28"/>
      <c r="WQN33" s="28"/>
      <c r="WQO33" s="28"/>
      <c r="WQP33" s="28"/>
      <c r="WQQ33" s="28"/>
      <c r="WQR33" s="28"/>
      <c r="WQS33" s="28"/>
      <c r="WQT33" s="28"/>
      <c r="WQU33" s="28"/>
      <c r="WQV33" s="28"/>
      <c r="WQW33" s="28"/>
      <c r="WQX33" s="28"/>
      <c r="WQY33" s="28"/>
      <c r="WQZ33" s="28"/>
      <c r="WRA33" s="28"/>
      <c r="WRB33" s="28"/>
      <c r="WRC33" s="28"/>
      <c r="WRD33" s="28"/>
      <c r="WRE33" s="28"/>
      <c r="WRF33" s="28"/>
      <c r="WRG33" s="28"/>
      <c r="WRH33" s="28"/>
      <c r="WRI33" s="28"/>
      <c r="WRJ33" s="28"/>
      <c r="WRK33" s="28"/>
      <c r="WRL33" s="28"/>
      <c r="WRM33" s="28"/>
      <c r="WRN33" s="28"/>
      <c r="WRO33" s="28"/>
      <c r="WRP33" s="28"/>
      <c r="WRQ33" s="28"/>
      <c r="WRR33" s="28"/>
      <c r="WRS33" s="28"/>
      <c r="WRT33" s="28"/>
      <c r="WRU33" s="28"/>
      <c r="WRV33" s="28"/>
      <c r="WRW33" s="28"/>
      <c r="WRX33" s="28"/>
      <c r="WRY33" s="28"/>
      <c r="WRZ33" s="28"/>
      <c r="WSA33" s="28"/>
      <c r="WSB33" s="28"/>
      <c r="WSC33" s="28"/>
      <c r="WSD33" s="28"/>
      <c r="WSE33" s="28"/>
      <c r="WSF33" s="28"/>
      <c r="WSG33" s="28"/>
      <c r="WSH33" s="28"/>
      <c r="WSI33" s="28"/>
      <c r="WSJ33" s="28"/>
      <c r="WSK33" s="28"/>
      <c r="WSL33" s="28"/>
      <c r="WSM33" s="28"/>
      <c r="WSN33" s="28"/>
      <c r="WSO33" s="28"/>
      <c r="WSP33" s="28"/>
      <c r="WSQ33" s="28"/>
      <c r="WSR33" s="28"/>
      <c r="WSS33" s="28"/>
      <c r="WST33" s="28"/>
      <c r="WSU33" s="28"/>
      <c r="WSV33" s="28"/>
      <c r="WSW33" s="28"/>
      <c r="WSX33" s="28"/>
      <c r="WSY33" s="28"/>
      <c r="WSZ33" s="28"/>
      <c r="WTA33" s="28"/>
      <c r="WTB33" s="28"/>
      <c r="WTC33" s="28"/>
      <c r="WTD33" s="28"/>
      <c r="WTE33" s="28"/>
      <c r="WTF33" s="28"/>
      <c r="WTG33" s="28"/>
      <c r="WTH33" s="28"/>
      <c r="WTI33" s="28"/>
      <c r="WTJ33" s="28"/>
      <c r="WTK33" s="28"/>
      <c r="WTL33" s="28"/>
      <c r="WTM33" s="28"/>
      <c r="WTN33" s="28"/>
      <c r="WTO33" s="28"/>
      <c r="WTP33" s="28"/>
      <c r="WTQ33" s="28"/>
      <c r="WTR33" s="28"/>
      <c r="WTS33" s="28"/>
      <c r="WTT33" s="28"/>
      <c r="WTU33" s="28"/>
      <c r="WTV33" s="28"/>
      <c r="WTW33" s="28"/>
      <c r="WTX33" s="28"/>
      <c r="WTY33" s="28"/>
      <c r="WTZ33" s="28"/>
      <c r="WUA33" s="28"/>
      <c r="WUB33" s="28"/>
      <c r="WUC33" s="28"/>
      <c r="WUD33" s="28"/>
      <c r="WUE33" s="28"/>
      <c r="WUF33" s="28"/>
      <c r="WUG33" s="28"/>
      <c r="WUH33" s="28"/>
      <c r="WUI33" s="28"/>
      <c r="WUJ33" s="28"/>
      <c r="WUK33" s="28"/>
      <c r="WUL33" s="28"/>
      <c r="WUM33" s="28"/>
      <c r="WUN33" s="28"/>
      <c r="WUO33" s="28"/>
      <c r="WUP33" s="28"/>
      <c r="WUQ33" s="28"/>
      <c r="WUR33" s="28"/>
      <c r="WUS33" s="28"/>
      <c r="WUT33" s="28"/>
      <c r="WUU33" s="28"/>
      <c r="WUV33" s="28"/>
      <c r="WUW33" s="28"/>
      <c r="WUX33" s="28"/>
      <c r="WUY33" s="28"/>
      <c r="WUZ33" s="28"/>
      <c r="WVA33" s="28"/>
      <c r="WVB33" s="28"/>
      <c r="WVC33" s="28"/>
      <c r="WVD33" s="28"/>
      <c r="WVE33" s="28"/>
      <c r="WVF33" s="28"/>
      <c r="WVG33" s="28"/>
      <c r="WVH33" s="28"/>
      <c r="WVI33" s="28"/>
      <c r="WVJ33" s="28"/>
      <c r="WVK33" s="28"/>
      <c r="WVL33" s="28"/>
      <c r="WVM33" s="28"/>
      <c r="WVN33" s="28"/>
      <c r="WVO33" s="28"/>
      <c r="WVP33" s="28"/>
      <c r="WVQ33" s="28"/>
      <c r="WVR33" s="28"/>
      <c r="WVS33" s="28"/>
      <c r="WVT33" s="28"/>
      <c r="WVU33" s="28"/>
      <c r="WVV33" s="28"/>
      <c r="WVW33" s="28"/>
      <c r="WVX33" s="28"/>
      <c r="WVY33" s="28"/>
      <c r="WVZ33" s="28"/>
      <c r="WWA33" s="28"/>
      <c r="WWB33" s="28"/>
      <c r="WWC33" s="28"/>
      <c r="WWD33" s="28"/>
      <c r="WWE33" s="28"/>
      <c r="WWF33" s="28"/>
      <c r="WWG33" s="28"/>
      <c r="WWH33" s="28"/>
      <c r="WWI33" s="28"/>
      <c r="WWJ33" s="28"/>
      <c r="WWK33" s="28"/>
      <c r="WWL33" s="28"/>
      <c r="WWM33" s="28"/>
      <c r="WWN33" s="28"/>
      <c r="WWO33" s="28"/>
      <c r="WWP33" s="28"/>
      <c r="WWQ33" s="28"/>
      <c r="WWR33" s="28"/>
      <c r="WWS33" s="28"/>
      <c r="WWT33" s="28"/>
      <c r="WWU33" s="28"/>
      <c r="WWV33" s="28"/>
      <c r="WWW33" s="28"/>
      <c r="WWX33" s="28"/>
      <c r="WWY33" s="28"/>
      <c r="WWZ33" s="28"/>
      <c r="WXA33" s="28"/>
      <c r="WXB33" s="28"/>
      <c r="WXC33" s="28"/>
      <c r="WXD33" s="28"/>
      <c r="WXE33" s="28"/>
      <c r="WXF33" s="28"/>
      <c r="WXG33" s="28"/>
      <c r="WXH33" s="28"/>
      <c r="WXI33" s="28"/>
      <c r="WXJ33" s="28"/>
      <c r="WXK33" s="28"/>
      <c r="WXL33" s="28"/>
      <c r="WXM33" s="28"/>
      <c r="WXN33" s="28"/>
      <c r="WXO33" s="28"/>
      <c r="WXP33" s="28"/>
      <c r="WXQ33" s="28"/>
      <c r="WXR33" s="28"/>
      <c r="WXS33" s="28"/>
      <c r="WXT33" s="28"/>
      <c r="WXU33" s="28"/>
      <c r="WXV33" s="28"/>
      <c r="WXW33" s="28"/>
      <c r="WXX33" s="28"/>
      <c r="WXY33" s="28"/>
      <c r="WXZ33" s="28"/>
      <c r="WYA33" s="28"/>
      <c r="WYB33" s="28"/>
      <c r="WYC33" s="28"/>
      <c r="WYD33" s="28"/>
      <c r="WYE33" s="28"/>
      <c r="WYF33" s="28"/>
      <c r="WYG33" s="28"/>
      <c r="WYH33" s="28"/>
      <c r="WYI33" s="28"/>
      <c r="WYJ33" s="28"/>
      <c r="WYK33" s="28"/>
      <c r="WYL33" s="28"/>
      <c r="WYM33" s="28"/>
      <c r="WYN33" s="28"/>
      <c r="WYO33" s="28"/>
      <c r="WYP33" s="28"/>
      <c r="WYQ33" s="28"/>
      <c r="WYR33" s="28"/>
      <c r="WYS33" s="28"/>
      <c r="WYT33" s="28"/>
      <c r="WYU33" s="28"/>
      <c r="WYV33" s="28"/>
      <c r="WYW33" s="28"/>
      <c r="WYX33" s="28"/>
      <c r="WYY33" s="28"/>
      <c r="WYZ33" s="28"/>
      <c r="WZA33" s="28"/>
      <c r="WZB33" s="28"/>
      <c r="WZC33" s="28"/>
      <c r="WZD33" s="28"/>
      <c r="WZE33" s="28"/>
      <c r="WZF33" s="28"/>
      <c r="WZG33" s="28"/>
      <c r="WZH33" s="28"/>
      <c r="WZI33" s="28"/>
      <c r="WZJ33" s="28"/>
      <c r="WZK33" s="28"/>
      <c r="WZL33" s="28"/>
      <c r="WZM33" s="28"/>
      <c r="WZN33" s="28"/>
      <c r="WZO33" s="28"/>
      <c r="WZP33" s="28"/>
      <c r="WZQ33" s="28"/>
      <c r="WZR33" s="28"/>
      <c r="WZS33" s="28"/>
      <c r="WZT33" s="28"/>
      <c r="WZU33" s="28"/>
      <c r="WZV33" s="28"/>
      <c r="WZW33" s="28"/>
      <c r="WZX33" s="28"/>
      <c r="WZY33" s="28"/>
      <c r="WZZ33" s="28"/>
      <c r="XAA33" s="28"/>
      <c r="XAB33" s="28"/>
      <c r="XAC33" s="28"/>
      <c r="XAD33" s="28"/>
      <c r="XAE33" s="28"/>
      <c r="XAF33" s="28"/>
      <c r="XAG33" s="28"/>
      <c r="XAH33" s="28"/>
      <c r="XAI33" s="28"/>
      <c r="XAJ33" s="28"/>
      <c r="XAK33" s="28"/>
      <c r="XAL33" s="28"/>
      <c r="XAM33" s="28"/>
      <c r="XAN33" s="28"/>
      <c r="XAO33" s="28"/>
      <c r="XAP33" s="28"/>
      <c r="XAQ33" s="28"/>
      <c r="XAR33" s="28"/>
      <c r="XAS33" s="28"/>
      <c r="XAT33" s="28"/>
      <c r="XAU33" s="28"/>
      <c r="XAV33" s="28"/>
      <c r="XAW33" s="28"/>
      <c r="XAX33" s="28"/>
      <c r="XAY33" s="28"/>
      <c r="XAZ33" s="28"/>
      <c r="XBA33" s="28"/>
      <c r="XBB33" s="28"/>
      <c r="XBC33" s="28"/>
      <c r="XBD33" s="28"/>
      <c r="XBE33" s="28"/>
      <c r="XBF33" s="28"/>
      <c r="XBG33" s="28"/>
      <c r="XBH33" s="28"/>
      <c r="XBI33" s="28"/>
      <c r="XBJ33" s="28"/>
      <c r="XBK33" s="28"/>
      <c r="XBL33" s="28"/>
      <c r="XBM33" s="28"/>
      <c r="XBN33" s="28"/>
      <c r="XBO33" s="28"/>
      <c r="XBP33" s="28"/>
      <c r="XBQ33" s="28"/>
      <c r="XBR33" s="28"/>
      <c r="XBS33" s="28"/>
      <c r="XBT33" s="28"/>
      <c r="XBU33" s="28"/>
      <c r="XBV33" s="28"/>
      <c r="XBW33" s="28"/>
      <c r="XBX33" s="28"/>
      <c r="XBY33" s="28"/>
      <c r="XBZ33" s="28"/>
      <c r="XCA33" s="28"/>
      <c r="XCB33" s="28"/>
      <c r="XCC33" s="28"/>
      <c r="XCD33" s="28"/>
      <c r="XCE33" s="28"/>
      <c r="XCF33" s="28"/>
      <c r="XCG33" s="28"/>
      <c r="XCH33" s="28"/>
      <c r="XCI33" s="28"/>
      <c r="XCJ33" s="28"/>
      <c r="XCK33" s="28"/>
      <c r="XCL33" s="28"/>
      <c r="XCM33" s="28"/>
      <c r="XCN33" s="28"/>
      <c r="XCO33" s="28"/>
      <c r="XCP33" s="28"/>
      <c r="XCQ33" s="28"/>
      <c r="XCR33" s="28"/>
      <c r="XCS33" s="28"/>
      <c r="XCT33" s="28"/>
      <c r="XCU33" s="28"/>
      <c r="XCV33" s="28"/>
      <c r="XCW33" s="28"/>
      <c r="XCX33" s="28"/>
      <c r="XCY33" s="28"/>
      <c r="XCZ33" s="28"/>
      <c r="XDA33" s="28"/>
      <c r="XDB33" s="28"/>
      <c r="XDC33" s="28"/>
      <c r="XDD33" s="28"/>
      <c r="XDE33" s="28"/>
      <c r="XDF33" s="28"/>
      <c r="XDG33" s="28"/>
      <c r="XDH33" s="28"/>
      <c r="XDI33" s="28"/>
      <c r="XDJ33" s="28"/>
      <c r="XDK33" s="28"/>
      <c r="XDL33" s="28"/>
      <c r="XDM33" s="28"/>
      <c r="XDN33" s="28"/>
      <c r="XDO33" s="28"/>
      <c r="XDP33" s="28"/>
      <c r="XDQ33" s="28"/>
      <c r="XDR33" s="28"/>
      <c r="XDS33" s="28"/>
      <c r="XDT33" s="28"/>
      <c r="XDU33" s="28"/>
      <c r="XDV33" s="28"/>
      <c r="XDW33" s="28"/>
      <c r="XDX33" s="28"/>
      <c r="XDY33" s="28"/>
      <c r="XDZ33" s="28"/>
      <c r="XEA33" s="28"/>
      <c r="XEB33" s="28"/>
      <c r="XEC33" s="28"/>
      <c r="XED33" s="28"/>
      <c r="XEE33" s="28"/>
      <c r="XEF33" s="28"/>
      <c r="XEG33" s="28"/>
      <c r="XEH33" s="28"/>
      <c r="XEI33" s="28"/>
      <c r="XEJ33" s="28"/>
      <c r="XEK33" s="28"/>
      <c r="XEL33" s="28"/>
      <c r="XEM33" s="28"/>
      <c r="XEN33" s="28"/>
      <c r="XEO33" s="28"/>
      <c r="XEP33" s="28"/>
      <c r="XEQ33" s="28"/>
      <c r="XER33" s="28"/>
      <c r="XES33" s="28"/>
      <c r="XET33" s="28"/>
      <c r="XEU33" s="28"/>
      <c r="XEV33" s="28"/>
      <c r="XEW33" s="28"/>
      <c r="XEX33" s="28"/>
      <c r="XEY33" s="28"/>
      <c r="XEZ33" s="28"/>
      <c r="XFA33" s="28"/>
      <c r="XFB33" s="28"/>
    </row>
    <row r="34" spans="1:16382" ht="12.75" customHeight="1" thickBot="1" x14ac:dyDescent="0.25"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28"/>
      <c r="CC34" s="28"/>
      <c r="CD34" s="28"/>
      <c r="CE34" s="28"/>
      <c r="CF34" s="28"/>
      <c r="CG34" s="28"/>
      <c r="CH34" s="28"/>
      <c r="CI34" s="28"/>
      <c r="CJ34" s="28"/>
      <c r="CK34" s="28"/>
      <c r="CL34" s="28"/>
      <c r="CM34" s="28"/>
      <c r="CN34" s="28"/>
      <c r="CO34" s="28"/>
      <c r="CP34" s="28"/>
      <c r="CQ34" s="28"/>
      <c r="CR34" s="28"/>
      <c r="CS34" s="28"/>
      <c r="CT34" s="28"/>
      <c r="CU34" s="28"/>
      <c r="CV34" s="28"/>
      <c r="CW34" s="28"/>
      <c r="CX34" s="28"/>
      <c r="CY34" s="28"/>
      <c r="CZ34" s="28"/>
      <c r="DA34" s="28"/>
      <c r="DB34" s="28"/>
      <c r="DC34" s="28"/>
      <c r="DD34" s="28"/>
      <c r="DE34" s="28"/>
      <c r="DF34" s="28"/>
      <c r="DG34" s="28"/>
      <c r="DH34" s="28"/>
      <c r="DI34" s="28"/>
      <c r="DJ34" s="28"/>
      <c r="DK34" s="28"/>
      <c r="DL34" s="28"/>
      <c r="DM34" s="28"/>
      <c r="DN34" s="28"/>
      <c r="DO34" s="28"/>
      <c r="DP34" s="28"/>
      <c r="DQ34" s="28"/>
      <c r="DR34" s="28"/>
      <c r="DS34" s="28"/>
      <c r="DT34" s="28"/>
      <c r="DU34" s="28"/>
      <c r="DV34" s="28"/>
      <c r="DW34" s="28"/>
      <c r="DX34" s="28"/>
      <c r="DY34" s="28"/>
      <c r="DZ34" s="28"/>
      <c r="EA34" s="28"/>
      <c r="EB34" s="28"/>
      <c r="EC34" s="28"/>
      <c r="ED34" s="28"/>
      <c r="EE34" s="28"/>
      <c r="EF34" s="28"/>
      <c r="EG34" s="28"/>
      <c r="EH34" s="28"/>
      <c r="EI34" s="28"/>
      <c r="EJ34" s="28"/>
      <c r="EK34" s="28"/>
      <c r="EL34" s="28"/>
      <c r="EM34" s="28"/>
      <c r="EN34" s="28"/>
      <c r="EO34" s="28"/>
      <c r="EP34" s="28"/>
      <c r="EQ34" s="28"/>
      <c r="ER34" s="28"/>
      <c r="ES34" s="28"/>
      <c r="ET34" s="28"/>
      <c r="EU34" s="28"/>
      <c r="EV34" s="28"/>
      <c r="EW34" s="28"/>
      <c r="EX34" s="28"/>
      <c r="EY34" s="28"/>
      <c r="EZ34" s="28"/>
      <c r="FA34" s="28"/>
      <c r="FB34" s="28"/>
      <c r="FC34" s="28"/>
      <c r="FD34" s="28"/>
      <c r="FE34" s="28"/>
      <c r="FF34" s="28"/>
      <c r="FG34" s="28"/>
      <c r="FH34" s="28"/>
      <c r="FI34" s="28"/>
      <c r="FJ34" s="28"/>
      <c r="FK34" s="28"/>
      <c r="FL34" s="28"/>
      <c r="FM34" s="28"/>
      <c r="FN34" s="28"/>
      <c r="FO34" s="28"/>
      <c r="FP34" s="28"/>
      <c r="FQ34" s="28"/>
      <c r="FR34" s="28"/>
      <c r="FS34" s="28"/>
      <c r="FT34" s="28"/>
      <c r="FU34" s="28"/>
      <c r="FV34" s="28"/>
      <c r="FW34" s="28"/>
      <c r="FX34" s="28"/>
      <c r="FY34" s="28"/>
      <c r="FZ34" s="28"/>
      <c r="GA34" s="28"/>
      <c r="GB34" s="28"/>
      <c r="GC34" s="28"/>
      <c r="GD34" s="28"/>
      <c r="GE34" s="28"/>
      <c r="GF34" s="28"/>
      <c r="GG34" s="28"/>
      <c r="GH34" s="28"/>
      <c r="GI34" s="28"/>
      <c r="GJ34" s="28"/>
      <c r="GK34" s="28"/>
      <c r="GL34" s="28"/>
      <c r="GM34" s="28"/>
      <c r="GN34" s="28"/>
      <c r="GO34" s="28"/>
      <c r="GP34" s="28"/>
      <c r="GQ34" s="28"/>
      <c r="GR34" s="28"/>
      <c r="GS34" s="28"/>
      <c r="GT34" s="28"/>
      <c r="GU34" s="28"/>
      <c r="GV34" s="28"/>
      <c r="GW34" s="28"/>
      <c r="GX34" s="28"/>
      <c r="GY34" s="28"/>
      <c r="GZ34" s="28"/>
      <c r="HA34" s="28"/>
      <c r="HB34" s="28"/>
      <c r="HC34" s="28"/>
      <c r="HD34" s="28"/>
      <c r="HE34" s="28"/>
      <c r="HF34" s="28"/>
      <c r="HG34" s="28"/>
      <c r="HH34" s="28"/>
      <c r="HI34" s="28"/>
      <c r="HJ34" s="28"/>
      <c r="HK34" s="28"/>
      <c r="HL34" s="28"/>
      <c r="HM34" s="28"/>
      <c r="HN34" s="28"/>
      <c r="HO34" s="28"/>
      <c r="HP34" s="28"/>
      <c r="HQ34" s="28"/>
      <c r="HR34" s="28"/>
      <c r="HS34" s="28"/>
      <c r="HT34" s="28"/>
      <c r="HU34" s="28"/>
      <c r="HV34" s="28"/>
      <c r="HW34" s="28"/>
      <c r="HX34" s="28"/>
      <c r="HY34" s="28"/>
      <c r="HZ34" s="28"/>
      <c r="IA34" s="28"/>
      <c r="IB34" s="28"/>
      <c r="IC34" s="28"/>
      <c r="ID34" s="28"/>
      <c r="IE34" s="28"/>
      <c r="IF34" s="28"/>
      <c r="IG34" s="28"/>
      <c r="IH34" s="28"/>
      <c r="II34" s="28"/>
      <c r="IJ34" s="28"/>
      <c r="IK34" s="28"/>
      <c r="IL34" s="28"/>
      <c r="IM34" s="28"/>
      <c r="IN34" s="28"/>
      <c r="IO34" s="28"/>
      <c r="IP34" s="28"/>
      <c r="IQ34" s="28"/>
      <c r="IR34" s="28"/>
      <c r="IS34" s="28"/>
      <c r="IT34" s="28"/>
      <c r="IU34" s="28"/>
      <c r="IV34" s="28"/>
      <c r="IW34" s="28"/>
      <c r="IX34" s="28"/>
      <c r="IY34" s="28"/>
      <c r="IZ34" s="28"/>
      <c r="JA34" s="28"/>
      <c r="JB34" s="28"/>
      <c r="JC34" s="28"/>
      <c r="JD34" s="28"/>
      <c r="JE34" s="28"/>
      <c r="JF34" s="28"/>
      <c r="JG34" s="28"/>
      <c r="JH34" s="28"/>
      <c r="JI34" s="28"/>
      <c r="JJ34" s="28"/>
      <c r="JK34" s="28"/>
      <c r="JL34" s="28"/>
      <c r="JM34" s="28"/>
      <c r="JN34" s="28"/>
      <c r="JO34" s="28"/>
      <c r="JP34" s="28"/>
      <c r="JQ34" s="28"/>
      <c r="JR34" s="28"/>
      <c r="JS34" s="28"/>
      <c r="JT34" s="28"/>
      <c r="JU34" s="28"/>
      <c r="JV34" s="28"/>
      <c r="JW34" s="28"/>
      <c r="JX34" s="28"/>
      <c r="JY34" s="28"/>
      <c r="JZ34" s="28"/>
      <c r="KA34" s="28"/>
      <c r="KB34" s="28"/>
      <c r="KC34" s="28"/>
      <c r="KD34" s="28"/>
      <c r="KE34" s="28"/>
      <c r="KF34" s="28"/>
      <c r="KG34" s="28"/>
      <c r="KH34" s="28"/>
      <c r="KI34" s="28"/>
      <c r="KJ34" s="28"/>
      <c r="KK34" s="28"/>
      <c r="KL34" s="28"/>
      <c r="KM34" s="28"/>
      <c r="KN34" s="28"/>
      <c r="KO34" s="28"/>
      <c r="KP34" s="28"/>
      <c r="KQ34" s="28"/>
      <c r="KR34" s="28"/>
      <c r="KS34" s="28"/>
      <c r="KT34" s="28"/>
      <c r="KU34" s="28"/>
      <c r="KV34" s="28"/>
      <c r="KW34" s="28"/>
      <c r="KX34" s="28"/>
      <c r="KY34" s="28"/>
      <c r="KZ34" s="28"/>
      <c r="LA34" s="28"/>
      <c r="LB34" s="28"/>
      <c r="LC34" s="28"/>
      <c r="LD34" s="28"/>
      <c r="LE34" s="28"/>
      <c r="LF34" s="28"/>
      <c r="LG34" s="28"/>
      <c r="LH34" s="28"/>
      <c r="LI34" s="28"/>
      <c r="LJ34" s="28"/>
      <c r="LK34" s="28"/>
      <c r="LL34" s="28"/>
      <c r="LM34" s="28"/>
      <c r="LN34" s="28"/>
      <c r="LO34" s="28"/>
      <c r="LP34" s="28"/>
      <c r="LQ34" s="28"/>
      <c r="LR34" s="28"/>
      <c r="LS34" s="28"/>
      <c r="LT34" s="28"/>
      <c r="LU34" s="28"/>
      <c r="LV34" s="28"/>
      <c r="LW34" s="28"/>
      <c r="LX34" s="28"/>
      <c r="LY34" s="28"/>
      <c r="LZ34" s="28"/>
      <c r="MA34" s="28"/>
      <c r="MB34" s="28"/>
      <c r="MC34" s="28"/>
      <c r="MD34" s="28"/>
      <c r="ME34" s="28"/>
      <c r="MF34" s="28"/>
      <c r="MG34" s="28"/>
      <c r="MH34" s="28"/>
      <c r="MI34" s="28"/>
      <c r="MJ34" s="28"/>
      <c r="MK34" s="28"/>
      <c r="ML34" s="28"/>
      <c r="MM34" s="28"/>
      <c r="MN34" s="28"/>
      <c r="MO34" s="28"/>
      <c r="MP34" s="28"/>
      <c r="MQ34" s="28"/>
      <c r="MR34" s="28"/>
      <c r="MS34" s="28"/>
      <c r="MT34" s="28"/>
      <c r="MU34" s="28"/>
      <c r="MV34" s="28"/>
      <c r="MW34" s="28"/>
      <c r="MX34" s="28"/>
      <c r="MY34" s="28"/>
      <c r="MZ34" s="28"/>
      <c r="NA34" s="28"/>
      <c r="NB34" s="28"/>
      <c r="NC34" s="28"/>
      <c r="ND34" s="28"/>
      <c r="NE34" s="28"/>
      <c r="NF34" s="28"/>
      <c r="NG34" s="28"/>
      <c r="NH34" s="28"/>
      <c r="NI34" s="28"/>
      <c r="NJ34" s="28"/>
      <c r="NK34" s="28"/>
      <c r="NL34" s="28"/>
      <c r="NM34" s="28"/>
      <c r="NN34" s="28"/>
      <c r="NO34" s="28"/>
      <c r="NP34" s="28"/>
      <c r="NQ34" s="28"/>
      <c r="NR34" s="28"/>
      <c r="NS34" s="28"/>
      <c r="NT34" s="28"/>
      <c r="NU34" s="28"/>
      <c r="NV34" s="28"/>
      <c r="NW34" s="28"/>
      <c r="NX34" s="28"/>
      <c r="NY34" s="28"/>
      <c r="NZ34" s="28"/>
      <c r="OA34" s="28"/>
      <c r="OB34" s="28"/>
      <c r="OC34" s="28"/>
      <c r="OD34" s="28"/>
      <c r="OE34" s="28"/>
      <c r="OF34" s="28"/>
      <c r="OG34" s="28"/>
      <c r="OH34" s="28"/>
      <c r="OI34" s="28"/>
      <c r="OJ34" s="28"/>
      <c r="OK34" s="28"/>
      <c r="OL34" s="28"/>
      <c r="OM34" s="28"/>
      <c r="ON34" s="28"/>
      <c r="OO34" s="28"/>
      <c r="OP34" s="28"/>
      <c r="OQ34" s="28"/>
      <c r="OR34" s="28"/>
      <c r="OS34" s="28"/>
      <c r="OT34" s="28"/>
      <c r="OU34" s="28"/>
      <c r="OV34" s="28"/>
      <c r="OW34" s="28"/>
      <c r="OX34" s="28"/>
      <c r="OY34" s="28"/>
      <c r="OZ34" s="28"/>
      <c r="PA34" s="28"/>
      <c r="PB34" s="28"/>
      <c r="PC34" s="28"/>
      <c r="PD34" s="28"/>
      <c r="PE34" s="28"/>
      <c r="PF34" s="28"/>
      <c r="PG34" s="28"/>
      <c r="PH34" s="28"/>
      <c r="PI34" s="28"/>
      <c r="PJ34" s="28"/>
      <c r="PK34" s="28"/>
      <c r="PL34" s="28"/>
      <c r="PM34" s="28"/>
      <c r="PN34" s="28"/>
      <c r="PO34" s="28"/>
      <c r="PP34" s="28"/>
      <c r="PQ34" s="28"/>
      <c r="PR34" s="28"/>
      <c r="PS34" s="28"/>
      <c r="PT34" s="28"/>
      <c r="PU34" s="28"/>
      <c r="PV34" s="28"/>
      <c r="PW34" s="28"/>
      <c r="PX34" s="28"/>
      <c r="PY34" s="28"/>
      <c r="PZ34" s="28"/>
      <c r="QA34" s="28"/>
      <c r="QB34" s="28"/>
      <c r="QC34" s="28"/>
      <c r="QD34" s="28"/>
      <c r="QE34" s="28"/>
      <c r="QF34" s="28"/>
      <c r="QG34" s="28"/>
      <c r="QH34" s="28"/>
      <c r="QI34" s="28"/>
      <c r="QJ34" s="28"/>
      <c r="QK34" s="28"/>
      <c r="QL34" s="28"/>
      <c r="QM34" s="28"/>
      <c r="QN34" s="28"/>
      <c r="QO34" s="28"/>
      <c r="QP34" s="28"/>
      <c r="QQ34" s="28"/>
      <c r="QR34" s="28"/>
      <c r="QS34" s="28"/>
      <c r="QT34" s="28"/>
      <c r="QU34" s="28"/>
      <c r="QV34" s="28"/>
      <c r="QW34" s="28"/>
      <c r="QX34" s="28"/>
      <c r="QY34" s="28"/>
      <c r="QZ34" s="28"/>
      <c r="RA34" s="28"/>
      <c r="RB34" s="28"/>
      <c r="RC34" s="28"/>
      <c r="RD34" s="28"/>
      <c r="RE34" s="28"/>
      <c r="RF34" s="28"/>
      <c r="RG34" s="28"/>
      <c r="RH34" s="28"/>
      <c r="RI34" s="28"/>
      <c r="RJ34" s="28"/>
      <c r="RK34" s="28"/>
      <c r="RL34" s="28"/>
      <c r="RM34" s="28"/>
      <c r="RN34" s="28"/>
      <c r="RO34" s="28"/>
      <c r="RP34" s="28"/>
      <c r="RQ34" s="28"/>
      <c r="RR34" s="28"/>
      <c r="RS34" s="28"/>
      <c r="RT34" s="28"/>
      <c r="RU34" s="28"/>
      <c r="RV34" s="28"/>
      <c r="RW34" s="28"/>
      <c r="RX34" s="28"/>
      <c r="RY34" s="28"/>
      <c r="RZ34" s="28"/>
      <c r="SA34" s="28"/>
      <c r="SB34" s="28"/>
      <c r="SC34" s="28"/>
      <c r="SD34" s="28"/>
      <c r="SE34" s="28"/>
      <c r="SF34" s="28"/>
      <c r="SG34" s="28"/>
      <c r="SH34" s="28"/>
      <c r="SI34" s="28"/>
      <c r="SJ34" s="28"/>
      <c r="SK34" s="28"/>
      <c r="SL34" s="28"/>
      <c r="SM34" s="28"/>
      <c r="SN34" s="28"/>
      <c r="SO34" s="28"/>
      <c r="SP34" s="28"/>
      <c r="SQ34" s="28"/>
      <c r="SR34" s="28"/>
      <c r="SS34" s="28"/>
      <c r="ST34" s="28"/>
      <c r="SU34" s="28"/>
      <c r="SV34" s="28"/>
      <c r="SW34" s="28"/>
      <c r="SX34" s="28"/>
      <c r="SY34" s="28"/>
      <c r="SZ34" s="28"/>
      <c r="TA34" s="28"/>
      <c r="TB34" s="28"/>
      <c r="TC34" s="28"/>
      <c r="TD34" s="28"/>
      <c r="TE34" s="28"/>
      <c r="TF34" s="28"/>
      <c r="TG34" s="28"/>
      <c r="TH34" s="28"/>
      <c r="TI34" s="28"/>
      <c r="TJ34" s="28"/>
      <c r="TK34" s="28"/>
      <c r="TL34" s="28"/>
      <c r="TM34" s="28"/>
      <c r="TN34" s="28"/>
      <c r="TO34" s="28"/>
      <c r="TP34" s="28"/>
      <c r="TQ34" s="28"/>
      <c r="TR34" s="28"/>
      <c r="TS34" s="28"/>
      <c r="TT34" s="28"/>
      <c r="TU34" s="28"/>
      <c r="TV34" s="28"/>
      <c r="TW34" s="28"/>
      <c r="TX34" s="28"/>
      <c r="TY34" s="28"/>
      <c r="TZ34" s="28"/>
      <c r="UA34" s="28"/>
      <c r="UB34" s="28"/>
      <c r="UC34" s="28"/>
      <c r="UD34" s="28"/>
      <c r="UE34" s="28"/>
      <c r="UF34" s="28"/>
      <c r="UG34" s="28"/>
      <c r="UH34" s="28"/>
      <c r="UI34" s="28"/>
      <c r="UJ34" s="28"/>
      <c r="UK34" s="28"/>
      <c r="UL34" s="28"/>
      <c r="UM34" s="28"/>
      <c r="UN34" s="28"/>
      <c r="UO34" s="28"/>
      <c r="UP34" s="28"/>
      <c r="UQ34" s="28"/>
      <c r="UR34" s="28"/>
      <c r="US34" s="28"/>
      <c r="UT34" s="28"/>
      <c r="UU34" s="28"/>
      <c r="UV34" s="28"/>
      <c r="UW34" s="28"/>
      <c r="UX34" s="28"/>
      <c r="UY34" s="28"/>
      <c r="UZ34" s="28"/>
      <c r="VA34" s="28"/>
      <c r="VB34" s="28"/>
      <c r="VC34" s="28"/>
      <c r="VD34" s="28"/>
      <c r="VE34" s="28"/>
      <c r="VF34" s="28"/>
      <c r="VG34" s="28"/>
      <c r="VH34" s="28"/>
      <c r="VI34" s="28"/>
      <c r="VJ34" s="28"/>
      <c r="VK34" s="28"/>
      <c r="VL34" s="28"/>
      <c r="VM34" s="28"/>
      <c r="VN34" s="28"/>
      <c r="VO34" s="28"/>
      <c r="VP34" s="28"/>
      <c r="VQ34" s="28"/>
      <c r="VR34" s="28"/>
      <c r="VS34" s="28"/>
      <c r="VT34" s="28"/>
      <c r="VU34" s="28"/>
      <c r="VV34" s="28"/>
      <c r="VW34" s="28"/>
      <c r="VX34" s="28"/>
      <c r="VY34" s="28"/>
      <c r="VZ34" s="28"/>
      <c r="WA34" s="28"/>
      <c r="WB34" s="28"/>
      <c r="WC34" s="28"/>
      <c r="WD34" s="28"/>
      <c r="WE34" s="28"/>
      <c r="WF34" s="28"/>
      <c r="WG34" s="28"/>
      <c r="WH34" s="28"/>
      <c r="WI34" s="28"/>
      <c r="WJ34" s="28"/>
      <c r="WK34" s="28"/>
      <c r="WL34" s="28"/>
      <c r="WM34" s="28"/>
      <c r="WN34" s="28"/>
      <c r="WO34" s="28"/>
      <c r="WP34" s="28"/>
      <c r="WQ34" s="28"/>
      <c r="WR34" s="28"/>
      <c r="WS34" s="28"/>
      <c r="WT34" s="28"/>
      <c r="WU34" s="28"/>
      <c r="WV34" s="28"/>
      <c r="WW34" s="28"/>
      <c r="WX34" s="28"/>
      <c r="WY34" s="28"/>
      <c r="WZ34" s="28"/>
      <c r="XA34" s="28"/>
      <c r="XB34" s="28"/>
      <c r="XC34" s="28"/>
      <c r="XD34" s="28"/>
      <c r="XE34" s="28"/>
      <c r="XF34" s="28"/>
      <c r="XG34" s="28"/>
      <c r="XH34" s="28"/>
      <c r="XI34" s="28"/>
      <c r="XJ34" s="28"/>
      <c r="XK34" s="28"/>
      <c r="XL34" s="28"/>
      <c r="XM34" s="28"/>
      <c r="XN34" s="28"/>
      <c r="XO34" s="28"/>
      <c r="XP34" s="28"/>
      <c r="XQ34" s="28"/>
      <c r="XR34" s="28"/>
      <c r="XS34" s="28"/>
      <c r="XT34" s="28"/>
      <c r="XU34" s="28"/>
      <c r="XV34" s="28"/>
      <c r="XW34" s="28"/>
      <c r="XX34" s="28"/>
      <c r="XY34" s="28"/>
      <c r="XZ34" s="28"/>
      <c r="YA34" s="28"/>
      <c r="YB34" s="28"/>
      <c r="YC34" s="28"/>
      <c r="YD34" s="28"/>
      <c r="YE34" s="28"/>
      <c r="YF34" s="28"/>
      <c r="YG34" s="28"/>
      <c r="YH34" s="28"/>
      <c r="YI34" s="28"/>
      <c r="YJ34" s="28"/>
      <c r="YK34" s="28"/>
      <c r="YL34" s="28"/>
      <c r="YM34" s="28"/>
      <c r="YN34" s="28"/>
      <c r="YO34" s="28"/>
      <c r="YP34" s="28"/>
      <c r="YQ34" s="28"/>
      <c r="YR34" s="28"/>
      <c r="YS34" s="28"/>
      <c r="YT34" s="28"/>
      <c r="YU34" s="28"/>
      <c r="YV34" s="28"/>
      <c r="YW34" s="28"/>
      <c r="YX34" s="28"/>
      <c r="YY34" s="28"/>
      <c r="YZ34" s="28"/>
      <c r="ZA34" s="28"/>
      <c r="ZB34" s="28"/>
      <c r="ZC34" s="28"/>
      <c r="ZD34" s="28"/>
      <c r="ZE34" s="28"/>
      <c r="ZF34" s="28"/>
      <c r="ZG34" s="28"/>
      <c r="ZH34" s="28"/>
      <c r="ZI34" s="28"/>
      <c r="ZJ34" s="28"/>
      <c r="ZK34" s="28"/>
      <c r="ZL34" s="28"/>
      <c r="ZM34" s="28"/>
      <c r="ZN34" s="28"/>
      <c r="ZO34" s="28"/>
      <c r="ZP34" s="28"/>
      <c r="ZQ34" s="28"/>
      <c r="ZR34" s="28"/>
      <c r="ZS34" s="28"/>
      <c r="ZT34" s="28"/>
      <c r="ZU34" s="28"/>
      <c r="ZV34" s="28"/>
      <c r="ZW34" s="28"/>
      <c r="ZX34" s="28"/>
      <c r="ZY34" s="28"/>
      <c r="ZZ34" s="28"/>
      <c r="AAA34" s="28"/>
      <c r="AAB34" s="28"/>
      <c r="AAC34" s="28"/>
      <c r="AAD34" s="28"/>
      <c r="AAE34" s="28"/>
      <c r="AAF34" s="28"/>
      <c r="AAG34" s="28"/>
      <c r="AAH34" s="28"/>
      <c r="AAI34" s="28"/>
      <c r="AAJ34" s="28"/>
      <c r="AAK34" s="28"/>
      <c r="AAL34" s="28"/>
      <c r="AAM34" s="28"/>
      <c r="AAN34" s="28"/>
      <c r="AAO34" s="28"/>
      <c r="AAP34" s="28"/>
      <c r="AAQ34" s="28"/>
      <c r="AAR34" s="28"/>
      <c r="AAS34" s="28"/>
      <c r="AAT34" s="28"/>
      <c r="AAU34" s="28"/>
      <c r="AAV34" s="28"/>
      <c r="AAW34" s="28"/>
      <c r="AAX34" s="28"/>
      <c r="AAY34" s="28"/>
      <c r="AAZ34" s="28"/>
      <c r="ABA34" s="28"/>
      <c r="ABB34" s="28"/>
      <c r="ABC34" s="28"/>
      <c r="ABD34" s="28"/>
      <c r="ABE34" s="28"/>
      <c r="ABF34" s="28"/>
      <c r="ABG34" s="28"/>
      <c r="ABH34" s="28"/>
      <c r="ABI34" s="28"/>
      <c r="ABJ34" s="28"/>
      <c r="ABK34" s="28"/>
      <c r="ABL34" s="28"/>
      <c r="ABM34" s="28"/>
      <c r="ABN34" s="28"/>
      <c r="ABO34" s="28"/>
      <c r="ABP34" s="28"/>
      <c r="ABQ34" s="28"/>
      <c r="ABR34" s="28"/>
      <c r="ABS34" s="28"/>
      <c r="ABT34" s="28"/>
      <c r="ABU34" s="28"/>
      <c r="ABV34" s="28"/>
      <c r="ABW34" s="28"/>
      <c r="ABX34" s="28"/>
      <c r="ABY34" s="28"/>
      <c r="ABZ34" s="28"/>
      <c r="ACA34" s="28"/>
      <c r="ACB34" s="28"/>
      <c r="ACC34" s="28"/>
      <c r="ACD34" s="28"/>
      <c r="ACE34" s="28"/>
      <c r="ACF34" s="28"/>
      <c r="ACG34" s="28"/>
      <c r="ACH34" s="28"/>
      <c r="ACI34" s="28"/>
      <c r="ACJ34" s="28"/>
      <c r="ACK34" s="28"/>
      <c r="ACL34" s="28"/>
      <c r="ACM34" s="28"/>
      <c r="ACN34" s="28"/>
      <c r="ACO34" s="28"/>
      <c r="ACP34" s="28"/>
      <c r="ACQ34" s="28"/>
      <c r="ACR34" s="28"/>
      <c r="ACS34" s="28"/>
      <c r="ACT34" s="28"/>
      <c r="ACU34" s="28"/>
      <c r="ACV34" s="28"/>
      <c r="ACW34" s="28"/>
      <c r="ACX34" s="28"/>
      <c r="ACY34" s="28"/>
      <c r="ACZ34" s="28"/>
      <c r="ADA34" s="28"/>
      <c r="ADB34" s="28"/>
      <c r="ADC34" s="28"/>
      <c r="ADD34" s="28"/>
      <c r="ADE34" s="28"/>
      <c r="ADF34" s="28"/>
      <c r="ADG34" s="28"/>
      <c r="ADH34" s="28"/>
      <c r="ADI34" s="28"/>
      <c r="ADJ34" s="28"/>
      <c r="ADK34" s="28"/>
      <c r="ADL34" s="28"/>
      <c r="ADM34" s="28"/>
      <c r="ADN34" s="28"/>
      <c r="ADO34" s="28"/>
      <c r="ADP34" s="28"/>
      <c r="ADQ34" s="28"/>
      <c r="ADR34" s="28"/>
      <c r="ADS34" s="28"/>
      <c r="ADT34" s="28"/>
      <c r="ADU34" s="28"/>
      <c r="ADV34" s="28"/>
      <c r="ADW34" s="28"/>
      <c r="ADX34" s="28"/>
      <c r="ADY34" s="28"/>
      <c r="ADZ34" s="28"/>
      <c r="AEA34" s="28"/>
      <c r="AEB34" s="28"/>
      <c r="AEC34" s="28"/>
      <c r="AED34" s="28"/>
      <c r="AEE34" s="28"/>
      <c r="AEF34" s="28"/>
      <c r="AEG34" s="28"/>
      <c r="AEH34" s="28"/>
      <c r="AEI34" s="28"/>
      <c r="AEJ34" s="28"/>
      <c r="AEK34" s="28"/>
      <c r="AEL34" s="28"/>
      <c r="AEM34" s="28"/>
      <c r="AEN34" s="28"/>
      <c r="AEO34" s="28"/>
      <c r="AEP34" s="28"/>
      <c r="AEQ34" s="28"/>
      <c r="AER34" s="28"/>
      <c r="AES34" s="28"/>
      <c r="AET34" s="28"/>
      <c r="AEU34" s="28"/>
      <c r="AEV34" s="28"/>
      <c r="AEW34" s="28"/>
      <c r="AEX34" s="28"/>
      <c r="AEY34" s="28"/>
      <c r="AEZ34" s="28"/>
      <c r="AFA34" s="28"/>
      <c r="AFB34" s="28"/>
      <c r="AFC34" s="28"/>
      <c r="AFD34" s="28"/>
      <c r="AFE34" s="28"/>
      <c r="AFF34" s="28"/>
      <c r="AFG34" s="28"/>
      <c r="AFH34" s="28"/>
      <c r="AFI34" s="28"/>
      <c r="AFJ34" s="28"/>
      <c r="AFK34" s="28"/>
      <c r="AFL34" s="28"/>
      <c r="AFM34" s="28"/>
      <c r="AFN34" s="28"/>
      <c r="AFO34" s="28"/>
      <c r="AFP34" s="28"/>
      <c r="AFQ34" s="28"/>
      <c r="AFR34" s="28"/>
      <c r="AFS34" s="28"/>
      <c r="AFT34" s="28"/>
      <c r="AFU34" s="28"/>
      <c r="AFV34" s="28"/>
      <c r="AFW34" s="28"/>
      <c r="AFX34" s="28"/>
      <c r="AFY34" s="28"/>
      <c r="AFZ34" s="28"/>
      <c r="AGA34" s="28"/>
      <c r="AGB34" s="28"/>
      <c r="AGC34" s="28"/>
      <c r="AGD34" s="28"/>
      <c r="AGE34" s="28"/>
      <c r="AGF34" s="28"/>
      <c r="AGG34" s="28"/>
      <c r="AGH34" s="28"/>
      <c r="AGI34" s="28"/>
      <c r="AGJ34" s="28"/>
      <c r="AGK34" s="28"/>
      <c r="AGL34" s="28"/>
      <c r="AGM34" s="28"/>
      <c r="AGN34" s="28"/>
      <c r="AGO34" s="28"/>
      <c r="AGP34" s="28"/>
      <c r="AGQ34" s="28"/>
      <c r="AGR34" s="28"/>
      <c r="AGS34" s="28"/>
      <c r="AGT34" s="28"/>
      <c r="AGU34" s="28"/>
      <c r="AGV34" s="28"/>
      <c r="AGW34" s="28"/>
      <c r="AGX34" s="28"/>
      <c r="AGY34" s="28"/>
      <c r="AGZ34" s="28"/>
      <c r="AHA34" s="28"/>
      <c r="AHB34" s="28"/>
      <c r="AHC34" s="28"/>
      <c r="AHD34" s="28"/>
      <c r="AHE34" s="28"/>
      <c r="AHF34" s="28"/>
      <c r="AHG34" s="28"/>
      <c r="AHH34" s="28"/>
      <c r="AHI34" s="28"/>
      <c r="AHJ34" s="28"/>
      <c r="AHK34" s="28"/>
      <c r="AHL34" s="28"/>
      <c r="AHM34" s="28"/>
      <c r="AHN34" s="28"/>
      <c r="AHO34" s="28"/>
      <c r="AHP34" s="28"/>
      <c r="AHQ34" s="28"/>
      <c r="AHR34" s="28"/>
      <c r="AHS34" s="28"/>
      <c r="AHT34" s="28"/>
      <c r="AHU34" s="28"/>
      <c r="AHV34" s="28"/>
      <c r="AHW34" s="28"/>
      <c r="AHX34" s="28"/>
      <c r="AHY34" s="28"/>
      <c r="AHZ34" s="28"/>
      <c r="AIA34" s="28"/>
      <c r="AIB34" s="28"/>
      <c r="AIC34" s="28"/>
      <c r="AID34" s="28"/>
      <c r="AIE34" s="28"/>
      <c r="AIF34" s="28"/>
      <c r="AIG34" s="28"/>
      <c r="AIH34" s="28"/>
      <c r="AII34" s="28"/>
      <c r="AIJ34" s="28"/>
      <c r="AIK34" s="28"/>
      <c r="AIL34" s="28"/>
      <c r="AIM34" s="28"/>
      <c r="AIN34" s="28"/>
      <c r="AIO34" s="28"/>
      <c r="AIP34" s="28"/>
      <c r="AIQ34" s="28"/>
      <c r="AIR34" s="28"/>
      <c r="AIS34" s="28"/>
      <c r="AIT34" s="28"/>
      <c r="AIU34" s="28"/>
      <c r="AIV34" s="28"/>
      <c r="AIW34" s="28"/>
      <c r="AIX34" s="28"/>
      <c r="AIY34" s="28"/>
      <c r="AIZ34" s="28"/>
      <c r="AJA34" s="28"/>
      <c r="AJB34" s="28"/>
      <c r="AJC34" s="28"/>
      <c r="AJD34" s="28"/>
      <c r="AJE34" s="28"/>
      <c r="AJF34" s="28"/>
      <c r="AJG34" s="28"/>
      <c r="AJH34" s="28"/>
      <c r="AJI34" s="28"/>
      <c r="AJJ34" s="28"/>
      <c r="AJK34" s="28"/>
      <c r="AJL34" s="28"/>
      <c r="AJM34" s="28"/>
      <c r="AJN34" s="28"/>
      <c r="AJO34" s="28"/>
      <c r="AJP34" s="28"/>
      <c r="AJQ34" s="28"/>
      <c r="AJR34" s="28"/>
      <c r="AJS34" s="28"/>
      <c r="AJT34" s="28"/>
      <c r="AJU34" s="28"/>
      <c r="AJV34" s="28"/>
      <c r="AJW34" s="28"/>
      <c r="AJX34" s="28"/>
      <c r="AJY34" s="28"/>
      <c r="AJZ34" s="28"/>
      <c r="AKA34" s="28"/>
      <c r="AKB34" s="28"/>
      <c r="AKC34" s="28"/>
      <c r="AKD34" s="28"/>
      <c r="AKE34" s="28"/>
      <c r="AKF34" s="28"/>
      <c r="AKG34" s="28"/>
      <c r="AKH34" s="28"/>
      <c r="AKI34" s="28"/>
      <c r="AKJ34" s="28"/>
      <c r="AKK34" s="28"/>
      <c r="AKL34" s="28"/>
      <c r="AKM34" s="28"/>
      <c r="AKN34" s="28"/>
      <c r="AKO34" s="28"/>
      <c r="AKP34" s="28"/>
      <c r="AKQ34" s="28"/>
      <c r="AKR34" s="28"/>
      <c r="AKS34" s="28"/>
      <c r="AKT34" s="28"/>
      <c r="AKU34" s="28"/>
      <c r="AKV34" s="28"/>
      <c r="AKW34" s="28"/>
      <c r="AKX34" s="28"/>
      <c r="AKY34" s="28"/>
      <c r="AKZ34" s="28"/>
      <c r="ALA34" s="28"/>
      <c r="ALB34" s="28"/>
      <c r="ALC34" s="28"/>
      <c r="ALD34" s="28"/>
      <c r="ALE34" s="28"/>
      <c r="ALF34" s="28"/>
      <c r="ALG34" s="28"/>
      <c r="ALH34" s="28"/>
      <c r="ALI34" s="28"/>
      <c r="ALJ34" s="28"/>
      <c r="ALK34" s="28"/>
      <c r="ALL34" s="28"/>
      <c r="ALM34" s="28"/>
      <c r="ALN34" s="28"/>
      <c r="ALO34" s="28"/>
      <c r="ALP34" s="28"/>
      <c r="ALQ34" s="28"/>
      <c r="ALR34" s="28"/>
      <c r="ALS34" s="28"/>
      <c r="ALT34" s="28"/>
      <c r="ALU34" s="28"/>
      <c r="ALV34" s="28"/>
      <c r="ALW34" s="28"/>
      <c r="ALX34" s="28"/>
      <c r="ALY34" s="28"/>
      <c r="ALZ34" s="28"/>
      <c r="AMA34" s="28"/>
      <c r="AMB34" s="28"/>
      <c r="AMC34" s="28"/>
      <c r="AMD34" s="28"/>
      <c r="AME34" s="28"/>
      <c r="AMF34" s="28"/>
      <c r="AMG34" s="28"/>
      <c r="AMH34" s="28"/>
      <c r="AMI34" s="28"/>
      <c r="AMJ34" s="28"/>
      <c r="AMK34" s="28"/>
      <c r="AML34" s="28"/>
      <c r="AMM34" s="28"/>
      <c r="AMN34" s="28"/>
      <c r="AMO34" s="28"/>
      <c r="AMP34" s="28"/>
      <c r="AMQ34" s="28"/>
      <c r="AMR34" s="28"/>
      <c r="AMS34" s="28"/>
      <c r="AMT34" s="28"/>
      <c r="AMU34" s="28"/>
      <c r="AMV34" s="28"/>
      <c r="AMW34" s="28"/>
      <c r="AMX34" s="28"/>
      <c r="AMY34" s="28"/>
      <c r="AMZ34" s="28"/>
      <c r="ANA34" s="28"/>
      <c r="ANB34" s="28"/>
      <c r="ANC34" s="28"/>
      <c r="AND34" s="28"/>
      <c r="ANE34" s="28"/>
      <c r="ANF34" s="28"/>
      <c r="ANG34" s="28"/>
      <c r="ANH34" s="28"/>
      <c r="ANI34" s="28"/>
      <c r="ANJ34" s="28"/>
      <c r="ANK34" s="28"/>
      <c r="ANL34" s="28"/>
      <c r="ANM34" s="28"/>
      <c r="ANN34" s="28"/>
      <c r="ANO34" s="28"/>
      <c r="ANP34" s="28"/>
      <c r="ANQ34" s="28"/>
      <c r="ANR34" s="28"/>
      <c r="ANS34" s="28"/>
      <c r="ANT34" s="28"/>
      <c r="ANU34" s="28"/>
      <c r="ANV34" s="28"/>
      <c r="ANW34" s="28"/>
      <c r="ANX34" s="28"/>
      <c r="ANY34" s="28"/>
      <c r="ANZ34" s="28"/>
      <c r="AOA34" s="28"/>
      <c r="AOB34" s="28"/>
      <c r="AOC34" s="28"/>
      <c r="AOD34" s="28"/>
      <c r="AOE34" s="28"/>
      <c r="AOF34" s="28"/>
      <c r="AOG34" s="28"/>
      <c r="AOH34" s="28"/>
      <c r="AOI34" s="28"/>
      <c r="AOJ34" s="28"/>
      <c r="AOK34" s="28"/>
      <c r="AOL34" s="28"/>
      <c r="AOM34" s="28"/>
      <c r="AON34" s="28"/>
      <c r="AOO34" s="28"/>
      <c r="AOP34" s="28"/>
      <c r="AOQ34" s="28"/>
      <c r="AOR34" s="28"/>
      <c r="AOS34" s="28"/>
      <c r="AOT34" s="28"/>
      <c r="AOU34" s="28"/>
      <c r="AOV34" s="28"/>
      <c r="AOW34" s="28"/>
      <c r="AOX34" s="28"/>
      <c r="AOY34" s="28"/>
      <c r="AOZ34" s="28"/>
      <c r="APA34" s="28"/>
      <c r="APB34" s="28"/>
      <c r="APC34" s="28"/>
      <c r="APD34" s="28"/>
      <c r="APE34" s="28"/>
      <c r="APF34" s="28"/>
      <c r="APG34" s="28"/>
      <c r="APH34" s="28"/>
      <c r="API34" s="28"/>
      <c r="APJ34" s="28"/>
      <c r="APK34" s="28"/>
      <c r="APL34" s="28"/>
      <c r="APM34" s="28"/>
      <c r="APN34" s="28"/>
      <c r="APO34" s="28"/>
      <c r="APP34" s="28"/>
      <c r="APQ34" s="28"/>
      <c r="APR34" s="28"/>
      <c r="APS34" s="28"/>
      <c r="APT34" s="28"/>
      <c r="APU34" s="28"/>
      <c r="APV34" s="28"/>
      <c r="APW34" s="28"/>
      <c r="APX34" s="28"/>
      <c r="APY34" s="28"/>
      <c r="APZ34" s="28"/>
      <c r="AQA34" s="28"/>
      <c r="AQB34" s="28"/>
      <c r="AQC34" s="28"/>
      <c r="AQD34" s="28"/>
      <c r="AQE34" s="28"/>
      <c r="AQF34" s="28"/>
      <c r="AQG34" s="28"/>
      <c r="AQH34" s="28"/>
      <c r="AQI34" s="28"/>
      <c r="AQJ34" s="28"/>
      <c r="AQK34" s="28"/>
      <c r="AQL34" s="28"/>
      <c r="AQM34" s="28"/>
      <c r="AQN34" s="28"/>
      <c r="AQO34" s="28"/>
      <c r="AQP34" s="28"/>
      <c r="AQQ34" s="28"/>
      <c r="AQR34" s="28"/>
      <c r="AQS34" s="28"/>
      <c r="AQT34" s="28"/>
      <c r="AQU34" s="28"/>
      <c r="AQV34" s="28"/>
      <c r="AQW34" s="28"/>
      <c r="AQX34" s="28"/>
      <c r="AQY34" s="28"/>
      <c r="AQZ34" s="28"/>
      <c r="ARA34" s="28"/>
      <c r="ARB34" s="28"/>
      <c r="ARC34" s="28"/>
      <c r="ARD34" s="28"/>
      <c r="ARE34" s="28"/>
      <c r="ARF34" s="28"/>
      <c r="ARG34" s="28"/>
      <c r="ARH34" s="28"/>
      <c r="ARI34" s="28"/>
      <c r="ARJ34" s="28"/>
      <c r="ARK34" s="28"/>
      <c r="ARL34" s="28"/>
      <c r="ARM34" s="28"/>
      <c r="ARN34" s="28"/>
      <c r="ARO34" s="28"/>
      <c r="ARP34" s="28"/>
      <c r="ARQ34" s="28"/>
      <c r="ARR34" s="28"/>
      <c r="ARS34" s="28"/>
      <c r="ART34" s="28"/>
      <c r="ARU34" s="28"/>
      <c r="ARV34" s="28"/>
      <c r="ARW34" s="28"/>
      <c r="ARX34" s="28"/>
      <c r="ARY34" s="28"/>
      <c r="ARZ34" s="28"/>
      <c r="ASA34" s="28"/>
      <c r="ASB34" s="28"/>
      <c r="ASC34" s="28"/>
      <c r="ASD34" s="28"/>
      <c r="ASE34" s="28"/>
      <c r="ASF34" s="28"/>
      <c r="ASG34" s="28"/>
      <c r="ASH34" s="28"/>
      <c r="ASI34" s="28"/>
      <c r="ASJ34" s="28"/>
      <c r="ASK34" s="28"/>
      <c r="ASL34" s="28"/>
      <c r="ASM34" s="28"/>
      <c r="ASN34" s="28"/>
      <c r="ASO34" s="28"/>
      <c r="ASP34" s="28"/>
      <c r="ASQ34" s="28"/>
      <c r="ASR34" s="28"/>
      <c r="ASS34" s="28"/>
      <c r="AST34" s="28"/>
      <c r="ASU34" s="28"/>
      <c r="ASV34" s="28"/>
      <c r="ASW34" s="28"/>
      <c r="ASX34" s="28"/>
      <c r="ASY34" s="28"/>
      <c r="ASZ34" s="28"/>
      <c r="ATA34" s="28"/>
      <c r="ATB34" s="28"/>
      <c r="ATC34" s="28"/>
      <c r="ATD34" s="28"/>
      <c r="ATE34" s="28"/>
      <c r="ATF34" s="28"/>
      <c r="ATG34" s="28"/>
      <c r="ATH34" s="28"/>
      <c r="ATI34" s="28"/>
      <c r="ATJ34" s="28"/>
      <c r="ATK34" s="28"/>
      <c r="ATL34" s="28"/>
      <c r="ATM34" s="28"/>
      <c r="ATN34" s="28"/>
      <c r="ATO34" s="28"/>
      <c r="ATP34" s="28"/>
      <c r="ATQ34" s="28"/>
      <c r="ATR34" s="28"/>
      <c r="ATS34" s="28"/>
      <c r="ATT34" s="28"/>
      <c r="ATU34" s="28"/>
      <c r="ATV34" s="28"/>
      <c r="ATW34" s="28"/>
      <c r="ATX34" s="28"/>
      <c r="ATY34" s="28"/>
      <c r="ATZ34" s="28"/>
      <c r="AUA34" s="28"/>
      <c r="AUB34" s="28"/>
      <c r="AUC34" s="28"/>
      <c r="AUD34" s="28"/>
      <c r="AUE34" s="28"/>
      <c r="AUF34" s="28"/>
      <c r="AUG34" s="28"/>
      <c r="AUH34" s="28"/>
      <c r="AUI34" s="28"/>
      <c r="AUJ34" s="28"/>
      <c r="AUK34" s="28"/>
      <c r="AUL34" s="28"/>
      <c r="AUM34" s="28"/>
      <c r="AUN34" s="28"/>
      <c r="AUO34" s="28"/>
      <c r="AUP34" s="28"/>
      <c r="AUQ34" s="28"/>
      <c r="AUR34" s="28"/>
      <c r="AUS34" s="28"/>
      <c r="AUT34" s="28"/>
      <c r="AUU34" s="28"/>
      <c r="AUV34" s="28"/>
      <c r="AUW34" s="28"/>
      <c r="AUX34" s="28"/>
      <c r="AUY34" s="28"/>
      <c r="AUZ34" s="28"/>
      <c r="AVA34" s="28"/>
      <c r="AVB34" s="28"/>
      <c r="AVC34" s="28"/>
      <c r="AVD34" s="28"/>
      <c r="AVE34" s="28"/>
      <c r="AVF34" s="28"/>
      <c r="AVG34" s="28"/>
      <c r="AVH34" s="28"/>
      <c r="AVI34" s="28"/>
      <c r="AVJ34" s="28"/>
      <c r="AVK34" s="28"/>
      <c r="AVL34" s="28"/>
      <c r="AVM34" s="28"/>
      <c r="AVN34" s="28"/>
      <c r="AVO34" s="28"/>
      <c r="AVP34" s="28"/>
      <c r="AVQ34" s="28"/>
      <c r="AVR34" s="28"/>
      <c r="AVS34" s="28"/>
      <c r="AVT34" s="28"/>
      <c r="AVU34" s="28"/>
      <c r="AVV34" s="28"/>
      <c r="AVW34" s="28"/>
      <c r="AVX34" s="28"/>
      <c r="AVY34" s="28"/>
      <c r="AVZ34" s="28"/>
      <c r="AWA34" s="28"/>
      <c r="AWB34" s="28"/>
      <c r="AWC34" s="28"/>
      <c r="AWD34" s="28"/>
      <c r="AWE34" s="28"/>
      <c r="AWF34" s="28"/>
      <c r="AWG34" s="28"/>
      <c r="AWH34" s="28"/>
      <c r="AWI34" s="28"/>
      <c r="AWJ34" s="28"/>
      <c r="AWK34" s="28"/>
      <c r="AWL34" s="28"/>
      <c r="AWM34" s="28"/>
      <c r="AWN34" s="28"/>
      <c r="AWO34" s="28"/>
      <c r="AWP34" s="28"/>
      <c r="AWQ34" s="28"/>
      <c r="AWR34" s="28"/>
      <c r="AWS34" s="28"/>
      <c r="AWT34" s="28"/>
      <c r="AWU34" s="28"/>
      <c r="AWV34" s="28"/>
      <c r="AWW34" s="28"/>
      <c r="AWX34" s="28"/>
      <c r="AWY34" s="28"/>
      <c r="AWZ34" s="28"/>
      <c r="AXA34" s="28"/>
      <c r="AXB34" s="28"/>
      <c r="AXC34" s="28"/>
      <c r="AXD34" s="28"/>
      <c r="AXE34" s="28"/>
      <c r="AXF34" s="28"/>
      <c r="AXG34" s="28"/>
      <c r="AXH34" s="28"/>
      <c r="AXI34" s="28"/>
      <c r="AXJ34" s="28"/>
      <c r="AXK34" s="28"/>
      <c r="AXL34" s="28"/>
      <c r="AXM34" s="28"/>
      <c r="AXN34" s="28"/>
      <c r="AXO34" s="28"/>
      <c r="AXP34" s="28"/>
      <c r="AXQ34" s="28"/>
      <c r="AXR34" s="28"/>
      <c r="AXS34" s="28"/>
      <c r="AXT34" s="28"/>
      <c r="AXU34" s="28"/>
      <c r="AXV34" s="28"/>
      <c r="AXW34" s="28"/>
      <c r="AXX34" s="28"/>
      <c r="AXY34" s="28"/>
      <c r="AXZ34" s="28"/>
      <c r="AYA34" s="28"/>
      <c r="AYB34" s="28"/>
      <c r="AYC34" s="28"/>
      <c r="AYD34" s="28"/>
      <c r="AYE34" s="28"/>
      <c r="AYF34" s="28"/>
      <c r="AYG34" s="28"/>
      <c r="AYH34" s="28"/>
      <c r="AYI34" s="28"/>
      <c r="AYJ34" s="28"/>
      <c r="AYK34" s="28"/>
      <c r="AYL34" s="28"/>
      <c r="AYM34" s="28"/>
      <c r="AYN34" s="28"/>
      <c r="AYO34" s="28"/>
      <c r="AYP34" s="28"/>
      <c r="AYQ34" s="28"/>
      <c r="AYR34" s="28"/>
      <c r="AYS34" s="28"/>
      <c r="AYT34" s="28"/>
      <c r="AYU34" s="28"/>
      <c r="AYV34" s="28"/>
      <c r="AYW34" s="28"/>
      <c r="AYX34" s="28"/>
      <c r="AYY34" s="28"/>
      <c r="AYZ34" s="28"/>
      <c r="AZA34" s="28"/>
      <c r="AZB34" s="28"/>
      <c r="AZC34" s="28"/>
      <c r="AZD34" s="28"/>
      <c r="AZE34" s="28"/>
      <c r="AZF34" s="28"/>
      <c r="AZG34" s="28"/>
      <c r="AZH34" s="28"/>
      <c r="AZI34" s="28"/>
      <c r="AZJ34" s="28"/>
      <c r="AZK34" s="28"/>
      <c r="AZL34" s="28"/>
      <c r="AZM34" s="28"/>
      <c r="AZN34" s="28"/>
      <c r="AZO34" s="28"/>
      <c r="AZP34" s="28"/>
      <c r="AZQ34" s="28"/>
      <c r="AZR34" s="28"/>
      <c r="AZS34" s="28"/>
      <c r="AZT34" s="28"/>
      <c r="AZU34" s="28"/>
      <c r="AZV34" s="28"/>
      <c r="AZW34" s="28"/>
      <c r="AZX34" s="28"/>
      <c r="AZY34" s="28"/>
      <c r="AZZ34" s="28"/>
      <c r="BAA34" s="28"/>
      <c r="BAB34" s="28"/>
      <c r="BAC34" s="28"/>
      <c r="BAD34" s="28"/>
      <c r="BAE34" s="28"/>
      <c r="BAF34" s="28"/>
      <c r="BAG34" s="28"/>
      <c r="BAH34" s="28"/>
      <c r="BAI34" s="28"/>
      <c r="BAJ34" s="28"/>
      <c r="BAK34" s="28"/>
      <c r="BAL34" s="28"/>
      <c r="BAM34" s="28"/>
      <c r="BAN34" s="28"/>
      <c r="BAO34" s="28"/>
      <c r="BAP34" s="28"/>
      <c r="BAQ34" s="28"/>
      <c r="BAR34" s="28"/>
      <c r="BAS34" s="28"/>
      <c r="BAT34" s="28"/>
      <c r="BAU34" s="28"/>
      <c r="BAV34" s="28"/>
      <c r="BAW34" s="28"/>
      <c r="BAX34" s="28"/>
      <c r="BAY34" s="28"/>
      <c r="BAZ34" s="28"/>
      <c r="BBA34" s="28"/>
      <c r="BBB34" s="28"/>
      <c r="BBC34" s="28"/>
      <c r="BBD34" s="28"/>
      <c r="BBE34" s="28"/>
      <c r="BBF34" s="28"/>
      <c r="BBG34" s="28"/>
      <c r="BBH34" s="28"/>
      <c r="BBI34" s="28"/>
      <c r="BBJ34" s="28"/>
      <c r="BBK34" s="28"/>
      <c r="BBL34" s="28"/>
      <c r="BBM34" s="28"/>
      <c r="BBN34" s="28"/>
      <c r="BBO34" s="28"/>
      <c r="BBP34" s="28"/>
      <c r="BBQ34" s="28"/>
      <c r="BBR34" s="28"/>
      <c r="BBS34" s="28"/>
      <c r="BBT34" s="28"/>
      <c r="BBU34" s="28"/>
      <c r="BBV34" s="28"/>
      <c r="BBW34" s="28"/>
      <c r="BBX34" s="28"/>
      <c r="BBY34" s="28"/>
      <c r="BBZ34" s="28"/>
      <c r="BCA34" s="28"/>
      <c r="BCB34" s="28"/>
      <c r="BCC34" s="28"/>
      <c r="BCD34" s="28"/>
      <c r="BCE34" s="28"/>
      <c r="BCF34" s="28"/>
      <c r="BCG34" s="28"/>
      <c r="BCH34" s="28"/>
      <c r="BCI34" s="28"/>
      <c r="BCJ34" s="28"/>
      <c r="BCK34" s="28"/>
      <c r="BCL34" s="28"/>
      <c r="BCM34" s="28"/>
      <c r="BCN34" s="28"/>
      <c r="BCO34" s="28"/>
      <c r="BCP34" s="28"/>
      <c r="BCQ34" s="28"/>
      <c r="BCR34" s="28"/>
      <c r="BCS34" s="28"/>
      <c r="BCT34" s="28"/>
      <c r="BCU34" s="28"/>
      <c r="BCV34" s="28"/>
      <c r="BCW34" s="28"/>
      <c r="BCX34" s="28"/>
      <c r="BCY34" s="28"/>
      <c r="BCZ34" s="28"/>
      <c r="BDA34" s="28"/>
      <c r="BDB34" s="28"/>
      <c r="BDC34" s="28"/>
      <c r="BDD34" s="28"/>
      <c r="BDE34" s="28"/>
      <c r="BDF34" s="28"/>
      <c r="BDG34" s="28"/>
      <c r="BDH34" s="28"/>
      <c r="BDI34" s="28"/>
      <c r="BDJ34" s="28"/>
      <c r="BDK34" s="28"/>
      <c r="BDL34" s="28"/>
      <c r="BDM34" s="28"/>
      <c r="BDN34" s="28"/>
      <c r="BDO34" s="28"/>
      <c r="BDP34" s="28"/>
      <c r="BDQ34" s="28"/>
      <c r="BDR34" s="28"/>
      <c r="BDS34" s="28"/>
      <c r="BDT34" s="28"/>
      <c r="BDU34" s="28"/>
      <c r="BDV34" s="28"/>
      <c r="BDW34" s="28"/>
      <c r="BDX34" s="28"/>
      <c r="BDY34" s="28"/>
      <c r="BDZ34" s="28"/>
      <c r="BEA34" s="28"/>
      <c r="BEB34" s="28"/>
      <c r="BEC34" s="28"/>
      <c r="BED34" s="28"/>
      <c r="BEE34" s="28"/>
      <c r="BEF34" s="28"/>
      <c r="BEG34" s="28"/>
      <c r="BEH34" s="28"/>
      <c r="BEI34" s="28"/>
      <c r="BEJ34" s="28"/>
      <c r="BEK34" s="28"/>
      <c r="BEL34" s="28"/>
      <c r="BEM34" s="28"/>
      <c r="BEN34" s="28"/>
      <c r="BEO34" s="28"/>
      <c r="BEP34" s="28"/>
      <c r="BEQ34" s="28"/>
      <c r="BER34" s="28"/>
      <c r="BES34" s="28"/>
      <c r="BET34" s="28"/>
      <c r="BEU34" s="28"/>
      <c r="BEV34" s="28"/>
      <c r="BEW34" s="28"/>
      <c r="BEX34" s="28"/>
      <c r="BEY34" s="28"/>
      <c r="BEZ34" s="28"/>
      <c r="BFA34" s="28"/>
      <c r="BFB34" s="28"/>
      <c r="BFC34" s="28"/>
      <c r="BFD34" s="28"/>
      <c r="BFE34" s="28"/>
      <c r="BFF34" s="28"/>
      <c r="BFG34" s="28"/>
      <c r="BFH34" s="28"/>
      <c r="BFI34" s="28"/>
      <c r="BFJ34" s="28"/>
      <c r="BFK34" s="28"/>
      <c r="BFL34" s="28"/>
      <c r="BFM34" s="28"/>
      <c r="BFN34" s="28"/>
      <c r="BFO34" s="28"/>
      <c r="BFP34" s="28"/>
      <c r="BFQ34" s="28"/>
      <c r="BFR34" s="28"/>
      <c r="BFS34" s="28"/>
      <c r="BFT34" s="28"/>
      <c r="BFU34" s="28"/>
      <c r="BFV34" s="28"/>
      <c r="BFW34" s="28"/>
      <c r="BFX34" s="28"/>
      <c r="BFY34" s="28"/>
      <c r="BFZ34" s="28"/>
      <c r="BGA34" s="28"/>
      <c r="BGB34" s="28"/>
      <c r="BGC34" s="28"/>
      <c r="BGD34" s="28"/>
      <c r="BGE34" s="28"/>
      <c r="BGF34" s="28"/>
      <c r="BGG34" s="28"/>
      <c r="BGH34" s="28"/>
      <c r="BGI34" s="28"/>
      <c r="BGJ34" s="28"/>
      <c r="BGK34" s="28"/>
      <c r="BGL34" s="28"/>
      <c r="BGM34" s="28"/>
      <c r="BGN34" s="28"/>
      <c r="BGO34" s="28"/>
      <c r="BGP34" s="28"/>
      <c r="BGQ34" s="28"/>
      <c r="BGR34" s="28"/>
      <c r="BGS34" s="28"/>
      <c r="BGT34" s="28"/>
      <c r="BGU34" s="28"/>
      <c r="BGV34" s="28"/>
      <c r="BGW34" s="28"/>
      <c r="BGX34" s="28"/>
      <c r="BGY34" s="28"/>
      <c r="BGZ34" s="28"/>
      <c r="BHA34" s="28"/>
      <c r="BHB34" s="28"/>
      <c r="BHC34" s="28"/>
      <c r="BHD34" s="28"/>
      <c r="BHE34" s="28"/>
      <c r="BHF34" s="28"/>
      <c r="BHG34" s="28"/>
      <c r="BHH34" s="28"/>
      <c r="BHI34" s="28"/>
      <c r="BHJ34" s="28"/>
      <c r="BHK34" s="28"/>
      <c r="BHL34" s="28"/>
      <c r="BHM34" s="28"/>
      <c r="BHN34" s="28"/>
      <c r="BHO34" s="28"/>
      <c r="BHP34" s="28"/>
      <c r="BHQ34" s="28"/>
      <c r="BHR34" s="28"/>
      <c r="BHS34" s="28"/>
      <c r="BHT34" s="28"/>
      <c r="BHU34" s="28"/>
      <c r="BHV34" s="28"/>
      <c r="BHW34" s="28"/>
      <c r="BHX34" s="28"/>
      <c r="BHY34" s="28"/>
      <c r="BHZ34" s="28"/>
      <c r="BIA34" s="28"/>
      <c r="BIB34" s="28"/>
      <c r="BIC34" s="28"/>
      <c r="BID34" s="28"/>
      <c r="BIE34" s="28"/>
      <c r="BIF34" s="28"/>
      <c r="BIG34" s="28"/>
      <c r="BIH34" s="28"/>
      <c r="BII34" s="28"/>
      <c r="BIJ34" s="28"/>
      <c r="BIK34" s="28"/>
      <c r="BIL34" s="28"/>
      <c r="BIM34" s="28"/>
      <c r="BIN34" s="28"/>
      <c r="BIO34" s="28"/>
      <c r="BIP34" s="28"/>
      <c r="BIQ34" s="28"/>
      <c r="BIR34" s="28"/>
      <c r="BIS34" s="28"/>
      <c r="BIT34" s="28"/>
      <c r="BIU34" s="28"/>
      <c r="BIV34" s="28"/>
      <c r="BIW34" s="28"/>
      <c r="BIX34" s="28"/>
      <c r="BIY34" s="28"/>
      <c r="BIZ34" s="28"/>
      <c r="BJA34" s="28"/>
      <c r="BJB34" s="28"/>
      <c r="BJC34" s="28"/>
      <c r="BJD34" s="28"/>
      <c r="BJE34" s="28"/>
      <c r="BJF34" s="28"/>
      <c r="BJG34" s="28"/>
      <c r="BJH34" s="28"/>
      <c r="BJI34" s="28"/>
      <c r="BJJ34" s="28"/>
      <c r="BJK34" s="28"/>
      <c r="BJL34" s="28"/>
      <c r="BJM34" s="28"/>
      <c r="BJN34" s="28"/>
      <c r="BJO34" s="28"/>
      <c r="BJP34" s="28"/>
      <c r="BJQ34" s="28"/>
      <c r="BJR34" s="28"/>
      <c r="BJS34" s="28"/>
      <c r="BJT34" s="28"/>
      <c r="BJU34" s="28"/>
      <c r="BJV34" s="28"/>
      <c r="BJW34" s="28"/>
      <c r="BJX34" s="28"/>
      <c r="BJY34" s="28"/>
      <c r="BJZ34" s="28"/>
      <c r="BKA34" s="28"/>
      <c r="BKB34" s="28"/>
      <c r="BKC34" s="28"/>
      <c r="BKD34" s="28"/>
      <c r="BKE34" s="28"/>
      <c r="BKF34" s="28"/>
      <c r="BKG34" s="28"/>
      <c r="BKH34" s="28"/>
      <c r="BKI34" s="28"/>
      <c r="BKJ34" s="28"/>
      <c r="BKK34" s="28"/>
      <c r="BKL34" s="28"/>
      <c r="BKM34" s="28"/>
      <c r="BKN34" s="28"/>
      <c r="BKO34" s="28"/>
      <c r="BKP34" s="28"/>
      <c r="BKQ34" s="28"/>
      <c r="BKR34" s="28"/>
      <c r="BKS34" s="28"/>
      <c r="BKT34" s="28"/>
      <c r="BKU34" s="28"/>
      <c r="BKV34" s="28"/>
      <c r="BKW34" s="28"/>
      <c r="BKX34" s="28"/>
      <c r="BKY34" s="28"/>
      <c r="BKZ34" s="28"/>
      <c r="BLA34" s="28"/>
      <c r="BLB34" s="28"/>
      <c r="BLC34" s="28"/>
      <c r="BLD34" s="28"/>
      <c r="BLE34" s="28"/>
      <c r="BLF34" s="28"/>
      <c r="BLG34" s="28"/>
      <c r="BLH34" s="28"/>
      <c r="BLI34" s="28"/>
      <c r="BLJ34" s="28"/>
      <c r="BLK34" s="28"/>
      <c r="BLL34" s="28"/>
      <c r="BLM34" s="28"/>
      <c r="BLN34" s="28"/>
      <c r="BLO34" s="28"/>
      <c r="BLP34" s="28"/>
      <c r="BLQ34" s="28"/>
      <c r="BLR34" s="28"/>
      <c r="BLS34" s="28"/>
      <c r="BLT34" s="28"/>
      <c r="BLU34" s="28"/>
      <c r="BLV34" s="28"/>
      <c r="BLW34" s="28"/>
      <c r="BLX34" s="28"/>
      <c r="BLY34" s="28"/>
      <c r="BLZ34" s="28"/>
      <c r="BMA34" s="28"/>
      <c r="BMB34" s="28"/>
      <c r="BMC34" s="28"/>
      <c r="BMD34" s="28"/>
      <c r="BME34" s="28"/>
      <c r="BMF34" s="28"/>
      <c r="BMG34" s="28"/>
      <c r="BMH34" s="28"/>
      <c r="BMI34" s="28"/>
      <c r="BMJ34" s="28"/>
      <c r="BMK34" s="28"/>
      <c r="BML34" s="28"/>
      <c r="BMM34" s="28"/>
      <c r="BMN34" s="28"/>
      <c r="BMO34" s="28"/>
      <c r="BMP34" s="28"/>
      <c r="BMQ34" s="28"/>
      <c r="BMR34" s="28"/>
      <c r="BMS34" s="28"/>
      <c r="BMT34" s="28"/>
      <c r="BMU34" s="28"/>
      <c r="BMV34" s="28"/>
      <c r="BMW34" s="28"/>
      <c r="BMX34" s="28"/>
      <c r="BMY34" s="28"/>
      <c r="BMZ34" s="28"/>
      <c r="BNA34" s="28"/>
      <c r="BNB34" s="28"/>
      <c r="BNC34" s="28"/>
      <c r="BND34" s="28"/>
      <c r="BNE34" s="28"/>
      <c r="BNF34" s="28"/>
      <c r="BNG34" s="28"/>
      <c r="BNH34" s="28"/>
      <c r="BNI34" s="28"/>
      <c r="BNJ34" s="28"/>
      <c r="BNK34" s="28"/>
      <c r="BNL34" s="28"/>
      <c r="BNM34" s="28"/>
      <c r="BNN34" s="28"/>
      <c r="BNO34" s="28"/>
      <c r="BNP34" s="28"/>
      <c r="BNQ34" s="28"/>
      <c r="BNR34" s="28"/>
      <c r="BNS34" s="28"/>
      <c r="BNT34" s="28"/>
      <c r="BNU34" s="28"/>
      <c r="BNV34" s="28"/>
      <c r="BNW34" s="28"/>
      <c r="BNX34" s="28"/>
      <c r="BNY34" s="28"/>
      <c r="BNZ34" s="28"/>
      <c r="BOA34" s="28"/>
      <c r="BOB34" s="28"/>
      <c r="BOC34" s="28"/>
      <c r="BOD34" s="28"/>
      <c r="BOE34" s="28"/>
      <c r="BOF34" s="28"/>
      <c r="BOG34" s="28"/>
      <c r="BOH34" s="28"/>
      <c r="BOI34" s="28"/>
      <c r="BOJ34" s="28"/>
      <c r="BOK34" s="28"/>
      <c r="BOL34" s="28"/>
      <c r="BOM34" s="28"/>
      <c r="BON34" s="28"/>
      <c r="BOO34" s="28"/>
      <c r="BOP34" s="28"/>
      <c r="BOQ34" s="28"/>
      <c r="BOR34" s="28"/>
      <c r="BOS34" s="28"/>
      <c r="BOT34" s="28"/>
      <c r="BOU34" s="28"/>
      <c r="BOV34" s="28"/>
      <c r="BOW34" s="28"/>
      <c r="BOX34" s="28"/>
      <c r="BOY34" s="28"/>
      <c r="BOZ34" s="28"/>
      <c r="BPA34" s="28"/>
      <c r="BPB34" s="28"/>
      <c r="BPC34" s="28"/>
      <c r="BPD34" s="28"/>
      <c r="BPE34" s="28"/>
      <c r="BPF34" s="28"/>
      <c r="BPG34" s="28"/>
      <c r="BPH34" s="28"/>
      <c r="BPI34" s="28"/>
      <c r="BPJ34" s="28"/>
      <c r="BPK34" s="28"/>
      <c r="BPL34" s="28"/>
      <c r="BPM34" s="28"/>
      <c r="BPN34" s="28"/>
      <c r="BPO34" s="28"/>
      <c r="BPP34" s="28"/>
      <c r="BPQ34" s="28"/>
      <c r="BPR34" s="28"/>
      <c r="BPS34" s="28"/>
      <c r="BPT34" s="28"/>
      <c r="BPU34" s="28"/>
      <c r="BPV34" s="28"/>
      <c r="BPW34" s="28"/>
      <c r="BPX34" s="28"/>
      <c r="BPY34" s="28"/>
      <c r="BPZ34" s="28"/>
      <c r="BQA34" s="28"/>
      <c r="BQB34" s="28"/>
      <c r="BQC34" s="28"/>
      <c r="BQD34" s="28"/>
      <c r="BQE34" s="28"/>
      <c r="BQF34" s="28"/>
      <c r="BQG34" s="28"/>
      <c r="BQH34" s="28"/>
      <c r="BQI34" s="28"/>
      <c r="BQJ34" s="28"/>
      <c r="BQK34" s="28"/>
      <c r="BQL34" s="28"/>
      <c r="BQM34" s="28"/>
      <c r="BQN34" s="28"/>
      <c r="BQO34" s="28"/>
      <c r="BQP34" s="28"/>
      <c r="BQQ34" s="28"/>
      <c r="BQR34" s="28"/>
      <c r="BQS34" s="28"/>
      <c r="BQT34" s="28"/>
      <c r="BQU34" s="28"/>
      <c r="BQV34" s="28"/>
      <c r="BQW34" s="28"/>
      <c r="BQX34" s="28"/>
      <c r="BQY34" s="28"/>
      <c r="BQZ34" s="28"/>
      <c r="BRA34" s="28"/>
      <c r="BRB34" s="28"/>
      <c r="BRC34" s="28"/>
      <c r="BRD34" s="28"/>
      <c r="BRE34" s="28"/>
      <c r="BRF34" s="28"/>
      <c r="BRG34" s="28"/>
      <c r="BRH34" s="28"/>
      <c r="BRI34" s="28"/>
      <c r="BRJ34" s="28"/>
      <c r="BRK34" s="28"/>
      <c r="BRL34" s="28"/>
      <c r="BRM34" s="28"/>
      <c r="BRN34" s="28"/>
      <c r="BRO34" s="28"/>
      <c r="BRP34" s="28"/>
      <c r="BRQ34" s="28"/>
      <c r="BRR34" s="28"/>
      <c r="BRS34" s="28"/>
      <c r="BRT34" s="28"/>
      <c r="BRU34" s="28"/>
      <c r="BRV34" s="28"/>
      <c r="BRW34" s="28"/>
      <c r="BRX34" s="28"/>
      <c r="BRY34" s="28"/>
      <c r="BRZ34" s="28"/>
      <c r="BSA34" s="28"/>
      <c r="BSB34" s="28"/>
      <c r="BSC34" s="28"/>
      <c r="BSD34" s="28"/>
      <c r="BSE34" s="28"/>
      <c r="BSF34" s="28"/>
      <c r="BSG34" s="28"/>
      <c r="BSH34" s="28"/>
      <c r="BSI34" s="28"/>
      <c r="BSJ34" s="28"/>
      <c r="BSK34" s="28"/>
      <c r="BSL34" s="28"/>
      <c r="BSM34" s="28"/>
      <c r="BSN34" s="28"/>
      <c r="BSO34" s="28"/>
      <c r="BSP34" s="28"/>
      <c r="BSQ34" s="28"/>
      <c r="BSR34" s="28"/>
      <c r="BSS34" s="28"/>
      <c r="BST34" s="28"/>
      <c r="BSU34" s="28"/>
      <c r="BSV34" s="28"/>
      <c r="BSW34" s="28"/>
      <c r="BSX34" s="28"/>
      <c r="BSY34" s="28"/>
      <c r="BSZ34" s="28"/>
      <c r="BTA34" s="28"/>
      <c r="BTB34" s="28"/>
      <c r="BTC34" s="28"/>
      <c r="BTD34" s="28"/>
      <c r="BTE34" s="28"/>
      <c r="BTF34" s="28"/>
      <c r="BTG34" s="28"/>
      <c r="BTH34" s="28"/>
      <c r="BTI34" s="28"/>
      <c r="BTJ34" s="28"/>
      <c r="BTK34" s="28"/>
      <c r="BTL34" s="28"/>
      <c r="BTM34" s="28"/>
      <c r="BTN34" s="28"/>
      <c r="BTO34" s="28"/>
      <c r="BTP34" s="28"/>
      <c r="BTQ34" s="28"/>
      <c r="BTR34" s="28"/>
      <c r="BTS34" s="28"/>
      <c r="BTT34" s="28"/>
      <c r="BTU34" s="28"/>
      <c r="BTV34" s="28"/>
      <c r="BTW34" s="28"/>
      <c r="BTX34" s="28"/>
      <c r="BTY34" s="28"/>
      <c r="BTZ34" s="28"/>
      <c r="BUA34" s="28"/>
      <c r="BUB34" s="28"/>
      <c r="BUC34" s="28"/>
      <c r="BUD34" s="28"/>
      <c r="BUE34" s="28"/>
      <c r="BUF34" s="28"/>
      <c r="BUG34" s="28"/>
      <c r="BUH34" s="28"/>
      <c r="BUI34" s="28"/>
      <c r="BUJ34" s="28"/>
      <c r="BUK34" s="28"/>
      <c r="BUL34" s="28"/>
      <c r="BUM34" s="28"/>
      <c r="BUN34" s="28"/>
      <c r="BUO34" s="28"/>
      <c r="BUP34" s="28"/>
      <c r="BUQ34" s="28"/>
      <c r="BUR34" s="28"/>
      <c r="BUS34" s="28"/>
      <c r="BUT34" s="28"/>
      <c r="BUU34" s="28"/>
      <c r="BUV34" s="28"/>
      <c r="BUW34" s="28"/>
      <c r="BUX34" s="28"/>
      <c r="BUY34" s="28"/>
      <c r="BUZ34" s="28"/>
      <c r="BVA34" s="28"/>
      <c r="BVB34" s="28"/>
      <c r="BVC34" s="28"/>
      <c r="BVD34" s="28"/>
      <c r="BVE34" s="28"/>
      <c r="BVF34" s="28"/>
      <c r="BVG34" s="28"/>
      <c r="BVH34" s="28"/>
      <c r="BVI34" s="28"/>
      <c r="BVJ34" s="28"/>
      <c r="BVK34" s="28"/>
      <c r="BVL34" s="28"/>
      <c r="BVM34" s="28"/>
      <c r="BVN34" s="28"/>
      <c r="BVO34" s="28"/>
      <c r="BVP34" s="28"/>
      <c r="BVQ34" s="28"/>
      <c r="BVR34" s="28"/>
      <c r="BVS34" s="28"/>
      <c r="BVT34" s="28"/>
      <c r="BVU34" s="28"/>
      <c r="BVV34" s="28"/>
      <c r="BVW34" s="28"/>
      <c r="BVX34" s="28"/>
      <c r="BVY34" s="28"/>
      <c r="BVZ34" s="28"/>
      <c r="BWA34" s="28"/>
      <c r="BWB34" s="28"/>
      <c r="BWC34" s="28"/>
      <c r="BWD34" s="28"/>
      <c r="BWE34" s="28"/>
      <c r="BWF34" s="28"/>
      <c r="BWG34" s="28"/>
      <c r="BWH34" s="28"/>
      <c r="BWI34" s="28"/>
      <c r="BWJ34" s="28"/>
      <c r="BWK34" s="28"/>
      <c r="BWL34" s="28"/>
      <c r="BWM34" s="28"/>
      <c r="BWN34" s="28"/>
      <c r="BWO34" s="28"/>
      <c r="BWP34" s="28"/>
      <c r="BWQ34" s="28"/>
      <c r="BWR34" s="28"/>
      <c r="BWS34" s="28"/>
      <c r="BWT34" s="28"/>
      <c r="BWU34" s="28"/>
      <c r="BWV34" s="28"/>
      <c r="BWW34" s="28"/>
      <c r="BWX34" s="28"/>
      <c r="BWY34" s="28"/>
      <c r="BWZ34" s="28"/>
      <c r="BXA34" s="28"/>
      <c r="BXB34" s="28"/>
      <c r="BXC34" s="28"/>
      <c r="BXD34" s="28"/>
      <c r="BXE34" s="28"/>
      <c r="BXF34" s="28"/>
      <c r="BXG34" s="28"/>
      <c r="BXH34" s="28"/>
      <c r="BXI34" s="28"/>
      <c r="BXJ34" s="28"/>
      <c r="BXK34" s="28"/>
      <c r="BXL34" s="28"/>
      <c r="BXM34" s="28"/>
      <c r="BXN34" s="28"/>
      <c r="BXO34" s="28"/>
      <c r="BXP34" s="28"/>
      <c r="BXQ34" s="28"/>
      <c r="BXR34" s="28"/>
      <c r="BXS34" s="28"/>
      <c r="BXT34" s="28"/>
      <c r="BXU34" s="28"/>
      <c r="BXV34" s="28"/>
      <c r="BXW34" s="28"/>
      <c r="BXX34" s="28"/>
      <c r="BXY34" s="28"/>
      <c r="BXZ34" s="28"/>
      <c r="BYA34" s="28"/>
      <c r="BYB34" s="28"/>
      <c r="BYC34" s="28"/>
      <c r="BYD34" s="28"/>
      <c r="BYE34" s="28"/>
      <c r="BYF34" s="28"/>
      <c r="BYG34" s="28"/>
      <c r="BYH34" s="28"/>
      <c r="BYI34" s="28"/>
      <c r="BYJ34" s="28"/>
      <c r="BYK34" s="28"/>
      <c r="BYL34" s="28"/>
      <c r="BYM34" s="28"/>
      <c r="BYN34" s="28"/>
      <c r="BYO34" s="28"/>
      <c r="BYP34" s="28"/>
      <c r="BYQ34" s="28"/>
      <c r="BYR34" s="28"/>
      <c r="BYS34" s="28"/>
      <c r="BYT34" s="28"/>
      <c r="BYU34" s="28"/>
      <c r="BYV34" s="28"/>
      <c r="BYW34" s="28"/>
      <c r="BYX34" s="28"/>
      <c r="BYY34" s="28"/>
      <c r="BYZ34" s="28"/>
      <c r="BZA34" s="28"/>
      <c r="BZB34" s="28"/>
      <c r="BZC34" s="28"/>
      <c r="BZD34" s="28"/>
      <c r="BZE34" s="28"/>
      <c r="BZF34" s="28"/>
      <c r="BZG34" s="28"/>
      <c r="BZH34" s="28"/>
      <c r="BZI34" s="28"/>
      <c r="BZJ34" s="28"/>
      <c r="BZK34" s="28"/>
      <c r="BZL34" s="28"/>
      <c r="BZM34" s="28"/>
      <c r="BZN34" s="28"/>
      <c r="BZO34" s="28"/>
      <c r="BZP34" s="28"/>
      <c r="BZQ34" s="28"/>
      <c r="BZR34" s="28"/>
      <c r="BZS34" s="28"/>
      <c r="BZT34" s="28"/>
      <c r="BZU34" s="28"/>
      <c r="BZV34" s="28"/>
      <c r="BZW34" s="28"/>
      <c r="BZX34" s="28"/>
      <c r="BZY34" s="28"/>
      <c r="BZZ34" s="28"/>
      <c r="CAA34" s="28"/>
      <c r="CAB34" s="28"/>
      <c r="CAC34" s="28"/>
      <c r="CAD34" s="28"/>
      <c r="CAE34" s="28"/>
      <c r="CAF34" s="28"/>
      <c r="CAG34" s="28"/>
      <c r="CAH34" s="28"/>
      <c r="CAI34" s="28"/>
      <c r="CAJ34" s="28"/>
      <c r="CAK34" s="28"/>
      <c r="CAL34" s="28"/>
      <c r="CAM34" s="28"/>
      <c r="CAN34" s="28"/>
      <c r="CAO34" s="28"/>
      <c r="CAP34" s="28"/>
      <c r="CAQ34" s="28"/>
      <c r="CAR34" s="28"/>
      <c r="CAS34" s="28"/>
      <c r="CAT34" s="28"/>
      <c r="CAU34" s="28"/>
      <c r="CAV34" s="28"/>
      <c r="CAW34" s="28"/>
      <c r="CAX34" s="28"/>
      <c r="CAY34" s="28"/>
      <c r="CAZ34" s="28"/>
      <c r="CBA34" s="28"/>
      <c r="CBB34" s="28"/>
      <c r="CBC34" s="28"/>
      <c r="CBD34" s="28"/>
      <c r="CBE34" s="28"/>
      <c r="CBF34" s="28"/>
      <c r="CBG34" s="28"/>
      <c r="CBH34" s="28"/>
      <c r="CBI34" s="28"/>
      <c r="CBJ34" s="28"/>
      <c r="CBK34" s="28"/>
      <c r="CBL34" s="28"/>
      <c r="CBM34" s="28"/>
      <c r="CBN34" s="28"/>
      <c r="CBO34" s="28"/>
      <c r="CBP34" s="28"/>
      <c r="CBQ34" s="28"/>
      <c r="CBR34" s="28"/>
      <c r="CBS34" s="28"/>
      <c r="CBT34" s="28"/>
      <c r="CBU34" s="28"/>
      <c r="CBV34" s="28"/>
      <c r="CBW34" s="28"/>
      <c r="CBX34" s="28"/>
      <c r="CBY34" s="28"/>
      <c r="CBZ34" s="28"/>
      <c r="CCA34" s="28"/>
      <c r="CCB34" s="28"/>
      <c r="CCC34" s="28"/>
      <c r="CCD34" s="28"/>
      <c r="CCE34" s="28"/>
      <c r="CCF34" s="28"/>
      <c r="CCG34" s="28"/>
      <c r="CCH34" s="28"/>
      <c r="CCI34" s="28"/>
      <c r="CCJ34" s="28"/>
      <c r="CCK34" s="28"/>
      <c r="CCL34" s="28"/>
      <c r="CCM34" s="28"/>
      <c r="CCN34" s="28"/>
      <c r="CCO34" s="28"/>
      <c r="CCP34" s="28"/>
      <c r="CCQ34" s="28"/>
      <c r="CCR34" s="28"/>
      <c r="CCS34" s="28"/>
      <c r="CCT34" s="28"/>
      <c r="CCU34" s="28"/>
      <c r="CCV34" s="28"/>
      <c r="CCW34" s="28"/>
      <c r="CCX34" s="28"/>
      <c r="CCY34" s="28"/>
      <c r="CCZ34" s="28"/>
      <c r="CDA34" s="28"/>
      <c r="CDB34" s="28"/>
      <c r="CDC34" s="28"/>
      <c r="CDD34" s="28"/>
      <c r="CDE34" s="28"/>
      <c r="CDF34" s="28"/>
      <c r="CDG34" s="28"/>
      <c r="CDH34" s="28"/>
      <c r="CDI34" s="28"/>
      <c r="CDJ34" s="28"/>
      <c r="CDK34" s="28"/>
      <c r="CDL34" s="28"/>
      <c r="CDM34" s="28"/>
      <c r="CDN34" s="28"/>
      <c r="CDO34" s="28"/>
      <c r="CDP34" s="28"/>
      <c r="CDQ34" s="28"/>
      <c r="CDR34" s="28"/>
      <c r="CDS34" s="28"/>
      <c r="CDT34" s="28"/>
      <c r="CDU34" s="28"/>
      <c r="CDV34" s="28"/>
      <c r="CDW34" s="28"/>
      <c r="CDX34" s="28"/>
      <c r="CDY34" s="28"/>
      <c r="CDZ34" s="28"/>
      <c r="CEA34" s="28"/>
      <c r="CEB34" s="28"/>
      <c r="CEC34" s="28"/>
      <c r="CED34" s="28"/>
      <c r="CEE34" s="28"/>
      <c r="CEF34" s="28"/>
      <c r="CEG34" s="28"/>
      <c r="CEH34" s="28"/>
      <c r="CEI34" s="28"/>
      <c r="CEJ34" s="28"/>
      <c r="CEK34" s="28"/>
      <c r="CEL34" s="28"/>
      <c r="CEM34" s="28"/>
      <c r="CEN34" s="28"/>
      <c r="CEO34" s="28"/>
      <c r="CEP34" s="28"/>
      <c r="CEQ34" s="28"/>
      <c r="CER34" s="28"/>
      <c r="CES34" s="28"/>
      <c r="CET34" s="28"/>
      <c r="CEU34" s="28"/>
      <c r="CEV34" s="28"/>
      <c r="CEW34" s="28"/>
      <c r="CEX34" s="28"/>
      <c r="CEY34" s="28"/>
      <c r="CEZ34" s="28"/>
      <c r="CFA34" s="28"/>
      <c r="CFB34" s="28"/>
      <c r="CFC34" s="28"/>
      <c r="CFD34" s="28"/>
      <c r="CFE34" s="28"/>
      <c r="CFF34" s="28"/>
      <c r="CFG34" s="28"/>
      <c r="CFH34" s="28"/>
      <c r="CFI34" s="28"/>
      <c r="CFJ34" s="28"/>
      <c r="CFK34" s="28"/>
      <c r="CFL34" s="28"/>
      <c r="CFM34" s="28"/>
      <c r="CFN34" s="28"/>
      <c r="CFO34" s="28"/>
      <c r="CFP34" s="28"/>
      <c r="CFQ34" s="28"/>
      <c r="CFR34" s="28"/>
      <c r="CFS34" s="28"/>
      <c r="CFT34" s="28"/>
      <c r="CFU34" s="28"/>
      <c r="CFV34" s="28"/>
      <c r="CFW34" s="28"/>
      <c r="CFX34" s="28"/>
      <c r="CFY34" s="28"/>
      <c r="CFZ34" s="28"/>
      <c r="CGA34" s="28"/>
      <c r="CGB34" s="28"/>
      <c r="CGC34" s="28"/>
      <c r="CGD34" s="28"/>
      <c r="CGE34" s="28"/>
      <c r="CGF34" s="28"/>
      <c r="CGG34" s="28"/>
      <c r="CGH34" s="28"/>
      <c r="CGI34" s="28"/>
      <c r="CGJ34" s="28"/>
      <c r="CGK34" s="28"/>
      <c r="CGL34" s="28"/>
      <c r="CGM34" s="28"/>
      <c r="CGN34" s="28"/>
      <c r="CGO34" s="28"/>
      <c r="CGP34" s="28"/>
      <c r="CGQ34" s="28"/>
      <c r="CGR34" s="28"/>
      <c r="CGS34" s="28"/>
      <c r="CGT34" s="28"/>
      <c r="CGU34" s="28"/>
      <c r="CGV34" s="28"/>
      <c r="CGW34" s="28"/>
      <c r="CGX34" s="28"/>
      <c r="CGY34" s="28"/>
      <c r="CGZ34" s="28"/>
      <c r="CHA34" s="28"/>
      <c r="CHB34" s="28"/>
      <c r="CHC34" s="28"/>
      <c r="CHD34" s="28"/>
      <c r="CHE34" s="28"/>
      <c r="CHF34" s="28"/>
      <c r="CHG34" s="28"/>
      <c r="CHH34" s="28"/>
      <c r="CHI34" s="28"/>
      <c r="CHJ34" s="28"/>
      <c r="CHK34" s="28"/>
      <c r="CHL34" s="28"/>
      <c r="CHM34" s="28"/>
      <c r="CHN34" s="28"/>
      <c r="CHO34" s="28"/>
      <c r="CHP34" s="28"/>
      <c r="CHQ34" s="28"/>
      <c r="CHR34" s="28"/>
      <c r="CHS34" s="28"/>
      <c r="CHT34" s="28"/>
      <c r="CHU34" s="28"/>
      <c r="CHV34" s="28"/>
      <c r="CHW34" s="28"/>
      <c r="CHX34" s="28"/>
      <c r="CHY34" s="28"/>
      <c r="CHZ34" s="28"/>
      <c r="CIA34" s="28"/>
      <c r="CIB34" s="28"/>
      <c r="CIC34" s="28"/>
      <c r="CID34" s="28"/>
      <c r="CIE34" s="28"/>
      <c r="CIF34" s="28"/>
      <c r="CIG34" s="28"/>
      <c r="CIH34" s="28"/>
      <c r="CII34" s="28"/>
      <c r="CIJ34" s="28"/>
      <c r="CIK34" s="28"/>
      <c r="CIL34" s="28"/>
      <c r="CIM34" s="28"/>
      <c r="CIN34" s="28"/>
      <c r="CIO34" s="28"/>
      <c r="CIP34" s="28"/>
      <c r="CIQ34" s="28"/>
      <c r="CIR34" s="28"/>
      <c r="CIS34" s="28"/>
      <c r="CIT34" s="28"/>
      <c r="CIU34" s="28"/>
      <c r="CIV34" s="28"/>
      <c r="CIW34" s="28"/>
      <c r="CIX34" s="28"/>
      <c r="CIY34" s="28"/>
      <c r="CIZ34" s="28"/>
      <c r="CJA34" s="28"/>
      <c r="CJB34" s="28"/>
      <c r="CJC34" s="28"/>
      <c r="CJD34" s="28"/>
      <c r="CJE34" s="28"/>
      <c r="CJF34" s="28"/>
      <c r="CJG34" s="28"/>
      <c r="CJH34" s="28"/>
      <c r="CJI34" s="28"/>
      <c r="CJJ34" s="28"/>
      <c r="CJK34" s="28"/>
      <c r="CJL34" s="28"/>
      <c r="CJM34" s="28"/>
      <c r="CJN34" s="28"/>
      <c r="CJO34" s="28"/>
      <c r="CJP34" s="28"/>
      <c r="CJQ34" s="28"/>
      <c r="CJR34" s="28"/>
      <c r="CJS34" s="28"/>
      <c r="CJT34" s="28"/>
      <c r="CJU34" s="28"/>
      <c r="CJV34" s="28"/>
      <c r="CJW34" s="28"/>
      <c r="CJX34" s="28"/>
      <c r="CJY34" s="28"/>
      <c r="CJZ34" s="28"/>
      <c r="CKA34" s="28"/>
      <c r="CKB34" s="28"/>
      <c r="CKC34" s="28"/>
      <c r="CKD34" s="28"/>
      <c r="CKE34" s="28"/>
      <c r="CKF34" s="28"/>
      <c r="CKG34" s="28"/>
      <c r="CKH34" s="28"/>
      <c r="CKI34" s="28"/>
      <c r="CKJ34" s="28"/>
      <c r="CKK34" s="28"/>
      <c r="CKL34" s="28"/>
      <c r="CKM34" s="28"/>
      <c r="CKN34" s="28"/>
      <c r="CKO34" s="28"/>
      <c r="CKP34" s="28"/>
      <c r="CKQ34" s="28"/>
      <c r="CKR34" s="28"/>
      <c r="CKS34" s="28"/>
      <c r="CKT34" s="28"/>
      <c r="CKU34" s="28"/>
      <c r="CKV34" s="28"/>
      <c r="CKW34" s="28"/>
      <c r="CKX34" s="28"/>
      <c r="CKY34" s="28"/>
      <c r="CKZ34" s="28"/>
      <c r="CLA34" s="28"/>
      <c r="CLB34" s="28"/>
      <c r="CLC34" s="28"/>
      <c r="CLD34" s="28"/>
      <c r="CLE34" s="28"/>
      <c r="CLF34" s="28"/>
      <c r="CLG34" s="28"/>
      <c r="CLH34" s="28"/>
      <c r="CLI34" s="28"/>
      <c r="CLJ34" s="28"/>
      <c r="CLK34" s="28"/>
      <c r="CLL34" s="28"/>
      <c r="CLM34" s="28"/>
      <c r="CLN34" s="28"/>
      <c r="CLO34" s="28"/>
      <c r="CLP34" s="28"/>
      <c r="CLQ34" s="28"/>
      <c r="CLR34" s="28"/>
      <c r="CLS34" s="28"/>
      <c r="CLT34" s="28"/>
      <c r="CLU34" s="28"/>
      <c r="CLV34" s="28"/>
      <c r="CLW34" s="28"/>
      <c r="CLX34" s="28"/>
      <c r="CLY34" s="28"/>
      <c r="CLZ34" s="28"/>
      <c r="CMA34" s="28"/>
      <c r="CMB34" s="28"/>
      <c r="CMC34" s="28"/>
      <c r="CMD34" s="28"/>
      <c r="CME34" s="28"/>
      <c r="CMF34" s="28"/>
      <c r="CMG34" s="28"/>
      <c r="CMH34" s="28"/>
      <c r="CMI34" s="28"/>
      <c r="CMJ34" s="28"/>
      <c r="CMK34" s="28"/>
      <c r="CML34" s="28"/>
      <c r="CMM34" s="28"/>
      <c r="CMN34" s="28"/>
      <c r="CMO34" s="28"/>
      <c r="CMP34" s="28"/>
      <c r="CMQ34" s="28"/>
      <c r="CMR34" s="28"/>
      <c r="CMS34" s="28"/>
      <c r="CMT34" s="28"/>
      <c r="CMU34" s="28"/>
      <c r="CMV34" s="28"/>
      <c r="CMW34" s="28"/>
      <c r="CMX34" s="28"/>
      <c r="CMY34" s="28"/>
      <c r="CMZ34" s="28"/>
      <c r="CNA34" s="28"/>
      <c r="CNB34" s="28"/>
      <c r="CNC34" s="28"/>
      <c r="CND34" s="28"/>
      <c r="CNE34" s="28"/>
      <c r="CNF34" s="28"/>
      <c r="CNG34" s="28"/>
      <c r="CNH34" s="28"/>
      <c r="CNI34" s="28"/>
      <c r="CNJ34" s="28"/>
      <c r="CNK34" s="28"/>
      <c r="CNL34" s="28"/>
      <c r="CNM34" s="28"/>
      <c r="CNN34" s="28"/>
      <c r="CNO34" s="28"/>
      <c r="CNP34" s="28"/>
      <c r="CNQ34" s="28"/>
      <c r="CNR34" s="28"/>
      <c r="CNS34" s="28"/>
      <c r="CNT34" s="28"/>
      <c r="CNU34" s="28"/>
      <c r="CNV34" s="28"/>
      <c r="CNW34" s="28"/>
      <c r="CNX34" s="28"/>
      <c r="CNY34" s="28"/>
      <c r="CNZ34" s="28"/>
      <c r="COA34" s="28"/>
      <c r="COB34" s="28"/>
      <c r="COC34" s="28"/>
      <c r="COD34" s="28"/>
      <c r="COE34" s="28"/>
      <c r="COF34" s="28"/>
      <c r="COG34" s="28"/>
      <c r="COH34" s="28"/>
      <c r="COI34" s="28"/>
      <c r="COJ34" s="28"/>
      <c r="COK34" s="28"/>
      <c r="COL34" s="28"/>
      <c r="COM34" s="28"/>
      <c r="CON34" s="28"/>
      <c r="COO34" s="28"/>
      <c r="COP34" s="28"/>
      <c r="COQ34" s="28"/>
      <c r="COR34" s="28"/>
      <c r="COS34" s="28"/>
      <c r="COT34" s="28"/>
      <c r="COU34" s="28"/>
      <c r="COV34" s="28"/>
      <c r="COW34" s="28"/>
      <c r="COX34" s="28"/>
      <c r="COY34" s="28"/>
      <c r="COZ34" s="28"/>
      <c r="CPA34" s="28"/>
      <c r="CPB34" s="28"/>
      <c r="CPC34" s="28"/>
      <c r="CPD34" s="28"/>
      <c r="CPE34" s="28"/>
      <c r="CPF34" s="28"/>
      <c r="CPG34" s="28"/>
      <c r="CPH34" s="28"/>
      <c r="CPI34" s="28"/>
      <c r="CPJ34" s="28"/>
      <c r="CPK34" s="28"/>
      <c r="CPL34" s="28"/>
      <c r="CPM34" s="28"/>
      <c r="CPN34" s="28"/>
      <c r="CPO34" s="28"/>
      <c r="CPP34" s="28"/>
      <c r="CPQ34" s="28"/>
      <c r="CPR34" s="28"/>
      <c r="CPS34" s="28"/>
      <c r="CPT34" s="28"/>
      <c r="CPU34" s="28"/>
      <c r="CPV34" s="28"/>
      <c r="CPW34" s="28"/>
      <c r="CPX34" s="28"/>
      <c r="CPY34" s="28"/>
      <c r="CPZ34" s="28"/>
      <c r="CQA34" s="28"/>
      <c r="CQB34" s="28"/>
      <c r="CQC34" s="28"/>
      <c r="CQD34" s="28"/>
      <c r="CQE34" s="28"/>
      <c r="CQF34" s="28"/>
      <c r="CQG34" s="28"/>
      <c r="CQH34" s="28"/>
      <c r="CQI34" s="28"/>
      <c r="CQJ34" s="28"/>
      <c r="CQK34" s="28"/>
      <c r="CQL34" s="28"/>
      <c r="CQM34" s="28"/>
      <c r="CQN34" s="28"/>
      <c r="CQO34" s="28"/>
      <c r="CQP34" s="28"/>
      <c r="CQQ34" s="28"/>
      <c r="CQR34" s="28"/>
      <c r="CQS34" s="28"/>
      <c r="CQT34" s="28"/>
      <c r="CQU34" s="28"/>
      <c r="CQV34" s="28"/>
      <c r="CQW34" s="28"/>
      <c r="CQX34" s="28"/>
      <c r="CQY34" s="28"/>
      <c r="CQZ34" s="28"/>
      <c r="CRA34" s="28"/>
      <c r="CRB34" s="28"/>
      <c r="CRC34" s="28"/>
      <c r="CRD34" s="28"/>
      <c r="CRE34" s="28"/>
      <c r="CRF34" s="28"/>
      <c r="CRG34" s="28"/>
      <c r="CRH34" s="28"/>
      <c r="CRI34" s="28"/>
      <c r="CRJ34" s="28"/>
      <c r="CRK34" s="28"/>
      <c r="CRL34" s="28"/>
      <c r="CRM34" s="28"/>
      <c r="CRN34" s="28"/>
      <c r="CRO34" s="28"/>
      <c r="CRP34" s="28"/>
      <c r="CRQ34" s="28"/>
      <c r="CRR34" s="28"/>
      <c r="CRS34" s="28"/>
      <c r="CRT34" s="28"/>
      <c r="CRU34" s="28"/>
      <c r="CRV34" s="28"/>
      <c r="CRW34" s="28"/>
      <c r="CRX34" s="28"/>
      <c r="CRY34" s="28"/>
      <c r="CRZ34" s="28"/>
      <c r="CSA34" s="28"/>
      <c r="CSB34" s="28"/>
      <c r="CSC34" s="28"/>
      <c r="CSD34" s="28"/>
      <c r="CSE34" s="28"/>
      <c r="CSF34" s="28"/>
      <c r="CSG34" s="28"/>
      <c r="CSH34" s="28"/>
      <c r="CSI34" s="28"/>
      <c r="CSJ34" s="28"/>
      <c r="CSK34" s="28"/>
      <c r="CSL34" s="28"/>
      <c r="CSM34" s="28"/>
      <c r="CSN34" s="28"/>
      <c r="CSO34" s="28"/>
      <c r="CSP34" s="28"/>
      <c r="CSQ34" s="28"/>
      <c r="CSR34" s="28"/>
      <c r="CSS34" s="28"/>
      <c r="CST34" s="28"/>
      <c r="CSU34" s="28"/>
      <c r="CSV34" s="28"/>
      <c r="CSW34" s="28"/>
      <c r="CSX34" s="28"/>
      <c r="CSY34" s="28"/>
      <c r="CSZ34" s="28"/>
      <c r="CTA34" s="28"/>
      <c r="CTB34" s="28"/>
      <c r="CTC34" s="28"/>
      <c r="CTD34" s="28"/>
      <c r="CTE34" s="28"/>
      <c r="CTF34" s="28"/>
      <c r="CTG34" s="28"/>
      <c r="CTH34" s="28"/>
      <c r="CTI34" s="28"/>
      <c r="CTJ34" s="28"/>
      <c r="CTK34" s="28"/>
      <c r="CTL34" s="28"/>
      <c r="CTM34" s="28"/>
      <c r="CTN34" s="28"/>
      <c r="CTO34" s="28"/>
      <c r="CTP34" s="28"/>
      <c r="CTQ34" s="28"/>
      <c r="CTR34" s="28"/>
      <c r="CTS34" s="28"/>
      <c r="CTT34" s="28"/>
      <c r="CTU34" s="28"/>
      <c r="CTV34" s="28"/>
      <c r="CTW34" s="28"/>
      <c r="CTX34" s="28"/>
      <c r="CTY34" s="28"/>
      <c r="CTZ34" s="28"/>
      <c r="CUA34" s="28"/>
      <c r="CUB34" s="28"/>
      <c r="CUC34" s="28"/>
      <c r="CUD34" s="28"/>
      <c r="CUE34" s="28"/>
      <c r="CUF34" s="28"/>
      <c r="CUG34" s="28"/>
      <c r="CUH34" s="28"/>
      <c r="CUI34" s="28"/>
      <c r="CUJ34" s="28"/>
      <c r="CUK34" s="28"/>
      <c r="CUL34" s="28"/>
      <c r="CUM34" s="28"/>
      <c r="CUN34" s="28"/>
      <c r="CUO34" s="28"/>
      <c r="CUP34" s="28"/>
      <c r="CUQ34" s="28"/>
      <c r="CUR34" s="28"/>
      <c r="CUS34" s="28"/>
      <c r="CUT34" s="28"/>
      <c r="CUU34" s="28"/>
      <c r="CUV34" s="28"/>
      <c r="CUW34" s="28"/>
      <c r="CUX34" s="28"/>
      <c r="CUY34" s="28"/>
      <c r="CUZ34" s="28"/>
      <c r="CVA34" s="28"/>
      <c r="CVB34" s="28"/>
      <c r="CVC34" s="28"/>
      <c r="CVD34" s="28"/>
      <c r="CVE34" s="28"/>
      <c r="CVF34" s="28"/>
      <c r="CVG34" s="28"/>
      <c r="CVH34" s="28"/>
      <c r="CVI34" s="28"/>
      <c r="CVJ34" s="28"/>
      <c r="CVK34" s="28"/>
      <c r="CVL34" s="28"/>
      <c r="CVM34" s="28"/>
      <c r="CVN34" s="28"/>
      <c r="CVO34" s="28"/>
      <c r="CVP34" s="28"/>
      <c r="CVQ34" s="28"/>
      <c r="CVR34" s="28"/>
      <c r="CVS34" s="28"/>
      <c r="CVT34" s="28"/>
      <c r="CVU34" s="28"/>
      <c r="CVV34" s="28"/>
      <c r="CVW34" s="28"/>
      <c r="CVX34" s="28"/>
      <c r="CVY34" s="28"/>
      <c r="CVZ34" s="28"/>
      <c r="CWA34" s="28"/>
      <c r="CWB34" s="28"/>
      <c r="CWC34" s="28"/>
      <c r="CWD34" s="28"/>
      <c r="CWE34" s="28"/>
      <c r="CWF34" s="28"/>
      <c r="CWG34" s="28"/>
      <c r="CWH34" s="28"/>
      <c r="CWI34" s="28"/>
      <c r="CWJ34" s="28"/>
      <c r="CWK34" s="28"/>
      <c r="CWL34" s="28"/>
      <c r="CWM34" s="28"/>
      <c r="CWN34" s="28"/>
      <c r="CWO34" s="28"/>
      <c r="CWP34" s="28"/>
      <c r="CWQ34" s="28"/>
      <c r="CWR34" s="28"/>
      <c r="CWS34" s="28"/>
      <c r="CWT34" s="28"/>
      <c r="CWU34" s="28"/>
      <c r="CWV34" s="28"/>
      <c r="CWW34" s="28"/>
      <c r="CWX34" s="28"/>
      <c r="CWY34" s="28"/>
      <c r="CWZ34" s="28"/>
      <c r="CXA34" s="28"/>
      <c r="CXB34" s="28"/>
      <c r="CXC34" s="28"/>
      <c r="CXD34" s="28"/>
      <c r="CXE34" s="28"/>
      <c r="CXF34" s="28"/>
      <c r="CXG34" s="28"/>
      <c r="CXH34" s="28"/>
      <c r="CXI34" s="28"/>
      <c r="CXJ34" s="28"/>
      <c r="CXK34" s="28"/>
      <c r="CXL34" s="28"/>
      <c r="CXM34" s="28"/>
      <c r="CXN34" s="28"/>
      <c r="CXO34" s="28"/>
      <c r="CXP34" s="28"/>
      <c r="CXQ34" s="28"/>
      <c r="CXR34" s="28"/>
      <c r="CXS34" s="28"/>
      <c r="CXT34" s="28"/>
      <c r="CXU34" s="28"/>
      <c r="CXV34" s="28"/>
      <c r="CXW34" s="28"/>
      <c r="CXX34" s="28"/>
      <c r="CXY34" s="28"/>
      <c r="CXZ34" s="28"/>
      <c r="CYA34" s="28"/>
      <c r="CYB34" s="28"/>
      <c r="CYC34" s="28"/>
      <c r="CYD34" s="28"/>
      <c r="CYE34" s="28"/>
      <c r="CYF34" s="28"/>
      <c r="CYG34" s="28"/>
      <c r="CYH34" s="28"/>
      <c r="CYI34" s="28"/>
      <c r="CYJ34" s="28"/>
      <c r="CYK34" s="28"/>
      <c r="CYL34" s="28"/>
      <c r="CYM34" s="28"/>
      <c r="CYN34" s="28"/>
      <c r="CYO34" s="28"/>
      <c r="CYP34" s="28"/>
      <c r="CYQ34" s="28"/>
      <c r="CYR34" s="28"/>
      <c r="CYS34" s="28"/>
      <c r="CYT34" s="28"/>
      <c r="CYU34" s="28"/>
      <c r="CYV34" s="28"/>
      <c r="CYW34" s="28"/>
      <c r="CYX34" s="28"/>
      <c r="CYY34" s="28"/>
      <c r="CYZ34" s="28"/>
      <c r="CZA34" s="28"/>
      <c r="CZB34" s="28"/>
      <c r="CZC34" s="28"/>
      <c r="CZD34" s="28"/>
      <c r="CZE34" s="28"/>
      <c r="CZF34" s="28"/>
      <c r="CZG34" s="28"/>
      <c r="CZH34" s="28"/>
      <c r="CZI34" s="28"/>
      <c r="CZJ34" s="28"/>
      <c r="CZK34" s="28"/>
      <c r="CZL34" s="28"/>
      <c r="CZM34" s="28"/>
      <c r="CZN34" s="28"/>
      <c r="CZO34" s="28"/>
      <c r="CZP34" s="28"/>
      <c r="CZQ34" s="28"/>
      <c r="CZR34" s="28"/>
      <c r="CZS34" s="28"/>
      <c r="CZT34" s="28"/>
      <c r="CZU34" s="28"/>
      <c r="CZV34" s="28"/>
      <c r="CZW34" s="28"/>
      <c r="CZX34" s="28"/>
      <c r="CZY34" s="28"/>
      <c r="CZZ34" s="28"/>
      <c r="DAA34" s="28"/>
      <c r="DAB34" s="28"/>
      <c r="DAC34" s="28"/>
      <c r="DAD34" s="28"/>
      <c r="DAE34" s="28"/>
      <c r="DAF34" s="28"/>
      <c r="DAG34" s="28"/>
      <c r="DAH34" s="28"/>
      <c r="DAI34" s="28"/>
      <c r="DAJ34" s="28"/>
      <c r="DAK34" s="28"/>
      <c r="DAL34" s="28"/>
      <c r="DAM34" s="28"/>
      <c r="DAN34" s="28"/>
      <c r="DAO34" s="28"/>
      <c r="DAP34" s="28"/>
      <c r="DAQ34" s="28"/>
      <c r="DAR34" s="28"/>
      <c r="DAS34" s="28"/>
      <c r="DAT34" s="28"/>
      <c r="DAU34" s="28"/>
      <c r="DAV34" s="28"/>
      <c r="DAW34" s="28"/>
      <c r="DAX34" s="28"/>
      <c r="DAY34" s="28"/>
      <c r="DAZ34" s="28"/>
      <c r="DBA34" s="28"/>
      <c r="DBB34" s="28"/>
      <c r="DBC34" s="28"/>
      <c r="DBD34" s="28"/>
      <c r="DBE34" s="28"/>
      <c r="DBF34" s="28"/>
      <c r="DBG34" s="28"/>
      <c r="DBH34" s="28"/>
      <c r="DBI34" s="28"/>
      <c r="DBJ34" s="28"/>
      <c r="DBK34" s="28"/>
      <c r="DBL34" s="28"/>
      <c r="DBM34" s="28"/>
      <c r="DBN34" s="28"/>
      <c r="DBO34" s="28"/>
      <c r="DBP34" s="28"/>
      <c r="DBQ34" s="28"/>
      <c r="DBR34" s="28"/>
      <c r="DBS34" s="28"/>
      <c r="DBT34" s="28"/>
      <c r="DBU34" s="28"/>
      <c r="DBV34" s="28"/>
      <c r="DBW34" s="28"/>
      <c r="DBX34" s="28"/>
      <c r="DBY34" s="28"/>
      <c r="DBZ34" s="28"/>
      <c r="DCA34" s="28"/>
      <c r="DCB34" s="28"/>
      <c r="DCC34" s="28"/>
      <c r="DCD34" s="28"/>
      <c r="DCE34" s="28"/>
      <c r="DCF34" s="28"/>
      <c r="DCG34" s="28"/>
      <c r="DCH34" s="28"/>
      <c r="DCI34" s="28"/>
      <c r="DCJ34" s="28"/>
      <c r="DCK34" s="28"/>
      <c r="DCL34" s="28"/>
      <c r="DCM34" s="28"/>
      <c r="DCN34" s="28"/>
      <c r="DCO34" s="28"/>
      <c r="DCP34" s="28"/>
      <c r="DCQ34" s="28"/>
      <c r="DCR34" s="28"/>
      <c r="DCS34" s="28"/>
      <c r="DCT34" s="28"/>
      <c r="DCU34" s="28"/>
      <c r="DCV34" s="28"/>
      <c r="DCW34" s="28"/>
      <c r="DCX34" s="28"/>
      <c r="DCY34" s="28"/>
      <c r="DCZ34" s="28"/>
      <c r="DDA34" s="28"/>
      <c r="DDB34" s="28"/>
      <c r="DDC34" s="28"/>
      <c r="DDD34" s="28"/>
      <c r="DDE34" s="28"/>
      <c r="DDF34" s="28"/>
      <c r="DDG34" s="28"/>
      <c r="DDH34" s="28"/>
      <c r="DDI34" s="28"/>
      <c r="DDJ34" s="28"/>
      <c r="DDK34" s="28"/>
      <c r="DDL34" s="28"/>
      <c r="DDM34" s="28"/>
      <c r="DDN34" s="28"/>
      <c r="DDO34" s="28"/>
      <c r="DDP34" s="28"/>
      <c r="DDQ34" s="28"/>
      <c r="DDR34" s="28"/>
      <c r="DDS34" s="28"/>
      <c r="DDT34" s="28"/>
      <c r="DDU34" s="28"/>
      <c r="DDV34" s="28"/>
      <c r="DDW34" s="28"/>
      <c r="DDX34" s="28"/>
      <c r="DDY34" s="28"/>
      <c r="DDZ34" s="28"/>
      <c r="DEA34" s="28"/>
      <c r="DEB34" s="28"/>
      <c r="DEC34" s="28"/>
      <c r="DED34" s="28"/>
      <c r="DEE34" s="28"/>
      <c r="DEF34" s="28"/>
      <c r="DEG34" s="28"/>
      <c r="DEH34" s="28"/>
      <c r="DEI34" s="28"/>
      <c r="DEJ34" s="28"/>
      <c r="DEK34" s="28"/>
      <c r="DEL34" s="28"/>
      <c r="DEM34" s="28"/>
      <c r="DEN34" s="28"/>
      <c r="DEO34" s="28"/>
      <c r="DEP34" s="28"/>
      <c r="DEQ34" s="28"/>
      <c r="DER34" s="28"/>
      <c r="DES34" s="28"/>
      <c r="DET34" s="28"/>
      <c r="DEU34" s="28"/>
      <c r="DEV34" s="28"/>
      <c r="DEW34" s="28"/>
      <c r="DEX34" s="28"/>
      <c r="DEY34" s="28"/>
      <c r="DEZ34" s="28"/>
      <c r="DFA34" s="28"/>
      <c r="DFB34" s="28"/>
      <c r="DFC34" s="28"/>
      <c r="DFD34" s="28"/>
      <c r="DFE34" s="28"/>
      <c r="DFF34" s="28"/>
      <c r="DFG34" s="28"/>
      <c r="DFH34" s="28"/>
      <c r="DFI34" s="28"/>
      <c r="DFJ34" s="28"/>
      <c r="DFK34" s="28"/>
      <c r="DFL34" s="28"/>
      <c r="DFM34" s="28"/>
      <c r="DFN34" s="28"/>
      <c r="DFO34" s="28"/>
      <c r="DFP34" s="28"/>
      <c r="DFQ34" s="28"/>
      <c r="DFR34" s="28"/>
      <c r="DFS34" s="28"/>
      <c r="DFT34" s="28"/>
      <c r="DFU34" s="28"/>
      <c r="DFV34" s="28"/>
      <c r="DFW34" s="28"/>
      <c r="DFX34" s="28"/>
      <c r="DFY34" s="28"/>
      <c r="DFZ34" s="28"/>
      <c r="DGA34" s="28"/>
      <c r="DGB34" s="28"/>
      <c r="DGC34" s="28"/>
      <c r="DGD34" s="28"/>
      <c r="DGE34" s="28"/>
      <c r="DGF34" s="28"/>
      <c r="DGG34" s="28"/>
      <c r="DGH34" s="28"/>
      <c r="DGI34" s="28"/>
      <c r="DGJ34" s="28"/>
      <c r="DGK34" s="28"/>
      <c r="DGL34" s="28"/>
      <c r="DGM34" s="28"/>
      <c r="DGN34" s="28"/>
      <c r="DGO34" s="28"/>
      <c r="DGP34" s="28"/>
      <c r="DGQ34" s="28"/>
      <c r="DGR34" s="28"/>
      <c r="DGS34" s="28"/>
      <c r="DGT34" s="28"/>
      <c r="DGU34" s="28"/>
      <c r="DGV34" s="28"/>
      <c r="DGW34" s="28"/>
      <c r="DGX34" s="28"/>
      <c r="DGY34" s="28"/>
      <c r="DGZ34" s="28"/>
      <c r="DHA34" s="28"/>
      <c r="DHB34" s="28"/>
      <c r="DHC34" s="28"/>
      <c r="DHD34" s="28"/>
      <c r="DHE34" s="28"/>
      <c r="DHF34" s="28"/>
      <c r="DHG34" s="28"/>
      <c r="DHH34" s="28"/>
      <c r="DHI34" s="28"/>
      <c r="DHJ34" s="28"/>
      <c r="DHK34" s="28"/>
      <c r="DHL34" s="28"/>
      <c r="DHM34" s="28"/>
      <c r="DHN34" s="28"/>
      <c r="DHO34" s="28"/>
      <c r="DHP34" s="28"/>
      <c r="DHQ34" s="28"/>
      <c r="DHR34" s="28"/>
      <c r="DHS34" s="28"/>
      <c r="DHT34" s="28"/>
      <c r="DHU34" s="28"/>
      <c r="DHV34" s="28"/>
      <c r="DHW34" s="28"/>
      <c r="DHX34" s="28"/>
      <c r="DHY34" s="28"/>
      <c r="DHZ34" s="28"/>
      <c r="DIA34" s="28"/>
      <c r="DIB34" s="28"/>
      <c r="DIC34" s="28"/>
      <c r="DID34" s="28"/>
      <c r="DIE34" s="28"/>
      <c r="DIF34" s="28"/>
      <c r="DIG34" s="28"/>
      <c r="DIH34" s="28"/>
      <c r="DII34" s="28"/>
      <c r="DIJ34" s="28"/>
      <c r="DIK34" s="28"/>
      <c r="DIL34" s="28"/>
      <c r="DIM34" s="28"/>
      <c r="DIN34" s="28"/>
      <c r="DIO34" s="28"/>
      <c r="DIP34" s="28"/>
      <c r="DIQ34" s="28"/>
      <c r="DIR34" s="28"/>
      <c r="DIS34" s="28"/>
      <c r="DIT34" s="28"/>
      <c r="DIU34" s="28"/>
      <c r="DIV34" s="28"/>
      <c r="DIW34" s="28"/>
      <c r="DIX34" s="28"/>
      <c r="DIY34" s="28"/>
      <c r="DIZ34" s="28"/>
      <c r="DJA34" s="28"/>
      <c r="DJB34" s="28"/>
      <c r="DJC34" s="28"/>
      <c r="DJD34" s="28"/>
      <c r="DJE34" s="28"/>
      <c r="DJF34" s="28"/>
      <c r="DJG34" s="28"/>
      <c r="DJH34" s="28"/>
      <c r="DJI34" s="28"/>
      <c r="DJJ34" s="28"/>
      <c r="DJK34" s="28"/>
      <c r="DJL34" s="28"/>
      <c r="DJM34" s="28"/>
      <c r="DJN34" s="28"/>
      <c r="DJO34" s="28"/>
      <c r="DJP34" s="28"/>
      <c r="DJQ34" s="28"/>
      <c r="DJR34" s="28"/>
      <c r="DJS34" s="28"/>
      <c r="DJT34" s="28"/>
      <c r="DJU34" s="28"/>
      <c r="DJV34" s="28"/>
      <c r="DJW34" s="28"/>
      <c r="DJX34" s="28"/>
      <c r="DJY34" s="28"/>
      <c r="DJZ34" s="28"/>
      <c r="DKA34" s="28"/>
      <c r="DKB34" s="28"/>
      <c r="DKC34" s="28"/>
      <c r="DKD34" s="28"/>
      <c r="DKE34" s="28"/>
      <c r="DKF34" s="28"/>
      <c r="DKG34" s="28"/>
      <c r="DKH34" s="28"/>
      <c r="DKI34" s="28"/>
      <c r="DKJ34" s="28"/>
      <c r="DKK34" s="28"/>
      <c r="DKL34" s="28"/>
      <c r="DKM34" s="28"/>
      <c r="DKN34" s="28"/>
      <c r="DKO34" s="28"/>
      <c r="DKP34" s="28"/>
      <c r="DKQ34" s="28"/>
      <c r="DKR34" s="28"/>
      <c r="DKS34" s="28"/>
      <c r="DKT34" s="28"/>
      <c r="DKU34" s="28"/>
      <c r="DKV34" s="28"/>
      <c r="DKW34" s="28"/>
      <c r="DKX34" s="28"/>
      <c r="DKY34" s="28"/>
      <c r="DKZ34" s="28"/>
      <c r="DLA34" s="28"/>
      <c r="DLB34" s="28"/>
      <c r="DLC34" s="28"/>
      <c r="DLD34" s="28"/>
      <c r="DLE34" s="28"/>
      <c r="DLF34" s="28"/>
      <c r="DLG34" s="28"/>
      <c r="DLH34" s="28"/>
      <c r="DLI34" s="28"/>
      <c r="DLJ34" s="28"/>
      <c r="DLK34" s="28"/>
      <c r="DLL34" s="28"/>
      <c r="DLM34" s="28"/>
      <c r="DLN34" s="28"/>
      <c r="DLO34" s="28"/>
      <c r="DLP34" s="28"/>
      <c r="DLQ34" s="28"/>
      <c r="DLR34" s="28"/>
      <c r="DLS34" s="28"/>
      <c r="DLT34" s="28"/>
      <c r="DLU34" s="28"/>
      <c r="DLV34" s="28"/>
      <c r="DLW34" s="28"/>
      <c r="DLX34" s="28"/>
      <c r="DLY34" s="28"/>
      <c r="DLZ34" s="28"/>
      <c r="DMA34" s="28"/>
      <c r="DMB34" s="28"/>
      <c r="DMC34" s="28"/>
      <c r="DMD34" s="28"/>
      <c r="DME34" s="28"/>
      <c r="DMF34" s="28"/>
      <c r="DMG34" s="28"/>
      <c r="DMH34" s="28"/>
      <c r="DMI34" s="28"/>
      <c r="DMJ34" s="28"/>
      <c r="DMK34" s="28"/>
      <c r="DML34" s="28"/>
      <c r="DMM34" s="28"/>
      <c r="DMN34" s="28"/>
      <c r="DMO34" s="28"/>
      <c r="DMP34" s="28"/>
      <c r="DMQ34" s="28"/>
      <c r="DMR34" s="28"/>
      <c r="DMS34" s="28"/>
      <c r="DMT34" s="28"/>
      <c r="DMU34" s="28"/>
      <c r="DMV34" s="28"/>
      <c r="DMW34" s="28"/>
      <c r="DMX34" s="28"/>
      <c r="DMY34" s="28"/>
      <c r="DMZ34" s="28"/>
      <c r="DNA34" s="28"/>
      <c r="DNB34" s="28"/>
      <c r="DNC34" s="28"/>
      <c r="DND34" s="28"/>
      <c r="DNE34" s="28"/>
      <c r="DNF34" s="28"/>
      <c r="DNG34" s="28"/>
      <c r="DNH34" s="28"/>
      <c r="DNI34" s="28"/>
      <c r="DNJ34" s="28"/>
      <c r="DNK34" s="28"/>
      <c r="DNL34" s="28"/>
      <c r="DNM34" s="28"/>
      <c r="DNN34" s="28"/>
      <c r="DNO34" s="28"/>
      <c r="DNP34" s="28"/>
      <c r="DNQ34" s="28"/>
      <c r="DNR34" s="28"/>
      <c r="DNS34" s="28"/>
      <c r="DNT34" s="28"/>
      <c r="DNU34" s="28"/>
      <c r="DNV34" s="28"/>
      <c r="DNW34" s="28"/>
      <c r="DNX34" s="28"/>
      <c r="DNY34" s="28"/>
      <c r="DNZ34" s="28"/>
      <c r="DOA34" s="28"/>
      <c r="DOB34" s="28"/>
      <c r="DOC34" s="28"/>
      <c r="DOD34" s="28"/>
      <c r="DOE34" s="28"/>
      <c r="DOF34" s="28"/>
      <c r="DOG34" s="28"/>
      <c r="DOH34" s="28"/>
      <c r="DOI34" s="28"/>
      <c r="DOJ34" s="28"/>
      <c r="DOK34" s="28"/>
      <c r="DOL34" s="28"/>
      <c r="DOM34" s="28"/>
      <c r="DON34" s="28"/>
      <c r="DOO34" s="28"/>
      <c r="DOP34" s="28"/>
      <c r="DOQ34" s="28"/>
      <c r="DOR34" s="28"/>
      <c r="DOS34" s="28"/>
      <c r="DOT34" s="28"/>
      <c r="DOU34" s="28"/>
      <c r="DOV34" s="28"/>
      <c r="DOW34" s="28"/>
      <c r="DOX34" s="28"/>
      <c r="DOY34" s="28"/>
      <c r="DOZ34" s="28"/>
      <c r="DPA34" s="28"/>
      <c r="DPB34" s="28"/>
      <c r="DPC34" s="28"/>
      <c r="DPD34" s="28"/>
      <c r="DPE34" s="28"/>
      <c r="DPF34" s="28"/>
      <c r="DPG34" s="28"/>
      <c r="DPH34" s="28"/>
      <c r="DPI34" s="28"/>
      <c r="DPJ34" s="28"/>
      <c r="DPK34" s="28"/>
      <c r="DPL34" s="28"/>
      <c r="DPM34" s="28"/>
      <c r="DPN34" s="28"/>
      <c r="DPO34" s="28"/>
      <c r="DPP34" s="28"/>
      <c r="DPQ34" s="28"/>
      <c r="DPR34" s="28"/>
      <c r="DPS34" s="28"/>
      <c r="DPT34" s="28"/>
      <c r="DPU34" s="28"/>
      <c r="DPV34" s="28"/>
      <c r="DPW34" s="28"/>
      <c r="DPX34" s="28"/>
      <c r="DPY34" s="28"/>
      <c r="DPZ34" s="28"/>
      <c r="DQA34" s="28"/>
      <c r="DQB34" s="28"/>
      <c r="DQC34" s="28"/>
      <c r="DQD34" s="28"/>
      <c r="DQE34" s="28"/>
      <c r="DQF34" s="28"/>
      <c r="DQG34" s="28"/>
      <c r="DQH34" s="28"/>
      <c r="DQI34" s="28"/>
      <c r="DQJ34" s="28"/>
      <c r="DQK34" s="28"/>
      <c r="DQL34" s="28"/>
      <c r="DQM34" s="28"/>
      <c r="DQN34" s="28"/>
      <c r="DQO34" s="28"/>
      <c r="DQP34" s="28"/>
      <c r="DQQ34" s="28"/>
      <c r="DQR34" s="28"/>
      <c r="DQS34" s="28"/>
      <c r="DQT34" s="28"/>
      <c r="DQU34" s="28"/>
      <c r="DQV34" s="28"/>
      <c r="DQW34" s="28"/>
      <c r="DQX34" s="28"/>
      <c r="DQY34" s="28"/>
      <c r="DQZ34" s="28"/>
      <c r="DRA34" s="28"/>
      <c r="DRB34" s="28"/>
      <c r="DRC34" s="28"/>
      <c r="DRD34" s="28"/>
      <c r="DRE34" s="28"/>
      <c r="DRF34" s="28"/>
      <c r="DRG34" s="28"/>
      <c r="DRH34" s="28"/>
      <c r="DRI34" s="28"/>
      <c r="DRJ34" s="28"/>
      <c r="DRK34" s="28"/>
      <c r="DRL34" s="28"/>
      <c r="DRM34" s="28"/>
      <c r="DRN34" s="28"/>
      <c r="DRO34" s="28"/>
      <c r="DRP34" s="28"/>
      <c r="DRQ34" s="28"/>
      <c r="DRR34" s="28"/>
      <c r="DRS34" s="28"/>
      <c r="DRT34" s="28"/>
      <c r="DRU34" s="28"/>
      <c r="DRV34" s="28"/>
      <c r="DRW34" s="28"/>
      <c r="DRX34" s="28"/>
      <c r="DRY34" s="28"/>
      <c r="DRZ34" s="28"/>
      <c r="DSA34" s="28"/>
      <c r="DSB34" s="28"/>
      <c r="DSC34" s="28"/>
      <c r="DSD34" s="28"/>
      <c r="DSE34" s="28"/>
      <c r="DSF34" s="28"/>
      <c r="DSG34" s="28"/>
      <c r="DSH34" s="28"/>
      <c r="DSI34" s="28"/>
      <c r="DSJ34" s="28"/>
      <c r="DSK34" s="28"/>
      <c r="DSL34" s="28"/>
      <c r="DSM34" s="28"/>
      <c r="DSN34" s="28"/>
      <c r="DSO34" s="28"/>
      <c r="DSP34" s="28"/>
      <c r="DSQ34" s="28"/>
      <c r="DSR34" s="28"/>
      <c r="DSS34" s="28"/>
      <c r="DST34" s="28"/>
      <c r="DSU34" s="28"/>
      <c r="DSV34" s="28"/>
      <c r="DSW34" s="28"/>
      <c r="DSX34" s="28"/>
      <c r="DSY34" s="28"/>
      <c r="DSZ34" s="28"/>
      <c r="DTA34" s="28"/>
      <c r="DTB34" s="28"/>
      <c r="DTC34" s="28"/>
      <c r="DTD34" s="28"/>
      <c r="DTE34" s="28"/>
      <c r="DTF34" s="28"/>
      <c r="DTG34" s="28"/>
      <c r="DTH34" s="28"/>
      <c r="DTI34" s="28"/>
      <c r="DTJ34" s="28"/>
      <c r="DTK34" s="28"/>
      <c r="DTL34" s="28"/>
      <c r="DTM34" s="28"/>
      <c r="DTN34" s="28"/>
      <c r="DTO34" s="28"/>
      <c r="DTP34" s="28"/>
      <c r="DTQ34" s="28"/>
      <c r="DTR34" s="28"/>
      <c r="DTS34" s="28"/>
      <c r="DTT34" s="28"/>
      <c r="DTU34" s="28"/>
      <c r="DTV34" s="28"/>
      <c r="DTW34" s="28"/>
      <c r="DTX34" s="28"/>
      <c r="DTY34" s="28"/>
      <c r="DTZ34" s="28"/>
      <c r="DUA34" s="28"/>
      <c r="DUB34" s="28"/>
      <c r="DUC34" s="28"/>
      <c r="DUD34" s="28"/>
      <c r="DUE34" s="28"/>
      <c r="DUF34" s="28"/>
      <c r="DUG34" s="28"/>
      <c r="DUH34" s="28"/>
      <c r="DUI34" s="28"/>
      <c r="DUJ34" s="28"/>
      <c r="DUK34" s="28"/>
      <c r="DUL34" s="28"/>
      <c r="DUM34" s="28"/>
      <c r="DUN34" s="28"/>
      <c r="DUO34" s="28"/>
      <c r="DUP34" s="28"/>
      <c r="DUQ34" s="28"/>
      <c r="DUR34" s="28"/>
      <c r="DUS34" s="28"/>
      <c r="DUT34" s="28"/>
      <c r="DUU34" s="28"/>
      <c r="DUV34" s="28"/>
      <c r="DUW34" s="28"/>
      <c r="DUX34" s="28"/>
      <c r="DUY34" s="28"/>
      <c r="DUZ34" s="28"/>
      <c r="DVA34" s="28"/>
      <c r="DVB34" s="28"/>
      <c r="DVC34" s="28"/>
      <c r="DVD34" s="28"/>
      <c r="DVE34" s="28"/>
      <c r="DVF34" s="28"/>
      <c r="DVG34" s="28"/>
      <c r="DVH34" s="28"/>
      <c r="DVI34" s="28"/>
      <c r="DVJ34" s="28"/>
      <c r="DVK34" s="28"/>
      <c r="DVL34" s="28"/>
      <c r="DVM34" s="28"/>
      <c r="DVN34" s="28"/>
      <c r="DVO34" s="28"/>
      <c r="DVP34" s="28"/>
      <c r="DVQ34" s="28"/>
      <c r="DVR34" s="28"/>
      <c r="DVS34" s="28"/>
      <c r="DVT34" s="28"/>
      <c r="DVU34" s="28"/>
      <c r="DVV34" s="28"/>
      <c r="DVW34" s="28"/>
      <c r="DVX34" s="28"/>
      <c r="DVY34" s="28"/>
      <c r="DVZ34" s="28"/>
      <c r="DWA34" s="28"/>
      <c r="DWB34" s="28"/>
      <c r="DWC34" s="28"/>
      <c r="DWD34" s="28"/>
      <c r="DWE34" s="28"/>
      <c r="DWF34" s="28"/>
      <c r="DWG34" s="28"/>
      <c r="DWH34" s="28"/>
      <c r="DWI34" s="28"/>
      <c r="DWJ34" s="28"/>
      <c r="DWK34" s="28"/>
      <c r="DWL34" s="28"/>
      <c r="DWM34" s="28"/>
      <c r="DWN34" s="28"/>
      <c r="DWO34" s="28"/>
      <c r="DWP34" s="28"/>
      <c r="DWQ34" s="28"/>
      <c r="DWR34" s="28"/>
      <c r="DWS34" s="28"/>
      <c r="DWT34" s="28"/>
      <c r="DWU34" s="28"/>
      <c r="DWV34" s="28"/>
      <c r="DWW34" s="28"/>
      <c r="DWX34" s="28"/>
      <c r="DWY34" s="28"/>
      <c r="DWZ34" s="28"/>
      <c r="DXA34" s="28"/>
      <c r="DXB34" s="28"/>
      <c r="DXC34" s="28"/>
      <c r="DXD34" s="28"/>
      <c r="DXE34" s="28"/>
      <c r="DXF34" s="28"/>
      <c r="DXG34" s="28"/>
      <c r="DXH34" s="28"/>
      <c r="DXI34" s="28"/>
      <c r="DXJ34" s="28"/>
      <c r="DXK34" s="28"/>
      <c r="DXL34" s="28"/>
      <c r="DXM34" s="28"/>
      <c r="DXN34" s="28"/>
      <c r="DXO34" s="28"/>
      <c r="DXP34" s="28"/>
      <c r="DXQ34" s="28"/>
      <c r="DXR34" s="28"/>
      <c r="DXS34" s="28"/>
      <c r="DXT34" s="28"/>
      <c r="DXU34" s="28"/>
      <c r="DXV34" s="28"/>
      <c r="DXW34" s="28"/>
      <c r="DXX34" s="28"/>
      <c r="DXY34" s="28"/>
      <c r="DXZ34" s="28"/>
      <c r="DYA34" s="28"/>
      <c r="DYB34" s="28"/>
      <c r="DYC34" s="28"/>
      <c r="DYD34" s="28"/>
      <c r="DYE34" s="28"/>
      <c r="DYF34" s="28"/>
      <c r="DYG34" s="28"/>
      <c r="DYH34" s="28"/>
      <c r="DYI34" s="28"/>
      <c r="DYJ34" s="28"/>
      <c r="DYK34" s="28"/>
      <c r="DYL34" s="28"/>
      <c r="DYM34" s="28"/>
      <c r="DYN34" s="28"/>
      <c r="DYO34" s="28"/>
      <c r="DYP34" s="28"/>
      <c r="DYQ34" s="28"/>
      <c r="DYR34" s="28"/>
      <c r="DYS34" s="28"/>
      <c r="DYT34" s="28"/>
      <c r="DYU34" s="28"/>
      <c r="DYV34" s="28"/>
      <c r="DYW34" s="28"/>
      <c r="DYX34" s="28"/>
      <c r="DYY34" s="28"/>
      <c r="DYZ34" s="28"/>
      <c r="DZA34" s="28"/>
      <c r="DZB34" s="28"/>
      <c r="DZC34" s="28"/>
      <c r="DZD34" s="28"/>
      <c r="DZE34" s="28"/>
      <c r="DZF34" s="28"/>
      <c r="DZG34" s="28"/>
      <c r="DZH34" s="28"/>
      <c r="DZI34" s="28"/>
      <c r="DZJ34" s="28"/>
      <c r="DZK34" s="28"/>
      <c r="DZL34" s="28"/>
      <c r="DZM34" s="28"/>
      <c r="DZN34" s="28"/>
      <c r="DZO34" s="28"/>
      <c r="DZP34" s="28"/>
      <c r="DZQ34" s="28"/>
      <c r="DZR34" s="28"/>
      <c r="DZS34" s="28"/>
      <c r="DZT34" s="28"/>
      <c r="DZU34" s="28"/>
      <c r="DZV34" s="28"/>
      <c r="DZW34" s="28"/>
      <c r="DZX34" s="28"/>
      <c r="DZY34" s="28"/>
      <c r="DZZ34" s="28"/>
      <c r="EAA34" s="28"/>
      <c r="EAB34" s="28"/>
      <c r="EAC34" s="28"/>
      <c r="EAD34" s="28"/>
      <c r="EAE34" s="28"/>
      <c r="EAF34" s="28"/>
      <c r="EAG34" s="28"/>
      <c r="EAH34" s="28"/>
      <c r="EAI34" s="28"/>
      <c r="EAJ34" s="28"/>
      <c r="EAK34" s="28"/>
      <c r="EAL34" s="28"/>
      <c r="EAM34" s="28"/>
      <c r="EAN34" s="28"/>
      <c r="EAO34" s="28"/>
      <c r="EAP34" s="28"/>
      <c r="EAQ34" s="28"/>
      <c r="EAR34" s="28"/>
      <c r="EAS34" s="28"/>
      <c r="EAT34" s="28"/>
      <c r="EAU34" s="28"/>
      <c r="EAV34" s="28"/>
      <c r="EAW34" s="28"/>
      <c r="EAX34" s="28"/>
      <c r="EAY34" s="28"/>
      <c r="EAZ34" s="28"/>
      <c r="EBA34" s="28"/>
      <c r="EBB34" s="28"/>
      <c r="EBC34" s="28"/>
      <c r="EBD34" s="28"/>
      <c r="EBE34" s="28"/>
      <c r="EBF34" s="28"/>
      <c r="EBG34" s="28"/>
      <c r="EBH34" s="28"/>
      <c r="EBI34" s="28"/>
      <c r="EBJ34" s="28"/>
      <c r="EBK34" s="28"/>
      <c r="EBL34" s="28"/>
      <c r="EBM34" s="28"/>
      <c r="EBN34" s="28"/>
      <c r="EBO34" s="28"/>
      <c r="EBP34" s="28"/>
      <c r="EBQ34" s="28"/>
      <c r="EBR34" s="28"/>
      <c r="EBS34" s="28"/>
      <c r="EBT34" s="28"/>
      <c r="EBU34" s="28"/>
      <c r="EBV34" s="28"/>
      <c r="EBW34" s="28"/>
      <c r="EBX34" s="28"/>
      <c r="EBY34" s="28"/>
      <c r="EBZ34" s="28"/>
      <c r="ECA34" s="28"/>
      <c r="ECB34" s="28"/>
      <c r="ECC34" s="28"/>
      <c r="ECD34" s="28"/>
      <c r="ECE34" s="28"/>
      <c r="ECF34" s="28"/>
      <c r="ECG34" s="28"/>
      <c r="ECH34" s="28"/>
      <c r="ECI34" s="28"/>
      <c r="ECJ34" s="28"/>
      <c r="ECK34" s="28"/>
      <c r="ECL34" s="28"/>
      <c r="ECM34" s="28"/>
      <c r="ECN34" s="28"/>
      <c r="ECO34" s="28"/>
      <c r="ECP34" s="28"/>
      <c r="ECQ34" s="28"/>
      <c r="ECR34" s="28"/>
      <c r="ECS34" s="28"/>
      <c r="ECT34" s="28"/>
      <c r="ECU34" s="28"/>
      <c r="ECV34" s="28"/>
      <c r="ECW34" s="28"/>
      <c r="ECX34" s="28"/>
      <c r="ECY34" s="28"/>
      <c r="ECZ34" s="28"/>
      <c r="EDA34" s="28"/>
      <c r="EDB34" s="28"/>
      <c r="EDC34" s="28"/>
      <c r="EDD34" s="28"/>
      <c r="EDE34" s="28"/>
      <c r="EDF34" s="28"/>
      <c r="EDG34" s="28"/>
      <c r="EDH34" s="28"/>
      <c r="EDI34" s="28"/>
      <c r="EDJ34" s="28"/>
      <c r="EDK34" s="28"/>
      <c r="EDL34" s="28"/>
      <c r="EDM34" s="28"/>
      <c r="EDN34" s="28"/>
      <c r="EDO34" s="28"/>
      <c r="EDP34" s="28"/>
      <c r="EDQ34" s="28"/>
      <c r="EDR34" s="28"/>
      <c r="EDS34" s="28"/>
      <c r="EDT34" s="28"/>
      <c r="EDU34" s="28"/>
      <c r="EDV34" s="28"/>
      <c r="EDW34" s="28"/>
      <c r="EDX34" s="28"/>
      <c r="EDY34" s="28"/>
      <c r="EDZ34" s="28"/>
      <c r="EEA34" s="28"/>
      <c r="EEB34" s="28"/>
      <c r="EEC34" s="28"/>
      <c r="EED34" s="28"/>
      <c r="EEE34" s="28"/>
      <c r="EEF34" s="28"/>
      <c r="EEG34" s="28"/>
      <c r="EEH34" s="28"/>
      <c r="EEI34" s="28"/>
      <c r="EEJ34" s="28"/>
      <c r="EEK34" s="28"/>
      <c r="EEL34" s="28"/>
      <c r="EEM34" s="28"/>
      <c r="EEN34" s="28"/>
      <c r="EEO34" s="28"/>
      <c r="EEP34" s="28"/>
      <c r="EEQ34" s="28"/>
      <c r="EER34" s="28"/>
      <c r="EES34" s="28"/>
      <c r="EET34" s="28"/>
      <c r="EEU34" s="28"/>
      <c r="EEV34" s="28"/>
      <c r="EEW34" s="28"/>
      <c r="EEX34" s="28"/>
      <c r="EEY34" s="28"/>
      <c r="EEZ34" s="28"/>
      <c r="EFA34" s="28"/>
      <c r="EFB34" s="28"/>
      <c r="EFC34" s="28"/>
      <c r="EFD34" s="28"/>
      <c r="EFE34" s="28"/>
      <c r="EFF34" s="28"/>
      <c r="EFG34" s="28"/>
      <c r="EFH34" s="28"/>
      <c r="EFI34" s="28"/>
      <c r="EFJ34" s="28"/>
      <c r="EFK34" s="28"/>
      <c r="EFL34" s="28"/>
      <c r="EFM34" s="28"/>
      <c r="EFN34" s="28"/>
      <c r="EFO34" s="28"/>
      <c r="EFP34" s="28"/>
      <c r="EFQ34" s="28"/>
      <c r="EFR34" s="28"/>
      <c r="EFS34" s="28"/>
      <c r="EFT34" s="28"/>
      <c r="EFU34" s="28"/>
      <c r="EFV34" s="28"/>
      <c r="EFW34" s="28"/>
      <c r="EFX34" s="28"/>
      <c r="EFY34" s="28"/>
      <c r="EFZ34" s="28"/>
      <c r="EGA34" s="28"/>
      <c r="EGB34" s="28"/>
      <c r="EGC34" s="28"/>
      <c r="EGD34" s="28"/>
      <c r="EGE34" s="28"/>
      <c r="EGF34" s="28"/>
      <c r="EGG34" s="28"/>
      <c r="EGH34" s="28"/>
      <c r="EGI34" s="28"/>
      <c r="EGJ34" s="28"/>
      <c r="EGK34" s="28"/>
      <c r="EGL34" s="28"/>
      <c r="EGM34" s="28"/>
      <c r="EGN34" s="28"/>
      <c r="EGO34" s="28"/>
      <c r="EGP34" s="28"/>
      <c r="EGQ34" s="28"/>
      <c r="EGR34" s="28"/>
      <c r="EGS34" s="28"/>
      <c r="EGT34" s="28"/>
      <c r="EGU34" s="28"/>
      <c r="EGV34" s="28"/>
      <c r="EGW34" s="28"/>
      <c r="EGX34" s="28"/>
      <c r="EGY34" s="28"/>
      <c r="EGZ34" s="28"/>
      <c r="EHA34" s="28"/>
      <c r="EHB34" s="28"/>
      <c r="EHC34" s="28"/>
      <c r="EHD34" s="28"/>
      <c r="EHE34" s="28"/>
      <c r="EHF34" s="28"/>
      <c r="EHG34" s="28"/>
      <c r="EHH34" s="28"/>
      <c r="EHI34" s="28"/>
      <c r="EHJ34" s="28"/>
      <c r="EHK34" s="28"/>
      <c r="EHL34" s="28"/>
      <c r="EHM34" s="28"/>
      <c r="EHN34" s="28"/>
      <c r="EHO34" s="28"/>
      <c r="EHP34" s="28"/>
      <c r="EHQ34" s="28"/>
      <c r="EHR34" s="28"/>
      <c r="EHS34" s="28"/>
      <c r="EHT34" s="28"/>
      <c r="EHU34" s="28"/>
      <c r="EHV34" s="28"/>
      <c r="EHW34" s="28"/>
      <c r="EHX34" s="28"/>
      <c r="EHY34" s="28"/>
      <c r="EHZ34" s="28"/>
      <c r="EIA34" s="28"/>
      <c r="EIB34" s="28"/>
      <c r="EIC34" s="28"/>
      <c r="EID34" s="28"/>
      <c r="EIE34" s="28"/>
      <c r="EIF34" s="28"/>
      <c r="EIG34" s="28"/>
      <c r="EIH34" s="28"/>
      <c r="EII34" s="28"/>
      <c r="EIJ34" s="28"/>
      <c r="EIK34" s="28"/>
      <c r="EIL34" s="28"/>
      <c r="EIM34" s="28"/>
      <c r="EIN34" s="28"/>
      <c r="EIO34" s="28"/>
      <c r="EIP34" s="28"/>
      <c r="EIQ34" s="28"/>
      <c r="EIR34" s="28"/>
      <c r="EIS34" s="28"/>
      <c r="EIT34" s="28"/>
      <c r="EIU34" s="28"/>
      <c r="EIV34" s="28"/>
      <c r="EIW34" s="28"/>
      <c r="EIX34" s="28"/>
      <c r="EIY34" s="28"/>
      <c r="EIZ34" s="28"/>
      <c r="EJA34" s="28"/>
      <c r="EJB34" s="28"/>
      <c r="EJC34" s="28"/>
      <c r="EJD34" s="28"/>
      <c r="EJE34" s="28"/>
      <c r="EJF34" s="28"/>
      <c r="EJG34" s="28"/>
      <c r="EJH34" s="28"/>
      <c r="EJI34" s="28"/>
      <c r="EJJ34" s="28"/>
      <c r="EJK34" s="28"/>
      <c r="EJL34" s="28"/>
      <c r="EJM34" s="28"/>
      <c r="EJN34" s="28"/>
      <c r="EJO34" s="28"/>
      <c r="EJP34" s="28"/>
      <c r="EJQ34" s="28"/>
      <c r="EJR34" s="28"/>
      <c r="EJS34" s="28"/>
      <c r="EJT34" s="28"/>
      <c r="EJU34" s="28"/>
      <c r="EJV34" s="28"/>
      <c r="EJW34" s="28"/>
      <c r="EJX34" s="28"/>
      <c r="EJY34" s="28"/>
      <c r="EJZ34" s="28"/>
      <c r="EKA34" s="28"/>
      <c r="EKB34" s="28"/>
      <c r="EKC34" s="28"/>
      <c r="EKD34" s="28"/>
      <c r="EKE34" s="28"/>
      <c r="EKF34" s="28"/>
      <c r="EKG34" s="28"/>
      <c r="EKH34" s="28"/>
      <c r="EKI34" s="28"/>
      <c r="EKJ34" s="28"/>
      <c r="EKK34" s="28"/>
      <c r="EKL34" s="28"/>
      <c r="EKM34" s="28"/>
      <c r="EKN34" s="28"/>
      <c r="EKO34" s="28"/>
      <c r="EKP34" s="28"/>
      <c r="EKQ34" s="28"/>
      <c r="EKR34" s="28"/>
      <c r="EKS34" s="28"/>
      <c r="EKT34" s="28"/>
      <c r="EKU34" s="28"/>
      <c r="EKV34" s="28"/>
      <c r="EKW34" s="28"/>
      <c r="EKX34" s="28"/>
      <c r="EKY34" s="28"/>
      <c r="EKZ34" s="28"/>
      <c r="ELA34" s="28"/>
      <c r="ELB34" s="28"/>
      <c r="ELC34" s="28"/>
      <c r="ELD34" s="28"/>
      <c r="ELE34" s="28"/>
      <c r="ELF34" s="28"/>
      <c r="ELG34" s="28"/>
      <c r="ELH34" s="28"/>
      <c r="ELI34" s="28"/>
      <c r="ELJ34" s="28"/>
      <c r="ELK34" s="28"/>
      <c r="ELL34" s="28"/>
      <c r="ELM34" s="28"/>
      <c r="ELN34" s="28"/>
      <c r="ELO34" s="28"/>
      <c r="ELP34" s="28"/>
      <c r="ELQ34" s="28"/>
      <c r="ELR34" s="28"/>
      <c r="ELS34" s="28"/>
      <c r="ELT34" s="28"/>
      <c r="ELU34" s="28"/>
      <c r="ELV34" s="28"/>
      <c r="ELW34" s="28"/>
      <c r="ELX34" s="28"/>
      <c r="ELY34" s="28"/>
      <c r="ELZ34" s="28"/>
      <c r="EMA34" s="28"/>
      <c r="EMB34" s="28"/>
      <c r="EMC34" s="28"/>
      <c r="EMD34" s="28"/>
      <c r="EME34" s="28"/>
      <c r="EMF34" s="28"/>
      <c r="EMG34" s="28"/>
      <c r="EMH34" s="28"/>
      <c r="EMI34" s="28"/>
      <c r="EMJ34" s="28"/>
      <c r="EMK34" s="28"/>
      <c r="EML34" s="28"/>
      <c r="EMM34" s="28"/>
      <c r="EMN34" s="28"/>
      <c r="EMO34" s="28"/>
      <c r="EMP34" s="28"/>
      <c r="EMQ34" s="28"/>
      <c r="EMR34" s="28"/>
      <c r="EMS34" s="28"/>
      <c r="EMT34" s="28"/>
      <c r="EMU34" s="28"/>
      <c r="EMV34" s="28"/>
      <c r="EMW34" s="28"/>
      <c r="EMX34" s="28"/>
      <c r="EMY34" s="28"/>
      <c r="EMZ34" s="28"/>
      <c r="ENA34" s="28"/>
      <c r="ENB34" s="28"/>
      <c r="ENC34" s="28"/>
      <c r="END34" s="28"/>
      <c r="ENE34" s="28"/>
      <c r="ENF34" s="28"/>
      <c r="ENG34" s="28"/>
      <c r="ENH34" s="28"/>
      <c r="ENI34" s="28"/>
      <c r="ENJ34" s="28"/>
      <c r="ENK34" s="28"/>
      <c r="ENL34" s="28"/>
      <c r="ENM34" s="28"/>
      <c r="ENN34" s="28"/>
      <c r="ENO34" s="28"/>
      <c r="ENP34" s="28"/>
      <c r="ENQ34" s="28"/>
      <c r="ENR34" s="28"/>
      <c r="ENS34" s="28"/>
      <c r="ENT34" s="28"/>
      <c r="ENU34" s="28"/>
      <c r="ENV34" s="28"/>
      <c r="ENW34" s="28"/>
      <c r="ENX34" s="28"/>
      <c r="ENY34" s="28"/>
      <c r="ENZ34" s="28"/>
      <c r="EOA34" s="28"/>
      <c r="EOB34" s="28"/>
      <c r="EOC34" s="28"/>
      <c r="EOD34" s="28"/>
      <c r="EOE34" s="28"/>
      <c r="EOF34" s="28"/>
      <c r="EOG34" s="28"/>
      <c r="EOH34" s="28"/>
      <c r="EOI34" s="28"/>
      <c r="EOJ34" s="28"/>
      <c r="EOK34" s="28"/>
      <c r="EOL34" s="28"/>
      <c r="EOM34" s="28"/>
      <c r="EON34" s="28"/>
      <c r="EOO34" s="28"/>
      <c r="EOP34" s="28"/>
      <c r="EOQ34" s="28"/>
      <c r="EOR34" s="28"/>
      <c r="EOS34" s="28"/>
      <c r="EOT34" s="28"/>
      <c r="EOU34" s="28"/>
      <c r="EOV34" s="28"/>
      <c r="EOW34" s="28"/>
      <c r="EOX34" s="28"/>
      <c r="EOY34" s="28"/>
      <c r="EOZ34" s="28"/>
      <c r="EPA34" s="28"/>
      <c r="EPB34" s="28"/>
      <c r="EPC34" s="28"/>
      <c r="EPD34" s="28"/>
      <c r="EPE34" s="28"/>
      <c r="EPF34" s="28"/>
      <c r="EPG34" s="28"/>
      <c r="EPH34" s="28"/>
      <c r="EPI34" s="28"/>
      <c r="EPJ34" s="28"/>
      <c r="EPK34" s="28"/>
      <c r="EPL34" s="28"/>
      <c r="EPM34" s="28"/>
      <c r="EPN34" s="28"/>
      <c r="EPO34" s="28"/>
      <c r="EPP34" s="28"/>
      <c r="EPQ34" s="28"/>
      <c r="EPR34" s="28"/>
      <c r="EPS34" s="28"/>
      <c r="EPT34" s="28"/>
      <c r="EPU34" s="28"/>
      <c r="EPV34" s="28"/>
      <c r="EPW34" s="28"/>
      <c r="EPX34" s="28"/>
      <c r="EPY34" s="28"/>
      <c r="EPZ34" s="28"/>
      <c r="EQA34" s="28"/>
      <c r="EQB34" s="28"/>
      <c r="EQC34" s="28"/>
      <c r="EQD34" s="28"/>
      <c r="EQE34" s="28"/>
      <c r="EQF34" s="28"/>
      <c r="EQG34" s="28"/>
      <c r="EQH34" s="28"/>
      <c r="EQI34" s="28"/>
      <c r="EQJ34" s="28"/>
      <c r="EQK34" s="28"/>
      <c r="EQL34" s="28"/>
      <c r="EQM34" s="28"/>
      <c r="EQN34" s="28"/>
      <c r="EQO34" s="28"/>
      <c r="EQP34" s="28"/>
      <c r="EQQ34" s="28"/>
      <c r="EQR34" s="28"/>
      <c r="EQS34" s="28"/>
      <c r="EQT34" s="28"/>
      <c r="EQU34" s="28"/>
      <c r="EQV34" s="28"/>
      <c r="EQW34" s="28"/>
      <c r="EQX34" s="28"/>
      <c r="EQY34" s="28"/>
      <c r="EQZ34" s="28"/>
      <c r="ERA34" s="28"/>
      <c r="ERB34" s="28"/>
      <c r="ERC34" s="28"/>
      <c r="ERD34" s="28"/>
      <c r="ERE34" s="28"/>
      <c r="ERF34" s="28"/>
      <c r="ERG34" s="28"/>
      <c r="ERH34" s="28"/>
      <c r="ERI34" s="28"/>
      <c r="ERJ34" s="28"/>
      <c r="ERK34" s="28"/>
      <c r="ERL34" s="28"/>
      <c r="ERM34" s="28"/>
      <c r="ERN34" s="28"/>
      <c r="ERO34" s="28"/>
      <c r="ERP34" s="28"/>
      <c r="ERQ34" s="28"/>
      <c r="ERR34" s="28"/>
      <c r="ERS34" s="28"/>
      <c r="ERT34" s="28"/>
      <c r="ERU34" s="28"/>
      <c r="ERV34" s="28"/>
      <c r="ERW34" s="28"/>
      <c r="ERX34" s="28"/>
      <c r="ERY34" s="28"/>
      <c r="ERZ34" s="28"/>
      <c r="ESA34" s="28"/>
      <c r="ESB34" s="28"/>
      <c r="ESC34" s="28"/>
      <c r="ESD34" s="28"/>
      <c r="ESE34" s="28"/>
      <c r="ESF34" s="28"/>
      <c r="ESG34" s="28"/>
      <c r="ESH34" s="28"/>
      <c r="ESI34" s="28"/>
      <c r="ESJ34" s="28"/>
      <c r="ESK34" s="28"/>
      <c r="ESL34" s="28"/>
      <c r="ESM34" s="28"/>
      <c r="ESN34" s="28"/>
      <c r="ESO34" s="28"/>
      <c r="ESP34" s="28"/>
      <c r="ESQ34" s="28"/>
      <c r="ESR34" s="28"/>
      <c r="ESS34" s="28"/>
      <c r="EST34" s="28"/>
      <c r="ESU34" s="28"/>
      <c r="ESV34" s="28"/>
      <c r="ESW34" s="28"/>
      <c r="ESX34" s="28"/>
      <c r="ESY34" s="28"/>
      <c r="ESZ34" s="28"/>
      <c r="ETA34" s="28"/>
      <c r="ETB34" s="28"/>
      <c r="ETC34" s="28"/>
      <c r="ETD34" s="28"/>
      <c r="ETE34" s="28"/>
      <c r="ETF34" s="28"/>
      <c r="ETG34" s="28"/>
      <c r="ETH34" s="28"/>
      <c r="ETI34" s="28"/>
      <c r="ETJ34" s="28"/>
      <c r="ETK34" s="28"/>
      <c r="ETL34" s="28"/>
      <c r="ETM34" s="28"/>
      <c r="ETN34" s="28"/>
      <c r="ETO34" s="28"/>
      <c r="ETP34" s="28"/>
      <c r="ETQ34" s="28"/>
      <c r="ETR34" s="28"/>
      <c r="ETS34" s="28"/>
      <c r="ETT34" s="28"/>
      <c r="ETU34" s="28"/>
      <c r="ETV34" s="28"/>
      <c r="ETW34" s="28"/>
      <c r="ETX34" s="28"/>
      <c r="ETY34" s="28"/>
      <c r="ETZ34" s="28"/>
      <c r="EUA34" s="28"/>
      <c r="EUB34" s="28"/>
      <c r="EUC34" s="28"/>
      <c r="EUD34" s="28"/>
      <c r="EUE34" s="28"/>
      <c r="EUF34" s="28"/>
      <c r="EUG34" s="28"/>
      <c r="EUH34" s="28"/>
      <c r="EUI34" s="28"/>
      <c r="EUJ34" s="28"/>
      <c r="EUK34" s="28"/>
      <c r="EUL34" s="28"/>
      <c r="EUM34" s="28"/>
      <c r="EUN34" s="28"/>
      <c r="EUO34" s="28"/>
      <c r="EUP34" s="28"/>
      <c r="EUQ34" s="28"/>
      <c r="EUR34" s="28"/>
      <c r="EUS34" s="28"/>
      <c r="EUT34" s="28"/>
      <c r="EUU34" s="28"/>
      <c r="EUV34" s="28"/>
      <c r="EUW34" s="28"/>
      <c r="EUX34" s="28"/>
      <c r="EUY34" s="28"/>
      <c r="EUZ34" s="28"/>
      <c r="EVA34" s="28"/>
      <c r="EVB34" s="28"/>
      <c r="EVC34" s="28"/>
      <c r="EVD34" s="28"/>
      <c r="EVE34" s="28"/>
      <c r="EVF34" s="28"/>
      <c r="EVG34" s="28"/>
      <c r="EVH34" s="28"/>
      <c r="EVI34" s="28"/>
      <c r="EVJ34" s="28"/>
      <c r="EVK34" s="28"/>
      <c r="EVL34" s="28"/>
      <c r="EVM34" s="28"/>
      <c r="EVN34" s="28"/>
      <c r="EVO34" s="28"/>
      <c r="EVP34" s="28"/>
      <c r="EVQ34" s="28"/>
      <c r="EVR34" s="28"/>
      <c r="EVS34" s="28"/>
      <c r="EVT34" s="28"/>
      <c r="EVU34" s="28"/>
      <c r="EVV34" s="28"/>
      <c r="EVW34" s="28"/>
      <c r="EVX34" s="28"/>
      <c r="EVY34" s="28"/>
      <c r="EVZ34" s="28"/>
      <c r="EWA34" s="28"/>
      <c r="EWB34" s="28"/>
      <c r="EWC34" s="28"/>
      <c r="EWD34" s="28"/>
      <c r="EWE34" s="28"/>
      <c r="EWF34" s="28"/>
      <c r="EWG34" s="28"/>
      <c r="EWH34" s="28"/>
      <c r="EWI34" s="28"/>
      <c r="EWJ34" s="28"/>
      <c r="EWK34" s="28"/>
      <c r="EWL34" s="28"/>
      <c r="EWM34" s="28"/>
      <c r="EWN34" s="28"/>
      <c r="EWO34" s="28"/>
      <c r="EWP34" s="28"/>
      <c r="EWQ34" s="28"/>
      <c r="EWR34" s="28"/>
      <c r="EWS34" s="28"/>
      <c r="EWT34" s="28"/>
      <c r="EWU34" s="28"/>
      <c r="EWV34" s="28"/>
      <c r="EWW34" s="28"/>
      <c r="EWX34" s="28"/>
      <c r="EWY34" s="28"/>
      <c r="EWZ34" s="28"/>
      <c r="EXA34" s="28"/>
      <c r="EXB34" s="28"/>
      <c r="EXC34" s="28"/>
      <c r="EXD34" s="28"/>
      <c r="EXE34" s="28"/>
      <c r="EXF34" s="28"/>
      <c r="EXG34" s="28"/>
      <c r="EXH34" s="28"/>
      <c r="EXI34" s="28"/>
      <c r="EXJ34" s="28"/>
      <c r="EXK34" s="28"/>
      <c r="EXL34" s="28"/>
      <c r="EXM34" s="28"/>
      <c r="EXN34" s="28"/>
      <c r="EXO34" s="28"/>
      <c r="EXP34" s="28"/>
      <c r="EXQ34" s="28"/>
      <c r="EXR34" s="28"/>
      <c r="EXS34" s="28"/>
      <c r="EXT34" s="28"/>
      <c r="EXU34" s="28"/>
      <c r="EXV34" s="28"/>
      <c r="EXW34" s="28"/>
      <c r="EXX34" s="28"/>
      <c r="EXY34" s="28"/>
      <c r="EXZ34" s="28"/>
      <c r="EYA34" s="28"/>
      <c r="EYB34" s="28"/>
      <c r="EYC34" s="28"/>
      <c r="EYD34" s="28"/>
      <c r="EYE34" s="28"/>
      <c r="EYF34" s="28"/>
      <c r="EYG34" s="28"/>
      <c r="EYH34" s="28"/>
      <c r="EYI34" s="28"/>
      <c r="EYJ34" s="28"/>
      <c r="EYK34" s="28"/>
      <c r="EYL34" s="28"/>
      <c r="EYM34" s="28"/>
      <c r="EYN34" s="28"/>
      <c r="EYO34" s="28"/>
      <c r="EYP34" s="28"/>
      <c r="EYQ34" s="28"/>
      <c r="EYR34" s="28"/>
      <c r="EYS34" s="28"/>
      <c r="EYT34" s="28"/>
      <c r="EYU34" s="28"/>
      <c r="EYV34" s="28"/>
      <c r="EYW34" s="28"/>
      <c r="EYX34" s="28"/>
      <c r="EYY34" s="28"/>
      <c r="EYZ34" s="28"/>
      <c r="EZA34" s="28"/>
      <c r="EZB34" s="28"/>
      <c r="EZC34" s="28"/>
      <c r="EZD34" s="28"/>
      <c r="EZE34" s="28"/>
      <c r="EZF34" s="28"/>
      <c r="EZG34" s="28"/>
      <c r="EZH34" s="28"/>
      <c r="EZI34" s="28"/>
      <c r="EZJ34" s="28"/>
      <c r="EZK34" s="28"/>
      <c r="EZL34" s="28"/>
      <c r="EZM34" s="28"/>
      <c r="EZN34" s="28"/>
      <c r="EZO34" s="28"/>
      <c r="EZP34" s="28"/>
      <c r="EZQ34" s="28"/>
      <c r="EZR34" s="28"/>
      <c r="EZS34" s="28"/>
      <c r="EZT34" s="28"/>
      <c r="EZU34" s="28"/>
      <c r="EZV34" s="28"/>
      <c r="EZW34" s="28"/>
      <c r="EZX34" s="28"/>
      <c r="EZY34" s="28"/>
      <c r="EZZ34" s="28"/>
      <c r="FAA34" s="28"/>
      <c r="FAB34" s="28"/>
      <c r="FAC34" s="28"/>
      <c r="FAD34" s="28"/>
      <c r="FAE34" s="28"/>
      <c r="FAF34" s="28"/>
      <c r="FAG34" s="28"/>
      <c r="FAH34" s="28"/>
      <c r="FAI34" s="28"/>
      <c r="FAJ34" s="28"/>
      <c r="FAK34" s="28"/>
      <c r="FAL34" s="28"/>
      <c r="FAM34" s="28"/>
      <c r="FAN34" s="28"/>
      <c r="FAO34" s="28"/>
      <c r="FAP34" s="28"/>
      <c r="FAQ34" s="28"/>
      <c r="FAR34" s="28"/>
      <c r="FAS34" s="28"/>
      <c r="FAT34" s="28"/>
      <c r="FAU34" s="28"/>
      <c r="FAV34" s="28"/>
      <c r="FAW34" s="28"/>
      <c r="FAX34" s="28"/>
      <c r="FAY34" s="28"/>
      <c r="FAZ34" s="28"/>
      <c r="FBA34" s="28"/>
      <c r="FBB34" s="28"/>
      <c r="FBC34" s="28"/>
      <c r="FBD34" s="28"/>
      <c r="FBE34" s="28"/>
      <c r="FBF34" s="28"/>
      <c r="FBG34" s="28"/>
      <c r="FBH34" s="28"/>
      <c r="FBI34" s="28"/>
      <c r="FBJ34" s="28"/>
      <c r="FBK34" s="28"/>
      <c r="FBL34" s="28"/>
      <c r="FBM34" s="28"/>
      <c r="FBN34" s="28"/>
      <c r="FBO34" s="28"/>
      <c r="FBP34" s="28"/>
      <c r="FBQ34" s="28"/>
      <c r="FBR34" s="28"/>
      <c r="FBS34" s="28"/>
      <c r="FBT34" s="28"/>
      <c r="FBU34" s="28"/>
      <c r="FBV34" s="28"/>
      <c r="FBW34" s="28"/>
      <c r="FBX34" s="28"/>
      <c r="FBY34" s="28"/>
      <c r="FBZ34" s="28"/>
      <c r="FCA34" s="28"/>
      <c r="FCB34" s="28"/>
      <c r="FCC34" s="28"/>
      <c r="FCD34" s="28"/>
      <c r="FCE34" s="28"/>
      <c r="FCF34" s="28"/>
      <c r="FCG34" s="28"/>
      <c r="FCH34" s="28"/>
      <c r="FCI34" s="28"/>
      <c r="FCJ34" s="28"/>
      <c r="FCK34" s="28"/>
      <c r="FCL34" s="28"/>
      <c r="FCM34" s="28"/>
      <c r="FCN34" s="28"/>
      <c r="FCO34" s="28"/>
      <c r="FCP34" s="28"/>
      <c r="FCQ34" s="28"/>
      <c r="FCR34" s="28"/>
      <c r="FCS34" s="28"/>
      <c r="FCT34" s="28"/>
      <c r="FCU34" s="28"/>
      <c r="FCV34" s="28"/>
      <c r="FCW34" s="28"/>
      <c r="FCX34" s="28"/>
      <c r="FCY34" s="28"/>
      <c r="FCZ34" s="28"/>
      <c r="FDA34" s="28"/>
      <c r="FDB34" s="28"/>
      <c r="FDC34" s="28"/>
      <c r="FDD34" s="28"/>
      <c r="FDE34" s="28"/>
      <c r="FDF34" s="28"/>
      <c r="FDG34" s="28"/>
      <c r="FDH34" s="28"/>
      <c r="FDI34" s="28"/>
      <c r="FDJ34" s="28"/>
      <c r="FDK34" s="28"/>
      <c r="FDL34" s="28"/>
      <c r="FDM34" s="28"/>
      <c r="FDN34" s="28"/>
      <c r="FDO34" s="28"/>
      <c r="FDP34" s="28"/>
      <c r="FDQ34" s="28"/>
      <c r="FDR34" s="28"/>
      <c r="FDS34" s="28"/>
      <c r="FDT34" s="28"/>
      <c r="FDU34" s="28"/>
      <c r="FDV34" s="28"/>
      <c r="FDW34" s="28"/>
      <c r="FDX34" s="28"/>
      <c r="FDY34" s="28"/>
      <c r="FDZ34" s="28"/>
      <c r="FEA34" s="28"/>
      <c r="FEB34" s="28"/>
      <c r="FEC34" s="28"/>
      <c r="FED34" s="28"/>
      <c r="FEE34" s="28"/>
      <c r="FEF34" s="28"/>
      <c r="FEG34" s="28"/>
      <c r="FEH34" s="28"/>
      <c r="FEI34" s="28"/>
      <c r="FEJ34" s="28"/>
      <c r="FEK34" s="28"/>
      <c r="FEL34" s="28"/>
      <c r="FEM34" s="28"/>
      <c r="FEN34" s="28"/>
      <c r="FEO34" s="28"/>
      <c r="FEP34" s="28"/>
      <c r="FEQ34" s="28"/>
      <c r="FER34" s="28"/>
      <c r="FES34" s="28"/>
      <c r="FET34" s="28"/>
      <c r="FEU34" s="28"/>
      <c r="FEV34" s="28"/>
      <c r="FEW34" s="28"/>
      <c r="FEX34" s="28"/>
      <c r="FEY34" s="28"/>
      <c r="FEZ34" s="28"/>
      <c r="FFA34" s="28"/>
      <c r="FFB34" s="28"/>
      <c r="FFC34" s="28"/>
      <c r="FFD34" s="28"/>
      <c r="FFE34" s="28"/>
      <c r="FFF34" s="28"/>
      <c r="FFG34" s="28"/>
      <c r="FFH34" s="28"/>
      <c r="FFI34" s="28"/>
      <c r="FFJ34" s="28"/>
      <c r="FFK34" s="28"/>
      <c r="FFL34" s="28"/>
      <c r="FFM34" s="28"/>
      <c r="FFN34" s="28"/>
      <c r="FFO34" s="28"/>
      <c r="FFP34" s="28"/>
      <c r="FFQ34" s="28"/>
      <c r="FFR34" s="28"/>
      <c r="FFS34" s="28"/>
      <c r="FFT34" s="28"/>
      <c r="FFU34" s="28"/>
      <c r="FFV34" s="28"/>
      <c r="FFW34" s="28"/>
      <c r="FFX34" s="28"/>
      <c r="FFY34" s="28"/>
      <c r="FFZ34" s="28"/>
      <c r="FGA34" s="28"/>
      <c r="FGB34" s="28"/>
      <c r="FGC34" s="28"/>
      <c r="FGD34" s="28"/>
      <c r="FGE34" s="28"/>
      <c r="FGF34" s="28"/>
      <c r="FGG34" s="28"/>
      <c r="FGH34" s="28"/>
      <c r="FGI34" s="28"/>
      <c r="FGJ34" s="28"/>
      <c r="FGK34" s="28"/>
      <c r="FGL34" s="28"/>
      <c r="FGM34" s="28"/>
      <c r="FGN34" s="28"/>
      <c r="FGO34" s="28"/>
      <c r="FGP34" s="28"/>
      <c r="FGQ34" s="28"/>
      <c r="FGR34" s="28"/>
      <c r="FGS34" s="28"/>
      <c r="FGT34" s="28"/>
      <c r="FGU34" s="28"/>
      <c r="FGV34" s="28"/>
      <c r="FGW34" s="28"/>
      <c r="FGX34" s="28"/>
      <c r="FGY34" s="28"/>
      <c r="FGZ34" s="28"/>
      <c r="FHA34" s="28"/>
      <c r="FHB34" s="28"/>
      <c r="FHC34" s="28"/>
      <c r="FHD34" s="28"/>
      <c r="FHE34" s="28"/>
      <c r="FHF34" s="28"/>
      <c r="FHG34" s="28"/>
      <c r="FHH34" s="28"/>
      <c r="FHI34" s="28"/>
      <c r="FHJ34" s="28"/>
      <c r="FHK34" s="28"/>
      <c r="FHL34" s="28"/>
      <c r="FHM34" s="28"/>
      <c r="FHN34" s="28"/>
      <c r="FHO34" s="28"/>
      <c r="FHP34" s="28"/>
      <c r="FHQ34" s="28"/>
      <c r="FHR34" s="28"/>
      <c r="FHS34" s="28"/>
      <c r="FHT34" s="28"/>
      <c r="FHU34" s="28"/>
      <c r="FHV34" s="28"/>
      <c r="FHW34" s="28"/>
      <c r="FHX34" s="28"/>
      <c r="FHY34" s="28"/>
      <c r="FHZ34" s="28"/>
      <c r="FIA34" s="28"/>
      <c r="FIB34" s="28"/>
      <c r="FIC34" s="28"/>
      <c r="FID34" s="28"/>
      <c r="FIE34" s="28"/>
      <c r="FIF34" s="28"/>
      <c r="FIG34" s="28"/>
      <c r="FIH34" s="28"/>
      <c r="FII34" s="28"/>
      <c r="FIJ34" s="28"/>
      <c r="FIK34" s="28"/>
      <c r="FIL34" s="28"/>
      <c r="FIM34" s="28"/>
      <c r="FIN34" s="28"/>
      <c r="FIO34" s="28"/>
      <c r="FIP34" s="28"/>
      <c r="FIQ34" s="28"/>
      <c r="FIR34" s="28"/>
      <c r="FIS34" s="28"/>
      <c r="FIT34" s="28"/>
      <c r="FIU34" s="28"/>
      <c r="FIV34" s="28"/>
      <c r="FIW34" s="28"/>
      <c r="FIX34" s="28"/>
      <c r="FIY34" s="28"/>
      <c r="FIZ34" s="28"/>
      <c r="FJA34" s="28"/>
      <c r="FJB34" s="28"/>
      <c r="FJC34" s="28"/>
      <c r="FJD34" s="28"/>
      <c r="FJE34" s="28"/>
      <c r="FJF34" s="28"/>
      <c r="FJG34" s="28"/>
      <c r="FJH34" s="28"/>
      <c r="FJI34" s="28"/>
      <c r="FJJ34" s="28"/>
      <c r="FJK34" s="28"/>
      <c r="FJL34" s="28"/>
      <c r="FJM34" s="28"/>
      <c r="FJN34" s="28"/>
      <c r="FJO34" s="28"/>
      <c r="FJP34" s="28"/>
      <c r="FJQ34" s="28"/>
      <c r="FJR34" s="28"/>
      <c r="FJS34" s="28"/>
      <c r="FJT34" s="28"/>
      <c r="FJU34" s="28"/>
      <c r="FJV34" s="28"/>
      <c r="FJW34" s="28"/>
      <c r="FJX34" s="28"/>
      <c r="FJY34" s="28"/>
      <c r="FJZ34" s="28"/>
      <c r="FKA34" s="28"/>
      <c r="FKB34" s="28"/>
      <c r="FKC34" s="28"/>
      <c r="FKD34" s="28"/>
      <c r="FKE34" s="28"/>
      <c r="FKF34" s="28"/>
      <c r="FKG34" s="28"/>
      <c r="FKH34" s="28"/>
      <c r="FKI34" s="28"/>
      <c r="FKJ34" s="28"/>
      <c r="FKK34" s="28"/>
      <c r="FKL34" s="28"/>
      <c r="FKM34" s="28"/>
      <c r="FKN34" s="28"/>
      <c r="FKO34" s="28"/>
      <c r="FKP34" s="28"/>
      <c r="FKQ34" s="28"/>
      <c r="FKR34" s="28"/>
      <c r="FKS34" s="28"/>
      <c r="FKT34" s="28"/>
      <c r="FKU34" s="28"/>
      <c r="FKV34" s="28"/>
      <c r="FKW34" s="28"/>
      <c r="FKX34" s="28"/>
      <c r="FKY34" s="28"/>
      <c r="FKZ34" s="28"/>
      <c r="FLA34" s="28"/>
      <c r="FLB34" s="28"/>
      <c r="FLC34" s="28"/>
      <c r="FLD34" s="28"/>
      <c r="FLE34" s="28"/>
      <c r="FLF34" s="28"/>
      <c r="FLG34" s="28"/>
      <c r="FLH34" s="28"/>
      <c r="FLI34" s="28"/>
      <c r="FLJ34" s="28"/>
      <c r="FLK34" s="28"/>
      <c r="FLL34" s="28"/>
      <c r="FLM34" s="28"/>
      <c r="FLN34" s="28"/>
      <c r="FLO34" s="28"/>
      <c r="FLP34" s="28"/>
      <c r="FLQ34" s="28"/>
      <c r="FLR34" s="28"/>
      <c r="FLS34" s="28"/>
      <c r="FLT34" s="28"/>
      <c r="FLU34" s="28"/>
      <c r="FLV34" s="28"/>
      <c r="FLW34" s="28"/>
      <c r="FLX34" s="28"/>
      <c r="FLY34" s="28"/>
      <c r="FLZ34" s="28"/>
      <c r="FMA34" s="28"/>
      <c r="FMB34" s="28"/>
      <c r="FMC34" s="28"/>
      <c r="FMD34" s="28"/>
      <c r="FME34" s="28"/>
      <c r="FMF34" s="28"/>
      <c r="FMG34" s="28"/>
      <c r="FMH34" s="28"/>
      <c r="FMI34" s="28"/>
      <c r="FMJ34" s="28"/>
      <c r="FMK34" s="28"/>
      <c r="FML34" s="28"/>
      <c r="FMM34" s="28"/>
      <c r="FMN34" s="28"/>
      <c r="FMO34" s="28"/>
      <c r="FMP34" s="28"/>
      <c r="FMQ34" s="28"/>
      <c r="FMR34" s="28"/>
      <c r="FMS34" s="28"/>
      <c r="FMT34" s="28"/>
      <c r="FMU34" s="28"/>
      <c r="FMV34" s="28"/>
      <c r="FMW34" s="28"/>
      <c r="FMX34" s="28"/>
      <c r="FMY34" s="28"/>
      <c r="FMZ34" s="28"/>
      <c r="FNA34" s="28"/>
      <c r="FNB34" s="28"/>
      <c r="FNC34" s="28"/>
      <c r="FND34" s="28"/>
      <c r="FNE34" s="28"/>
      <c r="FNF34" s="28"/>
      <c r="FNG34" s="28"/>
      <c r="FNH34" s="28"/>
      <c r="FNI34" s="28"/>
      <c r="FNJ34" s="28"/>
      <c r="FNK34" s="28"/>
      <c r="FNL34" s="28"/>
      <c r="FNM34" s="28"/>
      <c r="FNN34" s="28"/>
      <c r="FNO34" s="28"/>
      <c r="FNP34" s="28"/>
      <c r="FNQ34" s="28"/>
      <c r="FNR34" s="28"/>
      <c r="FNS34" s="28"/>
      <c r="FNT34" s="28"/>
      <c r="FNU34" s="28"/>
      <c r="FNV34" s="28"/>
      <c r="FNW34" s="28"/>
      <c r="FNX34" s="28"/>
      <c r="FNY34" s="28"/>
      <c r="FNZ34" s="28"/>
      <c r="FOA34" s="28"/>
      <c r="FOB34" s="28"/>
      <c r="FOC34" s="28"/>
      <c r="FOD34" s="28"/>
      <c r="FOE34" s="28"/>
      <c r="FOF34" s="28"/>
      <c r="FOG34" s="28"/>
      <c r="FOH34" s="28"/>
      <c r="FOI34" s="28"/>
      <c r="FOJ34" s="28"/>
      <c r="FOK34" s="28"/>
      <c r="FOL34" s="28"/>
      <c r="FOM34" s="28"/>
      <c r="FON34" s="28"/>
      <c r="FOO34" s="28"/>
      <c r="FOP34" s="28"/>
      <c r="FOQ34" s="28"/>
      <c r="FOR34" s="28"/>
      <c r="FOS34" s="28"/>
      <c r="FOT34" s="28"/>
      <c r="FOU34" s="28"/>
      <c r="FOV34" s="28"/>
      <c r="FOW34" s="28"/>
      <c r="FOX34" s="28"/>
      <c r="FOY34" s="28"/>
      <c r="FOZ34" s="28"/>
      <c r="FPA34" s="28"/>
      <c r="FPB34" s="28"/>
      <c r="FPC34" s="28"/>
      <c r="FPD34" s="28"/>
      <c r="FPE34" s="28"/>
      <c r="FPF34" s="28"/>
      <c r="FPG34" s="28"/>
      <c r="FPH34" s="28"/>
      <c r="FPI34" s="28"/>
      <c r="FPJ34" s="28"/>
      <c r="FPK34" s="28"/>
      <c r="FPL34" s="28"/>
      <c r="FPM34" s="28"/>
      <c r="FPN34" s="28"/>
      <c r="FPO34" s="28"/>
      <c r="FPP34" s="28"/>
      <c r="FPQ34" s="28"/>
      <c r="FPR34" s="28"/>
      <c r="FPS34" s="28"/>
      <c r="FPT34" s="28"/>
      <c r="FPU34" s="28"/>
      <c r="FPV34" s="28"/>
      <c r="FPW34" s="28"/>
      <c r="FPX34" s="28"/>
      <c r="FPY34" s="28"/>
      <c r="FPZ34" s="28"/>
      <c r="FQA34" s="28"/>
      <c r="FQB34" s="28"/>
      <c r="FQC34" s="28"/>
      <c r="FQD34" s="28"/>
      <c r="FQE34" s="28"/>
      <c r="FQF34" s="28"/>
      <c r="FQG34" s="28"/>
      <c r="FQH34" s="28"/>
      <c r="FQI34" s="28"/>
      <c r="FQJ34" s="28"/>
      <c r="FQK34" s="28"/>
      <c r="FQL34" s="28"/>
      <c r="FQM34" s="28"/>
      <c r="FQN34" s="28"/>
      <c r="FQO34" s="28"/>
      <c r="FQP34" s="28"/>
      <c r="FQQ34" s="28"/>
      <c r="FQR34" s="28"/>
      <c r="FQS34" s="28"/>
      <c r="FQT34" s="28"/>
      <c r="FQU34" s="28"/>
      <c r="FQV34" s="28"/>
      <c r="FQW34" s="28"/>
      <c r="FQX34" s="28"/>
      <c r="FQY34" s="28"/>
      <c r="FQZ34" s="28"/>
      <c r="FRA34" s="28"/>
      <c r="FRB34" s="28"/>
      <c r="FRC34" s="28"/>
      <c r="FRD34" s="28"/>
      <c r="FRE34" s="28"/>
      <c r="FRF34" s="28"/>
      <c r="FRG34" s="28"/>
      <c r="FRH34" s="28"/>
      <c r="FRI34" s="28"/>
      <c r="FRJ34" s="28"/>
      <c r="FRK34" s="28"/>
      <c r="FRL34" s="28"/>
      <c r="FRM34" s="28"/>
      <c r="FRN34" s="28"/>
      <c r="FRO34" s="28"/>
      <c r="FRP34" s="28"/>
      <c r="FRQ34" s="28"/>
      <c r="FRR34" s="28"/>
      <c r="FRS34" s="28"/>
      <c r="FRT34" s="28"/>
      <c r="FRU34" s="28"/>
      <c r="FRV34" s="28"/>
      <c r="FRW34" s="28"/>
      <c r="FRX34" s="28"/>
      <c r="FRY34" s="28"/>
      <c r="FRZ34" s="28"/>
      <c r="FSA34" s="28"/>
      <c r="FSB34" s="28"/>
      <c r="FSC34" s="28"/>
      <c r="FSD34" s="28"/>
      <c r="FSE34" s="28"/>
      <c r="FSF34" s="28"/>
      <c r="FSG34" s="28"/>
      <c r="FSH34" s="28"/>
      <c r="FSI34" s="28"/>
      <c r="FSJ34" s="28"/>
      <c r="FSK34" s="28"/>
      <c r="FSL34" s="28"/>
      <c r="FSM34" s="28"/>
      <c r="FSN34" s="28"/>
      <c r="FSO34" s="28"/>
      <c r="FSP34" s="28"/>
      <c r="FSQ34" s="28"/>
      <c r="FSR34" s="28"/>
      <c r="FSS34" s="28"/>
      <c r="FST34" s="28"/>
      <c r="FSU34" s="28"/>
      <c r="FSV34" s="28"/>
      <c r="FSW34" s="28"/>
      <c r="FSX34" s="28"/>
      <c r="FSY34" s="28"/>
      <c r="FSZ34" s="28"/>
      <c r="FTA34" s="28"/>
      <c r="FTB34" s="28"/>
      <c r="FTC34" s="28"/>
      <c r="FTD34" s="28"/>
      <c r="FTE34" s="28"/>
      <c r="FTF34" s="28"/>
      <c r="FTG34" s="28"/>
      <c r="FTH34" s="28"/>
      <c r="FTI34" s="28"/>
      <c r="FTJ34" s="28"/>
      <c r="FTK34" s="28"/>
      <c r="FTL34" s="28"/>
      <c r="FTM34" s="28"/>
      <c r="FTN34" s="28"/>
      <c r="FTO34" s="28"/>
      <c r="FTP34" s="28"/>
      <c r="FTQ34" s="28"/>
      <c r="FTR34" s="28"/>
      <c r="FTS34" s="28"/>
      <c r="FTT34" s="28"/>
      <c r="FTU34" s="28"/>
      <c r="FTV34" s="28"/>
      <c r="FTW34" s="28"/>
      <c r="FTX34" s="28"/>
      <c r="FTY34" s="28"/>
      <c r="FTZ34" s="28"/>
      <c r="FUA34" s="28"/>
      <c r="FUB34" s="28"/>
      <c r="FUC34" s="28"/>
      <c r="FUD34" s="28"/>
      <c r="FUE34" s="28"/>
      <c r="FUF34" s="28"/>
      <c r="FUG34" s="28"/>
      <c r="FUH34" s="28"/>
      <c r="FUI34" s="28"/>
      <c r="FUJ34" s="28"/>
      <c r="FUK34" s="28"/>
      <c r="FUL34" s="28"/>
      <c r="FUM34" s="28"/>
      <c r="FUN34" s="28"/>
      <c r="FUO34" s="28"/>
      <c r="FUP34" s="28"/>
      <c r="FUQ34" s="28"/>
      <c r="FUR34" s="28"/>
      <c r="FUS34" s="28"/>
      <c r="FUT34" s="28"/>
      <c r="FUU34" s="28"/>
      <c r="FUV34" s="28"/>
      <c r="FUW34" s="28"/>
      <c r="FUX34" s="28"/>
      <c r="FUY34" s="28"/>
      <c r="FUZ34" s="28"/>
      <c r="FVA34" s="28"/>
      <c r="FVB34" s="28"/>
      <c r="FVC34" s="28"/>
      <c r="FVD34" s="28"/>
      <c r="FVE34" s="28"/>
      <c r="FVF34" s="28"/>
      <c r="FVG34" s="28"/>
      <c r="FVH34" s="28"/>
      <c r="FVI34" s="28"/>
      <c r="FVJ34" s="28"/>
      <c r="FVK34" s="28"/>
      <c r="FVL34" s="28"/>
      <c r="FVM34" s="28"/>
      <c r="FVN34" s="28"/>
      <c r="FVO34" s="28"/>
      <c r="FVP34" s="28"/>
      <c r="FVQ34" s="28"/>
      <c r="FVR34" s="28"/>
      <c r="FVS34" s="28"/>
      <c r="FVT34" s="28"/>
      <c r="FVU34" s="28"/>
      <c r="FVV34" s="28"/>
      <c r="FVW34" s="28"/>
      <c r="FVX34" s="28"/>
      <c r="FVY34" s="28"/>
      <c r="FVZ34" s="28"/>
      <c r="FWA34" s="28"/>
      <c r="FWB34" s="28"/>
      <c r="FWC34" s="28"/>
      <c r="FWD34" s="28"/>
      <c r="FWE34" s="28"/>
      <c r="FWF34" s="28"/>
      <c r="FWG34" s="28"/>
      <c r="FWH34" s="28"/>
      <c r="FWI34" s="28"/>
      <c r="FWJ34" s="28"/>
      <c r="FWK34" s="28"/>
      <c r="FWL34" s="28"/>
      <c r="FWM34" s="28"/>
      <c r="FWN34" s="28"/>
      <c r="FWO34" s="28"/>
      <c r="FWP34" s="28"/>
      <c r="FWQ34" s="28"/>
      <c r="FWR34" s="28"/>
      <c r="FWS34" s="28"/>
      <c r="FWT34" s="28"/>
      <c r="FWU34" s="28"/>
      <c r="FWV34" s="28"/>
      <c r="FWW34" s="28"/>
      <c r="FWX34" s="28"/>
      <c r="FWY34" s="28"/>
      <c r="FWZ34" s="28"/>
      <c r="FXA34" s="28"/>
      <c r="FXB34" s="28"/>
      <c r="FXC34" s="28"/>
      <c r="FXD34" s="28"/>
      <c r="FXE34" s="28"/>
      <c r="FXF34" s="28"/>
      <c r="FXG34" s="28"/>
      <c r="FXH34" s="28"/>
      <c r="FXI34" s="28"/>
      <c r="FXJ34" s="28"/>
      <c r="FXK34" s="28"/>
      <c r="FXL34" s="28"/>
      <c r="FXM34" s="28"/>
      <c r="FXN34" s="28"/>
      <c r="FXO34" s="28"/>
      <c r="FXP34" s="28"/>
      <c r="FXQ34" s="28"/>
      <c r="FXR34" s="28"/>
      <c r="FXS34" s="28"/>
      <c r="FXT34" s="28"/>
      <c r="FXU34" s="28"/>
      <c r="FXV34" s="28"/>
      <c r="FXW34" s="28"/>
      <c r="FXX34" s="28"/>
      <c r="FXY34" s="28"/>
      <c r="FXZ34" s="28"/>
      <c r="FYA34" s="28"/>
      <c r="FYB34" s="28"/>
      <c r="FYC34" s="28"/>
      <c r="FYD34" s="28"/>
      <c r="FYE34" s="28"/>
      <c r="FYF34" s="28"/>
      <c r="FYG34" s="28"/>
      <c r="FYH34" s="28"/>
      <c r="FYI34" s="28"/>
      <c r="FYJ34" s="28"/>
      <c r="FYK34" s="28"/>
      <c r="FYL34" s="28"/>
      <c r="FYM34" s="28"/>
      <c r="FYN34" s="28"/>
      <c r="FYO34" s="28"/>
      <c r="FYP34" s="28"/>
      <c r="FYQ34" s="28"/>
      <c r="FYR34" s="28"/>
      <c r="FYS34" s="28"/>
      <c r="FYT34" s="28"/>
      <c r="FYU34" s="28"/>
      <c r="FYV34" s="28"/>
      <c r="FYW34" s="28"/>
      <c r="FYX34" s="28"/>
      <c r="FYY34" s="28"/>
      <c r="FYZ34" s="28"/>
      <c r="FZA34" s="28"/>
      <c r="FZB34" s="28"/>
      <c r="FZC34" s="28"/>
      <c r="FZD34" s="28"/>
      <c r="FZE34" s="28"/>
      <c r="FZF34" s="28"/>
      <c r="FZG34" s="28"/>
      <c r="FZH34" s="28"/>
      <c r="FZI34" s="28"/>
      <c r="FZJ34" s="28"/>
      <c r="FZK34" s="28"/>
      <c r="FZL34" s="28"/>
      <c r="FZM34" s="28"/>
      <c r="FZN34" s="28"/>
      <c r="FZO34" s="28"/>
      <c r="FZP34" s="28"/>
      <c r="FZQ34" s="28"/>
      <c r="FZR34" s="28"/>
      <c r="FZS34" s="28"/>
      <c r="FZT34" s="28"/>
      <c r="FZU34" s="28"/>
      <c r="FZV34" s="28"/>
      <c r="FZW34" s="28"/>
      <c r="FZX34" s="28"/>
      <c r="FZY34" s="28"/>
      <c r="FZZ34" s="28"/>
      <c r="GAA34" s="28"/>
      <c r="GAB34" s="28"/>
      <c r="GAC34" s="28"/>
      <c r="GAD34" s="28"/>
      <c r="GAE34" s="28"/>
      <c r="GAF34" s="28"/>
      <c r="GAG34" s="28"/>
      <c r="GAH34" s="28"/>
      <c r="GAI34" s="28"/>
      <c r="GAJ34" s="28"/>
      <c r="GAK34" s="28"/>
      <c r="GAL34" s="28"/>
      <c r="GAM34" s="28"/>
      <c r="GAN34" s="28"/>
      <c r="GAO34" s="28"/>
      <c r="GAP34" s="28"/>
      <c r="GAQ34" s="28"/>
      <c r="GAR34" s="28"/>
      <c r="GAS34" s="28"/>
      <c r="GAT34" s="28"/>
      <c r="GAU34" s="28"/>
      <c r="GAV34" s="28"/>
      <c r="GAW34" s="28"/>
      <c r="GAX34" s="28"/>
      <c r="GAY34" s="28"/>
      <c r="GAZ34" s="28"/>
      <c r="GBA34" s="28"/>
      <c r="GBB34" s="28"/>
      <c r="GBC34" s="28"/>
      <c r="GBD34" s="28"/>
      <c r="GBE34" s="28"/>
      <c r="GBF34" s="28"/>
      <c r="GBG34" s="28"/>
      <c r="GBH34" s="28"/>
      <c r="GBI34" s="28"/>
      <c r="GBJ34" s="28"/>
      <c r="GBK34" s="28"/>
      <c r="GBL34" s="28"/>
      <c r="GBM34" s="28"/>
      <c r="GBN34" s="28"/>
      <c r="GBO34" s="28"/>
      <c r="GBP34" s="28"/>
      <c r="GBQ34" s="28"/>
      <c r="GBR34" s="28"/>
      <c r="GBS34" s="28"/>
      <c r="GBT34" s="28"/>
      <c r="GBU34" s="28"/>
      <c r="GBV34" s="28"/>
      <c r="GBW34" s="28"/>
      <c r="GBX34" s="28"/>
      <c r="GBY34" s="28"/>
      <c r="GBZ34" s="28"/>
      <c r="GCA34" s="28"/>
      <c r="GCB34" s="28"/>
      <c r="GCC34" s="28"/>
      <c r="GCD34" s="28"/>
      <c r="GCE34" s="28"/>
      <c r="GCF34" s="28"/>
      <c r="GCG34" s="28"/>
      <c r="GCH34" s="28"/>
      <c r="GCI34" s="28"/>
      <c r="GCJ34" s="28"/>
      <c r="GCK34" s="28"/>
      <c r="GCL34" s="28"/>
      <c r="GCM34" s="28"/>
      <c r="GCN34" s="28"/>
      <c r="GCO34" s="28"/>
      <c r="GCP34" s="28"/>
      <c r="GCQ34" s="28"/>
      <c r="GCR34" s="28"/>
      <c r="GCS34" s="28"/>
      <c r="GCT34" s="28"/>
      <c r="GCU34" s="28"/>
      <c r="GCV34" s="28"/>
      <c r="GCW34" s="28"/>
      <c r="GCX34" s="28"/>
      <c r="GCY34" s="28"/>
      <c r="GCZ34" s="28"/>
      <c r="GDA34" s="28"/>
      <c r="GDB34" s="28"/>
      <c r="GDC34" s="28"/>
      <c r="GDD34" s="28"/>
      <c r="GDE34" s="28"/>
      <c r="GDF34" s="28"/>
      <c r="GDG34" s="28"/>
      <c r="GDH34" s="28"/>
      <c r="GDI34" s="28"/>
      <c r="GDJ34" s="28"/>
      <c r="GDK34" s="28"/>
      <c r="GDL34" s="28"/>
      <c r="GDM34" s="28"/>
      <c r="GDN34" s="28"/>
      <c r="GDO34" s="28"/>
      <c r="GDP34" s="28"/>
      <c r="GDQ34" s="28"/>
      <c r="GDR34" s="28"/>
      <c r="GDS34" s="28"/>
      <c r="GDT34" s="28"/>
      <c r="GDU34" s="28"/>
      <c r="GDV34" s="28"/>
      <c r="GDW34" s="28"/>
      <c r="GDX34" s="28"/>
      <c r="GDY34" s="28"/>
      <c r="GDZ34" s="28"/>
      <c r="GEA34" s="28"/>
      <c r="GEB34" s="28"/>
      <c r="GEC34" s="28"/>
      <c r="GED34" s="28"/>
      <c r="GEE34" s="28"/>
      <c r="GEF34" s="28"/>
      <c r="GEG34" s="28"/>
      <c r="GEH34" s="28"/>
      <c r="GEI34" s="28"/>
      <c r="GEJ34" s="28"/>
      <c r="GEK34" s="28"/>
      <c r="GEL34" s="28"/>
      <c r="GEM34" s="28"/>
      <c r="GEN34" s="28"/>
      <c r="GEO34" s="28"/>
      <c r="GEP34" s="28"/>
      <c r="GEQ34" s="28"/>
      <c r="GER34" s="28"/>
      <c r="GES34" s="28"/>
      <c r="GET34" s="28"/>
      <c r="GEU34" s="28"/>
      <c r="GEV34" s="28"/>
      <c r="GEW34" s="28"/>
      <c r="GEX34" s="28"/>
      <c r="GEY34" s="28"/>
      <c r="GEZ34" s="28"/>
      <c r="GFA34" s="28"/>
      <c r="GFB34" s="28"/>
      <c r="GFC34" s="28"/>
      <c r="GFD34" s="28"/>
      <c r="GFE34" s="28"/>
      <c r="GFF34" s="28"/>
      <c r="GFG34" s="28"/>
      <c r="GFH34" s="28"/>
      <c r="GFI34" s="28"/>
      <c r="GFJ34" s="28"/>
      <c r="GFK34" s="28"/>
      <c r="GFL34" s="28"/>
      <c r="GFM34" s="28"/>
      <c r="GFN34" s="28"/>
      <c r="GFO34" s="28"/>
      <c r="GFP34" s="28"/>
      <c r="GFQ34" s="28"/>
      <c r="GFR34" s="28"/>
      <c r="GFS34" s="28"/>
      <c r="GFT34" s="28"/>
      <c r="GFU34" s="28"/>
      <c r="GFV34" s="28"/>
      <c r="GFW34" s="28"/>
      <c r="GFX34" s="28"/>
      <c r="GFY34" s="28"/>
      <c r="GFZ34" s="28"/>
      <c r="GGA34" s="28"/>
      <c r="GGB34" s="28"/>
      <c r="GGC34" s="28"/>
      <c r="GGD34" s="28"/>
      <c r="GGE34" s="28"/>
      <c r="GGF34" s="28"/>
      <c r="GGG34" s="28"/>
      <c r="GGH34" s="28"/>
      <c r="GGI34" s="28"/>
      <c r="GGJ34" s="28"/>
      <c r="GGK34" s="28"/>
      <c r="GGL34" s="28"/>
      <c r="GGM34" s="28"/>
      <c r="GGN34" s="28"/>
      <c r="GGO34" s="28"/>
      <c r="GGP34" s="28"/>
      <c r="GGQ34" s="28"/>
      <c r="GGR34" s="28"/>
      <c r="GGS34" s="28"/>
      <c r="GGT34" s="28"/>
      <c r="GGU34" s="28"/>
      <c r="GGV34" s="28"/>
      <c r="GGW34" s="28"/>
      <c r="GGX34" s="28"/>
      <c r="GGY34" s="28"/>
      <c r="GGZ34" s="28"/>
      <c r="GHA34" s="28"/>
      <c r="GHB34" s="28"/>
      <c r="GHC34" s="28"/>
      <c r="GHD34" s="28"/>
      <c r="GHE34" s="28"/>
      <c r="GHF34" s="28"/>
      <c r="GHG34" s="28"/>
      <c r="GHH34" s="28"/>
      <c r="GHI34" s="28"/>
      <c r="GHJ34" s="28"/>
      <c r="GHK34" s="28"/>
      <c r="GHL34" s="28"/>
      <c r="GHM34" s="28"/>
      <c r="GHN34" s="28"/>
      <c r="GHO34" s="28"/>
      <c r="GHP34" s="28"/>
      <c r="GHQ34" s="28"/>
      <c r="GHR34" s="28"/>
      <c r="GHS34" s="28"/>
      <c r="GHT34" s="28"/>
      <c r="GHU34" s="28"/>
      <c r="GHV34" s="28"/>
      <c r="GHW34" s="28"/>
      <c r="GHX34" s="28"/>
      <c r="GHY34" s="28"/>
      <c r="GHZ34" s="28"/>
      <c r="GIA34" s="28"/>
      <c r="GIB34" s="28"/>
      <c r="GIC34" s="28"/>
      <c r="GID34" s="28"/>
      <c r="GIE34" s="28"/>
      <c r="GIF34" s="28"/>
      <c r="GIG34" s="28"/>
      <c r="GIH34" s="28"/>
      <c r="GII34" s="28"/>
      <c r="GIJ34" s="28"/>
      <c r="GIK34" s="28"/>
      <c r="GIL34" s="28"/>
      <c r="GIM34" s="28"/>
      <c r="GIN34" s="28"/>
      <c r="GIO34" s="28"/>
      <c r="GIP34" s="28"/>
      <c r="GIQ34" s="28"/>
      <c r="GIR34" s="28"/>
      <c r="GIS34" s="28"/>
      <c r="GIT34" s="28"/>
      <c r="GIU34" s="28"/>
      <c r="GIV34" s="28"/>
      <c r="GIW34" s="28"/>
      <c r="GIX34" s="28"/>
      <c r="GIY34" s="28"/>
      <c r="GIZ34" s="28"/>
      <c r="GJA34" s="28"/>
      <c r="GJB34" s="28"/>
      <c r="GJC34" s="28"/>
      <c r="GJD34" s="28"/>
      <c r="GJE34" s="28"/>
      <c r="GJF34" s="28"/>
      <c r="GJG34" s="28"/>
      <c r="GJH34" s="28"/>
      <c r="GJI34" s="28"/>
      <c r="GJJ34" s="28"/>
      <c r="GJK34" s="28"/>
      <c r="GJL34" s="28"/>
      <c r="GJM34" s="28"/>
      <c r="GJN34" s="28"/>
      <c r="GJO34" s="28"/>
      <c r="GJP34" s="28"/>
      <c r="GJQ34" s="28"/>
      <c r="GJR34" s="28"/>
      <c r="GJS34" s="28"/>
      <c r="GJT34" s="28"/>
      <c r="GJU34" s="28"/>
      <c r="GJV34" s="28"/>
      <c r="GJW34" s="28"/>
      <c r="GJX34" s="28"/>
      <c r="GJY34" s="28"/>
      <c r="GJZ34" s="28"/>
      <c r="GKA34" s="28"/>
      <c r="GKB34" s="28"/>
      <c r="GKC34" s="28"/>
      <c r="GKD34" s="28"/>
      <c r="GKE34" s="28"/>
      <c r="GKF34" s="28"/>
      <c r="GKG34" s="28"/>
      <c r="GKH34" s="28"/>
      <c r="GKI34" s="28"/>
      <c r="GKJ34" s="28"/>
      <c r="GKK34" s="28"/>
      <c r="GKL34" s="28"/>
      <c r="GKM34" s="28"/>
      <c r="GKN34" s="28"/>
      <c r="GKO34" s="28"/>
      <c r="GKP34" s="28"/>
      <c r="GKQ34" s="28"/>
      <c r="GKR34" s="28"/>
      <c r="GKS34" s="28"/>
      <c r="GKT34" s="28"/>
      <c r="GKU34" s="28"/>
      <c r="GKV34" s="28"/>
      <c r="GKW34" s="28"/>
      <c r="GKX34" s="28"/>
      <c r="GKY34" s="28"/>
      <c r="GKZ34" s="28"/>
      <c r="GLA34" s="28"/>
      <c r="GLB34" s="28"/>
      <c r="GLC34" s="28"/>
      <c r="GLD34" s="28"/>
      <c r="GLE34" s="28"/>
      <c r="GLF34" s="28"/>
      <c r="GLG34" s="28"/>
      <c r="GLH34" s="28"/>
      <c r="GLI34" s="28"/>
      <c r="GLJ34" s="28"/>
      <c r="GLK34" s="28"/>
      <c r="GLL34" s="28"/>
      <c r="GLM34" s="28"/>
      <c r="GLN34" s="28"/>
      <c r="GLO34" s="28"/>
      <c r="GLP34" s="28"/>
      <c r="GLQ34" s="28"/>
      <c r="GLR34" s="28"/>
      <c r="GLS34" s="28"/>
      <c r="GLT34" s="28"/>
      <c r="GLU34" s="28"/>
      <c r="GLV34" s="28"/>
      <c r="GLW34" s="28"/>
      <c r="GLX34" s="28"/>
      <c r="GLY34" s="28"/>
      <c r="GLZ34" s="28"/>
      <c r="GMA34" s="28"/>
      <c r="GMB34" s="28"/>
      <c r="GMC34" s="28"/>
      <c r="GMD34" s="28"/>
      <c r="GME34" s="28"/>
      <c r="GMF34" s="28"/>
      <c r="GMG34" s="28"/>
      <c r="GMH34" s="28"/>
      <c r="GMI34" s="28"/>
      <c r="GMJ34" s="28"/>
      <c r="GMK34" s="28"/>
      <c r="GML34" s="28"/>
      <c r="GMM34" s="28"/>
      <c r="GMN34" s="28"/>
      <c r="GMO34" s="28"/>
      <c r="GMP34" s="28"/>
      <c r="GMQ34" s="28"/>
      <c r="GMR34" s="28"/>
      <c r="GMS34" s="28"/>
      <c r="GMT34" s="28"/>
      <c r="GMU34" s="28"/>
      <c r="GMV34" s="28"/>
      <c r="GMW34" s="28"/>
      <c r="GMX34" s="28"/>
      <c r="GMY34" s="28"/>
      <c r="GMZ34" s="28"/>
      <c r="GNA34" s="28"/>
      <c r="GNB34" s="28"/>
      <c r="GNC34" s="28"/>
      <c r="GND34" s="28"/>
      <c r="GNE34" s="28"/>
      <c r="GNF34" s="28"/>
      <c r="GNG34" s="28"/>
      <c r="GNH34" s="28"/>
      <c r="GNI34" s="28"/>
      <c r="GNJ34" s="28"/>
      <c r="GNK34" s="28"/>
      <c r="GNL34" s="28"/>
      <c r="GNM34" s="28"/>
      <c r="GNN34" s="28"/>
      <c r="GNO34" s="28"/>
      <c r="GNP34" s="28"/>
      <c r="GNQ34" s="28"/>
      <c r="GNR34" s="28"/>
      <c r="GNS34" s="28"/>
      <c r="GNT34" s="28"/>
      <c r="GNU34" s="28"/>
      <c r="GNV34" s="28"/>
      <c r="GNW34" s="28"/>
      <c r="GNX34" s="28"/>
      <c r="GNY34" s="28"/>
      <c r="GNZ34" s="28"/>
      <c r="GOA34" s="28"/>
      <c r="GOB34" s="28"/>
      <c r="GOC34" s="28"/>
      <c r="GOD34" s="28"/>
      <c r="GOE34" s="28"/>
      <c r="GOF34" s="28"/>
      <c r="GOG34" s="28"/>
      <c r="GOH34" s="28"/>
      <c r="GOI34" s="28"/>
      <c r="GOJ34" s="28"/>
      <c r="GOK34" s="28"/>
      <c r="GOL34" s="28"/>
      <c r="GOM34" s="28"/>
      <c r="GON34" s="28"/>
      <c r="GOO34" s="28"/>
      <c r="GOP34" s="28"/>
      <c r="GOQ34" s="28"/>
      <c r="GOR34" s="28"/>
      <c r="GOS34" s="28"/>
      <c r="GOT34" s="28"/>
      <c r="GOU34" s="28"/>
      <c r="GOV34" s="28"/>
      <c r="GOW34" s="28"/>
      <c r="GOX34" s="28"/>
      <c r="GOY34" s="28"/>
      <c r="GOZ34" s="28"/>
      <c r="GPA34" s="28"/>
      <c r="GPB34" s="28"/>
      <c r="GPC34" s="28"/>
      <c r="GPD34" s="28"/>
      <c r="GPE34" s="28"/>
      <c r="GPF34" s="28"/>
      <c r="GPG34" s="28"/>
      <c r="GPH34" s="28"/>
      <c r="GPI34" s="28"/>
      <c r="GPJ34" s="28"/>
      <c r="GPK34" s="28"/>
      <c r="GPL34" s="28"/>
      <c r="GPM34" s="28"/>
      <c r="GPN34" s="28"/>
      <c r="GPO34" s="28"/>
      <c r="GPP34" s="28"/>
      <c r="GPQ34" s="28"/>
      <c r="GPR34" s="28"/>
      <c r="GPS34" s="28"/>
      <c r="GPT34" s="28"/>
      <c r="GPU34" s="28"/>
      <c r="GPV34" s="28"/>
      <c r="GPW34" s="28"/>
      <c r="GPX34" s="28"/>
      <c r="GPY34" s="28"/>
      <c r="GPZ34" s="28"/>
      <c r="GQA34" s="28"/>
      <c r="GQB34" s="28"/>
      <c r="GQC34" s="28"/>
      <c r="GQD34" s="28"/>
      <c r="GQE34" s="28"/>
      <c r="GQF34" s="28"/>
      <c r="GQG34" s="28"/>
      <c r="GQH34" s="28"/>
      <c r="GQI34" s="28"/>
      <c r="GQJ34" s="28"/>
      <c r="GQK34" s="28"/>
      <c r="GQL34" s="28"/>
      <c r="GQM34" s="28"/>
      <c r="GQN34" s="28"/>
      <c r="GQO34" s="28"/>
      <c r="GQP34" s="28"/>
      <c r="GQQ34" s="28"/>
      <c r="GQR34" s="28"/>
      <c r="GQS34" s="28"/>
      <c r="GQT34" s="28"/>
      <c r="GQU34" s="28"/>
      <c r="GQV34" s="28"/>
      <c r="GQW34" s="28"/>
      <c r="GQX34" s="28"/>
      <c r="GQY34" s="28"/>
      <c r="GQZ34" s="28"/>
      <c r="GRA34" s="28"/>
      <c r="GRB34" s="28"/>
      <c r="GRC34" s="28"/>
      <c r="GRD34" s="28"/>
      <c r="GRE34" s="28"/>
      <c r="GRF34" s="28"/>
      <c r="GRG34" s="28"/>
      <c r="GRH34" s="28"/>
      <c r="GRI34" s="28"/>
      <c r="GRJ34" s="28"/>
      <c r="GRK34" s="28"/>
      <c r="GRL34" s="28"/>
      <c r="GRM34" s="28"/>
      <c r="GRN34" s="28"/>
      <c r="GRO34" s="28"/>
      <c r="GRP34" s="28"/>
      <c r="GRQ34" s="28"/>
      <c r="GRR34" s="28"/>
      <c r="GRS34" s="28"/>
      <c r="GRT34" s="28"/>
      <c r="GRU34" s="28"/>
      <c r="GRV34" s="28"/>
      <c r="GRW34" s="28"/>
      <c r="GRX34" s="28"/>
      <c r="GRY34" s="28"/>
      <c r="GRZ34" s="28"/>
      <c r="GSA34" s="28"/>
      <c r="GSB34" s="28"/>
      <c r="GSC34" s="28"/>
      <c r="GSD34" s="28"/>
      <c r="GSE34" s="28"/>
      <c r="GSF34" s="28"/>
      <c r="GSG34" s="28"/>
      <c r="GSH34" s="28"/>
      <c r="GSI34" s="28"/>
      <c r="GSJ34" s="28"/>
      <c r="GSK34" s="28"/>
      <c r="GSL34" s="28"/>
      <c r="GSM34" s="28"/>
      <c r="GSN34" s="28"/>
      <c r="GSO34" s="28"/>
      <c r="GSP34" s="28"/>
      <c r="GSQ34" s="28"/>
      <c r="GSR34" s="28"/>
      <c r="GSS34" s="28"/>
      <c r="GST34" s="28"/>
      <c r="GSU34" s="28"/>
      <c r="GSV34" s="28"/>
      <c r="GSW34" s="28"/>
      <c r="GSX34" s="28"/>
      <c r="GSY34" s="28"/>
      <c r="GSZ34" s="28"/>
      <c r="GTA34" s="28"/>
      <c r="GTB34" s="28"/>
      <c r="GTC34" s="28"/>
      <c r="GTD34" s="28"/>
      <c r="GTE34" s="28"/>
      <c r="GTF34" s="28"/>
      <c r="GTG34" s="28"/>
      <c r="GTH34" s="28"/>
      <c r="GTI34" s="28"/>
      <c r="GTJ34" s="28"/>
      <c r="GTK34" s="28"/>
      <c r="GTL34" s="28"/>
      <c r="GTM34" s="28"/>
      <c r="GTN34" s="28"/>
      <c r="GTO34" s="28"/>
      <c r="GTP34" s="28"/>
      <c r="GTQ34" s="28"/>
      <c r="GTR34" s="28"/>
      <c r="GTS34" s="28"/>
      <c r="GTT34" s="28"/>
      <c r="GTU34" s="28"/>
      <c r="GTV34" s="28"/>
      <c r="GTW34" s="28"/>
      <c r="GTX34" s="28"/>
      <c r="GTY34" s="28"/>
      <c r="GTZ34" s="28"/>
      <c r="GUA34" s="28"/>
      <c r="GUB34" s="28"/>
      <c r="GUC34" s="28"/>
      <c r="GUD34" s="28"/>
      <c r="GUE34" s="28"/>
      <c r="GUF34" s="28"/>
      <c r="GUG34" s="28"/>
      <c r="GUH34" s="28"/>
      <c r="GUI34" s="28"/>
      <c r="GUJ34" s="28"/>
      <c r="GUK34" s="28"/>
      <c r="GUL34" s="28"/>
      <c r="GUM34" s="28"/>
      <c r="GUN34" s="28"/>
      <c r="GUO34" s="28"/>
      <c r="GUP34" s="28"/>
      <c r="GUQ34" s="28"/>
      <c r="GUR34" s="28"/>
      <c r="GUS34" s="28"/>
      <c r="GUT34" s="28"/>
      <c r="GUU34" s="28"/>
      <c r="GUV34" s="28"/>
      <c r="GUW34" s="28"/>
      <c r="GUX34" s="28"/>
      <c r="GUY34" s="28"/>
      <c r="GUZ34" s="28"/>
      <c r="GVA34" s="28"/>
      <c r="GVB34" s="28"/>
      <c r="GVC34" s="28"/>
      <c r="GVD34" s="28"/>
      <c r="GVE34" s="28"/>
      <c r="GVF34" s="28"/>
      <c r="GVG34" s="28"/>
      <c r="GVH34" s="28"/>
      <c r="GVI34" s="28"/>
      <c r="GVJ34" s="28"/>
      <c r="GVK34" s="28"/>
      <c r="GVL34" s="28"/>
      <c r="GVM34" s="28"/>
      <c r="GVN34" s="28"/>
      <c r="GVO34" s="28"/>
      <c r="GVP34" s="28"/>
      <c r="GVQ34" s="28"/>
      <c r="GVR34" s="28"/>
      <c r="GVS34" s="28"/>
      <c r="GVT34" s="28"/>
      <c r="GVU34" s="28"/>
      <c r="GVV34" s="28"/>
      <c r="GVW34" s="28"/>
      <c r="GVX34" s="28"/>
      <c r="GVY34" s="28"/>
      <c r="GVZ34" s="28"/>
      <c r="GWA34" s="28"/>
      <c r="GWB34" s="28"/>
      <c r="GWC34" s="28"/>
      <c r="GWD34" s="28"/>
      <c r="GWE34" s="28"/>
      <c r="GWF34" s="28"/>
      <c r="GWG34" s="28"/>
      <c r="GWH34" s="28"/>
      <c r="GWI34" s="28"/>
      <c r="GWJ34" s="28"/>
      <c r="GWK34" s="28"/>
      <c r="GWL34" s="28"/>
      <c r="GWM34" s="28"/>
      <c r="GWN34" s="28"/>
      <c r="GWO34" s="28"/>
      <c r="GWP34" s="28"/>
      <c r="GWQ34" s="28"/>
      <c r="GWR34" s="28"/>
      <c r="GWS34" s="28"/>
      <c r="GWT34" s="28"/>
      <c r="GWU34" s="28"/>
      <c r="GWV34" s="28"/>
      <c r="GWW34" s="28"/>
      <c r="GWX34" s="28"/>
      <c r="GWY34" s="28"/>
      <c r="GWZ34" s="28"/>
      <c r="GXA34" s="28"/>
      <c r="GXB34" s="28"/>
      <c r="GXC34" s="28"/>
      <c r="GXD34" s="28"/>
      <c r="GXE34" s="28"/>
      <c r="GXF34" s="28"/>
      <c r="GXG34" s="28"/>
      <c r="GXH34" s="28"/>
      <c r="GXI34" s="28"/>
      <c r="GXJ34" s="28"/>
      <c r="GXK34" s="28"/>
      <c r="GXL34" s="28"/>
      <c r="GXM34" s="28"/>
      <c r="GXN34" s="28"/>
      <c r="GXO34" s="28"/>
      <c r="GXP34" s="28"/>
      <c r="GXQ34" s="28"/>
      <c r="GXR34" s="28"/>
      <c r="GXS34" s="28"/>
      <c r="GXT34" s="28"/>
      <c r="GXU34" s="28"/>
      <c r="GXV34" s="28"/>
      <c r="GXW34" s="28"/>
      <c r="GXX34" s="28"/>
      <c r="GXY34" s="28"/>
      <c r="GXZ34" s="28"/>
      <c r="GYA34" s="28"/>
      <c r="GYB34" s="28"/>
      <c r="GYC34" s="28"/>
      <c r="GYD34" s="28"/>
      <c r="GYE34" s="28"/>
      <c r="GYF34" s="28"/>
      <c r="GYG34" s="28"/>
      <c r="GYH34" s="28"/>
      <c r="GYI34" s="28"/>
      <c r="GYJ34" s="28"/>
      <c r="GYK34" s="28"/>
      <c r="GYL34" s="28"/>
      <c r="GYM34" s="28"/>
      <c r="GYN34" s="28"/>
      <c r="GYO34" s="28"/>
      <c r="GYP34" s="28"/>
      <c r="GYQ34" s="28"/>
      <c r="GYR34" s="28"/>
      <c r="GYS34" s="28"/>
      <c r="GYT34" s="28"/>
      <c r="GYU34" s="28"/>
      <c r="GYV34" s="28"/>
      <c r="GYW34" s="28"/>
      <c r="GYX34" s="28"/>
      <c r="GYY34" s="28"/>
      <c r="GYZ34" s="28"/>
      <c r="GZA34" s="28"/>
      <c r="GZB34" s="28"/>
      <c r="GZC34" s="28"/>
      <c r="GZD34" s="28"/>
      <c r="GZE34" s="28"/>
      <c r="GZF34" s="28"/>
      <c r="GZG34" s="28"/>
      <c r="GZH34" s="28"/>
      <c r="GZI34" s="28"/>
      <c r="GZJ34" s="28"/>
      <c r="GZK34" s="28"/>
      <c r="GZL34" s="28"/>
      <c r="GZM34" s="28"/>
      <c r="GZN34" s="28"/>
      <c r="GZO34" s="28"/>
      <c r="GZP34" s="28"/>
      <c r="GZQ34" s="28"/>
      <c r="GZR34" s="28"/>
      <c r="GZS34" s="28"/>
      <c r="GZT34" s="28"/>
      <c r="GZU34" s="28"/>
      <c r="GZV34" s="28"/>
      <c r="GZW34" s="28"/>
      <c r="GZX34" s="28"/>
      <c r="GZY34" s="28"/>
      <c r="GZZ34" s="28"/>
      <c r="HAA34" s="28"/>
      <c r="HAB34" s="28"/>
      <c r="HAC34" s="28"/>
      <c r="HAD34" s="28"/>
      <c r="HAE34" s="28"/>
      <c r="HAF34" s="28"/>
      <c r="HAG34" s="28"/>
      <c r="HAH34" s="28"/>
      <c r="HAI34" s="28"/>
      <c r="HAJ34" s="28"/>
      <c r="HAK34" s="28"/>
      <c r="HAL34" s="28"/>
      <c r="HAM34" s="28"/>
      <c r="HAN34" s="28"/>
      <c r="HAO34" s="28"/>
      <c r="HAP34" s="28"/>
      <c r="HAQ34" s="28"/>
      <c r="HAR34" s="28"/>
      <c r="HAS34" s="28"/>
      <c r="HAT34" s="28"/>
      <c r="HAU34" s="28"/>
      <c r="HAV34" s="28"/>
      <c r="HAW34" s="28"/>
      <c r="HAX34" s="28"/>
      <c r="HAY34" s="28"/>
      <c r="HAZ34" s="28"/>
      <c r="HBA34" s="28"/>
      <c r="HBB34" s="28"/>
      <c r="HBC34" s="28"/>
      <c r="HBD34" s="28"/>
      <c r="HBE34" s="28"/>
      <c r="HBF34" s="28"/>
      <c r="HBG34" s="28"/>
      <c r="HBH34" s="28"/>
      <c r="HBI34" s="28"/>
      <c r="HBJ34" s="28"/>
      <c r="HBK34" s="28"/>
      <c r="HBL34" s="28"/>
      <c r="HBM34" s="28"/>
      <c r="HBN34" s="28"/>
      <c r="HBO34" s="28"/>
      <c r="HBP34" s="28"/>
      <c r="HBQ34" s="28"/>
      <c r="HBR34" s="28"/>
      <c r="HBS34" s="28"/>
      <c r="HBT34" s="28"/>
      <c r="HBU34" s="28"/>
      <c r="HBV34" s="28"/>
      <c r="HBW34" s="28"/>
      <c r="HBX34" s="28"/>
      <c r="HBY34" s="28"/>
      <c r="HBZ34" s="28"/>
      <c r="HCA34" s="28"/>
      <c r="HCB34" s="28"/>
      <c r="HCC34" s="28"/>
      <c r="HCD34" s="28"/>
      <c r="HCE34" s="28"/>
      <c r="HCF34" s="28"/>
      <c r="HCG34" s="28"/>
      <c r="HCH34" s="28"/>
      <c r="HCI34" s="28"/>
      <c r="HCJ34" s="28"/>
      <c r="HCK34" s="28"/>
      <c r="HCL34" s="28"/>
      <c r="HCM34" s="28"/>
      <c r="HCN34" s="28"/>
      <c r="HCO34" s="28"/>
      <c r="HCP34" s="28"/>
      <c r="HCQ34" s="28"/>
      <c r="HCR34" s="28"/>
      <c r="HCS34" s="28"/>
      <c r="HCT34" s="28"/>
      <c r="HCU34" s="28"/>
      <c r="HCV34" s="28"/>
      <c r="HCW34" s="28"/>
      <c r="HCX34" s="28"/>
      <c r="HCY34" s="28"/>
      <c r="HCZ34" s="28"/>
      <c r="HDA34" s="28"/>
      <c r="HDB34" s="28"/>
      <c r="HDC34" s="28"/>
      <c r="HDD34" s="28"/>
      <c r="HDE34" s="28"/>
      <c r="HDF34" s="28"/>
      <c r="HDG34" s="28"/>
      <c r="HDH34" s="28"/>
      <c r="HDI34" s="28"/>
      <c r="HDJ34" s="28"/>
      <c r="HDK34" s="28"/>
      <c r="HDL34" s="28"/>
      <c r="HDM34" s="28"/>
      <c r="HDN34" s="28"/>
      <c r="HDO34" s="28"/>
      <c r="HDP34" s="28"/>
      <c r="HDQ34" s="28"/>
      <c r="HDR34" s="28"/>
      <c r="HDS34" s="28"/>
      <c r="HDT34" s="28"/>
      <c r="HDU34" s="28"/>
      <c r="HDV34" s="28"/>
      <c r="HDW34" s="28"/>
      <c r="HDX34" s="28"/>
      <c r="HDY34" s="28"/>
      <c r="HDZ34" s="28"/>
      <c r="HEA34" s="28"/>
      <c r="HEB34" s="28"/>
      <c r="HEC34" s="28"/>
      <c r="HED34" s="28"/>
      <c r="HEE34" s="28"/>
      <c r="HEF34" s="28"/>
      <c r="HEG34" s="28"/>
      <c r="HEH34" s="28"/>
      <c r="HEI34" s="28"/>
      <c r="HEJ34" s="28"/>
      <c r="HEK34" s="28"/>
      <c r="HEL34" s="28"/>
      <c r="HEM34" s="28"/>
      <c r="HEN34" s="28"/>
      <c r="HEO34" s="28"/>
      <c r="HEP34" s="28"/>
      <c r="HEQ34" s="28"/>
      <c r="HER34" s="28"/>
      <c r="HES34" s="28"/>
      <c r="HET34" s="28"/>
      <c r="HEU34" s="28"/>
      <c r="HEV34" s="28"/>
      <c r="HEW34" s="28"/>
      <c r="HEX34" s="28"/>
      <c r="HEY34" s="28"/>
      <c r="HEZ34" s="28"/>
      <c r="HFA34" s="28"/>
      <c r="HFB34" s="28"/>
      <c r="HFC34" s="28"/>
      <c r="HFD34" s="28"/>
      <c r="HFE34" s="28"/>
      <c r="HFF34" s="28"/>
      <c r="HFG34" s="28"/>
      <c r="HFH34" s="28"/>
      <c r="HFI34" s="28"/>
      <c r="HFJ34" s="28"/>
      <c r="HFK34" s="28"/>
      <c r="HFL34" s="28"/>
      <c r="HFM34" s="28"/>
      <c r="HFN34" s="28"/>
      <c r="HFO34" s="28"/>
      <c r="HFP34" s="28"/>
      <c r="HFQ34" s="28"/>
      <c r="HFR34" s="28"/>
      <c r="HFS34" s="28"/>
      <c r="HFT34" s="28"/>
      <c r="HFU34" s="28"/>
      <c r="HFV34" s="28"/>
      <c r="HFW34" s="28"/>
      <c r="HFX34" s="28"/>
      <c r="HFY34" s="28"/>
      <c r="HFZ34" s="28"/>
      <c r="HGA34" s="28"/>
      <c r="HGB34" s="28"/>
      <c r="HGC34" s="28"/>
      <c r="HGD34" s="28"/>
      <c r="HGE34" s="28"/>
      <c r="HGF34" s="28"/>
      <c r="HGG34" s="28"/>
      <c r="HGH34" s="28"/>
      <c r="HGI34" s="28"/>
      <c r="HGJ34" s="28"/>
      <c r="HGK34" s="28"/>
      <c r="HGL34" s="28"/>
      <c r="HGM34" s="28"/>
      <c r="HGN34" s="28"/>
      <c r="HGO34" s="28"/>
      <c r="HGP34" s="28"/>
      <c r="HGQ34" s="28"/>
      <c r="HGR34" s="28"/>
      <c r="HGS34" s="28"/>
      <c r="HGT34" s="28"/>
      <c r="HGU34" s="28"/>
      <c r="HGV34" s="28"/>
      <c r="HGW34" s="28"/>
      <c r="HGX34" s="28"/>
      <c r="HGY34" s="28"/>
      <c r="HGZ34" s="28"/>
      <c r="HHA34" s="28"/>
      <c r="HHB34" s="28"/>
      <c r="HHC34" s="28"/>
      <c r="HHD34" s="28"/>
      <c r="HHE34" s="28"/>
      <c r="HHF34" s="28"/>
      <c r="HHG34" s="28"/>
      <c r="HHH34" s="28"/>
      <c r="HHI34" s="28"/>
      <c r="HHJ34" s="28"/>
      <c r="HHK34" s="28"/>
      <c r="HHL34" s="28"/>
      <c r="HHM34" s="28"/>
      <c r="HHN34" s="28"/>
      <c r="HHO34" s="28"/>
      <c r="HHP34" s="28"/>
      <c r="HHQ34" s="28"/>
      <c r="HHR34" s="28"/>
      <c r="HHS34" s="28"/>
      <c r="HHT34" s="28"/>
      <c r="HHU34" s="28"/>
      <c r="HHV34" s="28"/>
      <c r="HHW34" s="28"/>
      <c r="HHX34" s="28"/>
      <c r="HHY34" s="28"/>
      <c r="HHZ34" s="28"/>
      <c r="HIA34" s="28"/>
      <c r="HIB34" s="28"/>
      <c r="HIC34" s="28"/>
      <c r="HID34" s="28"/>
      <c r="HIE34" s="28"/>
      <c r="HIF34" s="28"/>
      <c r="HIG34" s="28"/>
      <c r="HIH34" s="28"/>
      <c r="HII34" s="28"/>
      <c r="HIJ34" s="28"/>
      <c r="HIK34" s="28"/>
      <c r="HIL34" s="28"/>
      <c r="HIM34" s="28"/>
      <c r="HIN34" s="28"/>
      <c r="HIO34" s="28"/>
      <c r="HIP34" s="28"/>
      <c r="HIQ34" s="28"/>
      <c r="HIR34" s="28"/>
      <c r="HIS34" s="28"/>
      <c r="HIT34" s="28"/>
      <c r="HIU34" s="28"/>
      <c r="HIV34" s="28"/>
      <c r="HIW34" s="28"/>
      <c r="HIX34" s="28"/>
      <c r="HIY34" s="28"/>
      <c r="HIZ34" s="28"/>
      <c r="HJA34" s="28"/>
      <c r="HJB34" s="28"/>
      <c r="HJC34" s="28"/>
      <c r="HJD34" s="28"/>
      <c r="HJE34" s="28"/>
      <c r="HJF34" s="28"/>
      <c r="HJG34" s="28"/>
      <c r="HJH34" s="28"/>
      <c r="HJI34" s="28"/>
      <c r="HJJ34" s="28"/>
      <c r="HJK34" s="28"/>
      <c r="HJL34" s="28"/>
      <c r="HJM34" s="28"/>
      <c r="HJN34" s="28"/>
      <c r="HJO34" s="28"/>
      <c r="HJP34" s="28"/>
      <c r="HJQ34" s="28"/>
      <c r="HJR34" s="28"/>
      <c r="HJS34" s="28"/>
      <c r="HJT34" s="28"/>
      <c r="HJU34" s="28"/>
      <c r="HJV34" s="28"/>
      <c r="HJW34" s="28"/>
      <c r="HJX34" s="28"/>
      <c r="HJY34" s="28"/>
      <c r="HJZ34" s="28"/>
      <c r="HKA34" s="28"/>
      <c r="HKB34" s="28"/>
      <c r="HKC34" s="28"/>
      <c r="HKD34" s="28"/>
      <c r="HKE34" s="28"/>
      <c r="HKF34" s="28"/>
      <c r="HKG34" s="28"/>
      <c r="HKH34" s="28"/>
      <c r="HKI34" s="28"/>
      <c r="HKJ34" s="28"/>
      <c r="HKK34" s="28"/>
      <c r="HKL34" s="28"/>
      <c r="HKM34" s="28"/>
      <c r="HKN34" s="28"/>
      <c r="HKO34" s="28"/>
      <c r="HKP34" s="28"/>
      <c r="HKQ34" s="28"/>
      <c r="HKR34" s="28"/>
      <c r="HKS34" s="28"/>
      <c r="HKT34" s="28"/>
      <c r="HKU34" s="28"/>
      <c r="HKV34" s="28"/>
      <c r="HKW34" s="28"/>
      <c r="HKX34" s="28"/>
      <c r="HKY34" s="28"/>
      <c r="HKZ34" s="28"/>
      <c r="HLA34" s="28"/>
      <c r="HLB34" s="28"/>
      <c r="HLC34" s="28"/>
      <c r="HLD34" s="28"/>
      <c r="HLE34" s="28"/>
      <c r="HLF34" s="28"/>
      <c r="HLG34" s="28"/>
      <c r="HLH34" s="28"/>
      <c r="HLI34" s="28"/>
      <c r="HLJ34" s="28"/>
      <c r="HLK34" s="28"/>
      <c r="HLL34" s="28"/>
      <c r="HLM34" s="28"/>
      <c r="HLN34" s="28"/>
      <c r="HLO34" s="28"/>
      <c r="HLP34" s="28"/>
      <c r="HLQ34" s="28"/>
      <c r="HLR34" s="28"/>
      <c r="HLS34" s="28"/>
      <c r="HLT34" s="28"/>
      <c r="HLU34" s="28"/>
      <c r="HLV34" s="28"/>
      <c r="HLW34" s="28"/>
      <c r="HLX34" s="28"/>
      <c r="HLY34" s="28"/>
      <c r="HLZ34" s="28"/>
      <c r="HMA34" s="28"/>
      <c r="HMB34" s="28"/>
      <c r="HMC34" s="28"/>
      <c r="HMD34" s="28"/>
      <c r="HME34" s="28"/>
      <c r="HMF34" s="28"/>
      <c r="HMG34" s="28"/>
      <c r="HMH34" s="28"/>
      <c r="HMI34" s="28"/>
      <c r="HMJ34" s="28"/>
      <c r="HMK34" s="28"/>
      <c r="HML34" s="28"/>
      <c r="HMM34" s="28"/>
      <c r="HMN34" s="28"/>
      <c r="HMO34" s="28"/>
      <c r="HMP34" s="28"/>
      <c r="HMQ34" s="28"/>
      <c r="HMR34" s="28"/>
      <c r="HMS34" s="28"/>
      <c r="HMT34" s="28"/>
      <c r="HMU34" s="28"/>
      <c r="HMV34" s="28"/>
      <c r="HMW34" s="28"/>
      <c r="HMX34" s="28"/>
      <c r="HMY34" s="28"/>
      <c r="HMZ34" s="28"/>
      <c r="HNA34" s="28"/>
      <c r="HNB34" s="28"/>
      <c r="HNC34" s="28"/>
      <c r="HND34" s="28"/>
      <c r="HNE34" s="28"/>
      <c r="HNF34" s="28"/>
      <c r="HNG34" s="28"/>
      <c r="HNH34" s="28"/>
      <c r="HNI34" s="28"/>
      <c r="HNJ34" s="28"/>
      <c r="HNK34" s="28"/>
      <c r="HNL34" s="28"/>
      <c r="HNM34" s="28"/>
      <c r="HNN34" s="28"/>
      <c r="HNO34" s="28"/>
      <c r="HNP34" s="28"/>
      <c r="HNQ34" s="28"/>
      <c r="HNR34" s="28"/>
      <c r="HNS34" s="28"/>
      <c r="HNT34" s="28"/>
      <c r="HNU34" s="28"/>
      <c r="HNV34" s="28"/>
      <c r="HNW34" s="28"/>
      <c r="HNX34" s="28"/>
      <c r="HNY34" s="28"/>
      <c r="HNZ34" s="28"/>
      <c r="HOA34" s="28"/>
      <c r="HOB34" s="28"/>
      <c r="HOC34" s="28"/>
      <c r="HOD34" s="28"/>
      <c r="HOE34" s="28"/>
      <c r="HOF34" s="28"/>
      <c r="HOG34" s="28"/>
      <c r="HOH34" s="28"/>
      <c r="HOI34" s="28"/>
      <c r="HOJ34" s="28"/>
      <c r="HOK34" s="28"/>
      <c r="HOL34" s="28"/>
      <c r="HOM34" s="28"/>
      <c r="HON34" s="28"/>
      <c r="HOO34" s="28"/>
      <c r="HOP34" s="28"/>
      <c r="HOQ34" s="28"/>
      <c r="HOR34" s="28"/>
      <c r="HOS34" s="28"/>
      <c r="HOT34" s="28"/>
      <c r="HOU34" s="28"/>
      <c r="HOV34" s="28"/>
      <c r="HOW34" s="28"/>
      <c r="HOX34" s="28"/>
      <c r="HOY34" s="28"/>
      <c r="HOZ34" s="28"/>
      <c r="HPA34" s="28"/>
      <c r="HPB34" s="28"/>
      <c r="HPC34" s="28"/>
      <c r="HPD34" s="28"/>
      <c r="HPE34" s="28"/>
      <c r="HPF34" s="28"/>
      <c r="HPG34" s="28"/>
      <c r="HPH34" s="28"/>
      <c r="HPI34" s="28"/>
      <c r="HPJ34" s="28"/>
      <c r="HPK34" s="28"/>
      <c r="HPL34" s="28"/>
      <c r="HPM34" s="28"/>
      <c r="HPN34" s="28"/>
      <c r="HPO34" s="28"/>
      <c r="HPP34" s="28"/>
      <c r="HPQ34" s="28"/>
      <c r="HPR34" s="28"/>
      <c r="HPS34" s="28"/>
      <c r="HPT34" s="28"/>
      <c r="HPU34" s="28"/>
      <c r="HPV34" s="28"/>
      <c r="HPW34" s="28"/>
      <c r="HPX34" s="28"/>
      <c r="HPY34" s="28"/>
      <c r="HPZ34" s="28"/>
      <c r="HQA34" s="28"/>
      <c r="HQB34" s="28"/>
      <c r="HQC34" s="28"/>
      <c r="HQD34" s="28"/>
      <c r="HQE34" s="28"/>
      <c r="HQF34" s="28"/>
      <c r="HQG34" s="28"/>
      <c r="HQH34" s="28"/>
      <c r="HQI34" s="28"/>
      <c r="HQJ34" s="28"/>
      <c r="HQK34" s="28"/>
      <c r="HQL34" s="28"/>
      <c r="HQM34" s="28"/>
      <c r="HQN34" s="28"/>
      <c r="HQO34" s="28"/>
      <c r="HQP34" s="28"/>
      <c r="HQQ34" s="28"/>
      <c r="HQR34" s="28"/>
      <c r="HQS34" s="28"/>
      <c r="HQT34" s="28"/>
      <c r="HQU34" s="28"/>
      <c r="HQV34" s="28"/>
      <c r="HQW34" s="28"/>
      <c r="HQX34" s="28"/>
      <c r="HQY34" s="28"/>
      <c r="HQZ34" s="28"/>
      <c r="HRA34" s="28"/>
      <c r="HRB34" s="28"/>
      <c r="HRC34" s="28"/>
      <c r="HRD34" s="28"/>
      <c r="HRE34" s="28"/>
      <c r="HRF34" s="28"/>
      <c r="HRG34" s="28"/>
      <c r="HRH34" s="28"/>
      <c r="HRI34" s="28"/>
      <c r="HRJ34" s="28"/>
      <c r="HRK34" s="28"/>
      <c r="HRL34" s="28"/>
      <c r="HRM34" s="28"/>
      <c r="HRN34" s="28"/>
      <c r="HRO34" s="28"/>
      <c r="HRP34" s="28"/>
      <c r="HRQ34" s="28"/>
      <c r="HRR34" s="28"/>
      <c r="HRS34" s="28"/>
      <c r="HRT34" s="28"/>
      <c r="HRU34" s="28"/>
      <c r="HRV34" s="28"/>
      <c r="HRW34" s="28"/>
      <c r="HRX34" s="28"/>
      <c r="HRY34" s="28"/>
      <c r="HRZ34" s="28"/>
      <c r="HSA34" s="28"/>
      <c r="HSB34" s="28"/>
      <c r="HSC34" s="28"/>
      <c r="HSD34" s="28"/>
      <c r="HSE34" s="28"/>
      <c r="HSF34" s="28"/>
      <c r="HSG34" s="28"/>
      <c r="HSH34" s="28"/>
      <c r="HSI34" s="28"/>
      <c r="HSJ34" s="28"/>
      <c r="HSK34" s="28"/>
      <c r="HSL34" s="28"/>
      <c r="HSM34" s="28"/>
      <c r="HSN34" s="28"/>
      <c r="HSO34" s="28"/>
      <c r="HSP34" s="28"/>
      <c r="HSQ34" s="28"/>
      <c r="HSR34" s="28"/>
      <c r="HSS34" s="28"/>
      <c r="HST34" s="28"/>
      <c r="HSU34" s="28"/>
      <c r="HSV34" s="28"/>
      <c r="HSW34" s="28"/>
      <c r="HSX34" s="28"/>
      <c r="HSY34" s="28"/>
      <c r="HSZ34" s="28"/>
      <c r="HTA34" s="28"/>
      <c r="HTB34" s="28"/>
      <c r="HTC34" s="28"/>
      <c r="HTD34" s="28"/>
      <c r="HTE34" s="28"/>
      <c r="HTF34" s="28"/>
      <c r="HTG34" s="28"/>
      <c r="HTH34" s="28"/>
      <c r="HTI34" s="28"/>
      <c r="HTJ34" s="28"/>
      <c r="HTK34" s="28"/>
      <c r="HTL34" s="28"/>
      <c r="HTM34" s="28"/>
      <c r="HTN34" s="28"/>
      <c r="HTO34" s="28"/>
      <c r="HTP34" s="28"/>
      <c r="HTQ34" s="28"/>
      <c r="HTR34" s="28"/>
      <c r="HTS34" s="28"/>
      <c r="HTT34" s="28"/>
      <c r="HTU34" s="28"/>
      <c r="HTV34" s="28"/>
      <c r="HTW34" s="28"/>
      <c r="HTX34" s="28"/>
      <c r="HTY34" s="28"/>
      <c r="HTZ34" s="28"/>
      <c r="HUA34" s="28"/>
      <c r="HUB34" s="28"/>
      <c r="HUC34" s="28"/>
      <c r="HUD34" s="28"/>
      <c r="HUE34" s="28"/>
      <c r="HUF34" s="28"/>
      <c r="HUG34" s="28"/>
      <c r="HUH34" s="28"/>
      <c r="HUI34" s="28"/>
      <c r="HUJ34" s="28"/>
      <c r="HUK34" s="28"/>
      <c r="HUL34" s="28"/>
      <c r="HUM34" s="28"/>
      <c r="HUN34" s="28"/>
      <c r="HUO34" s="28"/>
      <c r="HUP34" s="28"/>
      <c r="HUQ34" s="28"/>
      <c r="HUR34" s="28"/>
      <c r="HUS34" s="28"/>
      <c r="HUT34" s="28"/>
      <c r="HUU34" s="28"/>
      <c r="HUV34" s="28"/>
      <c r="HUW34" s="28"/>
      <c r="HUX34" s="28"/>
      <c r="HUY34" s="28"/>
      <c r="HUZ34" s="28"/>
      <c r="HVA34" s="28"/>
      <c r="HVB34" s="28"/>
      <c r="HVC34" s="28"/>
      <c r="HVD34" s="28"/>
      <c r="HVE34" s="28"/>
      <c r="HVF34" s="28"/>
      <c r="HVG34" s="28"/>
      <c r="HVH34" s="28"/>
      <c r="HVI34" s="28"/>
      <c r="HVJ34" s="28"/>
      <c r="HVK34" s="28"/>
      <c r="HVL34" s="28"/>
      <c r="HVM34" s="28"/>
      <c r="HVN34" s="28"/>
      <c r="HVO34" s="28"/>
      <c r="HVP34" s="28"/>
      <c r="HVQ34" s="28"/>
      <c r="HVR34" s="28"/>
      <c r="HVS34" s="28"/>
      <c r="HVT34" s="28"/>
      <c r="HVU34" s="28"/>
      <c r="HVV34" s="28"/>
      <c r="HVW34" s="28"/>
      <c r="HVX34" s="28"/>
      <c r="HVY34" s="28"/>
      <c r="HVZ34" s="28"/>
      <c r="HWA34" s="28"/>
      <c r="HWB34" s="28"/>
      <c r="HWC34" s="28"/>
      <c r="HWD34" s="28"/>
      <c r="HWE34" s="28"/>
      <c r="HWF34" s="28"/>
      <c r="HWG34" s="28"/>
      <c r="HWH34" s="28"/>
      <c r="HWI34" s="28"/>
      <c r="HWJ34" s="28"/>
      <c r="HWK34" s="28"/>
      <c r="HWL34" s="28"/>
      <c r="HWM34" s="28"/>
      <c r="HWN34" s="28"/>
      <c r="HWO34" s="28"/>
      <c r="HWP34" s="28"/>
      <c r="HWQ34" s="28"/>
      <c r="HWR34" s="28"/>
      <c r="HWS34" s="28"/>
      <c r="HWT34" s="28"/>
      <c r="HWU34" s="28"/>
      <c r="HWV34" s="28"/>
      <c r="HWW34" s="28"/>
      <c r="HWX34" s="28"/>
      <c r="HWY34" s="28"/>
      <c r="HWZ34" s="28"/>
      <c r="HXA34" s="28"/>
      <c r="HXB34" s="28"/>
      <c r="HXC34" s="28"/>
      <c r="HXD34" s="28"/>
      <c r="HXE34" s="28"/>
      <c r="HXF34" s="28"/>
      <c r="HXG34" s="28"/>
      <c r="HXH34" s="28"/>
      <c r="HXI34" s="28"/>
      <c r="HXJ34" s="28"/>
      <c r="HXK34" s="28"/>
      <c r="HXL34" s="28"/>
      <c r="HXM34" s="28"/>
      <c r="HXN34" s="28"/>
      <c r="HXO34" s="28"/>
      <c r="HXP34" s="28"/>
      <c r="HXQ34" s="28"/>
      <c r="HXR34" s="28"/>
      <c r="HXS34" s="28"/>
      <c r="HXT34" s="28"/>
      <c r="HXU34" s="28"/>
      <c r="HXV34" s="28"/>
      <c r="HXW34" s="28"/>
      <c r="HXX34" s="28"/>
      <c r="HXY34" s="28"/>
      <c r="HXZ34" s="28"/>
      <c r="HYA34" s="28"/>
      <c r="HYB34" s="28"/>
      <c r="HYC34" s="28"/>
      <c r="HYD34" s="28"/>
      <c r="HYE34" s="28"/>
      <c r="HYF34" s="28"/>
      <c r="HYG34" s="28"/>
      <c r="HYH34" s="28"/>
      <c r="HYI34" s="28"/>
      <c r="HYJ34" s="28"/>
      <c r="HYK34" s="28"/>
      <c r="HYL34" s="28"/>
      <c r="HYM34" s="28"/>
      <c r="HYN34" s="28"/>
      <c r="HYO34" s="28"/>
      <c r="HYP34" s="28"/>
      <c r="HYQ34" s="28"/>
      <c r="HYR34" s="28"/>
      <c r="HYS34" s="28"/>
      <c r="HYT34" s="28"/>
      <c r="HYU34" s="28"/>
      <c r="HYV34" s="28"/>
      <c r="HYW34" s="28"/>
      <c r="HYX34" s="28"/>
      <c r="HYY34" s="28"/>
      <c r="HYZ34" s="28"/>
      <c r="HZA34" s="28"/>
      <c r="HZB34" s="28"/>
      <c r="HZC34" s="28"/>
      <c r="HZD34" s="28"/>
      <c r="HZE34" s="28"/>
      <c r="HZF34" s="28"/>
      <c r="HZG34" s="28"/>
      <c r="HZH34" s="28"/>
      <c r="HZI34" s="28"/>
      <c r="HZJ34" s="28"/>
      <c r="HZK34" s="28"/>
      <c r="HZL34" s="28"/>
      <c r="HZM34" s="28"/>
      <c r="HZN34" s="28"/>
      <c r="HZO34" s="28"/>
      <c r="HZP34" s="28"/>
      <c r="HZQ34" s="28"/>
      <c r="HZR34" s="28"/>
      <c r="HZS34" s="28"/>
      <c r="HZT34" s="28"/>
      <c r="HZU34" s="28"/>
      <c r="HZV34" s="28"/>
      <c r="HZW34" s="28"/>
      <c r="HZX34" s="28"/>
      <c r="HZY34" s="28"/>
      <c r="HZZ34" s="28"/>
      <c r="IAA34" s="28"/>
      <c r="IAB34" s="28"/>
      <c r="IAC34" s="28"/>
      <c r="IAD34" s="28"/>
      <c r="IAE34" s="28"/>
      <c r="IAF34" s="28"/>
      <c r="IAG34" s="28"/>
      <c r="IAH34" s="28"/>
      <c r="IAI34" s="28"/>
      <c r="IAJ34" s="28"/>
      <c r="IAK34" s="28"/>
      <c r="IAL34" s="28"/>
      <c r="IAM34" s="28"/>
      <c r="IAN34" s="28"/>
      <c r="IAO34" s="28"/>
      <c r="IAP34" s="28"/>
      <c r="IAQ34" s="28"/>
      <c r="IAR34" s="28"/>
      <c r="IAS34" s="28"/>
      <c r="IAT34" s="28"/>
      <c r="IAU34" s="28"/>
      <c r="IAV34" s="28"/>
      <c r="IAW34" s="28"/>
      <c r="IAX34" s="28"/>
      <c r="IAY34" s="28"/>
      <c r="IAZ34" s="28"/>
      <c r="IBA34" s="28"/>
      <c r="IBB34" s="28"/>
      <c r="IBC34" s="28"/>
      <c r="IBD34" s="28"/>
      <c r="IBE34" s="28"/>
      <c r="IBF34" s="28"/>
      <c r="IBG34" s="28"/>
      <c r="IBH34" s="28"/>
      <c r="IBI34" s="28"/>
      <c r="IBJ34" s="28"/>
      <c r="IBK34" s="28"/>
      <c r="IBL34" s="28"/>
      <c r="IBM34" s="28"/>
      <c r="IBN34" s="28"/>
      <c r="IBO34" s="28"/>
      <c r="IBP34" s="28"/>
      <c r="IBQ34" s="28"/>
      <c r="IBR34" s="28"/>
      <c r="IBS34" s="28"/>
      <c r="IBT34" s="28"/>
      <c r="IBU34" s="28"/>
      <c r="IBV34" s="28"/>
      <c r="IBW34" s="28"/>
      <c r="IBX34" s="28"/>
      <c r="IBY34" s="28"/>
      <c r="IBZ34" s="28"/>
      <c r="ICA34" s="28"/>
      <c r="ICB34" s="28"/>
      <c r="ICC34" s="28"/>
      <c r="ICD34" s="28"/>
      <c r="ICE34" s="28"/>
      <c r="ICF34" s="28"/>
      <c r="ICG34" s="28"/>
      <c r="ICH34" s="28"/>
      <c r="ICI34" s="28"/>
      <c r="ICJ34" s="28"/>
      <c r="ICK34" s="28"/>
      <c r="ICL34" s="28"/>
      <c r="ICM34" s="28"/>
      <c r="ICN34" s="28"/>
      <c r="ICO34" s="28"/>
      <c r="ICP34" s="28"/>
      <c r="ICQ34" s="28"/>
      <c r="ICR34" s="28"/>
      <c r="ICS34" s="28"/>
      <c r="ICT34" s="28"/>
      <c r="ICU34" s="28"/>
      <c r="ICV34" s="28"/>
      <c r="ICW34" s="28"/>
      <c r="ICX34" s="28"/>
      <c r="ICY34" s="28"/>
      <c r="ICZ34" s="28"/>
      <c r="IDA34" s="28"/>
      <c r="IDB34" s="28"/>
      <c r="IDC34" s="28"/>
      <c r="IDD34" s="28"/>
      <c r="IDE34" s="28"/>
      <c r="IDF34" s="28"/>
      <c r="IDG34" s="28"/>
      <c r="IDH34" s="28"/>
      <c r="IDI34" s="28"/>
      <c r="IDJ34" s="28"/>
      <c r="IDK34" s="28"/>
      <c r="IDL34" s="28"/>
      <c r="IDM34" s="28"/>
      <c r="IDN34" s="28"/>
      <c r="IDO34" s="28"/>
      <c r="IDP34" s="28"/>
      <c r="IDQ34" s="28"/>
      <c r="IDR34" s="28"/>
      <c r="IDS34" s="28"/>
      <c r="IDT34" s="28"/>
      <c r="IDU34" s="28"/>
      <c r="IDV34" s="28"/>
      <c r="IDW34" s="28"/>
      <c r="IDX34" s="28"/>
      <c r="IDY34" s="28"/>
      <c r="IDZ34" s="28"/>
      <c r="IEA34" s="28"/>
      <c r="IEB34" s="28"/>
      <c r="IEC34" s="28"/>
      <c r="IED34" s="28"/>
      <c r="IEE34" s="28"/>
      <c r="IEF34" s="28"/>
      <c r="IEG34" s="28"/>
      <c r="IEH34" s="28"/>
      <c r="IEI34" s="28"/>
      <c r="IEJ34" s="28"/>
      <c r="IEK34" s="28"/>
      <c r="IEL34" s="28"/>
      <c r="IEM34" s="28"/>
      <c r="IEN34" s="28"/>
      <c r="IEO34" s="28"/>
      <c r="IEP34" s="28"/>
      <c r="IEQ34" s="28"/>
      <c r="IER34" s="28"/>
      <c r="IES34" s="28"/>
      <c r="IET34" s="28"/>
      <c r="IEU34" s="28"/>
      <c r="IEV34" s="28"/>
      <c r="IEW34" s="28"/>
      <c r="IEX34" s="28"/>
      <c r="IEY34" s="28"/>
      <c r="IEZ34" s="28"/>
      <c r="IFA34" s="28"/>
      <c r="IFB34" s="28"/>
      <c r="IFC34" s="28"/>
      <c r="IFD34" s="28"/>
      <c r="IFE34" s="28"/>
      <c r="IFF34" s="28"/>
      <c r="IFG34" s="28"/>
      <c r="IFH34" s="28"/>
      <c r="IFI34" s="28"/>
      <c r="IFJ34" s="28"/>
      <c r="IFK34" s="28"/>
      <c r="IFL34" s="28"/>
      <c r="IFM34" s="28"/>
      <c r="IFN34" s="28"/>
      <c r="IFO34" s="28"/>
      <c r="IFP34" s="28"/>
      <c r="IFQ34" s="28"/>
      <c r="IFR34" s="28"/>
      <c r="IFS34" s="28"/>
      <c r="IFT34" s="28"/>
      <c r="IFU34" s="28"/>
      <c r="IFV34" s="28"/>
      <c r="IFW34" s="28"/>
      <c r="IFX34" s="28"/>
      <c r="IFY34" s="28"/>
      <c r="IFZ34" s="28"/>
      <c r="IGA34" s="28"/>
      <c r="IGB34" s="28"/>
      <c r="IGC34" s="28"/>
      <c r="IGD34" s="28"/>
      <c r="IGE34" s="28"/>
      <c r="IGF34" s="28"/>
      <c r="IGG34" s="28"/>
      <c r="IGH34" s="28"/>
      <c r="IGI34" s="28"/>
      <c r="IGJ34" s="28"/>
      <c r="IGK34" s="28"/>
      <c r="IGL34" s="28"/>
      <c r="IGM34" s="28"/>
      <c r="IGN34" s="28"/>
      <c r="IGO34" s="28"/>
      <c r="IGP34" s="28"/>
      <c r="IGQ34" s="28"/>
      <c r="IGR34" s="28"/>
      <c r="IGS34" s="28"/>
      <c r="IGT34" s="28"/>
      <c r="IGU34" s="28"/>
      <c r="IGV34" s="28"/>
      <c r="IGW34" s="28"/>
      <c r="IGX34" s="28"/>
      <c r="IGY34" s="28"/>
      <c r="IGZ34" s="28"/>
      <c r="IHA34" s="28"/>
      <c r="IHB34" s="28"/>
      <c r="IHC34" s="28"/>
      <c r="IHD34" s="28"/>
      <c r="IHE34" s="28"/>
      <c r="IHF34" s="28"/>
      <c r="IHG34" s="28"/>
      <c r="IHH34" s="28"/>
      <c r="IHI34" s="28"/>
      <c r="IHJ34" s="28"/>
      <c r="IHK34" s="28"/>
      <c r="IHL34" s="28"/>
      <c r="IHM34" s="28"/>
      <c r="IHN34" s="28"/>
      <c r="IHO34" s="28"/>
      <c r="IHP34" s="28"/>
      <c r="IHQ34" s="28"/>
      <c r="IHR34" s="28"/>
      <c r="IHS34" s="28"/>
      <c r="IHT34" s="28"/>
      <c r="IHU34" s="28"/>
      <c r="IHV34" s="28"/>
      <c r="IHW34" s="28"/>
      <c r="IHX34" s="28"/>
      <c r="IHY34" s="28"/>
      <c r="IHZ34" s="28"/>
      <c r="IIA34" s="28"/>
      <c r="IIB34" s="28"/>
      <c r="IIC34" s="28"/>
      <c r="IID34" s="28"/>
      <c r="IIE34" s="28"/>
      <c r="IIF34" s="28"/>
      <c r="IIG34" s="28"/>
      <c r="IIH34" s="28"/>
      <c r="III34" s="28"/>
      <c r="IIJ34" s="28"/>
      <c r="IIK34" s="28"/>
      <c r="IIL34" s="28"/>
      <c r="IIM34" s="28"/>
      <c r="IIN34" s="28"/>
      <c r="IIO34" s="28"/>
      <c r="IIP34" s="28"/>
      <c r="IIQ34" s="28"/>
      <c r="IIR34" s="28"/>
      <c r="IIS34" s="28"/>
      <c r="IIT34" s="28"/>
      <c r="IIU34" s="28"/>
      <c r="IIV34" s="28"/>
      <c r="IIW34" s="28"/>
      <c r="IIX34" s="28"/>
      <c r="IIY34" s="28"/>
      <c r="IIZ34" s="28"/>
      <c r="IJA34" s="28"/>
      <c r="IJB34" s="28"/>
      <c r="IJC34" s="28"/>
      <c r="IJD34" s="28"/>
      <c r="IJE34" s="28"/>
      <c r="IJF34" s="28"/>
      <c r="IJG34" s="28"/>
      <c r="IJH34" s="28"/>
      <c r="IJI34" s="28"/>
      <c r="IJJ34" s="28"/>
      <c r="IJK34" s="28"/>
      <c r="IJL34" s="28"/>
      <c r="IJM34" s="28"/>
      <c r="IJN34" s="28"/>
      <c r="IJO34" s="28"/>
      <c r="IJP34" s="28"/>
      <c r="IJQ34" s="28"/>
      <c r="IJR34" s="28"/>
      <c r="IJS34" s="28"/>
      <c r="IJT34" s="28"/>
      <c r="IJU34" s="28"/>
      <c r="IJV34" s="28"/>
      <c r="IJW34" s="28"/>
      <c r="IJX34" s="28"/>
      <c r="IJY34" s="28"/>
      <c r="IJZ34" s="28"/>
      <c r="IKA34" s="28"/>
      <c r="IKB34" s="28"/>
      <c r="IKC34" s="28"/>
      <c r="IKD34" s="28"/>
      <c r="IKE34" s="28"/>
      <c r="IKF34" s="28"/>
      <c r="IKG34" s="28"/>
      <c r="IKH34" s="28"/>
      <c r="IKI34" s="28"/>
      <c r="IKJ34" s="28"/>
      <c r="IKK34" s="28"/>
      <c r="IKL34" s="28"/>
      <c r="IKM34" s="28"/>
      <c r="IKN34" s="28"/>
      <c r="IKO34" s="28"/>
      <c r="IKP34" s="28"/>
      <c r="IKQ34" s="28"/>
      <c r="IKR34" s="28"/>
      <c r="IKS34" s="28"/>
      <c r="IKT34" s="28"/>
      <c r="IKU34" s="28"/>
      <c r="IKV34" s="28"/>
      <c r="IKW34" s="28"/>
      <c r="IKX34" s="28"/>
      <c r="IKY34" s="28"/>
      <c r="IKZ34" s="28"/>
      <c r="ILA34" s="28"/>
      <c r="ILB34" s="28"/>
      <c r="ILC34" s="28"/>
      <c r="ILD34" s="28"/>
      <c r="ILE34" s="28"/>
      <c r="ILF34" s="28"/>
      <c r="ILG34" s="28"/>
      <c r="ILH34" s="28"/>
      <c r="ILI34" s="28"/>
      <c r="ILJ34" s="28"/>
      <c r="ILK34" s="28"/>
      <c r="ILL34" s="28"/>
      <c r="ILM34" s="28"/>
      <c r="ILN34" s="28"/>
      <c r="ILO34" s="28"/>
      <c r="ILP34" s="28"/>
      <c r="ILQ34" s="28"/>
      <c r="ILR34" s="28"/>
      <c r="ILS34" s="28"/>
      <c r="ILT34" s="28"/>
      <c r="ILU34" s="28"/>
      <c r="ILV34" s="28"/>
      <c r="ILW34" s="28"/>
      <c r="ILX34" s="28"/>
      <c r="ILY34" s="28"/>
      <c r="ILZ34" s="28"/>
      <c r="IMA34" s="28"/>
      <c r="IMB34" s="28"/>
      <c r="IMC34" s="28"/>
      <c r="IMD34" s="28"/>
      <c r="IME34" s="28"/>
      <c r="IMF34" s="28"/>
      <c r="IMG34" s="28"/>
      <c r="IMH34" s="28"/>
      <c r="IMI34" s="28"/>
      <c r="IMJ34" s="28"/>
      <c r="IMK34" s="28"/>
      <c r="IML34" s="28"/>
      <c r="IMM34" s="28"/>
      <c r="IMN34" s="28"/>
      <c r="IMO34" s="28"/>
      <c r="IMP34" s="28"/>
      <c r="IMQ34" s="28"/>
      <c r="IMR34" s="28"/>
      <c r="IMS34" s="28"/>
      <c r="IMT34" s="28"/>
      <c r="IMU34" s="28"/>
      <c r="IMV34" s="28"/>
      <c r="IMW34" s="28"/>
      <c r="IMX34" s="28"/>
      <c r="IMY34" s="28"/>
      <c r="IMZ34" s="28"/>
      <c r="INA34" s="28"/>
      <c r="INB34" s="28"/>
      <c r="INC34" s="28"/>
      <c r="IND34" s="28"/>
      <c r="INE34" s="28"/>
      <c r="INF34" s="28"/>
      <c r="ING34" s="28"/>
      <c r="INH34" s="28"/>
      <c r="INI34" s="28"/>
      <c r="INJ34" s="28"/>
      <c r="INK34" s="28"/>
      <c r="INL34" s="28"/>
      <c r="INM34" s="28"/>
      <c r="INN34" s="28"/>
      <c r="INO34" s="28"/>
      <c r="INP34" s="28"/>
      <c r="INQ34" s="28"/>
      <c r="INR34" s="28"/>
      <c r="INS34" s="28"/>
      <c r="INT34" s="28"/>
      <c r="INU34" s="28"/>
      <c r="INV34" s="28"/>
      <c r="INW34" s="28"/>
      <c r="INX34" s="28"/>
      <c r="INY34" s="28"/>
      <c r="INZ34" s="28"/>
      <c r="IOA34" s="28"/>
      <c r="IOB34" s="28"/>
      <c r="IOC34" s="28"/>
      <c r="IOD34" s="28"/>
      <c r="IOE34" s="28"/>
      <c r="IOF34" s="28"/>
      <c r="IOG34" s="28"/>
      <c r="IOH34" s="28"/>
      <c r="IOI34" s="28"/>
      <c r="IOJ34" s="28"/>
      <c r="IOK34" s="28"/>
      <c r="IOL34" s="28"/>
      <c r="IOM34" s="28"/>
      <c r="ION34" s="28"/>
      <c r="IOO34" s="28"/>
      <c r="IOP34" s="28"/>
      <c r="IOQ34" s="28"/>
      <c r="IOR34" s="28"/>
      <c r="IOS34" s="28"/>
      <c r="IOT34" s="28"/>
      <c r="IOU34" s="28"/>
      <c r="IOV34" s="28"/>
      <c r="IOW34" s="28"/>
      <c r="IOX34" s="28"/>
      <c r="IOY34" s="28"/>
      <c r="IOZ34" s="28"/>
      <c r="IPA34" s="28"/>
      <c r="IPB34" s="28"/>
      <c r="IPC34" s="28"/>
      <c r="IPD34" s="28"/>
      <c r="IPE34" s="28"/>
      <c r="IPF34" s="28"/>
      <c r="IPG34" s="28"/>
      <c r="IPH34" s="28"/>
      <c r="IPI34" s="28"/>
      <c r="IPJ34" s="28"/>
      <c r="IPK34" s="28"/>
      <c r="IPL34" s="28"/>
      <c r="IPM34" s="28"/>
      <c r="IPN34" s="28"/>
      <c r="IPO34" s="28"/>
      <c r="IPP34" s="28"/>
      <c r="IPQ34" s="28"/>
      <c r="IPR34" s="28"/>
      <c r="IPS34" s="28"/>
      <c r="IPT34" s="28"/>
      <c r="IPU34" s="28"/>
      <c r="IPV34" s="28"/>
      <c r="IPW34" s="28"/>
      <c r="IPX34" s="28"/>
      <c r="IPY34" s="28"/>
      <c r="IPZ34" s="28"/>
      <c r="IQA34" s="28"/>
      <c r="IQB34" s="28"/>
      <c r="IQC34" s="28"/>
      <c r="IQD34" s="28"/>
      <c r="IQE34" s="28"/>
      <c r="IQF34" s="28"/>
      <c r="IQG34" s="28"/>
      <c r="IQH34" s="28"/>
      <c r="IQI34" s="28"/>
      <c r="IQJ34" s="28"/>
      <c r="IQK34" s="28"/>
      <c r="IQL34" s="28"/>
      <c r="IQM34" s="28"/>
      <c r="IQN34" s="28"/>
      <c r="IQO34" s="28"/>
      <c r="IQP34" s="28"/>
      <c r="IQQ34" s="28"/>
      <c r="IQR34" s="28"/>
      <c r="IQS34" s="28"/>
      <c r="IQT34" s="28"/>
      <c r="IQU34" s="28"/>
      <c r="IQV34" s="28"/>
      <c r="IQW34" s="28"/>
      <c r="IQX34" s="28"/>
      <c r="IQY34" s="28"/>
      <c r="IQZ34" s="28"/>
      <c r="IRA34" s="28"/>
      <c r="IRB34" s="28"/>
      <c r="IRC34" s="28"/>
      <c r="IRD34" s="28"/>
      <c r="IRE34" s="28"/>
      <c r="IRF34" s="28"/>
      <c r="IRG34" s="28"/>
      <c r="IRH34" s="28"/>
      <c r="IRI34" s="28"/>
      <c r="IRJ34" s="28"/>
      <c r="IRK34" s="28"/>
      <c r="IRL34" s="28"/>
      <c r="IRM34" s="28"/>
      <c r="IRN34" s="28"/>
      <c r="IRO34" s="28"/>
      <c r="IRP34" s="28"/>
      <c r="IRQ34" s="28"/>
      <c r="IRR34" s="28"/>
      <c r="IRS34" s="28"/>
      <c r="IRT34" s="28"/>
      <c r="IRU34" s="28"/>
      <c r="IRV34" s="28"/>
      <c r="IRW34" s="28"/>
      <c r="IRX34" s="28"/>
      <c r="IRY34" s="28"/>
      <c r="IRZ34" s="28"/>
      <c r="ISA34" s="28"/>
      <c r="ISB34" s="28"/>
      <c r="ISC34" s="28"/>
      <c r="ISD34" s="28"/>
      <c r="ISE34" s="28"/>
      <c r="ISF34" s="28"/>
      <c r="ISG34" s="28"/>
      <c r="ISH34" s="28"/>
      <c r="ISI34" s="28"/>
      <c r="ISJ34" s="28"/>
      <c r="ISK34" s="28"/>
      <c r="ISL34" s="28"/>
      <c r="ISM34" s="28"/>
      <c r="ISN34" s="28"/>
      <c r="ISO34" s="28"/>
      <c r="ISP34" s="28"/>
      <c r="ISQ34" s="28"/>
      <c r="ISR34" s="28"/>
      <c r="ISS34" s="28"/>
      <c r="IST34" s="28"/>
      <c r="ISU34" s="28"/>
      <c r="ISV34" s="28"/>
      <c r="ISW34" s="28"/>
      <c r="ISX34" s="28"/>
      <c r="ISY34" s="28"/>
      <c r="ISZ34" s="28"/>
      <c r="ITA34" s="28"/>
      <c r="ITB34" s="28"/>
      <c r="ITC34" s="28"/>
      <c r="ITD34" s="28"/>
      <c r="ITE34" s="28"/>
      <c r="ITF34" s="28"/>
      <c r="ITG34" s="28"/>
      <c r="ITH34" s="28"/>
      <c r="ITI34" s="28"/>
      <c r="ITJ34" s="28"/>
      <c r="ITK34" s="28"/>
      <c r="ITL34" s="28"/>
      <c r="ITM34" s="28"/>
      <c r="ITN34" s="28"/>
      <c r="ITO34" s="28"/>
      <c r="ITP34" s="28"/>
      <c r="ITQ34" s="28"/>
      <c r="ITR34" s="28"/>
      <c r="ITS34" s="28"/>
      <c r="ITT34" s="28"/>
      <c r="ITU34" s="28"/>
      <c r="ITV34" s="28"/>
      <c r="ITW34" s="28"/>
      <c r="ITX34" s="28"/>
      <c r="ITY34" s="28"/>
      <c r="ITZ34" s="28"/>
      <c r="IUA34" s="28"/>
      <c r="IUB34" s="28"/>
      <c r="IUC34" s="28"/>
      <c r="IUD34" s="28"/>
      <c r="IUE34" s="28"/>
      <c r="IUF34" s="28"/>
      <c r="IUG34" s="28"/>
      <c r="IUH34" s="28"/>
      <c r="IUI34" s="28"/>
      <c r="IUJ34" s="28"/>
      <c r="IUK34" s="28"/>
      <c r="IUL34" s="28"/>
      <c r="IUM34" s="28"/>
      <c r="IUN34" s="28"/>
      <c r="IUO34" s="28"/>
      <c r="IUP34" s="28"/>
      <c r="IUQ34" s="28"/>
      <c r="IUR34" s="28"/>
      <c r="IUS34" s="28"/>
      <c r="IUT34" s="28"/>
      <c r="IUU34" s="28"/>
      <c r="IUV34" s="28"/>
      <c r="IUW34" s="28"/>
      <c r="IUX34" s="28"/>
      <c r="IUY34" s="28"/>
      <c r="IUZ34" s="28"/>
      <c r="IVA34" s="28"/>
      <c r="IVB34" s="28"/>
      <c r="IVC34" s="28"/>
      <c r="IVD34" s="28"/>
      <c r="IVE34" s="28"/>
      <c r="IVF34" s="28"/>
      <c r="IVG34" s="28"/>
      <c r="IVH34" s="28"/>
      <c r="IVI34" s="28"/>
      <c r="IVJ34" s="28"/>
      <c r="IVK34" s="28"/>
      <c r="IVL34" s="28"/>
      <c r="IVM34" s="28"/>
      <c r="IVN34" s="28"/>
      <c r="IVO34" s="28"/>
      <c r="IVP34" s="28"/>
      <c r="IVQ34" s="28"/>
      <c r="IVR34" s="28"/>
      <c r="IVS34" s="28"/>
      <c r="IVT34" s="28"/>
      <c r="IVU34" s="28"/>
      <c r="IVV34" s="28"/>
      <c r="IVW34" s="28"/>
      <c r="IVX34" s="28"/>
      <c r="IVY34" s="28"/>
      <c r="IVZ34" s="28"/>
      <c r="IWA34" s="28"/>
      <c r="IWB34" s="28"/>
      <c r="IWC34" s="28"/>
      <c r="IWD34" s="28"/>
      <c r="IWE34" s="28"/>
      <c r="IWF34" s="28"/>
      <c r="IWG34" s="28"/>
      <c r="IWH34" s="28"/>
      <c r="IWI34" s="28"/>
      <c r="IWJ34" s="28"/>
      <c r="IWK34" s="28"/>
      <c r="IWL34" s="28"/>
      <c r="IWM34" s="28"/>
      <c r="IWN34" s="28"/>
      <c r="IWO34" s="28"/>
      <c r="IWP34" s="28"/>
      <c r="IWQ34" s="28"/>
      <c r="IWR34" s="28"/>
      <c r="IWS34" s="28"/>
      <c r="IWT34" s="28"/>
      <c r="IWU34" s="28"/>
      <c r="IWV34" s="28"/>
      <c r="IWW34" s="28"/>
      <c r="IWX34" s="28"/>
      <c r="IWY34" s="28"/>
      <c r="IWZ34" s="28"/>
      <c r="IXA34" s="28"/>
      <c r="IXB34" s="28"/>
      <c r="IXC34" s="28"/>
      <c r="IXD34" s="28"/>
      <c r="IXE34" s="28"/>
      <c r="IXF34" s="28"/>
      <c r="IXG34" s="28"/>
      <c r="IXH34" s="28"/>
      <c r="IXI34" s="28"/>
      <c r="IXJ34" s="28"/>
      <c r="IXK34" s="28"/>
      <c r="IXL34" s="28"/>
      <c r="IXM34" s="28"/>
      <c r="IXN34" s="28"/>
      <c r="IXO34" s="28"/>
      <c r="IXP34" s="28"/>
      <c r="IXQ34" s="28"/>
      <c r="IXR34" s="28"/>
      <c r="IXS34" s="28"/>
      <c r="IXT34" s="28"/>
      <c r="IXU34" s="28"/>
      <c r="IXV34" s="28"/>
      <c r="IXW34" s="28"/>
      <c r="IXX34" s="28"/>
      <c r="IXY34" s="28"/>
      <c r="IXZ34" s="28"/>
      <c r="IYA34" s="28"/>
      <c r="IYB34" s="28"/>
      <c r="IYC34" s="28"/>
      <c r="IYD34" s="28"/>
      <c r="IYE34" s="28"/>
      <c r="IYF34" s="28"/>
      <c r="IYG34" s="28"/>
      <c r="IYH34" s="28"/>
      <c r="IYI34" s="28"/>
      <c r="IYJ34" s="28"/>
      <c r="IYK34" s="28"/>
      <c r="IYL34" s="28"/>
      <c r="IYM34" s="28"/>
      <c r="IYN34" s="28"/>
      <c r="IYO34" s="28"/>
      <c r="IYP34" s="28"/>
      <c r="IYQ34" s="28"/>
      <c r="IYR34" s="28"/>
      <c r="IYS34" s="28"/>
      <c r="IYT34" s="28"/>
      <c r="IYU34" s="28"/>
      <c r="IYV34" s="28"/>
      <c r="IYW34" s="28"/>
      <c r="IYX34" s="28"/>
      <c r="IYY34" s="28"/>
      <c r="IYZ34" s="28"/>
      <c r="IZA34" s="28"/>
      <c r="IZB34" s="28"/>
      <c r="IZC34" s="28"/>
      <c r="IZD34" s="28"/>
      <c r="IZE34" s="28"/>
      <c r="IZF34" s="28"/>
      <c r="IZG34" s="28"/>
      <c r="IZH34" s="28"/>
      <c r="IZI34" s="28"/>
      <c r="IZJ34" s="28"/>
      <c r="IZK34" s="28"/>
      <c r="IZL34" s="28"/>
      <c r="IZM34" s="28"/>
      <c r="IZN34" s="28"/>
      <c r="IZO34" s="28"/>
      <c r="IZP34" s="28"/>
      <c r="IZQ34" s="28"/>
      <c r="IZR34" s="28"/>
      <c r="IZS34" s="28"/>
      <c r="IZT34" s="28"/>
      <c r="IZU34" s="28"/>
      <c r="IZV34" s="28"/>
      <c r="IZW34" s="28"/>
      <c r="IZX34" s="28"/>
      <c r="IZY34" s="28"/>
      <c r="IZZ34" s="28"/>
      <c r="JAA34" s="28"/>
      <c r="JAB34" s="28"/>
      <c r="JAC34" s="28"/>
      <c r="JAD34" s="28"/>
      <c r="JAE34" s="28"/>
      <c r="JAF34" s="28"/>
      <c r="JAG34" s="28"/>
      <c r="JAH34" s="28"/>
      <c r="JAI34" s="28"/>
      <c r="JAJ34" s="28"/>
      <c r="JAK34" s="28"/>
      <c r="JAL34" s="28"/>
      <c r="JAM34" s="28"/>
      <c r="JAN34" s="28"/>
      <c r="JAO34" s="28"/>
      <c r="JAP34" s="28"/>
      <c r="JAQ34" s="28"/>
      <c r="JAR34" s="28"/>
      <c r="JAS34" s="28"/>
      <c r="JAT34" s="28"/>
      <c r="JAU34" s="28"/>
      <c r="JAV34" s="28"/>
      <c r="JAW34" s="28"/>
      <c r="JAX34" s="28"/>
      <c r="JAY34" s="28"/>
      <c r="JAZ34" s="28"/>
      <c r="JBA34" s="28"/>
      <c r="JBB34" s="28"/>
      <c r="JBC34" s="28"/>
      <c r="JBD34" s="28"/>
      <c r="JBE34" s="28"/>
      <c r="JBF34" s="28"/>
      <c r="JBG34" s="28"/>
      <c r="JBH34" s="28"/>
      <c r="JBI34" s="28"/>
      <c r="JBJ34" s="28"/>
      <c r="JBK34" s="28"/>
      <c r="JBL34" s="28"/>
      <c r="JBM34" s="28"/>
      <c r="JBN34" s="28"/>
      <c r="JBO34" s="28"/>
      <c r="JBP34" s="28"/>
      <c r="JBQ34" s="28"/>
      <c r="JBR34" s="28"/>
      <c r="JBS34" s="28"/>
      <c r="JBT34" s="28"/>
      <c r="JBU34" s="28"/>
      <c r="JBV34" s="28"/>
      <c r="JBW34" s="28"/>
      <c r="JBX34" s="28"/>
      <c r="JBY34" s="28"/>
      <c r="JBZ34" s="28"/>
      <c r="JCA34" s="28"/>
      <c r="JCB34" s="28"/>
      <c r="JCC34" s="28"/>
      <c r="JCD34" s="28"/>
      <c r="JCE34" s="28"/>
      <c r="JCF34" s="28"/>
      <c r="JCG34" s="28"/>
      <c r="JCH34" s="28"/>
      <c r="JCI34" s="28"/>
      <c r="JCJ34" s="28"/>
      <c r="JCK34" s="28"/>
      <c r="JCL34" s="28"/>
      <c r="JCM34" s="28"/>
      <c r="JCN34" s="28"/>
      <c r="JCO34" s="28"/>
      <c r="JCP34" s="28"/>
      <c r="JCQ34" s="28"/>
      <c r="JCR34" s="28"/>
      <c r="JCS34" s="28"/>
      <c r="JCT34" s="28"/>
      <c r="JCU34" s="28"/>
      <c r="JCV34" s="28"/>
      <c r="JCW34" s="28"/>
      <c r="JCX34" s="28"/>
      <c r="JCY34" s="28"/>
      <c r="JCZ34" s="28"/>
      <c r="JDA34" s="28"/>
      <c r="JDB34" s="28"/>
      <c r="JDC34" s="28"/>
      <c r="JDD34" s="28"/>
      <c r="JDE34" s="28"/>
      <c r="JDF34" s="28"/>
      <c r="JDG34" s="28"/>
      <c r="JDH34" s="28"/>
      <c r="JDI34" s="28"/>
      <c r="JDJ34" s="28"/>
      <c r="JDK34" s="28"/>
      <c r="JDL34" s="28"/>
      <c r="JDM34" s="28"/>
      <c r="JDN34" s="28"/>
      <c r="JDO34" s="28"/>
      <c r="JDP34" s="28"/>
      <c r="JDQ34" s="28"/>
      <c r="JDR34" s="28"/>
      <c r="JDS34" s="28"/>
      <c r="JDT34" s="28"/>
      <c r="JDU34" s="28"/>
      <c r="JDV34" s="28"/>
      <c r="JDW34" s="28"/>
      <c r="JDX34" s="28"/>
      <c r="JDY34" s="28"/>
      <c r="JDZ34" s="28"/>
      <c r="JEA34" s="28"/>
      <c r="JEB34" s="28"/>
      <c r="JEC34" s="28"/>
      <c r="JED34" s="28"/>
      <c r="JEE34" s="28"/>
      <c r="JEF34" s="28"/>
      <c r="JEG34" s="28"/>
      <c r="JEH34" s="28"/>
      <c r="JEI34" s="28"/>
      <c r="JEJ34" s="28"/>
      <c r="JEK34" s="28"/>
      <c r="JEL34" s="28"/>
      <c r="JEM34" s="28"/>
      <c r="JEN34" s="28"/>
      <c r="JEO34" s="28"/>
      <c r="JEP34" s="28"/>
      <c r="JEQ34" s="28"/>
      <c r="JER34" s="28"/>
      <c r="JES34" s="28"/>
      <c r="JET34" s="28"/>
      <c r="JEU34" s="28"/>
      <c r="JEV34" s="28"/>
      <c r="JEW34" s="28"/>
      <c r="JEX34" s="28"/>
      <c r="JEY34" s="28"/>
      <c r="JEZ34" s="28"/>
      <c r="JFA34" s="28"/>
      <c r="JFB34" s="28"/>
      <c r="JFC34" s="28"/>
      <c r="JFD34" s="28"/>
      <c r="JFE34" s="28"/>
      <c r="JFF34" s="28"/>
      <c r="JFG34" s="28"/>
      <c r="JFH34" s="28"/>
      <c r="JFI34" s="28"/>
      <c r="JFJ34" s="28"/>
      <c r="JFK34" s="28"/>
      <c r="JFL34" s="28"/>
      <c r="JFM34" s="28"/>
      <c r="JFN34" s="28"/>
      <c r="JFO34" s="28"/>
      <c r="JFP34" s="28"/>
      <c r="JFQ34" s="28"/>
      <c r="JFR34" s="28"/>
      <c r="JFS34" s="28"/>
      <c r="JFT34" s="28"/>
      <c r="JFU34" s="28"/>
      <c r="JFV34" s="28"/>
      <c r="JFW34" s="28"/>
      <c r="JFX34" s="28"/>
      <c r="JFY34" s="28"/>
      <c r="JFZ34" s="28"/>
      <c r="JGA34" s="28"/>
      <c r="JGB34" s="28"/>
      <c r="JGC34" s="28"/>
      <c r="JGD34" s="28"/>
      <c r="JGE34" s="28"/>
      <c r="JGF34" s="28"/>
      <c r="JGG34" s="28"/>
      <c r="JGH34" s="28"/>
      <c r="JGI34" s="28"/>
      <c r="JGJ34" s="28"/>
      <c r="JGK34" s="28"/>
      <c r="JGL34" s="28"/>
      <c r="JGM34" s="28"/>
      <c r="JGN34" s="28"/>
      <c r="JGO34" s="28"/>
      <c r="JGP34" s="28"/>
      <c r="JGQ34" s="28"/>
      <c r="JGR34" s="28"/>
      <c r="JGS34" s="28"/>
      <c r="JGT34" s="28"/>
      <c r="JGU34" s="28"/>
      <c r="JGV34" s="28"/>
      <c r="JGW34" s="28"/>
      <c r="JGX34" s="28"/>
      <c r="JGY34" s="28"/>
      <c r="JGZ34" s="28"/>
      <c r="JHA34" s="28"/>
      <c r="JHB34" s="28"/>
      <c r="JHC34" s="28"/>
      <c r="JHD34" s="28"/>
      <c r="JHE34" s="28"/>
      <c r="JHF34" s="28"/>
      <c r="JHG34" s="28"/>
      <c r="JHH34" s="28"/>
      <c r="JHI34" s="28"/>
      <c r="JHJ34" s="28"/>
      <c r="JHK34" s="28"/>
      <c r="JHL34" s="28"/>
      <c r="JHM34" s="28"/>
      <c r="JHN34" s="28"/>
      <c r="JHO34" s="28"/>
      <c r="JHP34" s="28"/>
      <c r="JHQ34" s="28"/>
      <c r="JHR34" s="28"/>
      <c r="JHS34" s="28"/>
      <c r="JHT34" s="28"/>
      <c r="JHU34" s="28"/>
      <c r="JHV34" s="28"/>
      <c r="JHW34" s="28"/>
      <c r="JHX34" s="28"/>
      <c r="JHY34" s="28"/>
      <c r="JHZ34" s="28"/>
      <c r="JIA34" s="28"/>
      <c r="JIB34" s="28"/>
      <c r="JIC34" s="28"/>
      <c r="JID34" s="28"/>
      <c r="JIE34" s="28"/>
      <c r="JIF34" s="28"/>
      <c r="JIG34" s="28"/>
      <c r="JIH34" s="28"/>
      <c r="JII34" s="28"/>
      <c r="JIJ34" s="28"/>
      <c r="JIK34" s="28"/>
      <c r="JIL34" s="28"/>
      <c r="JIM34" s="28"/>
      <c r="JIN34" s="28"/>
      <c r="JIO34" s="28"/>
      <c r="JIP34" s="28"/>
      <c r="JIQ34" s="28"/>
      <c r="JIR34" s="28"/>
      <c r="JIS34" s="28"/>
      <c r="JIT34" s="28"/>
      <c r="JIU34" s="28"/>
      <c r="JIV34" s="28"/>
      <c r="JIW34" s="28"/>
      <c r="JIX34" s="28"/>
      <c r="JIY34" s="28"/>
      <c r="JIZ34" s="28"/>
      <c r="JJA34" s="28"/>
      <c r="JJB34" s="28"/>
      <c r="JJC34" s="28"/>
      <c r="JJD34" s="28"/>
      <c r="JJE34" s="28"/>
      <c r="JJF34" s="28"/>
      <c r="JJG34" s="28"/>
      <c r="JJH34" s="28"/>
      <c r="JJI34" s="28"/>
      <c r="JJJ34" s="28"/>
      <c r="JJK34" s="28"/>
      <c r="JJL34" s="28"/>
      <c r="JJM34" s="28"/>
      <c r="JJN34" s="28"/>
      <c r="JJO34" s="28"/>
      <c r="JJP34" s="28"/>
      <c r="JJQ34" s="28"/>
      <c r="JJR34" s="28"/>
      <c r="JJS34" s="28"/>
      <c r="JJT34" s="28"/>
      <c r="JJU34" s="28"/>
      <c r="JJV34" s="28"/>
      <c r="JJW34" s="28"/>
      <c r="JJX34" s="28"/>
      <c r="JJY34" s="28"/>
      <c r="JJZ34" s="28"/>
      <c r="JKA34" s="28"/>
      <c r="JKB34" s="28"/>
      <c r="JKC34" s="28"/>
      <c r="JKD34" s="28"/>
      <c r="JKE34" s="28"/>
      <c r="JKF34" s="28"/>
      <c r="JKG34" s="28"/>
      <c r="JKH34" s="28"/>
      <c r="JKI34" s="28"/>
      <c r="JKJ34" s="28"/>
      <c r="JKK34" s="28"/>
      <c r="JKL34" s="28"/>
      <c r="JKM34" s="28"/>
      <c r="JKN34" s="28"/>
      <c r="JKO34" s="28"/>
      <c r="JKP34" s="28"/>
      <c r="JKQ34" s="28"/>
      <c r="JKR34" s="28"/>
      <c r="JKS34" s="28"/>
      <c r="JKT34" s="28"/>
      <c r="JKU34" s="28"/>
      <c r="JKV34" s="28"/>
      <c r="JKW34" s="28"/>
      <c r="JKX34" s="28"/>
      <c r="JKY34" s="28"/>
      <c r="JKZ34" s="28"/>
      <c r="JLA34" s="28"/>
      <c r="JLB34" s="28"/>
      <c r="JLC34" s="28"/>
      <c r="JLD34" s="28"/>
      <c r="JLE34" s="28"/>
      <c r="JLF34" s="28"/>
      <c r="JLG34" s="28"/>
      <c r="JLH34" s="28"/>
      <c r="JLI34" s="28"/>
      <c r="JLJ34" s="28"/>
      <c r="JLK34" s="28"/>
      <c r="JLL34" s="28"/>
      <c r="JLM34" s="28"/>
      <c r="JLN34" s="28"/>
      <c r="JLO34" s="28"/>
      <c r="JLP34" s="28"/>
      <c r="JLQ34" s="28"/>
      <c r="JLR34" s="28"/>
      <c r="JLS34" s="28"/>
      <c r="JLT34" s="28"/>
      <c r="JLU34" s="28"/>
      <c r="JLV34" s="28"/>
      <c r="JLW34" s="28"/>
      <c r="JLX34" s="28"/>
      <c r="JLY34" s="28"/>
      <c r="JLZ34" s="28"/>
      <c r="JMA34" s="28"/>
      <c r="JMB34" s="28"/>
      <c r="JMC34" s="28"/>
      <c r="JMD34" s="28"/>
      <c r="JME34" s="28"/>
      <c r="JMF34" s="28"/>
      <c r="JMG34" s="28"/>
      <c r="JMH34" s="28"/>
      <c r="JMI34" s="28"/>
      <c r="JMJ34" s="28"/>
      <c r="JMK34" s="28"/>
      <c r="JML34" s="28"/>
      <c r="JMM34" s="28"/>
      <c r="JMN34" s="28"/>
      <c r="JMO34" s="28"/>
      <c r="JMP34" s="28"/>
      <c r="JMQ34" s="28"/>
      <c r="JMR34" s="28"/>
      <c r="JMS34" s="28"/>
      <c r="JMT34" s="28"/>
      <c r="JMU34" s="28"/>
      <c r="JMV34" s="28"/>
      <c r="JMW34" s="28"/>
      <c r="JMX34" s="28"/>
      <c r="JMY34" s="28"/>
      <c r="JMZ34" s="28"/>
      <c r="JNA34" s="28"/>
      <c r="JNB34" s="28"/>
      <c r="JNC34" s="28"/>
      <c r="JND34" s="28"/>
      <c r="JNE34" s="28"/>
      <c r="JNF34" s="28"/>
      <c r="JNG34" s="28"/>
      <c r="JNH34" s="28"/>
      <c r="JNI34" s="28"/>
      <c r="JNJ34" s="28"/>
      <c r="JNK34" s="28"/>
      <c r="JNL34" s="28"/>
      <c r="JNM34" s="28"/>
      <c r="JNN34" s="28"/>
      <c r="JNO34" s="28"/>
      <c r="JNP34" s="28"/>
      <c r="JNQ34" s="28"/>
      <c r="JNR34" s="28"/>
      <c r="JNS34" s="28"/>
      <c r="JNT34" s="28"/>
      <c r="JNU34" s="28"/>
      <c r="JNV34" s="28"/>
      <c r="JNW34" s="28"/>
      <c r="JNX34" s="28"/>
      <c r="JNY34" s="28"/>
      <c r="JNZ34" s="28"/>
      <c r="JOA34" s="28"/>
      <c r="JOB34" s="28"/>
      <c r="JOC34" s="28"/>
      <c r="JOD34" s="28"/>
      <c r="JOE34" s="28"/>
      <c r="JOF34" s="28"/>
      <c r="JOG34" s="28"/>
      <c r="JOH34" s="28"/>
      <c r="JOI34" s="28"/>
      <c r="JOJ34" s="28"/>
      <c r="JOK34" s="28"/>
      <c r="JOL34" s="28"/>
      <c r="JOM34" s="28"/>
      <c r="JON34" s="28"/>
      <c r="JOO34" s="28"/>
      <c r="JOP34" s="28"/>
      <c r="JOQ34" s="28"/>
      <c r="JOR34" s="28"/>
      <c r="JOS34" s="28"/>
      <c r="JOT34" s="28"/>
      <c r="JOU34" s="28"/>
      <c r="JOV34" s="28"/>
      <c r="JOW34" s="28"/>
      <c r="JOX34" s="28"/>
      <c r="JOY34" s="28"/>
      <c r="JOZ34" s="28"/>
      <c r="JPA34" s="28"/>
      <c r="JPB34" s="28"/>
      <c r="JPC34" s="28"/>
      <c r="JPD34" s="28"/>
      <c r="JPE34" s="28"/>
      <c r="JPF34" s="28"/>
      <c r="JPG34" s="28"/>
      <c r="JPH34" s="28"/>
      <c r="JPI34" s="28"/>
      <c r="JPJ34" s="28"/>
      <c r="JPK34" s="28"/>
      <c r="JPL34" s="28"/>
      <c r="JPM34" s="28"/>
      <c r="JPN34" s="28"/>
      <c r="JPO34" s="28"/>
      <c r="JPP34" s="28"/>
      <c r="JPQ34" s="28"/>
      <c r="JPR34" s="28"/>
      <c r="JPS34" s="28"/>
      <c r="JPT34" s="28"/>
      <c r="JPU34" s="28"/>
      <c r="JPV34" s="28"/>
      <c r="JPW34" s="28"/>
      <c r="JPX34" s="28"/>
      <c r="JPY34" s="28"/>
      <c r="JPZ34" s="28"/>
      <c r="JQA34" s="28"/>
      <c r="JQB34" s="28"/>
      <c r="JQC34" s="28"/>
      <c r="JQD34" s="28"/>
      <c r="JQE34" s="28"/>
      <c r="JQF34" s="28"/>
      <c r="JQG34" s="28"/>
      <c r="JQH34" s="28"/>
      <c r="JQI34" s="28"/>
      <c r="JQJ34" s="28"/>
      <c r="JQK34" s="28"/>
      <c r="JQL34" s="28"/>
      <c r="JQM34" s="28"/>
      <c r="JQN34" s="28"/>
      <c r="JQO34" s="28"/>
      <c r="JQP34" s="28"/>
      <c r="JQQ34" s="28"/>
      <c r="JQR34" s="28"/>
      <c r="JQS34" s="28"/>
      <c r="JQT34" s="28"/>
      <c r="JQU34" s="28"/>
      <c r="JQV34" s="28"/>
      <c r="JQW34" s="28"/>
      <c r="JQX34" s="28"/>
      <c r="JQY34" s="28"/>
      <c r="JQZ34" s="28"/>
      <c r="JRA34" s="28"/>
      <c r="JRB34" s="28"/>
      <c r="JRC34" s="28"/>
      <c r="JRD34" s="28"/>
      <c r="JRE34" s="28"/>
      <c r="JRF34" s="28"/>
      <c r="JRG34" s="28"/>
      <c r="JRH34" s="28"/>
      <c r="JRI34" s="28"/>
      <c r="JRJ34" s="28"/>
      <c r="JRK34" s="28"/>
      <c r="JRL34" s="28"/>
      <c r="JRM34" s="28"/>
      <c r="JRN34" s="28"/>
      <c r="JRO34" s="28"/>
      <c r="JRP34" s="28"/>
      <c r="JRQ34" s="28"/>
      <c r="JRR34" s="28"/>
      <c r="JRS34" s="28"/>
      <c r="JRT34" s="28"/>
      <c r="JRU34" s="28"/>
      <c r="JRV34" s="28"/>
      <c r="JRW34" s="28"/>
      <c r="JRX34" s="28"/>
      <c r="JRY34" s="28"/>
      <c r="JRZ34" s="28"/>
      <c r="JSA34" s="28"/>
      <c r="JSB34" s="28"/>
      <c r="JSC34" s="28"/>
      <c r="JSD34" s="28"/>
      <c r="JSE34" s="28"/>
      <c r="JSF34" s="28"/>
      <c r="JSG34" s="28"/>
      <c r="JSH34" s="28"/>
      <c r="JSI34" s="28"/>
      <c r="JSJ34" s="28"/>
      <c r="JSK34" s="28"/>
      <c r="JSL34" s="28"/>
      <c r="JSM34" s="28"/>
      <c r="JSN34" s="28"/>
      <c r="JSO34" s="28"/>
      <c r="JSP34" s="28"/>
      <c r="JSQ34" s="28"/>
      <c r="JSR34" s="28"/>
      <c r="JSS34" s="28"/>
      <c r="JST34" s="28"/>
      <c r="JSU34" s="28"/>
      <c r="JSV34" s="28"/>
      <c r="JSW34" s="28"/>
      <c r="JSX34" s="28"/>
      <c r="JSY34" s="28"/>
      <c r="JSZ34" s="28"/>
      <c r="JTA34" s="28"/>
      <c r="JTB34" s="28"/>
      <c r="JTC34" s="28"/>
      <c r="JTD34" s="28"/>
      <c r="JTE34" s="28"/>
      <c r="JTF34" s="28"/>
      <c r="JTG34" s="28"/>
      <c r="JTH34" s="28"/>
      <c r="JTI34" s="28"/>
      <c r="JTJ34" s="28"/>
      <c r="JTK34" s="28"/>
      <c r="JTL34" s="28"/>
      <c r="JTM34" s="28"/>
      <c r="JTN34" s="28"/>
      <c r="JTO34" s="28"/>
      <c r="JTP34" s="28"/>
      <c r="JTQ34" s="28"/>
      <c r="JTR34" s="28"/>
      <c r="JTS34" s="28"/>
      <c r="JTT34" s="28"/>
      <c r="JTU34" s="28"/>
      <c r="JTV34" s="28"/>
      <c r="JTW34" s="28"/>
      <c r="JTX34" s="28"/>
      <c r="JTY34" s="28"/>
      <c r="JTZ34" s="28"/>
      <c r="JUA34" s="28"/>
      <c r="JUB34" s="28"/>
      <c r="JUC34" s="28"/>
      <c r="JUD34" s="28"/>
      <c r="JUE34" s="28"/>
      <c r="JUF34" s="28"/>
      <c r="JUG34" s="28"/>
      <c r="JUH34" s="28"/>
      <c r="JUI34" s="28"/>
      <c r="JUJ34" s="28"/>
      <c r="JUK34" s="28"/>
      <c r="JUL34" s="28"/>
      <c r="JUM34" s="28"/>
      <c r="JUN34" s="28"/>
      <c r="JUO34" s="28"/>
      <c r="JUP34" s="28"/>
      <c r="JUQ34" s="28"/>
      <c r="JUR34" s="28"/>
      <c r="JUS34" s="28"/>
      <c r="JUT34" s="28"/>
      <c r="JUU34" s="28"/>
      <c r="JUV34" s="28"/>
      <c r="JUW34" s="28"/>
      <c r="JUX34" s="28"/>
      <c r="JUY34" s="28"/>
      <c r="JUZ34" s="28"/>
      <c r="JVA34" s="28"/>
      <c r="JVB34" s="28"/>
      <c r="JVC34" s="28"/>
      <c r="JVD34" s="28"/>
      <c r="JVE34" s="28"/>
      <c r="JVF34" s="28"/>
      <c r="JVG34" s="28"/>
      <c r="JVH34" s="28"/>
      <c r="JVI34" s="28"/>
      <c r="JVJ34" s="28"/>
      <c r="JVK34" s="28"/>
      <c r="JVL34" s="28"/>
      <c r="JVM34" s="28"/>
      <c r="JVN34" s="28"/>
      <c r="JVO34" s="28"/>
      <c r="JVP34" s="28"/>
      <c r="JVQ34" s="28"/>
      <c r="JVR34" s="28"/>
      <c r="JVS34" s="28"/>
      <c r="JVT34" s="28"/>
      <c r="JVU34" s="28"/>
      <c r="JVV34" s="28"/>
      <c r="JVW34" s="28"/>
      <c r="JVX34" s="28"/>
      <c r="JVY34" s="28"/>
      <c r="JVZ34" s="28"/>
      <c r="JWA34" s="28"/>
      <c r="JWB34" s="28"/>
      <c r="JWC34" s="28"/>
      <c r="JWD34" s="28"/>
      <c r="JWE34" s="28"/>
      <c r="JWF34" s="28"/>
      <c r="JWG34" s="28"/>
      <c r="JWH34" s="28"/>
      <c r="JWI34" s="28"/>
      <c r="JWJ34" s="28"/>
      <c r="JWK34" s="28"/>
      <c r="JWL34" s="28"/>
      <c r="JWM34" s="28"/>
      <c r="JWN34" s="28"/>
      <c r="JWO34" s="28"/>
      <c r="JWP34" s="28"/>
      <c r="JWQ34" s="28"/>
      <c r="JWR34" s="28"/>
      <c r="JWS34" s="28"/>
      <c r="JWT34" s="28"/>
      <c r="JWU34" s="28"/>
      <c r="JWV34" s="28"/>
      <c r="JWW34" s="28"/>
      <c r="JWX34" s="28"/>
      <c r="JWY34" s="28"/>
      <c r="JWZ34" s="28"/>
      <c r="JXA34" s="28"/>
      <c r="JXB34" s="28"/>
      <c r="JXC34" s="28"/>
      <c r="JXD34" s="28"/>
      <c r="JXE34" s="28"/>
      <c r="JXF34" s="28"/>
      <c r="JXG34" s="28"/>
      <c r="JXH34" s="28"/>
      <c r="JXI34" s="28"/>
      <c r="JXJ34" s="28"/>
      <c r="JXK34" s="28"/>
      <c r="JXL34" s="28"/>
      <c r="JXM34" s="28"/>
      <c r="JXN34" s="28"/>
      <c r="JXO34" s="28"/>
      <c r="JXP34" s="28"/>
      <c r="JXQ34" s="28"/>
      <c r="JXR34" s="28"/>
      <c r="JXS34" s="28"/>
      <c r="JXT34" s="28"/>
      <c r="JXU34" s="28"/>
      <c r="JXV34" s="28"/>
      <c r="JXW34" s="28"/>
      <c r="JXX34" s="28"/>
      <c r="JXY34" s="28"/>
      <c r="JXZ34" s="28"/>
      <c r="JYA34" s="28"/>
      <c r="JYB34" s="28"/>
      <c r="JYC34" s="28"/>
      <c r="JYD34" s="28"/>
      <c r="JYE34" s="28"/>
      <c r="JYF34" s="28"/>
      <c r="JYG34" s="28"/>
      <c r="JYH34" s="28"/>
      <c r="JYI34" s="28"/>
      <c r="JYJ34" s="28"/>
      <c r="JYK34" s="28"/>
      <c r="JYL34" s="28"/>
      <c r="JYM34" s="28"/>
      <c r="JYN34" s="28"/>
      <c r="JYO34" s="28"/>
      <c r="JYP34" s="28"/>
      <c r="JYQ34" s="28"/>
      <c r="JYR34" s="28"/>
      <c r="JYS34" s="28"/>
      <c r="JYT34" s="28"/>
      <c r="JYU34" s="28"/>
      <c r="JYV34" s="28"/>
      <c r="JYW34" s="28"/>
      <c r="JYX34" s="28"/>
      <c r="JYY34" s="28"/>
      <c r="JYZ34" s="28"/>
      <c r="JZA34" s="28"/>
      <c r="JZB34" s="28"/>
      <c r="JZC34" s="28"/>
      <c r="JZD34" s="28"/>
      <c r="JZE34" s="28"/>
      <c r="JZF34" s="28"/>
      <c r="JZG34" s="28"/>
      <c r="JZH34" s="28"/>
      <c r="JZI34" s="28"/>
      <c r="JZJ34" s="28"/>
      <c r="JZK34" s="28"/>
      <c r="JZL34" s="28"/>
      <c r="JZM34" s="28"/>
      <c r="JZN34" s="28"/>
      <c r="JZO34" s="28"/>
      <c r="JZP34" s="28"/>
      <c r="JZQ34" s="28"/>
      <c r="JZR34" s="28"/>
      <c r="JZS34" s="28"/>
      <c r="JZT34" s="28"/>
      <c r="JZU34" s="28"/>
      <c r="JZV34" s="28"/>
      <c r="JZW34" s="28"/>
      <c r="JZX34" s="28"/>
      <c r="JZY34" s="28"/>
      <c r="JZZ34" s="28"/>
      <c r="KAA34" s="28"/>
      <c r="KAB34" s="28"/>
      <c r="KAC34" s="28"/>
      <c r="KAD34" s="28"/>
      <c r="KAE34" s="28"/>
      <c r="KAF34" s="28"/>
      <c r="KAG34" s="28"/>
      <c r="KAH34" s="28"/>
      <c r="KAI34" s="28"/>
      <c r="KAJ34" s="28"/>
      <c r="KAK34" s="28"/>
      <c r="KAL34" s="28"/>
      <c r="KAM34" s="28"/>
      <c r="KAN34" s="28"/>
      <c r="KAO34" s="28"/>
      <c r="KAP34" s="28"/>
      <c r="KAQ34" s="28"/>
      <c r="KAR34" s="28"/>
      <c r="KAS34" s="28"/>
      <c r="KAT34" s="28"/>
      <c r="KAU34" s="28"/>
      <c r="KAV34" s="28"/>
      <c r="KAW34" s="28"/>
      <c r="KAX34" s="28"/>
      <c r="KAY34" s="28"/>
      <c r="KAZ34" s="28"/>
      <c r="KBA34" s="28"/>
      <c r="KBB34" s="28"/>
      <c r="KBC34" s="28"/>
      <c r="KBD34" s="28"/>
      <c r="KBE34" s="28"/>
      <c r="KBF34" s="28"/>
      <c r="KBG34" s="28"/>
      <c r="KBH34" s="28"/>
      <c r="KBI34" s="28"/>
      <c r="KBJ34" s="28"/>
      <c r="KBK34" s="28"/>
      <c r="KBL34" s="28"/>
      <c r="KBM34" s="28"/>
      <c r="KBN34" s="28"/>
      <c r="KBO34" s="28"/>
      <c r="KBP34" s="28"/>
      <c r="KBQ34" s="28"/>
      <c r="KBR34" s="28"/>
      <c r="KBS34" s="28"/>
      <c r="KBT34" s="28"/>
      <c r="KBU34" s="28"/>
      <c r="KBV34" s="28"/>
      <c r="KBW34" s="28"/>
      <c r="KBX34" s="28"/>
      <c r="KBY34" s="28"/>
      <c r="KBZ34" s="28"/>
      <c r="KCA34" s="28"/>
      <c r="KCB34" s="28"/>
      <c r="KCC34" s="28"/>
      <c r="KCD34" s="28"/>
      <c r="KCE34" s="28"/>
      <c r="KCF34" s="28"/>
      <c r="KCG34" s="28"/>
      <c r="KCH34" s="28"/>
      <c r="KCI34" s="28"/>
      <c r="KCJ34" s="28"/>
      <c r="KCK34" s="28"/>
      <c r="KCL34" s="28"/>
      <c r="KCM34" s="28"/>
      <c r="KCN34" s="28"/>
      <c r="KCO34" s="28"/>
      <c r="KCP34" s="28"/>
      <c r="KCQ34" s="28"/>
      <c r="KCR34" s="28"/>
      <c r="KCS34" s="28"/>
      <c r="KCT34" s="28"/>
      <c r="KCU34" s="28"/>
      <c r="KCV34" s="28"/>
      <c r="KCW34" s="28"/>
      <c r="KCX34" s="28"/>
      <c r="KCY34" s="28"/>
      <c r="KCZ34" s="28"/>
      <c r="KDA34" s="28"/>
      <c r="KDB34" s="28"/>
      <c r="KDC34" s="28"/>
      <c r="KDD34" s="28"/>
      <c r="KDE34" s="28"/>
      <c r="KDF34" s="28"/>
      <c r="KDG34" s="28"/>
      <c r="KDH34" s="28"/>
      <c r="KDI34" s="28"/>
      <c r="KDJ34" s="28"/>
      <c r="KDK34" s="28"/>
      <c r="KDL34" s="28"/>
      <c r="KDM34" s="28"/>
      <c r="KDN34" s="28"/>
      <c r="KDO34" s="28"/>
      <c r="KDP34" s="28"/>
      <c r="KDQ34" s="28"/>
      <c r="KDR34" s="28"/>
      <c r="KDS34" s="28"/>
      <c r="KDT34" s="28"/>
      <c r="KDU34" s="28"/>
      <c r="KDV34" s="28"/>
      <c r="KDW34" s="28"/>
      <c r="KDX34" s="28"/>
      <c r="KDY34" s="28"/>
      <c r="KDZ34" s="28"/>
      <c r="KEA34" s="28"/>
      <c r="KEB34" s="28"/>
      <c r="KEC34" s="28"/>
      <c r="KED34" s="28"/>
      <c r="KEE34" s="28"/>
      <c r="KEF34" s="28"/>
      <c r="KEG34" s="28"/>
      <c r="KEH34" s="28"/>
      <c r="KEI34" s="28"/>
      <c r="KEJ34" s="28"/>
      <c r="KEK34" s="28"/>
      <c r="KEL34" s="28"/>
      <c r="KEM34" s="28"/>
      <c r="KEN34" s="28"/>
      <c r="KEO34" s="28"/>
      <c r="KEP34" s="28"/>
      <c r="KEQ34" s="28"/>
      <c r="KER34" s="28"/>
      <c r="KES34" s="28"/>
      <c r="KET34" s="28"/>
      <c r="KEU34" s="28"/>
      <c r="KEV34" s="28"/>
      <c r="KEW34" s="28"/>
      <c r="KEX34" s="28"/>
      <c r="KEY34" s="28"/>
      <c r="KEZ34" s="28"/>
      <c r="KFA34" s="28"/>
      <c r="KFB34" s="28"/>
      <c r="KFC34" s="28"/>
      <c r="KFD34" s="28"/>
      <c r="KFE34" s="28"/>
      <c r="KFF34" s="28"/>
      <c r="KFG34" s="28"/>
      <c r="KFH34" s="28"/>
      <c r="KFI34" s="28"/>
      <c r="KFJ34" s="28"/>
      <c r="KFK34" s="28"/>
      <c r="KFL34" s="28"/>
      <c r="KFM34" s="28"/>
      <c r="KFN34" s="28"/>
      <c r="KFO34" s="28"/>
      <c r="KFP34" s="28"/>
      <c r="KFQ34" s="28"/>
      <c r="KFR34" s="28"/>
      <c r="KFS34" s="28"/>
      <c r="KFT34" s="28"/>
      <c r="KFU34" s="28"/>
      <c r="KFV34" s="28"/>
      <c r="KFW34" s="28"/>
      <c r="KFX34" s="28"/>
      <c r="KFY34" s="28"/>
      <c r="KFZ34" s="28"/>
      <c r="KGA34" s="28"/>
      <c r="KGB34" s="28"/>
      <c r="KGC34" s="28"/>
      <c r="KGD34" s="28"/>
      <c r="KGE34" s="28"/>
      <c r="KGF34" s="28"/>
      <c r="KGG34" s="28"/>
      <c r="KGH34" s="28"/>
      <c r="KGI34" s="28"/>
      <c r="KGJ34" s="28"/>
      <c r="KGK34" s="28"/>
      <c r="KGL34" s="28"/>
      <c r="KGM34" s="28"/>
      <c r="KGN34" s="28"/>
      <c r="KGO34" s="28"/>
      <c r="KGP34" s="28"/>
      <c r="KGQ34" s="28"/>
      <c r="KGR34" s="28"/>
      <c r="KGS34" s="28"/>
      <c r="KGT34" s="28"/>
      <c r="KGU34" s="28"/>
      <c r="KGV34" s="28"/>
      <c r="KGW34" s="28"/>
      <c r="KGX34" s="28"/>
      <c r="KGY34" s="28"/>
      <c r="KGZ34" s="28"/>
      <c r="KHA34" s="28"/>
      <c r="KHB34" s="28"/>
      <c r="KHC34" s="28"/>
      <c r="KHD34" s="28"/>
      <c r="KHE34" s="28"/>
      <c r="KHF34" s="28"/>
      <c r="KHG34" s="28"/>
      <c r="KHH34" s="28"/>
      <c r="KHI34" s="28"/>
      <c r="KHJ34" s="28"/>
      <c r="KHK34" s="28"/>
      <c r="KHL34" s="28"/>
      <c r="KHM34" s="28"/>
      <c r="KHN34" s="28"/>
      <c r="KHO34" s="28"/>
      <c r="KHP34" s="28"/>
      <c r="KHQ34" s="28"/>
      <c r="KHR34" s="28"/>
      <c r="KHS34" s="28"/>
      <c r="KHT34" s="28"/>
      <c r="KHU34" s="28"/>
      <c r="KHV34" s="28"/>
      <c r="KHW34" s="28"/>
      <c r="KHX34" s="28"/>
      <c r="KHY34" s="28"/>
      <c r="KHZ34" s="28"/>
      <c r="KIA34" s="28"/>
      <c r="KIB34" s="28"/>
      <c r="KIC34" s="28"/>
      <c r="KID34" s="28"/>
      <c r="KIE34" s="28"/>
      <c r="KIF34" s="28"/>
      <c r="KIG34" s="28"/>
      <c r="KIH34" s="28"/>
      <c r="KII34" s="28"/>
      <c r="KIJ34" s="28"/>
      <c r="KIK34" s="28"/>
      <c r="KIL34" s="28"/>
      <c r="KIM34" s="28"/>
      <c r="KIN34" s="28"/>
      <c r="KIO34" s="28"/>
      <c r="KIP34" s="28"/>
      <c r="KIQ34" s="28"/>
      <c r="KIR34" s="28"/>
      <c r="KIS34" s="28"/>
      <c r="KIT34" s="28"/>
      <c r="KIU34" s="28"/>
      <c r="KIV34" s="28"/>
      <c r="KIW34" s="28"/>
      <c r="KIX34" s="28"/>
      <c r="KIY34" s="28"/>
      <c r="KIZ34" s="28"/>
      <c r="KJA34" s="28"/>
      <c r="KJB34" s="28"/>
      <c r="KJC34" s="28"/>
      <c r="KJD34" s="28"/>
      <c r="KJE34" s="28"/>
      <c r="KJF34" s="28"/>
      <c r="KJG34" s="28"/>
      <c r="KJH34" s="28"/>
      <c r="KJI34" s="28"/>
      <c r="KJJ34" s="28"/>
      <c r="KJK34" s="28"/>
      <c r="KJL34" s="28"/>
      <c r="KJM34" s="28"/>
      <c r="KJN34" s="28"/>
      <c r="KJO34" s="28"/>
      <c r="KJP34" s="28"/>
      <c r="KJQ34" s="28"/>
      <c r="KJR34" s="28"/>
      <c r="KJS34" s="28"/>
      <c r="KJT34" s="28"/>
      <c r="KJU34" s="28"/>
      <c r="KJV34" s="28"/>
      <c r="KJW34" s="28"/>
      <c r="KJX34" s="28"/>
      <c r="KJY34" s="28"/>
      <c r="KJZ34" s="28"/>
      <c r="KKA34" s="28"/>
      <c r="KKB34" s="28"/>
      <c r="KKC34" s="28"/>
      <c r="KKD34" s="28"/>
      <c r="KKE34" s="28"/>
      <c r="KKF34" s="28"/>
      <c r="KKG34" s="28"/>
      <c r="KKH34" s="28"/>
      <c r="KKI34" s="28"/>
      <c r="KKJ34" s="28"/>
      <c r="KKK34" s="28"/>
      <c r="KKL34" s="28"/>
      <c r="KKM34" s="28"/>
      <c r="KKN34" s="28"/>
      <c r="KKO34" s="28"/>
      <c r="KKP34" s="28"/>
      <c r="KKQ34" s="28"/>
      <c r="KKR34" s="28"/>
      <c r="KKS34" s="28"/>
      <c r="KKT34" s="28"/>
      <c r="KKU34" s="28"/>
      <c r="KKV34" s="28"/>
      <c r="KKW34" s="28"/>
      <c r="KKX34" s="28"/>
      <c r="KKY34" s="28"/>
      <c r="KKZ34" s="28"/>
      <c r="KLA34" s="28"/>
      <c r="KLB34" s="28"/>
      <c r="KLC34" s="28"/>
      <c r="KLD34" s="28"/>
      <c r="KLE34" s="28"/>
      <c r="KLF34" s="28"/>
      <c r="KLG34" s="28"/>
      <c r="KLH34" s="28"/>
      <c r="KLI34" s="28"/>
      <c r="KLJ34" s="28"/>
      <c r="KLK34" s="28"/>
      <c r="KLL34" s="28"/>
      <c r="KLM34" s="28"/>
      <c r="KLN34" s="28"/>
      <c r="KLO34" s="28"/>
      <c r="KLP34" s="28"/>
      <c r="KLQ34" s="28"/>
      <c r="KLR34" s="28"/>
      <c r="KLS34" s="28"/>
      <c r="KLT34" s="28"/>
      <c r="KLU34" s="28"/>
      <c r="KLV34" s="28"/>
      <c r="KLW34" s="28"/>
      <c r="KLX34" s="28"/>
      <c r="KLY34" s="28"/>
      <c r="KLZ34" s="28"/>
      <c r="KMA34" s="28"/>
      <c r="KMB34" s="28"/>
      <c r="KMC34" s="28"/>
      <c r="KMD34" s="28"/>
      <c r="KME34" s="28"/>
      <c r="KMF34" s="28"/>
      <c r="KMG34" s="28"/>
      <c r="KMH34" s="28"/>
      <c r="KMI34" s="28"/>
      <c r="KMJ34" s="28"/>
      <c r="KMK34" s="28"/>
      <c r="KML34" s="28"/>
      <c r="KMM34" s="28"/>
      <c r="KMN34" s="28"/>
      <c r="KMO34" s="28"/>
      <c r="KMP34" s="28"/>
      <c r="KMQ34" s="28"/>
      <c r="KMR34" s="28"/>
      <c r="KMS34" s="28"/>
      <c r="KMT34" s="28"/>
      <c r="KMU34" s="28"/>
      <c r="KMV34" s="28"/>
      <c r="KMW34" s="28"/>
      <c r="KMX34" s="28"/>
      <c r="KMY34" s="28"/>
      <c r="KMZ34" s="28"/>
      <c r="KNA34" s="28"/>
      <c r="KNB34" s="28"/>
      <c r="KNC34" s="28"/>
      <c r="KND34" s="28"/>
      <c r="KNE34" s="28"/>
      <c r="KNF34" s="28"/>
      <c r="KNG34" s="28"/>
      <c r="KNH34" s="28"/>
      <c r="KNI34" s="28"/>
      <c r="KNJ34" s="28"/>
      <c r="KNK34" s="28"/>
      <c r="KNL34" s="28"/>
      <c r="KNM34" s="28"/>
      <c r="KNN34" s="28"/>
      <c r="KNO34" s="28"/>
      <c r="KNP34" s="28"/>
      <c r="KNQ34" s="28"/>
      <c r="KNR34" s="28"/>
      <c r="KNS34" s="28"/>
      <c r="KNT34" s="28"/>
      <c r="KNU34" s="28"/>
      <c r="KNV34" s="28"/>
      <c r="KNW34" s="28"/>
      <c r="KNX34" s="28"/>
      <c r="KNY34" s="28"/>
      <c r="KNZ34" s="28"/>
      <c r="KOA34" s="28"/>
      <c r="KOB34" s="28"/>
      <c r="KOC34" s="28"/>
      <c r="KOD34" s="28"/>
      <c r="KOE34" s="28"/>
      <c r="KOF34" s="28"/>
      <c r="KOG34" s="28"/>
      <c r="KOH34" s="28"/>
      <c r="KOI34" s="28"/>
      <c r="KOJ34" s="28"/>
      <c r="KOK34" s="28"/>
      <c r="KOL34" s="28"/>
      <c r="KOM34" s="28"/>
      <c r="KON34" s="28"/>
      <c r="KOO34" s="28"/>
      <c r="KOP34" s="28"/>
      <c r="KOQ34" s="28"/>
      <c r="KOR34" s="28"/>
      <c r="KOS34" s="28"/>
      <c r="KOT34" s="28"/>
      <c r="KOU34" s="28"/>
      <c r="KOV34" s="28"/>
      <c r="KOW34" s="28"/>
      <c r="KOX34" s="28"/>
      <c r="KOY34" s="28"/>
      <c r="KOZ34" s="28"/>
      <c r="KPA34" s="28"/>
      <c r="KPB34" s="28"/>
      <c r="KPC34" s="28"/>
      <c r="KPD34" s="28"/>
      <c r="KPE34" s="28"/>
      <c r="KPF34" s="28"/>
      <c r="KPG34" s="28"/>
      <c r="KPH34" s="28"/>
      <c r="KPI34" s="28"/>
      <c r="KPJ34" s="28"/>
      <c r="KPK34" s="28"/>
      <c r="KPL34" s="28"/>
      <c r="KPM34" s="28"/>
      <c r="KPN34" s="28"/>
      <c r="KPO34" s="28"/>
      <c r="KPP34" s="28"/>
      <c r="KPQ34" s="28"/>
      <c r="KPR34" s="28"/>
      <c r="KPS34" s="28"/>
      <c r="KPT34" s="28"/>
      <c r="KPU34" s="28"/>
      <c r="KPV34" s="28"/>
      <c r="KPW34" s="28"/>
      <c r="KPX34" s="28"/>
      <c r="KPY34" s="28"/>
      <c r="KPZ34" s="28"/>
      <c r="KQA34" s="28"/>
      <c r="KQB34" s="28"/>
      <c r="KQC34" s="28"/>
      <c r="KQD34" s="28"/>
      <c r="KQE34" s="28"/>
      <c r="KQF34" s="28"/>
      <c r="KQG34" s="28"/>
      <c r="KQH34" s="28"/>
      <c r="KQI34" s="28"/>
      <c r="KQJ34" s="28"/>
      <c r="KQK34" s="28"/>
      <c r="KQL34" s="28"/>
      <c r="KQM34" s="28"/>
      <c r="KQN34" s="28"/>
      <c r="KQO34" s="28"/>
      <c r="KQP34" s="28"/>
      <c r="KQQ34" s="28"/>
      <c r="KQR34" s="28"/>
      <c r="KQS34" s="28"/>
      <c r="KQT34" s="28"/>
      <c r="KQU34" s="28"/>
      <c r="KQV34" s="28"/>
      <c r="KQW34" s="28"/>
      <c r="KQX34" s="28"/>
      <c r="KQY34" s="28"/>
      <c r="KQZ34" s="28"/>
      <c r="KRA34" s="28"/>
      <c r="KRB34" s="28"/>
      <c r="KRC34" s="28"/>
      <c r="KRD34" s="28"/>
      <c r="KRE34" s="28"/>
      <c r="KRF34" s="28"/>
      <c r="KRG34" s="28"/>
      <c r="KRH34" s="28"/>
      <c r="KRI34" s="28"/>
      <c r="KRJ34" s="28"/>
      <c r="KRK34" s="28"/>
      <c r="KRL34" s="28"/>
      <c r="KRM34" s="28"/>
      <c r="KRN34" s="28"/>
      <c r="KRO34" s="28"/>
      <c r="KRP34" s="28"/>
      <c r="KRQ34" s="28"/>
      <c r="KRR34" s="28"/>
      <c r="KRS34" s="28"/>
      <c r="KRT34" s="28"/>
      <c r="KRU34" s="28"/>
      <c r="KRV34" s="28"/>
      <c r="KRW34" s="28"/>
      <c r="KRX34" s="28"/>
      <c r="KRY34" s="28"/>
      <c r="KRZ34" s="28"/>
      <c r="KSA34" s="28"/>
      <c r="KSB34" s="28"/>
      <c r="KSC34" s="28"/>
      <c r="KSD34" s="28"/>
      <c r="KSE34" s="28"/>
      <c r="KSF34" s="28"/>
      <c r="KSG34" s="28"/>
      <c r="KSH34" s="28"/>
      <c r="KSI34" s="28"/>
      <c r="KSJ34" s="28"/>
      <c r="KSK34" s="28"/>
      <c r="KSL34" s="28"/>
      <c r="KSM34" s="28"/>
      <c r="KSN34" s="28"/>
      <c r="KSO34" s="28"/>
      <c r="KSP34" s="28"/>
      <c r="KSQ34" s="28"/>
      <c r="KSR34" s="28"/>
      <c r="KSS34" s="28"/>
      <c r="KST34" s="28"/>
      <c r="KSU34" s="28"/>
      <c r="KSV34" s="28"/>
      <c r="KSW34" s="28"/>
      <c r="KSX34" s="28"/>
      <c r="KSY34" s="28"/>
      <c r="KSZ34" s="28"/>
      <c r="KTA34" s="28"/>
      <c r="KTB34" s="28"/>
      <c r="KTC34" s="28"/>
      <c r="KTD34" s="28"/>
      <c r="KTE34" s="28"/>
      <c r="KTF34" s="28"/>
      <c r="KTG34" s="28"/>
      <c r="KTH34" s="28"/>
      <c r="KTI34" s="28"/>
      <c r="KTJ34" s="28"/>
      <c r="KTK34" s="28"/>
      <c r="KTL34" s="28"/>
      <c r="KTM34" s="28"/>
      <c r="KTN34" s="28"/>
      <c r="KTO34" s="28"/>
      <c r="KTP34" s="28"/>
      <c r="KTQ34" s="28"/>
      <c r="KTR34" s="28"/>
      <c r="KTS34" s="28"/>
      <c r="KTT34" s="28"/>
      <c r="KTU34" s="28"/>
      <c r="KTV34" s="28"/>
      <c r="KTW34" s="28"/>
      <c r="KTX34" s="28"/>
      <c r="KTY34" s="28"/>
      <c r="KTZ34" s="28"/>
      <c r="KUA34" s="28"/>
      <c r="KUB34" s="28"/>
      <c r="KUC34" s="28"/>
      <c r="KUD34" s="28"/>
      <c r="KUE34" s="28"/>
      <c r="KUF34" s="28"/>
      <c r="KUG34" s="28"/>
      <c r="KUH34" s="28"/>
      <c r="KUI34" s="28"/>
      <c r="KUJ34" s="28"/>
      <c r="KUK34" s="28"/>
      <c r="KUL34" s="28"/>
      <c r="KUM34" s="28"/>
      <c r="KUN34" s="28"/>
      <c r="KUO34" s="28"/>
      <c r="KUP34" s="28"/>
      <c r="KUQ34" s="28"/>
      <c r="KUR34" s="28"/>
      <c r="KUS34" s="28"/>
      <c r="KUT34" s="28"/>
      <c r="KUU34" s="28"/>
      <c r="KUV34" s="28"/>
      <c r="KUW34" s="28"/>
      <c r="KUX34" s="28"/>
      <c r="KUY34" s="28"/>
      <c r="KUZ34" s="28"/>
      <c r="KVA34" s="28"/>
      <c r="KVB34" s="28"/>
      <c r="KVC34" s="28"/>
      <c r="KVD34" s="28"/>
      <c r="KVE34" s="28"/>
      <c r="KVF34" s="28"/>
      <c r="KVG34" s="28"/>
      <c r="KVH34" s="28"/>
      <c r="KVI34" s="28"/>
      <c r="KVJ34" s="28"/>
      <c r="KVK34" s="28"/>
      <c r="KVL34" s="28"/>
      <c r="KVM34" s="28"/>
      <c r="KVN34" s="28"/>
      <c r="KVO34" s="28"/>
      <c r="KVP34" s="28"/>
      <c r="KVQ34" s="28"/>
      <c r="KVR34" s="28"/>
      <c r="KVS34" s="28"/>
      <c r="KVT34" s="28"/>
      <c r="KVU34" s="28"/>
      <c r="KVV34" s="28"/>
      <c r="KVW34" s="28"/>
      <c r="KVX34" s="28"/>
      <c r="KVY34" s="28"/>
      <c r="KVZ34" s="28"/>
      <c r="KWA34" s="28"/>
      <c r="KWB34" s="28"/>
      <c r="KWC34" s="28"/>
      <c r="KWD34" s="28"/>
      <c r="KWE34" s="28"/>
      <c r="KWF34" s="28"/>
      <c r="KWG34" s="28"/>
      <c r="KWH34" s="28"/>
      <c r="KWI34" s="28"/>
      <c r="KWJ34" s="28"/>
      <c r="KWK34" s="28"/>
      <c r="KWL34" s="28"/>
      <c r="KWM34" s="28"/>
      <c r="KWN34" s="28"/>
      <c r="KWO34" s="28"/>
      <c r="KWP34" s="28"/>
      <c r="KWQ34" s="28"/>
      <c r="KWR34" s="28"/>
      <c r="KWS34" s="28"/>
      <c r="KWT34" s="28"/>
      <c r="KWU34" s="28"/>
      <c r="KWV34" s="28"/>
      <c r="KWW34" s="28"/>
      <c r="KWX34" s="28"/>
      <c r="KWY34" s="28"/>
      <c r="KWZ34" s="28"/>
      <c r="KXA34" s="28"/>
      <c r="KXB34" s="28"/>
      <c r="KXC34" s="28"/>
      <c r="KXD34" s="28"/>
      <c r="KXE34" s="28"/>
      <c r="KXF34" s="28"/>
      <c r="KXG34" s="28"/>
      <c r="KXH34" s="28"/>
      <c r="KXI34" s="28"/>
      <c r="KXJ34" s="28"/>
      <c r="KXK34" s="28"/>
      <c r="KXL34" s="28"/>
      <c r="KXM34" s="28"/>
      <c r="KXN34" s="28"/>
      <c r="KXO34" s="28"/>
      <c r="KXP34" s="28"/>
      <c r="KXQ34" s="28"/>
      <c r="KXR34" s="28"/>
      <c r="KXS34" s="28"/>
      <c r="KXT34" s="28"/>
      <c r="KXU34" s="28"/>
      <c r="KXV34" s="28"/>
      <c r="KXW34" s="28"/>
      <c r="KXX34" s="28"/>
      <c r="KXY34" s="28"/>
      <c r="KXZ34" s="28"/>
      <c r="KYA34" s="28"/>
      <c r="KYB34" s="28"/>
      <c r="KYC34" s="28"/>
      <c r="KYD34" s="28"/>
      <c r="KYE34" s="28"/>
      <c r="KYF34" s="28"/>
      <c r="KYG34" s="28"/>
      <c r="KYH34" s="28"/>
      <c r="KYI34" s="28"/>
      <c r="KYJ34" s="28"/>
      <c r="KYK34" s="28"/>
      <c r="KYL34" s="28"/>
      <c r="KYM34" s="28"/>
      <c r="KYN34" s="28"/>
      <c r="KYO34" s="28"/>
      <c r="KYP34" s="28"/>
      <c r="KYQ34" s="28"/>
      <c r="KYR34" s="28"/>
      <c r="KYS34" s="28"/>
      <c r="KYT34" s="28"/>
      <c r="KYU34" s="28"/>
      <c r="KYV34" s="28"/>
      <c r="KYW34" s="28"/>
      <c r="KYX34" s="28"/>
      <c r="KYY34" s="28"/>
      <c r="KYZ34" s="28"/>
      <c r="KZA34" s="28"/>
      <c r="KZB34" s="28"/>
      <c r="KZC34" s="28"/>
      <c r="KZD34" s="28"/>
      <c r="KZE34" s="28"/>
      <c r="KZF34" s="28"/>
      <c r="KZG34" s="28"/>
      <c r="KZH34" s="28"/>
      <c r="KZI34" s="28"/>
      <c r="KZJ34" s="28"/>
      <c r="KZK34" s="28"/>
      <c r="KZL34" s="28"/>
      <c r="KZM34" s="28"/>
      <c r="KZN34" s="28"/>
      <c r="KZO34" s="28"/>
      <c r="KZP34" s="28"/>
      <c r="KZQ34" s="28"/>
      <c r="KZR34" s="28"/>
      <c r="KZS34" s="28"/>
      <c r="KZT34" s="28"/>
      <c r="KZU34" s="28"/>
      <c r="KZV34" s="28"/>
      <c r="KZW34" s="28"/>
      <c r="KZX34" s="28"/>
      <c r="KZY34" s="28"/>
      <c r="KZZ34" s="28"/>
      <c r="LAA34" s="28"/>
      <c r="LAB34" s="28"/>
      <c r="LAC34" s="28"/>
      <c r="LAD34" s="28"/>
      <c r="LAE34" s="28"/>
      <c r="LAF34" s="28"/>
      <c r="LAG34" s="28"/>
      <c r="LAH34" s="28"/>
      <c r="LAI34" s="28"/>
      <c r="LAJ34" s="28"/>
      <c r="LAK34" s="28"/>
      <c r="LAL34" s="28"/>
      <c r="LAM34" s="28"/>
      <c r="LAN34" s="28"/>
      <c r="LAO34" s="28"/>
      <c r="LAP34" s="28"/>
      <c r="LAQ34" s="28"/>
      <c r="LAR34" s="28"/>
      <c r="LAS34" s="28"/>
      <c r="LAT34" s="28"/>
      <c r="LAU34" s="28"/>
      <c r="LAV34" s="28"/>
      <c r="LAW34" s="28"/>
      <c r="LAX34" s="28"/>
      <c r="LAY34" s="28"/>
      <c r="LAZ34" s="28"/>
      <c r="LBA34" s="28"/>
      <c r="LBB34" s="28"/>
      <c r="LBC34" s="28"/>
      <c r="LBD34" s="28"/>
      <c r="LBE34" s="28"/>
      <c r="LBF34" s="28"/>
      <c r="LBG34" s="28"/>
      <c r="LBH34" s="28"/>
      <c r="LBI34" s="28"/>
      <c r="LBJ34" s="28"/>
      <c r="LBK34" s="28"/>
      <c r="LBL34" s="28"/>
      <c r="LBM34" s="28"/>
      <c r="LBN34" s="28"/>
      <c r="LBO34" s="28"/>
      <c r="LBP34" s="28"/>
      <c r="LBQ34" s="28"/>
      <c r="LBR34" s="28"/>
      <c r="LBS34" s="28"/>
      <c r="LBT34" s="28"/>
      <c r="LBU34" s="28"/>
      <c r="LBV34" s="28"/>
      <c r="LBW34" s="28"/>
      <c r="LBX34" s="28"/>
      <c r="LBY34" s="28"/>
      <c r="LBZ34" s="28"/>
      <c r="LCA34" s="28"/>
      <c r="LCB34" s="28"/>
      <c r="LCC34" s="28"/>
      <c r="LCD34" s="28"/>
      <c r="LCE34" s="28"/>
      <c r="LCF34" s="28"/>
      <c r="LCG34" s="28"/>
      <c r="LCH34" s="28"/>
      <c r="LCI34" s="28"/>
      <c r="LCJ34" s="28"/>
      <c r="LCK34" s="28"/>
      <c r="LCL34" s="28"/>
      <c r="LCM34" s="28"/>
      <c r="LCN34" s="28"/>
      <c r="LCO34" s="28"/>
      <c r="LCP34" s="28"/>
      <c r="LCQ34" s="28"/>
      <c r="LCR34" s="28"/>
      <c r="LCS34" s="28"/>
      <c r="LCT34" s="28"/>
      <c r="LCU34" s="28"/>
      <c r="LCV34" s="28"/>
      <c r="LCW34" s="28"/>
      <c r="LCX34" s="28"/>
      <c r="LCY34" s="28"/>
      <c r="LCZ34" s="28"/>
      <c r="LDA34" s="28"/>
      <c r="LDB34" s="28"/>
      <c r="LDC34" s="28"/>
      <c r="LDD34" s="28"/>
      <c r="LDE34" s="28"/>
      <c r="LDF34" s="28"/>
      <c r="LDG34" s="28"/>
      <c r="LDH34" s="28"/>
      <c r="LDI34" s="28"/>
      <c r="LDJ34" s="28"/>
      <c r="LDK34" s="28"/>
      <c r="LDL34" s="28"/>
      <c r="LDM34" s="28"/>
      <c r="LDN34" s="28"/>
      <c r="LDO34" s="28"/>
      <c r="LDP34" s="28"/>
      <c r="LDQ34" s="28"/>
      <c r="LDR34" s="28"/>
      <c r="LDS34" s="28"/>
      <c r="LDT34" s="28"/>
      <c r="LDU34" s="28"/>
      <c r="LDV34" s="28"/>
      <c r="LDW34" s="28"/>
      <c r="LDX34" s="28"/>
      <c r="LDY34" s="28"/>
      <c r="LDZ34" s="28"/>
      <c r="LEA34" s="28"/>
      <c r="LEB34" s="28"/>
      <c r="LEC34" s="28"/>
      <c r="LED34" s="28"/>
      <c r="LEE34" s="28"/>
      <c r="LEF34" s="28"/>
      <c r="LEG34" s="28"/>
      <c r="LEH34" s="28"/>
      <c r="LEI34" s="28"/>
      <c r="LEJ34" s="28"/>
      <c r="LEK34" s="28"/>
      <c r="LEL34" s="28"/>
      <c r="LEM34" s="28"/>
      <c r="LEN34" s="28"/>
      <c r="LEO34" s="28"/>
      <c r="LEP34" s="28"/>
      <c r="LEQ34" s="28"/>
      <c r="LER34" s="28"/>
      <c r="LES34" s="28"/>
      <c r="LET34" s="28"/>
      <c r="LEU34" s="28"/>
      <c r="LEV34" s="28"/>
      <c r="LEW34" s="28"/>
      <c r="LEX34" s="28"/>
      <c r="LEY34" s="28"/>
      <c r="LEZ34" s="28"/>
      <c r="LFA34" s="28"/>
      <c r="LFB34" s="28"/>
      <c r="LFC34" s="28"/>
      <c r="LFD34" s="28"/>
      <c r="LFE34" s="28"/>
      <c r="LFF34" s="28"/>
      <c r="LFG34" s="28"/>
      <c r="LFH34" s="28"/>
      <c r="LFI34" s="28"/>
      <c r="LFJ34" s="28"/>
      <c r="LFK34" s="28"/>
      <c r="LFL34" s="28"/>
      <c r="LFM34" s="28"/>
      <c r="LFN34" s="28"/>
      <c r="LFO34" s="28"/>
      <c r="LFP34" s="28"/>
      <c r="LFQ34" s="28"/>
      <c r="LFR34" s="28"/>
      <c r="LFS34" s="28"/>
      <c r="LFT34" s="28"/>
      <c r="LFU34" s="28"/>
      <c r="LFV34" s="28"/>
      <c r="LFW34" s="28"/>
      <c r="LFX34" s="28"/>
      <c r="LFY34" s="28"/>
      <c r="LFZ34" s="28"/>
      <c r="LGA34" s="28"/>
      <c r="LGB34" s="28"/>
      <c r="LGC34" s="28"/>
      <c r="LGD34" s="28"/>
      <c r="LGE34" s="28"/>
      <c r="LGF34" s="28"/>
      <c r="LGG34" s="28"/>
      <c r="LGH34" s="28"/>
      <c r="LGI34" s="28"/>
      <c r="LGJ34" s="28"/>
      <c r="LGK34" s="28"/>
      <c r="LGL34" s="28"/>
      <c r="LGM34" s="28"/>
      <c r="LGN34" s="28"/>
      <c r="LGO34" s="28"/>
      <c r="LGP34" s="28"/>
      <c r="LGQ34" s="28"/>
      <c r="LGR34" s="28"/>
      <c r="LGS34" s="28"/>
      <c r="LGT34" s="28"/>
      <c r="LGU34" s="28"/>
      <c r="LGV34" s="28"/>
      <c r="LGW34" s="28"/>
      <c r="LGX34" s="28"/>
      <c r="LGY34" s="28"/>
      <c r="LGZ34" s="28"/>
      <c r="LHA34" s="28"/>
      <c r="LHB34" s="28"/>
      <c r="LHC34" s="28"/>
      <c r="LHD34" s="28"/>
      <c r="LHE34" s="28"/>
      <c r="LHF34" s="28"/>
      <c r="LHG34" s="28"/>
      <c r="LHH34" s="28"/>
      <c r="LHI34" s="28"/>
      <c r="LHJ34" s="28"/>
      <c r="LHK34" s="28"/>
      <c r="LHL34" s="28"/>
      <c r="LHM34" s="28"/>
      <c r="LHN34" s="28"/>
      <c r="LHO34" s="28"/>
      <c r="LHP34" s="28"/>
      <c r="LHQ34" s="28"/>
      <c r="LHR34" s="28"/>
      <c r="LHS34" s="28"/>
      <c r="LHT34" s="28"/>
      <c r="LHU34" s="28"/>
      <c r="LHV34" s="28"/>
      <c r="LHW34" s="28"/>
      <c r="LHX34" s="28"/>
      <c r="LHY34" s="28"/>
      <c r="LHZ34" s="28"/>
      <c r="LIA34" s="28"/>
      <c r="LIB34" s="28"/>
      <c r="LIC34" s="28"/>
      <c r="LID34" s="28"/>
      <c r="LIE34" s="28"/>
      <c r="LIF34" s="28"/>
      <c r="LIG34" s="28"/>
      <c r="LIH34" s="28"/>
      <c r="LII34" s="28"/>
      <c r="LIJ34" s="28"/>
      <c r="LIK34" s="28"/>
      <c r="LIL34" s="28"/>
      <c r="LIM34" s="28"/>
      <c r="LIN34" s="28"/>
      <c r="LIO34" s="28"/>
      <c r="LIP34" s="28"/>
      <c r="LIQ34" s="28"/>
      <c r="LIR34" s="28"/>
      <c r="LIS34" s="28"/>
      <c r="LIT34" s="28"/>
      <c r="LIU34" s="28"/>
      <c r="LIV34" s="28"/>
      <c r="LIW34" s="28"/>
      <c r="LIX34" s="28"/>
      <c r="LIY34" s="28"/>
      <c r="LIZ34" s="28"/>
      <c r="LJA34" s="28"/>
      <c r="LJB34" s="28"/>
      <c r="LJC34" s="28"/>
      <c r="LJD34" s="28"/>
      <c r="LJE34" s="28"/>
      <c r="LJF34" s="28"/>
      <c r="LJG34" s="28"/>
      <c r="LJH34" s="28"/>
      <c r="LJI34" s="28"/>
      <c r="LJJ34" s="28"/>
      <c r="LJK34" s="28"/>
      <c r="LJL34" s="28"/>
      <c r="LJM34" s="28"/>
      <c r="LJN34" s="28"/>
      <c r="LJO34" s="28"/>
      <c r="LJP34" s="28"/>
      <c r="LJQ34" s="28"/>
      <c r="LJR34" s="28"/>
      <c r="LJS34" s="28"/>
      <c r="LJT34" s="28"/>
      <c r="LJU34" s="28"/>
      <c r="LJV34" s="28"/>
      <c r="LJW34" s="28"/>
      <c r="LJX34" s="28"/>
      <c r="LJY34" s="28"/>
      <c r="LJZ34" s="28"/>
      <c r="LKA34" s="28"/>
      <c r="LKB34" s="28"/>
      <c r="LKC34" s="28"/>
      <c r="LKD34" s="28"/>
      <c r="LKE34" s="28"/>
      <c r="LKF34" s="28"/>
      <c r="LKG34" s="28"/>
      <c r="LKH34" s="28"/>
      <c r="LKI34" s="28"/>
      <c r="LKJ34" s="28"/>
      <c r="LKK34" s="28"/>
      <c r="LKL34" s="28"/>
      <c r="LKM34" s="28"/>
      <c r="LKN34" s="28"/>
      <c r="LKO34" s="28"/>
      <c r="LKP34" s="28"/>
      <c r="LKQ34" s="28"/>
      <c r="LKR34" s="28"/>
      <c r="LKS34" s="28"/>
      <c r="LKT34" s="28"/>
      <c r="LKU34" s="28"/>
      <c r="LKV34" s="28"/>
      <c r="LKW34" s="28"/>
      <c r="LKX34" s="28"/>
      <c r="LKY34" s="28"/>
      <c r="LKZ34" s="28"/>
      <c r="LLA34" s="28"/>
      <c r="LLB34" s="28"/>
      <c r="LLC34" s="28"/>
      <c r="LLD34" s="28"/>
      <c r="LLE34" s="28"/>
      <c r="LLF34" s="28"/>
      <c r="LLG34" s="28"/>
      <c r="LLH34" s="28"/>
      <c r="LLI34" s="28"/>
      <c r="LLJ34" s="28"/>
      <c r="LLK34" s="28"/>
      <c r="LLL34" s="28"/>
      <c r="LLM34" s="28"/>
      <c r="LLN34" s="28"/>
      <c r="LLO34" s="28"/>
      <c r="LLP34" s="28"/>
      <c r="LLQ34" s="28"/>
      <c r="LLR34" s="28"/>
      <c r="LLS34" s="28"/>
      <c r="LLT34" s="28"/>
      <c r="LLU34" s="28"/>
      <c r="LLV34" s="28"/>
      <c r="LLW34" s="28"/>
      <c r="LLX34" s="28"/>
      <c r="LLY34" s="28"/>
      <c r="LLZ34" s="28"/>
      <c r="LMA34" s="28"/>
      <c r="LMB34" s="28"/>
      <c r="LMC34" s="28"/>
      <c r="LMD34" s="28"/>
      <c r="LME34" s="28"/>
      <c r="LMF34" s="28"/>
      <c r="LMG34" s="28"/>
      <c r="LMH34" s="28"/>
      <c r="LMI34" s="28"/>
      <c r="LMJ34" s="28"/>
      <c r="LMK34" s="28"/>
      <c r="LML34" s="28"/>
      <c r="LMM34" s="28"/>
      <c r="LMN34" s="28"/>
      <c r="LMO34" s="28"/>
      <c r="LMP34" s="28"/>
      <c r="LMQ34" s="28"/>
      <c r="LMR34" s="28"/>
      <c r="LMS34" s="28"/>
      <c r="LMT34" s="28"/>
      <c r="LMU34" s="28"/>
      <c r="LMV34" s="28"/>
      <c r="LMW34" s="28"/>
      <c r="LMX34" s="28"/>
      <c r="LMY34" s="28"/>
      <c r="LMZ34" s="28"/>
      <c r="LNA34" s="28"/>
      <c r="LNB34" s="28"/>
      <c r="LNC34" s="28"/>
      <c r="LND34" s="28"/>
      <c r="LNE34" s="28"/>
      <c r="LNF34" s="28"/>
      <c r="LNG34" s="28"/>
      <c r="LNH34" s="28"/>
      <c r="LNI34" s="28"/>
      <c r="LNJ34" s="28"/>
      <c r="LNK34" s="28"/>
      <c r="LNL34" s="28"/>
      <c r="LNM34" s="28"/>
      <c r="LNN34" s="28"/>
      <c r="LNO34" s="28"/>
      <c r="LNP34" s="28"/>
      <c r="LNQ34" s="28"/>
      <c r="LNR34" s="28"/>
      <c r="LNS34" s="28"/>
      <c r="LNT34" s="28"/>
      <c r="LNU34" s="28"/>
      <c r="LNV34" s="28"/>
      <c r="LNW34" s="28"/>
      <c r="LNX34" s="28"/>
      <c r="LNY34" s="28"/>
      <c r="LNZ34" s="28"/>
      <c r="LOA34" s="28"/>
      <c r="LOB34" s="28"/>
      <c r="LOC34" s="28"/>
      <c r="LOD34" s="28"/>
      <c r="LOE34" s="28"/>
      <c r="LOF34" s="28"/>
      <c r="LOG34" s="28"/>
      <c r="LOH34" s="28"/>
      <c r="LOI34" s="28"/>
      <c r="LOJ34" s="28"/>
      <c r="LOK34" s="28"/>
      <c r="LOL34" s="28"/>
      <c r="LOM34" s="28"/>
      <c r="LON34" s="28"/>
      <c r="LOO34" s="28"/>
      <c r="LOP34" s="28"/>
      <c r="LOQ34" s="28"/>
      <c r="LOR34" s="28"/>
      <c r="LOS34" s="28"/>
      <c r="LOT34" s="28"/>
      <c r="LOU34" s="28"/>
      <c r="LOV34" s="28"/>
      <c r="LOW34" s="28"/>
      <c r="LOX34" s="28"/>
      <c r="LOY34" s="28"/>
      <c r="LOZ34" s="28"/>
      <c r="LPA34" s="28"/>
      <c r="LPB34" s="28"/>
      <c r="LPC34" s="28"/>
      <c r="LPD34" s="28"/>
      <c r="LPE34" s="28"/>
      <c r="LPF34" s="28"/>
      <c r="LPG34" s="28"/>
      <c r="LPH34" s="28"/>
      <c r="LPI34" s="28"/>
      <c r="LPJ34" s="28"/>
      <c r="LPK34" s="28"/>
      <c r="LPL34" s="28"/>
      <c r="LPM34" s="28"/>
      <c r="LPN34" s="28"/>
      <c r="LPO34" s="28"/>
      <c r="LPP34" s="28"/>
      <c r="LPQ34" s="28"/>
      <c r="LPR34" s="28"/>
      <c r="LPS34" s="28"/>
      <c r="LPT34" s="28"/>
      <c r="LPU34" s="28"/>
      <c r="LPV34" s="28"/>
      <c r="LPW34" s="28"/>
      <c r="LPX34" s="28"/>
      <c r="LPY34" s="28"/>
      <c r="LPZ34" s="28"/>
      <c r="LQA34" s="28"/>
      <c r="LQB34" s="28"/>
      <c r="LQC34" s="28"/>
      <c r="LQD34" s="28"/>
      <c r="LQE34" s="28"/>
      <c r="LQF34" s="28"/>
      <c r="LQG34" s="28"/>
      <c r="LQH34" s="28"/>
      <c r="LQI34" s="28"/>
      <c r="LQJ34" s="28"/>
      <c r="LQK34" s="28"/>
      <c r="LQL34" s="28"/>
      <c r="LQM34" s="28"/>
      <c r="LQN34" s="28"/>
      <c r="LQO34" s="28"/>
      <c r="LQP34" s="28"/>
      <c r="LQQ34" s="28"/>
      <c r="LQR34" s="28"/>
      <c r="LQS34" s="28"/>
      <c r="LQT34" s="28"/>
      <c r="LQU34" s="28"/>
      <c r="LQV34" s="28"/>
      <c r="LQW34" s="28"/>
      <c r="LQX34" s="28"/>
      <c r="LQY34" s="28"/>
      <c r="LQZ34" s="28"/>
      <c r="LRA34" s="28"/>
      <c r="LRB34" s="28"/>
      <c r="LRC34" s="28"/>
      <c r="LRD34" s="28"/>
      <c r="LRE34" s="28"/>
      <c r="LRF34" s="28"/>
      <c r="LRG34" s="28"/>
      <c r="LRH34" s="28"/>
      <c r="LRI34" s="28"/>
      <c r="LRJ34" s="28"/>
      <c r="LRK34" s="28"/>
      <c r="LRL34" s="28"/>
      <c r="LRM34" s="28"/>
      <c r="LRN34" s="28"/>
      <c r="LRO34" s="28"/>
      <c r="LRP34" s="28"/>
      <c r="LRQ34" s="28"/>
      <c r="LRR34" s="28"/>
      <c r="LRS34" s="28"/>
      <c r="LRT34" s="28"/>
      <c r="LRU34" s="28"/>
      <c r="LRV34" s="28"/>
      <c r="LRW34" s="28"/>
      <c r="LRX34" s="28"/>
      <c r="LRY34" s="28"/>
      <c r="LRZ34" s="28"/>
      <c r="LSA34" s="28"/>
      <c r="LSB34" s="28"/>
      <c r="LSC34" s="28"/>
      <c r="LSD34" s="28"/>
      <c r="LSE34" s="28"/>
      <c r="LSF34" s="28"/>
      <c r="LSG34" s="28"/>
      <c r="LSH34" s="28"/>
      <c r="LSI34" s="28"/>
      <c r="LSJ34" s="28"/>
      <c r="LSK34" s="28"/>
      <c r="LSL34" s="28"/>
      <c r="LSM34" s="28"/>
      <c r="LSN34" s="28"/>
      <c r="LSO34" s="28"/>
      <c r="LSP34" s="28"/>
      <c r="LSQ34" s="28"/>
      <c r="LSR34" s="28"/>
      <c r="LSS34" s="28"/>
      <c r="LST34" s="28"/>
      <c r="LSU34" s="28"/>
      <c r="LSV34" s="28"/>
      <c r="LSW34" s="28"/>
      <c r="LSX34" s="28"/>
      <c r="LSY34" s="28"/>
      <c r="LSZ34" s="28"/>
      <c r="LTA34" s="28"/>
      <c r="LTB34" s="28"/>
      <c r="LTC34" s="28"/>
      <c r="LTD34" s="28"/>
      <c r="LTE34" s="28"/>
      <c r="LTF34" s="28"/>
      <c r="LTG34" s="28"/>
      <c r="LTH34" s="28"/>
      <c r="LTI34" s="28"/>
      <c r="LTJ34" s="28"/>
      <c r="LTK34" s="28"/>
      <c r="LTL34" s="28"/>
      <c r="LTM34" s="28"/>
      <c r="LTN34" s="28"/>
      <c r="LTO34" s="28"/>
      <c r="LTP34" s="28"/>
      <c r="LTQ34" s="28"/>
      <c r="LTR34" s="28"/>
      <c r="LTS34" s="28"/>
      <c r="LTT34" s="28"/>
      <c r="LTU34" s="28"/>
      <c r="LTV34" s="28"/>
      <c r="LTW34" s="28"/>
      <c r="LTX34" s="28"/>
      <c r="LTY34" s="28"/>
      <c r="LTZ34" s="28"/>
      <c r="LUA34" s="28"/>
      <c r="LUB34" s="28"/>
      <c r="LUC34" s="28"/>
      <c r="LUD34" s="28"/>
      <c r="LUE34" s="28"/>
      <c r="LUF34" s="28"/>
      <c r="LUG34" s="28"/>
      <c r="LUH34" s="28"/>
      <c r="LUI34" s="28"/>
      <c r="LUJ34" s="28"/>
      <c r="LUK34" s="28"/>
      <c r="LUL34" s="28"/>
      <c r="LUM34" s="28"/>
      <c r="LUN34" s="28"/>
      <c r="LUO34" s="28"/>
      <c r="LUP34" s="28"/>
      <c r="LUQ34" s="28"/>
      <c r="LUR34" s="28"/>
      <c r="LUS34" s="28"/>
      <c r="LUT34" s="28"/>
      <c r="LUU34" s="28"/>
      <c r="LUV34" s="28"/>
      <c r="LUW34" s="28"/>
      <c r="LUX34" s="28"/>
      <c r="LUY34" s="28"/>
      <c r="LUZ34" s="28"/>
      <c r="LVA34" s="28"/>
      <c r="LVB34" s="28"/>
      <c r="LVC34" s="28"/>
      <c r="LVD34" s="28"/>
      <c r="LVE34" s="28"/>
      <c r="LVF34" s="28"/>
      <c r="LVG34" s="28"/>
      <c r="LVH34" s="28"/>
      <c r="LVI34" s="28"/>
      <c r="LVJ34" s="28"/>
      <c r="LVK34" s="28"/>
      <c r="LVL34" s="28"/>
      <c r="LVM34" s="28"/>
      <c r="LVN34" s="28"/>
      <c r="LVO34" s="28"/>
      <c r="LVP34" s="28"/>
      <c r="LVQ34" s="28"/>
      <c r="LVR34" s="28"/>
      <c r="LVS34" s="28"/>
      <c r="LVT34" s="28"/>
      <c r="LVU34" s="28"/>
      <c r="LVV34" s="28"/>
      <c r="LVW34" s="28"/>
      <c r="LVX34" s="28"/>
      <c r="LVY34" s="28"/>
      <c r="LVZ34" s="28"/>
      <c r="LWA34" s="28"/>
      <c r="LWB34" s="28"/>
      <c r="LWC34" s="28"/>
      <c r="LWD34" s="28"/>
      <c r="LWE34" s="28"/>
      <c r="LWF34" s="28"/>
      <c r="LWG34" s="28"/>
      <c r="LWH34" s="28"/>
      <c r="LWI34" s="28"/>
      <c r="LWJ34" s="28"/>
      <c r="LWK34" s="28"/>
      <c r="LWL34" s="28"/>
      <c r="LWM34" s="28"/>
      <c r="LWN34" s="28"/>
      <c r="LWO34" s="28"/>
      <c r="LWP34" s="28"/>
      <c r="LWQ34" s="28"/>
      <c r="LWR34" s="28"/>
      <c r="LWS34" s="28"/>
      <c r="LWT34" s="28"/>
      <c r="LWU34" s="28"/>
      <c r="LWV34" s="28"/>
      <c r="LWW34" s="28"/>
      <c r="LWX34" s="28"/>
      <c r="LWY34" s="28"/>
      <c r="LWZ34" s="28"/>
      <c r="LXA34" s="28"/>
      <c r="LXB34" s="28"/>
      <c r="LXC34" s="28"/>
      <c r="LXD34" s="28"/>
      <c r="LXE34" s="28"/>
      <c r="LXF34" s="28"/>
      <c r="LXG34" s="28"/>
      <c r="LXH34" s="28"/>
      <c r="LXI34" s="28"/>
      <c r="LXJ34" s="28"/>
      <c r="LXK34" s="28"/>
      <c r="LXL34" s="28"/>
      <c r="LXM34" s="28"/>
      <c r="LXN34" s="28"/>
      <c r="LXO34" s="28"/>
      <c r="LXP34" s="28"/>
      <c r="LXQ34" s="28"/>
      <c r="LXR34" s="28"/>
      <c r="LXS34" s="28"/>
      <c r="LXT34" s="28"/>
      <c r="LXU34" s="28"/>
      <c r="LXV34" s="28"/>
      <c r="LXW34" s="28"/>
      <c r="LXX34" s="28"/>
      <c r="LXY34" s="28"/>
      <c r="LXZ34" s="28"/>
      <c r="LYA34" s="28"/>
      <c r="LYB34" s="28"/>
      <c r="LYC34" s="28"/>
      <c r="LYD34" s="28"/>
      <c r="LYE34" s="28"/>
      <c r="LYF34" s="28"/>
      <c r="LYG34" s="28"/>
      <c r="LYH34" s="28"/>
      <c r="LYI34" s="28"/>
      <c r="LYJ34" s="28"/>
      <c r="LYK34" s="28"/>
      <c r="LYL34" s="28"/>
      <c r="LYM34" s="28"/>
      <c r="LYN34" s="28"/>
      <c r="LYO34" s="28"/>
      <c r="LYP34" s="28"/>
      <c r="LYQ34" s="28"/>
      <c r="LYR34" s="28"/>
      <c r="LYS34" s="28"/>
      <c r="LYT34" s="28"/>
      <c r="LYU34" s="28"/>
      <c r="LYV34" s="28"/>
      <c r="LYW34" s="28"/>
      <c r="LYX34" s="28"/>
      <c r="LYY34" s="28"/>
      <c r="LYZ34" s="28"/>
      <c r="LZA34" s="28"/>
      <c r="LZB34" s="28"/>
      <c r="LZC34" s="28"/>
      <c r="LZD34" s="28"/>
      <c r="LZE34" s="28"/>
      <c r="LZF34" s="28"/>
      <c r="LZG34" s="28"/>
      <c r="LZH34" s="28"/>
      <c r="LZI34" s="28"/>
      <c r="LZJ34" s="28"/>
      <c r="LZK34" s="28"/>
      <c r="LZL34" s="28"/>
      <c r="LZM34" s="28"/>
      <c r="LZN34" s="28"/>
      <c r="LZO34" s="28"/>
      <c r="LZP34" s="28"/>
      <c r="LZQ34" s="28"/>
      <c r="LZR34" s="28"/>
      <c r="LZS34" s="28"/>
      <c r="LZT34" s="28"/>
      <c r="LZU34" s="28"/>
      <c r="LZV34" s="28"/>
      <c r="LZW34" s="28"/>
      <c r="LZX34" s="28"/>
      <c r="LZY34" s="28"/>
      <c r="LZZ34" s="28"/>
      <c r="MAA34" s="28"/>
      <c r="MAB34" s="28"/>
      <c r="MAC34" s="28"/>
      <c r="MAD34" s="28"/>
      <c r="MAE34" s="28"/>
      <c r="MAF34" s="28"/>
      <c r="MAG34" s="28"/>
      <c r="MAH34" s="28"/>
      <c r="MAI34" s="28"/>
      <c r="MAJ34" s="28"/>
      <c r="MAK34" s="28"/>
      <c r="MAL34" s="28"/>
      <c r="MAM34" s="28"/>
      <c r="MAN34" s="28"/>
      <c r="MAO34" s="28"/>
      <c r="MAP34" s="28"/>
      <c r="MAQ34" s="28"/>
      <c r="MAR34" s="28"/>
      <c r="MAS34" s="28"/>
      <c r="MAT34" s="28"/>
      <c r="MAU34" s="28"/>
      <c r="MAV34" s="28"/>
      <c r="MAW34" s="28"/>
      <c r="MAX34" s="28"/>
      <c r="MAY34" s="28"/>
      <c r="MAZ34" s="28"/>
      <c r="MBA34" s="28"/>
      <c r="MBB34" s="28"/>
      <c r="MBC34" s="28"/>
      <c r="MBD34" s="28"/>
      <c r="MBE34" s="28"/>
      <c r="MBF34" s="28"/>
      <c r="MBG34" s="28"/>
      <c r="MBH34" s="28"/>
      <c r="MBI34" s="28"/>
      <c r="MBJ34" s="28"/>
      <c r="MBK34" s="28"/>
      <c r="MBL34" s="28"/>
      <c r="MBM34" s="28"/>
      <c r="MBN34" s="28"/>
      <c r="MBO34" s="28"/>
      <c r="MBP34" s="28"/>
      <c r="MBQ34" s="28"/>
      <c r="MBR34" s="28"/>
      <c r="MBS34" s="28"/>
      <c r="MBT34" s="28"/>
      <c r="MBU34" s="28"/>
      <c r="MBV34" s="28"/>
      <c r="MBW34" s="28"/>
      <c r="MBX34" s="28"/>
      <c r="MBY34" s="28"/>
      <c r="MBZ34" s="28"/>
      <c r="MCA34" s="28"/>
      <c r="MCB34" s="28"/>
      <c r="MCC34" s="28"/>
      <c r="MCD34" s="28"/>
      <c r="MCE34" s="28"/>
      <c r="MCF34" s="28"/>
      <c r="MCG34" s="28"/>
      <c r="MCH34" s="28"/>
      <c r="MCI34" s="28"/>
      <c r="MCJ34" s="28"/>
      <c r="MCK34" s="28"/>
      <c r="MCL34" s="28"/>
      <c r="MCM34" s="28"/>
      <c r="MCN34" s="28"/>
      <c r="MCO34" s="28"/>
      <c r="MCP34" s="28"/>
      <c r="MCQ34" s="28"/>
      <c r="MCR34" s="28"/>
      <c r="MCS34" s="28"/>
      <c r="MCT34" s="28"/>
      <c r="MCU34" s="28"/>
      <c r="MCV34" s="28"/>
      <c r="MCW34" s="28"/>
      <c r="MCX34" s="28"/>
      <c r="MCY34" s="28"/>
      <c r="MCZ34" s="28"/>
      <c r="MDA34" s="28"/>
      <c r="MDB34" s="28"/>
      <c r="MDC34" s="28"/>
      <c r="MDD34" s="28"/>
      <c r="MDE34" s="28"/>
      <c r="MDF34" s="28"/>
      <c r="MDG34" s="28"/>
      <c r="MDH34" s="28"/>
      <c r="MDI34" s="28"/>
      <c r="MDJ34" s="28"/>
      <c r="MDK34" s="28"/>
      <c r="MDL34" s="28"/>
      <c r="MDM34" s="28"/>
      <c r="MDN34" s="28"/>
      <c r="MDO34" s="28"/>
      <c r="MDP34" s="28"/>
      <c r="MDQ34" s="28"/>
      <c r="MDR34" s="28"/>
      <c r="MDS34" s="28"/>
      <c r="MDT34" s="28"/>
      <c r="MDU34" s="28"/>
      <c r="MDV34" s="28"/>
      <c r="MDW34" s="28"/>
      <c r="MDX34" s="28"/>
      <c r="MDY34" s="28"/>
      <c r="MDZ34" s="28"/>
      <c r="MEA34" s="28"/>
      <c r="MEB34" s="28"/>
      <c r="MEC34" s="28"/>
      <c r="MED34" s="28"/>
      <c r="MEE34" s="28"/>
      <c r="MEF34" s="28"/>
      <c r="MEG34" s="28"/>
      <c r="MEH34" s="28"/>
      <c r="MEI34" s="28"/>
      <c r="MEJ34" s="28"/>
      <c r="MEK34" s="28"/>
      <c r="MEL34" s="28"/>
      <c r="MEM34" s="28"/>
      <c r="MEN34" s="28"/>
      <c r="MEO34" s="28"/>
      <c r="MEP34" s="28"/>
      <c r="MEQ34" s="28"/>
      <c r="MER34" s="28"/>
      <c r="MES34" s="28"/>
      <c r="MET34" s="28"/>
      <c r="MEU34" s="28"/>
      <c r="MEV34" s="28"/>
      <c r="MEW34" s="28"/>
      <c r="MEX34" s="28"/>
      <c r="MEY34" s="28"/>
      <c r="MEZ34" s="28"/>
      <c r="MFA34" s="28"/>
      <c r="MFB34" s="28"/>
      <c r="MFC34" s="28"/>
      <c r="MFD34" s="28"/>
      <c r="MFE34" s="28"/>
      <c r="MFF34" s="28"/>
      <c r="MFG34" s="28"/>
      <c r="MFH34" s="28"/>
      <c r="MFI34" s="28"/>
      <c r="MFJ34" s="28"/>
      <c r="MFK34" s="28"/>
      <c r="MFL34" s="28"/>
      <c r="MFM34" s="28"/>
      <c r="MFN34" s="28"/>
      <c r="MFO34" s="28"/>
      <c r="MFP34" s="28"/>
      <c r="MFQ34" s="28"/>
      <c r="MFR34" s="28"/>
      <c r="MFS34" s="28"/>
      <c r="MFT34" s="28"/>
      <c r="MFU34" s="28"/>
      <c r="MFV34" s="28"/>
      <c r="MFW34" s="28"/>
      <c r="MFX34" s="28"/>
      <c r="MFY34" s="28"/>
      <c r="MFZ34" s="28"/>
      <c r="MGA34" s="28"/>
      <c r="MGB34" s="28"/>
      <c r="MGC34" s="28"/>
      <c r="MGD34" s="28"/>
      <c r="MGE34" s="28"/>
      <c r="MGF34" s="28"/>
      <c r="MGG34" s="28"/>
      <c r="MGH34" s="28"/>
      <c r="MGI34" s="28"/>
      <c r="MGJ34" s="28"/>
      <c r="MGK34" s="28"/>
      <c r="MGL34" s="28"/>
      <c r="MGM34" s="28"/>
      <c r="MGN34" s="28"/>
      <c r="MGO34" s="28"/>
      <c r="MGP34" s="28"/>
      <c r="MGQ34" s="28"/>
      <c r="MGR34" s="28"/>
      <c r="MGS34" s="28"/>
      <c r="MGT34" s="28"/>
      <c r="MGU34" s="28"/>
      <c r="MGV34" s="28"/>
      <c r="MGW34" s="28"/>
      <c r="MGX34" s="28"/>
      <c r="MGY34" s="28"/>
      <c r="MGZ34" s="28"/>
      <c r="MHA34" s="28"/>
      <c r="MHB34" s="28"/>
      <c r="MHC34" s="28"/>
      <c r="MHD34" s="28"/>
      <c r="MHE34" s="28"/>
      <c r="MHF34" s="28"/>
      <c r="MHG34" s="28"/>
      <c r="MHH34" s="28"/>
      <c r="MHI34" s="28"/>
      <c r="MHJ34" s="28"/>
      <c r="MHK34" s="28"/>
      <c r="MHL34" s="28"/>
      <c r="MHM34" s="28"/>
      <c r="MHN34" s="28"/>
      <c r="MHO34" s="28"/>
      <c r="MHP34" s="28"/>
      <c r="MHQ34" s="28"/>
      <c r="MHR34" s="28"/>
      <c r="MHS34" s="28"/>
      <c r="MHT34" s="28"/>
      <c r="MHU34" s="28"/>
      <c r="MHV34" s="28"/>
      <c r="MHW34" s="28"/>
      <c r="MHX34" s="28"/>
      <c r="MHY34" s="28"/>
      <c r="MHZ34" s="28"/>
      <c r="MIA34" s="28"/>
      <c r="MIB34" s="28"/>
      <c r="MIC34" s="28"/>
      <c r="MID34" s="28"/>
      <c r="MIE34" s="28"/>
      <c r="MIF34" s="28"/>
      <c r="MIG34" s="28"/>
      <c r="MIH34" s="28"/>
      <c r="MII34" s="28"/>
      <c r="MIJ34" s="28"/>
      <c r="MIK34" s="28"/>
      <c r="MIL34" s="28"/>
      <c r="MIM34" s="28"/>
      <c r="MIN34" s="28"/>
      <c r="MIO34" s="28"/>
      <c r="MIP34" s="28"/>
      <c r="MIQ34" s="28"/>
      <c r="MIR34" s="28"/>
      <c r="MIS34" s="28"/>
      <c r="MIT34" s="28"/>
      <c r="MIU34" s="28"/>
      <c r="MIV34" s="28"/>
      <c r="MIW34" s="28"/>
      <c r="MIX34" s="28"/>
      <c r="MIY34" s="28"/>
      <c r="MIZ34" s="28"/>
      <c r="MJA34" s="28"/>
      <c r="MJB34" s="28"/>
      <c r="MJC34" s="28"/>
      <c r="MJD34" s="28"/>
      <c r="MJE34" s="28"/>
      <c r="MJF34" s="28"/>
      <c r="MJG34" s="28"/>
      <c r="MJH34" s="28"/>
      <c r="MJI34" s="28"/>
      <c r="MJJ34" s="28"/>
      <c r="MJK34" s="28"/>
      <c r="MJL34" s="28"/>
      <c r="MJM34" s="28"/>
      <c r="MJN34" s="28"/>
      <c r="MJO34" s="28"/>
      <c r="MJP34" s="28"/>
      <c r="MJQ34" s="28"/>
      <c r="MJR34" s="28"/>
      <c r="MJS34" s="28"/>
      <c r="MJT34" s="28"/>
      <c r="MJU34" s="28"/>
      <c r="MJV34" s="28"/>
      <c r="MJW34" s="28"/>
      <c r="MJX34" s="28"/>
      <c r="MJY34" s="28"/>
      <c r="MJZ34" s="28"/>
      <c r="MKA34" s="28"/>
      <c r="MKB34" s="28"/>
      <c r="MKC34" s="28"/>
      <c r="MKD34" s="28"/>
      <c r="MKE34" s="28"/>
      <c r="MKF34" s="28"/>
      <c r="MKG34" s="28"/>
      <c r="MKH34" s="28"/>
      <c r="MKI34" s="28"/>
      <c r="MKJ34" s="28"/>
      <c r="MKK34" s="28"/>
      <c r="MKL34" s="28"/>
      <c r="MKM34" s="28"/>
      <c r="MKN34" s="28"/>
      <c r="MKO34" s="28"/>
      <c r="MKP34" s="28"/>
      <c r="MKQ34" s="28"/>
      <c r="MKR34" s="28"/>
      <c r="MKS34" s="28"/>
      <c r="MKT34" s="28"/>
      <c r="MKU34" s="28"/>
      <c r="MKV34" s="28"/>
      <c r="MKW34" s="28"/>
      <c r="MKX34" s="28"/>
      <c r="MKY34" s="28"/>
      <c r="MKZ34" s="28"/>
      <c r="MLA34" s="28"/>
      <c r="MLB34" s="28"/>
      <c r="MLC34" s="28"/>
      <c r="MLD34" s="28"/>
      <c r="MLE34" s="28"/>
      <c r="MLF34" s="28"/>
      <c r="MLG34" s="28"/>
      <c r="MLH34" s="28"/>
      <c r="MLI34" s="28"/>
      <c r="MLJ34" s="28"/>
      <c r="MLK34" s="28"/>
      <c r="MLL34" s="28"/>
      <c r="MLM34" s="28"/>
      <c r="MLN34" s="28"/>
      <c r="MLO34" s="28"/>
      <c r="MLP34" s="28"/>
      <c r="MLQ34" s="28"/>
      <c r="MLR34" s="28"/>
      <c r="MLS34" s="28"/>
      <c r="MLT34" s="28"/>
      <c r="MLU34" s="28"/>
      <c r="MLV34" s="28"/>
      <c r="MLW34" s="28"/>
      <c r="MLX34" s="28"/>
      <c r="MLY34" s="28"/>
      <c r="MLZ34" s="28"/>
      <c r="MMA34" s="28"/>
      <c r="MMB34" s="28"/>
      <c r="MMC34" s="28"/>
      <c r="MMD34" s="28"/>
      <c r="MME34" s="28"/>
      <c r="MMF34" s="28"/>
      <c r="MMG34" s="28"/>
      <c r="MMH34" s="28"/>
      <c r="MMI34" s="28"/>
      <c r="MMJ34" s="28"/>
      <c r="MMK34" s="28"/>
      <c r="MML34" s="28"/>
      <c r="MMM34" s="28"/>
      <c r="MMN34" s="28"/>
      <c r="MMO34" s="28"/>
      <c r="MMP34" s="28"/>
      <c r="MMQ34" s="28"/>
      <c r="MMR34" s="28"/>
      <c r="MMS34" s="28"/>
      <c r="MMT34" s="28"/>
      <c r="MMU34" s="28"/>
      <c r="MMV34" s="28"/>
      <c r="MMW34" s="28"/>
      <c r="MMX34" s="28"/>
      <c r="MMY34" s="28"/>
      <c r="MMZ34" s="28"/>
      <c r="MNA34" s="28"/>
      <c r="MNB34" s="28"/>
      <c r="MNC34" s="28"/>
      <c r="MND34" s="28"/>
      <c r="MNE34" s="28"/>
      <c r="MNF34" s="28"/>
      <c r="MNG34" s="28"/>
      <c r="MNH34" s="28"/>
      <c r="MNI34" s="28"/>
      <c r="MNJ34" s="28"/>
      <c r="MNK34" s="28"/>
      <c r="MNL34" s="28"/>
      <c r="MNM34" s="28"/>
      <c r="MNN34" s="28"/>
      <c r="MNO34" s="28"/>
      <c r="MNP34" s="28"/>
      <c r="MNQ34" s="28"/>
      <c r="MNR34" s="28"/>
      <c r="MNS34" s="28"/>
      <c r="MNT34" s="28"/>
      <c r="MNU34" s="28"/>
      <c r="MNV34" s="28"/>
      <c r="MNW34" s="28"/>
      <c r="MNX34" s="28"/>
      <c r="MNY34" s="28"/>
      <c r="MNZ34" s="28"/>
      <c r="MOA34" s="28"/>
      <c r="MOB34" s="28"/>
      <c r="MOC34" s="28"/>
      <c r="MOD34" s="28"/>
      <c r="MOE34" s="28"/>
      <c r="MOF34" s="28"/>
      <c r="MOG34" s="28"/>
      <c r="MOH34" s="28"/>
      <c r="MOI34" s="28"/>
      <c r="MOJ34" s="28"/>
      <c r="MOK34" s="28"/>
      <c r="MOL34" s="28"/>
      <c r="MOM34" s="28"/>
      <c r="MON34" s="28"/>
      <c r="MOO34" s="28"/>
      <c r="MOP34" s="28"/>
      <c r="MOQ34" s="28"/>
      <c r="MOR34" s="28"/>
      <c r="MOS34" s="28"/>
      <c r="MOT34" s="28"/>
      <c r="MOU34" s="28"/>
      <c r="MOV34" s="28"/>
      <c r="MOW34" s="28"/>
      <c r="MOX34" s="28"/>
      <c r="MOY34" s="28"/>
      <c r="MOZ34" s="28"/>
      <c r="MPA34" s="28"/>
      <c r="MPB34" s="28"/>
      <c r="MPC34" s="28"/>
      <c r="MPD34" s="28"/>
      <c r="MPE34" s="28"/>
      <c r="MPF34" s="28"/>
      <c r="MPG34" s="28"/>
      <c r="MPH34" s="28"/>
      <c r="MPI34" s="28"/>
      <c r="MPJ34" s="28"/>
      <c r="MPK34" s="28"/>
      <c r="MPL34" s="28"/>
      <c r="MPM34" s="28"/>
      <c r="MPN34" s="28"/>
      <c r="MPO34" s="28"/>
      <c r="MPP34" s="28"/>
      <c r="MPQ34" s="28"/>
      <c r="MPR34" s="28"/>
      <c r="MPS34" s="28"/>
      <c r="MPT34" s="28"/>
      <c r="MPU34" s="28"/>
      <c r="MPV34" s="28"/>
      <c r="MPW34" s="28"/>
      <c r="MPX34" s="28"/>
      <c r="MPY34" s="28"/>
      <c r="MPZ34" s="28"/>
      <c r="MQA34" s="28"/>
      <c r="MQB34" s="28"/>
      <c r="MQC34" s="28"/>
      <c r="MQD34" s="28"/>
      <c r="MQE34" s="28"/>
      <c r="MQF34" s="28"/>
      <c r="MQG34" s="28"/>
      <c r="MQH34" s="28"/>
      <c r="MQI34" s="28"/>
      <c r="MQJ34" s="28"/>
      <c r="MQK34" s="28"/>
      <c r="MQL34" s="28"/>
      <c r="MQM34" s="28"/>
      <c r="MQN34" s="28"/>
      <c r="MQO34" s="28"/>
      <c r="MQP34" s="28"/>
      <c r="MQQ34" s="28"/>
      <c r="MQR34" s="28"/>
      <c r="MQS34" s="28"/>
      <c r="MQT34" s="28"/>
      <c r="MQU34" s="28"/>
      <c r="MQV34" s="28"/>
      <c r="MQW34" s="28"/>
      <c r="MQX34" s="28"/>
      <c r="MQY34" s="28"/>
      <c r="MQZ34" s="28"/>
      <c r="MRA34" s="28"/>
      <c r="MRB34" s="28"/>
      <c r="MRC34" s="28"/>
      <c r="MRD34" s="28"/>
      <c r="MRE34" s="28"/>
      <c r="MRF34" s="28"/>
      <c r="MRG34" s="28"/>
      <c r="MRH34" s="28"/>
      <c r="MRI34" s="28"/>
      <c r="MRJ34" s="28"/>
      <c r="MRK34" s="28"/>
      <c r="MRL34" s="28"/>
      <c r="MRM34" s="28"/>
      <c r="MRN34" s="28"/>
      <c r="MRO34" s="28"/>
      <c r="MRP34" s="28"/>
      <c r="MRQ34" s="28"/>
      <c r="MRR34" s="28"/>
      <c r="MRS34" s="28"/>
      <c r="MRT34" s="28"/>
      <c r="MRU34" s="28"/>
      <c r="MRV34" s="28"/>
      <c r="MRW34" s="28"/>
      <c r="MRX34" s="28"/>
      <c r="MRY34" s="28"/>
      <c r="MRZ34" s="28"/>
      <c r="MSA34" s="28"/>
      <c r="MSB34" s="28"/>
      <c r="MSC34" s="28"/>
      <c r="MSD34" s="28"/>
      <c r="MSE34" s="28"/>
      <c r="MSF34" s="28"/>
      <c r="MSG34" s="28"/>
      <c r="MSH34" s="28"/>
      <c r="MSI34" s="28"/>
      <c r="MSJ34" s="28"/>
      <c r="MSK34" s="28"/>
      <c r="MSL34" s="28"/>
      <c r="MSM34" s="28"/>
      <c r="MSN34" s="28"/>
      <c r="MSO34" s="28"/>
      <c r="MSP34" s="28"/>
      <c r="MSQ34" s="28"/>
      <c r="MSR34" s="28"/>
      <c r="MSS34" s="28"/>
      <c r="MST34" s="28"/>
      <c r="MSU34" s="28"/>
      <c r="MSV34" s="28"/>
      <c r="MSW34" s="28"/>
      <c r="MSX34" s="28"/>
      <c r="MSY34" s="28"/>
      <c r="MSZ34" s="28"/>
      <c r="MTA34" s="28"/>
      <c r="MTB34" s="28"/>
      <c r="MTC34" s="28"/>
      <c r="MTD34" s="28"/>
      <c r="MTE34" s="28"/>
      <c r="MTF34" s="28"/>
      <c r="MTG34" s="28"/>
      <c r="MTH34" s="28"/>
      <c r="MTI34" s="28"/>
      <c r="MTJ34" s="28"/>
      <c r="MTK34" s="28"/>
      <c r="MTL34" s="28"/>
      <c r="MTM34" s="28"/>
      <c r="MTN34" s="28"/>
      <c r="MTO34" s="28"/>
      <c r="MTP34" s="28"/>
      <c r="MTQ34" s="28"/>
      <c r="MTR34" s="28"/>
      <c r="MTS34" s="28"/>
      <c r="MTT34" s="28"/>
      <c r="MTU34" s="28"/>
      <c r="MTV34" s="28"/>
      <c r="MTW34" s="28"/>
      <c r="MTX34" s="28"/>
      <c r="MTY34" s="28"/>
      <c r="MTZ34" s="28"/>
      <c r="MUA34" s="28"/>
      <c r="MUB34" s="28"/>
      <c r="MUC34" s="28"/>
      <c r="MUD34" s="28"/>
      <c r="MUE34" s="28"/>
      <c r="MUF34" s="28"/>
      <c r="MUG34" s="28"/>
      <c r="MUH34" s="28"/>
      <c r="MUI34" s="28"/>
      <c r="MUJ34" s="28"/>
      <c r="MUK34" s="28"/>
      <c r="MUL34" s="28"/>
      <c r="MUM34" s="28"/>
      <c r="MUN34" s="28"/>
      <c r="MUO34" s="28"/>
      <c r="MUP34" s="28"/>
      <c r="MUQ34" s="28"/>
      <c r="MUR34" s="28"/>
      <c r="MUS34" s="28"/>
      <c r="MUT34" s="28"/>
      <c r="MUU34" s="28"/>
      <c r="MUV34" s="28"/>
      <c r="MUW34" s="28"/>
      <c r="MUX34" s="28"/>
      <c r="MUY34" s="28"/>
      <c r="MUZ34" s="28"/>
      <c r="MVA34" s="28"/>
      <c r="MVB34" s="28"/>
      <c r="MVC34" s="28"/>
      <c r="MVD34" s="28"/>
      <c r="MVE34" s="28"/>
      <c r="MVF34" s="28"/>
      <c r="MVG34" s="28"/>
      <c r="MVH34" s="28"/>
      <c r="MVI34" s="28"/>
      <c r="MVJ34" s="28"/>
      <c r="MVK34" s="28"/>
      <c r="MVL34" s="28"/>
      <c r="MVM34" s="28"/>
      <c r="MVN34" s="28"/>
      <c r="MVO34" s="28"/>
      <c r="MVP34" s="28"/>
      <c r="MVQ34" s="28"/>
      <c r="MVR34" s="28"/>
      <c r="MVS34" s="28"/>
      <c r="MVT34" s="28"/>
      <c r="MVU34" s="28"/>
      <c r="MVV34" s="28"/>
      <c r="MVW34" s="28"/>
      <c r="MVX34" s="28"/>
      <c r="MVY34" s="28"/>
      <c r="MVZ34" s="28"/>
      <c r="MWA34" s="28"/>
      <c r="MWB34" s="28"/>
      <c r="MWC34" s="28"/>
      <c r="MWD34" s="28"/>
      <c r="MWE34" s="28"/>
      <c r="MWF34" s="28"/>
      <c r="MWG34" s="28"/>
      <c r="MWH34" s="28"/>
      <c r="MWI34" s="28"/>
      <c r="MWJ34" s="28"/>
      <c r="MWK34" s="28"/>
      <c r="MWL34" s="28"/>
      <c r="MWM34" s="28"/>
      <c r="MWN34" s="28"/>
      <c r="MWO34" s="28"/>
      <c r="MWP34" s="28"/>
      <c r="MWQ34" s="28"/>
      <c r="MWR34" s="28"/>
      <c r="MWS34" s="28"/>
      <c r="MWT34" s="28"/>
      <c r="MWU34" s="28"/>
      <c r="MWV34" s="28"/>
      <c r="MWW34" s="28"/>
      <c r="MWX34" s="28"/>
      <c r="MWY34" s="28"/>
      <c r="MWZ34" s="28"/>
      <c r="MXA34" s="28"/>
      <c r="MXB34" s="28"/>
      <c r="MXC34" s="28"/>
      <c r="MXD34" s="28"/>
      <c r="MXE34" s="28"/>
      <c r="MXF34" s="28"/>
      <c r="MXG34" s="28"/>
      <c r="MXH34" s="28"/>
      <c r="MXI34" s="28"/>
      <c r="MXJ34" s="28"/>
      <c r="MXK34" s="28"/>
      <c r="MXL34" s="28"/>
      <c r="MXM34" s="28"/>
      <c r="MXN34" s="28"/>
      <c r="MXO34" s="28"/>
      <c r="MXP34" s="28"/>
      <c r="MXQ34" s="28"/>
      <c r="MXR34" s="28"/>
      <c r="MXS34" s="28"/>
      <c r="MXT34" s="28"/>
      <c r="MXU34" s="28"/>
      <c r="MXV34" s="28"/>
      <c r="MXW34" s="28"/>
      <c r="MXX34" s="28"/>
      <c r="MXY34" s="28"/>
      <c r="MXZ34" s="28"/>
      <c r="MYA34" s="28"/>
      <c r="MYB34" s="28"/>
      <c r="MYC34" s="28"/>
      <c r="MYD34" s="28"/>
      <c r="MYE34" s="28"/>
      <c r="MYF34" s="28"/>
      <c r="MYG34" s="28"/>
      <c r="MYH34" s="28"/>
      <c r="MYI34" s="28"/>
      <c r="MYJ34" s="28"/>
      <c r="MYK34" s="28"/>
      <c r="MYL34" s="28"/>
      <c r="MYM34" s="28"/>
      <c r="MYN34" s="28"/>
      <c r="MYO34" s="28"/>
      <c r="MYP34" s="28"/>
      <c r="MYQ34" s="28"/>
      <c r="MYR34" s="28"/>
      <c r="MYS34" s="28"/>
      <c r="MYT34" s="28"/>
      <c r="MYU34" s="28"/>
      <c r="MYV34" s="28"/>
      <c r="MYW34" s="28"/>
      <c r="MYX34" s="28"/>
      <c r="MYY34" s="28"/>
      <c r="MYZ34" s="28"/>
      <c r="MZA34" s="28"/>
      <c r="MZB34" s="28"/>
      <c r="MZC34" s="28"/>
      <c r="MZD34" s="28"/>
      <c r="MZE34" s="28"/>
      <c r="MZF34" s="28"/>
      <c r="MZG34" s="28"/>
      <c r="MZH34" s="28"/>
      <c r="MZI34" s="28"/>
      <c r="MZJ34" s="28"/>
      <c r="MZK34" s="28"/>
      <c r="MZL34" s="28"/>
      <c r="MZM34" s="28"/>
      <c r="MZN34" s="28"/>
      <c r="MZO34" s="28"/>
      <c r="MZP34" s="28"/>
      <c r="MZQ34" s="28"/>
      <c r="MZR34" s="28"/>
      <c r="MZS34" s="28"/>
      <c r="MZT34" s="28"/>
      <c r="MZU34" s="28"/>
      <c r="MZV34" s="28"/>
      <c r="MZW34" s="28"/>
      <c r="MZX34" s="28"/>
      <c r="MZY34" s="28"/>
      <c r="MZZ34" s="28"/>
      <c r="NAA34" s="28"/>
      <c r="NAB34" s="28"/>
      <c r="NAC34" s="28"/>
      <c r="NAD34" s="28"/>
      <c r="NAE34" s="28"/>
      <c r="NAF34" s="28"/>
      <c r="NAG34" s="28"/>
      <c r="NAH34" s="28"/>
      <c r="NAI34" s="28"/>
      <c r="NAJ34" s="28"/>
      <c r="NAK34" s="28"/>
      <c r="NAL34" s="28"/>
      <c r="NAM34" s="28"/>
      <c r="NAN34" s="28"/>
      <c r="NAO34" s="28"/>
      <c r="NAP34" s="28"/>
      <c r="NAQ34" s="28"/>
      <c r="NAR34" s="28"/>
      <c r="NAS34" s="28"/>
      <c r="NAT34" s="28"/>
      <c r="NAU34" s="28"/>
      <c r="NAV34" s="28"/>
      <c r="NAW34" s="28"/>
      <c r="NAX34" s="28"/>
      <c r="NAY34" s="28"/>
      <c r="NAZ34" s="28"/>
      <c r="NBA34" s="28"/>
      <c r="NBB34" s="28"/>
      <c r="NBC34" s="28"/>
      <c r="NBD34" s="28"/>
      <c r="NBE34" s="28"/>
      <c r="NBF34" s="28"/>
      <c r="NBG34" s="28"/>
      <c r="NBH34" s="28"/>
      <c r="NBI34" s="28"/>
      <c r="NBJ34" s="28"/>
      <c r="NBK34" s="28"/>
      <c r="NBL34" s="28"/>
      <c r="NBM34" s="28"/>
      <c r="NBN34" s="28"/>
      <c r="NBO34" s="28"/>
      <c r="NBP34" s="28"/>
      <c r="NBQ34" s="28"/>
      <c r="NBR34" s="28"/>
      <c r="NBS34" s="28"/>
      <c r="NBT34" s="28"/>
      <c r="NBU34" s="28"/>
      <c r="NBV34" s="28"/>
      <c r="NBW34" s="28"/>
      <c r="NBX34" s="28"/>
      <c r="NBY34" s="28"/>
      <c r="NBZ34" s="28"/>
      <c r="NCA34" s="28"/>
      <c r="NCB34" s="28"/>
      <c r="NCC34" s="28"/>
      <c r="NCD34" s="28"/>
      <c r="NCE34" s="28"/>
      <c r="NCF34" s="28"/>
      <c r="NCG34" s="28"/>
      <c r="NCH34" s="28"/>
      <c r="NCI34" s="28"/>
      <c r="NCJ34" s="28"/>
      <c r="NCK34" s="28"/>
      <c r="NCL34" s="28"/>
      <c r="NCM34" s="28"/>
      <c r="NCN34" s="28"/>
      <c r="NCO34" s="28"/>
      <c r="NCP34" s="28"/>
      <c r="NCQ34" s="28"/>
      <c r="NCR34" s="28"/>
      <c r="NCS34" s="28"/>
      <c r="NCT34" s="28"/>
      <c r="NCU34" s="28"/>
      <c r="NCV34" s="28"/>
      <c r="NCW34" s="28"/>
      <c r="NCX34" s="28"/>
      <c r="NCY34" s="28"/>
      <c r="NCZ34" s="28"/>
      <c r="NDA34" s="28"/>
      <c r="NDB34" s="28"/>
      <c r="NDC34" s="28"/>
      <c r="NDD34" s="28"/>
      <c r="NDE34" s="28"/>
      <c r="NDF34" s="28"/>
      <c r="NDG34" s="28"/>
      <c r="NDH34" s="28"/>
      <c r="NDI34" s="28"/>
      <c r="NDJ34" s="28"/>
      <c r="NDK34" s="28"/>
      <c r="NDL34" s="28"/>
      <c r="NDM34" s="28"/>
      <c r="NDN34" s="28"/>
      <c r="NDO34" s="28"/>
      <c r="NDP34" s="28"/>
      <c r="NDQ34" s="28"/>
      <c r="NDR34" s="28"/>
      <c r="NDS34" s="28"/>
      <c r="NDT34" s="28"/>
      <c r="NDU34" s="28"/>
      <c r="NDV34" s="28"/>
      <c r="NDW34" s="28"/>
      <c r="NDX34" s="28"/>
      <c r="NDY34" s="28"/>
      <c r="NDZ34" s="28"/>
      <c r="NEA34" s="28"/>
      <c r="NEB34" s="28"/>
      <c r="NEC34" s="28"/>
      <c r="NED34" s="28"/>
      <c r="NEE34" s="28"/>
      <c r="NEF34" s="28"/>
      <c r="NEG34" s="28"/>
      <c r="NEH34" s="28"/>
      <c r="NEI34" s="28"/>
      <c r="NEJ34" s="28"/>
      <c r="NEK34" s="28"/>
      <c r="NEL34" s="28"/>
      <c r="NEM34" s="28"/>
      <c r="NEN34" s="28"/>
      <c r="NEO34" s="28"/>
      <c r="NEP34" s="28"/>
      <c r="NEQ34" s="28"/>
      <c r="NER34" s="28"/>
      <c r="NES34" s="28"/>
      <c r="NET34" s="28"/>
      <c r="NEU34" s="28"/>
      <c r="NEV34" s="28"/>
      <c r="NEW34" s="28"/>
      <c r="NEX34" s="28"/>
      <c r="NEY34" s="28"/>
      <c r="NEZ34" s="28"/>
      <c r="NFA34" s="28"/>
      <c r="NFB34" s="28"/>
      <c r="NFC34" s="28"/>
      <c r="NFD34" s="28"/>
      <c r="NFE34" s="28"/>
      <c r="NFF34" s="28"/>
      <c r="NFG34" s="28"/>
      <c r="NFH34" s="28"/>
      <c r="NFI34" s="28"/>
      <c r="NFJ34" s="28"/>
      <c r="NFK34" s="28"/>
      <c r="NFL34" s="28"/>
      <c r="NFM34" s="28"/>
      <c r="NFN34" s="28"/>
      <c r="NFO34" s="28"/>
      <c r="NFP34" s="28"/>
      <c r="NFQ34" s="28"/>
      <c r="NFR34" s="28"/>
      <c r="NFS34" s="28"/>
      <c r="NFT34" s="28"/>
      <c r="NFU34" s="28"/>
      <c r="NFV34" s="28"/>
      <c r="NFW34" s="28"/>
      <c r="NFX34" s="28"/>
      <c r="NFY34" s="28"/>
      <c r="NFZ34" s="28"/>
      <c r="NGA34" s="28"/>
      <c r="NGB34" s="28"/>
      <c r="NGC34" s="28"/>
      <c r="NGD34" s="28"/>
      <c r="NGE34" s="28"/>
      <c r="NGF34" s="28"/>
      <c r="NGG34" s="28"/>
      <c r="NGH34" s="28"/>
      <c r="NGI34" s="28"/>
      <c r="NGJ34" s="28"/>
      <c r="NGK34" s="28"/>
      <c r="NGL34" s="28"/>
      <c r="NGM34" s="28"/>
      <c r="NGN34" s="28"/>
      <c r="NGO34" s="28"/>
      <c r="NGP34" s="28"/>
      <c r="NGQ34" s="28"/>
      <c r="NGR34" s="28"/>
      <c r="NGS34" s="28"/>
      <c r="NGT34" s="28"/>
      <c r="NGU34" s="28"/>
      <c r="NGV34" s="28"/>
      <c r="NGW34" s="28"/>
      <c r="NGX34" s="28"/>
      <c r="NGY34" s="28"/>
      <c r="NGZ34" s="28"/>
      <c r="NHA34" s="28"/>
      <c r="NHB34" s="28"/>
      <c r="NHC34" s="28"/>
      <c r="NHD34" s="28"/>
      <c r="NHE34" s="28"/>
      <c r="NHF34" s="28"/>
      <c r="NHG34" s="28"/>
      <c r="NHH34" s="28"/>
      <c r="NHI34" s="28"/>
      <c r="NHJ34" s="28"/>
      <c r="NHK34" s="28"/>
      <c r="NHL34" s="28"/>
      <c r="NHM34" s="28"/>
      <c r="NHN34" s="28"/>
      <c r="NHO34" s="28"/>
      <c r="NHP34" s="28"/>
      <c r="NHQ34" s="28"/>
      <c r="NHR34" s="28"/>
      <c r="NHS34" s="28"/>
      <c r="NHT34" s="28"/>
      <c r="NHU34" s="28"/>
      <c r="NHV34" s="28"/>
      <c r="NHW34" s="28"/>
      <c r="NHX34" s="28"/>
      <c r="NHY34" s="28"/>
      <c r="NHZ34" s="28"/>
      <c r="NIA34" s="28"/>
      <c r="NIB34" s="28"/>
      <c r="NIC34" s="28"/>
      <c r="NID34" s="28"/>
      <c r="NIE34" s="28"/>
      <c r="NIF34" s="28"/>
      <c r="NIG34" s="28"/>
      <c r="NIH34" s="28"/>
      <c r="NII34" s="28"/>
      <c r="NIJ34" s="28"/>
      <c r="NIK34" s="28"/>
      <c r="NIL34" s="28"/>
      <c r="NIM34" s="28"/>
      <c r="NIN34" s="28"/>
      <c r="NIO34" s="28"/>
      <c r="NIP34" s="28"/>
      <c r="NIQ34" s="28"/>
      <c r="NIR34" s="28"/>
      <c r="NIS34" s="28"/>
      <c r="NIT34" s="28"/>
      <c r="NIU34" s="28"/>
      <c r="NIV34" s="28"/>
      <c r="NIW34" s="28"/>
      <c r="NIX34" s="28"/>
      <c r="NIY34" s="28"/>
      <c r="NIZ34" s="28"/>
      <c r="NJA34" s="28"/>
      <c r="NJB34" s="28"/>
      <c r="NJC34" s="28"/>
      <c r="NJD34" s="28"/>
      <c r="NJE34" s="28"/>
      <c r="NJF34" s="28"/>
      <c r="NJG34" s="28"/>
      <c r="NJH34" s="28"/>
      <c r="NJI34" s="28"/>
      <c r="NJJ34" s="28"/>
      <c r="NJK34" s="28"/>
      <c r="NJL34" s="28"/>
      <c r="NJM34" s="28"/>
      <c r="NJN34" s="28"/>
      <c r="NJO34" s="28"/>
      <c r="NJP34" s="28"/>
      <c r="NJQ34" s="28"/>
      <c r="NJR34" s="28"/>
      <c r="NJS34" s="28"/>
      <c r="NJT34" s="28"/>
      <c r="NJU34" s="28"/>
      <c r="NJV34" s="28"/>
      <c r="NJW34" s="28"/>
      <c r="NJX34" s="28"/>
      <c r="NJY34" s="28"/>
      <c r="NJZ34" s="28"/>
      <c r="NKA34" s="28"/>
      <c r="NKB34" s="28"/>
      <c r="NKC34" s="28"/>
      <c r="NKD34" s="28"/>
      <c r="NKE34" s="28"/>
      <c r="NKF34" s="28"/>
      <c r="NKG34" s="28"/>
      <c r="NKH34" s="28"/>
      <c r="NKI34" s="28"/>
      <c r="NKJ34" s="28"/>
      <c r="NKK34" s="28"/>
      <c r="NKL34" s="28"/>
      <c r="NKM34" s="28"/>
      <c r="NKN34" s="28"/>
      <c r="NKO34" s="28"/>
      <c r="NKP34" s="28"/>
      <c r="NKQ34" s="28"/>
      <c r="NKR34" s="28"/>
      <c r="NKS34" s="28"/>
      <c r="NKT34" s="28"/>
      <c r="NKU34" s="28"/>
      <c r="NKV34" s="28"/>
      <c r="NKW34" s="28"/>
      <c r="NKX34" s="28"/>
      <c r="NKY34" s="28"/>
      <c r="NKZ34" s="28"/>
      <c r="NLA34" s="28"/>
      <c r="NLB34" s="28"/>
      <c r="NLC34" s="28"/>
      <c r="NLD34" s="28"/>
      <c r="NLE34" s="28"/>
      <c r="NLF34" s="28"/>
      <c r="NLG34" s="28"/>
      <c r="NLH34" s="28"/>
      <c r="NLI34" s="28"/>
      <c r="NLJ34" s="28"/>
      <c r="NLK34" s="28"/>
      <c r="NLL34" s="28"/>
      <c r="NLM34" s="28"/>
      <c r="NLN34" s="28"/>
      <c r="NLO34" s="28"/>
      <c r="NLP34" s="28"/>
      <c r="NLQ34" s="28"/>
      <c r="NLR34" s="28"/>
      <c r="NLS34" s="28"/>
      <c r="NLT34" s="28"/>
      <c r="NLU34" s="28"/>
      <c r="NLV34" s="28"/>
      <c r="NLW34" s="28"/>
      <c r="NLX34" s="28"/>
      <c r="NLY34" s="28"/>
      <c r="NLZ34" s="28"/>
      <c r="NMA34" s="28"/>
      <c r="NMB34" s="28"/>
      <c r="NMC34" s="28"/>
      <c r="NMD34" s="28"/>
      <c r="NME34" s="28"/>
      <c r="NMF34" s="28"/>
      <c r="NMG34" s="28"/>
      <c r="NMH34" s="28"/>
      <c r="NMI34" s="28"/>
      <c r="NMJ34" s="28"/>
      <c r="NMK34" s="28"/>
      <c r="NML34" s="28"/>
      <c r="NMM34" s="28"/>
      <c r="NMN34" s="28"/>
      <c r="NMO34" s="28"/>
      <c r="NMP34" s="28"/>
      <c r="NMQ34" s="28"/>
      <c r="NMR34" s="28"/>
      <c r="NMS34" s="28"/>
      <c r="NMT34" s="28"/>
      <c r="NMU34" s="28"/>
      <c r="NMV34" s="28"/>
      <c r="NMW34" s="28"/>
      <c r="NMX34" s="28"/>
      <c r="NMY34" s="28"/>
      <c r="NMZ34" s="28"/>
      <c r="NNA34" s="28"/>
      <c r="NNB34" s="28"/>
      <c r="NNC34" s="28"/>
      <c r="NND34" s="28"/>
      <c r="NNE34" s="28"/>
      <c r="NNF34" s="28"/>
      <c r="NNG34" s="28"/>
      <c r="NNH34" s="28"/>
      <c r="NNI34" s="28"/>
      <c r="NNJ34" s="28"/>
      <c r="NNK34" s="28"/>
      <c r="NNL34" s="28"/>
      <c r="NNM34" s="28"/>
      <c r="NNN34" s="28"/>
      <c r="NNO34" s="28"/>
      <c r="NNP34" s="28"/>
      <c r="NNQ34" s="28"/>
      <c r="NNR34" s="28"/>
      <c r="NNS34" s="28"/>
      <c r="NNT34" s="28"/>
      <c r="NNU34" s="28"/>
      <c r="NNV34" s="28"/>
      <c r="NNW34" s="28"/>
      <c r="NNX34" s="28"/>
      <c r="NNY34" s="28"/>
      <c r="NNZ34" s="28"/>
      <c r="NOA34" s="28"/>
      <c r="NOB34" s="28"/>
      <c r="NOC34" s="28"/>
      <c r="NOD34" s="28"/>
      <c r="NOE34" s="28"/>
      <c r="NOF34" s="28"/>
      <c r="NOG34" s="28"/>
      <c r="NOH34" s="28"/>
      <c r="NOI34" s="28"/>
      <c r="NOJ34" s="28"/>
      <c r="NOK34" s="28"/>
      <c r="NOL34" s="28"/>
      <c r="NOM34" s="28"/>
      <c r="NON34" s="28"/>
      <c r="NOO34" s="28"/>
      <c r="NOP34" s="28"/>
      <c r="NOQ34" s="28"/>
      <c r="NOR34" s="28"/>
      <c r="NOS34" s="28"/>
      <c r="NOT34" s="28"/>
      <c r="NOU34" s="28"/>
      <c r="NOV34" s="28"/>
      <c r="NOW34" s="28"/>
      <c r="NOX34" s="28"/>
      <c r="NOY34" s="28"/>
      <c r="NOZ34" s="28"/>
      <c r="NPA34" s="28"/>
      <c r="NPB34" s="28"/>
      <c r="NPC34" s="28"/>
      <c r="NPD34" s="28"/>
      <c r="NPE34" s="28"/>
      <c r="NPF34" s="28"/>
      <c r="NPG34" s="28"/>
      <c r="NPH34" s="28"/>
      <c r="NPI34" s="28"/>
      <c r="NPJ34" s="28"/>
      <c r="NPK34" s="28"/>
      <c r="NPL34" s="28"/>
      <c r="NPM34" s="28"/>
      <c r="NPN34" s="28"/>
      <c r="NPO34" s="28"/>
      <c r="NPP34" s="28"/>
      <c r="NPQ34" s="28"/>
      <c r="NPR34" s="28"/>
      <c r="NPS34" s="28"/>
      <c r="NPT34" s="28"/>
      <c r="NPU34" s="28"/>
      <c r="NPV34" s="28"/>
      <c r="NPW34" s="28"/>
      <c r="NPX34" s="28"/>
      <c r="NPY34" s="28"/>
      <c r="NPZ34" s="28"/>
      <c r="NQA34" s="28"/>
      <c r="NQB34" s="28"/>
      <c r="NQC34" s="28"/>
      <c r="NQD34" s="28"/>
      <c r="NQE34" s="28"/>
      <c r="NQF34" s="28"/>
      <c r="NQG34" s="28"/>
      <c r="NQH34" s="28"/>
      <c r="NQI34" s="28"/>
      <c r="NQJ34" s="28"/>
      <c r="NQK34" s="28"/>
      <c r="NQL34" s="28"/>
      <c r="NQM34" s="28"/>
      <c r="NQN34" s="28"/>
      <c r="NQO34" s="28"/>
      <c r="NQP34" s="28"/>
      <c r="NQQ34" s="28"/>
      <c r="NQR34" s="28"/>
      <c r="NQS34" s="28"/>
      <c r="NQT34" s="28"/>
      <c r="NQU34" s="28"/>
      <c r="NQV34" s="28"/>
      <c r="NQW34" s="28"/>
      <c r="NQX34" s="28"/>
      <c r="NQY34" s="28"/>
      <c r="NQZ34" s="28"/>
      <c r="NRA34" s="28"/>
      <c r="NRB34" s="28"/>
      <c r="NRC34" s="28"/>
      <c r="NRD34" s="28"/>
      <c r="NRE34" s="28"/>
      <c r="NRF34" s="28"/>
      <c r="NRG34" s="28"/>
      <c r="NRH34" s="28"/>
      <c r="NRI34" s="28"/>
      <c r="NRJ34" s="28"/>
      <c r="NRK34" s="28"/>
      <c r="NRL34" s="28"/>
      <c r="NRM34" s="28"/>
      <c r="NRN34" s="28"/>
      <c r="NRO34" s="28"/>
      <c r="NRP34" s="28"/>
      <c r="NRQ34" s="28"/>
      <c r="NRR34" s="28"/>
      <c r="NRS34" s="28"/>
      <c r="NRT34" s="28"/>
      <c r="NRU34" s="28"/>
      <c r="NRV34" s="28"/>
      <c r="NRW34" s="28"/>
      <c r="NRX34" s="28"/>
      <c r="NRY34" s="28"/>
      <c r="NRZ34" s="28"/>
      <c r="NSA34" s="28"/>
      <c r="NSB34" s="28"/>
      <c r="NSC34" s="28"/>
      <c r="NSD34" s="28"/>
      <c r="NSE34" s="28"/>
      <c r="NSF34" s="28"/>
      <c r="NSG34" s="28"/>
      <c r="NSH34" s="28"/>
      <c r="NSI34" s="28"/>
      <c r="NSJ34" s="28"/>
      <c r="NSK34" s="28"/>
      <c r="NSL34" s="28"/>
      <c r="NSM34" s="28"/>
      <c r="NSN34" s="28"/>
      <c r="NSO34" s="28"/>
      <c r="NSP34" s="28"/>
      <c r="NSQ34" s="28"/>
      <c r="NSR34" s="28"/>
      <c r="NSS34" s="28"/>
      <c r="NST34" s="28"/>
      <c r="NSU34" s="28"/>
      <c r="NSV34" s="28"/>
      <c r="NSW34" s="28"/>
      <c r="NSX34" s="28"/>
      <c r="NSY34" s="28"/>
      <c r="NSZ34" s="28"/>
      <c r="NTA34" s="28"/>
      <c r="NTB34" s="28"/>
      <c r="NTC34" s="28"/>
      <c r="NTD34" s="28"/>
      <c r="NTE34" s="28"/>
      <c r="NTF34" s="28"/>
      <c r="NTG34" s="28"/>
      <c r="NTH34" s="28"/>
      <c r="NTI34" s="28"/>
      <c r="NTJ34" s="28"/>
      <c r="NTK34" s="28"/>
      <c r="NTL34" s="28"/>
      <c r="NTM34" s="28"/>
      <c r="NTN34" s="28"/>
      <c r="NTO34" s="28"/>
      <c r="NTP34" s="28"/>
      <c r="NTQ34" s="28"/>
      <c r="NTR34" s="28"/>
      <c r="NTS34" s="28"/>
      <c r="NTT34" s="28"/>
      <c r="NTU34" s="28"/>
      <c r="NTV34" s="28"/>
      <c r="NTW34" s="28"/>
      <c r="NTX34" s="28"/>
      <c r="NTY34" s="28"/>
      <c r="NTZ34" s="28"/>
      <c r="NUA34" s="28"/>
      <c r="NUB34" s="28"/>
      <c r="NUC34" s="28"/>
      <c r="NUD34" s="28"/>
      <c r="NUE34" s="28"/>
      <c r="NUF34" s="28"/>
      <c r="NUG34" s="28"/>
      <c r="NUH34" s="28"/>
      <c r="NUI34" s="28"/>
      <c r="NUJ34" s="28"/>
      <c r="NUK34" s="28"/>
      <c r="NUL34" s="28"/>
      <c r="NUM34" s="28"/>
      <c r="NUN34" s="28"/>
      <c r="NUO34" s="28"/>
      <c r="NUP34" s="28"/>
      <c r="NUQ34" s="28"/>
      <c r="NUR34" s="28"/>
      <c r="NUS34" s="28"/>
      <c r="NUT34" s="28"/>
      <c r="NUU34" s="28"/>
      <c r="NUV34" s="28"/>
      <c r="NUW34" s="28"/>
      <c r="NUX34" s="28"/>
      <c r="NUY34" s="28"/>
      <c r="NUZ34" s="28"/>
      <c r="NVA34" s="28"/>
      <c r="NVB34" s="28"/>
      <c r="NVC34" s="28"/>
      <c r="NVD34" s="28"/>
      <c r="NVE34" s="28"/>
      <c r="NVF34" s="28"/>
      <c r="NVG34" s="28"/>
      <c r="NVH34" s="28"/>
      <c r="NVI34" s="28"/>
      <c r="NVJ34" s="28"/>
      <c r="NVK34" s="28"/>
      <c r="NVL34" s="28"/>
      <c r="NVM34" s="28"/>
      <c r="NVN34" s="28"/>
      <c r="NVO34" s="28"/>
      <c r="NVP34" s="28"/>
      <c r="NVQ34" s="28"/>
      <c r="NVR34" s="28"/>
      <c r="NVS34" s="28"/>
      <c r="NVT34" s="28"/>
      <c r="NVU34" s="28"/>
      <c r="NVV34" s="28"/>
      <c r="NVW34" s="28"/>
      <c r="NVX34" s="28"/>
      <c r="NVY34" s="28"/>
      <c r="NVZ34" s="28"/>
      <c r="NWA34" s="28"/>
      <c r="NWB34" s="28"/>
      <c r="NWC34" s="28"/>
      <c r="NWD34" s="28"/>
      <c r="NWE34" s="28"/>
      <c r="NWF34" s="28"/>
      <c r="NWG34" s="28"/>
      <c r="NWH34" s="28"/>
      <c r="NWI34" s="28"/>
      <c r="NWJ34" s="28"/>
      <c r="NWK34" s="28"/>
      <c r="NWL34" s="28"/>
      <c r="NWM34" s="28"/>
      <c r="NWN34" s="28"/>
      <c r="NWO34" s="28"/>
      <c r="NWP34" s="28"/>
      <c r="NWQ34" s="28"/>
      <c r="NWR34" s="28"/>
      <c r="NWS34" s="28"/>
      <c r="NWT34" s="28"/>
      <c r="NWU34" s="28"/>
      <c r="NWV34" s="28"/>
      <c r="NWW34" s="28"/>
      <c r="NWX34" s="28"/>
      <c r="NWY34" s="28"/>
      <c r="NWZ34" s="28"/>
      <c r="NXA34" s="28"/>
      <c r="NXB34" s="28"/>
      <c r="NXC34" s="28"/>
      <c r="NXD34" s="28"/>
      <c r="NXE34" s="28"/>
      <c r="NXF34" s="28"/>
      <c r="NXG34" s="28"/>
      <c r="NXH34" s="28"/>
      <c r="NXI34" s="28"/>
      <c r="NXJ34" s="28"/>
      <c r="NXK34" s="28"/>
      <c r="NXL34" s="28"/>
      <c r="NXM34" s="28"/>
      <c r="NXN34" s="28"/>
      <c r="NXO34" s="28"/>
      <c r="NXP34" s="28"/>
      <c r="NXQ34" s="28"/>
      <c r="NXR34" s="28"/>
      <c r="NXS34" s="28"/>
      <c r="NXT34" s="28"/>
      <c r="NXU34" s="28"/>
      <c r="NXV34" s="28"/>
      <c r="NXW34" s="28"/>
      <c r="NXX34" s="28"/>
      <c r="NXY34" s="28"/>
      <c r="NXZ34" s="28"/>
      <c r="NYA34" s="28"/>
      <c r="NYB34" s="28"/>
      <c r="NYC34" s="28"/>
      <c r="NYD34" s="28"/>
      <c r="NYE34" s="28"/>
      <c r="NYF34" s="28"/>
      <c r="NYG34" s="28"/>
      <c r="NYH34" s="28"/>
      <c r="NYI34" s="28"/>
      <c r="NYJ34" s="28"/>
      <c r="NYK34" s="28"/>
      <c r="NYL34" s="28"/>
      <c r="NYM34" s="28"/>
      <c r="NYN34" s="28"/>
      <c r="NYO34" s="28"/>
      <c r="NYP34" s="28"/>
      <c r="NYQ34" s="28"/>
      <c r="NYR34" s="28"/>
      <c r="NYS34" s="28"/>
      <c r="NYT34" s="28"/>
      <c r="NYU34" s="28"/>
      <c r="NYV34" s="28"/>
      <c r="NYW34" s="28"/>
      <c r="NYX34" s="28"/>
      <c r="NYY34" s="28"/>
      <c r="NYZ34" s="28"/>
      <c r="NZA34" s="28"/>
      <c r="NZB34" s="28"/>
      <c r="NZC34" s="28"/>
      <c r="NZD34" s="28"/>
      <c r="NZE34" s="28"/>
      <c r="NZF34" s="28"/>
      <c r="NZG34" s="28"/>
      <c r="NZH34" s="28"/>
      <c r="NZI34" s="28"/>
      <c r="NZJ34" s="28"/>
      <c r="NZK34" s="28"/>
      <c r="NZL34" s="28"/>
      <c r="NZM34" s="28"/>
      <c r="NZN34" s="28"/>
      <c r="NZO34" s="28"/>
      <c r="NZP34" s="28"/>
      <c r="NZQ34" s="28"/>
      <c r="NZR34" s="28"/>
      <c r="NZS34" s="28"/>
      <c r="NZT34" s="28"/>
      <c r="NZU34" s="28"/>
      <c r="NZV34" s="28"/>
      <c r="NZW34" s="28"/>
      <c r="NZX34" s="28"/>
      <c r="NZY34" s="28"/>
      <c r="NZZ34" s="28"/>
      <c r="OAA34" s="28"/>
      <c r="OAB34" s="28"/>
      <c r="OAC34" s="28"/>
      <c r="OAD34" s="28"/>
      <c r="OAE34" s="28"/>
      <c r="OAF34" s="28"/>
      <c r="OAG34" s="28"/>
      <c r="OAH34" s="28"/>
      <c r="OAI34" s="28"/>
      <c r="OAJ34" s="28"/>
      <c r="OAK34" s="28"/>
      <c r="OAL34" s="28"/>
      <c r="OAM34" s="28"/>
      <c r="OAN34" s="28"/>
      <c r="OAO34" s="28"/>
      <c r="OAP34" s="28"/>
      <c r="OAQ34" s="28"/>
      <c r="OAR34" s="28"/>
      <c r="OAS34" s="28"/>
      <c r="OAT34" s="28"/>
      <c r="OAU34" s="28"/>
      <c r="OAV34" s="28"/>
      <c r="OAW34" s="28"/>
      <c r="OAX34" s="28"/>
      <c r="OAY34" s="28"/>
      <c r="OAZ34" s="28"/>
      <c r="OBA34" s="28"/>
      <c r="OBB34" s="28"/>
      <c r="OBC34" s="28"/>
      <c r="OBD34" s="28"/>
      <c r="OBE34" s="28"/>
      <c r="OBF34" s="28"/>
      <c r="OBG34" s="28"/>
      <c r="OBH34" s="28"/>
      <c r="OBI34" s="28"/>
      <c r="OBJ34" s="28"/>
      <c r="OBK34" s="28"/>
      <c r="OBL34" s="28"/>
      <c r="OBM34" s="28"/>
      <c r="OBN34" s="28"/>
      <c r="OBO34" s="28"/>
      <c r="OBP34" s="28"/>
      <c r="OBQ34" s="28"/>
      <c r="OBR34" s="28"/>
      <c r="OBS34" s="28"/>
      <c r="OBT34" s="28"/>
      <c r="OBU34" s="28"/>
      <c r="OBV34" s="28"/>
      <c r="OBW34" s="28"/>
      <c r="OBX34" s="28"/>
      <c r="OBY34" s="28"/>
      <c r="OBZ34" s="28"/>
      <c r="OCA34" s="28"/>
      <c r="OCB34" s="28"/>
      <c r="OCC34" s="28"/>
      <c r="OCD34" s="28"/>
      <c r="OCE34" s="28"/>
      <c r="OCF34" s="28"/>
      <c r="OCG34" s="28"/>
      <c r="OCH34" s="28"/>
      <c r="OCI34" s="28"/>
      <c r="OCJ34" s="28"/>
      <c r="OCK34" s="28"/>
      <c r="OCL34" s="28"/>
      <c r="OCM34" s="28"/>
      <c r="OCN34" s="28"/>
      <c r="OCO34" s="28"/>
      <c r="OCP34" s="28"/>
      <c r="OCQ34" s="28"/>
      <c r="OCR34" s="28"/>
      <c r="OCS34" s="28"/>
      <c r="OCT34" s="28"/>
      <c r="OCU34" s="28"/>
      <c r="OCV34" s="28"/>
      <c r="OCW34" s="28"/>
      <c r="OCX34" s="28"/>
      <c r="OCY34" s="28"/>
      <c r="OCZ34" s="28"/>
      <c r="ODA34" s="28"/>
      <c r="ODB34" s="28"/>
      <c r="ODC34" s="28"/>
      <c r="ODD34" s="28"/>
      <c r="ODE34" s="28"/>
      <c r="ODF34" s="28"/>
      <c r="ODG34" s="28"/>
      <c r="ODH34" s="28"/>
      <c r="ODI34" s="28"/>
      <c r="ODJ34" s="28"/>
      <c r="ODK34" s="28"/>
      <c r="ODL34" s="28"/>
      <c r="ODM34" s="28"/>
      <c r="ODN34" s="28"/>
      <c r="ODO34" s="28"/>
      <c r="ODP34" s="28"/>
      <c r="ODQ34" s="28"/>
      <c r="ODR34" s="28"/>
      <c r="ODS34" s="28"/>
      <c r="ODT34" s="28"/>
      <c r="ODU34" s="28"/>
      <c r="ODV34" s="28"/>
      <c r="ODW34" s="28"/>
      <c r="ODX34" s="28"/>
      <c r="ODY34" s="28"/>
      <c r="ODZ34" s="28"/>
      <c r="OEA34" s="28"/>
      <c r="OEB34" s="28"/>
      <c r="OEC34" s="28"/>
      <c r="OED34" s="28"/>
      <c r="OEE34" s="28"/>
      <c r="OEF34" s="28"/>
      <c r="OEG34" s="28"/>
      <c r="OEH34" s="28"/>
      <c r="OEI34" s="28"/>
      <c r="OEJ34" s="28"/>
      <c r="OEK34" s="28"/>
      <c r="OEL34" s="28"/>
      <c r="OEM34" s="28"/>
      <c r="OEN34" s="28"/>
      <c r="OEO34" s="28"/>
      <c r="OEP34" s="28"/>
      <c r="OEQ34" s="28"/>
      <c r="OER34" s="28"/>
      <c r="OES34" s="28"/>
      <c r="OET34" s="28"/>
      <c r="OEU34" s="28"/>
      <c r="OEV34" s="28"/>
      <c r="OEW34" s="28"/>
      <c r="OEX34" s="28"/>
      <c r="OEY34" s="28"/>
      <c r="OEZ34" s="28"/>
      <c r="OFA34" s="28"/>
      <c r="OFB34" s="28"/>
      <c r="OFC34" s="28"/>
      <c r="OFD34" s="28"/>
      <c r="OFE34" s="28"/>
      <c r="OFF34" s="28"/>
      <c r="OFG34" s="28"/>
      <c r="OFH34" s="28"/>
      <c r="OFI34" s="28"/>
      <c r="OFJ34" s="28"/>
      <c r="OFK34" s="28"/>
      <c r="OFL34" s="28"/>
      <c r="OFM34" s="28"/>
      <c r="OFN34" s="28"/>
      <c r="OFO34" s="28"/>
      <c r="OFP34" s="28"/>
      <c r="OFQ34" s="28"/>
      <c r="OFR34" s="28"/>
      <c r="OFS34" s="28"/>
      <c r="OFT34" s="28"/>
      <c r="OFU34" s="28"/>
      <c r="OFV34" s="28"/>
      <c r="OFW34" s="28"/>
      <c r="OFX34" s="28"/>
      <c r="OFY34" s="28"/>
      <c r="OFZ34" s="28"/>
      <c r="OGA34" s="28"/>
      <c r="OGB34" s="28"/>
      <c r="OGC34" s="28"/>
      <c r="OGD34" s="28"/>
      <c r="OGE34" s="28"/>
      <c r="OGF34" s="28"/>
      <c r="OGG34" s="28"/>
      <c r="OGH34" s="28"/>
      <c r="OGI34" s="28"/>
      <c r="OGJ34" s="28"/>
      <c r="OGK34" s="28"/>
      <c r="OGL34" s="28"/>
      <c r="OGM34" s="28"/>
      <c r="OGN34" s="28"/>
      <c r="OGO34" s="28"/>
      <c r="OGP34" s="28"/>
      <c r="OGQ34" s="28"/>
      <c r="OGR34" s="28"/>
      <c r="OGS34" s="28"/>
      <c r="OGT34" s="28"/>
      <c r="OGU34" s="28"/>
      <c r="OGV34" s="28"/>
      <c r="OGW34" s="28"/>
      <c r="OGX34" s="28"/>
      <c r="OGY34" s="28"/>
      <c r="OGZ34" s="28"/>
      <c r="OHA34" s="28"/>
      <c r="OHB34" s="28"/>
      <c r="OHC34" s="28"/>
      <c r="OHD34" s="28"/>
      <c r="OHE34" s="28"/>
      <c r="OHF34" s="28"/>
      <c r="OHG34" s="28"/>
      <c r="OHH34" s="28"/>
      <c r="OHI34" s="28"/>
      <c r="OHJ34" s="28"/>
      <c r="OHK34" s="28"/>
      <c r="OHL34" s="28"/>
      <c r="OHM34" s="28"/>
      <c r="OHN34" s="28"/>
      <c r="OHO34" s="28"/>
      <c r="OHP34" s="28"/>
      <c r="OHQ34" s="28"/>
      <c r="OHR34" s="28"/>
      <c r="OHS34" s="28"/>
      <c r="OHT34" s="28"/>
      <c r="OHU34" s="28"/>
      <c r="OHV34" s="28"/>
      <c r="OHW34" s="28"/>
      <c r="OHX34" s="28"/>
      <c r="OHY34" s="28"/>
      <c r="OHZ34" s="28"/>
      <c r="OIA34" s="28"/>
      <c r="OIB34" s="28"/>
      <c r="OIC34" s="28"/>
      <c r="OID34" s="28"/>
      <c r="OIE34" s="28"/>
      <c r="OIF34" s="28"/>
      <c r="OIG34" s="28"/>
      <c r="OIH34" s="28"/>
      <c r="OII34" s="28"/>
      <c r="OIJ34" s="28"/>
      <c r="OIK34" s="28"/>
      <c r="OIL34" s="28"/>
      <c r="OIM34" s="28"/>
      <c r="OIN34" s="28"/>
      <c r="OIO34" s="28"/>
      <c r="OIP34" s="28"/>
      <c r="OIQ34" s="28"/>
      <c r="OIR34" s="28"/>
      <c r="OIS34" s="28"/>
      <c r="OIT34" s="28"/>
      <c r="OIU34" s="28"/>
      <c r="OIV34" s="28"/>
      <c r="OIW34" s="28"/>
      <c r="OIX34" s="28"/>
      <c r="OIY34" s="28"/>
      <c r="OIZ34" s="28"/>
      <c r="OJA34" s="28"/>
      <c r="OJB34" s="28"/>
      <c r="OJC34" s="28"/>
      <c r="OJD34" s="28"/>
      <c r="OJE34" s="28"/>
      <c r="OJF34" s="28"/>
      <c r="OJG34" s="28"/>
      <c r="OJH34" s="28"/>
      <c r="OJI34" s="28"/>
      <c r="OJJ34" s="28"/>
      <c r="OJK34" s="28"/>
      <c r="OJL34" s="28"/>
      <c r="OJM34" s="28"/>
      <c r="OJN34" s="28"/>
      <c r="OJO34" s="28"/>
      <c r="OJP34" s="28"/>
      <c r="OJQ34" s="28"/>
      <c r="OJR34" s="28"/>
      <c r="OJS34" s="28"/>
      <c r="OJT34" s="28"/>
      <c r="OJU34" s="28"/>
      <c r="OJV34" s="28"/>
      <c r="OJW34" s="28"/>
      <c r="OJX34" s="28"/>
      <c r="OJY34" s="28"/>
      <c r="OJZ34" s="28"/>
      <c r="OKA34" s="28"/>
      <c r="OKB34" s="28"/>
      <c r="OKC34" s="28"/>
      <c r="OKD34" s="28"/>
      <c r="OKE34" s="28"/>
      <c r="OKF34" s="28"/>
      <c r="OKG34" s="28"/>
      <c r="OKH34" s="28"/>
      <c r="OKI34" s="28"/>
      <c r="OKJ34" s="28"/>
      <c r="OKK34" s="28"/>
      <c r="OKL34" s="28"/>
      <c r="OKM34" s="28"/>
      <c r="OKN34" s="28"/>
      <c r="OKO34" s="28"/>
      <c r="OKP34" s="28"/>
      <c r="OKQ34" s="28"/>
      <c r="OKR34" s="28"/>
      <c r="OKS34" s="28"/>
      <c r="OKT34" s="28"/>
      <c r="OKU34" s="28"/>
      <c r="OKV34" s="28"/>
      <c r="OKW34" s="28"/>
      <c r="OKX34" s="28"/>
      <c r="OKY34" s="28"/>
      <c r="OKZ34" s="28"/>
      <c r="OLA34" s="28"/>
      <c r="OLB34" s="28"/>
      <c r="OLC34" s="28"/>
      <c r="OLD34" s="28"/>
      <c r="OLE34" s="28"/>
      <c r="OLF34" s="28"/>
      <c r="OLG34" s="28"/>
      <c r="OLH34" s="28"/>
      <c r="OLI34" s="28"/>
      <c r="OLJ34" s="28"/>
      <c r="OLK34" s="28"/>
      <c r="OLL34" s="28"/>
      <c r="OLM34" s="28"/>
      <c r="OLN34" s="28"/>
      <c r="OLO34" s="28"/>
      <c r="OLP34" s="28"/>
      <c r="OLQ34" s="28"/>
      <c r="OLR34" s="28"/>
      <c r="OLS34" s="28"/>
      <c r="OLT34" s="28"/>
      <c r="OLU34" s="28"/>
      <c r="OLV34" s="28"/>
      <c r="OLW34" s="28"/>
      <c r="OLX34" s="28"/>
      <c r="OLY34" s="28"/>
      <c r="OLZ34" s="28"/>
      <c r="OMA34" s="28"/>
      <c r="OMB34" s="28"/>
      <c r="OMC34" s="28"/>
      <c r="OMD34" s="28"/>
      <c r="OME34" s="28"/>
      <c r="OMF34" s="28"/>
      <c r="OMG34" s="28"/>
      <c r="OMH34" s="28"/>
      <c r="OMI34" s="28"/>
      <c r="OMJ34" s="28"/>
      <c r="OMK34" s="28"/>
      <c r="OML34" s="28"/>
      <c r="OMM34" s="28"/>
      <c r="OMN34" s="28"/>
      <c r="OMO34" s="28"/>
      <c r="OMP34" s="28"/>
      <c r="OMQ34" s="28"/>
      <c r="OMR34" s="28"/>
      <c r="OMS34" s="28"/>
      <c r="OMT34" s="28"/>
      <c r="OMU34" s="28"/>
      <c r="OMV34" s="28"/>
      <c r="OMW34" s="28"/>
      <c r="OMX34" s="28"/>
      <c r="OMY34" s="28"/>
      <c r="OMZ34" s="28"/>
      <c r="ONA34" s="28"/>
      <c r="ONB34" s="28"/>
      <c r="ONC34" s="28"/>
      <c r="OND34" s="28"/>
      <c r="ONE34" s="28"/>
      <c r="ONF34" s="28"/>
      <c r="ONG34" s="28"/>
      <c r="ONH34" s="28"/>
      <c r="ONI34" s="28"/>
      <c r="ONJ34" s="28"/>
      <c r="ONK34" s="28"/>
      <c r="ONL34" s="28"/>
      <c r="ONM34" s="28"/>
      <c r="ONN34" s="28"/>
      <c r="ONO34" s="28"/>
      <c r="ONP34" s="28"/>
      <c r="ONQ34" s="28"/>
      <c r="ONR34" s="28"/>
      <c r="ONS34" s="28"/>
      <c r="ONT34" s="28"/>
      <c r="ONU34" s="28"/>
      <c r="ONV34" s="28"/>
      <c r="ONW34" s="28"/>
      <c r="ONX34" s="28"/>
      <c r="ONY34" s="28"/>
      <c r="ONZ34" s="28"/>
      <c r="OOA34" s="28"/>
      <c r="OOB34" s="28"/>
      <c r="OOC34" s="28"/>
      <c r="OOD34" s="28"/>
      <c r="OOE34" s="28"/>
      <c r="OOF34" s="28"/>
      <c r="OOG34" s="28"/>
      <c r="OOH34" s="28"/>
      <c r="OOI34" s="28"/>
      <c r="OOJ34" s="28"/>
      <c r="OOK34" s="28"/>
      <c r="OOL34" s="28"/>
      <c r="OOM34" s="28"/>
      <c r="OON34" s="28"/>
      <c r="OOO34" s="28"/>
      <c r="OOP34" s="28"/>
      <c r="OOQ34" s="28"/>
      <c r="OOR34" s="28"/>
      <c r="OOS34" s="28"/>
      <c r="OOT34" s="28"/>
      <c r="OOU34" s="28"/>
      <c r="OOV34" s="28"/>
      <c r="OOW34" s="28"/>
      <c r="OOX34" s="28"/>
      <c r="OOY34" s="28"/>
      <c r="OOZ34" s="28"/>
      <c r="OPA34" s="28"/>
      <c r="OPB34" s="28"/>
      <c r="OPC34" s="28"/>
      <c r="OPD34" s="28"/>
      <c r="OPE34" s="28"/>
      <c r="OPF34" s="28"/>
      <c r="OPG34" s="28"/>
      <c r="OPH34" s="28"/>
      <c r="OPI34" s="28"/>
      <c r="OPJ34" s="28"/>
      <c r="OPK34" s="28"/>
      <c r="OPL34" s="28"/>
      <c r="OPM34" s="28"/>
      <c r="OPN34" s="28"/>
      <c r="OPO34" s="28"/>
      <c r="OPP34" s="28"/>
      <c r="OPQ34" s="28"/>
      <c r="OPR34" s="28"/>
      <c r="OPS34" s="28"/>
      <c r="OPT34" s="28"/>
      <c r="OPU34" s="28"/>
      <c r="OPV34" s="28"/>
      <c r="OPW34" s="28"/>
      <c r="OPX34" s="28"/>
      <c r="OPY34" s="28"/>
      <c r="OPZ34" s="28"/>
      <c r="OQA34" s="28"/>
      <c r="OQB34" s="28"/>
      <c r="OQC34" s="28"/>
      <c r="OQD34" s="28"/>
      <c r="OQE34" s="28"/>
      <c r="OQF34" s="28"/>
      <c r="OQG34" s="28"/>
      <c r="OQH34" s="28"/>
      <c r="OQI34" s="28"/>
      <c r="OQJ34" s="28"/>
      <c r="OQK34" s="28"/>
      <c r="OQL34" s="28"/>
      <c r="OQM34" s="28"/>
      <c r="OQN34" s="28"/>
      <c r="OQO34" s="28"/>
      <c r="OQP34" s="28"/>
      <c r="OQQ34" s="28"/>
      <c r="OQR34" s="28"/>
      <c r="OQS34" s="28"/>
      <c r="OQT34" s="28"/>
      <c r="OQU34" s="28"/>
      <c r="OQV34" s="28"/>
      <c r="OQW34" s="28"/>
      <c r="OQX34" s="28"/>
      <c r="OQY34" s="28"/>
      <c r="OQZ34" s="28"/>
      <c r="ORA34" s="28"/>
      <c r="ORB34" s="28"/>
      <c r="ORC34" s="28"/>
      <c r="ORD34" s="28"/>
      <c r="ORE34" s="28"/>
      <c r="ORF34" s="28"/>
      <c r="ORG34" s="28"/>
      <c r="ORH34" s="28"/>
      <c r="ORI34" s="28"/>
      <c r="ORJ34" s="28"/>
      <c r="ORK34" s="28"/>
      <c r="ORL34" s="28"/>
      <c r="ORM34" s="28"/>
      <c r="ORN34" s="28"/>
      <c r="ORO34" s="28"/>
      <c r="ORP34" s="28"/>
      <c r="ORQ34" s="28"/>
      <c r="ORR34" s="28"/>
      <c r="ORS34" s="28"/>
      <c r="ORT34" s="28"/>
      <c r="ORU34" s="28"/>
      <c r="ORV34" s="28"/>
      <c r="ORW34" s="28"/>
      <c r="ORX34" s="28"/>
      <c r="ORY34" s="28"/>
      <c r="ORZ34" s="28"/>
      <c r="OSA34" s="28"/>
      <c r="OSB34" s="28"/>
      <c r="OSC34" s="28"/>
      <c r="OSD34" s="28"/>
      <c r="OSE34" s="28"/>
      <c r="OSF34" s="28"/>
      <c r="OSG34" s="28"/>
      <c r="OSH34" s="28"/>
      <c r="OSI34" s="28"/>
      <c r="OSJ34" s="28"/>
      <c r="OSK34" s="28"/>
      <c r="OSL34" s="28"/>
      <c r="OSM34" s="28"/>
      <c r="OSN34" s="28"/>
      <c r="OSO34" s="28"/>
      <c r="OSP34" s="28"/>
      <c r="OSQ34" s="28"/>
      <c r="OSR34" s="28"/>
      <c r="OSS34" s="28"/>
      <c r="OST34" s="28"/>
      <c r="OSU34" s="28"/>
      <c r="OSV34" s="28"/>
      <c r="OSW34" s="28"/>
      <c r="OSX34" s="28"/>
      <c r="OSY34" s="28"/>
      <c r="OSZ34" s="28"/>
      <c r="OTA34" s="28"/>
      <c r="OTB34" s="28"/>
      <c r="OTC34" s="28"/>
      <c r="OTD34" s="28"/>
      <c r="OTE34" s="28"/>
      <c r="OTF34" s="28"/>
      <c r="OTG34" s="28"/>
      <c r="OTH34" s="28"/>
      <c r="OTI34" s="28"/>
      <c r="OTJ34" s="28"/>
      <c r="OTK34" s="28"/>
      <c r="OTL34" s="28"/>
      <c r="OTM34" s="28"/>
      <c r="OTN34" s="28"/>
      <c r="OTO34" s="28"/>
      <c r="OTP34" s="28"/>
      <c r="OTQ34" s="28"/>
      <c r="OTR34" s="28"/>
      <c r="OTS34" s="28"/>
      <c r="OTT34" s="28"/>
      <c r="OTU34" s="28"/>
      <c r="OTV34" s="28"/>
      <c r="OTW34" s="28"/>
      <c r="OTX34" s="28"/>
      <c r="OTY34" s="28"/>
      <c r="OTZ34" s="28"/>
      <c r="OUA34" s="28"/>
      <c r="OUB34" s="28"/>
      <c r="OUC34" s="28"/>
      <c r="OUD34" s="28"/>
      <c r="OUE34" s="28"/>
      <c r="OUF34" s="28"/>
      <c r="OUG34" s="28"/>
      <c r="OUH34" s="28"/>
      <c r="OUI34" s="28"/>
      <c r="OUJ34" s="28"/>
      <c r="OUK34" s="28"/>
      <c r="OUL34" s="28"/>
      <c r="OUM34" s="28"/>
      <c r="OUN34" s="28"/>
      <c r="OUO34" s="28"/>
      <c r="OUP34" s="28"/>
      <c r="OUQ34" s="28"/>
      <c r="OUR34" s="28"/>
      <c r="OUS34" s="28"/>
      <c r="OUT34" s="28"/>
      <c r="OUU34" s="28"/>
      <c r="OUV34" s="28"/>
      <c r="OUW34" s="28"/>
      <c r="OUX34" s="28"/>
      <c r="OUY34" s="28"/>
      <c r="OUZ34" s="28"/>
      <c r="OVA34" s="28"/>
      <c r="OVB34" s="28"/>
      <c r="OVC34" s="28"/>
      <c r="OVD34" s="28"/>
      <c r="OVE34" s="28"/>
      <c r="OVF34" s="28"/>
      <c r="OVG34" s="28"/>
      <c r="OVH34" s="28"/>
      <c r="OVI34" s="28"/>
      <c r="OVJ34" s="28"/>
      <c r="OVK34" s="28"/>
      <c r="OVL34" s="28"/>
      <c r="OVM34" s="28"/>
      <c r="OVN34" s="28"/>
      <c r="OVO34" s="28"/>
      <c r="OVP34" s="28"/>
      <c r="OVQ34" s="28"/>
      <c r="OVR34" s="28"/>
      <c r="OVS34" s="28"/>
      <c r="OVT34" s="28"/>
      <c r="OVU34" s="28"/>
      <c r="OVV34" s="28"/>
      <c r="OVW34" s="28"/>
      <c r="OVX34" s="28"/>
      <c r="OVY34" s="28"/>
      <c r="OVZ34" s="28"/>
      <c r="OWA34" s="28"/>
      <c r="OWB34" s="28"/>
      <c r="OWC34" s="28"/>
      <c r="OWD34" s="28"/>
      <c r="OWE34" s="28"/>
      <c r="OWF34" s="28"/>
      <c r="OWG34" s="28"/>
      <c r="OWH34" s="28"/>
      <c r="OWI34" s="28"/>
      <c r="OWJ34" s="28"/>
      <c r="OWK34" s="28"/>
      <c r="OWL34" s="28"/>
      <c r="OWM34" s="28"/>
      <c r="OWN34" s="28"/>
      <c r="OWO34" s="28"/>
      <c r="OWP34" s="28"/>
      <c r="OWQ34" s="28"/>
      <c r="OWR34" s="28"/>
      <c r="OWS34" s="28"/>
      <c r="OWT34" s="28"/>
      <c r="OWU34" s="28"/>
      <c r="OWV34" s="28"/>
      <c r="OWW34" s="28"/>
      <c r="OWX34" s="28"/>
      <c r="OWY34" s="28"/>
      <c r="OWZ34" s="28"/>
      <c r="OXA34" s="28"/>
      <c r="OXB34" s="28"/>
      <c r="OXC34" s="28"/>
      <c r="OXD34" s="28"/>
      <c r="OXE34" s="28"/>
      <c r="OXF34" s="28"/>
      <c r="OXG34" s="28"/>
      <c r="OXH34" s="28"/>
      <c r="OXI34" s="28"/>
      <c r="OXJ34" s="28"/>
      <c r="OXK34" s="28"/>
      <c r="OXL34" s="28"/>
      <c r="OXM34" s="28"/>
      <c r="OXN34" s="28"/>
      <c r="OXO34" s="28"/>
      <c r="OXP34" s="28"/>
      <c r="OXQ34" s="28"/>
      <c r="OXR34" s="28"/>
      <c r="OXS34" s="28"/>
      <c r="OXT34" s="28"/>
      <c r="OXU34" s="28"/>
      <c r="OXV34" s="28"/>
      <c r="OXW34" s="28"/>
      <c r="OXX34" s="28"/>
      <c r="OXY34" s="28"/>
      <c r="OXZ34" s="28"/>
      <c r="OYA34" s="28"/>
      <c r="OYB34" s="28"/>
      <c r="OYC34" s="28"/>
      <c r="OYD34" s="28"/>
      <c r="OYE34" s="28"/>
      <c r="OYF34" s="28"/>
      <c r="OYG34" s="28"/>
      <c r="OYH34" s="28"/>
      <c r="OYI34" s="28"/>
      <c r="OYJ34" s="28"/>
      <c r="OYK34" s="28"/>
      <c r="OYL34" s="28"/>
      <c r="OYM34" s="28"/>
      <c r="OYN34" s="28"/>
      <c r="OYO34" s="28"/>
      <c r="OYP34" s="28"/>
      <c r="OYQ34" s="28"/>
      <c r="OYR34" s="28"/>
      <c r="OYS34" s="28"/>
      <c r="OYT34" s="28"/>
      <c r="OYU34" s="28"/>
      <c r="OYV34" s="28"/>
      <c r="OYW34" s="28"/>
      <c r="OYX34" s="28"/>
      <c r="OYY34" s="28"/>
      <c r="OYZ34" s="28"/>
      <c r="OZA34" s="28"/>
      <c r="OZB34" s="28"/>
      <c r="OZC34" s="28"/>
      <c r="OZD34" s="28"/>
      <c r="OZE34" s="28"/>
      <c r="OZF34" s="28"/>
      <c r="OZG34" s="28"/>
      <c r="OZH34" s="28"/>
      <c r="OZI34" s="28"/>
      <c r="OZJ34" s="28"/>
      <c r="OZK34" s="28"/>
      <c r="OZL34" s="28"/>
      <c r="OZM34" s="28"/>
      <c r="OZN34" s="28"/>
      <c r="OZO34" s="28"/>
      <c r="OZP34" s="28"/>
      <c r="OZQ34" s="28"/>
      <c r="OZR34" s="28"/>
      <c r="OZS34" s="28"/>
      <c r="OZT34" s="28"/>
      <c r="OZU34" s="28"/>
      <c r="OZV34" s="28"/>
      <c r="OZW34" s="28"/>
      <c r="OZX34" s="28"/>
      <c r="OZY34" s="28"/>
      <c r="OZZ34" s="28"/>
      <c r="PAA34" s="28"/>
      <c r="PAB34" s="28"/>
      <c r="PAC34" s="28"/>
      <c r="PAD34" s="28"/>
      <c r="PAE34" s="28"/>
      <c r="PAF34" s="28"/>
      <c r="PAG34" s="28"/>
      <c r="PAH34" s="28"/>
      <c r="PAI34" s="28"/>
      <c r="PAJ34" s="28"/>
      <c r="PAK34" s="28"/>
      <c r="PAL34" s="28"/>
      <c r="PAM34" s="28"/>
      <c r="PAN34" s="28"/>
      <c r="PAO34" s="28"/>
      <c r="PAP34" s="28"/>
      <c r="PAQ34" s="28"/>
      <c r="PAR34" s="28"/>
      <c r="PAS34" s="28"/>
      <c r="PAT34" s="28"/>
      <c r="PAU34" s="28"/>
      <c r="PAV34" s="28"/>
      <c r="PAW34" s="28"/>
      <c r="PAX34" s="28"/>
      <c r="PAY34" s="28"/>
      <c r="PAZ34" s="28"/>
      <c r="PBA34" s="28"/>
      <c r="PBB34" s="28"/>
      <c r="PBC34" s="28"/>
      <c r="PBD34" s="28"/>
      <c r="PBE34" s="28"/>
      <c r="PBF34" s="28"/>
      <c r="PBG34" s="28"/>
      <c r="PBH34" s="28"/>
      <c r="PBI34" s="28"/>
      <c r="PBJ34" s="28"/>
      <c r="PBK34" s="28"/>
      <c r="PBL34" s="28"/>
      <c r="PBM34" s="28"/>
      <c r="PBN34" s="28"/>
      <c r="PBO34" s="28"/>
      <c r="PBP34" s="28"/>
      <c r="PBQ34" s="28"/>
      <c r="PBR34" s="28"/>
      <c r="PBS34" s="28"/>
      <c r="PBT34" s="28"/>
      <c r="PBU34" s="28"/>
      <c r="PBV34" s="28"/>
      <c r="PBW34" s="28"/>
      <c r="PBX34" s="28"/>
      <c r="PBY34" s="28"/>
      <c r="PBZ34" s="28"/>
      <c r="PCA34" s="28"/>
      <c r="PCB34" s="28"/>
      <c r="PCC34" s="28"/>
      <c r="PCD34" s="28"/>
      <c r="PCE34" s="28"/>
      <c r="PCF34" s="28"/>
      <c r="PCG34" s="28"/>
      <c r="PCH34" s="28"/>
      <c r="PCI34" s="28"/>
      <c r="PCJ34" s="28"/>
      <c r="PCK34" s="28"/>
      <c r="PCL34" s="28"/>
      <c r="PCM34" s="28"/>
      <c r="PCN34" s="28"/>
      <c r="PCO34" s="28"/>
      <c r="PCP34" s="28"/>
      <c r="PCQ34" s="28"/>
      <c r="PCR34" s="28"/>
      <c r="PCS34" s="28"/>
      <c r="PCT34" s="28"/>
      <c r="PCU34" s="28"/>
      <c r="PCV34" s="28"/>
      <c r="PCW34" s="28"/>
      <c r="PCX34" s="28"/>
      <c r="PCY34" s="28"/>
      <c r="PCZ34" s="28"/>
      <c r="PDA34" s="28"/>
      <c r="PDB34" s="28"/>
      <c r="PDC34" s="28"/>
      <c r="PDD34" s="28"/>
      <c r="PDE34" s="28"/>
      <c r="PDF34" s="28"/>
      <c r="PDG34" s="28"/>
      <c r="PDH34" s="28"/>
      <c r="PDI34" s="28"/>
      <c r="PDJ34" s="28"/>
      <c r="PDK34" s="28"/>
      <c r="PDL34" s="28"/>
      <c r="PDM34" s="28"/>
      <c r="PDN34" s="28"/>
      <c r="PDO34" s="28"/>
      <c r="PDP34" s="28"/>
      <c r="PDQ34" s="28"/>
      <c r="PDR34" s="28"/>
      <c r="PDS34" s="28"/>
      <c r="PDT34" s="28"/>
      <c r="PDU34" s="28"/>
      <c r="PDV34" s="28"/>
      <c r="PDW34" s="28"/>
      <c r="PDX34" s="28"/>
      <c r="PDY34" s="28"/>
      <c r="PDZ34" s="28"/>
      <c r="PEA34" s="28"/>
      <c r="PEB34" s="28"/>
      <c r="PEC34" s="28"/>
      <c r="PED34" s="28"/>
      <c r="PEE34" s="28"/>
      <c r="PEF34" s="28"/>
      <c r="PEG34" s="28"/>
      <c r="PEH34" s="28"/>
      <c r="PEI34" s="28"/>
      <c r="PEJ34" s="28"/>
      <c r="PEK34" s="28"/>
      <c r="PEL34" s="28"/>
      <c r="PEM34" s="28"/>
      <c r="PEN34" s="28"/>
      <c r="PEO34" s="28"/>
      <c r="PEP34" s="28"/>
      <c r="PEQ34" s="28"/>
      <c r="PER34" s="28"/>
      <c r="PES34" s="28"/>
      <c r="PET34" s="28"/>
      <c r="PEU34" s="28"/>
      <c r="PEV34" s="28"/>
      <c r="PEW34" s="28"/>
      <c r="PEX34" s="28"/>
      <c r="PEY34" s="28"/>
      <c r="PEZ34" s="28"/>
      <c r="PFA34" s="28"/>
      <c r="PFB34" s="28"/>
      <c r="PFC34" s="28"/>
      <c r="PFD34" s="28"/>
      <c r="PFE34" s="28"/>
      <c r="PFF34" s="28"/>
      <c r="PFG34" s="28"/>
      <c r="PFH34" s="28"/>
      <c r="PFI34" s="28"/>
      <c r="PFJ34" s="28"/>
      <c r="PFK34" s="28"/>
      <c r="PFL34" s="28"/>
      <c r="PFM34" s="28"/>
      <c r="PFN34" s="28"/>
      <c r="PFO34" s="28"/>
      <c r="PFP34" s="28"/>
      <c r="PFQ34" s="28"/>
      <c r="PFR34" s="28"/>
      <c r="PFS34" s="28"/>
      <c r="PFT34" s="28"/>
      <c r="PFU34" s="28"/>
      <c r="PFV34" s="28"/>
      <c r="PFW34" s="28"/>
      <c r="PFX34" s="28"/>
      <c r="PFY34" s="28"/>
      <c r="PFZ34" s="28"/>
      <c r="PGA34" s="28"/>
      <c r="PGB34" s="28"/>
      <c r="PGC34" s="28"/>
      <c r="PGD34" s="28"/>
      <c r="PGE34" s="28"/>
      <c r="PGF34" s="28"/>
      <c r="PGG34" s="28"/>
      <c r="PGH34" s="28"/>
      <c r="PGI34" s="28"/>
      <c r="PGJ34" s="28"/>
      <c r="PGK34" s="28"/>
      <c r="PGL34" s="28"/>
      <c r="PGM34" s="28"/>
      <c r="PGN34" s="28"/>
      <c r="PGO34" s="28"/>
      <c r="PGP34" s="28"/>
      <c r="PGQ34" s="28"/>
      <c r="PGR34" s="28"/>
      <c r="PGS34" s="28"/>
      <c r="PGT34" s="28"/>
      <c r="PGU34" s="28"/>
      <c r="PGV34" s="28"/>
      <c r="PGW34" s="28"/>
      <c r="PGX34" s="28"/>
      <c r="PGY34" s="28"/>
      <c r="PGZ34" s="28"/>
      <c r="PHA34" s="28"/>
      <c r="PHB34" s="28"/>
      <c r="PHC34" s="28"/>
      <c r="PHD34" s="28"/>
      <c r="PHE34" s="28"/>
      <c r="PHF34" s="28"/>
      <c r="PHG34" s="28"/>
      <c r="PHH34" s="28"/>
      <c r="PHI34" s="28"/>
      <c r="PHJ34" s="28"/>
      <c r="PHK34" s="28"/>
      <c r="PHL34" s="28"/>
      <c r="PHM34" s="28"/>
      <c r="PHN34" s="28"/>
      <c r="PHO34" s="28"/>
      <c r="PHP34" s="28"/>
      <c r="PHQ34" s="28"/>
      <c r="PHR34" s="28"/>
      <c r="PHS34" s="28"/>
      <c r="PHT34" s="28"/>
      <c r="PHU34" s="28"/>
      <c r="PHV34" s="28"/>
      <c r="PHW34" s="28"/>
      <c r="PHX34" s="28"/>
      <c r="PHY34" s="28"/>
      <c r="PHZ34" s="28"/>
      <c r="PIA34" s="28"/>
      <c r="PIB34" s="28"/>
      <c r="PIC34" s="28"/>
      <c r="PID34" s="28"/>
      <c r="PIE34" s="28"/>
      <c r="PIF34" s="28"/>
      <c r="PIG34" s="28"/>
      <c r="PIH34" s="28"/>
      <c r="PII34" s="28"/>
      <c r="PIJ34" s="28"/>
      <c r="PIK34" s="28"/>
      <c r="PIL34" s="28"/>
      <c r="PIM34" s="28"/>
      <c r="PIN34" s="28"/>
      <c r="PIO34" s="28"/>
      <c r="PIP34" s="28"/>
      <c r="PIQ34" s="28"/>
      <c r="PIR34" s="28"/>
      <c r="PIS34" s="28"/>
      <c r="PIT34" s="28"/>
      <c r="PIU34" s="28"/>
      <c r="PIV34" s="28"/>
      <c r="PIW34" s="28"/>
      <c r="PIX34" s="28"/>
      <c r="PIY34" s="28"/>
      <c r="PIZ34" s="28"/>
      <c r="PJA34" s="28"/>
      <c r="PJB34" s="28"/>
      <c r="PJC34" s="28"/>
      <c r="PJD34" s="28"/>
      <c r="PJE34" s="28"/>
      <c r="PJF34" s="28"/>
      <c r="PJG34" s="28"/>
      <c r="PJH34" s="28"/>
      <c r="PJI34" s="28"/>
      <c r="PJJ34" s="28"/>
      <c r="PJK34" s="28"/>
      <c r="PJL34" s="28"/>
      <c r="PJM34" s="28"/>
      <c r="PJN34" s="28"/>
      <c r="PJO34" s="28"/>
      <c r="PJP34" s="28"/>
      <c r="PJQ34" s="28"/>
      <c r="PJR34" s="28"/>
      <c r="PJS34" s="28"/>
      <c r="PJT34" s="28"/>
      <c r="PJU34" s="28"/>
      <c r="PJV34" s="28"/>
      <c r="PJW34" s="28"/>
      <c r="PJX34" s="28"/>
      <c r="PJY34" s="28"/>
      <c r="PJZ34" s="28"/>
      <c r="PKA34" s="28"/>
      <c r="PKB34" s="28"/>
      <c r="PKC34" s="28"/>
      <c r="PKD34" s="28"/>
      <c r="PKE34" s="28"/>
      <c r="PKF34" s="28"/>
      <c r="PKG34" s="28"/>
      <c r="PKH34" s="28"/>
      <c r="PKI34" s="28"/>
      <c r="PKJ34" s="28"/>
      <c r="PKK34" s="28"/>
      <c r="PKL34" s="28"/>
      <c r="PKM34" s="28"/>
      <c r="PKN34" s="28"/>
      <c r="PKO34" s="28"/>
      <c r="PKP34" s="28"/>
      <c r="PKQ34" s="28"/>
      <c r="PKR34" s="28"/>
      <c r="PKS34" s="28"/>
      <c r="PKT34" s="28"/>
      <c r="PKU34" s="28"/>
      <c r="PKV34" s="28"/>
      <c r="PKW34" s="28"/>
      <c r="PKX34" s="28"/>
      <c r="PKY34" s="28"/>
      <c r="PKZ34" s="28"/>
      <c r="PLA34" s="28"/>
      <c r="PLB34" s="28"/>
      <c r="PLC34" s="28"/>
      <c r="PLD34" s="28"/>
      <c r="PLE34" s="28"/>
      <c r="PLF34" s="28"/>
      <c r="PLG34" s="28"/>
      <c r="PLH34" s="28"/>
      <c r="PLI34" s="28"/>
      <c r="PLJ34" s="28"/>
      <c r="PLK34" s="28"/>
      <c r="PLL34" s="28"/>
      <c r="PLM34" s="28"/>
      <c r="PLN34" s="28"/>
      <c r="PLO34" s="28"/>
      <c r="PLP34" s="28"/>
      <c r="PLQ34" s="28"/>
      <c r="PLR34" s="28"/>
      <c r="PLS34" s="28"/>
      <c r="PLT34" s="28"/>
      <c r="PLU34" s="28"/>
      <c r="PLV34" s="28"/>
      <c r="PLW34" s="28"/>
      <c r="PLX34" s="28"/>
      <c r="PLY34" s="28"/>
      <c r="PLZ34" s="28"/>
      <c r="PMA34" s="28"/>
      <c r="PMB34" s="28"/>
      <c r="PMC34" s="28"/>
      <c r="PMD34" s="28"/>
      <c r="PME34" s="28"/>
      <c r="PMF34" s="28"/>
      <c r="PMG34" s="28"/>
      <c r="PMH34" s="28"/>
      <c r="PMI34" s="28"/>
      <c r="PMJ34" s="28"/>
      <c r="PMK34" s="28"/>
      <c r="PML34" s="28"/>
      <c r="PMM34" s="28"/>
      <c r="PMN34" s="28"/>
      <c r="PMO34" s="28"/>
      <c r="PMP34" s="28"/>
      <c r="PMQ34" s="28"/>
      <c r="PMR34" s="28"/>
      <c r="PMS34" s="28"/>
      <c r="PMT34" s="28"/>
      <c r="PMU34" s="28"/>
      <c r="PMV34" s="28"/>
      <c r="PMW34" s="28"/>
      <c r="PMX34" s="28"/>
      <c r="PMY34" s="28"/>
      <c r="PMZ34" s="28"/>
      <c r="PNA34" s="28"/>
      <c r="PNB34" s="28"/>
      <c r="PNC34" s="28"/>
      <c r="PND34" s="28"/>
      <c r="PNE34" s="28"/>
      <c r="PNF34" s="28"/>
      <c r="PNG34" s="28"/>
      <c r="PNH34" s="28"/>
      <c r="PNI34" s="28"/>
      <c r="PNJ34" s="28"/>
      <c r="PNK34" s="28"/>
      <c r="PNL34" s="28"/>
      <c r="PNM34" s="28"/>
      <c r="PNN34" s="28"/>
      <c r="PNO34" s="28"/>
      <c r="PNP34" s="28"/>
      <c r="PNQ34" s="28"/>
      <c r="PNR34" s="28"/>
      <c r="PNS34" s="28"/>
      <c r="PNT34" s="28"/>
      <c r="PNU34" s="28"/>
      <c r="PNV34" s="28"/>
      <c r="PNW34" s="28"/>
      <c r="PNX34" s="28"/>
      <c r="PNY34" s="28"/>
      <c r="PNZ34" s="28"/>
      <c r="POA34" s="28"/>
      <c r="POB34" s="28"/>
      <c r="POC34" s="28"/>
      <c r="POD34" s="28"/>
      <c r="POE34" s="28"/>
      <c r="POF34" s="28"/>
      <c r="POG34" s="28"/>
      <c r="POH34" s="28"/>
      <c r="POI34" s="28"/>
      <c r="POJ34" s="28"/>
      <c r="POK34" s="28"/>
      <c r="POL34" s="28"/>
      <c r="POM34" s="28"/>
      <c r="PON34" s="28"/>
      <c r="POO34" s="28"/>
      <c r="POP34" s="28"/>
      <c r="POQ34" s="28"/>
      <c r="POR34" s="28"/>
      <c r="POS34" s="28"/>
      <c r="POT34" s="28"/>
      <c r="POU34" s="28"/>
      <c r="POV34" s="28"/>
      <c r="POW34" s="28"/>
      <c r="POX34" s="28"/>
      <c r="POY34" s="28"/>
      <c r="POZ34" s="28"/>
      <c r="PPA34" s="28"/>
      <c r="PPB34" s="28"/>
      <c r="PPC34" s="28"/>
      <c r="PPD34" s="28"/>
      <c r="PPE34" s="28"/>
      <c r="PPF34" s="28"/>
      <c r="PPG34" s="28"/>
      <c r="PPH34" s="28"/>
      <c r="PPI34" s="28"/>
      <c r="PPJ34" s="28"/>
      <c r="PPK34" s="28"/>
      <c r="PPL34" s="28"/>
      <c r="PPM34" s="28"/>
      <c r="PPN34" s="28"/>
      <c r="PPO34" s="28"/>
      <c r="PPP34" s="28"/>
      <c r="PPQ34" s="28"/>
      <c r="PPR34" s="28"/>
      <c r="PPS34" s="28"/>
      <c r="PPT34" s="28"/>
      <c r="PPU34" s="28"/>
      <c r="PPV34" s="28"/>
      <c r="PPW34" s="28"/>
      <c r="PPX34" s="28"/>
      <c r="PPY34" s="28"/>
      <c r="PPZ34" s="28"/>
      <c r="PQA34" s="28"/>
      <c r="PQB34" s="28"/>
      <c r="PQC34" s="28"/>
      <c r="PQD34" s="28"/>
      <c r="PQE34" s="28"/>
      <c r="PQF34" s="28"/>
      <c r="PQG34" s="28"/>
      <c r="PQH34" s="28"/>
      <c r="PQI34" s="28"/>
      <c r="PQJ34" s="28"/>
      <c r="PQK34" s="28"/>
      <c r="PQL34" s="28"/>
      <c r="PQM34" s="28"/>
      <c r="PQN34" s="28"/>
      <c r="PQO34" s="28"/>
      <c r="PQP34" s="28"/>
      <c r="PQQ34" s="28"/>
      <c r="PQR34" s="28"/>
      <c r="PQS34" s="28"/>
      <c r="PQT34" s="28"/>
      <c r="PQU34" s="28"/>
      <c r="PQV34" s="28"/>
      <c r="PQW34" s="28"/>
      <c r="PQX34" s="28"/>
      <c r="PQY34" s="28"/>
      <c r="PQZ34" s="28"/>
      <c r="PRA34" s="28"/>
      <c r="PRB34" s="28"/>
      <c r="PRC34" s="28"/>
      <c r="PRD34" s="28"/>
      <c r="PRE34" s="28"/>
      <c r="PRF34" s="28"/>
      <c r="PRG34" s="28"/>
      <c r="PRH34" s="28"/>
      <c r="PRI34" s="28"/>
      <c r="PRJ34" s="28"/>
      <c r="PRK34" s="28"/>
      <c r="PRL34" s="28"/>
      <c r="PRM34" s="28"/>
      <c r="PRN34" s="28"/>
      <c r="PRO34" s="28"/>
      <c r="PRP34" s="28"/>
      <c r="PRQ34" s="28"/>
      <c r="PRR34" s="28"/>
      <c r="PRS34" s="28"/>
      <c r="PRT34" s="28"/>
      <c r="PRU34" s="28"/>
      <c r="PRV34" s="28"/>
      <c r="PRW34" s="28"/>
      <c r="PRX34" s="28"/>
      <c r="PRY34" s="28"/>
      <c r="PRZ34" s="28"/>
      <c r="PSA34" s="28"/>
      <c r="PSB34" s="28"/>
      <c r="PSC34" s="28"/>
      <c r="PSD34" s="28"/>
      <c r="PSE34" s="28"/>
      <c r="PSF34" s="28"/>
      <c r="PSG34" s="28"/>
      <c r="PSH34" s="28"/>
      <c r="PSI34" s="28"/>
      <c r="PSJ34" s="28"/>
      <c r="PSK34" s="28"/>
      <c r="PSL34" s="28"/>
      <c r="PSM34" s="28"/>
      <c r="PSN34" s="28"/>
      <c r="PSO34" s="28"/>
      <c r="PSP34" s="28"/>
      <c r="PSQ34" s="28"/>
      <c r="PSR34" s="28"/>
      <c r="PSS34" s="28"/>
      <c r="PST34" s="28"/>
      <c r="PSU34" s="28"/>
      <c r="PSV34" s="28"/>
      <c r="PSW34" s="28"/>
      <c r="PSX34" s="28"/>
      <c r="PSY34" s="28"/>
      <c r="PSZ34" s="28"/>
      <c r="PTA34" s="28"/>
      <c r="PTB34" s="28"/>
      <c r="PTC34" s="28"/>
      <c r="PTD34" s="28"/>
      <c r="PTE34" s="28"/>
      <c r="PTF34" s="28"/>
      <c r="PTG34" s="28"/>
      <c r="PTH34" s="28"/>
      <c r="PTI34" s="28"/>
      <c r="PTJ34" s="28"/>
      <c r="PTK34" s="28"/>
      <c r="PTL34" s="28"/>
      <c r="PTM34" s="28"/>
      <c r="PTN34" s="28"/>
      <c r="PTO34" s="28"/>
      <c r="PTP34" s="28"/>
      <c r="PTQ34" s="28"/>
      <c r="PTR34" s="28"/>
      <c r="PTS34" s="28"/>
      <c r="PTT34" s="28"/>
      <c r="PTU34" s="28"/>
      <c r="PTV34" s="28"/>
      <c r="PTW34" s="28"/>
      <c r="PTX34" s="28"/>
      <c r="PTY34" s="28"/>
      <c r="PTZ34" s="28"/>
      <c r="PUA34" s="28"/>
      <c r="PUB34" s="28"/>
      <c r="PUC34" s="28"/>
      <c r="PUD34" s="28"/>
      <c r="PUE34" s="28"/>
      <c r="PUF34" s="28"/>
      <c r="PUG34" s="28"/>
      <c r="PUH34" s="28"/>
      <c r="PUI34" s="28"/>
      <c r="PUJ34" s="28"/>
      <c r="PUK34" s="28"/>
      <c r="PUL34" s="28"/>
      <c r="PUM34" s="28"/>
      <c r="PUN34" s="28"/>
      <c r="PUO34" s="28"/>
      <c r="PUP34" s="28"/>
      <c r="PUQ34" s="28"/>
      <c r="PUR34" s="28"/>
      <c r="PUS34" s="28"/>
      <c r="PUT34" s="28"/>
      <c r="PUU34" s="28"/>
      <c r="PUV34" s="28"/>
      <c r="PUW34" s="28"/>
      <c r="PUX34" s="28"/>
      <c r="PUY34" s="28"/>
      <c r="PUZ34" s="28"/>
      <c r="PVA34" s="28"/>
      <c r="PVB34" s="28"/>
      <c r="PVC34" s="28"/>
      <c r="PVD34" s="28"/>
      <c r="PVE34" s="28"/>
      <c r="PVF34" s="28"/>
      <c r="PVG34" s="28"/>
      <c r="PVH34" s="28"/>
      <c r="PVI34" s="28"/>
      <c r="PVJ34" s="28"/>
      <c r="PVK34" s="28"/>
      <c r="PVL34" s="28"/>
      <c r="PVM34" s="28"/>
      <c r="PVN34" s="28"/>
      <c r="PVO34" s="28"/>
      <c r="PVP34" s="28"/>
      <c r="PVQ34" s="28"/>
      <c r="PVR34" s="28"/>
      <c r="PVS34" s="28"/>
      <c r="PVT34" s="28"/>
      <c r="PVU34" s="28"/>
      <c r="PVV34" s="28"/>
      <c r="PVW34" s="28"/>
      <c r="PVX34" s="28"/>
      <c r="PVY34" s="28"/>
      <c r="PVZ34" s="28"/>
      <c r="PWA34" s="28"/>
      <c r="PWB34" s="28"/>
      <c r="PWC34" s="28"/>
      <c r="PWD34" s="28"/>
      <c r="PWE34" s="28"/>
      <c r="PWF34" s="28"/>
      <c r="PWG34" s="28"/>
      <c r="PWH34" s="28"/>
      <c r="PWI34" s="28"/>
      <c r="PWJ34" s="28"/>
      <c r="PWK34" s="28"/>
      <c r="PWL34" s="28"/>
      <c r="PWM34" s="28"/>
      <c r="PWN34" s="28"/>
      <c r="PWO34" s="28"/>
      <c r="PWP34" s="28"/>
      <c r="PWQ34" s="28"/>
      <c r="PWR34" s="28"/>
      <c r="PWS34" s="28"/>
      <c r="PWT34" s="28"/>
      <c r="PWU34" s="28"/>
      <c r="PWV34" s="28"/>
      <c r="PWW34" s="28"/>
      <c r="PWX34" s="28"/>
      <c r="PWY34" s="28"/>
      <c r="PWZ34" s="28"/>
      <c r="PXA34" s="28"/>
      <c r="PXB34" s="28"/>
      <c r="PXC34" s="28"/>
      <c r="PXD34" s="28"/>
      <c r="PXE34" s="28"/>
      <c r="PXF34" s="28"/>
      <c r="PXG34" s="28"/>
      <c r="PXH34" s="28"/>
      <c r="PXI34" s="28"/>
      <c r="PXJ34" s="28"/>
      <c r="PXK34" s="28"/>
      <c r="PXL34" s="28"/>
      <c r="PXM34" s="28"/>
      <c r="PXN34" s="28"/>
      <c r="PXO34" s="28"/>
      <c r="PXP34" s="28"/>
      <c r="PXQ34" s="28"/>
      <c r="PXR34" s="28"/>
      <c r="PXS34" s="28"/>
      <c r="PXT34" s="28"/>
      <c r="PXU34" s="28"/>
      <c r="PXV34" s="28"/>
      <c r="PXW34" s="28"/>
      <c r="PXX34" s="28"/>
      <c r="PXY34" s="28"/>
      <c r="PXZ34" s="28"/>
      <c r="PYA34" s="28"/>
      <c r="PYB34" s="28"/>
      <c r="PYC34" s="28"/>
      <c r="PYD34" s="28"/>
      <c r="PYE34" s="28"/>
      <c r="PYF34" s="28"/>
      <c r="PYG34" s="28"/>
      <c r="PYH34" s="28"/>
      <c r="PYI34" s="28"/>
      <c r="PYJ34" s="28"/>
      <c r="PYK34" s="28"/>
      <c r="PYL34" s="28"/>
      <c r="PYM34" s="28"/>
      <c r="PYN34" s="28"/>
      <c r="PYO34" s="28"/>
      <c r="PYP34" s="28"/>
      <c r="PYQ34" s="28"/>
      <c r="PYR34" s="28"/>
      <c r="PYS34" s="28"/>
      <c r="PYT34" s="28"/>
      <c r="PYU34" s="28"/>
      <c r="PYV34" s="28"/>
      <c r="PYW34" s="28"/>
      <c r="PYX34" s="28"/>
      <c r="PYY34" s="28"/>
      <c r="PYZ34" s="28"/>
      <c r="PZA34" s="28"/>
      <c r="PZB34" s="28"/>
      <c r="PZC34" s="28"/>
      <c r="PZD34" s="28"/>
      <c r="PZE34" s="28"/>
      <c r="PZF34" s="28"/>
      <c r="PZG34" s="28"/>
      <c r="PZH34" s="28"/>
      <c r="PZI34" s="28"/>
      <c r="PZJ34" s="28"/>
      <c r="PZK34" s="28"/>
      <c r="PZL34" s="28"/>
      <c r="PZM34" s="28"/>
      <c r="PZN34" s="28"/>
      <c r="PZO34" s="28"/>
      <c r="PZP34" s="28"/>
      <c r="PZQ34" s="28"/>
      <c r="PZR34" s="28"/>
      <c r="PZS34" s="28"/>
      <c r="PZT34" s="28"/>
      <c r="PZU34" s="28"/>
      <c r="PZV34" s="28"/>
      <c r="PZW34" s="28"/>
      <c r="PZX34" s="28"/>
      <c r="PZY34" s="28"/>
      <c r="PZZ34" s="28"/>
      <c r="QAA34" s="28"/>
      <c r="QAB34" s="28"/>
      <c r="QAC34" s="28"/>
      <c r="QAD34" s="28"/>
      <c r="QAE34" s="28"/>
      <c r="QAF34" s="28"/>
      <c r="QAG34" s="28"/>
      <c r="QAH34" s="28"/>
      <c r="QAI34" s="28"/>
      <c r="QAJ34" s="28"/>
      <c r="QAK34" s="28"/>
      <c r="QAL34" s="28"/>
      <c r="QAM34" s="28"/>
      <c r="QAN34" s="28"/>
      <c r="QAO34" s="28"/>
      <c r="QAP34" s="28"/>
      <c r="QAQ34" s="28"/>
      <c r="QAR34" s="28"/>
      <c r="QAS34" s="28"/>
      <c r="QAT34" s="28"/>
      <c r="QAU34" s="28"/>
      <c r="QAV34" s="28"/>
      <c r="QAW34" s="28"/>
      <c r="QAX34" s="28"/>
      <c r="QAY34" s="28"/>
      <c r="QAZ34" s="28"/>
      <c r="QBA34" s="28"/>
      <c r="QBB34" s="28"/>
      <c r="QBC34" s="28"/>
      <c r="QBD34" s="28"/>
      <c r="QBE34" s="28"/>
      <c r="QBF34" s="28"/>
      <c r="QBG34" s="28"/>
      <c r="QBH34" s="28"/>
      <c r="QBI34" s="28"/>
      <c r="QBJ34" s="28"/>
      <c r="QBK34" s="28"/>
      <c r="QBL34" s="28"/>
      <c r="QBM34" s="28"/>
      <c r="QBN34" s="28"/>
      <c r="QBO34" s="28"/>
      <c r="QBP34" s="28"/>
      <c r="QBQ34" s="28"/>
      <c r="QBR34" s="28"/>
      <c r="QBS34" s="28"/>
      <c r="QBT34" s="28"/>
      <c r="QBU34" s="28"/>
      <c r="QBV34" s="28"/>
      <c r="QBW34" s="28"/>
      <c r="QBX34" s="28"/>
      <c r="QBY34" s="28"/>
      <c r="QBZ34" s="28"/>
      <c r="QCA34" s="28"/>
      <c r="QCB34" s="28"/>
      <c r="QCC34" s="28"/>
      <c r="QCD34" s="28"/>
      <c r="QCE34" s="28"/>
      <c r="QCF34" s="28"/>
      <c r="QCG34" s="28"/>
      <c r="QCH34" s="28"/>
      <c r="QCI34" s="28"/>
      <c r="QCJ34" s="28"/>
      <c r="QCK34" s="28"/>
      <c r="QCL34" s="28"/>
      <c r="QCM34" s="28"/>
      <c r="QCN34" s="28"/>
      <c r="QCO34" s="28"/>
      <c r="QCP34" s="28"/>
      <c r="QCQ34" s="28"/>
      <c r="QCR34" s="28"/>
      <c r="QCS34" s="28"/>
      <c r="QCT34" s="28"/>
      <c r="QCU34" s="28"/>
      <c r="QCV34" s="28"/>
      <c r="QCW34" s="28"/>
      <c r="QCX34" s="28"/>
      <c r="QCY34" s="28"/>
      <c r="QCZ34" s="28"/>
      <c r="QDA34" s="28"/>
      <c r="QDB34" s="28"/>
      <c r="QDC34" s="28"/>
      <c r="QDD34" s="28"/>
      <c r="QDE34" s="28"/>
      <c r="QDF34" s="28"/>
      <c r="QDG34" s="28"/>
      <c r="QDH34" s="28"/>
      <c r="QDI34" s="28"/>
      <c r="QDJ34" s="28"/>
      <c r="QDK34" s="28"/>
      <c r="QDL34" s="28"/>
      <c r="QDM34" s="28"/>
      <c r="QDN34" s="28"/>
      <c r="QDO34" s="28"/>
      <c r="QDP34" s="28"/>
      <c r="QDQ34" s="28"/>
      <c r="QDR34" s="28"/>
      <c r="QDS34" s="28"/>
      <c r="QDT34" s="28"/>
      <c r="QDU34" s="28"/>
      <c r="QDV34" s="28"/>
      <c r="QDW34" s="28"/>
      <c r="QDX34" s="28"/>
      <c r="QDY34" s="28"/>
      <c r="QDZ34" s="28"/>
      <c r="QEA34" s="28"/>
      <c r="QEB34" s="28"/>
      <c r="QEC34" s="28"/>
      <c r="QED34" s="28"/>
      <c r="QEE34" s="28"/>
      <c r="QEF34" s="28"/>
      <c r="QEG34" s="28"/>
      <c r="QEH34" s="28"/>
      <c r="QEI34" s="28"/>
      <c r="QEJ34" s="28"/>
      <c r="QEK34" s="28"/>
      <c r="QEL34" s="28"/>
      <c r="QEM34" s="28"/>
      <c r="QEN34" s="28"/>
      <c r="QEO34" s="28"/>
      <c r="QEP34" s="28"/>
      <c r="QEQ34" s="28"/>
      <c r="QER34" s="28"/>
      <c r="QES34" s="28"/>
      <c r="QET34" s="28"/>
      <c r="QEU34" s="28"/>
      <c r="QEV34" s="28"/>
      <c r="QEW34" s="28"/>
      <c r="QEX34" s="28"/>
      <c r="QEY34" s="28"/>
      <c r="QEZ34" s="28"/>
      <c r="QFA34" s="28"/>
      <c r="QFB34" s="28"/>
      <c r="QFC34" s="28"/>
      <c r="QFD34" s="28"/>
      <c r="QFE34" s="28"/>
      <c r="QFF34" s="28"/>
      <c r="QFG34" s="28"/>
      <c r="QFH34" s="28"/>
      <c r="QFI34" s="28"/>
      <c r="QFJ34" s="28"/>
      <c r="QFK34" s="28"/>
      <c r="QFL34" s="28"/>
      <c r="QFM34" s="28"/>
      <c r="QFN34" s="28"/>
      <c r="QFO34" s="28"/>
      <c r="QFP34" s="28"/>
      <c r="QFQ34" s="28"/>
      <c r="QFR34" s="28"/>
      <c r="QFS34" s="28"/>
      <c r="QFT34" s="28"/>
      <c r="QFU34" s="28"/>
      <c r="QFV34" s="28"/>
      <c r="QFW34" s="28"/>
      <c r="QFX34" s="28"/>
      <c r="QFY34" s="28"/>
      <c r="QFZ34" s="28"/>
      <c r="QGA34" s="28"/>
      <c r="QGB34" s="28"/>
      <c r="QGC34" s="28"/>
      <c r="QGD34" s="28"/>
      <c r="QGE34" s="28"/>
      <c r="QGF34" s="28"/>
      <c r="QGG34" s="28"/>
      <c r="QGH34" s="28"/>
      <c r="QGI34" s="28"/>
      <c r="QGJ34" s="28"/>
      <c r="QGK34" s="28"/>
      <c r="QGL34" s="28"/>
      <c r="QGM34" s="28"/>
      <c r="QGN34" s="28"/>
      <c r="QGO34" s="28"/>
      <c r="QGP34" s="28"/>
      <c r="QGQ34" s="28"/>
      <c r="QGR34" s="28"/>
      <c r="QGS34" s="28"/>
      <c r="QGT34" s="28"/>
      <c r="QGU34" s="28"/>
      <c r="QGV34" s="28"/>
      <c r="QGW34" s="28"/>
      <c r="QGX34" s="28"/>
      <c r="QGY34" s="28"/>
      <c r="QGZ34" s="28"/>
      <c r="QHA34" s="28"/>
      <c r="QHB34" s="28"/>
      <c r="QHC34" s="28"/>
      <c r="QHD34" s="28"/>
      <c r="QHE34" s="28"/>
      <c r="QHF34" s="28"/>
      <c r="QHG34" s="28"/>
      <c r="QHH34" s="28"/>
      <c r="QHI34" s="28"/>
      <c r="QHJ34" s="28"/>
      <c r="QHK34" s="28"/>
      <c r="QHL34" s="28"/>
      <c r="QHM34" s="28"/>
      <c r="QHN34" s="28"/>
      <c r="QHO34" s="28"/>
      <c r="QHP34" s="28"/>
      <c r="QHQ34" s="28"/>
      <c r="QHR34" s="28"/>
      <c r="QHS34" s="28"/>
      <c r="QHT34" s="28"/>
      <c r="QHU34" s="28"/>
      <c r="QHV34" s="28"/>
      <c r="QHW34" s="28"/>
      <c r="QHX34" s="28"/>
      <c r="QHY34" s="28"/>
      <c r="QHZ34" s="28"/>
      <c r="QIA34" s="28"/>
      <c r="QIB34" s="28"/>
      <c r="QIC34" s="28"/>
      <c r="QID34" s="28"/>
      <c r="QIE34" s="28"/>
      <c r="QIF34" s="28"/>
      <c r="QIG34" s="28"/>
      <c r="QIH34" s="28"/>
      <c r="QII34" s="28"/>
      <c r="QIJ34" s="28"/>
      <c r="QIK34" s="28"/>
      <c r="QIL34" s="28"/>
      <c r="QIM34" s="28"/>
      <c r="QIN34" s="28"/>
      <c r="QIO34" s="28"/>
      <c r="QIP34" s="28"/>
      <c r="QIQ34" s="28"/>
      <c r="QIR34" s="28"/>
      <c r="QIS34" s="28"/>
      <c r="QIT34" s="28"/>
      <c r="QIU34" s="28"/>
      <c r="QIV34" s="28"/>
      <c r="QIW34" s="28"/>
      <c r="QIX34" s="28"/>
      <c r="QIY34" s="28"/>
      <c r="QIZ34" s="28"/>
      <c r="QJA34" s="28"/>
      <c r="QJB34" s="28"/>
      <c r="QJC34" s="28"/>
      <c r="QJD34" s="28"/>
      <c r="QJE34" s="28"/>
      <c r="QJF34" s="28"/>
      <c r="QJG34" s="28"/>
      <c r="QJH34" s="28"/>
      <c r="QJI34" s="28"/>
      <c r="QJJ34" s="28"/>
      <c r="QJK34" s="28"/>
      <c r="QJL34" s="28"/>
      <c r="QJM34" s="28"/>
      <c r="QJN34" s="28"/>
      <c r="QJO34" s="28"/>
      <c r="QJP34" s="28"/>
      <c r="QJQ34" s="28"/>
      <c r="QJR34" s="28"/>
      <c r="QJS34" s="28"/>
      <c r="QJT34" s="28"/>
      <c r="QJU34" s="28"/>
      <c r="QJV34" s="28"/>
      <c r="QJW34" s="28"/>
      <c r="QJX34" s="28"/>
      <c r="QJY34" s="28"/>
      <c r="QJZ34" s="28"/>
      <c r="QKA34" s="28"/>
      <c r="QKB34" s="28"/>
      <c r="QKC34" s="28"/>
      <c r="QKD34" s="28"/>
      <c r="QKE34" s="28"/>
      <c r="QKF34" s="28"/>
      <c r="QKG34" s="28"/>
      <c r="QKH34" s="28"/>
      <c r="QKI34" s="28"/>
      <c r="QKJ34" s="28"/>
      <c r="QKK34" s="28"/>
      <c r="QKL34" s="28"/>
      <c r="QKM34" s="28"/>
      <c r="QKN34" s="28"/>
      <c r="QKO34" s="28"/>
      <c r="QKP34" s="28"/>
      <c r="QKQ34" s="28"/>
      <c r="QKR34" s="28"/>
      <c r="QKS34" s="28"/>
      <c r="QKT34" s="28"/>
      <c r="QKU34" s="28"/>
      <c r="QKV34" s="28"/>
      <c r="QKW34" s="28"/>
      <c r="QKX34" s="28"/>
      <c r="QKY34" s="28"/>
      <c r="QKZ34" s="28"/>
      <c r="QLA34" s="28"/>
      <c r="QLB34" s="28"/>
      <c r="QLC34" s="28"/>
      <c r="QLD34" s="28"/>
      <c r="QLE34" s="28"/>
      <c r="QLF34" s="28"/>
      <c r="QLG34" s="28"/>
      <c r="QLH34" s="28"/>
      <c r="QLI34" s="28"/>
      <c r="QLJ34" s="28"/>
      <c r="QLK34" s="28"/>
      <c r="QLL34" s="28"/>
      <c r="QLM34" s="28"/>
      <c r="QLN34" s="28"/>
      <c r="QLO34" s="28"/>
      <c r="QLP34" s="28"/>
      <c r="QLQ34" s="28"/>
      <c r="QLR34" s="28"/>
      <c r="QLS34" s="28"/>
      <c r="QLT34" s="28"/>
      <c r="QLU34" s="28"/>
      <c r="QLV34" s="28"/>
      <c r="QLW34" s="28"/>
      <c r="QLX34" s="28"/>
      <c r="QLY34" s="28"/>
      <c r="QLZ34" s="28"/>
      <c r="QMA34" s="28"/>
      <c r="QMB34" s="28"/>
      <c r="QMC34" s="28"/>
      <c r="QMD34" s="28"/>
      <c r="QME34" s="28"/>
      <c r="QMF34" s="28"/>
      <c r="QMG34" s="28"/>
      <c r="QMH34" s="28"/>
      <c r="QMI34" s="28"/>
      <c r="QMJ34" s="28"/>
      <c r="QMK34" s="28"/>
      <c r="QML34" s="28"/>
      <c r="QMM34" s="28"/>
      <c r="QMN34" s="28"/>
      <c r="QMO34" s="28"/>
      <c r="QMP34" s="28"/>
      <c r="QMQ34" s="28"/>
      <c r="QMR34" s="28"/>
      <c r="QMS34" s="28"/>
      <c r="QMT34" s="28"/>
      <c r="QMU34" s="28"/>
      <c r="QMV34" s="28"/>
      <c r="QMW34" s="28"/>
      <c r="QMX34" s="28"/>
      <c r="QMY34" s="28"/>
      <c r="QMZ34" s="28"/>
      <c r="QNA34" s="28"/>
      <c r="QNB34" s="28"/>
      <c r="QNC34" s="28"/>
      <c r="QND34" s="28"/>
      <c r="QNE34" s="28"/>
      <c r="QNF34" s="28"/>
      <c r="QNG34" s="28"/>
      <c r="QNH34" s="28"/>
      <c r="QNI34" s="28"/>
      <c r="QNJ34" s="28"/>
      <c r="QNK34" s="28"/>
      <c r="QNL34" s="28"/>
      <c r="QNM34" s="28"/>
      <c r="QNN34" s="28"/>
      <c r="QNO34" s="28"/>
      <c r="QNP34" s="28"/>
      <c r="QNQ34" s="28"/>
      <c r="QNR34" s="28"/>
      <c r="QNS34" s="28"/>
      <c r="QNT34" s="28"/>
      <c r="QNU34" s="28"/>
      <c r="QNV34" s="28"/>
      <c r="QNW34" s="28"/>
      <c r="QNX34" s="28"/>
      <c r="QNY34" s="28"/>
      <c r="QNZ34" s="28"/>
      <c r="QOA34" s="28"/>
      <c r="QOB34" s="28"/>
      <c r="QOC34" s="28"/>
      <c r="QOD34" s="28"/>
      <c r="QOE34" s="28"/>
      <c r="QOF34" s="28"/>
      <c r="QOG34" s="28"/>
      <c r="QOH34" s="28"/>
      <c r="QOI34" s="28"/>
      <c r="QOJ34" s="28"/>
      <c r="QOK34" s="28"/>
      <c r="QOL34" s="28"/>
      <c r="QOM34" s="28"/>
      <c r="QON34" s="28"/>
      <c r="QOO34" s="28"/>
      <c r="QOP34" s="28"/>
      <c r="QOQ34" s="28"/>
      <c r="QOR34" s="28"/>
      <c r="QOS34" s="28"/>
      <c r="QOT34" s="28"/>
      <c r="QOU34" s="28"/>
      <c r="QOV34" s="28"/>
      <c r="QOW34" s="28"/>
      <c r="QOX34" s="28"/>
      <c r="QOY34" s="28"/>
      <c r="QOZ34" s="28"/>
      <c r="QPA34" s="28"/>
      <c r="QPB34" s="28"/>
      <c r="QPC34" s="28"/>
      <c r="QPD34" s="28"/>
      <c r="QPE34" s="28"/>
      <c r="QPF34" s="28"/>
      <c r="QPG34" s="28"/>
      <c r="QPH34" s="28"/>
      <c r="QPI34" s="28"/>
      <c r="QPJ34" s="28"/>
      <c r="QPK34" s="28"/>
      <c r="QPL34" s="28"/>
      <c r="QPM34" s="28"/>
      <c r="QPN34" s="28"/>
      <c r="QPO34" s="28"/>
      <c r="QPP34" s="28"/>
      <c r="QPQ34" s="28"/>
      <c r="QPR34" s="28"/>
      <c r="QPS34" s="28"/>
      <c r="QPT34" s="28"/>
      <c r="QPU34" s="28"/>
      <c r="QPV34" s="28"/>
      <c r="QPW34" s="28"/>
      <c r="QPX34" s="28"/>
      <c r="QPY34" s="28"/>
      <c r="QPZ34" s="28"/>
      <c r="QQA34" s="28"/>
      <c r="QQB34" s="28"/>
      <c r="QQC34" s="28"/>
      <c r="QQD34" s="28"/>
      <c r="QQE34" s="28"/>
      <c r="QQF34" s="28"/>
      <c r="QQG34" s="28"/>
      <c r="QQH34" s="28"/>
      <c r="QQI34" s="28"/>
      <c r="QQJ34" s="28"/>
      <c r="QQK34" s="28"/>
      <c r="QQL34" s="28"/>
      <c r="QQM34" s="28"/>
      <c r="QQN34" s="28"/>
      <c r="QQO34" s="28"/>
      <c r="QQP34" s="28"/>
      <c r="QQQ34" s="28"/>
      <c r="QQR34" s="28"/>
      <c r="QQS34" s="28"/>
      <c r="QQT34" s="28"/>
      <c r="QQU34" s="28"/>
      <c r="QQV34" s="28"/>
      <c r="QQW34" s="28"/>
      <c r="QQX34" s="28"/>
      <c r="QQY34" s="28"/>
      <c r="QQZ34" s="28"/>
      <c r="QRA34" s="28"/>
      <c r="QRB34" s="28"/>
      <c r="QRC34" s="28"/>
      <c r="QRD34" s="28"/>
      <c r="QRE34" s="28"/>
      <c r="QRF34" s="28"/>
      <c r="QRG34" s="28"/>
      <c r="QRH34" s="28"/>
      <c r="QRI34" s="28"/>
      <c r="QRJ34" s="28"/>
      <c r="QRK34" s="28"/>
      <c r="QRL34" s="28"/>
      <c r="QRM34" s="28"/>
      <c r="QRN34" s="28"/>
      <c r="QRO34" s="28"/>
      <c r="QRP34" s="28"/>
      <c r="QRQ34" s="28"/>
      <c r="QRR34" s="28"/>
      <c r="QRS34" s="28"/>
      <c r="QRT34" s="28"/>
      <c r="QRU34" s="28"/>
      <c r="QRV34" s="28"/>
      <c r="QRW34" s="28"/>
      <c r="QRX34" s="28"/>
      <c r="QRY34" s="28"/>
      <c r="QRZ34" s="28"/>
      <c r="QSA34" s="28"/>
      <c r="QSB34" s="28"/>
      <c r="QSC34" s="28"/>
      <c r="QSD34" s="28"/>
      <c r="QSE34" s="28"/>
      <c r="QSF34" s="28"/>
      <c r="QSG34" s="28"/>
      <c r="QSH34" s="28"/>
      <c r="QSI34" s="28"/>
      <c r="QSJ34" s="28"/>
      <c r="QSK34" s="28"/>
      <c r="QSL34" s="28"/>
      <c r="QSM34" s="28"/>
      <c r="QSN34" s="28"/>
      <c r="QSO34" s="28"/>
      <c r="QSP34" s="28"/>
      <c r="QSQ34" s="28"/>
      <c r="QSR34" s="28"/>
      <c r="QSS34" s="28"/>
      <c r="QST34" s="28"/>
      <c r="QSU34" s="28"/>
      <c r="QSV34" s="28"/>
      <c r="QSW34" s="28"/>
      <c r="QSX34" s="28"/>
      <c r="QSY34" s="28"/>
      <c r="QSZ34" s="28"/>
      <c r="QTA34" s="28"/>
      <c r="QTB34" s="28"/>
      <c r="QTC34" s="28"/>
      <c r="QTD34" s="28"/>
      <c r="QTE34" s="28"/>
      <c r="QTF34" s="28"/>
      <c r="QTG34" s="28"/>
      <c r="QTH34" s="28"/>
      <c r="QTI34" s="28"/>
      <c r="QTJ34" s="28"/>
      <c r="QTK34" s="28"/>
      <c r="QTL34" s="28"/>
      <c r="QTM34" s="28"/>
      <c r="QTN34" s="28"/>
      <c r="QTO34" s="28"/>
      <c r="QTP34" s="28"/>
      <c r="QTQ34" s="28"/>
      <c r="QTR34" s="28"/>
      <c r="QTS34" s="28"/>
      <c r="QTT34" s="28"/>
      <c r="QTU34" s="28"/>
      <c r="QTV34" s="28"/>
      <c r="QTW34" s="28"/>
      <c r="QTX34" s="28"/>
      <c r="QTY34" s="28"/>
      <c r="QTZ34" s="28"/>
      <c r="QUA34" s="28"/>
      <c r="QUB34" s="28"/>
      <c r="QUC34" s="28"/>
      <c r="QUD34" s="28"/>
      <c r="QUE34" s="28"/>
      <c r="QUF34" s="28"/>
      <c r="QUG34" s="28"/>
      <c r="QUH34" s="28"/>
      <c r="QUI34" s="28"/>
      <c r="QUJ34" s="28"/>
      <c r="QUK34" s="28"/>
      <c r="QUL34" s="28"/>
      <c r="QUM34" s="28"/>
      <c r="QUN34" s="28"/>
      <c r="QUO34" s="28"/>
      <c r="QUP34" s="28"/>
      <c r="QUQ34" s="28"/>
      <c r="QUR34" s="28"/>
      <c r="QUS34" s="28"/>
      <c r="QUT34" s="28"/>
      <c r="QUU34" s="28"/>
      <c r="QUV34" s="28"/>
      <c r="QUW34" s="28"/>
      <c r="QUX34" s="28"/>
      <c r="QUY34" s="28"/>
      <c r="QUZ34" s="28"/>
      <c r="QVA34" s="28"/>
      <c r="QVB34" s="28"/>
      <c r="QVC34" s="28"/>
      <c r="QVD34" s="28"/>
      <c r="QVE34" s="28"/>
      <c r="QVF34" s="28"/>
      <c r="QVG34" s="28"/>
      <c r="QVH34" s="28"/>
      <c r="QVI34" s="28"/>
      <c r="QVJ34" s="28"/>
      <c r="QVK34" s="28"/>
      <c r="QVL34" s="28"/>
      <c r="QVM34" s="28"/>
      <c r="QVN34" s="28"/>
      <c r="QVO34" s="28"/>
      <c r="QVP34" s="28"/>
      <c r="QVQ34" s="28"/>
      <c r="QVR34" s="28"/>
      <c r="QVS34" s="28"/>
      <c r="QVT34" s="28"/>
      <c r="QVU34" s="28"/>
      <c r="QVV34" s="28"/>
      <c r="QVW34" s="28"/>
      <c r="QVX34" s="28"/>
      <c r="QVY34" s="28"/>
      <c r="QVZ34" s="28"/>
      <c r="QWA34" s="28"/>
      <c r="QWB34" s="28"/>
      <c r="QWC34" s="28"/>
      <c r="QWD34" s="28"/>
      <c r="QWE34" s="28"/>
      <c r="QWF34" s="28"/>
      <c r="QWG34" s="28"/>
      <c r="QWH34" s="28"/>
      <c r="QWI34" s="28"/>
      <c r="QWJ34" s="28"/>
      <c r="QWK34" s="28"/>
      <c r="QWL34" s="28"/>
      <c r="QWM34" s="28"/>
      <c r="QWN34" s="28"/>
      <c r="QWO34" s="28"/>
      <c r="QWP34" s="28"/>
      <c r="QWQ34" s="28"/>
      <c r="QWR34" s="28"/>
      <c r="QWS34" s="28"/>
      <c r="QWT34" s="28"/>
      <c r="QWU34" s="28"/>
      <c r="QWV34" s="28"/>
      <c r="QWW34" s="28"/>
      <c r="QWX34" s="28"/>
      <c r="QWY34" s="28"/>
      <c r="QWZ34" s="28"/>
      <c r="QXA34" s="28"/>
      <c r="QXB34" s="28"/>
      <c r="QXC34" s="28"/>
      <c r="QXD34" s="28"/>
      <c r="QXE34" s="28"/>
      <c r="QXF34" s="28"/>
      <c r="QXG34" s="28"/>
      <c r="QXH34" s="28"/>
      <c r="QXI34" s="28"/>
      <c r="QXJ34" s="28"/>
      <c r="QXK34" s="28"/>
      <c r="QXL34" s="28"/>
      <c r="QXM34" s="28"/>
      <c r="QXN34" s="28"/>
      <c r="QXO34" s="28"/>
      <c r="QXP34" s="28"/>
      <c r="QXQ34" s="28"/>
      <c r="QXR34" s="28"/>
      <c r="QXS34" s="28"/>
      <c r="QXT34" s="28"/>
      <c r="QXU34" s="28"/>
      <c r="QXV34" s="28"/>
      <c r="QXW34" s="28"/>
      <c r="QXX34" s="28"/>
      <c r="QXY34" s="28"/>
      <c r="QXZ34" s="28"/>
      <c r="QYA34" s="28"/>
      <c r="QYB34" s="28"/>
      <c r="QYC34" s="28"/>
      <c r="QYD34" s="28"/>
      <c r="QYE34" s="28"/>
      <c r="QYF34" s="28"/>
      <c r="QYG34" s="28"/>
      <c r="QYH34" s="28"/>
      <c r="QYI34" s="28"/>
      <c r="QYJ34" s="28"/>
      <c r="QYK34" s="28"/>
      <c r="QYL34" s="28"/>
      <c r="QYM34" s="28"/>
      <c r="QYN34" s="28"/>
      <c r="QYO34" s="28"/>
      <c r="QYP34" s="28"/>
      <c r="QYQ34" s="28"/>
      <c r="QYR34" s="28"/>
      <c r="QYS34" s="28"/>
      <c r="QYT34" s="28"/>
      <c r="QYU34" s="28"/>
      <c r="QYV34" s="28"/>
      <c r="QYW34" s="28"/>
      <c r="QYX34" s="28"/>
      <c r="QYY34" s="28"/>
      <c r="QYZ34" s="28"/>
      <c r="QZA34" s="28"/>
      <c r="QZB34" s="28"/>
      <c r="QZC34" s="28"/>
      <c r="QZD34" s="28"/>
      <c r="QZE34" s="28"/>
      <c r="QZF34" s="28"/>
      <c r="QZG34" s="28"/>
      <c r="QZH34" s="28"/>
      <c r="QZI34" s="28"/>
      <c r="QZJ34" s="28"/>
      <c r="QZK34" s="28"/>
      <c r="QZL34" s="28"/>
      <c r="QZM34" s="28"/>
      <c r="QZN34" s="28"/>
      <c r="QZO34" s="28"/>
      <c r="QZP34" s="28"/>
      <c r="QZQ34" s="28"/>
      <c r="QZR34" s="28"/>
      <c r="QZS34" s="28"/>
      <c r="QZT34" s="28"/>
      <c r="QZU34" s="28"/>
      <c r="QZV34" s="28"/>
      <c r="QZW34" s="28"/>
      <c r="QZX34" s="28"/>
      <c r="QZY34" s="28"/>
      <c r="QZZ34" s="28"/>
      <c r="RAA34" s="28"/>
      <c r="RAB34" s="28"/>
      <c r="RAC34" s="28"/>
      <c r="RAD34" s="28"/>
      <c r="RAE34" s="28"/>
      <c r="RAF34" s="28"/>
      <c r="RAG34" s="28"/>
      <c r="RAH34" s="28"/>
      <c r="RAI34" s="28"/>
      <c r="RAJ34" s="28"/>
      <c r="RAK34" s="28"/>
      <c r="RAL34" s="28"/>
      <c r="RAM34" s="28"/>
      <c r="RAN34" s="28"/>
      <c r="RAO34" s="28"/>
      <c r="RAP34" s="28"/>
      <c r="RAQ34" s="28"/>
      <c r="RAR34" s="28"/>
      <c r="RAS34" s="28"/>
      <c r="RAT34" s="28"/>
      <c r="RAU34" s="28"/>
      <c r="RAV34" s="28"/>
      <c r="RAW34" s="28"/>
      <c r="RAX34" s="28"/>
      <c r="RAY34" s="28"/>
      <c r="RAZ34" s="28"/>
      <c r="RBA34" s="28"/>
      <c r="RBB34" s="28"/>
      <c r="RBC34" s="28"/>
      <c r="RBD34" s="28"/>
      <c r="RBE34" s="28"/>
      <c r="RBF34" s="28"/>
      <c r="RBG34" s="28"/>
      <c r="RBH34" s="28"/>
      <c r="RBI34" s="28"/>
      <c r="RBJ34" s="28"/>
      <c r="RBK34" s="28"/>
      <c r="RBL34" s="28"/>
      <c r="RBM34" s="28"/>
      <c r="RBN34" s="28"/>
      <c r="RBO34" s="28"/>
      <c r="RBP34" s="28"/>
      <c r="RBQ34" s="28"/>
      <c r="RBR34" s="28"/>
      <c r="RBS34" s="28"/>
      <c r="RBT34" s="28"/>
      <c r="RBU34" s="28"/>
      <c r="RBV34" s="28"/>
      <c r="RBW34" s="28"/>
      <c r="RBX34" s="28"/>
      <c r="RBY34" s="28"/>
      <c r="RBZ34" s="28"/>
      <c r="RCA34" s="28"/>
      <c r="RCB34" s="28"/>
      <c r="RCC34" s="28"/>
      <c r="RCD34" s="28"/>
      <c r="RCE34" s="28"/>
      <c r="RCF34" s="28"/>
      <c r="RCG34" s="28"/>
      <c r="RCH34" s="28"/>
      <c r="RCI34" s="28"/>
      <c r="RCJ34" s="28"/>
      <c r="RCK34" s="28"/>
      <c r="RCL34" s="28"/>
      <c r="RCM34" s="28"/>
      <c r="RCN34" s="28"/>
      <c r="RCO34" s="28"/>
      <c r="RCP34" s="28"/>
      <c r="RCQ34" s="28"/>
      <c r="RCR34" s="28"/>
      <c r="RCS34" s="28"/>
      <c r="RCT34" s="28"/>
      <c r="RCU34" s="28"/>
      <c r="RCV34" s="28"/>
      <c r="RCW34" s="28"/>
      <c r="RCX34" s="28"/>
      <c r="RCY34" s="28"/>
      <c r="RCZ34" s="28"/>
      <c r="RDA34" s="28"/>
      <c r="RDB34" s="28"/>
      <c r="RDC34" s="28"/>
      <c r="RDD34" s="28"/>
      <c r="RDE34" s="28"/>
      <c r="RDF34" s="28"/>
      <c r="RDG34" s="28"/>
      <c r="RDH34" s="28"/>
      <c r="RDI34" s="28"/>
      <c r="RDJ34" s="28"/>
      <c r="RDK34" s="28"/>
      <c r="RDL34" s="28"/>
      <c r="RDM34" s="28"/>
      <c r="RDN34" s="28"/>
      <c r="RDO34" s="28"/>
      <c r="RDP34" s="28"/>
      <c r="RDQ34" s="28"/>
      <c r="RDR34" s="28"/>
      <c r="RDS34" s="28"/>
      <c r="RDT34" s="28"/>
      <c r="RDU34" s="28"/>
      <c r="RDV34" s="28"/>
      <c r="RDW34" s="28"/>
      <c r="RDX34" s="28"/>
      <c r="RDY34" s="28"/>
      <c r="RDZ34" s="28"/>
      <c r="REA34" s="28"/>
      <c r="REB34" s="28"/>
      <c r="REC34" s="28"/>
      <c r="RED34" s="28"/>
      <c r="REE34" s="28"/>
      <c r="REF34" s="28"/>
      <c r="REG34" s="28"/>
      <c r="REH34" s="28"/>
      <c r="REI34" s="28"/>
      <c r="REJ34" s="28"/>
      <c r="REK34" s="28"/>
      <c r="REL34" s="28"/>
      <c r="REM34" s="28"/>
      <c r="REN34" s="28"/>
      <c r="REO34" s="28"/>
      <c r="REP34" s="28"/>
      <c r="REQ34" s="28"/>
      <c r="RER34" s="28"/>
      <c r="RES34" s="28"/>
      <c r="RET34" s="28"/>
      <c r="REU34" s="28"/>
      <c r="REV34" s="28"/>
      <c r="REW34" s="28"/>
      <c r="REX34" s="28"/>
      <c r="REY34" s="28"/>
      <c r="REZ34" s="28"/>
      <c r="RFA34" s="28"/>
      <c r="RFB34" s="28"/>
      <c r="RFC34" s="28"/>
      <c r="RFD34" s="28"/>
      <c r="RFE34" s="28"/>
      <c r="RFF34" s="28"/>
      <c r="RFG34" s="28"/>
      <c r="RFH34" s="28"/>
      <c r="RFI34" s="28"/>
      <c r="RFJ34" s="28"/>
      <c r="RFK34" s="28"/>
      <c r="RFL34" s="28"/>
      <c r="RFM34" s="28"/>
      <c r="RFN34" s="28"/>
      <c r="RFO34" s="28"/>
      <c r="RFP34" s="28"/>
      <c r="RFQ34" s="28"/>
      <c r="RFR34" s="28"/>
      <c r="RFS34" s="28"/>
      <c r="RFT34" s="28"/>
      <c r="RFU34" s="28"/>
      <c r="RFV34" s="28"/>
      <c r="RFW34" s="28"/>
      <c r="RFX34" s="28"/>
      <c r="RFY34" s="28"/>
      <c r="RFZ34" s="28"/>
      <c r="RGA34" s="28"/>
      <c r="RGB34" s="28"/>
      <c r="RGC34" s="28"/>
      <c r="RGD34" s="28"/>
      <c r="RGE34" s="28"/>
      <c r="RGF34" s="28"/>
      <c r="RGG34" s="28"/>
      <c r="RGH34" s="28"/>
      <c r="RGI34" s="28"/>
      <c r="RGJ34" s="28"/>
      <c r="RGK34" s="28"/>
      <c r="RGL34" s="28"/>
      <c r="RGM34" s="28"/>
      <c r="RGN34" s="28"/>
      <c r="RGO34" s="28"/>
      <c r="RGP34" s="28"/>
      <c r="RGQ34" s="28"/>
      <c r="RGR34" s="28"/>
      <c r="RGS34" s="28"/>
      <c r="RGT34" s="28"/>
      <c r="RGU34" s="28"/>
      <c r="RGV34" s="28"/>
      <c r="RGW34" s="28"/>
      <c r="RGX34" s="28"/>
      <c r="RGY34" s="28"/>
      <c r="RGZ34" s="28"/>
      <c r="RHA34" s="28"/>
      <c r="RHB34" s="28"/>
      <c r="RHC34" s="28"/>
      <c r="RHD34" s="28"/>
      <c r="RHE34" s="28"/>
      <c r="RHF34" s="28"/>
      <c r="RHG34" s="28"/>
      <c r="RHH34" s="28"/>
      <c r="RHI34" s="28"/>
      <c r="RHJ34" s="28"/>
      <c r="RHK34" s="28"/>
      <c r="RHL34" s="28"/>
      <c r="RHM34" s="28"/>
      <c r="RHN34" s="28"/>
      <c r="RHO34" s="28"/>
      <c r="RHP34" s="28"/>
      <c r="RHQ34" s="28"/>
      <c r="RHR34" s="28"/>
      <c r="RHS34" s="28"/>
      <c r="RHT34" s="28"/>
      <c r="RHU34" s="28"/>
      <c r="RHV34" s="28"/>
      <c r="RHW34" s="28"/>
      <c r="RHX34" s="28"/>
      <c r="RHY34" s="28"/>
      <c r="RHZ34" s="28"/>
      <c r="RIA34" s="28"/>
      <c r="RIB34" s="28"/>
      <c r="RIC34" s="28"/>
      <c r="RID34" s="28"/>
      <c r="RIE34" s="28"/>
      <c r="RIF34" s="28"/>
      <c r="RIG34" s="28"/>
      <c r="RIH34" s="28"/>
      <c r="RII34" s="28"/>
      <c r="RIJ34" s="28"/>
      <c r="RIK34" s="28"/>
      <c r="RIL34" s="28"/>
      <c r="RIM34" s="28"/>
      <c r="RIN34" s="28"/>
      <c r="RIO34" s="28"/>
      <c r="RIP34" s="28"/>
      <c r="RIQ34" s="28"/>
      <c r="RIR34" s="28"/>
      <c r="RIS34" s="28"/>
      <c r="RIT34" s="28"/>
      <c r="RIU34" s="28"/>
      <c r="RIV34" s="28"/>
      <c r="RIW34" s="28"/>
      <c r="RIX34" s="28"/>
      <c r="RIY34" s="28"/>
      <c r="RIZ34" s="28"/>
      <c r="RJA34" s="28"/>
      <c r="RJB34" s="28"/>
      <c r="RJC34" s="28"/>
      <c r="RJD34" s="28"/>
      <c r="RJE34" s="28"/>
      <c r="RJF34" s="28"/>
      <c r="RJG34" s="28"/>
      <c r="RJH34" s="28"/>
      <c r="RJI34" s="28"/>
      <c r="RJJ34" s="28"/>
      <c r="RJK34" s="28"/>
      <c r="RJL34" s="28"/>
      <c r="RJM34" s="28"/>
      <c r="RJN34" s="28"/>
      <c r="RJO34" s="28"/>
      <c r="RJP34" s="28"/>
      <c r="RJQ34" s="28"/>
      <c r="RJR34" s="28"/>
      <c r="RJS34" s="28"/>
      <c r="RJT34" s="28"/>
      <c r="RJU34" s="28"/>
      <c r="RJV34" s="28"/>
      <c r="RJW34" s="28"/>
      <c r="RJX34" s="28"/>
      <c r="RJY34" s="28"/>
      <c r="RJZ34" s="28"/>
      <c r="RKA34" s="28"/>
      <c r="RKB34" s="28"/>
      <c r="RKC34" s="28"/>
      <c r="RKD34" s="28"/>
      <c r="RKE34" s="28"/>
      <c r="RKF34" s="28"/>
      <c r="RKG34" s="28"/>
      <c r="RKH34" s="28"/>
      <c r="RKI34" s="28"/>
      <c r="RKJ34" s="28"/>
      <c r="RKK34" s="28"/>
      <c r="RKL34" s="28"/>
      <c r="RKM34" s="28"/>
      <c r="RKN34" s="28"/>
      <c r="RKO34" s="28"/>
      <c r="RKP34" s="28"/>
      <c r="RKQ34" s="28"/>
      <c r="RKR34" s="28"/>
      <c r="RKS34" s="28"/>
      <c r="RKT34" s="28"/>
      <c r="RKU34" s="28"/>
      <c r="RKV34" s="28"/>
      <c r="RKW34" s="28"/>
      <c r="RKX34" s="28"/>
      <c r="RKY34" s="28"/>
      <c r="RKZ34" s="28"/>
      <c r="RLA34" s="28"/>
      <c r="RLB34" s="28"/>
      <c r="RLC34" s="28"/>
      <c r="RLD34" s="28"/>
      <c r="RLE34" s="28"/>
      <c r="RLF34" s="28"/>
      <c r="RLG34" s="28"/>
      <c r="RLH34" s="28"/>
      <c r="RLI34" s="28"/>
      <c r="RLJ34" s="28"/>
      <c r="RLK34" s="28"/>
      <c r="RLL34" s="28"/>
      <c r="RLM34" s="28"/>
      <c r="RLN34" s="28"/>
      <c r="RLO34" s="28"/>
      <c r="RLP34" s="28"/>
      <c r="RLQ34" s="28"/>
      <c r="RLR34" s="28"/>
      <c r="RLS34" s="28"/>
      <c r="RLT34" s="28"/>
      <c r="RLU34" s="28"/>
      <c r="RLV34" s="28"/>
      <c r="RLW34" s="28"/>
      <c r="RLX34" s="28"/>
      <c r="RLY34" s="28"/>
      <c r="RLZ34" s="28"/>
      <c r="RMA34" s="28"/>
      <c r="RMB34" s="28"/>
      <c r="RMC34" s="28"/>
      <c r="RMD34" s="28"/>
      <c r="RME34" s="28"/>
      <c r="RMF34" s="28"/>
      <c r="RMG34" s="28"/>
      <c r="RMH34" s="28"/>
      <c r="RMI34" s="28"/>
      <c r="RMJ34" s="28"/>
      <c r="RMK34" s="28"/>
      <c r="RML34" s="28"/>
      <c r="RMM34" s="28"/>
      <c r="RMN34" s="28"/>
      <c r="RMO34" s="28"/>
      <c r="RMP34" s="28"/>
      <c r="RMQ34" s="28"/>
      <c r="RMR34" s="28"/>
      <c r="RMS34" s="28"/>
      <c r="RMT34" s="28"/>
      <c r="RMU34" s="28"/>
      <c r="RMV34" s="28"/>
      <c r="RMW34" s="28"/>
      <c r="RMX34" s="28"/>
      <c r="RMY34" s="28"/>
      <c r="RMZ34" s="28"/>
      <c r="RNA34" s="28"/>
      <c r="RNB34" s="28"/>
      <c r="RNC34" s="28"/>
      <c r="RND34" s="28"/>
      <c r="RNE34" s="28"/>
      <c r="RNF34" s="28"/>
      <c r="RNG34" s="28"/>
      <c r="RNH34" s="28"/>
      <c r="RNI34" s="28"/>
      <c r="RNJ34" s="28"/>
      <c r="RNK34" s="28"/>
      <c r="RNL34" s="28"/>
      <c r="RNM34" s="28"/>
      <c r="RNN34" s="28"/>
      <c r="RNO34" s="28"/>
      <c r="RNP34" s="28"/>
      <c r="RNQ34" s="28"/>
      <c r="RNR34" s="28"/>
      <c r="RNS34" s="28"/>
      <c r="RNT34" s="28"/>
      <c r="RNU34" s="28"/>
      <c r="RNV34" s="28"/>
      <c r="RNW34" s="28"/>
      <c r="RNX34" s="28"/>
      <c r="RNY34" s="28"/>
      <c r="RNZ34" s="28"/>
      <c r="ROA34" s="28"/>
      <c r="ROB34" s="28"/>
      <c r="ROC34" s="28"/>
      <c r="ROD34" s="28"/>
      <c r="ROE34" s="28"/>
      <c r="ROF34" s="28"/>
      <c r="ROG34" s="28"/>
      <c r="ROH34" s="28"/>
      <c r="ROI34" s="28"/>
      <c r="ROJ34" s="28"/>
      <c r="ROK34" s="28"/>
      <c r="ROL34" s="28"/>
      <c r="ROM34" s="28"/>
      <c r="RON34" s="28"/>
      <c r="ROO34" s="28"/>
      <c r="ROP34" s="28"/>
      <c r="ROQ34" s="28"/>
      <c r="ROR34" s="28"/>
      <c r="ROS34" s="28"/>
      <c r="ROT34" s="28"/>
      <c r="ROU34" s="28"/>
      <c r="ROV34" s="28"/>
      <c r="ROW34" s="28"/>
      <c r="ROX34" s="28"/>
      <c r="ROY34" s="28"/>
      <c r="ROZ34" s="28"/>
      <c r="RPA34" s="28"/>
      <c r="RPB34" s="28"/>
      <c r="RPC34" s="28"/>
      <c r="RPD34" s="28"/>
      <c r="RPE34" s="28"/>
      <c r="RPF34" s="28"/>
      <c r="RPG34" s="28"/>
      <c r="RPH34" s="28"/>
      <c r="RPI34" s="28"/>
      <c r="RPJ34" s="28"/>
      <c r="RPK34" s="28"/>
      <c r="RPL34" s="28"/>
      <c r="RPM34" s="28"/>
      <c r="RPN34" s="28"/>
      <c r="RPO34" s="28"/>
      <c r="RPP34" s="28"/>
      <c r="RPQ34" s="28"/>
      <c r="RPR34" s="28"/>
      <c r="RPS34" s="28"/>
      <c r="RPT34" s="28"/>
      <c r="RPU34" s="28"/>
      <c r="RPV34" s="28"/>
      <c r="RPW34" s="28"/>
      <c r="RPX34" s="28"/>
      <c r="RPY34" s="28"/>
      <c r="RPZ34" s="28"/>
      <c r="RQA34" s="28"/>
      <c r="RQB34" s="28"/>
      <c r="RQC34" s="28"/>
      <c r="RQD34" s="28"/>
      <c r="RQE34" s="28"/>
      <c r="RQF34" s="28"/>
      <c r="RQG34" s="28"/>
      <c r="RQH34" s="28"/>
      <c r="RQI34" s="28"/>
      <c r="RQJ34" s="28"/>
      <c r="RQK34" s="28"/>
      <c r="RQL34" s="28"/>
      <c r="RQM34" s="28"/>
      <c r="RQN34" s="28"/>
      <c r="RQO34" s="28"/>
      <c r="RQP34" s="28"/>
      <c r="RQQ34" s="28"/>
      <c r="RQR34" s="28"/>
      <c r="RQS34" s="28"/>
      <c r="RQT34" s="28"/>
      <c r="RQU34" s="28"/>
      <c r="RQV34" s="28"/>
      <c r="RQW34" s="28"/>
      <c r="RQX34" s="28"/>
      <c r="RQY34" s="28"/>
      <c r="RQZ34" s="28"/>
      <c r="RRA34" s="28"/>
      <c r="RRB34" s="28"/>
      <c r="RRC34" s="28"/>
      <c r="RRD34" s="28"/>
      <c r="RRE34" s="28"/>
      <c r="RRF34" s="28"/>
      <c r="RRG34" s="28"/>
      <c r="RRH34" s="28"/>
      <c r="RRI34" s="28"/>
      <c r="RRJ34" s="28"/>
      <c r="RRK34" s="28"/>
      <c r="RRL34" s="28"/>
      <c r="RRM34" s="28"/>
      <c r="RRN34" s="28"/>
      <c r="RRO34" s="28"/>
      <c r="RRP34" s="28"/>
      <c r="RRQ34" s="28"/>
      <c r="RRR34" s="28"/>
      <c r="RRS34" s="28"/>
      <c r="RRT34" s="28"/>
      <c r="RRU34" s="28"/>
      <c r="RRV34" s="28"/>
      <c r="RRW34" s="28"/>
      <c r="RRX34" s="28"/>
      <c r="RRY34" s="28"/>
      <c r="RRZ34" s="28"/>
      <c r="RSA34" s="28"/>
      <c r="RSB34" s="28"/>
      <c r="RSC34" s="28"/>
      <c r="RSD34" s="28"/>
      <c r="RSE34" s="28"/>
      <c r="RSF34" s="28"/>
      <c r="RSG34" s="28"/>
      <c r="RSH34" s="28"/>
      <c r="RSI34" s="28"/>
      <c r="RSJ34" s="28"/>
      <c r="RSK34" s="28"/>
      <c r="RSL34" s="28"/>
      <c r="RSM34" s="28"/>
      <c r="RSN34" s="28"/>
      <c r="RSO34" s="28"/>
      <c r="RSP34" s="28"/>
      <c r="RSQ34" s="28"/>
      <c r="RSR34" s="28"/>
      <c r="RSS34" s="28"/>
      <c r="RST34" s="28"/>
      <c r="RSU34" s="28"/>
      <c r="RSV34" s="28"/>
      <c r="RSW34" s="28"/>
      <c r="RSX34" s="28"/>
      <c r="RSY34" s="28"/>
      <c r="RSZ34" s="28"/>
      <c r="RTA34" s="28"/>
      <c r="RTB34" s="28"/>
      <c r="RTC34" s="28"/>
      <c r="RTD34" s="28"/>
      <c r="RTE34" s="28"/>
      <c r="RTF34" s="28"/>
      <c r="RTG34" s="28"/>
      <c r="RTH34" s="28"/>
      <c r="RTI34" s="28"/>
      <c r="RTJ34" s="28"/>
      <c r="RTK34" s="28"/>
      <c r="RTL34" s="28"/>
      <c r="RTM34" s="28"/>
      <c r="RTN34" s="28"/>
      <c r="RTO34" s="28"/>
      <c r="RTP34" s="28"/>
      <c r="RTQ34" s="28"/>
      <c r="RTR34" s="28"/>
      <c r="RTS34" s="28"/>
      <c r="RTT34" s="28"/>
      <c r="RTU34" s="28"/>
      <c r="RTV34" s="28"/>
      <c r="RTW34" s="28"/>
      <c r="RTX34" s="28"/>
      <c r="RTY34" s="28"/>
      <c r="RTZ34" s="28"/>
      <c r="RUA34" s="28"/>
      <c r="RUB34" s="28"/>
      <c r="RUC34" s="28"/>
      <c r="RUD34" s="28"/>
      <c r="RUE34" s="28"/>
      <c r="RUF34" s="28"/>
      <c r="RUG34" s="28"/>
      <c r="RUH34" s="28"/>
      <c r="RUI34" s="28"/>
      <c r="RUJ34" s="28"/>
      <c r="RUK34" s="28"/>
      <c r="RUL34" s="28"/>
      <c r="RUM34" s="28"/>
      <c r="RUN34" s="28"/>
      <c r="RUO34" s="28"/>
      <c r="RUP34" s="28"/>
      <c r="RUQ34" s="28"/>
      <c r="RUR34" s="28"/>
      <c r="RUS34" s="28"/>
      <c r="RUT34" s="28"/>
      <c r="RUU34" s="28"/>
      <c r="RUV34" s="28"/>
      <c r="RUW34" s="28"/>
      <c r="RUX34" s="28"/>
      <c r="RUY34" s="28"/>
      <c r="RUZ34" s="28"/>
      <c r="RVA34" s="28"/>
      <c r="RVB34" s="28"/>
      <c r="RVC34" s="28"/>
      <c r="RVD34" s="28"/>
      <c r="RVE34" s="28"/>
      <c r="RVF34" s="28"/>
      <c r="RVG34" s="28"/>
      <c r="RVH34" s="28"/>
      <c r="RVI34" s="28"/>
      <c r="RVJ34" s="28"/>
      <c r="RVK34" s="28"/>
      <c r="RVL34" s="28"/>
      <c r="RVM34" s="28"/>
      <c r="RVN34" s="28"/>
      <c r="RVO34" s="28"/>
      <c r="RVP34" s="28"/>
      <c r="RVQ34" s="28"/>
      <c r="RVR34" s="28"/>
      <c r="RVS34" s="28"/>
      <c r="RVT34" s="28"/>
      <c r="RVU34" s="28"/>
      <c r="RVV34" s="28"/>
      <c r="RVW34" s="28"/>
      <c r="RVX34" s="28"/>
      <c r="RVY34" s="28"/>
      <c r="RVZ34" s="28"/>
      <c r="RWA34" s="28"/>
      <c r="RWB34" s="28"/>
      <c r="RWC34" s="28"/>
      <c r="RWD34" s="28"/>
      <c r="RWE34" s="28"/>
      <c r="RWF34" s="28"/>
      <c r="RWG34" s="28"/>
      <c r="RWH34" s="28"/>
      <c r="RWI34" s="28"/>
      <c r="RWJ34" s="28"/>
      <c r="RWK34" s="28"/>
      <c r="RWL34" s="28"/>
      <c r="RWM34" s="28"/>
      <c r="RWN34" s="28"/>
      <c r="RWO34" s="28"/>
      <c r="RWP34" s="28"/>
      <c r="RWQ34" s="28"/>
      <c r="RWR34" s="28"/>
      <c r="RWS34" s="28"/>
      <c r="RWT34" s="28"/>
      <c r="RWU34" s="28"/>
      <c r="RWV34" s="28"/>
      <c r="RWW34" s="28"/>
      <c r="RWX34" s="28"/>
      <c r="RWY34" s="28"/>
      <c r="RWZ34" s="28"/>
      <c r="RXA34" s="28"/>
      <c r="RXB34" s="28"/>
      <c r="RXC34" s="28"/>
      <c r="RXD34" s="28"/>
      <c r="RXE34" s="28"/>
      <c r="RXF34" s="28"/>
      <c r="RXG34" s="28"/>
      <c r="RXH34" s="28"/>
      <c r="RXI34" s="28"/>
      <c r="RXJ34" s="28"/>
      <c r="RXK34" s="28"/>
      <c r="RXL34" s="28"/>
      <c r="RXM34" s="28"/>
      <c r="RXN34" s="28"/>
      <c r="RXO34" s="28"/>
      <c r="RXP34" s="28"/>
      <c r="RXQ34" s="28"/>
      <c r="RXR34" s="28"/>
      <c r="RXS34" s="28"/>
      <c r="RXT34" s="28"/>
      <c r="RXU34" s="28"/>
      <c r="RXV34" s="28"/>
      <c r="RXW34" s="28"/>
      <c r="RXX34" s="28"/>
      <c r="RXY34" s="28"/>
      <c r="RXZ34" s="28"/>
      <c r="RYA34" s="28"/>
      <c r="RYB34" s="28"/>
      <c r="RYC34" s="28"/>
      <c r="RYD34" s="28"/>
      <c r="RYE34" s="28"/>
      <c r="RYF34" s="28"/>
      <c r="RYG34" s="28"/>
      <c r="RYH34" s="28"/>
      <c r="RYI34" s="28"/>
      <c r="RYJ34" s="28"/>
      <c r="RYK34" s="28"/>
      <c r="RYL34" s="28"/>
      <c r="RYM34" s="28"/>
      <c r="RYN34" s="28"/>
      <c r="RYO34" s="28"/>
      <c r="RYP34" s="28"/>
      <c r="RYQ34" s="28"/>
      <c r="RYR34" s="28"/>
      <c r="RYS34" s="28"/>
      <c r="RYT34" s="28"/>
      <c r="RYU34" s="28"/>
      <c r="RYV34" s="28"/>
      <c r="RYW34" s="28"/>
      <c r="RYX34" s="28"/>
      <c r="RYY34" s="28"/>
      <c r="RYZ34" s="28"/>
      <c r="RZA34" s="28"/>
      <c r="RZB34" s="28"/>
      <c r="RZC34" s="28"/>
      <c r="RZD34" s="28"/>
      <c r="RZE34" s="28"/>
      <c r="RZF34" s="28"/>
      <c r="RZG34" s="28"/>
      <c r="RZH34" s="28"/>
      <c r="RZI34" s="28"/>
      <c r="RZJ34" s="28"/>
      <c r="RZK34" s="28"/>
      <c r="RZL34" s="28"/>
      <c r="RZM34" s="28"/>
      <c r="RZN34" s="28"/>
      <c r="RZO34" s="28"/>
      <c r="RZP34" s="28"/>
      <c r="RZQ34" s="28"/>
      <c r="RZR34" s="28"/>
      <c r="RZS34" s="28"/>
      <c r="RZT34" s="28"/>
      <c r="RZU34" s="28"/>
      <c r="RZV34" s="28"/>
      <c r="RZW34" s="28"/>
      <c r="RZX34" s="28"/>
      <c r="RZY34" s="28"/>
      <c r="RZZ34" s="28"/>
      <c r="SAA34" s="28"/>
      <c r="SAB34" s="28"/>
      <c r="SAC34" s="28"/>
      <c r="SAD34" s="28"/>
      <c r="SAE34" s="28"/>
      <c r="SAF34" s="28"/>
      <c r="SAG34" s="28"/>
      <c r="SAH34" s="28"/>
      <c r="SAI34" s="28"/>
      <c r="SAJ34" s="28"/>
      <c r="SAK34" s="28"/>
      <c r="SAL34" s="28"/>
      <c r="SAM34" s="28"/>
      <c r="SAN34" s="28"/>
      <c r="SAO34" s="28"/>
      <c r="SAP34" s="28"/>
      <c r="SAQ34" s="28"/>
      <c r="SAR34" s="28"/>
      <c r="SAS34" s="28"/>
      <c r="SAT34" s="28"/>
      <c r="SAU34" s="28"/>
      <c r="SAV34" s="28"/>
      <c r="SAW34" s="28"/>
      <c r="SAX34" s="28"/>
      <c r="SAY34" s="28"/>
      <c r="SAZ34" s="28"/>
      <c r="SBA34" s="28"/>
      <c r="SBB34" s="28"/>
      <c r="SBC34" s="28"/>
      <c r="SBD34" s="28"/>
      <c r="SBE34" s="28"/>
      <c r="SBF34" s="28"/>
      <c r="SBG34" s="28"/>
      <c r="SBH34" s="28"/>
      <c r="SBI34" s="28"/>
      <c r="SBJ34" s="28"/>
      <c r="SBK34" s="28"/>
      <c r="SBL34" s="28"/>
      <c r="SBM34" s="28"/>
      <c r="SBN34" s="28"/>
      <c r="SBO34" s="28"/>
      <c r="SBP34" s="28"/>
      <c r="SBQ34" s="28"/>
      <c r="SBR34" s="28"/>
      <c r="SBS34" s="28"/>
      <c r="SBT34" s="28"/>
      <c r="SBU34" s="28"/>
      <c r="SBV34" s="28"/>
      <c r="SBW34" s="28"/>
      <c r="SBX34" s="28"/>
      <c r="SBY34" s="28"/>
      <c r="SBZ34" s="28"/>
      <c r="SCA34" s="28"/>
      <c r="SCB34" s="28"/>
      <c r="SCC34" s="28"/>
      <c r="SCD34" s="28"/>
      <c r="SCE34" s="28"/>
      <c r="SCF34" s="28"/>
      <c r="SCG34" s="28"/>
      <c r="SCH34" s="28"/>
      <c r="SCI34" s="28"/>
      <c r="SCJ34" s="28"/>
      <c r="SCK34" s="28"/>
      <c r="SCL34" s="28"/>
      <c r="SCM34" s="28"/>
      <c r="SCN34" s="28"/>
      <c r="SCO34" s="28"/>
      <c r="SCP34" s="28"/>
      <c r="SCQ34" s="28"/>
      <c r="SCR34" s="28"/>
      <c r="SCS34" s="28"/>
      <c r="SCT34" s="28"/>
      <c r="SCU34" s="28"/>
      <c r="SCV34" s="28"/>
      <c r="SCW34" s="28"/>
      <c r="SCX34" s="28"/>
      <c r="SCY34" s="28"/>
      <c r="SCZ34" s="28"/>
      <c r="SDA34" s="28"/>
      <c r="SDB34" s="28"/>
      <c r="SDC34" s="28"/>
      <c r="SDD34" s="28"/>
      <c r="SDE34" s="28"/>
      <c r="SDF34" s="28"/>
      <c r="SDG34" s="28"/>
      <c r="SDH34" s="28"/>
      <c r="SDI34" s="28"/>
      <c r="SDJ34" s="28"/>
      <c r="SDK34" s="28"/>
      <c r="SDL34" s="28"/>
      <c r="SDM34" s="28"/>
      <c r="SDN34" s="28"/>
      <c r="SDO34" s="28"/>
      <c r="SDP34" s="28"/>
      <c r="SDQ34" s="28"/>
      <c r="SDR34" s="28"/>
      <c r="SDS34" s="28"/>
      <c r="SDT34" s="28"/>
      <c r="SDU34" s="28"/>
      <c r="SDV34" s="28"/>
      <c r="SDW34" s="28"/>
      <c r="SDX34" s="28"/>
      <c r="SDY34" s="28"/>
      <c r="SDZ34" s="28"/>
      <c r="SEA34" s="28"/>
      <c r="SEB34" s="28"/>
      <c r="SEC34" s="28"/>
      <c r="SED34" s="28"/>
      <c r="SEE34" s="28"/>
      <c r="SEF34" s="28"/>
      <c r="SEG34" s="28"/>
      <c r="SEH34" s="28"/>
      <c r="SEI34" s="28"/>
      <c r="SEJ34" s="28"/>
      <c r="SEK34" s="28"/>
      <c r="SEL34" s="28"/>
      <c r="SEM34" s="28"/>
      <c r="SEN34" s="28"/>
      <c r="SEO34" s="28"/>
      <c r="SEP34" s="28"/>
      <c r="SEQ34" s="28"/>
      <c r="SER34" s="28"/>
      <c r="SES34" s="28"/>
      <c r="SET34" s="28"/>
      <c r="SEU34" s="28"/>
      <c r="SEV34" s="28"/>
      <c r="SEW34" s="28"/>
      <c r="SEX34" s="28"/>
      <c r="SEY34" s="28"/>
      <c r="SEZ34" s="28"/>
      <c r="SFA34" s="28"/>
      <c r="SFB34" s="28"/>
      <c r="SFC34" s="28"/>
      <c r="SFD34" s="28"/>
      <c r="SFE34" s="28"/>
      <c r="SFF34" s="28"/>
      <c r="SFG34" s="28"/>
      <c r="SFH34" s="28"/>
      <c r="SFI34" s="28"/>
      <c r="SFJ34" s="28"/>
      <c r="SFK34" s="28"/>
      <c r="SFL34" s="28"/>
      <c r="SFM34" s="28"/>
      <c r="SFN34" s="28"/>
      <c r="SFO34" s="28"/>
      <c r="SFP34" s="28"/>
      <c r="SFQ34" s="28"/>
      <c r="SFR34" s="28"/>
      <c r="SFS34" s="28"/>
      <c r="SFT34" s="28"/>
      <c r="SFU34" s="28"/>
      <c r="SFV34" s="28"/>
      <c r="SFW34" s="28"/>
      <c r="SFX34" s="28"/>
      <c r="SFY34" s="28"/>
      <c r="SFZ34" s="28"/>
      <c r="SGA34" s="28"/>
      <c r="SGB34" s="28"/>
      <c r="SGC34" s="28"/>
      <c r="SGD34" s="28"/>
      <c r="SGE34" s="28"/>
      <c r="SGF34" s="28"/>
      <c r="SGG34" s="28"/>
      <c r="SGH34" s="28"/>
      <c r="SGI34" s="28"/>
      <c r="SGJ34" s="28"/>
      <c r="SGK34" s="28"/>
      <c r="SGL34" s="28"/>
      <c r="SGM34" s="28"/>
      <c r="SGN34" s="28"/>
      <c r="SGO34" s="28"/>
      <c r="SGP34" s="28"/>
      <c r="SGQ34" s="28"/>
      <c r="SGR34" s="28"/>
      <c r="SGS34" s="28"/>
      <c r="SGT34" s="28"/>
      <c r="SGU34" s="28"/>
      <c r="SGV34" s="28"/>
      <c r="SGW34" s="28"/>
      <c r="SGX34" s="28"/>
      <c r="SGY34" s="28"/>
      <c r="SGZ34" s="28"/>
      <c r="SHA34" s="28"/>
      <c r="SHB34" s="28"/>
      <c r="SHC34" s="28"/>
      <c r="SHD34" s="28"/>
      <c r="SHE34" s="28"/>
      <c r="SHF34" s="28"/>
      <c r="SHG34" s="28"/>
      <c r="SHH34" s="28"/>
      <c r="SHI34" s="28"/>
      <c r="SHJ34" s="28"/>
      <c r="SHK34" s="28"/>
      <c r="SHL34" s="28"/>
      <c r="SHM34" s="28"/>
      <c r="SHN34" s="28"/>
      <c r="SHO34" s="28"/>
      <c r="SHP34" s="28"/>
      <c r="SHQ34" s="28"/>
      <c r="SHR34" s="28"/>
      <c r="SHS34" s="28"/>
      <c r="SHT34" s="28"/>
      <c r="SHU34" s="28"/>
      <c r="SHV34" s="28"/>
      <c r="SHW34" s="28"/>
      <c r="SHX34" s="28"/>
      <c r="SHY34" s="28"/>
      <c r="SHZ34" s="28"/>
      <c r="SIA34" s="28"/>
      <c r="SIB34" s="28"/>
      <c r="SIC34" s="28"/>
      <c r="SID34" s="28"/>
      <c r="SIE34" s="28"/>
      <c r="SIF34" s="28"/>
      <c r="SIG34" s="28"/>
      <c r="SIH34" s="28"/>
      <c r="SII34" s="28"/>
      <c r="SIJ34" s="28"/>
      <c r="SIK34" s="28"/>
      <c r="SIL34" s="28"/>
      <c r="SIM34" s="28"/>
      <c r="SIN34" s="28"/>
      <c r="SIO34" s="28"/>
      <c r="SIP34" s="28"/>
      <c r="SIQ34" s="28"/>
      <c r="SIR34" s="28"/>
      <c r="SIS34" s="28"/>
      <c r="SIT34" s="28"/>
      <c r="SIU34" s="28"/>
      <c r="SIV34" s="28"/>
      <c r="SIW34" s="28"/>
      <c r="SIX34" s="28"/>
      <c r="SIY34" s="28"/>
      <c r="SIZ34" s="28"/>
      <c r="SJA34" s="28"/>
      <c r="SJB34" s="28"/>
      <c r="SJC34" s="28"/>
      <c r="SJD34" s="28"/>
      <c r="SJE34" s="28"/>
      <c r="SJF34" s="28"/>
      <c r="SJG34" s="28"/>
      <c r="SJH34" s="28"/>
      <c r="SJI34" s="28"/>
      <c r="SJJ34" s="28"/>
      <c r="SJK34" s="28"/>
      <c r="SJL34" s="28"/>
      <c r="SJM34" s="28"/>
      <c r="SJN34" s="28"/>
      <c r="SJO34" s="28"/>
      <c r="SJP34" s="28"/>
      <c r="SJQ34" s="28"/>
      <c r="SJR34" s="28"/>
      <c r="SJS34" s="28"/>
      <c r="SJT34" s="28"/>
      <c r="SJU34" s="28"/>
      <c r="SJV34" s="28"/>
      <c r="SJW34" s="28"/>
      <c r="SJX34" s="28"/>
      <c r="SJY34" s="28"/>
      <c r="SJZ34" s="28"/>
      <c r="SKA34" s="28"/>
      <c r="SKB34" s="28"/>
      <c r="SKC34" s="28"/>
      <c r="SKD34" s="28"/>
      <c r="SKE34" s="28"/>
      <c r="SKF34" s="28"/>
      <c r="SKG34" s="28"/>
      <c r="SKH34" s="28"/>
      <c r="SKI34" s="28"/>
      <c r="SKJ34" s="28"/>
      <c r="SKK34" s="28"/>
      <c r="SKL34" s="28"/>
      <c r="SKM34" s="28"/>
      <c r="SKN34" s="28"/>
      <c r="SKO34" s="28"/>
      <c r="SKP34" s="28"/>
      <c r="SKQ34" s="28"/>
      <c r="SKR34" s="28"/>
      <c r="SKS34" s="28"/>
      <c r="SKT34" s="28"/>
      <c r="SKU34" s="28"/>
      <c r="SKV34" s="28"/>
      <c r="SKW34" s="28"/>
      <c r="SKX34" s="28"/>
      <c r="SKY34" s="28"/>
      <c r="SKZ34" s="28"/>
      <c r="SLA34" s="28"/>
      <c r="SLB34" s="28"/>
      <c r="SLC34" s="28"/>
      <c r="SLD34" s="28"/>
      <c r="SLE34" s="28"/>
      <c r="SLF34" s="28"/>
      <c r="SLG34" s="28"/>
      <c r="SLH34" s="28"/>
      <c r="SLI34" s="28"/>
      <c r="SLJ34" s="28"/>
      <c r="SLK34" s="28"/>
      <c r="SLL34" s="28"/>
      <c r="SLM34" s="28"/>
      <c r="SLN34" s="28"/>
      <c r="SLO34" s="28"/>
      <c r="SLP34" s="28"/>
      <c r="SLQ34" s="28"/>
      <c r="SLR34" s="28"/>
      <c r="SLS34" s="28"/>
      <c r="SLT34" s="28"/>
      <c r="SLU34" s="28"/>
      <c r="SLV34" s="28"/>
      <c r="SLW34" s="28"/>
      <c r="SLX34" s="28"/>
      <c r="SLY34" s="28"/>
      <c r="SLZ34" s="28"/>
      <c r="SMA34" s="28"/>
      <c r="SMB34" s="28"/>
      <c r="SMC34" s="28"/>
      <c r="SMD34" s="28"/>
      <c r="SME34" s="28"/>
      <c r="SMF34" s="28"/>
      <c r="SMG34" s="28"/>
      <c r="SMH34" s="28"/>
      <c r="SMI34" s="28"/>
      <c r="SMJ34" s="28"/>
      <c r="SMK34" s="28"/>
      <c r="SML34" s="28"/>
      <c r="SMM34" s="28"/>
      <c r="SMN34" s="28"/>
      <c r="SMO34" s="28"/>
      <c r="SMP34" s="28"/>
      <c r="SMQ34" s="28"/>
      <c r="SMR34" s="28"/>
      <c r="SMS34" s="28"/>
      <c r="SMT34" s="28"/>
      <c r="SMU34" s="28"/>
      <c r="SMV34" s="28"/>
      <c r="SMW34" s="28"/>
      <c r="SMX34" s="28"/>
      <c r="SMY34" s="28"/>
      <c r="SMZ34" s="28"/>
      <c r="SNA34" s="28"/>
      <c r="SNB34" s="28"/>
      <c r="SNC34" s="28"/>
      <c r="SND34" s="28"/>
      <c r="SNE34" s="28"/>
      <c r="SNF34" s="28"/>
      <c r="SNG34" s="28"/>
      <c r="SNH34" s="28"/>
      <c r="SNI34" s="28"/>
      <c r="SNJ34" s="28"/>
      <c r="SNK34" s="28"/>
      <c r="SNL34" s="28"/>
      <c r="SNM34" s="28"/>
      <c r="SNN34" s="28"/>
      <c r="SNO34" s="28"/>
      <c r="SNP34" s="28"/>
      <c r="SNQ34" s="28"/>
      <c r="SNR34" s="28"/>
      <c r="SNS34" s="28"/>
      <c r="SNT34" s="28"/>
      <c r="SNU34" s="28"/>
      <c r="SNV34" s="28"/>
      <c r="SNW34" s="28"/>
      <c r="SNX34" s="28"/>
      <c r="SNY34" s="28"/>
      <c r="SNZ34" s="28"/>
      <c r="SOA34" s="28"/>
      <c r="SOB34" s="28"/>
      <c r="SOC34" s="28"/>
      <c r="SOD34" s="28"/>
      <c r="SOE34" s="28"/>
      <c r="SOF34" s="28"/>
      <c r="SOG34" s="28"/>
      <c r="SOH34" s="28"/>
      <c r="SOI34" s="28"/>
      <c r="SOJ34" s="28"/>
      <c r="SOK34" s="28"/>
      <c r="SOL34" s="28"/>
      <c r="SOM34" s="28"/>
      <c r="SON34" s="28"/>
      <c r="SOO34" s="28"/>
      <c r="SOP34" s="28"/>
      <c r="SOQ34" s="28"/>
      <c r="SOR34" s="28"/>
      <c r="SOS34" s="28"/>
      <c r="SOT34" s="28"/>
      <c r="SOU34" s="28"/>
      <c r="SOV34" s="28"/>
      <c r="SOW34" s="28"/>
      <c r="SOX34" s="28"/>
      <c r="SOY34" s="28"/>
      <c r="SOZ34" s="28"/>
      <c r="SPA34" s="28"/>
      <c r="SPB34" s="28"/>
      <c r="SPC34" s="28"/>
      <c r="SPD34" s="28"/>
      <c r="SPE34" s="28"/>
      <c r="SPF34" s="28"/>
      <c r="SPG34" s="28"/>
      <c r="SPH34" s="28"/>
      <c r="SPI34" s="28"/>
      <c r="SPJ34" s="28"/>
      <c r="SPK34" s="28"/>
      <c r="SPL34" s="28"/>
      <c r="SPM34" s="28"/>
      <c r="SPN34" s="28"/>
      <c r="SPO34" s="28"/>
      <c r="SPP34" s="28"/>
      <c r="SPQ34" s="28"/>
      <c r="SPR34" s="28"/>
      <c r="SPS34" s="28"/>
      <c r="SPT34" s="28"/>
      <c r="SPU34" s="28"/>
      <c r="SPV34" s="28"/>
      <c r="SPW34" s="28"/>
      <c r="SPX34" s="28"/>
      <c r="SPY34" s="28"/>
      <c r="SPZ34" s="28"/>
      <c r="SQA34" s="28"/>
      <c r="SQB34" s="28"/>
      <c r="SQC34" s="28"/>
      <c r="SQD34" s="28"/>
      <c r="SQE34" s="28"/>
      <c r="SQF34" s="28"/>
      <c r="SQG34" s="28"/>
      <c r="SQH34" s="28"/>
      <c r="SQI34" s="28"/>
      <c r="SQJ34" s="28"/>
      <c r="SQK34" s="28"/>
      <c r="SQL34" s="28"/>
      <c r="SQM34" s="28"/>
      <c r="SQN34" s="28"/>
      <c r="SQO34" s="28"/>
      <c r="SQP34" s="28"/>
      <c r="SQQ34" s="28"/>
      <c r="SQR34" s="28"/>
      <c r="SQS34" s="28"/>
      <c r="SQT34" s="28"/>
      <c r="SQU34" s="28"/>
      <c r="SQV34" s="28"/>
      <c r="SQW34" s="28"/>
      <c r="SQX34" s="28"/>
      <c r="SQY34" s="28"/>
      <c r="SQZ34" s="28"/>
      <c r="SRA34" s="28"/>
      <c r="SRB34" s="28"/>
      <c r="SRC34" s="28"/>
      <c r="SRD34" s="28"/>
      <c r="SRE34" s="28"/>
      <c r="SRF34" s="28"/>
      <c r="SRG34" s="28"/>
      <c r="SRH34" s="28"/>
      <c r="SRI34" s="28"/>
      <c r="SRJ34" s="28"/>
      <c r="SRK34" s="28"/>
      <c r="SRL34" s="28"/>
      <c r="SRM34" s="28"/>
      <c r="SRN34" s="28"/>
      <c r="SRO34" s="28"/>
      <c r="SRP34" s="28"/>
      <c r="SRQ34" s="28"/>
      <c r="SRR34" s="28"/>
      <c r="SRS34" s="28"/>
      <c r="SRT34" s="28"/>
      <c r="SRU34" s="28"/>
      <c r="SRV34" s="28"/>
      <c r="SRW34" s="28"/>
      <c r="SRX34" s="28"/>
      <c r="SRY34" s="28"/>
      <c r="SRZ34" s="28"/>
      <c r="SSA34" s="28"/>
      <c r="SSB34" s="28"/>
      <c r="SSC34" s="28"/>
      <c r="SSD34" s="28"/>
      <c r="SSE34" s="28"/>
      <c r="SSF34" s="28"/>
      <c r="SSG34" s="28"/>
      <c r="SSH34" s="28"/>
      <c r="SSI34" s="28"/>
      <c r="SSJ34" s="28"/>
      <c r="SSK34" s="28"/>
      <c r="SSL34" s="28"/>
      <c r="SSM34" s="28"/>
      <c r="SSN34" s="28"/>
      <c r="SSO34" s="28"/>
      <c r="SSP34" s="28"/>
      <c r="SSQ34" s="28"/>
      <c r="SSR34" s="28"/>
      <c r="SSS34" s="28"/>
      <c r="SST34" s="28"/>
      <c r="SSU34" s="28"/>
      <c r="SSV34" s="28"/>
      <c r="SSW34" s="28"/>
      <c r="SSX34" s="28"/>
      <c r="SSY34" s="28"/>
      <c r="SSZ34" s="28"/>
      <c r="STA34" s="28"/>
      <c r="STB34" s="28"/>
      <c r="STC34" s="28"/>
      <c r="STD34" s="28"/>
      <c r="STE34" s="28"/>
      <c r="STF34" s="28"/>
      <c r="STG34" s="28"/>
      <c r="STH34" s="28"/>
      <c r="STI34" s="28"/>
      <c r="STJ34" s="28"/>
      <c r="STK34" s="28"/>
      <c r="STL34" s="28"/>
      <c r="STM34" s="28"/>
      <c r="STN34" s="28"/>
      <c r="STO34" s="28"/>
      <c r="STP34" s="28"/>
      <c r="STQ34" s="28"/>
      <c r="STR34" s="28"/>
      <c r="STS34" s="28"/>
      <c r="STT34" s="28"/>
      <c r="STU34" s="28"/>
      <c r="STV34" s="28"/>
      <c r="STW34" s="28"/>
      <c r="STX34" s="28"/>
      <c r="STY34" s="28"/>
      <c r="STZ34" s="28"/>
      <c r="SUA34" s="28"/>
      <c r="SUB34" s="28"/>
      <c r="SUC34" s="28"/>
      <c r="SUD34" s="28"/>
      <c r="SUE34" s="28"/>
      <c r="SUF34" s="28"/>
      <c r="SUG34" s="28"/>
      <c r="SUH34" s="28"/>
      <c r="SUI34" s="28"/>
      <c r="SUJ34" s="28"/>
      <c r="SUK34" s="28"/>
      <c r="SUL34" s="28"/>
      <c r="SUM34" s="28"/>
      <c r="SUN34" s="28"/>
      <c r="SUO34" s="28"/>
      <c r="SUP34" s="28"/>
      <c r="SUQ34" s="28"/>
      <c r="SUR34" s="28"/>
      <c r="SUS34" s="28"/>
      <c r="SUT34" s="28"/>
      <c r="SUU34" s="28"/>
      <c r="SUV34" s="28"/>
      <c r="SUW34" s="28"/>
      <c r="SUX34" s="28"/>
      <c r="SUY34" s="28"/>
      <c r="SUZ34" s="28"/>
      <c r="SVA34" s="28"/>
      <c r="SVB34" s="28"/>
      <c r="SVC34" s="28"/>
      <c r="SVD34" s="28"/>
      <c r="SVE34" s="28"/>
      <c r="SVF34" s="28"/>
      <c r="SVG34" s="28"/>
      <c r="SVH34" s="28"/>
      <c r="SVI34" s="28"/>
      <c r="SVJ34" s="28"/>
      <c r="SVK34" s="28"/>
      <c r="SVL34" s="28"/>
      <c r="SVM34" s="28"/>
      <c r="SVN34" s="28"/>
      <c r="SVO34" s="28"/>
      <c r="SVP34" s="28"/>
      <c r="SVQ34" s="28"/>
      <c r="SVR34" s="28"/>
      <c r="SVS34" s="28"/>
      <c r="SVT34" s="28"/>
      <c r="SVU34" s="28"/>
      <c r="SVV34" s="28"/>
      <c r="SVW34" s="28"/>
      <c r="SVX34" s="28"/>
      <c r="SVY34" s="28"/>
      <c r="SVZ34" s="28"/>
      <c r="SWA34" s="28"/>
      <c r="SWB34" s="28"/>
      <c r="SWC34" s="28"/>
      <c r="SWD34" s="28"/>
      <c r="SWE34" s="28"/>
      <c r="SWF34" s="28"/>
      <c r="SWG34" s="28"/>
      <c r="SWH34" s="28"/>
      <c r="SWI34" s="28"/>
      <c r="SWJ34" s="28"/>
      <c r="SWK34" s="28"/>
      <c r="SWL34" s="28"/>
      <c r="SWM34" s="28"/>
      <c r="SWN34" s="28"/>
      <c r="SWO34" s="28"/>
      <c r="SWP34" s="28"/>
      <c r="SWQ34" s="28"/>
      <c r="SWR34" s="28"/>
      <c r="SWS34" s="28"/>
      <c r="SWT34" s="28"/>
      <c r="SWU34" s="28"/>
      <c r="SWV34" s="28"/>
      <c r="SWW34" s="28"/>
      <c r="SWX34" s="28"/>
      <c r="SWY34" s="28"/>
      <c r="SWZ34" s="28"/>
      <c r="SXA34" s="28"/>
      <c r="SXB34" s="28"/>
      <c r="SXC34" s="28"/>
      <c r="SXD34" s="28"/>
      <c r="SXE34" s="28"/>
      <c r="SXF34" s="28"/>
      <c r="SXG34" s="28"/>
      <c r="SXH34" s="28"/>
      <c r="SXI34" s="28"/>
      <c r="SXJ34" s="28"/>
      <c r="SXK34" s="28"/>
      <c r="SXL34" s="28"/>
      <c r="SXM34" s="28"/>
      <c r="SXN34" s="28"/>
      <c r="SXO34" s="28"/>
      <c r="SXP34" s="28"/>
      <c r="SXQ34" s="28"/>
      <c r="SXR34" s="28"/>
      <c r="SXS34" s="28"/>
      <c r="SXT34" s="28"/>
      <c r="SXU34" s="28"/>
      <c r="SXV34" s="28"/>
      <c r="SXW34" s="28"/>
      <c r="SXX34" s="28"/>
      <c r="SXY34" s="28"/>
      <c r="SXZ34" s="28"/>
      <c r="SYA34" s="28"/>
      <c r="SYB34" s="28"/>
      <c r="SYC34" s="28"/>
      <c r="SYD34" s="28"/>
      <c r="SYE34" s="28"/>
      <c r="SYF34" s="28"/>
      <c r="SYG34" s="28"/>
      <c r="SYH34" s="28"/>
      <c r="SYI34" s="28"/>
      <c r="SYJ34" s="28"/>
      <c r="SYK34" s="28"/>
      <c r="SYL34" s="28"/>
      <c r="SYM34" s="28"/>
      <c r="SYN34" s="28"/>
      <c r="SYO34" s="28"/>
      <c r="SYP34" s="28"/>
      <c r="SYQ34" s="28"/>
      <c r="SYR34" s="28"/>
      <c r="SYS34" s="28"/>
      <c r="SYT34" s="28"/>
      <c r="SYU34" s="28"/>
      <c r="SYV34" s="28"/>
      <c r="SYW34" s="28"/>
      <c r="SYX34" s="28"/>
      <c r="SYY34" s="28"/>
      <c r="SYZ34" s="28"/>
      <c r="SZA34" s="28"/>
      <c r="SZB34" s="28"/>
      <c r="SZC34" s="28"/>
      <c r="SZD34" s="28"/>
      <c r="SZE34" s="28"/>
      <c r="SZF34" s="28"/>
      <c r="SZG34" s="28"/>
      <c r="SZH34" s="28"/>
      <c r="SZI34" s="28"/>
      <c r="SZJ34" s="28"/>
      <c r="SZK34" s="28"/>
      <c r="SZL34" s="28"/>
      <c r="SZM34" s="28"/>
      <c r="SZN34" s="28"/>
      <c r="SZO34" s="28"/>
      <c r="SZP34" s="28"/>
      <c r="SZQ34" s="28"/>
      <c r="SZR34" s="28"/>
      <c r="SZS34" s="28"/>
      <c r="SZT34" s="28"/>
      <c r="SZU34" s="28"/>
      <c r="SZV34" s="28"/>
      <c r="SZW34" s="28"/>
      <c r="SZX34" s="28"/>
      <c r="SZY34" s="28"/>
      <c r="SZZ34" s="28"/>
      <c r="TAA34" s="28"/>
      <c r="TAB34" s="28"/>
      <c r="TAC34" s="28"/>
      <c r="TAD34" s="28"/>
      <c r="TAE34" s="28"/>
      <c r="TAF34" s="28"/>
      <c r="TAG34" s="28"/>
      <c r="TAH34" s="28"/>
      <c r="TAI34" s="28"/>
      <c r="TAJ34" s="28"/>
      <c r="TAK34" s="28"/>
      <c r="TAL34" s="28"/>
      <c r="TAM34" s="28"/>
      <c r="TAN34" s="28"/>
      <c r="TAO34" s="28"/>
      <c r="TAP34" s="28"/>
      <c r="TAQ34" s="28"/>
      <c r="TAR34" s="28"/>
      <c r="TAS34" s="28"/>
      <c r="TAT34" s="28"/>
      <c r="TAU34" s="28"/>
      <c r="TAV34" s="28"/>
      <c r="TAW34" s="28"/>
      <c r="TAX34" s="28"/>
      <c r="TAY34" s="28"/>
      <c r="TAZ34" s="28"/>
      <c r="TBA34" s="28"/>
      <c r="TBB34" s="28"/>
      <c r="TBC34" s="28"/>
      <c r="TBD34" s="28"/>
      <c r="TBE34" s="28"/>
      <c r="TBF34" s="28"/>
      <c r="TBG34" s="28"/>
      <c r="TBH34" s="28"/>
      <c r="TBI34" s="28"/>
      <c r="TBJ34" s="28"/>
      <c r="TBK34" s="28"/>
      <c r="TBL34" s="28"/>
      <c r="TBM34" s="28"/>
      <c r="TBN34" s="28"/>
      <c r="TBO34" s="28"/>
      <c r="TBP34" s="28"/>
      <c r="TBQ34" s="28"/>
      <c r="TBR34" s="28"/>
      <c r="TBS34" s="28"/>
      <c r="TBT34" s="28"/>
      <c r="TBU34" s="28"/>
      <c r="TBV34" s="28"/>
      <c r="TBW34" s="28"/>
      <c r="TBX34" s="28"/>
      <c r="TBY34" s="28"/>
      <c r="TBZ34" s="28"/>
      <c r="TCA34" s="28"/>
      <c r="TCB34" s="28"/>
      <c r="TCC34" s="28"/>
      <c r="TCD34" s="28"/>
      <c r="TCE34" s="28"/>
      <c r="TCF34" s="28"/>
      <c r="TCG34" s="28"/>
      <c r="TCH34" s="28"/>
      <c r="TCI34" s="28"/>
      <c r="TCJ34" s="28"/>
      <c r="TCK34" s="28"/>
      <c r="TCL34" s="28"/>
      <c r="TCM34" s="28"/>
      <c r="TCN34" s="28"/>
      <c r="TCO34" s="28"/>
      <c r="TCP34" s="28"/>
      <c r="TCQ34" s="28"/>
      <c r="TCR34" s="28"/>
      <c r="TCS34" s="28"/>
      <c r="TCT34" s="28"/>
      <c r="TCU34" s="28"/>
      <c r="TCV34" s="28"/>
      <c r="TCW34" s="28"/>
      <c r="TCX34" s="28"/>
      <c r="TCY34" s="28"/>
      <c r="TCZ34" s="28"/>
      <c r="TDA34" s="28"/>
      <c r="TDB34" s="28"/>
      <c r="TDC34" s="28"/>
      <c r="TDD34" s="28"/>
      <c r="TDE34" s="28"/>
      <c r="TDF34" s="28"/>
      <c r="TDG34" s="28"/>
      <c r="TDH34" s="28"/>
      <c r="TDI34" s="28"/>
      <c r="TDJ34" s="28"/>
      <c r="TDK34" s="28"/>
      <c r="TDL34" s="28"/>
      <c r="TDM34" s="28"/>
      <c r="TDN34" s="28"/>
      <c r="TDO34" s="28"/>
      <c r="TDP34" s="28"/>
      <c r="TDQ34" s="28"/>
      <c r="TDR34" s="28"/>
      <c r="TDS34" s="28"/>
      <c r="TDT34" s="28"/>
      <c r="TDU34" s="28"/>
      <c r="TDV34" s="28"/>
      <c r="TDW34" s="28"/>
      <c r="TDX34" s="28"/>
      <c r="TDY34" s="28"/>
      <c r="TDZ34" s="28"/>
      <c r="TEA34" s="28"/>
      <c r="TEB34" s="28"/>
      <c r="TEC34" s="28"/>
      <c r="TED34" s="28"/>
      <c r="TEE34" s="28"/>
      <c r="TEF34" s="28"/>
      <c r="TEG34" s="28"/>
      <c r="TEH34" s="28"/>
      <c r="TEI34" s="28"/>
      <c r="TEJ34" s="28"/>
      <c r="TEK34" s="28"/>
      <c r="TEL34" s="28"/>
      <c r="TEM34" s="28"/>
      <c r="TEN34" s="28"/>
      <c r="TEO34" s="28"/>
      <c r="TEP34" s="28"/>
      <c r="TEQ34" s="28"/>
      <c r="TER34" s="28"/>
      <c r="TES34" s="28"/>
      <c r="TET34" s="28"/>
      <c r="TEU34" s="28"/>
      <c r="TEV34" s="28"/>
      <c r="TEW34" s="28"/>
      <c r="TEX34" s="28"/>
      <c r="TEY34" s="28"/>
      <c r="TEZ34" s="28"/>
      <c r="TFA34" s="28"/>
      <c r="TFB34" s="28"/>
      <c r="TFC34" s="28"/>
      <c r="TFD34" s="28"/>
      <c r="TFE34" s="28"/>
      <c r="TFF34" s="28"/>
      <c r="TFG34" s="28"/>
      <c r="TFH34" s="28"/>
      <c r="TFI34" s="28"/>
      <c r="TFJ34" s="28"/>
      <c r="TFK34" s="28"/>
      <c r="TFL34" s="28"/>
      <c r="TFM34" s="28"/>
      <c r="TFN34" s="28"/>
      <c r="TFO34" s="28"/>
      <c r="TFP34" s="28"/>
      <c r="TFQ34" s="28"/>
      <c r="TFR34" s="28"/>
      <c r="TFS34" s="28"/>
      <c r="TFT34" s="28"/>
      <c r="TFU34" s="28"/>
      <c r="TFV34" s="28"/>
      <c r="TFW34" s="28"/>
      <c r="TFX34" s="28"/>
      <c r="TFY34" s="28"/>
      <c r="TFZ34" s="28"/>
      <c r="TGA34" s="28"/>
      <c r="TGB34" s="28"/>
      <c r="TGC34" s="28"/>
      <c r="TGD34" s="28"/>
      <c r="TGE34" s="28"/>
      <c r="TGF34" s="28"/>
      <c r="TGG34" s="28"/>
      <c r="TGH34" s="28"/>
      <c r="TGI34" s="28"/>
      <c r="TGJ34" s="28"/>
      <c r="TGK34" s="28"/>
      <c r="TGL34" s="28"/>
      <c r="TGM34" s="28"/>
      <c r="TGN34" s="28"/>
      <c r="TGO34" s="28"/>
      <c r="TGP34" s="28"/>
      <c r="TGQ34" s="28"/>
      <c r="TGR34" s="28"/>
      <c r="TGS34" s="28"/>
      <c r="TGT34" s="28"/>
      <c r="TGU34" s="28"/>
      <c r="TGV34" s="28"/>
      <c r="TGW34" s="28"/>
      <c r="TGX34" s="28"/>
      <c r="TGY34" s="28"/>
      <c r="TGZ34" s="28"/>
      <c r="THA34" s="28"/>
      <c r="THB34" s="28"/>
      <c r="THC34" s="28"/>
      <c r="THD34" s="28"/>
      <c r="THE34" s="28"/>
      <c r="THF34" s="28"/>
      <c r="THG34" s="28"/>
      <c r="THH34" s="28"/>
      <c r="THI34" s="28"/>
      <c r="THJ34" s="28"/>
      <c r="THK34" s="28"/>
      <c r="THL34" s="28"/>
      <c r="THM34" s="28"/>
      <c r="THN34" s="28"/>
      <c r="THO34" s="28"/>
      <c r="THP34" s="28"/>
      <c r="THQ34" s="28"/>
      <c r="THR34" s="28"/>
      <c r="THS34" s="28"/>
      <c r="THT34" s="28"/>
      <c r="THU34" s="28"/>
      <c r="THV34" s="28"/>
      <c r="THW34" s="28"/>
      <c r="THX34" s="28"/>
      <c r="THY34" s="28"/>
      <c r="THZ34" s="28"/>
      <c r="TIA34" s="28"/>
      <c r="TIB34" s="28"/>
      <c r="TIC34" s="28"/>
      <c r="TID34" s="28"/>
      <c r="TIE34" s="28"/>
      <c r="TIF34" s="28"/>
      <c r="TIG34" s="28"/>
      <c r="TIH34" s="28"/>
      <c r="TII34" s="28"/>
      <c r="TIJ34" s="28"/>
      <c r="TIK34" s="28"/>
      <c r="TIL34" s="28"/>
      <c r="TIM34" s="28"/>
      <c r="TIN34" s="28"/>
      <c r="TIO34" s="28"/>
      <c r="TIP34" s="28"/>
      <c r="TIQ34" s="28"/>
      <c r="TIR34" s="28"/>
      <c r="TIS34" s="28"/>
      <c r="TIT34" s="28"/>
      <c r="TIU34" s="28"/>
      <c r="TIV34" s="28"/>
      <c r="TIW34" s="28"/>
      <c r="TIX34" s="28"/>
      <c r="TIY34" s="28"/>
      <c r="TIZ34" s="28"/>
      <c r="TJA34" s="28"/>
      <c r="TJB34" s="28"/>
      <c r="TJC34" s="28"/>
      <c r="TJD34" s="28"/>
      <c r="TJE34" s="28"/>
      <c r="TJF34" s="28"/>
      <c r="TJG34" s="28"/>
      <c r="TJH34" s="28"/>
      <c r="TJI34" s="28"/>
      <c r="TJJ34" s="28"/>
      <c r="TJK34" s="28"/>
      <c r="TJL34" s="28"/>
      <c r="TJM34" s="28"/>
      <c r="TJN34" s="28"/>
      <c r="TJO34" s="28"/>
      <c r="TJP34" s="28"/>
      <c r="TJQ34" s="28"/>
      <c r="TJR34" s="28"/>
      <c r="TJS34" s="28"/>
      <c r="TJT34" s="28"/>
      <c r="TJU34" s="28"/>
      <c r="TJV34" s="28"/>
      <c r="TJW34" s="28"/>
      <c r="TJX34" s="28"/>
      <c r="TJY34" s="28"/>
      <c r="TJZ34" s="28"/>
      <c r="TKA34" s="28"/>
      <c r="TKB34" s="28"/>
      <c r="TKC34" s="28"/>
      <c r="TKD34" s="28"/>
      <c r="TKE34" s="28"/>
      <c r="TKF34" s="28"/>
      <c r="TKG34" s="28"/>
      <c r="TKH34" s="28"/>
      <c r="TKI34" s="28"/>
      <c r="TKJ34" s="28"/>
      <c r="TKK34" s="28"/>
      <c r="TKL34" s="28"/>
      <c r="TKM34" s="28"/>
      <c r="TKN34" s="28"/>
      <c r="TKO34" s="28"/>
      <c r="TKP34" s="28"/>
      <c r="TKQ34" s="28"/>
      <c r="TKR34" s="28"/>
      <c r="TKS34" s="28"/>
      <c r="TKT34" s="28"/>
      <c r="TKU34" s="28"/>
      <c r="TKV34" s="28"/>
      <c r="TKW34" s="28"/>
      <c r="TKX34" s="28"/>
      <c r="TKY34" s="28"/>
      <c r="TKZ34" s="28"/>
      <c r="TLA34" s="28"/>
      <c r="TLB34" s="28"/>
      <c r="TLC34" s="28"/>
      <c r="TLD34" s="28"/>
      <c r="TLE34" s="28"/>
      <c r="TLF34" s="28"/>
      <c r="TLG34" s="28"/>
      <c r="TLH34" s="28"/>
      <c r="TLI34" s="28"/>
      <c r="TLJ34" s="28"/>
      <c r="TLK34" s="28"/>
      <c r="TLL34" s="28"/>
      <c r="TLM34" s="28"/>
      <c r="TLN34" s="28"/>
      <c r="TLO34" s="28"/>
      <c r="TLP34" s="28"/>
      <c r="TLQ34" s="28"/>
      <c r="TLR34" s="28"/>
      <c r="TLS34" s="28"/>
      <c r="TLT34" s="28"/>
      <c r="TLU34" s="28"/>
      <c r="TLV34" s="28"/>
      <c r="TLW34" s="28"/>
      <c r="TLX34" s="28"/>
      <c r="TLY34" s="28"/>
      <c r="TLZ34" s="28"/>
      <c r="TMA34" s="28"/>
      <c r="TMB34" s="28"/>
      <c r="TMC34" s="28"/>
      <c r="TMD34" s="28"/>
      <c r="TME34" s="28"/>
      <c r="TMF34" s="28"/>
      <c r="TMG34" s="28"/>
      <c r="TMH34" s="28"/>
      <c r="TMI34" s="28"/>
      <c r="TMJ34" s="28"/>
      <c r="TMK34" s="28"/>
      <c r="TML34" s="28"/>
      <c r="TMM34" s="28"/>
      <c r="TMN34" s="28"/>
      <c r="TMO34" s="28"/>
      <c r="TMP34" s="28"/>
      <c r="TMQ34" s="28"/>
      <c r="TMR34" s="28"/>
      <c r="TMS34" s="28"/>
      <c r="TMT34" s="28"/>
      <c r="TMU34" s="28"/>
      <c r="TMV34" s="28"/>
      <c r="TMW34" s="28"/>
      <c r="TMX34" s="28"/>
      <c r="TMY34" s="28"/>
      <c r="TMZ34" s="28"/>
      <c r="TNA34" s="28"/>
      <c r="TNB34" s="28"/>
      <c r="TNC34" s="28"/>
      <c r="TND34" s="28"/>
      <c r="TNE34" s="28"/>
      <c r="TNF34" s="28"/>
      <c r="TNG34" s="28"/>
      <c r="TNH34" s="28"/>
      <c r="TNI34" s="28"/>
      <c r="TNJ34" s="28"/>
      <c r="TNK34" s="28"/>
      <c r="TNL34" s="28"/>
      <c r="TNM34" s="28"/>
      <c r="TNN34" s="28"/>
      <c r="TNO34" s="28"/>
      <c r="TNP34" s="28"/>
      <c r="TNQ34" s="28"/>
      <c r="TNR34" s="28"/>
      <c r="TNS34" s="28"/>
      <c r="TNT34" s="28"/>
      <c r="TNU34" s="28"/>
      <c r="TNV34" s="28"/>
      <c r="TNW34" s="28"/>
      <c r="TNX34" s="28"/>
      <c r="TNY34" s="28"/>
      <c r="TNZ34" s="28"/>
      <c r="TOA34" s="28"/>
      <c r="TOB34" s="28"/>
      <c r="TOC34" s="28"/>
      <c r="TOD34" s="28"/>
      <c r="TOE34" s="28"/>
      <c r="TOF34" s="28"/>
      <c r="TOG34" s="28"/>
      <c r="TOH34" s="28"/>
      <c r="TOI34" s="28"/>
      <c r="TOJ34" s="28"/>
      <c r="TOK34" s="28"/>
      <c r="TOL34" s="28"/>
      <c r="TOM34" s="28"/>
      <c r="TON34" s="28"/>
      <c r="TOO34" s="28"/>
      <c r="TOP34" s="28"/>
      <c r="TOQ34" s="28"/>
      <c r="TOR34" s="28"/>
      <c r="TOS34" s="28"/>
      <c r="TOT34" s="28"/>
      <c r="TOU34" s="28"/>
      <c r="TOV34" s="28"/>
      <c r="TOW34" s="28"/>
      <c r="TOX34" s="28"/>
      <c r="TOY34" s="28"/>
      <c r="TOZ34" s="28"/>
      <c r="TPA34" s="28"/>
      <c r="TPB34" s="28"/>
      <c r="TPC34" s="28"/>
      <c r="TPD34" s="28"/>
      <c r="TPE34" s="28"/>
      <c r="TPF34" s="28"/>
      <c r="TPG34" s="28"/>
      <c r="TPH34" s="28"/>
      <c r="TPI34" s="28"/>
      <c r="TPJ34" s="28"/>
      <c r="TPK34" s="28"/>
      <c r="TPL34" s="28"/>
      <c r="TPM34" s="28"/>
      <c r="TPN34" s="28"/>
      <c r="TPO34" s="28"/>
      <c r="TPP34" s="28"/>
      <c r="TPQ34" s="28"/>
      <c r="TPR34" s="28"/>
      <c r="TPS34" s="28"/>
      <c r="TPT34" s="28"/>
      <c r="TPU34" s="28"/>
      <c r="TPV34" s="28"/>
      <c r="TPW34" s="28"/>
      <c r="TPX34" s="28"/>
      <c r="TPY34" s="28"/>
      <c r="TPZ34" s="28"/>
      <c r="TQA34" s="28"/>
      <c r="TQB34" s="28"/>
      <c r="TQC34" s="28"/>
      <c r="TQD34" s="28"/>
      <c r="TQE34" s="28"/>
      <c r="TQF34" s="28"/>
      <c r="TQG34" s="28"/>
      <c r="TQH34" s="28"/>
      <c r="TQI34" s="28"/>
      <c r="TQJ34" s="28"/>
      <c r="TQK34" s="28"/>
      <c r="TQL34" s="28"/>
      <c r="TQM34" s="28"/>
      <c r="TQN34" s="28"/>
      <c r="TQO34" s="28"/>
      <c r="TQP34" s="28"/>
      <c r="TQQ34" s="28"/>
      <c r="TQR34" s="28"/>
      <c r="TQS34" s="28"/>
      <c r="TQT34" s="28"/>
      <c r="TQU34" s="28"/>
      <c r="TQV34" s="28"/>
      <c r="TQW34" s="28"/>
      <c r="TQX34" s="28"/>
      <c r="TQY34" s="28"/>
      <c r="TQZ34" s="28"/>
      <c r="TRA34" s="28"/>
      <c r="TRB34" s="28"/>
      <c r="TRC34" s="28"/>
      <c r="TRD34" s="28"/>
      <c r="TRE34" s="28"/>
      <c r="TRF34" s="28"/>
      <c r="TRG34" s="28"/>
      <c r="TRH34" s="28"/>
      <c r="TRI34" s="28"/>
      <c r="TRJ34" s="28"/>
      <c r="TRK34" s="28"/>
      <c r="TRL34" s="28"/>
      <c r="TRM34" s="28"/>
      <c r="TRN34" s="28"/>
      <c r="TRO34" s="28"/>
      <c r="TRP34" s="28"/>
      <c r="TRQ34" s="28"/>
      <c r="TRR34" s="28"/>
      <c r="TRS34" s="28"/>
      <c r="TRT34" s="28"/>
      <c r="TRU34" s="28"/>
      <c r="TRV34" s="28"/>
      <c r="TRW34" s="28"/>
      <c r="TRX34" s="28"/>
      <c r="TRY34" s="28"/>
      <c r="TRZ34" s="28"/>
      <c r="TSA34" s="28"/>
      <c r="TSB34" s="28"/>
      <c r="TSC34" s="28"/>
      <c r="TSD34" s="28"/>
      <c r="TSE34" s="28"/>
      <c r="TSF34" s="28"/>
      <c r="TSG34" s="28"/>
      <c r="TSH34" s="28"/>
      <c r="TSI34" s="28"/>
      <c r="TSJ34" s="28"/>
      <c r="TSK34" s="28"/>
      <c r="TSL34" s="28"/>
      <c r="TSM34" s="28"/>
      <c r="TSN34" s="28"/>
      <c r="TSO34" s="28"/>
      <c r="TSP34" s="28"/>
      <c r="TSQ34" s="28"/>
      <c r="TSR34" s="28"/>
      <c r="TSS34" s="28"/>
      <c r="TST34" s="28"/>
      <c r="TSU34" s="28"/>
      <c r="TSV34" s="28"/>
      <c r="TSW34" s="28"/>
      <c r="TSX34" s="28"/>
      <c r="TSY34" s="28"/>
      <c r="TSZ34" s="28"/>
      <c r="TTA34" s="28"/>
      <c r="TTB34" s="28"/>
      <c r="TTC34" s="28"/>
      <c r="TTD34" s="28"/>
      <c r="TTE34" s="28"/>
      <c r="TTF34" s="28"/>
      <c r="TTG34" s="28"/>
      <c r="TTH34" s="28"/>
      <c r="TTI34" s="28"/>
      <c r="TTJ34" s="28"/>
      <c r="TTK34" s="28"/>
      <c r="TTL34" s="28"/>
      <c r="TTM34" s="28"/>
      <c r="TTN34" s="28"/>
      <c r="TTO34" s="28"/>
      <c r="TTP34" s="28"/>
      <c r="TTQ34" s="28"/>
      <c r="TTR34" s="28"/>
      <c r="TTS34" s="28"/>
      <c r="TTT34" s="28"/>
      <c r="TTU34" s="28"/>
      <c r="TTV34" s="28"/>
      <c r="TTW34" s="28"/>
      <c r="TTX34" s="28"/>
      <c r="TTY34" s="28"/>
      <c r="TTZ34" s="28"/>
      <c r="TUA34" s="28"/>
      <c r="TUB34" s="28"/>
      <c r="TUC34" s="28"/>
      <c r="TUD34" s="28"/>
      <c r="TUE34" s="28"/>
      <c r="TUF34" s="28"/>
      <c r="TUG34" s="28"/>
      <c r="TUH34" s="28"/>
      <c r="TUI34" s="28"/>
      <c r="TUJ34" s="28"/>
      <c r="TUK34" s="28"/>
      <c r="TUL34" s="28"/>
      <c r="TUM34" s="28"/>
      <c r="TUN34" s="28"/>
      <c r="TUO34" s="28"/>
      <c r="TUP34" s="28"/>
      <c r="TUQ34" s="28"/>
      <c r="TUR34" s="28"/>
      <c r="TUS34" s="28"/>
      <c r="TUT34" s="28"/>
      <c r="TUU34" s="28"/>
      <c r="TUV34" s="28"/>
      <c r="TUW34" s="28"/>
      <c r="TUX34" s="28"/>
      <c r="TUY34" s="28"/>
      <c r="TUZ34" s="28"/>
      <c r="TVA34" s="28"/>
      <c r="TVB34" s="28"/>
      <c r="TVC34" s="28"/>
      <c r="TVD34" s="28"/>
      <c r="TVE34" s="28"/>
      <c r="TVF34" s="28"/>
      <c r="TVG34" s="28"/>
      <c r="TVH34" s="28"/>
      <c r="TVI34" s="28"/>
      <c r="TVJ34" s="28"/>
      <c r="TVK34" s="28"/>
      <c r="TVL34" s="28"/>
      <c r="TVM34" s="28"/>
      <c r="TVN34" s="28"/>
      <c r="TVO34" s="28"/>
      <c r="TVP34" s="28"/>
      <c r="TVQ34" s="28"/>
      <c r="TVR34" s="28"/>
      <c r="TVS34" s="28"/>
      <c r="TVT34" s="28"/>
      <c r="TVU34" s="28"/>
      <c r="TVV34" s="28"/>
      <c r="TVW34" s="28"/>
      <c r="TVX34" s="28"/>
      <c r="TVY34" s="28"/>
      <c r="TVZ34" s="28"/>
      <c r="TWA34" s="28"/>
      <c r="TWB34" s="28"/>
      <c r="TWC34" s="28"/>
      <c r="TWD34" s="28"/>
      <c r="TWE34" s="28"/>
      <c r="TWF34" s="28"/>
      <c r="TWG34" s="28"/>
      <c r="TWH34" s="28"/>
      <c r="TWI34" s="28"/>
      <c r="TWJ34" s="28"/>
      <c r="TWK34" s="28"/>
      <c r="TWL34" s="28"/>
      <c r="TWM34" s="28"/>
      <c r="TWN34" s="28"/>
      <c r="TWO34" s="28"/>
      <c r="TWP34" s="28"/>
      <c r="TWQ34" s="28"/>
      <c r="TWR34" s="28"/>
      <c r="TWS34" s="28"/>
      <c r="TWT34" s="28"/>
      <c r="TWU34" s="28"/>
      <c r="TWV34" s="28"/>
      <c r="TWW34" s="28"/>
      <c r="TWX34" s="28"/>
      <c r="TWY34" s="28"/>
      <c r="TWZ34" s="28"/>
      <c r="TXA34" s="28"/>
      <c r="TXB34" s="28"/>
      <c r="TXC34" s="28"/>
      <c r="TXD34" s="28"/>
      <c r="TXE34" s="28"/>
      <c r="TXF34" s="28"/>
      <c r="TXG34" s="28"/>
      <c r="TXH34" s="28"/>
      <c r="TXI34" s="28"/>
      <c r="TXJ34" s="28"/>
      <c r="TXK34" s="28"/>
      <c r="TXL34" s="28"/>
      <c r="TXM34" s="28"/>
      <c r="TXN34" s="28"/>
      <c r="TXO34" s="28"/>
      <c r="TXP34" s="28"/>
      <c r="TXQ34" s="28"/>
      <c r="TXR34" s="28"/>
      <c r="TXS34" s="28"/>
      <c r="TXT34" s="28"/>
      <c r="TXU34" s="28"/>
      <c r="TXV34" s="28"/>
      <c r="TXW34" s="28"/>
      <c r="TXX34" s="28"/>
      <c r="TXY34" s="28"/>
      <c r="TXZ34" s="28"/>
      <c r="TYA34" s="28"/>
      <c r="TYB34" s="28"/>
      <c r="TYC34" s="28"/>
      <c r="TYD34" s="28"/>
      <c r="TYE34" s="28"/>
      <c r="TYF34" s="28"/>
      <c r="TYG34" s="28"/>
      <c r="TYH34" s="28"/>
      <c r="TYI34" s="28"/>
      <c r="TYJ34" s="28"/>
      <c r="TYK34" s="28"/>
      <c r="TYL34" s="28"/>
      <c r="TYM34" s="28"/>
      <c r="TYN34" s="28"/>
      <c r="TYO34" s="28"/>
      <c r="TYP34" s="28"/>
      <c r="TYQ34" s="28"/>
      <c r="TYR34" s="28"/>
      <c r="TYS34" s="28"/>
      <c r="TYT34" s="28"/>
      <c r="TYU34" s="28"/>
      <c r="TYV34" s="28"/>
      <c r="TYW34" s="28"/>
      <c r="TYX34" s="28"/>
      <c r="TYY34" s="28"/>
      <c r="TYZ34" s="28"/>
      <c r="TZA34" s="28"/>
      <c r="TZB34" s="28"/>
      <c r="TZC34" s="28"/>
      <c r="TZD34" s="28"/>
      <c r="TZE34" s="28"/>
      <c r="TZF34" s="28"/>
      <c r="TZG34" s="28"/>
      <c r="TZH34" s="28"/>
      <c r="TZI34" s="28"/>
      <c r="TZJ34" s="28"/>
      <c r="TZK34" s="28"/>
      <c r="TZL34" s="28"/>
      <c r="TZM34" s="28"/>
      <c r="TZN34" s="28"/>
      <c r="TZO34" s="28"/>
      <c r="TZP34" s="28"/>
      <c r="TZQ34" s="28"/>
      <c r="TZR34" s="28"/>
      <c r="TZS34" s="28"/>
      <c r="TZT34" s="28"/>
      <c r="TZU34" s="28"/>
      <c r="TZV34" s="28"/>
      <c r="TZW34" s="28"/>
      <c r="TZX34" s="28"/>
      <c r="TZY34" s="28"/>
      <c r="TZZ34" s="28"/>
      <c r="UAA34" s="28"/>
      <c r="UAB34" s="28"/>
      <c r="UAC34" s="28"/>
      <c r="UAD34" s="28"/>
      <c r="UAE34" s="28"/>
      <c r="UAF34" s="28"/>
      <c r="UAG34" s="28"/>
      <c r="UAH34" s="28"/>
      <c r="UAI34" s="28"/>
      <c r="UAJ34" s="28"/>
      <c r="UAK34" s="28"/>
      <c r="UAL34" s="28"/>
      <c r="UAM34" s="28"/>
      <c r="UAN34" s="28"/>
      <c r="UAO34" s="28"/>
      <c r="UAP34" s="28"/>
      <c r="UAQ34" s="28"/>
      <c r="UAR34" s="28"/>
      <c r="UAS34" s="28"/>
      <c r="UAT34" s="28"/>
      <c r="UAU34" s="28"/>
      <c r="UAV34" s="28"/>
      <c r="UAW34" s="28"/>
      <c r="UAX34" s="28"/>
      <c r="UAY34" s="28"/>
      <c r="UAZ34" s="28"/>
      <c r="UBA34" s="28"/>
      <c r="UBB34" s="28"/>
      <c r="UBC34" s="28"/>
      <c r="UBD34" s="28"/>
      <c r="UBE34" s="28"/>
      <c r="UBF34" s="28"/>
      <c r="UBG34" s="28"/>
      <c r="UBH34" s="28"/>
      <c r="UBI34" s="28"/>
      <c r="UBJ34" s="28"/>
      <c r="UBK34" s="28"/>
      <c r="UBL34" s="28"/>
      <c r="UBM34" s="28"/>
      <c r="UBN34" s="28"/>
      <c r="UBO34" s="28"/>
      <c r="UBP34" s="28"/>
      <c r="UBQ34" s="28"/>
      <c r="UBR34" s="28"/>
      <c r="UBS34" s="28"/>
      <c r="UBT34" s="28"/>
      <c r="UBU34" s="28"/>
      <c r="UBV34" s="28"/>
      <c r="UBW34" s="28"/>
      <c r="UBX34" s="28"/>
      <c r="UBY34" s="28"/>
      <c r="UBZ34" s="28"/>
      <c r="UCA34" s="28"/>
      <c r="UCB34" s="28"/>
      <c r="UCC34" s="28"/>
      <c r="UCD34" s="28"/>
      <c r="UCE34" s="28"/>
      <c r="UCF34" s="28"/>
      <c r="UCG34" s="28"/>
      <c r="UCH34" s="28"/>
      <c r="UCI34" s="28"/>
      <c r="UCJ34" s="28"/>
      <c r="UCK34" s="28"/>
      <c r="UCL34" s="28"/>
      <c r="UCM34" s="28"/>
      <c r="UCN34" s="28"/>
      <c r="UCO34" s="28"/>
      <c r="UCP34" s="28"/>
      <c r="UCQ34" s="28"/>
      <c r="UCR34" s="28"/>
      <c r="UCS34" s="28"/>
      <c r="UCT34" s="28"/>
      <c r="UCU34" s="28"/>
      <c r="UCV34" s="28"/>
      <c r="UCW34" s="28"/>
      <c r="UCX34" s="28"/>
      <c r="UCY34" s="28"/>
      <c r="UCZ34" s="28"/>
      <c r="UDA34" s="28"/>
      <c r="UDB34" s="28"/>
      <c r="UDC34" s="28"/>
      <c r="UDD34" s="28"/>
      <c r="UDE34" s="28"/>
      <c r="UDF34" s="28"/>
      <c r="UDG34" s="28"/>
      <c r="UDH34" s="28"/>
      <c r="UDI34" s="28"/>
      <c r="UDJ34" s="28"/>
      <c r="UDK34" s="28"/>
      <c r="UDL34" s="28"/>
      <c r="UDM34" s="28"/>
      <c r="UDN34" s="28"/>
      <c r="UDO34" s="28"/>
      <c r="UDP34" s="28"/>
      <c r="UDQ34" s="28"/>
      <c r="UDR34" s="28"/>
      <c r="UDS34" s="28"/>
      <c r="UDT34" s="28"/>
      <c r="UDU34" s="28"/>
      <c r="UDV34" s="28"/>
      <c r="UDW34" s="28"/>
      <c r="UDX34" s="28"/>
      <c r="UDY34" s="28"/>
      <c r="UDZ34" s="28"/>
      <c r="UEA34" s="28"/>
      <c r="UEB34" s="28"/>
      <c r="UEC34" s="28"/>
      <c r="UED34" s="28"/>
      <c r="UEE34" s="28"/>
      <c r="UEF34" s="28"/>
      <c r="UEG34" s="28"/>
      <c r="UEH34" s="28"/>
      <c r="UEI34" s="28"/>
      <c r="UEJ34" s="28"/>
      <c r="UEK34" s="28"/>
      <c r="UEL34" s="28"/>
      <c r="UEM34" s="28"/>
      <c r="UEN34" s="28"/>
      <c r="UEO34" s="28"/>
      <c r="UEP34" s="28"/>
      <c r="UEQ34" s="28"/>
      <c r="UER34" s="28"/>
      <c r="UES34" s="28"/>
      <c r="UET34" s="28"/>
      <c r="UEU34" s="28"/>
      <c r="UEV34" s="28"/>
      <c r="UEW34" s="28"/>
      <c r="UEX34" s="28"/>
      <c r="UEY34" s="28"/>
      <c r="UEZ34" s="28"/>
      <c r="UFA34" s="28"/>
      <c r="UFB34" s="28"/>
      <c r="UFC34" s="28"/>
      <c r="UFD34" s="28"/>
      <c r="UFE34" s="28"/>
      <c r="UFF34" s="28"/>
      <c r="UFG34" s="28"/>
      <c r="UFH34" s="28"/>
      <c r="UFI34" s="28"/>
      <c r="UFJ34" s="28"/>
      <c r="UFK34" s="28"/>
      <c r="UFL34" s="28"/>
      <c r="UFM34" s="28"/>
      <c r="UFN34" s="28"/>
      <c r="UFO34" s="28"/>
      <c r="UFP34" s="28"/>
      <c r="UFQ34" s="28"/>
      <c r="UFR34" s="28"/>
      <c r="UFS34" s="28"/>
      <c r="UFT34" s="28"/>
      <c r="UFU34" s="28"/>
      <c r="UFV34" s="28"/>
      <c r="UFW34" s="28"/>
      <c r="UFX34" s="28"/>
      <c r="UFY34" s="28"/>
      <c r="UFZ34" s="28"/>
      <c r="UGA34" s="28"/>
      <c r="UGB34" s="28"/>
      <c r="UGC34" s="28"/>
      <c r="UGD34" s="28"/>
      <c r="UGE34" s="28"/>
      <c r="UGF34" s="28"/>
      <c r="UGG34" s="28"/>
      <c r="UGH34" s="28"/>
      <c r="UGI34" s="28"/>
      <c r="UGJ34" s="28"/>
      <c r="UGK34" s="28"/>
      <c r="UGL34" s="28"/>
      <c r="UGM34" s="28"/>
      <c r="UGN34" s="28"/>
      <c r="UGO34" s="28"/>
      <c r="UGP34" s="28"/>
      <c r="UGQ34" s="28"/>
      <c r="UGR34" s="28"/>
      <c r="UGS34" s="28"/>
      <c r="UGT34" s="28"/>
      <c r="UGU34" s="28"/>
      <c r="UGV34" s="28"/>
      <c r="UGW34" s="28"/>
      <c r="UGX34" s="28"/>
      <c r="UGY34" s="28"/>
      <c r="UGZ34" s="28"/>
      <c r="UHA34" s="28"/>
      <c r="UHB34" s="28"/>
      <c r="UHC34" s="28"/>
      <c r="UHD34" s="28"/>
      <c r="UHE34" s="28"/>
      <c r="UHF34" s="28"/>
      <c r="UHG34" s="28"/>
      <c r="UHH34" s="28"/>
      <c r="UHI34" s="28"/>
      <c r="UHJ34" s="28"/>
      <c r="UHK34" s="28"/>
      <c r="UHL34" s="28"/>
      <c r="UHM34" s="28"/>
      <c r="UHN34" s="28"/>
      <c r="UHO34" s="28"/>
      <c r="UHP34" s="28"/>
      <c r="UHQ34" s="28"/>
      <c r="UHR34" s="28"/>
      <c r="UHS34" s="28"/>
      <c r="UHT34" s="28"/>
      <c r="UHU34" s="28"/>
      <c r="UHV34" s="28"/>
      <c r="UHW34" s="28"/>
      <c r="UHX34" s="28"/>
      <c r="UHY34" s="28"/>
      <c r="UHZ34" s="28"/>
      <c r="UIA34" s="28"/>
      <c r="UIB34" s="28"/>
      <c r="UIC34" s="28"/>
      <c r="UID34" s="28"/>
      <c r="UIE34" s="28"/>
      <c r="UIF34" s="28"/>
      <c r="UIG34" s="28"/>
      <c r="UIH34" s="28"/>
      <c r="UII34" s="28"/>
      <c r="UIJ34" s="28"/>
      <c r="UIK34" s="28"/>
      <c r="UIL34" s="28"/>
      <c r="UIM34" s="28"/>
      <c r="UIN34" s="28"/>
      <c r="UIO34" s="28"/>
      <c r="UIP34" s="28"/>
      <c r="UIQ34" s="28"/>
      <c r="UIR34" s="28"/>
      <c r="UIS34" s="28"/>
      <c r="UIT34" s="28"/>
      <c r="UIU34" s="28"/>
      <c r="UIV34" s="28"/>
      <c r="UIW34" s="28"/>
      <c r="UIX34" s="28"/>
      <c r="UIY34" s="28"/>
      <c r="UIZ34" s="28"/>
      <c r="UJA34" s="28"/>
      <c r="UJB34" s="28"/>
      <c r="UJC34" s="28"/>
      <c r="UJD34" s="28"/>
      <c r="UJE34" s="28"/>
      <c r="UJF34" s="28"/>
      <c r="UJG34" s="28"/>
      <c r="UJH34" s="28"/>
      <c r="UJI34" s="28"/>
      <c r="UJJ34" s="28"/>
      <c r="UJK34" s="28"/>
      <c r="UJL34" s="28"/>
      <c r="UJM34" s="28"/>
      <c r="UJN34" s="28"/>
      <c r="UJO34" s="28"/>
      <c r="UJP34" s="28"/>
      <c r="UJQ34" s="28"/>
      <c r="UJR34" s="28"/>
      <c r="UJS34" s="28"/>
      <c r="UJT34" s="28"/>
      <c r="UJU34" s="28"/>
      <c r="UJV34" s="28"/>
      <c r="UJW34" s="28"/>
      <c r="UJX34" s="28"/>
      <c r="UJY34" s="28"/>
      <c r="UJZ34" s="28"/>
      <c r="UKA34" s="28"/>
      <c r="UKB34" s="28"/>
      <c r="UKC34" s="28"/>
      <c r="UKD34" s="28"/>
      <c r="UKE34" s="28"/>
      <c r="UKF34" s="28"/>
      <c r="UKG34" s="28"/>
      <c r="UKH34" s="28"/>
      <c r="UKI34" s="28"/>
      <c r="UKJ34" s="28"/>
      <c r="UKK34" s="28"/>
      <c r="UKL34" s="28"/>
      <c r="UKM34" s="28"/>
      <c r="UKN34" s="28"/>
      <c r="UKO34" s="28"/>
      <c r="UKP34" s="28"/>
      <c r="UKQ34" s="28"/>
      <c r="UKR34" s="28"/>
      <c r="UKS34" s="28"/>
      <c r="UKT34" s="28"/>
      <c r="UKU34" s="28"/>
      <c r="UKV34" s="28"/>
      <c r="UKW34" s="28"/>
      <c r="UKX34" s="28"/>
      <c r="UKY34" s="28"/>
      <c r="UKZ34" s="28"/>
      <c r="ULA34" s="28"/>
      <c r="ULB34" s="28"/>
      <c r="ULC34" s="28"/>
      <c r="ULD34" s="28"/>
      <c r="ULE34" s="28"/>
      <c r="ULF34" s="28"/>
      <c r="ULG34" s="28"/>
      <c r="ULH34" s="28"/>
      <c r="ULI34" s="28"/>
      <c r="ULJ34" s="28"/>
      <c r="ULK34" s="28"/>
      <c r="ULL34" s="28"/>
      <c r="ULM34" s="28"/>
      <c r="ULN34" s="28"/>
      <c r="ULO34" s="28"/>
      <c r="ULP34" s="28"/>
      <c r="ULQ34" s="28"/>
      <c r="ULR34" s="28"/>
      <c r="ULS34" s="28"/>
      <c r="ULT34" s="28"/>
      <c r="ULU34" s="28"/>
      <c r="ULV34" s="28"/>
      <c r="ULW34" s="28"/>
      <c r="ULX34" s="28"/>
      <c r="ULY34" s="28"/>
      <c r="ULZ34" s="28"/>
      <c r="UMA34" s="28"/>
      <c r="UMB34" s="28"/>
      <c r="UMC34" s="28"/>
      <c r="UMD34" s="28"/>
      <c r="UME34" s="28"/>
      <c r="UMF34" s="28"/>
      <c r="UMG34" s="28"/>
      <c r="UMH34" s="28"/>
      <c r="UMI34" s="28"/>
      <c r="UMJ34" s="28"/>
      <c r="UMK34" s="28"/>
      <c r="UML34" s="28"/>
      <c r="UMM34" s="28"/>
      <c r="UMN34" s="28"/>
      <c r="UMO34" s="28"/>
      <c r="UMP34" s="28"/>
      <c r="UMQ34" s="28"/>
      <c r="UMR34" s="28"/>
      <c r="UMS34" s="28"/>
      <c r="UMT34" s="28"/>
      <c r="UMU34" s="28"/>
      <c r="UMV34" s="28"/>
      <c r="UMW34" s="28"/>
      <c r="UMX34" s="28"/>
      <c r="UMY34" s="28"/>
      <c r="UMZ34" s="28"/>
      <c r="UNA34" s="28"/>
      <c r="UNB34" s="28"/>
      <c r="UNC34" s="28"/>
      <c r="UND34" s="28"/>
      <c r="UNE34" s="28"/>
      <c r="UNF34" s="28"/>
      <c r="UNG34" s="28"/>
      <c r="UNH34" s="28"/>
      <c r="UNI34" s="28"/>
      <c r="UNJ34" s="28"/>
      <c r="UNK34" s="28"/>
      <c r="UNL34" s="28"/>
      <c r="UNM34" s="28"/>
      <c r="UNN34" s="28"/>
      <c r="UNO34" s="28"/>
      <c r="UNP34" s="28"/>
      <c r="UNQ34" s="28"/>
      <c r="UNR34" s="28"/>
      <c r="UNS34" s="28"/>
      <c r="UNT34" s="28"/>
      <c r="UNU34" s="28"/>
      <c r="UNV34" s="28"/>
      <c r="UNW34" s="28"/>
      <c r="UNX34" s="28"/>
      <c r="UNY34" s="28"/>
      <c r="UNZ34" s="28"/>
      <c r="UOA34" s="28"/>
      <c r="UOB34" s="28"/>
      <c r="UOC34" s="28"/>
      <c r="UOD34" s="28"/>
      <c r="UOE34" s="28"/>
      <c r="UOF34" s="28"/>
      <c r="UOG34" s="28"/>
      <c r="UOH34" s="28"/>
      <c r="UOI34" s="28"/>
      <c r="UOJ34" s="28"/>
      <c r="UOK34" s="28"/>
      <c r="UOL34" s="28"/>
      <c r="UOM34" s="28"/>
      <c r="UON34" s="28"/>
      <c r="UOO34" s="28"/>
      <c r="UOP34" s="28"/>
      <c r="UOQ34" s="28"/>
      <c r="UOR34" s="28"/>
      <c r="UOS34" s="28"/>
      <c r="UOT34" s="28"/>
      <c r="UOU34" s="28"/>
      <c r="UOV34" s="28"/>
      <c r="UOW34" s="28"/>
      <c r="UOX34" s="28"/>
      <c r="UOY34" s="28"/>
      <c r="UOZ34" s="28"/>
      <c r="UPA34" s="28"/>
      <c r="UPB34" s="28"/>
      <c r="UPC34" s="28"/>
      <c r="UPD34" s="28"/>
      <c r="UPE34" s="28"/>
      <c r="UPF34" s="28"/>
      <c r="UPG34" s="28"/>
      <c r="UPH34" s="28"/>
      <c r="UPI34" s="28"/>
      <c r="UPJ34" s="28"/>
      <c r="UPK34" s="28"/>
      <c r="UPL34" s="28"/>
      <c r="UPM34" s="28"/>
      <c r="UPN34" s="28"/>
      <c r="UPO34" s="28"/>
      <c r="UPP34" s="28"/>
      <c r="UPQ34" s="28"/>
      <c r="UPR34" s="28"/>
      <c r="UPS34" s="28"/>
      <c r="UPT34" s="28"/>
      <c r="UPU34" s="28"/>
      <c r="UPV34" s="28"/>
      <c r="UPW34" s="28"/>
      <c r="UPX34" s="28"/>
      <c r="UPY34" s="28"/>
      <c r="UPZ34" s="28"/>
      <c r="UQA34" s="28"/>
      <c r="UQB34" s="28"/>
      <c r="UQC34" s="28"/>
      <c r="UQD34" s="28"/>
      <c r="UQE34" s="28"/>
      <c r="UQF34" s="28"/>
      <c r="UQG34" s="28"/>
      <c r="UQH34" s="28"/>
      <c r="UQI34" s="28"/>
      <c r="UQJ34" s="28"/>
      <c r="UQK34" s="28"/>
      <c r="UQL34" s="28"/>
      <c r="UQM34" s="28"/>
      <c r="UQN34" s="28"/>
      <c r="UQO34" s="28"/>
      <c r="UQP34" s="28"/>
      <c r="UQQ34" s="28"/>
      <c r="UQR34" s="28"/>
      <c r="UQS34" s="28"/>
      <c r="UQT34" s="28"/>
      <c r="UQU34" s="28"/>
      <c r="UQV34" s="28"/>
      <c r="UQW34" s="28"/>
      <c r="UQX34" s="28"/>
      <c r="UQY34" s="28"/>
      <c r="UQZ34" s="28"/>
      <c r="URA34" s="28"/>
      <c r="URB34" s="28"/>
      <c r="URC34" s="28"/>
      <c r="URD34" s="28"/>
      <c r="URE34" s="28"/>
      <c r="URF34" s="28"/>
      <c r="URG34" s="28"/>
      <c r="URH34" s="28"/>
      <c r="URI34" s="28"/>
      <c r="URJ34" s="28"/>
      <c r="URK34" s="28"/>
      <c r="URL34" s="28"/>
      <c r="URM34" s="28"/>
      <c r="URN34" s="28"/>
      <c r="URO34" s="28"/>
      <c r="URP34" s="28"/>
      <c r="URQ34" s="28"/>
      <c r="URR34" s="28"/>
      <c r="URS34" s="28"/>
      <c r="URT34" s="28"/>
      <c r="URU34" s="28"/>
      <c r="URV34" s="28"/>
      <c r="URW34" s="28"/>
      <c r="URX34" s="28"/>
      <c r="URY34" s="28"/>
      <c r="URZ34" s="28"/>
      <c r="USA34" s="28"/>
      <c r="USB34" s="28"/>
      <c r="USC34" s="28"/>
      <c r="USD34" s="28"/>
      <c r="USE34" s="28"/>
      <c r="USF34" s="28"/>
      <c r="USG34" s="28"/>
      <c r="USH34" s="28"/>
      <c r="USI34" s="28"/>
      <c r="USJ34" s="28"/>
      <c r="USK34" s="28"/>
      <c r="USL34" s="28"/>
      <c r="USM34" s="28"/>
      <c r="USN34" s="28"/>
      <c r="USO34" s="28"/>
      <c r="USP34" s="28"/>
      <c r="USQ34" s="28"/>
      <c r="USR34" s="28"/>
      <c r="USS34" s="28"/>
      <c r="UST34" s="28"/>
      <c r="USU34" s="28"/>
      <c r="USV34" s="28"/>
      <c r="USW34" s="28"/>
      <c r="USX34" s="28"/>
      <c r="USY34" s="28"/>
      <c r="USZ34" s="28"/>
      <c r="UTA34" s="28"/>
      <c r="UTB34" s="28"/>
      <c r="UTC34" s="28"/>
      <c r="UTD34" s="28"/>
      <c r="UTE34" s="28"/>
      <c r="UTF34" s="28"/>
      <c r="UTG34" s="28"/>
      <c r="UTH34" s="28"/>
      <c r="UTI34" s="28"/>
      <c r="UTJ34" s="28"/>
      <c r="UTK34" s="28"/>
      <c r="UTL34" s="28"/>
      <c r="UTM34" s="28"/>
      <c r="UTN34" s="28"/>
      <c r="UTO34" s="28"/>
      <c r="UTP34" s="28"/>
      <c r="UTQ34" s="28"/>
      <c r="UTR34" s="28"/>
      <c r="UTS34" s="28"/>
      <c r="UTT34" s="28"/>
      <c r="UTU34" s="28"/>
      <c r="UTV34" s="28"/>
      <c r="UTW34" s="28"/>
      <c r="UTX34" s="28"/>
      <c r="UTY34" s="28"/>
      <c r="UTZ34" s="28"/>
      <c r="UUA34" s="28"/>
      <c r="UUB34" s="28"/>
      <c r="UUC34" s="28"/>
      <c r="UUD34" s="28"/>
      <c r="UUE34" s="28"/>
      <c r="UUF34" s="28"/>
      <c r="UUG34" s="28"/>
      <c r="UUH34" s="28"/>
      <c r="UUI34" s="28"/>
      <c r="UUJ34" s="28"/>
      <c r="UUK34" s="28"/>
      <c r="UUL34" s="28"/>
      <c r="UUM34" s="28"/>
      <c r="UUN34" s="28"/>
      <c r="UUO34" s="28"/>
      <c r="UUP34" s="28"/>
      <c r="UUQ34" s="28"/>
      <c r="UUR34" s="28"/>
      <c r="UUS34" s="28"/>
      <c r="UUT34" s="28"/>
      <c r="UUU34" s="28"/>
      <c r="UUV34" s="28"/>
      <c r="UUW34" s="28"/>
      <c r="UUX34" s="28"/>
      <c r="UUY34" s="28"/>
      <c r="UUZ34" s="28"/>
      <c r="UVA34" s="28"/>
      <c r="UVB34" s="28"/>
      <c r="UVC34" s="28"/>
      <c r="UVD34" s="28"/>
      <c r="UVE34" s="28"/>
      <c r="UVF34" s="28"/>
      <c r="UVG34" s="28"/>
      <c r="UVH34" s="28"/>
      <c r="UVI34" s="28"/>
      <c r="UVJ34" s="28"/>
      <c r="UVK34" s="28"/>
      <c r="UVL34" s="28"/>
      <c r="UVM34" s="28"/>
      <c r="UVN34" s="28"/>
      <c r="UVO34" s="28"/>
      <c r="UVP34" s="28"/>
      <c r="UVQ34" s="28"/>
      <c r="UVR34" s="28"/>
      <c r="UVS34" s="28"/>
      <c r="UVT34" s="28"/>
      <c r="UVU34" s="28"/>
      <c r="UVV34" s="28"/>
      <c r="UVW34" s="28"/>
      <c r="UVX34" s="28"/>
      <c r="UVY34" s="28"/>
      <c r="UVZ34" s="28"/>
      <c r="UWA34" s="28"/>
      <c r="UWB34" s="28"/>
      <c r="UWC34" s="28"/>
      <c r="UWD34" s="28"/>
      <c r="UWE34" s="28"/>
      <c r="UWF34" s="28"/>
      <c r="UWG34" s="28"/>
      <c r="UWH34" s="28"/>
      <c r="UWI34" s="28"/>
      <c r="UWJ34" s="28"/>
      <c r="UWK34" s="28"/>
      <c r="UWL34" s="28"/>
      <c r="UWM34" s="28"/>
      <c r="UWN34" s="28"/>
      <c r="UWO34" s="28"/>
      <c r="UWP34" s="28"/>
      <c r="UWQ34" s="28"/>
      <c r="UWR34" s="28"/>
      <c r="UWS34" s="28"/>
      <c r="UWT34" s="28"/>
      <c r="UWU34" s="28"/>
      <c r="UWV34" s="28"/>
      <c r="UWW34" s="28"/>
      <c r="UWX34" s="28"/>
      <c r="UWY34" s="28"/>
      <c r="UWZ34" s="28"/>
      <c r="UXA34" s="28"/>
      <c r="UXB34" s="28"/>
      <c r="UXC34" s="28"/>
      <c r="UXD34" s="28"/>
      <c r="UXE34" s="28"/>
      <c r="UXF34" s="28"/>
      <c r="UXG34" s="28"/>
      <c r="UXH34" s="28"/>
      <c r="UXI34" s="28"/>
      <c r="UXJ34" s="28"/>
      <c r="UXK34" s="28"/>
      <c r="UXL34" s="28"/>
      <c r="UXM34" s="28"/>
      <c r="UXN34" s="28"/>
      <c r="UXO34" s="28"/>
      <c r="UXP34" s="28"/>
      <c r="UXQ34" s="28"/>
      <c r="UXR34" s="28"/>
      <c r="UXS34" s="28"/>
      <c r="UXT34" s="28"/>
      <c r="UXU34" s="28"/>
      <c r="UXV34" s="28"/>
      <c r="UXW34" s="28"/>
      <c r="UXX34" s="28"/>
      <c r="UXY34" s="28"/>
      <c r="UXZ34" s="28"/>
      <c r="UYA34" s="28"/>
      <c r="UYB34" s="28"/>
      <c r="UYC34" s="28"/>
      <c r="UYD34" s="28"/>
      <c r="UYE34" s="28"/>
      <c r="UYF34" s="28"/>
      <c r="UYG34" s="28"/>
      <c r="UYH34" s="28"/>
      <c r="UYI34" s="28"/>
      <c r="UYJ34" s="28"/>
      <c r="UYK34" s="28"/>
      <c r="UYL34" s="28"/>
      <c r="UYM34" s="28"/>
      <c r="UYN34" s="28"/>
      <c r="UYO34" s="28"/>
      <c r="UYP34" s="28"/>
      <c r="UYQ34" s="28"/>
      <c r="UYR34" s="28"/>
      <c r="UYS34" s="28"/>
      <c r="UYT34" s="28"/>
      <c r="UYU34" s="28"/>
      <c r="UYV34" s="28"/>
      <c r="UYW34" s="28"/>
      <c r="UYX34" s="28"/>
      <c r="UYY34" s="28"/>
      <c r="UYZ34" s="28"/>
      <c r="UZA34" s="28"/>
      <c r="UZB34" s="28"/>
      <c r="UZC34" s="28"/>
      <c r="UZD34" s="28"/>
      <c r="UZE34" s="28"/>
      <c r="UZF34" s="28"/>
      <c r="UZG34" s="28"/>
      <c r="UZH34" s="28"/>
      <c r="UZI34" s="28"/>
      <c r="UZJ34" s="28"/>
      <c r="UZK34" s="28"/>
      <c r="UZL34" s="28"/>
      <c r="UZM34" s="28"/>
      <c r="UZN34" s="28"/>
      <c r="UZO34" s="28"/>
      <c r="UZP34" s="28"/>
      <c r="UZQ34" s="28"/>
      <c r="UZR34" s="28"/>
      <c r="UZS34" s="28"/>
      <c r="UZT34" s="28"/>
      <c r="UZU34" s="28"/>
      <c r="UZV34" s="28"/>
      <c r="UZW34" s="28"/>
      <c r="UZX34" s="28"/>
      <c r="UZY34" s="28"/>
      <c r="UZZ34" s="28"/>
      <c r="VAA34" s="28"/>
      <c r="VAB34" s="28"/>
      <c r="VAC34" s="28"/>
      <c r="VAD34" s="28"/>
      <c r="VAE34" s="28"/>
      <c r="VAF34" s="28"/>
      <c r="VAG34" s="28"/>
      <c r="VAH34" s="28"/>
      <c r="VAI34" s="28"/>
      <c r="VAJ34" s="28"/>
      <c r="VAK34" s="28"/>
      <c r="VAL34" s="28"/>
      <c r="VAM34" s="28"/>
      <c r="VAN34" s="28"/>
      <c r="VAO34" s="28"/>
      <c r="VAP34" s="28"/>
      <c r="VAQ34" s="28"/>
      <c r="VAR34" s="28"/>
      <c r="VAS34" s="28"/>
      <c r="VAT34" s="28"/>
      <c r="VAU34" s="28"/>
      <c r="VAV34" s="28"/>
      <c r="VAW34" s="28"/>
      <c r="VAX34" s="28"/>
      <c r="VAY34" s="28"/>
      <c r="VAZ34" s="28"/>
      <c r="VBA34" s="28"/>
      <c r="VBB34" s="28"/>
      <c r="VBC34" s="28"/>
      <c r="VBD34" s="28"/>
      <c r="VBE34" s="28"/>
      <c r="VBF34" s="28"/>
      <c r="VBG34" s="28"/>
      <c r="VBH34" s="28"/>
      <c r="VBI34" s="28"/>
      <c r="VBJ34" s="28"/>
      <c r="VBK34" s="28"/>
      <c r="VBL34" s="28"/>
      <c r="VBM34" s="28"/>
      <c r="VBN34" s="28"/>
      <c r="VBO34" s="28"/>
      <c r="VBP34" s="28"/>
      <c r="VBQ34" s="28"/>
      <c r="VBR34" s="28"/>
      <c r="VBS34" s="28"/>
      <c r="VBT34" s="28"/>
      <c r="VBU34" s="28"/>
      <c r="VBV34" s="28"/>
      <c r="VBW34" s="28"/>
      <c r="VBX34" s="28"/>
      <c r="VBY34" s="28"/>
      <c r="VBZ34" s="28"/>
      <c r="VCA34" s="28"/>
      <c r="VCB34" s="28"/>
      <c r="VCC34" s="28"/>
      <c r="VCD34" s="28"/>
      <c r="VCE34" s="28"/>
      <c r="VCF34" s="28"/>
      <c r="VCG34" s="28"/>
      <c r="VCH34" s="28"/>
      <c r="VCI34" s="28"/>
      <c r="VCJ34" s="28"/>
      <c r="VCK34" s="28"/>
      <c r="VCL34" s="28"/>
      <c r="VCM34" s="28"/>
      <c r="VCN34" s="28"/>
      <c r="VCO34" s="28"/>
      <c r="VCP34" s="28"/>
      <c r="VCQ34" s="28"/>
      <c r="VCR34" s="28"/>
      <c r="VCS34" s="28"/>
      <c r="VCT34" s="28"/>
      <c r="VCU34" s="28"/>
      <c r="VCV34" s="28"/>
      <c r="VCW34" s="28"/>
      <c r="VCX34" s="28"/>
      <c r="VCY34" s="28"/>
      <c r="VCZ34" s="28"/>
      <c r="VDA34" s="28"/>
      <c r="VDB34" s="28"/>
      <c r="VDC34" s="28"/>
      <c r="VDD34" s="28"/>
      <c r="VDE34" s="28"/>
      <c r="VDF34" s="28"/>
      <c r="VDG34" s="28"/>
      <c r="VDH34" s="28"/>
      <c r="VDI34" s="28"/>
      <c r="VDJ34" s="28"/>
      <c r="VDK34" s="28"/>
      <c r="VDL34" s="28"/>
      <c r="VDM34" s="28"/>
      <c r="VDN34" s="28"/>
      <c r="VDO34" s="28"/>
      <c r="VDP34" s="28"/>
      <c r="VDQ34" s="28"/>
      <c r="VDR34" s="28"/>
      <c r="VDS34" s="28"/>
      <c r="VDT34" s="28"/>
      <c r="VDU34" s="28"/>
      <c r="VDV34" s="28"/>
      <c r="VDW34" s="28"/>
      <c r="VDX34" s="28"/>
      <c r="VDY34" s="28"/>
      <c r="VDZ34" s="28"/>
      <c r="VEA34" s="28"/>
      <c r="VEB34" s="28"/>
      <c r="VEC34" s="28"/>
      <c r="VED34" s="28"/>
      <c r="VEE34" s="28"/>
      <c r="VEF34" s="28"/>
      <c r="VEG34" s="28"/>
      <c r="VEH34" s="28"/>
      <c r="VEI34" s="28"/>
      <c r="VEJ34" s="28"/>
      <c r="VEK34" s="28"/>
      <c r="VEL34" s="28"/>
      <c r="VEM34" s="28"/>
      <c r="VEN34" s="28"/>
      <c r="VEO34" s="28"/>
      <c r="VEP34" s="28"/>
      <c r="VEQ34" s="28"/>
      <c r="VER34" s="28"/>
      <c r="VES34" s="28"/>
      <c r="VET34" s="28"/>
      <c r="VEU34" s="28"/>
      <c r="VEV34" s="28"/>
      <c r="VEW34" s="28"/>
      <c r="VEX34" s="28"/>
      <c r="VEY34" s="28"/>
      <c r="VEZ34" s="28"/>
      <c r="VFA34" s="28"/>
      <c r="VFB34" s="28"/>
      <c r="VFC34" s="28"/>
      <c r="VFD34" s="28"/>
      <c r="VFE34" s="28"/>
      <c r="VFF34" s="28"/>
      <c r="VFG34" s="28"/>
      <c r="VFH34" s="28"/>
      <c r="VFI34" s="28"/>
      <c r="VFJ34" s="28"/>
      <c r="VFK34" s="28"/>
      <c r="VFL34" s="28"/>
      <c r="VFM34" s="28"/>
      <c r="VFN34" s="28"/>
      <c r="VFO34" s="28"/>
      <c r="VFP34" s="28"/>
      <c r="VFQ34" s="28"/>
      <c r="VFR34" s="28"/>
      <c r="VFS34" s="28"/>
      <c r="VFT34" s="28"/>
      <c r="VFU34" s="28"/>
      <c r="VFV34" s="28"/>
      <c r="VFW34" s="28"/>
      <c r="VFX34" s="28"/>
      <c r="VFY34" s="28"/>
      <c r="VFZ34" s="28"/>
      <c r="VGA34" s="28"/>
      <c r="VGB34" s="28"/>
      <c r="VGC34" s="28"/>
      <c r="VGD34" s="28"/>
      <c r="VGE34" s="28"/>
      <c r="VGF34" s="28"/>
      <c r="VGG34" s="28"/>
      <c r="VGH34" s="28"/>
      <c r="VGI34" s="28"/>
      <c r="VGJ34" s="28"/>
      <c r="VGK34" s="28"/>
      <c r="VGL34" s="28"/>
      <c r="VGM34" s="28"/>
      <c r="VGN34" s="28"/>
      <c r="VGO34" s="28"/>
      <c r="VGP34" s="28"/>
      <c r="VGQ34" s="28"/>
      <c r="VGR34" s="28"/>
      <c r="VGS34" s="28"/>
      <c r="VGT34" s="28"/>
      <c r="VGU34" s="28"/>
      <c r="VGV34" s="28"/>
      <c r="VGW34" s="28"/>
      <c r="VGX34" s="28"/>
      <c r="VGY34" s="28"/>
      <c r="VGZ34" s="28"/>
      <c r="VHA34" s="28"/>
      <c r="VHB34" s="28"/>
      <c r="VHC34" s="28"/>
      <c r="VHD34" s="28"/>
      <c r="VHE34" s="28"/>
      <c r="VHF34" s="28"/>
      <c r="VHG34" s="28"/>
      <c r="VHH34" s="28"/>
      <c r="VHI34" s="28"/>
      <c r="VHJ34" s="28"/>
      <c r="VHK34" s="28"/>
      <c r="VHL34" s="28"/>
      <c r="VHM34" s="28"/>
      <c r="VHN34" s="28"/>
      <c r="VHO34" s="28"/>
      <c r="VHP34" s="28"/>
      <c r="VHQ34" s="28"/>
      <c r="VHR34" s="28"/>
      <c r="VHS34" s="28"/>
      <c r="VHT34" s="28"/>
      <c r="VHU34" s="28"/>
      <c r="VHV34" s="28"/>
      <c r="VHW34" s="28"/>
      <c r="VHX34" s="28"/>
      <c r="VHY34" s="28"/>
      <c r="VHZ34" s="28"/>
      <c r="VIA34" s="28"/>
      <c r="VIB34" s="28"/>
      <c r="VIC34" s="28"/>
      <c r="VID34" s="28"/>
      <c r="VIE34" s="28"/>
      <c r="VIF34" s="28"/>
      <c r="VIG34" s="28"/>
      <c r="VIH34" s="28"/>
      <c r="VII34" s="28"/>
      <c r="VIJ34" s="28"/>
      <c r="VIK34" s="28"/>
      <c r="VIL34" s="28"/>
      <c r="VIM34" s="28"/>
      <c r="VIN34" s="28"/>
      <c r="VIO34" s="28"/>
      <c r="VIP34" s="28"/>
      <c r="VIQ34" s="28"/>
      <c r="VIR34" s="28"/>
      <c r="VIS34" s="28"/>
      <c r="VIT34" s="28"/>
      <c r="VIU34" s="28"/>
      <c r="VIV34" s="28"/>
      <c r="VIW34" s="28"/>
      <c r="VIX34" s="28"/>
      <c r="VIY34" s="28"/>
      <c r="VIZ34" s="28"/>
      <c r="VJA34" s="28"/>
      <c r="VJB34" s="28"/>
      <c r="VJC34" s="28"/>
      <c r="VJD34" s="28"/>
      <c r="VJE34" s="28"/>
      <c r="VJF34" s="28"/>
      <c r="VJG34" s="28"/>
      <c r="VJH34" s="28"/>
      <c r="VJI34" s="28"/>
      <c r="VJJ34" s="28"/>
      <c r="VJK34" s="28"/>
      <c r="VJL34" s="28"/>
      <c r="VJM34" s="28"/>
      <c r="VJN34" s="28"/>
      <c r="VJO34" s="28"/>
      <c r="VJP34" s="28"/>
      <c r="VJQ34" s="28"/>
      <c r="VJR34" s="28"/>
      <c r="VJS34" s="28"/>
      <c r="VJT34" s="28"/>
      <c r="VJU34" s="28"/>
      <c r="VJV34" s="28"/>
      <c r="VJW34" s="28"/>
      <c r="VJX34" s="28"/>
      <c r="VJY34" s="28"/>
      <c r="VJZ34" s="28"/>
      <c r="VKA34" s="28"/>
      <c r="VKB34" s="28"/>
      <c r="VKC34" s="28"/>
      <c r="VKD34" s="28"/>
      <c r="VKE34" s="28"/>
      <c r="VKF34" s="28"/>
      <c r="VKG34" s="28"/>
      <c r="VKH34" s="28"/>
      <c r="VKI34" s="28"/>
      <c r="VKJ34" s="28"/>
      <c r="VKK34" s="28"/>
      <c r="VKL34" s="28"/>
      <c r="VKM34" s="28"/>
      <c r="VKN34" s="28"/>
      <c r="VKO34" s="28"/>
      <c r="VKP34" s="28"/>
      <c r="VKQ34" s="28"/>
      <c r="VKR34" s="28"/>
      <c r="VKS34" s="28"/>
      <c r="VKT34" s="28"/>
      <c r="VKU34" s="28"/>
      <c r="VKV34" s="28"/>
      <c r="VKW34" s="28"/>
      <c r="VKX34" s="28"/>
      <c r="VKY34" s="28"/>
      <c r="VKZ34" s="28"/>
      <c r="VLA34" s="28"/>
      <c r="VLB34" s="28"/>
      <c r="VLC34" s="28"/>
      <c r="VLD34" s="28"/>
      <c r="VLE34" s="28"/>
      <c r="VLF34" s="28"/>
      <c r="VLG34" s="28"/>
      <c r="VLH34" s="28"/>
      <c r="VLI34" s="28"/>
      <c r="VLJ34" s="28"/>
      <c r="VLK34" s="28"/>
      <c r="VLL34" s="28"/>
      <c r="VLM34" s="28"/>
      <c r="VLN34" s="28"/>
      <c r="VLO34" s="28"/>
      <c r="VLP34" s="28"/>
      <c r="VLQ34" s="28"/>
      <c r="VLR34" s="28"/>
      <c r="VLS34" s="28"/>
      <c r="VLT34" s="28"/>
      <c r="VLU34" s="28"/>
      <c r="VLV34" s="28"/>
      <c r="VLW34" s="28"/>
      <c r="VLX34" s="28"/>
      <c r="VLY34" s="28"/>
      <c r="VLZ34" s="28"/>
      <c r="VMA34" s="28"/>
      <c r="VMB34" s="28"/>
      <c r="VMC34" s="28"/>
      <c r="VMD34" s="28"/>
      <c r="VME34" s="28"/>
      <c r="VMF34" s="28"/>
      <c r="VMG34" s="28"/>
      <c r="VMH34" s="28"/>
      <c r="VMI34" s="28"/>
      <c r="VMJ34" s="28"/>
      <c r="VMK34" s="28"/>
      <c r="VML34" s="28"/>
      <c r="VMM34" s="28"/>
      <c r="VMN34" s="28"/>
      <c r="VMO34" s="28"/>
      <c r="VMP34" s="28"/>
      <c r="VMQ34" s="28"/>
      <c r="VMR34" s="28"/>
      <c r="VMS34" s="28"/>
      <c r="VMT34" s="28"/>
      <c r="VMU34" s="28"/>
      <c r="VMV34" s="28"/>
      <c r="VMW34" s="28"/>
      <c r="VMX34" s="28"/>
      <c r="VMY34" s="28"/>
      <c r="VMZ34" s="28"/>
      <c r="VNA34" s="28"/>
      <c r="VNB34" s="28"/>
      <c r="VNC34" s="28"/>
      <c r="VND34" s="28"/>
      <c r="VNE34" s="28"/>
      <c r="VNF34" s="28"/>
      <c r="VNG34" s="28"/>
      <c r="VNH34" s="28"/>
      <c r="VNI34" s="28"/>
      <c r="VNJ34" s="28"/>
      <c r="VNK34" s="28"/>
      <c r="VNL34" s="28"/>
      <c r="VNM34" s="28"/>
      <c r="VNN34" s="28"/>
      <c r="VNO34" s="28"/>
      <c r="VNP34" s="28"/>
      <c r="VNQ34" s="28"/>
      <c r="VNR34" s="28"/>
      <c r="VNS34" s="28"/>
      <c r="VNT34" s="28"/>
      <c r="VNU34" s="28"/>
      <c r="VNV34" s="28"/>
      <c r="VNW34" s="28"/>
      <c r="VNX34" s="28"/>
      <c r="VNY34" s="28"/>
      <c r="VNZ34" s="28"/>
      <c r="VOA34" s="28"/>
      <c r="VOB34" s="28"/>
      <c r="VOC34" s="28"/>
      <c r="VOD34" s="28"/>
      <c r="VOE34" s="28"/>
      <c r="VOF34" s="28"/>
      <c r="VOG34" s="28"/>
      <c r="VOH34" s="28"/>
      <c r="VOI34" s="28"/>
      <c r="VOJ34" s="28"/>
      <c r="VOK34" s="28"/>
      <c r="VOL34" s="28"/>
      <c r="VOM34" s="28"/>
      <c r="VON34" s="28"/>
      <c r="VOO34" s="28"/>
      <c r="VOP34" s="28"/>
      <c r="VOQ34" s="28"/>
      <c r="VOR34" s="28"/>
      <c r="VOS34" s="28"/>
      <c r="VOT34" s="28"/>
      <c r="VOU34" s="28"/>
      <c r="VOV34" s="28"/>
      <c r="VOW34" s="28"/>
      <c r="VOX34" s="28"/>
      <c r="VOY34" s="28"/>
      <c r="VOZ34" s="28"/>
      <c r="VPA34" s="28"/>
      <c r="VPB34" s="28"/>
      <c r="VPC34" s="28"/>
      <c r="VPD34" s="28"/>
      <c r="VPE34" s="28"/>
      <c r="VPF34" s="28"/>
      <c r="VPG34" s="28"/>
      <c r="VPH34" s="28"/>
      <c r="VPI34" s="28"/>
      <c r="VPJ34" s="28"/>
      <c r="VPK34" s="28"/>
      <c r="VPL34" s="28"/>
      <c r="VPM34" s="28"/>
      <c r="VPN34" s="28"/>
      <c r="VPO34" s="28"/>
      <c r="VPP34" s="28"/>
      <c r="VPQ34" s="28"/>
      <c r="VPR34" s="28"/>
      <c r="VPS34" s="28"/>
      <c r="VPT34" s="28"/>
      <c r="VPU34" s="28"/>
      <c r="VPV34" s="28"/>
      <c r="VPW34" s="28"/>
      <c r="VPX34" s="28"/>
      <c r="VPY34" s="28"/>
      <c r="VPZ34" s="28"/>
      <c r="VQA34" s="28"/>
      <c r="VQB34" s="28"/>
      <c r="VQC34" s="28"/>
      <c r="VQD34" s="28"/>
      <c r="VQE34" s="28"/>
      <c r="VQF34" s="28"/>
      <c r="VQG34" s="28"/>
      <c r="VQH34" s="28"/>
      <c r="VQI34" s="28"/>
      <c r="VQJ34" s="28"/>
      <c r="VQK34" s="28"/>
      <c r="VQL34" s="28"/>
      <c r="VQM34" s="28"/>
      <c r="VQN34" s="28"/>
      <c r="VQO34" s="28"/>
      <c r="VQP34" s="28"/>
      <c r="VQQ34" s="28"/>
      <c r="VQR34" s="28"/>
      <c r="VQS34" s="28"/>
      <c r="VQT34" s="28"/>
      <c r="VQU34" s="28"/>
      <c r="VQV34" s="28"/>
      <c r="VQW34" s="28"/>
      <c r="VQX34" s="28"/>
      <c r="VQY34" s="28"/>
      <c r="VQZ34" s="28"/>
      <c r="VRA34" s="28"/>
      <c r="VRB34" s="28"/>
      <c r="VRC34" s="28"/>
      <c r="VRD34" s="28"/>
      <c r="VRE34" s="28"/>
      <c r="VRF34" s="28"/>
      <c r="VRG34" s="28"/>
      <c r="VRH34" s="28"/>
      <c r="VRI34" s="28"/>
      <c r="VRJ34" s="28"/>
      <c r="VRK34" s="28"/>
      <c r="VRL34" s="28"/>
      <c r="VRM34" s="28"/>
      <c r="VRN34" s="28"/>
      <c r="VRO34" s="28"/>
      <c r="VRP34" s="28"/>
      <c r="VRQ34" s="28"/>
      <c r="VRR34" s="28"/>
      <c r="VRS34" s="28"/>
      <c r="VRT34" s="28"/>
      <c r="VRU34" s="28"/>
      <c r="VRV34" s="28"/>
      <c r="VRW34" s="28"/>
      <c r="VRX34" s="28"/>
      <c r="VRY34" s="28"/>
      <c r="VRZ34" s="28"/>
      <c r="VSA34" s="28"/>
      <c r="VSB34" s="28"/>
      <c r="VSC34" s="28"/>
      <c r="VSD34" s="28"/>
      <c r="VSE34" s="28"/>
      <c r="VSF34" s="28"/>
      <c r="VSG34" s="28"/>
      <c r="VSH34" s="28"/>
      <c r="VSI34" s="28"/>
      <c r="VSJ34" s="28"/>
      <c r="VSK34" s="28"/>
      <c r="VSL34" s="28"/>
      <c r="VSM34" s="28"/>
      <c r="VSN34" s="28"/>
      <c r="VSO34" s="28"/>
      <c r="VSP34" s="28"/>
      <c r="VSQ34" s="28"/>
      <c r="VSR34" s="28"/>
      <c r="VSS34" s="28"/>
      <c r="VST34" s="28"/>
      <c r="VSU34" s="28"/>
      <c r="VSV34" s="28"/>
      <c r="VSW34" s="28"/>
      <c r="VSX34" s="28"/>
      <c r="VSY34" s="28"/>
      <c r="VSZ34" s="28"/>
      <c r="VTA34" s="28"/>
      <c r="VTB34" s="28"/>
      <c r="VTC34" s="28"/>
      <c r="VTD34" s="28"/>
      <c r="VTE34" s="28"/>
      <c r="VTF34" s="28"/>
      <c r="VTG34" s="28"/>
      <c r="VTH34" s="28"/>
      <c r="VTI34" s="28"/>
      <c r="VTJ34" s="28"/>
      <c r="VTK34" s="28"/>
      <c r="VTL34" s="28"/>
      <c r="VTM34" s="28"/>
      <c r="VTN34" s="28"/>
      <c r="VTO34" s="28"/>
      <c r="VTP34" s="28"/>
      <c r="VTQ34" s="28"/>
      <c r="VTR34" s="28"/>
      <c r="VTS34" s="28"/>
      <c r="VTT34" s="28"/>
      <c r="VTU34" s="28"/>
      <c r="VTV34" s="28"/>
      <c r="VTW34" s="28"/>
      <c r="VTX34" s="28"/>
      <c r="VTY34" s="28"/>
      <c r="VTZ34" s="28"/>
      <c r="VUA34" s="28"/>
      <c r="VUB34" s="28"/>
      <c r="VUC34" s="28"/>
      <c r="VUD34" s="28"/>
      <c r="VUE34" s="28"/>
      <c r="VUF34" s="28"/>
      <c r="VUG34" s="28"/>
      <c r="VUH34" s="28"/>
      <c r="VUI34" s="28"/>
      <c r="VUJ34" s="28"/>
      <c r="VUK34" s="28"/>
      <c r="VUL34" s="28"/>
      <c r="VUM34" s="28"/>
      <c r="VUN34" s="28"/>
      <c r="VUO34" s="28"/>
      <c r="VUP34" s="28"/>
      <c r="VUQ34" s="28"/>
      <c r="VUR34" s="28"/>
      <c r="VUS34" s="28"/>
      <c r="VUT34" s="28"/>
      <c r="VUU34" s="28"/>
      <c r="VUV34" s="28"/>
      <c r="VUW34" s="28"/>
      <c r="VUX34" s="28"/>
      <c r="VUY34" s="28"/>
      <c r="VUZ34" s="28"/>
      <c r="VVA34" s="28"/>
      <c r="VVB34" s="28"/>
      <c r="VVC34" s="28"/>
      <c r="VVD34" s="28"/>
      <c r="VVE34" s="28"/>
      <c r="VVF34" s="28"/>
      <c r="VVG34" s="28"/>
      <c r="VVH34" s="28"/>
      <c r="VVI34" s="28"/>
      <c r="VVJ34" s="28"/>
      <c r="VVK34" s="28"/>
      <c r="VVL34" s="28"/>
      <c r="VVM34" s="28"/>
      <c r="VVN34" s="28"/>
      <c r="VVO34" s="28"/>
      <c r="VVP34" s="28"/>
      <c r="VVQ34" s="28"/>
      <c r="VVR34" s="28"/>
      <c r="VVS34" s="28"/>
      <c r="VVT34" s="28"/>
      <c r="VVU34" s="28"/>
      <c r="VVV34" s="28"/>
      <c r="VVW34" s="28"/>
      <c r="VVX34" s="28"/>
      <c r="VVY34" s="28"/>
      <c r="VVZ34" s="28"/>
      <c r="VWA34" s="28"/>
      <c r="VWB34" s="28"/>
      <c r="VWC34" s="28"/>
      <c r="VWD34" s="28"/>
      <c r="VWE34" s="28"/>
      <c r="VWF34" s="28"/>
      <c r="VWG34" s="28"/>
      <c r="VWH34" s="28"/>
      <c r="VWI34" s="28"/>
      <c r="VWJ34" s="28"/>
      <c r="VWK34" s="28"/>
      <c r="VWL34" s="28"/>
      <c r="VWM34" s="28"/>
      <c r="VWN34" s="28"/>
      <c r="VWO34" s="28"/>
      <c r="VWP34" s="28"/>
      <c r="VWQ34" s="28"/>
      <c r="VWR34" s="28"/>
      <c r="VWS34" s="28"/>
      <c r="VWT34" s="28"/>
      <c r="VWU34" s="28"/>
      <c r="VWV34" s="28"/>
      <c r="VWW34" s="28"/>
      <c r="VWX34" s="28"/>
      <c r="VWY34" s="28"/>
      <c r="VWZ34" s="28"/>
      <c r="VXA34" s="28"/>
      <c r="VXB34" s="28"/>
      <c r="VXC34" s="28"/>
      <c r="VXD34" s="28"/>
      <c r="VXE34" s="28"/>
      <c r="VXF34" s="28"/>
      <c r="VXG34" s="28"/>
      <c r="VXH34" s="28"/>
      <c r="VXI34" s="28"/>
      <c r="VXJ34" s="28"/>
      <c r="VXK34" s="28"/>
      <c r="VXL34" s="28"/>
      <c r="VXM34" s="28"/>
      <c r="VXN34" s="28"/>
      <c r="VXO34" s="28"/>
      <c r="VXP34" s="28"/>
      <c r="VXQ34" s="28"/>
      <c r="VXR34" s="28"/>
      <c r="VXS34" s="28"/>
      <c r="VXT34" s="28"/>
      <c r="VXU34" s="28"/>
      <c r="VXV34" s="28"/>
      <c r="VXW34" s="28"/>
      <c r="VXX34" s="28"/>
      <c r="VXY34" s="28"/>
      <c r="VXZ34" s="28"/>
      <c r="VYA34" s="28"/>
      <c r="VYB34" s="28"/>
      <c r="VYC34" s="28"/>
      <c r="VYD34" s="28"/>
      <c r="VYE34" s="28"/>
      <c r="VYF34" s="28"/>
      <c r="VYG34" s="28"/>
      <c r="VYH34" s="28"/>
      <c r="VYI34" s="28"/>
      <c r="VYJ34" s="28"/>
      <c r="VYK34" s="28"/>
      <c r="VYL34" s="28"/>
      <c r="VYM34" s="28"/>
      <c r="VYN34" s="28"/>
      <c r="VYO34" s="28"/>
      <c r="VYP34" s="28"/>
      <c r="VYQ34" s="28"/>
      <c r="VYR34" s="28"/>
      <c r="VYS34" s="28"/>
      <c r="VYT34" s="28"/>
      <c r="VYU34" s="28"/>
      <c r="VYV34" s="28"/>
      <c r="VYW34" s="28"/>
      <c r="VYX34" s="28"/>
      <c r="VYY34" s="28"/>
      <c r="VYZ34" s="28"/>
      <c r="VZA34" s="28"/>
      <c r="VZB34" s="28"/>
      <c r="VZC34" s="28"/>
      <c r="VZD34" s="28"/>
      <c r="VZE34" s="28"/>
      <c r="VZF34" s="28"/>
      <c r="VZG34" s="28"/>
      <c r="VZH34" s="28"/>
      <c r="VZI34" s="28"/>
      <c r="VZJ34" s="28"/>
      <c r="VZK34" s="28"/>
      <c r="VZL34" s="28"/>
      <c r="VZM34" s="28"/>
      <c r="VZN34" s="28"/>
      <c r="VZO34" s="28"/>
      <c r="VZP34" s="28"/>
      <c r="VZQ34" s="28"/>
      <c r="VZR34" s="28"/>
      <c r="VZS34" s="28"/>
      <c r="VZT34" s="28"/>
      <c r="VZU34" s="28"/>
      <c r="VZV34" s="28"/>
      <c r="VZW34" s="28"/>
      <c r="VZX34" s="28"/>
      <c r="VZY34" s="28"/>
      <c r="VZZ34" s="28"/>
      <c r="WAA34" s="28"/>
      <c r="WAB34" s="28"/>
      <c r="WAC34" s="28"/>
      <c r="WAD34" s="28"/>
      <c r="WAE34" s="28"/>
      <c r="WAF34" s="28"/>
      <c r="WAG34" s="28"/>
      <c r="WAH34" s="28"/>
      <c r="WAI34" s="28"/>
      <c r="WAJ34" s="28"/>
      <c r="WAK34" s="28"/>
      <c r="WAL34" s="28"/>
      <c r="WAM34" s="28"/>
      <c r="WAN34" s="28"/>
      <c r="WAO34" s="28"/>
      <c r="WAP34" s="28"/>
      <c r="WAQ34" s="28"/>
      <c r="WAR34" s="28"/>
      <c r="WAS34" s="28"/>
      <c r="WAT34" s="28"/>
      <c r="WAU34" s="28"/>
      <c r="WAV34" s="28"/>
      <c r="WAW34" s="28"/>
      <c r="WAX34" s="28"/>
      <c r="WAY34" s="28"/>
      <c r="WAZ34" s="28"/>
      <c r="WBA34" s="28"/>
      <c r="WBB34" s="28"/>
      <c r="WBC34" s="28"/>
      <c r="WBD34" s="28"/>
      <c r="WBE34" s="28"/>
      <c r="WBF34" s="28"/>
      <c r="WBG34" s="28"/>
      <c r="WBH34" s="28"/>
      <c r="WBI34" s="28"/>
      <c r="WBJ34" s="28"/>
      <c r="WBK34" s="28"/>
      <c r="WBL34" s="28"/>
      <c r="WBM34" s="28"/>
      <c r="WBN34" s="28"/>
      <c r="WBO34" s="28"/>
      <c r="WBP34" s="28"/>
      <c r="WBQ34" s="28"/>
      <c r="WBR34" s="28"/>
      <c r="WBS34" s="28"/>
      <c r="WBT34" s="28"/>
      <c r="WBU34" s="28"/>
      <c r="WBV34" s="28"/>
      <c r="WBW34" s="28"/>
      <c r="WBX34" s="28"/>
      <c r="WBY34" s="28"/>
      <c r="WBZ34" s="28"/>
      <c r="WCA34" s="28"/>
      <c r="WCB34" s="28"/>
      <c r="WCC34" s="28"/>
      <c r="WCD34" s="28"/>
      <c r="WCE34" s="28"/>
      <c r="WCF34" s="28"/>
      <c r="WCG34" s="28"/>
      <c r="WCH34" s="28"/>
      <c r="WCI34" s="28"/>
      <c r="WCJ34" s="28"/>
      <c r="WCK34" s="28"/>
      <c r="WCL34" s="28"/>
      <c r="WCM34" s="28"/>
      <c r="WCN34" s="28"/>
      <c r="WCO34" s="28"/>
      <c r="WCP34" s="28"/>
      <c r="WCQ34" s="28"/>
      <c r="WCR34" s="28"/>
      <c r="WCS34" s="28"/>
      <c r="WCT34" s="28"/>
      <c r="WCU34" s="28"/>
      <c r="WCV34" s="28"/>
      <c r="WCW34" s="28"/>
      <c r="WCX34" s="28"/>
      <c r="WCY34" s="28"/>
      <c r="WCZ34" s="28"/>
      <c r="WDA34" s="28"/>
      <c r="WDB34" s="28"/>
      <c r="WDC34" s="28"/>
      <c r="WDD34" s="28"/>
      <c r="WDE34" s="28"/>
      <c r="WDF34" s="28"/>
      <c r="WDG34" s="28"/>
      <c r="WDH34" s="28"/>
      <c r="WDI34" s="28"/>
      <c r="WDJ34" s="28"/>
      <c r="WDK34" s="28"/>
      <c r="WDL34" s="28"/>
      <c r="WDM34" s="28"/>
      <c r="WDN34" s="28"/>
      <c r="WDO34" s="28"/>
      <c r="WDP34" s="28"/>
      <c r="WDQ34" s="28"/>
      <c r="WDR34" s="28"/>
      <c r="WDS34" s="28"/>
      <c r="WDT34" s="28"/>
      <c r="WDU34" s="28"/>
      <c r="WDV34" s="28"/>
      <c r="WDW34" s="28"/>
      <c r="WDX34" s="28"/>
      <c r="WDY34" s="28"/>
      <c r="WDZ34" s="28"/>
      <c r="WEA34" s="28"/>
      <c r="WEB34" s="28"/>
      <c r="WEC34" s="28"/>
      <c r="WED34" s="28"/>
      <c r="WEE34" s="28"/>
      <c r="WEF34" s="28"/>
      <c r="WEG34" s="28"/>
      <c r="WEH34" s="28"/>
      <c r="WEI34" s="28"/>
      <c r="WEJ34" s="28"/>
      <c r="WEK34" s="28"/>
      <c r="WEL34" s="28"/>
      <c r="WEM34" s="28"/>
      <c r="WEN34" s="28"/>
      <c r="WEO34" s="28"/>
      <c r="WEP34" s="28"/>
      <c r="WEQ34" s="28"/>
      <c r="WER34" s="28"/>
      <c r="WES34" s="28"/>
      <c r="WET34" s="28"/>
      <c r="WEU34" s="28"/>
      <c r="WEV34" s="28"/>
      <c r="WEW34" s="28"/>
      <c r="WEX34" s="28"/>
      <c r="WEY34" s="28"/>
      <c r="WEZ34" s="28"/>
      <c r="WFA34" s="28"/>
      <c r="WFB34" s="28"/>
      <c r="WFC34" s="28"/>
      <c r="WFD34" s="28"/>
      <c r="WFE34" s="28"/>
      <c r="WFF34" s="28"/>
      <c r="WFG34" s="28"/>
      <c r="WFH34" s="28"/>
      <c r="WFI34" s="28"/>
      <c r="WFJ34" s="28"/>
      <c r="WFK34" s="28"/>
      <c r="WFL34" s="28"/>
      <c r="WFM34" s="28"/>
      <c r="WFN34" s="28"/>
      <c r="WFO34" s="28"/>
      <c r="WFP34" s="28"/>
      <c r="WFQ34" s="28"/>
      <c r="WFR34" s="28"/>
      <c r="WFS34" s="28"/>
      <c r="WFT34" s="28"/>
      <c r="WFU34" s="28"/>
      <c r="WFV34" s="28"/>
      <c r="WFW34" s="28"/>
      <c r="WFX34" s="28"/>
      <c r="WFY34" s="28"/>
      <c r="WFZ34" s="28"/>
      <c r="WGA34" s="28"/>
      <c r="WGB34" s="28"/>
      <c r="WGC34" s="28"/>
      <c r="WGD34" s="28"/>
      <c r="WGE34" s="28"/>
      <c r="WGF34" s="28"/>
      <c r="WGG34" s="28"/>
      <c r="WGH34" s="28"/>
      <c r="WGI34" s="28"/>
      <c r="WGJ34" s="28"/>
      <c r="WGK34" s="28"/>
      <c r="WGL34" s="28"/>
      <c r="WGM34" s="28"/>
      <c r="WGN34" s="28"/>
      <c r="WGO34" s="28"/>
      <c r="WGP34" s="28"/>
      <c r="WGQ34" s="28"/>
      <c r="WGR34" s="28"/>
      <c r="WGS34" s="28"/>
      <c r="WGT34" s="28"/>
      <c r="WGU34" s="28"/>
      <c r="WGV34" s="28"/>
      <c r="WGW34" s="28"/>
      <c r="WGX34" s="28"/>
      <c r="WGY34" s="28"/>
      <c r="WGZ34" s="28"/>
      <c r="WHA34" s="28"/>
      <c r="WHB34" s="28"/>
      <c r="WHC34" s="28"/>
      <c r="WHD34" s="28"/>
      <c r="WHE34" s="28"/>
      <c r="WHF34" s="28"/>
      <c r="WHG34" s="28"/>
      <c r="WHH34" s="28"/>
      <c r="WHI34" s="28"/>
      <c r="WHJ34" s="28"/>
      <c r="WHK34" s="28"/>
      <c r="WHL34" s="28"/>
      <c r="WHM34" s="28"/>
      <c r="WHN34" s="28"/>
      <c r="WHO34" s="28"/>
      <c r="WHP34" s="28"/>
      <c r="WHQ34" s="28"/>
      <c r="WHR34" s="28"/>
      <c r="WHS34" s="28"/>
      <c r="WHT34" s="28"/>
      <c r="WHU34" s="28"/>
      <c r="WHV34" s="28"/>
      <c r="WHW34" s="28"/>
      <c r="WHX34" s="28"/>
      <c r="WHY34" s="28"/>
      <c r="WHZ34" s="28"/>
      <c r="WIA34" s="28"/>
      <c r="WIB34" s="28"/>
      <c r="WIC34" s="28"/>
      <c r="WID34" s="28"/>
      <c r="WIE34" s="28"/>
      <c r="WIF34" s="28"/>
      <c r="WIG34" s="28"/>
      <c r="WIH34" s="28"/>
      <c r="WII34" s="28"/>
      <c r="WIJ34" s="28"/>
      <c r="WIK34" s="28"/>
      <c r="WIL34" s="28"/>
      <c r="WIM34" s="28"/>
      <c r="WIN34" s="28"/>
      <c r="WIO34" s="28"/>
      <c r="WIP34" s="28"/>
      <c r="WIQ34" s="28"/>
      <c r="WIR34" s="28"/>
      <c r="WIS34" s="28"/>
      <c r="WIT34" s="28"/>
      <c r="WIU34" s="28"/>
      <c r="WIV34" s="28"/>
      <c r="WIW34" s="28"/>
      <c r="WIX34" s="28"/>
      <c r="WIY34" s="28"/>
      <c r="WIZ34" s="28"/>
      <c r="WJA34" s="28"/>
      <c r="WJB34" s="28"/>
      <c r="WJC34" s="28"/>
      <c r="WJD34" s="28"/>
      <c r="WJE34" s="28"/>
      <c r="WJF34" s="28"/>
      <c r="WJG34" s="28"/>
      <c r="WJH34" s="28"/>
      <c r="WJI34" s="28"/>
      <c r="WJJ34" s="28"/>
      <c r="WJK34" s="28"/>
      <c r="WJL34" s="28"/>
      <c r="WJM34" s="28"/>
      <c r="WJN34" s="28"/>
      <c r="WJO34" s="28"/>
      <c r="WJP34" s="28"/>
      <c r="WJQ34" s="28"/>
      <c r="WJR34" s="28"/>
      <c r="WJS34" s="28"/>
      <c r="WJT34" s="28"/>
      <c r="WJU34" s="28"/>
      <c r="WJV34" s="28"/>
      <c r="WJW34" s="28"/>
      <c r="WJX34" s="28"/>
      <c r="WJY34" s="28"/>
      <c r="WJZ34" s="28"/>
      <c r="WKA34" s="28"/>
      <c r="WKB34" s="28"/>
      <c r="WKC34" s="28"/>
      <c r="WKD34" s="28"/>
      <c r="WKE34" s="28"/>
      <c r="WKF34" s="28"/>
      <c r="WKG34" s="28"/>
      <c r="WKH34" s="28"/>
      <c r="WKI34" s="28"/>
      <c r="WKJ34" s="28"/>
      <c r="WKK34" s="28"/>
      <c r="WKL34" s="28"/>
      <c r="WKM34" s="28"/>
      <c r="WKN34" s="28"/>
      <c r="WKO34" s="28"/>
      <c r="WKP34" s="28"/>
      <c r="WKQ34" s="28"/>
      <c r="WKR34" s="28"/>
      <c r="WKS34" s="28"/>
      <c r="WKT34" s="28"/>
      <c r="WKU34" s="28"/>
      <c r="WKV34" s="28"/>
      <c r="WKW34" s="28"/>
      <c r="WKX34" s="28"/>
      <c r="WKY34" s="28"/>
      <c r="WKZ34" s="28"/>
      <c r="WLA34" s="28"/>
      <c r="WLB34" s="28"/>
      <c r="WLC34" s="28"/>
      <c r="WLD34" s="28"/>
      <c r="WLE34" s="28"/>
      <c r="WLF34" s="28"/>
      <c r="WLG34" s="28"/>
      <c r="WLH34" s="28"/>
      <c r="WLI34" s="28"/>
      <c r="WLJ34" s="28"/>
      <c r="WLK34" s="28"/>
      <c r="WLL34" s="28"/>
      <c r="WLM34" s="28"/>
      <c r="WLN34" s="28"/>
      <c r="WLO34" s="28"/>
      <c r="WLP34" s="28"/>
      <c r="WLQ34" s="28"/>
      <c r="WLR34" s="28"/>
      <c r="WLS34" s="28"/>
      <c r="WLT34" s="28"/>
      <c r="WLU34" s="28"/>
      <c r="WLV34" s="28"/>
      <c r="WLW34" s="28"/>
      <c r="WLX34" s="28"/>
      <c r="WLY34" s="28"/>
      <c r="WLZ34" s="28"/>
      <c r="WMA34" s="28"/>
      <c r="WMB34" s="28"/>
      <c r="WMC34" s="28"/>
      <c r="WMD34" s="28"/>
      <c r="WME34" s="28"/>
      <c r="WMF34" s="28"/>
      <c r="WMG34" s="28"/>
      <c r="WMH34" s="28"/>
      <c r="WMI34" s="28"/>
      <c r="WMJ34" s="28"/>
      <c r="WMK34" s="28"/>
      <c r="WML34" s="28"/>
      <c r="WMM34" s="28"/>
      <c r="WMN34" s="28"/>
      <c r="WMO34" s="28"/>
      <c r="WMP34" s="28"/>
      <c r="WMQ34" s="28"/>
      <c r="WMR34" s="28"/>
      <c r="WMS34" s="28"/>
      <c r="WMT34" s="28"/>
      <c r="WMU34" s="28"/>
      <c r="WMV34" s="28"/>
      <c r="WMW34" s="28"/>
      <c r="WMX34" s="28"/>
      <c r="WMY34" s="28"/>
      <c r="WMZ34" s="28"/>
      <c r="WNA34" s="28"/>
      <c r="WNB34" s="28"/>
      <c r="WNC34" s="28"/>
      <c r="WND34" s="28"/>
      <c r="WNE34" s="28"/>
      <c r="WNF34" s="28"/>
      <c r="WNG34" s="28"/>
      <c r="WNH34" s="28"/>
      <c r="WNI34" s="28"/>
      <c r="WNJ34" s="28"/>
      <c r="WNK34" s="28"/>
      <c r="WNL34" s="28"/>
      <c r="WNM34" s="28"/>
      <c r="WNN34" s="28"/>
      <c r="WNO34" s="28"/>
      <c r="WNP34" s="28"/>
      <c r="WNQ34" s="28"/>
      <c r="WNR34" s="28"/>
      <c r="WNS34" s="28"/>
      <c r="WNT34" s="28"/>
      <c r="WNU34" s="28"/>
      <c r="WNV34" s="28"/>
      <c r="WNW34" s="28"/>
      <c r="WNX34" s="28"/>
      <c r="WNY34" s="28"/>
      <c r="WNZ34" s="28"/>
      <c r="WOA34" s="28"/>
      <c r="WOB34" s="28"/>
      <c r="WOC34" s="28"/>
      <c r="WOD34" s="28"/>
      <c r="WOE34" s="28"/>
      <c r="WOF34" s="28"/>
      <c r="WOG34" s="28"/>
      <c r="WOH34" s="28"/>
      <c r="WOI34" s="28"/>
      <c r="WOJ34" s="28"/>
      <c r="WOK34" s="28"/>
      <c r="WOL34" s="28"/>
      <c r="WOM34" s="28"/>
      <c r="WON34" s="28"/>
      <c r="WOO34" s="28"/>
      <c r="WOP34" s="28"/>
      <c r="WOQ34" s="28"/>
      <c r="WOR34" s="28"/>
      <c r="WOS34" s="28"/>
      <c r="WOT34" s="28"/>
      <c r="WOU34" s="28"/>
      <c r="WOV34" s="28"/>
      <c r="WOW34" s="28"/>
      <c r="WOX34" s="28"/>
      <c r="WOY34" s="28"/>
      <c r="WOZ34" s="28"/>
      <c r="WPA34" s="28"/>
      <c r="WPB34" s="28"/>
      <c r="WPC34" s="28"/>
      <c r="WPD34" s="28"/>
      <c r="WPE34" s="28"/>
      <c r="WPF34" s="28"/>
      <c r="WPG34" s="28"/>
      <c r="WPH34" s="28"/>
      <c r="WPI34" s="28"/>
      <c r="WPJ34" s="28"/>
      <c r="WPK34" s="28"/>
      <c r="WPL34" s="28"/>
      <c r="WPM34" s="28"/>
      <c r="WPN34" s="28"/>
      <c r="WPO34" s="28"/>
      <c r="WPP34" s="28"/>
      <c r="WPQ34" s="28"/>
      <c r="WPR34" s="28"/>
      <c r="WPS34" s="28"/>
      <c r="WPT34" s="28"/>
      <c r="WPU34" s="28"/>
      <c r="WPV34" s="28"/>
      <c r="WPW34" s="28"/>
      <c r="WPX34" s="28"/>
      <c r="WPY34" s="28"/>
      <c r="WPZ34" s="28"/>
      <c r="WQA34" s="28"/>
      <c r="WQB34" s="28"/>
      <c r="WQC34" s="28"/>
      <c r="WQD34" s="28"/>
      <c r="WQE34" s="28"/>
      <c r="WQF34" s="28"/>
      <c r="WQG34" s="28"/>
      <c r="WQH34" s="28"/>
      <c r="WQI34" s="28"/>
      <c r="WQJ34" s="28"/>
      <c r="WQK34" s="28"/>
      <c r="WQL34" s="28"/>
      <c r="WQM34" s="28"/>
      <c r="WQN34" s="28"/>
      <c r="WQO34" s="28"/>
      <c r="WQP34" s="28"/>
      <c r="WQQ34" s="28"/>
      <c r="WQR34" s="28"/>
      <c r="WQS34" s="28"/>
      <c r="WQT34" s="28"/>
      <c r="WQU34" s="28"/>
      <c r="WQV34" s="28"/>
      <c r="WQW34" s="28"/>
      <c r="WQX34" s="28"/>
      <c r="WQY34" s="28"/>
      <c r="WQZ34" s="28"/>
      <c r="WRA34" s="28"/>
      <c r="WRB34" s="28"/>
      <c r="WRC34" s="28"/>
      <c r="WRD34" s="28"/>
      <c r="WRE34" s="28"/>
      <c r="WRF34" s="28"/>
      <c r="WRG34" s="28"/>
      <c r="WRH34" s="28"/>
      <c r="WRI34" s="28"/>
      <c r="WRJ34" s="28"/>
      <c r="WRK34" s="28"/>
      <c r="WRL34" s="28"/>
      <c r="WRM34" s="28"/>
      <c r="WRN34" s="28"/>
      <c r="WRO34" s="28"/>
      <c r="WRP34" s="28"/>
      <c r="WRQ34" s="28"/>
      <c r="WRR34" s="28"/>
      <c r="WRS34" s="28"/>
      <c r="WRT34" s="28"/>
      <c r="WRU34" s="28"/>
      <c r="WRV34" s="28"/>
      <c r="WRW34" s="28"/>
      <c r="WRX34" s="28"/>
      <c r="WRY34" s="28"/>
      <c r="WRZ34" s="28"/>
      <c r="WSA34" s="28"/>
      <c r="WSB34" s="28"/>
      <c r="WSC34" s="28"/>
      <c r="WSD34" s="28"/>
      <c r="WSE34" s="28"/>
      <c r="WSF34" s="28"/>
      <c r="WSG34" s="28"/>
      <c r="WSH34" s="28"/>
      <c r="WSI34" s="28"/>
      <c r="WSJ34" s="28"/>
      <c r="WSK34" s="28"/>
      <c r="WSL34" s="28"/>
      <c r="WSM34" s="28"/>
      <c r="WSN34" s="28"/>
      <c r="WSO34" s="28"/>
      <c r="WSP34" s="28"/>
      <c r="WSQ34" s="28"/>
      <c r="WSR34" s="28"/>
      <c r="WSS34" s="28"/>
      <c r="WST34" s="28"/>
      <c r="WSU34" s="28"/>
      <c r="WSV34" s="28"/>
      <c r="WSW34" s="28"/>
      <c r="WSX34" s="28"/>
      <c r="WSY34" s="28"/>
      <c r="WSZ34" s="28"/>
      <c r="WTA34" s="28"/>
      <c r="WTB34" s="28"/>
      <c r="WTC34" s="28"/>
      <c r="WTD34" s="28"/>
      <c r="WTE34" s="28"/>
      <c r="WTF34" s="28"/>
      <c r="WTG34" s="28"/>
      <c r="WTH34" s="28"/>
      <c r="WTI34" s="28"/>
      <c r="WTJ34" s="28"/>
      <c r="WTK34" s="28"/>
      <c r="WTL34" s="28"/>
      <c r="WTM34" s="28"/>
      <c r="WTN34" s="28"/>
      <c r="WTO34" s="28"/>
      <c r="WTP34" s="28"/>
      <c r="WTQ34" s="28"/>
      <c r="WTR34" s="28"/>
      <c r="WTS34" s="28"/>
      <c r="WTT34" s="28"/>
      <c r="WTU34" s="28"/>
      <c r="WTV34" s="28"/>
      <c r="WTW34" s="28"/>
      <c r="WTX34" s="28"/>
      <c r="WTY34" s="28"/>
      <c r="WTZ34" s="28"/>
      <c r="WUA34" s="28"/>
      <c r="WUB34" s="28"/>
      <c r="WUC34" s="28"/>
      <c r="WUD34" s="28"/>
      <c r="WUE34" s="28"/>
      <c r="WUF34" s="28"/>
      <c r="WUG34" s="28"/>
      <c r="WUH34" s="28"/>
      <c r="WUI34" s="28"/>
      <c r="WUJ34" s="28"/>
      <c r="WUK34" s="28"/>
      <c r="WUL34" s="28"/>
      <c r="WUM34" s="28"/>
      <c r="WUN34" s="28"/>
      <c r="WUO34" s="28"/>
      <c r="WUP34" s="28"/>
      <c r="WUQ34" s="28"/>
      <c r="WUR34" s="28"/>
      <c r="WUS34" s="28"/>
      <c r="WUT34" s="28"/>
      <c r="WUU34" s="28"/>
      <c r="WUV34" s="28"/>
      <c r="WUW34" s="28"/>
      <c r="WUX34" s="28"/>
      <c r="WUY34" s="28"/>
      <c r="WUZ34" s="28"/>
      <c r="WVA34" s="28"/>
      <c r="WVB34" s="28"/>
      <c r="WVC34" s="28"/>
      <c r="WVD34" s="28"/>
      <c r="WVE34" s="28"/>
      <c r="WVF34" s="28"/>
      <c r="WVG34" s="28"/>
      <c r="WVH34" s="28"/>
      <c r="WVI34" s="28"/>
      <c r="WVJ34" s="28"/>
      <c r="WVK34" s="28"/>
      <c r="WVL34" s="28"/>
      <c r="WVM34" s="28"/>
      <c r="WVN34" s="28"/>
      <c r="WVO34" s="28"/>
      <c r="WVP34" s="28"/>
      <c r="WVQ34" s="28"/>
      <c r="WVR34" s="28"/>
      <c r="WVS34" s="28"/>
      <c r="WVT34" s="28"/>
      <c r="WVU34" s="28"/>
      <c r="WVV34" s="28"/>
      <c r="WVW34" s="28"/>
      <c r="WVX34" s="28"/>
      <c r="WVY34" s="28"/>
      <c r="WVZ34" s="28"/>
      <c r="WWA34" s="28"/>
      <c r="WWB34" s="28"/>
      <c r="WWC34" s="28"/>
      <c r="WWD34" s="28"/>
      <c r="WWE34" s="28"/>
      <c r="WWF34" s="28"/>
      <c r="WWG34" s="28"/>
      <c r="WWH34" s="28"/>
      <c r="WWI34" s="28"/>
      <c r="WWJ34" s="28"/>
      <c r="WWK34" s="28"/>
      <c r="WWL34" s="28"/>
      <c r="WWM34" s="28"/>
      <c r="WWN34" s="28"/>
      <c r="WWO34" s="28"/>
      <c r="WWP34" s="28"/>
      <c r="WWQ34" s="28"/>
      <c r="WWR34" s="28"/>
      <c r="WWS34" s="28"/>
      <c r="WWT34" s="28"/>
      <c r="WWU34" s="28"/>
      <c r="WWV34" s="28"/>
      <c r="WWW34" s="28"/>
      <c r="WWX34" s="28"/>
      <c r="WWY34" s="28"/>
      <c r="WWZ34" s="28"/>
      <c r="WXA34" s="28"/>
      <c r="WXB34" s="28"/>
      <c r="WXC34" s="28"/>
      <c r="WXD34" s="28"/>
      <c r="WXE34" s="28"/>
      <c r="WXF34" s="28"/>
      <c r="WXG34" s="28"/>
      <c r="WXH34" s="28"/>
      <c r="WXI34" s="28"/>
      <c r="WXJ34" s="28"/>
      <c r="WXK34" s="28"/>
      <c r="WXL34" s="28"/>
      <c r="WXM34" s="28"/>
      <c r="WXN34" s="28"/>
      <c r="WXO34" s="28"/>
      <c r="WXP34" s="28"/>
      <c r="WXQ34" s="28"/>
      <c r="WXR34" s="28"/>
      <c r="WXS34" s="28"/>
      <c r="WXT34" s="28"/>
      <c r="WXU34" s="28"/>
      <c r="WXV34" s="28"/>
      <c r="WXW34" s="28"/>
      <c r="WXX34" s="28"/>
      <c r="WXY34" s="28"/>
      <c r="WXZ34" s="28"/>
      <c r="WYA34" s="28"/>
      <c r="WYB34" s="28"/>
      <c r="WYC34" s="28"/>
      <c r="WYD34" s="28"/>
      <c r="WYE34" s="28"/>
      <c r="WYF34" s="28"/>
      <c r="WYG34" s="28"/>
      <c r="WYH34" s="28"/>
      <c r="WYI34" s="28"/>
      <c r="WYJ34" s="28"/>
      <c r="WYK34" s="28"/>
      <c r="WYL34" s="28"/>
      <c r="WYM34" s="28"/>
      <c r="WYN34" s="28"/>
      <c r="WYO34" s="28"/>
      <c r="WYP34" s="28"/>
      <c r="WYQ34" s="28"/>
      <c r="WYR34" s="28"/>
      <c r="WYS34" s="28"/>
      <c r="WYT34" s="28"/>
      <c r="WYU34" s="28"/>
      <c r="WYV34" s="28"/>
      <c r="WYW34" s="28"/>
      <c r="WYX34" s="28"/>
      <c r="WYY34" s="28"/>
      <c r="WYZ34" s="28"/>
      <c r="WZA34" s="28"/>
      <c r="WZB34" s="28"/>
      <c r="WZC34" s="28"/>
      <c r="WZD34" s="28"/>
      <c r="WZE34" s="28"/>
      <c r="WZF34" s="28"/>
      <c r="WZG34" s="28"/>
      <c r="WZH34" s="28"/>
      <c r="WZI34" s="28"/>
      <c r="WZJ34" s="28"/>
      <c r="WZK34" s="28"/>
      <c r="WZL34" s="28"/>
      <c r="WZM34" s="28"/>
      <c r="WZN34" s="28"/>
      <c r="WZO34" s="28"/>
      <c r="WZP34" s="28"/>
      <c r="WZQ34" s="28"/>
      <c r="WZR34" s="28"/>
      <c r="WZS34" s="28"/>
      <c r="WZT34" s="28"/>
      <c r="WZU34" s="28"/>
      <c r="WZV34" s="28"/>
      <c r="WZW34" s="28"/>
      <c r="WZX34" s="28"/>
      <c r="WZY34" s="28"/>
      <c r="WZZ34" s="28"/>
      <c r="XAA34" s="28"/>
      <c r="XAB34" s="28"/>
      <c r="XAC34" s="28"/>
      <c r="XAD34" s="28"/>
      <c r="XAE34" s="28"/>
      <c r="XAF34" s="28"/>
      <c r="XAG34" s="28"/>
      <c r="XAH34" s="28"/>
      <c r="XAI34" s="28"/>
      <c r="XAJ34" s="28"/>
      <c r="XAK34" s="28"/>
      <c r="XAL34" s="28"/>
      <c r="XAM34" s="28"/>
      <c r="XAN34" s="28"/>
      <c r="XAO34" s="28"/>
      <c r="XAP34" s="28"/>
      <c r="XAQ34" s="28"/>
      <c r="XAR34" s="28"/>
      <c r="XAS34" s="28"/>
      <c r="XAT34" s="28"/>
      <c r="XAU34" s="28"/>
      <c r="XAV34" s="28"/>
      <c r="XAW34" s="28"/>
      <c r="XAX34" s="28"/>
      <c r="XAY34" s="28"/>
      <c r="XAZ34" s="28"/>
      <c r="XBA34" s="28"/>
      <c r="XBB34" s="28"/>
      <c r="XBC34" s="28"/>
      <c r="XBD34" s="28"/>
      <c r="XBE34" s="28"/>
      <c r="XBF34" s="28"/>
      <c r="XBG34" s="28"/>
      <c r="XBH34" s="28"/>
      <c r="XBI34" s="28"/>
      <c r="XBJ34" s="28"/>
      <c r="XBK34" s="28"/>
      <c r="XBL34" s="28"/>
      <c r="XBM34" s="28"/>
      <c r="XBN34" s="28"/>
      <c r="XBO34" s="28"/>
      <c r="XBP34" s="28"/>
      <c r="XBQ34" s="28"/>
      <c r="XBR34" s="28"/>
      <c r="XBS34" s="28"/>
      <c r="XBT34" s="28"/>
      <c r="XBU34" s="28"/>
      <c r="XBV34" s="28"/>
      <c r="XBW34" s="28"/>
      <c r="XBX34" s="28"/>
      <c r="XBY34" s="28"/>
      <c r="XBZ34" s="28"/>
      <c r="XCA34" s="28"/>
      <c r="XCB34" s="28"/>
      <c r="XCC34" s="28"/>
      <c r="XCD34" s="28"/>
      <c r="XCE34" s="28"/>
      <c r="XCF34" s="28"/>
      <c r="XCG34" s="28"/>
      <c r="XCH34" s="28"/>
      <c r="XCI34" s="28"/>
      <c r="XCJ34" s="28"/>
      <c r="XCK34" s="28"/>
      <c r="XCL34" s="28"/>
      <c r="XCM34" s="28"/>
      <c r="XCN34" s="28"/>
      <c r="XCO34" s="28"/>
      <c r="XCP34" s="28"/>
      <c r="XCQ34" s="28"/>
      <c r="XCR34" s="28"/>
      <c r="XCS34" s="28"/>
      <c r="XCT34" s="28"/>
      <c r="XCU34" s="28"/>
      <c r="XCV34" s="28"/>
      <c r="XCW34" s="28"/>
      <c r="XCX34" s="28"/>
      <c r="XCY34" s="28"/>
      <c r="XCZ34" s="28"/>
      <c r="XDA34" s="28"/>
      <c r="XDB34" s="28"/>
      <c r="XDC34" s="28"/>
      <c r="XDD34" s="28"/>
      <c r="XDE34" s="28"/>
      <c r="XDF34" s="28"/>
      <c r="XDG34" s="28"/>
      <c r="XDH34" s="28"/>
      <c r="XDI34" s="28"/>
      <c r="XDJ34" s="28"/>
      <c r="XDK34" s="28"/>
      <c r="XDL34" s="28"/>
      <c r="XDM34" s="28"/>
      <c r="XDN34" s="28"/>
      <c r="XDO34" s="28"/>
      <c r="XDP34" s="28"/>
      <c r="XDQ34" s="28"/>
      <c r="XDR34" s="28"/>
      <c r="XDS34" s="28"/>
      <c r="XDT34" s="28"/>
      <c r="XDU34" s="28"/>
      <c r="XDV34" s="28"/>
      <c r="XDW34" s="28"/>
      <c r="XDX34" s="28"/>
      <c r="XDY34" s="28"/>
      <c r="XDZ34" s="28"/>
      <c r="XEA34" s="28"/>
      <c r="XEB34" s="28"/>
      <c r="XEC34" s="28"/>
      <c r="XED34" s="28"/>
      <c r="XEE34" s="28"/>
      <c r="XEF34" s="28"/>
      <c r="XEG34" s="28"/>
      <c r="XEH34" s="28"/>
      <c r="XEI34" s="28"/>
      <c r="XEJ34" s="28"/>
      <c r="XEK34" s="28"/>
      <c r="XEL34" s="28"/>
      <c r="XEM34" s="28"/>
      <c r="XEN34" s="28"/>
      <c r="XEO34" s="28"/>
      <c r="XEP34" s="28"/>
      <c r="XEQ34" s="28"/>
      <c r="XER34" s="28"/>
      <c r="XES34" s="28"/>
      <c r="XET34" s="28"/>
      <c r="XEU34" s="28"/>
      <c r="XEV34" s="28"/>
      <c r="XEW34" s="28"/>
      <c r="XEX34" s="28"/>
      <c r="XEY34" s="28"/>
      <c r="XEZ34" s="28"/>
      <c r="XFA34" s="28"/>
      <c r="XFB34" s="28"/>
    </row>
    <row r="35" spans="1:16382" ht="17.100000000000001" customHeight="1" x14ac:dyDescent="0.25">
      <c r="B35" s="238" t="s">
        <v>1371</v>
      </c>
      <c r="D35" s="159" t="s">
        <v>1374</v>
      </c>
      <c r="E35" s="159" t="s">
        <v>20</v>
      </c>
      <c r="F35" s="159" t="s">
        <v>21</v>
      </c>
      <c r="G35" s="159" t="s">
        <v>22</v>
      </c>
      <c r="H35" s="159" t="s">
        <v>23</v>
      </c>
      <c r="I35" s="35" t="s">
        <v>24</v>
      </c>
      <c r="J35" s="18"/>
      <c r="L35" s="18"/>
      <c r="M35" s="18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  <c r="XCZ35" s="17"/>
      <c r="XDA35" s="17"/>
      <c r="XDB35" s="17"/>
      <c r="XDC35" s="17"/>
      <c r="XDD35" s="17"/>
      <c r="XDE35" s="17"/>
      <c r="XDF35" s="17"/>
      <c r="XDG35" s="17"/>
      <c r="XDH35" s="17"/>
      <c r="XDI35" s="17"/>
      <c r="XDJ35" s="17"/>
      <c r="XDK35" s="17"/>
      <c r="XDL35" s="17"/>
      <c r="XDM35" s="17"/>
      <c r="XDN35" s="17"/>
      <c r="XDO35" s="17"/>
      <c r="XDP35" s="17"/>
      <c r="XDQ35" s="17"/>
      <c r="XDR35" s="17"/>
      <c r="XDS35" s="17"/>
      <c r="XDT35" s="17"/>
      <c r="XDU35" s="17"/>
      <c r="XDV35" s="17"/>
      <c r="XDW35" s="17"/>
      <c r="XDX35" s="17"/>
      <c r="XDY35" s="17"/>
      <c r="XDZ35" s="17"/>
      <c r="XEA35" s="17"/>
      <c r="XEB35" s="17"/>
      <c r="XEC35" s="17"/>
      <c r="XED35" s="17"/>
      <c r="XEE35" s="17"/>
      <c r="XEF35" s="17"/>
      <c r="XEG35" s="17"/>
      <c r="XEH35" s="17"/>
      <c r="XEI35" s="17"/>
      <c r="XEJ35" s="17"/>
      <c r="XEK35" s="17"/>
      <c r="XEL35" s="17"/>
      <c r="XEM35" s="17"/>
      <c r="XEN35" s="17"/>
      <c r="XEO35" s="17"/>
      <c r="XEP35" s="17"/>
      <c r="XEQ35" s="17"/>
      <c r="XER35" s="17"/>
      <c r="XES35" s="17"/>
      <c r="XET35" s="17"/>
      <c r="XEU35" s="17"/>
      <c r="XEV35" s="17"/>
      <c r="XEW35" s="17"/>
      <c r="XEX35" s="17"/>
      <c r="XEY35" s="17"/>
      <c r="XEZ35" s="17"/>
      <c r="XFA35" s="17"/>
      <c r="XFB35" s="17"/>
    </row>
    <row r="36" spans="1:16382" s="29" customFormat="1" ht="14.1" customHeight="1" x14ac:dyDescent="0.25">
      <c r="A36" s="18"/>
      <c r="B36" s="239"/>
      <c r="D36" s="175" t="s">
        <v>3</v>
      </c>
      <c r="E36" s="179" t="s">
        <v>41</v>
      </c>
      <c r="F36" s="179"/>
      <c r="G36" s="179"/>
      <c r="H36" s="179"/>
      <c r="I36" s="179"/>
      <c r="J36" s="18"/>
      <c r="K36" s="18"/>
      <c r="L36" s="18"/>
      <c r="M36" s="18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</row>
    <row r="37" spans="1:16382" s="29" customFormat="1" ht="17.100000000000001" customHeight="1" thickBot="1" x14ac:dyDescent="0.3">
      <c r="A37" s="18"/>
      <c r="B37" s="239"/>
      <c r="D37" s="175" t="s">
        <v>4</v>
      </c>
      <c r="E37" s="179" t="s">
        <v>41</v>
      </c>
      <c r="F37" s="179"/>
      <c r="G37" s="179"/>
      <c r="H37" s="179"/>
      <c r="I37" s="179"/>
      <c r="J37" s="18"/>
      <c r="K37" s="18"/>
      <c r="L37" s="18"/>
      <c r="M37" s="18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</row>
    <row r="38" spans="1:16382" s="18" customFormat="1" ht="15" customHeight="1" x14ac:dyDescent="0.25">
      <c r="B38" s="232">
        <v>700</v>
      </c>
      <c r="D38" s="175" t="s">
        <v>5</v>
      </c>
      <c r="E38" s="179" t="s">
        <v>41</v>
      </c>
      <c r="F38" s="179"/>
      <c r="G38" s="179"/>
      <c r="H38" s="179"/>
      <c r="I38" s="17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19"/>
      <c r="CV38" s="19"/>
      <c r="CW38" s="19"/>
      <c r="CX38" s="19"/>
      <c r="CY38" s="19"/>
      <c r="CZ38" s="19"/>
      <c r="DA38" s="19"/>
      <c r="DB38" s="19"/>
      <c r="DC38" s="19"/>
      <c r="DD38" s="19"/>
      <c r="DE38" s="19"/>
      <c r="DF38" s="19"/>
      <c r="DG38" s="19"/>
      <c r="DH38" s="19"/>
      <c r="DI38" s="19"/>
      <c r="DJ38" s="19"/>
      <c r="DK38" s="19"/>
      <c r="DL38" s="19"/>
      <c r="DM38" s="19"/>
      <c r="DN38" s="19"/>
      <c r="DO38" s="19"/>
      <c r="DP38" s="19"/>
      <c r="DQ38" s="19"/>
      <c r="DR38" s="19"/>
      <c r="DS38" s="19"/>
      <c r="DT38" s="19"/>
      <c r="DU38" s="19"/>
      <c r="DV38" s="19"/>
      <c r="DW38" s="19"/>
      <c r="DX38" s="19"/>
      <c r="DY38" s="19"/>
      <c r="DZ38" s="19"/>
      <c r="EA38" s="19"/>
      <c r="EB38" s="19"/>
      <c r="EC38" s="19"/>
      <c r="ED38" s="19"/>
      <c r="EE38" s="19"/>
      <c r="EF38" s="19"/>
      <c r="EG38" s="19"/>
      <c r="EH38" s="19"/>
      <c r="EI38" s="19"/>
      <c r="EJ38" s="19"/>
      <c r="EK38" s="19"/>
      <c r="EL38" s="19"/>
      <c r="EM38" s="19"/>
      <c r="EN38" s="19"/>
      <c r="EO38" s="19"/>
      <c r="EP38" s="19"/>
      <c r="EQ38" s="19"/>
      <c r="ER38" s="19"/>
      <c r="ES38" s="19"/>
      <c r="ET38" s="19"/>
      <c r="EU38" s="19"/>
      <c r="EV38" s="19"/>
      <c r="EW38" s="19"/>
      <c r="EX38" s="19"/>
      <c r="EY38" s="19"/>
      <c r="EZ38" s="19"/>
      <c r="FA38" s="19"/>
      <c r="FB38" s="19"/>
      <c r="FC38" s="19"/>
      <c r="FD38" s="19"/>
      <c r="FE38" s="19"/>
      <c r="FF38" s="19"/>
      <c r="FG38" s="19"/>
      <c r="FH38" s="19"/>
      <c r="FI38" s="19"/>
      <c r="FJ38" s="19"/>
      <c r="FK38" s="19"/>
      <c r="FL38" s="19"/>
      <c r="FM38" s="19"/>
      <c r="FN38" s="19"/>
      <c r="FO38" s="19"/>
      <c r="FP38" s="19"/>
      <c r="FQ38" s="19"/>
      <c r="FR38" s="19"/>
      <c r="FS38" s="19"/>
      <c r="FT38" s="19"/>
      <c r="FU38" s="19"/>
      <c r="FV38" s="19"/>
      <c r="FW38" s="19"/>
      <c r="FX38" s="19"/>
      <c r="FY38" s="19"/>
      <c r="FZ38" s="19"/>
      <c r="GA38" s="19"/>
      <c r="GB38" s="19"/>
      <c r="GC38" s="19"/>
      <c r="GD38" s="19"/>
      <c r="GE38" s="19"/>
      <c r="GF38" s="19"/>
      <c r="GG38" s="19"/>
      <c r="GH38" s="19"/>
      <c r="GI38" s="19"/>
      <c r="GJ38" s="19"/>
      <c r="GK38" s="19"/>
      <c r="GL38" s="19"/>
      <c r="GM38" s="19"/>
      <c r="GN38" s="19"/>
      <c r="GO38" s="19"/>
      <c r="GP38" s="19"/>
      <c r="GQ38" s="19"/>
      <c r="GR38" s="19"/>
      <c r="GS38" s="19"/>
      <c r="GT38" s="19"/>
      <c r="GU38" s="19"/>
      <c r="GV38" s="19"/>
      <c r="GW38" s="19"/>
      <c r="GX38" s="19"/>
      <c r="GY38" s="19"/>
      <c r="GZ38" s="19"/>
      <c r="HA38" s="19"/>
      <c r="HB38" s="19"/>
      <c r="HC38" s="19"/>
      <c r="HD38" s="19"/>
      <c r="HE38" s="19"/>
      <c r="HF38" s="19"/>
      <c r="HG38" s="19"/>
      <c r="HH38" s="19"/>
      <c r="HI38" s="19"/>
      <c r="HJ38" s="19"/>
      <c r="HK38" s="19"/>
      <c r="HL38" s="19"/>
      <c r="HM38" s="19"/>
      <c r="HN38" s="19"/>
      <c r="HO38" s="19"/>
      <c r="HP38" s="19"/>
      <c r="HQ38" s="19"/>
      <c r="HR38" s="19"/>
      <c r="HS38" s="19"/>
      <c r="HT38" s="19"/>
      <c r="HU38" s="19"/>
      <c r="HV38" s="19"/>
      <c r="HW38" s="19"/>
      <c r="HX38" s="19"/>
      <c r="HY38" s="19"/>
      <c r="HZ38" s="19"/>
      <c r="IA38" s="19"/>
      <c r="IB38" s="19"/>
      <c r="IC38" s="19"/>
      <c r="ID38" s="19"/>
      <c r="IE38" s="19"/>
      <c r="IF38" s="19"/>
      <c r="IG38" s="19"/>
      <c r="IH38" s="19"/>
      <c r="II38" s="19"/>
      <c r="IJ38" s="19"/>
      <c r="IK38" s="19"/>
      <c r="IL38" s="19"/>
      <c r="IM38" s="19"/>
      <c r="IN38" s="19"/>
      <c r="IO38" s="19"/>
      <c r="IP38" s="19"/>
      <c r="IQ38" s="19"/>
      <c r="IR38" s="19"/>
      <c r="IS38" s="19"/>
      <c r="IT38" s="19"/>
      <c r="IU38" s="19"/>
      <c r="IV38" s="19"/>
      <c r="IW38" s="19"/>
      <c r="IX38" s="19"/>
      <c r="IY38" s="19"/>
      <c r="IZ38" s="19"/>
      <c r="JA38" s="19"/>
      <c r="JB38" s="19"/>
      <c r="JC38" s="19"/>
      <c r="JD38" s="19"/>
      <c r="JE38" s="19"/>
      <c r="JF38" s="19"/>
      <c r="JG38" s="19"/>
      <c r="JH38" s="19"/>
      <c r="JI38" s="19"/>
      <c r="JJ38" s="19"/>
      <c r="JK38" s="19"/>
      <c r="JL38" s="19"/>
      <c r="JM38" s="19"/>
      <c r="JN38" s="19"/>
      <c r="JO38" s="19"/>
      <c r="JP38" s="19"/>
      <c r="JQ38" s="19"/>
      <c r="JR38" s="19"/>
      <c r="JS38" s="19"/>
      <c r="JT38" s="19"/>
      <c r="JU38" s="19"/>
      <c r="JV38" s="19"/>
      <c r="JW38" s="19"/>
      <c r="JX38" s="19"/>
      <c r="JY38" s="19"/>
      <c r="JZ38" s="19"/>
      <c r="KA38" s="19"/>
      <c r="KB38" s="19"/>
      <c r="KC38" s="19"/>
      <c r="KD38" s="19"/>
      <c r="KE38" s="19"/>
      <c r="KF38" s="19"/>
      <c r="KG38" s="19"/>
      <c r="KH38" s="19"/>
      <c r="KI38" s="19"/>
      <c r="KJ38" s="19"/>
      <c r="KK38" s="19"/>
      <c r="KL38" s="19"/>
      <c r="KM38" s="19"/>
      <c r="KN38" s="19"/>
      <c r="KO38" s="19"/>
      <c r="KP38" s="19"/>
      <c r="KQ38" s="19"/>
      <c r="KR38" s="19"/>
      <c r="KS38" s="19"/>
      <c r="KT38" s="19"/>
      <c r="KU38" s="19"/>
      <c r="KV38" s="19"/>
      <c r="KW38" s="19"/>
      <c r="KX38" s="19"/>
      <c r="KY38" s="19"/>
      <c r="KZ38" s="19"/>
      <c r="LA38" s="19"/>
      <c r="LB38" s="19"/>
      <c r="LC38" s="19"/>
      <c r="LD38" s="19"/>
      <c r="LE38" s="19"/>
      <c r="LF38" s="19"/>
      <c r="LG38" s="19"/>
      <c r="LH38" s="19"/>
      <c r="LI38" s="19"/>
      <c r="LJ38" s="19"/>
      <c r="LK38" s="19"/>
      <c r="LL38" s="19"/>
      <c r="LM38" s="19"/>
      <c r="LN38" s="19"/>
      <c r="LO38" s="19"/>
      <c r="LP38" s="19"/>
      <c r="LQ38" s="19"/>
      <c r="LR38" s="19"/>
      <c r="LS38" s="19"/>
      <c r="LT38" s="19"/>
      <c r="LU38" s="19"/>
      <c r="LV38" s="19"/>
      <c r="LW38" s="19"/>
      <c r="LX38" s="19"/>
      <c r="LY38" s="19"/>
      <c r="LZ38" s="19"/>
      <c r="MA38" s="19"/>
      <c r="MB38" s="19"/>
      <c r="MC38" s="19"/>
      <c r="MD38" s="19"/>
      <c r="ME38" s="19"/>
      <c r="MF38" s="19"/>
      <c r="MG38" s="19"/>
      <c r="MH38" s="19"/>
      <c r="MI38" s="19"/>
      <c r="MJ38" s="19"/>
      <c r="MK38" s="19"/>
      <c r="ML38" s="19"/>
      <c r="MM38" s="19"/>
      <c r="MN38" s="19"/>
      <c r="MO38" s="19"/>
      <c r="MP38" s="19"/>
      <c r="MQ38" s="19"/>
      <c r="MR38" s="19"/>
      <c r="MS38" s="19"/>
      <c r="MT38" s="19"/>
      <c r="MU38" s="19"/>
      <c r="MV38" s="19"/>
      <c r="MW38" s="19"/>
      <c r="MX38" s="19"/>
      <c r="MY38" s="19"/>
      <c r="MZ38" s="19"/>
      <c r="NA38" s="19"/>
      <c r="NB38" s="19"/>
      <c r="NC38" s="19"/>
      <c r="ND38" s="19"/>
      <c r="NE38" s="19"/>
      <c r="NF38" s="19"/>
      <c r="NG38" s="19"/>
      <c r="NH38" s="19"/>
      <c r="NI38" s="19"/>
      <c r="NJ38" s="19"/>
      <c r="NK38" s="19"/>
      <c r="NL38" s="19"/>
      <c r="NM38" s="19"/>
      <c r="NN38" s="19"/>
      <c r="NO38" s="19"/>
      <c r="NP38" s="19"/>
      <c r="NQ38" s="19"/>
      <c r="NR38" s="19"/>
      <c r="NS38" s="19"/>
      <c r="NT38" s="19"/>
      <c r="NU38" s="19"/>
      <c r="NV38" s="19"/>
      <c r="NW38" s="19"/>
      <c r="NX38" s="19"/>
      <c r="NY38" s="19"/>
      <c r="NZ38" s="19"/>
      <c r="OA38" s="19"/>
      <c r="OB38" s="19"/>
      <c r="OC38" s="19"/>
      <c r="OD38" s="19"/>
      <c r="OE38" s="19"/>
      <c r="OF38" s="19"/>
      <c r="OG38" s="19"/>
      <c r="OH38" s="19"/>
      <c r="OI38" s="19"/>
      <c r="OJ38" s="19"/>
      <c r="OK38" s="19"/>
      <c r="OL38" s="19"/>
      <c r="OM38" s="19"/>
      <c r="ON38" s="19"/>
      <c r="OO38" s="19"/>
      <c r="OP38" s="19"/>
      <c r="OQ38" s="19"/>
      <c r="OR38" s="19"/>
      <c r="OS38" s="19"/>
      <c r="OT38" s="19"/>
      <c r="OU38" s="19"/>
      <c r="OV38" s="19"/>
      <c r="OW38" s="19"/>
      <c r="OX38" s="19"/>
      <c r="OY38" s="19"/>
      <c r="OZ38" s="19"/>
      <c r="PA38" s="19"/>
      <c r="PB38" s="19"/>
      <c r="PC38" s="19"/>
      <c r="PD38" s="19"/>
      <c r="PE38" s="19"/>
      <c r="PF38" s="19"/>
      <c r="PG38" s="19"/>
      <c r="PH38" s="19"/>
      <c r="PI38" s="19"/>
      <c r="PJ38" s="19"/>
      <c r="PK38" s="19"/>
      <c r="PL38" s="19"/>
      <c r="PM38" s="19"/>
      <c r="PN38" s="19"/>
      <c r="PO38" s="19"/>
      <c r="PP38" s="19"/>
      <c r="PQ38" s="19"/>
      <c r="PR38" s="19"/>
      <c r="PS38" s="19"/>
      <c r="PT38" s="19"/>
      <c r="PU38" s="19"/>
      <c r="PV38" s="19"/>
      <c r="PW38" s="19"/>
      <c r="PX38" s="19"/>
      <c r="PY38" s="19"/>
      <c r="PZ38" s="19"/>
      <c r="QA38" s="19"/>
      <c r="QB38" s="19"/>
      <c r="QC38" s="19"/>
      <c r="QD38" s="19"/>
      <c r="QE38" s="19"/>
      <c r="QF38" s="19"/>
      <c r="QG38" s="19"/>
      <c r="QH38" s="19"/>
      <c r="QI38" s="19"/>
      <c r="QJ38" s="19"/>
      <c r="QK38" s="19"/>
      <c r="QL38" s="19"/>
      <c r="QM38" s="19"/>
      <c r="QN38" s="19"/>
      <c r="QO38" s="19"/>
      <c r="QP38" s="19"/>
      <c r="QQ38" s="19"/>
      <c r="QR38" s="19"/>
      <c r="QS38" s="19"/>
      <c r="QT38" s="19"/>
      <c r="QU38" s="19"/>
      <c r="QV38" s="19"/>
      <c r="QW38" s="19"/>
      <c r="QX38" s="19"/>
      <c r="QY38" s="19"/>
      <c r="QZ38" s="19"/>
      <c r="RA38" s="19"/>
      <c r="RB38" s="19"/>
      <c r="RC38" s="19"/>
      <c r="RD38" s="19"/>
      <c r="RE38" s="19"/>
      <c r="RF38" s="19"/>
      <c r="RG38" s="19"/>
      <c r="RH38" s="19"/>
      <c r="RI38" s="19"/>
      <c r="RJ38" s="19"/>
      <c r="RK38" s="19"/>
      <c r="RL38" s="19"/>
      <c r="RM38" s="19"/>
      <c r="RN38" s="19"/>
      <c r="RO38" s="19"/>
      <c r="RP38" s="19"/>
      <c r="RQ38" s="19"/>
      <c r="RR38" s="19"/>
      <c r="RS38" s="19"/>
      <c r="RT38" s="19"/>
      <c r="RU38" s="19"/>
      <c r="RV38" s="19"/>
      <c r="RW38" s="19"/>
      <c r="RX38" s="19"/>
      <c r="RY38" s="19"/>
      <c r="RZ38" s="19"/>
      <c r="SA38" s="19"/>
      <c r="SB38" s="19"/>
      <c r="SC38" s="19"/>
      <c r="SD38" s="19"/>
      <c r="SE38" s="19"/>
      <c r="SF38" s="19"/>
      <c r="SG38" s="19"/>
      <c r="SH38" s="19"/>
      <c r="SI38" s="19"/>
      <c r="SJ38" s="19"/>
      <c r="SK38" s="19"/>
      <c r="SL38" s="19"/>
      <c r="SM38" s="19"/>
      <c r="SN38" s="19"/>
      <c r="SO38" s="19"/>
      <c r="SP38" s="19"/>
      <c r="SQ38" s="19"/>
      <c r="SR38" s="19"/>
      <c r="SS38" s="19"/>
      <c r="ST38" s="19"/>
      <c r="SU38" s="19"/>
      <c r="SV38" s="19"/>
      <c r="SW38" s="19"/>
      <c r="SX38" s="19"/>
      <c r="SY38" s="19"/>
      <c r="SZ38" s="19"/>
      <c r="TA38" s="19"/>
      <c r="TB38" s="19"/>
      <c r="TC38" s="19"/>
      <c r="TD38" s="19"/>
      <c r="TE38" s="19"/>
      <c r="TF38" s="19"/>
      <c r="TG38" s="19"/>
      <c r="TH38" s="19"/>
      <c r="TI38" s="19"/>
      <c r="TJ38" s="19"/>
      <c r="TK38" s="19"/>
      <c r="TL38" s="19"/>
      <c r="TM38" s="19"/>
      <c r="TN38" s="19"/>
      <c r="TO38" s="19"/>
      <c r="TP38" s="19"/>
      <c r="TQ38" s="19"/>
      <c r="TR38" s="19"/>
      <c r="TS38" s="19"/>
      <c r="TT38" s="19"/>
      <c r="TU38" s="19"/>
      <c r="TV38" s="19"/>
      <c r="TW38" s="19"/>
      <c r="TX38" s="19"/>
      <c r="TY38" s="19"/>
      <c r="TZ38" s="19"/>
      <c r="UA38" s="19"/>
      <c r="UB38" s="19"/>
      <c r="UC38" s="19"/>
      <c r="UD38" s="19"/>
      <c r="UE38" s="19"/>
      <c r="UF38" s="19"/>
      <c r="UG38" s="19"/>
      <c r="UH38" s="19"/>
      <c r="UI38" s="19"/>
      <c r="UJ38" s="19"/>
      <c r="UK38" s="19"/>
      <c r="UL38" s="19"/>
      <c r="UM38" s="19"/>
      <c r="UN38" s="19"/>
      <c r="UO38" s="19"/>
      <c r="UP38" s="19"/>
      <c r="UQ38" s="19"/>
      <c r="UR38" s="19"/>
      <c r="US38" s="19"/>
      <c r="UT38" s="19"/>
      <c r="UU38" s="19"/>
      <c r="UV38" s="19"/>
      <c r="UW38" s="19"/>
      <c r="UX38" s="19"/>
      <c r="UY38" s="19"/>
      <c r="UZ38" s="19"/>
      <c r="VA38" s="19"/>
      <c r="VB38" s="19"/>
      <c r="VC38" s="19"/>
      <c r="VD38" s="19"/>
      <c r="VE38" s="19"/>
      <c r="VF38" s="19"/>
      <c r="VG38" s="19"/>
      <c r="VH38" s="19"/>
      <c r="VI38" s="19"/>
      <c r="VJ38" s="19"/>
      <c r="VK38" s="19"/>
      <c r="VL38" s="19"/>
      <c r="VM38" s="19"/>
      <c r="VN38" s="19"/>
      <c r="VO38" s="19"/>
      <c r="VP38" s="19"/>
      <c r="VQ38" s="19"/>
      <c r="VR38" s="19"/>
      <c r="VS38" s="19"/>
      <c r="VT38" s="19"/>
      <c r="VU38" s="19"/>
      <c r="VV38" s="19"/>
      <c r="VW38" s="19"/>
      <c r="VX38" s="19"/>
      <c r="VY38" s="19"/>
      <c r="VZ38" s="19"/>
      <c r="WA38" s="19"/>
      <c r="WB38" s="19"/>
      <c r="WC38" s="19"/>
      <c r="WD38" s="19"/>
      <c r="WE38" s="19"/>
      <c r="WF38" s="19"/>
      <c r="WG38" s="19"/>
      <c r="WH38" s="19"/>
      <c r="WI38" s="19"/>
      <c r="WJ38" s="19"/>
      <c r="WK38" s="19"/>
      <c r="WL38" s="19"/>
      <c r="WM38" s="19"/>
      <c r="WN38" s="19"/>
      <c r="WO38" s="19"/>
      <c r="WP38" s="19"/>
      <c r="WQ38" s="19"/>
      <c r="WR38" s="19"/>
      <c r="WS38" s="19"/>
      <c r="WT38" s="19"/>
      <c r="WU38" s="19"/>
      <c r="WV38" s="19"/>
      <c r="WW38" s="19"/>
      <c r="WX38" s="19"/>
      <c r="WY38" s="19"/>
      <c r="WZ38" s="19"/>
      <c r="XA38" s="19"/>
      <c r="XB38" s="19"/>
      <c r="XC38" s="19"/>
      <c r="XD38" s="19"/>
      <c r="XE38" s="19"/>
      <c r="XF38" s="19"/>
      <c r="XG38" s="19"/>
      <c r="XH38" s="19"/>
      <c r="XI38" s="19"/>
      <c r="XJ38" s="19"/>
      <c r="XK38" s="19"/>
      <c r="XL38" s="19"/>
      <c r="XM38" s="19"/>
      <c r="XN38" s="19"/>
      <c r="XO38" s="19"/>
      <c r="XP38" s="19"/>
      <c r="XQ38" s="19"/>
      <c r="XR38" s="19"/>
      <c r="XS38" s="19"/>
      <c r="XT38" s="19"/>
      <c r="XU38" s="19"/>
      <c r="XV38" s="19"/>
      <c r="XW38" s="19"/>
      <c r="XX38" s="19"/>
      <c r="XY38" s="19"/>
      <c r="XZ38" s="19"/>
      <c r="YA38" s="19"/>
      <c r="YB38" s="19"/>
      <c r="YC38" s="19"/>
      <c r="YD38" s="19"/>
      <c r="YE38" s="19"/>
      <c r="YF38" s="19"/>
      <c r="YG38" s="19"/>
      <c r="YH38" s="19"/>
      <c r="YI38" s="19"/>
      <c r="YJ38" s="19"/>
      <c r="YK38" s="19"/>
      <c r="YL38" s="19"/>
      <c r="YM38" s="19"/>
      <c r="YN38" s="19"/>
      <c r="YO38" s="19"/>
      <c r="YP38" s="19"/>
      <c r="YQ38" s="19"/>
      <c r="YR38" s="19"/>
      <c r="YS38" s="19"/>
      <c r="YT38" s="19"/>
      <c r="YU38" s="19"/>
      <c r="YV38" s="19"/>
      <c r="YW38" s="19"/>
      <c r="YX38" s="19"/>
      <c r="YY38" s="19"/>
      <c r="YZ38" s="19"/>
      <c r="ZA38" s="19"/>
      <c r="ZB38" s="19"/>
      <c r="ZC38" s="19"/>
      <c r="ZD38" s="19"/>
      <c r="ZE38" s="19"/>
      <c r="ZF38" s="19"/>
      <c r="ZG38" s="19"/>
      <c r="ZH38" s="19"/>
      <c r="ZI38" s="19"/>
      <c r="ZJ38" s="19"/>
      <c r="ZK38" s="19"/>
      <c r="ZL38" s="19"/>
      <c r="ZM38" s="19"/>
      <c r="ZN38" s="19"/>
      <c r="ZO38" s="19"/>
      <c r="ZP38" s="19"/>
      <c r="ZQ38" s="19"/>
      <c r="ZR38" s="19"/>
      <c r="ZS38" s="19"/>
      <c r="ZT38" s="19"/>
      <c r="ZU38" s="19"/>
      <c r="ZV38" s="19"/>
      <c r="ZW38" s="19"/>
      <c r="ZX38" s="19"/>
      <c r="ZY38" s="19"/>
      <c r="ZZ38" s="19"/>
      <c r="AAA38" s="19"/>
      <c r="AAB38" s="19"/>
      <c r="AAC38" s="19"/>
      <c r="AAD38" s="19"/>
      <c r="AAE38" s="19"/>
      <c r="AAF38" s="19"/>
      <c r="AAG38" s="19"/>
      <c r="AAH38" s="19"/>
      <c r="AAI38" s="19"/>
      <c r="AAJ38" s="19"/>
      <c r="AAK38" s="19"/>
      <c r="AAL38" s="19"/>
      <c r="AAM38" s="19"/>
      <c r="AAN38" s="19"/>
      <c r="AAO38" s="19"/>
      <c r="AAP38" s="19"/>
      <c r="AAQ38" s="19"/>
      <c r="AAR38" s="19"/>
      <c r="AAS38" s="19"/>
      <c r="AAT38" s="19"/>
      <c r="AAU38" s="19"/>
      <c r="AAV38" s="19"/>
      <c r="AAW38" s="19"/>
      <c r="AAX38" s="19"/>
      <c r="AAY38" s="19"/>
      <c r="AAZ38" s="19"/>
      <c r="ABA38" s="19"/>
      <c r="ABB38" s="19"/>
      <c r="ABC38" s="19"/>
      <c r="ABD38" s="19"/>
      <c r="ABE38" s="19"/>
      <c r="ABF38" s="19"/>
      <c r="ABG38" s="19"/>
      <c r="ABH38" s="19"/>
      <c r="ABI38" s="19"/>
      <c r="ABJ38" s="19"/>
      <c r="ABK38" s="19"/>
      <c r="ABL38" s="19"/>
      <c r="ABM38" s="19"/>
      <c r="ABN38" s="19"/>
      <c r="ABO38" s="19"/>
      <c r="ABP38" s="19"/>
      <c r="ABQ38" s="19"/>
      <c r="ABR38" s="19"/>
      <c r="ABS38" s="19"/>
      <c r="ABT38" s="19"/>
      <c r="ABU38" s="19"/>
      <c r="ABV38" s="19"/>
      <c r="ABW38" s="19"/>
      <c r="ABX38" s="19"/>
      <c r="ABY38" s="19"/>
      <c r="ABZ38" s="19"/>
      <c r="ACA38" s="19"/>
      <c r="ACB38" s="19"/>
      <c r="ACC38" s="19"/>
      <c r="ACD38" s="19"/>
      <c r="ACE38" s="19"/>
      <c r="ACF38" s="19"/>
      <c r="ACG38" s="19"/>
      <c r="ACH38" s="19"/>
      <c r="ACI38" s="19"/>
      <c r="ACJ38" s="19"/>
      <c r="ACK38" s="19"/>
      <c r="ACL38" s="19"/>
      <c r="ACM38" s="19"/>
      <c r="ACN38" s="19"/>
      <c r="ACO38" s="19"/>
      <c r="ACP38" s="19"/>
      <c r="ACQ38" s="19"/>
      <c r="ACR38" s="19"/>
      <c r="ACS38" s="19"/>
      <c r="ACT38" s="19"/>
      <c r="ACU38" s="19"/>
      <c r="ACV38" s="19"/>
      <c r="ACW38" s="19"/>
      <c r="ACX38" s="19"/>
      <c r="ACY38" s="19"/>
      <c r="ACZ38" s="19"/>
      <c r="ADA38" s="19"/>
      <c r="ADB38" s="19"/>
      <c r="ADC38" s="19"/>
      <c r="ADD38" s="19"/>
      <c r="ADE38" s="19"/>
      <c r="ADF38" s="19"/>
      <c r="ADG38" s="19"/>
      <c r="ADH38" s="19"/>
      <c r="ADI38" s="19"/>
      <c r="ADJ38" s="19"/>
      <c r="ADK38" s="19"/>
      <c r="ADL38" s="19"/>
      <c r="ADM38" s="19"/>
      <c r="ADN38" s="19"/>
      <c r="ADO38" s="19"/>
      <c r="ADP38" s="19"/>
      <c r="ADQ38" s="19"/>
      <c r="ADR38" s="19"/>
      <c r="ADS38" s="19"/>
      <c r="ADT38" s="19"/>
      <c r="ADU38" s="19"/>
      <c r="ADV38" s="19"/>
      <c r="ADW38" s="19"/>
      <c r="ADX38" s="19"/>
      <c r="ADY38" s="19"/>
      <c r="ADZ38" s="19"/>
      <c r="AEA38" s="19"/>
      <c r="AEB38" s="19"/>
      <c r="AEC38" s="19"/>
      <c r="AED38" s="19"/>
      <c r="AEE38" s="19"/>
      <c r="AEF38" s="19"/>
      <c r="AEG38" s="19"/>
      <c r="AEH38" s="19"/>
      <c r="AEI38" s="19"/>
      <c r="AEJ38" s="19"/>
      <c r="AEK38" s="19"/>
      <c r="AEL38" s="19"/>
      <c r="AEM38" s="19"/>
      <c r="AEN38" s="19"/>
      <c r="AEO38" s="19"/>
      <c r="AEP38" s="19"/>
      <c r="AEQ38" s="19"/>
      <c r="AER38" s="19"/>
      <c r="AES38" s="19"/>
      <c r="AET38" s="19"/>
      <c r="AEU38" s="19"/>
      <c r="AEV38" s="19"/>
      <c r="AEW38" s="19"/>
      <c r="AEX38" s="19"/>
      <c r="AEY38" s="19"/>
      <c r="AEZ38" s="19"/>
      <c r="AFA38" s="19"/>
      <c r="AFB38" s="19"/>
      <c r="AFC38" s="19"/>
      <c r="AFD38" s="19"/>
      <c r="AFE38" s="19"/>
      <c r="AFF38" s="19"/>
      <c r="AFG38" s="19"/>
      <c r="AFH38" s="19"/>
      <c r="AFI38" s="19"/>
      <c r="AFJ38" s="19"/>
      <c r="AFK38" s="19"/>
      <c r="AFL38" s="19"/>
      <c r="AFM38" s="19"/>
      <c r="AFN38" s="19"/>
      <c r="AFO38" s="19"/>
      <c r="AFP38" s="19"/>
      <c r="AFQ38" s="19"/>
      <c r="AFR38" s="19"/>
      <c r="AFS38" s="19"/>
      <c r="AFT38" s="19"/>
      <c r="AFU38" s="19"/>
      <c r="AFV38" s="19"/>
      <c r="AFW38" s="19"/>
      <c r="AFX38" s="19"/>
      <c r="AFY38" s="19"/>
      <c r="AFZ38" s="19"/>
      <c r="AGA38" s="19"/>
      <c r="AGB38" s="19"/>
      <c r="AGC38" s="19"/>
      <c r="AGD38" s="19"/>
      <c r="AGE38" s="19"/>
      <c r="AGF38" s="19"/>
      <c r="AGG38" s="19"/>
      <c r="AGH38" s="19"/>
      <c r="AGI38" s="19"/>
      <c r="AGJ38" s="19"/>
      <c r="AGK38" s="19"/>
      <c r="AGL38" s="19"/>
      <c r="AGM38" s="19"/>
      <c r="AGN38" s="19"/>
      <c r="AGO38" s="19"/>
      <c r="AGP38" s="19"/>
      <c r="AGQ38" s="19"/>
      <c r="AGR38" s="19"/>
      <c r="AGS38" s="19"/>
      <c r="AGT38" s="19"/>
      <c r="AGU38" s="19"/>
      <c r="AGV38" s="19"/>
      <c r="AGW38" s="19"/>
      <c r="AGX38" s="19"/>
      <c r="AGY38" s="19"/>
      <c r="AGZ38" s="19"/>
      <c r="AHA38" s="19"/>
      <c r="AHB38" s="19"/>
      <c r="AHC38" s="19"/>
      <c r="AHD38" s="19"/>
      <c r="AHE38" s="19"/>
      <c r="AHF38" s="19"/>
      <c r="AHG38" s="19"/>
      <c r="AHH38" s="19"/>
      <c r="AHI38" s="19"/>
      <c r="AHJ38" s="19"/>
      <c r="AHK38" s="19"/>
      <c r="AHL38" s="19"/>
      <c r="AHM38" s="19"/>
      <c r="AHN38" s="19"/>
      <c r="AHO38" s="19"/>
      <c r="AHP38" s="19"/>
      <c r="AHQ38" s="19"/>
      <c r="AHR38" s="19"/>
      <c r="AHS38" s="19"/>
      <c r="AHT38" s="19"/>
      <c r="AHU38" s="19"/>
      <c r="AHV38" s="19"/>
      <c r="AHW38" s="19"/>
      <c r="AHX38" s="19"/>
      <c r="AHY38" s="19"/>
      <c r="AHZ38" s="19"/>
      <c r="AIA38" s="19"/>
      <c r="AIB38" s="19"/>
      <c r="AIC38" s="19"/>
      <c r="AID38" s="19"/>
      <c r="AIE38" s="19"/>
      <c r="AIF38" s="19"/>
      <c r="AIG38" s="19"/>
      <c r="AIH38" s="19"/>
      <c r="AII38" s="19"/>
      <c r="AIJ38" s="19"/>
      <c r="AIK38" s="19"/>
      <c r="AIL38" s="19"/>
      <c r="AIM38" s="19"/>
      <c r="AIN38" s="19"/>
      <c r="AIO38" s="19"/>
      <c r="AIP38" s="19"/>
      <c r="AIQ38" s="19"/>
      <c r="AIR38" s="19"/>
      <c r="AIS38" s="19"/>
      <c r="AIT38" s="19"/>
      <c r="AIU38" s="19"/>
      <c r="AIV38" s="19"/>
      <c r="AIW38" s="19"/>
      <c r="AIX38" s="19"/>
      <c r="AIY38" s="19"/>
      <c r="AIZ38" s="19"/>
      <c r="AJA38" s="19"/>
      <c r="AJB38" s="19"/>
      <c r="AJC38" s="19"/>
      <c r="AJD38" s="19"/>
      <c r="AJE38" s="19"/>
      <c r="AJF38" s="19"/>
      <c r="AJG38" s="19"/>
      <c r="AJH38" s="19"/>
      <c r="AJI38" s="19"/>
      <c r="AJJ38" s="19"/>
      <c r="AJK38" s="19"/>
      <c r="AJL38" s="19"/>
      <c r="AJM38" s="19"/>
      <c r="AJN38" s="19"/>
      <c r="AJO38" s="19"/>
      <c r="AJP38" s="19"/>
      <c r="AJQ38" s="19"/>
      <c r="AJR38" s="19"/>
      <c r="AJS38" s="19"/>
      <c r="AJT38" s="19"/>
      <c r="AJU38" s="19"/>
      <c r="AJV38" s="19"/>
      <c r="AJW38" s="19"/>
      <c r="AJX38" s="19"/>
      <c r="AJY38" s="19"/>
      <c r="AJZ38" s="19"/>
      <c r="AKA38" s="19"/>
      <c r="AKB38" s="19"/>
      <c r="AKC38" s="19"/>
      <c r="AKD38" s="19"/>
      <c r="AKE38" s="19"/>
      <c r="AKF38" s="19"/>
      <c r="AKG38" s="19"/>
      <c r="AKH38" s="19"/>
      <c r="AKI38" s="19"/>
      <c r="AKJ38" s="19"/>
      <c r="AKK38" s="19"/>
      <c r="AKL38" s="19"/>
      <c r="AKM38" s="19"/>
      <c r="AKN38" s="19"/>
      <c r="AKO38" s="19"/>
      <c r="AKP38" s="19"/>
      <c r="AKQ38" s="19"/>
      <c r="AKR38" s="19"/>
      <c r="AKS38" s="19"/>
      <c r="AKT38" s="19"/>
      <c r="AKU38" s="19"/>
      <c r="AKV38" s="19"/>
      <c r="AKW38" s="19"/>
      <c r="AKX38" s="19"/>
      <c r="AKY38" s="19"/>
      <c r="AKZ38" s="19"/>
      <c r="ALA38" s="19"/>
      <c r="ALB38" s="19"/>
      <c r="ALC38" s="19"/>
      <c r="ALD38" s="19"/>
      <c r="ALE38" s="19"/>
      <c r="ALF38" s="19"/>
      <c r="ALG38" s="19"/>
      <c r="ALH38" s="19"/>
      <c r="ALI38" s="19"/>
      <c r="ALJ38" s="19"/>
      <c r="ALK38" s="19"/>
      <c r="ALL38" s="19"/>
      <c r="ALM38" s="19"/>
      <c r="ALN38" s="19"/>
      <c r="ALO38" s="19"/>
      <c r="ALP38" s="19"/>
      <c r="ALQ38" s="19"/>
      <c r="ALR38" s="19"/>
      <c r="ALS38" s="19"/>
      <c r="ALT38" s="19"/>
      <c r="ALU38" s="19"/>
      <c r="ALV38" s="19"/>
      <c r="ALW38" s="19"/>
      <c r="ALX38" s="19"/>
      <c r="ALY38" s="19"/>
      <c r="ALZ38" s="19"/>
      <c r="AMA38" s="19"/>
      <c r="AMB38" s="19"/>
      <c r="AMC38" s="19"/>
      <c r="AMD38" s="19"/>
      <c r="AME38" s="19"/>
      <c r="AMF38" s="19"/>
      <c r="AMG38" s="19"/>
      <c r="AMH38" s="19"/>
      <c r="AMI38" s="19"/>
      <c r="AMJ38" s="19"/>
      <c r="AMK38" s="19"/>
      <c r="AML38" s="19"/>
      <c r="AMM38" s="19"/>
      <c r="AMN38" s="19"/>
      <c r="AMO38" s="19"/>
      <c r="AMP38" s="19"/>
      <c r="AMQ38" s="19"/>
      <c r="AMR38" s="19"/>
      <c r="AMS38" s="19"/>
      <c r="AMT38" s="19"/>
      <c r="AMU38" s="19"/>
      <c r="AMV38" s="19"/>
      <c r="AMW38" s="19"/>
      <c r="AMX38" s="19"/>
      <c r="AMY38" s="19"/>
      <c r="AMZ38" s="19"/>
      <c r="ANA38" s="19"/>
      <c r="ANB38" s="19"/>
      <c r="ANC38" s="19"/>
      <c r="AND38" s="19"/>
      <c r="ANE38" s="19"/>
      <c r="ANF38" s="19"/>
      <c r="ANG38" s="19"/>
      <c r="ANH38" s="19"/>
      <c r="ANI38" s="19"/>
      <c r="ANJ38" s="19"/>
      <c r="ANK38" s="19"/>
      <c r="ANL38" s="19"/>
      <c r="ANM38" s="19"/>
      <c r="ANN38" s="19"/>
      <c r="ANO38" s="19"/>
      <c r="ANP38" s="19"/>
      <c r="ANQ38" s="19"/>
      <c r="ANR38" s="19"/>
      <c r="ANS38" s="19"/>
      <c r="ANT38" s="19"/>
      <c r="ANU38" s="19"/>
      <c r="ANV38" s="19"/>
      <c r="ANW38" s="19"/>
      <c r="ANX38" s="19"/>
      <c r="ANY38" s="19"/>
      <c r="ANZ38" s="19"/>
      <c r="AOA38" s="19"/>
      <c r="AOB38" s="19"/>
      <c r="AOC38" s="19"/>
      <c r="AOD38" s="19"/>
      <c r="AOE38" s="19"/>
      <c r="AOF38" s="19"/>
      <c r="AOG38" s="19"/>
      <c r="AOH38" s="19"/>
      <c r="AOI38" s="19"/>
      <c r="AOJ38" s="19"/>
      <c r="AOK38" s="19"/>
      <c r="AOL38" s="19"/>
      <c r="AOM38" s="19"/>
      <c r="AON38" s="19"/>
      <c r="AOO38" s="19"/>
      <c r="AOP38" s="19"/>
      <c r="AOQ38" s="19"/>
      <c r="AOR38" s="19"/>
      <c r="AOS38" s="19"/>
      <c r="AOT38" s="19"/>
      <c r="AOU38" s="19"/>
      <c r="AOV38" s="19"/>
      <c r="AOW38" s="19"/>
      <c r="AOX38" s="19"/>
      <c r="AOY38" s="19"/>
      <c r="AOZ38" s="19"/>
      <c r="APA38" s="19"/>
      <c r="APB38" s="19"/>
      <c r="APC38" s="19"/>
      <c r="APD38" s="19"/>
      <c r="APE38" s="19"/>
      <c r="APF38" s="19"/>
      <c r="APG38" s="19"/>
      <c r="APH38" s="19"/>
      <c r="API38" s="19"/>
      <c r="APJ38" s="19"/>
      <c r="APK38" s="19"/>
      <c r="APL38" s="19"/>
      <c r="APM38" s="19"/>
      <c r="APN38" s="19"/>
      <c r="APO38" s="19"/>
      <c r="APP38" s="19"/>
      <c r="APQ38" s="19"/>
      <c r="APR38" s="19"/>
      <c r="APS38" s="19"/>
      <c r="APT38" s="19"/>
      <c r="APU38" s="19"/>
      <c r="APV38" s="19"/>
      <c r="APW38" s="19"/>
      <c r="APX38" s="19"/>
      <c r="APY38" s="19"/>
      <c r="APZ38" s="19"/>
      <c r="AQA38" s="19"/>
      <c r="AQB38" s="19"/>
      <c r="AQC38" s="19"/>
      <c r="AQD38" s="19"/>
      <c r="AQE38" s="19"/>
      <c r="AQF38" s="19"/>
      <c r="AQG38" s="19"/>
      <c r="AQH38" s="19"/>
      <c r="AQI38" s="19"/>
      <c r="AQJ38" s="19"/>
      <c r="AQK38" s="19"/>
      <c r="AQL38" s="19"/>
      <c r="AQM38" s="19"/>
      <c r="AQN38" s="19"/>
      <c r="AQO38" s="19"/>
      <c r="AQP38" s="19"/>
      <c r="AQQ38" s="19"/>
      <c r="AQR38" s="19"/>
      <c r="AQS38" s="19"/>
      <c r="AQT38" s="19"/>
      <c r="AQU38" s="19"/>
      <c r="AQV38" s="19"/>
      <c r="AQW38" s="19"/>
      <c r="AQX38" s="19"/>
      <c r="AQY38" s="19"/>
      <c r="AQZ38" s="19"/>
      <c r="ARA38" s="19"/>
      <c r="ARB38" s="19"/>
      <c r="ARC38" s="19"/>
      <c r="ARD38" s="19"/>
      <c r="ARE38" s="19"/>
      <c r="ARF38" s="19"/>
      <c r="ARG38" s="19"/>
      <c r="ARH38" s="19"/>
      <c r="ARI38" s="19"/>
      <c r="ARJ38" s="19"/>
      <c r="ARK38" s="19"/>
      <c r="ARL38" s="19"/>
      <c r="ARM38" s="19"/>
      <c r="ARN38" s="19"/>
      <c r="ARO38" s="19"/>
      <c r="ARP38" s="19"/>
      <c r="ARQ38" s="19"/>
      <c r="ARR38" s="19"/>
      <c r="ARS38" s="19"/>
      <c r="ART38" s="19"/>
      <c r="ARU38" s="19"/>
      <c r="ARV38" s="19"/>
      <c r="ARW38" s="19"/>
      <c r="ARX38" s="19"/>
      <c r="ARY38" s="19"/>
      <c r="ARZ38" s="19"/>
      <c r="ASA38" s="19"/>
      <c r="ASB38" s="19"/>
      <c r="ASC38" s="19"/>
      <c r="ASD38" s="19"/>
      <c r="ASE38" s="19"/>
      <c r="ASF38" s="19"/>
      <c r="ASG38" s="19"/>
      <c r="ASH38" s="19"/>
      <c r="ASI38" s="19"/>
      <c r="ASJ38" s="19"/>
      <c r="ASK38" s="19"/>
      <c r="ASL38" s="19"/>
      <c r="ASM38" s="19"/>
      <c r="ASN38" s="19"/>
      <c r="ASO38" s="19"/>
      <c r="ASP38" s="19"/>
      <c r="ASQ38" s="19"/>
      <c r="ASR38" s="19"/>
      <c r="ASS38" s="19"/>
      <c r="AST38" s="19"/>
      <c r="ASU38" s="19"/>
      <c r="ASV38" s="19"/>
      <c r="ASW38" s="19"/>
      <c r="ASX38" s="19"/>
      <c r="ASY38" s="19"/>
      <c r="ASZ38" s="19"/>
      <c r="ATA38" s="19"/>
      <c r="ATB38" s="19"/>
      <c r="ATC38" s="19"/>
      <c r="ATD38" s="19"/>
      <c r="ATE38" s="19"/>
      <c r="ATF38" s="19"/>
      <c r="ATG38" s="19"/>
      <c r="ATH38" s="19"/>
      <c r="ATI38" s="19"/>
      <c r="ATJ38" s="19"/>
      <c r="ATK38" s="19"/>
      <c r="ATL38" s="19"/>
      <c r="ATM38" s="19"/>
      <c r="ATN38" s="19"/>
      <c r="ATO38" s="19"/>
      <c r="ATP38" s="19"/>
      <c r="ATQ38" s="19"/>
      <c r="ATR38" s="19"/>
      <c r="ATS38" s="19"/>
      <c r="ATT38" s="19"/>
      <c r="ATU38" s="19"/>
      <c r="ATV38" s="19"/>
      <c r="ATW38" s="19"/>
      <c r="ATX38" s="19"/>
      <c r="ATY38" s="19"/>
      <c r="ATZ38" s="19"/>
      <c r="AUA38" s="19"/>
      <c r="AUB38" s="19"/>
      <c r="AUC38" s="19"/>
      <c r="AUD38" s="19"/>
      <c r="AUE38" s="19"/>
      <c r="AUF38" s="19"/>
      <c r="AUG38" s="19"/>
      <c r="AUH38" s="19"/>
      <c r="AUI38" s="19"/>
      <c r="AUJ38" s="19"/>
      <c r="AUK38" s="19"/>
      <c r="AUL38" s="19"/>
      <c r="AUM38" s="19"/>
      <c r="AUN38" s="19"/>
      <c r="AUO38" s="19"/>
      <c r="AUP38" s="19"/>
      <c r="AUQ38" s="19"/>
      <c r="AUR38" s="19"/>
      <c r="AUS38" s="19"/>
      <c r="AUT38" s="19"/>
      <c r="AUU38" s="19"/>
      <c r="AUV38" s="19"/>
      <c r="AUW38" s="19"/>
      <c r="AUX38" s="19"/>
      <c r="AUY38" s="19"/>
      <c r="AUZ38" s="19"/>
      <c r="AVA38" s="19"/>
      <c r="AVB38" s="19"/>
      <c r="AVC38" s="19"/>
      <c r="AVD38" s="19"/>
      <c r="AVE38" s="19"/>
      <c r="AVF38" s="19"/>
      <c r="AVG38" s="19"/>
      <c r="AVH38" s="19"/>
      <c r="AVI38" s="19"/>
      <c r="AVJ38" s="19"/>
      <c r="AVK38" s="19"/>
      <c r="AVL38" s="19"/>
      <c r="AVM38" s="19"/>
      <c r="AVN38" s="19"/>
      <c r="AVO38" s="19"/>
      <c r="AVP38" s="19"/>
      <c r="AVQ38" s="19"/>
      <c r="AVR38" s="19"/>
      <c r="AVS38" s="19"/>
      <c r="AVT38" s="19"/>
      <c r="AVU38" s="19"/>
      <c r="AVV38" s="19"/>
      <c r="AVW38" s="19"/>
      <c r="AVX38" s="19"/>
      <c r="AVY38" s="19"/>
      <c r="AVZ38" s="19"/>
      <c r="AWA38" s="19"/>
      <c r="AWB38" s="19"/>
      <c r="AWC38" s="19"/>
      <c r="AWD38" s="19"/>
      <c r="AWE38" s="19"/>
      <c r="AWF38" s="19"/>
      <c r="AWG38" s="19"/>
      <c r="AWH38" s="19"/>
      <c r="AWI38" s="19"/>
      <c r="AWJ38" s="19"/>
      <c r="AWK38" s="19"/>
      <c r="AWL38" s="19"/>
      <c r="AWM38" s="19"/>
      <c r="AWN38" s="19"/>
      <c r="AWO38" s="19"/>
      <c r="AWP38" s="19"/>
      <c r="AWQ38" s="19"/>
      <c r="AWR38" s="19"/>
      <c r="AWS38" s="19"/>
      <c r="AWT38" s="19"/>
      <c r="AWU38" s="19"/>
      <c r="AWV38" s="19"/>
      <c r="AWW38" s="19"/>
      <c r="AWX38" s="19"/>
      <c r="AWY38" s="19"/>
      <c r="AWZ38" s="19"/>
      <c r="AXA38" s="19"/>
      <c r="AXB38" s="19"/>
      <c r="AXC38" s="19"/>
      <c r="AXD38" s="19"/>
      <c r="AXE38" s="19"/>
      <c r="AXF38" s="19"/>
      <c r="AXG38" s="19"/>
      <c r="AXH38" s="19"/>
      <c r="AXI38" s="19"/>
      <c r="AXJ38" s="19"/>
      <c r="AXK38" s="19"/>
      <c r="AXL38" s="19"/>
      <c r="AXM38" s="19"/>
      <c r="AXN38" s="19"/>
      <c r="AXO38" s="19"/>
      <c r="AXP38" s="19"/>
      <c r="AXQ38" s="19"/>
      <c r="AXR38" s="19"/>
      <c r="AXS38" s="19"/>
      <c r="AXT38" s="19"/>
      <c r="AXU38" s="19"/>
      <c r="AXV38" s="19"/>
      <c r="AXW38" s="19"/>
      <c r="AXX38" s="19"/>
      <c r="AXY38" s="19"/>
      <c r="AXZ38" s="19"/>
      <c r="AYA38" s="19"/>
      <c r="AYB38" s="19"/>
      <c r="AYC38" s="19"/>
      <c r="AYD38" s="19"/>
      <c r="AYE38" s="19"/>
      <c r="AYF38" s="19"/>
      <c r="AYG38" s="19"/>
      <c r="AYH38" s="19"/>
      <c r="AYI38" s="19"/>
      <c r="AYJ38" s="19"/>
      <c r="AYK38" s="19"/>
      <c r="AYL38" s="19"/>
      <c r="AYM38" s="19"/>
      <c r="AYN38" s="19"/>
      <c r="AYO38" s="19"/>
      <c r="AYP38" s="19"/>
      <c r="AYQ38" s="19"/>
      <c r="AYR38" s="19"/>
      <c r="AYS38" s="19"/>
      <c r="AYT38" s="19"/>
      <c r="AYU38" s="19"/>
      <c r="AYV38" s="19"/>
      <c r="AYW38" s="19"/>
      <c r="AYX38" s="19"/>
      <c r="AYY38" s="19"/>
      <c r="AYZ38" s="19"/>
      <c r="AZA38" s="19"/>
      <c r="AZB38" s="19"/>
      <c r="AZC38" s="19"/>
      <c r="AZD38" s="19"/>
      <c r="AZE38" s="19"/>
      <c r="AZF38" s="19"/>
      <c r="AZG38" s="19"/>
      <c r="AZH38" s="19"/>
      <c r="AZI38" s="19"/>
      <c r="AZJ38" s="19"/>
      <c r="AZK38" s="19"/>
      <c r="AZL38" s="19"/>
      <c r="AZM38" s="19"/>
      <c r="AZN38" s="19"/>
      <c r="AZO38" s="19"/>
      <c r="AZP38" s="19"/>
      <c r="AZQ38" s="19"/>
      <c r="AZR38" s="19"/>
      <c r="AZS38" s="19"/>
      <c r="AZT38" s="19"/>
      <c r="AZU38" s="19"/>
      <c r="AZV38" s="19"/>
      <c r="AZW38" s="19"/>
      <c r="AZX38" s="19"/>
      <c r="AZY38" s="19"/>
      <c r="AZZ38" s="19"/>
      <c r="BAA38" s="19"/>
      <c r="BAB38" s="19"/>
      <c r="BAC38" s="19"/>
      <c r="BAD38" s="19"/>
      <c r="BAE38" s="19"/>
      <c r="BAF38" s="19"/>
      <c r="BAG38" s="19"/>
      <c r="BAH38" s="19"/>
      <c r="BAI38" s="19"/>
      <c r="BAJ38" s="19"/>
      <c r="BAK38" s="19"/>
      <c r="BAL38" s="19"/>
      <c r="BAM38" s="19"/>
      <c r="BAN38" s="19"/>
      <c r="BAO38" s="19"/>
      <c r="BAP38" s="19"/>
      <c r="BAQ38" s="19"/>
      <c r="BAR38" s="19"/>
      <c r="BAS38" s="19"/>
      <c r="BAT38" s="19"/>
      <c r="BAU38" s="19"/>
      <c r="BAV38" s="19"/>
      <c r="BAW38" s="19"/>
      <c r="BAX38" s="19"/>
      <c r="BAY38" s="19"/>
      <c r="BAZ38" s="19"/>
      <c r="BBA38" s="19"/>
      <c r="BBB38" s="19"/>
      <c r="BBC38" s="19"/>
      <c r="BBD38" s="19"/>
      <c r="BBE38" s="19"/>
      <c r="BBF38" s="19"/>
      <c r="BBG38" s="19"/>
      <c r="BBH38" s="19"/>
      <c r="BBI38" s="19"/>
      <c r="BBJ38" s="19"/>
      <c r="BBK38" s="19"/>
      <c r="BBL38" s="19"/>
      <c r="BBM38" s="19"/>
      <c r="BBN38" s="19"/>
      <c r="BBO38" s="19"/>
      <c r="BBP38" s="19"/>
      <c r="BBQ38" s="19"/>
      <c r="BBR38" s="19"/>
      <c r="BBS38" s="19"/>
      <c r="BBT38" s="19"/>
      <c r="BBU38" s="19"/>
      <c r="BBV38" s="19"/>
      <c r="BBW38" s="19"/>
      <c r="BBX38" s="19"/>
      <c r="BBY38" s="19"/>
      <c r="BBZ38" s="19"/>
      <c r="BCA38" s="19"/>
      <c r="BCB38" s="19"/>
      <c r="BCC38" s="19"/>
      <c r="BCD38" s="19"/>
      <c r="BCE38" s="19"/>
      <c r="BCF38" s="19"/>
      <c r="BCG38" s="19"/>
      <c r="BCH38" s="19"/>
      <c r="BCI38" s="19"/>
      <c r="BCJ38" s="19"/>
      <c r="BCK38" s="19"/>
      <c r="BCL38" s="19"/>
      <c r="BCM38" s="19"/>
      <c r="BCN38" s="19"/>
      <c r="BCO38" s="19"/>
      <c r="BCP38" s="19"/>
      <c r="BCQ38" s="19"/>
      <c r="BCR38" s="19"/>
      <c r="BCS38" s="19"/>
      <c r="BCT38" s="19"/>
      <c r="BCU38" s="19"/>
      <c r="BCV38" s="19"/>
      <c r="BCW38" s="19"/>
      <c r="BCX38" s="19"/>
      <c r="BCY38" s="19"/>
      <c r="BCZ38" s="19"/>
      <c r="BDA38" s="19"/>
      <c r="BDB38" s="19"/>
      <c r="BDC38" s="19"/>
      <c r="BDD38" s="19"/>
      <c r="BDE38" s="19"/>
      <c r="BDF38" s="19"/>
      <c r="BDG38" s="19"/>
      <c r="BDH38" s="19"/>
      <c r="BDI38" s="19"/>
      <c r="BDJ38" s="19"/>
      <c r="BDK38" s="19"/>
      <c r="BDL38" s="19"/>
      <c r="BDM38" s="19"/>
      <c r="BDN38" s="19"/>
      <c r="BDO38" s="19"/>
      <c r="BDP38" s="19"/>
      <c r="BDQ38" s="19"/>
      <c r="BDR38" s="19"/>
      <c r="BDS38" s="19"/>
      <c r="BDT38" s="19"/>
      <c r="BDU38" s="19"/>
      <c r="BDV38" s="19"/>
      <c r="BDW38" s="19"/>
      <c r="BDX38" s="19"/>
      <c r="BDY38" s="19"/>
      <c r="BDZ38" s="19"/>
      <c r="BEA38" s="19"/>
      <c r="BEB38" s="19"/>
      <c r="BEC38" s="19"/>
      <c r="BED38" s="19"/>
      <c r="BEE38" s="19"/>
      <c r="BEF38" s="19"/>
      <c r="BEG38" s="19"/>
      <c r="BEH38" s="19"/>
      <c r="BEI38" s="19"/>
      <c r="BEJ38" s="19"/>
      <c r="BEK38" s="19"/>
      <c r="BEL38" s="19"/>
      <c r="BEM38" s="19"/>
      <c r="BEN38" s="19"/>
      <c r="BEO38" s="19"/>
      <c r="BEP38" s="19"/>
      <c r="BEQ38" s="19"/>
      <c r="BER38" s="19"/>
      <c r="BES38" s="19"/>
      <c r="BET38" s="19"/>
      <c r="BEU38" s="19"/>
      <c r="BEV38" s="19"/>
      <c r="BEW38" s="19"/>
      <c r="BEX38" s="19"/>
      <c r="BEY38" s="19"/>
      <c r="BEZ38" s="19"/>
      <c r="BFA38" s="19"/>
      <c r="BFB38" s="19"/>
      <c r="BFC38" s="19"/>
      <c r="BFD38" s="19"/>
      <c r="BFE38" s="19"/>
      <c r="BFF38" s="19"/>
      <c r="BFG38" s="19"/>
      <c r="BFH38" s="19"/>
      <c r="BFI38" s="19"/>
      <c r="BFJ38" s="19"/>
      <c r="BFK38" s="19"/>
      <c r="BFL38" s="19"/>
      <c r="BFM38" s="19"/>
      <c r="BFN38" s="19"/>
      <c r="BFO38" s="19"/>
      <c r="BFP38" s="19"/>
      <c r="BFQ38" s="19"/>
      <c r="BFR38" s="19"/>
      <c r="BFS38" s="19"/>
      <c r="BFT38" s="19"/>
      <c r="BFU38" s="19"/>
      <c r="BFV38" s="19"/>
      <c r="BFW38" s="19"/>
      <c r="BFX38" s="19"/>
      <c r="BFY38" s="19"/>
      <c r="BFZ38" s="19"/>
      <c r="BGA38" s="19"/>
      <c r="BGB38" s="19"/>
      <c r="BGC38" s="19"/>
      <c r="BGD38" s="19"/>
      <c r="BGE38" s="19"/>
      <c r="BGF38" s="19"/>
      <c r="BGG38" s="19"/>
      <c r="BGH38" s="19"/>
      <c r="BGI38" s="19"/>
      <c r="BGJ38" s="19"/>
      <c r="BGK38" s="19"/>
      <c r="BGL38" s="19"/>
      <c r="BGM38" s="19"/>
      <c r="BGN38" s="19"/>
      <c r="BGO38" s="19"/>
      <c r="BGP38" s="19"/>
      <c r="BGQ38" s="19"/>
      <c r="BGR38" s="19"/>
      <c r="BGS38" s="19"/>
      <c r="BGT38" s="19"/>
      <c r="BGU38" s="19"/>
      <c r="BGV38" s="19"/>
      <c r="BGW38" s="19"/>
      <c r="BGX38" s="19"/>
      <c r="BGY38" s="19"/>
      <c r="BGZ38" s="19"/>
      <c r="BHA38" s="19"/>
      <c r="BHB38" s="19"/>
      <c r="BHC38" s="19"/>
      <c r="BHD38" s="19"/>
      <c r="BHE38" s="19"/>
      <c r="BHF38" s="19"/>
      <c r="BHG38" s="19"/>
      <c r="BHH38" s="19"/>
      <c r="BHI38" s="19"/>
      <c r="BHJ38" s="19"/>
      <c r="BHK38" s="19"/>
      <c r="BHL38" s="19"/>
      <c r="BHM38" s="19"/>
      <c r="BHN38" s="19"/>
      <c r="BHO38" s="19"/>
      <c r="BHP38" s="19"/>
      <c r="BHQ38" s="19"/>
      <c r="BHR38" s="19"/>
      <c r="BHS38" s="19"/>
      <c r="BHT38" s="19"/>
      <c r="BHU38" s="19"/>
      <c r="BHV38" s="19"/>
      <c r="BHW38" s="19"/>
      <c r="BHX38" s="19"/>
      <c r="BHY38" s="19"/>
      <c r="BHZ38" s="19"/>
      <c r="BIA38" s="19"/>
      <c r="BIB38" s="19"/>
      <c r="BIC38" s="19"/>
      <c r="BID38" s="19"/>
      <c r="BIE38" s="19"/>
      <c r="BIF38" s="19"/>
      <c r="BIG38" s="19"/>
      <c r="BIH38" s="19"/>
      <c r="BII38" s="19"/>
      <c r="BIJ38" s="19"/>
      <c r="BIK38" s="19"/>
      <c r="BIL38" s="19"/>
      <c r="BIM38" s="19"/>
      <c r="BIN38" s="19"/>
      <c r="BIO38" s="19"/>
      <c r="BIP38" s="19"/>
      <c r="BIQ38" s="19"/>
      <c r="BIR38" s="19"/>
      <c r="BIS38" s="19"/>
      <c r="BIT38" s="19"/>
      <c r="BIU38" s="19"/>
      <c r="BIV38" s="19"/>
      <c r="BIW38" s="19"/>
      <c r="BIX38" s="19"/>
      <c r="BIY38" s="19"/>
      <c r="BIZ38" s="19"/>
      <c r="BJA38" s="19"/>
      <c r="BJB38" s="19"/>
      <c r="BJC38" s="19"/>
      <c r="BJD38" s="19"/>
      <c r="BJE38" s="19"/>
      <c r="BJF38" s="19"/>
      <c r="BJG38" s="19"/>
      <c r="BJH38" s="19"/>
      <c r="BJI38" s="19"/>
      <c r="BJJ38" s="19"/>
      <c r="BJK38" s="19"/>
      <c r="BJL38" s="19"/>
      <c r="BJM38" s="19"/>
      <c r="BJN38" s="19"/>
      <c r="BJO38" s="19"/>
      <c r="BJP38" s="19"/>
      <c r="BJQ38" s="19"/>
      <c r="BJR38" s="19"/>
      <c r="BJS38" s="19"/>
      <c r="BJT38" s="19"/>
      <c r="BJU38" s="19"/>
      <c r="BJV38" s="19"/>
      <c r="BJW38" s="19"/>
      <c r="BJX38" s="19"/>
      <c r="BJY38" s="19"/>
      <c r="BJZ38" s="19"/>
      <c r="BKA38" s="19"/>
      <c r="BKB38" s="19"/>
      <c r="BKC38" s="19"/>
      <c r="BKD38" s="19"/>
      <c r="BKE38" s="19"/>
      <c r="BKF38" s="19"/>
      <c r="BKG38" s="19"/>
      <c r="BKH38" s="19"/>
      <c r="BKI38" s="19"/>
      <c r="BKJ38" s="19"/>
      <c r="BKK38" s="19"/>
      <c r="BKL38" s="19"/>
      <c r="BKM38" s="19"/>
      <c r="BKN38" s="19"/>
      <c r="BKO38" s="19"/>
      <c r="BKP38" s="19"/>
      <c r="BKQ38" s="19"/>
      <c r="BKR38" s="19"/>
      <c r="BKS38" s="19"/>
      <c r="BKT38" s="19"/>
      <c r="BKU38" s="19"/>
      <c r="BKV38" s="19"/>
      <c r="BKW38" s="19"/>
      <c r="BKX38" s="19"/>
      <c r="BKY38" s="19"/>
      <c r="BKZ38" s="19"/>
      <c r="BLA38" s="19"/>
      <c r="BLB38" s="19"/>
      <c r="BLC38" s="19"/>
      <c r="BLD38" s="19"/>
      <c r="BLE38" s="19"/>
      <c r="BLF38" s="19"/>
      <c r="BLG38" s="19"/>
      <c r="BLH38" s="19"/>
      <c r="BLI38" s="19"/>
      <c r="BLJ38" s="19"/>
      <c r="BLK38" s="19"/>
      <c r="BLL38" s="19"/>
      <c r="BLM38" s="19"/>
      <c r="BLN38" s="19"/>
      <c r="BLO38" s="19"/>
      <c r="BLP38" s="19"/>
      <c r="BLQ38" s="19"/>
      <c r="BLR38" s="19"/>
      <c r="BLS38" s="19"/>
      <c r="BLT38" s="19"/>
      <c r="BLU38" s="19"/>
      <c r="BLV38" s="19"/>
      <c r="BLW38" s="19"/>
      <c r="BLX38" s="19"/>
      <c r="BLY38" s="19"/>
      <c r="BLZ38" s="19"/>
      <c r="BMA38" s="19"/>
      <c r="BMB38" s="19"/>
      <c r="BMC38" s="19"/>
      <c r="BMD38" s="19"/>
      <c r="BME38" s="19"/>
      <c r="BMF38" s="19"/>
      <c r="BMG38" s="19"/>
      <c r="BMH38" s="19"/>
      <c r="BMI38" s="19"/>
      <c r="BMJ38" s="19"/>
      <c r="BMK38" s="19"/>
      <c r="BML38" s="19"/>
      <c r="BMM38" s="19"/>
      <c r="BMN38" s="19"/>
      <c r="BMO38" s="19"/>
      <c r="BMP38" s="19"/>
      <c r="BMQ38" s="19"/>
      <c r="BMR38" s="19"/>
      <c r="BMS38" s="19"/>
      <c r="BMT38" s="19"/>
      <c r="BMU38" s="19"/>
      <c r="BMV38" s="19"/>
      <c r="BMW38" s="19"/>
      <c r="BMX38" s="19"/>
      <c r="BMY38" s="19"/>
      <c r="BMZ38" s="19"/>
      <c r="BNA38" s="19"/>
      <c r="BNB38" s="19"/>
      <c r="BNC38" s="19"/>
      <c r="BND38" s="19"/>
      <c r="BNE38" s="19"/>
      <c r="BNF38" s="19"/>
      <c r="BNG38" s="19"/>
      <c r="BNH38" s="19"/>
      <c r="BNI38" s="19"/>
      <c r="BNJ38" s="19"/>
      <c r="BNK38" s="19"/>
      <c r="BNL38" s="19"/>
      <c r="BNM38" s="19"/>
      <c r="BNN38" s="19"/>
      <c r="BNO38" s="19"/>
      <c r="BNP38" s="19"/>
      <c r="BNQ38" s="19"/>
      <c r="BNR38" s="19"/>
      <c r="BNS38" s="19"/>
      <c r="BNT38" s="19"/>
      <c r="BNU38" s="19"/>
      <c r="BNV38" s="19"/>
      <c r="BNW38" s="19"/>
      <c r="BNX38" s="19"/>
      <c r="BNY38" s="19"/>
      <c r="BNZ38" s="19"/>
      <c r="BOA38" s="19"/>
      <c r="BOB38" s="19"/>
      <c r="BOC38" s="19"/>
      <c r="BOD38" s="19"/>
      <c r="BOE38" s="19"/>
      <c r="BOF38" s="19"/>
      <c r="BOG38" s="19"/>
      <c r="BOH38" s="19"/>
      <c r="BOI38" s="19"/>
      <c r="BOJ38" s="19"/>
      <c r="BOK38" s="19"/>
      <c r="BOL38" s="19"/>
      <c r="BOM38" s="19"/>
      <c r="BON38" s="19"/>
      <c r="BOO38" s="19"/>
      <c r="BOP38" s="19"/>
      <c r="BOQ38" s="19"/>
      <c r="BOR38" s="19"/>
      <c r="BOS38" s="19"/>
      <c r="BOT38" s="19"/>
      <c r="BOU38" s="19"/>
      <c r="BOV38" s="19"/>
      <c r="BOW38" s="19"/>
      <c r="BOX38" s="19"/>
      <c r="BOY38" s="19"/>
      <c r="BOZ38" s="19"/>
      <c r="BPA38" s="19"/>
      <c r="BPB38" s="19"/>
      <c r="BPC38" s="19"/>
      <c r="BPD38" s="19"/>
      <c r="BPE38" s="19"/>
      <c r="BPF38" s="19"/>
      <c r="BPG38" s="19"/>
      <c r="BPH38" s="19"/>
      <c r="BPI38" s="19"/>
      <c r="BPJ38" s="19"/>
      <c r="BPK38" s="19"/>
      <c r="BPL38" s="19"/>
      <c r="BPM38" s="19"/>
      <c r="BPN38" s="19"/>
      <c r="BPO38" s="19"/>
      <c r="BPP38" s="19"/>
      <c r="BPQ38" s="19"/>
      <c r="BPR38" s="19"/>
      <c r="BPS38" s="19"/>
      <c r="BPT38" s="19"/>
      <c r="BPU38" s="19"/>
      <c r="BPV38" s="19"/>
      <c r="BPW38" s="19"/>
      <c r="BPX38" s="19"/>
      <c r="BPY38" s="19"/>
      <c r="BPZ38" s="19"/>
      <c r="BQA38" s="19"/>
      <c r="BQB38" s="19"/>
      <c r="BQC38" s="19"/>
      <c r="BQD38" s="19"/>
      <c r="BQE38" s="19"/>
      <c r="BQF38" s="19"/>
      <c r="BQG38" s="19"/>
      <c r="BQH38" s="19"/>
      <c r="BQI38" s="19"/>
      <c r="BQJ38" s="19"/>
      <c r="BQK38" s="19"/>
      <c r="BQL38" s="19"/>
      <c r="BQM38" s="19"/>
      <c r="BQN38" s="19"/>
      <c r="BQO38" s="19"/>
      <c r="BQP38" s="19"/>
      <c r="BQQ38" s="19"/>
      <c r="BQR38" s="19"/>
      <c r="BQS38" s="19"/>
      <c r="BQT38" s="19"/>
      <c r="BQU38" s="19"/>
      <c r="BQV38" s="19"/>
      <c r="BQW38" s="19"/>
      <c r="BQX38" s="19"/>
      <c r="BQY38" s="19"/>
      <c r="BQZ38" s="19"/>
      <c r="BRA38" s="19"/>
      <c r="BRB38" s="19"/>
      <c r="BRC38" s="19"/>
      <c r="BRD38" s="19"/>
      <c r="BRE38" s="19"/>
      <c r="BRF38" s="19"/>
      <c r="BRG38" s="19"/>
      <c r="BRH38" s="19"/>
      <c r="BRI38" s="19"/>
      <c r="BRJ38" s="19"/>
      <c r="BRK38" s="19"/>
      <c r="BRL38" s="19"/>
      <c r="BRM38" s="19"/>
      <c r="BRN38" s="19"/>
      <c r="BRO38" s="19"/>
      <c r="BRP38" s="19"/>
      <c r="BRQ38" s="19"/>
      <c r="BRR38" s="19"/>
      <c r="BRS38" s="19"/>
      <c r="BRT38" s="19"/>
      <c r="BRU38" s="19"/>
      <c r="BRV38" s="19"/>
      <c r="BRW38" s="19"/>
      <c r="BRX38" s="19"/>
      <c r="BRY38" s="19"/>
      <c r="BRZ38" s="19"/>
      <c r="BSA38" s="19"/>
      <c r="BSB38" s="19"/>
      <c r="BSC38" s="19"/>
      <c r="BSD38" s="19"/>
      <c r="BSE38" s="19"/>
      <c r="BSF38" s="19"/>
      <c r="BSG38" s="19"/>
      <c r="BSH38" s="19"/>
      <c r="BSI38" s="19"/>
      <c r="BSJ38" s="19"/>
      <c r="BSK38" s="19"/>
      <c r="BSL38" s="19"/>
      <c r="BSM38" s="19"/>
      <c r="BSN38" s="19"/>
      <c r="BSO38" s="19"/>
      <c r="BSP38" s="19"/>
      <c r="BSQ38" s="19"/>
      <c r="BSR38" s="19"/>
      <c r="BSS38" s="19"/>
      <c r="BST38" s="19"/>
      <c r="BSU38" s="19"/>
      <c r="BSV38" s="19"/>
      <c r="BSW38" s="19"/>
      <c r="BSX38" s="19"/>
      <c r="BSY38" s="19"/>
      <c r="BSZ38" s="19"/>
      <c r="BTA38" s="19"/>
      <c r="BTB38" s="19"/>
      <c r="BTC38" s="19"/>
      <c r="BTD38" s="19"/>
      <c r="BTE38" s="19"/>
      <c r="BTF38" s="19"/>
      <c r="BTG38" s="19"/>
      <c r="BTH38" s="19"/>
      <c r="BTI38" s="19"/>
      <c r="BTJ38" s="19"/>
      <c r="BTK38" s="19"/>
      <c r="BTL38" s="19"/>
      <c r="BTM38" s="19"/>
      <c r="BTN38" s="19"/>
      <c r="BTO38" s="19"/>
      <c r="BTP38" s="19"/>
      <c r="BTQ38" s="19"/>
      <c r="BTR38" s="19"/>
      <c r="BTS38" s="19"/>
      <c r="BTT38" s="19"/>
      <c r="BTU38" s="19"/>
      <c r="BTV38" s="19"/>
      <c r="BTW38" s="19"/>
      <c r="BTX38" s="19"/>
      <c r="BTY38" s="19"/>
      <c r="BTZ38" s="19"/>
      <c r="BUA38" s="19"/>
      <c r="BUB38" s="19"/>
      <c r="BUC38" s="19"/>
      <c r="BUD38" s="19"/>
      <c r="BUE38" s="19"/>
      <c r="BUF38" s="19"/>
      <c r="BUG38" s="19"/>
      <c r="BUH38" s="19"/>
      <c r="BUI38" s="19"/>
      <c r="BUJ38" s="19"/>
      <c r="BUK38" s="19"/>
      <c r="BUL38" s="19"/>
      <c r="BUM38" s="19"/>
      <c r="BUN38" s="19"/>
      <c r="BUO38" s="19"/>
      <c r="BUP38" s="19"/>
      <c r="BUQ38" s="19"/>
      <c r="BUR38" s="19"/>
      <c r="BUS38" s="19"/>
      <c r="BUT38" s="19"/>
      <c r="BUU38" s="19"/>
      <c r="BUV38" s="19"/>
      <c r="BUW38" s="19"/>
      <c r="BUX38" s="19"/>
      <c r="BUY38" s="19"/>
      <c r="BUZ38" s="19"/>
      <c r="BVA38" s="19"/>
      <c r="BVB38" s="19"/>
      <c r="BVC38" s="19"/>
      <c r="BVD38" s="19"/>
      <c r="BVE38" s="19"/>
      <c r="BVF38" s="19"/>
      <c r="BVG38" s="19"/>
      <c r="BVH38" s="19"/>
      <c r="BVI38" s="19"/>
      <c r="BVJ38" s="19"/>
      <c r="BVK38" s="19"/>
      <c r="BVL38" s="19"/>
      <c r="BVM38" s="19"/>
      <c r="BVN38" s="19"/>
      <c r="BVO38" s="19"/>
      <c r="BVP38" s="19"/>
      <c r="BVQ38" s="19"/>
      <c r="BVR38" s="19"/>
      <c r="BVS38" s="19"/>
      <c r="BVT38" s="19"/>
      <c r="BVU38" s="19"/>
      <c r="BVV38" s="19"/>
      <c r="BVW38" s="19"/>
      <c r="BVX38" s="19"/>
      <c r="BVY38" s="19"/>
      <c r="BVZ38" s="19"/>
      <c r="BWA38" s="19"/>
      <c r="BWB38" s="19"/>
      <c r="BWC38" s="19"/>
      <c r="BWD38" s="19"/>
      <c r="BWE38" s="19"/>
      <c r="BWF38" s="19"/>
      <c r="BWG38" s="19"/>
      <c r="BWH38" s="19"/>
      <c r="BWI38" s="19"/>
      <c r="BWJ38" s="19"/>
      <c r="BWK38" s="19"/>
      <c r="BWL38" s="19"/>
      <c r="BWM38" s="19"/>
      <c r="BWN38" s="19"/>
      <c r="BWO38" s="19"/>
      <c r="BWP38" s="19"/>
      <c r="BWQ38" s="19"/>
      <c r="BWR38" s="19"/>
      <c r="BWS38" s="19"/>
      <c r="BWT38" s="19"/>
      <c r="BWU38" s="19"/>
      <c r="BWV38" s="19"/>
      <c r="BWW38" s="19"/>
      <c r="BWX38" s="19"/>
      <c r="BWY38" s="19"/>
      <c r="BWZ38" s="19"/>
      <c r="BXA38" s="19"/>
      <c r="BXB38" s="19"/>
      <c r="BXC38" s="19"/>
      <c r="BXD38" s="19"/>
      <c r="BXE38" s="19"/>
      <c r="BXF38" s="19"/>
      <c r="BXG38" s="19"/>
      <c r="BXH38" s="19"/>
      <c r="BXI38" s="19"/>
      <c r="BXJ38" s="19"/>
      <c r="BXK38" s="19"/>
      <c r="BXL38" s="19"/>
      <c r="BXM38" s="19"/>
      <c r="BXN38" s="19"/>
      <c r="BXO38" s="19"/>
      <c r="BXP38" s="19"/>
      <c r="BXQ38" s="19"/>
      <c r="BXR38" s="19"/>
      <c r="BXS38" s="19"/>
      <c r="BXT38" s="19"/>
      <c r="BXU38" s="19"/>
      <c r="BXV38" s="19"/>
      <c r="BXW38" s="19"/>
      <c r="BXX38" s="19"/>
      <c r="BXY38" s="19"/>
      <c r="BXZ38" s="19"/>
      <c r="BYA38" s="19"/>
      <c r="BYB38" s="19"/>
      <c r="BYC38" s="19"/>
      <c r="BYD38" s="19"/>
      <c r="BYE38" s="19"/>
      <c r="BYF38" s="19"/>
      <c r="BYG38" s="19"/>
      <c r="BYH38" s="19"/>
      <c r="BYI38" s="19"/>
      <c r="BYJ38" s="19"/>
      <c r="BYK38" s="19"/>
      <c r="BYL38" s="19"/>
      <c r="BYM38" s="19"/>
      <c r="BYN38" s="19"/>
      <c r="BYO38" s="19"/>
      <c r="BYP38" s="19"/>
      <c r="BYQ38" s="19"/>
      <c r="BYR38" s="19"/>
      <c r="BYS38" s="19"/>
      <c r="BYT38" s="19"/>
      <c r="BYU38" s="19"/>
      <c r="BYV38" s="19"/>
      <c r="BYW38" s="19"/>
      <c r="BYX38" s="19"/>
      <c r="BYY38" s="19"/>
      <c r="BYZ38" s="19"/>
      <c r="BZA38" s="19"/>
      <c r="BZB38" s="19"/>
      <c r="BZC38" s="19"/>
      <c r="BZD38" s="19"/>
      <c r="BZE38" s="19"/>
      <c r="BZF38" s="19"/>
      <c r="BZG38" s="19"/>
      <c r="BZH38" s="19"/>
      <c r="BZI38" s="19"/>
      <c r="BZJ38" s="19"/>
      <c r="BZK38" s="19"/>
      <c r="BZL38" s="19"/>
      <c r="BZM38" s="19"/>
      <c r="BZN38" s="19"/>
      <c r="BZO38" s="19"/>
      <c r="BZP38" s="19"/>
      <c r="BZQ38" s="19"/>
      <c r="BZR38" s="19"/>
      <c r="BZS38" s="19"/>
      <c r="BZT38" s="19"/>
      <c r="BZU38" s="19"/>
      <c r="BZV38" s="19"/>
      <c r="BZW38" s="19"/>
      <c r="BZX38" s="19"/>
      <c r="BZY38" s="19"/>
      <c r="BZZ38" s="19"/>
      <c r="CAA38" s="19"/>
      <c r="CAB38" s="19"/>
      <c r="CAC38" s="19"/>
      <c r="CAD38" s="19"/>
      <c r="CAE38" s="19"/>
      <c r="CAF38" s="19"/>
      <c r="CAG38" s="19"/>
      <c r="CAH38" s="19"/>
      <c r="CAI38" s="19"/>
      <c r="CAJ38" s="19"/>
      <c r="CAK38" s="19"/>
      <c r="CAL38" s="19"/>
      <c r="CAM38" s="19"/>
      <c r="CAN38" s="19"/>
      <c r="CAO38" s="19"/>
      <c r="CAP38" s="19"/>
      <c r="CAQ38" s="19"/>
      <c r="CAR38" s="19"/>
      <c r="CAS38" s="19"/>
      <c r="CAT38" s="19"/>
      <c r="CAU38" s="19"/>
      <c r="CAV38" s="19"/>
      <c r="CAW38" s="19"/>
      <c r="CAX38" s="19"/>
      <c r="CAY38" s="19"/>
      <c r="CAZ38" s="19"/>
      <c r="CBA38" s="19"/>
      <c r="CBB38" s="19"/>
      <c r="CBC38" s="19"/>
      <c r="CBD38" s="19"/>
      <c r="CBE38" s="19"/>
      <c r="CBF38" s="19"/>
      <c r="CBG38" s="19"/>
      <c r="CBH38" s="19"/>
      <c r="CBI38" s="19"/>
      <c r="CBJ38" s="19"/>
      <c r="CBK38" s="19"/>
      <c r="CBL38" s="19"/>
      <c r="CBM38" s="19"/>
      <c r="CBN38" s="19"/>
      <c r="CBO38" s="19"/>
      <c r="CBP38" s="19"/>
      <c r="CBQ38" s="19"/>
      <c r="CBR38" s="19"/>
      <c r="CBS38" s="19"/>
      <c r="CBT38" s="19"/>
      <c r="CBU38" s="19"/>
      <c r="CBV38" s="19"/>
      <c r="CBW38" s="19"/>
      <c r="CBX38" s="19"/>
      <c r="CBY38" s="19"/>
      <c r="CBZ38" s="19"/>
      <c r="CCA38" s="19"/>
      <c r="CCB38" s="19"/>
      <c r="CCC38" s="19"/>
      <c r="CCD38" s="19"/>
      <c r="CCE38" s="19"/>
      <c r="CCF38" s="19"/>
      <c r="CCG38" s="19"/>
      <c r="CCH38" s="19"/>
      <c r="CCI38" s="19"/>
      <c r="CCJ38" s="19"/>
      <c r="CCK38" s="19"/>
      <c r="CCL38" s="19"/>
      <c r="CCM38" s="19"/>
      <c r="CCN38" s="19"/>
      <c r="CCO38" s="19"/>
      <c r="CCP38" s="19"/>
      <c r="CCQ38" s="19"/>
      <c r="CCR38" s="19"/>
      <c r="CCS38" s="19"/>
      <c r="CCT38" s="19"/>
      <c r="CCU38" s="19"/>
      <c r="CCV38" s="19"/>
      <c r="CCW38" s="19"/>
      <c r="CCX38" s="19"/>
      <c r="CCY38" s="19"/>
      <c r="CCZ38" s="19"/>
      <c r="CDA38" s="19"/>
      <c r="CDB38" s="19"/>
      <c r="CDC38" s="19"/>
      <c r="CDD38" s="19"/>
      <c r="CDE38" s="19"/>
      <c r="CDF38" s="19"/>
      <c r="CDG38" s="19"/>
      <c r="CDH38" s="19"/>
      <c r="CDI38" s="19"/>
      <c r="CDJ38" s="19"/>
      <c r="CDK38" s="19"/>
      <c r="CDL38" s="19"/>
      <c r="CDM38" s="19"/>
      <c r="CDN38" s="19"/>
      <c r="CDO38" s="19"/>
      <c r="CDP38" s="19"/>
      <c r="CDQ38" s="19"/>
      <c r="CDR38" s="19"/>
      <c r="CDS38" s="19"/>
      <c r="CDT38" s="19"/>
      <c r="CDU38" s="19"/>
      <c r="CDV38" s="19"/>
      <c r="CDW38" s="19"/>
      <c r="CDX38" s="19"/>
      <c r="CDY38" s="19"/>
      <c r="CDZ38" s="19"/>
      <c r="CEA38" s="19"/>
      <c r="CEB38" s="19"/>
      <c r="CEC38" s="19"/>
      <c r="CED38" s="19"/>
      <c r="CEE38" s="19"/>
      <c r="CEF38" s="19"/>
      <c r="CEG38" s="19"/>
      <c r="CEH38" s="19"/>
      <c r="CEI38" s="19"/>
      <c r="CEJ38" s="19"/>
      <c r="CEK38" s="19"/>
      <c r="CEL38" s="19"/>
      <c r="CEM38" s="19"/>
      <c r="CEN38" s="19"/>
      <c r="CEO38" s="19"/>
      <c r="CEP38" s="19"/>
      <c r="CEQ38" s="19"/>
      <c r="CER38" s="19"/>
      <c r="CES38" s="19"/>
      <c r="CET38" s="19"/>
      <c r="CEU38" s="19"/>
      <c r="CEV38" s="19"/>
      <c r="CEW38" s="19"/>
      <c r="CEX38" s="19"/>
      <c r="CEY38" s="19"/>
      <c r="CEZ38" s="19"/>
      <c r="CFA38" s="19"/>
      <c r="CFB38" s="19"/>
      <c r="CFC38" s="19"/>
      <c r="CFD38" s="19"/>
      <c r="CFE38" s="19"/>
      <c r="CFF38" s="19"/>
      <c r="CFG38" s="19"/>
      <c r="CFH38" s="19"/>
      <c r="CFI38" s="19"/>
      <c r="CFJ38" s="19"/>
      <c r="CFK38" s="19"/>
      <c r="CFL38" s="19"/>
      <c r="CFM38" s="19"/>
      <c r="CFN38" s="19"/>
      <c r="CFO38" s="19"/>
      <c r="CFP38" s="19"/>
      <c r="CFQ38" s="19"/>
      <c r="CFR38" s="19"/>
      <c r="CFS38" s="19"/>
      <c r="CFT38" s="19"/>
      <c r="CFU38" s="19"/>
      <c r="CFV38" s="19"/>
      <c r="CFW38" s="19"/>
      <c r="CFX38" s="19"/>
      <c r="CFY38" s="19"/>
      <c r="CFZ38" s="19"/>
      <c r="CGA38" s="19"/>
      <c r="CGB38" s="19"/>
      <c r="CGC38" s="19"/>
      <c r="CGD38" s="19"/>
      <c r="CGE38" s="19"/>
      <c r="CGF38" s="19"/>
      <c r="CGG38" s="19"/>
      <c r="CGH38" s="19"/>
      <c r="CGI38" s="19"/>
      <c r="CGJ38" s="19"/>
      <c r="CGK38" s="19"/>
      <c r="CGL38" s="19"/>
      <c r="CGM38" s="19"/>
      <c r="CGN38" s="19"/>
      <c r="CGO38" s="19"/>
      <c r="CGP38" s="19"/>
      <c r="CGQ38" s="19"/>
      <c r="CGR38" s="19"/>
      <c r="CGS38" s="19"/>
      <c r="CGT38" s="19"/>
      <c r="CGU38" s="19"/>
      <c r="CGV38" s="19"/>
      <c r="CGW38" s="19"/>
      <c r="CGX38" s="19"/>
      <c r="CGY38" s="19"/>
      <c r="CGZ38" s="19"/>
      <c r="CHA38" s="19"/>
      <c r="CHB38" s="19"/>
      <c r="CHC38" s="19"/>
      <c r="CHD38" s="19"/>
      <c r="CHE38" s="19"/>
      <c r="CHF38" s="19"/>
      <c r="CHG38" s="19"/>
      <c r="CHH38" s="19"/>
      <c r="CHI38" s="19"/>
      <c r="CHJ38" s="19"/>
      <c r="CHK38" s="19"/>
      <c r="CHL38" s="19"/>
      <c r="CHM38" s="19"/>
      <c r="CHN38" s="19"/>
      <c r="CHO38" s="19"/>
      <c r="CHP38" s="19"/>
      <c r="CHQ38" s="19"/>
      <c r="CHR38" s="19"/>
      <c r="CHS38" s="19"/>
      <c r="CHT38" s="19"/>
      <c r="CHU38" s="19"/>
      <c r="CHV38" s="19"/>
      <c r="CHW38" s="19"/>
      <c r="CHX38" s="19"/>
      <c r="CHY38" s="19"/>
      <c r="CHZ38" s="19"/>
      <c r="CIA38" s="19"/>
      <c r="CIB38" s="19"/>
      <c r="CIC38" s="19"/>
      <c r="CID38" s="19"/>
      <c r="CIE38" s="19"/>
      <c r="CIF38" s="19"/>
      <c r="CIG38" s="19"/>
      <c r="CIH38" s="19"/>
      <c r="CII38" s="19"/>
      <c r="CIJ38" s="19"/>
      <c r="CIK38" s="19"/>
      <c r="CIL38" s="19"/>
      <c r="CIM38" s="19"/>
      <c r="CIN38" s="19"/>
      <c r="CIO38" s="19"/>
      <c r="CIP38" s="19"/>
      <c r="CIQ38" s="19"/>
      <c r="CIR38" s="19"/>
      <c r="CIS38" s="19"/>
      <c r="CIT38" s="19"/>
      <c r="CIU38" s="19"/>
      <c r="CIV38" s="19"/>
      <c r="CIW38" s="19"/>
      <c r="CIX38" s="19"/>
      <c r="CIY38" s="19"/>
      <c r="CIZ38" s="19"/>
      <c r="CJA38" s="19"/>
      <c r="CJB38" s="19"/>
      <c r="CJC38" s="19"/>
      <c r="CJD38" s="19"/>
      <c r="CJE38" s="19"/>
      <c r="CJF38" s="19"/>
      <c r="CJG38" s="19"/>
      <c r="CJH38" s="19"/>
      <c r="CJI38" s="19"/>
      <c r="CJJ38" s="19"/>
      <c r="CJK38" s="19"/>
      <c r="CJL38" s="19"/>
      <c r="CJM38" s="19"/>
      <c r="CJN38" s="19"/>
      <c r="CJO38" s="19"/>
      <c r="CJP38" s="19"/>
      <c r="CJQ38" s="19"/>
      <c r="CJR38" s="19"/>
      <c r="CJS38" s="19"/>
      <c r="CJT38" s="19"/>
      <c r="CJU38" s="19"/>
      <c r="CJV38" s="19"/>
      <c r="CJW38" s="19"/>
      <c r="CJX38" s="19"/>
      <c r="CJY38" s="19"/>
      <c r="CJZ38" s="19"/>
      <c r="CKA38" s="19"/>
      <c r="CKB38" s="19"/>
      <c r="CKC38" s="19"/>
      <c r="CKD38" s="19"/>
      <c r="CKE38" s="19"/>
      <c r="CKF38" s="19"/>
      <c r="CKG38" s="19"/>
      <c r="CKH38" s="19"/>
      <c r="CKI38" s="19"/>
      <c r="CKJ38" s="19"/>
      <c r="CKK38" s="19"/>
      <c r="CKL38" s="19"/>
      <c r="CKM38" s="19"/>
      <c r="CKN38" s="19"/>
      <c r="CKO38" s="19"/>
      <c r="CKP38" s="19"/>
      <c r="CKQ38" s="19"/>
      <c r="CKR38" s="19"/>
      <c r="CKS38" s="19"/>
      <c r="CKT38" s="19"/>
      <c r="CKU38" s="19"/>
      <c r="CKV38" s="19"/>
      <c r="CKW38" s="19"/>
      <c r="CKX38" s="19"/>
      <c r="CKY38" s="19"/>
      <c r="CKZ38" s="19"/>
      <c r="CLA38" s="19"/>
      <c r="CLB38" s="19"/>
      <c r="CLC38" s="19"/>
      <c r="CLD38" s="19"/>
      <c r="CLE38" s="19"/>
      <c r="CLF38" s="19"/>
      <c r="CLG38" s="19"/>
      <c r="CLH38" s="19"/>
      <c r="CLI38" s="19"/>
      <c r="CLJ38" s="19"/>
      <c r="CLK38" s="19"/>
      <c r="CLL38" s="19"/>
      <c r="CLM38" s="19"/>
      <c r="CLN38" s="19"/>
      <c r="CLO38" s="19"/>
      <c r="CLP38" s="19"/>
      <c r="CLQ38" s="19"/>
      <c r="CLR38" s="19"/>
      <c r="CLS38" s="19"/>
      <c r="CLT38" s="19"/>
      <c r="CLU38" s="19"/>
      <c r="CLV38" s="19"/>
      <c r="CLW38" s="19"/>
      <c r="CLX38" s="19"/>
      <c r="CLY38" s="19"/>
      <c r="CLZ38" s="19"/>
      <c r="CMA38" s="19"/>
      <c r="CMB38" s="19"/>
      <c r="CMC38" s="19"/>
      <c r="CMD38" s="19"/>
      <c r="CME38" s="19"/>
      <c r="CMF38" s="19"/>
      <c r="CMG38" s="19"/>
      <c r="CMH38" s="19"/>
      <c r="CMI38" s="19"/>
      <c r="CMJ38" s="19"/>
      <c r="CMK38" s="19"/>
      <c r="CML38" s="19"/>
      <c r="CMM38" s="19"/>
      <c r="CMN38" s="19"/>
      <c r="CMO38" s="19"/>
      <c r="CMP38" s="19"/>
      <c r="CMQ38" s="19"/>
      <c r="CMR38" s="19"/>
      <c r="CMS38" s="19"/>
      <c r="CMT38" s="19"/>
      <c r="CMU38" s="19"/>
      <c r="CMV38" s="19"/>
      <c r="CMW38" s="19"/>
      <c r="CMX38" s="19"/>
      <c r="CMY38" s="19"/>
      <c r="CMZ38" s="19"/>
      <c r="CNA38" s="19"/>
      <c r="CNB38" s="19"/>
      <c r="CNC38" s="19"/>
      <c r="CND38" s="19"/>
      <c r="CNE38" s="19"/>
      <c r="CNF38" s="19"/>
      <c r="CNG38" s="19"/>
      <c r="CNH38" s="19"/>
      <c r="CNI38" s="19"/>
      <c r="CNJ38" s="19"/>
      <c r="CNK38" s="19"/>
      <c r="CNL38" s="19"/>
      <c r="CNM38" s="19"/>
      <c r="CNN38" s="19"/>
      <c r="CNO38" s="19"/>
      <c r="CNP38" s="19"/>
      <c r="CNQ38" s="19"/>
      <c r="CNR38" s="19"/>
      <c r="CNS38" s="19"/>
      <c r="CNT38" s="19"/>
      <c r="CNU38" s="19"/>
      <c r="CNV38" s="19"/>
      <c r="CNW38" s="19"/>
      <c r="CNX38" s="19"/>
      <c r="CNY38" s="19"/>
      <c r="CNZ38" s="19"/>
      <c r="COA38" s="19"/>
      <c r="COB38" s="19"/>
      <c r="COC38" s="19"/>
      <c r="COD38" s="19"/>
      <c r="COE38" s="19"/>
      <c r="COF38" s="19"/>
      <c r="COG38" s="19"/>
      <c r="COH38" s="19"/>
      <c r="COI38" s="19"/>
      <c r="COJ38" s="19"/>
      <c r="COK38" s="19"/>
      <c r="COL38" s="19"/>
      <c r="COM38" s="19"/>
      <c r="CON38" s="19"/>
      <c r="COO38" s="19"/>
      <c r="COP38" s="19"/>
      <c r="COQ38" s="19"/>
      <c r="COR38" s="19"/>
      <c r="COS38" s="19"/>
      <c r="COT38" s="19"/>
      <c r="COU38" s="19"/>
      <c r="COV38" s="19"/>
      <c r="COW38" s="19"/>
      <c r="COX38" s="19"/>
      <c r="COY38" s="19"/>
      <c r="COZ38" s="19"/>
      <c r="CPA38" s="19"/>
      <c r="CPB38" s="19"/>
      <c r="CPC38" s="19"/>
      <c r="CPD38" s="19"/>
      <c r="CPE38" s="19"/>
      <c r="CPF38" s="19"/>
      <c r="CPG38" s="19"/>
      <c r="CPH38" s="19"/>
      <c r="CPI38" s="19"/>
      <c r="CPJ38" s="19"/>
      <c r="CPK38" s="19"/>
      <c r="CPL38" s="19"/>
      <c r="CPM38" s="19"/>
      <c r="CPN38" s="19"/>
      <c r="CPO38" s="19"/>
      <c r="CPP38" s="19"/>
      <c r="CPQ38" s="19"/>
      <c r="CPR38" s="19"/>
      <c r="CPS38" s="19"/>
      <c r="CPT38" s="19"/>
      <c r="CPU38" s="19"/>
      <c r="CPV38" s="19"/>
      <c r="CPW38" s="19"/>
      <c r="CPX38" s="19"/>
      <c r="CPY38" s="19"/>
      <c r="CPZ38" s="19"/>
      <c r="CQA38" s="19"/>
      <c r="CQB38" s="19"/>
      <c r="CQC38" s="19"/>
      <c r="CQD38" s="19"/>
      <c r="CQE38" s="19"/>
      <c r="CQF38" s="19"/>
      <c r="CQG38" s="19"/>
      <c r="CQH38" s="19"/>
      <c r="CQI38" s="19"/>
      <c r="CQJ38" s="19"/>
      <c r="CQK38" s="19"/>
      <c r="CQL38" s="19"/>
      <c r="CQM38" s="19"/>
      <c r="CQN38" s="19"/>
      <c r="CQO38" s="19"/>
      <c r="CQP38" s="19"/>
      <c r="CQQ38" s="19"/>
      <c r="CQR38" s="19"/>
      <c r="CQS38" s="19"/>
      <c r="CQT38" s="19"/>
      <c r="CQU38" s="19"/>
      <c r="CQV38" s="19"/>
      <c r="CQW38" s="19"/>
      <c r="CQX38" s="19"/>
      <c r="CQY38" s="19"/>
      <c r="CQZ38" s="19"/>
      <c r="CRA38" s="19"/>
      <c r="CRB38" s="19"/>
      <c r="CRC38" s="19"/>
      <c r="CRD38" s="19"/>
      <c r="CRE38" s="19"/>
      <c r="CRF38" s="19"/>
      <c r="CRG38" s="19"/>
      <c r="CRH38" s="19"/>
      <c r="CRI38" s="19"/>
      <c r="CRJ38" s="19"/>
      <c r="CRK38" s="19"/>
      <c r="CRL38" s="19"/>
      <c r="CRM38" s="19"/>
      <c r="CRN38" s="19"/>
      <c r="CRO38" s="19"/>
      <c r="CRP38" s="19"/>
      <c r="CRQ38" s="19"/>
      <c r="CRR38" s="19"/>
      <c r="CRS38" s="19"/>
      <c r="CRT38" s="19"/>
      <c r="CRU38" s="19"/>
      <c r="CRV38" s="19"/>
      <c r="CRW38" s="19"/>
      <c r="CRX38" s="19"/>
      <c r="CRY38" s="19"/>
      <c r="CRZ38" s="19"/>
      <c r="CSA38" s="19"/>
      <c r="CSB38" s="19"/>
      <c r="CSC38" s="19"/>
      <c r="CSD38" s="19"/>
      <c r="CSE38" s="19"/>
      <c r="CSF38" s="19"/>
      <c r="CSG38" s="19"/>
      <c r="CSH38" s="19"/>
      <c r="CSI38" s="19"/>
      <c r="CSJ38" s="19"/>
      <c r="CSK38" s="19"/>
      <c r="CSL38" s="19"/>
      <c r="CSM38" s="19"/>
      <c r="CSN38" s="19"/>
      <c r="CSO38" s="19"/>
      <c r="CSP38" s="19"/>
      <c r="CSQ38" s="19"/>
      <c r="CSR38" s="19"/>
      <c r="CSS38" s="19"/>
      <c r="CST38" s="19"/>
      <c r="CSU38" s="19"/>
      <c r="CSV38" s="19"/>
      <c r="CSW38" s="19"/>
      <c r="CSX38" s="19"/>
      <c r="CSY38" s="19"/>
      <c r="CSZ38" s="19"/>
      <c r="CTA38" s="19"/>
      <c r="CTB38" s="19"/>
      <c r="CTC38" s="19"/>
      <c r="CTD38" s="19"/>
      <c r="CTE38" s="19"/>
      <c r="CTF38" s="19"/>
      <c r="CTG38" s="19"/>
      <c r="CTH38" s="19"/>
      <c r="CTI38" s="19"/>
      <c r="CTJ38" s="19"/>
      <c r="CTK38" s="19"/>
      <c r="CTL38" s="19"/>
      <c r="CTM38" s="19"/>
      <c r="CTN38" s="19"/>
      <c r="CTO38" s="19"/>
      <c r="CTP38" s="19"/>
      <c r="CTQ38" s="19"/>
      <c r="CTR38" s="19"/>
      <c r="CTS38" s="19"/>
      <c r="CTT38" s="19"/>
      <c r="CTU38" s="19"/>
      <c r="CTV38" s="19"/>
      <c r="CTW38" s="19"/>
      <c r="CTX38" s="19"/>
      <c r="CTY38" s="19"/>
      <c r="CTZ38" s="19"/>
      <c r="CUA38" s="19"/>
      <c r="CUB38" s="19"/>
      <c r="CUC38" s="19"/>
      <c r="CUD38" s="19"/>
      <c r="CUE38" s="19"/>
      <c r="CUF38" s="19"/>
      <c r="CUG38" s="19"/>
      <c r="CUH38" s="19"/>
      <c r="CUI38" s="19"/>
      <c r="CUJ38" s="19"/>
      <c r="CUK38" s="19"/>
      <c r="CUL38" s="19"/>
      <c r="CUM38" s="19"/>
      <c r="CUN38" s="19"/>
      <c r="CUO38" s="19"/>
      <c r="CUP38" s="19"/>
      <c r="CUQ38" s="19"/>
      <c r="CUR38" s="19"/>
      <c r="CUS38" s="19"/>
      <c r="CUT38" s="19"/>
      <c r="CUU38" s="19"/>
      <c r="CUV38" s="19"/>
      <c r="CUW38" s="19"/>
      <c r="CUX38" s="19"/>
      <c r="CUY38" s="19"/>
      <c r="CUZ38" s="19"/>
      <c r="CVA38" s="19"/>
      <c r="CVB38" s="19"/>
      <c r="CVC38" s="19"/>
      <c r="CVD38" s="19"/>
      <c r="CVE38" s="19"/>
      <c r="CVF38" s="19"/>
      <c r="CVG38" s="19"/>
      <c r="CVH38" s="19"/>
      <c r="CVI38" s="19"/>
      <c r="CVJ38" s="19"/>
      <c r="CVK38" s="19"/>
      <c r="CVL38" s="19"/>
      <c r="CVM38" s="19"/>
      <c r="CVN38" s="19"/>
      <c r="CVO38" s="19"/>
      <c r="CVP38" s="19"/>
      <c r="CVQ38" s="19"/>
      <c r="CVR38" s="19"/>
      <c r="CVS38" s="19"/>
      <c r="CVT38" s="19"/>
      <c r="CVU38" s="19"/>
      <c r="CVV38" s="19"/>
      <c r="CVW38" s="19"/>
      <c r="CVX38" s="19"/>
      <c r="CVY38" s="19"/>
      <c r="CVZ38" s="19"/>
      <c r="CWA38" s="19"/>
      <c r="CWB38" s="19"/>
      <c r="CWC38" s="19"/>
      <c r="CWD38" s="19"/>
      <c r="CWE38" s="19"/>
      <c r="CWF38" s="19"/>
      <c r="CWG38" s="19"/>
      <c r="CWH38" s="19"/>
      <c r="CWI38" s="19"/>
      <c r="CWJ38" s="19"/>
      <c r="CWK38" s="19"/>
      <c r="CWL38" s="19"/>
      <c r="CWM38" s="19"/>
      <c r="CWN38" s="19"/>
      <c r="CWO38" s="19"/>
      <c r="CWP38" s="19"/>
      <c r="CWQ38" s="19"/>
      <c r="CWR38" s="19"/>
      <c r="CWS38" s="19"/>
      <c r="CWT38" s="19"/>
      <c r="CWU38" s="19"/>
      <c r="CWV38" s="19"/>
      <c r="CWW38" s="19"/>
      <c r="CWX38" s="19"/>
      <c r="CWY38" s="19"/>
      <c r="CWZ38" s="19"/>
      <c r="CXA38" s="19"/>
      <c r="CXB38" s="19"/>
      <c r="CXC38" s="19"/>
      <c r="CXD38" s="19"/>
      <c r="CXE38" s="19"/>
      <c r="CXF38" s="19"/>
      <c r="CXG38" s="19"/>
      <c r="CXH38" s="19"/>
      <c r="CXI38" s="19"/>
      <c r="CXJ38" s="19"/>
      <c r="CXK38" s="19"/>
      <c r="CXL38" s="19"/>
      <c r="CXM38" s="19"/>
      <c r="CXN38" s="19"/>
      <c r="CXO38" s="19"/>
      <c r="CXP38" s="19"/>
      <c r="CXQ38" s="19"/>
      <c r="CXR38" s="19"/>
      <c r="CXS38" s="19"/>
      <c r="CXT38" s="19"/>
      <c r="CXU38" s="19"/>
      <c r="CXV38" s="19"/>
      <c r="CXW38" s="19"/>
      <c r="CXX38" s="19"/>
      <c r="CXY38" s="19"/>
      <c r="CXZ38" s="19"/>
      <c r="CYA38" s="19"/>
      <c r="CYB38" s="19"/>
      <c r="CYC38" s="19"/>
      <c r="CYD38" s="19"/>
      <c r="CYE38" s="19"/>
      <c r="CYF38" s="19"/>
      <c r="CYG38" s="19"/>
      <c r="CYH38" s="19"/>
      <c r="CYI38" s="19"/>
      <c r="CYJ38" s="19"/>
      <c r="CYK38" s="19"/>
      <c r="CYL38" s="19"/>
      <c r="CYM38" s="19"/>
      <c r="CYN38" s="19"/>
      <c r="CYO38" s="19"/>
      <c r="CYP38" s="19"/>
      <c r="CYQ38" s="19"/>
      <c r="CYR38" s="19"/>
      <c r="CYS38" s="19"/>
      <c r="CYT38" s="19"/>
      <c r="CYU38" s="19"/>
      <c r="CYV38" s="19"/>
      <c r="CYW38" s="19"/>
      <c r="CYX38" s="19"/>
      <c r="CYY38" s="19"/>
      <c r="CYZ38" s="19"/>
      <c r="CZA38" s="19"/>
      <c r="CZB38" s="19"/>
      <c r="CZC38" s="19"/>
      <c r="CZD38" s="19"/>
      <c r="CZE38" s="19"/>
      <c r="CZF38" s="19"/>
      <c r="CZG38" s="19"/>
      <c r="CZH38" s="19"/>
      <c r="CZI38" s="19"/>
      <c r="CZJ38" s="19"/>
      <c r="CZK38" s="19"/>
      <c r="CZL38" s="19"/>
      <c r="CZM38" s="19"/>
      <c r="CZN38" s="19"/>
      <c r="CZO38" s="19"/>
      <c r="CZP38" s="19"/>
      <c r="CZQ38" s="19"/>
      <c r="CZR38" s="19"/>
      <c r="CZS38" s="19"/>
      <c r="CZT38" s="19"/>
      <c r="CZU38" s="19"/>
      <c r="CZV38" s="19"/>
      <c r="CZW38" s="19"/>
      <c r="CZX38" s="19"/>
      <c r="CZY38" s="19"/>
      <c r="CZZ38" s="19"/>
      <c r="DAA38" s="19"/>
      <c r="DAB38" s="19"/>
      <c r="DAC38" s="19"/>
      <c r="DAD38" s="19"/>
      <c r="DAE38" s="19"/>
      <c r="DAF38" s="19"/>
      <c r="DAG38" s="19"/>
      <c r="DAH38" s="19"/>
      <c r="DAI38" s="19"/>
      <c r="DAJ38" s="19"/>
      <c r="DAK38" s="19"/>
      <c r="DAL38" s="19"/>
      <c r="DAM38" s="19"/>
      <c r="DAN38" s="19"/>
      <c r="DAO38" s="19"/>
      <c r="DAP38" s="19"/>
      <c r="DAQ38" s="19"/>
      <c r="DAR38" s="19"/>
      <c r="DAS38" s="19"/>
      <c r="DAT38" s="19"/>
      <c r="DAU38" s="19"/>
      <c r="DAV38" s="19"/>
      <c r="DAW38" s="19"/>
      <c r="DAX38" s="19"/>
      <c r="DAY38" s="19"/>
      <c r="DAZ38" s="19"/>
      <c r="DBA38" s="19"/>
      <c r="DBB38" s="19"/>
      <c r="DBC38" s="19"/>
      <c r="DBD38" s="19"/>
      <c r="DBE38" s="19"/>
      <c r="DBF38" s="19"/>
      <c r="DBG38" s="19"/>
      <c r="DBH38" s="19"/>
      <c r="DBI38" s="19"/>
      <c r="DBJ38" s="19"/>
      <c r="DBK38" s="19"/>
      <c r="DBL38" s="19"/>
      <c r="DBM38" s="19"/>
      <c r="DBN38" s="19"/>
      <c r="DBO38" s="19"/>
      <c r="DBP38" s="19"/>
      <c r="DBQ38" s="19"/>
      <c r="DBR38" s="19"/>
      <c r="DBS38" s="19"/>
      <c r="DBT38" s="19"/>
      <c r="DBU38" s="19"/>
      <c r="DBV38" s="19"/>
      <c r="DBW38" s="19"/>
      <c r="DBX38" s="19"/>
      <c r="DBY38" s="19"/>
      <c r="DBZ38" s="19"/>
      <c r="DCA38" s="19"/>
      <c r="DCB38" s="19"/>
      <c r="DCC38" s="19"/>
      <c r="DCD38" s="19"/>
      <c r="DCE38" s="19"/>
      <c r="DCF38" s="19"/>
      <c r="DCG38" s="19"/>
      <c r="DCH38" s="19"/>
      <c r="DCI38" s="19"/>
      <c r="DCJ38" s="19"/>
      <c r="DCK38" s="19"/>
      <c r="DCL38" s="19"/>
      <c r="DCM38" s="19"/>
      <c r="DCN38" s="19"/>
      <c r="DCO38" s="19"/>
      <c r="DCP38" s="19"/>
      <c r="DCQ38" s="19"/>
      <c r="DCR38" s="19"/>
      <c r="DCS38" s="19"/>
      <c r="DCT38" s="19"/>
      <c r="DCU38" s="19"/>
      <c r="DCV38" s="19"/>
      <c r="DCW38" s="19"/>
      <c r="DCX38" s="19"/>
      <c r="DCY38" s="19"/>
      <c r="DCZ38" s="19"/>
      <c r="DDA38" s="19"/>
      <c r="DDB38" s="19"/>
      <c r="DDC38" s="19"/>
      <c r="DDD38" s="19"/>
      <c r="DDE38" s="19"/>
      <c r="DDF38" s="19"/>
      <c r="DDG38" s="19"/>
      <c r="DDH38" s="19"/>
      <c r="DDI38" s="19"/>
      <c r="DDJ38" s="19"/>
      <c r="DDK38" s="19"/>
      <c r="DDL38" s="19"/>
      <c r="DDM38" s="19"/>
      <c r="DDN38" s="19"/>
      <c r="DDO38" s="19"/>
      <c r="DDP38" s="19"/>
      <c r="DDQ38" s="19"/>
      <c r="DDR38" s="19"/>
      <c r="DDS38" s="19"/>
      <c r="DDT38" s="19"/>
      <c r="DDU38" s="19"/>
      <c r="DDV38" s="19"/>
      <c r="DDW38" s="19"/>
      <c r="DDX38" s="19"/>
      <c r="DDY38" s="19"/>
      <c r="DDZ38" s="19"/>
      <c r="DEA38" s="19"/>
      <c r="DEB38" s="19"/>
      <c r="DEC38" s="19"/>
      <c r="DED38" s="19"/>
      <c r="DEE38" s="19"/>
      <c r="DEF38" s="19"/>
      <c r="DEG38" s="19"/>
      <c r="DEH38" s="19"/>
      <c r="DEI38" s="19"/>
      <c r="DEJ38" s="19"/>
      <c r="DEK38" s="19"/>
      <c r="DEL38" s="19"/>
      <c r="DEM38" s="19"/>
      <c r="DEN38" s="19"/>
      <c r="DEO38" s="19"/>
      <c r="DEP38" s="19"/>
      <c r="DEQ38" s="19"/>
      <c r="DER38" s="19"/>
      <c r="DES38" s="19"/>
      <c r="DET38" s="19"/>
      <c r="DEU38" s="19"/>
      <c r="DEV38" s="19"/>
      <c r="DEW38" s="19"/>
      <c r="DEX38" s="19"/>
      <c r="DEY38" s="19"/>
      <c r="DEZ38" s="19"/>
      <c r="DFA38" s="19"/>
      <c r="DFB38" s="19"/>
      <c r="DFC38" s="19"/>
      <c r="DFD38" s="19"/>
      <c r="DFE38" s="19"/>
      <c r="DFF38" s="19"/>
      <c r="DFG38" s="19"/>
      <c r="DFH38" s="19"/>
      <c r="DFI38" s="19"/>
      <c r="DFJ38" s="19"/>
      <c r="DFK38" s="19"/>
      <c r="DFL38" s="19"/>
      <c r="DFM38" s="19"/>
      <c r="DFN38" s="19"/>
      <c r="DFO38" s="19"/>
      <c r="DFP38" s="19"/>
      <c r="DFQ38" s="19"/>
      <c r="DFR38" s="19"/>
      <c r="DFS38" s="19"/>
      <c r="DFT38" s="19"/>
      <c r="DFU38" s="19"/>
      <c r="DFV38" s="19"/>
      <c r="DFW38" s="19"/>
      <c r="DFX38" s="19"/>
      <c r="DFY38" s="19"/>
      <c r="DFZ38" s="19"/>
      <c r="DGA38" s="19"/>
      <c r="DGB38" s="19"/>
      <c r="DGC38" s="19"/>
      <c r="DGD38" s="19"/>
      <c r="DGE38" s="19"/>
      <c r="DGF38" s="19"/>
      <c r="DGG38" s="19"/>
      <c r="DGH38" s="19"/>
      <c r="DGI38" s="19"/>
      <c r="DGJ38" s="19"/>
      <c r="DGK38" s="19"/>
      <c r="DGL38" s="19"/>
      <c r="DGM38" s="19"/>
      <c r="DGN38" s="19"/>
      <c r="DGO38" s="19"/>
      <c r="DGP38" s="19"/>
      <c r="DGQ38" s="19"/>
      <c r="DGR38" s="19"/>
      <c r="DGS38" s="19"/>
      <c r="DGT38" s="19"/>
      <c r="DGU38" s="19"/>
      <c r="DGV38" s="19"/>
      <c r="DGW38" s="19"/>
      <c r="DGX38" s="19"/>
      <c r="DGY38" s="19"/>
      <c r="DGZ38" s="19"/>
      <c r="DHA38" s="19"/>
      <c r="DHB38" s="19"/>
      <c r="DHC38" s="19"/>
      <c r="DHD38" s="19"/>
      <c r="DHE38" s="19"/>
      <c r="DHF38" s="19"/>
      <c r="DHG38" s="19"/>
      <c r="DHH38" s="19"/>
      <c r="DHI38" s="19"/>
      <c r="DHJ38" s="19"/>
      <c r="DHK38" s="19"/>
      <c r="DHL38" s="19"/>
      <c r="DHM38" s="19"/>
      <c r="DHN38" s="19"/>
      <c r="DHO38" s="19"/>
      <c r="DHP38" s="19"/>
      <c r="DHQ38" s="19"/>
      <c r="DHR38" s="19"/>
      <c r="DHS38" s="19"/>
      <c r="DHT38" s="19"/>
      <c r="DHU38" s="19"/>
      <c r="DHV38" s="19"/>
      <c r="DHW38" s="19"/>
      <c r="DHX38" s="19"/>
      <c r="DHY38" s="19"/>
      <c r="DHZ38" s="19"/>
      <c r="DIA38" s="19"/>
      <c r="DIB38" s="19"/>
      <c r="DIC38" s="19"/>
      <c r="DID38" s="19"/>
      <c r="DIE38" s="19"/>
      <c r="DIF38" s="19"/>
      <c r="DIG38" s="19"/>
      <c r="DIH38" s="19"/>
      <c r="DII38" s="19"/>
      <c r="DIJ38" s="19"/>
      <c r="DIK38" s="19"/>
      <c r="DIL38" s="19"/>
      <c r="DIM38" s="19"/>
      <c r="DIN38" s="19"/>
      <c r="DIO38" s="19"/>
      <c r="DIP38" s="19"/>
      <c r="DIQ38" s="19"/>
      <c r="DIR38" s="19"/>
      <c r="DIS38" s="19"/>
      <c r="DIT38" s="19"/>
      <c r="DIU38" s="19"/>
      <c r="DIV38" s="19"/>
      <c r="DIW38" s="19"/>
      <c r="DIX38" s="19"/>
      <c r="DIY38" s="19"/>
      <c r="DIZ38" s="19"/>
      <c r="DJA38" s="19"/>
      <c r="DJB38" s="19"/>
      <c r="DJC38" s="19"/>
      <c r="DJD38" s="19"/>
      <c r="DJE38" s="19"/>
      <c r="DJF38" s="19"/>
      <c r="DJG38" s="19"/>
      <c r="DJH38" s="19"/>
      <c r="DJI38" s="19"/>
      <c r="DJJ38" s="19"/>
      <c r="DJK38" s="19"/>
      <c r="DJL38" s="19"/>
      <c r="DJM38" s="19"/>
      <c r="DJN38" s="19"/>
      <c r="DJO38" s="19"/>
      <c r="DJP38" s="19"/>
      <c r="DJQ38" s="19"/>
      <c r="DJR38" s="19"/>
      <c r="DJS38" s="19"/>
      <c r="DJT38" s="19"/>
      <c r="DJU38" s="19"/>
      <c r="DJV38" s="19"/>
      <c r="DJW38" s="19"/>
      <c r="DJX38" s="19"/>
      <c r="DJY38" s="19"/>
      <c r="DJZ38" s="19"/>
      <c r="DKA38" s="19"/>
      <c r="DKB38" s="19"/>
      <c r="DKC38" s="19"/>
      <c r="DKD38" s="19"/>
      <c r="DKE38" s="19"/>
      <c r="DKF38" s="19"/>
      <c r="DKG38" s="19"/>
      <c r="DKH38" s="19"/>
      <c r="DKI38" s="19"/>
      <c r="DKJ38" s="19"/>
      <c r="DKK38" s="19"/>
      <c r="DKL38" s="19"/>
      <c r="DKM38" s="19"/>
      <c r="DKN38" s="19"/>
      <c r="DKO38" s="19"/>
      <c r="DKP38" s="19"/>
      <c r="DKQ38" s="19"/>
      <c r="DKR38" s="19"/>
      <c r="DKS38" s="19"/>
      <c r="DKT38" s="19"/>
      <c r="DKU38" s="19"/>
      <c r="DKV38" s="19"/>
      <c r="DKW38" s="19"/>
      <c r="DKX38" s="19"/>
      <c r="DKY38" s="19"/>
      <c r="DKZ38" s="19"/>
      <c r="DLA38" s="19"/>
      <c r="DLB38" s="19"/>
      <c r="DLC38" s="19"/>
      <c r="DLD38" s="19"/>
      <c r="DLE38" s="19"/>
      <c r="DLF38" s="19"/>
      <c r="DLG38" s="19"/>
      <c r="DLH38" s="19"/>
      <c r="DLI38" s="19"/>
      <c r="DLJ38" s="19"/>
      <c r="DLK38" s="19"/>
      <c r="DLL38" s="19"/>
      <c r="DLM38" s="19"/>
      <c r="DLN38" s="19"/>
      <c r="DLO38" s="19"/>
      <c r="DLP38" s="19"/>
      <c r="DLQ38" s="19"/>
      <c r="DLR38" s="19"/>
      <c r="DLS38" s="19"/>
      <c r="DLT38" s="19"/>
      <c r="DLU38" s="19"/>
      <c r="DLV38" s="19"/>
      <c r="DLW38" s="19"/>
      <c r="DLX38" s="19"/>
      <c r="DLY38" s="19"/>
      <c r="DLZ38" s="19"/>
      <c r="DMA38" s="19"/>
      <c r="DMB38" s="19"/>
      <c r="DMC38" s="19"/>
      <c r="DMD38" s="19"/>
      <c r="DME38" s="19"/>
      <c r="DMF38" s="19"/>
      <c r="DMG38" s="19"/>
      <c r="DMH38" s="19"/>
      <c r="DMI38" s="19"/>
      <c r="DMJ38" s="19"/>
      <c r="DMK38" s="19"/>
      <c r="DML38" s="19"/>
      <c r="DMM38" s="19"/>
      <c r="DMN38" s="19"/>
      <c r="DMO38" s="19"/>
      <c r="DMP38" s="19"/>
      <c r="DMQ38" s="19"/>
      <c r="DMR38" s="19"/>
      <c r="DMS38" s="19"/>
      <c r="DMT38" s="19"/>
      <c r="DMU38" s="19"/>
      <c r="DMV38" s="19"/>
      <c r="DMW38" s="19"/>
      <c r="DMX38" s="19"/>
      <c r="DMY38" s="19"/>
      <c r="DMZ38" s="19"/>
      <c r="DNA38" s="19"/>
      <c r="DNB38" s="19"/>
      <c r="DNC38" s="19"/>
      <c r="DND38" s="19"/>
      <c r="DNE38" s="19"/>
      <c r="DNF38" s="19"/>
      <c r="DNG38" s="19"/>
      <c r="DNH38" s="19"/>
      <c r="DNI38" s="19"/>
      <c r="DNJ38" s="19"/>
      <c r="DNK38" s="19"/>
      <c r="DNL38" s="19"/>
      <c r="DNM38" s="19"/>
      <c r="DNN38" s="19"/>
      <c r="DNO38" s="19"/>
      <c r="DNP38" s="19"/>
      <c r="DNQ38" s="19"/>
      <c r="DNR38" s="19"/>
      <c r="DNS38" s="19"/>
      <c r="DNT38" s="19"/>
      <c r="DNU38" s="19"/>
      <c r="DNV38" s="19"/>
      <c r="DNW38" s="19"/>
      <c r="DNX38" s="19"/>
      <c r="DNY38" s="19"/>
      <c r="DNZ38" s="19"/>
      <c r="DOA38" s="19"/>
      <c r="DOB38" s="19"/>
      <c r="DOC38" s="19"/>
      <c r="DOD38" s="19"/>
      <c r="DOE38" s="19"/>
      <c r="DOF38" s="19"/>
      <c r="DOG38" s="19"/>
      <c r="DOH38" s="19"/>
      <c r="DOI38" s="19"/>
      <c r="DOJ38" s="19"/>
      <c r="DOK38" s="19"/>
      <c r="DOL38" s="19"/>
      <c r="DOM38" s="19"/>
      <c r="DON38" s="19"/>
      <c r="DOO38" s="19"/>
      <c r="DOP38" s="19"/>
      <c r="DOQ38" s="19"/>
      <c r="DOR38" s="19"/>
      <c r="DOS38" s="19"/>
      <c r="DOT38" s="19"/>
      <c r="DOU38" s="19"/>
      <c r="DOV38" s="19"/>
      <c r="DOW38" s="19"/>
      <c r="DOX38" s="19"/>
      <c r="DOY38" s="19"/>
      <c r="DOZ38" s="19"/>
      <c r="DPA38" s="19"/>
      <c r="DPB38" s="19"/>
      <c r="DPC38" s="19"/>
      <c r="DPD38" s="19"/>
      <c r="DPE38" s="19"/>
      <c r="DPF38" s="19"/>
      <c r="DPG38" s="19"/>
      <c r="DPH38" s="19"/>
      <c r="DPI38" s="19"/>
      <c r="DPJ38" s="19"/>
      <c r="DPK38" s="19"/>
      <c r="DPL38" s="19"/>
      <c r="DPM38" s="19"/>
      <c r="DPN38" s="19"/>
      <c r="DPO38" s="19"/>
      <c r="DPP38" s="19"/>
      <c r="DPQ38" s="19"/>
      <c r="DPR38" s="19"/>
      <c r="DPS38" s="19"/>
      <c r="DPT38" s="19"/>
      <c r="DPU38" s="19"/>
      <c r="DPV38" s="19"/>
      <c r="DPW38" s="19"/>
      <c r="DPX38" s="19"/>
      <c r="DPY38" s="19"/>
      <c r="DPZ38" s="19"/>
      <c r="DQA38" s="19"/>
      <c r="DQB38" s="19"/>
      <c r="DQC38" s="19"/>
      <c r="DQD38" s="19"/>
      <c r="DQE38" s="19"/>
      <c r="DQF38" s="19"/>
      <c r="DQG38" s="19"/>
      <c r="DQH38" s="19"/>
      <c r="DQI38" s="19"/>
      <c r="DQJ38" s="19"/>
      <c r="DQK38" s="19"/>
      <c r="DQL38" s="19"/>
      <c r="DQM38" s="19"/>
      <c r="DQN38" s="19"/>
      <c r="DQO38" s="19"/>
      <c r="DQP38" s="19"/>
      <c r="DQQ38" s="19"/>
      <c r="DQR38" s="19"/>
      <c r="DQS38" s="19"/>
      <c r="DQT38" s="19"/>
      <c r="DQU38" s="19"/>
      <c r="DQV38" s="19"/>
      <c r="DQW38" s="19"/>
      <c r="DQX38" s="19"/>
      <c r="DQY38" s="19"/>
      <c r="DQZ38" s="19"/>
      <c r="DRA38" s="19"/>
      <c r="DRB38" s="19"/>
      <c r="DRC38" s="19"/>
      <c r="DRD38" s="19"/>
      <c r="DRE38" s="19"/>
      <c r="DRF38" s="19"/>
      <c r="DRG38" s="19"/>
      <c r="DRH38" s="19"/>
      <c r="DRI38" s="19"/>
      <c r="DRJ38" s="19"/>
      <c r="DRK38" s="19"/>
      <c r="DRL38" s="19"/>
      <c r="DRM38" s="19"/>
      <c r="DRN38" s="19"/>
      <c r="DRO38" s="19"/>
      <c r="DRP38" s="19"/>
      <c r="DRQ38" s="19"/>
      <c r="DRR38" s="19"/>
      <c r="DRS38" s="19"/>
      <c r="DRT38" s="19"/>
      <c r="DRU38" s="19"/>
      <c r="DRV38" s="19"/>
      <c r="DRW38" s="19"/>
      <c r="DRX38" s="19"/>
      <c r="DRY38" s="19"/>
      <c r="DRZ38" s="19"/>
      <c r="DSA38" s="19"/>
      <c r="DSB38" s="19"/>
      <c r="DSC38" s="19"/>
      <c r="DSD38" s="19"/>
      <c r="DSE38" s="19"/>
      <c r="DSF38" s="19"/>
      <c r="DSG38" s="19"/>
      <c r="DSH38" s="19"/>
      <c r="DSI38" s="19"/>
      <c r="DSJ38" s="19"/>
      <c r="DSK38" s="19"/>
      <c r="DSL38" s="19"/>
      <c r="DSM38" s="19"/>
      <c r="DSN38" s="19"/>
      <c r="DSO38" s="19"/>
      <c r="DSP38" s="19"/>
      <c r="DSQ38" s="19"/>
      <c r="DSR38" s="19"/>
      <c r="DSS38" s="19"/>
      <c r="DST38" s="19"/>
      <c r="DSU38" s="19"/>
      <c r="DSV38" s="19"/>
      <c r="DSW38" s="19"/>
      <c r="DSX38" s="19"/>
      <c r="DSY38" s="19"/>
      <c r="DSZ38" s="19"/>
      <c r="DTA38" s="19"/>
      <c r="DTB38" s="19"/>
      <c r="DTC38" s="19"/>
      <c r="DTD38" s="19"/>
      <c r="DTE38" s="19"/>
      <c r="DTF38" s="19"/>
      <c r="DTG38" s="19"/>
      <c r="DTH38" s="19"/>
      <c r="DTI38" s="19"/>
      <c r="DTJ38" s="19"/>
      <c r="DTK38" s="19"/>
      <c r="DTL38" s="19"/>
      <c r="DTM38" s="19"/>
      <c r="DTN38" s="19"/>
      <c r="DTO38" s="19"/>
      <c r="DTP38" s="19"/>
      <c r="DTQ38" s="19"/>
      <c r="DTR38" s="19"/>
      <c r="DTS38" s="19"/>
      <c r="DTT38" s="19"/>
      <c r="DTU38" s="19"/>
      <c r="DTV38" s="19"/>
      <c r="DTW38" s="19"/>
      <c r="DTX38" s="19"/>
      <c r="DTY38" s="19"/>
      <c r="DTZ38" s="19"/>
      <c r="DUA38" s="19"/>
      <c r="DUB38" s="19"/>
      <c r="DUC38" s="19"/>
      <c r="DUD38" s="19"/>
      <c r="DUE38" s="19"/>
      <c r="DUF38" s="19"/>
      <c r="DUG38" s="19"/>
      <c r="DUH38" s="19"/>
      <c r="DUI38" s="19"/>
      <c r="DUJ38" s="19"/>
      <c r="DUK38" s="19"/>
      <c r="DUL38" s="19"/>
      <c r="DUM38" s="19"/>
      <c r="DUN38" s="19"/>
      <c r="DUO38" s="19"/>
      <c r="DUP38" s="19"/>
      <c r="DUQ38" s="19"/>
      <c r="DUR38" s="19"/>
      <c r="DUS38" s="19"/>
      <c r="DUT38" s="19"/>
      <c r="DUU38" s="19"/>
      <c r="DUV38" s="19"/>
      <c r="DUW38" s="19"/>
      <c r="DUX38" s="19"/>
      <c r="DUY38" s="19"/>
      <c r="DUZ38" s="19"/>
      <c r="DVA38" s="19"/>
      <c r="DVB38" s="19"/>
      <c r="DVC38" s="19"/>
      <c r="DVD38" s="19"/>
      <c r="DVE38" s="19"/>
      <c r="DVF38" s="19"/>
      <c r="DVG38" s="19"/>
      <c r="DVH38" s="19"/>
      <c r="DVI38" s="19"/>
      <c r="DVJ38" s="19"/>
      <c r="DVK38" s="19"/>
      <c r="DVL38" s="19"/>
      <c r="DVM38" s="19"/>
      <c r="DVN38" s="19"/>
      <c r="DVO38" s="19"/>
      <c r="DVP38" s="19"/>
      <c r="DVQ38" s="19"/>
      <c r="DVR38" s="19"/>
      <c r="DVS38" s="19"/>
      <c r="DVT38" s="19"/>
      <c r="DVU38" s="19"/>
      <c r="DVV38" s="19"/>
      <c r="DVW38" s="19"/>
      <c r="DVX38" s="19"/>
      <c r="DVY38" s="19"/>
      <c r="DVZ38" s="19"/>
      <c r="DWA38" s="19"/>
      <c r="DWB38" s="19"/>
      <c r="DWC38" s="19"/>
      <c r="DWD38" s="19"/>
      <c r="DWE38" s="19"/>
      <c r="DWF38" s="19"/>
      <c r="DWG38" s="19"/>
      <c r="DWH38" s="19"/>
      <c r="DWI38" s="19"/>
      <c r="DWJ38" s="19"/>
      <c r="DWK38" s="19"/>
      <c r="DWL38" s="19"/>
      <c r="DWM38" s="19"/>
      <c r="DWN38" s="19"/>
      <c r="DWO38" s="19"/>
      <c r="DWP38" s="19"/>
      <c r="DWQ38" s="19"/>
      <c r="DWR38" s="19"/>
      <c r="DWS38" s="19"/>
      <c r="DWT38" s="19"/>
      <c r="DWU38" s="19"/>
      <c r="DWV38" s="19"/>
      <c r="DWW38" s="19"/>
      <c r="DWX38" s="19"/>
      <c r="DWY38" s="19"/>
      <c r="DWZ38" s="19"/>
      <c r="DXA38" s="19"/>
      <c r="DXB38" s="19"/>
      <c r="DXC38" s="19"/>
      <c r="DXD38" s="19"/>
      <c r="DXE38" s="19"/>
      <c r="DXF38" s="19"/>
      <c r="DXG38" s="19"/>
      <c r="DXH38" s="19"/>
      <c r="DXI38" s="19"/>
      <c r="DXJ38" s="19"/>
      <c r="DXK38" s="19"/>
      <c r="DXL38" s="19"/>
      <c r="DXM38" s="19"/>
      <c r="DXN38" s="19"/>
      <c r="DXO38" s="19"/>
      <c r="DXP38" s="19"/>
      <c r="DXQ38" s="19"/>
      <c r="DXR38" s="19"/>
      <c r="DXS38" s="19"/>
      <c r="DXT38" s="19"/>
      <c r="DXU38" s="19"/>
      <c r="DXV38" s="19"/>
      <c r="DXW38" s="19"/>
      <c r="DXX38" s="19"/>
      <c r="DXY38" s="19"/>
      <c r="DXZ38" s="19"/>
      <c r="DYA38" s="19"/>
      <c r="DYB38" s="19"/>
      <c r="DYC38" s="19"/>
      <c r="DYD38" s="19"/>
      <c r="DYE38" s="19"/>
      <c r="DYF38" s="19"/>
      <c r="DYG38" s="19"/>
      <c r="DYH38" s="19"/>
      <c r="DYI38" s="19"/>
      <c r="DYJ38" s="19"/>
      <c r="DYK38" s="19"/>
      <c r="DYL38" s="19"/>
      <c r="DYM38" s="19"/>
      <c r="DYN38" s="19"/>
      <c r="DYO38" s="19"/>
      <c r="DYP38" s="19"/>
      <c r="DYQ38" s="19"/>
      <c r="DYR38" s="19"/>
      <c r="DYS38" s="19"/>
      <c r="DYT38" s="19"/>
      <c r="DYU38" s="19"/>
      <c r="DYV38" s="19"/>
      <c r="DYW38" s="19"/>
      <c r="DYX38" s="19"/>
      <c r="DYY38" s="19"/>
      <c r="DYZ38" s="19"/>
      <c r="DZA38" s="19"/>
      <c r="DZB38" s="19"/>
      <c r="DZC38" s="19"/>
      <c r="DZD38" s="19"/>
      <c r="DZE38" s="19"/>
      <c r="DZF38" s="19"/>
      <c r="DZG38" s="19"/>
      <c r="DZH38" s="19"/>
      <c r="DZI38" s="19"/>
      <c r="DZJ38" s="19"/>
      <c r="DZK38" s="19"/>
      <c r="DZL38" s="19"/>
      <c r="DZM38" s="19"/>
      <c r="DZN38" s="19"/>
      <c r="DZO38" s="19"/>
      <c r="DZP38" s="19"/>
      <c r="DZQ38" s="19"/>
      <c r="DZR38" s="19"/>
      <c r="DZS38" s="19"/>
      <c r="DZT38" s="19"/>
      <c r="DZU38" s="19"/>
      <c r="DZV38" s="19"/>
      <c r="DZW38" s="19"/>
      <c r="DZX38" s="19"/>
      <c r="DZY38" s="19"/>
      <c r="DZZ38" s="19"/>
      <c r="EAA38" s="19"/>
      <c r="EAB38" s="19"/>
      <c r="EAC38" s="19"/>
      <c r="EAD38" s="19"/>
      <c r="EAE38" s="19"/>
      <c r="EAF38" s="19"/>
      <c r="EAG38" s="19"/>
      <c r="EAH38" s="19"/>
      <c r="EAI38" s="19"/>
      <c r="EAJ38" s="19"/>
      <c r="EAK38" s="19"/>
      <c r="EAL38" s="19"/>
      <c r="EAM38" s="19"/>
      <c r="EAN38" s="19"/>
      <c r="EAO38" s="19"/>
      <c r="EAP38" s="19"/>
      <c r="EAQ38" s="19"/>
      <c r="EAR38" s="19"/>
      <c r="EAS38" s="19"/>
      <c r="EAT38" s="19"/>
      <c r="EAU38" s="19"/>
      <c r="EAV38" s="19"/>
      <c r="EAW38" s="19"/>
      <c r="EAX38" s="19"/>
      <c r="EAY38" s="19"/>
      <c r="EAZ38" s="19"/>
      <c r="EBA38" s="19"/>
      <c r="EBB38" s="19"/>
      <c r="EBC38" s="19"/>
      <c r="EBD38" s="19"/>
      <c r="EBE38" s="19"/>
      <c r="EBF38" s="19"/>
      <c r="EBG38" s="19"/>
      <c r="EBH38" s="19"/>
      <c r="EBI38" s="19"/>
      <c r="EBJ38" s="19"/>
      <c r="EBK38" s="19"/>
      <c r="EBL38" s="19"/>
      <c r="EBM38" s="19"/>
      <c r="EBN38" s="19"/>
      <c r="EBO38" s="19"/>
      <c r="EBP38" s="19"/>
      <c r="EBQ38" s="19"/>
      <c r="EBR38" s="19"/>
      <c r="EBS38" s="19"/>
      <c r="EBT38" s="19"/>
      <c r="EBU38" s="19"/>
      <c r="EBV38" s="19"/>
      <c r="EBW38" s="19"/>
      <c r="EBX38" s="19"/>
      <c r="EBY38" s="19"/>
      <c r="EBZ38" s="19"/>
      <c r="ECA38" s="19"/>
      <c r="ECB38" s="19"/>
      <c r="ECC38" s="19"/>
      <c r="ECD38" s="19"/>
      <c r="ECE38" s="19"/>
      <c r="ECF38" s="19"/>
      <c r="ECG38" s="19"/>
      <c r="ECH38" s="19"/>
      <c r="ECI38" s="19"/>
      <c r="ECJ38" s="19"/>
      <c r="ECK38" s="19"/>
      <c r="ECL38" s="19"/>
      <c r="ECM38" s="19"/>
      <c r="ECN38" s="19"/>
      <c r="ECO38" s="19"/>
      <c r="ECP38" s="19"/>
      <c r="ECQ38" s="19"/>
      <c r="ECR38" s="19"/>
      <c r="ECS38" s="19"/>
      <c r="ECT38" s="19"/>
      <c r="ECU38" s="19"/>
      <c r="ECV38" s="19"/>
      <c r="ECW38" s="19"/>
      <c r="ECX38" s="19"/>
      <c r="ECY38" s="19"/>
      <c r="ECZ38" s="19"/>
      <c r="EDA38" s="19"/>
      <c r="EDB38" s="19"/>
      <c r="EDC38" s="19"/>
      <c r="EDD38" s="19"/>
      <c r="EDE38" s="19"/>
      <c r="EDF38" s="19"/>
      <c r="EDG38" s="19"/>
      <c r="EDH38" s="19"/>
      <c r="EDI38" s="19"/>
      <c r="EDJ38" s="19"/>
      <c r="EDK38" s="19"/>
      <c r="EDL38" s="19"/>
      <c r="EDM38" s="19"/>
      <c r="EDN38" s="19"/>
      <c r="EDO38" s="19"/>
      <c r="EDP38" s="19"/>
      <c r="EDQ38" s="19"/>
      <c r="EDR38" s="19"/>
      <c r="EDS38" s="19"/>
      <c r="EDT38" s="19"/>
      <c r="EDU38" s="19"/>
      <c r="EDV38" s="19"/>
      <c r="EDW38" s="19"/>
      <c r="EDX38" s="19"/>
      <c r="EDY38" s="19"/>
      <c r="EDZ38" s="19"/>
      <c r="EEA38" s="19"/>
      <c r="EEB38" s="19"/>
      <c r="EEC38" s="19"/>
      <c r="EED38" s="19"/>
      <c r="EEE38" s="19"/>
      <c r="EEF38" s="19"/>
      <c r="EEG38" s="19"/>
      <c r="EEH38" s="19"/>
      <c r="EEI38" s="19"/>
      <c r="EEJ38" s="19"/>
      <c r="EEK38" s="19"/>
      <c r="EEL38" s="19"/>
      <c r="EEM38" s="19"/>
      <c r="EEN38" s="19"/>
      <c r="EEO38" s="19"/>
      <c r="EEP38" s="19"/>
      <c r="EEQ38" s="19"/>
      <c r="EER38" s="19"/>
      <c r="EES38" s="19"/>
      <c r="EET38" s="19"/>
      <c r="EEU38" s="19"/>
      <c r="EEV38" s="19"/>
      <c r="EEW38" s="19"/>
      <c r="EEX38" s="19"/>
      <c r="EEY38" s="19"/>
      <c r="EEZ38" s="19"/>
      <c r="EFA38" s="19"/>
      <c r="EFB38" s="19"/>
      <c r="EFC38" s="19"/>
      <c r="EFD38" s="19"/>
      <c r="EFE38" s="19"/>
      <c r="EFF38" s="19"/>
      <c r="EFG38" s="19"/>
      <c r="EFH38" s="19"/>
      <c r="EFI38" s="19"/>
      <c r="EFJ38" s="19"/>
      <c r="EFK38" s="19"/>
      <c r="EFL38" s="19"/>
      <c r="EFM38" s="19"/>
      <c r="EFN38" s="19"/>
      <c r="EFO38" s="19"/>
      <c r="EFP38" s="19"/>
      <c r="EFQ38" s="19"/>
      <c r="EFR38" s="19"/>
      <c r="EFS38" s="19"/>
      <c r="EFT38" s="19"/>
      <c r="EFU38" s="19"/>
      <c r="EFV38" s="19"/>
      <c r="EFW38" s="19"/>
      <c r="EFX38" s="19"/>
      <c r="EFY38" s="19"/>
      <c r="EFZ38" s="19"/>
      <c r="EGA38" s="19"/>
      <c r="EGB38" s="19"/>
      <c r="EGC38" s="19"/>
      <c r="EGD38" s="19"/>
      <c r="EGE38" s="19"/>
      <c r="EGF38" s="19"/>
      <c r="EGG38" s="19"/>
      <c r="EGH38" s="19"/>
      <c r="EGI38" s="19"/>
      <c r="EGJ38" s="19"/>
      <c r="EGK38" s="19"/>
      <c r="EGL38" s="19"/>
      <c r="EGM38" s="19"/>
      <c r="EGN38" s="19"/>
      <c r="EGO38" s="19"/>
      <c r="EGP38" s="19"/>
      <c r="EGQ38" s="19"/>
      <c r="EGR38" s="19"/>
      <c r="EGS38" s="19"/>
      <c r="EGT38" s="19"/>
      <c r="EGU38" s="19"/>
      <c r="EGV38" s="19"/>
      <c r="EGW38" s="19"/>
      <c r="EGX38" s="19"/>
      <c r="EGY38" s="19"/>
      <c r="EGZ38" s="19"/>
      <c r="EHA38" s="19"/>
      <c r="EHB38" s="19"/>
      <c r="EHC38" s="19"/>
      <c r="EHD38" s="19"/>
      <c r="EHE38" s="19"/>
      <c r="EHF38" s="19"/>
      <c r="EHG38" s="19"/>
      <c r="EHH38" s="19"/>
      <c r="EHI38" s="19"/>
      <c r="EHJ38" s="19"/>
      <c r="EHK38" s="19"/>
      <c r="EHL38" s="19"/>
      <c r="EHM38" s="19"/>
      <c r="EHN38" s="19"/>
      <c r="EHO38" s="19"/>
      <c r="EHP38" s="19"/>
      <c r="EHQ38" s="19"/>
      <c r="EHR38" s="19"/>
      <c r="EHS38" s="19"/>
      <c r="EHT38" s="19"/>
      <c r="EHU38" s="19"/>
      <c r="EHV38" s="19"/>
      <c r="EHW38" s="19"/>
      <c r="EHX38" s="19"/>
      <c r="EHY38" s="19"/>
      <c r="EHZ38" s="19"/>
      <c r="EIA38" s="19"/>
      <c r="EIB38" s="19"/>
      <c r="EIC38" s="19"/>
      <c r="EID38" s="19"/>
      <c r="EIE38" s="19"/>
      <c r="EIF38" s="19"/>
      <c r="EIG38" s="19"/>
      <c r="EIH38" s="19"/>
      <c r="EII38" s="19"/>
      <c r="EIJ38" s="19"/>
      <c r="EIK38" s="19"/>
      <c r="EIL38" s="19"/>
      <c r="EIM38" s="19"/>
      <c r="EIN38" s="19"/>
      <c r="EIO38" s="19"/>
      <c r="EIP38" s="19"/>
      <c r="EIQ38" s="19"/>
      <c r="EIR38" s="19"/>
      <c r="EIS38" s="19"/>
      <c r="EIT38" s="19"/>
      <c r="EIU38" s="19"/>
      <c r="EIV38" s="19"/>
      <c r="EIW38" s="19"/>
      <c r="EIX38" s="19"/>
      <c r="EIY38" s="19"/>
      <c r="EIZ38" s="19"/>
      <c r="EJA38" s="19"/>
      <c r="EJB38" s="19"/>
      <c r="EJC38" s="19"/>
      <c r="EJD38" s="19"/>
      <c r="EJE38" s="19"/>
      <c r="EJF38" s="19"/>
      <c r="EJG38" s="19"/>
      <c r="EJH38" s="19"/>
      <c r="EJI38" s="19"/>
      <c r="EJJ38" s="19"/>
      <c r="EJK38" s="19"/>
      <c r="EJL38" s="19"/>
      <c r="EJM38" s="19"/>
      <c r="EJN38" s="19"/>
      <c r="EJO38" s="19"/>
      <c r="EJP38" s="19"/>
      <c r="EJQ38" s="19"/>
      <c r="EJR38" s="19"/>
      <c r="EJS38" s="19"/>
      <c r="EJT38" s="19"/>
      <c r="EJU38" s="19"/>
      <c r="EJV38" s="19"/>
      <c r="EJW38" s="19"/>
      <c r="EJX38" s="19"/>
      <c r="EJY38" s="19"/>
      <c r="EJZ38" s="19"/>
      <c r="EKA38" s="19"/>
      <c r="EKB38" s="19"/>
      <c r="EKC38" s="19"/>
      <c r="EKD38" s="19"/>
      <c r="EKE38" s="19"/>
      <c r="EKF38" s="19"/>
      <c r="EKG38" s="19"/>
      <c r="EKH38" s="19"/>
      <c r="EKI38" s="19"/>
      <c r="EKJ38" s="19"/>
      <c r="EKK38" s="19"/>
      <c r="EKL38" s="19"/>
      <c r="EKM38" s="19"/>
      <c r="EKN38" s="19"/>
      <c r="EKO38" s="19"/>
      <c r="EKP38" s="19"/>
      <c r="EKQ38" s="19"/>
      <c r="EKR38" s="19"/>
      <c r="EKS38" s="19"/>
      <c r="EKT38" s="19"/>
      <c r="EKU38" s="19"/>
      <c r="EKV38" s="19"/>
      <c r="EKW38" s="19"/>
      <c r="EKX38" s="19"/>
      <c r="EKY38" s="19"/>
      <c r="EKZ38" s="19"/>
      <c r="ELA38" s="19"/>
      <c r="ELB38" s="19"/>
      <c r="ELC38" s="19"/>
      <c r="ELD38" s="19"/>
      <c r="ELE38" s="19"/>
      <c r="ELF38" s="19"/>
      <c r="ELG38" s="19"/>
      <c r="ELH38" s="19"/>
      <c r="ELI38" s="19"/>
      <c r="ELJ38" s="19"/>
      <c r="ELK38" s="19"/>
      <c r="ELL38" s="19"/>
      <c r="ELM38" s="19"/>
      <c r="ELN38" s="19"/>
      <c r="ELO38" s="19"/>
      <c r="ELP38" s="19"/>
      <c r="ELQ38" s="19"/>
      <c r="ELR38" s="19"/>
      <c r="ELS38" s="19"/>
      <c r="ELT38" s="19"/>
      <c r="ELU38" s="19"/>
      <c r="ELV38" s="19"/>
      <c r="ELW38" s="19"/>
      <c r="ELX38" s="19"/>
      <c r="ELY38" s="19"/>
      <c r="ELZ38" s="19"/>
      <c r="EMA38" s="19"/>
      <c r="EMB38" s="19"/>
      <c r="EMC38" s="19"/>
      <c r="EMD38" s="19"/>
      <c r="EME38" s="19"/>
      <c r="EMF38" s="19"/>
      <c r="EMG38" s="19"/>
      <c r="EMH38" s="19"/>
      <c r="EMI38" s="19"/>
      <c r="EMJ38" s="19"/>
      <c r="EMK38" s="19"/>
      <c r="EML38" s="19"/>
      <c r="EMM38" s="19"/>
      <c r="EMN38" s="19"/>
      <c r="EMO38" s="19"/>
      <c r="EMP38" s="19"/>
      <c r="EMQ38" s="19"/>
      <c r="EMR38" s="19"/>
      <c r="EMS38" s="19"/>
      <c r="EMT38" s="19"/>
      <c r="EMU38" s="19"/>
      <c r="EMV38" s="19"/>
      <c r="EMW38" s="19"/>
      <c r="EMX38" s="19"/>
      <c r="EMY38" s="19"/>
      <c r="EMZ38" s="19"/>
      <c r="ENA38" s="19"/>
      <c r="ENB38" s="19"/>
      <c r="ENC38" s="19"/>
      <c r="END38" s="19"/>
      <c r="ENE38" s="19"/>
      <c r="ENF38" s="19"/>
      <c r="ENG38" s="19"/>
      <c r="ENH38" s="19"/>
      <c r="ENI38" s="19"/>
      <c r="ENJ38" s="19"/>
      <c r="ENK38" s="19"/>
      <c r="ENL38" s="19"/>
      <c r="ENM38" s="19"/>
      <c r="ENN38" s="19"/>
      <c r="ENO38" s="19"/>
      <c r="ENP38" s="19"/>
      <c r="ENQ38" s="19"/>
      <c r="ENR38" s="19"/>
      <c r="ENS38" s="19"/>
      <c r="ENT38" s="19"/>
      <c r="ENU38" s="19"/>
      <c r="ENV38" s="19"/>
      <c r="ENW38" s="19"/>
      <c r="ENX38" s="19"/>
      <c r="ENY38" s="19"/>
      <c r="ENZ38" s="19"/>
      <c r="EOA38" s="19"/>
      <c r="EOB38" s="19"/>
      <c r="EOC38" s="19"/>
      <c r="EOD38" s="19"/>
      <c r="EOE38" s="19"/>
      <c r="EOF38" s="19"/>
      <c r="EOG38" s="19"/>
      <c r="EOH38" s="19"/>
      <c r="EOI38" s="19"/>
      <c r="EOJ38" s="19"/>
      <c r="EOK38" s="19"/>
      <c r="EOL38" s="19"/>
      <c r="EOM38" s="19"/>
      <c r="EON38" s="19"/>
      <c r="EOO38" s="19"/>
      <c r="EOP38" s="19"/>
      <c r="EOQ38" s="19"/>
      <c r="EOR38" s="19"/>
      <c r="EOS38" s="19"/>
      <c r="EOT38" s="19"/>
      <c r="EOU38" s="19"/>
      <c r="EOV38" s="19"/>
      <c r="EOW38" s="19"/>
      <c r="EOX38" s="19"/>
      <c r="EOY38" s="19"/>
      <c r="EOZ38" s="19"/>
      <c r="EPA38" s="19"/>
      <c r="EPB38" s="19"/>
      <c r="EPC38" s="19"/>
      <c r="EPD38" s="19"/>
      <c r="EPE38" s="19"/>
      <c r="EPF38" s="19"/>
      <c r="EPG38" s="19"/>
      <c r="EPH38" s="19"/>
      <c r="EPI38" s="19"/>
      <c r="EPJ38" s="19"/>
      <c r="EPK38" s="19"/>
      <c r="EPL38" s="19"/>
      <c r="EPM38" s="19"/>
      <c r="EPN38" s="19"/>
      <c r="EPO38" s="19"/>
      <c r="EPP38" s="19"/>
      <c r="EPQ38" s="19"/>
      <c r="EPR38" s="19"/>
      <c r="EPS38" s="19"/>
      <c r="EPT38" s="19"/>
      <c r="EPU38" s="19"/>
      <c r="EPV38" s="19"/>
      <c r="EPW38" s="19"/>
      <c r="EPX38" s="19"/>
      <c r="EPY38" s="19"/>
      <c r="EPZ38" s="19"/>
      <c r="EQA38" s="19"/>
      <c r="EQB38" s="19"/>
      <c r="EQC38" s="19"/>
      <c r="EQD38" s="19"/>
      <c r="EQE38" s="19"/>
      <c r="EQF38" s="19"/>
      <c r="EQG38" s="19"/>
      <c r="EQH38" s="19"/>
      <c r="EQI38" s="19"/>
      <c r="EQJ38" s="19"/>
      <c r="EQK38" s="19"/>
      <c r="EQL38" s="19"/>
      <c r="EQM38" s="19"/>
      <c r="EQN38" s="19"/>
      <c r="EQO38" s="19"/>
      <c r="EQP38" s="19"/>
      <c r="EQQ38" s="19"/>
      <c r="EQR38" s="19"/>
      <c r="EQS38" s="19"/>
      <c r="EQT38" s="19"/>
      <c r="EQU38" s="19"/>
      <c r="EQV38" s="19"/>
      <c r="EQW38" s="19"/>
      <c r="EQX38" s="19"/>
      <c r="EQY38" s="19"/>
      <c r="EQZ38" s="19"/>
      <c r="ERA38" s="19"/>
      <c r="ERB38" s="19"/>
      <c r="ERC38" s="19"/>
      <c r="ERD38" s="19"/>
      <c r="ERE38" s="19"/>
      <c r="ERF38" s="19"/>
      <c r="ERG38" s="19"/>
      <c r="ERH38" s="19"/>
      <c r="ERI38" s="19"/>
      <c r="ERJ38" s="19"/>
      <c r="ERK38" s="19"/>
      <c r="ERL38" s="19"/>
      <c r="ERM38" s="19"/>
      <c r="ERN38" s="19"/>
      <c r="ERO38" s="19"/>
      <c r="ERP38" s="19"/>
      <c r="ERQ38" s="19"/>
      <c r="ERR38" s="19"/>
      <c r="ERS38" s="19"/>
      <c r="ERT38" s="19"/>
      <c r="ERU38" s="19"/>
      <c r="ERV38" s="19"/>
      <c r="ERW38" s="19"/>
      <c r="ERX38" s="19"/>
      <c r="ERY38" s="19"/>
      <c r="ERZ38" s="19"/>
      <c r="ESA38" s="19"/>
      <c r="ESB38" s="19"/>
      <c r="ESC38" s="19"/>
      <c r="ESD38" s="19"/>
      <c r="ESE38" s="19"/>
      <c r="ESF38" s="19"/>
      <c r="ESG38" s="19"/>
      <c r="ESH38" s="19"/>
      <c r="ESI38" s="19"/>
      <c r="ESJ38" s="19"/>
      <c r="ESK38" s="19"/>
      <c r="ESL38" s="19"/>
      <c r="ESM38" s="19"/>
      <c r="ESN38" s="19"/>
      <c r="ESO38" s="19"/>
      <c r="ESP38" s="19"/>
      <c r="ESQ38" s="19"/>
      <c r="ESR38" s="19"/>
      <c r="ESS38" s="19"/>
      <c r="EST38" s="19"/>
      <c r="ESU38" s="19"/>
      <c r="ESV38" s="19"/>
      <c r="ESW38" s="19"/>
      <c r="ESX38" s="19"/>
      <c r="ESY38" s="19"/>
      <c r="ESZ38" s="19"/>
      <c r="ETA38" s="19"/>
      <c r="ETB38" s="19"/>
      <c r="ETC38" s="19"/>
      <c r="ETD38" s="19"/>
      <c r="ETE38" s="19"/>
      <c r="ETF38" s="19"/>
      <c r="ETG38" s="19"/>
      <c r="ETH38" s="19"/>
      <c r="ETI38" s="19"/>
      <c r="ETJ38" s="19"/>
      <c r="ETK38" s="19"/>
      <c r="ETL38" s="19"/>
      <c r="ETM38" s="19"/>
      <c r="ETN38" s="19"/>
      <c r="ETO38" s="19"/>
      <c r="ETP38" s="19"/>
      <c r="ETQ38" s="19"/>
      <c r="ETR38" s="19"/>
      <c r="ETS38" s="19"/>
      <c r="ETT38" s="19"/>
      <c r="ETU38" s="19"/>
      <c r="ETV38" s="19"/>
      <c r="ETW38" s="19"/>
      <c r="ETX38" s="19"/>
      <c r="ETY38" s="19"/>
      <c r="ETZ38" s="19"/>
      <c r="EUA38" s="19"/>
      <c r="EUB38" s="19"/>
      <c r="EUC38" s="19"/>
      <c r="EUD38" s="19"/>
      <c r="EUE38" s="19"/>
      <c r="EUF38" s="19"/>
      <c r="EUG38" s="19"/>
      <c r="EUH38" s="19"/>
      <c r="EUI38" s="19"/>
      <c r="EUJ38" s="19"/>
      <c r="EUK38" s="19"/>
      <c r="EUL38" s="19"/>
      <c r="EUM38" s="19"/>
      <c r="EUN38" s="19"/>
      <c r="EUO38" s="19"/>
      <c r="EUP38" s="19"/>
      <c r="EUQ38" s="19"/>
      <c r="EUR38" s="19"/>
      <c r="EUS38" s="19"/>
      <c r="EUT38" s="19"/>
      <c r="EUU38" s="19"/>
      <c r="EUV38" s="19"/>
      <c r="EUW38" s="19"/>
      <c r="EUX38" s="19"/>
      <c r="EUY38" s="19"/>
      <c r="EUZ38" s="19"/>
      <c r="EVA38" s="19"/>
      <c r="EVB38" s="19"/>
      <c r="EVC38" s="19"/>
      <c r="EVD38" s="19"/>
      <c r="EVE38" s="19"/>
      <c r="EVF38" s="19"/>
      <c r="EVG38" s="19"/>
      <c r="EVH38" s="19"/>
      <c r="EVI38" s="19"/>
      <c r="EVJ38" s="19"/>
      <c r="EVK38" s="19"/>
      <c r="EVL38" s="19"/>
      <c r="EVM38" s="19"/>
      <c r="EVN38" s="19"/>
      <c r="EVO38" s="19"/>
      <c r="EVP38" s="19"/>
      <c r="EVQ38" s="19"/>
      <c r="EVR38" s="19"/>
      <c r="EVS38" s="19"/>
      <c r="EVT38" s="19"/>
      <c r="EVU38" s="19"/>
      <c r="EVV38" s="19"/>
      <c r="EVW38" s="19"/>
      <c r="EVX38" s="19"/>
      <c r="EVY38" s="19"/>
      <c r="EVZ38" s="19"/>
      <c r="EWA38" s="19"/>
      <c r="EWB38" s="19"/>
      <c r="EWC38" s="19"/>
      <c r="EWD38" s="19"/>
      <c r="EWE38" s="19"/>
      <c r="EWF38" s="19"/>
      <c r="EWG38" s="19"/>
      <c r="EWH38" s="19"/>
      <c r="EWI38" s="19"/>
      <c r="EWJ38" s="19"/>
      <c r="EWK38" s="19"/>
      <c r="EWL38" s="19"/>
      <c r="EWM38" s="19"/>
      <c r="EWN38" s="19"/>
      <c r="EWO38" s="19"/>
      <c r="EWP38" s="19"/>
      <c r="EWQ38" s="19"/>
      <c r="EWR38" s="19"/>
      <c r="EWS38" s="19"/>
      <c r="EWT38" s="19"/>
      <c r="EWU38" s="19"/>
      <c r="EWV38" s="19"/>
      <c r="EWW38" s="19"/>
      <c r="EWX38" s="19"/>
      <c r="EWY38" s="19"/>
      <c r="EWZ38" s="19"/>
      <c r="EXA38" s="19"/>
      <c r="EXB38" s="19"/>
      <c r="EXC38" s="19"/>
      <c r="EXD38" s="19"/>
      <c r="EXE38" s="19"/>
      <c r="EXF38" s="19"/>
      <c r="EXG38" s="19"/>
      <c r="EXH38" s="19"/>
      <c r="EXI38" s="19"/>
      <c r="EXJ38" s="19"/>
      <c r="EXK38" s="19"/>
      <c r="EXL38" s="19"/>
      <c r="EXM38" s="19"/>
      <c r="EXN38" s="19"/>
      <c r="EXO38" s="19"/>
      <c r="EXP38" s="19"/>
      <c r="EXQ38" s="19"/>
      <c r="EXR38" s="19"/>
      <c r="EXS38" s="19"/>
      <c r="EXT38" s="19"/>
      <c r="EXU38" s="19"/>
      <c r="EXV38" s="19"/>
      <c r="EXW38" s="19"/>
      <c r="EXX38" s="19"/>
      <c r="EXY38" s="19"/>
      <c r="EXZ38" s="19"/>
      <c r="EYA38" s="19"/>
      <c r="EYB38" s="19"/>
      <c r="EYC38" s="19"/>
      <c r="EYD38" s="19"/>
      <c r="EYE38" s="19"/>
      <c r="EYF38" s="19"/>
      <c r="EYG38" s="19"/>
      <c r="EYH38" s="19"/>
      <c r="EYI38" s="19"/>
      <c r="EYJ38" s="19"/>
      <c r="EYK38" s="19"/>
      <c r="EYL38" s="19"/>
      <c r="EYM38" s="19"/>
      <c r="EYN38" s="19"/>
      <c r="EYO38" s="19"/>
      <c r="EYP38" s="19"/>
      <c r="EYQ38" s="19"/>
      <c r="EYR38" s="19"/>
      <c r="EYS38" s="19"/>
      <c r="EYT38" s="19"/>
      <c r="EYU38" s="19"/>
      <c r="EYV38" s="19"/>
      <c r="EYW38" s="19"/>
      <c r="EYX38" s="19"/>
      <c r="EYY38" s="19"/>
      <c r="EYZ38" s="19"/>
      <c r="EZA38" s="19"/>
      <c r="EZB38" s="19"/>
      <c r="EZC38" s="19"/>
      <c r="EZD38" s="19"/>
      <c r="EZE38" s="19"/>
      <c r="EZF38" s="19"/>
      <c r="EZG38" s="19"/>
      <c r="EZH38" s="19"/>
      <c r="EZI38" s="19"/>
      <c r="EZJ38" s="19"/>
      <c r="EZK38" s="19"/>
      <c r="EZL38" s="19"/>
      <c r="EZM38" s="19"/>
      <c r="EZN38" s="19"/>
      <c r="EZO38" s="19"/>
      <c r="EZP38" s="19"/>
      <c r="EZQ38" s="19"/>
      <c r="EZR38" s="19"/>
      <c r="EZS38" s="19"/>
      <c r="EZT38" s="19"/>
      <c r="EZU38" s="19"/>
      <c r="EZV38" s="19"/>
      <c r="EZW38" s="19"/>
      <c r="EZX38" s="19"/>
      <c r="EZY38" s="19"/>
      <c r="EZZ38" s="19"/>
      <c r="FAA38" s="19"/>
      <c r="FAB38" s="19"/>
      <c r="FAC38" s="19"/>
      <c r="FAD38" s="19"/>
      <c r="FAE38" s="19"/>
      <c r="FAF38" s="19"/>
      <c r="FAG38" s="19"/>
      <c r="FAH38" s="19"/>
      <c r="FAI38" s="19"/>
      <c r="FAJ38" s="19"/>
      <c r="FAK38" s="19"/>
      <c r="FAL38" s="19"/>
      <c r="FAM38" s="19"/>
      <c r="FAN38" s="19"/>
      <c r="FAO38" s="19"/>
      <c r="FAP38" s="19"/>
      <c r="FAQ38" s="19"/>
      <c r="FAR38" s="19"/>
      <c r="FAS38" s="19"/>
      <c r="FAT38" s="19"/>
      <c r="FAU38" s="19"/>
      <c r="FAV38" s="19"/>
      <c r="FAW38" s="19"/>
      <c r="FAX38" s="19"/>
      <c r="FAY38" s="19"/>
      <c r="FAZ38" s="19"/>
      <c r="FBA38" s="19"/>
      <c r="FBB38" s="19"/>
      <c r="FBC38" s="19"/>
      <c r="FBD38" s="19"/>
      <c r="FBE38" s="19"/>
      <c r="FBF38" s="19"/>
      <c r="FBG38" s="19"/>
      <c r="FBH38" s="19"/>
      <c r="FBI38" s="19"/>
      <c r="FBJ38" s="19"/>
      <c r="FBK38" s="19"/>
      <c r="FBL38" s="19"/>
      <c r="FBM38" s="19"/>
      <c r="FBN38" s="19"/>
      <c r="FBO38" s="19"/>
      <c r="FBP38" s="19"/>
      <c r="FBQ38" s="19"/>
      <c r="FBR38" s="19"/>
      <c r="FBS38" s="19"/>
      <c r="FBT38" s="19"/>
      <c r="FBU38" s="19"/>
      <c r="FBV38" s="19"/>
      <c r="FBW38" s="19"/>
      <c r="FBX38" s="19"/>
      <c r="FBY38" s="19"/>
      <c r="FBZ38" s="19"/>
      <c r="FCA38" s="19"/>
      <c r="FCB38" s="19"/>
      <c r="FCC38" s="19"/>
      <c r="FCD38" s="19"/>
      <c r="FCE38" s="19"/>
      <c r="FCF38" s="19"/>
      <c r="FCG38" s="19"/>
      <c r="FCH38" s="19"/>
      <c r="FCI38" s="19"/>
      <c r="FCJ38" s="19"/>
      <c r="FCK38" s="19"/>
      <c r="FCL38" s="19"/>
      <c r="FCM38" s="19"/>
      <c r="FCN38" s="19"/>
      <c r="FCO38" s="19"/>
      <c r="FCP38" s="19"/>
      <c r="FCQ38" s="19"/>
      <c r="FCR38" s="19"/>
      <c r="FCS38" s="19"/>
      <c r="FCT38" s="19"/>
      <c r="FCU38" s="19"/>
      <c r="FCV38" s="19"/>
      <c r="FCW38" s="19"/>
      <c r="FCX38" s="19"/>
      <c r="FCY38" s="19"/>
      <c r="FCZ38" s="19"/>
      <c r="FDA38" s="19"/>
      <c r="FDB38" s="19"/>
      <c r="FDC38" s="19"/>
      <c r="FDD38" s="19"/>
      <c r="FDE38" s="19"/>
      <c r="FDF38" s="19"/>
      <c r="FDG38" s="19"/>
      <c r="FDH38" s="19"/>
      <c r="FDI38" s="19"/>
      <c r="FDJ38" s="19"/>
      <c r="FDK38" s="19"/>
      <c r="FDL38" s="19"/>
      <c r="FDM38" s="19"/>
      <c r="FDN38" s="19"/>
      <c r="FDO38" s="19"/>
      <c r="FDP38" s="19"/>
      <c r="FDQ38" s="19"/>
      <c r="FDR38" s="19"/>
      <c r="FDS38" s="19"/>
      <c r="FDT38" s="19"/>
      <c r="FDU38" s="19"/>
      <c r="FDV38" s="19"/>
      <c r="FDW38" s="19"/>
      <c r="FDX38" s="19"/>
      <c r="FDY38" s="19"/>
      <c r="FDZ38" s="19"/>
      <c r="FEA38" s="19"/>
      <c r="FEB38" s="19"/>
      <c r="FEC38" s="19"/>
      <c r="FED38" s="19"/>
      <c r="FEE38" s="19"/>
      <c r="FEF38" s="19"/>
      <c r="FEG38" s="19"/>
      <c r="FEH38" s="19"/>
      <c r="FEI38" s="19"/>
      <c r="FEJ38" s="19"/>
      <c r="FEK38" s="19"/>
      <c r="FEL38" s="19"/>
      <c r="FEM38" s="19"/>
      <c r="FEN38" s="19"/>
      <c r="FEO38" s="19"/>
      <c r="FEP38" s="19"/>
      <c r="FEQ38" s="19"/>
      <c r="FER38" s="19"/>
      <c r="FES38" s="19"/>
      <c r="FET38" s="19"/>
      <c r="FEU38" s="19"/>
      <c r="FEV38" s="19"/>
      <c r="FEW38" s="19"/>
      <c r="FEX38" s="19"/>
      <c r="FEY38" s="19"/>
      <c r="FEZ38" s="19"/>
      <c r="FFA38" s="19"/>
      <c r="FFB38" s="19"/>
      <c r="FFC38" s="19"/>
      <c r="FFD38" s="19"/>
      <c r="FFE38" s="19"/>
      <c r="FFF38" s="19"/>
      <c r="FFG38" s="19"/>
      <c r="FFH38" s="19"/>
      <c r="FFI38" s="19"/>
      <c r="FFJ38" s="19"/>
      <c r="FFK38" s="19"/>
      <c r="FFL38" s="19"/>
      <c r="FFM38" s="19"/>
      <c r="FFN38" s="19"/>
      <c r="FFO38" s="19"/>
      <c r="FFP38" s="19"/>
      <c r="FFQ38" s="19"/>
      <c r="FFR38" s="19"/>
      <c r="FFS38" s="19"/>
      <c r="FFT38" s="19"/>
      <c r="FFU38" s="19"/>
      <c r="FFV38" s="19"/>
      <c r="FFW38" s="19"/>
      <c r="FFX38" s="19"/>
      <c r="FFY38" s="19"/>
      <c r="FFZ38" s="19"/>
      <c r="FGA38" s="19"/>
      <c r="FGB38" s="19"/>
      <c r="FGC38" s="19"/>
      <c r="FGD38" s="19"/>
      <c r="FGE38" s="19"/>
      <c r="FGF38" s="19"/>
      <c r="FGG38" s="19"/>
      <c r="FGH38" s="19"/>
      <c r="FGI38" s="19"/>
      <c r="FGJ38" s="19"/>
      <c r="FGK38" s="19"/>
      <c r="FGL38" s="19"/>
      <c r="FGM38" s="19"/>
      <c r="FGN38" s="19"/>
      <c r="FGO38" s="19"/>
      <c r="FGP38" s="19"/>
      <c r="FGQ38" s="19"/>
      <c r="FGR38" s="19"/>
      <c r="FGS38" s="19"/>
      <c r="FGT38" s="19"/>
      <c r="FGU38" s="19"/>
      <c r="FGV38" s="19"/>
      <c r="FGW38" s="19"/>
      <c r="FGX38" s="19"/>
      <c r="FGY38" s="19"/>
      <c r="FGZ38" s="19"/>
      <c r="FHA38" s="19"/>
      <c r="FHB38" s="19"/>
      <c r="FHC38" s="19"/>
      <c r="FHD38" s="19"/>
      <c r="FHE38" s="19"/>
      <c r="FHF38" s="19"/>
      <c r="FHG38" s="19"/>
      <c r="FHH38" s="19"/>
      <c r="FHI38" s="19"/>
      <c r="FHJ38" s="19"/>
      <c r="FHK38" s="19"/>
      <c r="FHL38" s="19"/>
      <c r="FHM38" s="19"/>
      <c r="FHN38" s="19"/>
      <c r="FHO38" s="19"/>
      <c r="FHP38" s="19"/>
      <c r="FHQ38" s="19"/>
      <c r="FHR38" s="19"/>
      <c r="FHS38" s="19"/>
      <c r="FHT38" s="19"/>
      <c r="FHU38" s="19"/>
      <c r="FHV38" s="19"/>
      <c r="FHW38" s="19"/>
      <c r="FHX38" s="19"/>
      <c r="FHY38" s="19"/>
      <c r="FHZ38" s="19"/>
      <c r="FIA38" s="19"/>
      <c r="FIB38" s="19"/>
      <c r="FIC38" s="19"/>
      <c r="FID38" s="19"/>
      <c r="FIE38" s="19"/>
      <c r="FIF38" s="19"/>
      <c r="FIG38" s="19"/>
      <c r="FIH38" s="19"/>
      <c r="FII38" s="19"/>
      <c r="FIJ38" s="19"/>
      <c r="FIK38" s="19"/>
      <c r="FIL38" s="19"/>
      <c r="FIM38" s="19"/>
      <c r="FIN38" s="19"/>
      <c r="FIO38" s="19"/>
      <c r="FIP38" s="19"/>
      <c r="FIQ38" s="19"/>
      <c r="FIR38" s="19"/>
      <c r="FIS38" s="19"/>
      <c r="FIT38" s="19"/>
      <c r="FIU38" s="19"/>
      <c r="FIV38" s="19"/>
      <c r="FIW38" s="19"/>
      <c r="FIX38" s="19"/>
      <c r="FIY38" s="19"/>
      <c r="FIZ38" s="19"/>
      <c r="FJA38" s="19"/>
      <c r="FJB38" s="19"/>
      <c r="FJC38" s="19"/>
      <c r="FJD38" s="19"/>
      <c r="FJE38" s="19"/>
      <c r="FJF38" s="19"/>
      <c r="FJG38" s="19"/>
      <c r="FJH38" s="19"/>
      <c r="FJI38" s="19"/>
      <c r="FJJ38" s="19"/>
      <c r="FJK38" s="19"/>
      <c r="FJL38" s="19"/>
      <c r="FJM38" s="19"/>
      <c r="FJN38" s="19"/>
      <c r="FJO38" s="19"/>
      <c r="FJP38" s="19"/>
      <c r="FJQ38" s="19"/>
      <c r="FJR38" s="19"/>
      <c r="FJS38" s="19"/>
      <c r="FJT38" s="19"/>
      <c r="FJU38" s="19"/>
      <c r="FJV38" s="19"/>
      <c r="FJW38" s="19"/>
      <c r="FJX38" s="19"/>
      <c r="FJY38" s="19"/>
      <c r="FJZ38" s="19"/>
      <c r="FKA38" s="19"/>
      <c r="FKB38" s="19"/>
      <c r="FKC38" s="19"/>
      <c r="FKD38" s="19"/>
      <c r="FKE38" s="19"/>
      <c r="FKF38" s="19"/>
      <c r="FKG38" s="19"/>
      <c r="FKH38" s="19"/>
      <c r="FKI38" s="19"/>
      <c r="FKJ38" s="19"/>
      <c r="FKK38" s="19"/>
      <c r="FKL38" s="19"/>
      <c r="FKM38" s="19"/>
      <c r="FKN38" s="19"/>
      <c r="FKO38" s="19"/>
      <c r="FKP38" s="19"/>
      <c r="FKQ38" s="19"/>
      <c r="FKR38" s="19"/>
      <c r="FKS38" s="19"/>
      <c r="FKT38" s="19"/>
      <c r="FKU38" s="19"/>
      <c r="FKV38" s="19"/>
      <c r="FKW38" s="19"/>
      <c r="FKX38" s="19"/>
      <c r="FKY38" s="19"/>
      <c r="FKZ38" s="19"/>
      <c r="FLA38" s="19"/>
      <c r="FLB38" s="19"/>
      <c r="FLC38" s="19"/>
      <c r="FLD38" s="19"/>
      <c r="FLE38" s="19"/>
      <c r="FLF38" s="19"/>
      <c r="FLG38" s="19"/>
      <c r="FLH38" s="19"/>
      <c r="FLI38" s="19"/>
      <c r="FLJ38" s="19"/>
      <c r="FLK38" s="19"/>
      <c r="FLL38" s="19"/>
      <c r="FLM38" s="19"/>
      <c r="FLN38" s="19"/>
      <c r="FLO38" s="19"/>
      <c r="FLP38" s="19"/>
      <c r="FLQ38" s="19"/>
      <c r="FLR38" s="19"/>
      <c r="FLS38" s="19"/>
      <c r="FLT38" s="19"/>
      <c r="FLU38" s="19"/>
      <c r="FLV38" s="19"/>
      <c r="FLW38" s="19"/>
      <c r="FLX38" s="19"/>
      <c r="FLY38" s="19"/>
      <c r="FLZ38" s="19"/>
      <c r="FMA38" s="19"/>
      <c r="FMB38" s="19"/>
      <c r="FMC38" s="19"/>
      <c r="FMD38" s="19"/>
      <c r="FME38" s="19"/>
      <c r="FMF38" s="19"/>
      <c r="FMG38" s="19"/>
      <c r="FMH38" s="19"/>
      <c r="FMI38" s="19"/>
      <c r="FMJ38" s="19"/>
      <c r="FMK38" s="19"/>
      <c r="FML38" s="19"/>
      <c r="FMM38" s="19"/>
      <c r="FMN38" s="19"/>
      <c r="FMO38" s="19"/>
      <c r="FMP38" s="19"/>
      <c r="FMQ38" s="19"/>
      <c r="FMR38" s="19"/>
      <c r="FMS38" s="19"/>
      <c r="FMT38" s="19"/>
      <c r="FMU38" s="19"/>
      <c r="FMV38" s="19"/>
      <c r="FMW38" s="19"/>
      <c r="FMX38" s="19"/>
      <c r="FMY38" s="19"/>
      <c r="FMZ38" s="19"/>
      <c r="FNA38" s="19"/>
      <c r="FNB38" s="19"/>
      <c r="FNC38" s="19"/>
      <c r="FND38" s="19"/>
      <c r="FNE38" s="19"/>
      <c r="FNF38" s="19"/>
      <c r="FNG38" s="19"/>
      <c r="FNH38" s="19"/>
      <c r="FNI38" s="19"/>
      <c r="FNJ38" s="19"/>
      <c r="FNK38" s="19"/>
      <c r="FNL38" s="19"/>
      <c r="FNM38" s="19"/>
      <c r="FNN38" s="19"/>
      <c r="FNO38" s="19"/>
      <c r="FNP38" s="19"/>
      <c r="FNQ38" s="19"/>
      <c r="FNR38" s="19"/>
      <c r="FNS38" s="19"/>
      <c r="FNT38" s="19"/>
      <c r="FNU38" s="19"/>
      <c r="FNV38" s="19"/>
      <c r="FNW38" s="19"/>
      <c r="FNX38" s="19"/>
      <c r="FNY38" s="19"/>
      <c r="FNZ38" s="19"/>
      <c r="FOA38" s="19"/>
      <c r="FOB38" s="19"/>
      <c r="FOC38" s="19"/>
      <c r="FOD38" s="19"/>
      <c r="FOE38" s="19"/>
      <c r="FOF38" s="19"/>
      <c r="FOG38" s="19"/>
      <c r="FOH38" s="19"/>
      <c r="FOI38" s="19"/>
      <c r="FOJ38" s="19"/>
      <c r="FOK38" s="19"/>
      <c r="FOL38" s="19"/>
      <c r="FOM38" s="19"/>
      <c r="FON38" s="19"/>
      <c r="FOO38" s="19"/>
      <c r="FOP38" s="19"/>
      <c r="FOQ38" s="19"/>
      <c r="FOR38" s="19"/>
      <c r="FOS38" s="19"/>
      <c r="FOT38" s="19"/>
      <c r="FOU38" s="19"/>
      <c r="FOV38" s="19"/>
      <c r="FOW38" s="19"/>
      <c r="FOX38" s="19"/>
      <c r="FOY38" s="19"/>
      <c r="FOZ38" s="19"/>
      <c r="FPA38" s="19"/>
      <c r="FPB38" s="19"/>
      <c r="FPC38" s="19"/>
      <c r="FPD38" s="19"/>
      <c r="FPE38" s="19"/>
      <c r="FPF38" s="19"/>
      <c r="FPG38" s="19"/>
      <c r="FPH38" s="19"/>
      <c r="FPI38" s="19"/>
      <c r="FPJ38" s="19"/>
      <c r="FPK38" s="19"/>
      <c r="FPL38" s="19"/>
      <c r="FPM38" s="19"/>
      <c r="FPN38" s="19"/>
      <c r="FPO38" s="19"/>
      <c r="FPP38" s="19"/>
      <c r="FPQ38" s="19"/>
      <c r="FPR38" s="19"/>
      <c r="FPS38" s="19"/>
      <c r="FPT38" s="19"/>
      <c r="FPU38" s="19"/>
      <c r="FPV38" s="19"/>
      <c r="FPW38" s="19"/>
      <c r="FPX38" s="19"/>
      <c r="FPY38" s="19"/>
      <c r="FPZ38" s="19"/>
      <c r="FQA38" s="19"/>
      <c r="FQB38" s="19"/>
      <c r="FQC38" s="19"/>
      <c r="FQD38" s="19"/>
      <c r="FQE38" s="19"/>
      <c r="FQF38" s="19"/>
      <c r="FQG38" s="19"/>
      <c r="FQH38" s="19"/>
      <c r="FQI38" s="19"/>
      <c r="FQJ38" s="19"/>
      <c r="FQK38" s="19"/>
      <c r="FQL38" s="19"/>
      <c r="FQM38" s="19"/>
      <c r="FQN38" s="19"/>
      <c r="FQO38" s="19"/>
      <c r="FQP38" s="19"/>
      <c r="FQQ38" s="19"/>
      <c r="FQR38" s="19"/>
      <c r="FQS38" s="19"/>
      <c r="FQT38" s="19"/>
      <c r="FQU38" s="19"/>
      <c r="FQV38" s="19"/>
      <c r="FQW38" s="19"/>
      <c r="FQX38" s="19"/>
      <c r="FQY38" s="19"/>
      <c r="FQZ38" s="19"/>
      <c r="FRA38" s="19"/>
      <c r="FRB38" s="19"/>
      <c r="FRC38" s="19"/>
      <c r="FRD38" s="19"/>
      <c r="FRE38" s="19"/>
      <c r="FRF38" s="19"/>
      <c r="FRG38" s="19"/>
      <c r="FRH38" s="19"/>
      <c r="FRI38" s="19"/>
      <c r="FRJ38" s="19"/>
      <c r="FRK38" s="19"/>
      <c r="FRL38" s="19"/>
      <c r="FRM38" s="19"/>
      <c r="FRN38" s="19"/>
      <c r="FRO38" s="19"/>
      <c r="FRP38" s="19"/>
      <c r="FRQ38" s="19"/>
      <c r="FRR38" s="19"/>
      <c r="FRS38" s="19"/>
      <c r="FRT38" s="19"/>
      <c r="FRU38" s="19"/>
      <c r="FRV38" s="19"/>
      <c r="FRW38" s="19"/>
      <c r="FRX38" s="19"/>
      <c r="FRY38" s="19"/>
      <c r="FRZ38" s="19"/>
      <c r="FSA38" s="19"/>
      <c r="FSB38" s="19"/>
      <c r="FSC38" s="19"/>
      <c r="FSD38" s="19"/>
      <c r="FSE38" s="19"/>
      <c r="FSF38" s="19"/>
      <c r="FSG38" s="19"/>
      <c r="FSH38" s="19"/>
      <c r="FSI38" s="19"/>
      <c r="FSJ38" s="19"/>
      <c r="FSK38" s="19"/>
      <c r="FSL38" s="19"/>
      <c r="FSM38" s="19"/>
      <c r="FSN38" s="19"/>
      <c r="FSO38" s="19"/>
      <c r="FSP38" s="19"/>
      <c r="FSQ38" s="19"/>
      <c r="FSR38" s="19"/>
      <c r="FSS38" s="19"/>
      <c r="FST38" s="19"/>
      <c r="FSU38" s="19"/>
      <c r="FSV38" s="19"/>
      <c r="FSW38" s="19"/>
      <c r="FSX38" s="19"/>
      <c r="FSY38" s="19"/>
      <c r="FSZ38" s="19"/>
      <c r="FTA38" s="19"/>
      <c r="FTB38" s="19"/>
      <c r="FTC38" s="19"/>
      <c r="FTD38" s="19"/>
      <c r="FTE38" s="19"/>
      <c r="FTF38" s="19"/>
      <c r="FTG38" s="19"/>
      <c r="FTH38" s="19"/>
      <c r="FTI38" s="19"/>
      <c r="FTJ38" s="19"/>
      <c r="FTK38" s="19"/>
      <c r="FTL38" s="19"/>
      <c r="FTM38" s="19"/>
      <c r="FTN38" s="19"/>
      <c r="FTO38" s="19"/>
      <c r="FTP38" s="19"/>
      <c r="FTQ38" s="19"/>
      <c r="FTR38" s="19"/>
      <c r="FTS38" s="19"/>
      <c r="FTT38" s="19"/>
      <c r="FTU38" s="19"/>
      <c r="FTV38" s="19"/>
      <c r="FTW38" s="19"/>
      <c r="FTX38" s="19"/>
      <c r="FTY38" s="19"/>
      <c r="FTZ38" s="19"/>
      <c r="FUA38" s="19"/>
      <c r="FUB38" s="19"/>
      <c r="FUC38" s="19"/>
      <c r="FUD38" s="19"/>
      <c r="FUE38" s="19"/>
      <c r="FUF38" s="19"/>
      <c r="FUG38" s="19"/>
      <c r="FUH38" s="19"/>
      <c r="FUI38" s="19"/>
      <c r="FUJ38" s="19"/>
      <c r="FUK38" s="19"/>
      <c r="FUL38" s="19"/>
      <c r="FUM38" s="19"/>
      <c r="FUN38" s="19"/>
      <c r="FUO38" s="19"/>
      <c r="FUP38" s="19"/>
      <c r="FUQ38" s="19"/>
      <c r="FUR38" s="19"/>
      <c r="FUS38" s="19"/>
      <c r="FUT38" s="19"/>
      <c r="FUU38" s="19"/>
      <c r="FUV38" s="19"/>
      <c r="FUW38" s="19"/>
      <c r="FUX38" s="19"/>
      <c r="FUY38" s="19"/>
      <c r="FUZ38" s="19"/>
      <c r="FVA38" s="19"/>
      <c r="FVB38" s="19"/>
      <c r="FVC38" s="19"/>
      <c r="FVD38" s="19"/>
      <c r="FVE38" s="19"/>
      <c r="FVF38" s="19"/>
      <c r="FVG38" s="19"/>
      <c r="FVH38" s="19"/>
      <c r="FVI38" s="19"/>
      <c r="FVJ38" s="19"/>
      <c r="FVK38" s="19"/>
      <c r="FVL38" s="19"/>
      <c r="FVM38" s="19"/>
      <c r="FVN38" s="19"/>
      <c r="FVO38" s="19"/>
      <c r="FVP38" s="19"/>
      <c r="FVQ38" s="19"/>
      <c r="FVR38" s="19"/>
      <c r="FVS38" s="19"/>
      <c r="FVT38" s="19"/>
      <c r="FVU38" s="19"/>
      <c r="FVV38" s="19"/>
      <c r="FVW38" s="19"/>
      <c r="FVX38" s="19"/>
      <c r="FVY38" s="19"/>
      <c r="FVZ38" s="19"/>
      <c r="FWA38" s="19"/>
      <c r="FWB38" s="19"/>
      <c r="FWC38" s="19"/>
      <c r="FWD38" s="19"/>
      <c r="FWE38" s="19"/>
      <c r="FWF38" s="19"/>
      <c r="FWG38" s="19"/>
      <c r="FWH38" s="19"/>
      <c r="FWI38" s="19"/>
      <c r="FWJ38" s="19"/>
      <c r="FWK38" s="19"/>
      <c r="FWL38" s="19"/>
      <c r="FWM38" s="19"/>
      <c r="FWN38" s="19"/>
      <c r="FWO38" s="19"/>
      <c r="FWP38" s="19"/>
      <c r="FWQ38" s="19"/>
      <c r="FWR38" s="19"/>
      <c r="FWS38" s="19"/>
      <c r="FWT38" s="19"/>
      <c r="FWU38" s="19"/>
      <c r="FWV38" s="19"/>
      <c r="FWW38" s="19"/>
      <c r="FWX38" s="19"/>
      <c r="FWY38" s="19"/>
      <c r="FWZ38" s="19"/>
      <c r="FXA38" s="19"/>
      <c r="FXB38" s="19"/>
      <c r="FXC38" s="19"/>
      <c r="FXD38" s="19"/>
      <c r="FXE38" s="19"/>
      <c r="FXF38" s="19"/>
      <c r="FXG38" s="19"/>
      <c r="FXH38" s="19"/>
      <c r="FXI38" s="19"/>
      <c r="FXJ38" s="19"/>
      <c r="FXK38" s="19"/>
      <c r="FXL38" s="19"/>
      <c r="FXM38" s="19"/>
      <c r="FXN38" s="19"/>
      <c r="FXO38" s="19"/>
      <c r="FXP38" s="19"/>
      <c r="FXQ38" s="19"/>
      <c r="FXR38" s="19"/>
      <c r="FXS38" s="19"/>
      <c r="FXT38" s="19"/>
      <c r="FXU38" s="19"/>
      <c r="FXV38" s="19"/>
      <c r="FXW38" s="19"/>
      <c r="FXX38" s="19"/>
      <c r="FXY38" s="19"/>
      <c r="FXZ38" s="19"/>
      <c r="FYA38" s="19"/>
      <c r="FYB38" s="19"/>
      <c r="FYC38" s="19"/>
      <c r="FYD38" s="19"/>
      <c r="FYE38" s="19"/>
      <c r="FYF38" s="19"/>
      <c r="FYG38" s="19"/>
      <c r="FYH38" s="19"/>
      <c r="FYI38" s="19"/>
      <c r="FYJ38" s="19"/>
      <c r="FYK38" s="19"/>
      <c r="FYL38" s="19"/>
      <c r="FYM38" s="19"/>
      <c r="FYN38" s="19"/>
      <c r="FYO38" s="19"/>
      <c r="FYP38" s="19"/>
      <c r="FYQ38" s="19"/>
      <c r="FYR38" s="19"/>
      <c r="FYS38" s="19"/>
      <c r="FYT38" s="19"/>
      <c r="FYU38" s="19"/>
      <c r="FYV38" s="19"/>
      <c r="FYW38" s="19"/>
      <c r="FYX38" s="19"/>
      <c r="FYY38" s="19"/>
      <c r="FYZ38" s="19"/>
      <c r="FZA38" s="19"/>
      <c r="FZB38" s="19"/>
      <c r="FZC38" s="19"/>
      <c r="FZD38" s="19"/>
      <c r="FZE38" s="19"/>
      <c r="FZF38" s="19"/>
      <c r="FZG38" s="19"/>
      <c r="FZH38" s="19"/>
      <c r="FZI38" s="19"/>
      <c r="FZJ38" s="19"/>
      <c r="FZK38" s="19"/>
      <c r="FZL38" s="19"/>
      <c r="FZM38" s="19"/>
      <c r="FZN38" s="19"/>
      <c r="FZO38" s="19"/>
      <c r="FZP38" s="19"/>
      <c r="FZQ38" s="19"/>
      <c r="FZR38" s="19"/>
      <c r="FZS38" s="19"/>
      <c r="FZT38" s="19"/>
      <c r="FZU38" s="19"/>
      <c r="FZV38" s="19"/>
      <c r="FZW38" s="19"/>
      <c r="FZX38" s="19"/>
      <c r="FZY38" s="19"/>
      <c r="FZZ38" s="19"/>
      <c r="GAA38" s="19"/>
      <c r="GAB38" s="19"/>
      <c r="GAC38" s="19"/>
      <c r="GAD38" s="19"/>
      <c r="GAE38" s="19"/>
      <c r="GAF38" s="19"/>
      <c r="GAG38" s="19"/>
      <c r="GAH38" s="19"/>
      <c r="GAI38" s="19"/>
      <c r="GAJ38" s="19"/>
      <c r="GAK38" s="19"/>
      <c r="GAL38" s="19"/>
      <c r="GAM38" s="19"/>
      <c r="GAN38" s="19"/>
      <c r="GAO38" s="19"/>
      <c r="GAP38" s="19"/>
      <c r="GAQ38" s="19"/>
      <c r="GAR38" s="19"/>
      <c r="GAS38" s="19"/>
      <c r="GAT38" s="19"/>
      <c r="GAU38" s="19"/>
      <c r="GAV38" s="19"/>
      <c r="GAW38" s="19"/>
      <c r="GAX38" s="19"/>
      <c r="GAY38" s="19"/>
      <c r="GAZ38" s="19"/>
      <c r="GBA38" s="19"/>
      <c r="GBB38" s="19"/>
      <c r="GBC38" s="19"/>
      <c r="GBD38" s="19"/>
      <c r="GBE38" s="19"/>
      <c r="GBF38" s="19"/>
      <c r="GBG38" s="19"/>
      <c r="GBH38" s="19"/>
      <c r="GBI38" s="19"/>
      <c r="GBJ38" s="19"/>
      <c r="GBK38" s="19"/>
      <c r="GBL38" s="19"/>
      <c r="GBM38" s="19"/>
      <c r="GBN38" s="19"/>
      <c r="GBO38" s="19"/>
      <c r="GBP38" s="19"/>
      <c r="GBQ38" s="19"/>
      <c r="GBR38" s="19"/>
      <c r="GBS38" s="19"/>
      <c r="GBT38" s="19"/>
      <c r="GBU38" s="19"/>
      <c r="GBV38" s="19"/>
      <c r="GBW38" s="19"/>
      <c r="GBX38" s="19"/>
      <c r="GBY38" s="19"/>
      <c r="GBZ38" s="19"/>
      <c r="GCA38" s="19"/>
      <c r="GCB38" s="19"/>
      <c r="GCC38" s="19"/>
      <c r="GCD38" s="19"/>
      <c r="GCE38" s="19"/>
      <c r="GCF38" s="19"/>
      <c r="GCG38" s="19"/>
      <c r="GCH38" s="19"/>
      <c r="GCI38" s="19"/>
      <c r="GCJ38" s="19"/>
      <c r="GCK38" s="19"/>
      <c r="GCL38" s="19"/>
      <c r="GCM38" s="19"/>
      <c r="GCN38" s="19"/>
      <c r="GCO38" s="19"/>
      <c r="GCP38" s="19"/>
      <c r="GCQ38" s="19"/>
      <c r="GCR38" s="19"/>
      <c r="GCS38" s="19"/>
      <c r="GCT38" s="19"/>
      <c r="GCU38" s="19"/>
      <c r="GCV38" s="19"/>
      <c r="GCW38" s="19"/>
      <c r="GCX38" s="19"/>
      <c r="GCY38" s="19"/>
      <c r="GCZ38" s="19"/>
      <c r="GDA38" s="19"/>
      <c r="GDB38" s="19"/>
      <c r="GDC38" s="19"/>
      <c r="GDD38" s="19"/>
      <c r="GDE38" s="19"/>
      <c r="GDF38" s="19"/>
      <c r="GDG38" s="19"/>
      <c r="GDH38" s="19"/>
      <c r="GDI38" s="19"/>
      <c r="GDJ38" s="19"/>
      <c r="GDK38" s="19"/>
      <c r="GDL38" s="19"/>
      <c r="GDM38" s="19"/>
      <c r="GDN38" s="19"/>
      <c r="GDO38" s="19"/>
      <c r="GDP38" s="19"/>
      <c r="GDQ38" s="19"/>
      <c r="GDR38" s="19"/>
      <c r="GDS38" s="19"/>
      <c r="GDT38" s="19"/>
      <c r="GDU38" s="19"/>
      <c r="GDV38" s="19"/>
      <c r="GDW38" s="19"/>
      <c r="GDX38" s="19"/>
      <c r="GDY38" s="19"/>
      <c r="GDZ38" s="19"/>
      <c r="GEA38" s="19"/>
      <c r="GEB38" s="19"/>
      <c r="GEC38" s="19"/>
      <c r="GED38" s="19"/>
      <c r="GEE38" s="19"/>
      <c r="GEF38" s="19"/>
      <c r="GEG38" s="19"/>
      <c r="GEH38" s="19"/>
      <c r="GEI38" s="19"/>
      <c r="GEJ38" s="19"/>
      <c r="GEK38" s="19"/>
      <c r="GEL38" s="19"/>
      <c r="GEM38" s="19"/>
      <c r="GEN38" s="19"/>
      <c r="GEO38" s="19"/>
      <c r="GEP38" s="19"/>
      <c r="GEQ38" s="19"/>
      <c r="GER38" s="19"/>
      <c r="GES38" s="19"/>
      <c r="GET38" s="19"/>
      <c r="GEU38" s="19"/>
      <c r="GEV38" s="19"/>
      <c r="GEW38" s="19"/>
      <c r="GEX38" s="19"/>
      <c r="GEY38" s="19"/>
      <c r="GEZ38" s="19"/>
      <c r="GFA38" s="19"/>
      <c r="GFB38" s="19"/>
      <c r="GFC38" s="19"/>
      <c r="GFD38" s="19"/>
      <c r="GFE38" s="19"/>
      <c r="GFF38" s="19"/>
      <c r="GFG38" s="19"/>
      <c r="GFH38" s="19"/>
      <c r="GFI38" s="19"/>
      <c r="GFJ38" s="19"/>
      <c r="GFK38" s="19"/>
      <c r="GFL38" s="19"/>
      <c r="GFM38" s="19"/>
      <c r="GFN38" s="19"/>
      <c r="GFO38" s="19"/>
      <c r="GFP38" s="19"/>
      <c r="GFQ38" s="19"/>
      <c r="GFR38" s="19"/>
      <c r="GFS38" s="19"/>
      <c r="GFT38" s="19"/>
      <c r="GFU38" s="19"/>
      <c r="GFV38" s="19"/>
      <c r="GFW38" s="19"/>
      <c r="GFX38" s="19"/>
      <c r="GFY38" s="19"/>
      <c r="GFZ38" s="19"/>
      <c r="GGA38" s="19"/>
      <c r="GGB38" s="19"/>
      <c r="GGC38" s="19"/>
      <c r="GGD38" s="19"/>
      <c r="GGE38" s="19"/>
      <c r="GGF38" s="19"/>
      <c r="GGG38" s="19"/>
      <c r="GGH38" s="19"/>
      <c r="GGI38" s="19"/>
      <c r="GGJ38" s="19"/>
      <c r="GGK38" s="19"/>
      <c r="GGL38" s="19"/>
      <c r="GGM38" s="19"/>
      <c r="GGN38" s="19"/>
      <c r="GGO38" s="19"/>
      <c r="GGP38" s="19"/>
      <c r="GGQ38" s="19"/>
      <c r="GGR38" s="19"/>
      <c r="GGS38" s="19"/>
      <c r="GGT38" s="19"/>
      <c r="GGU38" s="19"/>
      <c r="GGV38" s="19"/>
      <c r="GGW38" s="19"/>
      <c r="GGX38" s="19"/>
      <c r="GGY38" s="19"/>
      <c r="GGZ38" s="19"/>
      <c r="GHA38" s="19"/>
      <c r="GHB38" s="19"/>
      <c r="GHC38" s="19"/>
      <c r="GHD38" s="19"/>
      <c r="GHE38" s="19"/>
      <c r="GHF38" s="19"/>
      <c r="GHG38" s="19"/>
      <c r="GHH38" s="19"/>
      <c r="GHI38" s="19"/>
      <c r="GHJ38" s="19"/>
      <c r="GHK38" s="19"/>
      <c r="GHL38" s="19"/>
      <c r="GHM38" s="19"/>
      <c r="GHN38" s="19"/>
      <c r="GHO38" s="19"/>
      <c r="GHP38" s="19"/>
      <c r="GHQ38" s="19"/>
      <c r="GHR38" s="19"/>
      <c r="GHS38" s="19"/>
      <c r="GHT38" s="19"/>
      <c r="GHU38" s="19"/>
      <c r="GHV38" s="19"/>
      <c r="GHW38" s="19"/>
      <c r="GHX38" s="19"/>
      <c r="GHY38" s="19"/>
      <c r="GHZ38" s="19"/>
      <c r="GIA38" s="19"/>
      <c r="GIB38" s="19"/>
      <c r="GIC38" s="19"/>
      <c r="GID38" s="19"/>
      <c r="GIE38" s="19"/>
      <c r="GIF38" s="19"/>
      <c r="GIG38" s="19"/>
      <c r="GIH38" s="19"/>
      <c r="GII38" s="19"/>
      <c r="GIJ38" s="19"/>
      <c r="GIK38" s="19"/>
      <c r="GIL38" s="19"/>
      <c r="GIM38" s="19"/>
      <c r="GIN38" s="19"/>
      <c r="GIO38" s="19"/>
      <c r="GIP38" s="19"/>
      <c r="GIQ38" s="19"/>
      <c r="GIR38" s="19"/>
      <c r="GIS38" s="19"/>
      <c r="GIT38" s="19"/>
      <c r="GIU38" s="19"/>
      <c r="GIV38" s="19"/>
      <c r="GIW38" s="19"/>
      <c r="GIX38" s="19"/>
      <c r="GIY38" s="19"/>
      <c r="GIZ38" s="19"/>
      <c r="GJA38" s="19"/>
      <c r="GJB38" s="19"/>
      <c r="GJC38" s="19"/>
      <c r="GJD38" s="19"/>
      <c r="GJE38" s="19"/>
      <c r="GJF38" s="19"/>
      <c r="GJG38" s="19"/>
      <c r="GJH38" s="19"/>
      <c r="GJI38" s="19"/>
      <c r="GJJ38" s="19"/>
      <c r="GJK38" s="19"/>
      <c r="GJL38" s="19"/>
      <c r="GJM38" s="19"/>
      <c r="GJN38" s="19"/>
      <c r="GJO38" s="19"/>
      <c r="GJP38" s="19"/>
      <c r="GJQ38" s="19"/>
      <c r="GJR38" s="19"/>
      <c r="GJS38" s="19"/>
      <c r="GJT38" s="19"/>
      <c r="GJU38" s="19"/>
      <c r="GJV38" s="19"/>
      <c r="GJW38" s="19"/>
      <c r="GJX38" s="19"/>
      <c r="GJY38" s="19"/>
      <c r="GJZ38" s="19"/>
      <c r="GKA38" s="19"/>
      <c r="GKB38" s="19"/>
      <c r="GKC38" s="19"/>
      <c r="GKD38" s="19"/>
      <c r="GKE38" s="19"/>
      <c r="GKF38" s="19"/>
      <c r="GKG38" s="19"/>
      <c r="GKH38" s="19"/>
      <c r="GKI38" s="19"/>
      <c r="GKJ38" s="19"/>
      <c r="GKK38" s="19"/>
      <c r="GKL38" s="19"/>
      <c r="GKM38" s="19"/>
      <c r="GKN38" s="19"/>
      <c r="GKO38" s="19"/>
      <c r="GKP38" s="19"/>
      <c r="GKQ38" s="19"/>
      <c r="GKR38" s="19"/>
      <c r="GKS38" s="19"/>
      <c r="GKT38" s="19"/>
      <c r="GKU38" s="19"/>
      <c r="GKV38" s="19"/>
      <c r="GKW38" s="19"/>
      <c r="GKX38" s="19"/>
      <c r="GKY38" s="19"/>
      <c r="GKZ38" s="19"/>
      <c r="GLA38" s="19"/>
      <c r="GLB38" s="19"/>
      <c r="GLC38" s="19"/>
      <c r="GLD38" s="19"/>
      <c r="GLE38" s="19"/>
      <c r="GLF38" s="19"/>
      <c r="GLG38" s="19"/>
      <c r="GLH38" s="19"/>
      <c r="GLI38" s="19"/>
      <c r="GLJ38" s="19"/>
      <c r="GLK38" s="19"/>
      <c r="GLL38" s="19"/>
      <c r="GLM38" s="19"/>
      <c r="GLN38" s="19"/>
      <c r="GLO38" s="19"/>
      <c r="GLP38" s="19"/>
      <c r="GLQ38" s="19"/>
      <c r="GLR38" s="19"/>
      <c r="GLS38" s="19"/>
      <c r="GLT38" s="19"/>
      <c r="GLU38" s="19"/>
      <c r="GLV38" s="19"/>
      <c r="GLW38" s="19"/>
      <c r="GLX38" s="19"/>
      <c r="GLY38" s="19"/>
      <c r="GLZ38" s="19"/>
      <c r="GMA38" s="19"/>
      <c r="GMB38" s="19"/>
      <c r="GMC38" s="19"/>
      <c r="GMD38" s="19"/>
      <c r="GME38" s="19"/>
      <c r="GMF38" s="19"/>
      <c r="GMG38" s="19"/>
      <c r="GMH38" s="19"/>
      <c r="GMI38" s="19"/>
      <c r="GMJ38" s="19"/>
      <c r="GMK38" s="19"/>
      <c r="GML38" s="19"/>
      <c r="GMM38" s="19"/>
      <c r="GMN38" s="19"/>
      <c r="GMO38" s="19"/>
      <c r="GMP38" s="19"/>
      <c r="GMQ38" s="19"/>
      <c r="GMR38" s="19"/>
      <c r="GMS38" s="19"/>
      <c r="GMT38" s="19"/>
      <c r="GMU38" s="19"/>
      <c r="GMV38" s="19"/>
      <c r="GMW38" s="19"/>
      <c r="GMX38" s="19"/>
      <c r="GMY38" s="19"/>
      <c r="GMZ38" s="19"/>
      <c r="GNA38" s="19"/>
      <c r="GNB38" s="19"/>
      <c r="GNC38" s="19"/>
      <c r="GND38" s="19"/>
      <c r="GNE38" s="19"/>
      <c r="GNF38" s="19"/>
      <c r="GNG38" s="19"/>
      <c r="GNH38" s="19"/>
      <c r="GNI38" s="19"/>
      <c r="GNJ38" s="19"/>
      <c r="GNK38" s="19"/>
      <c r="GNL38" s="19"/>
      <c r="GNM38" s="19"/>
      <c r="GNN38" s="19"/>
      <c r="GNO38" s="19"/>
      <c r="GNP38" s="19"/>
      <c r="GNQ38" s="19"/>
      <c r="GNR38" s="19"/>
      <c r="GNS38" s="19"/>
      <c r="GNT38" s="19"/>
      <c r="GNU38" s="19"/>
      <c r="GNV38" s="19"/>
      <c r="GNW38" s="19"/>
      <c r="GNX38" s="19"/>
      <c r="GNY38" s="19"/>
      <c r="GNZ38" s="19"/>
      <c r="GOA38" s="19"/>
      <c r="GOB38" s="19"/>
      <c r="GOC38" s="19"/>
      <c r="GOD38" s="19"/>
      <c r="GOE38" s="19"/>
      <c r="GOF38" s="19"/>
      <c r="GOG38" s="19"/>
      <c r="GOH38" s="19"/>
      <c r="GOI38" s="19"/>
      <c r="GOJ38" s="19"/>
      <c r="GOK38" s="19"/>
      <c r="GOL38" s="19"/>
      <c r="GOM38" s="19"/>
      <c r="GON38" s="19"/>
      <c r="GOO38" s="19"/>
      <c r="GOP38" s="19"/>
      <c r="GOQ38" s="19"/>
      <c r="GOR38" s="19"/>
      <c r="GOS38" s="19"/>
      <c r="GOT38" s="19"/>
      <c r="GOU38" s="19"/>
      <c r="GOV38" s="19"/>
      <c r="GOW38" s="19"/>
      <c r="GOX38" s="19"/>
      <c r="GOY38" s="19"/>
      <c r="GOZ38" s="19"/>
      <c r="GPA38" s="19"/>
      <c r="GPB38" s="19"/>
      <c r="GPC38" s="19"/>
      <c r="GPD38" s="19"/>
      <c r="GPE38" s="19"/>
      <c r="GPF38" s="19"/>
      <c r="GPG38" s="19"/>
      <c r="GPH38" s="19"/>
      <c r="GPI38" s="19"/>
      <c r="GPJ38" s="19"/>
      <c r="GPK38" s="19"/>
      <c r="GPL38" s="19"/>
      <c r="GPM38" s="19"/>
      <c r="GPN38" s="19"/>
      <c r="GPO38" s="19"/>
      <c r="GPP38" s="19"/>
      <c r="GPQ38" s="19"/>
      <c r="GPR38" s="19"/>
      <c r="GPS38" s="19"/>
      <c r="GPT38" s="19"/>
      <c r="GPU38" s="19"/>
      <c r="GPV38" s="19"/>
      <c r="GPW38" s="19"/>
      <c r="GPX38" s="19"/>
      <c r="GPY38" s="19"/>
      <c r="GPZ38" s="19"/>
      <c r="GQA38" s="19"/>
      <c r="GQB38" s="19"/>
      <c r="GQC38" s="19"/>
      <c r="GQD38" s="19"/>
      <c r="GQE38" s="19"/>
      <c r="GQF38" s="19"/>
      <c r="GQG38" s="19"/>
      <c r="GQH38" s="19"/>
      <c r="GQI38" s="19"/>
      <c r="GQJ38" s="19"/>
      <c r="GQK38" s="19"/>
      <c r="GQL38" s="19"/>
      <c r="GQM38" s="19"/>
      <c r="GQN38" s="19"/>
      <c r="GQO38" s="19"/>
      <c r="GQP38" s="19"/>
      <c r="GQQ38" s="19"/>
      <c r="GQR38" s="19"/>
      <c r="GQS38" s="19"/>
      <c r="GQT38" s="19"/>
      <c r="GQU38" s="19"/>
      <c r="GQV38" s="19"/>
      <c r="GQW38" s="19"/>
      <c r="GQX38" s="19"/>
      <c r="GQY38" s="19"/>
      <c r="GQZ38" s="19"/>
      <c r="GRA38" s="19"/>
      <c r="GRB38" s="19"/>
      <c r="GRC38" s="19"/>
      <c r="GRD38" s="19"/>
      <c r="GRE38" s="19"/>
      <c r="GRF38" s="19"/>
      <c r="GRG38" s="19"/>
      <c r="GRH38" s="19"/>
      <c r="GRI38" s="19"/>
      <c r="GRJ38" s="19"/>
      <c r="GRK38" s="19"/>
      <c r="GRL38" s="19"/>
      <c r="GRM38" s="19"/>
      <c r="GRN38" s="19"/>
      <c r="GRO38" s="19"/>
      <c r="GRP38" s="19"/>
      <c r="GRQ38" s="19"/>
      <c r="GRR38" s="19"/>
      <c r="GRS38" s="19"/>
      <c r="GRT38" s="19"/>
      <c r="GRU38" s="19"/>
      <c r="GRV38" s="19"/>
      <c r="GRW38" s="19"/>
      <c r="GRX38" s="19"/>
      <c r="GRY38" s="19"/>
      <c r="GRZ38" s="19"/>
      <c r="GSA38" s="19"/>
      <c r="GSB38" s="19"/>
      <c r="GSC38" s="19"/>
      <c r="GSD38" s="19"/>
      <c r="GSE38" s="19"/>
      <c r="GSF38" s="19"/>
      <c r="GSG38" s="19"/>
      <c r="GSH38" s="19"/>
      <c r="GSI38" s="19"/>
      <c r="GSJ38" s="19"/>
      <c r="GSK38" s="19"/>
      <c r="GSL38" s="19"/>
      <c r="GSM38" s="19"/>
      <c r="GSN38" s="19"/>
      <c r="GSO38" s="19"/>
      <c r="GSP38" s="19"/>
      <c r="GSQ38" s="19"/>
      <c r="GSR38" s="19"/>
      <c r="GSS38" s="19"/>
      <c r="GST38" s="19"/>
      <c r="GSU38" s="19"/>
      <c r="GSV38" s="19"/>
      <c r="GSW38" s="19"/>
      <c r="GSX38" s="19"/>
      <c r="GSY38" s="19"/>
      <c r="GSZ38" s="19"/>
      <c r="GTA38" s="19"/>
      <c r="GTB38" s="19"/>
      <c r="GTC38" s="19"/>
      <c r="GTD38" s="19"/>
      <c r="GTE38" s="19"/>
      <c r="GTF38" s="19"/>
      <c r="GTG38" s="19"/>
      <c r="GTH38" s="19"/>
      <c r="GTI38" s="19"/>
      <c r="GTJ38" s="19"/>
      <c r="GTK38" s="19"/>
      <c r="GTL38" s="19"/>
      <c r="GTM38" s="19"/>
      <c r="GTN38" s="19"/>
      <c r="GTO38" s="19"/>
      <c r="GTP38" s="19"/>
      <c r="GTQ38" s="19"/>
      <c r="GTR38" s="19"/>
      <c r="GTS38" s="19"/>
      <c r="GTT38" s="19"/>
      <c r="GTU38" s="19"/>
      <c r="GTV38" s="19"/>
      <c r="GTW38" s="19"/>
      <c r="GTX38" s="19"/>
      <c r="GTY38" s="19"/>
      <c r="GTZ38" s="19"/>
      <c r="GUA38" s="19"/>
      <c r="GUB38" s="19"/>
      <c r="GUC38" s="19"/>
      <c r="GUD38" s="19"/>
      <c r="GUE38" s="19"/>
      <c r="GUF38" s="19"/>
      <c r="GUG38" s="19"/>
      <c r="GUH38" s="19"/>
      <c r="GUI38" s="19"/>
      <c r="GUJ38" s="19"/>
      <c r="GUK38" s="19"/>
      <c r="GUL38" s="19"/>
      <c r="GUM38" s="19"/>
      <c r="GUN38" s="19"/>
      <c r="GUO38" s="19"/>
      <c r="GUP38" s="19"/>
      <c r="GUQ38" s="19"/>
      <c r="GUR38" s="19"/>
      <c r="GUS38" s="19"/>
      <c r="GUT38" s="19"/>
      <c r="GUU38" s="19"/>
      <c r="GUV38" s="19"/>
      <c r="GUW38" s="19"/>
      <c r="GUX38" s="19"/>
      <c r="GUY38" s="19"/>
      <c r="GUZ38" s="19"/>
      <c r="GVA38" s="19"/>
      <c r="GVB38" s="19"/>
      <c r="GVC38" s="19"/>
      <c r="GVD38" s="19"/>
      <c r="GVE38" s="19"/>
      <c r="GVF38" s="19"/>
      <c r="GVG38" s="19"/>
      <c r="GVH38" s="19"/>
      <c r="GVI38" s="19"/>
      <c r="GVJ38" s="19"/>
      <c r="GVK38" s="19"/>
      <c r="GVL38" s="19"/>
      <c r="GVM38" s="19"/>
      <c r="GVN38" s="19"/>
      <c r="GVO38" s="19"/>
      <c r="GVP38" s="19"/>
      <c r="GVQ38" s="19"/>
      <c r="GVR38" s="19"/>
      <c r="GVS38" s="19"/>
      <c r="GVT38" s="19"/>
      <c r="GVU38" s="19"/>
      <c r="GVV38" s="19"/>
      <c r="GVW38" s="19"/>
      <c r="GVX38" s="19"/>
      <c r="GVY38" s="19"/>
      <c r="GVZ38" s="19"/>
      <c r="GWA38" s="19"/>
      <c r="GWB38" s="19"/>
      <c r="GWC38" s="19"/>
      <c r="GWD38" s="19"/>
      <c r="GWE38" s="19"/>
      <c r="GWF38" s="19"/>
      <c r="GWG38" s="19"/>
      <c r="GWH38" s="19"/>
      <c r="GWI38" s="19"/>
      <c r="GWJ38" s="19"/>
      <c r="GWK38" s="19"/>
      <c r="GWL38" s="19"/>
      <c r="GWM38" s="19"/>
      <c r="GWN38" s="19"/>
      <c r="GWO38" s="19"/>
      <c r="GWP38" s="19"/>
      <c r="GWQ38" s="19"/>
      <c r="GWR38" s="19"/>
      <c r="GWS38" s="19"/>
      <c r="GWT38" s="19"/>
      <c r="GWU38" s="19"/>
      <c r="GWV38" s="19"/>
      <c r="GWW38" s="19"/>
      <c r="GWX38" s="19"/>
      <c r="GWY38" s="19"/>
      <c r="GWZ38" s="19"/>
      <c r="GXA38" s="19"/>
      <c r="GXB38" s="19"/>
      <c r="GXC38" s="19"/>
      <c r="GXD38" s="19"/>
      <c r="GXE38" s="19"/>
      <c r="GXF38" s="19"/>
      <c r="GXG38" s="19"/>
      <c r="GXH38" s="19"/>
      <c r="GXI38" s="19"/>
      <c r="GXJ38" s="19"/>
      <c r="GXK38" s="19"/>
      <c r="GXL38" s="19"/>
      <c r="GXM38" s="19"/>
      <c r="GXN38" s="19"/>
      <c r="GXO38" s="19"/>
      <c r="GXP38" s="19"/>
      <c r="GXQ38" s="19"/>
      <c r="GXR38" s="19"/>
      <c r="GXS38" s="19"/>
      <c r="GXT38" s="19"/>
      <c r="GXU38" s="19"/>
      <c r="GXV38" s="19"/>
      <c r="GXW38" s="19"/>
      <c r="GXX38" s="19"/>
      <c r="GXY38" s="19"/>
      <c r="GXZ38" s="19"/>
      <c r="GYA38" s="19"/>
      <c r="GYB38" s="19"/>
      <c r="GYC38" s="19"/>
      <c r="GYD38" s="19"/>
      <c r="GYE38" s="19"/>
      <c r="GYF38" s="19"/>
      <c r="GYG38" s="19"/>
      <c r="GYH38" s="19"/>
      <c r="GYI38" s="19"/>
      <c r="GYJ38" s="19"/>
      <c r="GYK38" s="19"/>
      <c r="GYL38" s="19"/>
      <c r="GYM38" s="19"/>
      <c r="GYN38" s="19"/>
      <c r="GYO38" s="19"/>
      <c r="GYP38" s="19"/>
      <c r="GYQ38" s="19"/>
      <c r="GYR38" s="19"/>
      <c r="GYS38" s="19"/>
      <c r="GYT38" s="19"/>
      <c r="GYU38" s="19"/>
      <c r="GYV38" s="19"/>
      <c r="GYW38" s="19"/>
      <c r="GYX38" s="19"/>
      <c r="GYY38" s="19"/>
      <c r="GYZ38" s="19"/>
      <c r="GZA38" s="19"/>
      <c r="GZB38" s="19"/>
      <c r="GZC38" s="19"/>
      <c r="GZD38" s="19"/>
      <c r="GZE38" s="19"/>
      <c r="GZF38" s="19"/>
      <c r="GZG38" s="19"/>
      <c r="GZH38" s="19"/>
      <c r="GZI38" s="19"/>
      <c r="GZJ38" s="19"/>
      <c r="GZK38" s="19"/>
      <c r="GZL38" s="19"/>
      <c r="GZM38" s="19"/>
      <c r="GZN38" s="19"/>
      <c r="GZO38" s="19"/>
      <c r="GZP38" s="19"/>
      <c r="GZQ38" s="19"/>
      <c r="GZR38" s="19"/>
      <c r="GZS38" s="19"/>
      <c r="GZT38" s="19"/>
      <c r="GZU38" s="19"/>
      <c r="GZV38" s="19"/>
      <c r="GZW38" s="19"/>
      <c r="GZX38" s="19"/>
      <c r="GZY38" s="19"/>
      <c r="GZZ38" s="19"/>
      <c r="HAA38" s="19"/>
      <c r="HAB38" s="19"/>
      <c r="HAC38" s="19"/>
      <c r="HAD38" s="19"/>
      <c r="HAE38" s="19"/>
      <c r="HAF38" s="19"/>
      <c r="HAG38" s="19"/>
      <c r="HAH38" s="19"/>
      <c r="HAI38" s="19"/>
      <c r="HAJ38" s="19"/>
      <c r="HAK38" s="19"/>
      <c r="HAL38" s="19"/>
      <c r="HAM38" s="19"/>
      <c r="HAN38" s="19"/>
      <c r="HAO38" s="19"/>
      <c r="HAP38" s="19"/>
      <c r="HAQ38" s="19"/>
      <c r="HAR38" s="19"/>
      <c r="HAS38" s="19"/>
      <c r="HAT38" s="19"/>
      <c r="HAU38" s="19"/>
      <c r="HAV38" s="19"/>
      <c r="HAW38" s="19"/>
      <c r="HAX38" s="19"/>
      <c r="HAY38" s="19"/>
      <c r="HAZ38" s="19"/>
      <c r="HBA38" s="19"/>
      <c r="HBB38" s="19"/>
      <c r="HBC38" s="19"/>
      <c r="HBD38" s="19"/>
      <c r="HBE38" s="19"/>
      <c r="HBF38" s="19"/>
      <c r="HBG38" s="19"/>
      <c r="HBH38" s="19"/>
      <c r="HBI38" s="19"/>
      <c r="HBJ38" s="19"/>
      <c r="HBK38" s="19"/>
      <c r="HBL38" s="19"/>
      <c r="HBM38" s="19"/>
      <c r="HBN38" s="19"/>
      <c r="HBO38" s="19"/>
      <c r="HBP38" s="19"/>
      <c r="HBQ38" s="19"/>
      <c r="HBR38" s="19"/>
      <c r="HBS38" s="19"/>
      <c r="HBT38" s="19"/>
      <c r="HBU38" s="19"/>
      <c r="HBV38" s="19"/>
      <c r="HBW38" s="19"/>
      <c r="HBX38" s="19"/>
      <c r="HBY38" s="19"/>
      <c r="HBZ38" s="19"/>
      <c r="HCA38" s="19"/>
      <c r="HCB38" s="19"/>
      <c r="HCC38" s="19"/>
      <c r="HCD38" s="19"/>
      <c r="HCE38" s="19"/>
      <c r="HCF38" s="19"/>
      <c r="HCG38" s="19"/>
      <c r="HCH38" s="19"/>
      <c r="HCI38" s="19"/>
      <c r="HCJ38" s="19"/>
      <c r="HCK38" s="19"/>
      <c r="HCL38" s="19"/>
      <c r="HCM38" s="19"/>
      <c r="HCN38" s="19"/>
      <c r="HCO38" s="19"/>
      <c r="HCP38" s="19"/>
      <c r="HCQ38" s="19"/>
      <c r="HCR38" s="19"/>
      <c r="HCS38" s="19"/>
      <c r="HCT38" s="19"/>
      <c r="HCU38" s="19"/>
      <c r="HCV38" s="19"/>
      <c r="HCW38" s="19"/>
      <c r="HCX38" s="19"/>
      <c r="HCY38" s="19"/>
      <c r="HCZ38" s="19"/>
      <c r="HDA38" s="19"/>
      <c r="HDB38" s="19"/>
      <c r="HDC38" s="19"/>
      <c r="HDD38" s="19"/>
      <c r="HDE38" s="19"/>
      <c r="HDF38" s="19"/>
      <c r="HDG38" s="19"/>
      <c r="HDH38" s="19"/>
      <c r="HDI38" s="19"/>
      <c r="HDJ38" s="19"/>
      <c r="HDK38" s="19"/>
      <c r="HDL38" s="19"/>
      <c r="HDM38" s="19"/>
      <c r="HDN38" s="19"/>
      <c r="HDO38" s="19"/>
      <c r="HDP38" s="19"/>
      <c r="HDQ38" s="19"/>
      <c r="HDR38" s="19"/>
      <c r="HDS38" s="19"/>
      <c r="HDT38" s="19"/>
      <c r="HDU38" s="19"/>
      <c r="HDV38" s="19"/>
      <c r="HDW38" s="19"/>
      <c r="HDX38" s="19"/>
      <c r="HDY38" s="19"/>
      <c r="HDZ38" s="19"/>
      <c r="HEA38" s="19"/>
      <c r="HEB38" s="19"/>
      <c r="HEC38" s="19"/>
      <c r="HED38" s="19"/>
      <c r="HEE38" s="19"/>
      <c r="HEF38" s="19"/>
      <c r="HEG38" s="19"/>
      <c r="HEH38" s="19"/>
      <c r="HEI38" s="19"/>
      <c r="HEJ38" s="19"/>
      <c r="HEK38" s="19"/>
      <c r="HEL38" s="19"/>
      <c r="HEM38" s="19"/>
      <c r="HEN38" s="19"/>
      <c r="HEO38" s="19"/>
      <c r="HEP38" s="19"/>
      <c r="HEQ38" s="19"/>
      <c r="HER38" s="19"/>
      <c r="HES38" s="19"/>
      <c r="HET38" s="19"/>
      <c r="HEU38" s="19"/>
      <c r="HEV38" s="19"/>
      <c r="HEW38" s="19"/>
      <c r="HEX38" s="19"/>
      <c r="HEY38" s="19"/>
      <c r="HEZ38" s="19"/>
      <c r="HFA38" s="19"/>
      <c r="HFB38" s="19"/>
      <c r="HFC38" s="19"/>
      <c r="HFD38" s="19"/>
      <c r="HFE38" s="19"/>
      <c r="HFF38" s="19"/>
      <c r="HFG38" s="19"/>
      <c r="HFH38" s="19"/>
      <c r="HFI38" s="19"/>
      <c r="HFJ38" s="19"/>
      <c r="HFK38" s="19"/>
      <c r="HFL38" s="19"/>
      <c r="HFM38" s="19"/>
      <c r="HFN38" s="19"/>
      <c r="HFO38" s="19"/>
      <c r="HFP38" s="19"/>
      <c r="HFQ38" s="19"/>
      <c r="HFR38" s="19"/>
      <c r="HFS38" s="19"/>
      <c r="HFT38" s="19"/>
      <c r="HFU38" s="19"/>
      <c r="HFV38" s="19"/>
      <c r="HFW38" s="19"/>
      <c r="HFX38" s="19"/>
      <c r="HFY38" s="19"/>
      <c r="HFZ38" s="19"/>
      <c r="HGA38" s="19"/>
      <c r="HGB38" s="19"/>
      <c r="HGC38" s="19"/>
      <c r="HGD38" s="19"/>
      <c r="HGE38" s="19"/>
      <c r="HGF38" s="19"/>
      <c r="HGG38" s="19"/>
      <c r="HGH38" s="19"/>
      <c r="HGI38" s="19"/>
      <c r="HGJ38" s="19"/>
      <c r="HGK38" s="19"/>
      <c r="HGL38" s="19"/>
      <c r="HGM38" s="19"/>
      <c r="HGN38" s="19"/>
      <c r="HGO38" s="19"/>
      <c r="HGP38" s="19"/>
      <c r="HGQ38" s="19"/>
      <c r="HGR38" s="19"/>
      <c r="HGS38" s="19"/>
      <c r="HGT38" s="19"/>
      <c r="HGU38" s="19"/>
      <c r="HGV38" s="19"/>
      <c r="HGW38" s="19"/>
      <c r="HGX38" s="19"/>
      <c r="HGY38" s="19"/>
      <c r="HGZ38" s="19"/>
      <c r="HHA38" s="19"/>
      <c r="HHB38" s="19"/>
      <c r="HHC38" s="19"/>
      <c r="HHD38" s="19"/>
      <c r="HHE38" s="19"/>
      <c r="HHF38" s="19"/>
      <c r="HHG38" s="19"/>
      <c r="HHH38" s="19"/>
      <c r="HHI38" s="19"/>
      <c r="HHJ38" s="19"/>
      <c r="HHK38" s="19"/>
      <c r="HHL38" s="19"/>
      <c r="HHM38" s="19"/>
      <c r="HHN38" s="19"/>
      <c r="HHO38" s="19"/>
      <c r="HHP38" s="19"/>
      <c r="HHQ38" s="19"/>
      <c r="HHR38" s="19"/>
      <c r="HHS38" s="19"/>
      <c r="HHT38" s="19"/>
      <c r="HHU38" s="19"/>
      <c r="HHV38" s="19"/>
      <c r="HHW38" s="19"/>
      <c r="HHX38" s="19"/>
      <c r="HHY38" s="19"/>
      <c r="HHZ38" s="19"/>
      <c r="HIA38" s="19"/>
      <c r="HIB38" s="19"/>
      <c r="HIC38" s="19"/>
      <c r="HID38" s="19"/>
      <c r="HIE38" s="19"/>
      <c r="HIF38" s="19"/>
      <c r="HIG38" s="19"/>
      <c r="HIH38" s="19"/>
      <c r="HII38" s="19"/>
      <c r="HIJ38" s="19"/>
      <c r="HIK38" s="19"/>
      <c r="HIL38" s="19"/>
      <c r="HIM38" s="19"/>
      <c r="HIN38" s="19"/>
      <c r="HIO38" s="19"/>
      <c r="HIP38" s="19"/>
      <c r="HIQ38" s="19"/>
      <c r="HIR38" s="19"/>
      <c r="HIS38" s="19"/>
      <c r="HIT38" s="19"/>
      <c r="HIU38" s="19"/>
      <c r="HIV38" s="19"/>
      <c r="HIW38" s="19"/>
      <c r="HIX38" s="19"/>
      <c r="HIY38" s="19"/>
      <c r="HIZ38" s="19"/>
      <c r="HJA38" s="19"/>
      <c r="HJB38" s="19"/>
      <c r="HJC38" s="19"/>
      <c r="HJD38" s="19"/>
      <c r="HJE38" s="19"/>
      <c r="HJF38" s="19"/>
      <c r="HJG38" s="19"/>
      <c r="HJH38" s="19"/>
      <c r="HJI38" s="19"/>
      <c r="HJJ38" s="19"/>
      <c r="HJK38" s="19"/>
      <c r="HJL38" s="19"/>
      <c r="HJM38" s="19"/>
      <c r="HJN38" s="19"/>
      <c r="HJO38" s="19"/>
      <c r="HJP38" s="19"/>
      <c r="HJQ38" s="19"/>
      <c r="HJR38" s="19"/>
      <c r="HJS38" s="19"/>
      <c r="HJT38" s="19"/>
      <c r="HJU38" s="19"/>
      <c r="HJV38" s="19"/>
      <c r="HJW38" s="19"/>
      <c r="HJX38" s="19"/>
      <c r="HJY38" s="19"/>
      <c r="HJZ38" s="19"/>
      <c r="HKA38" s="19"/>
      <c r="HKB38" s="19"/>
      <c r="HKC38" s="19"/>
      <c r="HKD38" s="19"/>
      <c r="HKE38" s="19"/>
      <c r="HKF38" s="19"/>
      <c r="HKG38" s="19"/>
      <c r="HKH38" s="19"/>
      <c r="HKI38" s="19"/>
      <c r="HKJ38" s="19"/>
      <c r="HKK38" s="19"/>
      <c r="HKL38" s="19"/>
      <c r="HKM38" s="19"/>
      <c r="HKN38" s="19"/>
      <c r="HKO38" s="19"/>
      <c r="HKP38" s="19"/>
      <c r="HKQ38" s="19"/>
      <c r="HKR38" s="19"/>
      <c r="HKS38" s="19"/>
      <c r="HKT38" s="19"/>
      <c r="HKU38" s="19"/>
      <c r="HKV38" s="19"/>
      <c r="HKW38" s="19"/>
      <c r="HKX38" s="19"/>
      <c r="HKY38" s="19"/>
      <c r="HKZ38" s="19"/>
      <c r="HLA38" s="19"/>
      <c r="HLB38" s="19"/>
      <c r="HLC38" s="19"/>
      <c r="HLD38" s="19"/>
      <c r="HLE38" s="19"/>
      <c r="HLF38" s="19"/>
      <c r="HLG38" s="19"/>
      <c r="HLH38" s="19"/>
      <c r="HLI38" s="19"/>
      <c r="HLJ38" s="19"/>
      <c r="HLK38" s="19"/>
      <c r="HLL38" s="19"/>
      <c r="HLM38" s="19"/>
      <c r="HLN38" s="19"/>
      <c r="HLO38" s="19"/>
      <c r="HLP38" s="19"/>
      <c r="HLQ38" s="19"/>
      <c r="HLR38" s="19"/>
      <c r="HLS38" s="19"/>
      <c r="HLT38" s="19"/>
      <c r="HLU38" s="19"/>
      <c r="HLV38" s="19"/>
      <c r="HLW38" s="19"/>
      <c r="HLX38" s="19"/>
      <c r="HLY38" s="19"/>
      <c r="HLZ38" s="19"/>
      <c r="HMA38" s="19"/>
      <c r="HMB38" s="19"/>
      <c r="HMC38" s="19"/>
      <c r="HMD38" s="19"/>
      <c r="HME38" s="19"/>
      <c r="HMF38" s="19"/>
      <c r="HMG38" s="19"/>
      <c r="HMH38" s="19"/>
      <c r="HMI38" s="19"/>
      <c r="HMJ38" s="19"/>
      <c r="HMK38" s="19"/>
      <c r="HML38" s="19"/>
      <c r="HMM38" s="19"/>
      <c r="HMN38" s="19"/>
      <c r="HMO38" s="19"/>
      <c r="HMP38" s="19"/>
      <c r="HMQ38" s="19"/>
      <c r="HMR38" s="19"/>
      <c r="HMS38" s="19"/>
      <c r="HMT38" s="19"/>
      <c r="HMU38" s="19"/>
      <c r="HMV38" s="19"/>
      <c r="HMW38" s="19"/>
      <c r="HMX38" s="19"/>
      <c r="HMY38" s="19"/>
      <c r="HMZ38" s="19"/>
      <c r="HNA38" s="19"/>
      <c r="HNB38" s="19"/>
      <c r="HNC38" s="19"/>
      <c r="HND38" s="19"/>
      <c r="HNE38" s="19"/>
      <c r="HNF38" s="19"/>
      <c r="HNG38" s="19"/>
      <c r="HNH38" s="19"/>
      <c r="HNI38" s="19"/>
      <c r="HNJ38" s="19"/>
      <c r="HNK38" s="19"/>
      <c r="HNL38" s="19"/>
      <c r="HNM38" s="19"/>
      <c r="HNN38" s="19"/>
      <c r="HNO38" s="19"/>
      <c r="HNP38" s="19"/>
      <c r="HNQ38" s="19"/>
      <c r="HNR38" s="19"/>
      <c r="HNS38" s="19"/>
      <c r="HNT38" s="19"/>
      <c r="HNU38" s="19"/>
      <c r="HNV38" s="19"/>
      <c r="HNW38" s="19"/>
      <c r="HNX38" s="19"/>
      <c r="HNY38" s="19"/>
      <c r="HNZ38" s="19"/>
      <c r="HOA38" s="19"/>
      <c r="HOB38" s="19"/>
      <c r="HOC38" s="19"/>
      <c r="HOD38" s="19"/>
      <c r="HOE38" s="19"/>
      <c r="HOF38" s="19"/>
      <c r="HOG38" s="19"/>
      <c r="HOH38" s="19"/>
      <c r="HOI38" s="19"/>
      <c r="HOJ38" s="19"/>
      <c r="HOK38" s="19"/>
      <c r="HOL38" s="19"/>
      <c r="HOM38" s="19"/>
      <c r="HON38" s="19"/>
      <c r="HOO38" s="19"/>
      <c r="HOP38" s="19"/>
      <c r="HOQ38" s="19"/>
      <c r="HOR38" s="19"/>
      <c r="HOS38" s="19"/>
      <c r="HOT38" s="19"/>
      <c r="HOU38" s="19"/>
      <c r="HOV38" s="19"/>
      <c r="HOW38" s="19"/>
      <c r="HOX38" s="19"/>
      <c r="HOY38" s="19"/>
      <c r="HOZ38" s="19"/>
      <c r="HPA38" s="19"/>
      <c r="HPB38" s="19"/>
      <c r="HPC38" s="19"/>
      <c r="HPD38" s="19"/>
      <c r="HPE38" s="19"/>
      <c r="HPF38" s="19"/>
      <c r="HPG38" s="19"/>
      <c r="HPH38" s="19"/>
      <c r="HPI38" s="19"/>
      <c r="HPJ38" s="19"/>
      <c r="HPK38" s="19"/>
      <c r="HPL38" s="19"/>
      <c r="HPM38" s="19"/>
      <c r="HPN38" s="19"/>
      <c r="HPO38" s="19"/>
      <c r="HPP38" s="19"/>
      <c r="HPQ38" s="19"/>
      <c r="HPR38" s="19"/>
      <c r="HPS38" s="19"/>
      <c r="HPT38" s="19"/>
      <c r="HPU38" s="19"/>
      <c r="HPV38" s="19"/>
      <c r="HPW38" s="19"/>
      <c r="HPX38" s="19"/>
      <c r="HPY38" s="19"/>
      <c r="HPZ38" s="19"/>
      <c r="HQA38" s="19"/>
      <c r="HQB38" s="19"/>
      <c r="HQC38" s="19"/>
      <c r="HQD38" s="19"/>
      <c r="HQE38" s="19"/>
      <c r="HQF38" s="19"/>
      <c r="HQG38" s="19"/>
      <c r="HQH38" s="19"/>
      <c r="HQI38" s="19"/>
      <c r="HQJ38" s="19"/>
      <c r="HQK38" s="19"/>
      <c r="HQL38" s="19"/>
      <c r="HQM38" s="19"/>
      <c r="HQN38" s="19"/>
      <c r="HQO38" s="19"/>
      <c r="HQP38" s="19"/>
      <c r="HQQ38" s="19"/>
      <c r="HQR38" s="19"/>
      <c r="HQS38" s="19"/>
      <c r="HQT38" s="19"/>
      <c r="HQU38" s="19"/>
      <c r="HQV38" s="19"/>
      <c r="HQW38" s="19"/>
      <c r="HQX38" s="19"/>
      <c r="HQY38" s="19"/>
      <c r="HQZ38" s="19"/>
      <c r="HRA38" s="19"/>
      <c r="HRB38" s="19"/>
      <c r="HRC38" s="19"/>
      <c r="HRD38" s="19"/>
      <c r="HRE38" s="19"/>
      <c r="HRF38" s="19"/>
      <c r="HRG38" s="19"/>
      <c r="HRH38" s="19"/>
      <c r="HRI38" s="19"/>
      <c r="HRJ38" s="19"/>
      <c r="HRK38" s="19"/>
      <c r="HRL38" s="19"/>
      <c r="HRM38" s="19"/>
      <c r="HRN38" s="19"/>
      <c r="HRO38" s="19"/>
      <c r="HRP38" s="19"/>
      <c r="HRQ38" s="19"/>
      <c r="HRR38" s="19"/>
      <c r="HRS38" s="19"/>
      <c r="HRT38" s="19"/>
      <c r="HRU38" s="19"/>
      <c r="HRV38" s="19"/>
      <c r="HRW38" s="19"/>
      <c r="HRX38" s="19"/>
      <c r="HRY38" s="19"/>
      <c r="HRZ38" s="19"/>
      <c r="HSA38" s="19"/>
      <c r="HSB38" s="19"/>
      <c r="HSC38" s="19"/>
      <c r="HSD38" s="19"/>
      <c r="HSE38" s="19"/>
      <c r="HSF38" s="19"/>
      <c r="HSG38" s="19"/>
      <c r="HSH38" s="19"/>
      <c r="HSI38" s="19"/>
      <c r="HSJ38" s="19"/>
      <c r="HSK38" s="19"/>
      <c r="HSL38" s="19"/>
      <c r="HSM38" s="19"/>
      <c r="HSN38" s="19"/>
      <c r="HSO38" s="19"/>
      <c r="HSP38" s="19"/>
      <c r="HSQ38" s="19"/>
      <c r="HSR38" s="19"/>
      <c r="HSS38" s="19"/>
      <c r="HST38" s="19"/>
      <c r="HSU38" s="19"/>
      <c r="HSV38" s="19"/>
      <c r="HSW38" s="19"/>
      <c r="HSX38" s="19"/>
      <c r="HSY38" s="19"/>
      <c r="HSZ38" s="19"/>
      <c r="HTA38" s="19"/>
      <c r="HTB38" s="19"/>
      <c r="HTC38" s="19"/>
      <c r="HTD38" s="19"/>
      <c r="HTE38" s="19"/>
      <c r="HTF38" s="19"/>
      <c r="HTG38" s="19"/>
      <c r="HTH38" s="19"/>
      <c r="HTI38" s="19"/>
      <c r="HTJ38" s="19"/>
      <c r="HTK38" s="19"/>
      <c r="HTL38" s="19"/>
      <c r="HTM38" s="19"/>
      <c r="HTN38" s="19"/>
      <c r="HTO38" s="19"/>
      <c r="HTP38" s="19"/>
      <c r="HTQ38" s="19"/>
      <c r="HTR38" s="19"/>
      <c r="HTS38" s="19"/>
      <c r="HTT38" s="19"/>
      <c r="HTU38" s="19"/>
      <c r="HTV38" s="19"/>
      <c r="HTW38" s="19"/>
      <c r="HTX38" s="19"/>
      <c r="HTY38" s="19"/>
      <c r="HTZ38" s="19"/>
      <c r="HUA38" s="19"/>
      <c r="HUB38" s="19"/>
      <c r="HUC38" s="19"/>
      <c r="HUD38" s="19"/>
      <c r="HUE38" s="19"/>
      <c r="HUF38" s="19"/>
      <c r="HUG38" s="19"/>
      <c r="HUH38" s="19"/>
      <c r="HUI38" s="19"/>
      <c r="HUJ38" s="19"/>
      <c r="HUK38" s="19"/>
      <c r="HUL38" s="19"/>
      <c r="HUM38" s="19"/>
      <c r="HUN38" s="19"/>
      <c r="HUO38" s="19"/>
      <c r="HUP38" s="19"/>
      <c r="HUQ38" s="19"/>
      <c r="HUR38" s="19"/>
      <c r="HUS38" s="19"/>
      <c r="HUT38" s="19"/>
      <c r="HUU38" s="19"/>
      <c r="HUV38" s="19"/>
      <c r="HUW38" s="19"/>
      <c r="HUX38" s="19"/>
      <c r="HUY38" s="19"/>
      <c r="HUZ38" s="19"/>
      <c r="HVA38" s="19"/>
      <c r="HVB38" s="19"/>
      <c r="HVC38" s="19"/>
      <c r="HVD38" s="19"/>
      <c r="HVE38" s="19"/>
      <c r="HVF38" s="19"/>
      <c r="HVG38" s="19"/>
      <c r="HVH38" s="19"/>
      <c r="HVI38" s="19"/>
      <c r="HVJ38" s="19"/>
      <c r="HVK38" s="19"/>
      <c r="HVL38" s="19"/>
      <c r="HVM38" s="19"/>
      <c r="HVN38" s="19"/>
      <c r="HVO38" s="19"/>
      <c r="HVP38" s="19"/>
      <c r="HVQ38" s="19"/>
      <c r="HVR38" s="19"/>
      <c r="HVS38" s="19"/>
      <c r="HVT38" s="19"/>
      <c r="HVU38" s="19"/>
      <c r="HVV38" s="19"/>
      <c r="HVW38" s="19"/>
      <c r="HVX38" s="19"/>
      <c r="HVY38" s="19"/>
      <c r="HVZ38" s="19"/>
      <c r="HWA38" s="19"/>
      <c r="HWB38" s="19"/>
      <c r="HWC38" s="19"/>
      <c r="HWD38" s="19"/>
      <c r="HWE38" s="19"/>
      <c r="HWF38" s="19"/>
      <c r="HWG38" s="19"/>
      <c r="HWH38" s="19"/>
      <c r="HWI38" s="19"/>
      <c r="HWJ38" s="19"/>
      <c r="HWK38" s="19"/>
      <c r="HWL38" s="19"/>
      <c r="HWM38" s="19"/>
      <c r="HWN38" s="19"/>
      <c r="HWO38" s="19"/>
      <c r="HWP38" s="19"/>
      <c r="HWQ38" s="19"/>
      <c r="HWR38" s="19"/>
      <c r="HWS38" s="19"/>
      <c r="HWT38" s="19"/>
      <c r="HWU38" s="19"/>
      <c r="HWV38" s="19"/>
      <c r="HWW38" s="19"/>
      <c r="HWX38" s="19"/>
      <c r="HWY38" s="19"/>
      <c r="HWZ38" s="19"/>
      <c r="HXA38" s="19"/>
      <c r="HXB38" s="19"/>
      <c r="HXC38" s="19"/>
      <c r="HXD38" s="19"/>
      <c r="HXE38" s="19"/>
      <c r="HXF38" s="19"/>
      <c r="HXG38" s="19"/>
      <c r="HXH38" s="19"/>
      <c r="HXI38" s="19"/>
      <c r="HXJ38" s="19"/>
      <c r="HXK38" s="19"/>
      <c r="HXL38" s="19"/>
      <c r="HXM38" s="19"/>
      <c r="HXN38" s="19"/>
      <c r="HXO38" s="19"/>
      <c r="HXP38" s="19"/>
      <c r="HXQ38" s="19"/>
      <c r="HXR38" s="19"/>
      <c r="HXS38" s="19"/>
      <c r="HXT38" s="19"/>
      <c r="HXU38" s="19"/>
      <c r="HXV38" s="19"/>
      <c r="HXW38" s="19"/>
      <c r="HXX38" s="19"/>
      <c r="HXY38" s="19"/>
      <c r="HXZ38" s="19"/>
      <c r="HYA38" s="19"/>
      <c r="HYB38" s="19"/>
      <c r="HYC38" s="19"/>
      <c r="HYD38" s="19"/>
      <c r="HYE38" s="19"/>
      <c r="HYF38" s="19"/>
      <c r="HYG38" s="19"/>
      <c r="HYH38" s="19"/>
      <c r="HYI38" s="19"/>
      <c r="HYJ38" s="19"/>
      <c r="HYK38" s="19"/>
      <c r="HYL38" s="19"/>
      <c r="HYM38" s="19"/>
      <c r="HYN38" s="19"/>
      <c r="HYO38" s="19"/>
      <c r="HYP38" s="19"/>
      <c r="HYQ38" s="19"/>
      <c r="HYR38" s="19"/>
      <c r="HYS38" s="19"/>
      <c r="HYT38" s="19"/>
      <c r="HYU38" s="19"/>
      <c r="HYV38" s="19"/>
      <c r="HYW38" s="19"/>
      <c r="HYX38" s="19"/>
      <c r="HYY38" s="19"/>
      <c r="HYZ38" s="19"/>
      <c r="HZA38" s="19"/>
      <c r="HZB38" s="19"/>
      <c r="HZC38" s="19"/>
      <c r="HZD38" s="19"/>
      <c r="HZE38" s="19"/>
      <c r="HZF38" s="19"/>
      <c r="HZG38" s="19"/>
      <c r="HZH38" s="19"/>
      <c r="HZI38" s="19"/>
      <c r="HZJ38" s="19"/>
      <c r="HZK38" s="19"/>
      <c r="HZL38" s="19"/>
      <c r="HZM38" s="19"/>
      <c r="HZN38" s="19"/>
      <c r="HZO38" s="19"/>
      <c r="HZP38" s="19"/>
      <c r="HZQ38" s="19"/>
      <c r="HZR38" s="19"/>
      <c r="HZS38" s="19"/>
      <c r="HZT38" s="19"/>
      <c r="HZU38" s="19"/>
      <c r="HZV38" s="19"/>
      <c r="HZW38" s="19"/>
      <c r="HZX38" s="19"/>
      <c r="HZY38" s="19"/>
      <c r="HZZ38" s="19"/>
      <c r="IAA38" s="19"/>
      <c r="IAB38" s="19"/>
      <c r="IAC38" s="19"/>
      <c r="IAD38" s="19"/>
      <c r="IAE38" s="19"/>
      <c r="IAF38" s="19"/>
      <c r="IAG38" s="19"/>
      <c r="IAH38" s="19"/>
      <c r="IAI38" s="19"/>
      <c r="IAJ38" s="19"/>
      <c r="IAK38" s="19"/>
      <c r="IAL38" s="19"/>
      <c r="IAM38" s="19"/>
      <c r="IAN38" s="19"/>
      <c r="IAO38" s="19"/>
      <c r="IAP38" s="19"/>
      <c r="IAQ38" s="19"/>
      <c r="IAR38" s="19"/>
      <c r="IAS38" s="19"/>
      <c r="IAT38" s="19"/>
      <c r="IAU38" s="19"/>
      <c r="IAV38" s="19"/>
      <c r="IAW38" s="19"/>
      <c r="IAX38" s="19"/>
      <c r="IAY38" s="19"/>
      <c r="IAZ38" s="19"/>
      <c r="IBA38" s="19"/>
      <c r="IBB38" s="19"/>
      <c r="IBC38" s="19"/>
      <c r="IBD38" s="19"/>
      <c r="IBE38" s="19"/>
      <c r="IBF38" s="19"/>
      <c r="IBG38" s="19"/>
      <c r="IBH38" s="19"/>
      <c r="IBI38" s="19"/>
      <c r="IBJ38" s="19"/>
      <c r="IBK38" s="19"/>
      <c r="IBL38" s="19"/>
      <c r="IBM38" s="19"/>
      <c r="IBN38" s="19"/>
      <c r="IBO38" s="19"/>
      <c r="IBP38" s="19"/>
      <c r="IBQ38" s="19"/>
      <c r="IBR38" s="19"/>
      <c r="IBS38" s="19"/>
      <c r="IBT38" s="19"/>
      <c r="IBU38" s="19"/>
      <c r="IBV38" s="19"/>
      <c r="IBW38" s="19"/>
      <c r="IBX38" s="19"/>
      <c r="IBY38" s="19"/>
      <c r="IBZ38" s="19"/>
      <c r="ICA38" s="19"/>
      <c r="ICB38" s="19"/>
      <c r="ICC38" s="19"/>
      <c r="ICD38" s="19"/>
      <c r="ICE38" s="19"/>
      <c r="ICF38" s="19"/>
      <c r="ICG38" s="19"/>
      <c r="ICH38" s="19"/>
      <c r="ICI38" s="19"/>
      <c r="ICJ38" s="19"/>
      <c r="ICK38" s="19"/>
      <c r="ICL38" s="19"/>
      <c r="ICM38" s="19"/>
      <c r="ICN38" s="19"/>
      <c r="ICO38" s="19"/>
      <c r="ICP38" s="19"/>
      <c r="ICQ38" s="19"/>
      <c r="ICR38" s="19"/>
      <c r="ICS38" s="19"/>
      <c r="ICT38" s="19"/>
      <c r="ICU38" s="19"/>
      <c r="ICV38" s="19"/>
      <c r="ICW38" s="19"/>
      <c r="ICX38" s="19"/>
      <c r="ICY38" s="19"/>
      <c r="ICZ38" s="19"/>
      <c r="IDA38" s="19"/>
      <c r="IDB38" s="19"/>
      <c r="IDC38" s="19"/>
      <c r="IDD38" s="19"/>
      <c r="IDE38" s="19"/>
      <c r="IDF38" s="19"/>
      <c r="IDG38" s="19"/>
      <c r="IDH38" s="19"/>
      <c r="IDI38" s="19"/>
      <c r="IDJ38" s="19"/>
      <c r="IDK38" s="19"/>
      <c r="IDL38" s="19"/>
      <c r="IDM38" s="19"/>
      <c r="IDN38" s="19"/>
      <c r="IDO38" s="19"/>
      <c r="IDP38" s="19"/>
      <c r="IDQ38" s="19"/>
      <c r="IDR38" s="19"/>
      <c r="IDS38" s="19"/>
      <c r="IDT38" s="19"/>
      <c r="IDU38" s="19"/>
      <c r="IDV38" s="19"/>
      <c r="IDW38" s="19"/>
      <c r="IDX38" s="19"/>
      <c r="IDY38" s="19"/>
      <c r="IDZ38" s="19"/>
      <c r="IEA38" s="19"/>
      <c r="IEB38" s="19"/>
      <c r="IEC38" s="19"/>
      <c r="IED38" s="19"/>
      <c r="IEE38" s="19"/>
      <c r="IEF38" s="19"/>
      <c r="IEG38" s="19"/>
      <c r="IEH38" s="19"/>
      <c r="IEI38" s="19"/>
      <c r="IEJ38" s="19"/>
      <c r="IEK38" s="19"/>
      <c r="IEL38" s="19"/>
      <c r="IEM38" s="19"/>
      <c r="IEN38" s="19"/>
      <c r="IEO38" s="19"/>
      <c r="IEP38" s="19"/>
      <c r="IEQ38" s="19"/>
      <c r="IER38" s="19"/>
      <c r="IES38" s="19"/>
      <c r="IET38" s="19"/>
      <c r="IEU38" s="19"/>
      <c r="IEV38" s="19"/>
      <c r="IEW38" s="19"/>
      <c r="IEX38" s="19"/>
      <c r="IEY38" s="19"/>
      <c r="IEZ38" s="19"/>
      <c r="IFA38" s="19"/>
      <c r="IFB38" s="19"/>
      <c r="IFC38" s="19"/>
      <c r="IFD38" s="19"/>
      <c r="IFE38" s="19"/>
      <c r="IFF38" s="19"/>
      <c r="IFG38" s="19"/>
      <c r="IFH38" s="19"/>
      <c r="IFI38" s="19"/>
      <c r="IFJ38" s="19"/>
      <c r="IFK38" s="19"/>
      <c r="IFL38" s="19"/>
      <c r="IFM38" s="19"/>
      <c r="IFN38" s="19"/>
      <c r="IFO38" s="19"/>
      <c r="IFP38" s="19"/>
      <c r="IFQ38" s="19"/>
      <c r="IFR38" s="19"/>
      <c r="IFS38" s="19"/>
      <c r="IFT38" s="19"/>
      <c r="IFU38" s="19"/>
      <c r="IFV38" s="19"/>
      <c r="IFW38" s="19"/>
      <c r="IFX38" s="19"/>
      <c r="IFY38" s="19"/>
      <c r="IFZ38" s="19"/>
      <c r="IGA38" s="19"/>
      <c r="IGB38" s="19"/>
      <c r="IGC38" s="19"/>
      <c r="IGD38" s="19"/>
      <c r="IGE38" s="19"/>
      <c r="IGF38" s="19"/>
      <c r="IGG38" s="19"/>
      <c r="IGH38" s="19"/>
      <c r="IGI38" s="19"/>
      <c r="IGJ38" s="19"/>
      <c r="IGK38" s="19"/>
      <c r="IGL38" s="19"/>
      <c r="IGM38" s="19"/>
      <c r="IGN38" s="19"/>
      <c r="IGO38" s="19"/>
      <c r="IGP38" s="19"/>
      <c r="IGQ38" s="19"/>
      <c r="IGR38" s="19"/>
      <c r="IGS38" s="19"/>
      <c r="IGT38" s="19"/>
      <c r="IGU38" s="19"/>
      <c r="IGV38" s="19"/>
      <c r="IGW38" s="19"/>
      <c r="IGX38" s="19"/>
      <c r="IGY38" s="19"/>
      <c r="IGZ38" s="19"/>
      <c r="IHA38" s="19"/>
      <c r="IHB38" s="19"/>
      <c r="IHC38" s="19"/>
      <c r="IHD38" s="19"/>
      <c r="IHE38" s="19"/>
      <c r="IHF38" s="19"/>
      <c r="IHG38" s="19"/>
      <c r="IHH38" s="19"/>
      <c r="IHI38" s="19"/>
      <c r="IHJ38" s="19"/>
      <c r="IHK38" s="19"/>
      <c r="IHL38" s="19"/>
      <c r="IHM38" s="19"/>
      <c r="IHN38" s="19"/>
      <c r="IHO38" s="19"/>
      <c r="IHP38" s="19"/>
      <c r="IHQ38" s="19"/>
      <c r="IHR38" s="19"/>
      <c r="IHS38" s="19"/>
      <c r="IHT38" s="19"/>
      <c r="IHU38" s="19"/>
      <c r="IHV38" s="19"/>
      <c r="IHW38" s="19"/>
      <c r="IHX38" s="19"/>
      <c r="IHY38" s="19"/>
      <c r="IHZ38" s="19"/>
      <c r="IIA38" s="19"/>
      <c r="IIB38" s="19"/>
      <c r="IIC38" s="19"/>
      <c r="IID38" s="19"/>
      <c r="IIE38" s="19"/>
      <c r="IIF38" s="19"/>
      <c r="IIG38" s="19"/>
      <c r="IIH38" s="19"/>
      <c r="III38" s="19"/>
      <c r="IIJ38" s="19"/>
      <c r="IIK38" s="19"/>
      <c r="IIL38" s="19"/>
      <c r="IIM38" s="19"/>
      <c r="IIN38" s="19"/>
      <c r="IIO38" s="19"/>
      <c r="IIP38" s="19"/>
      <c r="IIQ38" s="19"/>
      <c r="IIR38" s="19"/>
      <c r="IIS38" s="19"/>
      <c r="IIT38" s="19"/>
      <c r="IIU38" s="19"/>
      <c r="IIV38" s="19"/>
      <c r="IIW38" s="19"/>
      <c r="IIX38" s="19"/>
      <c r="IIY38" s="19"/>
      <c r="IIZ38" s="19"/>
      <c r="IJA38" s="19"/>
      <c r="IJB38" s="19"/>
      <c r="IJC38" s="19"/>
      <c r="IJD38" s="19"/>
      <c r="IJE38" s="19"/>
      <c r="IJF38" s="19"/>
      <c r="IJG38" s="19"/>
      <c r="IJH38" s="19"/>
      <c r="IJI38" s="19"/>
      <c r="IJJ38" s="19"/>
      <c r="IJK38" s="19"/>
      <c r="IJL38" s="19"/>
      <c r="IJM38" s="19"/>
      <c r="IJN38" s="19"/>
      <c r="IJO38" s="19"/>
      <c r="IJP38" s="19"/>
      <c r="IJQ38" s="19"/>
      <c r="IJR38" s="19"/>
      <c r="IJS38" s="19"/>
      <c r="IJT38" s="19"/>
      <c r="IJU38" s="19"/>
      <c r="IJV38" s="19"/>
      <c r="IJW38" s="19"/>
      <c r="IJX38" s="19"/>
      <c r="IJY38" s="19"/>
      <c r="IJZ38" s="19"/>
      <c r="IKA38" s="19"/>
      <c r="IKB38" s="19"/>
      <c r="IKC38" s="19"/>
      <c r="IKD38" s="19"/>
      <c r="IKE38" s="19"/>
      <c r="IKF38" s="19"/>
      <c r="IKG38" s="19"/>
      <c r="IKH38" s="19"/>
      <c r="IKI38" s="19"/>
      <c r="IKJ38" s="19"/>
      <c r="IKK38" s="19"/>
      <c r="IKL38" s="19"/>
      <c r="IKM38" s="19"/>
      <c r="IKN38" s="19"/>
      <c r="IKO38" s="19"/>
      <c r="IKP38" s="19"/>
      <c r="IKQ38" s="19"/>
      <c r="IKR38" s="19"/>
      <c r="IKS38" s="19"/>
      <c r="IKT38" s="19"/>
      <c r="IKU38" s="19"/>
      <c r="IKV38" s="19"/>
      <c r="IKW38" s="19"/>
      <c r="IKX38" s="19"/>
      <c r="IKY38" s="19"/>
      <c r="IKZ38" s="19"/>
      <c r="ILA38" s="19"/>
      <c r="ILB38" s="19"/>
      <c r="ILC38" s="19"/>
      <c r="ILD38" s="19"/>
      <c r="ILE38" s="19"/>
      <c r="ILF38" s="19"/>
      <c r="ILG38" s="19"/>
      <c r="ILH38" s="19"/>
      <c r="ILI38" s="19"/>
      <c r="ILJ38" s="19"/>
      <c r="ILK38" s="19"/>
      <c r="ILL38" s="19"/>
      <c r="ILM38" s="19"/>
      <c r="ILN38" s="19"/>
      <c r="ILO38" s="19"/>
      <c r="ILP38" s="19"/>
      <c r="ILQ38" s="19"/>
      <c r="ILR38" s="19"/>
      <c r="ILS38" s="19"/>
      <c r="ILT38" s="19"/>
      <c r="ILU38" s="19"/>
      <c r="ILV38" s="19"/>
      <c r="ILW38" s="19"/>
      <c r="ILX38" s="19"/>
      <c r="ILY38" s="19"/>
      <c r="ILZ38" s="19"/>
      <c r="IMA38" s="19"/>
      <c r="IMB38" s="19"/>
      <c r="IMC38" s="19"/>
      <c r="IMD38" s="19"/>
      <c r="IME38" s="19"/>
      <c r="IMF38" s="19"/>
      <c r="IMG38" s="19"/>
      <c r="IMH38" s="19"/>
      <c r="IMI38" s="19"/>
      <c r="IMJ38" s="19"/>
      <c r="IMK38" s="19"/>
      <c r="IML38" s="19"/>
      <c r="IMM38" s="19"/>
      <c r="IMN38" s="19"/>
      <c r="IMO38" s="19"/>
      <c r="IMP38" s="19"/>
      <c r="IMQ38" s="19"/>
      <c r="IMR38" s="19"/>
      <c r="IMS38" s="19"/>
      <c r="IMT38" s="19"/>
      <c r="IMU38" s="19"/>
      <c r="IMV38" s="19"/>
      <c r="IMW38" s="19"/>
      <c r="IMX38" s="19"/>
      <c r="IMY38" s="19"/>
      <c r="IMZ38" s="19"/>
      <c r="INA38" s="19"/>
      <c r="INB38" s="19"/>
      <c r="INC38" s="19"/>
      <c r="IND38" s="19"/>
      <c r="INE38" s="19"/>
      <c r="INF38" s="19"/>
      <c r="ING38" s="19"/>
      <c r="INH38" s="19"/>
      <c r="INI38" s="19"/>
      <c r="INJ38" s="19"/>
      <c r="INK38" s="19"/>
      <c r="INL38" s="19"/>
      <c r="INM38" s="19"/>
      <c r="INN38" s="19"/>
      <c r="INO38" s="19"/>
      <c r="INP38" s="19"/>
      <c r="INQ38" s="19"/>
      <c r="INR38" s="19"/>
      <c r="INS38" s="19"/>
      <c r="INT38" s="19"/>
      <c r="INU38" s="19"/>
      <c r="INV38" s="19"/>
      <c r="INW38" s="19"/>
      <c r="INX38" s="19"/>
      <c r="INY38" s="19"/>
      <c r="INZ38" s="19"/>
      <c r="IOA38" s="19"/>
      <c r="IOB38" s="19"/>
      <c r="IOC38" s="19"/>
      <c r="IOD38" s="19"/>
      <c r="IOE38" s="19"/>
      <c r="IOF38" s="19"/>
      <c r="IOG38" s="19"/>
      <c r="IOH38" s="19"/>
      <c r="IOI38" s="19"/>
      <c r="IOJ38" s="19"/>
      <c r="IOK38" s="19"/>
      <c r="IOL38" s="19"/>
      <c r="IOM38" s="19"/>
      <c r="ION38" s="19"/>
      <c r="IOO38" s="19"/>
      <c r="IOP38" s="19"/>
      <c r="IOQ38" s="19"/>
      <c r="IOR38" s="19"/>
      <c r="IOS38" s="19"/>
      <c r="IOT38" s="19"/>
      <c r="IOU38" s="19"/>
      <c r="IOV38" s="19"/>
      <c r="IOW38" s="19"/>
      <c r="IOX38" s="19"/>
      <c r="IOY38" s="19"/>
      <c r="IOZ38" s="19"/>
      <c r="IPA38" s="19"/>
      <c r="IPB38" s="19"/>
      <c r="IPC38" s="19"/>
      <c r="IPD38" s="19"/>
      <c r="IPE38" s="19"/>
      <c r="IPF38" s="19"/>
      <c r="IPG38" s="19"/>
      <c r="IPH38" s="19"/>
      <c r="IPI38" s="19"/>
      <c r="IPJ38" s="19"/>
      <c r="IPK38" s="19"/>
      <c r="IPL38" s="19"/>
      <c r="IPM38" s="19"/>
      <c r="IPN38" s="19"/>
      <c r="IPO38" s="19"/>
      <c r="IPP38" s="19"/>
      <c r="IPQ38" s="19"/>
      <c r="IPR38" s="19"/>
      <c r="IPS38" s="19"/>
      <c r="IPT38" s="19"/>
      <c r="IPU38" s="19"/>
      <c r="IPV38" s="19"/>
      <c r="IPW38" s="19"/>
      <c r="IPX38" s="19"/>
      <c r="IPY38" s="19"/>
      <c r="IPZ38" s="19"/>
      <c r="IQA38" s="19"/>
      <c r="IQB38" s="19"/>
      <c r="IQC38" s="19"/>
      <c r="IQD38" s="19"/>
      <c r="IQE38" s="19"/>
      <c r="IQF38" s="19"/>
      <c r="IQG38" s="19"/>
      <c r="IQH38" s="19"/>
      <c r="IQI38" s="19"/>
      <c r="IQJ38" s="19"/>
      <c r="IQK38" s="19"/>
      <c r="IQL38" s="19"/>
      <c r="IQM38" s="19"/>
      <c r="IQN38" s="19"/>
      <c r="IQO38" s="19"/>
      <c r="IQP38" s="19"/>
      <c r="IQQ38" s="19"/>
      <c r="IQR38" s="19"/>
      <c r="IQS38" s="19"/>
      <c r="IQT38" s="19"/>
      <c r="IQU38" s="19"/>
      <c r="IQV38" s="19"/>
      <c r="IQW38" s="19"/>
      <c r="IQX38" s="19"/>
      <c r="IQY38" s="19"/>
      <c r="IQZ38" s="19"/>
      <c r="IRA38" s="19"/>
      <c r="IRB38" s="19"/>
      <c r="IRC38" s="19"/>
      <c r="IRD38" s="19"/>
      <c r="IRE38" s="19"/>
      <c r="IRF38" s="19"/>
      <c r="IRG38" s="19"/>
      <c r="IRH38" s="19"/>
      <c r="IRI38" s="19"/>
      <c r="IRJ38" s="19"/>
      <c r="IRK38" s="19"/>
      <c r="IRL38" s="19"/>
      <c r="IRM38" s="19"/>
      <c r="IRN38" s="19"/>
      <c r="IRO38" s="19"/>
      <c r="IRP38" s="19"/>
      <c r="IRQ38" s="19"/>
      <c r="IRR38" s="19"/>
      <c r="IRS38" s="19"/>
      <c r="IRT38" s="19"/>
      <c r="IRU38" s="19"/>
      <c r="IRV38" s="19"/>
      <c r="IRW38" s="19"/>
      <c r="IRX38" s="19"/>
      <c r="IRY38" s="19"/>
      <c r="IRZ38" s="19"/>
      <c r="ISA38" s="19"/>
      <c r="ISB38" s="19"/>
      <c r="ISC38" s="19"/>
      <c r="ISD38" s="19"/>
      <c r="ISE38" s="19"/>
      <c r="ISF38" s="19"/>
      <c r="ISG38" s="19"/>
      <c r="ISH38" s="19"/>
      <c r="ISI38" s="19"/>
      <c r="ISJ38" s="19"/>
      <c r="ISK38" s="19"/>
      <c r="ISL38" s="19"/>
      <c r="ISM38" s="19"/>
      <c r="ISN38" s="19"/>
      <c r="ISO38" s="19"/>
      <c r="ISP38" s="19"/>
      <c r="ISQ38" s="19"/>
      <c r="ISR38" s="19"/>
      <c r="ISS38" s="19"/>
      <c r="IST38" s="19"/>
      <c r="ISU38" s="19"/>
      <c r="ISV38" s="19"/>
      <c r="ISW38" s="19"/>
      <c r="ISX38" s="19"/>
      <c r="ISY38" s="19"/>
      <c r="ISZ38" s="19"/>
      <c r="ITA38" s="19"/>
      <c r="ITB38" s="19"/>
      <c r="ITC38" s="19"/>
      <c r="ITD38" s="19"/>
      <c r="ITE38" s="19"/>
      <c r="ITF38" s="19"/>
      <c r="ITG38" s="19"/>
      <c r="ITH38" s="19"/>
      <c r="ITI38" s="19"/>
      <c r="ITJ38" s="19"/>
      <c r="ITK38" s="19"/>
      <c r="ITL38" s="19"/>
      <c r="ITM38" s="19"/>
      <c r="ITN38" s="19"/>
      <c r="ITO38" s="19"/>
      <c r="ITP38" s="19"/>
      <c r="ITQ38" s="19"/>
      <c r="ITR38" s="19"/>
      <c r="ITS38" s="19"/>
      <c r="ITT38" s="19"/>
      <c r="ITU38" s="19"/>
      <c r="ITV38" s="19"/>
      <c r="ITW38" s="19"/>
      <c r="ITX38" s="19"/>
      <c r="ITY38" s="19"/>
      <c r="ITZ38" s="19"/>
      <c r="IUA38" s="19"/>
      <c r="IUB38" s="19"/>
      <c r="IUC38" s="19"/>
      <c r="IUD38" s="19"/>
      <c r="IUE38" s="19"/>
      <c r="IUF38" s="19"/>
      <c r="IUG38" s="19"/>
      <c r="IUH38" s="19"/>
      <c r="IUI38" s="19"/>
      <c r="IUJ38" s="19"/>
      <c r="IUK38" s="19"/>
      <c r="IUL38" s="19"/>
      <c r="IUM38" s="19"/>
      <c r="IUN38" s="19"/>
      <c r="IUO38" s="19"/>
      <c r="IUP38" s="19"/>
      <c r="IUQ38" s="19"/>
      <c r="IUR38" s="19"/>
      <c r="IUS38" s="19"/>
      <c r="IUT38" s="19"/>
      <c r="IUU38" s="19"/>
      <c r="IUV38" s="19"/>
      <c r="IUW38" s="19"/>
      <c r="IUX38" s="19"/>
      <c r="IUY38" s="19"/>
      <c r="IUZ38" s="19"/>
      <c r="IVA38" s="19"/>
      <c r="IVB38" s="19"/>
      <c r="IVC38" s="19"/>
      <c r="IVD38" s="19"/>
      <c r="IVE38" s="19"/>
      <c r="IVF38" s="19"/>
      <c r="IVG38" s="19"/>
      <c r="IVH38" s="19"/>
      <c r="IVI38" s="19"/>
      <c r="IVJ38" s="19"/>
      <c r="IVK38" s="19"/>
      <c r="IVL38" s="19"/>
      <c r="IVM38" s="19"/>
      <c r="IVN38" s="19"/>
      <c r="IVO38" s="19"/>
      <c r="IVP38" s="19"/>
      <c r="IVQ38" s="19"/>
      <c r="IVR38" s="19"/>
      <c r="IVS38" s="19"/>
      <c r="IVT38" s="19"/>
      <c r="IVU38" s="19"/>
      <c r="IVV38" s="19"/>
      <c r="IVW38" s="19"/>
      <c r="IVX38" s="19"/>
      <c r="IVY38" s="19"/>
      <c r="IVZ38" s="19"/>
      <c r="IWA38" s="19"/>
      <c r="IWB38" s="19"/>
      <c r="IWC38" s="19"/>
      <c r="IWD38" s="19"/>
      <c r="IWE38" s="19"/>
      <c r="IWF38" s="19"/>
      <c r="IWG38" s="19"/>
      <c r="IWH38" s="19"/>
      <c r="IWI38" s="19"/>
      <c r="IWJ38" s="19"/>
      <c r="IWK38" s="19"/>
      <c r="IWL38" s="19"/>
      <c r="IWM38" s="19"/>
      <c r="IWN38" s="19"/>
      <c r="IWO38" s="19"/>
      <c r="IWP38" s="19"/>
      <c r="IWQ38" s="19"/>
      <c r="IWR38" s="19"/>
      <c r="IWS38" s="19"/>
      <c r="IWT38" s="19"/>
      <c r="IWU38" s="19"/>
      <c r="IWV38" s="19"/>
      <c r="IWW38" s="19"/>
      <c r="IWX38" s="19"/>
      <c r="IWY38" s="19"/>
      <c r="IWZ38" s="19"/>
      <c r="IXA38" s="19"/>
      <c r="IXB38" s="19"/>
      <c r="IXC38" s="19"/>
      <c r="IXD38" s="19"/>
      <c r="IXE38" s="19"/>
      <c r="IXF38" s="19"/>
      <c r="IXG38" s="19"/>
      <c r="IXH38" s="19"/>
      <c r="IXI38" s="19"/>
      <c r="IXJ38" s="19"/>
      <c r="IXK38" s="19"/>
      <c r="IXL38" s="19"/>
      <c r="IXM38" s="19"/>
      <c r="IXN38" s="19"/>
      <c r="IXO38" s="19"/>
      <c r="IXP38" s="19"/>
      <c r="IXQ38" s="19"/>
      <c r="IXR38" s="19"/>
      <c r="IXS38" s="19"/>
      <c r="IXT38" s="19"/>
      <c r="IXU38" s="19"/>
      <c r="IXV38" s="19"/>
      <c r="IXW38" s="19"/>
      <c r="IXX38" s="19"/>
      <c r="IXY38" s="19"/>
      <c r="IXZ38" s="19"/>
      <c r="IYA38" s="19"/>
      <c r="IYB38" s="19"/>
      <c r="IYC38" s="19"/>
      <c r="IYD38" s="19"/>
      <c r="IYE38" s="19"/>
      <c r="IYF38" s="19"/>
      <c r="IYG38" s="19"/>
      <c r="IYH38" s="19"/>
      <c r="IYI38" s="19"/>
      <c r="IYJ38" s="19"/>
      <c r="IYK38" s="19"/>
      <c r="IYL38" s="19"/>
      <c r="IYM38" s="19"/>
      <c r="IYN38" s="19"/>
      <c r="IYO38" s="19"/>
      <c r="IYP38" s="19"/>
      <c r="IYQ38" s="19"/>
      <c r="IYR38" s="19"/>
      <c r="IYS38" s="19"/>
      <c r="IYT38" s="19"/>
      <c r="IYU38" s="19"/>
      <c r="IYV38" s="19"/>
      <c r="IYW38" s="19"/>
      <c r="IYX38" s="19"/>
      <c r="IYY38" s="19"/>
      <c r="IYZ38" s="19"/>
      <c r="IZA38" s="19"/>
      <c r="IZB38" s="19"/>
      <c r="IZC38" s="19"/>
      <c r="IZD38" s="19"/>
      <c r="IZE38" s="19"/>
      <c r="IZF38" s="19"/>
      <c r="IZG38" s="19"/>
      <c r="IZH38" s="19"/>
      <c r="IZI38" s="19"/>
      <c r="IZJ38" s="19"/>
      <c r="IZK38" s="19"/>
      <c r="IZL38" s="19"/>
      <c r="IZM38" s="19"/>
      <c r="IZN38" s="19"/>
      <c r="IZO38" s="19"/>
      <c r="IZP38" s="19"/>
      <c r="IZQ38" s="19"/>
      <c r="IZR38" s="19"/>
      <c r="IZS38" s="19"/>
      <c r="IZT38" s="19"/>
      <c r="IZU38" s="19"/>
      <c r="IZV38" s="19"/>
      <c r="IZW38" s="19"/>
      <c r="IZX38" s="19"/>
      <c r="IZY38" s="19"/>
      <c r="IZZ38" s="19"/>
      <c r="JAA38" s="19"/>
      <c r="JAB38" s="19"/>
      <c r="JAC38" s="19"/>
      <c r="JAD38" s="19"/>
      <c r="JAE38" s="19"/>
      <c r="JAF38" s="19"/>
      <c r="JAG38" s="19"/>
      <c r="JAH38" s="19"/>
      <c r="JAI38" s="19"/>
      <c r="JAJ38" s="19"/>
      <c r="JAK38" s="19"/>
      <c r="JAL38" s="19"/>
      <c r="JAM38" s="19"/>
      <c r="JAN38" s="19"/>
      <c r="JAO38" s="19"/>
      <c r="JAP38" s="19"/>
      <c r="JAQ38" s="19"/>
      <c r="JAR38" s="19"/>
      <c r="JAS38" s="19"/>
      <c r="JAT38" s="19"/>
      <c r="JAU38" s="19"/>
      <c r="JAV38" s="19"/>
      <c r="JAW38" s="19"/>
      <c r="JAX38" s="19"/>
      <c r="JAY38" s="19"/>
      <c r="JAZ38" s="19"/>
      <c r="JBA38" s="19"/>
      <c r="JBB38" s="19"/>
      <c r="JBC38" s="19"/>
      <c r="JBD38" s="19"/>
      <c r="JBE38" s="19"/>
      <c r="JBF38" s="19"/>
      <c r="JBG38" s="19"/>
      <c r="JBH38" s="19"/>
      <c r="JBI38" s="19"/>
      <c r="JBJ38" s="19"/>
      <c r="JBK38" s="19"/>
      <c r="JBL38" s="19"/>
      <c r="JBM38" s="19"/>
      <c r="JBN38" s="19"/>
      <c r="JBO38" s="19"/>
      <c r="JBP38" s="19"/>
      <c r="JBQ38" s="19"/>
      <c r="JBR38" s="19"/>
      <c r="JBS38" s="19"/>
      <c r="JBT38" s="19"/>
      <c r="JBU38" s="19"/>
      <c r="JBV38" s="19"/>
      <c r="JBW38" s="19"/>
      <c r="JBX38" s="19"/>
      <c r="JBY38" s="19"/>
      <c r="JBZ38" s="19"/>
      <c r="JCA38" s="19"/>
      <c r="JCB38" s="19"/>
      <c r="JCC38" s="19"/>
      <c r="JCD38" s="19"/>
      <c r="JCE38" s="19"/>
      <c r="JCF38" s="19"/>
      <c r="JCG38" s="19"/>
      <c r="JCH38" s="19"/>
      <c r="JCI38" s="19"/>
      <c r="JCJ38" s="19"/>
      <c r="JCK38" s="19"/>
      <c r="JCL38" s="19"/>
      <c r="JCM38" s="19"/>
      <c r="JCN38" s="19"/>
      <c r="JCO38" s="19"/>
      <c r="JCP38" s="19"/>
      <c r="JCQ38" s="19"/>
      <c r="JCR38" s="19"/>
      <c r="JCS38" s="19"/>
      <c r="JCT38" s="19"/>
      <c r="JCU38" s="19"/>
      <c r="JCV38" s="19"/>
      <c r="JCW38" s="19"/>
      <c r="JCX38" s="19"/>
      <c r="JCY38" s="19"/>
      <c r="JCZ38" s="19"/>
      <c r="JDA38" s="19"/>
      <c r="JDB38" s="19"/>
      <c r="JDC38" s="19"/>
      <c r="JDD38" s="19"/>
      <c r="JDE38" s="19"/>
      <c r="JDF38" s="19"/>
      <c r="JDG38" s="19"/>
      <c r="JDH38" s="19"/>
      <c r="JDI38" s="19"/>
      <c r="JDJ38" s="19"/>
      <c r="JDK38" s="19"/>
      <c r="JDL38" s="19"/>
      <c r="JDM38" s="19"/>
      <c r="JDN38" s="19"/>
      <c r="JDO38" s="19"/>
      <c r="JDP38" s="19"/>
      <c r="JDQ38" s="19"/>
      <c r="JDR38" s="19"/>
      <c r="JDS38" s="19"/>
      <c r="JDT38" s="19"/>
      <c r="JDU38" s="19"/>
      <c r="JDV38" s="19"/>
      <c r="JDW38" s="19"/>
      <c r="JDX38" s="19"/>
      <c r="JDY38" s="19"/>
      <c r="JDZ38" s="19"/>
      <c r="JEA38" s="19"/>
      <c r="JEB38" s="19"/>
      <c r="JEC38" s="19"/>
      <c r="JED38" s="19"/>
      <c r="JEE38" s="19"/>
      <c r="JEF38" s="19"/>
      <c r="JEG38" s="19"/>
      <c r="JEH38" s="19"/>
      <c r="JEI38" s="19"/>
      <c r="JEJ38" s="19"/>
      <c r="JEK38" s="19"/>
      <c r="JEL38" s="19"/>
      <c r="JEM38" s="19"/>
      <c r="JEN38" s="19"/>
      <c r="JEO38" s="19"/>
      <c r="JEP38" s="19"/>
      <c r="JEQ38" s="19"/>
      <c r="JER38" s="19"/>
      <c r="JES38" s="19"/>
      <c r="JET38" s="19"/>
      <c r="JEU38" s="19"/>
      <c r="JEV38" s="19"/>
      <c r="JEW38" s="19"/>
      <c r="JEX38" s="19"/>
      <c r="JEY38" s="19"/>
      <c r="JEZ38" s="19"/>
      <c r="JFA38" s="19"/>
      <c r="JFB38" s="19"/>
      <c r="JFC38" s="19"/>
      <c r="JFD38" s="19"/>
      <c r="JFE38" s="19"/>
      <c r="JFF38" s="19"/>
      <c r="JFG38" s="19"/>
      <c r="JFH38" s="19"/>
      <c r="JFI38" s="19"/>
      <c r="JFJ38" s="19"/>
      <c r="JFK38" s="19"/>
      <c r="JFL38" s="19"/>
      <c r="JFM38" s="19"/>
      <c r="JFN38" s="19"/>
      <c r="JFO38" s="19"/>
      <c r="JFP38" s="19"/>
      <c r="JFQ38" s="19"/>
      <c r="JFR38" s="19"/>
      <c r="JFS38" s="19"/>
      <c r="JFT38" s="19"/>
      <c r="JFU38" s="19"/>
      <c r="JFV38" s="19"/>
      <c r="JFW38" s="19"/>
      <c r="JFX38" s="19"/>
      <c r="JFY38" s="19"/>
      <c r="JFZ38" s="19"/>
      <c r="JGA38" s="19"/>
      <c r="JGB38" s="19"/>
      <c r="JGC38" s="19"/>
      <c r="JGD38" s="19"/>
      <c r="JGE38" s="19"/>
      <c r="JGF38" s="19"/>
      <c r="JGG38" s="19"/>
      <c r="JGH38" s="19"/>
      <c r="JGI38" s="19"/>
      <c r="JGJ38" s="19"/>
      <c r="JGK38" s="19"/>
      <c r="JGL38" s="19"/>
      <c r="JGM38" s="19"/>
      <c r="JGN38" s="19"/>
      <c r="JGO38" s="19"/>
      <c r="JGP38" s="19"/>
      <c r="JGQ38" s="19"/>
      <c r="JGR38" s="19"/>
      <c r="JGS38" s="19"/>
      <c r="JGT38" s="19"/>
      <c r="JGU38" s="19"/>
      <c r="JGV38" s="19"/>
      <c r="JGW38" s="19"/>
      <c r="JGX38" s="19"/>
      <c r="JGY38" s="19"/>
      <c r="JGZ38" s="19"/>
      <c r="JHA38" s="19"/>
      <c r="JHB38" s="19"/>
      <c r="JHC38" s="19"/>
      <c r="JHD38" s="19"/>
      <c r="JHE38" s="19"/>
      <c r="JHF38" s="19"/>
      <c r="JHG38" s="19"/>
      <c r="JHH38" s="19"/>
      <c r="JHI38" s="19"/>
      <c r="JHJ38" s="19"/>
      <c r="JHK38" s="19"/>
      <c r="JHL38" s="19"/>
      <c r="JHM38" s="19"/>
      <c r="JHN38" s="19"/>
      <c r="JHO38" s="19"/>
      <c r="JHP38" s="19"/>
      <c r="JHQ38" s="19"/>
      <c r="JHR38" s="19"/>
      <c r="JHS38" s="19"/>
      <c r="JHT38" s="19"/>
      <c r="JHU38" s="19"/>
      <c r="JHV38" s="19"/>
      <c r="JHW38" s="19"/>
      <c r="JHX38" s="19"/>
      <c r="JHY38" s="19"/>
      <c r="JHZ38" s="19"/>
      <c r="JIA38" s="19"/>
      <c r="JIB38" s="19"/>
      <c r="JIC38" s="19"/>
      <c r="JID38" s="19"/>
      <c r="JIE38" s="19"/>
      <c r="JIF38" s="19"/>
      <c r="JIG38" s="19"/>
      <c r="JIH38" s="19"/>
      <c r="JII38" s="19"/>
      <c r="JIJ38" s="19"/>
      <c r="JIK38" s="19"/>
      <c r="JIL38" s="19"/>
      <c r="JIM38" s="19"/>
      <c r="JIN38" s="19"/>
      <c r="JIO38" s="19"/>
      <c r="JIP38" s="19"/>
      <c r="JIQ38" s="19"/>
      <c r="JIR38" s="19"/>
      <c r="JIS38" s="19"/>
      <c r="JIT38" s="19"/>
      <c r="JIU38" s="19"/>
      <c r="JIV38" s="19"/>
      <c r="JIW38" s="19"/>
      <c r="JIX38" s="19"/>
      <c r="JIY38" s="19"/>
      <c r="JIZ38" s="19"/>
      <c r="JJA38" s="19"/>
      <c r="JJB38" s="19"/>
      <c r="JJC38" s="19"/>
      <c r="JJD38" s="19"/>
      <c r="JJE38" s="19"/>
      <c r="JJF38" s="19"/>
      <c r="JJG38" s="19"/>
      <c r="JJH38" s="19"/>
      <c r="JJI38" s="19"/>
      <c r="JJJ38" s="19"/>
      <c r="JJK38" s="19"/>
      <c r="JJL38" s="19"/>
      <c r="JJM38" s="19"/>
      <c r="JJN38" s="19"/>
      <c r="JJO38" s="19"/>
      <c r="JJP38" s="19"/>
      <c r="JJQ38" s="19"/>
      <c r="JJR38" s="19"/>
      <c r="JJS38" s="19"/>
      <c r="JJT38" s="19"/>
      <c r="JJU38" s="19"/>
      <c r="JJV38" s="19"/>
      <c r="JJW38" s="19"/>
      <c r="JJX38" s="19"/>
      <c r="JJY38" s="19"/>
      <c r="JJZ38" s="19"/>
      <c r="JKA38" s="19"/>
      <c r="JKB38" s="19"/>
      <c r="JKC38" s="19"/>
      <c r="JKD38" s="19"/>
      <c r="JKE38" s="19"/>
      <c r="JKF38" s="19"/>
      <c r="JKG38" s="19"/>
      <c r="JKH38" s="19"/>
      <c r="JKI38" s="19"/>
      <c r="JKJ38" s="19"/>
      <c r="JKK38" s="19"/>
      <c r="JKL38" s="19"/>
      <c r="JKM38" s="19"/>
      <c r="JKN38" s="19"/>
      <c r="JKO38" s="19"/>
      <c r="JKP38" s="19"/>
      <c r="JKQ38" s="19"/>
      <c r="JKR38" s="19"/>
      <c r="JKS38" s="19"/>
      <c r="JKT38" s="19"/>
      <c r="JKU38" s="19"/>
      <c r="JKV38" s="19"/>
      <c r="JKW38" s="19"/>
      <c r="JKX38" s="19"/>
      <c r="JKY38" s="19"/>
      <c r="JKZ38" s="19"/>
      <c r="JLA38" s="19"/>
      <c r="JLB38" s="19"/>
      <c r="JLC38" s="19"/>
      <c r="JLD38" s="19"/>
      <c r="JLE38" s="19"/>
      <c r="JLF38" s="19"/>
      <c r="JLG38" s="19"/>
      <c r="JLH38" s="19"/>
      <c r="JLI38" s="19"/>
      <c r="JLJ38" s="19"/>
      <c r="JLK38" s="19"/>
      <c r="JLL38" s="19"/>
      <c r="JLM38" s="19"/>
      <c r="JLN38" s="19"/>
      <c r="JLO38" s="19"/>
      <c r="JLP38" s="19"/>
      <c r="JLQ38" s="19"/>
      <c r="JLR38" s="19"/>
      <c r="JLS38" s="19"/>
      <c r="JLT38" s="19"/>
      <c r="JLU38" s="19"/>
      <c r="JLV38" s="19"/>
      <c r="JLW38" s="19"/>
      <c r="JLX38" s="19"/>
      <c r="JLY38" s="19"/>
      <c r="JLZ38" s="19"/>
      <c r="JMA38" s="19"/>
      <c r="JMB38" s="19"/>
      <c r="JMC38" s="19"/>
      <c r="JMD38" s="19"/>
      <c r="JME38" s="19"/>
      <c r="JMF38" s="19"/>
      <c r="JMG38" s="19"/>
      <c r="JMH38" s="19"/>
      <c r="JMI38" s="19"/>
      <c r="JMJ38" s="19"/>
      <c r="JMK38" s="19"/>
      <c r="JML38" s="19"/>
      <c r="JMM38" s="19"/>
      <c r="JMN38" s="19"/>
      <c r="JMO38" s="19"/>
      <c r="JMP38" s="19"/>
      <c r="JMQ38" s="19"/>
      <c r="JMR38" s="19"/>
      <c r="JMS38" s="19"/>
      <c r="JMT38" s="19"/>
      <c r="JMU38" s="19"/>
      <c r="JMV38" s="19"/>
      <c r="JMW38" s="19"/>
      <c r="JMX38" s="19"/>
      <c r="JMY38" s="19"/>
      <c r="JMZ38" s="19"/>
      <c r="JNA38" s="19"/>
      <c r="JNB38" s="19"/>
      <c r="JNC38" s="19"/>
      <c r="JND38" s="19"/>
      <c r="JNE38" s="19"/>
      <c r="JNF38" s="19"/>
      <c r="JNG38" s="19"/>
      <c r="JNH38" s="19"/>
      <c r="JNI38" s="19"/>
      <c r="JNJ38" s="19"/>
      <c r="JNK38" s="19"/>
      <c r="JNL38" s="19"/>
      <c r="JNM38" s="19"/>
      <c r="JNN38" s="19"/>
      <c r="JNO38" s="19"/>
      <c r="JNP38" s="19"/>
      <c r="JNQ38" s="19"/>
      <c r="JNR38" s="19"/>
      <c r="JNS38" s="19"/>
      <c r="JNT38" s="19"/>
      <c r="JNU38" s="19"/>
      <c r="JNV38" s="19"/>
      <c r="JNW38" s="19"/>
      <c r="JNX38" s="19"/>
      <c r="JNY38" s="19"/>
      <c r="JNZ38" s="19"/>
      <c r="JOA38" s="19"/>
      <c r="JOB38" s="19"/>
      <c r="JOC38" s="19"/>
      <c r="JOD38" s="19"/>
      <c r="JOE38" s="19"/>
      <c r="JOF38" s="19"/>
      <c r="JOG38" s="19"/>
      <c r="JOH38" s="19"/>
      <c r="JOI38" s="19"/>
      <c r="JOJ38" s="19"/>
      <c r="JOK38" s="19"/>
      <c r="JOL38" s="19"/>
      <c r="JOM38" s="19"/>
      <c r="JON38" s="19"/>
      <c r="JOO38" s="19"/>
      <c r="JOP38" s="19"/>
      <c r="JOQ38" s="19"/>
      <c r="JOR38" s="19"/>
      <c r="JOS38" s="19"/>
      <c r="JOT38" s="19"/>
      <c r="JOU38" s="19"/>
      <c r="JOV38" s="19"/>
      <c r="JOW38" s="19"/>
      <c r="JOX38" s="19"/>
      <c r="JOY38" s="19"/>
      <c r="JOZ38" s="19"/>
      <c r="JPA38" s="19"/>
      <c r="JPB38" s="19"/>
      <c r="JPC38" s="19"/>
      <c r="JPD38" s="19"/>
      <c r="JPE38" s="19"/>
      <c r="JPF38" s="19"/>
      <c r="JPG38" s="19"/>
      <c r="JPH38" s="19"/>
      <c r="JPI38" s="19"/>
      <c r="JPJ38" s="19"/>
      <c r="JPK38" s="19"/>
      <c r="JPL38" s="19"/>
      <c r="JPM38" s="19"/>
      <c r="JPN38" s="19"/>
      <c r="JPO38" s="19"/>
      <c r="JPP38" s="19"/>
      <c r="JPQ38" s="19"/>
      <c r="JPR38" s="19"/>
      <c r="JPS38" s="19"/>
      <c r="JPT38" s="19"/>
      <c r="JPU38" s="19"/>
      <c r="JPV38" s="19"/>
      <c r="JPW38" s="19"/>
      <c r="JPX38" s="19"/>
      <c r="JPY38" s="19"/>
      <c r="JPZ38" s="19"/>
      <c r="JQA38" s="19"/>
      <c r="JQB38" s="19"/>
      <c r="JQC38" s="19"/>
      <c r="JQD38" s="19"/>
      <c r="JQE38" s="19"/>
      <c r="JQF38" s="19"/>
      <c r="JQG38" s="19"/>
      <c r="JQH38" s="19"/>
      <c r="JQI38" s="19"/>
      <c r="JQJ38" s="19"/>
      <c r="JQK38" s="19"/>
      <c r="JQL38" s="19"/>
      <c r="JQM38" s="19"/>
      <c r="JQN38" s="19"/>
      <c r="JQO38" s="19"/>
      <c r="JQP38" s="19"/>
      <c r="JQQ38" s="19"/>
      <c r="JQR38" s="19"/>
      <c r="JQS38" s="19"/>
      <c r="JQT38" s="19"/>
      <c r="JQU38" s="19"/>
      <c r="JQV38" s="19"/>
      <c r="JQW38" s="19"/>
      <c r="JQX38" s="19"/>
      <c r="JQY38" s="19"/>
      <c r="JQZ38" s="19"/>
      <c r="JRA38" s="19"/>
      <c r="JRB38" s="19"/>
      <c r="JRC38" s="19"/>
      <c r="JRD38" s="19"/>
      <c r="JRE38" s="19"/>
      <c r="JRF38" s="19"/>
      <c r="JRG38" s="19"/>
      <c r="JRH38" s="19"/>
      <c r="JRI38" s="19"/>
      <c r="JRJ38" s="19"/>
      <c r="JRK38" s="19"/>
      <c r="JRL38" s="19"/>
      <c r="JRM38" s="19"/>
      <c r="JRN38" s="19"/>
      <c r="JRO38" s="19"/>
      <c r="JRP38" s="19"/>
      <c r="JRQ38" s="19"/>
      <c r="JRR38" s="19"/>
      <c r="JRS38" s="19"/>
      <c r="JRT38" s="19"/>
      <c r="JRU38" s="19"/>
      <c r="JRV38" s="19"/>
      <c r="JRW38" s="19"/>
      <c r="JRX38" s="19"/>
      <c r="JRY38" s="19"/>
      <c r="JRZ38" s="19"/>
      <c r="JSA38" s="19"/>
      <c r="JSB38" s="19"/>
      <c r="JSC38" s="19"/>
      <c r="JSD38" s="19"/>
      <c r="JSE38" s="19"/>
      <c r="JSF38" s="19"/>
      <c r="JSG38" s="19"/>
      <c r="JSH38" s="19"/>
      <c r="JSI38" s="19"/>
      <c r="JSJ38" s="19"/>
      <c r="JSK38" s="19"/>
      <c r="JSL38" s="19"/>
      <c r="JSM38" s="19"/>
      <c r="JSN38" s="19"/>
      <c r="JSO38" s="19"/>
      <c r="JSP38" s="19"/>
      <c r="JSQ38" s="19"/>
      <c r="JSR38" s="19"/>
      <c r="JSS38" s="19"/>
      <c r="JST38" s="19"/>
      <c r="JSU38" s="19"/>
      <c r="JSV38" s="19"/>
      <c r="JSW38" s="19"/>
      <c r="JSX38" s="19"/>
      <c r="JSY38" s="19"/>
      <c r="JSZ38" s="19"/>
      <c r="JTA38" s="19"/>
      <c r="JTB38" s="19"/>
      <c r="JTC38" s="19"/>
      <c r="JTD38" s="19"/>
      <c r="JTE38" s="19"/>
      <c r="JTF38" s="19"/>
      <c r="JTG38" s="19"/>
      <c r="JTH38" s="19"/>
      <c r="JTI38" s="19"/>
      <c r="JTJ38" s="19"/>
      <c r="JTK38" s="19"/>
      <c r="JTL38" s="19"/>
      <c r="JTM38" s="19"/>
      <c r="JTN38" s="19"/>
      <c r="JTO38" s="19"/>
      <c r="JTP38" s="19"/>
      <c r="JTQ38" s="19"/>
      <c r="JTR38" s="19"/>
      <c r="JTS38" s="19"/>
      <c r="JTT38" s="19"/>
      <c r="JTU38" s="19"/>
      <c r="JTV38" s="19"/>
      <c r="JTW38" s="19"/>
      <c r="JTX38" s="19"/>
      <c r="JTY38" s="19"/>
      <c r="JTZ38" s="19"/>
      <c r="JUA38" s="19"/>
      <c r="JUB38" s="19"/>
      <c r="JUC38" s="19"/>
      <c r="JUD38" s="19"/>
      <c r="JUE38" s="19"/>
      <c r="JUF38" s="19"/>
      <c r="JUG38" s="19"/>
      <c r="JUH38" s="19"/>
      <c r="JUI38" s="19"/>
      <c r="JUJ38" s="19"/>
      <c r="JUK38" s="19"/>
      <c r="JUL38" s="19"/>
      <c r="JUM38" s="19"/>
      <c r="JUN38" s="19"/>
      <c r="JUO38" s="19"/>
      <c r="JUP38" s="19"/>
      <c r="JUQ38" s="19"/>
      <c r="JUR38" s="19"/>
      <c r="JUS38" s="19"/>
      <c r="JUT38" s="19"/>
      <c r="JUU38" s="19"/>
      <c r="JUV38" s="19"/>
      <c r="JUW38" s="19"/>
      <c r="JUX38" s="19"/>
      <c r="JUY38" s="19"/>
      <c r="JUZ38" s="19"/>
      <c r="JVA38" s="19"/>
      <c r="JVB38" s="19"/>
      <c r="JVC38" s="19"/>
      <c r="JVD38" s="19"/>
      <c r="JVE38" s="19"/>
      <c r="JVF38" s="19"/>
      <c r="JVG38" s="19"/>
      <c r="JVH38" s="19"/>
      <c r="JVI38" s="19"/>
      <c r="JVJ38" s="19"/>
      <c r="JVK38" s="19"/>
      <c r="JVL38" s="19"/>
      <c r="JVM38" s="19"/>
      <c r="JVN38" s="19"/>
      <c r="JVO38" s="19"/>
      <c r="JVP38" s="19"/>
      <c r="JVQ38" s="19"/>
      <c r="JVR38" s="19"/>
      <c r="JVS38" s="19"/>
      <c r="JVT38" s="19"/>
      <c r="JVU38" s="19"/>
      <c r="JVV38" s="19"/>
      <c r="JVW38" s="19"/>
      <c r="JVX38" s="19"/>
      <c r="JVY38" s="19"/>
      <c r="JVZ38" s="19"/>
      <c r="JWA38" s="19"/>
      <c r="JWB38" s="19"/>
      <c r="JWC38" s="19"/>
      <c r="JWD38" s="19"/>
      <c r="JWE38" s="19"/>
      <c r="JWF38" s="19"/>
      <c r="JWG38" s="19"/>
      <c r="JWH38" s="19"/>
      <c r="JWI38" s="19"/>
      <c r="JWJ38" s="19"/>
      <c r="JWK38" s="19"/>
      <c r="JWL38" s="19"/>
      <c r="JWM38" s="19"/>
      <c r="JWN38" s="19"/>
      <c r="JWO38" s="19"/>
      <c r="JWP38" s="19"/>
      <c r="JWQ38" s="19"/>
      <c r="JWR38" s="19"/>
      <c r="JWS38" s="19"/>
      <c r="JWT38" s="19"/>
      <c r="JWU38" s="19"/>
      <c r="JWV38" s="19"/>
      <c r="JWW38" s="19"/>
      <c r="JWX38" s="19"/>
      <c r="JWY38" s="19"/>
      <c r="JWZ38" s="19"/>
      <c r="JXA38" s="19"/>
      <c r="JXB38" s="19"/>
      <c r="JXC38" s="19"/>
      <c r="JXD38" s="19"/>
      <c r="JXE38" s="19"/>
      <c r="JXF38" s="19"/>
      <c r="JXG38" s="19"/>
      <c r="JXH38" s="19"/>
      <c r="JXI38" s="19"/>
      <c r="JXJ38" s="19"/>
      <c r="JXK38" s="19"/>
      <c r="JXL38" s="19"/>
      <c r="JXM38" s="19"/>
      <c r="JXN38" s="19"/>
      <c r="JXO38" s="19"/>
      <c r="JXP38" s="19"/>
      <c r="JXQ38" s="19"/>
      <c r="JXR38" s="19"/>
      <c r="JXS38" s="19"/>
      <c r="JXT38" s="19"/>
      <c r="JXU38" s="19"/>
      <c r="JXV38" s="19"/>
      <c r="JXW38" s="19"/>
      <c r="JXX38" s="19"/>
      <c r="JXY38" s="19"/>
      <c r="JXZ38" s="19"/>
      <c r="JYA38" s="19"/>
      <c r="JYB38" s="19"/>
      <c r="JYC38" s="19"/>
      <c r="JYD38" s="19"/>
      <c r="JYE38" s="19"/>
      <c r="JYF38" s="19"/>
      <c r="JYG38" s="19"/>
      <c r="JYH38" s="19"/>
      <c r="JYI38" s="19"/>
      <c r="JYJ38" s="19"/>
      <c r="JYK38" s="19"/>
      <c r="JYL38" s="19"/>
      <c r="JYM38" s="19"/>
      <c r="JYN38" s="19"/>
      <c r="JYO38" s="19"/>
      <c r="JYP38" s="19"/>
      <c r="JYQ38" s="19"/>
      <c r="JYR38" s="19"/>
      <c r="JYS38" s="19"/>
      <c r="JYT38" s="19"/>
      <c r="JYU38" s="19"/>
      <c r="JYV38" s="19"/>
      <c r="JYW38" s="19"/>
      <c r="JYX38" s="19"/>
      <c r="JYY38" s="19"/>
      <c r="JYZ38" s="19"/>
      <c r="JZA38" s="19"/>
      <c r="JZB38" s="19"/>
      <c r="JZC38" s="19"/>
      <c r="JZD38" s="19"/>
      <c r="JZE38" s="19"/>
      <c r="JZF38" s="19"/>
      <c r="JZG38" s="19"/>
      <c r="JZH38" s="19"/>
      <c r="JZI38" s="19"/>
      <c r="JZJ38" s="19"/>
      <c r="JZK38" s="19"/>
      <c r="JZL38" s="19"/>
      <c r="JZM38" s="19"/>
      <c r="JZN38" s="19"/>
      <c r="JZO38" s="19"/>
      <c r="JZP38" s="19"/>
      <c r="JZQ38" s="19"/>
      <c r="JZR38" s="19"/>
      <c r="JZS38" s="19"/>
      <c r="JZT38" s="19"/>
      <c r="JZU38" s="19"/>
      <c r="JZV38" s="19"/>
      <c r="JZW38" s="19"/>
      <c r="JZX38" s="19"/>
      <c r="JZY38" s="19"/>
      <c r="JZZ38" s="19"/>
      <c r="KAA38" s="19"/>
      <c r="KAB38" s="19"/>
      <c r="KAC38" s="19"/>
      <c r="KAD38" s="19"/>
      <c r="KAE38" s="19"/>
      <c r="KAF38" s="19"/>
      <c r="KAG38" s="19"/>
      <c r="KAH38" s="19"/>
      <c r="KAI38" s="19"/>
      <c r="KAJ38" s="19"/>
      <c r="KAK38" s="19"/>
      <c r="KAL38" s="19"/>
      <c r="KAM38" s="19"/>
      <c r="KAN38" s="19"/>
      <c r="KAO38" s="19"/>
      <c r="KAP38" s="19"/>
      <c r="KAQ38" s="19"/>
      <c r="KAR38" s="19"/>
      <c r="KAS38" s="19"/>
      <c r="KAT38" s="19"/>
      <c r="KAU38" s="19"/>
      <c r="KAV38" s="19"/>
      <c r="KAW38" s="19"/>
      <c r="KAX38" s="19"/>
      <c r="KAY38" s="19"/>
      <c r="KAZ38" s="19"/>
      <c r="KBA38" s="19"/>
      <c r="KBB38" s="19"/>
      <c r="KBC38" s="19"/>
      <c r="KBD38" s="19"/>
      <c r="KBE38" s="19"/>
      <c r="KBF38" s="19"/>
      <c r="KBG38" s="19"/>
      <c r="KBH38" s="19"/>
      <c r="KBI38" s="19"/>
      <c r="KBJ38" s="19"/>
      <c r="KBK38" s="19"/>
      <c r="KBL38" s="19"/>
      <c r="KBM38" s="19"/>
      <c r="KBN38" s="19"/>
      <c r="KBO38" s="19"/>
      <c r="KBP38" s="19"/>
      <c r="KBQ38" s="19"/>
      <c r="KBR38" s="19"/>
      <c r="KBS38" s="19"/>
      <c r="KBT38" s="19"/>
      <c r="KBU38" s="19"/>
      <c r="KBV38" s="19"/>
      <c r="KBW38" s="19"/>
      <c r="KBX38" s="19"/>
      <c r="KBY38" s="19"/>
      <c r="KBZ38" s="19"/>
      <c r="KCA38" s="19"/>
      <c r="KCB38" s="19"/>
      <c r="KCC38" s="19"/>
      <c r="KCD38" s="19"/>
      <c r="KCE38" s="19"/>
      <c r="KCF38" s="19"/>
      <c r="KCG38" s="19"/>
      <c r="KCH38" s="19"/>
      <c r="KCI38" s="19"/>
      <c r="KCJ38" s="19"/>
      <c r="KCK38" s="19"/>
      <c r="KCL38" s="19"/>
      <c r="KCM38" s="19"/>
      <c r="KCN38" s="19"/>
      <c r="KCO38" s="19"/>
      <c r="KCP38" s="19"/>
      <c r="KCQ38" s="19"/>
      <c r="KCR38" s="19"/>
      <c r="KCS38" s="19"/>
      <c r="KCT38" s="19"/>
      <c r="KCU38" s="19"/>
      <c r="KCV38" s="19"/>
      <c r="KCW38" s="19"/>
      <c r="KCX38" s="19"/>
      <c r="KCY38" s="19"/>
      <c r="KCZ38" s="19"/>
      <c r="KDA38" s="19"/>
      <c r="KDB38" s="19"/>
      <c r="KDC38" s="19"/>
      <c r="KDD38" s="19"/>
      <c r="KDE38" s="19"/>
      <c r="KDF38" s="19"/>
      <c r="KDG38" s="19"/>
      <c r="KDH38" s="19"/>
      <c r="KDI38" s="19"/>
      <c r="KDJ38" s="19"/>
      <c r="KDK38" s="19"/>
      <c r="KDL38" s="19"/>
      <c r="KDM38" s="19"/>
      <c r="KDN38" s="19"/>
      <c r="KDO38" s="19"/>
      <c r="KDP38" s="19"/>
      <c r="KDQ38" s="19"/>
      <c r="KDR38" s="19"/>
      <c r="KDS38" s="19"/>
      <c r="KDT38" s="19"/>
      <c r="KDU38" s="19"/>
      <c r="KDV38" s="19"/>
      <c r="KDW38" s="19"/>
      <c r="KDX38" s="19"/>
      <c r="KDY38" s="19"/>
      <c r="KDZ38" s="19"/>
      <c r="KEA38" s="19"/>
      <c r="KEB38" s="19"/>
      <c r="KEC38" s="19"/>
      <c r="KED38" s="19"/>
      <c r="KEE38" s="19"/>
      <c r="KEF38" s="19"/>
      <c r="KEG38" s="19"/>
      <c r="KEH38" s="19"/>
      <c r="KEI38" s="19"/>
      <c r="KEJ38" s="19"/>
      <c r="KEK38" s="19"/>
      <c r="KEL38" s="19"/>
      <c r="KEM38" s="19"/>
      <c r="KEN38" s="19"/>
      <c r="KEO38" s="19"/>
      <c r="KEP38" s="19"/>
      <c r="KEQ38" s="19"/>
      <c r="KER38" s="19"/>
      <c r="KES38" s="19"/>
      <c r="KET38" s="19"/>
      <c r="KEU38" s="19"/>
      <c r="KEV38" s="19"/>
      <c r="KEW38" s="19"/>
      <c r="KEX38" s="19"/>
      <c r="KEY38" s="19"/>
      <c r="KEZ38" s="19"/>
      <c r="KFA38" s="19"/>
      <c r="KFB38" s="19"/>
      <c r="KFC38" s="19"/>
      <c r="KFD38" s="19"/>
      <c r="KFE38" s="19"/>
      <c r="KFF38" s="19"/>
      <c r="KFG38" s="19"/>
      <c r="KFH38" s="19"/>
      <c r="KFI38" s="19"/>
      <c r="KFJ38" s="19"/>
      <c r="KFK38" s="19"/>
      <c r="KFL38" s="19"/>
      <c r="KFM38" s="19"/>
      <c r="KFN38" s="19"/>
      <c r="KFO38" s="19"/>
      <c r="KFP38" s="19"/>
      <c r="KFQ38" s="19"/>
      <c r="KFR38" s="19"/>
      <c r="KFS38" s="19"/>
      <c r="KFT38" s="19"/>
      <c r="KFU38" s="19"/>
      <c r="KFV38" s="19"/>
      <c r="KFW38" s="19"/>
      <c r="KFX38" s="19"/>
      <c r="KFY38" s="19"/>
      <c r="KFZ38" s="19"/>
      <c r="KGA38" s="19"/>
      <c r="KGB38" s="19"/>
      <c r="KGC38" s="19"/>
      <c r="KGD38" s="19"/>
      <c r="KGE38" s="19"/>
      <c r="KGF38" s="19"/>
      <c r="KGG38" s="19"/>
      <c r="KGH38" s="19"/>
      <c r="KGI38" s="19"/>
      <c r="KGJ38" s="19"/>
      <c r="KGK38" s="19"/>
      <c r="KGL38" s="19"/>
      <c r="KGM38" s="19"/>
      <c r="KGN38" s="19"/>
      <c r="KGO38" s="19"/>
      <c r="KGP38" s="19"/>
      <c r="KGQ38" s="19"/>
      <c r="KGR38" s="19"/>
      <c r="KGS38" s="19"/>
      <c r="KGT38" s="19"/>
      <c r="KGU38" s="19"/>
      <c r="KGV38" s="19"/>
      <c r="KGW38" s="19"/>
      <c r="KGX38" s="19"/>
      <c r="KGY38" s="19"/>
      <c r="KGZ38" s="19"/>
      <c r="KHA38" s="19"/>
      <c r="KHB38" s="19"/>
      <c r="KHC38" s="19"/>
      <c r="KHD38" s="19"/>
      <c r="KHE38" s="19"/>
      <c r="KHF38" s="19"/>
      <c r="KHG38" s="19"/>
      <c r="KHH38" s="19"/>
      <c r="KHI38" s="19"/>
      <c r="KHJ38" s="19"/>
      <c r="KHK38" s="19"/>
      <c r="KHL38" s="19"/>
      <c r="KHM38" s="19"/>
      <c r="KHN38" s="19"/>
      <c r="KHO38" s="19"/>
      <c r="KHP38" s="19"/>
      <c r="KHQ38" s="19"/>
      <c r="KHR38" s="19"/>
      <c r="KHS38" s="19"/>
      <c r="KHT38" s="19"/>
      <c r="KHU38" s="19"/>
      <c r="KHV38" s="19"/>
      <c r="KHW38" s="19"/>
      <c r="KHX38" s="19"/>
      <c r="KHY38" s="19"/>
      <c r="KHZ38" s="19"/>
      <c r="KIA38" s="19"/>
      <c r="KIB38" s="19"/>
      <c r="KIC38" s="19"/>
      <c r="KID38" s="19"/>
      <c r="KIE38" s="19"/>
      <c r="KIF38" s="19"/>
      <c r="KIG38" s="19"/>
      <c r="KIH38" s="19"/>
      <c r="KII38" s="19"/>
      <c r="KIJ38" s="19"/>
      <c r="KIK38" s="19"/>
      <c r="KIL38" s="19"/>
      <c r="KIM38" s="19"/>
      <c r="KIN38" s="19"/>
      <c r="KIO38" s="19"/>
      <c r="KIP38" s="19"/>
      <c r="KIQ38" s="19"/>
      <c r="KIR38" s="19"/>
      <c r="KIS38" s="19"/>
      <c r="KIT38" s="19"/>
      <c r="KIU38" s="19"/>
      <c r="KIV38" s="19"/>
      <c r="KIW38" s="19"/>
      <c r="KIX38" s="19"/>
      <c r="KIY38" s="19"/>
      <c r="KIZ38" s="19"/>
      <c r="KJA38" s="19"/>
      <c r="KJB38" s="19"/>
      <c r="KJC38" s="19"/>
      <c r="KJD38" s="19"/>
      <c r="KJE38" s="19"/>
      <c r="KJF38" s="19"/>
      <c r="KJG38" s="19"/>
      <c r="KJH38" s="19"/>
      <c r="KJI38" s="19"/>
      <c r="KJJ38" s="19"/>
      <c r="KJK38" s="19"/>
      <c r="KJL38" s="19"/>
      <c r="KJM38" s="19"/>
      <c r="KJN38" s="19"/>
      <c r="KJO38" s="19"/>
      <c r="KJP38" s="19"/>
      <c r="KJQ38" s="19"/>
      <c r="KJR38" s="19"/>
      <c r="KJS38" s="19"/>
      <c r="KJT38" s="19"/>
      <c r="KJU38" s="19"/>
      <c r="KJV38" s="19"/>
      <c r="KJW38" s="19"/>
      <c r="KJX38" s="19"/>
      <c r="KJY38" s="19"/>
      <c r="KJZ38" s="19"/>
      <c r="KKA38" s="19"/>
      <c r="KKB38" s="19"/>
      <c r="KKC38" s="19"/>
      <c r="KKD38" s="19"/>
      <c r="KKE38" s="19"/>
      <c r="KKF38" s="19"/>
      <c r="KKG38" s="19"/>
      <c r="KKH38" s="19"/>
      <c r="KKI38" s="19"/>
      <c r="KKJ38" s="19"/>
      <c r="KKK38" s="19"/>
      <c r="KKL38" s="19"/>
      <c r="KKM38" s="19"/>
      <c r="KKN38" s="19"/>
      <c r="KKO38" s="19"/>
      <c r="KKP38" s="19"/>
      <c r="KKQ38" s="19"/>
      <c r="KKR38" s="19"/>
      <c r="KKS38" s="19"/>
      <c r="KKT38" s="19"/>
      <c r="KKU38" s="19"/>
      <c r="KKV38" s="19"/>
      <c r="KKW38" s="19"/>
      <c r="KKX38" s="19"/>
      <c r="KKY38" s="19"/>
      <c r="KKZ38" s="19"/>
      <c r="KLA38" s="19"/>
      <c r="KLB38" s="19"/>
      <c r="KLC38" s="19"/>
      <c r="KLD38" s="19"/>
      <c r="KLE38" s="19"/>
      <c r="KLF38" s="19"/>
      <c r="KLG38" s="19"/>
      <c r="KLH38" s="19"/>
      <c r="KLI38" s="19"/>
      <c r="KLJ38" s="19"/>
      <c r="KLK38" s="19"/>
      <c r="KLL38" s="19"/>
      <c r="KLM38" s="19"/>
      <c r="KLN38" s="19"/>
      <c r="KLO38" s="19"/>
      <c r="KLP38" s="19"/>
      <c r="KLQ38" s="19"/>
      <c r="KLR38" s="19"/>
      <c r="KLS38" s="19"/>
      <c r="KLT38" s="19"/>
      <c r="KLU38" s="19"/>
      <c r="KLV38" s="19"/>
      <c r="KLW38" s="19"/>
      <c r="KLX38" s="19"/>
      <c r="KLY38" s="19"/>
      <c r="KLZ38" s="19"/>
      <c r="KMA38" s="19"/>
      <c r="KMB38" s="19"/>
      <c r="KMC38" s="19"/>
      <c r="KMD38" s="19"/>
      <c r="KME38" s="19"/>
      <c r="KMF38" s="19"/>
      <c r="KMG38" s="19"/>
      <c r="KMH38" s="19"/>
      <c r="KMI38" s="19"/>
      <c r="KMJ38" s="19"/>
      <c r="KMK38" s="19"/>
      <c r="KML38" s="19"/>
      <c r="KMM38" s="19"/>
      <c r="KMN38" s="19"/>
      <c r="KMO38" s="19"/>
      <c r="KMP38" s="19"/>
      <c r="KMQ38" s="19"/>
      <c r="KMR38" s="19"/>
      <c r="KMS38" s="19"/>
      <c r="KMT38" s="19"/>
      <c r="KMU38" s="19"/>
      <c r="KMV38" s="19"/>
      <c r="KMW38" s="19"/>
      <c r="KMX38" s="19"/>
      <c r="KMY38" s="19"/>
      <c r="KMZ38" s="19"/>
      <c r="KNA38" s="19"/>
      <c r="KNB38" s="19"/>
      <c r="KNC38" s="19"/>
      <c r="KND38" s="19"/>
      <c r="KNE38" s="19"/>
      <c r="KNF38" s="19"/>
      <c r="KNG38" s="19"/>
      <c r="KNH38" s="19"/>
      <c r="KNI38" s="19"/>
      <c r="KNJ38" s="19"/>
      <c r="KNK38" s="19"/>
      <c r="KNL38" s="19"/>
      <c r="KNM38" s="19"/>
      <c r="KNN38" s="19"/>
      <c r="KNO38" s="19"/>
      <c r="KNP38" s="19"/>
      <c r="KNQ38" s="19"/>
      <c r="KNR38" s="19"/>
      <c r="KNS38" s="19"/>
      <c r="KNT38" s="19"/>
      <c r="KNU38" s="19"/>
      <c r="KNV38" s="19"/>
      <c r="KNW38" s="19"/>
      <c r="KNX38" s="19"/>
      <c r="KNY38" s="19"/>
      <c r="KNZ38" s="19"/>
      <c r="KOA38" s="19"/>
      <c r="KOB38" s="19"/>
      <c r="KOC38" s="19"/>
      <c r="KOD38" s="19"/>
      <c r="KOE38" s="19"/>
      <c r="KOF38" s="19"/>
      <c r="KOG38" s="19"/>
      <c r="KOH38" s="19"/>
      <c r="KOI38" s="19"/>
      <c r="KOJ38" s="19"/>
      <c r="KOK38" s="19"/>
      <c r="KOL38" s="19"/>
      <c r="KOM38" s="19"/>
      <c r="KON38" s="19"/>
      <c r="KOO38" s="19"/>
      <c r="KOP38" s="19"/>
      <c r="KOQ38" s="19"/>
      <c r="KOR38" s="19"/>
      <c r="KOS38" s="19"/>
      <c r="KOT38" s="19"/>
      <c r="KOU38" s="19"/>
      <c r="KOV38" s="19"/>
      <c r="KOW38" s="19"/>
      <c r="KOX38" s="19"/>
      <c r="KOY38" s="19"/>
      <c r="KOZ38" s="19"/>
      <c r="KPA38" s="19"/>
      <c r="KPB38" s="19"/>
      <c r="KPC38" s="19"/>
      <c r="KPD38" s="19"/>
      <c r="KPE38" s="19"/>
      <c r="KPF38" s="19"/>
      <c r="KPG38" s="19"/>
      <c r="KPH38" s="19"/>
      <c r="KPI38" s="19"/>
      <c r="KPJ38" s="19"/>
      <c r="KPK38" s="19"/>
      <c r="KPL38" s="19"/>
      <c r="KPM38" s="19"/>
      <c r="KPN38" s="19"/>
      <c r="KPO38" s="19"/>
      <c r="KPP38" s="19"/>
      <c r="KPQ38" s="19"/>
      <c r="KPR38" s="19"/>
      <c r="KPS38" s="19"/>
      <c r="KPT38" s="19"/>
      <c r="KPU38" s="19"/>
      <c r="KPV38" s="19"/>
      <c r="KPW38" s="19"/>
      <c r="KPX38" s="19"/>
      <c r="KPY38" s="19"/>
      <c r="KPZ38" s="19"/>
      <c r="KQA38" s="19"/>
      <c r="KQB38" s="19"/>
      <c r="KQC38" s="19"/>
      <c r="KQD38" s="19"/>
      <c r="KQE38" s="19"/>
      <c r="KQF38" s="19"/>
      <c r="KQG38" s="19"/>
      <c r="KQH38" s="19"/>
      <c r="KQI38" s="19"/>
      <c r="KQJ38" s="19"/>
      <c r="KQK38" s="19"/>
      <c r="KQL38" s="19"/>
      <c r="KQM38" s="19"/>
      <c r="KQN38" s="19"/>
      <c r="KQO38" s="19"/>
      <c r="KQP38" s="19"/>
      <c r="KQQ38" s="19"/>
      <c r="KQR38" s="19"/>
      <c r="KQS38" s="19"/>
      <c r="KQT38" s="19"/>
      <c r="KQU38" s="19"/>
      <c r="KQV38" s="19"/>
      <c r="KQW38" s="19"/>
      <c r="KQX38" s="19"/>
      <c r="KQY38" s="19"/>
      <c r="KQZ38" s="19"/>
      <c r="KRA38" s="19"/>
      <c r="KRB38" s="19"/>
      <c r="KRC38" s="19"/>
      <c r="KRD38" s="19"/>
      <c r="KRE38" s="19"/>
      <c r="KRF38" s="19"/>
      <c r="KRG38" s="19"/>
      <c r="KRH38" s="19"/>
      <c r="KRI38" s="19"/>
      <c r="KRJ38" s="19"/>
      <c r="KRK38" s="19"/>
      <c r="KRL38" s="19"/>
      <c r="KRM38" s="19"/>
      <c r="KRN38" s="19"/>
      <c r="KRO38" s="19"/>
      <c r="KRP38" s="19"/>
      <c r="KRQ38" s="19"/>
      <c r="KRR38" s="19"/>
      <c r="KRS38" s="19"/>
      <c r="KRT38" s="19"/>
      <c r="KRU38" s="19"/>
      <c r="KRV38" s="19"/>
      <c r="KRW38" s="19"/>
      <c r="KRX38" s="19"/>
      <c r="KRY38" s="19"/>
      <c r="KRZ38" s="19"/>
      <c r="KSA38" s="19"/>
      <c r="KSB38" s="19"/>
      <c r="KSC38" s="19"/>
      <c r="KSD38" s="19"/>
      <c r="KSE38" s="19"/>
      <c r="KSF38" s="19"/>
      <c r="KSG38" s="19"/>
      <c r="KSH38" s="19"/>
      <c r="KSI38" s="19"/>
      <c r="KSJ38" s="19"/>
      <c r="KSK38" s="19"/>
      <c r="KSL38" s="19"/>
      <c r="KSM38" s="19"/>
      <c r="KSN38" s="19"/>
      <c r="KSO38" s="19"/>
      <c r="KSP38" s="19"/>
      <c r="KSQ38" s="19"/>
      <c r="KSR38" s="19"/>
      <c r="KSS38" s="19"/>
      <c r="KST38" s="19"/>
      <c r="KSU38" s="19"/>
      <c r="KSV38" s="19"/>
      <c r="KSW38" s="19"/>
      <c r="KSX38" s="19"/>
      <c r="KSY38" s="19"/>
      <c r="KSZ38" s="19"/>
      <c r="KTA38" s="19"/>
      <c r="KTB38" s="19"/>
      <c r="KTC38" s="19"/>
      <c r="KTD38" s="19"/>
      <c r="KTE38" s="19"/>
      <c r="KTF38" s="19"/>
      <c r="KTG38" s="19"/>
      <c r="KTH38" s="19"/>
      <c r="KTI38" s="19"/>
      <c r="KTJ38" s="19"/>
      <c r="KTK38" s="19"/>
      <c r="KTL38" s="19"/>
      <c r="KTM38" s="19"/>
      <c r="KTN38" s="19"/>
      <c r="KTO38" s="19"/>
      <c r="KTP38" s="19"/>
      <c r="KTQ38" s="19"/>
      <c r="KTR38" s="19"/>
      <c r="KTS38" s="19"/>
      <c r="KTT38" s="19"/>
      <c r="KTU38" s="19"/>
      <c r="KTV38" s="19"/>
      <c r="KTW38" s="19"/>
      <c r="KTX38" s="19"/>
      <c r="KTY38" s="19"/>
      <c r="KTZ38" s="19"/>
      <c r="KUA38" s="19"/>
      <c r="KUB38" s="19"/>
      <c r="KUC38" s="19"/>
      <c r="KUD38" s="19"/>
      <c r="KUE38" s="19"/>
      <c r="KUF38" s="19"/>
      <c r="KUG38" s="19"/>
      <c r="KUH38" s="19"/>
      <c r="KUI38" s="19"/>
      <c r="KUJ38" s="19"/>
      <c r="KUK38" s="19"/>
      <c r="KUL38" s="19"/>
      <c r="KUM38" s="19"/>
      <c r="KUN38" s="19"/>
      <c r="KUO38" s="19"/>
      <c r="KUP38" s="19"/>
      <c r="KUQ38" s="19"/>
      <c r="KUR38" s="19"/>
      <c r="KUS38" s="19"/>
      <c r="KUT38" s="19"/>
      <c r="KUU38" s="19"/>
      <c r="KUV38" s="19"/>
      <c r="KUW38" s="19"/>
      <c r="KUX38" s="19"/>
      <c r="KUY38" s="19"/>
      <c r="KUZ38" s="19"/>
      <c r="KVA38" s="19"/>
      <c r="KVB38" s="19"/>
      <c r="KVC38" s="19"/>
      <c r="KVD38" s="19"/>
      <c r="KVE38" s="19"/>
      <c r="KVF38" s="19"/>
      <c r="KVG38" s="19"/>
      <c r="KVH38" s="19"/>
      <c r="KVI38" s="19"/>
      <c r="KVJ38" s="19"/>
      <c r="KVK38" s="19"/>
      <c r="KVL38" s="19"/>
      <c r="KVM38" s="19"/>
      <c r="KVN38" s="19"/>
      <c r="KVO38" s="19"/>
      <c r="KVP38" s="19"/>
      <c r="KVQ38" s="19"/>
      <c r="KVR38" s="19"/>
      <c r="KVS38" s="19"/>
      <c r="KVT38" s="19"/>
      <c r="KVU38" s="19"/>
      <c r="KVV38" s="19"/>
      <c r="KVW38" s="19"/>
      <c r="KVX38" s="19"/>
      <c r="KVY38" s="19"/>
      <c r="KVZ38" s="19"/>
      <c r="KWA38" s="19"/>
      <c r="KWB38" s="19"/>
      <c r="KWC38" s="19"/>
      <c r="KWD38" s="19"/>
      <c r="KWE38" s="19"/>
      <c r="KWF38" s="19"/>
      <c r="KWG38" s="19"/>
      <c r="KWH38" s="19"/>
      <c r="KWI38" s="19"/>
      <c r="KWJ38" s="19"/>
      <c r="KWK38" s="19"/>
      <c r="KWL38" s="19"/>
      <c r="KWM38" s="19"/>
      <c r="KWN38" s="19"/>
      <c r="KWO38" s="19"/>
      <c r="KWP38" s="19"/>
      <c r="KWQ38" s="19"/>
      <c r="KWR38" s="19"/>
      <c r="KWS38" s="19"/>
      <c r="KWT38" s="19"/>
      <c r="KWU38" s="19"/>
      <c r="KWV38" s="19"/>
      <c r="KWW38" s="19"/>
      <c r="KWX38" s="19"/>
      <c r="KWY38" s="19"/>
      <c r="KWZ38" s="19"/>
      <c r="KXA38" s="19"/>
      <c r="KXB38" s="19"/>
      <c r="KXC38" s="19"/>
      <c r="KXD38" s="19"/>
      <c r="KXE38" s="19"/>
      <c r="KXF38" s="19"/>
      <c r="KXG38" s="19"/>
      <c r="KXH38" s="19"/>
      <c r="KXI38" s="19"/>
      <c r="KXJ38" s="19"/>
      <c r="KXK38" s="19"/>
      <c r="KXL38" s="19"/>
      <c r="KXM38" s="19"/>
      <c r="KXN38" s="19"/>
      <c r="KXO38" s="19"/>
      <c r="KXP38" s="19"/>
      <c r="KXQ38" s="19"/>
      <c r="KXR38" s="19"/>
      <c r="KXS38" s="19"/>
      <c r="KXT38" s="19"/>
      <c r="KXU38" s="19"/>
      <c r="KXV38" s="19"/>
      <c r="KXW38" s="19"/>
      <c r="KXX38" s="19"/>
      <c r="KXY38" s="19"/>
      <c r="KXZ38" s="19"/>
      <c r="KYA38" s="19"/>
      <c r="KYB38" s="19"/>
      <c r="KYC38" s="19"/>
      <c r="KYD38" s="19"/>
      <c r="KYE38" s="19"/>
      <c r="KYF38" s="19"/>
      <c r="KYG38" s="19"/>
      <c r="KYH38" s="19"/>
      <c r="KYI38" s="19"/>
      <c r="KYJ38" s="19"/>
      <c r="KYK38" s="19"/>
      <c r="KYL38" s="19"/>
      <c r="KYM38" s="19"/>
      <c r="KYN38" s="19"/>
      <c r="KYO38" s="19"/>
      <c r="KYP38" s="19"/>
      <c r="KYQ38" s="19"/>
      <c r="KYR38" s="19"/>
      <c r="KYS38" s="19"/>
      <c r="KYT38" s="19"/>
      <c r="KYU38" s="19"/>
      <c r="KYV38" s="19"/>
      <c r="KYW38" s="19"/>
      <c r="KYX38" s="19"/>
      <c r="KYY38" s="19"/>
      <c r="KYZ38" s="19"/>
      <c r="KZA38" s="19"/>
      <c r="KZB38" s="19"/>
      <c r="KZC38" s="19"/>
      <c r="KZD38" s="19"/>
      <c r="KZE38" s="19"/>
      <c r="KZF38" s="19"/>
      <c r="KZG38" s="19"/>
      <c r="KZH38" s="19"/>
      <c r="KZI38" s="19"/>
      <c r="KZJ38" s="19"/>
      <c r="KZK38" s="19"/>
      <c r="KZL38" s="19"/>
      <c r="KZM38" s="19"/>
      <c r="KZN38" s="19"/>
      <c r="KZO38" s="19"/>
      <c r="KZP38" s="19"/>
      <c r="KZQ38" s="19"/>
      <c r="KZR38" s="19"/>
      <c r="KZS38" s="19"/>
      <c r="KZT38" s="19"/>
      <c r="KZU38" s="19"/>
      <c r="KZV38" s="19"/>
      <c r="KZW38" s="19"/>
      <c r="KZX38" s="19"/>
      <c r="KZY38" s="19"/>
      <c r="KZZ38" s="19"/>
      <c r="LAA38" s="19"/>
      <c r="LAB38" s="19"/>
      <c r="LAC38" s="19"/>
      <c r="LAD38" s="19"/>
      <c r="LAE38" s="19"/>
      <c r="LAF38" s="19"/>
      <c r="LAG38" s="19"/>
      <c r="LAH38" s="19"/>
      <c r="LAI38" s="19"/>
      <c r="LAJ38" s="19"/>
      <c r="LAK38" s="19"/>
      <c r="LAL38" s="19"/>
      <c r="LAM38" s="19"/>
      <c r="LAN38" s="19"/>
      <c r="LAO38" s="19"/>
      <c r="LAP38" s="19"/>
      <c r="LAQ38" s="19"/>
      <c r="LAR38" s="19"/>
      <c r="LAS38" s="19"/>
      <c r="LAT38" s="19"/>
      <c r="LAU38" s="19"/>
      <c r="LAV38" s="19"/>
      <c r="LAW38" s="19"/>
      <c r="LAX38" s="19"/>
      <c r="LAY38" s="19"/>
      <c r="LAZ38" s="19"/>
      <c r="LBA38" s="19"/>
      <c r="LBB38" s="19"/>
      <c r="LBC38" s="19"/>
      <c r="LBD38" s="19"/>
      <c r="LBE38" s="19"/>
      <c r="LBF38" s="19"/>
      <c r="LBG38" s="19"/>
      <c r="LBH38" s="19"/>
      <c r="LBI38" s="19"/>
      <c r="LBJ38" s="19"/>
      <c r="LBK38" s="19"/>
      <c r="LBL38" s="19"/>
      <c r="LBM38" s="19"/>
      <c r="LBN38" s="19"/>
      <c r="LBO38" s="19"/>
      <c r="LBP38" s="19"/>
      <c r="LBQ38" s="19"/>
      <c r="LBR38" s="19"/>
      <c r="LBS38" s="19"/>
      <c r="LBT38" s="19"/>
      <c r="LBU38" s="19"/>
      <c r="LBV38" s="19"/>
      <c r="LBW38" s="19"/>
      <c r="LBX38" s="19"/>
      <c r="LBY38" s="19"/>
      <c r="LBZ38" s="19"/>
      <c r="LCA38" s="19"/>
      <c r="LCB38" s="19"/>
      <c r="LCC38" s="19"/>
      <c r="LCD38" s="19"/>
      <c r="LCE38" s="19"/>
      <c r="LCF38" s="19"/>
      <c r="LCG38" s="19"/>
      <c r="LCH38" s="19"/>
      <c r="LCI38" s="19"/>
      <c r="LCJ38" s="19"/>
      <c r="LCK38" s="19"/>
      <c r="LCL38" s="19"/>
      <c r="LCM38" s="19"/>
      <c r="LCN38" s="19"/>
      <c r="LCO38" s="19"/>
      <c r="LCP38" s="19"/>
      <c r="LCQ38" s="19"/>
      <c r="LCR38" s="19"/>
      <c r="LCS38" s="19"/>
      <c r="LCT38" s="19"/>
      <c r="LCU38" s="19"/>
      <c r="LCV38" s="19"/>
      <c r="LCW38" s="19"/>
      <c r="LCX38" s="19"/>
      <c r="LCY38" s="19"/>
      <c r="LCZ38" s="19"/>
      <c r="LDA38" s="19"/>
      <c r="LDB38" s="19"/>
      <c r="LDC38" s="19"/>
      <c r="LDD38" s="19"/>
      <c r="LDE38" s="19"/>
      <c r="LDF38" s="19"/>
      <c r="LDG38" s="19"/>
      <c r="LDH38" s="19"/>
      <c r="LDI38" s="19"/>
      <c r="LDJ38" s="19"/>
      <c r="LDK38" s="19"/>
      <c r="LDL38" s="19"/>
      <c r="LDM38" s="19"/>
      <c r="LDN38" s="19"/>
      <c r="LDO38" s="19"/>
      <c r="LDP38" s="19"/>
      <c r="LDQ38" s="19"/>
      <c r="LDR38" s="19"/>
      <c r="LDS38" s="19"/>
      <c r="LDT38" s="19"/>
      <c r="LDU38" s="19"/>
      <c r="LDV38" s="19"/>
      <c r="LDW38" s="19"/>
      <c r="LDX38" s="19"/>
      <c r="LDY38" s="19"/>
      <c r="LDZ38" s="19"/>
      <c r="LEA38" s="19"/>
      <c r="LEB38" s="19"/>
      <c r="LEC38" s="19"/>
      <c r="LED38" s="19"/>
      <c r="LEE38" s="19"/>
      <c r="LEF38" s="19"/>
      <c r="LEG38" s="19"/>
      <c r="LEH38" s="19"/>
      <c r="LEI38" s="19"/>
      <c r="LEJ38" s="19"/>
      <c r="LEK38" s="19"/>
      <c r="LEL38" s="19"/>
      <c r="LEM38" s="19"/>
      <c r="LEN38" s="19"/>
      <c r="LEO38" s="19"/>
      <c r="LEP38" s="19"/>
      <c r="LEQ38" s="19"/>
      <c r="LER38" s="19"/>
      <c r="LES38" s="19"/>
      <c r="LET38" s="19"/>
      <c r="LEU38" s="19"/>
      <c r="LEV38" s="19"/>
      <c r="LEW38" s="19"/>
      <c r="LEX38" s="19"/>
      <c r="LEY38" s="19"/>
      <c r="LEZ38" s="19"/>
      <c r="LFA38" s="19"/>
      <c r="LFB38" s="19"/>
      <c r="LFC38" s="19"/>
      <c r="LFD38" s="19"/>
      <c r="LFE38" s="19"/>
      <c r="LFF38" s="19"/>
      <c r="LFG38" s="19"/>
      <c r="LFH38" s="19"/>
      <c r="LFI38" s="19"/>
      <c r="LFJ38" s="19"/>
      <c r="LFK38" s="19"/>
      <c r="LFL38" s="19"/>
      <c r="LFM38" s="19"/>
      <c r="LFN38" s="19"/>
      <c r="LFO38" s="19"/>
      <c r="LFP38" s="19"/>
      <c r="LFQ38" s="19"/>
      <c r="LFR38" s="19"/>
      <c r="LFS38" s="19"/>
      <c r="LFT38" s="19"/>
      <c r="LFU38" s="19"/>
      <c r="LFV38" s="19"/>
      <c r="LFW38" s="19"/>
      <c r="LFX38" s="19"/>
      <c r="LFY38" s="19"/>
      <c r="LFZ38" s="19"/>
      <c r="LGA38" s="19"/>
      <c r="LGB38" s="19"/>
      <c r="LGC38" s="19"/>
      <c r="LGD38" s="19"/>
      <c r="LGE38" s="19"/>
      <c r="LGF38" s="19"/>
      <c r="LGG38" s="19"/>
      <c r="LGH38" s="19"/>
      <c r="LGI38" s="19"/>
      <c r="LGJ38" s="19"/>
      <c r="LGK38" s="19"/>
      <c r="LGL38" s="19"/>
      <c r="LGM38" s="19"/>
      <c r="LGN38" s="19"/>
      <c r="LGO38" s="19"/>
      <c r="LGP38" s="19"/>
      <c r="LGQ38" s="19"/>
      <c r="LGR38" s="19"/>
      <c r="LGS38" s="19"/>
      <c r="LGT38" s="19"/>
      <c r="LGU38" s="19"/>
      <c r="LGV38" s="19"/>
      <c r="LGW38" s="19"/>
      <c r="LGX38" s="19"/>
      <c r="LGY38" s="19"/>
      <c r="LGZ38" s="19"/>
      <c r="LHA38" s="19"/>
      <c r="LHB38" s="19"/>
      <c r="LHC38" s="19"/>
      <c r="LHD38" s="19"/>
      <c r="LHE38" s="19"/>
      <c r="LHF38" s="19"/>
      <c r="LHG38" s="19"/>
      <c r="LHH38" s="19"/>
      <c r="LHI38" s="19"/>
      <c r="LHJ38" s="19"/>
      <c r="LHK38" s="19"/>
      <c r="LHL38" s="19"/>
      <c r="LHM38" s="19"/>
      <c r="LHN38" s="19"/>
      <c r="LHO38" s="19"/>
      <c r="LHP38" s="19"/>
      <c r="LHQ38" s="19"/>
      <c r="LHR38" s="19"/>
      <c r="LHS38" s="19"/>
      <c r="LHT38" s="19"/>
      <c r="LHU38" s="19"/>
      <c r="LHV38" s="19"/>
      <c r="LHW38" s="19"/>
      <c r="LHX38" s="19"/>
      <c r="LHY38" s="19"/>
      <c r="LHZ38" s="19"/>
      <c r="LIA38" s="19"/>
      <c r="LIB38" s="19"/>
      <c r="LIC38" s="19"/>
      <c r="LID38" s="19"/>
      <c r="LIE38" s="19"/>
      <c r="LIF38" s="19"/>
      <c r="LIG38" s="19"/>
      <c r="LIH38" s="19"/>
      <c r="LII38" s="19"/>
      <c r="LIJ38" s="19"/>
      <c r="LIK38" s="19"/>
      <c r="LIL38" s="19"/>
      <c r="LIM38" s="19"/>
      <c r="LIN38" s="19"/>
      <c r="LIO38" s="19"/>
      <c r="LIP38" s="19"/>
      <c r="LIQ38" s="19"/>
      <c r="LIR38" s="19"/>
      <c r="LIS38" s="19"/>
      <c r="LIT38" s="19"/>
      <c r="LIU38" s="19"/>
      <c r="LIV38" s="19"/>
      <c r="LIW38" s="19"/>
      <c r="LIX38" s="19"/>
      <c r="LIY38" s="19"/>
      <c r="LIZ38" s="19"/>
      <c r="LJA38" s="19"/>
      <c r="LJB38" s="19"/>
      <c r="LJC38" s="19"/>
      <c r="LJD38" s="19"/>
      <c r="LJE38" s="19"/>
      <c r="LJF38" s="19"/>
      <c r="LJG38" s="19"/>
      <c r="LJH38" s="19"/>
      <c r="LJI38" s="19"/>
      <c r="LJJ38" s="19"/>
      <c r="LJK38" s="19"/>
      <c r="LJL38" s="19"/>
      <c r="LJM38" s="19"/>
      <c r="LJN38" s="19"/>
      <c r="LJO38" s="19"/>
      <c r="LJP38" s="19"/>
      <c r="LJQ38" s="19"/>
      <c r="LJR38" s="19"/>
      <c r="LJS38" s="19"/>
      <c r="LJT38" s="19"/>
      <c r="LJU38" s="19"/>
      <c r="LJV38" s="19"/>
      <c r="LJW38" s="19"/>
      <c r="LJX38" s="19"/>
      <c r="LJY38" s="19"/>
      <c r="LJZ38" s="19"/>
      <c r="LKA38" s="19"/>
      <c r="LKB38" s="19"/>
      <c r="LKC38" s="19"/>
      <c r="LKD38" s="19"/>
      <c r="LKE38" s="19"/>
      <c r="LKF38" s="19"/>
      <c r="LKG38" s="19"/>
      <c r="LKH38" s="19"/>
      <c r="LKI38" s="19"/>
      <c r="LKJ38" s="19"/>
      <c r="LKK38" s="19"/>
      <c r="LKL38" s="19"/>
      <c r="LKM38" s="19"/>
      <c r="LKN38" s="19"/>
      <c r="LKO38" s="19"/>
      <c r="LKP38" s="19"/>
      <c r="LKQ38" s="19"/>
      <c r="LKR38" s="19"/>
      <c r="LKS38" s="19"/>
      <c r="LKT38" s="19"/>
      <c r="LKU38" s="19"/>
      <c r="LKV38" s="19"/>
      <c r="LKW38" s="19"/>
      <c r="LKX38" s="19"/>
      <c r="LKY38" s="19"/>
      <c r="LKZ38" s="19"/>
      <c r="LLA38" s="19"/>
      <c r="LLB38" s="19"/>
      <c r="LLC38" s="19"/>
      <c r="LLD38" s="19"/>
      <c r="LLE38" s="19"/>
      <c r="LLF38" s="19"/>
      <c r="LLG38" s="19"/>
      <c r="LLH38" s="19"/>
      <c r="LLI38" s="19"/>
      <c r="LLJ38" s="19"/>
      <c r="LLK38" s="19"/>
      <c r="LLL38" s="19"/>
      <c r="LLM38" s="19"/>
      <c r="LLN38" s="19"/>
      <c r="LLO38" s="19"/>
      <c r="LLP38" s="19"/>
      <c r="LLQ38" s="19"/>
      <c r="LLR38" s="19"/>
      <c r="LLS38" s="19"/>
      <c r="LLT38" s="19"/>
      <c r="LLU38" s="19"/>
      <c r="LLV38" s="19"/>
      <c r="LLW38" s="19"/>
      <c r="LLX38" s="19"/>
      <c r="LLY38" s="19"/>
      <c r="LLZ38" s="19"/>
      <c r="LMA38" s="19"/>
      <c r="LMB38" s="19"/>
      <c r="LMC38" s="19"/>
      <c r="LMD38" s="19"/>
      <c r="LME38" s="19"/>
      <c r="LMF38" s="19"/>
      <c r="LMG38" s="19"/>
      <c r="LMH38" s="19"/>
      <c r="LMI38" s="19"/>
      <c r="LMJ38" s="19"/>
      <c r="LMK38" s="19"/>
      <c r="LML38" s="19"/>
      <c r="LMM38" s="19"/>
      <c r="LMN38" s="19"/>
      <c r="LMO38" s="19"/>
      <c r="LMP38" s="19"/>
      <c r="LMQ38" s="19"/>
      <c r="LMR38" s="19"/>
      <c r="LMS38" s="19"/>
      <c r="LMT38" s="19"/>
      <c r="LMU38" s="19"/>
      <c r="LMV38" s="19"/>
      <c r="LMW38" s="19"/>
      <c r="LMX38" s="19"/>
      <c r="LMY38" s="19"/>
      <c r="LMZ38" s="19"/>
      <c r="LNA38" s="19"/>
      <c r="LNB38" s="19"/>
      <c r="LNC38" s="19"/>
      <c r="LND38" s="19"/>
      <c r="LNE38" s="19"/>
      <c r="LNF38" s="19"/>
      <c r="LNG38" s="19"/>
      <c r="LNH38" s="19"/>
      <c r="LNI38" s="19"/>
      <c r="LNJ38" s="19"/>
      <c r="LNK38" s="19"/>
      <c r="LNL38" s="19"/>
      <c r="LNM38" s="19"/>
      <c r="LNN38" s="19"/>
      <c r="LNO38" s="19"/>
      <c r="LNP38" s="19"/>
      <c r="LNQ38" s="19"/>
      <c r="LNR38" s="19"/>
      <c r="LNS38" s="19"/>
      <c r="LNT38" s="19"/>
      <c r="LNU38" s="19"/>
      <c r="LNV38" s="19"/>
      <c r="LNW38" s="19"/>
      <c r="LNX38" s="19"/>
      <c r="LNY38" s="19"/>
      <c r="LNZ38" s="19"/>
      <c r="LOA38" s="19"/>
      <c r="LOB38" s="19"/>
      <c r="LOC38" s="19"/>
      <c r="LOD38" s="19"/>
      <c r="LOE38" s="19"/>
      <c r="LOF38" s="19"/>
      <c r="LOG38" s="19"/>
      <c r="LOH38" s="19"/>
      <c r="LOI38" s="19"/>
      <c r="LOJ38" s="19"/>
      <c r="LOK38" s="19"/>
      <c r="LOL38" s="19"/>
      <c r="LOM38" s="19"/>
      <c r="LON38" s="19"/>
      <c r="LOO38" s="19"/>
      <c r="LOP38" s="19"/>
      <c r="LOQ38" s="19"/>
      <c r="LOR38" s="19"/>
      <c r="LOS38" s="19"/>
      <c r="LOT38" s="19"/>
      <c r="LOU38" s="19"/>
      <c r="LOV38" s="19"/>
      <c r="LOW38" s="19"/>
      <c r="LOX38" s="19"/>
      <c r="LOY38" s="19"/>
      <c r="LOZ38" s="19"/>
      <c r="LPA38" s="19"/>
      <c r="LPB38" s="19"/>
      <c r="LPC38" s="19"/>
      <c r="LPD38" s="19"/>
      <c r="LPE38" s="19"/>
      <c r="LPF38" s="19"/>
      <c r="LPG38" s="19"/>
      <c r="LPH38" s="19"/>
      <c r="LPI38" s="19"/>
      <c r="LPJ38" s="19"/>
      <c r="LPK38" s="19"/>
      <c r="LPL38" s="19"/>
      <c r="LPM38" s="19"/>
      <c r="LPN38" s="19"/>
      <c r="LPO38" s="19"/>
      <c r="LPP38" s="19"/>
      <c r="LPQ38" s="19"/>
      <c r="LPR38" s="19"/>
      <c r="LPS38" s="19"/>
      <c r="LPT38" s="19"/>
      <c r="LPU38" s="19"/>
      <c r="LPV38" s="19"/>
      <c r="LPW38" s="19"/>
      <c r="LPX38" s="19"/>
      <c r="LPY38" s="19"/>
      <c r="LPZ38" s="19"/>
      <c r="LQA38" s="19"/>
      <c r="LQB38" s="19"/>
      <c r="LQC38" s="19"/>
      <c r="LQD38" s="19"/>
      <c r="LQE38" s="19"/>
      <c r="LQF38" s="19"/>
      <c r="LQG38" s="19"/>
      <c r="LQH38" s="19"/>
      <c r="LQI38" s="19"/>
      <c r="LQJ38" s="19"/>
      <c r="LQK38" s="19"/>
      <c r="LQL38" s="19"/>
      <c r="LQM38" s="19"/>
      <c r="LQN38" s="19"/>
      <c r="LQO38" s="19"/>
      <c r="LQP38" s="19"/>
      <c r="LQQ38" s="19"/>
      <c r="LQR38" s="19"/>
      <c r="LQS38" s="19"/>
      <c r="LQT38" s="19"/>
      <c r="LQU38" s="19"/>
      <c r="LQV38" s="19"/>
      <c r="LQW38" s="19"/>
      <c r="LQX38" s="19"/>
      <c r="LQY38" s="19"/>
      <c r="LQZ38" s="19"/>
      <c r="LRA38" s="19"/>
      <c r="LRB38" s="19"/>
      <c r="LRC38" s="19"/>
      <c r="LRD38" s="19"/>
      <c r="LRE38" s="19"/>
      <c r="LRF38" s="19"/>
      <c r="LRG38" s="19"/>
      <c r="LRH38" s="19"/>
      <c r="LRI38" s="19"/>
      <c r="LRJ38" s="19"/>
      <c r="LRK38" s="19"/>
      <c r="LRL38" s="19"/>
      <c r="LRM38" s="19"/>
      <c r="LRN38" s="19"/>
      <c r="LRO38" s="19"/>
      <c r="LRP38" s="19"/>
      <c r="LRQ38" s="19"/>
      <c r="LRR38" s="19"/>
      <c r="LRS38" s="19"/>
      <c r="LRT38" s="19"/>
      <c r="LRU38" s="19"/>
      <c r="LRV38" s="19"/>
      <c r="LRW38" s="19"/>
      <c r="LRX38" s="19"/>
      <c r="LRY38" s="19"/>
      <c r="LRZ38" s="19"/>
      <c r="LSA38" s="19"/>
      <c r="LSB38" s="19"/>
      <c r="LSC38" s="19"/>
      <c r="LSD38" s="19"/>
      <c r="LSE38" s="19"/>
      <c r="LSF38" s="19"/>
      <c r="LSG38" s="19"/>
      <c r="LSH38" s="19"/>
      <c r="LSI38" s="19"/>
      <c r="LSJ38" s="19"/>
      <c r="LSK38" s="19"/>
      <c r="LSL38" s="19"/>
      <c r="LSM38" s="19"/>
      <c r="LSN38" s="19"/>
      <c r="LSO38" s="19"/>
      <c r="LSP38" s="19"/>
      <c r="LSQ38" s="19"/>
      <c r="LSR38" s="19"/>
      <c r="LSS38" s="19"/>
      <c r="LST38" s="19"/>
      <c r="LSU38" s="19"/>
      <c r="LSV38" s="19"/>
      <c r="LSW38" s="19"/>
      <c r="LSX38" s="19"/>
      <c r="LSY38" s="19"/>
      <c r="LSZ38" s="19"/>
      <c r="LTA38" s="19"/>
      <c r="LTB38" s="19"/>
      <c r="LTC38" s="19"/>
      <c r="LTD38" s="19"/>
      <c r="LTE38" s="19"/>
      <c r="LTF38" s="19"/>
      <c r="LTG38" s="19"/>
      <c r="LTH38" s="19"/>
      <c r="LTI38" s="19"/>
      <c r="LTJ38" s="19"/>
      <c r="LTK38" s="19"/>
      <c r="LTL38" s="19"/>
      <c r="LTM38" s="19"/>
      <c r="LTN38" s="19"/>
      <c r="LTO38" s="19"/>
      <c r="LTP38" s="19"/>
      <c r="LTQ38" s="19"/>
      <c r="LTR38" s="19"/>
      <c r="LTS38" s="19"/>
      <c r="LTT38" s="19"/>
      <c r="LTU38" s="19"/>
      <c r="LTV38" s="19"/>
      <c r="LTW38" s="19"/>
      <c r="LTX38" s="19"/>
      <c r="LTY38" s="19"/>
      <c r="LTZ38" s="19"/>
      <c r="LUA38" s="19"/>
      <c r="LUB38" s="19"/>
      <c r="LUC38" s="19"/>
      <c r="LUD38" s="19"/>
      <c r="LUE38" s="19"/>
      <c r="LUF38" s="19"/>
      <c r="LUG38" s="19"/>
      <c r="LUH38" s="19"/>
      <c r="LUI38" s="19"/>
      <c r="LUJ38" s="19"/>
      <c r="LUK38" s="19"/>
      <c r="LUL38" s="19"/>
      <c r="LUM38" s="19"/>
      <c r="LUN38" s="19"/>
      <c r="LUO38" s="19"/>
      <c r="LUP38" s="19"/>
      <c r="LUQ38" s="19"/>
      <c r="LUR38" s="19"/>
      <c r="LUS38" s="19"/>
      <c r="LUT38" s="19"/>
      <c r="LUU38" s="19"/>
      <c r="LUV38" s="19"/>
      <c r="LUW38" s="19"/>
      <c r="LUX38" s="19"/>
      <c r="LUY38" s="19"/>
      <c r="LUZ38" s="19"/>
      <c r="LVA38" s="19"/>
      <c r="LVB38" s="19"/>
      <c r="LVC38" s="19"/>
      <c r="LVD38" s="19"/>
      <c r="LVE38" s="19"/>
      <c r="LVF38" s="19"/>
      <c r="LVG38" s="19"/>
      <c r="LVH38" s="19"/>
      <c r="LVI38" s="19"/>
      <c r="LVJ38" s="19"/>
      <c r="LVK38" s="19"/>
      <c r="LVL38" s="19"/>
      <c r="LVM38" s="19"/>
      <c r="LVN38" s="19"/>
      <c r="LVO38" s="19"/>
      <c r="LVP38" s="19"/>
      <c r="LVQ38" s="19"/>
      <c r="LVR38" s="19"/>
      <c r="LVS38" s="19"/>
      <c r="LVT38" s="19"/>
      <c r="LVU38" s="19"/>
      <c r="LVV38" s="19"/>
      <c r="LVW38" s="19"/>
      <c r="LVX38" s="19"/>
      <c r="LVY38" s="19"/>
      <c r="LVZ38" s="19"/>
      <c r="LWA38" s="19"/>
      <c r="LWB38" s="19"/>
      <c r="LWC38" s="19"/>
      <c r="LWD38" s="19"/>
      <c r="LWE38" s="19"/>
      <c r="LWF38" s="19"/>
      <c r="LWG38" s="19"/>
      <c r="LWH38" s="19"/>
      <c r="LWI38" s="19"/>
      <c r="LWJ38" s="19"/>
      <c r="LWK38" s="19"/>
      <c r="LWL38" s="19"/>
      <c r="LWM38" s="19"/>
      <c r="LWN38" s="19"/>
      <c r="LWO38" s="19"/>
      <c r="LWP38" s="19"/>
      <c r="LWQ38" s="19"/>
      <c r="LWR38" s="19"/>
      <c r="LWS38" s="19"/>
      <c r="LWT38" s="19"/>
      <c r="LWU38" s="19"/>
      <c r="LWV38" s="19"/>
      <c r="LWW38" s="19"/>
      <c r="LWX38" s="19"/>
      <c r="LWY38" s="19"/>
      <c r="LWZ38" s="19"/>
      <c r="LXA38" s="19"/>
      <c r="LXB38" s="19"/>
      <c r="LXC38" s="19"/>
      <c r="LXD38" s="19"/>
      <c r="LXE38" s="19"/>
      <c r="LXF38" s="19"/>
      <c r="LXG38" s="19"/>
      <c r="LXH38" s="19"/>
      <c r="LXI38" s="19"/>
      <c r="LXJ38" s="19"/>
      <c r="LXK38" s="19"/>
      <c r="LXL38" s="19"/>
      <c r="LXM38" s="19"/>
      <c r="LXN38" s="19"/>
      <c r="LXO38" s="19"/>
      <c r="LXP38" s="19"/>
      <c r="LXQ38" s="19"/>
      <c r="LXR38" s="19"/>
      <c r="LXS38" s="19"/>
      <c r="LXT38" s="19"/>
      <c r="LXU38" s="19"/>
      <c r="LXV38" s="19"/>
      <c r="LXW38" s="19"/>
      <c r="LXX38" s="19"/>
      <c r="LXY38" s="19"/>
      <c r="LXZ38" s="19"/>
      <c r="LYA38" s="19"/>
      <c r="LYB38" s="19"/>
      <c r="LYC38" s="19"/>
      <c r="LYD38" s="19"/>
      <c r="LYE38" s="19"/>
      <c r="LYF38" s="19"/>
      <c r="LYG38" s="19"/>
      <c r="LYH38" s="19"/>
      <c r="LYI38" s="19"/>
      <c r="LYJ38" s="19"/>
      <c r="LYK38" s="19"/>
      <c r="LYL38" s="19"/>
      <c r="LYM38" s="19"/>
      <c r="LYN38" s="19"/>
      <c r="LYO38" s="19"/>
      <c r="LYP38" s="19"/>
      <c r="LYQ38" s="19"/>
      <c r="LYR38" s="19"/>
      <c r="LYS38" s="19"/>
      <c r="LYT38" s="19"/>
      <c r="LYU38" s="19"/>
      <c r="LYV38" s="19"/>
      <c r="LYW38" s="19"/>
      <c r="LYX38" s="19"/>
      <c r="LYY38" s="19"/>
      <c r="LYZ38" s="19"/>
      <c r="LZA38" s="19"/>
      <c r="LZB38" s="19"/>
      <c r="LZC38" s="19"/>
      <c r="LZD38" s="19"/>
      <c r="LZE38" s="19"/>
      <c r="LZF38" s="19"/>
      <c r="LZG38" s="19"/>
      <c r="LZH38" s="19"/>
      <c r="LZI38" s="19"/>
      <c r="LZJ38" s="19"/>
      <c r="LZK38" s="19"/>
      <c r="LZL38" s="19"/>
      <c r="LZM38" s="19"/>
      <c r="LZN38" s="19"/>
      <c r="LZO38" s="19"/>
      <c r="LZP38" s="19"/>
      <c r="LZQ38" s="19"/>
      <c r="LZR38" s="19"/>
      <c r="LZS38" s="19"/>
      <c r="LZT38" s="19"/>
      <c r="LZU38" s="19"/>
      <c r="LZV38" s="19"/>
      <c r="LZW38" s="19"/>
      <c r="LZX38" s="19"/>
      <c r="LZY38" s="19"/>
      <c r="LZZ38" s="19"/>
      <c r="MAA38" s="19"/>
      <c r="MAB38" s="19"/>
      <c r="MAC38" s="19"/>
      <c r="MAD38" s="19"/>
      <c r="MAE38" s="19"/>
      <c r="MAF38" s="19"/>
      <c r="MAG38" s="19"/>
      <c r="MAH38" s="19"/>
      <c r="MAI38" s="19"/>
      <c r="MAJ38" s="19"/>
      <c r="MAK38" s="19"/>
      <c r="MAL38" s="19"/>
      <c r="MAM38" s="19"/>
      <c r="MAN38" s="19"/>
      <c r="MAO38" s="19"/>
      <c r="MAP38" s="19"/>
      <c r="MAQ38" s="19"/>
      <c r="MAR38" s="19"/>
      <c r="MAS38" s="19"/>
      <c r="MAT38" s="19"/>
      <c r="MAU38" s="19"/>
      <c r="MAV38" s="19"/>
      <c r="MAW38" s="19"/>
      <c r="MAX38" s="19"/>
      <c r="MAY38" s="19"/>
      <c r="MAZ38" s="19"/>
      <c r="MBA38" s="19"/>
      <c r="MBB38" s="19"/>
      <c r="MBC38" s="19"/>
      <c r="MBD38" s="19"/>
      <c r="MBE38" s="19"/>
      <c r="MBF38" s="19"/>
      <c r="MBG38" s="19"/>
      <c r="MBH38" s="19"/>
      <c r="MBI38" s="19"/>
      <c r="MBJ38" s="19"/>
      <c r="MBK38" s="19"/>
      <c r="MBL38" s="19"/>
      <c r="MBM38" s="19"/>
      <c r="MBN38" s="19"/>
      <c r="MBO38" s="19"/>
      <c r="MBP38" s="19"/>
      <c r="MBQ38" s="19"/>
      <c r="MBR38" s="19"/>
      <c r="MBS38" s="19"/>
      <c r="MBT38" s="19"/>
      <c r="MBU38" s="19"/>
      <c r="MBV38" s="19"/>
      <c r="MBW38" s="19"/>
      <c r="MBX38" s="19"/>
      <c r="MBY38" s="19"/>
      <c r="MBZ38" s="19"/>
      <c r="MCA38" s="19"/>
      <c r="MCB38" s="19"/>
      <c r="MCC38" s="19"/>
      <c r="MCD38" s="19"/>
      <c r="MCE38" s="19"/>
      <c r="MCF38" s="19"/>
      <c r="MCG38" s="19"/>
      <c r="MCH38" s="19"/>
      <c r="MCI38" s="19"/>
      <c r="MCJ38" s="19"/>
      <c r="MCK38" s="19"/>
      <c r="MCL38" s="19"/>
      <c r="MCM38" s="19"/>
      <c r="MCN38" s="19"/>
      <c r="MCO38" s="19"/>
      <c r="MCP38" s="19"/>
      <c r="MCQ38" s="19"/>
      <c r="MCR38" s="19"/>
      <c r="MCS38" s="19"/>
      <c r="MCT38" s="19"/>
      <c r="MCU38" s="19"/>
      <c r="MCV38" s="19"/>
      <c r="MCW38" s="19"/>
      <c r="MCX38" s="19"/>
      <c r="MCY38" s="19"/>
      <c r="MCZ38" s="19"/>
      <c r="MDA38" s="19"/>
      <c r="MDB38" s="19"/>
      <c r="MDC38" s="19"/>
      <c r="MDD38" s="19"/>
      <c r="MDE38" s="19"/>
      <c r="MDF38" s="19"/>
      <c r="MDG38" s="19"/>
      <c r="MDH38" s="19"/>
      <c r="MDI38" s="19"/>
      <c r="MDJ38" s="19"/>
      <c r="MDK38" s="19"/>
      <c r="MDL38" s="19"/>
      <c r="MDM38" s="19"/>
      <c r="MDN38" s="19"/>
      <c r="MDO38" s="19"/>
      <c r="MDP38" s="19"/>
      <c r="MDQ38" s="19"/>
      <c r="MDR38" s="19"/>
      <c r="MDS38" s="19"/>
      <c r="MDT38" s="19"/>
      <c r="MDU38" s="19"/>
      <c r="MDV38" s="19"/>
      <c r="MDW38" s="19"/>
      <c r="MDX38" s="19"/>
      <c r="MDY38" s="19"/>
      <c r="MDZ38" s="19"/>
      <c r="MEA38" s="19"/>
      <c r="MEB38" s="19"/>
      <c r="MEC38" s="19"/>
      <c r="MED38" s="19"/>
      <c r="MEE38" s="19"/>
      <c r="MEF38" s="19"/>
      <c r="MEG38" s="19"/>
      <c r="MEH38" s="19"/>
      <c r="MEI38" s="19"/>
      <c r="MEJ38" s="19"/>
      <c r="MEK38" s="19"/>
      <c r="MEL38" s="19"/>
      <c r="MEM38" s="19"/>
      <c r="MEN38" s="19"/>
      <c r="MEO38" s="19"/>
      <c r="MEP38" s="19"/>
      <c r="MEQ38" s="19"/>
      <c r="MER38" s="19"/>
      <c r="MES38" s="19"/>
      <c r="MET38" s="19"/>
      <c r="MEU38" s="19"/>
      <c r="MEV38" s="19"/>
      <c r="MEW38" s="19"/>
      <c r="MEX38" s="19"/>
      <c r="MEY38" s="19"/>
      <c r="MEZ38" s="19"/>
      <c r="MFA38" s="19"/>
      <c r="MFB38" s="19"/>
      <c r="MFC38" s="19"/>
      <c r="MFD38" s="19"/>
      <c r="MFE38" s="19"/>
      <c r="MFF38" s="19"/>
      <c r="MFG38" s="19"/>
      <c r="MFH38" s="19"/>
      <c r="MFI38" s="19"/>
      <c r="MFJ38" s="19"/>
      <c r="MFK38" s="19"/>
      <c r="MFL38" s="19"/>
      <c r="MFM38" s="19"/>
      <c r="MFN38" s="19"/>
      <c r="MFO38" s="19"/>
      <c r="MFP38" s="19"/>
      <c r="MFQ38" s="19"/>
      <c r="MFR38" s="19"/>
      <c r="MFS38" s="19"/>
      <c r="MFT38" s="19"/>
      <c r="MFU38" s="19"/>
      <c r="MFV38" s="19"/>
      <c r="MFW38" s="19"/>
      <c r="MFX38" s="19"/>
      <c r="MFY38" s="19"/>
      <c r="MFZ38" s="19"/>
      <c r="MGA38" s="19"/>
      <c r="MGB38" s="19"/>
      <c r="MGC38" s="19"/>
      <c r="MGD38" s="19"/>
      <c r="MGE38" s="19"/>
      <c r="MGF38" s="19"/>
      <c r="MGG38" s="19"/>
      <c r="MGH38" s="19"/>
      <c r="MGI38" s="19"/>
      <c r="MGJ38" s="19"/>
      <c r="MGK38" s="19"/>
      <c r="MGL38" s="19"/>
      <c r="MGM38" s="19"/>
      <c r="MGN38" s="19"/>
      <c r="MGO38" s="19"/>
      <c r="MGP38" s="19"/>
      <c r="MGQ38" s="19"/>
      <c r="MGR38" s="19"/>
      <c r="MGS38" s="19"/>
      <c r="MGT38" s="19"/>
      <c r="MGU38" s="19"/>
      <c r="MGV38" s="19"/>
      <c r="MGW38" s="19"/>
      <c r="MGX38" s="19"/>
      <c r="MGY38" s="19"/>
      <c r="MGZ38" s="19"/>
      <c r="MHA38" s="19"/>
      <c r="MHB38" s="19"/>
      <c r="MHC38" s="19"/>
      <c r="MHD38" s="19"/>
      <c r="MHE38" s="19"/>
      <c r="MHF38" s="19"/>
      <c r="MHG38" s="19"/>
      <c r="MHH38" s="19"/>
      <c r="MHI38" s="19"/>
      <c r="MHJ38" s="19"/>
      <c r="MHK38" s="19"/>
      <c r="MHL38" s="19"/>
      <c r="MHM38" s="19"/>
      <c r="MHN38" s="19"/>
      <c r="MHO38" s="19"/>
      <c r="MHP38" s="19"/>
      <c r="MHQ38" s="19"/>
      <c r="MHR38" s="19"/>
      <c r="MHS38" s="19"/>
      <c r="MHT38" s="19"/>
      <c r="MHU38" s="19"/>
      <c r="MHV38" s="19"/>
      <c r="MHW38" s="19"/>
      <c r="MHX38" s="19"/>
      <c r="MHY38" s="19"/>
      <c r="MHZ38" s="19"/>
      <c r="MIA38" s="19"/>
      <c r="MIB38" s="19"/>
      <c r="MIC38" s="19"/>
      <c r="MID38" s="19"/>
      <c r="MIE38" s="19"/>
      <c r="MIF38" s="19"/>
      <c r="MIG38" s="19"/>
      <c r="MIH38" s="19"/>
      <c r="MII38" s="19"/>
      <c r="MIJ38" s="19"/>
      <c r="MIK38" s="19"/>
      <c r="MIL38" s="19"/>
      <c r="MIM38" s="19"/>
      <c r="MIN38" s="19"/>
      <c r="MIO38" s="19"/>
      <c r="MIP38" s="19"/>
      <c r="MIQ38" s="19"/>
      <c r="MIR38" s="19"/>
      <c r="MIS38" s="19"/>
      <c r="MIT38" s="19"/>
      <c r="MIU38" s="19"/>
      <c r="MIV38" s="19"/>
      <c r="MIW38" s="19"/>
      <c r="MIX38" s="19"/>
      <c r="MIY38" s="19"/>
      <c r="MIZ38" s="19"/>
      <c r="MJA38" s="19"/>
      <c r="MJB38" s="19"/>
      <c r="MJC38" s="19"/>
      <c r="MJD38" s="19"/>
      <c r="MJE38" s="19"/>
      <c r="MJF38" s="19"/>
      <c r="MJG38" s="19"/>
      <c r="MJH38" s="19"/>
      <c r="MJI38" s="19"/>
      <c r="MJJ38" s="19"/>
      <c r="MJK38" s="19"/>
      <c r="MJL38" s="19"/>
      <c r="MJM38" s="19"/>
      <c r="MJN38" s="19"/>
      <c r="MJO38" s="19"/>
      <c r="MJP38" s="19"/>
      <c r="MJQ38" s="19"/>
      <c r="MJR38" s="19"/>
      <c r="MJS38" s="19"/>
      <c r="MJT38" s="19"/>
      <c r="MJU38" s="19"/>
      <c r="MJV38" s="19"/>
      <c r="MJW38" s="19"/>
      <c r="MJX38" s="19"/>
      <c r="MJY38" s="19"/>
      <c r="MJZ38" s="19"/>
      <c r="MKA38" s="19"/>
      <c r="MKB38" s="19"/>
      <c r="MKC38" s="19"/>
      <c r="MKD38" s="19"/>
      <c r="MKE38" s="19"/>
      <c r="MKF38" s="19"/>
      <c r="MKG38" s="19"/>
      <c r="MKH38" s="19"/>
      <c r="MKI38" s="19"/>
      <c r="MKJ38" s="19"/>
      <c r="MKK38" s="19"/>
      <c r="MKL38" s="19"/>
      <c r="MKM38" s="19"/>
      <c r="MKN38" s="19"/>
      <c r="MKO38" s="19"/>
      <c r="MKP38" s="19"/>
      <c r="MKQ38" s="19"/>
      <c r="MKR38" s="19"/>
      <c r="MKS38" s="19"/>
      <c r="MKT38" s="19"/>
      <c r="MKU38" s="19"/>
      <c r="MKV38" s="19"/>
      <c r="MKW38" s="19"/>
      <c r="MKX38" s="19"/>
      <c r="MKY38" s="19"/>
      <c r="MKZ38" s="19"/>
      <c r="MLA38" s="19"/>
      <c r="MLB38" s="19"/>
      <c r="MLC38" s="19"/>
      <c r="MLD38" s="19"/>
      <c r="MLE38" s="19"/>
      <c r="MLF38" s="19"/>
      <c r="MLG38" s="19"/>
      <c r="MLH38" s="19"/>
      <c r="MLI38" s="19"/>
      <c r="MLJ38" s="19"/>
      <c r="MLK38" s="19"/>
      <c r="MLL38" s="19"/>
      <c r="MLM38" s="19"/>
      <c r="MLN38" s="19"/>
      <c r="MLO38" s="19"/>
      <c r="MLP38" s="19"/>
      <c r="MLQ38" s="19"/>
      <c r="MLR38" s="19"/>
      <c r="MLS38" s="19"/>
      <c r="MLT38" s="19"/>
      <c r="MLU38" s="19"/>
      <c r="MLV38" s="19"/>
      <c r="MLW38" s="19"/>
      <c r="MLX38" s="19"/>
      <c r="MLY38" s="19"/>
      <c r="MLZ38" s="19"/>
      <c r="MMA38" s="19"/>
      <c r="MMB38" s="19"/>
      <c r="MMC38" s="19"/>
      <c r="MMD38" s="19"/>
      <c r="MME38" s="19"/>
      <c r="MMF38" s="19"/>
      <c r="MMG38" s="19"/>
      <c r="MMH38" s="19"/>
      <c r="MMI38" s="19"/>
      <c r="MMJ38" s="19"/>
      <c r="MMK38" s="19"/>
      <c r="MML38" s="19"/>
      <c r="MMM38" s="19"/>
      <c r="MMN38" s="19"/>
      <c r="MMO38" s="19"/>
      <c r="MMP38" s="19"/>
      <c r="MMQ38" s="19"/>
      <c r="MMR38" s="19"/>
      <c r="MMS38" s="19"/>
      <c r="MMT38" s="19"/>
      <c r="MMU38" s="19"/>
      <c r="MMV38" s="19"/>
      <c r="MMW38" s="19"/>
      <c r="MMX38" s="19"/>
      <c r="MMY38" s="19"/>
      <c r="MMZ38" s="19"/>
      <c r="MNA38" s="19"/>
      <c r="MNB38" s="19"/>
      <c r="MNC38" s="19"/>
      <c r="MND38" s="19"/>
      <c r="MNE38" s="19"/>
      <c r="MNF38" s="19"/>
      <c r="MNG38" s="19"/>
      <c r="MNH38" s="19"/>
      <c r="MNI38" s="19"/>
      <c r="MNJ38" s="19"/>
      <c r="MNK38" s="19"/>
      <c r="MNL38" s="19"/>
      <c r="MNM38" s="19"/>
      <c r="MNN38" s="19"/>
      <c r="MNO38" s="19"/>
      <c r="MNP38" s="19"/>
      <c r="MNQ38" s="19"/>
      <c r="MNR38" s="19"/>
      <c r="MNS38" s="19"/>
      <c r="MNT38" s="19"/>
      <c r="MNU38" s="19"/>
      <c r="MNV38" s="19"/>
      <c r="MNW38" s="19"/>
      <c r="MNX38" s="19"/>
      <c r="MNY38" s="19"/>
      <c r="MNZ38" s="19"/>
      <c r="MOA38" s="19"/>
      <c r="MOB38" s="19"/>
      <c r="MOC38" s="19"/>
      <c r="MOD38" s="19"/>
      <c r="MOE38" s="19"/>
      <c r="MOF38" s="19"/>
      <c r="MOG38" s="19"/>
      <c r="MOH38" s="19"/>
      <c r="MOI38" s="19"/>
      <c r="MOJ38" s="19"/>
      <c r="MOK38" s="19"/>
      <c r="MOL38" s="19"/>
      <c r="MOM38" s="19"/>
      <c r="MON38" s="19"/>
      <c r="MOO38" s="19"/>
      <c r="MOP38" s="19"/>
      <c r="MOQ38" s="19"/>
      <c r="MOR38" s="19"/>
      <c r="MOS38" s="19"/>
      <c r="MOT38" s="19"/>
      <c r="MOU38" s="19"/>
      <c r="MOV38" s="19"/>
      <c r="MOW38" s="19"/>
      <c r="MOX38" s="19"/>
      <c r="MOY38" s="19"/>
      <c r="MOZ38" s="19"/>
      <c r="MPA38" s="19"/>
      <c r="MPB38" s="19"/>
      <c r="MPC38" s="19"/>
      <c r="MPD38" s="19"/>
      <c r="MPE38" s="19"/>
      <c r="MPF38" s="19"/>
      <c r="MPG38" s="19"/>
      <c r="MPH38" s="19"/>
      <c r="MPI38" s="19"/>
      <c r="MPJ38" s="19"/>
      <c r="MPK38" s="19"/>
      <c r="MPL38" s="19"/>
      <c r="MPM38" s="19"/>
      <c r="MPN38" s="19"/>
      <c r="MPO38" s="19"/>
      <c r="MPP38" s="19"/>
      <c r="MPQ38" s="19"/>
      <c r="MPR38" s="19"/>
      <c r="MPS38" s="19"/>
      <c r="MPT38" s="19"/>
      <c r="MPU38" s="19"/>
      <c r="MPV38" s="19"/>
      <c r="MPW38" s="19"/>
      <c r="MPX38" s="19"/>
      <c r="MPY38" s="19"/>
      <c r="MPZ38" s="19"/>
      <c r="MQA38" s="19"/>
      <c r="MQB38" s="19"/>
      <c r="MQC38" s="19"/>
      <c r="MQD38" s="19"/>
      <c r="MQE38" s="19"/>
      <c r="MQF38" s="19"/>
      <c r="MQG38" s="19"/>
      <c r="MQH38" s="19"/>
      <c r="MQI38" s="19"/>
      <c r="MQJ38" s="19"/>
      <c r="MQK38" s="19"/>
      <c r="MQL38" s="19"/>
      <c r="MQM38" s="19"/>
      <c r="MQN38" s="19"/>
      <c r="MQO38" s="19"/>
      <c r="MQP38" s="19"/>
      <c r="MQQ38" s="19"/>
      <c r="MQR38" s="19"/>
      <c r="MQS38" s="19"/>
      <c r="MQT38" s="19"/>
      <c r="MQU38" s="19"/>
      <c r="MQV38" s="19"/>
      <c r="MQW38" s="19"/>
      <c r="MQX38" s="19"/>
      <c r="MQY38" s="19"/>
      <c r="MQZ38" s="19"/>
      <c r="MRA38" s="19"/>
      <c r="MRB38" s="19"/>
      <c r="MRC38" s="19"/>
      <c r="MRD38" s="19"/>
      <c r="MRE38" s="19"/>
      <c r="MRF38" s="19"/>
      <c r="MRG38" s="19"/>
      <c r="MRH38" s="19"/>
      <c r="MRI38" s="19"/>
      <c r="MRJ38" s="19"/>
      <c r="MRK38" s="19"/>
      <c r="MRL38" s="19"/>
      <c r="MRM38" s="19"/>
      <c r="MRN38" s="19"/>
      <c r="MRO38" s="19"/>
      <c r="MRP38" s="19"/>
      <c r="MRQ38" s="19"/>
      <c r="MRR38" s="19"/>
      <c r="MRS38" s="19"/>
      <c r="MRT38" s="19"/>
      <c r="MRU38" s="19"/>
      <c r="MRV38" s="19"/>
      <c r="MRW38" s="19"/>
      <c r="MRX38" s="19"/>
      <c r="MRY38" s="19"/>
      <c r="MRZ38" s="19"/>
      <c r="MSA38" s="19"/>
      <c r="MSB38" s="19"/>
      <c r="MSC38" s="19"/>
      <c r="MSD38" s="19"/>
      <c r="MSE38" s="19"/>
      <c r="MSF38" s="19"/>
      <c r="MSG38" s="19"/>
      <c r="MSH38" s="19"/>
      <c r="MSI38" s="19"/>
      <c r="MSJ38" s="19"/>
      <c r="MSK38" s="19"/>
      <c r="MSL38" s="19"/>
      <c r="MSM38" s="19"/>
      <c r="MSN38" s="19"/>
      <c r="MSO38" s="19"/>
      <c r="MSP38" s="19"/>
      <c r="MSQ38" s="19"/>
      <c r="MSR38" s="19"/>
      <c r="MSS38" s="19"/>
      <c r="MST38" s="19"/>
      <c r="MSU38" s="19"/>
      <c r="MSV38" s="19"/>
      <c r="MSW38" s="19"/>
      <c r="MSX38" s="19"/>
      <c r="MSY38" s="19"/>
      <c r="MSZ38" s="19"/>
      <c r="MTA38" s="19"/>
      <c r="MTB38" s="19"/>
      <c r="MTC38" s="19"/>
      <c r="MTD38" s="19"/>
      <c r="MTE38" s="19"/>
      <c r="MTF38" s="19"/>
      <c r="MTG38" s="19"/>
      <c r="MTH38" s="19"/>
      <c r="MTI38" s="19"/>
      <c r="MTJ38" s="19"/>
      <c r="MTK38" s="19"/>
      <c r="MTL38" s="19"/>
      <c r="MTM38" s="19"/>
      <c r="MTN38" s="19"/>
      <c r="MTO38" s="19"/>
      <c r="MTP38" s="19"/>
      <c r="MTQ38" s="19"/>
      <c r="MTR38" s="19"/>
      <c r="MTS38" s="19"/>
      <c r="MTT38" s="19"/>
      <c r="MTU38" s="19"/>
      <c r="MTV38" s="19"/>
      <c r="MTW38" s="19"/>
      <c r="MTX38" s="19"/>
      <c r="MTY38" s="19"/>
      <c r="MTZ38" s="19"/>
      <c r="MUA38" s="19"/>
      <c r="MUB38" s="19"/>
      <c r="MUC38" s="19"/>
      <c r="MUD38" s="19"/>
      <c r="MUE38" s="19"/>
      <c r="MUF38" s="19"/>
      <c r="MUG38" s="19"/>
      <c r="MUH38" s="19"/>
      <c r="MUI38" s="19"/>
      <c r="MUJ38" s="19"/>
      <c r="MUK38" s="19"/>
      <c r="MUL38" s="19"/>
      <c r="MUM38" s="19"/>
      <c r="MUN38" s="19"/>
      <c r="MUO38" s="19"/>
      <c r="MUP38" s="19"/>
      <c r="MUQ38" s="19"/>
      <c r="MUR38" s="19"/>
      <c r="MUS38" s="19"/>
      <c r="MUT38" s="19"/>
      <c r="MUU38" s="19"/>
      <c r="MUV38" s="19"/>
      <c r="MUW38" s="19"/>
      <c r="MUX38" s="19"/>
      <c r="MUY38" s="19"/>
      <c r="MUZ38" s="19"/>
      <c r="MVA38" s="19"/>
      <c r="MVB38" s="19"/>
      <c r="MVC38" s="19"/>
      <c r="MVD38" s="19"/>
      <c r="MVE38" s="19"/>
      <c r="MVF38" s="19"/>
      <c r="MVG38" s="19"/>
      <c r="MVH38" s="19"/>
      <c r="MVI38" s="19"/>
      <c r="MVJ38" s="19"/>
      <c r="MVK38" s="19"/>
      <c r="MVL38" s="19"/>
      <c r="MVM38" s="19"/>
      <c r="MVN38" s="19"/>
      <c r="MVO38" s="19"/>
      <c r="MVP38" s="19"/>
      <c r="MVQ38" s="19"/>
      <c r="MVR38" s="19"/>
      <c r="MVS38" s="19"/>
      <c r="MVT38" s="19"/>
      <c r="MVU38" s="19"/>
      <c r="MVV38" s="19"/>
      <c r="MVW38" s="19"/>
      <c r="MVX38" s="19"/>
      <c r="MVY38" s="19"/>
      <c r="MVZ38" s="19"/>
      <c r="MWA38" s="19"/>
      <c r="MWB38" s="19"/>
      <c r="MWC38" s="19"/>
      <c r="MWD38" s="19"/>
      <c r="MWE38" s="19"/>
      <c r="MWF38" s="19"/>
      <c r="MWG38" s="19"/>
      <c r="MWH38" s="19"/>
      <c r="MWI38" s="19"/>
      <c r="MWJ38" s="19"/>
      <c r="MWK38" s="19"/>
      <c r="MWL38" s="19"/>
      <c r="MWM38" s="19"/>
      <c r="MWN38" s="19"/>
      <c r="MWO38" s="19"/>
      <c r="MWP38" s="19"/>
      <c r="MWQ38" s="19"/>
      <c r="MWR38" s="19"/>
      <c r="MWS38" s="19"/>
      <c r="MWT38" s="19"/>
      <c r="MWU38" s="19"/>
      <c r="MWV38" s="19"/>
      <c r="MWW38" s="19"/>
      <c r="MWX38" s="19"/>
      <c r="MWY38" s="19"/>
      <c r="MWZ38" s="19"/>
      <c r="MXA38" s="19"/>
      <c r="MXB38" s="19"/>
      <c r="MXC38" s="19"/>
      <c r="MXD38" s="19"/>
      <c r="MXE38" s="19"/>
      <c r="MXF38" s="19"/>
      <c r="MXG38" s="19"/>
      <c r="MXH38" s="19"/>
      <c r="MXI38" s="19"/>
      <c r="MXJ38" s="19"/>
      <c r="MXK38" s="19"/>
      <c r="MXL38" s="19"/>
      <c r="MXM38" s="19"/>
      <c r="MXN38" s="19"/>
      <c r="MXO38" s="19"/>
      <c r="MXP38" s="19"/>
      <c r="MXQ38" s="19"/>
      <c r="MXR38" s="19"/>
      <c r="MXS38" s="19"/>
      <c r="MXT38" s="19"/>
      <c r="MXU38" s="19"/>
      <c r="MXV38" s="19"/>
      <c r="MXW38" s="19"/>
      <c r="MXX38" s="19"/>
      <c r="MXY38" s="19"/>
      <c r="MXZ38" s="19"/>
      <c r="MYA38" s="19"/>
      <c r="MYB38" s="19"/>
      <c r="MYC38" s="19"/>
      <c r="MYD38" s="19"/>
      <c r="MYE38" s="19"/>
      <c r="MYF38" s="19"/>
      <c r="MYG38" s="19"/>
      <c r="MYH38" s="19"/>
      <c r="MYI38" s="19"/>
      <c r="MYJ38" s="19"/>
      <c r="MYK38" s="19"/>
      <c r="MYL38" s="19"/>
      <c r="MYM38" s="19"/>
      <c r="MYN38" s="19"/>
      <c r="MYO38" s="19"/>
      <c r="MYP38" s="19"/>
      <c r="MYQ38" s="19"/>
      <c r="MYR38" s="19"/>
      <c r="MYS38" s="19"/>
      <c r="MYT38" s="19"/>
      <c r="MYU38" s="19"/>
      <c r="MYV38" s="19"/>
      <c r="MYW38" s="19"/>
      <c r="MYX38" s="19"/>
      <c r="MYY38" s="19"/>
      <c r="MYZ38" s="19"/>
      <c r="MZA38" s="19"/>
      <c r="MZB38" s="19"/>
      <c r="MZC38" s="19"/>
      <c r="MZD38" s="19"/>
      <c r="MZE38" s="19"/>
      <c r="MZF38" s="19"/>
      <c r="MZG38" s="19"/>
      <c r="MZH38" s="19"/>
      <c r="MZI38" s="19"/>
      <c r="MZJ38" s="19"/>
      <c r="MZK38" s="19"/>
      <c r="MZL38" s="19"/>
      <c r="MZM38" s="19"/>
      <c r="MZN38" s="19"/>
      <c r="MZO38" s="19"/>
      <c r="MZP38" s="19"/>
      <c r="MZQ38" s="19"/>
      <c r="MZR38" s="19"/>
      <c r="MZS38" s="19"/>
      <c r="MZT38" s="19"/>
      <c r="MZU38" s="19"/>
      <c r="MZV38" s="19"/>
      <c r="MZW38" s="19"/>
      <c r="MZX38" s="19"/>
      <c r="MZY38" s="19"/>
      <c r="MZZ38" s="19"/>
      <c r="NAA38" s="19"/>
      <c r="NAB38" s="19"/>
      <c r="NAC38" s="19"/>
      <c r="NAD38" s="19"/>
      <c r="NAE38" s="19"/>
      <c r="NAF38" s="19"/>
      <c r="NAG38" s="19"/>
      <c r="NAH38" s="19"/>
      <c r="NAI38" s="19"/>
      <c r="NAJ38" s="19"/>
      <c r="NAK38" s="19"/>
      <c r="NAL38" s="19"/>
      <c r="NAM38" s="19"/>
      <c r="NAN38" s="19"/>
      <c r="NAO38" s="19"/>
      <c r="NAP38" s="19"/>
      <c r="NAQ38" s="19"/>
      <c r="NAR38" s="19"/>
      <c r="NAS38" s="19"/>
      <c r="NAT38" s="19"/>
      <c r="NAU38" s="19"/>
      <c r="NAV38" s="19"/>
      <c r="NAW38" s="19"/>
      <c r="NAX38" s="19"/>
      <c r="NAY38" s="19"/>
      <c r="NAZ38" s="19"/>
      <c r="NBA38" s="19"/>
      <c r="NBB38" s="19"/>
      <c r="NBC38" s="19"/>
      <c r="NBD38" s="19"/>
      <c r="NBE38" s="19"/>
      <c r="NBF38" s="19"/>
      <c r="NBG38" s="19"/>
      <c r="NBH38" s="19"/>
      <c r="NBI38" s="19"/>
      <c r="NBJ38" s="19"/>
      <c r="NBK38" s="19"/>
      <c r="NBL38" s="19"/>
      <c r="NBM38" s="19"/>
      <c r="NBN38" s="19"/>
      <c r="NBO38" s="19"/>
      <c r="NBP38" s="19"/>
      <c r="NBQ38" s="19"/>
      <c r="NBR38" s="19"/>
      <c r="NBS38" s="19"/>
      <c r="NBT38" s="19"/>
      <c r="NBU38" s="19"/>
      <c r="NBV38" s="19"/>
      <c r="NBW38" s="19"/>
      <c r="NBX38" s="19"/>
      <c r="NBY38" s="19"/>
      <c r="NBZ38" s="19"/>
      <c r="NCA38" s="19"/>
      <c r="NCB38" s="19"/>
      <c r="NCC38" s="19"/>
      <c r="NCD38" s="19"/>
      <c r="NCE38" s="19"/>
      <c r="NCF38" s="19"/>
      <c r="NCG38" s="19"/>
      <c r="NCH38" s="19"/>
      <c r="NCI38" s="19"/>
      <c r="NCJ38" s="19"/>
      <c r="NCK38" s="19"/>
      <c r="NCL38" s="19"/>
      <c r="NCM38" s="19"/>
      <c r="NCN38" s="19"/>
      <c r="NCO38" s="19"/>
      <c r="NCP38" s="19"/>
      <c r="NCQ38" s="19"/>
      <c r="NCR38" s="19"/>
      <c r="NCS38" s="19"/>
      <c r="NCT38" s="19"/>
      <c r="NCU38" s="19"/>
      <c r="NCV38" s="19"/>
      <c r="NCW38" s="19"/>
      <c r="NCX38" s="19"/>
      <c r="NCY38" s="19"/>
      <c r="NCZ38" s="19"/>
      <c r="NDA38" s="19"/>
      <c r="NDB38" s="19"/>
      <c r="NDC38" s="19"/>
      <c r="NDD38" s="19"/>
      <c r="NDE38" s="19"/>
      <c r="NDF38" s="19"/>
      <c r="NDG38" s="19"/>
      <c r="NDH38" s="19"/>
      <c r="NDI38" s="19"/>
      <c r="NDJ38" s="19"/>
      <c r="NDK38" s="19"/>
      <c r="NDL38" s="19"/>
      <c r="NDM38" s="19"/>
      <c r="NDN38" s="19"/>
      <c r="NDO38" s="19"/>
      <c r="NDP38" s="19"/>
      <c r="NDQ38" s="19"/>
      <c r="NDR38" s="19"/>
      <c r="NDS38" s="19"/>
      <c r="NDT38" s="19"/>
      <c r="NDU38" s="19"/>
      <c r="NDV38" s="19"/>
      <c r="NDW38" s="19"/>
      <c r="NDX38" s="19"/>
      <c r="NDY38" s="19"/>
      <c r="NDZ38" s="19"/>
      <c r="NEA38" s="19"/>
      <c r="NEB38" s="19"/>
      <c r="NEC38" s="19"/>
      <c r="NED38" s="19"/>
      <c r="NEE38" s="19"/>
      <c r="NEF38" s="19"/>
      <c r="NEG38" s="19"/>
      <c r="NEH38" s="19"/>
      <c r="NEI38" s="19"/>
      <c r="NEJ38" s="19"/>
      <c r="NEK38" s="19"/>
      <c r="NEL38" s="19"/>
      <c r="NEM38" s="19"/>
      <c r="NEN38" s="19"/>
      <c r="NEO38" s="19"/>
      <c r="NEP38" s="19"/>
      <c r="NEQ38" s="19"/>
      <c r="NER38" s="19"/>
      <c r="NES38" s="19"/>
      <c r="NET38" s="19"/>
      <c r="NEU38" s="19"/>
      <c r="NEV38" s="19"/>
      <c r="NEW38" s="19"/>
      <c r="NEX38" s="19"/>
      <c r="NEY38" s="19"/>
      <c r="NEZ38" s="19"/>
      <c r="NFA38" s="19"/>
      <c r="NFB38" s="19"/>
      <c r="NFC38" s="19"/>
      <c r="NFD38" s="19"/>
      <c r="NFE38" s="19"/>
      <c r="NFF38" s="19"/>
      <c r="NFG38" s="19"/>
      <c r="NFH38" s="19"/>
      <c r="NFI38" s="19"/>
      <c r="NFJ38" s="19"/>
      <c r="NFK38" s="19"/>
      <c r="NFL38" s="19"/>
      <c r="NFM38" s="19"/>
      <c r="NFN38" s="19"/>
      <c r="NFO38" s="19"/>
      <c r="NFP38" s="19"/>
      <c r="NFQ38" s="19"/>
      <c r="NFR38" s="19"/>
      <c r="NFS38" s="19"/>
      <c r="NFT38" s="19"/>
      <c r="NFU38" s="19"/>
      <c r="NFV38" s="19"/>
      <c r="NFW38" s="19"/>
      <c r="NFX38" s="19"/>
      <c r="NFY38" s="19"/>
      <c r="NFZ38" s="19"/>
      <c r="NGA38" s="19"/>
      <c r="NGB38" s="19"/>
      <c r="NGC38" s="19"/>
      <c r="NGD38" s="19"/>
      <c r="NGE38" s="19"/>
      <c r="NGF38" s="19"/>
      <c r="NGG38" s="19"/>
      <c r="NGH38" s="19"/>
      <c r="NGI38" s="19"/>
      <c r="NGJ38" s="19"/>
      <c r="NGK38" s="19"/>
      <c r="NGL38" s="19"/>
      <c r="NGM38" s="19"/>
      <c r="NGN38" s="19"/>
      <c r="NGO38" s="19"/>
      <c r="NGP38" s="19"/>
      <c r="NGQ38" s="19"/>
      <c r="NGR38" s="19"/>
      <c r="NGS38" s="19"/>
      <c r="NGT38" s="19"/>
      <c r="NGU38" s="19"/>
      <c r="NGV38" s="19"/>
      <c r="NGW38" s="19"/>
      <c r="NGX38" s="19"/>
      <c r="NGY38" s="19"/>
      <c r="NGZ38" s="19"/>
      <c r="NHA38" s="19"/>
      <c r="NHB38" s="19"/>
      <c r="NHC38" s="19"/>
      <c r="NHD38" s="19"/>
      <c r="NHE38" s="19"/>
      <c r="NHF38" s="19"/>
      <c r="NHG38" s="19"/>
      <c r="NHH38" s="19"/>
      <c r="NHI38" s="19"/>
      <c r="NHJ38" s="19"/>
      <c r="NHK38" s="19"/>
      <c r="NHL38" s="19"/>
      <c r="NHM38" s="19"/>
      <c r="NHN38" s="19"/>
      <c r="NHO38" s="19"/>
      <c r="NHP38" s="19"/>
      <c r="NHQ38" s="19"/>
      <c r="NHR38" s="19"/>
      <c r="NHS38" s="19"/>
      <c r="NHT38" s="19"/>
      <c r="NHU38" s="19"/>
      <c r="NHV38" s="19"/>
      <c r="NHW38" s="19"/>
      <c r="NHX38" s="19"/>
      <c r="NHY38" s="19"/>
      <c r="NHZ38" s="19"/>
      <c r="NIA38" s="19"/>
      <c r="NIB38" s="19"/>
      <c r="NIC38" s="19"/>
      <c r="NID38" s="19"/>
      <c r="NIE38" s="19"/>
      <c r="NIF38" s="19"/>
      <c r="NIG38" s="19"/>
      <c r="NIH38" s="19"/>
      <c r="NII38" s="19"/>
      <c r="NIJ38" s="19"/>
      <c r="NIK38" s="19"/>
      <c r="NIL38" s="19"/>
      <c r="NIM38" s="19"/>
      <c r="NIN38" s="19"/>
      <c r="NIO38" s="19"/>
      <c r="NIP38" s="19"/>
      <c r="NIQ38" s="19"/>
      <c r="NIR38" s="19"/>
      <c r="NIS38" s="19"/>
      <c r="NIT38" s="19"/>
      <c r="NIU38" s="19"/>
      <c r="NIV38" s="19"/>
      <c r="NIW38" s="19"/>
      <c r="NIX38" s="19"/>
      <c r="NIY38" s="19"/>
      <c r="NIZ38" s="19"/>
      <c r="NJA38" s="19"/>
      <c r="NJB38" s="19"/>
      <c r="NJC38" s="19"/>
      <c r="NJD38" s="19"/>
      <c r="NJE38" s="19"/>
      <c r="NJF38" s="19"/>
      <c r="NJG38" s="19"/>
      <c r="NJH38" s="19"/>
      <c r="NJI38" s="19"/>
      <c r="NJJ38" s="19"/>
      <c r="NJK38" s="19"/>
      <c r="NJL38" s="19"/>
      <c r="NJM38" s="19"/>
      <c r="NJN38" s="19"/>
      <c r="NJO38" s="19"/>
      <c r="NJP38" s="19"/>
      <c r="NJQ38" s="19"/>
      <c r="NJR38" s="19"/>
      <c r="NJS38" s="19"/>
      <c r="NJT38" s="19"/>
      <c r="NJU38" s="19"/>
      <c r="NJV38" s="19"/>
      <c r="NJW38" s="19"/>
      <c r="NJX38" s="19"/>
      <c r="NJY38" s="19"/>
      <c r="NJZ38" s="19"/>
      <c r="NKA38" s="19"/>
      <c r="NKB38" s="19"/>
      <c r="NKC38" s="19"/>
      <c r="NKD38" s="19"/>
      <c r="NKE38" s="19"/>
      <c r="NKF38" s="19"/>
      <c r="NKG38" s="19"/>
      <c r="NKH38" s="19"/>
      <c r="NKI38" s="19"/>
      <c r="NKJ38" s="19"/>
      <c r="NKK38" s="19"/>
      <c r="NKL38" s="19"/>
      <c r="NKM38" s="19"/>
      <c r="NKN38" s="19"/>
      <c r="NKO38" s="19"/>
      <c r="NKP38" s="19"/>
      <c r="NKQ38" s="19"/>
      <c r="NKR38" s="19"/>
      <c r="NKS38" s="19"/>
      <c r="NKT38" s="19"/>
      <c r="NKU38" s="19"/>
      <c r="NKV38" s="19"/>
      <c r="NKW38" s="19"/>
      <c r="NKX38" s="19"/>
      <c r="NKY38" s="19"/>
      <c r="NKZ38" s="19"/>
      <c r="NLA38" s="19"/>
      <c r="NLB38" s="19"/>
      <c r="NLC38" s="19"/>
      <c r="NLD38" s="19"/>
      <c r="NLE38" s="19"/>
      <c r="NLF38" s="19"/>
      <c r="NLG38" s="19"/>
      <c r="NLH38" s="19"/>
      <c r="NLI38" s="19"/>
      <c r="NLJ38" s="19"/>
      <c r="NLK38" s="19"/>
      <c r="NLL38" s="19"/>
      <c r="NLM38" s="19"/>
      <c r="NLN38" s="19"/>
      <c r="NLO38" s="19"/>
      <c r="NLP38" s="19"/>
      <c r="NLQ38" s="19"/>
      <c r="NLR38" s="19"/>
      <c r="NLS38" s="19"/>
      <c r="NLT38" s="19"/>
      <c r="NLU38" s="19"/>
      <c r="NLV38" s="19"/>
      <c r="NLW38" s="19"/>
      <c r="NLX38" s="19"/>
      <c r="NLY38" s="19"/>
      <c r="NLZ38" s="19"/>
      <c r="NMA38" s="19"/>
      <c r="NMB38" s="19"/>
      <c r="NMC38" s="19"/>
      <c r="NMD38" s="19"/>
      <c r="NME38" s="19"/>
      <c r="NMF38" s="19"/>
      <c r="NMG38" s="19"/>
      <c r="NMH38" s="19"/>
      <c r="NMI38" s="19"/>
      <c r="NMJ38" s="19"/>
      <c r="NMK38" s="19"/>
      <c r="NML38" s="19"/>
      <c r="NMM38" s="19"/>
      <c r="NMN38" s="19"/>
      <c r="NMO38" s="19"/>
      <c r="NMP38" s="19"/>
      <c r="NMQ38" s="19"/>
      <c r="NMR38" s="19"/>
      <c r="NMS38" s="19"/>
      <c r="NMT38" s="19"/>
      <c r="NMU38" s="19"/>
      <c r="NMV38" s="19"/>
      <c r="NMW38" s="19"/>
      <c r="NMX38" s="19"/>
      <c r="NMY38" s="19"/>
      <c r="NMZ38" s="19"/>
      <c r="NNA38" s="19"/>
      <c r="NNB38" s="19"/>
      <c r="NNC38" s="19"/>
      <c r="NND38" s="19"/>
      <c r="NNE38" s="19"/>
      <c r="NNF38" s="19"/>
      <c r="NNG38" s="19"/>
      <c r="NNH38" s="19"/>
      <c r="NNI38" s="19"/>
      <c r="NNJ38" s="19"/>
      <c r="NNK38" s="19"/>
      <c r="NNL38" s="19"/>
      <c r="NNM38" s="19"/>
      <c r="NNN38" s="19"/>
      <c r="NNO38" s="19"/>
      <c r="NNP38" s="19"/>
      <c r="NNQ38" s="19"/>
      <c r="NNR38" s="19"/>
      <c r="NNS38" s="19"/>
      <c r="NNT38" s="19"/>
      <c r="NNU38" s="19"/>
      <c r="NNV38" s="19"/>
      <c r="NNW38" s="19"/>
      <c r="NNX38" s="19"/>
      <c r="NNY38" s="19"/>
      <c r="NNZ38" s="19"/>
      <c r="NOA38" s="19"/>
      <c r="NOB38" s="19"/>
      <c r="NOC38" s="19"/>
      <c r="NOD38" s="19"/>
      <c r="NOE38" s="19"/>
      <c r="NOF38" s="19"/>
      <c r="NOG38" s="19"/>
      <c r="NOH38" s="19"/>
      <c r="NOI38" s="19"/>
      <c r="NOJ38" s="19"/>
      <c r="NOK38" s="19"/>
      <c r="NOL38" s="19"/>
      <c r="NOM38" s="19"/>
      <c r="NON38" s="19"/>
      <c r="NOO38" s="19"/>
      <c r="NOP38" s="19"/>
      <c r="NOQ38" s="19"/>
      <c r="NOR38" s="19"/>
      <c r="NOS38" s="19"/>
      <c r="NOT38" s="19"/>
      <c r="NOU38" s="19"/>
      <c r="NOV38" s="19"/>
      <c r="NOW38" s="19"/>
      <c r="NOX38" s="19"/>
      <c r="NOY38" s="19"/>
      <c r="NOZ38" s="19"/>
      <c r="NPA38" s="19"/>
      <c r="NPB38" s="19"/>
      <c r="NPC38" s="19"/>
      <c r="NPD38" s="19"/>
      <c r="NPE38" s="19"/>
      <c r="NPF38" s="19"/>
      <c r="NPG38" s="19"/>
      <c r="NPH38" s="19"/>
      <c r="NPI38" s="19"/>
      <c r="NPJ38" s="19"/>
      <c r="NPK38" s="19"/>
      <c r="NPL38" s="19"/>
      <c r="NPM38" s="19"/>
      <c r="NPN38" s="19"/>
      <c r="NPO38" s="19"/>
      <c r="NPP38" s="19"/>
      <c r="NPQ38" s="19"/>
      <c r="NPR38" s="19"/>
      <c r="NPS38" s="19"/>
      <c r="NPT38" s="19"/>
      <c r="NPU38" s="19"/>
      <c r="NPV38" s="19"/>
      <c r="NPW38" s="19"/>
      <c r="NPX38" s="19"/>
      <c r="NPY38" s="19"/>
      <c r="NPZ38" s="19"/>
      <c r="NQA38" s="19"/>
      <c r="NQB38" s="19"/>
      <c r="NQC38" s="19"/>
      <c r="NQD38" s="19"/>
      <c r="NQE38" s="19"/>
      <c r="NQF38" s="19"/>
      <c r="NQG38" s="19"/>
      <c r="NQH38" s="19"/>
      <c r="NQI38" s="19"/>
      <c r="NQJ38" s="19"/>
      <c r="NQK38" s="19"/>
      <c r="NQL38" s="19"/>
      <c r="NQM38" s="19"/>
      <c r="NQN38" s="19"/>
      <c r="NQO38" s="19"/>
      <c r="NQP38" s="19"/>
      <c r="NQQ38" s="19"/>
      <c r="NQR38" s="19"/>
      <c r="NQS38" s="19"/>
      <c r="NQT38" s="19"/>
      <c r="NQU38" s="19"/>
      <c r="NQV38" s="19"/>
      <c r="NQW38" s="19"/>
      <c r="NQX38" s="19"/>
      <c r="NQY38" s="19"/>
      <c r="NQZ38" s="19"/>
      <c r="NRA38" s="19"/>
      <c r="NRB38" s="19"/>
      <c r="NRC38" s="19"/>
      <c r="NRD38" s="19"/>
      <c r="NRE38" s="19"/>
      <c r="NRF38" s="19"/>
      <c r="NRG38" s="19"/>
      <c r="NRH38" s="19"/>
      <c r="NRI38" s="19"/>
      <c r="NRJ38" s="19"/>
      <c r="NRK38" s="19"/>
      <c r="NRL38" s="19"/>
      <c r="NRM38" s="19"/>
      <c r="NRN38" s="19"/>
      <c r="NRO38" s="19"/>
      <c r="NRP38" s="19"/>
      <c r="NRQ38" s="19"/>
      <c r="NRR38" s="19"/>
      <c r="NRS38" s="19"/>
      <c r="NRT38" s="19"/>
      <c r="NRU38" s="19"/>
      <c r="NRV38" s="19"/>
      <c r="NRW38" s="19"/>
      <c r="NRX38" s="19"/>
      <c r="NRY38" s="19"/>
      <c r="NRZ38" s="19"/>
      <c r="NSA38" s="19"/>
      <c r="NSB38" s="19"/>
      <c r="NSC38" s="19"/>
      <c r="NSD38" s="19"/>
      <c r="NSE38" s="19"/>
      <c r="NSF38" s="19"/>
      <c r="NSG38" s="19"/>
      <c r="NSH38" s="19"/>
      <c r="NSI38" s="19"/>
      <c r="NSJ38" s="19"/>
      <c r="NSK38" s="19"/>
      <c r="NSL38" s="19"/>
      <c r="NSM38" s="19"/>
      <c r="NSN38" s="19"/>
      <c r="NSO38" s="19"/>
      <c r="NSP38" s="19"/>
      <c r="NSQ38" s="19"/>
      <c r="NSR38" s="19"/>
      <c r="NSS38" s="19"/>
      <c r="NST38" s="19"/>
      <c r="NSU38" s="19"/>
      <c r="NSV38" s="19"/>
      <c r="NSW38" s="19"/>
      <c r="NSX38" s="19"/>
      <c r="NSY38" s="19"/>
      <c r="NSZ38" s="19"/>
      <c r="NTA38" s="19"/>
      <c r="NTB38" s="19"/>
      <c r="NTC38" s="19"/>
      <c r="NTD38" s="19"/>
      <c r="NTE38" s="19"/>
      <c r="NTF38" s="19"/>
      <c r="NTG38" s="19"/>
      <c r="NTH38" s="19"/>
      <c r="NTI38" s="19"/>
      <c r="NTJ38" s="19"/>
      <c r="NTK38" s="19"/>
      <c r="NTL38" s="19"/>
      <c r="NTM38" s="19"/>
      <c r="NTN38" s="19"/>
      <c r="NTO38" s="19"/>
      <c r="NTP38" s="19"/>
      <c r="NTQ38" s="19"/>
      <c r="NTR38" s="19"/>
      <c r="NTS38" s="19"/>
      <c r="NTT38" s="19"/>
      <c r="NTU38" s="19"/>
      <c r="NTV38" s="19"/>
      <c r="NTW38" s="19"/>
      <c r="NTX38" s="19"/>
      <c r="NTY38" s="19"/>
      <c r="NTZ38" s="19"/>
      <c r="NUA38" s="19"/>
      <c r="NUB38" s="19"/>
      <c r="NUC38" s="19"/>
      <c r="NUD38" s="19"/>
      <c r="NUE38" s="19"/>
      <c r="NUF38" s="19"/>
      <c r="NUG38" s="19"/>
      <c r="NUH38" s="19"/>
      <c r="NUI38" s="19"/>
      <c r="NUJ38" s="19"/>
      <c r="NUK38" s="19"/>
      <c r="NUL38" s="19"/>
      <c r="NUM38" s="19"/>
      <c r="NUN38" s="19"/>
      <c r="NUO38" s="19"/>
      <c r="NUP38" s="19"/>
      <c r="NUQ38" s="19"/>
      <c r="NUR38" s="19"/>
      <c r="NUS38" s="19"/>
      <c r="NUT38" s="19"/>
      <c r="NUU38" s="19"/>
      <c r="NUV38" s="19"/>
      <c r="NUW38" s="19"/>
      <c r="NUX38" s="19"/>
      <c r="NUY38" s="19"/>
      <c r="NUZ38" s="19"/>
      <c r="NVA38" s="19"/>
      <c r="NVB38" s="19"/>
      <c r="NVC38" s="19"/>
      <c r="NVD38" s="19"/>
      <c r="NVE38" s="19"/>
      <c r="NVF38" s="19"/>
      <c r="NVG38" s="19"/>
      <c r="NVH38" s="19"/>
      <c r="NVI38" s="19"/>
      <c r="NVJ38" s="19"/>
      <c r="NVK38" s="19"/>
      <c r="NVL38" s="19"/>
      <c r="NVM38" s="19"/>
      <c r="NVN38" s="19"/>
      <c r="NVO38" s="19"/>
      <c r="NVP38" s="19"/>
      <c r="NVQ38" s="19"/>
      <c r="NVR38" s="19"/>
      <c r="NVS38" s="19"/>
      <c r="NVT38" s="19"/>
      <c r="NVU38" s="19"/>
      <c r="NVV38" s="19"/>
      <c r="NVW38" s="19"/>
      <c r="NVX38" s="19"/>
      <c r="NVY38" s="19"/>
      <c r="NVZ38" s="19"/>
      <c r="NWA38" s="19"/>
      <c r="NWB38" s="19"/>
      <c r="NWC38" s="19"/>
      <c r="NWD38" s="19"/>
      <c r="NWE38" s="19"/>
      <c r="NWF38" s="19"/>
      <c r="NWG38" s="19"/>
      <c r="NWH38" s="19"/>
      <c r="NWI38" s="19"/>
      <c r="NWJ38" s="19"/>
      <c r="NWK38" s="19"/>
      <c r="NWL38" s="19"/>
      <c r="NWM38" s="19"/>
      <c r="NWN38" s="19"/>
      <c r="NWO38" s="19"/>
      <c r="NWP38" s="19"/>
      <c r="NWQ38" s="19"/>
      <c r="NWR38" s="19"/>
      <c r="NWS38" s="19"/>
      <c r="NWT38" s="19"/>
      <c r="NWU38" s="19"/>
      <c r="NWV38" s="19"/>
      <c r="NWW38" s="19"/>
      <c r="NWX38" s="19"/>
      <c r="NWY38" s="19"/>
      <c r="NWZ38" s="19"/>
      <c r="NXA38" s="19"/>
      <c r="NXB38" s="19"/>
      <c r="NXC38" s="19"/>
      <c r="NXD38" s="19"/>
      <c r="NXE38" s="19"/>
      <c r="NXF38" s="19"/>
      <c r="NXG38" s="19"/>
      <c r="NXH38" s="19"/>
      <c r="NXI38" s="19"/>
      <c r="NXJ38" s="19"/>
      <c r="NXK38" s="19"/>
      <c r="NXL38" s="19"/>
      <c r="NXM38" s="19"/>
      <c r="NXN38" s="19"/>
      <c r="NXO38" s="19"/>
      <c r="NXP38" s="19"/>
      <c r="NXQ38" s="19"/>
      <c r="NXR38" s="19"/>
      <c r="NXS38" s="19"/>
      <c r="NXT38" s="19"/>
      <c r="NXU38" s="19"/>
      <c r="NXV38" s="19"/>
      <c r="NXW38" s="19"/>
      <c r="NXX38" s="19"/>
      <c r="NXY38" s="19"/>
      <c r="NXZ38" s="19"/>
      <c r="NYA38" s="19"/>
      <c r="NYB38" s="19"/>
      <c r="NYC38" s="19"/>
      <c r="NYD38" s="19"/>
      <c r="NYE38" s="19"/>
      <c r="NYF38" s="19"/>
      <c r="NYG38" s="19"/>
      <c r="NYH38" s="19"/>
      <c r="NYI38" s="19"/>
      <c r="NYJ38" s="19"/>
      <c r="NYK38" s="19"/>
      <c r="NYL38" s="19"/>
      <c r="NYM38" s="19"/>
      <c r="NYN38" s="19"/>
      <c r="NYO38" s="19"/>
      <c r="NYP38" s="19"/>
      <c r="NYQ38" s="19"/>
      <c r="NYR38" s="19"/>
      <c r="NYS38" s="19"/>
      <c r="NYT38" s="19"/>
      <c r="NYU38" s="19"/>
      <c r="NYV38" s="19"/>
      <c r="NYW38" s="19"/>
      <c r="NYX38" s="19"/>
      <c r="NYY38" s="19"/>
      <c r="NYZ38" s="19"/>
      <c r="NZA38" s="19"/>
      <c r="NZB38" s="19"/>
      <c r="NZC38" s="19"/>
      <c r="NZD38" s="19"/>
      <c r="NZE38" s="19"/>
      <c r="NZF38" s="19"/>
      <c r="NZG38" s="19"/>
      <c r="NZH38" s="19"/>
      <c r="NZI38" s="19"/>
      <c r="NZJ38" s="19"/>
      <c r="NZK38" s="19"/>
      <c r="NZL38" s="19"/>
      <c r="NZM38" s="19"/>
      <c r="NZN38" s="19"/>
      <c r="NZO38" s="19"/>
      <c r="NZP38" s="19"/>
      <c r="NZQ38" s="19"/>
      <c r="NZR38" s="19"/>
      <c r="NZS38" s="19"/>
      <c r="NZT38" s="19"/>
      <c r="NZU38" s="19"/>
      <c r="NZV38" s="19"/>
      <c r="NZW38" s="19"/>
      <c r="NZX38" s="19"/>
      <c r="NZY38" s="19"/>
      <c r="NZZ38" s="19"/>
      <c r="OAA38" s="19"/>
      <c r="OAB38" s="19"/>
      <c r="OAC38" s="19"/>
      <c r="OAD38" s="19"/>
      <c r="OAE38" s="19"/>
      <c r="OAF38" s="19"/>
      <c r="OAG38" s="19"/>
      <c r="OAH38" s="19"/>
      <c r="OAI38" s="19"/>
      <c r="OAJ38" s="19"/>
      <c r="OAK38" s="19"/>
      <c r="OAL38" s="19"/>
      <c r="OAM38" s="19"/>
      <c r="OAN38" s="19"/>
      <c r="OAO38" s="19"/>
      <c r="OAP38" s="19"/>
      <c r="OAQ38" s="19"/>
      <c r="OAR38" s="19"/>
      <c r="OAS38" s="19"/>
      <c r="OAT38" s="19"/>
      <c r="OAU38" s="19"/>
      <c r="OAV38" s="19"/>
      <c r="OAW38" s="19"/>
      <c r="OAX38" s="19"/>
      <c r="OAY38" s="19"/>
      <c r="OAZ38" s="19"/>
      <c r="OBA38" s="19"/>
      <c r="OBB38" s="19"/>
      <c r="OBC38" s="19"/>
      <c r="OBD38" s="19"/>
      <c r="OBE38" s="19"/>
      <c r="OBF38" s="19"/>
      <c r="OBG38" s="19"/>
      <c r="OBH38" s="19"/>
      <c r="OBI38" s="19"/>
      <c r="OBJ38" s="19"/>
      <c r="OBK38" s="19"/>
      <c r="OBL38" s="19"/>
      <c r="OBM38" s="19"/>
      <c r="OBN38" s="19"/>
      <c r="OBO38" s="19"/>
      <c r="OBP38" s="19"/>
      <c r="OBQ38" s="19"/>
      <c r="OBR38" s="19"/>
      <c r="OBS38" s="19"/>
      <c r="OBT38" s="19"/>
      <c r="OBU38" s="19"/>
      <c r="OBV38" s="19"/>
      <c r="OBW38" s="19"/>
      <c r="OBX38" s="19"/>
      <c r="OBY38" s="19"/>
      <c r="OBZ38" s="19"/>
      <c r="OCA38" s="19"/>
      <c r="OCB38" s="19"/>
      <c r="OCC38" s="19"/>
      <c r="OCD38" s="19"/>
      <c r="OCE38" s="19"/>
      <c r="OCF38" s="19"/>
      <c r="OCG38" s="19"/>
      <c r="OCH38" s="19"/>
      <c r="OCI38" s="19"/>
      <c r="OCJ38" s="19"/>
      <c r="OCK38" s="19"/>
      <c r="OCL38" s="19"/>
      <c r="OCM38" s="19"/>
      <c r="OCN38" s="19"/>
      <c r="OCO38" s="19"/>
      <c r="OCP38" s="19"/>
      <c r="OCQ38" s="19"/>
      <c r="OCR38" s="19"/>
      <c r="OCS38" s="19"/>
      <c r="OCT38" s="19"/>
      <c r="OCU38" s="19"/>
      <c r="OCV38" s="19"/>
      <c r="OCW38" s="19"/>
      <c r="OCX38" s="19"/>
      <c r="OCY38" s="19"/>
      <c r="OCZ38" s="19"/>
      <c r="ODA38" s="19"/>
      <c r="ODB38" s="19"/>
      <c r="ODC38" s="19"/>
      <c r="ODD38" s="19"/>
      <c r="ODE38" s="19"/>
      <c r="ODF38" s="19"/>
      <c r="ODG38" s="19"/>
      <c r="ODH38" s="19"/>
      <c r="ODI38" s="19"/>
      <c r="ODJ38" s="19"/>
      <c r="ODK38" s="19"/>
      <c r="ODL38" s="19"/>
      <c r="ODM38" s="19"/>
      <c r="ODN38" s="19"/>
      <c r="ODO38" s="19"/>
      <c r="ODP38" s="19"/>
      <c r="ODQ38" s="19"/>
      <c r="ODR38" s="19"/>
      <c r="ODS38" s="19"/>
      <c r="ODT38" s="19"/>
      <c r="ODU38" s="19"/>
      <c r="ODV38" s="19"/>
      <c r="ODW38" s="19"/>
      <c r="ODX38" s="19"/>
      <c r="ODY38" s="19"/>
      <c r="ODZ38" s="19"/>
      <c r="OEA38" s="19"/>
      <c r="OEB38" s="19"/>
      <c r="OEC38" s="19"/>
      <c r="OED38" s="19"/>
      <c r="OEE38" s="19"/>
      <c r="OEF38" s="19"/>
      <c r="OEG38" s="19"/>
      <c r="OEH38" s="19"/>
      <c r="OEI38" s="19"/>
      <c r="OEJ38" s="19"/>
      <c r="OEK38" s="19"/>
      <c r="OEL38" s="19"/>
      <c r="OEM38" s="19"/>
      <c r="OEN38" s="19"/>
      <c r="OEO38" s="19"/>
      <c r="OEP38" s="19"/>
      <c r="OEQ38" s="19"/>
      <c r="OER38" s="19"/>
      <c r="OES38" s="19"/>
      <c r="OET38" s="19"/>
      <c r="OEU38" s="19"/>
      <c r="OEV38" s="19"/>
      <c r="OEW38" s="19"/>
      <c r="OEX38" s="19"/>
      <c r="OEY38" s="19"/>
      <c r="OEZ38" s="19"/>
      <c r="OFA38" s="19"/>
      <c r="OFB38" s="19"/>
      <c r="OFC38" s="19"/>
      <c r="OFD38" s="19"/>
      <c r="OFE38" s="19"/>
      <c r="OFF38" s="19"/>
      <c r="OFG38" s="19"/>
      <c r="OFH38" s="19"/>
      <c r="OFI38" s="19"/>
      <c r="OFJ38" s="19"/>
      <c r="OFK38" s="19"/>
      <c r="OFL38" s="19"/>
      <c r="OFM38" s="19"/>
      <c r="OFN38" s="19"/>
      <c r="OFO38" s="19"/>
      <c r="OFP38" s="19"/>
      <c r="OFQ38" s="19"/>
      <c r="OFR38" s="19"/>
      <c r="OFS38" s="19"/>
      <c r="OFT38" s="19"/>
      <c r="OFU38" s="19"/>
      <c r="OFV38" s="19"/>
      <c r="OFW38" s="19"/>
      <c r="OFX38" s="19"/>
      <c r="OFY38" s="19"/>
      <c r="OFZ38" s="19"/>
      <c r="OGA38" s="19"/>
      <c r="OGB38" s="19"/>
      <c r="OGC38" s="19"/>
      <c r="OGD38" s="19"/>
      <c r="OGE38" s="19"/>
      <c r="OGF38" s="19"/>
      <c r="OGG38" s="19"/>
      <c r="OGH38" s="19"/>
      <c r="OGI38" s="19"/>
      <c r="OGJ38" s="19"/>
      <c r="OGK38" s="19"/>
      <c r="OGL38" s="19"/>
      <c r="OGM38" s="19"/>
      <c r="OGN38" s="19"/>
      <c r="OGO38" s="19"/>
      <c r="OGP38" s="19"/>
      <c r="OGQ38" s="19"/>
      <c r="OGR38" s="19"/>
      <c r="OGS38" s="19"/>
      <c r="OGT38" s="19"/>
      <c r="OGU38" s="19"/>
      <c r="OGV38" s="19"/>
      <c r="OGW38" s="19"/>
      <c r="OGX38" s="19"/>
      <c r="OGY38" s="19"/>
      <c r="OGZ38" s="19"/>
      <c r="OHA38" s="19"/>
      <c r="OHB38" s="19"/>
      <c r="OHC38" s="19"/>
      <c r="OHD38" s="19"/>
      <c r="OHE38" s="19"/>
      <c r="OHF38" s="19"/>
      <c r="OHG38" s="19"/>
      <c r="OHH38" s="19"/>
      <c r="OHI38" s="19"/>
      <c r="OHJ38" s="19"/>
      <c r="OHK38" s="19"/>
      <c r="OHL38" s="19"/>
      <c r="OHM38" s="19"/>
      <c r="OHN38" s="19"/>
      <c r="OHO38" s="19"/>
      <c r="OHP38" s="19"/>
      <c r="OHQ38" s="19"/>
      <c r="OHR38" s="19"/>
      <c r="OHS38" s="19"/>
      <c r="OHT38" s="19"/>
      <c r="OHU38" s="19"/>
      <c r="OHV38" s="19"/>
      <c r="OHW38" s="19"/>
      <c r="OHX38" s="19"/>
      <c r="OHY38" s="19"/>
      <c r="OHZ38" s="19"/>
      <c r="OIA38" s="19"/>
      <c r="OIB38" s="19"/>
      <c r="OIC38" s="19"/>
      <c r="OID38" s="19"/>
      <c r="OIE38" s="19"/>
      <c r="OIF38" s="19"/>
      <c r="OIG38" s="19"/>
      <c r="OIH38" s="19"/>
      <c r="OII38" s="19"/>
      <c r="OIJ38" s="19"/>
      <c r="OIK38" s="19"/>
      <c r="OIL38" s="19"/>
      <c r="OIM38" s="19"/>
      <c r="OIN38" s="19"/>
      <c r="OIO38" s="19"/>
      <c r="OIP38" s="19"/>
      <c r="OIQ38" s="19"/>
      <c r="OIR38" s="19"/>
      <c r="OIS38" s="19"/>
      <c r="OIT38" s="19"/>
      <c r="OIU38" s="19"/>
      <c r="OIV38" s="19"/>
      <c r="OIW38" s="19"/>
      <c r="OIX38" s="19"/>
      <c r="OIY38" s="19"/>
      <c r="OIZ38" s="19"/>
      <c r="OJA38" s="19"/>
      <c r="OJB38" s="19"/>
      <c r="OJC38" s="19"/>
      <c r="OJD38" s="19"/>
      <c r="OJE38" s="19"/>
      <c r="OJF38" s="19"/>
      <c r="OJG38" s="19"/>
      <c r="OJH38" s="19"/>
      <c r="OJI38" s="19"/>
      <c r="OJJ38" s="19"/>
      <c r="OJK38" s="19"/>
      <c r="OJL38" s="19"/>
      <c r="OJM38" s="19"/>
      <c r="OJN38" s="19"/>
      <c r="OJO38" s="19"/>
      <c r="OJP38" s="19"/>
      <c r="OJQ38" s="19"/>
      <c r="OJR38" s="19"/>
      <c r="OJS38" s="19"/>
      <c r="OJT38" s="19"/>
      <c r="OJU38" s="19"/>
      <c r="OJV38" s="19"/>
      <c r="OJW38" s="19"/>
      <c r="OJX38" s="19"/>
      <c r="OJY38" s="19"/>
      <c r="OJZ38" s="19"/>
      <c r="OKA38" s="19"/>
      <c r="OKB38" s="19"/>
      <c r="OKC38" s="19"/>
      <c r="OKD38" s="19"/>
      <c r="OKE38" s="19"/>
      <c r="OKF38" s="19"/>
      <c r="OKG38" s="19"/>
      <c r="OKH38" s="19"/>
      <c r="OKI38" s="19"/>
      <c r="OKJ38" s="19"/>
      <c r="OKK38" s="19"/>
      <c r="OKL38" s="19"/>
      <c r="OKM38" s="19"/>
      <c r="OKN38" s="19"/>
      <c r="OKO38" s="19"/>
      <c r="OKP38" s="19"/>
      <c r="OKQ38" s="19"/>
      <c r="OKR38" s="19"/>
      <c r="OKS38" s="19"/>
      <c r="OKT38" s="19"/>
      <c r="OKU38" s="19"/>
      <c r="OKV38" s="19"/>
      <c r="OKW38" s="19"/>
      <c r="OKX38" s="19"/>
      <c r="OKY38" s="19"/>
      <c r="OKZ38" s="19"/>
      <c r="OLA38" s="19"/>
      <c r="OLB38" s="19"/>
      <c r="OLC38" s="19"/>
      <c r="OLD38" s="19"/>
      <c r="OLE38" s="19"/>
      <c r="OLF38" s="19"/>
      <c r="OLG38" s="19"/>
      <c r="OLH38" s="19"/>
      <c r="OLI38" s="19"/>
      <c r="OLJ38" s="19"/>
      <c r="OLK38" s="19"/>
      <c r="OLL38" s="19"/>
      <c r="OLM38" s="19"/>
      <c r="OLN38" s="19"/>
      <c r="OLO38" s="19"/>
      <c r="OLP38" s="19"/>
      <c r="OLQ38" s="19"/>
      <c r="OLR38" s="19"/>
      <c r="OLS38" s="19"/>
      <c r="OLT38" s="19"/>
      <c r="OLU38" s="19"/>
      <c r="OLV38" s="19"/>
      <c r="OLW38" s="19"/>
      <c r="OLX38" s="19"/>
      <c r="OLY38" s="19"/>
      <c r="OLZ38" s="19"/>
      <c r="OMA38" s="19"/>
      <c r="OMB38" s="19"/>
      <c r="OMC38" s="19"/>
      <c r="OMD38" s="19"/>
      <c r="OME38" s="19"/>
      <c r="OMF38" s="19"/>
      <c r="OMG38" s="19"/>
      <c r="OMH38" s="19"/>
      <c r="OMI38" s="19"/>
      <c r="OMJ38" s="19"/>
      <c r="OMK38" s="19"/>
      <c r="OML38" s="19"/>
      <c r="OMM38" s="19"/>
      <c r="OMN38" s="19"/>
      <c r="OMO38" s="19"/>
      <c r="OMP38" s="19"/>
      <c r="OMQ38" s="19"/>
      <c r="OMR38" s="19"/>
      <c r="OMS38" s="19"/>
      <c r="OMT38" s="19"/>
      <c r="OMU38" s="19"/>
      <c r="OMV38" s="19"/>
      <c r="OMW38" s="19"/>
      <c r="OMX38" s="19"/>
      <c r="OMY38" s="19"/>
      <c r="OMZ38" s="19"/>
      <c r="ONA38" s="19"/>
      <c r="ONB38" s="19"/>
      <c r="ONC38" s="19"/>
      <c r="OND38" s="19"/>
      <c r="ONE38" s="19"/>
      <c r="ONF38" s="19"/>
      <c r="ONG38" s="19"/>
      <c r="ONH38" s="19"/>
      <c r="ONI38" s="19"/>
      <c r="ONJ38" s="19"/>
      <c r="ONK38" s="19"/>
      <c r="ONL38" s="19"/>
      <c r="ONM38" s="19"/>
      <c r="ONN38" s="19"/>
      <c r="ONO38" s="19"/>
      <c r="ONP38" s="19"/>
      <c r="ONQ38" s="19"/>
      <c r="ONR38" s="19"/>
      <c r="ONS38" s="19"/>
      <c r="ONT38" s="19"/>
      <c r="ONU38" s="19"/>
      <c r="ONV38" s="19"/>
      <c r="ONW38" s="19"/>
      <c r="ONX38" s="19"/>
      <c r="ONY38" s="19"/>
      <c r="ONZ38" s="19"/>
      <c r="OOA38" s="19"/>
      <c r="OOB38" s="19"/>
      <c r="OOC38" s="19"/>
      <c r="OOD38" s="19"/>
      <c r="OOE38" s="19"/>
      <c r="OOF38" s="19"/>
      <c r="OOG38" s="19"/>
      <c r="OOH38" s="19"/>
      <c r="OOI38" s="19"/>
      <c r="OOJ38" s="19"/>
      <c r="OOK38" s="19"/>
      <c r="OOL38" s="19"/>
      <c r="OOM38" s="19"/>
      <c r="OON38" s="19"/>
      <c r="OOO38" s="19"/>
      <c r="OOP38" s="19"/>
      <c r="OOQ38" s="19"/>
      <c r="OOR38" s="19"/>
      <c r="OOS38" s="19"/>
      <c r="OOT38" s="19"/>
      <c r="OOU38" s="19"/>
      <c r="OOV38" s="19"/>
      <c r="OOW38" s="19"/>
      <c r="OOX38" s="19"/>
      <c r="OOY38" s="19"/>
      <c r="OOZ38" s="19"/>
      <c r="OPA38" s="19"/>
      <c r="OPB38" s="19"/>
      <c r="OPC38" s="19"/>
      <c r="OPD38" s="19"/>
      <c r="OPE38" s="19"/>
      <c r="OPF38" s="19"/>
      <c r="OPG38" s="19"/>
      <c r="OPH38" s="19"/>
      <c r="OPI38" s="19"/>
      <c r="OPJ38" s="19"/>
      <c r="OPK38" s="19"/>
      <c r="OPL38" s="19"/>
      <c r="OPM38" s="19"/>
      <c r="OPN38" s="19"/>
      <c r="OPO38" s="19"/>
      <c r="OPP38" s="19"/>
      <c r="OPQ38" s="19"/>
      <c r="OPR38" s="19"/>
      <c r="OPS38" s="19"/>
      <c r="OPT38" s="19"/>
      <c r="OPU38" s="19"/>
      <c r="OPV38" s="19"/>
      <c r="OPW38" s="19"/>
      <c r="OPX38" s="19"/>
      <c r="OPY38" s="19"/>
      <c r="OPZ38" s="19"/>
      <c r="OQA38" s="19"/>
      <c r="OQB38" s="19"/>
      <c r="OQC38" s="19"/>
      <c r="OQD38" s="19"/>
      <c r="OQE38" s="19"/>
      <c r="OQF38" s="19"/>
      <c r="OQG38" s="19"/>
      <c r="OQH38" s="19"/>
      <c r="OQI38" s="19"/>
      <c r="OQJ38" s="19"/>
      <c r="OQK38" s="19"/>
      <c r="OQL38" s="19"/>
      <c r="OQM38" s="19"/>
      <c r="OQN38" s="19"/>
      <c r="OQO38" s="19"/>
      <c r="OQP38" s="19"/>
      <c r="OQQ38" s="19"/>
      <c r="OQR38" s="19"/>
      <c r="OQS38" s="19"/>
      <c r="OQT38" s="19"/>
      <c r="OQU38" s="19"/>
      <c r="OQV38" s="19"/>
      <c r="OQW38" s="19"/>
      <c r="OQX38" s="19"/>
      <c r="OQY38" s="19"/>
      <c r="OQZ38" s="19"/>
      <c r="ORA38" s="19"/>
      <c r="ORB38" s="19"/>
      <c r="ORC38" s="19"/>
      <c r="ORD38" s="19"/>
      <c r="ORE38" s="19"/>
      <c r="ORF38" s="19"/>
      <c r="ORG38" s="19"/>
      <c r="ORH38" s="19"/>
      <c r="ORI38" s="19"/>
      <c r="ORJ38" s="19"/>
      <c r="ORK38" s="19"/>
      <c r="ORL38" s="19"/>
      <c r="ORM38" s="19"/>
      <c r="ORN38" s="19"/>
      <c r="ORO38" s="19"/>
      <c r="ORP38" s="19"/>
      <c r="ORQ38" s="19"/>
      <c r="ORR38" s="19"/>
      <c r="ORS38" s="19"/>
      <c r="ORT38" s="19"/>
      <c r="ORU38" s="19"/>
      <c r="ORV38" s="19"/>
      <c r="ORW38" s="19"/>
      <c r="ORX38" s="19"/>
      <c r="ORY38" s="19"/>
      <c r="ORZ38" s="19"/>
      <c r="OSA38" s="19"/>
      <c r="OSB38" s="19"/>
      <c r="OSC38" s="19"/>
      <c r="OSD38" s="19"/>
      <c r="OSE38" s="19"/>
      <c r="OSF38" s="19"/>
      <c r="OSG38" s="19"/>
      <c r="OSH38" s="19"/>
      <c r="OSI38" s="19"/>
      <c r="OSJ38" s="19"/>
      <c r="OSK38" s="19"/>
      <c r="OSL38" s="19"/>
      <c r="OSM38" s="19"/>
      <c r="OSN38" s="19"/>
      <c r="OSO38" s="19"/>
      <c r="OSP38" s="19"/>
      <c r="OSQ38" s="19"/>
      <c r="OSR38" s="19"/>
      <c r="OSS38" s="19"/>
      <c r="OST38" s="19"/>
      <c r="OSU38" s="19"/>
      <c r="OSV38" s="19"/>
      <c r="OSW38" s="19"/>
      <c r="OSX38" s="19"/>
      <c r="OSY38" s="19"/>
      <c r="OSZ38" s="19"/>
      <c r="OTA38" s="19"/>
      <c r="OTB38" s="19"/>
      <c r="OTC38" s="19"/>
      <c r="OTD38" s="19"/>
      <c r="OTE38" s="19"/>
      <c r="OTF38" s="19"/>
      <c r="OTG38" s="19"/>
      <c r="OTH38" s="19"/>
      <c r="OTI38" s="19"/>
      <c r="OTJ38" s="19"/>
      <c r="OTK38" s="19"/>
      <c r="OTL38" s="19"/>
      <c r="OTM38" s="19"/>
      <c r="OTN38" s="19"/>
      <c r="OTO38" s="19"/>
      <c r="OTP38" s="19"/>
      <c r="OTQ38" s="19"/>
      <c r="OTR38" s="19"/>
      <c r="OTS38" s="19"/>
      <c r="OTT38" s="19"/>
      <c r="OTU38" s="19"/>
      <c r="OTV38" s="19"/>
      <c r="OTW38" s="19"/>
      <c r="OTX38" s="19"/>
      <c r="OTY38" s="19"/>
      <c r="OTZ38" s="19"/>
      <c r="OUA38" s="19"/>
      <c r="OUB38" s="19"/>
      <c r="OUC38" s="19"/>
      <c r="OUD38" s="19"/>
      <c r="OUE38" s="19"/>
      <c r="OUF38" s="19"/>
      <c r="OUG38" s="19"/>
      <c r="OUH38" s="19"/>
      <c r="OUI38" s="19"/>
      <c r="OUJ38" s="19"/>
      <c r="OUK38" s="19"/>
      <c r="OUL38" s="19"/>
      <c r="OUM38" s="19"/>
      <c r="OUN38" s="19"/>
      <c r="OUO38" s="19"/>
      <c r="OUP38" s="19"/>
      <c r="OUQ38" s="19"/>
      <c r="OUR38" s="19"/>
      <c r="OUS38" s="19"/>
      <c r="OUT38" s="19"/>
      <c r="OUU38" s="19"/>
      <c r="OUV38" s="19"/>
      <c r="OUW38" s="19"/>
      <c r="OUX38" s="19"/>
      <c r="OUY38" s="19"/>
      <c r="OUZ38" s="19"/>
      <c r="OVA38" s="19"/>
      <c r="OVB38" s="19"/>
      <c r="OVC38" s="19"/>
      <c r="OVD38" s="19"/>
      <c r="OVE38" s="19"/>
      <c r="OVF38" s="19"/>
      <c r="OVG38" s="19"/>
      <c r="OVH38" s="19"/>
      <c r="OVI38" s="19"/>
      <c r="OVJ38" s="19"/>
      <c r="OVK38" s="19"/>
      <c r="OVL38" s="19"/>
      <c r="OVM38" s="19"/>
      <c r="OVN38" s="19"/>
      <c r="OVO38" s="19"/>
      <c r="OVP38" s="19"/>
      <c r="OVQ38" s="19"/>
      <c r="OVR38" s="19"/>
      <c r="OVS38" s="19"/>
      <c r="OVT38" s="19"/>
      <c r="OVU38" s="19"/>
      <c r="OVV38" s="19"/>
      <c r="OVW38" s="19"/>
      <c r="OVX38" s="19"/>
      <c r="OVY38" s="19"/>
      <c r="OVZ38" s="19"/>
      <c r="OWA38" s="19"/>
      <c r="OWB38" s="19"/>
      <c r="OWC38" s="19"/>
      <c r="OWD38" s="19"/>
      <c r="OWE38" s="19"/>
      <c r="OWF38" s="19"/>
      <c r="OWG38" s="19"/>
      <c r="OWH38" s="19"/>
      <c r="OWI38" s="19"/>
      <c r="OWJ38" s="19"/>
      <c r="OWK38" s="19"/>
      <c r="OWL38" s="19"/>
      <c r="OWM38" s="19"/>
      <c r="OWN38" s="19"/>
      <c r="OWO38" s="19"/>
      <c r="OWP38" s="19"/>
      <c r="OWQ38" s="19"/>
      <c r="OWR38" s="19"/>
      <c r="OWS38" s="19"/>
      <c r="OWT38" s="19"/>
      <c r="OWU38" s="19"/>
      <c r="OWV38" s="19"/>
      <c r="OWW38" s="19"/>
      <c r="OWX38" s="19"/>
      <c r="OWY38" s="19"/>
      <c r="OWZ38" s="19"/>
      <c r="OXA38" s="19"/>
      <c r="OXB38" s="19"/>
      <c r="OXC38" s="19"/>
      <c r="OXD38" s="19"/>
      <c r="OXE38" s="19"/>
      <c r="OXF38" s="19"/>
      <c r="OXG38" s="19"/>
      <c r="OXH38" s="19"/>
      <c r="OXI38" s="19"/>
      <c r="OXJ38" s="19"/>
      <c r="OXK38" s="19"/>
      <c r="OXL38" s="19"/>
      <c r="OXM38" s="19"/>
      <c r="OXN38" s="19"/>
      <c r="OXO38" s="19"/>
      <c r="OXP38" s="19"/>
      <c r="OXQ38" s="19"/>
      <c r="OXR38" s="19"/>
      <c r="OXS38" s="19"/>
      <c r="OXT38" s="19"/>
      <c r="OXU38" s="19"/>
      <c r="OXV38" s="19"/>
      <c r="OXW38" s="19"/>
      <c r="OXX38" s="19"/>
      <c r="OXY38" s="19"/>
      <c r="OXZ38" s="19"/>
      <c r="OYA38" s="19"/>
      <c r="OYB38" s="19"/>
      <c r="OYC38" s="19"/>
      <c r="OYD38" s="19"/>
      <c r="OYE38" s="19"/>
      <c r="OYF38" s="19"/>
      <c r="OYG38" s="19"/>
      <c r="OYH38" s="19"/>
      <c r="OYI38" s="19"/>
      <c r="OYJ38" s="19"/>
      <c r="OYK38" s="19"/>
      <c r="OYL38" s="19"/>
      <c r="OYM38" s="19"/>
      <c r="OYN38" s="19"/>
      <c r="OYO38" s="19"/>
      <c r="OYP38" s="19"/>
      <c r="OYQ38" s="19"/>
      <c r="OYR38" s="19"/>
      <c r="OYS38" s="19"/>
      <c r="OYT38" s="19"/>
      <c r="OYU38" s="19"/>
      <c r="OYV38" s="19"/>
      <c r="OYW38" s="19"/>
      <c r="OYX38" s="19"/>
      <c r="OYY38" s="19"/>
      <c r="OYZ38" s="19"/>
      <c r="OZA38" s="19"/>
      <c r="OZB38" s="19"/>
      <c r="OZC38" s="19"/>
      <c r="OZD38" s="19"/>
      <c r="OZE38" s="19"/>
      <c r="OZF38" s="19"/>
      <c r="OZG38" s="19"/>
      <c r="OZH38" s="19"/>
      <c r="OZI38" s="19"/>
      <c r="OZJ38" s="19"/>
      <c r="OZK38" s="19"/>
      <c r="OZL38" s="19"/>
      <c r="OZM38" s="19"/>
      <c r="OZN38" s="19"/>
      <c r="OZO38" s="19"/>
      <c r="OZP38" s="19"/>
      <c r="OZQ38" s="19"/>
      <c r="OZR38" s="19"/>
      <c r="OZS38" s="19"/>
      <c r="OZT38" s="19"/>
      <c r="OZU38" s="19"/>
      <c r="OZV38" s="19"/>
      <c r="OZW38" s="19"/>
      <c r="OZX38" s="19"/>
      <c r="OZY38" s="19"/>
      <c r="OZZ38" s="19"/>
      <c r="PAA38" s="19"/>
      <c r="PAB38" s="19"/>
      <c r="PAC38" s="19"/>
      <c r="PAD38" s="19"/>
      <c r="PAE38" s="19"/>
      <c r="PAF38" s="19"/>
      <c r="PAG38" s="19"/>
      <c r="PAH38" s="19"/>
      <c r="PAI38" s="19"/>
      <c r="PAJ38" s="19"/>
      <c r="PAK38" s="19"/>
      <c r="PAL38" s="19"/>
      <c r="PAM38" s="19"/>
      <c r="PAN38" s="19"/>
      <c r="PAO38" s="19"/>
      <c r="PAP38" s="19"/>
      <c r="PAQ38" s="19"/>
      <c r="PAR38" s="19"/>
      <c r="PAS38" s="19"/>
      <c r="PAT38" s="19"/>
      <c r="PAU38" s="19"/>
      <c r="PAV38" s="19"/>
      <c r="PAW38" s="19"/>
      <c r="PAX38" s="19"/>
      <c r="PAY38" s="19"/>
      <c r="PAZ38" s="19"/>
      <c r="PBA38" s="19"/>
      <c r="PBB38" s="19"/>
      <c r="PBC38" s="19"/>
      <c r="PBD38" s="19"/>
      <c r="PBE38" s="19"/>
      <c r="PBF38" s="19"/>
      <c r="PBG38" s="19"/>
      <c r="PBH38" s="19"/>
      <c r="PBI38" s="19"/>
      <c r="PBJ38" s="19"/>
      <c r="PBK38" s="19"/>
      <c r="PBL38" s="19"/>
      <c r="PBM38" s="19"/>
      <c r="PBN38" s="19"/>
      <c r="PBO38" s="19"/>
      <c r="PBP38" s="19"/>
      <c r="PBQ38" s="19"/>
      <c r="PBR38" s="19"/>
      <c r="PBS38" s="19"/>
      <c r="PBT38" s="19"/>
      <c r="PBU38" s="19"/>
      <c r="PBV38" s="19"/>
      <c r="PBW38" s="19"/>
      <c r="PBX38" s="19"/>
      <c r="PBY38" s="19"/>
      <c r="PBZ38" s="19"/>
      <c r="PCA38" s="19"/>
      <c r="PCB38" s="19"/>
      <c r="PCC38" s="19"/>
      <c r="PCD38" s="19"/>
      <c r="PCE38" s="19"/>
      <c r="PCF38" s="19"/>
      <c r="PCG38" s="19"/>
      <c r="PCH38" s="19"/>
      <c r="PCI38" s="19"/>
      <c r="PCJ38" s="19"/>
      <c r="PCK38" s="19"/>
      <c r="PCL38" s="19"/>
      <c r="PCM38" s="19"/>
      <c r="PCN38" s="19"/>
      <c r="PCO38" s="19"/>
      <c r="PCP38" s="19"/>
      <c r="PCQ38" s="19"/>
      <c r="PCR38" s="19"/>
      <c r="PCS38" s="19"/>
      <c r="PCT38" s="19"/>
      <c r="PCU38" s="19"/>
      <c r="PCV38" s="19"/>
      <c r="PCW38" s="19"/>
      <c r="PCX38" s="19"/>
      <c r="PCY38" s="19"/>
      <c r="PCZ38" s="19"/>
      <c r="PDA38" s="19"/>
      <c r="PDB38" s="19"/>
      <c r="PDC38" s="19"/>
      <c r="PDD38" s="19"/>
      <c r="PDE38" s="19"/>
      <c r="PDF38" s="19"/>
      <c r="PDG38" s="19"/>
      <c r="PDH38" s="19"/>
      <c r="PDI38" s="19"/>
      <c r="PDJ38" s="19"/>
      <c r="PDK38" s="19"/>
      <c r="PDL38" s="19"/>
      <c r="PDM38" s="19"/>
      <c r="PDN38" s="19"/>
      <c r="PDO38" s="19"/>
      <c r="PDP38" s="19"/>
      <c r="PDQ38" s="19"/>
      <c r="PDR38" s="19"/>
      <c r="PDS38" s="19"/>
      <c r="PDT38" s="19"/>
      <c r="PDU38" s="19"/>
      <c r="PDV38" s="19"/>
      <c r="PDW38" s="19"/>
      <c r="PDX38" s="19"/>
      <c r="PDY38" s="19"/>
      <c r="PDZ38" s="19"/>
      <c r="PEA38" s="19"/>
      <c r="PEB38" s="19"/>
      <c r="PEC38" s="19"/>
      <c r="PED38" s="19"/>
      <c r="PEE38" s="19"/>
      <c r="PEF38" s="19"/>
      <c r="PEG38" s="19"/>
      <c r="PEH38" s="19"/>
      <c r="PEI38" s="19"/>
      <c r="PEJ38" s="19"/>
      <c r="PEK38" s="19"/>
      <c r="PEL38" s="19"/>
      <c r="PEM38" s="19"/>
      <c r="PEN38" s="19"/>
      <c r="PEO38" s="19"/>
      <c r="PEP38" s="19"/>
      <c r="PEQ38" s="19"/>
      <c r="PER38" s="19"/>
      <c r="PES38" s="19"/>
      <c r="PET38" s="19"/>
      <c r="PEU38" s="19"/>
      <c r="PEV38" s="19"/>
      <c r="PEW38" s="19"/>
      <c r="PEX38" s="19"/>
      <c r="PEY38" s="19"/>
      <c r="PEZ38" s="19"/>
      <c r="PFA38" s="19"/>
      <c r="PFB38" s="19"/>
      <c r="PFC38" s="19"/>
      <c r="PFD38" s="19"/>
      <c r="PFE38" s="19"/>
      <c r="PFF38" s="19"/>
      <c r="PFG38" s="19"/>
      <c r="PFH38" s="19"/>
      <c r="PFI38" s="19"/>
      <c r="PFJ38" s="19"/>
      <c r="PFK38" s="19"/>
      <c r="PFL38" s="19"/>
      <c r="PFM38" s="19"/>
      <c r="PFN38" s="19"/>
      <c r="PFO38" s="19"/>
      <c r="PFP38" s="19"/>
      <c r="PFQ38" s="19"/>
      <c r="PFR38" s="19"/>
      <c r="PFS38" s="19"/>
      <c r="PFT38" s="19"/>
      <c r="PFU38" s="19"/>
      <c r="PFV38" s="19"/>
      <c r="PFW38" s="19"/>
      <c r="PFX38" s="19"/>
      <c r="PFY38" s="19"/>
      <c r="PFZ38" s="19"/>
      <c r="PGA38" s="19"/>
      <c r="PGB38" s="19"/>
      <c r="PGC38" s="19"/>
      <c r="PGD38" s="19"/>
      <c r="PGE38" s="19"/>
      <c r="PGF38" s="19"/>
      <c r="PGG38" s="19"/>
      <c r="PGH38" s="19"/>
      <c r="PGI38" s="19"/>
      <c r="PGJ38" s="19"/>
      <c r="PGK38" s="19"/>
      <c r="PGL38" s="19"/>
      <c r="PGM38" s="19"/>
      <c r="PGN38" s="19"/>
      <c r="PGO38" s="19"/>
      <c r="PGP38" s="19"/>
      <c r="PGQ38" s="19"/>
      <c r="PGR38" s="19"/>
      <c r="PGS38" s="19"/>
      <c r="PGT38" s="19"/>
      <c r="PGU38" s="19"/>
      <c r="PGV38" s="19"/>
      <c r="PGW38" s="19"/>
      <c r="PGX38" s="19"/>
      <c r="PGY38" s="19"/>
      <c r="PGZ38" s="19"/>
      <c r="PHA38" s="19"/>
      <c r="PHB38" s="19"/>
      <c r="PHC38" s="19"/>
      <c r="PHD38" s="19"/>
      <c r="PHE38" s="19"/>
      <c r="PHF38" s="19"/>
      <c r="PHG38" s="19"/>
      <c r="PHH38" s="19"/>
      <c r="PHI38" s="19"/>
      <c r="PHJ38" s="19"/>
      <c r="PHK38" s="19"/>
      <c r="PHL38" s="19"/>
      <c r="PHM38" s="19"/>
      <c r="PHN38" s="19"/>
      <c r="PHO38" s="19"/>
      <c r="PHP38" s="19"/>
      <c r="PHQ38" s="19"/>
      <c r="PHR38" s="19"/>
      <c r="PHS38" s="19"/>
      <c r="PHT38" s="19"/>
      <c r="PHU38" s="19"/>
      <c r="PHV38" s="19"/>
      <c r="PHW38" s="19"/>
      <c r="PHX38" s="19"/>
      <c r="PHY38" s="19"/>
      <c r="PHZ38" s="19"/>
      <c r="PIA38" s="19"/>
      <c r="PIB38" s="19"/>
      <c r="PIC38" s="19"/>
      <c r="PID38" s="19"/>
      <c r="PIE38" s="19"/>
      <c r="PIF38" s="19"/>
      <c r="PIG38" s="19"/>
      <c r="PIH38" s="19"/>
      <c r="PII38" s="19"/>
      <c r="PIJ38" s="19"/>
      <c r="PIK38" s="19"/>
      <c r="PIL38" s="19"/>
      <c r="PIM38" s="19"/>
      <c r="PIN38" s="19"/>
      <c r="PIO38" s="19"/>
      <c r="PIP38" s="19"/>
      <c r="PIQ38" s="19"/>
      <c r="PIR38" s="19"/>
      <c r="PIS38" s="19"/>
      <c r="PIT38" s="19"/>
      <c r="PIU38" s="19"/>
      <c r="PIV38" s="19"/>
      <c r="PIW38" s="19"/>
      <c r="PIX38" s="19"/>
      <c r="PIY38" s="19"/>
      <c r="PIZ38" s="19"/>
      <c r="PJA38" s="19"/>
      <c r="PJB38" s="19"/>
      <c r="PJC38" s="19"/>
      <c r="PJD38" s="19"/>
      <c r="PJE38" s="19"/>
      <c r="PJF38" s="19"/>
      <c r="PJG38" s="19"/>
      <c r="PJH38" s="19"/>
      <c r="PJI38" s="19"/>
      <c r="PJJ38" s="19"/>
      <c r="PJK38" s="19"/>
      <c r="PJL38" s="19"/>
      <c r="PJM38" s="19"/>
      <c r="PJN38" s="19"/>
      <c r="PJO38" s="19"/>
      <c r="PJP38" s="19"/>
      <c r="PJQ38" s="19"/>
      <c r="PJR38" s="19"/>
      <c r="PJS38" s="19"/>
      <c r="PJT38" s="19"/>
      <c r="PJU38" s="19"/>
      <c r="PJV38" s="19"/>
      <c r="PJW38" s="19"/>
      <c r="PJX38" s="19"/>
      <c r="PJY38" s="19"/>
      <c r="PJZ38" s="19"/>
      <c r="PKA38" s="19"/>
      <c r="PKB38" s="19"/>
      <c r="PKC38" s="19"/>
      <c r="PKD38" s="19"/>
      <c r="PKE38" s="19"/>
      <c r="PKF38" s="19"/>
      <c r="PKG38" s="19"/>
      <c r="PKH38" s="19"/>
      <c r="PKI38" s="19"/>
      <c r="PKJ38" s="19"/>
      <c r="PKK38" s="19"/>
      <c r="PKL38" s="19"/>
      <c r="PKM38" s="19"/>
      <c r="PKN38" s="19"/>
      <c r="PKO38" s="19"/>
      <c r="PKP38" s="19"/>
      <c r="PKQ38" s="19"/>
      <c r="PKR38" s="19"/>
      <c r="PKS38" s="19"/>
      <c r="PKT38" s="19"/>
      <c r="PKU38" s="19"/>
      <c r="PKV38" s="19"/>
      <c r="PKW38" s="19"/>
      <c r="PKX38" s="19"/>
      <c r="PKY38" s="19"/>
      <c r="PKZ38" s="19"/>
      <c r="PLA38" s="19"/>
      <c r="PLB38" s="19"/>
      <c r="PLC38" s="19"/>
      <c r="PLD38" s="19"/>
      <c r="PLE38" s="19"/>
      <c r="PLF38" s="19"/>
      <c r="PLG38" s="19"/>
      <c r="PLH38" s="19"/>
      <c r="PLI38" s="19"/>
      <c r="PLJ38" s="19"/>
      <c r="PLK38" s="19"/>
      <c r="PLL38" s="19"/>
      <c r="PLM38" s="19"/>
      <c r="PLN38" s="19"/>
      <c r="PLO38" s="19"/>
      <c r="PLP38" s="19"/>
      <c r="PLQ38" s="19"/>
      <c r="PLR38" s="19"/>
      <c r="PLS38" s="19"/>
      <c r="PLT38" s="19"/>
      <c r="PLU38" s="19"/>
      <c r="PLV38" s="19"/>
      <c r="PLW38" s="19"/>
      <c r="PLX38" s="19"/>
      <c r="PLY38" s="19"/>
      <c r="PLZ38" s="19"/>
      <c r="PMA38" s="19"/>
      <c r="PMB38" s="19"/>
      <c r="PMC38" s="19"/>
      <c r="PMD38" s="19"/>
      <c r="PME38" s="19"/>
      <c r="PMF38" s="19"/>
      <c r="PMG38" s="19"/>
      <c r="PMH38" s="19"/>
      <c r="PMI38" s="19"/>
      <c r="PMJ38" s="19"/>
      <c r="PMK38" s="19"/>
      <c r="PML38" s="19"/>
      <c r="PMM38" s="19"/>
      <c r="PMN38" s="19"/>
      <c r="PMO38" s="19"/>
      <c r="PMP38" s="19"/>
      <c r="PMQ38" s="19"/>
      <c r="PMR38" s="19"/>
      <c r="PMS38" s="19"/>
      <c r="PMT38" s="19"/>
      <c r="PMU38" s="19"/>
      <c r="PMV38" s="19"/>
      <c r="PMW38" s="19"/>
      <c r="PMX38" s="19"/>
      <c r="PMY38" s="19"/>
      <c r="PMZ38" s="19"/>
      <c r="PNA38" s="19"/>
      <c r="PNB38" s="19"/>
      <c r="PNC38" s="19"/>
      <c r="PND38" s="19"/>
      <c r="PNE38" s="19"/>
      <c r="PNF38" s="19"/>
      <c r="PNG38" s="19"/>
      <c r="PNH38" s="19"/>
      <c r="PNI38" s="19"/>
      <c r="PNJ38" s="19"/>
      <c r="PNK38" s="19"/>
      <c r="PNL38" s="19"/>
      <c r="PNM38" s="19"/>
      <c r="PNN38" s="19"/>
      <c r="PNO38" s="19"/>
      <c r="PNP38" s="19"/>
      <c r="PNQ38" s="19"/>
      <c r="PNR38" s="19"/>
      <c r="PNS38" s="19"/>
      <c r="PNT38" s="19"/>
      <c r="PNU38" s="19"/>
      <c r="PNV38" s="19"/>
      <c r="PNW38" s="19"/>
      <c r="PNX38" s="19"/>
      <c r="PNY38" s="19"/>
      <c r="PNZ38" s="19"/>
      <c r="POA38" s="19"/>
      <c r="POB38" s="19"/>
      <c r="POC38" s="19"/>
      <c r="POD38" s="19"/>
      <c r="POE38" s="19"/>
      <c r="POF38" s="19"/>
      <c r="POG38" s="19"/>
      <c r="POH38" s="19"/>
      <c r="POI38" s="19"/>
      <c r="POJ38" s="19"/>
      <c r="POK38" s="19"/>
      <c r="POL38" s="19"/>
      <c r="POM38" s="19"/>
      <c r="PON38" s="19"/>
      <c r="POO38" s="19"/>
      <c r="POP38" s="19"/>
      <c r="POQ38" s="19"/>
      <c r="POR38" s="19"/>
      <c r="POS38" s="19"/>
      <c r="POT38" s="19"/>
      <c r="POU38" s="19"/>
      <c r="POV38" s="19"/>
      <c r="POW38" s="19"/>
      <c r="POX38" s="19"/>
      <c r="POY38" s="19"/>
      <c r="POZ38" s="19"/>
      <c r="PPA38" s="19"/>
      <c r="PPB38" s="19"/>
      <c r="PPC38" s="19"/>
      <c r="PPD38" s="19"/>
      <c r="PPE38" s="19"/>
      <c r="PPF38" s="19"/>
      <c r="PPG38" s="19"/>
      <c r="PPH38" s="19"/>
      <c r="PPI38" s="19"/>
      <c r="PPJ38" s="19"/>
      <c r="PPK38" s="19"/>
      <c r="PPL38" s="19"/>
      <c r="PPM38" s="19"/>
      <c r="PPN38" s="19"/>
      <c r="PPO38" s="19"/>
      <c r="PPP38" s="19"/>
      <c r="PPQ38" s="19"/>
      <c r="PPR38" s="19"/>
      <c r="PPS38" s="19"/>
      <c r="PPT38" s="19"/>
      <c r="PPU38" s="19"/>
      <c r="PPV38" s="19"/>
      <c r="PPW38" s="19"/>
      <c r="PPX38" s="19"/>
      <c r="PPY38" s="19"/>
      <c r="PPZ38" s="19"/>
      <c r="PQA38" s="19"/>
      <c r="PQB38" s="19"/>
      <c r="PQC38" s="19"/>
      <c r="PQD38" s="19"/>
      <c r="PQE38" s="19"/>
      <c r="PQF38" s="19"/>
      <c r="PQG38" s="19"/>
      <c r="PQH38" s="19"/>
      <c r="PQI38" s="19"/>
      <c r="PQJ38" s="19"/>
      <c r="PQK38" s="19"/>
      <c r="PQL38" s="19"/>
      <c r="PQM38" s="19"/>
      <c r="PQN38" s="19"/>
      <c r="PQO38" s="19"/>
      <c r="PQP38" s="19"/>
      <c r="PQQ38" s="19"/>
      <c r="PQR38" s="19"/>
      <c r="PQS38" s="19"/>
      <c r="PQT38" s="19"/>
      <c r="PQU38" s="19"/>
      <c r="PQV38" s="19"/>
      <c r="PQW38" s="19"/>
      <c r="PQX38" s="19"/>
      <c r="PQY38" s="19"/>
      <c r="PQZ38" s="19"/>
      <c r="PRA38" s="19"/>
      <c r="PRB38" s="19"/>
      <c r="PRC38" s="19"/>
      <c r="PRD38" s="19"/>
      <c r="PRE38" s="19"/>
      <c r="PRF38" s="19"/>
      <c r="PRG38" s="19"/>
      <c r="PRH38" s="19"/>
      <c r="PRI38" s="19"/>
      <c r="PRJ38" s="19"/>
      <c r="PRK38" s="19"/>
      <c r="PRL38" s="19"/>
      <c r="PRM38" s="19"/>
      <c r="PRN38" s="19"/>
      <c r="PRO38" s="19"/>
      <c r="PRP38" s="19"/>
      <c r="PRQ38" s="19"/>
      <c r="PRR38" s="19"/>
      <c r="PRS38" s="19"/>
      <c r="PRT38" s="19"/>
      <c r="PRU38" s="19"/>
      <c r="PRV38" s="19"/>
      <c r="PRW38" s="19"/>
      <c r="PRX38" s="19"/>
      <c r="PRY38" s="19"/>
      <c r="PRZ38" s="19"/>
      <c r="PSA38" s="19"/>
      <c r="PSB38" s="19"/>
      <c r="PSC38" s="19"/>
      <c r="PSD38" s="19"/>
      <c r="PSE38" s="19"/>
      <c r="PSF38" s="19"/>
      <c r="PSG38" s="19"/>
      <c r="PSH38" s="19"/>
      <c r="PSI38" s="19"/>
      <c r="PSJ38" s="19"/>
      <c r="PSK38" s="19"/>
      <c r="PSL38" s="19"/>
      <c r="PSM38" s="19"/>
      <c r="PSN38" s="19"/>
      <c r="PSO38" s="19"/>
      <c r="PSP38" s="19"/>
      <c r="PSQ38" s="19"/>
      <c r="PSR38" s="19"/>
      <c r="PSS38" s="19"/>
      <c r="PST38" s="19"/>
      <c r="PSU38" s="19"/>
      <c r="PSV38" s="19"/>
      <c r="PSW38" s="19"/>
      <c r="PSX38" s="19"/>
      <c r="PSY38" s="19"/>
      <c r="PSZ38" s="19"/>
      <c r="PTA38" s="19"/>
      <c r="PTB38" s="19"/>
      <c r="PTC38" s="19"/>
      <c r="PTD38" s="19"/>
      <c r="PTE38" s="19"/>
      <c r="PTF38" s="19"/>
      <c r="PTG38" s="19"/>
      <c r="PTH38" s="19"/>
      <c r="PTI38" s="19"/>
      <c r="PTJ38" s="19"/>
      <c r="PTK38" s="19"/>
      <c r="PTL38" s="19"/>
      <c r="PTM38" s="19"/>
      <c r="PTN38" s="19"/>
      <c r="PTO38" s="19"/>
      <c r="PTP38" s="19"/>
      <c r="PTQ38" s="19"/>
      <c r="PTR38" s="19"/>
      <c r="PTS38" s="19"/>
      <c r="PTT38" s="19"/>
      <c r="PTU38" s="19"/>
      <c r="PTV38" s="19"/>
      <c r="PTW38" s="19"/>
      <c r="PTX38" s="19"/>
      <c r="PTY38" s="19"/>
      <c r="PTZ38" s="19"/>
      <c r="PUA38" s="19"/>
      <c r="PUB38" s="19"/>
      <c r="PUC38" s="19"/>
      <c r="PUD38" s="19"/>
      <c r="PUE38" s="19"/>
      <c r="PUF38" s="19"/>
      <c r="PUG38" s="19"/>
      <c r="PUH38" s="19"/>
      <c r="PUI38" s="19"/>
      <c r="PUJ38" s="19"/>
      <c r="PUK38" s="19"/>
      <c r="PUL38" s="19"/>
      <c r="PUM38" s="19"/>
      <c r="PUN38" s="19"/>
      <c r="PUO38" s="19"/>
      <c r="PUP38" s="19"/>
      <c r="PUQ38" s="19"/>
      <c r="PUR38" s="19"/>
      <c r="PUS38" s="19"/>
      <c r="PUT38" s="19"/>
      <c r="PUU38" s="19"/>
      <c r="PUV38" s="19"/>
      <c r="PUW38" s="19"/>
      <c r="PUX38" s="19"/>
      <c r="PUY38" s="19"/>
      <c r="PUZ38" s="19"/>
      <c r="PVA38" s="19"/>
      <c r="PVB38" s="19"/>
      <c r="PVC38" s="19"/>
      <c r="PVD38" s="19"/>
      <c r="PVE38" s="19"/>
      <c r="PVF38" s="19"/>
      <c r="PVG38" s="19"/>
      <c r="PVH38" s="19"/>
      <c r="PVI38" s="19"/>
      <c r="PVJ38" s="19"/>
      <c r="PVK38" s="19"/>
      <c r="PVL38" s="19"/>
      <c r="PVM38" s="19"/>
      <c r="PVN38" s="19"/>
      <c r="PVO38" s="19"/>
      <c r="PVP38" s="19"/>
      <c r="PVQ38" s="19"/>
      <c r="PVR38" s="19"/>
      <c r="PVS38" s="19"/>
      <c r="PVT38" s="19"/>
      <c r="PVU38" s="19"/>
      <c r="PVV38" s="19"/>
      <c r="PVW38" s="19"/>
      <c r="PVX38" s="19"/>
      <c r="PVY38" s="19"/>
      <c r="PVZ38" s="19"/>
      <c r="PWA38" s="19"/>
      <c r="PWB38" s="19"/>
      <c r="PWC38" s="19"/>
      <c r="PWD38" s="19"/>
      <c r="PWE38" s="19"/>
      <c r="PWF38" s="19"/>
      <c r="PWG38" s="19"/>
      <c r="PWH38" s="19"/>
      <c r="PWI38" s="19"/>
      <c r="PWJ38" s="19"/>
      <c r="PWK38" s="19"/>
      <c r="PWL38" s="19"/>
      <c r="PWM38" s="19"/>
      <c r="PWN38" s="19"/>
      <c r="PWO38" s="19"/>
      <c r="PWP38" s="19"/>
      <c r="PWQ38" s="19"/>
      <c r="PWR38" s="19"/>
      <c r="PWS38" s="19"/>
      <c r="PWT38" s="19"/>
      <c r="PWU38" s="19"/>
      <c r="PWV38" s="19"/>
      <c r="PWW38" s="19"/>
      <c r="PWX38" s="19"/>
      <c r="PWY38" s="19"/>
      <c r="PWZ38" s="19"/>
      <c r="PXA38" s="19"/>
      <c r="PXB38" s="19"/>
      <c r="PXC38" s="19"/>
      <c r="PXD38" s="19"/>
      <c r="PXE38" s="19"/>
      <c r="PXF38" s="19"/>
      <c r="PXG38" s="19"/>
      <c r="PXH38" s="19"/>
      <c r="PXI38" s="19"/>
      <c r="PXJ38" s="19"/>
      <c r="PXK38" s="19"/>
      <c r="PXL38" s="19"/>
      <c r="PXM38" s="19"/>
      <c r="PXN38" s="19"/>
      <c r="PXO38" s="19"/>
      <c r="PXP38" s="19"/>
      <c r="PXQ38" s="19"/>
      <c r="PXR38" s="19"/>
      <c r="PXS38" s="19"/>
      <c r="PXT38" s="19"/>
      <c r="PXU38" s="19"/>
      <c r="PXV38" s="19"/>
      <c r="PXW38" s="19"/>
      <c r="PXX38" s="19"/>
      <c r="PXY38" s="19"/>
      <c r="PXZ38" s="19"/>
      <c r="PYA38" s="19"/>
      <c r="PYB38" s="19"/>
      <c r="PYC38" s="19"/>
      <c r="PYD38" s="19"/>
      <c r="PYE38" s="19"/>
      <c r="PYF38" s="19"/>
      <c r="PYG38" s="19"/>
      <c r="PYH38" s="19"/>
      <c r="PYI38" s="19"/>
      <c r="PYJ38" s="19"/>
      <c r="PYK38" s="19"/>
      <c r="PYL38" s="19"/>
      <c r="PYM38" s="19"/>
      <c r="PYN38" s="19"/>
      <c r="PYO38" s="19"/>
      <c r="PYP38" s="19"/>
      <c r="PYQ38" s="19"/>
      <c r="PYR38" s="19"/>
      <c r="PYS38" s="19"/>
      <c r="PYT38" s="19"/>
      <c r="PYU38" s="19"/>
      <c r="PYV38" s="19"/>
      <c r="PYW38" s="19"/>
      <c r="PYX38" s="19"/>
      <c r="PYY38" s="19"/>
      <c r="PYZ38" s="19"/>
      <c r="PZA38" s="19"/>
      <c r="PZB38" s="19"/>
      <c r="PZC38" s="19"/>
      <c r="PZD38" s="19"/>
      <c r="PZE38" s="19"/>
      <c r="PZF38" s="19"/>
      <c r="PZG38" s="19"/>
      <c r="PZH38" s="19"/>
      <c r="PZI38" s="19"/>
      <c r="PZJ38" s="19"/>
      <c r="PZK38" s="19"/>
      <c r="PZL38" s="19"/>
      <c r="PZM38" s="19"/>
      <c r="PZN38" s="19"/>
      <c r="PZO38" s="19"/>
      <c r="PZP38" s="19"/>
      <c r="PZQ38" s="19"/>
      <c r="PZR38" s="19"/>
      <c r="PZS38" s="19"/>
      <c r="PZT38" s="19"/>
      <c r="PZU38" s="19"/>
      <c r="PZV38" s="19"/>
      <c r="PZW38" s="19"/>
      <c r="PZX38" s="19"/>
      <c r="PZY38" s="19"/>
      <c r="PZZ38" s="19"/>
      <c r="QAA38" s="19"/>
      <c r="QAB38" s="19"/>
      <c r="QAC38" s="19"/>
      <c r="QAD38" s="19"/>
      <c r="QAE38" s="19"/>
      <c r="QAF38" s="19"/>
      <c r="QAG38" s="19"/>
      <c r="QAH38" s="19"/>
      <c r="QAI38" s="19"/>
      <c r="QAJ38" s="19"/>
      <c r="QAK38" s="19"/>
      <c r="QAL38" s="19"/>
      <c r="QAM38" s="19"/>
      <c r="QAN38" s="19"/>
      <c r="QAO38" s="19"/>
      <c r="QAP38" s="19"/>
      <c r="QAQ38" s="19"/>
      <c r="QAR38" s="19"/>
      <c r="QAS38" s="19"/>
      <c r="QAT38" s="19"/>
      <c r="QAU38" s="19"/>
      <c r="QAV38" s="19"/>
      <c r="QAW38" s="19"/>
      <c r="QAX38" s="19"/>
      <c r="QAY38" s="19"/>
      <c r="QAZ38" s="19"/>
      <c r="QBA38" s="19"/>
      <c r="QBB38" s="19"/>
      <c r="QBC38" s="19"/>
      <c r="QBD38" s="19"/>
      <c r="QBE38" s="19"/>
      <c r="QBF38" s="19"/>
      <c r="QBG38" s="19"/>
      <c r="QBH38" s="19"/>
      <c r="QBI38" s="19"/>
      <c r="QBJ38" s="19"/>
      <c r="QBK38" s="19"/>
      <c r="QBL38" s="19"/>
      <c r="QBM38" s="19"/>
      <c r="QBN38" s="19"/>
      <c r="QBO38" s="19"/>
      <c r="QBP38" s="19"/>
      <c r="QBQ38" s="19"/>
      <c r="QBR38" s="19"/>
      <c r="QBS38" s="19"/>
      <c r="QBT38" s="19"/>
      <c r="QBU38" s="19"/>
      <c r="QBV38" s="19"/>
      <c r="QBW38" s="19"/>
      <c r="QBX38" s="19"/>
      <c r="QBY38" s="19"/>
      <c r="QBZ38" s="19"/>
      <c r="QCA38" s="19"/>
      <c r="QCB38" s="19"/>
      <c r="QCC38" s="19"/>
      <c r="QCD38" s="19"/>
      <c r="QCE38" s="19"/>
      <c r="QCF38" s="19"/>
      <c r="QCG38" s="19"/>
      <c r="QCH38" s="19"/>
      <c r="QCI38" s="19"/>
      <c r="QCJ38" s="19"/>
      <c r="QCK38" s="19"/>
      <c r="QCL38" s="19"/>
      <c r="QCM38" s="19"/>
      <c r="QCN38" s="19"/>
      <c r="QCO38" s="19"/>
      <c r="QCP38" s="19"/>
      <c r="QCQ38" s="19"/>
      <c r="QCR38" s="19"/>
      <c r="QCS38" s="19"/>
      <c r="QCT38" s="19"/>
      <c r="QCU38" s="19"/>
      <c r="QCV38" s="19"/>
      <c r="QCW38" s="19"/>
      <c r="QCX38" s="19"/>
      <c r="QCY38" s="19"/>
      <c r="QCZ38" s="19"/>
      <c r="QDA38" s="19"/>
      <c r="QDB38" s="19"/>
      <c r="QDC38" s="19"/>
      <c r="QDD38" s="19"/>
      <c r="QDE38" s="19"/>
      <c r="QDF38" s="19"/>
      <c r="QDG38" s="19"/>
      <c r="QDH38" s="19"/>
      <c r="QDI38" s="19"/>
      <c r="QDJ38" s="19"/>
      <c r="QDK38" s="19"/>
      <c r="QDL38" s="19"/>
      <c r="QDM38" s="19"/>
      <c r="QDN38" s="19"/>
      <c r="QDO38" s="19"/>
      <c r="QDP38" s="19"/>
      <c r="QDQ38" s="19"/>
      <c r="QDR38" s="19"/>
      <c r="QDS38" s="19"/>
      <c r="QDT38" s="19"/>
      <c r="QDU38" s="19"/>
      <c r="QDV38" s="19"/>
      <c r="QDW38" s="19"/>
      <c r="QDX38" s="19"/>
      <c r="QDY38" s="19"/>
      <c r="QDZ38" s="19"/>
      <c r="QEA38" s="19"/>
      <c r="QEB38" s="19"/>
      <c r="QEC38" s="19"/>
      <c r="QED38" s="19"/>
      <c r="QEE38" s="19"/>
      <c r="QEF38" s="19"/>
      <c r="QEG38" s="19"/>
      <c r="QEH38" s="19"/>
      <c r="QEI38" s="19"/>
      <c r="QEJ38" s="19"/>
      <c r="QEK38" s="19"/>
      <c r="QEL38" s="19"/>
      <c r="QEM38" s="19"/>
      <c r="QEN38" s="19"/>
      <c r="QEO38" s="19"/>
      <c r="QEP38" s="19"/>
      <c r="QEQ38" s="19"/>
      <c r="QER38" s="19"/>
      <c r="QES38" s="19"/>
      <c r="QET38" s="19"/>
      <c r="QEU38" s="19"/>
      <c r="QEV38" s="19"/>
      <c r="QEW38" s="19"/>
      <c r="QEX38" s="19"/>
      <c r="QEY38" s="19"/>
      <c r="QEZ38" s="19"/>
      <c r="QFA38" s="19"/>
      <c r="QFB38" s="19"/>
      <c r="QFC38" s="19"/>
      <c r="QFD38" s="19"/>
      <c r="QFE38" s="19"/>
      <c r="QFF38" s="19"/>
      <c r="QFG38" s="19"/>
      <c r="QFH38" s="19"/>
      <c r="QFI38" s="19"/>
      <c r="QFJ38" s="19"/>
      <c r="QFK38" s="19"/>
      <c r="QFL38" s="19"/>
      <c r="QFM38" s="19"/>
      <c r="QFN38" s="19"/>
      <c r="QFO38" s="19"/>
      <c r="QFP38" s="19"/>
      <c r="QFQ38" s="19"/>
      <c r="QFR38" s="19"/>
      <c r="QFS38" s="19"/>
      <c r="QFT38" s="19"/>
      <c r="QFU38" s="19"/>
      <c r="QFV38" s="19"/>
      <c r="QFW38" s="19"/>
      <c r="QFX38" s="19"/>
      <c r="QFY38" s="19"/>
      <c r="QFZ38" s="19"/>
      <c r="QGA38" s="19"/>
      <c r="QGB38" s="19"/>
      <c r="QGC38" s="19"/>
      <c r="QGD38" s="19"/>
      <c r="QGE38" s="19"/>
      <c r="QGF38" s="19"/>
      <c r="QGG38" s="19"/>
      <c r="QGH38" s="19"/>
      <c r="QGI38" s="19"/>
      <c r="QGJ38" s="19"/>
      <c r="QGK38" s="19"/>
      <c r="QGL38" s="19"/>
      <c r="QGM38" s="19"/>
      <c r="QGN38" s="19"/>
      <c r="QGO38" s="19"/>
      <c r="QGP38" s="19"/>
      <c r="QGQ38" s="19"/>
      <c r="QGR38" s="19"/>
      <c r="QGS38" s="19"/>
      <c r="QGT38" s="19"/>
      <c r="QGU38" s="19"/>
      <c r="QGV38" s="19"/>
      <c r="QGW38" s="19"/>
      <c r="QGX38" s="19"/>
      <c r="QGY38" s="19"/>
      <c r="QGZ38" s="19"/>
      <c r="QHA38" s="19"/>
      <c r="QHB38" s="19"/>
      <c r="QHC38" s="19"/>
      <c r="QHD38" s="19"/>
      <c r="QHE38" s="19"/>
      <c r="QHF38" s="19"/>
      <c r="QHG38" s="19"/>
      <c r="QHH38" s="19"/>
      <c r="QHI38" s="19"/>
      <c r="QHJ38" s="19"/>
      <c r="QHK38" s="19"/>
      <c r="QHL38" s="19"/>
      <c r="QHM38" s="19"/>
      <c r="QHN38" s="19"/>
      <c r="QHO38" s="19"/>
      <c r="QHP38" s="19"/>
      <c r="QHQ38" s="19"/>
      <c r="QHR38" s="19"/>
      <c r="QHS38" s="19"/>
      <c r="QHT38" s="19"/>
      <c r="QHU38" s="19"/>
      <c r="QHV38" s="19"/>
      <c r="QHW38" s="19"/>
      <c r="QHX38" s="19"/>
      <c r="QHY38" s="19"/>
      <c r="QHZ38" s="19"/>
      <c r="QIA38" s="19"/>
      <c r="QIB38" s="19"/>
      <c r="QIC38" s="19"/>
      <c r="QID38" s="19"/>
      <c r="QIE38" s="19"/>
      <c r="QIF38" s="19"/>
      <c r="QIG38" s="19"/>
      <c r="QIH38" s="19"/>
      <c r="QII38" s="19"/>
      <c r="QIJ38" s="19"/>
      <c r="QIK38" s="19"/>
      <c r="QIL38" s="19"/>
      <c r="QIM38" s="19"/>
      <c r="QIN38" s="19"/>
      <c r="QIO38" s="19"/>
      <c r="QIP38" s="19"/>
      <c r="QIQ38" s="19"/>
      <c r="QIR38" s="19"/>
      <c r="QIS38" s="19"/>
      <c r="QIT38" s="19"/>
      <c r="QIU38" s="19"/>
      <c r="QIV38" s="19"/>
      <c r="QIW38" s="19"/>
      <c r="QIX38" s="19"/>
      <c r="QIY38" s="19"/>
      <c r="QIZ38" s="19"/>
      <c r="QJA38" s="19"/>
      <c r="QJB38" s="19"/>
      <c r="QJC38" s="19"/>
      <c r="QJD38" s="19"/>
      <c r="QJE38" s="19"/>
      <c r="QJF38" s="19"/>
      <c r="QJG38" s="19"/>
      <c r="QJH38" s="19"/>
      <c r="QJI38" s="19"/>
      <c r="QJJ38" s="19"/>
      <c r="QJK38" s="19"/>
      <c r="QJL38" s="19"/>
      <c r="QJM38" s="19"/>
      <c r="QJN38" s="19"/>
      <c r="QJO38" s="19"/>
      <c r="QJP38" s="19"/>
      <c r="QJQ38" s="19"/>
      <c r="QJR38" s="19"/>
      <c r="QJS38" s="19"/>
      <c r="QJT38" s="19"/>
      <c r="QJU38" s="19"/>
      <c r="QJV38" s="19"/>
      <c r="QJW38" s="19"/>
      <c r="QJX38" s="19"/>
      <c r="QJY38" s="19"/>
      <c r="QJZ38" s="19"/>
      <c r="QKA38" s="19"/>
      <c r="QKB38" s="19"/>
      <c r="QKC38" s="19"/>
      <c r="QKD38" s="19"/>
      <c r="QKE38" s="19"/>
      <c r="QKF38" s="19"/>
      <c r="QKG38" s="19"/>
      <c r="QKH38" s="19"/>
      <c r="QKI38" s="19"/>
      <c r="QKJ38" s="19"/>
      <c r="QKK38" s="19"/>
      <c r="QKL38" s="19"/>
      <c r="QKM38" s="19"/>
      <c r="QKN38" s="19"/>
      <c r="QKO38" s="19"/>
      <c r="QKP38" s="19"/>
      <c r="QKQ38" s="19"/>
      <c r="QKR38" s="19"/>
      <c r="QKS38" s="19"/>
      <c r="QKT38" s="19"/>
      <c r="QKU38" s="19"/>
      <c r="QKV38" s="19"/>
      <c r="QKW38" s="19"/>
      <c r="QKX38" s="19"/>
      <c r="QKY38" s="19"/>
      <c r="QKZ38" s="19"/>
      <c r="QLA38" s="19"/>
      <c r="QLB38" s="19"/>
      <c r="QLC38" s="19"/>
      <c r="QLD38" s="19"/>
      <c r="QLE38" s="19"/>
      <c r="QLF38" s="19"/>
      <c r="QLG38" s="19"/>
      <c r="QLH38" s="19"/>
      <c r="QLI38" s="19"/>
      <c r="QLJ38" s="19"/>
      <c r="QLK38" s="19"/>
      <c r="QLL38" s="19"/>
      <c r="QLM38" s="19"/>
      <c r="QLN38" s="19"/>
      <c r="QLO38" s="19"/>
      <c r="QLP38" s="19"/>
      <c r="QLQ38" s="19"/>
      <c r="QLR38" s="19"/>
      <c r="QLS38" s="19"/>
      <c r="QLT38" s="19"/>
      <c r="QLU38" s="19"/>
      <c r="QLV38" s="19"/>
      <c r="QLW38" s="19"/>
      <c r="QLX38" s="19"/>
      <c r="QLY38" s="19"/>
      <c r="QLZ38" s="19"/>
      <c r="QMA38" s="19"/>
      <c r="QMB38" s="19"/>
      <c r="QMC38" s="19"/>
      <c r="QMD38" s="19"/>
      <c r="QME38" s="19"/>
      <c r="QMF38" s="19"/>
      <c r="QMG38" s="19"/>
      <c r="QMH38" s="19"/>
      <c r="QMI38" s="19"/>
      <c r="QMJ38" s="19"/>
      <c r="QMK38" s="19"/>
      <c r="QML38" s="19"/>
      <c r="QMM38" s="19"/>
      <c r="QMN38" s="19"/>
      <c r="QMO38" s="19"/>
      <c r="QMP38" s="19"/>
      <c r="QMQ38" s="19"/>
      <c r="QMR38" s="19"/>
      <c r="QMS38" s="19"/>
      <c r="QMT38" s="19"/>
      <c r="QMU38" s="19"/>
      <c r="QMV38" s="19"/>
      <c r="QMW38" s="19"/>
      <c r="QMX38" s="19"/>
      <c r="QMY38" s="19"/>
      <c r="QMZ38" s="19"/>
      <c r="QNA38" s="19"/>
      <c r="QNB38" s="19"/>
      <c r="QNC38" s="19"/>
      <c r="QND38" s="19"/>
      <c r="QNE38" s="19"/>
      <c r="QNF38" s="19"/>
      <c r="QNG38" s="19"/>
      <c r="QNH38" s="19"/>
      <c r="QNI38" s="19"/>
      <c r="QNJ38" s="19"/>
      <c r="QNK38" s="19"/>
      <c r="QNL38" s="19"/>
      <c r="QNM38" s="19"/>
      <c r="QNN38" s="19"/>
      <c r="QNO38" s="19"/>
      <c r="QNP38" s="19"/>
      <c r="QNQ38" s="19"/>
      <c r="QNR38" s="19"/>
      <c r="QNS38" s="19"/>
      <c r="QNT38" s="19"/>
      <c r="QNU38" s="19"/>
      <c r="QNV38" s="19"/>
      <c r="QNW38" s="19"/>
      <c r="QNX38" s="19"/>
      <c r="QNY38" s="19"/>
      <c r="QNZ38" s="19"/>
      <c r="QOA38" s="19"/>
      <c r="QOB38" s="19"/>
      <c r="QOC38" s="19"/>
      <c r="QOD38" s="19"/>
      <c r="QOE38" s="19"/>
      <c r="QOF38" s="19"/>
      <c r="QOG38" s="19"/>
      <c r="QOH38" s="19"/>
      <c r="QOI38" s="19"/>
      <c r="QOJ38" s="19"/>
      <c r="QOK38" s="19"/>
      <c r="QOL38" s="19"/>
      <c r="QOM38" s="19"/>
      <c r="QON38" s="19"/>
      <c r="QOO38" s="19"/>
      <c r="QOP38" s="19"/>
      <c r="QOQ38" s="19"/>
      <c r="QOR38" s="19"/>
      <c r="QOS38" s="19"/>
      <c r="QOT38" s="19"/>
      <c r="QOU38" s="19"/>
      <c r="QOV38" s="19"/>
      <c r="QOW38" s="19"/>
      <c r="QOX38" s="19"/>
      <c r="QOY38" s="19"/>
      <c r="QOZ38" s="19"/>
      <c r="QPA38" s="19"/>
      <c r="QPB38" s="19"/>
      <c r="QPC38" s="19"/>
      <c r="QPD38" s="19"/>
      <c r="QPE38" s="19"/>
      <c r="QPF38" s="19"/>
      <c r="QPG38" s="19"/>
      <c r="QPH38" s="19"/>
      <c r="QPI38" s="19"/>
      <c r="QPJ38" s="19"/>
      <c r="QPK38" s="19"/>
      <c r="QPL38" s="19"/>
      <c r="QPM38" s="19"/>
      <c r="QPN38" s="19"/>
      <c r="QPO38" s="19"/>
      <c r="QPP38" s="19"/>
      <c r="QPQ38" s="19"/>
      <c r="QPR38" s="19"/>
      <c r="QPS38" s="19"/>
      <c r="QPT38" s="19"/>
      <c r="QPU38" s="19"/>
      <c r="QPV38" s="19"/>
      <c r="QPW38" s="19"/>
      <c r="QPX38" s="19"/>
      <c r="QPY38" s="19"/>
      <c r="QPZ38" s="19"/>
      <c r="QQA38" s="19"/>
      <c r="QQB38" s="19"/>
      <c r="QQC38" s="19"/>
      <c r="QQD38" s="19"/>
      <c r="QQE38" s="19"/>
      <c r="QQF38" s="19"/>
      <c r="QQG38" s="19"/>
      <c r="QQH38" s="19"/>
      <c r="QQI38" s="19"/>
      <c r="QQJ38" s="19"/>
      <c r="QQK38" s="19"/>
      <c r="QQL38" s="19"/>
      <c r="QQM38" s="19"/>
      <c r="QQN38" s="19"/>
      <c r="QQO38" s="19"/>
      <c r="QQP38" s="19"/>
      <c r="QQQ38" s="19"/>
      <c r="QQR38" s="19"/>
      <c r="QQS38" s="19"/>
      <c r="QQT38" s="19"/>
      <c r="QQU38" s="19"/>
      <c r="QQV38" s="19"/>
      <c r="QQW38" s="19"/>
      <c r="QQX38" s="19"/>
      <c r="QQY38" s="19"/>
      <c r="QQZ38" s="19"/>
      <c r="QRA38" s="19"/>
      <c r="QRB38" s="19"/>
      <c r="QRC38" s="19"/>
      <c r="QRD38" s="19"/>
      <c r="QRE38" s="19"/>
      <c r="QRF38" s="19"/>
      <c r="QRG38" s="19"/>
      <c r="QRH38" s="19"/>
      <c r="QRI38" s="19"/>
      <c r="QRJ38" s="19"/>
      <c r="QRK38" s="19"/>
      <c r="QRL38" s="19"/>
      <c r="QRM38" s="19"/>
      <c r="QRN38" s="19"/>
      <c r="QRO38" s="19"/>
      <c r="QRP38" s="19"/>
      <c r="QRQ38" s="19"/>
      <c r="QRR38" s="19"/>
      <c r="QRS38" s="19"/>
      <c r="QRT38" s="19"/>
      <c r="QRU38" s="19"/>
      <c r="QRV38" s="19"/>
      <c r="QRW38" s="19"/>
      <c r="QRX38" s="19"/>
      <c r="QRY38" s="19"/>
      <c r="QRZ38" s="19"/>
      <c r="QSA38" s="19"/>
      <c r="QSB38" s="19"/>
      <c r="QSC38" s="19"/>
      <c r="QSD38" s="19"/>
      <c r="QSE38" s="19"/>
      <c r="QSF38" s="19"/>
      <c r="QSG38" s="19"/>
      <c r="QSH38" s="19"/>
      <c r="QSI38" s="19"/>
      <c r="QSJ38" s="19"/>
      <c r="QSK38" s="19"/>
      <c r="QSL38" s="19"/>
      <c r="QSM38" s="19"/>
      <c r="QSN38" s="19"/>
      <c r="QSO38" s="19"/>
      <c r="QSP38" s="19"/>
      <c r="QSQ38" s="19"/>
      <c r="QSR38" s="19"/>
      <c r="QSS38" s="19"/>
      <c r="QST38" s="19"/>
      <c r="QSU38" s="19"/>
      <c r="QSV38" s="19"/>
      <c r="QSW38" s="19"/>
      <c r="QSX38" s="19"/>
      <c r="QSY38" s="19"/>
      <c r="QSZ38" s="19"/>
      <c r="QTA38" s="19"/>
      <c r="QTB38" s="19"/>
      <c r="QTC38" s="19"/>
      <c r="QTD38" s="19"/>
      <c r="QTE38" s="19"/>
      <c r="QTF38" s="19"/>
      <c r="QTG38" s="19"/>
      <c r="QTH38" s="19"/>
      <c r="QTI38" s="19"/>
      <c r="QTJ38" s="19"/>
      <c r="QTK38" s="19"/>
      <c r="QTL38" s="19"/>
      <c r="QTM38" s="19"/>
      <c r="QTN38" s="19"/>
      <c r="QTO38" s="19"/>
      <c r="QTP38" s="19"/>
      <c r="QTQ38" s="19"/>
      <c r="QTR38" s="19"/>
      <c r="QTS38" s="19"/>
      <c r="QTT38" s="19"/>
      <c r="QTU38" s="19"/>
      <c r="QTV38" s="19"/>
      <c r="QTW38" s="19"/>
      <c r="QTX38" s="19"/>
      <c r="QTY38" s="19"/>
      <c r="QTZ38" s="19"/>
      <c r="QUA38" s="19"/>
      <c r="QUB38" s="19"/>
      <c r="QUC38" s="19"/>
      <c r="QUD38" s="19"/>
      <c r="QUE38" s="19"/>
      <c r="QUF38" s="19"/>
      <c r="QUG38" s="19"/>
      <c r="QUH38" s="19"/>
      <c r="QUI38" s="19"/>
      <c r="QUJ38" s="19"/>
      <c r="QUK38" s="19"/>
      <c r="QUL38" s="19"/>
      <c r="QUM38" s="19"/>
      <c r="QUN38" s="19"/>
      <c r="QUO38" s="19"/>
      <c r="QUP38" s="19"/>
      <c r="QUQ38" s="19"/>
      <c r="QUR38" s="19"/>
      <c r="QUS38" s="19"/>
      <c r="QUT38" s="19"/>
      <c r="QUU38" s="19"/>
      <c r="QUV38" s="19"/>
      <c r="QUW38" s="19"/>
      <c r="QUX38" s="19"/>
      <c r="QUY38" s="19"/>
      <c r="QUZ38" s="19"/>
      <c r="QVA38" s="19"/>
      <c r="QVB38" s="19"/>
      <c r="QVC38" s="19"/>
      <c r="QVD38" s="19"/>
      <c r="QVE38" s="19"/>
      <c r="QVF38" s="19"/>
      <c r="QVG38" s="19"/>
      <c r="QVH38" s="19"/>
      <c r="QVI38" s="19"/>
      <c r="QVJ38" s="19"/>
      <c r="QVK38" s="19"/>
      <c r="QVL38" s="19"/>
      <c r="QVM38" s="19"/>
      <c r="QVN38" s="19"/>
      <c r="QVO38" s="19"/>
      <c r="QVP38" s="19"/>
      <c r="QVQ38" s="19"/>
      <c r="QVR38" s="19"/>
      <c r="QVS38" s="19"/>
      <c r="QVT38" s="19"/>
      <c r="QVU38" s="19"/>
      <c r="QVV38" s="19"/>
      <c r="QVW38" s="19"/>
      <c r="QVX38" s="19"/>
      <c r="QVY38" s="19"/>
      <c r="QVZ38" s="19"/>
      <c r="QWA38" s="19"/>
      <c r="QWB38" s="19"/>
      <c r="QWC38" s="19"/>
      <c r="QWD38" s="19"/>
      <c r="QWE38" s="19"/>
      <c r="QWF38" s="19"/>
      <c r="QWG38" s="19"/>
      <c r="QWH38" s="19"/>
      <c r="QWI38" s="19"/>
      <c r="QWJ38" s="19"/>
      <c r="QWK38" s="19"/>
      <c r="QWL38" s="19"/>
      <c r="QWM38" s="19"/>
      <c r="QWN38" s="19"/>
      <c r="QWO38" s="19"/>
      <c r="QWP38" s="19"/>
      <c r="QWQ38" s="19"/>
      <c r="QWR38" s="19"/>
      <c r="QWS38" s="19"/>
      <c r="QWT38" s="19"/>
      <c r="QWU38" s="19"/>
      <c r="QWV38" s="19"/>
      <c r="QWW38" s="19"/>
      <c r="QWX38" s="19"/>
      <c r="QWY38" s="19"/>
      <c r="QWZ38" s="19"/>
      <c r="QXA38" s="19"/>
      <c r="QXB38" s="19"/>
      <c r="QXC38" s="19"/>
      <c r="QXD38" s="19"/>
      <c r="QXE38" s="19"/>
      <c r="QXF38" s="19"/>
      <c r="QXG38" s="19"/>
      <c r="QXH38" s="19"/>
      <c r="QXI38" s="19"/>
      <c r="QXJ38" s="19"/>
      <c r="QXK38" s="19"/>
      <c r="QXL38" s="19"/>
      <c r="QXM38" s="19"/>
      <c r="QXN38" s="19"/>
      <c r="QXO38" s="19"/>
      <c r="QXP38" s="19"/>
      <c r="QXQ38" s="19"/>
      <c r="QXR38" s="19"/>
      <c r="QXS38" s="19"/>
      <c r="QXT38" s="19"/>
      <c r="QXU38" s="19"/>
      <c r="QXV38" s="19"/>
      <c r="QXW38" s="19"/>
      <c r="QXX38" s="19"/>
      <c r="QXY38" s="19"/>
      <c r="QXZ38" s="19"/>
      <c r="QYA38" s="19"/>
      <c r="QYB38" s="19"/>
      <c r="QYC38" s="19"/>
      <c r="QYD38" s="19"/>
      <c r="QYE38" s="19"/>
      <c r="QYF38" s="19"/>
      <c r="QYG38" s="19"/>
      <c r="QYH38" s="19"/>
      <c r="QYI38" s="19"/>
      <c r="QYJ38" s="19"/>
      <c r="QYK38" s="19"/>
      <c r="QYL38" s="19"/>
      <c r="QYM38" s="19"/>
      <c r="QYN38" s="19"/>
      <c r="QYO38" s="19"/>
      <c r="QYP38" s="19"/>
      <c r="QYQ38" s="19"/>
      <c r="QYR38" s="19"/>
      <c r="QYS38" s="19"/>
      <c r="QYT38" s="19"/>
      <c r="QYU38" s="19"/>
      <c r="QYV38" s="19"/>
      <c r="QYW38" s="19"/>
      <c r="QYX38" s="19"/>
      <c r="QYY38" s="19"/>
      <c r="QYZ38" s="19"/>
      <c r="QZA38" s="19"/>
      <c r="QZB38" s="19"/>
      <c r="QZC38" s="19"/>
      <c r="QZD38" s="19"/>
      <c r="QZE38" s="19"/>
      <c r="QZF38" s="19"/>
      <c r="QZG38" s="19"/>
      <c r="QZH38" s="19"/>
      <c r="QZI38" s="19"/>
      <c r="QZJ38" s="19"/>
      <c r="QZK38" s="19"/>
      <c r="QZL38" s="19"/>
      <c r="QZM38" s="19"/>
      <c r="QZN38" s="19"/>
      <c r="QZO38" s="19"/>
      <c r="QZP38" s="19"/>
      <c r="QZQ38" s="19"/>
      <c r="QZR38" s="19"/>
      <c r="QZS38" s="19"/>
      <c r="QZT38" s="19"/>
      <c r="QZU38" s="19"/>
      <c r="QZV38" s="19"/>
      <c r="QZW38" s="19"/>
      <c r="QZX38" s="19"/>
      <c r="QZY38" s="19"/>
      <c r="QZZ38" s="19"/>
      <c r="RAA38" s="19"/>
      <c r="RAB38" s="19"/>
      <c r="RAC38" s="19"/>
      <c r="RAD38" s="19"/>
      <c r="RAE38" s="19"/>
      <c r="RAF38" s="19"/>
      <c r="RAG38" s="19"/>
      <c r="RAH38" s="19"/>
      <c r="RAI38" s="19"/>
      <c r="RAJ38" s="19"/>
      <c r="RAK38" s="19"/>
      <c r="RAL38" s="19"/>
      <c r="RAM38" s="19"/>
      <c r="RAN38" s="19"/>
      <c r="RAO38" s="19"/>
      <c r="RAP38" s="19"/>
      <c r="RAQ38" s="19"/>
      <c r="RAR38" s="19"/>
      <c r="RAS38" s="19"/>
      <c r="RAT38" s="19"/>
      <c r="RAU38" s="19"/>
      <c r="RAV38" s="19"/>
      <c r="RAW38" s="19"/>
      <c r="RAX38" s="19"/>
      <c r="RAY38" s="19"/>
      <c r="RAZ38" s="19"/>
      <c r="RBA38" s="19"/>
      <c r="RBB38" s="19"/>
      <c r="RBC38" s="19"/>
      <c r="RBD38" s="19"/>
      <c r="RBE38" s="19"/>
      <c r="RBF38" s="19"/>
      <c r="RBG38" s="19"/>
      <c r="RBH38" s="19"/>
      <c r="RBI38" s="19"/>
      <c r="RBJ38" s="19"/>
      <c r="RBK38" s="19"/>
      <c r="RBL38" s="19"/>
      <c r="RBM38" s="19"/>
      <c r="RBN38" s="19"/>
      <c r="RBO38" s="19"/>
      <c r="RBP38" s="19"/>
      <c r="RBQ38" s="19"/>
      <c r="RBR38" s="19"/>
      <c r="RBS38" s="19"/>
      <c r="RBT38" s="19"/>
      <c r="RBU38" s="19"/>
      <c r="RBV38" s="19"/>
      <c r="RBW38" s="19"/>
      <c r="RBX38" s="19"/>
      <c r="RBY38" s="19"/>
      <c r="RBZ38" s="19"/>
      <c r="RCA38" s="19"/>
      <c r="RCB38" s="19"/>
      <c r="RCC38" s="19"/>
      <c r="RCD38" s="19"/>
      <c r="RCE38" s="19"/>
      <c r="RCF38" s="19"/>
      <c r="RCG38" s="19"/>
      <c r="RCH38" s="19"/>
      <c r="RCI38" s="19"/>
      <c r="RCJ38" s="19"/>
      <c r="RCK38" s="19"/>
      <c r="RCL38" s="19"/>
      <c r="RCM38" s="19"/>
      <c r="RCN38" s="19"/>
      <c r="RCO38" s="19"/>
      <c r="RCP38" s="19"/>
      <c r="RCQ38" s="19"/>
      <c r="RCR38" s="19"/>
      <c r="RCS38" s="19"/>
      <c r="RCT38" s="19"/>
      <c r="RCU38" s="19"/>
      <c r="RCV38" s="19"/>
      <c r="RCW38" s="19"/>
      <c r="RCX38" s="19"/>
      <c r="RCY38" s="19"/>
      <c r="RCZ38" s="19"/>
      <c r="RDA38" s="19"/>
      <c r="RDB38" s="19"/>
      <c r="RDC38" s="19"/>
      <c r="RDD38" s="19"/>
      <c r="RDE38" s="19"/>
      <c r="RDF38" s="19"/>
      <c r="RDG38" s="19"/>
      <c r="RDH38" s="19"/>
      <c r="RDI38" s="19"/>
      <c r="RDJ38" s="19"/>
      <c r="RDK38" s="19"/>
      <c r="RDL38" s="19"/>
      <c r="RDM38" s="19"/>
      <c r="RDN38" s="19"/>
      <c r="RDO38" s="19"/>
      <c r="RDP38" s="19"/>
      <c r="RDQ38" s="19"/>
      <c r="RDR38" s="19"/>
      <c r="RDS38" s="19"/>
      <c r="RDT38" s="19"/>
      <c r="RDU38" s="19"/>
      <c r="RDV38" s="19"/>
      <c r="RDW38" s="19"/>
      <c r="RDX38" s="19"/>
      <c r="RDY38" s="19"/>
      <c r="RDZ38" s="19"/>
      <c r="REA38" s="19"/>
      <c r="REB38" s="19"/>
      <c r="REC38" s="19"/>
      <c r="RED38" s="19"/>
      <c r="REE38" s="19"/>
      <c r="REF38" s="19"/>
      <c r="REG38" s="19"/>
      <c r="REH38" s="19"/>
      <c r="REI38" s="19"/>
      <c r="REJ38" s="19"/>
      <c r="REK38" s="19"/>
      <c r="REL38" s="19"/>
      <c r="REM38" s="19"/>
      <c r="REN38" s="19"/>
      <c r="REO38" s="19"/>
      <c r="REP38" s="19"/>
      <c r="REQ38" s="19"/>
      <c r="RER38" s="19"/>
      <c r="RES38" s="19"/>
      <c r="RET38" s="19"/>
      <c r="REU38" s="19"/>
      <c r="REV38" s="19"/>
      <c r="REW38" s="19"/>
      <c r="REX38" s="19"/>
      <c r="REY38" s="19"/>
      <c r="REZ38" s="19"/>
      <c r="RFA38" s="19"/>
      <c r="RFB38" s="19"/>
      <c r="RFC38" s="19"/>
      <c r="RFD38" s="19"/>
      <c r="RFE38" s="19"/>
      <c r="RFF38" s="19"/>
      <c r="RFG38" s="19"/>
      <c r="RFH38" s="19"/>
      <c r="RFI38" s="19"/>
      <c r="RFJ38" s="19"/>
      <c r="RFK38" s="19"/>
      <c r="RFL38" s="19"/>
      <c r="RFM38" s="19"/>
      <c r="RFN38" s="19"/>
      <c r="RFO38" s="19"/>
      <c r="RFP38" s="19"/>
      <c r="RFQ38" s="19"/>
      <c r="RFR38" s="19"/>
      <c r="RFS38" s="19"/>
      <c r="RFT38" s="19"/>
      <c r="RFU38" s="19"/>
      <c r="RFV38" s="19"/>
      <c r="RFW38" s="19"/>
      <c r="RFX38" s="19"/>
      <c r="RFY38" s="19"/>
      <c r="RFZ38" s="19"/>
      <c r="RGA38" s="19"/>
      <c r="RGB38" s="19"/>
      <c r="RGC38" s="19"/>
      <c r="RGD38" s="19"/>
      <c r="RGE38" s="19"/>
      <c r="RGF38" s="19"/>
      <c r="RGG38" s="19"/>
      <c r="RGH38" s="19"/>
      <c r="RGI38" s="19"/>
      <c r="RGJ38" s="19"/>
      <c r="RGK38" s="19"/>
      <c r="RGL38" s="19"/>
      <c r="RGM38" s="19"/>
      <c r="RGN38" s="19"/>
      <c r="RGO38" s="19"/>
      <c r="RGP38" s="19"/>
      <c r="RGQ38" s="19"/>
      <c r="RGR38" s="19"/>
      <c r="RGS38" s="19"/>
      <c r="RGT38" s="19"/>
      <c r="RGU38" s="19"/>
      <c r="RGV38" s="19"/>
      <c r="RGW38" s="19"/>
      <c r="RGX38" s="19"/>
      <c r="RGY38" s="19"/>
      <c r="RGZ38" s="19"/>
      <c r="RHA38" s="19"/>
      <c r="RHB38" s="19"/>
      <c r="RHC38" s="19"/>
      <c r="RHD38" s="19"/>
      <c r="RHE38" s="19"/>
      <c r="RHF38" s="19"/>
      <c r="RHG38" s="19"/>
      <c r="RHH38" s="19"/>
      <c r="RHI38" s="19"/>
      <c r="RHJ38" s="19"/>
      <c r="RHK38" s="19"/>
      <c r="RHL38" s="19"/>
      <c r="RHM38" s="19"/>
      <c r="RHN38" s="19"/>
      <c r="RHO38" s="19"/>
      <c r="RHP38" s="19"/>
      <c r="RHQ38" s="19"/>
      <c r="RHR38" s="19"/>
      <c r="RHS38" s="19"/>
      <c r="RHT38" s="19"/>
      <c r="RHU38" s="19"/>
      <c r="RHV38" s="19"/>
      <c r="RHW38" s="19"/>
      <c r="RHX38" s="19"/>
      <c r="RHY38" s="19"/>
      <c r="RHZ38" s="19"/>
      <c r="RIA38" s="19"/>
      <c r="RIB38" s="19"/>
      <c r="RIC38" s="19"/>
      <c r="RID38" s="19"/>
      <c r="RIE38" s="19"/>
      <c r="RIF38" s="19"/>
      <c r="RIG38" s="19"/>
      <c r="RIH38" s="19"/>
      <c r="RII38" s="19"/>
      <c r="RIJ38" s="19"/>
      <c r="RIK38" s="19"/>
      <c r="RIL38" s="19"/>
      <c r="RIM38" s="19"/>
      <c r="RIN38" s="19"/>
      <c r="RIO38" s="19"/>
      <c r="RIP38" s="19"/>
      <c r="RIQ38" s="19"/>
      <c r="RIR38" s="19"/>
      <c r="RIS38" s="19"/>
      <c r="RIT38" s="19"/>
      <c r="RIU38" s="19"/>
      <c r="RIV38" s="19"/>
      <c r="RIW38" s="19"/>
      <c r="RIX38" s="19"/>
      <c r="RIY38" s="19"/>
      <c r="RIZ38" s="19"/>
      <c r="RJA38" s="19"/>
      <c r="RJB38" s="19"/>
      <c r="RJC38" s="19"/>
      <c r="RJD38" s="19"/>
      <c r="RJE38" s="19"/>
      <c r="RJF38" s="19"/>
      <c r="RJG38" s="19"/>
      <c r="RJH38" s="19"/>
      <c r="RJI38" s="19"/>
      <c r="RJJ38" s="19"/>
      <c r="RJK38" s="19"/>
      <c r="RJL38" s="19"/>
      <c r="RJM38" s="19"/>
      <c r="RJN38" s="19"/>
      <c r="RJO38" s="19"/>
      <c r="RJP38" s="19"/>
      <c r="RJQ38" s="19"/>
      <c r="RJR38" s="19"/>
      <c r="RJS38" s="19"/>
      <c r="RJT38" s="19"/>
      <c r="RJU38" s="19"/>
      <c r="RJV38" s="19"/>
      <c r="RJW38" s="19"/>
      <c r="RJX38" s="19"/>
      <c r="RJY38" s="19"/>
      <c r="RJZ38" s="19"/>
      <c r="RKA38" s="19"/>
      <c r="RKB38" s="19"/>
      <c r="RKC38" s="19"/>
      <c r="RKD38" s="19"/>
      <c r="RKE38" s="19"/>
      <c r="RKF38" s="19"/>
      <c r="RKG38" s="19"/>
      <c r="RKH38" s="19"/>
      <c r="RKI38" s="19"/>
      <c r="RKJ38" s="19"/>
      <c r="RKK38" s="19"/>
      <c r="RKL38" s="19"/>
      <c r="RKM38" s="19"/>
      <c r="RKN38" s="19"/>
      <c r="RKO38" s="19"/>
      <c r="RKP38" s="19"/>
      <c r="RKQ38" s="19"/>
      <c r="RKR38" s="19"/>
      <c r="RKS38" s="19"/>
      <c r="RKT38" s="19"/>
      <c r="RKU38" s="19"/>
      <c r="RKV38" s="19"/>
      <c r="RKW38" s="19"/>
      <c r="RKX38" s="19"/>
      <c r="RKY38" s="19"/>
      <c r="RKZ38" s="19"/>
      <c r="RLA38" s="19"/>
      <c r="RLB38" s="19"/>
      <c r="RLC38" s="19"/>
      <c r="RLD38" s="19"/>
      <c r="RLE38" s="19"/>
      <c r="RLF38" s="19"/>
      <c r="RLG38" s="19"/>
      <c r="RLH38" s="19"/>
      <c r="RLI38" s="19"/>
      <c r="RLJ38" s="19"/>
      <c r="RLK38" s="19"/>
      <c r="RLL38" s="19"/>
      <c r="RLM38" s="19"/>
      <c r="RLN38" s="19"/>
      <c r="RLO38" s="19"/>
      <c r="RLP38" s="19"/>
      <c r="RLQ38" s="19"/>
      <c r="RLR38" s="19"/>
      <c r="RLS38" s="19"/>
      <c r="RLT38" s="19"/>
      <c r="RLU38" s="19"/>
      <c r="RLV38" s="19"/>
      <c r="RLW38" s="19"/>
      <c r="RLX38" s="19"/>
      <c r="RLY38" s="19"/>
      <c r="RLZ38" s="19"/>
      <c r="RMA38" s="19"/>
      <c r="RMB38" s="19"/>
      <c r="RMC38" s="19"/>
      <c r="RMD38" s="19"/>
      <c r="RME38" s="19"/>
      <c r="RMF38" s="19"/>
      <c r="RMG38" s="19"/>
      <c r="RMH38" s="19"/>
      <c r="RMI38" s="19"/>
      <c r="RMJ38" s="19"/>
      <c r="RMK38" s="19"/>
      <c r="RML38" s="19"/>
      <c r="RMM38" s="19"/>
      <c r="RMN38" s="19"/>
      <c r="RMO38" s="19"/>
      <c r="RMP38" s="19"/>
      <c r="RMQ38" s="19"/>
      <c r="RMR38" s="19"/>
      <c r="RMS38" s="19"/>
      <c r="RMT38" s="19"/>
      <c r="RMU38" s="19"/>
      <c r="RMV38" s="19"/>
      <c r="RMW38" s="19"/>
      <c r="RMX38" s="19"/>
      <c r="RMY38" s="19"/>
      <c r="RMZ38" s="19"/>
      <c r="RNA38" s="19"/>
      <c r="RNB38" s="19"/>
      <c r="RNC38" s="19"/>
      <c r="RND38" s="19"/>
      <c r="RNE38" s="19"/>
      <c r="RNF38" s="19"/>
      <c r="RNG38" s="19"/>
      <c r="RNH38" s="19"/>
      <c r="RNI38" s="19"/>
      <c r="RNJ38" s="19"/>
      <c r="RNK38" s="19"/>
      <c r="RNL38" s="19"/>
      <c r="RNM38" s="19"/>
      <c r="RNN38" s="19"/>
      <c r="RNO38" s="19"/>
      <c r="RNP38" s="19"/>
      <c r="RNQ38" s="19"/>
      <c r="RNR38" s="19"/>
      <c r="RNS38" s="19"/>
      <c r="RNT38" s="19"/>
      <c r="RNU38" s="19"/>
      <c r="RNV38" s="19"/>
      <c r="RNW38" s="19"/>
      <c r="RNX38" s="19"/>
      <c r="RNY38" s="19"/>
      <c r="RNZ38" s="19"/>
      <c r="ROA38" s="19"/>
      <c r="ROB38" s="19"/>
      <c r="ROC38" s="19"/>
      <c r="ROD38" s="19"/>
      <c r="ROE38" s="19"/>
      <c r="ROF38" s="19"/>
      <c r="ROG38" s="19"/>
      <c r="ROH38" s="19"/>
      <c r="ROI38" s="19"/>
      <c r="ROJ38" s="19"/>
      <c r="ROK38" s="19"/>
      <c r="ROL38" s="19"/>
      <c r="ROM38" s="19"/>
      <c r="RON38" s="19"/>
      <c r="ROO38" s="19"/>
      <c r="ROP38" s="19"/>
      <c r="ROQ38" s="19"/>
      <c r="ROR38" s="19"/>
      <c r="ROS38" s="19"/>
      <c r="ROT38" s="19"/>
      <c r="ROU38" s="19"/>
      <c r="ROV38" s="19"/>
      <c r="ROW38" s="19"/>
      <c r="ROX38" s="19"/>
      <c r="ROY38" s="19"/>
      <c r="ROZ38" s="19"/>
      <c r="RPA38" s="19"/>
      <c r="RPB38" s="19"/>
      <c r="RPC38" s="19"/>
      <c r="RPD38" s="19"/>
      <c r="RPE38" s="19"/>
      <c r="RPF38" s="19"/>
      <c r="RPG38" s="19"/>
      <c r="RPH38" s="19"/>
      <c r="RPI38" s="19"/>
      <c r="RPJ38" s="19"/>
      <c r="RPK38" s="19"/>
      <c r="RPL38" s="19"/>
      <c r="RPM38" s="19"/>
      <c r="RPN38" s="19"/>
      <c r="RPO38" s="19"/>
      <c r="RPP38" s="19"/>
      <c r="RPQ38" s="19"/>
      <c r="RPR38" s="19"/>
      <c r="RPS38" s="19"/>
      <c r="RPT38" s="19"/>
      <c r="RPU38" s="19"/>
      <c r="RPV38" s="19"/>
      <c r="RPW38" s="19"/>
      <c r="RPX38" s="19"/>
      <c r="RPY38" s="19"/>
      <c r="RPZ38" s="19"/>
      <c r="RQA38" s="19"/>
      <c r="RQB38" s="19"/>
      <c r="RQC38" s="19"/>
      <c r="RQD38" s="19"/>
      <c r="RQE38" s="19"/>
      <c r="RQF38" s="19"/>
      <c r="RQG38" s="19"/>
      <c r="RQH38" s="19"/>
      <c r="RQI38" s="19"/>
      <c r="RQJ38" s="19"/>
      <c r="RQK38" s="19"/>
      <c r="RQL38" s="19"/>
      <c r="RQM38" s="19"/>
      <c r="RQN38" s="19"/>
      <c r="RQO38" s="19"/>
      <c r="RQP38" s="19"/>
      <c r="RQQ38" s="19"/>
      <c r="RQR38" s="19"/>
      <c r="RQS38" s="19"/>
      <c r="RQT38" s="19"/>
      <c r="RQU38" s="19"/>
      <c r="RQV38" s="19"/>
      <c r="RQW38" s="19"/>
      <c r="RQX38" s="19"/>
      <c r="RQY38" s="19"/>
      <c r="RQZ38" s="19"/>
      <c r="RRA38" s="19"/>
      <c r="RRB38" s="19"/>
      <c r="RRC38" s="19"/>
      <c r="RRD38" s="19"/>
      <c r="RRE38" s="19"/>
      <c r="RRF38" s="19"/>
      <c r="RRG38" s="19"/>
      <c r="RRH38" s="19"/>
      <c r="RRI38" s="19"/>
      <c r="RRJ38" s="19"/>
      <c r="RRK38" s="19"/>
      <c r="RRL38" s="19"/>
      <c r="RRM38" s="19"/>
      <c r="RRN38" s="19"/>
      <c r="RRO38" s="19"/>
      <c r="RRP38" s="19"/>
      <c r="RRQ38" s="19"/>
      <c r="RRR38" s="19"/>
      <c r="RRS38" s="19"/>
      <c r="RRT38" s="19"/>
      <c r="RRU38" s="19"/>
      <c r="RRV38" s="19"/>
      <c r="RRW38" s="19"/>
      <c r="RRX38" s="19"/>
      <c r="RRY38" s="19"/>
      <c r="RRZ38" s="19"/>
      <c r="RSA38" s="19"/>
      <c r="RSB38" s="19"/>
      <c r="RSC38" s="19"/>
      <c r="RSD38" s="19"/>
      <c r="RSE38" s="19"/>
      <c r="RSF38" s="19"/>
      <c r="RSG38" s="19"/>
      <c r="RSH38" s="19"/>
      <c r="RSI38" s="19"/>
      <c r="RSJ38" s="19"/>
      <c r="RSK38" s="19"/>
      <c r="RSL38" s="19"/>
      <c r="RSM38" s="19"/>
      <c r="RSN38" s="19"/>
      <c r="RSO38" s="19"/>
      <c r="RSP38" s="19"/>
      <c r="RSQ38" s="19"/>
      <c r="RSR38" s="19"/>
      <c r="RSS38" s="19"/>
      <c r="RST38" s="19"/>
      <c r="RSU38" s="19"/>
      <c r="RSV38" s="19"/>
      <c r="RSW38" s="19"/>
      <c r="RSX38" s="19"/>
      <c r="RSY38" s="19"/>
      <c r="RSZ38" s="19"/>
      <c r="RTA38" s="19"/>
      <c r="RTB38" s="19"/>
      <c r="RTC38" s="19"/>
      <c r="RTD38" s="19"/>
      <c r="RTE38" s="19"/>
      <c r="RTF38" s="19"/>
      <c r="RTG38" s="19"/>
      <c r="RTH38" s="19"/>
      <c r="RTI38" s="19"/>
      <c r="RTJ38" s="19"/>
      <c r="RTK38" s="19"/>
      <c r="RTL38" s="19"/>
      <c r="RTM38" s="19"/>
      <c r="RTN38" s="19"/>
      <c r="RTO38" s="19"/>
      <c r="RTP38" s="19"/>
      <c r="RTQ38" s="19"/>
      <c r="RTR38" s="19"/>
      <c r="RTS38" s="19"/>
      <c r="RTT38" s="19"/>
      <c r="RTU38" s="19"/>
      <c r="RTV38" s="19"/>
      <c r="RTW38" s="19"/>
      <c r="RTX38" s="19"/>
      <c r="RTY38" s="19"/>
      <c r="RTZ38" s="19"/>
      <c r="RUA38" s="19"/>
      <c r="RUB38" s="19"/>
      <c r="RUC38" s="19"/>
      <c r="RUD38" s="19"/>
      <c r="RUE38" s="19"/>
      <c r="RUF38" s="19"/>
      <c r="RUG38" s="19"/>
      <c r="RUH38" s="19"/>
      <c r="RUI38" s="19"/>
      <c r="RUJ38" s="19"/>
      <c r="RUK38" s="19"/>
      <c r="RUL38" s="19"/>
      <c r="RUM38" s="19"/>
      <c r="RUN38" s="19"/>
      <c r="RUO38" s="19"/>
      <c r="RUP38" s="19"/>
      <c r="RUQ38" s="19"/>
      <c r="RUR38" s="19"/>
      <c r="RUS38" s="19"/>
      <c r="RUT38" s="19"/>
      <c r="RUU38" s="19"/>
      <c r="RUV38" s="19"/>
      <c r="RUW38" s="19"/>
      <c r="RUX38" s="19"/>
      <c r="RUY38" s="19"/>
      <c r="RUZ38" s="19"/>
      <c r="RVA38" s="19"/>
      <c r="RVB38" s="19"/>
      <c r="RVC38" s="19"/>
      <c r="RVD38" s="19"/>
      <c r="RVE38" s="19"/>
      <c r="RVF38" s="19"/>
      <c r="RVG38" s="19"/>
      <c r="RVH38" s="19"/>
      <c r="RVI38" s="19"/>
      <c r="RVJ38" s="19"/>
      <c r="RVK38" s="19"/>
      <c r="RVL38" s="19"/>
      <c r="RVM38" s="19"/>
      <c r="RVN38" s="19"/>
      <c r="RVO38" s="19"/>
      <c r="RVP38" s="19"/>
      <c r="RVQ38" s="19"/>
      <c r="RVR38" s="19"/>
      <c r="RVS38" s="19"/>
      <c r="RVT38" s="19"/>
      <c r="RVU38" s="19"/>
      <c r="RVV38" s="19"/>
      <c r="RVW38" s="19"/>
      <c r="RVX38" s="19"/>
      <c r="RVY38" s="19"/>
      <c r="RVZ38" s="19"/>
      <c r="RWA38" s="19"/>
      <c r="RWB38" s="19"/>
      <c r="RWC38" s="19"/>
      <c r="RWD38" s="19"/>
      <c r="RWE38" s="19"/>
      <c r="RWF38" s="19"/>
      <c r="RWG38" s="19"/>
      <c r="RWH38" s="19"/>
      <c r="RWI38" s="19"/>
      <c r="RWJ38" s="19"/>
      <c r="RWK38" s="19"/>
      <c r="RWL38" s="19"/>
      <c r="RWM38" s="19"/>
      <c r="RWN38" s="19"/>
      <c r="RWO38" s="19"/>
      <c r="RWP38" s="19"/>
      <c r="RWQ38" s="19"/>
      <c r="RWR38" s="19"/>
      <c r="RWS38" s="19"/>
      <c r="RWT38" s="19"/>
      <c r="RWU38" s="19"/>
      <c r="RWV38" s="19"/>
      <c r="RWW38" s="19"/>
      <c r="RWX38" s="19"/>
      <c r="RWY38" s="19"/>
      <c r="RWZ38" s="19"/>
      <c r="RXA38" s="19"/>
      <c r="RXB38" s="19"/>
      <c r="RXC38" s="19"/>
      <c r="RXD38" s="19"/>
      <c r="RXE38" s="19"/>
      <c r="RXF38" s="19"/>
      <c r="RXG38" s="19"/>
      <c r="RXH38" s="19"/>
      <c r="RXI38" s="19"/>
      <c r="RXJ38" s="19"/>
      <c r="RXK38" s="19"/>
      <c r="RXL38" s="19"/>
      <c r="RXM38" s="19"/>
      <c r="RXN38" s="19"/>
      <c r="RXO38" s="19"/>
      <c r="RXP38" s="19"/>
      <c r="RXQ38" s="19"/>
      <c r="RXR38" s="19"/>
      <c r="RXS38" s="19"/>
      <c r="RXT38" s="19"/>
      <c r="RXU38" s="19"/>
      <c r="RXV38" s="19"/>
      <c r="RXW38" s="19"/>
      <c r="RXX38" s="19"/>
      <c r="RXY38" s="19"/>
      <c r="RXZ38" s="19"/>
      <c r="RYA38" s="19"/>
      <c r="RYB38" s="19"/>
      <c r="RYC38" s="19"/>
      <c r="RYD38" s="19"/>
      <c r="RYE38" s="19"/>
      <c r="RYF38" s="19"/>
      <c r="RYG38" s="19"/>
      <c r="RYH38" s="19"/>
      <c r="RYI38" s="19"/>
      <c r="RYJ38" s="19"/>
      <c r="RYK38" s="19"/>
      <c r="RYL38" s="19"/>
      <c r="RYM38" s="19"/>
      <c r="RYN38" s="19"/>
      <c r="RYO38" s="19"/>
      <c r="RYP38" s="19"/>
      <c r="RYQ38" s="19"/>
      <c r="RYR38" s="19"/>
      <c r="RYS38" s="19"/>
      <c r="RYT38" s="19"/>
      <c r="RYU38" s="19"/>
      <c r="RYV38" s="19"/>
      <c r="RYW38" s="19"/>
      <c r="RYX38" s="19"/>
      <c r="RYY38" s="19"/>
      <c r="RYZ38" s="19"/>
      <c r="RZA38" s="19"/>
      <c r="RZB38" s="19"/>
      <c r="RZC38" s="19"/>
      <c r="RZD38" s="19"/>
      <c r="RZE38" s="19"/>
      <c r="RZF38" s="19"/>
      <c r="RZG38" s="19"/>
      <c r="RZH38" s="19"/>
      <c r="RZI38" s="19"/>
      <c r="RZJ38" s="19"/>
      <c r="RZK38" s="19"/>
      <c r="RZL38" s="19"/>
      <c r="RZM38" s="19"/>
      <c r="RZN38" s="19"/>
      <c r="RZO38" s="19"/>
      <c r="RZP38" s="19"/>
      <c r="RZQ38" s="19"/>
      <c r="RZR38" s="19"/>
      <c r="RZS38" s="19"/>
      <c r="RZT38" s="19"/>
      <c r="RZU38" s="19"/>
      <c r="RZV38" s="19"/>
      <c r="RZW38" s="19"/>
      <c r="RZX38" s="19"/>
      <c r="RZY38" s="19"/>
      <c r="RZZ38" s="19"/>
      <c r="SAA38" s="19"/>
      <c r="SAB38" s="19"/>
      <c r="SAC38" s="19"/>
      <c r="SAD38" s="19"/>
      <c r="SAE38" s="19"/>
      <c r="SAF38" s="19"/>
      <c r="SAG38" s="19"/>
      <c r="SAH38" s="19"/>
      <c r="SAI38" s="19"/>
      <c r="SAJ38" s="19"/>
      <c r="SAK38" s="19"/>
      <c r="SAL38" s="19"/>
      <c r="SAM38" s="19"/>
      <c r="SAN38" s="19"/>
      <c r="SAO38" s="19"/>
      <c r="SAP38" s="19"/>
      <c r="SAQ38" s="19"/>
      <c r="SAR38" s="19"/>
      <c r="SAS38" s="19"/>
      <c r="SAT38" s="19"/>
      <c r="SAU38" s="19"/>
      <c r="SAV38" s="19"/>
      <c r="SAW38" s="19"/>
      <c r="SAX38" s="19"/>
      <c r="SAY38" s="19"/>
      <c r="SAZ38" s="19"/>
      <c r="SBA38" s="19"/>
      <c r="SBB38" s="19"/>
      <c r="SBC38" s="19"/>
      <c r="SBD38" s="19"/>
      <c r="SBE38" s="19"/>
      <c r="SBF38" s="19"/>
      <c r="SBG38" s="19"/>
      <c r="SBH38" s="19"/>
      <c r="SBI38" s="19"/>
      <c r="SBJ38" s="19"/>
      <c r="SBK38" s="19"/>
      <c r="SBL38" s="19"/>
      <c r="SBM38" s="19"/>
      <c r="SBN38" s="19"/>
      <c r="SBO38" s="19"/>
      <c r="SBP38" s="19"/>
      <c r="SBQ38" s="19"/>
      <c r="SBR38" s="19"/>
      <c r="SBS38" s="19"/>
      <c r="SBT38" s="19"/>
      <c r="SBU38" s="19"/>
      <c r="SBV38" s="19"/>
      <c r="SBW38" s="19"/>
      <c r="SBX38" s="19"/>
      <c r="SBY38" s="19"/>
      <c r="SBZ38" s="19"/>
      <c r="SCA38" s="19"/>
      <c r="SCB38" s="19"/>
      <c r="SCC38" s="19"/>
      <c r="SCD38" s="19"/>
      <c r="SCE38" s="19"/>
      <c r="SCF38" s="19"/>
      <c r="SCG38" s="19"/>
      <c r="SCH38" s="19"/>
      <c r="SCI38" s="19"/>
      <c r="SCJ38" s="19"/>
      <c r="SCK38" s="19"/>
      <c r="SCL38" s="19"/>
      <c r="SCM38" s="19"/>
      <c r="SCN38" s="19"/>
      <c r="SCO38" s="19"/>
      <c r="SCP38" s="19"/>
      <c r="SCQ38" s="19"/>
      <c r="SCR38" s="19"/>
      <c r="SCS38" s="19"/>
      <c r="SCT38" s="19"/>
      <c r="SCU38" s="19"/>
      <c r="SCV38" s="19"/>
      <c r="SCW38" s="19"/>
      <c r="SCX38" s="19"/>
      <c r="SCY38" s="19"/>
      <c r="SCZ38" s="19"/>
      <c r="SDA38" s="19"/>
      <c r="SDB38" s="19"/>
      <c r="SDC38" s="19"/>
      <c r="SDD38" s="19"/>
      <c r="SDE38" s="19"/>
      <c r="SDF38" s="19"/>
      <c r="SDG38" s="19"/>
      <c r="SDH38" s="19"/>
      <c r="SDI38" s="19"/>
      <c r="SDJ38" s="19"/>
      <c r="SDK38" s="19"/>
      <c r="SDL38" s="19"/>
      <c r="SDM38" s="19"/>
      <c r="SDN38" s="19"/>
      <c r="SDO38" s="19"/>
      <c r="SDP38" s="19"/>
      <c r="SDQ38" s="19"/>
      <c r="SDR38" s="19"/>
      <c r="SDS38" s="19"/>
      <c r="SDT38" s="19"/>
      <c r="SDU38" s="19"/>
      <c r="SDV38" s="19"/>
      <c r="SDW38" s="19"/>
      <c r="SDX38" s="19"/>
      <c r="SDY38" s="19"/>
      <c r="SDZ38" s="19"/>
      <c r="SEA38" s="19"/>
      <c r="SEB38" s="19"/>
      <c r="SEC38" s="19"/>
      <c r="SED38" s="19"/>
      <c r="SEE38" s="19"/>
      <c r="SEF38" s="19"/>
      <c r="SEG38" s="19"/>
      <c r="SEH38" s="19"/>
      <c r="SEI38" s="19"/>
      <c r="SEJ38" s="19"/>
      <c r="SEK38" s="19"/>
      <c r="SEL38" s="19"/>
      <c r="SEM38" s="19"/>
      <c r="SEN38" s="19"/>
      <c r="SEO38" s="19"/>
      <c r="SEP38" s="19"/>
      <c r="SEQ38" s="19"/>
      <c r="SER38" s="19"/>
      <c r="SES38" s="19"/>
      <c r="SET38" s="19"/>
      <c r="SEU38" s="19"/>
      <c r="SEV38" s="19"/>
      <c r="SEW38" s="19"/>
      <c r="SEX38" s="19"/>
      <c r="SEY38" s="19"/>
      <c r="SEZ38" s="19"/>
      <c r="SFA38" s="19"/>
      <c r="SFB38" s="19"/>
      <c r="SFC38" s="19"/>
      <c r="SFD38" s="19"/>
      <c r="SFE38" s="19"/>
      <c r="SFF38" s="19"/>
      <c r="SFG38" s="19"/>
      <c r="SFH38" s="19"/>
      <c r="SFI38" s="19"/>
      <c r="SFJ38" s="19"/>
      <c r="SFK38" s="19"/>
      <c r="SFL38" s="19"/>
      <c r="SFM38" s="19"/>
      <c r="SFN38" s="19"/>
      <c r="SFO38" s="19"/>
      <c r="SFP38" s="19"/>
      <c r="SFQ38" s="19"/>
      <c r="SFR38" s="19"/>
      <c r="SFS38" s="19"/>
      <c r="SFT38" s="19"/>
      <c r="SFU38" s="19"/>
      <c r="SFV38" s="19"/>
      <c r="SFW38" s="19"/>
      <c r="SFX38" s="19"/>
      <c r="SFY38" s="19"/>
      <c r="SFZ38" s="19"/>
      <c r="SGA38" s="19"/>
      <c r="SGB38" s="19"/>
      <c r="SGC38" s="19"/>
      <c r="SGD38" s="19"/>
      <c r="SGE38" s="19"/>
      <c r="SGF38" s="19"/>
      <c r="SGG38" s="19"/>
      <c r="SGH38" s="19"/>
      <c r="SGI38" s="19"/>
      <c r="SGJ38" s="19"/>
      <c r="SGK38" s="19"/>
      <c r="SGL38" s="19"/>
      <c r="SGM38" s="19"/>
      <c r="SGN38" s="19"/>
      <c r="SGO38" s="19"/>
      <c r="SGP38" s="19"/>
      <c r="SGQ38" s="19"/>
      <c r="SGR38" s="19"/>
      <c r="SGS38" s="19"/>
      <c r="SGT38" s="19"/>
      <c r="SGU38" s="19"/>
      <c r="SGV38" s="19"/>
      <c r="SGW38" s="19"/>
      <c r="SGX38" s="19"/>
      <c r="SGY38" s="19"/>
      <c r="SGZ38" s="19"/>
      <c r="SHA38" s="19"/>
      <c r="SHB38" s="19"/>
      <c r="SHC38" s="19"/>
      <c r="SHD38" s="19"/>
      <c r="SHE38" s="19"/>
      <c r="SHF38" s="19"/>
      <c r="SHG38" s="19"/>
      <c r="SHH38" s="19"/>
      <c r="SHI38" s="19"/>
      <c r="SHJ38" s="19"/>
      <c r="SHK38" s="19"/>
      <c r="SHL38" s="19"/>
      <c r="SHM38" s="19"/>
      <c r="SHN38" s="19"/>
      <c r="SHO38" s="19"/>
      <c r="SHP38" s="19"/>
      <c r="SHQ38" s="19"/>
      <c r="SHR38" s="19"/>
      <c r="SHS38" s="19"/>
      <c r="SHT38" s="19"/>
      <c r="SHU38" s="19"/>
      <c r="SHV38" s="19"/>
      <c r="SHW38" s="19"/>
      <c r="SHX38" s="19"/>
      <c r="SHY38" s="19"/>
      <c r="SHZ38" s="19"/>
      <c r="SIA38" s="19"/>
      <c r="SIB38" s="19"/>
      <c r="SIC38" s="19"/>
      <c r="SID38" s="19"/>
      <c r="SIE38" s="19"/>
      <c r="SIF38" s="19"/>
      <c r="SIG38" s="19"/>
      <c r="SIH38" s="19"/>
      <c r="SII38" s="19"/>
      <c r="SIJ38" s="19"/>
      <c r="SIK38" s="19"/>
      <c r="SIL38" s="19"/>
      <c r="SIM38" s="19"/>
      <c r="SIN38" s="19"/>
      <c r="SIO38" s="19"/>
      <c r="SIP38" s="19"/>
      <c r="SIQ38" s="19"/>
      <c r="SIR38" s="19"/>
      <c r="SIS38" s="19"/>
      <c r="SIT38" s="19"/>
      <c r="SIU38" s="19"/>
      <c r="SIV38" s="19"/>
      <c r="SIW38" s="19"/>
      <c r="SIX38" s="19"/>
      <c r="SIY38" s="19"/>
      <c r="SIZ38" s="19"/>
      <c r="SJA38" s="19"/>
      <c r="SJB38" s="19"/>
      <c r="SJC38" s="19"/>
      <c r="SJD38" s="19"/>
      <c r="SJE38" s="19"/>
      <c r="SJF38" s="19"/>
      <c r="SJG38" s="19"/>
      <c r="SJH38" s="19"/>
      <c r="SJI38" s="19"/>
      <c r="SJJ38" s="19"/>
      <c r="SJK38" s="19"/>
      <c r="SJL38" s="19"/>
      <c r="SJM38" s="19"/>
      <c r="SJN38" s="19"/>
      <c r="SJO38" s="19"/>
      <c r="SJP38" s="19"/>
      <c r="SJQ38" s="19"/>
      <c r="SJR38" s="19"/>
      <c r="SJS38" s="19"/>
      <c r="SJT38" s="19"/>
      <c r="SJU38" s="19"/>
      <c r="SJV38" s="19"/>
      <c r="SJW38" s="19"/>
      <c r="SJX38" s="19"/>
      <c r="SJY38" s="19"/>
      <c r="SJZ38" s="19"/>
      <c r="SKA38" s="19"/>
      <c r="SKB38" s="19"/>
      <c r="SKC38" s="19"/>
      <c r="SKD38" s="19"/>
      <c r="SKE38" s="19"/>
      <c r="SKF38" s="19"/>
      <c r="SKG38" s="19"/>
      <c r="SKH38" s="19"/>
      <c r="SKI38" s="19"/>
      <c r="SKJ38" s="19"/>
      <c r="SKK38" s="19"/>
      <c r="SKL38" s="19"/>
      <c r="SKM38" s="19"/>
      <c r="SKN38" s="19"/>
      <c r="SKO38" s="19"/>
      <c r="SKP38" s="19"/>
      <c r="SKQ38" s="19"/>
      <c r="SKR38" s="19"/>
      <c r="SKS38" s="19"/>
      <c r="SKT38" s="19"/>
      <c r="SKU38" s="19"/>
      <c r="SKV38" s="19"/>
      <c r="SKW38" s="19"/>
      <c r="SKX38" s="19"/>
      <c r="SKY38" s="19"/>
      <c r="SKZ38" s="19"/>
      <c r="SLA38" s="19"/>
      <c r="SLB38" s="19"/>
      <c r="SLC38" s="19"/>
      <c r="SLD38" s="19"/>
      <c r="SLE38" s="19"/>
      <c r="SLF38" s="19"/>
      <c r="SLG38" s="19"/>
      <c r="SLH38" s="19"/>
      <c r="SLI38" s="19"/>
      <c r="SLJ38" s="19"/>
      <c r="SLK38" s="19"/>
      <c r="SLL38" s="19"/>
      <c r="SLM38" s="19"/>
      <c r="SLN38" s="19"/>
      <c r="SLO38" s="19"/>
      <c r="SLP38" s="19"/>
      <c r="SLQ38" s="19"/>
      <c r="SLR38" s="19"/>
      <c r="SLS38" s="19"/>
      <c r="SLT38" s="19"/>
      <c r="SLU38" s="19"/>
      <c r="SLV38" s="19"/>
      <c r="SLW38" s="19"/>
      <c r="SLX38" s="19"/>
      <c r="SLY38" s="19"/>
      <c r="SLZ38" s="19"/>
      <c r="SMA38" s="19"/>
      <c r="SMB38" s="19"/>
      <c r="SMC38" s="19"/>
      <c r="SMD38" s="19"/>
      <c r="SME38" s="19"/>
      <c r="SMF38" s="19"/>
      <c r="SMG38" s="19"/>
      <c r="SMH38" s="19"/>
      <c r="SMI38" s="19"/>
      <c r="SMJ38" s="19"/>
      <c r="SMK38" s="19"/>
      <c r="SML38" s="19"/>
      <c r="SMM38" s="19"/>
      <c r="SMN38" s="19"/>
      <c r="SMO38" s="19"/>
      <c r="SMP38" s="19"/>
      <c r="SMQ38" s="19"/>
      <c r="SMR38" s="19"/>
      <c r="SMS38" s="19"/>
      <c r="SMT38" s="19"/>
      <c r="SMU38" s="19"/>
      <c r="SMV38" s="19"/>
      <c r="SMW38" s="19"/>
      <c r="SMX38" s="19"/>
      <c r="SMY38" s="19"/>
      <c r="SMZ38" s="19"/>
      <c r="SNA38" s="19"/>
      <c r="SNB38" s="19"/>
      <c r="SNC38" s="19"/>
      <c r="SND38" s="19"/>
      <c r="SNE38" s="19"/>
      <c r="SNF38" s="19"/>
      <c r="SNG38" s="19"/>
      <c r="SNH38" s="19"/>
      <c r="SNI38" s="19"/>
      <c r="SNJ38" s="19"/>
      <c r="SNK38" s="19"/>
      <c r="SNL38" s="19"/>
      <c r="SNM38" s="19"/>
      <c r="SNN38" s="19"/>
      <c r="SNO38" s="19"/>
      <c r="SNP38" s="19"/>
      <c r="SNQ38" s="19"/>
      <c r="SNR38" s="19"/>
      <c r="SNS38" s="19"/>
      <c r="SNT38" s="19"/>
      <c r="SNU38" s="19"/>
      <c r="SNV38" s="19"/>
      <c r="SNW38" s="19"/>
      <c r="SNX38" s="19"/>
      <c r="SNY38" s="19"/>
      <c r="SNZ38" s="19"/>
      <c r="SOA38" s="19"/>
      <c r="SOB38" s="19"/>
      <c r="SOC38" s="19"/>
      <c r="SOD38" s="19"/>
      <c r="SOE38" s="19"/>
      <c r="SOF38" s="19"/>
      <c r="SOG38" s="19"/>
      <c r="SOH38" s="19"/>
      <c r="SOI38" s="19"/>
      <c r="SOJ38" s="19"/>
      <c r="SOK38" s="19"/>
      <c r="SOL38" s="19"/>
      <c r="SOM38" s="19"/>
      <c r="SON38" s="19"/>
      <c r="SOO38" s="19"/>
      <c r="SOP38" s="19"/>
      <c r="SOQ38" s="19"/>
      <c r="SOR38" s="19"/>
      <c r="SOS38" s="19"/>
      <c r="SOT38" s="19"/>
      <c r="SOU38" s="19"/>
      <c r="SOV38" s="19"/>
      <c r="SOW38" s="19"/>
      <c r="SOX38" s="19"/>
      <c r="SOY38" s="19"/>
      <c r="SOZ38" s="19"/>
      <c r="SPA38" s="19"/>
      <c r="SPB38" s="19"/>
      <c r="SPC38" s="19"/>
      <c r="SPD38" s="19"/>
      <c r="SPE38" s="19"/>
      <c r="SPF38" s="19"/>
      <c r="SPG38" s="19"/>
      <c r="SPH38" s="19"/>
      <c r="SPI38" s="19"/>
      <c r="SPJ38" s="19"/>
      <c r="SPK38" s="19"/>
      <c r="SPL38" s="19"/>
      <c r="SPM38" s="19"/>
      <c r="SPN38" s="19"/>
      <c r="SPO38" s="19"/>
      <c r="SPP38" s="19"/>
      <c r="SPQ38" s="19"/>
      <c r="SPR38" s="19"/>
      <c r="SPS38" s="19"/>
      <c r="SPT38" s="19"/>
      <c r="SPU38" s="19"/>
      <c r="SPV38" s="19"/>
      <c r="SPW38" s="19"/>
      <c r="SPX38" s="19"/>
      <c r="SPY38" s="19"/>
      <c r="SPZ38" s="19"/>
      <c r="SQA38" s="19"/>
      <c r="SQB38" s="19"/>
      <c r="SQC38" s="19"/>
      <c r="SQD38" s="19"/>
      <c r="SQE38" s="19"/>
      <c r="SQF38" s="19"/>
      <c r="SQG38" s="19"/>
      <c r="SQH38" s="19"/>
      <c r="SQI38" s="19"/>
      <c r="SQJ38" s="19"/>
      <c r="SQK38" s="19"/>
      <c r="SQL38" s="19"/>
      <c r="SQM38" s="19"/>
      <c r="SQN38" s="19"/>
      <c r="SQO38" s="19"/>
      <c r="SQP38" s="19"/>
      <c r="SQQ38" s="19"/>
      <c r="SQR38" s="19"/>
      <c r="SQS38" s="19"/>
      <c r="SQT38" s="19"/>
      <c r="SQU38" s="19"/>
      <c r="SQV38" s="19"/>
      <c r="SQW38" s="19"/>
      <c r="SQX38" s="19"/>
      <c r="SQY38" s="19"/>
      <c r="SQZ38" s="19"/>
      <c r="SRA38" s="19"/>
      <c r="SRB38" s="19"/>
      <c r="SRC38" s="19"/>
      <c r="SRD38" s="19"/>
      <c r="SRE38" s="19"/>
      <c r="SRF38" s="19"/>
      <c r="SRG38" s="19"/>
      <c r="SRH38" s="19"/>
      <c r="SRI38" s="19"/>
      <c r="SRJ38" s="19"/>
      <c r="SRK38" s="19"/>
      <c r="SRL38" s="19"/>
      <c r="SRM38" s="19"/>
      <c r="SRN38" s="19"/>
      <c r="SRO38" s="19"/>
      <c r="SRP38" s="19"/>
      <c r="SRQ38" s="19"/>
      <c r="SRR38" s="19"/>
      <c r="SRS38" s="19"/>
      <c r="SRT38" s="19"/>
      <c r="SRU38" s="19"/>
      <c r="SRV38" s="19"/>
      <c r="SRW38" s="19"/>
      <c r="SRX38" s="19"/>
      <c r="SRY38" s="19"/>
      <c r="SRZ38" s="19"/>
      <c r="SSA38" s="19"/>
      <c r="SSB38" s="19"/>
      <c r="SSC38" s="19"/>
      <c r="SSD38" s="19"/>
      <c r="SSE38" s="19"/>
      <c r="SSF38" s="19"/>
      <c r="SSG38" s="19"/>
      <c r="SSH38" s="19"/>
      <c r="SSI38" s="19"/>
      <c r="SSJ38" s="19"/>
      <c r="SSK38" s="19"/>
      <c r="SSL38" s="19"/>
      <c r="SSM38" s="19"/>
      <c r="SSN38" s="19"/>
      <c r="SSO38" s="19"/>
      <c r="SSP38" s="19"/>
      <c r="SSQ38" s="19"/>
      <c r="SSR38" s="19"/>
      <c r="SSS38" s="19"/>
      <c r="SST38" s="19"/>
      <c r="SSU38" s="19"/>
      <c r="SSV38" s="19"/>
      <c r="SSW38" s="19"/>
      <c r="SSX38" s="19"/>
      <c r="SSY38" s="19"/>
      <c r="SSZ38" s="19"/>
      <c r="STA38" s="19"/>
      <c r="STB38" s="19"/>
      <c r="STC38" s="19"/>
      <c r="STD38" s="19"/>
      <c r="STE38" s="19"/>
      <c r="STF38" s="19"/>
      <c r="STG38" s="19"/>
      <c r="STH38" s="19"/>
      <c r="STI38" s="19"/>
      <c r="STJ38" s="19"/>
      <c r="STK38" s="19"/>
      <c r="STL38" s="19"/>
      <c r="STM38" s="19"/>
      <c r="STN38" s="19"/>
      <c r="STO38" s="19"/>
      <c r="STP38" s="19"/>
      <c r="STQ38" s="19"/>
      <c r="STR38" s="19"/>
      <c r="STS38" s="19"/>
      <c r="STT38" s="19"/>
      <c r="STU38" s="19"/>
      <c r="STV38" s="19"/>
      <c r="STW38" s="19"/>
      <c r="STX38" s="19"/>
      <c r="STY38" s="19"/>
      <c r="STZ38" s="19"/>
      <c r="SUA38" s="19"/>
      <c r="SUB38" s="19"/>
      <c r="SUC38" s="19"/>
      <c r="SUD38" s="19"/>
      <c r="SUE38" s="19"/>
      <c r="SUF38" s="19"/>
      <c r="SUG38" s="19"/>
      <c r="SUH38" s="19"/>
      <c r="SUI38" s="19"/>
      <c r="SUJ38" s="19"/>
      <c r="SUK38" s="19"/>
      <c r="SUL38" s="19"/>
      <c r="SUM38" s="19"/>
      <c r="SUN38" s="19"/>
      <c r="SUO38" s="19"/>
      <c r="SUP38" s="19"/>
      <c r="SUQ38" s="19"/>
      <c r="SUR38" s="19"/>
      <c r="SUS38" s="19"/>
      <c r="SUT38" s="19"/>
      <c r="SUU38" s="19"/>
      <c r="SUV38" s="19"/>
      <c r="SUW38" s="19"/>
      <c r="SUX38" s="19"/>
      <c r="SUY38" s="19"/>
      <c r="SUZ38" s="19"/>
      <c r="SVA38" s="19"/>
      <c r="SVB38" s="19"/>
      <c r="SVC38" s="19"/>
      <c r="SVD38" s="19"/>
      <c r="SVE38" s="19"/>
      <c r="SVF38" s="19"/>
      <c r="SVG38" s="19"/>
      <c r="SVH38" s="19"/>
      <c r="SVI38" s="19"/>
      <c r="SVJ38" s="19"/>
      <c r="SVK38" s="19"/>
      <c r="SVL38" s="19"/>
      <c r="SVM38" s="19"/>
      <c r="SVN38" s="19"/>
      <c r="SVO38" s="19"/>
      <c r="SVP38" s="19"/>
      <c r="SVQ38" s="19"/>
      <c r="SVR38" s="19"/>
      <c r="SVS38" s="19"/>
      <c r="SVT38" s="19"/>
      <c r="SVU38" s="19"/>
      <c r="SVV38" s="19"/>
      <c r="SVW38" s="19"/>
      <c r="SVX38" s="19"/>
      <c r="SVY38" s="19"/>
      <c r="SVZ38" s="19"/>
      <c r="SWA38" s="19"/>
      <c r="SWB38" s="19"/>
      <c r="SWC38" s="19"/>
      <c r="SWD38" s="19"/>
      <c r="SWE38" s="19"/>
      <c r="SWF38" s="19"/>
      <c r="SWG38" s="19"/>
      <c r="SWH38" s="19"/>
      <c r="SWI38" s="19"/>
      <c r="SWJ38" s="19"/>
      <c r="SWK38" s="19"/>
      <c r="SWL38" s="19"/>
      <c r="SWM38" s="19"/>
      <c r="SWN38" s="19"/>
      <c r="SWO38" s="19"/>
      <c r="SWP38" s="19"/>
      <c r="SWQ38" s="19"/>
      <c r="SWR38" s="19"/>
      <c r="SWS38" s="19"/>
      <c r="SWT38" s="19"/>
      <c r="SWU38" s="19"/>
      <c r="SWV38" s="19"/>
      <c r="SWW38" s="19"/>
      <c r="SWX38" s="19"/>
      <c r="SWY38" s="19"/>
      <c r="SWZ38" s="19"/>
      <c r="SXA38" s="19"/>
      <c r="SXB38" s="19"/>
      <c r="SXC38" s="19"/>
      <c r="SXD38" s="19"/>
      <c r="SXE38" s="19"/>
      <c r="SXF38" s="19"/>
      <c r="SXG38" s="19"/>
      <c r="SXH38" s="19"/>
      <c r="SXI38" s="19"/>
      <c r="SXJ38" s="19"/>
      <c r="SXK38" s="19"/>
      <c r="SXL38" s="19"/>
      <c r="SXM38" s="19"/>
      <c r="SXN38" s="19"/>
      <c r="SXO38" s="19"/>
      <c r="SXP38" s="19"/>
      <c r="SXQ38" s="19"/>
      <c r="SXR38" s="19"/>
      <c r="SXS38" s="19"/>
      <c r="SXT38" s="19"/>
      <c r="SXU38" s="19"/>
      <c r="SXV38" s="19"/>
      <c r="SXW38" s="19"/>
      <c r="SXX38" s="19"/>
      <c r="SXY38" s="19"/>
      <c r="SXZ38" s="19"/>
      <c r="SYA38" s="19"/>
      <c r="SYB38" s="19"/>
      <c r="SYC38" s="19"/>
      <c r="SYD38" s="19"/>
      <c r="SYE38" s="19"/>
      <c r="SYF38" s="19"/>
      <c r="SYG38" s="19"/>
      <c r="SYH38" s="19"/>
      <c r="SYI38" s="19"/>
      <c r="SYJ38" s="19"/>
      <c r="SYK38" s="19"/>
      <c r="SYL38" s="19"/>
      <c r="SYM38" s="19"/>
      <c r="SYN38" s="19"/>
      <c r="SYO38" s="19"/>
      <c r="SYP38" s="19"/>
      <c r="SYQ38" s="19"/>
      <c r="SYR38" s="19"/>
      <c r="SYS38" s="19"/>
      <c r="SYT38" s="19"/>
      <c r="SYU38" s="19"/>
      <c r="SYV38" s="19"/>
      <c r="SYW38" s="19"/>
      <c r="SYX38" s="19"/>
      <c r="SYY38" s="19"/>
      <c r="SYZ38" s="19"/>
      <c r="SZA38" s="19"/>
      <c r="SZB38" s="19"/>
      <c r="SZC38" s="19"/>
      <c r="SZD38" s="19"/>
      <c r="SZE38" s="19"/>
      <c r="SZF38" s="19"/>
      <c r="SZG38" s="19"/>
      <c r="SZH38" s="19"/>
      <c r="SZI38" s="19"/>
      <c r="SZJ38" s="19"/>
      <c r="SZK38" s="19"/>
      <c r="SZL38" s="19"/>
      <c r="SZM38" s="19"/>
      <c r="SZN38" s="19"/>
      <c r="SZO38" s="19"/>
      <c r="SZP38" s="19"/>
      <c r="SZQ38" s="19"/>
      <c r="SZR38" s="19"/>
      <c r="SZS38" s="19"/>
      <c r="SZT38" s="19"/>
      <c r="SZU38" s="19"/>
      <c r="SZV38" s="19"/>
      <c r="SZW38" s="19"/>
      <c r="SZX38" s="19"/>
      <c r="SZY38" s="19"/>
      <c r="SZZ38" s="19"/>
      <c r="TAA38" s="19"/>
      <c r="TAB38" s="19"/>
      <c r="TAC38" s="19"/>
      <c r="TAD38" s="19"/>
      <c r="TAE38" s="19"/>
      <c r="TAF38" s="19"/>
      <c r="TAG38" s="19"/>
      <c r="TAH38" s="19"/>
      <c r="TAI38" s="19"/>
      <c r="TAJ38" s="19"/>
      <c r="TAK38" s="19"/>
      <c r="TAL38" s="19"/>
      <c r="TAM38" s="19"/>
      <c r="TAN38" s="19"/>
      <c r="TAO38" s="19"/>
      <c r="TAP38" s="19"/>
      <c r="TAQ38" s="19"/>
      <c r="TAR38" s="19"/>
      <c r="TAS38" s="19"/>
      <c r="TAT38" s="19"/>
      <c r="TAU38" s="19"/>
      <c r="TAV38" s="19"/>
      <c r="TAW38" s="19"/>
      <c r="TAX38" s="19"/>
      <c r="TAY38" s="19"/>
      <c r="TAZ38" s="19"/>
      <c r="TBA38" s="19"/>
      <c r="TBB38" s="19"/>
      <c r="TBC38" s="19"/>
      <c r="TBD38" s="19"/>
      <c r="TBE38" s="19"/>
      <c r="TBF38" s="19"/>
      <c r="TBG38" s="19"/>
      <c r="TBH38" s="19"/>
      <c r="TBI38" s="19"/>
      <c r="TBJ38" s="19"/>
      <c r="TBK38" s="19"/>
      <c r="TBL38" s="19"/>
      <c r="TBM38" s="19"/>
      <c r="TBN38" s="19"/>
      <c r="TBO38" s="19"/>
      <c r="TBP38" s="19"/>
      <c r="TBQ38" s="19"/>
      <c r="TBR38" s="19"/>
      <c r="TBS38" s="19"/>
      <c r="TBT38" s="19"/>
      <c r="TBU38" s="19"/>
      <c r="TBV38" s="19"/>
      <c r="TBW38" s="19"/>
      <c r="TBX38" s="19"/>
      <c r="TBY38" s="19"/>
      <c r="TBZ38" s="19"/>
      <c r="TCA38" s="19"/>
      <c r="TCB38" s="19"/>
      <c r="TCC38" s="19"/>
      <c r="TCD38" s="19"/>
      <c r="TCE38" s="19"/>
      <c r="TCF38" s="19"/>
      <c r="TCG38" s="19"/>
      <c r="TCH38" s="19"/>
      <c r="TCI38" s="19"/>
      <c r="TCJ38" s="19"/>
      <c r="TCK38" s="19"/>
      <c r="TCL38" s="19"/>
      <c r="TCM38" s="19"/>
      <c r="TCN38" s="19"/>
      <c r="TCO38" s="19"/>
      <c r="TCP38" s="19"/>
      <c r="TCQ38" s="19"/>
      <c r="TCR38" s="19"/>
      <c r="TCS38" s="19"/>
      <c r="TCT38" s="19"/>
      <c r="TCU38" s="19"/>
      <c r="TCV38" s="19"/>
      <c r="TCW38" s="19"/>
      <c r="TCX38" s="19"/>
      <c r="TCY38" s="19"/>
      <c r="TCZ38" s="19"/>
      <c r="TDA38" s="19"/>
      <c r="TDB38" s="19"/>
      <c r="TDC38" s="19"/>
      <c r="TDD38" s="19"/>
      <c r="TDE38" s="19"/>
      <c r="TDF38" s="19"/>
      <c r="TDG38" s="19"/>
      <c r="TDH38" s="19"/>
      <c r="TDI38" s="19"/>
      <c r="TDJ38" s="19"/>
      <c r="TDK38" s="19"/>
      <c r="TDL38" s="19"/>
      <c r="TDM38" s="19"/>
      <c r="TDN38" s="19"/>
      <c r="TDO38" s="19"/>
      <c r="TDP38" s="19"/>
      <c r="TDQ38" s="19"/>
      <c r="TDR38" s="19"/>
      <c r="TDS38" s="19"/>
      <c r="TDT38" s="19"/>
      <c r="TDU38" s="19"/>
      <c r="TDV38" s="19"/>
      <c r="TDW38" s="19"/>
      <c r="TDX38" s="19"/>
      <c r="TDY38" s="19"/>
      <c r="TDZ38" s="19"/>
      <c r="TEA38" s="19"/>
      <c r="TEB38" s="19"/>
      <c r="TEC38" s="19"/>
      <c r="TED38" s="19"/>
      <c r="TEE38" s="19"/>
      <c r="TEF38" s="19"/>
      <c r="TEG38" s="19"/>
      <c r="TEH38" s="19"/>
      <c r="TEI38" s="19"/>
      <c r="TEJ38" s="19"/>
      <c r="TEK38" s="19"/>
      <c r="TEL38" s="19"/>
      <c r="TEM38" s="19"/>
      <c r="TEN38" s="19"/>
      <c r="TEO38" s="19"/>
      <c r="TEP38" s="19"/>
      <c r="TEQ38" s="19"/>
      <c r="TER38" s="19"/>
      <c r="TES38" s="19"/>
      <c r="TET38" s="19"/>
      <c r="TEU38" s="19"/>
      <c r="TEV38" s="19"/>
      <c r="TEW38" s="19"/>
      <c r="TEX38" s="19"/>
      <c r="TEY38" s="19"/>
      <c r="TEZ38" s="19"/>
      <c r="TFA38" s="19"/>
      <c r="TFB38" s="19"/>
      <c r="TFC38" s="19"/>
      <c r="TFD38" s="19"/>
      <c r="TFE38" s="19"/>
      <c r="TFF38" s="19"/>
      <c r="TFG38" s="19"/>
      <c r="TFH38" s="19"/>
      <c r="TFI38" s="19"/>
      <c r="TFJ38" s="19"/>
      <c r="TFK38" s="19"/>
      <c r="TFL38" s="19"/>
      <c r="TFM38" s="19"/>
      <c r="TFN38" s="19"/>
      <c r="TFO38" s="19"/>
      <c r="TFP38" s="19"/>
      <c r="TFQ38" s="19"/>
      <c r="TFR38" s="19"/>
      <c r="TFS38" s="19"/>
      <c r="TFT38" s="19"/>
      <c r="TFU38" s="19"/>
      <c r="TFV38" s="19"/>
      <c r="TFW38" s="19"/>
      <c r="TFX38" s="19"/>
      <c r="TFY38" s="19"/>
      <c r="TFZ38" s="19"/>
      <c r="TGA38" s="19"/>
      <c r="TGB38" s="19"/>
      <c r="TGC38" s="19"/>
      <c r="TGD38" s="19"/>
      <c r="TGE38" s="19"/>
      <c r="TGF38" s="19"/>
      <c r="TGG38" s="19"/>
      <c r="TGH38" s="19"/>
      <c r="TGI38" s="19"/>
      <c r="TGJ38" s="19"/>
      <c r="TGK38" s="19"/>
      <c r="TGL38" s="19"/>
      <c r="TGM38" s="19"/>
      <c r="TGN38" s="19"/>
      <c r="TGO38" s="19"/>
      <c r="TGP38" s="19"/>
      <c r="TGQ38" s="19"/>
      <c r="TGR38" s="19"/>
      <c r="TGS38" s="19"/>
      <c r="TGT38" s="19"/>
      <c r="TGU38" s="19"/>
      <c r="TGV38" s="19"/>
      <c r="TGW38" s="19"/>
      <c r="TGX38" s="19"/>
      <c r="TGY38" s="19"/>
      <c r="TGZ38" s="19"/>
      <c r="THA38" s="19"/>
      <c r="THB38" s="19"/>
      <c r="THC38" s="19"/>
      <c r="THD38" s="19"/>
      <c r="THE38" s="19"/>
      <c r="THF38" s="19"/>
      <c r="THG38" s="19"/>
      <c r="THH38" s="19"/>
      <c r="THI38" s="19"/>
      <c r="THJ38" s="19"/>
      <c r="THK38" s="19"/>
      <c r="THL38" s="19"/>
      <c r="THM38" s="19"/>
      <c r="THN38" s="19"/>
      <c r="THO38" s="19"/>
      <c r="THP38" s="19"/>
      <c r="THQ38" s="19"/>
      <c r="THR38" s="19"/>
      <c r="THS38" s="19"/>
      <c r="THT38" s="19"/>
      <c r="THU38" s="19"/>
      <c r="THV38" s="19"/>
      <c r="THW38" s="19"/>
      <c r="THX38" s="19"/>
      <c r="THY38" s="19"/>
      <c r="THZ38" s="19"/>
      <c r="TIA38" s="19"/>
      <c r="TIB38" s="19"/>
      <c r="TIC38" s="19"/>
      <c r="TID38" s="19"/>
      <c r="TIE38" s="19"/>
      <c r="TIF38" s="19"/>
      <c r="TIG38" s="19"/>
      <c r="TIH38" s="19"/>
      <c r="TII38" s="19"/>
      <c r="TIJ38" s="19"/>
      <c r="TIK38" s="19"/>
      <c r="TIL38" s="19"/>
      <c r="TIM38" s="19"/>
      <c r="TIN38" s="19"/>
      <c r="TIO38" s="19"/>
      <c r="TIP38" s="19"/>
      <c r="TIQ38" s="19"/>
      <c r="TIR38" s="19"/>
      <c r="TIS38" s="19"/>
      <c r="TIT38" s="19"/>
      <c r="TIU38" s="19"/>
      <c r="TIV38" s="19"/>
      <c r="TIW38" s="19"/>
      <c r="TIX38" s="19"/>
      <c r="TIY38" s="19"/>
      <c r="TIZ38" s="19"/>
      <c r="TJA38" s="19"/>
      <c r="TJB38" s="19"/>
      <c r="TJC38" s="19"/>
      <c r="TJD38" s="19"/>
      <c r="TJE38" s="19"/>
      <c r="TJF38" s="19"/>
      <c r="TJG38" s="19"/>
      <c r="TJH38" s="19"/>
      <c r="TJI38" s="19"/>
      <c r="TJJ38" s="19"/>
      <c r="TJK38" s="19"/>
      <c r="TJL38" s="19"/>
      <c r="TJM38" s="19"/>
      <c r="TJN38" s="19"/>
      <c r="TJO38" s="19"/>
      <c r="TJP38" s="19"/>
      <c r="TJQ38" s="19"/>
      <c r="TJR38" s="19"/>
      <c r="TJS38" s="19"/>
      <c r="TJT38" s="19"/>
      <c r="TJU38" s="19"/>
      <c r="TJV38" s="19"/>
      <c r="TJW38" s="19"/>
      <c r="TJX38" s="19"/>
      <c r="TJY38" s="19"/>
      <c r="TJZ38" s="19"/>
      <c r="TKA38" s="19"/>
      <c r="TKB38" s="19"/>
      <c r="TKC38" s="19"/>
      <c r="TKD38" s="19"/>
      <c r="TKE38" s="19"/>
      <c r="TKF38" s="19"/>
      <c r="TKG38" s="19"/>
      <c r="TKH38" s="19"/>
      <c r="TKI38" s="19"/>
      <c r="TKJ38" s="19"/>
      <c r="TKK38" s="19"/>
      <c r="TKL38" s="19"/>
      <c r="TKM38" s="19"/>
      <c r="TKN38" s="19"/>
      <c r="TKO38" s="19"/>
      <c r="TKP38" s="19"/>
      <c r="TKQ38" s="19"/>
      <c r="TKR38" s="19"/>
      <c r="TKS38" s="19"/>
      <c r="TKT38" s="19"/>
      <c r="TKU38" s="19"/>
      <c r="TKV38" s="19"/>
      <c r="TKW38" s="19"/>
      <c r="TKX38" s="19"/>
      <c r="TKY38" s="19"/>
      <c r="TKZ38" s="19"/>
      <c r="TLA38" s="19"/>
      <c r="TLB38" s="19"/>
      <c r="TLC38" s="19"/>
      <c r="TLD38" s="19"/>
      <c r="TLE38" s="19"/>
      <c r="TLF38" s="19"/>
      <c r="TLG38" s="19"/>
      <c r="TLH38" s="19"/>
      <c r="TLI38" s="19"/>
      <c r="TLJ38" s="19"/>
      <c r="TLK38" s="19"/>
      <c r="TLL38" s="19"/>
      <c r="TLM38" s="19"/>
      <c r="TLN38" s="19"/>
      <c r="TLO38" s="19"/>
      <c r="TLP38" s="19"/>
      <c r="TLQ38" s="19"/>
      <c r="TLR38" s="19"/>
      <c r="TLS38" s="19"/>
      <c r="TLT38" s="19"/>
      <c r="TLU38" s="19"/>
      <c r="TLV38" s="19"/>
      <c r="TLW38" s="19"/>
      <c r="TLX38" s="19"/>
      <c r="TLY38" s="19"/>
      <c r="TLZ38" s="19"/>
      <c r="TMA38" s="19"/>
      <c r="TMB38" s="19"/>
      <c r="TMC38" s="19"/>
      <c r="TMD38" s="19"/>
      <c r="TME38" s="19"/>
      <c r="TMF38" s="19"/>
      <c r="TMG38" s="19"/>
      <c r="TMH38" s="19"/>
      <c r="TMI38" s="19"/>
      <c r="TMJ38" s="19"/>
      <c r="TMK38" s="19"/>
      <c r="TML38" s="19"/>
      <c r="TMM38" s="19"/>
      <c r="TMN38" s="19"/>
      <c r="TMO38" s="19"/>
      <c r="TMP38" s="19"/>
      <c r="TMQ38" s="19"/>
      <c r="TMR38" s="19"/>
      <c r="TMS38" s="19"/>
      <c r="TMT38" s="19"/>
      <c r="TMU38" s="19"/>
      <c r="TMV38" s="19"/>
      <c r="TMW38" s="19"/>
      <c r="TMX38" s="19"/>
      <c r="TMY38" s="19"/>
      <c r="TMZ38" s="19"/>
      <c r="TNA38" s="19"/>
      <c r="TNB38" s="19"/>
      <c r="TNC38" s="19"/>
      <c r="TND38" s="19"/>
      <c r="TNE38" s="19"/>
      <c r="TNF38" s="19"/>
      <c r="TNG38" s="19"/>
      <c r="TNH38" s="19"/>
      <c r="TNI38" s="19"/>
      <c r="TNJ38" s="19"/>
      <c r="TNK38" s="19"/>
      <c r="TNL38" s="19"/>
      <c r="TNM38" s="19"/>
      <c r="TNN38" s="19"/>
      <c r="TNO38" s="19"/>
      <c r="TNP38" s="19"/>
      <c r="TNQ38" s="19"/>
      <c r="TNR38" s="19"/>
      <c r="TNS38" s="19"/>
      <c r="TNT38" s="19"/>
      <c r="TNU38" s="19"/>
      <c r="TNV38" s="19"/>
      <c r="TNW38" s="19"/>
      <c r="TNX38" s="19"/>
      <c r="TNY38" s="19"/>
      <c r="TNZ38" s="19"/>
      <c r="TOA38" s="19"/>
      <c r="TOB38" s="19"/>
      <c r="TOC38" s="19"/>
      <c r="TOD38" s="19"/>
      <c r="TOE38" s="19"/>
      <c r="TOF38" s="19"/>
      <c r="TOG38" s="19"/>
      <c r="TOH38" s="19"/>
      <c r="TOI38" s="19"/>
      <c r="TOJ38" s="19"/>
      <c r="TOK38" s="19"/>
      <c r="TOL38" s="19"/>
      <c r="TOM38" s="19"/>
      <c r="TON38" s="19"/>
      <c r="TOO38" s="19"/>
      <c r="TOP38" s="19"/>
      <c r="TOQ38" s="19"/>
      <c r="TOR38" s="19"/>
      <c r="TOS38" s="19"/>
      <c r="TOT38" s="19"/>
      <c r="TOU38" s="19"/>
      <c r="TOV38" s="19"/>
      <c r="TOW38" s="19"/>
      <c r="TOX38" s="19"/>
      <c r="TOY38" s="19"/>
      <c r="TOZ38" s="19"/>
      <c r="TPA38" s="19"/>
      <c r="TPB38" s="19"/>
      <c r="TPC38" s="19"/>
      <c r="TPD38" s="19"/>
      <c r="TPE38" s="19"/>
      <c r="TPF38" s="19"/>
      <c r="TPG38" s="19"/>
      <c r="TPH38" s="19"/>
      <c r="TPI38" s="19"/>
      <c r="TPJ38" s="19"/>
      <c r="TPK38" s="19"/>
      <c r="TPL38" s="19"/>
      <c r="TPM38" s="19"/>
      <c r="TPN38" s="19"/>
      <c r="TPO38" s="19"/>
      <c r="TPP38" s="19"/>
      <c r="TPQ38" s="19"/>
      <c r="TPR38" s="19"/>
      <c r="TPS38" s="19"/>
      <c r="TPT38" s="19"/>
      <c r="TPU38" s="19"/>
      <c r="TPV38" s="19"/>
      <c r="TPW38" s="19"/>
      <c r="TPX38" s="19"/>
      <c r="TPY38" s="19"/>
      <c r="TPZ38" s="19"/>
      <c r="TQA38" s="19"/>
      <c r="TQB38" s="19"/>
      <c r="TQC38" s="19"/>
      <c r="TQD38" s="19"/>
      <c r="TQE38" s="19"/>
      <c r="TQF38" s="19"/>
      <c r="TQG38" s="19"/>
      <c r="TQH38" s="19"/>
      <c r="TQI38" s="19"/>
      <c r="TQJ38" s="19"/>
      <c r="TQK38" s="19"/>
      <c r="TQL38" s="19"/>
      <c r="TQM38" s="19"/>
      <c r="TQN38" s="19"/>
      <c r="TQO38" s="19"/>
      <c r="TQP38" s="19"/>
      <c r="TQQ38" s="19"/>
      <c r="TQR38" s="19"/>
      <c r="TQS38" s="19"/>
      <c r="TQT38" s="19"/>
      <c r="TQU38" s="19"/>
      <c r="TQV38" s="19"/>
      <c r="TQW38" s="19"/>
      <c r="TQX38" s="19"/>
      <c r="TQY38" s="19"/>
      <c r="TQZ38" s="19"/>
      <c r="TRA38" s="19"/>
      <c r="TRB38" s="19"/>
      <c r="TRC38" s="19"/>
      <c r="TRD38" s="19"/>
      <c r="TRE38" s="19"/>
      <c r="TRF38" s="19"/>
      <c r="TRG38" s="19"/>
      <c r="TRH38" s="19"/>
      <c r="TRI38" s="19"/>
      <c r="TRJ38" s="19"/>
      <c r="TRK38" s="19"/>
      <c r="TRL38" s="19"/>
      <c r="TRM38" s="19"/>
      <c r="TRN38" s="19"/>
      <c r="TRO38" s="19"/>
      <c r="TRP38" s="19"/>
      <c r="TRQ38" s="19"/>
      <c r="TRR38" s="19"/>
      <c r="TRS38" s="19"/>
      <c r="TRT38" s="19"/>
      <c r="TRU38" s="19"/>
      <c r="TRV38" s="19"/>
      <c r="TRW38" s="19"/>
      <c r="TRX38" s="19"/>
      <c r="TRY38" s="19"/>
      <c r="TRZ38" s="19"/>
      <c r="TSA38" s="19"/>
      <c r="TSB38" s="19"/>
      <c r="TSC38" s="19"/>
      <c r="TSD38" s="19"/>
      <c r="TSE38" s="19"/>
      <c r="TSF38" s="19"/>
      <c r="TSG38" s="19"/>
      <c r="TSH38" s="19"/>
      <c r="TSI38" s="19"/>
      <c r="TSJ38" s="19"/>
      <c r="TSK38" s="19"/>
      <c r="TSL38" s="19"/>
      <c r="TSM38" s="19"/>
      <c r="TSN38" s="19"/>
      <c r="TSO38" s="19"/>
      <c r="TSP38" s="19"/>
      <c r="TSQ38" s="19"/>
      <c r="TSR38" s="19"/>
      <c r="TSS38" s="19"/>
      <c r="TST38" s="19"/>
      <c r="TSU38" s="19"/>
      <c r="TSV38" s="19"/>
      <c r="TSW38" s="19"/>
      <c r="TSX38" s="19"/>
      <c r="TSY38" s="19"/>
      <c r="TSZ38" s="19"/>
      <c r="TTA38" s="19"/>
      <c r="TTB38" s="19"/>
      <c r="TTC38" s="19"/>
      <c r="TTD38" s="19"/>
      <c r="TTE38" s="19"/>
      <c r="TTF38" s="19"/>
      <c r="TTG38" s="19"/>
      <c r="TTH38" s="19"/>
      <c r="TTI38" s="19"/>
      <c r="TTJ38" s="19"/>
      <c r="TTK38" s="19"/>
      <c r="TTL38" s="19"/>
      <c r="TTM38" s="19"/>
      <c r="TTN38" s="19"/>
      <c r="TTO38" s="19"/>
      <c r="TTP38" s="19"/>
      <c r="TTQ38" s="19"/>
      <c r="TTR38" s="19"/>
      <c r="TTS38" s="19"/>
      <c r="TTT38" s="19"/>
      <c r="TTU38" s="19"/>
      <c r="TTV38" s="19"/>
      <c r="TTW38" s="19"/>
      <c r="TTX38" s="19"/>
      <c r="TTY38" s="19"/>
      <c r="TTZ38" s="19"/>
      <c r="TUA38" s="19"/>
      <c r="TUB38" s="19"/>
      <c r="TUC38" s="19"/>
      <c r="TUD38" s="19"/>
      <c r="TUE38" s="19"/>
      <c r="TUF38" s="19"/>
      <c r="TUG38" s="19"/>
      <c r="TUH38" s="19"/>
      <c r="TUI38" s="19"/>
      <c r="TUJ38" s="19"/>
      <c r="TUK38" s="19"/>
      <c r="TUL38" s="19"/>
      <c r="TUM38" s="19"/>
      <c r="TUN38" s="19"/>
      <c r="TUO38" s="19"/>
      <c r="TUP38" s="19"/>
      <c r="TUQ38" s="19"/>
      <c r="TUR38" s="19"/>
      <c r="TUS38" s="19"/>
      <c r="TUT38" s="19"/>
      <c r="TUU38" s="19"/>
      <c r="TUV38" s="19"/>
      <c r="TUW38" s="19"/>
      <c r="TUX38" s="19"/>
      <c r="TUY38" s="19"/>
      <c r="TUZ38" s="19"/>
      <c r="TVA38" s="19"/>
      <c r="TVB38" s="19"/>
      <c r="TVC38" s="19"/>
      <c r="TVD38" s="19"/>
      <c r="TVE38" s="19"/>
      <c r="TVF38" s="19"/>
      <c r="TVG38" s="19"/>
      <c r="TVH38" s="19"/>
      <c r="TVI38" s="19"/>
      <c r="TVJ38" s="19"/>
      <c r="TVK38" s="19"/>
      <c r="TVL38" s="19"/>
      <c r="TVM38" s="19"/>
      <c r="TVN38" s="19"/>
      <c r="TVO38" s="19"/>
      <c r="TVP38" s="19"/>
      <c r="TVQ38" s="19"/>
      <c r="TVR38" s="19"/>
      <c r="TVS38" s="19"/>
      <c r="TVT38" s="19"/>
      <c r="TVU38" s="19"/>
      <c r="TVV38" s="19"/>
      <c r="TVW38" s="19"/>
      <c r="TVX38" s="19"/>
      <c r="TVY38" s="19"/>
      <c r="TVZ38" s="19"/>
      <c r="TWA38" s="19"/>
      <c r="TWB38" s="19"/>
      <c r="TWC38" s="19"/>
      <c r="TWD38" s="19"/>
      <c r="TWE38" s="19"/>
      <c r="TWF38" s="19"/>
      <c r="TWG38" s="19"/>
      <c r="TWH38" s="19"/>
      <c r="TWI38" s="19"/>
      <c r="TWJ38" s="19"/>
      <c r="TWK38" s="19"/>
      <c r="TWL38" s="19"/>
      <c r="TWM38" s="19"/>
      <c r="TWN38" s="19"/>
      <c r="TWO38" s="19"/>
      <c r="TWP38" s="19"/>
      <c r="TWQ38" s="19"/>
      <c r="TWR38" s="19"/>
      <c r="TWS38" s="19"/>
      <c r="TWT38" s="19"/>
      <c r="TWU38" s="19"/>
      <c r="TWV38" s="19"/>
      <c r="TWW38" s="19"/>
      <c r="TWX38" s="19"/>
      <c r="TWY38" s="19"/>
      <c r="TWZ38" s="19"/>
      <c r="TXA38" s="19"/>
      <c r="TXB38" s="19"/>
      <c r="TXC38" s="19"/>
      <c r="TXD38" s="19"/>
      <c r="TXE38" s="19"/>
      <c r="TXF38" s="19"/>
      <c r="TXG38" s="19"/>
      <c r="TXH38" s="19"/>
      <c r="TXI38" s="19"/>
      <c r="TXJ38" s="19"/>
      <c r="TXK38" s="19"/>
      <c r="TXL38" s="19"/>
      <c r="TXM38" s="19"/>
      <c r="TXN38" s="19"/>
      <c r="TXO38" s="19"/>
      <c r="TXP38" s="19"/>
      <c r="TXQ38" s="19"/>
      <c r="TXR38" s="19"/>
      <c r="TXS38" s="19"/>
      <c r="TXT38" s="19"/>
      <c r="TXU38" s="19"/>
      <c r="TXV38" s="19"/>
      <c r="TXW38" s="19"/>
      <c r="TXX38" s="19"/>
      <c r="TXY38" s="19"/>
      <c r="TXZ38" s="19"/>
      <c r="TYA38" s="19"/>
      <c r="TYB38" s="19"/>
      <c r="TYC38" s="19"/>
      <c r="TYD38" s="19"/>
      <c r="TYE38" s="19"/>
      <c r="TYF38" s="19"/>
      <c r="TYG38" s="19"/>
      <c r="TYH38" s="19"/>
      <c r="TYI38" s="19"/>
      <c r="TYJ38" s="19"/>
      <c r="TYK38" s="19"/>
      <c r="TYL38" s="19"/>
      <c r="TYM38" s="19"/>
      <c r="TYN38" s="19"/>
      <c r="TYO38" s="19"/>
      <c r="TYP38" s="19"/>
      <c r="TYQ38" s="19"/>
      <c r="TYR38" s="19"/>
      <c r="TYS38" s="19"/>
      <c r="TYT38" s="19"/>
      <c r="TYU38" s="19"/>
      <c r="TYV38" s="19"/>
      <c r="TYW38" s="19"/>
      <c r="TYX38" s="19"/>
      <c r="TYY38" s="19"/>
      <c r="TYZ38" s="19"/>
      <c r="TZA38" s="19"/>
      <c r="TZB38" s="19"/>
      <c r="TZC38" s="19"/>
      <c r="TZD38" s="19"/>
      <c r="TZE38" s="19"/>
      <c r="TZF38" s="19"/>
      <c r="TZG38" s="19"/>
      <c r="TZH38" s="19"/>
      <c r="TZI38" s="19"/>
      <c r="TZJ38" s="19"/>
      <c r="TZK38" s="19"/>
      <c r="TZL38" s="19"/>
      <c r="TZM38" s="19"/>
      <c r="TZN38" s="19"/>
      <c r="TZO38" s="19"/>
      <c r="TZP38" s="19"/>
      <c r="TZQ38" s="19"/>
      <c r="TZR38" s="19"/>
      <c r="TZS38" s="19"/>
      <c r="TZT38" s="19"/>
      <c r="TZU38" s="19"/>
      <c r="TZV38" s="19"/>
      <c r="TZW38" s="19"/>
      <c r="TZX38" s="19"/>
      <c r="TZY38" s="19"/>
      <c r="TZZ38" s="19"/>
      <c r="UAA38" s="19"/>
      <c r="UAB38" s="19"/>
      <c r="UAC38" s="19"/>
      <c r="UAD38" s="19"/>
      <c r="UAE38" s="19"/>
      <c r="UAF38" s="19"/>
      <c r="UAG38" s="19"/>
      <c r="UAH38" s="19"/>
      <c r="UAI38" s="19"/>
      <c r="UAJ38" s="19"/>
      <c r="UAK38" s="19"/>
      <c r="UAL38" s="19"/>
      <c r="UAM38" s="19"/>
      <c r="UAN38" s="19"/>
      <c r="UAO38" s="19"/>
      <c r="UAP38" s="19"/>
      <c r="UAQ38" s="19"/>
      <c r="UAR38" s="19"/>
      <c r="UAS38" s="19"/>
      <c r="UAT38" s="19"/>
      <c r="UAU38" s="19"/>
      <c r="UAV38" s="19"/>
      <c r="UAW38" s="19"/>
      <c r="UAX38" s="19"/>
      <c r="UAY38" s="19"/>
      <c r="UAZ38" s="19"/>
      <c r="UBA38" s="19"/>
      <c r="UBB38" s="19"/>
      <c r="UBC38" s="19"/>
      <c r="UBD38" s="19"/>
      <c r="UBE38" s="19"/>
      <c r="UBF38" s="19"/>
      <c r="UBG38" s="19"/>
      <c r="UBH38" s="19"/>
      <c r="UBI38" s="19"/>
      <c r="UBJ38" s="19"/>
      <c r="UBK38" s="19"/>
      <c r="UBL38" s="19"/>
      <c r="UBM38" s="19"/>
      <c r="UBN38" s="19"/>
      <c r="UBO38" s="19"/>
      <c r="UBP38" s="19"/>
      <c r="UBQ38" s="19"/>
      <c r="UBR38" s="19"/>
      <c r="UBS38" s="19"/>
      <c r="UBT38" s="19"/>
      <c r="UBU38" s="19"/>
      <c r="UBV38" s="19"/>
      <c r="UBW38" s="19"/>
      <c r="UBX38" s="19"/>
      <c r="UBY38" s="19"/>
      <c r="UBZ38" s="19"/>
      <c r="UCA38" s="19"/>
      <c r="UCB38" s="19"/>
      <c r="UCC38" s="19"/>
      <c r="UCD38" s="19"/>
      <c r="UCE38" s="19"/>
      <c r="UCF38" s="19"/>
      <c r="UCG38" s="19"/>
      <c r="UCH38" s="19"/>
      <c r="UCI38" s="19"/>
      <c r="UCJ38" s="19"/>
      <c r="UCK38" s="19"/>
      <c r="UCL38" s="19"/>
      <c r="UCM38" s="19"/>
      <c r="UCN38" s="19"/>
      <c r="UCO38" s="19"/>
      <c r="UCP38" s="19"/>
      <c r="UCQ38" s="19"/>
      <c r="UCR38" s="19"/>
      <c r="UCS38" s="19"/>
      <c r="UCT38" s="19"/>
      <c r="UCU38" s="19"/>
      <c r="UCV38" s="19"/>
      <c r="UCW38" s="19"/>
      <c r="UCX38" s="19"/>
      <c r="UCY38" s="19"/>
      <c r="UCZ38" s="19"/>
      <c r="UDA38" s="19"/>
      <c r="UDB38" s="19"/>
      <c r="UDC38" s="19"/>
      <c r="UDD38" s="19"/>
      <c r="UDE38" s="19"/>
      <c r="UDF38" s="19"/>
      <c r="UDG38" s="19"/>
      <c r="UDH38" s="19"/>
      <c r="UDI38" s="19"/>
      <c r="UDJ38" s="19"/>
      <c r="UDK38" s="19"/>
      <c r="UDL38" s="19"/>
      <c r="UDM38" s="19"/>
      <c r="UDN38" s="19"/>
      <c r="UDO38" s="19"/>
      <c r="UDP38" s="19"/>
      <c r="UDQ38" s="19"/>
      <c r="UDR38" s="19"/>
      <c r="UDS38" s="19"/>
      <c r="UDT38" s="19"/>
      <c r="UDU38" s="19"/>
      <c r="UDV38" s="19"/>
      <c r="UDW38" s="19"/>
      <c r="UDX38" s="19"/>
      <c r="UDY38" s="19"/>
      <c r="UDZ38" s="19"/>
      <c r="UEA38" s="19"/>
      <c r="UEB38" s="19"/>
      <c r="UEC38" s="19"/>
      <c r="UED38" s="19"/>
      <c r="UEE38" s="19"/>
      <c r="UEF38" s="19"/>
      <c r="UEG38" s="19"/>
      <c r="UEH38" s="19"/>
      <c r="UEI38" s="19"/>
      <c r="UEJ38" s="19"/>
      <c r="UEK38" s="19"/>
      <c r="UEL38" s="19"/>
      <c r="UEM38" s="19"/>
      <c r="UEN38" s="19"/>
      <c r="UEO38" s="19"/>
      <c r="UEP38" s="19"/>
      <c r="UEQ38" s="19"/>
      <c r="UER38" s="19"/>
      <c r="UES38" s="19"/>
      <c r="UET38" s="19"/>
      <c r="UEU38" s="19"/>
      <c r="UEV38" s="19"/>
      <c r="UEW38" s="19"/>
      <c r="UEX38" s="19"/>
      <c r="UEY38" s="19"/>
      <c r="UEZ38" s="19"/>
      <c r="UFA38" s="19"/>
      <c r="UFB38" s="19"/>
      <c r="UFC38" s="19"/>
      <c r="UFD38" s="19"/>
      <c r="UFE38" s="19"/>
      <c r="UFF38" s="19"/>
      <c r="UFG38" s="19"/>
      <c r="UFH38" s="19"/>
      <c r="UFI38" s="19"/>
      <c r="UFJ38" s="19"/>
      <c r="UFK38" s="19"/>
      <c r="UFL38" s="19"/>
      <c r="UFM38" s="19"/>
      <c r="UFN38" s="19"/>
      <c r="UFO38" s="19"/>
      <c r="UFP38" s="19"/>
      <c r="UFQ38" s="19"/>
      <c r="UFR38" s="19"/>
      <c r="UFS38" s="19"/>
      <c r="UFT38" s="19"/>
      <c r="UFU38" s="19"/>
      <c r="UFV38" s="19"/>
      <c r="UFW38" s="19"/>
      <c r="UFX38" s="19"/>
      <c r="UFY38" s="19"/>
      <c r="UFZ38" s="19"/>
      <c r="UGA38" s="19"/>
      <c r="UGB38" s="19"/>
      <c r="UGC38" s="19"/>
      <c r="UGD38" s="19"/>
      <c r="UGE38" s="19"/>
      <c r="UGF38" s="19"/>
      <c r="UGG38" s="19"/>
      <c r="UGH38" s="19"/>
      <c r="UGI38" s="19"/>
      <c r="UGJ38" s="19"/>
      <c r="UGK38" s="19"/>
      <c r="UGL38" s="19"/>
      <c r="UGM38" s="19"/>
      <c r="UGN38" s="19"/>
      <c r="UGO38" s="19"/>
      <c r="UGP38" s="19"/>
      <c r="UGQ38" s="19"/>
      <c r="UGR38" s="19"/>
      <c r="UGS38" s="19"/>
      <c r="UGT38" s="19"/>
      <c r="UGU38" s="19"/>
      <c r="UGV38" s="19"/>
      <c r="UGW38" s="19"/>
      <c r="UGX38" s="19"/>
      <c r="UGY38" s="19"/>
      <c r="UGZ38" s="19"/>
      <c r="UHA38" s="19"/>
      <c r="UHB38" s="19"/>
      <c r="UHC38" s="19"/>
      <c r="UHD38" s="19"/>
      <c r="UHE38" s="19"/>
      <c r="UHF38" s="19"/>
      <c r="UHG38" s="19"/>
      <c r="UHH38" s="19"/>
      <c r="UHI38" s="19"/>
      <c r="UHJ38" s="19"/>
      <c r="UHK38" s="19"/>
      <c r="UHL38" s="19"/>
      <c r="UHM38" s="19"/>
      <c r="UHN38" s="19"/>
      <c r="UHO38" s="19"/>
      <c r="UHP38" s="19"/>
      <c r="UHQ38" s="19"/>
      <c r="UHR38" s="19"/>
      <c r="UHS38" s="19"/>
      <c r="UHT38" s="19"/>
      <c r="UHU38" s="19"/>
      <c r="UHV38" s="19"/>
      <c r="UHW38" s="19"/>
      <c r="UHX38" s="19"/>
      <c r="UHY38" s="19"/>
      <c r="UHZ38" s="19"/>
      <c r="UIA38" s="19"/>
      <c r="UIB38" s="19"/>
      <c r="UIC38" s="19"/>
      <c r="UID38" s="19"/>
      <c r="UIE38" s="19"/>
      <c r="UIF38" s="19"/>
      <c r="UIG38" s="19"/>
      <c r="UIH38" s="19"/>
      <c r="UII38" s="19"/>
      <c r="UIJ38" s="19"/>
      <c r="UIK38" s="19"/>
      <c r="UIL38" s="19"/>
      <c r="UIM38" s="19"/>
      <c r="UIN38" s="19"/>
      <c r="UIO38" s="19"/>
      <c r="UIP38" s="19"/>
      <c r="UIQ38" s="19"/>
      <c r="UIR38" s="19"/>
      <c r="UIS38" s="19"/>
      <c r="UIT38" s="19"/>
      <c r="UIU38" s="19"/>
      <c r="UIV38" s="19"/>
      <c r="UIW38" s="19"/>
      <c r="UIX38" s="19"/>
      <c r="UIY38" s="19"/>
      <c r="UIZ38" s="19"/>
      <c r="UJA38" s="19"/>
      <c r="UJB38" s="19"/>
      <c r="UJC38" s="19"/>
      <c r="UJD38" s="19"/>
      <c r="UJE38" s="19"/>
      <c r="UJF38" s="19"/>
      <c r="UJG38" s="19"/>
      <c r="UJH38" s="19"/>
      <c r="UJI38" s="19"/>
      <c r="UJJ38" s="19"/>
      <c r="UJK38" s="19"/>
      <c r="UJL38" s="19"/>
      <c r="UJM38" s="19"/>
      <c r="UJN38" s="19"/>
      <c r="UJO38" s="19"/>
      <c r="UJP38" s="19"/>
      <c r="UJQ38" s="19"/>
      <c r="UJR38" s="19"/>
      <c r="UJS38" s="19"/>
      <c r="UJT38" s="19"/>
      <c r="UJU38" s="19"/>
      <c r="UJV38" s="19"/>
      <c r="UJW38" s="19"/>
      <c r="UJX38" s="19"/>
      <c r="UJY38" s="19"/>
      <c r="UJZ38" s="19"/>
      <c r="UKA38" s="19"/>
      <c r="UKB38" s="19"/>
      <c r="UKC38" s="19"/>
      <c r="UKD38" s="19"/>
      <c r="UKE38" s="19"/>
      <c r="UKF38" s="19"/>
      <c r="UKG38" s="19"/>
      <c r="UKH38" s="19"/>
      <c r="UKI38" s="19"/>
      <c r="UKJ38" s="19"/>
      <c r="UKK38" s="19"/>
      <c r="UKL38" s="19"/>
      <c r="UKM38" s="19"/>
      <c r="UKN38" s="19"/>
      <c r="UKO38" s="19"/>
      <c r="UKP38" s="19"/>
      <c r="UKQ38" s="19"/>
      <c r="UKR38" s="19"/>
      <c r="UKS38" s="19"/>
      <c r="UKT38" s="19"/>
      <c r="UKU38" s="19"/>
      <c r="UKV38" s="19"/>
      <c r="UKW38" s="19"/>
      <c r="UKX38" s="19"/>
      <c r="UKY38" s="19"/>
      <c r="UKZ38" s="19"/>
      <c r="ULA38" s="19"/>
      <c r="ULB38" s="19"/>
      <c r="ULC38" s="19"/>
      <c r="ULD38" s="19"/>
      <c r="ULE38" s="19"/>
      <c r="ULF38" s="19"/>
      <c r="ULG38" s="19"/>
      <c r="ULH38" s="19"/>
      <c r="ULI38" s="19"/>
      <c r="ULJ38" s="19"/>
      <c r="ULK38" s="19"/>
      <c r="ULL38" s="19"/>
      <c r="ULM38" s="19"/>
      <c r="ULN38" s="19"/>
      <c r="ULO38" s="19"/>
      <c r="ULP38" s="19"/>
      <c r="ULQ38" s="19"/>
      <c r="ULR38" s="19"/>
      <c r="ULS38" s="19"/>
      <c r="ULT38" s="19"/>
      <c r="ULU38" s="19"/>
      <c r="ULV38" s="19"/>
      <c r="ULW38" s="19"/>
      <c r="ULX38" s="19"/>
      <c r="ULY38" s="19"/>
      <c r="ULZ38" s="19"/>
      <c r="UMA38" s="19"/>
      <c r="UMB38" s="19"/>
      <c r="UMC38" s="19"/>
      <c r="UMD38" s="19"/>
      <c r="UME38" s="19"/>
      <c r="UMF38" s="19"/>
      <c r="UMG38" s="19"/>
      <c r="UMH38" s="19"/>
      <c r="UMI38" s="19"/>
      <c r="UMJ38" s="19"/>
      <c r="UMK38" s="19"/>
      <c r="UML38" s="19"/>
      <c r="UMM38" s="19"/>
      <c r="UMN38" s="19"/>
      <c r="UMO38" s="19"/>
      <c r="UMP38" s="19"/>
      <c r="UMQ38" s="19"/>
      <c r="UMR38" s="19"/>
      <c r="UMS38" s="19"/>
      <c r="UMT38" s="19"/>
      <c r="UMU38" s="19"/>
      <c r="UMV38" s="19"/>
      <c r="UMW38" s="19"/>
      <c r="UMX38" s="19"/>
      <c r="UMY38" s="19"/>
      <c r="UMZ38" s="19"/>
      <c r="UNA38" s="19"/>
      <c r="UNB38" s="19"/>
      <c r="UNC38" s="19"/>
      <c r="UND38" s="19"/>
      <c r="UNE38" s="19"/>
      <c r="UNF38" s="19"/>
      <c r="UNG38" s="19"/>
      <c r="UNH38" s="19"/>
      <c r="UNI38" s="19"/>
      <c r="UNJ38" s="19"/>
      <c r="UNK38" s="19"/>
      <c r="UNL38" s="19"/>
      <c r="UNM38" s="19"/>
      <c r="UNN38" s="19"/>
      <c r="UNO38" s="19"/>
      <c r="UNP38" s="19"/>
      <c r="UNQ38" s="19"/>
      <c r="UNR38" s="19"/>
      <c r="UNS38" s="19"/>
      <c r="UNT38" s="19"/>
      <c r="UNU38" s="19"/>
      <c r="UNV38" s="19"/>
      <c r="UNW38" s="19"/>
      <c r="UNX38" s="19"/>
      <c r="UNY38" s="19"/>
      <c r="UNZ38" s="19"/>
      <c r="UOA38" s="19"/>
      <c r="UOB38" s="19"/>
      <c r="UOC38" s="19"/>
      <c r="UOD38" s="19"/>
      <c r="UOE38" s="19"/>
      <c r="UOF38" s="19"/>
      <c r="UOG38" s="19"/>
      <c r="UOH38" s="19"/>
      <c r="UOI38" s="19"/>
      <c r="UOJ38" s="19"/>
      <c r="UOK38" s="19"/>
      <c r="UOL38" s="19"/>
      <c r="UOM38" s="19"/>
      <c r="UON38" s="19"/>
      <c r="UOO38" s="19"/>
      <c r="UOP38" s="19"/>
      <c r="UOQ38" s="19"/>
      <c r="UOR38" s="19"/>
      <c r="UOS38" s="19"/>
      <c r="UOT38" s="19"/>
      <c r="UOU38" s="19"/>
      <c r="UOV38" s="19"/>
      <c r="UOW38" s="19"/>
      <c r="UOX38" s="19"/>
      <c r="UOY38" s="19"/>
      <c r="UOZ38" s="19"/>
      <c r="UPA38" s="19"/>
      <c r="UPB38" s="19"/>
      <c r="UPC38" s="19"/>
      <c r="UPD38" s="19"/>
      <c r="UPE38" s="19"/>
      <c r="UPF38" s="19"/>
      <c r="UPG38" s="19"/>
      <c r="UPH38" s="19"/>
      <c r="UPI38" s="19"/>
      <c r="UPJ38" s="19"/>
      <c r="UPK38" s="19"/>
      <c r="UPL38" s="19"/>
      <c r="UPM38" s="19"/>
      <c r="UPN38" s="19"/>
      <c r="UPO38" s="19"/>
      <c r="UPP38" s="19"/>
      <c r="UPQ38" s="19"/>
      <c r="UPR38" s="19"/>
      <c r="UPS38" s="19"/>
      <c r="UPT38" s="19"/>
      <c r="UPU38" s="19"/>
      <c r="UPV38" s="19"/>
      <c r="UPW38" s="19"/>
      <c r="UPX38" s="19"/>
      <c r="UPY38" s="19"/>
      <c r="UPZ38" s="19"/>
      <c r="UQA38" s="19"/>
      <c r="UQB38" s="19"/>
      <c r="UQC38" s="19"/>
      <c r="UQD38" s="19"/>
      <c r="UQE38" s="19"/>
      <c r="UQF38" s="19"/>
      <c r="UQG38" s="19"/>
      <c r="UQH38" s="19"/>
      <c r="UQI38" s="19"/>
      <c r="UQJ38" s="19"/>
      <c r="UQK38" s="19"/>
      <c r="UQL38" s="19"/>
      <c r="UQM38" s="19"/>
      <c r="UQN38" s="19"/>
      <c r="UQO38" s="19"/>
      <c r="UQP38" s="19"/>
      <c r="UQQ38" s="19"/>
      <c r="UQR38" s="19"/>
      <c r="UQS38" s="19"/>
      <c r="UQT38" s="19"/>
      <c r="UQU38" s="19"/>
      <c r="UQV38" s="19"/>
      <c r="UQW38" s="19"/>
      <c r="UQX38" s="19"/>
      <c r="UQY38" s="19"/>
      <c r="UQZ38" s="19"/>
      <c r="URA38" s="19"/>
      <c r="URB38" s="19"/>
      <c r="URC38" s="19"/>
      <c r="URD38" s="19"/>
      <c r="URE38" s="19"/>
      <c r="URF38" s="19"/>
      <c r="URG38" s="19"/>
      <c r="URH38" s="19"/>
      <c r="URI38" s="19"/>
      <c r="URJ38" s="19"/>
      <c r="URK38" s="19"/>
      <c r="URL38" s="19"/>
      <c r="URM38" s="19"/>
      <c r="URN38" s="19"/>
      <c r="URO38" s="19"/>
      <c r="URP38" s="19"/>
      <c r="URQ38" s="19"/>
      <c r="URR38" s="19"/>
      <c r="URS38" s="19"/>
      <c r="URT38" s="19"/>
      <c r="URU38" s="19"/>
      <c r="URV38" s="19"/>
      <c r="URW38" s="19"/>
      <c r="URX38" s="19"/>
      <c r="URY38" s="19"/>
      <c r="URZ38" s="19"/>
      <c r="USA38" s="19"/>
      <c r="USB38" s="19"/>
      <c r="USC38" s="19"/>
      <c r="USD38" s="19"/>
      <c r="USE38" s="19"/>
      <c r="USF38" s="19"/>
      <c r="USG38" s="19"/>
      <c r="USH38" s="19"/>
      <c r="USI38" s="19"/>
      <c r="USJ38" s="19"/>
      <c r="USK38" s="19"/>
      <c r="USL38" s="19"/>
      <c r="USM38" s="19"/>
      <c r="USN38" s="19"/>
      <c r="USO38" s="19"/>
      <c r="USP38" s="19"/>
      <c r="USQ38" s="19"/>
      <c r="USR38" s="19"/>
      <c r="USS38" s="19"/>
      <c r="UST38" s="19"/>
      <c r="USU38" s="19"/>
      <c r="USV38" s="19"/>
      <c r="USW38" s="19"/>
      <c r="USX38" s="19"/>
      <c r="USY38" s="19"/>
      <c r="USZ38" s="19"/>
      <c r="UTA38" s="19"/>
      <c r="UTB38" s="19"/>
      <c r="UTC38" s="19"/>
      <c r="UTD38" s="19"/>
      <c r="UTE38" s="19"/>
      <c r="UTF38" s="19"/>
      <c r="UTG38" s="19"/>
      <c r="UTH38" s="19"/>
      <c r="UTI38" s="19"/>
      <c r="UTJ38" s="19"/>
      <c r="UTK38" s="19"/>
      <c r="UTL38" s="19"/>
      <c r="UTM38" s="19"/>
      <c r="UTN38" s="19"/>
      <c r="UTO38" s="19"/>
      <c r="UTP38" s="19"/>
      <c r="UTQ38" s="19"/>
      <c r="UTR38" s="19"/>
      <c r="UTS38" s="19"/>
      <c r="UTT38" s="19"/>
      <c r="UTU38" s="19"/>
      <c r="UTV38" s="19"/>
      <c r="UTW38" s="19"/>
      <c r="UTX38" s="19"/>
      <c r="UTY38" s="19"/>
      <c r="UTZ38" s="19"/>
      <c r="UUA38" s="19"/>
      <c r="UUB38" s="19"/>
      <c r="UUC38" s="19"/>
      <c r="UUD38" s="19"/>
      <c r="UUE38" s="19"/>
      <c r="UUF38" s="19"/>
      <c r="UUG38" s="19"/>
      <c r="UUH38" s="19"/>
      <c r="UUI38" s="19"/>
      <c r="UUJ38" s="19"/>
      <c r="UUK38" s="19"/>
      <c r="UUL38" s="19"/>
      <c r="UUM38" s="19"/>
      <c r="UUN38" s="19"/>
      <c r="UUO38" s="19"/>
      <c r="UUP38" s="19"/>
      <c r="UUQ38" s="19"/>
      <c r="UUR38" s="19"/>
      <c r="UUS38" s="19"/>
      <c r="UUT38" s="19"/>
      <c r="UUU38" s="19"/>
      <c r="UUV38" s="19"/>
      <c r="UUW38" s="19"/>
      <c r="UUX38" s="19"/>
      <c r="UUY38" s="19"/>
      <c r="UUZ38" s="19"/>
      <c r="UVA38" s="19"/>
      <c r="UVB38" s="19"/>
      <c r="UVC38" s="19"/>
      <c r="UVD38" s="19"/>
      <c r="UVE38" s="19"/>
      <c r="UVF38" s="19"/>
      <c r="UVG38" s="19"/>
      <c r="UVH38" s="19"/>
      <c r="UVI38" s="19"/>
      <c r="UVJ38" s="19"/>
      <c r="UVK38" s="19"/>
      <c r="UVL38" s="19"/>
      <c r="UVM38" s="19"/>
      <c r="UVN38" s="19"/>
      <c r="UVO38" s="19"/>
      <c r="UVP38" s="19"/>
      <c r="UVQ38" s="19"/>
      <c r="UVR38" s="19"/>
      <c r="UVS38" s="19"/>
      <c r="UVT38" s="19"/>
      <c r="UVU38" s="19"/>
      <c r="UVV38" s="19"/>
      <c r="UVW38" s="19"/>
      <c r="UVX38" s="19"/>
      <c r="UVY38" s="19"/>
      <c r="UVZ38" s="19"/>
      <c r="UWA38" s="19"/>
      <c r="UWB38" s="19"/>
      <c r="UWC38" s="19"/>
      <c r="UWD38" s="19"/>
      <c r="UWE38" s="19"/>
      <c r="UWF38" s="19"/>
      <c r="UWG38" s="19"/>
      <c r="UWH38" s="19"/>
      <c r="UWI38" s="19"/>
      <c r="UWJ38" s="19"/>
      <c r="UWK38" s="19"/>
      <c r="UWL38" s="19"/>
      <c r="UWM38" s="19"/>
      <c r="UWN38" s="19"/>
      <c r="UWO38" s="19"/>
      <c r="UWP38" s="19"/>
      <c r="UWQ38" s="19"/>
      <c r="UWR38" s="19"/>
      <c r="UWS38" s="19"/>
      <c r="UWT38" s="19"/>
      <c r="UWU38" s="19"/>
      <c r="UWV38" s="19"/>
      <c r="UWW38" s="19"/>
      <c r="UWX38" s="19"/>
      <c r="UWY38" s="19"/>
      <c r="UWZ38" s="19"/>
      <c r="UXA38" s="19"/>
      <c r="UXB38" s="19"/>
      <c r="UXC38" s="19"/>
      <c r="UXD38" s="19"/>
      <c r="UXE38" s="19"/>
      <c r="UXF38" s="19"/>
      <c r="UXG38" s="19"/>
      <c r="UXH38" s="19"/>
      <c r="UXI38" s="19"/>
      <c r="UXJ38" s="19"/>
      <c r="UXK38" s="19"/>
      <c r="UXL38" s="19"/>
      <c r="UXM38" s="19"/>
      <c r="UXN38" s="19"/>
      <c r="UXO38" s="19"/>
      <c r="UXP38" s="19"/>
      <c r="UXQ38" s="19"/>
      <c r="UXR38" s="19"/>
      <c r="UXS38" s="19"/>
      <c r="UXT38" s="19"/>
      <c r="UXU38" s="19"/>
      <c r="UXV38" s="19"/>
      <c r="UXW38" s="19"/>
      <c r="UXX38" s="19"/>
      <c r="UXY38" s="19"/>
      <c r="UXZ38" s="19"/>
      <c r="UYA38" s="19"/>
      <c r="UYB38" s="19"/>
      <c r="UYC38" s="19"/>
      <c r="UYD38" s="19"/>
      <c r="UYE38" s="19"/>
      <c r="UYF38" s="19"/>
      <c r="UYG38" s="19"/>
      <c r="UYH38" s="19"/>
      <c r="UYI38" s="19"/>
      <c r="UYJ38" s="19"/>
      <c r="UYK38" s="19"/>
      <c r="UYL38" s="19"/>
      <c r="UYM38" s="19"/>
      <c r="UYN38" s="19"/>
      <c r="UYO38" s="19"/>
      <c r="UYP38" s="19"/>
      <c r="UYQ38" s="19"/>
      <c r="UYR38" s="19"/>
      <c r="UYS38" s="19"/>
      <c r="UYT38" s="19"/>
      <c r="UYU38" s="19"/>
      <c r="UYV38" s="19"/>
      <c r="UYW38" s="19"/>
      <c r="UYX38" s="19"/>
      <c r="UYY38" s="19"/>
      <c r="UYZ38" s="19"/>
      <c r="UZA38" s="19"/>
      <c r="UZB38" s="19"/>
      <c r="UZC38" s="19"/>
      <c r="UZD38" s="19"/>
      <c r="UZE38" s="19"/>
      <c r="UZF38" s="19"/>
      <c r="UZG38" s="19"/>
      <c r="UZH38" s="19"/>
      <c r="UZI38" s="19"/>
      <c r="UZJ38" s="19"/>
      <c r="UZK38" s="19"/>
      <c r="UZL38" s="19"/>
      <c r="UZM38" s="19"/>
      <c r="UZN38" s="19"/>
      <c r="UZO38" s="19"/>
      <c r="UZP38" s="19"/>
      <c r="UZQ38" s="19"/>
      <c r="UZR38" s="19"/>
      <c r="UZS38" s="19"/>
      <c r="UZT38" s="19"/>
      <c r="UZU38" s="19"/>
      <c r="UZV38" s="19"/>
      <c r="UZW38" s="19"/>
      <c r="UZX38" s="19"/>
      <c r="UZY38" s="19"/>
      <c r="UZZ38" s="19"/>
      <c r="VAA38" s="19"/>
      <c r="VAB38" s="19"/>
      <c r="VAC38" s="19"/>
      <c r="VAD38" s="19"/>
      <c r="VAE38" s="19"/>
      <c r="VAF38" s="19"/>
      <c r="VAG38" s="19"/>
      <c r="VAH38" s="19"/>
      <c r="VAI38" s="19"/>
      <c r="VAJ38" s="19"/>
      <c r="VAK38" s="19"/>
      <c r="VAL38" s="19"/>
      <c r="VAM38" s="19"/>
      <c r="VAN38" s="19"/>
      <c r="VAO38" s="19"/>
      <c r="VAP38" s="19"/>
      <c r="VAQ38" s="19"/>
      <c r="VAR38" s="19"/>
      <c r="VAS38" s="19"/>
      <c r="VAT38" s="19"/>
      <c r="VAU38" s="19"/>
      <c r="VAV38" s="19"/>
      <c r="VAW38" s="19"/>
      <c r="VAX38" s="19"/>
      <c r="VAY38" s="19"/>
      <c r="VAZ38" s="19"/>
      <c r="VBA38" s="19"/>
      <c r="VBB38" s="19"/>
      <c r="VBC38" s="19"/>
      <c r="VBD38" s="19"/>
      <c r="VBE38" s="19"/>
      <c r="VBF38" s="19"/>
      <c r="VBG38" s="19"/>
      <c r="VBH38" s="19"/>
      <c r="VBI38" s="19"/>
      <c r="VBJ38" s="19"/>
      <c r="VBK38" s="19"/>
      <c r="VBL38" s="19"/>
      <c r="VBM38" s="19"/>
      <c r="VBN38" s="19"/>
      <c r="VBO38" s="19"/>
      <c r="VBP38" s="19"/>
      <c r="VBQ38" s="19"/>
      <c r="VBR38" s="19"/>
      <c r="VBS38" s="19"/>
      <c r="VBT38" s="19"/>
      <c r="VBU38" s="19"/>
      <c r="VBV38" s="19"/>
      <c r="VBW38" s="19"/>
      <c r="VBX38" s="19"/>
      <c r="VBY38" s="19"/>
      <c r="VBZ38" s="19"/>
      <c r="VCA38" s="19"/>
      <c r="VCB38" s="19"/>
      <c r="VCC38" s="19"/>
      <c r="VCD38" s="19"/>
      <c r="VCE38" s="19"/>
      <c r="VCF38" s="19"/>
      <c r="VCG38" s="19"/>
      <c r="VCH38" s="19"/>
      <c r="VCI38" s="19"/>
      <c r="VCJ38" s="19"/>
      <c r="VCK38" s="19"/>
      <c r="VCL38" s="19"/>
      <c r="VCM38" s="19"/>
      <c r="VCN38" s="19"/>
      <c r="VCO38" s="19"/>
      <c r="VCP38" s="19"/>
      <c r="VCQ38" s="19"/>
      <c r="VCR38" s="19"/>
      <c r="VCS38" s="19"/>
      <c r="VCT38" s="19"/>
      <c r="VCU38" s="19"/>
      <c r="VCV38" s="19"/>
      <c r="VCW38" s="19"/>
      <c r="VCX38" s="19"/>
      <c r="VCY38" s="19"/>
      <c r="VCZ38" s="19"/>
      <c r="VDA38" s="19"/>
      <c r="VDB38" s="19"/>
      <c r="VDC38" s="19"/>
      <c r="VDD38" s="19"/>
      <c r="VDE38" s="19"/>
      <c r="VDF38" s="19"/>
      <c r="VDG38" s="19"/>
      <c r="VDH38" s="19"/>
      <c r="VDI38" s="19"/>
      <c r="VDJ38" s="19"/>
      <c r="VDK38" s="19"/>
      <c r="VDL38" s="19"/>
      <c r="VDM38" s="19"/>
      <c r="VDN38" s="19"/>
      <c r="VDO38" s="19"/>
      <c r="VDP38" s="19"/>
      <c r="VDQ38" s="19"/>
      <c r="VDR38" s="19"/>
      <c r="VDS38" s="19"/>
      <c r="VDT38" s="19"/>
      <c r="VDU38" s="19"/>
      <c r="VDV38" s="19"/>
      <c r="VDW38" s="19"/>
      <c r="VDX38" s="19"/>
      <c r="VDY38" s="19"/>
      <c r="VDZ38" s="19"/>
      <c r="VEA38" s="19"/>
      <c r="VEB38" s="19"/>
      <c r="VEC38" s="19"/>
      <c r="VED38" s="19"/>
      <c r="VEE38" s="19"/>
      <c r="VEF38" s="19"/>
      <c r="VEG38" s="19"/>
      <c r="VEH38" s="19"/>
      <c r="VEI38" s="19"/>
      <c r="VEJ38" s="19"/>
      <c r="VEK38" s="19"/>
      <c r="VEL38" s="19"/>
      <c r="VEM38" s="19"/>
      <c r="VEN38" s="19"/>
      <c r="VEO38" s="19"/>
      <c r="VEP38" s="19"/>
      <c r="VEQ38" s="19"/>
      <c r="VER38" s="19"/>
      <c r="VES38" s="19"/>
      <c r="VET38" s="19"/>
      <c r="VEU38" s="19"/>
      <c r="VEV38" s="19"/>
      <c r="VEW38" s="19"/>
      <c r="VEX38" s="19"/>
      <c r="VEY38" s="19"/>
      <c r="VEZ38" s="19"/>
      <c r="VFA38" s="19"/>
      <c r="VFB38" s="19"/>
      <c r="VFC38" s="19"/>
      <c r="VFD38" s="19"/>
      <c r="VFE38" s="19"/>
      <c r="VFF38" s="19"/>
      <c r="VFG38" s="19"/>
      <c r="VFH38" s="19"/>
      <c r="VFI38" s="19"/>
      <c r="VFJ38" s="19"/>
      <c r="VFK38" s="19"/>
      <c r="VFL38" s="19"/>
      <c r="VFM38" s="19"/>
      <c r="VFN38" s="19"/>
      <c r="VFO38" s="19"/>
      <c r="VFP38" s="19"/>
      <c r="VFQ38" s="19"/>
      <c r="VFR38" s="19"/>
      <c r="VFS38" s="19"/>
      <c r="VFT38" s="19"/>
      <c r="VFU38" s="19"/>
      <c r="VFV38" s="19"/>
      <c r="VFW38" s="19"/>
      <c r="VFX38" s="19"/>
      <c r="VFY38" s="19"/>
      <c r="VFZ38" s="19"/>
      <c r="VGA38" s="19"/>
      <c r="VGB38" s="19"/>
      <c r="VGC38" s="19"/>
      <c r="VGD38" s="19"/>
      <c r="VGE38" s="19"/>
      <c r="VGF38" s="19"/>
      <c r="VGG38" s="19"/>
      <c r="VGH38" s="19"/>
      <c r="VGI38" s="19"/>
      <c r="VGJ38" s="19"/>
      <c r="VGK38" s="19"/>
      <c r="VGL38" s="19"/>
      <c r="VGM38" s="19"/>
      <c r="VGN38" s="19"/>
      <c r="VGO38" s="19"/>
      <c r="VGP38" s="19"/>
      <c r="VGQ38" s="19"/>
      <c r="VGR38" s="19"/>
      <c r="VGS38" s="19"/>
      <c r="VGT38" s="19"/>
      <c r="VGU38" s="19"/>
      <c r="VGV38" s="19"/>
      <c r="VGW38" s="19"/>
      <c r="VGX38" s="19"/>
      <c r="VGY38" s="19"/>
      <c r="VGZ38" s="19"/>
      <c r="VHA38" s="19"/>
      <c r="VHB38" s="19"/>
      <c r="VHC38" s="19"/>
      <c r="VHD38" s="19"/>
      <c r="VHE38" s="19"/>
      <c r="VHF38" s="19"/>
      <c r="VHG38" s="19"/>
      <c r="VHH38" s="19"/>
      <c r="VHI38" s="19"/>
      <c r="VHJ38" s="19"/>
      <c r="VHK38" s="19"/>
      <c r="VHL38" s="19"/>
      <c r="VHM38" s="19"/>
      <c r="VHN38" s="19"/>
      <c r="VHO38" s="19"/>
      <c r="VHP38" s="19"/>
      <c r="VHQ38" s="19"/>
      <c r="VHR38" s="19"/>
      <c r="VHS38" s="19"/>
      <c r="VHT38" s="19"/>
      <c r="VHU38" s="19"/>
      <c r="VHV38" s="19"/>
      <c r="VHW38" s="19"/>
      <c r="VHX38" s="19"/>
      <c r="VHY38" s="19"/>
      <c r="VHZ38" s="19"/>
      <c r="VIA38" s="19"/>
      <c r="VIB38" s="19"/>
      <c r="VIC38" s="19"/>
      <c r="VID38" s="19"/>
      <c r="VIE38" s="19"/>
      <c r="VIF38" s="19"/>
      <c r="VIG38" s="19"/>
      <c r="VIH38" s="19"/>
      <c r="VII38" s="19"/>
      <c r="VIJ38" s="19"/>
      <c r="VIK38" s="19"/>
      <c r="VIL38" s="19"/>
      <c r="VIM38" s="19"/>
      <c r="VIN38" s="19"/>
      <c r="VIO38" s="19"/>
      <c r="VIP38" s="19"/>
      <c r="VIQ38" s="19"/>
      <c r="VIR38" s="19"/>
      <c r="VIS38" s="19"/>
      <c r="VIT38" s="19"/>
      <c r="VIU38" s="19"/>
      <c r="VIV38" s="19"/>
      <c r="VIW38" s="19"/>
      <c r="VIX38" s="19"/>
      <c r="VIY38" s="19"/>
      <c r="VIZ38" s="19"/>
      <c r="VJA38" s="19"/>
      <c r="VJB38" s="19"/>
      <c r="VJC38" s="19"/>
      <c r="VJD38" s="19"/>
      <c r="VJE38" s="19"/>
      <c r="VJF38" s="19"/>
      <c r="VJG38" s="19"/>
      <c r="VJH38" s="19"/>
      <c r="VJI38" s="19"/>
      <c r="VJJ38" s="19"/>
      <c r="VJK38" s="19"/>
      <c r="VJL38" s="19"/>
      <c r="VJM38" s="19"/>
      <c r="VJN38" s="19"/>
      <c r="VJO38" s="19"/>
      <c r="VJP38" s="19"/>
      <c r="VJQ38" s="19"/>
      <c r="VJR38" s="19"/>
      <c r="VJS38" s="19"/>
      <c r="VJT38" s="19"/>
      <c r="VJU38" s="19"/>
      <c r="VJV38" s="19"/>
      <c r="VJW38" s="19"/>
      <c r="VJX38" s="19"/>
      <c r="VJY38" s="19"/>
      <c r="VJZ38" s="19"/>
      <c r="VKA38" s="19"/>
      <c r="VKB38" s="19"/>
      <c r="VKC38" s="19"/>
      <c r="VKD38" s="19"/>
      <c r="VKE38" s="19"/>
      <c r="VKF38" s="19"/>
      <c r="VKG38" s="19"/>
      <c r="VKH38" s="19"/>
      <c r="VKI38" s="19"/>
      <c r="VKJ38" s="19"/>
      <c r="VKK38" s="19"/>
      <c r="VKL38" s="19"/>
      <c r="VKM38" s="19"/>
      <c r="VKN38" s="19"/>
      <c r="VKO38" s="19"/>
      <c r="VKP38" s="19"/>
      <c r="VKQ38" s="19"/>
      <c r="VKR38" s="19"/>
      <c r="VKS38" s="19"/>
      <c r="VKT38" s="19"/>
      <c r="VKU38" s="19"/>
      <c r="VKV38" s="19"/>
      <c r="VKW38" s="19"/>
      <c r="VKX38" s="19"/>
      <c r="VKY38" s="19"/>
      <c r="VKZ38" s="19"/>
      <c r="VLA38" s="19"/>
      <c r="VLB38" s="19"/>
      <c r="VLC38" s="19"/>
      <c r="VLD38" s="19"/>
      <c r="VLE38" s="19"/>
      <c r="VLF38" s="19"/>
      <c r="VLG38" s="19"/>
      <c r="VLH38" s="19"/>
      <c r="VLI38" s="19"/>
      <c r="VLJ38" s="19"/>
      <c r="VLK38" s="19"/>
      <c r="VLL38" s="19"/>
      <c r="VLM38" s="19"/>
      <c r="VLN38" s="19"/>
      <c r="VLO38" s="19"/>
      <c r="VLP38" s="19"/>
      <c r="VLQ38" s="19"/>
      <c r="VLR38" s="19"/>
      <c r="VLS38" s="19"/>
      <c r="VLT38" s="19"/>
      <c r="VLU38" s="19"/>
      <c r="VLV38" s="19"/>
      <c r="VLW38" s="19"/>
      <c r="VLX38" s="19"/>
      <c r="VLY38" s="19"/>
      <c r="VLZ38" s="19"/>
      <c r="VMA38" s="19"/>
      <c r="VMB38" s="19"/>
      <c r="VMC38" s="19"/>
      <c r="VMD38" s="19"/>
      <c r="VME38" s="19"/>
      <c r="VMF38" s="19"/>
      <c r="VMG38" s="19"/>
      <c r="VMH38" s="19"/>
      <c r="VMI38" s="19"/>
      <c r="VMJ38" s="19"/>
      <c r="VMK38" s="19"/>
      <c r="VML38" s="19"/>
      <c r="VMM38" s="19"/>
      <c r="VMN38" s="19"/>
      <c r="VMO38" s="19"/>
      <c r="VMP38" s="19"/>
      <c r="VMQ38" s="19"/>
      <c r="VMR38" s="19"/>
      <c r="VMS38" s="19"/>
      <c r="VMT38" s="19"/>
      <c r="VMU38" s="19"/>
      <c r="VMV38" s="19"/>
      <c r="VMW38" s="19"/>
      <c r="VMX38" s="19"/>
      <c r="VMY38" s="19"/>
      <c r="VMZ38" s="19"/>
      <c r="VNA38" s="19"/>
      <c r="VNB38" s="19"/>
      <c r="VNC38" s="19"/>
      <c r="VND38" s="19"/>
      <c r="VNE38" s="19"/>
      <c r="VNF38" s="19"/>
      <c r="VNG38" s="19"/>
      <c r="VNH38" s="19"/>
      <c r="VNI38" s="19"/>
      <c r="VNJ38" s="19"/>
      <c r="VNK38" s="19"/>
      <c r="VNL38" s="19"/>
      <c r="VNM38" s="19"/>
      <c r="VNN38" s="19"/>
      <c r="VNO38" s="19"/>
      <c r="VNP38" s="19"/>
      <c r="VNQ38" s="19"/>
      <c r="VNR38" s="19"/>
      <c r="VNS38" s="19"/>
      <c r="VNT38" s="19"/>
      <c r="VNU38" s="19"/>
      <c r="VNV38" s="19"/>
      <c r="VNW38" s="19"/>
      <c r="VNX38" s="19"/>
      <c r="VNY38" s="19"/>
      <c r="VNZ38" s="19"/>
      <c r="VOA38" s="19"/>
      <c r="VOB38" s="19"/>
      <c r="VOC38" s="19"/>
      <c r="VOD38" s="19"/>
      <c r="VOE38" s="19"/>
      <c r="VOF38" s="19"/>
      <c r="VOG38" s="19"/>
      <c r="VOH38" s="19"/>
      <c r="VOI38" s="19"/>
      <c r="VOJ38" s="19"/>
      <c r="VOK38" s="19"/>
      <c r="VOL38" s="19"/>
      <c r="VOM38" s="19"/>
      <c r="VON38" s="19"/>
      <c r="VOO38" s="19"/>
      <c r="VOP38" s="19"/>
      <c r="VOQ38" s="19"/>
      <c r="VOR38" s="19"/>
      <c r="VOS38" s="19"/>
      <c r="VOT38" s="19"/>
      <c r="VOU38" s="19"/>
      <c r="VOV38" s="19"/>
      <c r="VOW38" s="19"/>
      <c r="VOX38" s="19"/>
      <c r="VOY38" s="19"/>
      <c r="VOZ38" s="19"/>
      <c r="VPA38" s="19"/>
      <c r="VPB38" s="19"/>
      <c r="VPC38" s="19"/>
      <c r="VPD38" s="19"/>
      <c r="VPE38" s="19"/>
      <c r="VPF38" s="19"/>
      <c r="VPG38" s="19"/>
      <c r="VPH38" s="19"/>
      <c r="VPI38" s="19"/>
      <c r="VPJ38" s="19"/>
      <c r="VPK38" s="19"/>
      <c r="VPL38" s="19"/>
      <c r="VPM38" s="19"/>
      <c r="VPN38" s="19"/>
      <c r="VPO38" s="19"/>
      <c r="VPP38" s="19"/>
      <c r="VPQ38" s="19"/>
      <c r="VPR38" s="19"/>
      <c r="VPS38" s="19"/>
      <c r="VPT38" s="19"/>
      <c r="VPU38" s="19"/>
      <c r="VPV38" s="19"/>
      <c r="VPW38" s="19"/>
      <c r="VPX38" s="19"/>
      <c r="VPY38" s="19"/>
      <c r="VPZ38" s="19"/>
      <c r="VQA38" s="19"/>
      <c r="VQB38" s="19"/>
      <c r="VQC38" s="19"/>
      <c r="VQD38" s="19"/>
      <c r="VQE38" s="19"/>
      <c r="VQF38" s="19"/>
      <c r="VQG38" s="19"/>
      <c r="VQH38" s="19"/>
      <c r="VQI38" s="19"/>
      <c r="VQJ38" s="19"/>
      <c r="VQK38" s="19"/>
      <c r="VQL38" s="19"/>
      <c r="VQM38" s="19"/>
      <c r="VQN38" s="19"/>
      <c r="VQO38" s="19"/>
      <c r="VQP38" s="19"/>
      <c r="VQQ38" s="19"/>
      <c r="VQR38" s="19"/>
      <c r="VQS38" s="19"/>
      <c r="VQT38" s="19"/>
      <c r="VQU38" s="19"/>
      <c r="VQV38" s="19"/>
      <c r="VQW38" s="19"/>
      <c r="VQX38" s="19"/>
      <c r="VQY38" s="19"/>
      <c r="VQZ38" s="19"/>
      <c r="VRA38" s="19"/>
      <c r="VRB38" s="19"/>
      <c r="VRC38" s="19"/>
      <c r="VRD38" s="19"/>
      <c r="VRE38" s="19"/>
      <c r="VRF38" s="19"/>
      <c r="VRG38" s="19"/>
      <c r="VRH38" s="19"/>
      <c r="VRI38" s="19"/>
      <c r="VRJ38" s="19"/>
      <c r="VRK38" s="19"/>
      <c r="VRL38" s="19"/>
      <c r="VRM38" s="19"/>
      <c r="VRN38" s="19"/>
      <c r="VRO38" s="19"/>
      <c r="VRP38" s="19"/>
      <c r="VRQ38" s="19"/>
      <c r="VRR38" s="19"/>
      <c r="VRS38" s="19"/>
      <c r="VRT38" s="19"/>
      <c r="VRU38" s="19"/>
      <c r="VRV38" s="19"/>
      <c r="VRW38" s="19"/>
      <c r="VRX38" s="19"/>
      <c r="VRY38" s="19"/>
      <c r="VRZ38" s="19"/>
      <c r="VSA38" s="19"/>
      <c r="VSB38" s="19"/>
      <c r="VSC38" s="19"/>
      <c r="VSD38" s="19"/>
      <c r="VSE38" s="19"/>
      <c r="VSF38" s="19"/>
      <c r="VSG38" s="19"/>
      <c r="VSH38" s="19"/>
      <c r="VSI38" s="19"/>
      <c r="VSJ38" s="19"/>
      <c r="VSK38" s="19"/>
      <c r="VSL38" s="19"/>
      <c r="VSM38" s="19"/>
      <c r="VSN38" s="19"/>
      <c r="VSO38" s="19"/>
      <c r="VSP38" s="19"/>
      <c r="VSQ38" s="19"/>
      <c r="VSR38" s="19"/>
      <c r="VSS38" s="19"/>
      <c r="VST38" s="19"/>
      <c r="VSU38" s="19"/>
      <c r="VSV38" s="19"/>
      <c r="VSW38" s="19"/>
      <c r="VSX38" s="19"/>
      <c r="VSY38" s="19"/>
      <c r="VSZ38" s="19"/>
      <c r="VTA38" s="19"/>
      <c r="VTB38" s="19"/>
      <c r="VTC38" s="19"/>
      <c r="VTD38" s="19"/>
      <c r="VTE38" s="19"/>
      <c r="VTF38" s="19"/>
      <c r="VTG38" s="19"/>
      <c r="VTH38" s="19"/>
      <c r="VTI38" s="19"/>
      <c r="VTJ38" s="19"/>
      <c r="VTK38" s="19"/>
      <c r="VTL38" s="19"/>
      <c r="VTM38" s="19"/>
      <c r="VTN38" s="19"/>
      <c r="VTO38" s="19"/>
      <c r="VTP38" s="19"/>
      <c r="VTQ38" s="19"/>
      <c r="VTR38" s="19"/>
      <c r="VTS38" s="19"/>
      <c r="VTT38" s="19"/>
      <c r="VTU38" s="19"/>
      <c r="VTV38" s="19"/>
      <c r="VTW38" s="19"/>
      <c r="VTX38" s="19"/>
      <c r="VTY38" s="19"/>
      <c r="VTZ38" s="19"/>
      <c r="VUA38" s="19"/>
      <c r="VUB38" s="19"/>
      <c r="VUC38" s="19"/>
      <c r="VUD38" s="19"/>
      <c r="VUE38" s="19"/>
      <c r="VUF38" s="19"/>
      <c r="VUG38" s="19"/>
      <c r="VUH38" s="19"/>
      <c r="VUI38" s="19"/>
      <c r="VUJ38" s="19"/>
      <c r="VUK38" s="19"/>
      <c r="VUL38" s="19"/>
      <c r="VUM38" s="19"/>
      <c r="VUN38" s="19"/>
      <c r="VUO38" s="19"/>
      <c r="VUP38" s="19"/>
      <c r="VUQ38" s="19"/>
      <c r="VUR38" s="19"/>
      <c r="VUS38" s="19"/>
      <c r="VUT38" s="19"/>
      <c r="VUU38" s="19"/>
      <c r="VUV38" s="19"/>
      <c r="VUW38" s="19"/>
      <c r="VUX38" s="19"/>
      <c r="VUY38" s="19"/>
      <c r="VUZ38" s="19"/>
      <c r="VVA38" s="19"/>
      <c r="VVB38" s="19"/>
      <c r="VVC38" s="19"/>
      <c r="VVD38" s="19"/>
      <c r="VVE38" s="19"/>
      <c r="VVF38" s="19"/>
      <c r="VVG38" s="19"/>
      <c r="VVH38" s="19"/>
      <c r="VVI38" s="19"/>
      <c r="VVJ38" s="19"/>
      <c r="VVK38" s="19"/>
      <c r="VVL38" s="19"/>
      <c r="VVM38" s="19"/>
      <c r="VVN38" s="19"/>
      <c r="VVO38" s="19"/>
      <c r="VVP38" s="19"/>
      <c r="VVQ38" s="19"/>
      <c r="VVR38" s="19"/>
      <c r="VVS38" s="19"/>
      <c r="VVT38" s="19"/>
      <c r="VVU38" s="19"/>
      <c r="VVV38" s="19"/>
      <c r="VVW38" s="19"/>
      <c r="VVX38" s="19"/>
      <c r="VVY38" s="19"/>
      <c r="VVZ38" s="19"/>
      <c r="VWA38" s="19"/>
      <c r="VWB38" s="19"/>
      <c r="VWC38" s="19"/>
      <c r="VWD38" s="19"/>
      <c r="VWE38" s="19"/>
      <c r="VWF38" s="19"/>
      <c r="VWG38" s="19"/>
      <c r="VWH38" s="19"/>
      <c r="VWI38" s="19"/>
      <c r="VWJ38" s="19"/>
      <c r="VWK38" s="19"/>
      <c r="VWL38" s="19"/>
      <c r="VWM38" s="19"/>
      <c r="VWN38" s="19"/>
      <c r="VWO38" s="19"/>
      <c r="VWP38" s="19"/>
      <c r="VWQ38" s="19"/>
      <c r="VWR38" s="19"/>
      <c r="VWS38" s="19"/>
      <c r="VWT38" s="19"/>
      <c r="VWU38" s="19"/>
      <c r="VWV38" s="19"/>
      <c r="VWW38" s="19"/>
      <c r="VWX38" s="19"/>
      <c r="VWY38" s="19"/>
      <c r="VWZ38" s="19"/>
      <c r="VXA38" s="19"/>
      <c r="VXB38" s="19"/>
      <c r="VXC38" s="19"/>
      <c r="VXD38" s="19"/>
      <c r="VXE38" s="19"/>
      <c r="VXF38" s="19"/>
      <c r="VXG38" s="19"/>
      <c r="VXH38" s="19"/>
      <c r="VXI38" s="19"/>
      <c r="VXJ38" s="19"/>
      <c r="VXK38" s="19"/>
      <c r="VXL38" s="19"/>
      <c r="VXM38" s="19"/>
      <c r="VXN38" s="19"/>
      <c r="VXO38" s="19"/>
      <c r="VXP38" s="19"/>
      <c r="VXQ38" s="19"/>
      <c r="VXR38" s="19"/>
      <c r="VXS38" s="19"/>
      <c r="VXT38" s="19"/>
      <c r="VXU38" s="19"/>
      <c r="VXV38" s="19"/>
      <c r="VXW38" s="19"/>
      <c r="VXX38" s="19"/>
      <c r="VXY38" s="19"/>
      <c r="VXZ38" s="19"/>
      <c r="VYA38" s="19"/>
      <c r="VYB38" s="19"/>
      <c r="VYC38" s="19"/>
      <c r="VYD38" s="19"/>
      <c r="VYE38" s="19"/>
      <c r="VYF38" s="19"/>
      <c r="VYG38" s="19"/>
      <c r="VYH38" s="19"/>
      <c r="VYI38" s="19"/>
      <c r="VYJ38" s="19"/>
      <c r="VYK38" s="19"/>
      <c r="VYL38" s="19"/>
      <c r="VYM38" s="19"/>
      <c r="VYN38" s="19"/>
      <c r="VYO38" s="19"/>
      <c r="VYP38" s="19"/>
      <c r="VYQ38" s="19"/>
      <c r="VYR38" s="19"/>
      <c r="VYS38" s="19"/>
      <c r="VYT38" s="19"/>
      <c r="VYU38" s="19"/>
      <c r="VYV38" s="19"/>
      <c r="VYW38" s="19"/>
      <c r="VYX38" s="19"/>
      <c r="VYY38" s="19"/>
      <c r="VYZ38" s="19"/>
      <c r="VZA38" s="19"/>
      <c r="VZB38" s="19"/>
      <c r="VZC38" s="19"/>
      <c r="VZD38" s="19"/>
      <c r="VZE38" s="19"/>
      <c r="VZF38" s="19"/>
      <c r="VZG38" s="19"/>
      <c r="VZH38" s="19"/>
      <c r="VZI38" s="19"/>
      <c r="VZJ38" s="19"/>
      <c r="VZK38" s="19"/>
      <c r="VZL38" s="19"/>
      <c r="VZM38" s="19"/>
      <c r="VZN38" s="19"/>
      <c r="VZO38" s="19"/>
      <c r="VZP38" s="19"/>
      <c r="VZQ38" s="19"/>
      <c r="VZR38" s="19"/>
      <c r="VZS38" s="19"/>
      <c r="VZT38" s="19"/>
      <c r="VZU38" s="19"/>
      <c r="VZV38" s="19"/>
      <c r="VZW38" s="19"/>
      <c r="VZX38" s="19"/>
      <c r="VZY38" s="19"/>
      <c r="VZZ38" s="19"/>
      <c r="WAA38" s="19"/>
      <c r="WAB38" s="19"/>
      <c r="WAC38" s="19"/>
      <c r="WAD38" s="19"/>
      <c r="WAE38" s="19"/>
      <c r="WAF38" s="19"/>
      <c r="WAG38" s="19"/>
      <c r="WAH38" s="19"/>
      <c r="WAI38" s="19"/>
      <c r="WAJ38" s="19"/>
      <c r="WAK38" s="19"/>
      <c r="WAL38" s="19"/>
      <c r="WAM38" s="19"/>
      <c r="WAN38" s="19"/>
      <c r="WAO38" s="19"/>
      <c r="WAP38" s="19"/>
      <c r="WAQ38" s="19"/>
      <c r="WAR38" s="19"/>
      <c r="WAS38" s="19"/>
      <c r="WAT38" s="19"/>
      <c r="WAU38" s="19"/>
      <c r="WAV38" s="19"/>
      <c r="WAW38" s="19"/>
      <c r="WAX38" s="19"/>
      <c r="WAY38" s="19"/>
      <c r="WAZ38" s="19"/>
      <c r="WBA38" s="19"/>
      <c r="WBB38" s="19"/>
      <c r="WBC38" s="19"/>
      <c r="WBD38" s="19"/>
      <c r="WBE38" s="19"/>
      <c r="WBF38" s="19"/>
      <c r="WBG38" s="19"/>
      <c r="WBH38" s="19"/>
      <c r="WBI38" s="19"/>
      <c r="WBJ38" s="19"/>
      <c r="WBK38" s="19"/>
      <c r="WBL38" s="19"/>
      <c r="WBM38" s="19"/>
      <c r="WBN38" s="19"/>
      <c r="WBO38" s="19"/>
      <c r="WBP38" s="19"/>
      <c r="WBQ38" s="19"/>
      <c r="WBR38" s="19"/>
      <c r="WBS38" s="19"/>
      <c r="WBT38" s="19"/>
      <c r="WBU38" s="19"/>
      <c r="WBV38" s="19"/>
      <c r="WBW38" s="19"/>
      <c r="WBX38" s="19"/>
      <c r="WBY38" s="19"/>
      <c r="WBZ38" s="19"/>
      <c r="WCA38" s="19"/>
      <c r="WCB38" s="19"/>
      <c r="WCC38" s="19"/>
      <c r="WCD38" s="19"/>
      <c r="WCE38" s="19"/>
      <c r="WCF38" s="19"/>
      <c r="WCG38" s="19"/>
      <c r="WCH38" s="19"/>
      <c r="WCI38" s="19"/>
      <c r="WCJ38" s="19"/>
      <c r="WCK38" s="19"/>
      <c r="WCL38" s="19"/>
      <c r="WCM38" s="19"/>
      <c r="WCN38" s="19"/>
      <c r="WCO38" s="19"/>
      <c r="WCP38" s="19"/>
      <c r="WCQ38" s="19"/>
      <c r="WCR38" s="19"/>
      <c r="WCS38" s="19"/>
      <c r="WCT38" s="19"/>
      <c r="WCU38" s="19"/>
      <c r="WCV38" s="19"/>
      <c r="WCW38" s="19"/>
      <c r="WCX38" s="19"/>
      <c r="WCY38" s="19"/>
      <c r="WCZ38" s="19"/>
      <c r="WDA38" s="19"/>
      <c r="WDB38" s="19"/>
      <c r="WDC38" s="19"/>
      <c r="WDD38" s="19"/>
      <c r="WDE38" s="19"/>
      <c r="WDF38" s="19"/>
      <c r="WDG38" s="19"/>
      <c r="WDH38" s="19"/>
      <c r="WDI38" s="19"/>
      <c r="WDJ38" s="19"/>
      <c r="WDK38" s="19"/>
      <c r="WDL38" s="19"/>
      <c r="WDM38" s="19"/>
      <c r="WDN38" s="19"/>
      <c r="WDO38" s="19"/>
      <c r="WDP38" s="19"/>
      <c r="WDQ38" s="19"/>
      <c r="WDR38" s="19"/>
      <c r="WDS38" s="19"/>
      <c r="WDT38" s="19"/>
      <c r="WDU38" s="19"/>
      <c r="WDV38" s="19"/>
      <c r="WDW38" s="19"/>
      <c r="WDX38" s="19"/>
      <c r="WDY38" s="19"/>
      <c r="WDZ38" s="19"/>
      <c r="WEA38" s="19"/>
      <c r="WEB38" s="19"/>
      <c r="WEC38" s="19"/>
      <c r="WED38" s="19"/>
      <c r="WEE38" s="19"/>
      <c r="WEF38" s="19"/>
      <c r="WEG38" s="19"/>
      <c r="WEH38" s="19"/>
      <c r="WEI38" s="19"/>
      <c r="WEJ38" s="19"/>
      <c r="WEK38" s="19"/>
      <c r="WEL38" s="19"/>
      <c r="WEM38" s="19"/>
      <c r="WEN38" s="19"/>
      <c r="WEO38" s="19"/>
      <c r="WEP38" s="19"/>
      <c r="WEQ38" s="19"/>
      <c r="WER38" s="19"/>
      <c r="WES38" s="19"/>
      <c r="WET38" s="19"/>
      <c r="WEU38" s="19"/>
      <c r="WEV38" s="19"/>
      <c r="WEW38" s="19"/>
      <c r="WEX38" s="19"/>
      <c r="WEY38" s="19"/>
      <c r="WEZ38" s="19"/>
      <c r="WFA38" s="19"/>
      <c r="WFB38" s="19"/>
      <c r="WFC38" s="19"/>
      <c r="WFD38" s="19"/>
      <c r="WFE38" s="19"/>
      <c r="WFF38" s="19"/>
      <c r="WFG38" s="19"/>
      <c r="WFH38" s="19"/>
      <c r="WFI38" s="19"/>
      <c r="WFJ38" s="19"/>
      <c r="WFK38" s="19"/>
      <c r="WFL38" s="19"/>
      <c r="WFM38" s="19"/>
      <c r="WFN38" s="19"/>
      <c r="WFO38" s="19"/>
      <c r="WFP38" s="19"/>
      <c r="WFQ38" s="19"/>
      <c r="WFR38" s="19"/>
      <c r="WFS38" s="19"/>
      <c r="WFT38" s="19"/>
      <c r="WFU38" s="19"/>
      <c r="WFV38" s="19"/>
      <c r="WFW38" s="19"/>
      <c r="WFX38" s="19"/>
      <c r="WFY38" s="19"/>
      <c r="WFZ38" s="19"/>
      <c r="WGA38" s="19"/>
      <c r="WGB38" s="19"/>
      <c r="WGC38" s="19"/>
      <c r="WGD38" s="19"/>
      <c r="WGE38" s="19"/>
      <c r="WGF38" s="19"/>
      <c r="WGG38" s="19"/>
      <c r="WGH38" s="19"/>
      <c r="WGI38" s="19"/>
      <c r="WGJ38" s="19"/>
      <c r="WGK38" s="19"/>
      <c r="WGL38" s="19"/>
      <c r="WGM38" s="19"/>
      <c r="WGN38" s="19"/>
      <c r="WGO38" s="19"/>
      <c r="WGP38" s="19"/>
      <c r="WGQ38" s="19"/>
      <c r="WGR38" s="19"/>
      <c r="WGS38" s="19"/>
      <c r="WGT38" s="19"/>
      <c r="WGU38" s="19"/>
      <c r="WGV38" s="19"/>
      <c r="WGW38" s="19"/>
      <c r="WGX38" s="19"/>
      <c r="WGY38" s="19"/>
      <c r="WGZ38" s="19"/>
      <c r="WHA38" s="19"/>
      <c r="WHB38" s="19"/>
      <c r="WHC38" s="19"/>
      <c r="WHD38" s="19"/>
      <c r="WHE38" s="19"/>
      <c r="WHF38" s="19"/>
      <c r="WHG38" s="19"/>
      <c r="WHH38" s="19"/>
      <c r="WHI38" s="19"/>
      <c r="WHJ38" s="19"/>
      <c r="WHK38" s="19"/>
      <c r="WHL38" s="19"/>
      <c r="WHM38" s="19"/>
      <c r="WHN38" s="19"/>
      <c r="WHO38" s="19"/>
      <c r="WHP38" s="19"/>
      <c r="WHQ38" s="19"/>
      <c r="WHR38" s="19"/>
      <c r="WHS38" s="19"/>
      <c r="WHT38" s="19"/>
      <c r="WHU38" s="19"/>
      <c r="WHV38" s="19"/>
      <c r="WHW38" s="19"/>
      <c r="WHX38" s="19"/>
      <c r="WHY38" s="19"/>
      <c r="WHZ38" s="19"/>
      <c r="WIA38" s="19"/>
      <c r="WIB38" s="19"/>
      <c r="WIC38" s="19"/>
      <c r="WID38" s="19"/>
      <c r="WIE38" s="19"/>
      <c r="WIF38" s="19"/>
      <c r="WIG38" s="19"/>
      <c r="WIH38" s="19"/>
      <c r="WII38" s="19"/>
      <c r="WIJ38" s="19"/>
      <c r="WIK38" s="19"/>
      <c r="WIL38" s="19"/>
      <c r="WIM38" s="19"/>
      <c r="WIN38" s="19"/>
      <c r="WIO38" s="19"/>
      <c r="WIP38" s="19"/>
      <c r="WIQ38" s="19"/>
      <c r="WIR38" s="19"/>
      <c r="WIS38" s="19"/>
      <c r="WIT38" s="19"/>
      <c r="WIU38" s="19"/>
      <c r="WIV38" s="19"/>
      <c r="WIW38" s="19"/>
      <c r="WIX38" s="19"/>
      <c r="WIY38" s="19"/>
      <c r="WIZ38" s="19"/>
      <c r="WJA38" s="19"/>
      <c r="WJB38" s="19"/>
      <c r="WJC38" s="19"/>
      <c r="WJD38" s="19"/>
      <c r="WJE38" s="19"/>
      <c r="WJF38" s="19"/>
      <c r="WJG38" s="19"/>
      <c r="WJH38" s="19"/>
      <c r="WJI38" s="19"/>
      <c r="WJJ38" s="19"/>
      <c r="WJK38" s="19"/>
      <c r="WJL38" s="19"/>
      <c r="WJM38" s="19"/>
      <c r="WJN38" s="19"/>
      <c r="WJO38" s="19"/>
      <c r="WJP38" s="19"/>
      <c r="WJQ38" s="19"/>
      <c r="WJR38" s="19"/>
      <c r="WJS38" s="19"/>
      <c r="WJT38" s="19"/>
      <c r="WJU38" s="19"/>
      <c r="WJV38" s="19"/>
      <c r="WJW38" s="19"/>
      <c r="WJX38" s="19"/>
      <c r="WJY38" s="19"/>
      <c r="WJZ38" s="19"/>
      <c r="WKA38" s="19"/>
      <c r="WKB38" s="19"/>
      <c r="WKC38" s="19"/>
      <c r="WKD38" s="19"/>
      <c r="WKE38" s="19"/>
      <c r="WKF38" s="19"/>
      <c r="WKG38" s="19"/>
      <c r="WKH38" s="19"/>
      <c r="WKI38" s="19"/>
      <c r="WKJ38" s="19"/>
      <c r="WKK38" s="19"/>
      <c r="WKL38" s="19"/>
      <c r="WKM38" s="19"/>
      <c r="WKN38" s="19"/>
      <c r="WKO38" s="19"/>
      <c r="WKP38" s="19"/>
      <c r="WKQ38" s="19"/>
      <c r="WKR38" s="19"/>
      <c r="WKS38" s="19"/>
      <c r="WKT38" s="19"/>
      <c r="WKU38" s="19"/>
      <c r="WKV38" s="19"/>
      <c r="WKW38" s="19"/>
      <c r="WKX38" s="19"/>
      <c r="WKY38" s="19"/>
      <c r="WKZ38" s="19"/>
      <c r="WLA38" s="19"/>
      <c r="WLB38" s="19"/>
      <c r="WLC38" s="19"/>
      <c r="WLD38" s="19"/>
      <c r="WLE38" s="19"/>
      <c r="WLF38" s="19"/>
      <c r="WLG38" s="19"/>
      <c r="WLH38" s="19"/>
      <c r="WLI38" s="19"/>
      <c r="WLJ38" s="19"/>
      <c r="WLK38" s="19"/>
      <c r="WLL38" s="19"/>
      <c r="WLM38" s="19"/>
      <c r="WLN38" s="19"/>
      <c r="WLO38" s="19"/>
      <c r="WLP38" s="19"/>
      <c r="WLQ38" s="19"/>
      <c r="WLR38" s="19"/>
      <c r="WLS38" s="19"/>
      <c r="WLT38" s="19"/>
      <c r="WLU38" s="19"/>
      <c r="WLV38" s="19"/>
      <c r="WLW38" s="19"/>
      <c r="WLX38" s="19"/>
      <c r="WLY38" s="19"/>
      <c r="WLZ38" s="19"/>
      <c r="WMA38" s="19"/>
      <c r="WMB38" s="19"/>
      <c r="WMC38" s="19"/>
      <c r="WMD38" s="19"/>
      <c r="WME38" s="19"/>
      <c r="WMF38" s="19"/>
      <c r="WMG38" s="19"/>
      <c r="WMH38" s="19"/>
      <c r="WMI38" s="19"/>
      <c r="WMJ38" s="19"/>
      <c r="WMK38" s="19"/>
      <c r="WML38" s="19"/>
      <c r="WMM38" s="19"/>
      <c r="WMN38" s="19"/>
      <c r="WMO38" s="19"/>
      <c r="WMP38" s="19"/>
      <c r="WMQ38" s="19"/>
      <c r="WMR38" s="19"/>
      <c r="WMS38" s="19"/>
      <c r="WMT38" s="19"/>
      <c r="WMU38" s="19"/>
      <c r="WMV38" s="19"/>
      <c r="WMW38" s="19"/>
      <c r="WMX38" s="19"/>
      <c r="WMY38" s="19"/>
      <c r="WMZ38" s="19"/>
      <c r="WNA38" s="19"/>
      <c r="WNB38" s="19"/>
      <c r="WNC38" s="19"/>
      <c r="WND38" s="19"/>
      <c r="WNE38" s="19"/>
      <c r="WNF38" s="19"/>
      <c r="WNG38" s="19"/>
      <c r="WNH38" s="19"/>
      <c r="WNI38" s="19"/>
      <c r="WNJ38" s="19"/>
      <c r="WNK38" s="19"/>
      <c r="WNL38" s="19"/>
      <c r="WNM38" s="19"/>
      <c r="WNN38" s="19"/>
      <c r="WNO38" s="19"/>
      <c r="WNP38" s="19"/>
      <c r="WNQ38" s="19"/>
      <c r="WNR38" s="19"/>
      <c r="WNS38" s="19"/>
      <c r="WNT38" s="19"/>
      <c r="WNU38" s="19"/>
      <c r="WNV38" s="19"/>
      <c r="WNW38" s="19"/>
      <c r="WNX38" s="19"/>
      <c r="WNY38" s="19"/>
      <c r="WNZ38" s="19"/>
      <c r="WOA38" s="19"/>
      <c r="WOB38" s="19"/>
      <c r="WOC38" s="19"/>
      <c r="WOD38" s="19"/>
      <c r="WOE38" s="19"/>
      <c r="WOF38" s="19"/>
      <c r="WOG38" s="19"/>
      <c r="WOH38" s="19"/>
      <c r="WOI38" s="19"/>
      <c r="WOJ38" s="19"/>
      <c r="WOK38" s="19"/>
      <c r="WOL38" s="19"/>
      <c r="WOM38" s="19"/>
      <c r="WON38" s="19"/>
      <c r="WOO38" s="19"/>
      <c r="WOP38" s="19"/>
      <c r="WOQ38" s="19"/>
      <c r="WOR38" s="19"/>
      <c r="WOS38" s="19"/>
      <c r="WOT38" s="19"/>
      <c r="WOU38" s="19"/>
      <c r="WOV38" s="19"/>
      <c r="WOW38" s="19"/>
      <c r="WOX38" s="19"/>
      <c r="WOY38" s="19"/>
      <c r="WOZ38" s="19"/>
      <c r="WPA38" s="19"/>
      <c r="WPB38" s="19"/>
      <c r="WPC38" s="19"/>
      <c r="WPD38" s="19"/>
      <c r="WPE38" s="19"/>
      <c r="WPF38" s="19"/>
      <c r="WPG38" s="19"/>
      <c r="WPH38" s="19"/>
      <c r="WPI38" s="19"/>
      <c r="WPJ38" s="19"/>
      <c r="WPK38" s="19"/>
      <c r="WPL38" s="19"/>
      <c r="WPM38" s="19"/>
      <c r="WPN38" s="19"/>
      <c r="WPO38" s="19"/>
      <c r="WPP38" s="19"/>
      <c r="WPQ38" s="19"/>
      <c r="WPR38" s="19"/>
      <c r="WPS38" s="19"/>
      <c r="WPT38" s="19"/>
      <c r="WPU38" s="19"/>
      <c r="WPV38" s="19"/>
      <c r="WPW38" s="19"/>
      <c r="WPX38" s="19"/>
      <c r="WPY38" s="19"/>
      <c r="WPZ38" s="19"/>
      <c r="WQA38" s="19"/>
      <c r="WQB38" s="19"/>
      <c r="WQC38" s="19"/>
      <c r="WQD38" s="19"/>
      <c r="WQE38" s="19"/>
      <c r="WQF38" s="19"/>
      <c r="WQG38" s="19"/>
      <c r="WQH38" s="19"/>
      <c r="WQI38" s="19"/>
      <c r="WQJ38" s="19"/>
      <c r="WQK38" s="19"/>
      <c r="WQL38" s="19"/>
      <c r="WQM38" s="19"/>
      <c r="WQN38" s="19"/>
      <c r="WQO38" s="19"/>
      <c r="WQP38" s="19"/>
      <c r="WQQ38" s="19"/>
      <c r="WQR38" s="19"/>
      <c r="WQS38" s="19"/>
      <c r="WQT38" s="19"/>
      <c r="WQU38" s="19"/>
      <c r="WQV38" s="19"/>
      <c r="WQW38" s="19"/>
      <c r="WQX38" s="19"/>
      <c r="WQY38" s="19"/>
      <c r="WQZ38" s="19"/>
      <c r="WRA38" s="19"/>
      <c r="WRB38" s="19"/>
      <c r="WRC38" s="19"/>
      <c r="WRD38" s="19"/>
      <c r="WRE38" s="19"/>
      <c r="WRF38" s="19"/>
      <c r="WRG38" s="19"/>
      <c r="WRH38" s="19"/>
      <c r="WRI38" s="19"/>
      <c r="WRJ38" s="19"/>
      <c r="WRK38" s="19"/>
      <c r="WRL38" s="19"/>
      <c r="WRM38" s="19"/>
      <c r="WRN38" s="19"/>
      <c r="WRO38" s="19"/>
      <c r="WRP38" s="19"/>
      <c r="WRQ38" s="19"/>
      <c r="WRR38" s="19"/>
      <c r="WRS38" s="19"/>
      <c r="WRT38" s="19"/>
      <c r="WRU38" s="19"/>
      <c r="WRV38" s="19"/>
      <c r="WRW38" s="19"/>
      <c r="WRX38" s="19"/>
      <c r="WRY38" s="19"/>
      <c r="WRZ38" s="19"/>
      <c r="WSA38" s="19"/>
      <c r="WSB38" s="19"/>
      <c r="WSC38" s="19"/>
      <c r="WSD38" s="19"/>
      <c r="WSE38" s="19"/>
      <c r="WSF38" s="19"/>
      <c r="WSG38" s="19"/>
      <c r="WSH38" s="19"/>
      <c r="WSI38" s="19"/>
      <c r="WSJ38" s="19"/>
      <c r="WSK38" s="19"/>
      <c r="WSL38" s="19"/>
      <c r="WSM38" s="19"/>
      <c r="WSN38" s="19"/>
      <c r="WSO38" s="19"/>
      <c r="WSP38" s="19"/>
      <c r="WSQ38" s="19"/>
      <c r="WSR38" s="19"/>
      <c r="WSS38" s="19"/>
      <c r="WST38" s="19"/>
      <c r="WSU38" s="19"/>
      <c r="WSV38" s="19"/>
      <c r="WSW38" s="19"/>
      <c r="WSX38" s="19"/>
      <c r="WSY38" s="19"/>
      <c r="WSZ38" s="19"/>
      <c r="WTA38" s="19"/>
      <c r="WTB38" s="19"/>
      <c r="WTC38" s="19"/>
      <c r="WTD38" s="19"/>
      <c r="WTE38" s="19"/>
      <c r="WTF38" s="19"/>
      <c r="WTG38" s="19"/>
      <c r="WTH38" s="19"/>
      <c r="WTI38" s="19"/>
      <c r="WTJ38" s="19"/>
      <c r="WTK38" s="19"/>
      <c r="WTL38" s="19"/>
      <c r="WTM38" s="19"/>
      <c r="WTN38" s="19"/>
      <c r="WTO38" s="19"/>
      <c r="WTP38" s="19"/>
      <c r="WTQ38" s="19"/>
      <c r="WTR38" s="19"/>
      <c r="WTS38" s="19"/>
      <c r="WTT38" s="19"/>
      <c r="WTU38" s="19"/>
      <c r="WTV38" s="19"/>
      <c r="WTW38" s="19"/>
      <c r="WTX38" s="19"/>
      <c r="WTY38" s="19"/>
      <c r="WTZ38" s="19"/>
      <c r="WUA38" s="19"/>
      <c r="WUB38" s="19"/>
      <c r="WUC38" s="19"/>
      <c r="WUD38" s="19"/>
      <c r="WUE38" s="19"/>
      <c r="WUF38" s="19"/>
      <c r="WUG38" s="19"/>
      <c r="WUH38" s="19"/>
      <c r="WUI38" s="19"/>
      <c r="WUJ38" s="19"/>
      <c r="WUK38" s="19"/>
      <c r="WUL38" s="19"/>
      <c r="WUM38" s="19"/>
      <c r="WUN38" s="19"/>
      <c r="WUO38" s="19"/>
      <c r="WUP38" s="19"/>
      <c r="WUQ38" s="19"/>
      <c r="WUR38" s="19"/>
      <c r="WUS38" s="19"/>
      <c r="WUT38" s="19"/>
      <c r="WUU38" s="19"/>
      <c r="WUV38" s="19"/>
      <c r="WUW38" s="19"/>
      <c r="WUX38" s="19"/>
      <c r="WUY38" s="19"/>
      <c r="WUZ38" s="19"/>
      <c r="WVA38" s="19"/>
      <c r="WVB38" s="19"/>
      <c r="WVC38" s="19"/>
      <c r="WVD38" s="19"/>
      <c r="WVE38" s="19"/>
      <c r="WVF38" s="19"/>
      <c r="WVG38" s="19"/>
      <c r="WVH38" s="19"/>
      <c r="WVI38" s="19"/>
      <c r="WVJ38" s="19"/>
      <c r="WVK38" s="19"/>
      <c r="WVL38" s="19"/>
      <c r="WVM38" s="19"/>
      <c r="WVN38" s="19"/>
      <c r="WVO38" s="19"/>
      <c r="WVP38" s="19"/>
      <c r="WVQ38" s="19"/>
      <c r="WVR38" s="19"/>
      <c r="WVS38" s="19"/>
      <c r="WVT38" s="19"/>
      <c r="WVU38" s="19"/>
      <c r="WVV38" s="19"/>
      <c r="WVW38" s="19"/>
      <c r="WVX38" s="19"/>
      <c r="WVY38" s="19"/>
      <c r="WVZ38" s="19"/>
      <c r="WWA38" s="19"/>
      <c r="WWB38" s="19"/>
      <c r="WWC38" s="19"/>
      <c r="WWD38" s="19"/>
      <c r="WWE38" s="19"/>
      <c r="WWF38" s="19"/>
      <c r="WWG38" s="19"/>
      <c r="WWH38" s="19"/>
      <c r="WWI38" s="19"/>
      <c r="WWJ38" s="19"/>
      <c r="WWK38" s="19"/>
      <c r="WWL38" s="19"/>
      <c r="WWM38" s="19"/>
      <c r="WWN38" s="19"/>
      <c r="WWO38" s="19"/>
      <c r="WWP38" s="19"/>
      <c r="WWQ38" s="19"/>
      <c r="WWR38" s="19"/>
      <c r="WWS38" s="19"/>
      <c r="WWT38" s="19"/>
      <c r="WWU38" s="19"/>
      <c r="WWV38" s="19"/>
      <c r="WWW38" s="19"/>
      <c r="WWX38" s="19"/>
      <c r="WWY38" s="19"/>
      <c r="WWZ38" s="19"/>
      <c r="WXA38" s="19"/>
      <c r="WXB38" s="19"/>
      <c r="WXC38" s="19"/>
      <c r="WXD38" s="19"/>
      <c r="WXE38" s="19"/>
      <c r="WXF38" s="19"/>
      <c r="WXG38" s="19"/>
      <c r="WXH38" s="19"/>
      <c r="WXI38" s="19"/>
      <c r="WXJ38" s="19"/>
      <c r="WXK38" s="19"/>
      <c r="WXL38" s="19"/>
      <c r="WXM38" s="19"/>
      <c r="WXN38" s="19"/>
      <c r="WXO38" s="19"/>
      <c r="WXP38" s="19"/>
      <c r="WXQ38" s="19"/>
      <c r="WXR38" s="19"/>
      <c r="WXS38" s="19"/>
      <c r="WXT38" s="19"/>
      <c r="WXU38" s="19"/>
      <c r="WXV38" s="19"/>
      <c r="WXW38" s="19"/>
      <c r="WXX38" s="19"/>
      <c r="WXY38" s="19"/>
      <c r="WXZ38" s="19"/>
      <c r="WYA38" s="19"/>
      <c r="WYB38" s="19"/>
      <c r="WYC38" s="19"/>
      <c r="WYD38" s="19"/>
      <c r="WYE38" s="19"/>
      <c r="WYF38" s="19"/>
      <c r="WYG38" s="19"/>
      <c r="WYH38" s="19"/>
      <c r="WYI38" s="19"/>
      <c r="WYJ38" s="19"/>
      <c r="WYK38" s="19"/>
      <c r="WYL38" s="19"/>
      <c r="WYM38" s="19"/>
      <c r="WYN38" s="19"/>
      <c r="WYO38" s="19"/>
      <c r="WYP38" s="19"/>
      <c r="WYQ38" s="19"/>
      <c r="WYR38" s="19"/>
      <c r="WYS38" s="19"/>
      <c r="WYT38" s="19"/>
      <c r="WYU38" s="19"/>
      <c r="WYV38" s="19"/>
      <c r="WYW38" s="19"/>
      <c r="WYX38" s="19"/>
      <c r="WYY38" s="19"/>
      <c r="WYZ38" s="19"/>
      <c r="WZA38" s="19"/>
      <c r="WZB38" s="19"/>
      <c r="WZC38" s="19"/>
      <c r="WZD38" s="19"/>
      <c r="WZE38" s="19"/>
      <c r="WZF38" s="19"/>
      <c r="WZG38" s="19"/>
      <c r="WZH38" s="19"/>
      <c r="WZI38" s="19"/>
      <c r="WZJ38" s="19"/>
      <c r="WZK38" s="19"/>
      <c r="WZL38" s="19"/>
      <c r="WZM38" s="19"/>
      <c r="WZN38" s="19"/>
      <c r="WZO38" s="19"/>
      <c r="WZP38" s="19"/>
      <c r="WZQ38" s="19"/>
      <c r="WZR38" s="19"/>
      <c r="WZS38" s="19"/>
      <c r="WZT38" s="19"/>
      <c r="WZU38" s="19"/>
      <c r="WZV38" s="19"/>
      <c r="WZW38" s="19"/>
      <c r="WZX38" s="19"/>
      <c r="WZY38" s="19"/>
      <c r="WZZ38" s="19"/>
      <c r="XAA38" s="19"/>
      <c r="XAB38" s="19"/>
      <c r="XAC38" s="19"/>
      <c r="XAD38" s="19"/>
      <c r="XAE38" s="19"/>
      <c r="XAF38" s="19"/>
      <c r="XAG38" s="19"/>
      <c r="XAH38" s="19"/>
      <c r="XAI38" s="19"/>
      <c r="XAJ38" s="19"/>
      <c r="XAK38" s="19"/>
      <c r="XAL38" s="19"/>
      <c r="XAM38" s="19"/>
      <c r="XAN38" s="19"/>
      <c r="XAO38" s="19"/>
      <c r="XAP38" s="19"/>
      <c r="XAQ38" s="19"/>
      <c r="XAR38" s="19"/>
      <c r="XAS38" s="19"/>
      <c r="XAT38" s="19"/>
      <c r="XAU38" s="19"/>
      <c r="XAV38" s="19"/>
      <c r="XAW38" s="19"/>
      <c r="XAX38" s="19"/>
      <c r="XAY38" s="19"/>
      <c r="XAZ38" s="19"/>
      <c r="XBA38" s="19"/>
      <c r="XBB38" s="19"/>
      <c r="XBC38" s="19"/>
      <c r="XBD38" s="19"/>
      <c r="XBE38" s="19"/>
      <c r="XBF38" s="19"/>
      <c r="XBG38" s="19"/>
      <c r="XBH38" s="19"/>
      <c r="XBI38" s="19"/>
      <c r="XBJ38" s="19"/>
      <c r="XBK38" s="19"/>
      <c r="XBL38" s="19"/>
      <c r="XBM38" s="19"/>
      <c r="XBN38" s="19"/>
      <c r="XBO38" s="19"/>
      <c r="XBP38" s="19"/>
      <c r="XBQ38" s="19"/>
      <c r="XBR38" s="19"/>
      <c r="XBS38" s="19"/>
      <c r="XBT38" s="19"/>
      <c r="XBU38" s="19"/>
      <c r="XBV38" s="19"/>
      <c r="XBW38" s="19"/>
      <c r="XBX38" s="19"/>
      <c r="XBY38" s="19"/>
      <c r="XBZ38" s="19"/>
      <c r="XCA38" s="19"/>
      <c r="XCB38" s="19"/>
      <c r="XCC38" s="19"/>
      <c r="XCD38" s="19"/>
      <c r="XCE38" s="19"/>
      <c r="XCF38" s="19"/>
      <c r="XCG38" s="19"/>
      <c r="XCH38" s="19"/>
      <c r="XCI38" s="19"/>
      <c r="XCJ38" s="19"/>
      <c r="XCK38" s="19"/>
      <c r="XCL38" s="19"/>
      <c r="XCM38" s="19"/>
      <c r="XCN38" s="19"/>
      <c r="XCO38" s="19"/>
      <c r="XCP38" s="19"/>
      <c r="XCQ38" s="19"/>
      <c r="XCR38" s="19"/>
      <c r="XCS38" s="19"/>
      <c r="XCT38" s="19"/>
      <c r="XCU38" s="19"/>
      <c r="XCV38" s="19"/>
      <c r="XCW38" s="19"/>
      <c r="XCX38" s="19"/>
      <c r="XCY38" s="19"/>
      <c r="XCZ38" s="19"/>
      <c r="XDA38" s="19"/>
      <c r="XDB38" s="19"/>
      <c r="XDC38" s="19"/>
      <c r="XDD38" s="19"/>
      <c r="XDE38" s="19"/>
      <c r="XDF38" s="19"/>
      <c r="XDG38" s="19"/>
      <c r="XDH38" s="19"/>
      <c r="XDI38" s="19"/>
      <c r="XDJ38" s="19"/>
      <c r="XDK38" s="19"/>
      <c r="XDL38" s="19"/>
      <c r="XDM38" s="19"/>
      <c r="XDN38" s="19"/>
      <c r="XDO38" s="19"/>
      <c r="XDP38" s="19"/>
      <c r="XDQ38" s="19"/>
      <c r="XDR38" s="19"/>
      <c r="XDS38" s="19"/>
      <c r="XDT38" s="19"/>
      <c r="XDU38" s="19"/>
      <c r="XDV38" s="19"/>
      <c r="XDW38" s="19"/>
      <c r="XDX38" s="19"/>
      <c r="XDY38" s="19"/>
      <c r="XDZ38" s="19"/>
      <c r="XEA38" s="19"/>
      <c r="XEB38" s="19"/>
      <c r="XEC38" s="19"/>
      <c r="XED38" s="19"/>
      <c r="XEE38" s="19"/>
      <c r="XEF38" s="19"/>
      <c r="XEG38" s="19"/>
      <c r="XEH38" s="19"/>
      <c r="XEI38" s="19"/>
      <c r="XEJ38" s="19"/>
      <c r="XEK38" s="19"/>
      <c r="XEL38" s="19"/>
      <c r="XEM38" s="19"/>
      <c r="XEN38" s="19"/>
      <c r="XEO38" s="19"/>
      <c r="XEP38" s="19"/>
      <c r="XEQ38" s="19"/>
      <c r="XER38" s="19"/>
      <c r="XES38" s="19"/>
      <c r="XET38" s="19"/>
      <c r="XEU38" s="19"/>
      <c r="XEV38" s="19"/>
      <c r="XEW38" s="19"/>
      <c r="XEX38" s="19"/>
      <c r="XEY38" s="19"/>
      <c r="XEZ38" s="19"/>
      <c r="XFA38" s="19"/>
      <c r="XFB38" s="19"/>
    </row>
    <row r="39" spans="1:16382" s="18" customFormat="1" ht="15" customHeight="1" x14ac:dyDescent="0.25">
      <c r="B39" s="233"/>
      <c r="D39" s="175" t="s">
        <v>6</v>
      </c>
      <c r="E39" s="179">
        <f>'Mês atual'!J1012/CMV!E28</f>
        <v>0.50953333333333339</v>
      </c>
      <c r="F39" s="179"/>
      <c r="G39" s="179"/>
      <c r="H39" s="179"/>
      <c r="I39" s="17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9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  <c r="LR39" s="19"/>
      <c r="LS39" s="19"/>
      <c r="LT39" s="19"/>
      <c r="LU39" s="19"/>
      <c r="LV39" s="19"/>
      <c r="LW39" s="19"/>
      <c r="LX39" s="19"/>
      <c r="LY39" s="19"/>
      <c r="LZ39" s="19"/>
      <c r="MA39" s="19"/>
      <c r="MB39" s="19"/>
      <c r="MC39" s="19"/>
      <c r="MD39" s="19"/>
      <c r="ME39" s="19"/>
      <c r="MF39" s="19"/>
      <c r="MG39" s="19"/>
      <c r="MH39" s="19"/>
      <c r="MI39" s="19"/>
      <c r="MJ39" s="19"/>
      <c r="MK39" s="19"/>
      <c r="ML39" s="19"/>
      <c r="MM39" s="19"/>
      <c r="MN39" s="19"/>
      <c r="MO39" s="19"/>
      <c r="MP39" s="19"/>
      <c r="MQ39" s="19"/>
      <c r="MR39" s="19"/>
      <c r="MS39" s="19"/>
      <c r="MT39" s="19"/>
      <c r="MU39" s="19"/>
      <c r="MV39" s="19"/>
      <c r="MW39" s="19"/>
      <c r="MX39" s="19"/>
      <c r="MY39" s="19"/>
      <c r="MZ39" s="19"/>
      <c r="NA39" s="19"/>
      <c r="NB39" s="19"/>
      <c r="NC39" s="19"/>
      <c r="ND39" s="19"/>
      <c r="NE39" s="19"/>
      <c r="NF39" s="19"/>
      <c r="NG39" s="19"/>
      <c r="NH39" s="19"/>
      <c r="NI39" s="19"/>
      <c r="NJ39" s="19"/>
      <c r="NK39" s="19"/>
      <c r="NL39" s="19"/>
      <c r="NM39" s="19"/>
      <c r="NN39" s="19"/>
      <c r="NO39" s="19"/>
      <c r="NP39" s="19"/>
      <c r="NQ39" s="19"/>
      <c r="NR39" s="19"/>
      <c r="NS39" s="19"/>
      <c r="NT39" s="19"/>
      <c r="NU39" s="19"/>
      <c r="NV39" s="19"/>
      <c r="NW39" s="19"/>
      <c r="NX39" s="19"/>
      <c r="NY39" s="19"/>
      <c r="NZ39" s="19"/>
      <c r="OA39" s="19"/>
      <c r="OB39" s="19"/>
      <c r="OC39" s="19"/>
      <c r="OD39" s="19"/>
      <c r="OE39" s="19"/>
      <c r="OF39" s="19"/>
      <c r="OG39" s="19"/>
      <c r="OH39" s="19"/>
      <c r="OI39" s="19"/>
      <c r="OJ39" s="19"/>
      <c r="OK39" s="19"/>
      <c r="OL39" s="19"/>
      <c r="OM39" s="19"/>
      <c r="ON39" s="19"/>
      <c r="OO39" s="19"/>
      <c r="OP39" s="19"/>
      <c r="OQ39" s="19"/>
      <c r="OR39" s="19"/>
      <c r="OS39" s="19"/>
      <c r="OT39" s="19"/>
      <c r="OU39" s="19"/>
      <c r="OV39" s="19"/>
      <c r="OW39" s="19"/>
      <c r="OX39" s="19"/>
      <c r="OY39" s="19"/>
      <c r="OZ39" s="19"/>
      <c r="PA39" s="19"/>
      <c r="PB39" s="19"/>
      <c r="PC39" s="19"/>
      <c r="PD39" s="19"/>
      <c r="PE39" s="19"/>
      <c r="PF39" s="19"/>
      <c r="PG39" s="19"/>
      <c r="PH39" s="19"/>
      <c r="PI39" s="19"/>
      <c r="PJ39" s="19"/>
      <c r="PK39" s="19"/>
      <c r="PL39" s="19"/>
      <c r="PM39" s="19"/>
      <c r="PN39" s="19"/>
      <c r="PO39" s="19"/>
      <c r="PP39" s="19"/>
      <c r="PQ39" s="19"/>
      <c r="PR39" s="19"/>
      <c r="PS39" s="19"/>
      <c r="PT39" s="19"/>
      <c r="PU39" s="19"/>
      <c r="PV39" s="19"/>
      <c r="PW39" s="19"/>
      <c r="PX39" s="19"/>
      <c r="PY39" s="19"/>
      <c r="PZ39" s="19"/>
      <c r="QA39" s="19"/>
      <c r="QB39" s="19"/>
      <c r="QC39" s="19"/>
      <c r="QD39" s="19"/>
      <c r="QE39" s="19"/>
      <c r="QF39" s="19"/>
      <c r="QG39" s="19"/>
      <c r="QH39" s="19"/>
      <c r="QI39" s="19"/>
      <c r="QJ39" s="19"/>
      <c r="QK39" s="19"/>
      <c r="QL39" s="19"/>
      <c r="QM39" s="19"/>
      <c r="QN39" s="19"/>
      <c r="QO39" s="19"/>
      <c r="QP39" s="19"/>
      <c r="QQ39" s="19"/>
      <c r="QR39" s="19"/>
      <c r="QS39" s="19"/>
      <c r="QT39" s="19"/>
      <c r="QU39" s="19"/>
      <c r="QV39" s="19"/>
      <c r="QW39" s="19"/>
      <c r="QX39" s="19"/>
      <c r="QY39" s="19"/>
      <c r="QZ39" s="19"/>
      <c r="RA39" s="19"/>
      <c r="RB39" s="19"/>
      <c r="RC39" s="19"/>
      <c r="RD39" s="19"/>
      <c r="RE39" s="19"/>
      <c r="RF39" s="19"/>
      <c r="RG39" s="19"/>
      <c r="RH39" s="19"/>
      <c r="RI39" s="19"/>
      <c r="RJ39" s="19"/>
      <c r="RK39" s="19"/>
      <c r="RL39" s="19"/>
      <c r="RM39" s="19"/>
      <c r="RN39" s="19"/>
      <c r="RO39" s="19"/>
      <c r="RP39" s="19"/>
      <c r="RQ39" s="19"/>
      <c r="RR39" s="19"/>
      <c r="RS39" s="19"/>
      <c r="RT39" s="19"/>
      <c r="RU39" s="19"/>
      <c r="RV39" s="19"/>
      <c r="RW39" s="19"/>
      <c r="RX39" s="19"/>
      <c r="RY39" s="19"/>
      <c r="RZ39" s="19"/>
      <c r="SA39" s="19"/>
      <c r="SB39" s="19"/>
      <c r="SC39" s="19"/>
      <c r="SD39" s="19"/>
      <c r="SE39" s="19"/>
      <c r="SF39" s="19"/>
      <c r="SG39" s="19"/>
      <c r="SH39" s="19"/>
      <c r="SI39" s="19"/>
      <c r="SJ39" s="19"/>
      <c r="SK39" s="19"/>
      <c r="SL39" s="19"/>
      <c r="SM39" s="19"/>
      <c r="SN39" s="19"/>
      <c r="SO39" s="19"/>
      <c r="SP39" s="19"/>
      <c r="SQ39" s="19"/>
      <c r="SR39" s="19"/>
      <c r="SS39" s="19"/>
      <c r="ST39" s="19"/>
      <c r="SU39" s="19"/>
      <c r="SV39" s="19"/>
      <c r="SW39" s="19"/>
      <c r="SX39" s="19"/>
      <c r="SY39" s="19"/>
      <c r="SZ39" s="19"/>
      <c r="TA39" s="19"/>
      <c r="TB39" s="19"/>
      <c r="TC39" s="19"/>
      <c r="TD39" s="19"/>
      <c r="TE39" s="19"/>
      <c r="TF39" s="19"/>
      <c r="TG39" s="19"/>
      <c r="TH39" s="19"/>
      <c r="TI39" s="19"/>
      <c r="TJ39" s="19"/>
      <c r="TK39" s="19"/>
      <c r="TL39" s="19"/>
      <c r="TM39" s="19"/>
      <c r="TN39" s="19"/>
      <c r="TO39" s="19"/>
      <c r="TP39" s="19"/>
      <c r="TQ39" s="19"/>
      <c r="TR39" s="19"/>
      <c r="TS39" s="19"/>
      <c r="TT39" s="19"/>
      <c r="TU39" s="19"/>
      <c r="TV39" s="19"/>
      <c r="TW39" s="19"/>
      <c r="TX39" s="19"/>
      <c r="TY39" s="19"/>
      <c r="TZ39" s="19"/>
      <c r="UA39" s="19"/>
      <c r="UB39" s="19"/>
      <c r="UC39" s="19"/>
      <c r="UD39" s="19"/>
      <c r="UE39" s="19"/>
      <c r="UF39" s="19"/>
      <c r="UG39" s="19"/>
      <c r="UH39" s="19"/>
      <c r="UI39" s="19"/>
      <c r="UJ39" s="19"/>
      <c r="UK39" s="19"/>
      <c r="UL39" s="19"/>
      <c r="UM39" s="19"/>
      <c r="UN39" s="19"/>
      <c r="UO39" s="19"/>
      <c r="UP39" s="19"/>
      <c r="UQ39" s="19"/>
      <c r="UR39" s="19"/>
      <c r="US39" s="19"/>
      <c r="UT39" s="19"/>
      <c r="UU39" s="19"/>
      <c r="UV39" s="19"/>
      <c r="UW39" s="19"/>
      <c r="UX39" s="19"/>
      <c r="UY39" s="19"/>
      <c r="UZ39" s="19"/>
      <c r="VA39" s="19"/>
      <c r="VB39" s="19"/>
      <c r="VC39" s="19"/>
      <c r="VD39" s="19"/>
      <c r="VE39" s="19"/>
      <c r="VF39" s="19"/>
      <c r="VG39" s="19"/>
      <c r="VH39" s="19"/>
      <c r="VI39" s="19"/>
      <c r="VJ39" s="19"/>
      <c r="VK39" s="19"/>
      <c r="VL39" s="19"/>
      <c r="VM39" s="19"/>
      <c r="VN39" s="19"/>
      <c r="VO39" s="19"/>
      <c r="VP39" s="19"/>
      <c r="VQ39" s="19"/>
      <c r="VR39" s="19"/>
      <c r="VS39" s="19"/>
      <c r="VT39" s="19"/>
      <c r="VU39" s="19"/>
      <c r="VV39" s="19"/>
      <c r="VW39" s="19"/>
      <c r="VX39" s="19"/>
      <c r="VY39" s="19"/>
      <c r="VZ39" s="19"/>
      <c r="WA39" s="19"/>
      <c r="WB39" s="19"/>
      <c r="WC39" s="19"/>
      <c r="WD39" s="19"/>
      <c r="WE39" s="19"/>
      <c r="WF39" s="19"/>
      <c r="WG39" s="19"/>
      <c r="WH39" s="19"/>
      <c r="WI39" s="19"/>
      <c r="WJ39" s="19"/>
      <c r="WK39" s="19"/>
      <c r="WL39" s="19"/>
      <c r="WM39" s="19"/>
      <c r="WN39" s="19"/>
      <c r="WO39" s="19"/>
      <c r="WP39" s="19"/>
      <c r="WQ39" s="19"/>
      <c r="WR39" s="19"/>
      <c r="WS39" s="19"/>
      <c r="WT39" s="19"/>
      <c r="WU39" s="19"/>
      <c r="WV39" s="19"/>
      <c r="WW39" s="19"/>
      <c r="WX39" s="19"/>
      <c r="WY39" s="19"/>
      <c r="WZ39" s="19"/>
      <c r="XA39" s="19"/>
      <c r="XB39" s="19"/>
      <c r="XC39" s="19"/>
      <c r="XD39" s="19"/>
      <c r="XE39" s="19"/>
      <c r="XF39" s="19"/>
      <c r="XG39" s="19"/>
      <c r="XH39" s="19"/>
      <c r="XI39" s="19"/>
      <c r="XJ39" s="19"/>
      <c r="XK39" s="19"/>
      <c r="XL39" s="19"/>
      <c r="XM39" s="19"/>
      <c r="XN39" s="19"/>
      <c r="XO39" s="19"/>
      <c r="XP39" s="19"/>
      <c r="XQ39" s="19"/>
      <c r="XR39" s="19"/>
      <c r="XS39" s="19"/>
      <c r="XT39" s="19"/>
      <c r="XU39" s="19"/>
      <c r="XV39" s="19"/>
      <c r="XW39" s="19"/>
      <c r="XX39" s="19"/>
      <c r="XY39" s="19"/>
      <c r="XZ39" s="19"/>
      <c r="YA39" s="19"/>
      <c r="YB39" s="19"/>
      <c r="YC39" s="19"/>
      <c r="YD39" s="19"/>
      <c r="YE39" s="19"/>
      <c r="YF39" s="19"/>
      <c r="YG39" s="19"/>
      <c r="YH39" s="19"/>
      <c r="YI39" s="19"/>
      <c r="YJ39" s="19"/>
      <c r="YK39" s="19"/>
      <c r="YL39" s="19"/>
      <c r="YM39" s="19"/>
      <c r="YN39" s="19"/>
      <c r="YO39" s="19"/>
      <c r="YP39" s="19"/>
      <c r="YQ39" s="19"/>
      <c r="YR39" s="19"/>
      <c r="YS39" s="19"/>
      <c r="YT39" s="19"/>
      <c r="YU39" s="19"/>
      <c r="YV39" s="19"/>
      <c r="YW39" s="19"/>
      <c r="YX39" s="19"/>
      <c r="YY39" s="19"/>
      <c r="YZ39" s="19"/>
      <c r="ZA39" s="19"/>
      <c r="ZB39" s="19"/>
      <c r="ZC39" s="19"/>
      <c r="ZD39" s="19"/>
      <c r="ZE39" s="19"/>
      <c r="ZF39" s="19"/>
      <c r="ZG39" s="19"/>
      <c r="ZH39" s="19"/>
      <c r="ZI39" s="19"/>
      <c r="ZJ39" s="19"/>
      <c r="ZK39" s="19"/>
      <c r="ZL39" s="19"/>
      <c r="ZM39" s="19"/>
      <c r="ZN39" s="19"/>
      <c r="ZO39" s="19"/>
      <c r="ZP39" s="19"/>
      <c r="ZQ39" s="19"/>
      <c r="ZR39" s="19"/>
      <c r="ZS39" s="19"/>
      <c r="ZT39" s="19"/>
      <c r="ZU39" s="19"/>
      <c r="ZV39" s="19"/>
      <c r="ZW39" s="19"/>
      <c r="ZX39" s="19"/>
      <c r="ZY39" s="19"/>
      <c r="ZZ39" s="19"/>
      <c r="AAA39" s="19"/>
      <c r="AAB39" s="19"/>
      <c r="AAC39" s="19"/>
      <c r="AAD39" s="19"/>
      <c r="AAE39" s="19"/>
      <c r="AAF39" s="19"/>
      <c r="AAG39" s="19"/>
      <c r="AAH39" s="19"/>
      <c r="AAI39" s="19"/>
      <c r="AAJ39" s="19"/>
      <c r="AAK39" s="19"/>
      <c r="AAL39" s="19"/>
      <c r="AAM39" s="19"/>
      <c r="AAN39" s="19"/>
      <c r="AAO39" s="19"/>
      <c r="AAP39" s="19"/>
      <c r="AAQ39" s="19"/>
      <c r="AAR39" s="19"/>
      <c r="AAS39" s="19"/>
      <c r="AAT39" s="19"/>
      <c r="AAU39" s="19"/>
      <c r="AAV39" s="19"/>
      <c r="AAW39" s="19"/>
      <c r="AAX39" s="19"/>
      <c r="AAY39" s="19"/>
      <c r="AAZ39" s="19"/>
      <c r="ABA39" s="19"/>
      <c r="ABB39" s="19"/>
      <c r="ABC39" s="19"/>
      <c r="ABD39" s="19"/>
      <c r="ABE39" s="19"/>
      <c r="ABF39" s="19"/>
      <c r="ABG39" s="19"/>
      <c r="ABH39" s="19"/>
      <c r="ABI39" s="19"/>
      <c r="ABJ39" s="19"/>
      <c r="ABK39" s="19"/>
      <c r="ABL39" s="19"/>
      <c r="ABM39" s="19"/>
      <c r="ABN39" s="19"/>
      <c r="ABO39" s="19"/>
      <c r="ABP39" s="19"/>
      <c r="ABQ39" s="19"/>
      <c r="ABR39" s="19"/>
      <c r="ABS39" s="19"/>
      <c r="ABT39" s="19"/>
      <c r="ABU39" s="19"/>
      <c r="ABV39" s="19"/>
      <c r="ABW39" s="19"/>
      <c r="ABX39" s="19"/>
      <c r="ABY39" s="19"/>
      <c r="ABZ39" s="19"/>
      <c r="ACA39" s="19"/>
      <c r="ACB39" s="19"/>
      <c r="ACC39" s="19"/>
      <c r="ACD39" s="19"/>
      <c r="ACE39" s="19"/>
      <c r="ACF39" s="19"/>
      <c r="ACG39" s="19"/>
      <c r="ACH39" s="19"/>
      <c r="ACI39" s="19"/>
      <c r="ACJ39" s="19"/>
      <c r="ACK39" s="19"/>
      <c r="ACL39" s="19"/>
      <c r="ACM39" s="19"/>
      <c r="ACN39" s="19"/>
      <c r="ACO39" s="19"/>
      <c r="ACP39" s="19"/>
      <c r="ACQ39" s="19"/>
      <c r="ACR39" s="19"/>
      <c r="ACS39" s="19"/>
      <c r="ACT39" s="19"/>
      <c r="ACU39" s="19"/>
      <c r="ACV39" s="19"/>
      <c r="ACW39" s="19"/>
      <c r="ACX39" s="19"/>
      <c r="ACY39" s="19"/>
      <c r="ACZ39" s="19"/>
      <c r="ADA39" s="19"/>
      <c r="ADB39" s="19"/>
      <c r="ADC39" s="19"/>
      <c r="ADD39" s="19"/>
      <c r="ADE39" s="19"/>
      <c r="ADF39" s="19"/>
      <c r="ADG39" s="19"/>
      <c r="ADH39" s="19"/>
      <c r="ADI39" s="19"/>
      <c r="ADJ39" s="19"/>
      <c r="ADK39" s="19"/>
      <c r="ADL39" s="19"/>
      <c r="ADM39" s="19"/>
      <c r="ADN39" s="19"/>
      <c r="ADO39" s="19"/>
      <c r="ADP39" s="19"/>
      <c r="ADQ39" s="19"/>
      <c r="ADR39" s="19"/>
      <c r="ADS39" s="19"/>
      <c r="ADT39" s="19"/>
      <c r="ADU39" s="19"/>
      <c r="ADV39" s="19"/>
      <c r="ADW39" s="19"/>
      <c r="ADX39" s="19"/>
      <c r="ADY39" s="19"/>
      <c r="ADZ39" s="19"/>
      <c r="AEA39" s="19"/>
      <c r="AEB39" s="19"/>
      <c r="AEC39" s="19"/>
      <c r="AED39" s="19"/>
      <c r="AEE39" s="19"/>
      <c r="AEF39" s="19"/>
      <c r="AEG39" s="19"/>
      <c r="AEH39" s="19"/>
      <c r="AEI39" s="19"/>
      <c r="AEJ39" s="19"/>
      <c r="AEK39" s="19"/>
      <c r="AEL39" s="19"/>
      <c r="AEM39" s="19"/>
      <c r="AEN39" s="19"/>
      <c r="AEO39" s="19"/>
      <c r="AEP39" s="19"/>
      <c r="AEQ39" s="19"/>
      <c r="AER39" s="19"/>
      <c r="AES39" s="19"/>
      <c r="AET39" s="19"/>
      <c r="AEU39" s="19"/>
      <c r="AEV39" s="19"/>
      <c r="AEW39" s="19"/>
      <c r="AEX39" s="19"/>
      <c r="AEY39" s="19"/>
      <c r="AEZ39" s="19"/>
      <c r="AFA39" s="19"/>
      <c r="AFB39" s="19"/>
      <c r="AFC39" s="19"/>
      <c r="AFD39" s="19"/>
      <c r="AFE39" s="19"/>
      <c r="AFF39" s="19"/>
      <c r="AFG39" s="19"/>
      <c r="AFH39" s="19"/>
      <c r="AFI39" s="19"/>
      <c r="AFJ39" s="19"/>
      <c r="AFK39" s="19"/>
      <c r="AFL39" s="19"/>
      <c r="AFM39" s="19"/>
      <c r="AFN39" s="19"/>
      <c r="AFO39" s="19"/>
      <c r="AFP39" s="19"/>
      <c r="AFQ39" s="19"/>
      <c r="AFR39" s="19"/>
      <c r="AFS39" s="19"/>
      <c r="AFT39" s="19"/>
      <c r="AFU39" s="19"/>
      <c r="AFV39" s="19"/>
      <c r="AFW39" s="19"/>
      <c r="AFX39" s="19"/>
      <c r="AFY39" s="19"/>
      <c r="AFZ39" s="19"/>
      <c r="AGA39" s="19"/>
      <c r="AGB39" s="19"/>
      <c r="AGC39" s="19"/>
      <c r="AGD39" s="19"/>
      <c r="AGE39" s="19"/>
      <c r="AGF39" s="19"/>
      <c r="AGG39" s="19"/>
      <c r="AGH39" s="19"/>
      <c r="AGI39" s="19"/>
      <c r="AGJ39" s="19"/>
      <c r="AGK39" s="19"/>
      <c r="AGL39" s="19"/>
      <c r="AGM39" s="19"/>
      <c r="AGN39" s="19"/>
      <c r="AGO39" s="19"/>
      <c r="AGP39" s="19"/>
      <c r="AGQ39" s="19"/>
      <c r="AGR39" s="19"/>
      <c r="AGS39" s="19"/>
      <c r="AGT39" s="19"/>
      <c r="AGU39" s="19"/>
      <c r="AGV39" s="19"/>
      <c r="AGW39" s="19"/>
      <c r="AGX39" s="19"/>
      <c r="AGY39" s="19"/>
      <c r="AGZ39" s="19"/>
      <c r="AHA39" s="19"/>
      <c r="AHB39" s="19"/>
      <c r="AHC39" s="19"/>
      <c r="AHD39" s="19"/>
      <c r="AHE39" s="19"/>
      <c r="AHF39" s="19"/>
      <c r="AHG39" s="19"/>
      <c r="AHH39" s="19"/>
      <c r="AHI39" s="19"/>
      <c r="AHJ39" s="19"/>
      <c r="AHK39" s="19"/>
      <c r="AHL39" s="19"/>
      <c r="AHM39" s="19"/>
      <c r="AHN39" s="19"/>
      <c r="AHO39" s="19"/>
      <c r="AHP39" s="19"/>
      <c r="AHQ39" s="19"/>
      <c r="AHR39" s="19"/>
      <c r="AHS39" s="19"/>
      <c r="AHT39" s="19"/>
      <c r="AHU39" s="19"/>
      <c r="AHV39" s="19"/>
      <c r="AHW39" s="19"/>
      <c r="AHX39" s="19"/>
      <c r="AHY39" s="19"/>
      <c r="AHZ39" s="19"/>
      <c r="AIA39" s="19"/>
      <c r="AIB39" s="19"/>
      <c r="AIC39" s="19"/>
      <c r="AID39" s="19"/>
      <c r="AIE39" s="19"/>
      <c r="AIF39" s="19"/>
      <c r="AIG39" s="19"/>
      <c r="AIH39" s="19"/>
      <c r="AII39" s="19"/>
      <c r="AIJ39" s="19"/>
      <c r="AIK39" s="19"/>
      <c r="AIL39" s="19"/>
      <c r="AIM39" s="19"/>
      <c r="AIN39" s="19"/>
      <c r="AIO39" s="19"/>
      <c r="AIP39" s="19"/>
      <c r="AIQ39" s="19"/>
      <c r="AIR39" s="19"/>
      <c r="AIS39" s="19"/>
      <c r="AIT39" s="19"/>
      <c r="AIU39" s="19"/>
      <c r="AIV39" s="19"/>
      <c r="AIW39" s="19"/>
      <c r="AIX39" s="19"/>
      <c r="AIY39" s="19"/>
      <c r="AIZ39" s="19"/>
      <c r="AJA39" s="19"/>
      <c r="AJB39" s="19"/>
      <c r="AJC39" s="19"/>
      <c r="AJD39" s="19"/>
      <c r="AJE39" s="19"/>
      <c r="AJF39" s="19"/>
      <c r="AJG39" s="19"/>
      <c r="AJH39" s="19"/>
      <c r="AJI39" s="19"/>
      <c r="AJJ39" s="19"/>
      <c r="AJK39" s="19"/>
      <c r="AJL39" s="19"/>
      <c r="AJM39" s="19"/>
      <c r="AJN39" s="19"/>
      <c r="AJO39" s="19"/>
      <c r="AJP39" s="19"/>
      <c r="AJQ39" s="19"/>
      <c r="AJR39" s="19"/>
      <c r="AJS39" s="19"/>
      <c r="AJT39" s="19"/>
      <c r="AJU39" s="19"/>
      <c r="AJV39" s="19"/>
      <c r="AJW39" s="19"/>
      <c r="AJX39" s="19"/>
      <c r="AJY39" s="19"/>
      <c r="AJZ39" s="19"/>
      <c r="AKA39" s="19"/>
      <c r="AKB39" s="19"/>
      <c r="AKC39" s="19"/>
      <c r="AKD39" s="19"/>
      <c r="AKE39" s="19"/>
      <c r="AKF39" s="19"/>
      <c r="AKG39" s="19"/>
      <c r="AKH39" s="19"/>
      <c r="AKI39" s="19"/>
      <c r="AKJ39" s="19"/>
      <c r="AKK39" s="19"/>
      <c r="AKL39" s="19"/>
      <c r="AKM39" s="19"/>
      <c r="AKN39" s="19"/>
      <c r="AKO39" s="19"/>
      <c r="AKP39" s="19"/>
      <c r="AKQ39" s="19"/>
      <c r="AKR39" s="19"/>
      <c r="AKS39" s="19"/>
      <c r="AKT39" s="19"/>
      <c r="AKU39" s="19"/>
      <c r="AKV39" s="19"/>
      <c r="AKW39" s="19"/>
      <c r="AKX39" s="19"/>
      <c r="AKY39" s="19"/>
      <c r="AKZ39" s="19"/>
      <c r="ALA39" s="19"/>
      <c r="ALB39" s="19"/>
      <c r="ALC39" s="19"/>
      <c r="ALD39" s="19"/>
      <c r="ALE39" s="19"/>
      <c r="ALF39" s="19"/>
      <c r="ALG39" s="19"/>
      <c r="ALH39" s="19"/>
      <c r="ALI39" s="19"/>
      <c r="ALJ39" s="19"/>
      <c r="ALK39" s="19"/>
      <c r="ALL39" s="19"/>
      <c r="ALM39" s="19"/>
      <c r="ALN39" s="19"/>
      <c r="ALO39" s="19"/>
      <c r="ALP39" s="19"/>
      <c r="ALQ39" s="19"/>
      <c r="ALR39" s="19"/>
      <c r="ALS39" s="19"/>
      <c r="ALT39" s="19"/>
      <c r="ALU39" s="19"/>
      <c r="ALV39" s="19"/>
      <c r="ALW39" s="19"/>
      <c r="ALX39" s="19"/>
      <c r="ALY39" s="19"/>
      <c r="ALZ39" s="19"/>
      <c r="AMA39" s="19"/>
      <c r="AMB39" s="19"/>
      <c r="AMC39" s="19"/>
      <c r="AMD39" s="19"/>
      <c r="AME39" s="19"/>
      <c r="AMF39" s="19"/>
      <c r="AMG39" s="19"/>
      <c r="AMH39" s="19"/>
      <c r="AMI39" s="19"/>
      <c r="AMJ39" s="19"/>
      <c r="AMK39" s="19"/>
      <c r="AML39" s="19"/>
      <c r="AMM39" s="19"/>
      <c r="AMN39" s="19"/>
      <c r="AMO39" s="19"/>
      <c r="AMP39" s="19"/>
      <c r="AMQ39" s="19"/>
      <c r="AMR39" s="19"/>
      <c r="AMS39" s="19"/>
      <c r="AMT39" s="19"/>
      <c r="AMU39" s="19"/>
      <c r="AMV39" s="19"/>
      <c r="AMW39" s="19"/>
      <c r="AMX39" s="19"/>
      <c r="AMY39" s="19"/>
      <c r="AMZ39" s="19"/>
      <c r="ANA39" s="19"/>
      <c r="ANB39" s="19"/>
      <c r="ANC39" s="19"/>
      <c r="AND39" s="19"/>
      <c r="ANE39" s="19"/>
      <c r="ANF39" s="19"/>
      <c r="ANG39" s="19"/>
      <c r="ANH39" s="19"/>
      <c r="ANI39" s="19"/>
      <c r="ANJ39" s="19"/>
      <c r="ANK39" s="19"/>
      <c r="ANL39" s="19"/>
      <c r="ANM39" s="19"/>
      <c r="ANN39" s="19"/>
      <c r="ANO39" s="19"/>
      <c r="ANP39" s="19"/>
      <c r="ANQ39" s="19"/>
      <c r="ANR39" s="19"/>
      <c r="ANS39" s="19"/>
      <c r="ANT39" s="19"/>
      <c r="ANU39" s="19"/>
      <c r="ANV39" s="19"/>
      <c r="ANW39" s="19"/>
      <c r="ANX39" s="19"/>
      <c r="ANY39" s="19"/>
      <c r="ANZ39" s="19"/>
      <c r="AOA39" s="19"/>
      <c r="AOB39" s="19"/>
      <c r="AOC39" s="19"/>
      <c r="AOD39" s="19"/>
      <c r="AOE39" s="19"/>
      <c r="AOF39" s="19"/>
      <c r="AOG39" s="19"/>
      <c r="AOH39" s="19"/>
      <c r="AOI39" s="19"/>
      <c r="AOJ39" s="19"/>
      <c r="AOK39" s="19"/>
      <c r="AOL39" s="19"/>
      <c r="AOM39" s="19"/>
      <c r="AON39" s="19"/>
      <c r="AOO39" s="19"/>
      <c r="AOP39" s="19"/>
      <c r="AOQ39" s="19"/>
      <c r="AOR39" s="19"/>
      <c r="AOS39" s="19"/>
      <c r="AOT39" s="19"/>
      <c r="AOU39" s="19"/>
      <c r="AOV39" s="19"/>
      <c r="AOW39" s="19"/>
      <c r="AOX39" s="19"/>
      <c r="AOY39" s="19"/>
      <c r="AOZ39" s="19"/>
      <c r="APA39" s="19"/>
      <c r="APB39" s="19"/>
      <c r="APC39" s="19"/>
      <c r="APD39" s="19"/>
      <c r="APE39" s="19"/>
      <c r="APF39" s="19"/>
      <c r="APG39" s="19"/>
      <c r="APH39" s="19"/>
      <c r="API39" s="19"/>
      <c r="APJ39" s="19"/>
      <c r="APK39" s="19"/>
      <c r="APL39" s="19"/>
      <c r="APM39" s="19"/>
      <c r="APN39" s="19"/>
      <c r="APO39" s="19"/>
      <c r="APP39" s="19"/>
      <c r="APQ39" s="19"/>
      <c r="APR39" s="19"/>
      <c r="APS39" s="19"/>
      <c r="APT39" s="19"/>
      <c r="APU39" s="19"/>
      <c r="APV39" s="19"/>
      <c r="APW39" s="19"/>
      <c r="APX39" s="19"/>
      <c r="APY39" s="19"/>
      <c r="APZ39" s="19"/>
      <c r="AQA39" s="19"/>
      <c r="AQB39" s="19"/>
      <c r="AQC39" s="19"/>
      <c r="AQD39" s="19"/>
      <c r="AQE39" s="19"/>
      <c r="AQF39" s="19"/>
      <c r="AQG39" s="19"/>
      <c r="AQH39" s="19"/>
      <c r="AQI39" s="19"/>
      <c r="AQJ39" s="19"/>
      <c r="AQK39" s="19"/>
      <c r="AQL39" s="19"/>
      <c r="AQM39" s="19"/>
      <c r="AQN39" s="19"/>
      <c r="AQO39" s="19"/>
      <c r="AQP39" s="19"/>
      <c r="AQQ39" s="19"/>
      <c r="AQR39" s="19"/>
      <c r="AQS39" s="19"/>
      <c r="AQT39" s="19"/>
      <c r="AQU39" s="19"/>
      <c r="AQV39" s="19"/>
      <c r="AQW39" s="19"/>
      <c r="AQX39" s="19"/>
      <c r="AQY39" s="19"/>
      <c r="AQZ39" s="19"/>
      <c r="ARA39" s="19"/>
      <c r="ARB39" s="19"/>
      <c r="ARC39" s="19"/>
      <c r="ARD39" s="19"/>
      <c r="ARE39" s="19"/>
      <c r="ARF39" s="19"/>
      <c r="ARG39" s="19"/>
      <c r="ARH39" s="19"/>
      <c r="ARI39" s="19"/>
      <c r="ARJ39" s="19"/>
      <c r="ARK39" s="19"/>
      <c r="ARL39" s="19"/>
      <c r="ARM39" s="19"/>
      <c r="ARN39" s="19"/>
      <c r="ARO39" s="19"/>
      <c r="ARP39" s="19"/>
      <c r="ARQ39" s="19"/>
      <c r="ARR39" s="19"/>
      <c r="ARS39" s="19"/>
      <c r="ART39" s="19"/>
      <c r="ARU39" s="19"/>
      <c r="ARV39" s="19"/>
      <c r="ARW39" s="19"/>
      <c r="ARX39" s="19"/>
      <c r="ARY39" s="19"/>
      <c r="ARZ39" s="19"/>
      <c r="ASA39" s="19"/>
      <c r="ASB39" s="19"/>
      <c r="ASC39" s="19"/>
      <c r="ASD39" s="19"/>
      <c r="ASE39" s="19"/>
      <c r="ASF39" s="19"/>
      <c r="ASG39" s="19"/>
      <c r="ASH39" s="19"/>
      <c r="ASI39" s="19"/>
      <c r="ASJ39" s="19"/>
      <c r="ASK39" s="19"/>
      <c r="ASL39" s="19"/>
      <c r="ASM39" s="19"/>
      <c r="ASN39" s="19"/>
      <c r="ASO39" s="19"/>
      <c r="ASP39" s="19"/>
      <c r="ASQ39" s="19"/>
      <c r="ASR39" s="19"/>
      <c r="ASS39" s="19"/>
      <c r="AST39" s="19"/>
      <c r="ASU39" s="19"/>
      <c r="ASV39" s="19"/>
      <c r="ASW39" s="19"/>
      <c r="ASX39" s="19"/>
      <c r="ASY39" s="19"/>
      <c r="ASZ39" s="19"/>
      <c r="ATA39" s="19"/>
      <c r="ATB39" s="19"/>
      <c r="ATC39" s="19"/>
      <c r="ATD39" s="19"/>
      <c r="ATE39" s="19"/>
      <c r="ATF39" s="19"/>
      <c r="ATG39" s="19"/>
      <c r="ATH39" s="19"/>
      <c r="ATI39" s="19"/>
      <c r="ATJ39" s="19"/>
      <c r="ATK39" s="19"/>
      <c r="ATL39" s="19"/>
      <c r="ATM39" s="19"/>
      <c r="ATN39" s="19"/>
      <c r="ATO39" s="19"/>
      <c r="ATP39" s="19"/>
      <c r="ATQ39" s="19"/>
      <c r="ATR39" s="19"/>
      <c r="ATS39" s="19"/>
      <c r="ATT39" s="19"/>
      <c r="ATU39" s="19"/>
      <c r="ATV39" s="19"/>
      <c r="ATW39" s="19"/>
      <c r="ATX39" s="19"/>
      <c r="ATY39" s="19"/>
      <c r="ATZ39" s="19"/>
      <c r="AUA39" s="19"/>
      <c r="AUB39" s="19"/>
      <c r="AUC39" s="19"/>
      <c r="AUD39" s="19"/>
      <c r="AUE39" s="19"/>
      <c r="AUF39" s="19"/>
      <c r="AUG39" s="19"/>
      <c r="AUH39" s="19"/>
      <c r="AUI39" s="19"/>
      <c r="AUJ39" s="19"/>
      <c r="AUK39" s="19"/>
      <c r="AUL39" s="19"/>
      <c r="AUM39" s="19"/>
      <c r="AUN39" s="19"/>
      <c r="AUO39" s="19"/>
      <c r="AUP39" s="19"/>
      <c r="AUQ39" s="19"/>
      <c r="AUR39" s="19"/>
      <c r="AUS39" s="19"/>
      <c r="AUT39" s="19"/>
      <c r="AUU39" s="19"/>
      <c r="AUV39" s="19"/>
      <c r="AUW39" s="19"/>
      <c r="AUX39" s="19"/>
      <c r="AUY39" s="19"/>
      <c r="AUZ39" s="19"/>
      <c r="AVA39" s="19"/>
      <c r="AVB39" s="19"/>
      <c r="AVC39" s="19"/>
      <c r="AVD39" s="19"/>
      <c r="AVE39" s="19"/>
      <c r="AVF39" s="19"/>
      <c r="AVG39" s="19"/>
      <c r="AVH39" s="19"/>
      <c r="AVI39" s="19"/>
      <c r="AVJ39" s="19"/>
      <c r="AVK39" s="19"/>
      <c r="AVL39" s="19"/>
      <c r="AVM39" s="19"/>
      <c r="AVN39" s="19"/>
      <c r="AVO39" s="19"/>
      <c r="AVP39" s="19"/>
      <c r="AVQ39" s="19"/>
      <c r="AVR39" s="19"/>
      <c r="AVS39" s="19"/>
      <c r="AVT39" s="19"/>
      <c r="AVU39" s="19"/>
      <c r="AVV39" s="19"/>
      <c r="AVW39" s="19"/>
      <c r="AVX39" s="19"/>
      <c r="AVY39" s="19"/>
      <c r="AVZ39" s="19"/>
      <c r="AWA39" s="19"/>
      <c r="AWB39" s="19"/>
      <c r="AWC39" s="19"/>
      <c r="AWD39" s="19"/>
      <c r="AWE39" s="19"/>
      <c r="AWF39" s="19"/>
      <c r="AWG39" s="19"/>
      <c r="AWH39" s="19"/>
      <c r="AWI39" s="19"/>
      <c r="AWJ39" s="19"/>
      <c r="AWK39" s="19"/>
      <c r="AWL39" s="19"/>
      <c r="AWM39" s="19"/>
      <c r="AWN39" s="19"/>
      <c r="AWO39" s="19"/>
      <c r="AWP39" s="19"/>
      <c r="AWQ39" s="19"/>
      <c r="AWR39" s="19"/>
      <c r="AWS39" s="19"/>
      <c r="AWT39" s="19"/>
      <c r="AWU39" s="19"/>
      <c r="AWV39" s="19"/>
      <c r="AWW39" s="19"/>
      <c r="AWX39" s="19"/>
      <c r="AWY39" s="19"/>
      <c r="AWZ39" s="19"/>
      <c r="AXA39" s="19"/>
      <c r="AXB39" s="19"/>
      <c r="AXC39" s="19"/>
      <c r="AXD39" s="19"/>
      <c r="AXE39" s="19"/>
      <c r="AXF39" s="19"/>
      <c r="AXG39" s="19"/>
      <c r="AXH39" s="19"/>
      <c r="AXI39" s="19"/>
      <c r="AXJ39" s="19"/>
      <c r="AXK39" s="19"/>
      <c r="AXL39" s="19"/>
      <c r="AXM39" s="19"/>
      <c r="AXN39" s="19"/>
      <c r="AXO39" s="19"/>
      <c r="AXP39" s="19"/>
      <c r="AXQ39" s="19"/>
      <c r="AXR39" s="19"/>
      <c r="AXS39" s="19"/>
      <c r="AXT39" s="19"/>
      <c r="AXU39" s="19"/>
      <c r="AXV39" s="19"/>
      <c r="AXW39" s="19"/>
      <c r="AXX39" s="19"/>
      <c r="AXY39" s="19"/>
      <c r="AXZ39" s="19"/>
      <c r="AYA39" s="19"/>
      <c r="AYB39" s="19"/>
      <c r="AYC39" s="19"/>
      <c r="AYD39" s="19"/>
      <c r="AYE39" s="19"/>
      <c r="AYF39" s="19"/>
      <c r="AYG39" s="19"/>
      <c r="AYH39" s="19"/>
      <c r="AYI39" s="19"/>
      <c r="AYJ39" s="19"/>
      <c r="AYK39" s="19"/>
      <c r="AYL39" s="19"/>
      <c r="AYM39" s="19"/>
      <c r="AYN39" s="19"/>
      <c r="AYO39" s="19"/>
      <c r="AYP39" s="19"/>
      <c r="AYQ39" s="19"/>
      <c r="AYR39" s="19"/>
      <c r="AYS39" s="19"/>
      <c r="AYT39" s="19"/>
      <c r="AYU39" s="19"/>
      <c r="AYV39" s="19"/>
      <c r="AYW39" s="19"/>
      <c r="AYX39" s="19"/>
      <c r="AYY39" s="19"/>
      <c r="AYZ39" s="19"/>
      <c r="AZA39" s="19"/>
      <c r="AZB39" s="19"/>
      <c r="AZC39" s="19"/>
      <c r="AZD39" s="19"/>
      <c r="AZE39" s="19"/>
      <c r="AZF39" s="19"/>
      <c r="AZG39" s="19"/>
      <c r="AZH39" s="19"/>
      <c r="AZI39" s="19"/>
      <c r="AZJ39" s="19"/>
      <c r="AZK39" s="19"/>
      <c r="AZL39" s="19"/>
      <c r="AZM39" s="19"/>
      <c r="AZN39" s="19"/>
      <c r="AZO39" s="19"/>
      <c r="AZP39" s="19"/>
      <c r="AZQ39" s="19"/>
      <c r="AZR39" s="19"/>
      <c r="AZS39" s="19"/>
      <c r="AZT39" s="19"/>
      <c r="AZU39" s="19"/>
      <c r="AZV39" s="19"/>
      <c r="AZW39" s="19"/>
      <c r="AZX39" s="19"/>
      <c r="AZY39" s="19"/>
      <c r="AZZ39" s="19"/>
      <c r="BAA39" s="19"/>
      <c r="BAB39" s="19"/>
      <c r="BAC39" s="19"/>
      <c r="BAD39" s="19"/>
      <c r="BAE39" s="19"/>
      <c r="BAF39" s="19"/>
      <c r="BAG39" s="19"/>
      <c r="BAH39" s="19"/>
      <c r="BAI39" s="19"/>
      <c r="BAJ39" s="19"/>
      <c r="BAK39" s="19"/>
      <c r="BAL39" s="19"/>
      <c r="BAM39" s="19"/>
      <c r="BAN39" s="19"/>
      <c r="BAO39" s="19"/>
      <c r="BAP39" s="19"/>
      <c r="BAQ39" s="19"/>
      <c r="BAR39" s="19"/>
      <c r="BAS39" s="19"/>
      <c r="BAT39" s="19"/>
      <c r="BAU39" s="19"/>
      <c r="BAV39" s="19"/>
      <c r="BAW39" s="19"/>
      <c r="BAX39" s="19"/>
      <c r="BAY39" s="19"/>
      <c r="BAZ39" s="19"/>
      <c r="BBA39" s="19"/>
      <c r="BBB39" s="19"/>
      <c r="BBC39" s="19"/>
      <c r="BBD39" s="19"/>
      <c r="BBE39" s="19"/>
      <c r="BBF39" s="19"/>
      <c r="BBG39" s="19"/>
      <c r="BBH39" s="19"/>
      <c r="BBI39" s="19"/>
      <c r="BBJ39" s="19"/>
      <c r="BBK39" s="19"/>
      <c r="BBL39" s="19"/>
      <c r="BBM39" s="19"/>
      <c r="BBN39" s="19"/>
      <c r="BBO39" s="19"/>
      <c r="BBP39" s="19"/>
      <c r="BBQ39" s="19"/>
      <c r="BBR39" s="19"/>
      <c r="BBS39" s="19"/>
      <c r="BBT39" s="19"/>
      <c r="BBU39" s="19"/>
      <c r="BBV39" s="19"/>
      <c r="BBW39" s="19"/>
      <c r="BBX39" s="19"/>
      <c r="BBY39" s="19"/>
      <c r="BBZ39" s="19"/>
      <c r="BCA39" s="19"/>
      <c r="BCB39" s="19"/>
      <c r="BCC39" s="19"/>
      <c r="BCD39" s="19"/>
      <c r="BCE39" s="19"/>
      <c r="BCF39" s="19"/>
      <c r="BCG39" s="19"/>
      <c r="BCH39" s="19"/>
      <c r="BCI39" s="19"/>
      <c r="BCJ39" s="19"/>
      <c r="BCK39" s="19"/>
      <c r="BCL39" s="19"/>
      <c r="BCM39" s="19"/>
      <c r="BCN39" s="19"/>
      <c r="BCO39" s="19"/>
      <c r="BCP39" s="19"/>
      <c r="BCQ39" s="19"/>
      <c r="BCR39" s="19"/>
      <c r="BCS39" s="19"/>
      <c r="BCT39" s="19"/>
      <c r="BCU39" s="19"/>
      <c r="BCV39" s="19"/>
      <c r="BCW39" s="19"/>
      <c r="BCX39" s="19"/>
      <c r="BCY39" s="19"/>
      <c r="BCZ39" s="19"/>
      <c r="BDA39" s="19"/>
      <c r="BDB39" s="19"/>
      <c r="BDC39" s="19"/>
      <c r="BDD39" s="19"/>
      <c r="BDE39" s="19"/>
      <c r="BDF39" s="19"/>
      <c r="BDG39" s="19"/>
      <c r="BDH39" s="19"/>
      <c r="BDI39" s="19"/>
      <c r="BDJ39" s="19"/>
      <c r="BDK39" s="19"/>
      <c r="BDL39" s="19"/>
      <c r="BDM39" s="19"/>
      <c r="BDN39" s="19"/>
      <c r="BDO39" s="19"/>
      <c r="BDP39" s="19"/>
      <c r="BDQ39" s="19"/>
      <c r="BDR39" s="19"/>
      <c r="BDS39" s="19"/>
      <c r="BDT39" s="19"/>
      <c r="BDU39" s="19"/>
      <c r="BDV39" s="19"/>
      <c r="BDW39" s="19"/>
      <c r="BDX39" s="19"/>
      <c r="BDY39" s="19"/>
      <c r="BDZ39" s="19"/>
      <c r="BEA39" s="19"/>
      <c r="BEB39" s="19"/>
      <c r="BEC39" s="19"/>
      <c r="BED39" s="19"/>
      <c r="BEE39" s="19"/>
      <c r="BEF39" s="19"/>
      <c r="BEG39" s="19"/>
      <c r="BEH39" s="19"/>
      <c r="BEI39" s="19"/>
      <c r="BEJ39" s="19"/>
      <c r="BEK39" s="19"/>
      <c r="BEL39" s="19"/>
      <c r="BEM39" s="19"/>
      <c r="BEN39" s="19"/>
      <c r="BEO39" s="19"/>
      <c r="BEP39" s="19"/>
      <c r="BEQ39" s="19"/>
      <c r="BER39" s="19"/>
      <c r="BES39" s="19"/>
      <c r="BET39" s="19"/>
      <c r="BEU39" s="19"/>
      <c r="BEV39" s="19"/>
      <c r="BEW39" s="19"/>
      <c r="BEX39" s="19"/>
      <c r="BEY39" s="19"/>
      <c r="BEZ39" s="19"/>
      <c r="BFA39" s="19"/>
      <c r="BFB39" s="19"/>
      <c r="BFC39" s="19"/>
      <c r="BFD39" s="19"/>
      <c r="BFE39" s="19"/>
      <c r="BFF39" s="19"/>
      <c r="BFG39" s="19"/>
      <c r="BFH39" s="19"/>
      <c r="BFI39" s="19"/>
      <c r="BFJ39" s="19"/>
      <c r="BFK39" s="19"/>
      <c r="BFL39" s="19"/>
      <c r="BFM39" s="19"/>
      <c r="BFN39" s="19"/>
      <c r="BFO39" s="19"/>
      <c r="BFP39" s="19"/>
      <c r="BFQ39" s="19"/>
      <c r="BFR39" s="19"/>
      <c r="BFS39" s="19"/>
      <c r="BFT39" s="19"/>
      <c r="BFU39" s="19"/>
      <c r="BFV39" s="19"/>
      <c r="BFW39" s="19"/>
      <c r="BFX39" s="19"/>
      <c r="BFY39" s="19"/>
      <c r="BFZ39" s="19"/>
      <c r="BGA39" s="19"/>
      <c r="BGB39" s="19"/>
      <c r="BGC39" s="19"/>
      <c r="BGD39" s="19"/>
      <c r="BGE39" s="19"/>
      <c r="BGF39" s="19"/>
      <c r="BGG39" s="19"/>
      <c r="BGH39" s="19"/>
      <c r="BGI39" s="19"/>
      <c r="BGJ39" s="19"/>
      <c r="BGK39" s="19"/>
      <c r="BGL39" s="19"/>
      <c r="BGM39" s="19"/>
      <c r="BGN39" s="19"/>
      <c r="BGO39" s="19"/>
      <c r="BGP39" s="19"/>
      <c r="BGQ39" s="19"/>
      <c r="BGR39" s="19"/>
      <c r="BGS39" s="19"/>
      <c r="BGT39" s="19"/>
      <c r="BGU39" s="19"/>
      <c r="BGV39" s="19"/>
      <c r="BGW39" s="19"/>
      <c r="BGX39" s="19"/>
      <c r="BGY39" s="19"/>
      <c r="BGZ39" s="19"/>
      <c r="BHA39" s="19"/>
      <c r="BHB39" s="19"/>
      <c r="BHC39" s="19"/>
      <c r="BHD39" s="19"/>
      <c r="BHE39" s="19"/>
      <c r="BHF39" s="19"/>
      <c r="BHG39" s="19"/>
      <c r="BHH39" s="19"/>
      <c r="BHI39" s="19"/>
      <c r="BHJ39" s="19"/>
      <c r="BHK39" s="19"/>
      <c r="BHL39" s="19"/>
      <c r="BHM39" s="19"/>
      <c r="BHN39" s="19"/>
      <c r="BHO39" s="19"/>
      <c r="BHP39" s="19"/>
      <c r="BHQ39" s="19"/>
      <c r="BHR39" s="19"/>
      <c r="BHS39" s="19"/>
      <c r="BHT39" s="19"/>
      <c r="BHU39" s="19"/>
      <c r="BHV39" s="19"/>
      <c r="BHW39" s="19"/>
      <c r="BHX39" s="19"/>
      <c r="BHY39" s="19"/>
      <c r="BHZ39" s="19"/>
      <c r="BIA39" s="19"/>
      <c r="BIB39" s="19"/>
      <c r="BIC39" s="19"/>
      <c r="BID39" s="19"/>
      <c r="BIE39" s="19"/>
      <c r="BIF39" s="19"/>
      <c r="BIG39" s="19"/>
      <c r="BIH39" s="19"/>
      <c r="BII39" s="19"/>
      <c r="BIJ39" s="19"/>
      <c r="BIK39" s="19"/>
      <c r="BIL39" s="19"/>
      <c r="BIM39" s="19"/>
      <c r="BIN39" s="19"/>
      <c r="BIO39" s="19"/>
      <c r="BIP39" s="19"/>
      <c r="BIQ39" s="19"/>
      <c r="BIR39" s="19"/>
      <c r="BIS39" s="19"/>
      <c r="BIT39" s="19"/>
      <c r="BIU39" s="19"/>
      <c r="BIV39" s="19"/>
      <c r="BIW39" s="19"/>
      <c r="BIX39" s="19"/>
      <c r="BIY39" s="19"/>
      <c r="BIZ39" s="19"/>
      <c r="BJA39" s="19"/>
      <c r="BJB39" s="19"/>
      <c r="BJC39" s="19"/>
      <c r="BJD39" s="19"/>
      <c r="BJE39" s="19"/>
      <c r="BJF39" s="19"/>
      <c r="BJG39" s="19"/>
      <c r="BJH39" s="19"/>
      <c r="BJI39" s="19"/>
      <c r="BJJ39" s="19"/>
      <c r="BJK39" s="19"/>
      <c r="BJL39" s="19"/>
      <c r="BJM39" s="19"/>
      <c r="BJN39" s="19"/>
      <c r="BJO39" s="19"/>
      <c r="BJP39" s="19"/>
      <c r="BJQ39" s="19"/>
      <c r="BJR39" s="19"/>
      <c r="BJS39" s="19"/>
      <c r="BJT39" s="19"/>
      <c r="BJU39" s="19"/>
      <c r="BJV39" s="19"/>
      <c r="BJW39" s="19"/>
      <c r="BJX39" s="19"/>
      <c r="BJY39" s="19"/>
      <c r="BJZ39" s="19"/>
      <c r="BKA39" s="19"/>
      <c r="BKB39" s="19"/>
      <c r="BKC39" s="19"/>
      <c r="BKD39" s="19"/>
      <c r="BKE39" s="19"/>
      <c r="BKF39" s="19"/>
      <c r="BKG39" s="19"/>
      <c r="BKH39" s="19"/>
      <c r="BKI39" s="19"/>
      <c r="BKJ39" s="19"/>
      <c r="BKK39" s="19"/>
      <c r="BKL39" s="19"/>
      <c r="BKM39" s="19"/>
      <c r="BKN39" s="19"/>
      <c r="BKO39" s="19"/>
      <c r="BKP39" s="19"/>
      <c r="BKQ39" s="19"/>
      <c r="BKR39" s="19"/>
      <c r="BKS39" s="19"/>
      <c r="BKT39" s="19"/>
      <c r="BKU39" s="19"/>
      <c r="BKV39" s="19"/>
      <c r="BKW39" s="19"/>
      <c r="BKX39" s="19"/>
      <c r="BKY39" s="19"/>
      <c r="BKZ39" s="19"/>
      <c r="BLA39" s="19"/>
      <c r="BLB39" s="19"/>
      <c r="BLC39" s="19"/>
      <c r="BLD39" s="19"/>
      <c r="BLE39" s="19"/>
      <c r="BLF39" s="19"/>
      <c r="BLG39" s="19"/>
      <c r="BLH39" s="19"/>
      <c r="BLI39" s="19"/>
      <c r="BLJ39" s="19"/>
      <c r="BLK39" s="19"/>
      <c r="BLL39" s="19"/>
      <c r="BLM39" s="19"/>
      <c r="BLN39" s="19"/>
      <c r="BLO39" s="19"/>
      <c r="BLP39" s="19"/>
      <c r="BLQ39" s="19"/>
      <c r="BLR39" s="19"/>
      <c r="BLS39" s="19"/>
      <c r="BLT39" s="19"/>
      <c r="BLU39" s="19"/>
      <c r="BLV39" s="19"/>
      <c r="BLW39" s="19"/>
      <c r="BLX39" s="19"/>
      <c r="BLY39" s="19"/>
      <c r="BLZ39" s="19"/>
      <c r="BMA39" s="19"/>
      <c r="BMB39" s="19"/>
      <c r="BMC39" s="19"/>
      <c r="BMD39" s="19"/>
      <c r="BME39" s="19"/>
      <c r="BMF39" s="19"/>
      <c r="BMG39" s="19"/>
      <c r="BMH39" s="19"/>
      <c r="BMI39" s="19"/>
      <c r="BMJ39" s="19"/>
      <c r="BMK39" s="19"/>
      <c r="BML39" s="19"/>
      <c r="BMM39" s="19"/>
      <c r="BMN39" s="19"/>
      <c r="BMO39" s="19"/>
      <c r="BMP39" s="19"/>
      <c r="BMQ39" s="19"/>
      <c r="BMR39" s="19"/>
      <c r="BMS39" s="19"/>
      <c r="BMT39" s="19"/>
      <c r="BMU39" s="19"/>
      <c r="BMV39" s="19"/>
      <c r="BMW39" s="19"/>
      <c r="BMX39" s="19"/>
      <c r="BMY39" s="19"/>
      <c r="BMZ39" s="19"/>
      <c r="BNA39" s="19"/>
      <c r="BNB39" s="19"/>
      <c r="BNC39" s="19"/>
      <c r="BND39" s="19"/>
      <c r="BNE39" s="19"/>
      <c r="BNF39" s="19"/>
      <c r="BNG39" s="19"/>
      <c r="BNH39" s="19"/>
      <c r="BNI39" s="19"/>
      <c r="BNJ39" s="19"/>
      <c r="BNK39" s="19"/>
      <c r="BNL39" s="19"/>
      <c r="BNM39" s="19"/>
      <c r="BNN39" s="19"/>
      <c r="BNO39" s="19"/>
      <c r="BNP39" s="19"/>
      <c r="BNQ39" s="19"/>
      <c r="BNR39" s="19"/>
      <c r="BNS39" s="19"/>
      <c r="BNT39" s="19"/>
      <c r="BNU39" s="19"/>
      <c r="BNV39" s="19"/>
      <c r="BNW39" s="19"/>
      <c r="BNX39" s="19"/>
      <c r="BNY39" s="19"/>
      <c r="BNZ39" s="19"/>
      <c r="BOA39" s="19"/>
      <c r="BOB39" s="19"/>
      <c r="BOC39" s="19"/>
      <c r="BOD39" s="19"/>
      <c r="BOE39" s="19"/>
      <c r="BOF39" s="19"/>
      <c r="BOG39" s="19"/>
      <c r="BOH39" s="19"/>
      <c r="BOI39" s="19"/>
      <c r="BOJ39" s="19"/>
      <c r="BOK39" s="19"/>
      <c r="BOL39" s="19"/>
      <c r="BOM39" s="19"/>
      <c r="BON39" s="19"/>
      <c r="BOO39" s="19"/>
      <c r="BOP39" s="19"/>
      <c r="BOQ39" s="19"/>
      <c r="BOR39" s="19"/>
      <c r="BOS39" s="19"/>
      <c r="BOT39" s="19"/>
      <c r="BOU39" s="19"/>
      <c r="BOV39" s="19"/>
      <c r="BOW39" s="19"/>
      <c r="BOX39" s="19"/>
      <c r="BOY39" s="19"/>
      <c r="BOZ39" s="19"/>
      <c r="BPA39" s="19"/>
      <c r="BPB39" s="19"/>
      <c r="BPC39" s="19"/>
      <c r="BPD39" s="19"/>
      <c r="BPE39" s="19"/>
      <c r="BPF39" s="19"/>
      <c r="BPG39" s="19"/>
      <c r="BPH39" s="19"/>
      <c r="BPI39" s="19"/>
      <c r="BPJ39" s="19"/>
      <c r="BPK39" s="19"/>
      <c r="BPL39" s="19"/>
      <c r="BPM39" s="19"/>
      <c r="BPN39" s="19"/>
      <c r="BPO39" s="19"/>
      <c r="BPP39" s="19"/>
      <c r="BPQ39" s="19"/>
      <c r="BPR39" s="19"/>
      <c r="BPS39" s="19"/>
      <c r="BPT39" s="19"/>
      <c r="BPU39" s="19"/>
      <c r="BPV39" s="19"/>
      <c r="BPW39" s="19"/>
      <c r="BPX39" s="19"/>
      <c r="BPY39" s="19"/>
      <c r="BPZ39" s="19"/>
      <c r="BQA39" s="19"/>
      <c r="BQB39" s="19"/>
      <c r="BQC39" s="19"/>
      <c r="BQD39" s="19"/>
      <c r="BQE39" s="19"/>
      <c r="BQF39" s="19"/>
      <c r="BQG39" s="19"/>
      <c r="BQH39" s="19"/>
      <c r="BQI39" s="19"/>
      <c r="BQJ39" s="19"/>
      <c r="BQK39" s="19"/>
      <c r="BQL39" s="19"/>
      <c r="BQM39" s="19"/>
      <c r="BQN39" s="19"/>
      <c r="BQO39" s="19"/>
      <c r="BQP39" s="19"/>
      <c r="BQQ39" s="19"/>
      <c r="BQR39" s="19"/>
      <c r="BQS39" s="19"/>
      <c r="BQT39" s="19"/>
      <c r="BQU39" s="19"/>
      <c r="BQV39" s="19"/>
      <c r="BQW39" s="19"/>
      <c r="BQX39" s="19"/>
      <c r="BQY39" s="19"/>
      <c r="BQZ39" s="19"/>
      <c r="BRA39" s="19"/>
      <c r="BRB39" s="19"/>
      <c r="BRC39" s="19"/>
      <c r="BRD39" s="19"/>
      <c r="BRE39" s="19"/>
      <c r="BRF39" s="19"/>
      <c r="BRG39" s="19"/>
      <c r="BRH39" s="19"/>
      <c r="BRI39" s="19"/>
      <c r="BRJ39" s="19"/>
      <c r="BRK39" s="19"/>
      <c r="BRL39" s="19"/>
      <c r="BRM39" s="19"/>
      <c r="BRN39" s="19"/>
      <c r="BRO39" s="19"/>
      <c r="BRP39" s="19"/>
      <c r="BRQ39" s="19"/>
      <c r="BRR39" s="19"/>
      <c r="BRS39" s="19"/>
      <c r="BRT39" s="19"/>
      <c r="BRU39" s="19"/>
      <c r="BRV39" s="19"/>
      <c r="BRW39" s="19"/>
      <c r="BRX39" s="19"/>
      <c r="BRY39" s="19"/>
      <c r="BRZ39" s="19"/>
      <c r="BSA39" s="19"/>
      <c r="BSB39" s="19"/>
      <c r="BSC39" s="19"/>
      <c r="BSD39" s="19"/>
      <c r="BSE39" s="19"/>
      <c r="BSF39" s="19"/>
      <c r="BSG39" s="19"/>
      <c r="BSH39" s="19"/>
      <c r="BSI39" s="19"/>
      <c r="BSJ39" s="19"/>
      <c r="BSK39" s="19"/>
      <c r="BSL39" s="19"/>
      <c r="BSM39" s="19"/>
      <c r="BSN39" s="19"/>
      <c r="BSO39" s="19"/>
      <c r="BSP39" s="19"/>
      <c r="BSQ39" s="19"/>
      <c r="BSR39" s="19"/>
      <c r="BSS39" s="19"/>
      <c r="BST39" s="19"/>
      <c r="BSU39" s="19"/>
      <c r="BSV39" s="19"/>
      <c r="BSW39" s="19"/>
      <c r="BSX39" s="19"/>
      <c r="BSY39" s="19"/>
      <c r="BSZ39" s="19"/>
      <c r="BTA39" s="19"/>
      <c r="BTB39" s="19"/>
      <c r="BTC39" s="19"/>
      <c r="BTD39" s="19"/>
      <c r="BTE39" s="19"/>
      <c r="BTF39" s="19"/>
      <c r="BTG39" s="19"/>
      <c r="BTH39" s="19"/>
      <c r="BTI39" s="19"/>
      <c r="BTJ39" s="19"/>
      <c r="BTK39" s="19"/>
      <c r="BTL39" s="19"/>
      <c r="BTM39" s="19"/>
      <c r="BTN39" s="19"/>
      <c r="BTO39" s="19"/>
      <c r="BTP39" s="19"/>
      <c r="BTQ39" s="19"/>
      <c r="BTR39" s="19"/>
      <c r="BTS39" s="19"/>
      <c r="BTT39" s="19"/>
      <c r="BTU39" s="19"/>
      <c r="BTV39" s="19"/>
      <c r="BTW39" s="19"/>
      <c r="BTX39" s="19"/>
      <c r="BTY39" s="19"/>
      <c r="BTZ39" s="19"/>
      <c r="BUA39" s="19"/>
      <c r="BUB39" s="19"/>
      <c r="BUC39" s="19"/>
      <c r="BUD39" s="19"/>
      <c r="BUE39" s="19"/>
      <c r="BUF39" s="19"/>
      <c r="BUG39" s="19"/>
      <c r="BUH39" s="19"/>
      <c r="BUI39" s="19"/>
      <c r="BUJ39" s="19"/>
      <c r="BUK39" s="19"/>
      <c r="BUL39" s="19"/>
      <c r="BUM39" s="19"/>
      <c r="BUN39" s="19"/>
      <c r="BUO39" s="19"/>
      <c r="BUP39" s="19"/>
      <c r="BUQ39" s="19"/>
      <c r="BUR39" s="19"/>
      <c r="BUS39" s="19"/>
      <c r="BUT39" s="19"/>
      <c r="BUU39" s="19"/>
      <c r="BUV39" s="19"/>
      <c r="BUW39" s="19"/>
      <c r="BUX39" s="19"/>
      <c r="BUY39" s="19"/>
      <c r="BUZ39" s="19"/>
      <c r="BVA39" s="19"/>
      <c r="BVB39" s="19"/>
      <c r="BVC39" s="19"/>
      <c r="BVD39" s="19"/>
      <c r="BVE39" s="19"/>
      <c r="BVF39" s="19"/>
      <c r="BVG39" s="19"/>
      <c r="BVH39" s="19"/>
      <c r="BVI39" s="19"/>
      <c r="BVJ39" s="19"/>
      <c r="BVK39" s="19"/>
      <c r="BVL39" s="19"/>
      <c r="BVM39" s="19"/>
      <c r="BVN39" s="19"/>
      <c r="BVO39" s="19"/>
      <c r="BVP39" s="19"/>
      <c r="BVQ39" s="19"/>
      <c r="BVR39" s="19"/>
      <c r="BVS39" s="19"/>
      <c r="BVT39" s="19"/>
      <c r="BVU39" s="19"/>
      <c r="BVV39" s="19"/>
      <c r="BVW39" s="19"/>
      <c r="BVX39" s="19"/>
      <c r="BVY39" s="19"/>
      <c r="BVZ39" s="19"/>
      <c r="BWA39" s="19"/>
      <c r="BWB39" s="19"/>
      <c r="BWC39" s="19"/>
      <c r="BWD39" s="19"/>
      <c r="BWE39" s="19"/>
      <c r="BWF39" s="19"/>
      <c r="BWG39" s="19"/>
      <c r="BWH39" s="19"/>
      <c r="BWI39" s="19"/>
      <c r="BWJ39" s="19"/>
      <c r="BWK39" s="19"/>
      <c r="BWL39" s="19"/>
      <c r="BWM39" s="19"/>
      <c r="BWN39" s="19"/>
      <c r="BWO39" s="19"/>
      <c r="BWP39" s="19"/>
      <c r="BWQ39" s="19"/>
      <c r="BWR39" s="19"/>
      <c r="BWS39" s="19"/>
      <c r="BWT39" s="19"/>
      <c r="BWU39" s="19"/>
      <c r="BWV39" s="19"/>
      <c r="BWW39" s="19"/>
      <c r="BWX39" s="19"/>
      <c r="BWY39" s="19"/>
      <c r="BWZ39" s="19"/>
      <c r="BXA39" s="19"/>
      <c r="BXB39" s="19"/>
      <c r="BXC39" s="19"/>
      <c r="BXD39" s="19"/>
      <c r="BXE39" s="19"/>
      <c r="BXF39" s="19"/>
      <c r="BXG39" s="19"/>
      <c r="BXH39" s="19"/>
      <c r="BXI39" s="19"/>
      <c r="BXJ39" s="19"/>
      <c r="BXK39" s="19"/>
      <c r="BXL39" s="19"/>
      <c r="BXM39" s="19"/>
      <c r="BXN39" s="19"/>
      <c r="BXO39" s="19"/>
      <c r="BXP39" s="19"/>
      <c r="BXQ39" s="19"/>
      <c r="BXR39" s="19"/>
      <c r="BXS39" s="19"/>
      <c r="BXT39" s="19"/>
      <c r="BXU39" s="19"/>
      <c r="BXV39" s="19"/>
      <c r="BXW39" s="19"/>
      <c r="BXX39" s="19"/>
      <c r="BXY39" s="19"/>
      <c r="BXZ39" s="19"/>
      <c r="BYA39" s="19"/>
      <c r="BYB39" s="19"/>
      <c r="BYC39" s="19"/>
      <c r="BYD39" s="19"/>
      <c r="BYE39" s="19"/>
      <c r="BYF39" s="19"/>
      <c r="BYG39" s="19"/>
      <c r="BYH39" s="19"/>
      <c r="BYI39" s="19"/>
      <c r="BYJ39" s="19"/>
      <c r="BYK39" s="19"/>
      <c r="BYL39" s="19"/>
      <c r="BYM39" s="19"/>
      <c r="BYN39" s="19"/>
      <c r="BYO39" s="19"/>
      <c r="BYP39" s="19"/>
      <c r="BYQ39" s="19"/>
      <c r="BYR39" s="19"/>
      <c r="BYS39" s="19"/>
      <c r="BYT39" s="19"/>
      <c r="BYU39" s="19"/>
      <c r="BYV39" s="19"/>
      <c r="BYW39" s="19"/>
      <c r="BYX39" s="19"/>
      <c r="BYY39" s="19"/>
      <c r="BYZ39" s="19"/>
      <c r="BZA39" s="19"/>
      <c r="BZB39" s="19"/>
      <c r="BZC39" s="19"/>
      <c r="BZD39" s="19"/>
      <c r="BZE39" s="19"/>
      <c r="BZF39" s="19"/>
      <c r="BZG39" s="19"/>
      <c r="BZH39" s="19"/>
      <c r="BZI39" s="19"/>
      <c r="BZJ39" s="19"/>
      <c r="BZK39" s="19"/>
      <c r="BZL39" s="19"/>
      <c r="BZM39" s="19"/>
      <c r="BZN39" s="19"/>
      <c r="BZO39" s="19"/>
      <c r="BZP39" s="19"/>
      <c r="BZQ39" s="19"/>
      <c r="BZR39" s="19"/>
      <c r="BZS39" s="19"/>
      <c r="BZT39" s="19"/>
      <c r="BZU39" s="19"/>
      <c r="BZV39" s="19"/>
      <c r="BZW39" s="19"/>
      <c r="BZX39" s="19"/>
      <c r="BZY39" s="19"/>
      <c r="BZZ39" s="19"/>
      <c r="CAA39" s="19"/>
      <c r="CAB39" s="19"/>
      <c r="CAC39" s="19"/>
      <c r="CAD39" s="19"/>
      <c r="CAE39" s="19"/>
      <c r="CAF39" s="19"/>
      <c r="CAG39" s="19"/>
      <c r="CAH39" s="19"/>
      <c r="CAI39" s="19"/>
      <c r="CAJ39" s="19"/>
      <c r="CAK39" s="19"/>
      <c r="CAL39" s="19"/>
      <c r="CAM39" s="19"/>
      <c r="CAN39" s="19"/>
      <c r="CAO39" s="19"/>
      <c r="CAP39" s="19"/>
      <c r="CAQ39" s="19"/>
      <c r="CAR39" s="19"/>
      <c r="CAS39" s="19"/>
      <c r="CAT39" s="19"/>
      <c r="CAU39" s="19"/>
      <c r="CAV39" s="19"/>
      <c r="CAW39" s="19"/>
      <c r="CAX39" s="19"/>
      <c r="CAY39" s="19"/>
      <c r="CAZ39" s="19"/>
      <c r="CBA39" s="19"/>
      <c r="CBB39" s="19"/>
      <c r="CBC39" s="19"/>
      <c r="CBD39" s="19"/>
      <c r="CBE39" s="19"/>
      <c r="CBF39" s="19"/>
      <c r="CBG39" s="19"/>
      <c r="CBH39" s="19"/>
      <c r="CBI39" s="19"/>
      <c r="CBJ39" s="19"/>
      <c r="CBK39" s="19"/>
      <c r="CBL39" s="19"/>
      <c r="CBM39" s="19"/>
      <c r="CBN39" s="19"/>
      <c r="CBO39" s="19"/>
      <c r="CBP39" s="19"/>
      <c r="CBQ39" s="19"/>
      <c r="CBR39" s="19"/>
      <c r="CBS39" s="19"/>
      <c r="CBT39" s="19"/>
      <c r="CBU39" s="19"/>
      <c r="CBV39" s="19"/>
      <c r="CBW39" s="19"/>
      <c r="CBX39" s="19"/>
      <c r="CBY39" s="19"/>
      <c r="CBZ39" s="19"/>
      <c r="CCA39" s="19"/>
      <c r="CCB39" s="19"/>
      <c r="CCC39" s="19"/>
      <c r="CCD39" s="19"/>
      <c r="CCE39" s="19"/>
      <c r="CCF39" s="19"/>
      <c r="CCG39" s="19"/>
      <c r="CCH39" s="19"/>
      <c r="CCI39" s="19"/>
      <c r="CCJ39" s="19"/>
      <c r="CCK39" s="19"/>
      <c r="CCL39" s="19"/>
      <c r="CCM39" s="19"/>
      <c r="CCN39" s="19"/>
      <c r="CCO39" s="19"/>
      <c r="CCP39" s="19"/>
      <c r="CCQ39" s="19"/>
      <c r="CCR39" s="19"/>
      <c r="CCS39" s="19"/>
      <c r="CCT39" s="19"/>
      <c r="CCU39" s="19"/>
      <c r="CCV39" s="19"/>
      <c r="CCW39" s="19"/>
      <c r="CCX39" s="19"/>
      <c r="CCY39" s="19"/>
      <c r="CCZ39" s="19"/>
      <c r="CDA39" s="19"/>
      <c r="CDB39" s="19"/>
      <c r="CDC39" s="19"/>
      <c r="CDD39" s="19"/>
      <c r="CDE39" s="19"/>
      <c r="CDF39" s="19"/>
      <c r="CDG39" s="19"/>
      <c r="CDH39" s="19"/>
      <c r="CDI39" s="19"/>
      <c r="CDJ39" s="19"/>
      <c r="CDK39" s="19"/>
      <c r="CDL39" s="19"/>
      <c r="CDM39" s="19"/>
      <c r="CDN39" s="19"/>
      <c r="CDO39" s="19"/>
      <c r="CDP39" s="19"/>
      <c r="CDQ39" s="19"/>
      <c r="CDR39" s="19"/>
      <c r="CDS39" s="19"/>
      <c r="CDT39" s="19"/>
      <c r="CDU39" s="19"/>
      <c r="CDV39" s="19"/>
      <c r="CDW39" s="19"/>
      <c r="CDX39" s="19"/>
      <c r="CDY39" s="19"/>
      <c r="CDZ39" s="19"/>
      <c r="CEA39" s="19"/>
      <c r="CEB39" s="19"/>
      <c r="CEC39" s="19"/>
      <c r="CED39" s="19"/>
      <c r="CEE39" s="19"/>
      <c r="CEF39" s="19"/>
      <c r="CEG39" s="19"/>
      <c r="CEH39" s="19"/>
      <c r="CEI39" s="19"/>
      <c r="CEJ39" s="19"/>
      <c r="CEK39" s="19"/>
      <c r="CEL39" s="19"/>
      <c r="CEM39" s="19"/>
      <c r="CEN39" s="19"/>
      <c r="CEO39" s="19"/>
      <c r="CEP39" s="19"/>
      <c r="CEQ39" s="19"/>
      <c r="CER39" s="19"/>
      <c r="CES39" s="19"/>
      <c r="CET39" s="19"/>
      <c r="CEU39" s="19"/>
      <c r="CEV39" s="19"/>
      <c r="CEW39" s="19"/>
      <c r="CEX39" s="19"/>
      <c r="CEY39" s="19"/>
      <c r="CEZ39" s="19"/>
      <c r="CFA39" s="19"/>
      <c r="CFB39" s="19"/>
      <c r="CFC39" s="19"/>
      <c r="CFD39" s="19"/>
      <c r="CFE39" s="19"/>
      <c r="CFF39" s="19"/>
      <c r="CFG39" s="19"/>
      <c r="CFH39" s="19"/>
      <c r="CFI39" s="19"/>
      <c r="CFJ39" s="19"/>
      <c r="CFK39" s="19"/>
      <c r="CFL39" s="19"/>
      <c r="CFM39" s="19"/>
      <c r="CFN39" s="19"/>
      <c r="CFO39" s="19"/>
      <c r="CFP39" s="19"/>
      <c r="CFQ39" s="19"/>
      <c r="CFR39" s="19"/>
      <c r="CFS39" s="19"/>
      <c r="CFT39" s="19"/>
      <c r="CFU39" s="19"/>
      <c r="CFV39" s="19"/>
      <c r="CFW39" s="19"/>
      <c r="CFX39" s="19"/>
      <c r="CFY39" s="19"/>
      <c r="CFZ39" s="19"/>
      <c r="CGA39" s="19"/>
      <c r="CGB39" s="19"/>
      <c r="CGC39" s="19"/>
      <c r="CGD39" s="19"/>
      <c r="CGE39" s="19"/>
      <c r="CGF39" s="19"/>
      <c r="CGG39" s="19"/>
      <c r="CGH39" s="19"/>
      <c r="CGI39" s="19"/>
      <c r="CGJ39" s="19"/>
      <c r="CGK39" s="19"/>
      <c r="CGL39" s="19"/>
      <c r="CGM39" s="19"/>
      <c r="CGN39" s="19"/>
      <c r="CGO39" s="19"/>
      <c r="CGP39" s="19"/>
      <c r="CGQ39" s="19"/>
      <c r="CGR39" s="19"/>
      <c r="CGS39" s="19"/>
      <c r="CGT39" s="19"/>
      <c r="CGU39" s="19"/>
      <c r="CGV39" s="19"/>
      <c r="CGW39" s="19"/>
      <c r="CGX39" s="19"/>
      <c r="CGY39" s="19"/>
      <c r="CGZ39" s="19"/>
      <c r="CHA39" s="19"/>
      <c r="CHB39" s="19"/>
      <c r="CHC39" s="19"/>
      <c r="CHD39" s="19"/>
      <c r="CHE39" s="19"/>
      <c r="CHF39" s="19"/>
      <c r="CHG39" s="19"/>
      <c r="CHH39" s="19"/>
      <c r="CHI39" s="19"/>
      <c r="CHJ39" s="19"/>
      <c r="CHK39" s="19"/>
      <c r="CHL39" s="19"/>
      <c r="CHM39" s="19"/>
      <c r="CHN39" s="19"/>
      <c r="CHO39" s="19"/>
      <c r="CHP39" s="19"/>
      <c r="CHQ39" s="19"/>
      <c r="CHR39" s="19"/>
      <c r="CHS39" s="19"/>
      <c r="CHT39" s="19"/>
      <c r="CHU39" s="19"/>
      <c r="CHV39" s="19"/>
      <c r="CHW39" s="19"/>
      <c r="CHX39" s="19"/>
      <c r="CHY39" s="19"/>
      <c r="CHZ39" s="19"/>
      <c r="CIA39" s="19"/>
      <c r="CIB39" s="19"/>
      <c r="CIC39" s="19"/>
      <c r="CID39" s="19"/>
      <c r="CIE39" s="19"/>
      <c r="CIF39" s="19"/>
      <c r="CIG39" s="19"/>
      <c r="CIH39" s="19"/>
      <c r="CII39" s="19"/>
      <c r="CIJ39" s="19"/>
      <c r="CIK39" s="19"/>
      <c r="CIL39" s="19"/>
      <c r="CIM39" s="19"/>
      <c r="CIN39" s="19"/>
      <c r="CIO39" s="19"/>
      <c r="CIP39" s="19"/>
      <c r="CIQ39" s="19"/>
      <c r="CIR39" s="19"/>
      <c r="CIS39" s="19"/>
      <c r="CIT39" s="19"/>
      <c r="CIU39" s="19"/>
      <c r="CIV39" s="19"/>
      <c r="CIW39" s="19"/>
      <c r="CIX39" s="19"/>
      <c r="CIY39" s="19"/>
      <c r="CIZ39" s="19"/>
      <c r="CJA39" s="19"/>
      <c r="CJB39" s="19"/>
      <c r="CJC39" s="19"/>
      <c r="CJD39" s="19"/>
      <c r="CJE39" s="19"/>
      <c r="CJF39" s="19"/>
      <c r="CJG39" s="19"/>
      <c r="CJH39" s="19"/>
      <c r="CJI39" s="19"/>
      <c r="CJJ39" s="19"/>
      <c r="CJK39" s="19"/>
      <c r="CJL39" s="19"/>
      <c r="CJM39" s="19"/>
      <c r="CJN39" s="19"/>
      <c r="CJO39" s="19"/>
      <c r="CJP39" s="19"/>
      <c r="CJQ39" s="19"/>
      <c r="CJR39" s="19"/>
      <c r="CJS39" s="19"/>
      <c r="CJT39" s="19"/>
      <c r="CJU39" s="19"/>
      <c r="CJV39" s="19"/>
      <c r="CJW39" s="19"/>
      <c r="CJX39" s="19"/>
      <c r="CJY39" s="19"/>
      <c r="CJZ39" s="19"/>
      <c r="CKA39" s="19"/>
      <c r="CKB39" s="19"/>
      <c r="CKC39" s="19"/>
      <c r="CKD39" s="19"/>
      <c r="CKE39" s="19"/>
      <c r="CKF39" s="19"/>
      <c r="CKG39" s="19"/>
      <c r="CKH39" s="19"/>
      <c r="CKI39" s="19"/>
      <c r="CKJ39" s="19"/>
      <c r="CKK39" s="19"/>
      <c r="CKL39" s="19"/>
      <c r="CKM39" s="19"/>
      <c r="CKN39" s="19"/>
      <c r="CKO39" s="19"/>
      <c r="CKP39" s="19"/>
      <c r="CKQ39" s="19"/>
      <c r="CKR39" s="19"/>
      <c r="CKS39" s="19"/>
      <c r="CKT39" s="19"/>
      <c r="CKU39" s="19"/>
      <c r="CKV39" s="19"/>
      <c r="CKW39" s="19"/>
      <c r="CKX39" s="19"/>
      <c r="CKY39" s="19"/>
      <c r="CKZ39" s="19"/>
      <c r="CLA39" s="19"/>
      <c r="CLB39" s="19"/>
      <c r="CLC39" s="19"/>
      <c r="CLD39" s="19"/>
      <c r="CLE39" s="19"/>
      <c r="CLF39" s="19"/>
      <c r="CLG39" s="19"/>
      <c r="CLH39" s="19"/>
      <c r="CLI39" s="19"/>
      <c r="CLJ39" s="19"/>
      <c r="CLK39" s="19"/>
      <c r="CLL39" s="19"/>
      <c r="CLM39" s="19"/>
      <c r="CLN39" s="19"/>
      <c r="CLO39" s="19"/>
      <c r="CLP39" s="19"/>
      <c r="CLQ39" s="19"/>
      <c r="CLR39" s="19"/>
      <c r="CLS39" s="19"/>
      <c r="CLT39" s="19"/>
      <c r="CLU39" s="19"/>
      <c r="CLV39" s="19"/>
      <c r="CLW39" s="19"/>
      <c r="CLX39" s="19"/>
      <c r="CLY39" s="19"/>
      <c r="CLZ39" s="19"/>
      <c r="CMA39" s="19"/>
      <c r="CMB39" s="19"/>
      <c r="CMC39" s="19"/>
      <c r="CMD39" s="19"/>
      <c r="CME39" s="19"/>
      <c r="CMF39" s="19"/>
      <c r="CMG39" s="19"/>
      <c r="CMH39" s="19"/>
      <c r="CMI39" s="19"/>
      <c r="CMJ39" s="19"/>
      <c r="CMK39" s="19"/>
      <c r="CML39" s="19"/>
      <c r="CMM39" s="19"/>
      <c r="CMN39" s="19"/>
      <c r="CMO39" s="19"/>
      <c r="CMP39" s="19"/>
      <c r="CMQ39" s="19"/>
      <c r="CMR39" s="19"/>
      <c r="CMS39" s="19"/>
      <c r="CMT39" s="19"/>
      <c r="CMU39" s="19"/>
      <c r="CMV39" s="19"/>
      <c r="CMW39" s="19"/>
      <c r="CMX39" s="19"/>
      <c r="CMY39" s="19"/>
      <c r="CMZ39" s="19"/>
      <c r="CNA39" s="19"/>
      <c r="CNB39" s="19"/>
      <c r="CNC39" s="19"/>
      <c r="CND39" s="19"/>
      <c r="CNE39" s="19"/>
      <c r="CNF39" s="19"/>
      <c r="CNG39" s="19"/>
      <c r="CNH39" s="19"/>
      <c r="CNI39" s="19"/>
      <c r="CNJ39" s="19"/>
      <c r="CNK39" s="19"/>
      <c r="CNL39" s="19"/>
      <c r="CNM39" s="19"/>
      <c r="CNN39" s="19"/>
      <c r="CNO39" s="19"/>
      <c r="CNP39" s="19"/>
      <c r="CNQ39" s="19"/>
      <c r="CNR39" s="19"/>
      <c r="CNS39" s="19"/>
      <c r="CNT39" s="19"/>
      <c r="CNU39" s="19"/>
      <c r="CNV39" s="19"/>
      <c r="CNW39" s="19"/>
      <c r="CNX39" s="19"/>
      <c r="CNY39" s="19"/>
      <c r="CNZ39" s="19"/>
      <c r="COA39" s="19"/>
      <c r="COB39" s="19"/>
      <c r="COC39" s="19"/>
      <c r="COD39" s="19"/>
      <c r="COE39" s="19"/>
      <c r="COF39" s="19"/>
      <c r="COG39" s="19"/>
      <c r="COH39" s="19"/>
      <c r="COI39" s="19"/>
      <c r="COJ39" s="19"/>
      <c r="COK39" s="19"/>
      <c r="COL39" s="19"/>
      <c r="COM39" s="19"/>
      <c r="CON39" s="19"/>
      <c r="COO39" s="19"/>
      <c r="COP39" s="19"/>
      <c r="COQ39" s="19"/>
      <c r="COR39" s="19"/>
      <c r="COS39" s="19"/>
      <c r="COT39" s="19"/>
      <c r="COU39" s="19"/>
      <c r="COV39" s="19"/>
      <c r="COW39" s="19"/>
      <c r="COX39" s="19"/>
      <c r="COY39" s="19"/>
      <c r="COZ39" s="19"/>
      <c r="CPA39" s="19"/>
      <c r="CPB39" s="19"/>
      <c r="CPC39" s="19"/>
      <c r="CPD39" s="19"/>
      <c r="CPE39" s="19"/>
      <c r="CPF39" s="19"/>
      <c r="CPG39" s="19"/>
      <c r="CPH39" s="19"/>
      <c r="CPI39" s="19"/>
      <c r="CPJ39" s="19"/>
      <c r="CPK39" s="19"/>
      <c r="CPL39" s="19"/>
      <c r="CPM39" s="19"/>
      <c r="CPN39" s="19"/>
      <c r="CPO39" s="19"/>
      <c r="CPP39" s="19"/>
      <c r="CPQ39" s="19"/>
      <c r="CPR39" s="19"/>
      <c r="CPS39" s="19"/>
      <c r="CPT39" s="19"/>
      <c r="CPU39" s="19"/>
      <c r="CPV39" s="19"/>
      <c r="CPW39" s="19"/>
      <c r="CPX39" s="19"/>
      <c r="CPY39" s="19"/>
      <c r="CPZ39" s="19"/>
      <c r="CQA39" s="19"/>
      <c r="CQB39" s="19"/>
      <c r="CQC39" s="19"/>
      <c r="CQD39" s="19"/>
      <c r="CQE39" s="19"/>
      <c r="CQF39" s="19"/>
      <c r="CQG39" s="19"/>
      <c r="CQH39" s="19"/>
      <c r="CQI39" s="19"/>
      <c r="CQJ39" s="19"/>
      <c r="CQK39" s="19"/>
      <c r="CQL39" s="19"/>
      <c r="CQM39" s="19"/>
      <c r="CQN39" s="19"/>
      <c r="CQO39" s="19"/>
      <c r="CQP39" s="19"/>
      <c r="CQQ39" s="19"/>
      <c r="CQR39" s="19"/>
      <c r="CQS39" s="19"/>
      <c r="CQT39" s="19"/>
      <c r="CQU39" s="19"/>
      <c r="CQV39" s="19"/>
      <c r="CQW39" s="19"/>
      <c r="CQX39" s="19"/>
      <c r="CQY39" s="19"/>
      <c r="CQZ39" s="19"/>
      <c r="CRA39" s="19"/>
      <c r="CRB39" s="19"/>
      <c r="CRC39" s="19"/>
      <c r="CRD39" s="19"/>
      <c r="CRE39" s="19"/>
      <c r="CRF39" s="19"/>
      <c r="CRG39" s="19"/>
      <c r="CRH39" s="19"/>
      <c r="CRI39" s="19"/>
      <c r="CRJ39" s="19"/>
      <c r="CRK39" s="19"/>
      <c r="CRL39" s="19"/>
      <c r="CRM39" s="19"/>
      <c r="CRN39" s="19"/>
      <c r="CRO39" s="19"/>
      <c r="CRP39" s="19"/>
      <c r="CRQ39" s="19"/>
      <c r="CRR39" s="19"/>
      <c r="CRS39" s="19"/>
      <c r="CRT39" s="19"/>
      <c r="CRU39" s="19"/>
      <c r="CRV39" s="19"/>
      <c r="CRW39" s="19"/>
      <c r="CRX39" s="19"/>
      <c r="CRY39" s="19"/>
      <c r="CRZ39" s="19"/>
      <c r="CSA39" s="19"/>
      <c r="CSB39" s="19"/>
      <c r="CSC39" s="19"/>
      <c r="CSD39" s="19"/>
      <c r="CSE39" s="19"/>
      <c r="CSF39" s="19"/>
      <c r="CSG39" s="19"/>
      <c r="CSH39" s="19"/>
      <c r="CSI39" s="19"/>
      <c r="CSJ39" s="19"/>
      <c r="CSK39" s="19"/>
      <c r="CSL39" s="19"/>
      <c r="CSM39" s="19"/>
      <c r="CSN39" s="19"/>
      <c r="CSO39" s="19"/>
      <c r="CSP39" s="19"/>
      <c r="CSQ39" s="19"/>
      <c r="CSR39" s="19"/>
      <c r="CSS39" s="19"/>
      <c r="CST39" s="19"/>
      <c r="CSU39" s="19"/>
      <c r="CSV39" s="19"/>
      <c r="CSW39" s="19"/>
      <c r="CSX39" s="19"/>
      <c r="CSY39" s="19"/>
      <c r="CSZ39" s="19"/>
      <c r="CTA39" s="19"/>
      <c r="CTB39" s="19"/>
      <c r="CTC39" s="19"/>
      <c r="CTD39" s="19"/>
      <c r="CTE39" s="19"/>
      <c r="CTF39" s="19"/>
      <c r="CTG39" s="19"/>
      <c r="CTH39" s="19"/>
      <c r="CTI39" s="19"/>
      <c r="CTJ39" s="19"/>
      <c r="CTK39" s="19"/>
      <c r="CTL39" s="19"/>
      <c r="CTM39" s="19"/>
      <c r="CTN39" s="19"/>
      <c r="CTO39" s="19"/>
      <c r="CTP39" s="19"/>
      <c r="CTQ39" s="19"/>
      <c r="CTR39" s="19"/>
      <c r="CTS39" s="19"/>
      <c r="CTT39" s="19"/>
      <c r="CTU39" s="19"/>
      <c r="CTV39" s="19"/>
      <c r="CTW39" s="19"/>
      <c r="CTX39" s="19"/>
      <c r="CTY39" s="19"/>
      <c r="CTZ39" s="19"/>
      <c r="CUA39" s="19"/>
      <c r="CUB39" s="19"/>
      <c r="CUC39" s="19"/>
      <c r="CUD39" s="19"/>
      <c r="CUE39" s="19"/>
      <c r="CUF39" s="19"/>
      <c r="CUG39" s="19"/>
      <c r="CUH39" s="19"/>
      <c r="CUI39" s="19"/>
      <c r="CUJ39" s="19"/>
      <c r="CUK39" s="19"/>
      <c r="CUL39" s="19"/>
      <c r="CUM39" s="19"/>
      <c r="CUN39" s="19"/>
      <c r="CUO39" s="19"/>
      <c r="CUP39" s="19"/>
      <c r="CUQ39" s="19"/>
      <c r="CUR39" s="19"/>
      <c r="CUS39" s="19"/>
      <c r="CUT39" s="19"/>
      <c r="CUU39" s="19"/>
      <c r="CUV39" s="19"/>
      <c r="CUW39" s="19"/>
      <c r="CUX39" s="19"/>
      <c r="CUY39" s="19"/>
      <c r="CUZ39" s="19"/>
      <c r="CVA39" s="19"/>
      <c r="CVB39" s="19"/>
      <c r="CVC39" s="19"/>
      <c r="CVD39" s="19"/>
      <c r="CVE39" s="19"/>
      <c r="CVF39" s="19"/>
      <c r="CVG39" s="19"/>
      <c r="CVH39" s="19"/>
      <c r="CVI39" s="19"/>
      <c r="CVJ39" s="19"/>
      <c r="CVK39" s="19"/>
      <c r="CVL39" s="19"/>
      <c r="CVM39" s="19"/>
      <c r="CVN39" s="19"/>
      <c r="CVO39" s="19"/>
      <c r="CVP39" s="19"/>
      <c r="CVQ39" s="19"/>
      <c r="CVR39" s="19"/>
      <c r="CVS39" s="19"/>
      <c r="CVT39" s="19"/>
      <c r="CVU39" s="19"/>
      <c r="CVV39" s="19"/>
      <c r="CVW39" s="19"/>
      <c r="CVX39" s="19"/>
      <c r="CVY39" s="19"/>
      <c r="CVZ39" s="19"/>
      <c r="CWA39" s="19"/>
      <c r="CWB39" s="19"/>
      <c r="CWC39" s="19"/>
      <c r="CWD39" s="19"/>
      <c r="CWE39" s="19"/>
      <c r="CWF39" s="19"/>
      <c r="CWG39" s="19"/>
      <c r="CWH39" s="19"/>
      <c r="CWI39" s="19"/>
      <c r="CWJ39" s="19"/>
      <c r="CWK39" s="19"/>
      <c r="CWL39" s="19"/>
      <c r="CWM39" s="19"/>
      <c r="CWN39" s="19"/>
      <c r="CWO39" s="19"/>
      <c r="CWP39" s="19"/>
      <c r="CWQ39" s="19"/>
      <c r="CWR39" s="19"/>
      <c r="CWS39" s="19"/>
      <c r="CWT39" s="19"/>
      <c r="CWU39" s="19"/>
      <c r="CWV39" s="19"/>
      <c r="CWW39" s="19"/>
      <c r="CWX39" s="19"/>
      <c r="CWY39" s="19"/>
      <c r="CWZ39" s="19"/>
      <c r="CXA39" s="19"/>
      <c r="CXB39" s="19"/>
      <c r="CXC39" s="19"/>
      <c r="CXD39" s="19"/>
      <c r="CXE39" s="19"/>
      <c r="CXF39" s="19"/>
      <c r="CXG39" s="19"/>
      <c r="CXH39" s="19"/>
      <c r="CXI39" s="19"/>
      <c r="CXJ39" s="19"/>
      <c r="CXK39" s="19"/>
      <c r="CXL39" s="19"/>
      <c r="CXM39" s="19"/>
      <c r="CXN39" s="19"/>
      <c r="CXO39" s="19"/>
      <c r="CXP39" s="19"/>
      <c r="CXQ39" s="19"/>
      <c r="CXR39" s="19"/>
      <c r="CXS39" s="19"/>
      <c r="CXT39" s="19"/>
      <c r="CXU39" s="19"/>
      <c r="CXV39" s="19"/>
      <c r="CXW39" s="19"/>
      <c r="CXX39" s="19"/>
      <c r="CXY39" s="19"/>
      <c r="CXZ39" s="19"/>
      <c r="CYA39" s="19"/>
      <c r="CYB39" s="19"/>
      <c r="CYC39" s="19"/>
      <c r="CYD39" s="19"/>
      <c r="CYE39" s="19"/>
      <c r="CYF39" s="19"/>
      <c r="CYG39" s="19"/>
      <c r="CYH39" s="19"/>
      <c r="CYI39" s="19"/>
      <c r="CYJ39" s="19"/>
      <c r="CYK39" s="19"/>
      <c r="CYL39" s="19"/>
      <c r="CYM39" s="19"/>
      <c r="CYN39" s="19"/>
      <c r="CYO39" s="19"/>
      <c r="CYP39" s="19"/>
      <c r="CYQ39" s="19"/>
      <c r="CYR39" s="19"/>
      <c r="CYS39" s="19"/>
      <c r="CYT39" s="19"/>
      <c r="CYU39" s="19"/>
      <c r="CYV39" s="19"/>
      <c r="CYW39" s="19"/>
      <c r="CYX39" s="19"/>
      <c r="CYY39" s="19"/>
      <c r="CYZ39" s="19"/>
      <c r="CZA39" s="19"/>
      <c r="CZB39" s="19"/>
      <c r="CZC39" s="19"/>
      <c r="CZD39" s="19"/>
      <c r="CZE39" s="19"/>
      <c r="CZF39" s="19"/>
      <c r="CZG39" s="19"/>
      <c r="CZH39" s="19"/>
      <c r="CZI39" s="19"/>
      <c r="CZJ39" s="19"/>
      <c r="CZK39" s="19"/>
      <c r="CZL39" s="19"/>
      <c r="CZM39" s="19"/>
      <c r="CZN39" s="19"/>
      <c r="CZO39" s="19"/>
      <c r="CZP39" s="19"/>
      <c r="CZQ39" s="19"/>
      <c r="CZR39" s="19"/>
      <c r="CZS39" s="19"/>
      <c r="CZT39" s="19"/>
      <c r="CZU39" s="19"/>
      <c r="CZV39" s="19"/>
      <c r="CZW39" s="19"/>
      <c r="CZX39" s="19"/>
      <c r="CZY39" s="19"/>
      <c r="CZZ39" s="19"/>
      <c r="DAA39" s="19"/>
      <c r="DAB39" s="19"/>
      <c r="DAC39" s="19"/>
      <c r="DAD39" s="19"/>
      <c r="DAE39" s="19"/>
      <c r="DAF39" s="19"/>
      <c r="DAG39" s="19"/>
      <c r="DAH39" s="19"/>
      <c r="DAI39" s="19"/>
      <c r="DAJ39" s="19"/>
      <c r="DAK39" s="19"/>
      <c r="DAL39" s="19"/>
      <c r="DAM39" s="19"/>
      <c r="DAN39" s="19"/>
      <c r="DAO39" s="19"/>
      <c r="DAP39" s="19"/>
      <c r="DAQ39" s="19"/>
      <c r="DAR39" s="19"/>
      <c r="DAS39" s="19"/>
      <c r="DAT39" s="19"/>
      <c r="DAU39" s="19"/>
      <c r="DAV39" s="19"/>
      <c r="DAW39" s="19"/>
      <c r="DAX39" s="19"/>
      <c r="DAY39" s="19"/>
      <c r="DAZ39" s="19"/>
      <c r="DBA39" s="19"/>
      <c r="DBB39" s="19"/>
      <c r="DBC39" s="19"/>
      <c r="DBD39" s="19"/>
      <c r="DBE39" s="19"/>
      <c r="DBF39" s="19"/>
      <c r="DBG39" s="19"/>
      <c r="DBH39" s="19"/>
      <c r="DBI39" s="19"/>
      <c r="DBJ39" s="19"/>
      <c r="DBK39" s="19"/>
      <c r="DBL39" s="19"/>
      <c r="DBM39" s="19"/>
      <c r="DBN39" s="19"/>
      <c r="DBO39" s="19"/>
      <c r="DBP39" s="19"/>
      <c r="DBQ39" s="19"/>
      <c r="DBR39" s="19"/>
      <c r="DBS39" s="19"/>
      <c r="DBT39" s="19"/>
      <c r="DBU39" s="19"/>
      <c r="DBV39" s="19"/>
      <c r="DBW39" s="19"/>
      <c r="DBX39" s="19"/>
      <c r="DBY39" s="19"/>
      <c r="DBZ39" s="19"/>
      <c r="DCA39" s="19"/>
      <c r="DCB39" s="19"/>
      <c r="DCC39" s="19"/>
      <c r="DCD39" s="19"/>
      <c r="DCE39" s="19"/>
      <c r="DCF39" s="19"/>
      <c r="DCG39" s="19"/>
      <c r="DCH39" s="19"/>
      <c r="DCI39" s="19"/>
      <c r="DCJ39" s="19"/>
      <c r="DCK39" s="19"/>
      <c r="DCL39" s="19"/>
      <c r="DCM39" s="19"/>
      <c r="DCN39" s="19"/>
      <c r="DCO39" s="19"/>
      <c r="DCP39" s="19"/>
      <c r="DCQ39" s="19"/>
      <c r="DCR39" s="19"/>
      <c r="DCS39" s="19"/>
      <c r="DCT39" s="19"/>
      <c r="DCU39" s="19"/>
      <c r="DCV39" s="19"/>
      <c r="DCW39" s="19"/>
      <c r="DCX39" s="19"/>
      <c r="DCY39" s="19"/>
      <c r="DCZ39" s="19"/>
      <c r="DDA39" s="19"/>
      <c r="DDB39" s="19"/>
      <c r="DDC39" s="19"/>
      <c r="DDD39" s="19"/>
      <c r="DDE39" s="19"/>
      <c r="DDF39" s="19"/>
      <c r="DDG39" s="19"/>
      <c r="DDH39" s="19"/>
      <c r="DDI39" s="19"/>
      <c r="DDJ39" s="19"/>
      <c r="DDK39" s="19"/>
      <c r="DDL39" s="19"/>
      <c r="DDM39" s="19"/>
      <c r="DDN39" s="19"/>
      <c r="DDO39" s="19"/>
      <c r="DDP39" s="19"/>
      <c r="DDQ39" s="19"/>
      <c r="DDR39" s="19"/>
      <c r="DDS39" s="19"/>
      <c r="DDT39" s="19"/>
      <c r="DDU39" s="19"/>
      <c r="DDV39" s="19"/>
      <c r="DDW39" s="19"/>
      <c r="DDX39" s="19"/>
      <c r="DDY39" s="19"/>
      <c r="DDZ39" s="19"/>
      <c r="DEA39" s="19"/>
      <c r="DEB39" s="19"/>
      <c r="DEC39" s="19"/>
      <c r="DED39" s="19"/>
      <c r="DEE39" s="19"/>
      <c r="DEF39" s="19"/>
      <c r="DEG39" s="19"/>
      <c r="DEH39" s="19"/>
      <c r="DEI39" s="19"/>
      <c r="DEJ39" s="19"/>
      <c r="DEK39" s="19"/>
      <c r="DEL39" s="19"/>
      <c r="DEM39" s="19"/>
      <c r="DEN39" s="19"/>
      <c r="DEO39" s="19"/>
      <c r="DEP39" s="19"/>
      <c r="DEQ39" s="19"/>
      <c r="DER39" s="19"/>
      <c r="DES39" s="19"/>
      <c r="DET39" s="19"/>
      <c r="DEU39" s="19"/>
      <c r="DEV39" s="19"/>
      <c r="DEW39" s="19"/>
      <c r="DEX39" s="19"/>
      <c r="DEY39" s="19"/>
      <c r="DEZ39" s="19"/>
      <c r="DFA39" s="19"/>
      <c r="DFB39" s="19"/>
      <c r="DFC39" s="19"/>
      <c r="DFD39" s="19"/>
      <c r="DFE39" s="19"/>
      <c r="DFF39" s="19"/>
      <c r="DFG39" s="19"/>
      <c r="DFH39" s="19"/>
      <c r="DFI39" s="19"/>
      <c r="DFJ39" s="19"/>
      <c r="DFK39" s="19"/>
      <c r="DFL39" s="19"/>
      <c r="DFM39" s="19"/>
      <c r="DFN39" s="19"/>
      <c r="DFO39" s="19"/>
      <c r="DFP39" s="19"/>
      <c r="DFQ39" s="19"/>
      <c r="DFR39" s="19"/>
      <c r="DFS39" s="19"/>
      <c r="DFT39" s="19"/>
      <c r="DFU39" s="19"/>
      <c r="DFV39" s="19"/>
      <c r="DFW39" s="19"/>
      <c r="DFX39" s="19"/>
      <c r="DFY39" s="19"/>
      <c r="DFZ39" s="19"/>
      <c r="DGA39" s="19"/>
      <c r="DGB39" s="19"/>
      <c r="DGC39" s="19"/>
      <c r="DGD39" s="19"/>
      <c r="DGE39" s="19"/>
      <c r="DGF39" s="19"/>
      <c r="DGG39" s="19"/>
      <c r="DGH39" s="19"/>
      <c r="DGI39" s="19"/>
      <c r="DGJ39" s="19"/>
      <c r="DGK39" s="19"/>
      <c r="DGL39" s="19"/>
      <c r="DGM39" s="19"/>
      <c r="DGN39" s="19"/>
      <c r="DGO39" s="19"/>
      <c r="DGP39" s="19"/>
      <c r="DGQ39" s="19"/>
      <c r="DGR39" s="19"/>
      <c r="DGS39" s="19"/>
      <c r="DGT39" s="19"/>
      <c r="DGU39" s="19"/>
      <c r="DGV39" s="19"/>
      <c r="DGW39" s="19"/>
      <c r="DGX39" s="19"/>
      <c r="DGY39" s="19"/>
      <c r="DGZ39" s="19"/>
      <c r="DHA39" s="19"/>
      <c r="DHB39" s="19"/>
      <c r="DHC39" s="19"/>
      <c r="DHD39" s="19"/>
      <c r="DHE39" s="19"/>
      <c r="DHF39" s="19"/>
      <c r="DHG39" s="19"/>
      <c r="DHH39" s="19"/>
      <c r="DHI39" s="19"/>
      <c r="DHJ39" s="19"/>
      <c r="DHK39" s="19"/>
      <c r="DHL39" s="19"/>
      <c r="DHM39" s="19"/>
      <c r="DHN39" s="19"/>
      <c r="DHO39" s="19"/>
      <c r="DHP39" s="19"/>
      <c r="DHQ39" s="19"/>
      <c r="DHR39" s="19"/>
      <c r="DHS39" s="19"/>
      <c r="DHT39" s="19"/>
      <c r="DHU39" s="19"/>
      <c r="DHV39" s="19"/>
      <c r="DHW39" s="19"/>
      <c r="DHX39" s="19"/>
      <c r="DHY39" s="19"/>
      <c r="DHZ39" s="19"/>
      <c r="DIA39" s="19"/>
      <c r="DIB39" s="19"/>
      <c r="DIC39" s="19"/>
      <c r="DID39" s="19"/>
      <c r="DIE39" s="19"/>
      <c r="DIF39" s="19"/>
      <c r="DIG39" s="19"/>
      <c r="DIH39" s="19"/>
      <c r="DII39" s="19"/>
      <c r="DIJ39" s="19"/>
      <c r="DIK39" s="19"/>
      <c r="DIL39" s="19"/>
      <c r="DIM39" s="19"/>
      <c r="DIN39" s="19"/>
      <c r="DIO39" s="19"/>
      <c r="DIP39" s="19"/>
      <c r="DIQ39" s="19"/>
      <c r="DIR39" s="19"/>
      <c r="DIS39" s="19"/>
      <c r="DIT39" s="19"/>
      <c r="DIU39" s="19"/>
      <c r="DIV39" s="19"/>
      <c r="DIW39" s="19"/>
      <c r="DIX39" s="19"/>
      <c r="DIY39" s="19"/>
      <c r="DIZ39" s="19"/>
      <c r="DJA39" s="19"/>
      <c r="DJB39" s="19"/>
      <c r="DJC39" s="19"/>
      <c r="DJD39" s="19"/>
      <c r="DJE39" s="19"/>
      <c r="DJF39" s="19"/>
      <c r="DJG39" s="19"/>
      <c r="DJH39" s="19"/>
      <c r="DJI39" s="19"/>
      <c r="DJJ39" s="19"/>
      <c r="DJK39" s="19"/>
      <c r="DJL39" s="19"/>
      <c r="DJM39" s="19"/>
      <c r="DJN39" s="19"/>
      <c r="DJO39" s="19"/>
      <c r="DJP39" s="19"/>
      <c r="DJQ39" s="19"/>
      <c r="DJR39" s="19"/>
      <c r="DJS39" s="19"/>
      <c r="DJT39" s="19"/>
      <c r="DJU39" s="19"/>
      <c r="DJV39" s="19"/>
      <c r="DJW39" s="19"/>
      <c r="DJX39" s="19"/>
      <c r="DJY39" s="19"/>
      <c r="DJZ39" s="19"/>
      <c r="DKA39" s="19"/>
      <c r="DKB39" s="19"/>
      <c r="DKC39" s="19"/>
      <c r="DKD39" s="19"/>
      <c r="DKE39" s="19"/>
      <c r="DKF39" s="19"/>
      <c r="DKG39" s="19"/>
      <c r="DKH39" s="19"/>
      <c r="DKI39" s="19"/>
      <c r="DKJ39" s="19"/>
      <c r="DKK39" s="19"/>
      <c r="DKL39" s="19"/>
      <c r="DKM39" s="19"/>
      <c r="DKN39" s="19"/>
      <c r="DKO39" s="19"/>
      <c r="DKP39" s="19"/>
      <c r="DKQ39" s="19"/>
      <c r="DKR39" s="19"/>
      <c r="DKS39" s="19"/>
      <c r="DKT39" s="19"/>
      <c r="DKU39" s="19"/>
      <c r="DKV39" s="19"/>
      <c r="DKW39" s="19"/>
      <c r="DKX39" s="19"/>
      <c r="DKY39" s="19"/>
      <c r="DKZ39" s="19"/>
      <c r="DLA39" s="19"/>
      <c r="DLB39" s="19"/>
      <c r="DLC39" s="19"/>
      <c r="DLD39" s="19"/>
      <c r="DLE39" s="19"/>
      <c r="DLF39" s="19"/>
      <c r="DLG39" s="19"/>
      <c r="DLH39" s="19"/>
      <c r="DLI39" s="19"/>
      <c r="DLJ39" s="19"/>
      <c r="DLK39" s="19"/>
      <c r="DLL39" s="19"/>
      <c r="DLM39" s="19"/>
      <c r="DLN39" s="19"/>
      <c r="DLO39" s="19"/>
      <c r="DLP39" s="19"/>
      <c r="DLQ39" s="19"/>
      <c r="DLR39" s="19"/>
      <c r="DLS39" s="19"/>
      <c r="DLT39" s="19"/>
      <c r="DLU39" s="19"/>
      <c r="DLV39" s="19"/>
      <c r="DLW39" s="19"/>
      <c r="DLX39" s="19"/>
      <c r="DLY39" s="19"/>
      <c r="DLZ39" s="19"/>
      <c r="DMA39" s="19"/>
      <c r="DMB39" s="19"/>
      <c r="DMC39" s="19"/>
      <c r="DMD39" s="19"/>
      <c r="DME39" s="19"/>
      <c r="DMF39" s="19"/>
      <c r="DMG39" s="19"/>
      <c r="DMH39" s="19"/>
      <c r="DMI39" s="19"/>
      <c r="DMJ39" s="19"/>
      <c r="DMK39" s="19"/>
      <c r="DML39" s="19"/>
      <c r="DMM39" s="19"/>
      <c r="DMN39" s="19"/>
      <c r="DMO39" s="19"/>
      <c r="DMP39" s="19"/>
      <c r="DMQ39" s="19"/>
      <c r="DMR39" s="19"/>
      <c r="DMS39" s="19"/>
      <c r="DMT39" s="19"/>
      <c r="DMU39" s="19"/>
      <c r="DMV39" s="19"/>
      <c r="DMW39" s="19"/>
      <c r="DMX39" s="19"/>
      <c r="DMY39" s="19"/>
      <c r="DMZ39" s="19"/>
      <c r="DNA39" s="19"/>
      <c r="DNB39" s="19"/>
      <c r="DNC39" s="19"/>
      <c r="DND39" s="19"/>
      <c r="DNE39" s="19"/>
      <c r="DNF39" s="19"/>
      <c r="DNG39" s="19"/>
      <c r="DNH39" s="19"/>
      <c r="DNI39" s="19"/>
      <c r="DNJ39" s="19"/>
      <c r="DNK39" s="19"/>
      <c r="DNL39" s="19"/>
      <c r="DNM39" s="19"/>
      <c r="DNN39" s="19"/>
      <c r="DNO39" s="19"/>
      <c r="DNP39" s="19"/>
      <c r="DNQ39" s="19"/>
      <c r="DNR39" s="19"/>
      <c r="DNS39" s="19"/>
      <c r="DNT39" s="19"/>
      <c r="DNU39" s="19"/>
      <c r="DNV39" s="19"/>
      <c r="DNW39" s="19"/>
      <c r="DNX39" s="19"/>
      <c r="DNY39" s="19"/>
      <c r="DNZ39" s="19"/>
      <c r="DOA39" s="19"/>
      <c r="DOB39" s="19"/>
      <c r="DOC39" s="19"/>
      <c r="DOD39" s="19"/>
      <c r="DOE39" s="19"/>
      <c r="DOF39" s="19"/>
      <c r="DOG39" s="19"/>
      <c r="DOH39" s="19"/>
      <c r="DOI39" s="19"/>
      <c r="DOJ39" s="19"/>
      <c r="DOK39" s="19"/>
      <c r="DOL39" s="19"/>
      <c r="DOM39" s="19"/>
      <c r="DON39" s="19"/>
      <c r="DOO39" s="19"/>
      <c r="DOP39" s="19"/>
      <c r="DOQ39" s="19"/>
      <c r="DOR39" s="19"/>
      <c r="DOS39" s="19"/>
      <c r="DOT39" s="19"/>
      <c r="DOU39" s="19"/>
      <c r="DOV39" s="19"/>
      <c r="DOW39" s="19"/>
      <c r="DOX39" s="19"/>
      <c r="DOY39" s="19"/>
      <c r="DOZ39" s="19"/>
      <c r="DPA39" s="19"/>
      <c r="DPB39" s="19"/>
      <c r="DPC39" s="19"/>
      <c r="DPD39" s="19"/>
      <c r="DPE39" s="19"/>
      <c r="DPF39" s="19"/>
      <c r="DPG39" s="19"/>
      <c r="DPH39" s="19"/>
      <c r="DPI39" s="19"/>
      <c r="DPJ39" s="19"/>
      <c r="DPK39" s="19"/>
      <c r="DPL39" s="19"/>
      <c r="DPM39" s="19"/>
      <c r="DPN39" s="19"/>
      <c r="DPO39" s="19"/>
      <c r="DPP39" s="19"/>
      <c r="DPQ39" s="19"/>
      <c r="DPR39" s="19"/>
      <c r="DPS39" s="19"/>
      <c r="DPT39" s="19"/>
      <c r="DPU39" s="19"/>
      <c r="DPV39" s="19"/>
      <c r="DPW39" s="19"/>
      <c r="DPX39" s="19"/>
      <c r="DPY39" s="19"/>
      <c r="DPZ39" s="19"/>
      <c r="DQA39" s="19"/>
      <c r="DQB39" s="19"/>
      <c r="DQC39" s="19"/>
      <c r="DQD39" s="19"/>
      <c r="DQE39" s="19"/>
      <c r="DQF39" s="19"/>
      <c r="DQG39" s="19"/>
      <c r="DQH39" s="19"/>
      <c r="DQI39" s="19"/>
      <c r="DQJ39" s="19"/>
      <c r="DQK39" s="19"/>
      <c r="DQL39" s="19"/>
      <c r="DQM39" s="19"/>
      <c r="DQN39" s="19"/>
      <c r="DQO39" s="19"/>
      <c r="DQP39" s="19"/>
      <c r="DQQ39" s="19"/>
      <c r="DQR39" s="19"/>
      <c r="DQS39" s="19"/>
      <c r="DQT39" s="19"/>
      <c r="DQU39" s="19"/>
      <c r="DQV39" s="19"/>
      <c r="DQW39" s="19"/>
      <c r="DQX39" s="19"/>
      <c r="DQY39" s="19"/>
      <c r="DQZ39" s="19"/>
      <c r="DRA39" s="19"/>
      <c r="DRB39" s="19"/>
      <c r="DRC39" s="19"/>
      <c r="DRD39" s="19"/>
      <c r="DRE39" s="19"/>
      <c r="DRF39" s="19"/>
      <c r="DRG39" s="19"/>
      <c r="DRH39" s="19"/>
      <c r="DRI39" s="19"/>
      <c r="DRJ39" s="19"/>
      <c r="DRK39" s="19"/>
      <c r="DRL39" s="19"/>
      <c r="DRM39" s="19"/>
      <c r="DRN39" s="19"/>
      <c r="DRO39" s="19"/>
      <c r="DRP39" s="19"/>
      <c r="DRQ39" s="19"/>
      <c r="DRR39" s="19"/>
      <c r="DRS39" s="19"/>
      <c r="DRT39" s="19"/>
      <c r="DRU39" s="19"/>
      <c r="DRV39" s="19"/>
      <c r="DRW39" s="19"/>
      <c r="DRX39" s="19"/>
      <c r="DRY39" s="19"/>
      <c r="DRZ39" s="19"/>
      <c r="DSA39" s="19"/>
      <c r="DSB39" s="19"/>
      <c r="DSC39" s="19"/>
      <c r="DSD39" s="19"/>
      <c r="DSE39" s="19"/>
      <c r="DSF39" s="19"/>
      <c r="DSG39" s="19"/>
      <c r="DSH39" s="19"/>
      <c r="DSI39" s="19"/>
      <c r="DSJ39" s="19"/>
      <c r="DSK39" s="19"/>
      <c r="DSL39" s="19"/>
      <c r="DSM39" s="19"/>
      <c r="DSN39" s="19"/>
      <c r="DSO39" s="19"/>
      <c r="DSP39" s="19"/>
      <c r="DSQ39" s="19"/>
      <c r="DSR39" s="19"/>
      <c r="DSS39" s="19"/>
      <c r="DST39" s="19"/>
      <c r="DSU39" s="19"/>
      <c r="DSV39" s="19"/>
      <c r="DSW39" s="19"/>
      <c r="DSX39" s="19"/>
      <c r="DSY39" s="19"/>
      <c r="DSZ39" s="19"/>
      <c r="DTA39" s="19"/>
      <c r="DTB39" s="19"/>
      <c r="DTC39" s="19"/>
      <c r="DTD39" s="19"/>
      <c r="DTE39" s="19"/>
      <c r="DTF39" s="19"/>
      <c r="DTG39" s="19"/>
      <c r="DTH39" s="19"/>
      <c r="DTI39" s="19"/>
      <c r="DTJ39" s="19"/>
      <c r="DTK39" s="19"/>
      <c r="DTL39" s="19"/>
      <c r="DTM39" s="19"/>
      <c r="DTN39" s="19"/>
      <c r="DTO39" s="19"/>
      <c r="DTP39" s="19"/>
      <c r="DTQ39" s="19"/>
      <c r="DTR39" s="19"/>
      <c r="DTS39" s="19"/>
      <c r="DTT39" s="19"/>
      <c r="DTU39" s="19"/>
      <c r="DTV39" s="19"/>
      <c r="DTW39" s="19"/>
      <c r="DTX39" s="19"/>
      <c r="DTY39" s="19"/>
      <c r="DTZ39" s="19"/>
      <c r="DUA39" s="19"/>
      <c r="DUB39" s="19"/>
      <c r="DUC39" s="19"/>
      <c r="DUD39" s="19"/>
      <c r="DUE39" s="19"/>
      <c r="DUF39" s="19"/>
      <c r="DUG39" s="19"/>
      <c r="DUH39" s="19"/>
      <c r="DUI39" s="19"/>
      <c r="DUJ39" s="19"/>
      <c r="DUK39" s="19"/>
      <c r="DUL39" s="19"/>
      <c r="DUM39" s="19"/>
      <c r="DUN39" s="19"/>
      <c r="DUO39" s="19"/>
      <c r="DUP39" s="19"/>
      <c r="DUQ39" s="19"/>
      <c r="DUR39" s="19"/>
      <c r="DUS39" s="19"/>
      <c r="DUT39" s="19"/>
      <c r="DUU39" s="19"/>
      <c r="DUV39" s="19"/>
      <c r="DUW39" s="19"/>
      <c r="DUX39" s="19"/>
      <c r="DUY39" s="19"/>
      <c r="DUZ39" s="19"/>
      <c r="DVA39" s="19"/>
      <c r="DVB39" s="19"/>
      <c r="DVC39" s="19"/>
      <c r="DVD39" s="19"/>
      <c r="DVE39" s="19"/>
      <c r="DVF39" s="19"/>
      <c r="DVG39" s="19"/>
      <c r="DVH39" s="19"/>
      <c r="DVI39" s="19"/>
      <c r="DVJ39" s="19"/>
      <c r="DVK39" s="19"/>
      <c r="DVL39" s="19"/>
      <c r="DVM39" s="19"/>
      <c r="DVN39" s="19"/>
      <c r="DVO39" s="19"/>
      <c r="DVP39" s="19"/>
      <c r="DVQ39" s="19"/>
      <c r="DVR39" s="19"/>
      <c r="DVS39" s="19"/>
      <c r="DVT39" s="19"/>
      <c r="DVU39" s="19"/>
      <c r="DVV39" s="19"/>
      <c r="DVW39" s="19"/>
      <c r="DVX39" s="19"/>
      <c r="DVY39" s="19"/>
      <c r="DVZ39" s="19"/>
      <c r="DWA39" s="19"/>
      <c r="DWB39" s="19"/>
      <c r="DWC39" s="19"/>
      <c r="DWD39" s="19"/>
      <c r="DWE39" s="19"/>
      <c r="DWF39" s="19"/>
      <c r="DWG39" s="19"/>
      <c r="DWH39" s="19"/>
      <c r="DWI39" s="19"/>
      <c r="DWJ39" s="19"/>
      <c r="DWK39" s="19"/>
      <c r="DWL39" s="19"/>
      <c r="DWM39" s="19"/>
      <c r="DWN39" s="19"/>
      <c r="DWO39" s="19"/>
      <c r="DWP39" s="19"/>
      <c r="DWQ39" s="19"/>
      <c r="DWR39" s="19"/>
      <c r="DWS39" s="19"/>
      <c r="DWT39" s="19"/>
      <c r="DWU39" s="19"/>
      <c r="DWV39" s="19"/>
      <c r="DWW39" s="19"/>
      <c r="DWX39" s="19"/>
      <c r="DWY39" s="19"/>
      <c r="DWZ39" s="19"/>
      <c r="DXA39" s="19"/>
      <c r="DXB39" s="19"/>
      <c r="DXC39" s="19"/>
      <c r="DXD39" s="19"/>
      <c r="DXE39" s="19"/>
      <c r="DXF39" s="19"/>
      <c r="DXG39" s="19"/>
      <c r="DXH39" s="19"/>
      <c r="DXI39" s="19"/>
      <c r="DXJ39" s="19"/>
      <c r="DXK39" s="19"/>
      <c r="DXL39" s="19"/>
      <c r="DXM39" s="19"/>
      <c r="DXN39" s="19"/>
      <c r="DXO39" s="19"/>
      <c r="DXP39" s="19"/>
      <c r="DXQ39" s="19"/>
      <c r="DXR39" s="19"/>
      <c r="DXS39" s="19"/>
      <c r="DXT39" s="19"/>
      <c r="DXU39" s="19"/>
      <c r="DXV39" s="19"/>
      <c r="DXW39" s="19"/>
      <c r="DXX39" s="19"/>
      <c r="DXY39" s="19"/>
      <c r="DXZ39" s="19"/>
      <c r="DYA39" s="19"/>
      <c r="DYB39" s="19"/>
      <c r="DYC39" s="19"/>
      <c r="DYD39" s="19"/>
      <c r="DYE39" s="19"/>
      <c r="DYF39" s="19"/>
      <c r="DYG39" s="19"/>
      <c r="DYH39" s="19"/>
      <c r="DYI39" s="19"/>
      <c r="DYJ39" s="19"/>
      <c r="DYK39" s="19"/>
      <c r="DYL39" s="19"/>
      <c r="DYM39" s="19"/>
      <c r="DYN39" s="19"/>
      <c r="DYO39" s="19"/>
      <c r="DYP39" s="19"/>
      <c r="DYQ39" s="19"/>
      <c r="DYR39" s="19"/>
      <c r="DYS39" s="19"/>
      <c r="DYT39" s="19"/>
      <c r="DYU39" s="19"/>
      <c r="DYV39" s="19"/>
      <c r="DYW39" s="19"/>
      <c r="DYX39" s="19"/>
      <c r="DYY39" s="19"/>
      <c r="DYZ39" s="19"/>
      <c r="DZA39" s="19"/>
      <c r="DZB39" s="19"/>
      <c r="DZC39" s="19"/>
      <c r="DZD39" s="19"/>
      <c r="DZE39" s="19"/>
      <c r="DZF39" s="19"/>
      <c r="DZG39" s="19"/>
      <c r="DZH39" s="19"/>
      <c r="DZI39" s="19"/>
      <c r="DZJ39" s="19"/>
      <c r="DZK39" s="19"/>
      <c r="DZL39" s="19"/>
      <c r="DZM39" s="19"/>
      <c r="DZN39" s="19"/>
      <c r="DZO39" s="19"/>
      <c r="DZP39" s="19"/>
      <c r="DZQ39" s="19"/>
      <c r="DZR39" s="19"/>
      <c r="DZS39" s="19"/>
      <c r="DZT39" s="19"/>
      <c r="DZU39" s="19"/>
      <c r="DZV39" s="19"/>
      <c r="DZW39" s="19"/>
      <c r="DZX39" s="19"/>
      <c r="DZY39" s="19"/>
      <c r="DZZ39" s="19"/>
      <c r="EAA39" s="19"/>
      <c r="EAB39" s="19"/>
      <c r="EAC39" s="19"/>
      <c r="EAD39" s="19"/>
      <c r="EAE39" s="19"/>
      <c r="EAF39" s="19"/>
      <c r="EAG39" s="19"/>
      <c r="EAH39" s="19"/>
      <c r="EAI39" s="19"/>
      <c r="EAJ39" s="19"/>
      <c r="EAK39" s="19"/>
      <c r="EAL39" s="19"/>
      <c r="EAM39" s="19"/>
      <c r="EAN39" s="19"/>
      <c r="EAO39" s="19"/>
      <c r="EAP39" s="19"/>
      <c r="EAQ39" s="19"/>
      <c r="EAR39" s="19"/>
      <c r="EAS39" s="19"/>
      <c r="EAT39" s="19"/>
      <c r="EAU39" s="19"/>
      <c r="EAV39" s="19"/>
      <c r="EAW39" s="19"/>
      <c r="EAX39" s="19"/>
      <c r="EAY39" s="19"/>
      <c r="EAZ39" s="19"/>
      <c r="EBA39" s="19"/>
      <c r="EBB39" s="19"/>
      <c r="EBC39" s="19"/>
      <c r="EBD39" s="19"/>
      <c r="EBE39" s="19"/>
      <c r="EBF39" s="19"/>
      <c r="EBG39" s="19"/>
      <c r="EBH39" s="19"/>
      <c r="EBI39" s="19"/>
      <c r="EBJ39" s="19"/>
      <c r="EBK39" s="19"/>
      <c r="EBL39" s="19"/>
      <c r="EBM39" s="19"/>
      <c r="EBN39" s="19"/>
      <c r="EBO39" s="19"/>
      <c r="EBP39" s="19"/>
      <c r="EBQ39" s="19"/>
      <c r="EBR39" s="19"/>
      <c r="EBS39" s="19"/>
      <c r="EBT39" s="19"/>
      <c r="EBU39" s="19"/>
      <c r="EBV39" s="19"/>
      <c r="EBW39" s="19"/>
      <c r="EBX39" s="19"/>
      <c r="EBY39" s="19"/>
      <c r="EBZ39" s="19"/>
      <c r="ECA39" s="19"/>
      <c r="ECB39" s="19"/>
      <c r="ECC39" s="19"/>
      <c r="ECD39" s="19"/>
      <c r="ECE39" s="19"/>
      <c r="ECF39" s="19"/>
      <c r="ECG39" s="19"/>
      <c r="ECH39" s="19"/>
      <c r="ECI39" s="19"/>
      <c r="ECJ39" s="19"/>
      <c r="ECK39" s="19"/>
      <c r="ECL39" s="19"/>
      <c r="ECM39" s="19"/>
      <c r="ECN39" s="19"/>
      <c r="ECO39" s="19"/>
      <c r="ECP39" s="19"/>
      <c r="ECQ39" s="19"/>
      <c r="ECR39" s="19"/>
      <c r="ECS39" s="19"/>
      <c r="ECT39" s="19"/>
      <c r="ECU39" s="19"/>
      <c r="ECV39" s="19"/>
      <c r="ECW39" s="19"/>
      <c r="ECX39" s="19"/>
      <c r="ECY39" s="19"/>
      <c r="ECZ39" s="19"/>
      <c r="EDA39" s="19"/>
      <c r="EDB39" s="19"/>
      <c r="EDC39" s="19"/>
      <c r="EDD39" s="19"/>
      <c r="EDE39" s="19"/>
      <c r="EDF39" s="19"/>
      <c r="EDG39" s="19"/>
      <c r="EDH39" s="19"/>
      <c r="EDI39" s="19"/>
      <c r="EDJ39" s="19"/>
      <c r="EDK39" s="19"/>
      <c r="EDL39" s="19"/>
      <c r="EDM39" s="19"/>
      <c r="EDN39" s="19"/>
      <c r="EDO39" s="19"/>
      <c r="EDP39" s="19"/>
      <c r="EDQ39" s="19"/>
      <c r="EDR39" s="19"/>
      <c r="EDS39" s="19"/>
      <c r="EDT39" s="19"/>
      <c r="EDU39" s="19"/>
      <c r="EDV39" s="19"/>
      <c r="EDW39" s="19"/>
      <c r="EDX39" s="19"/>
      <c r="EDY39" s="19"/>
      <c r="EDZ39" s="19"/>
      <c r="EEA39" s="19"/>
      <c r="EEB39" s="19"/>
      <c r="EEC39" s="19"/>
      <c r="EED39" s="19"/>
      <c r="EEE39" s="19"/>
      <c r="EEF39" s="19"/>
      <c r="EEG39" s="19"/>
      <c r="EEH39" s="19"/>
      <c r="EEI39" s="19"/>
      <c r="EEJ39" s="19"/>
      <c r="EEK39" s="19"/>
      <c r="EEL39" s="19"/>
      <c r="EEM39" s="19"/>
      <c r="EEN39" s="19"/>
      <c r="EEO39" s="19"/>
      <c r="EEP39" s="19"/>
      <c r="EEQ39" s="19"/>
      <c r="EER39" s="19"/>
      <c r="EES39" s="19"/>
      <c r="EET39" s="19"/>
      <c r="EEU39" s="19"/>
      <c r="EEV39" s="19"/>
      <c r="EEW39" s="19"/>
      <c r="EEX39" s="19"/>
      <c r="EEY39" s="19"/>
      <c r="EEZ39" s="19"/>
      <c r="EFA39" s="19"/>
      <c r="EFB39" s="19"/>
      <c r="EFC39" s="19"/>
      <c r="EFD39" s="19"/>
      <c r="EFE39" s="19"/>
      <c r="EFF39" s="19"/>
      <c r="EFG39" s="19"/>
      <c r="EFH39" s="19"/>
      <c r="EFI39" s="19"/>
      <c r="EFJ39" s="19"/>
      <c r="EFK39" s="19"/>
      <c r="EFL39" s="19"/>
      <c r="EFM39" s="19"/>
      <c r="EFN39" s="19"/>
      <c r="EFO39" s="19"/>
      <c r="EFP39" s="19"/>
      <c r="EFQ39" s="19"/>
      <c r="EFR39" s="19"/>
      <c r="EFS39" s="19"/>
      <c r="EFT39" s="19"/>
      <c r="EFU39" s="19"/>
      <c r="EFV39" s="19"/>
      <c r="EFW39" s="19"/>
      <c r="EFX39" s="19"/>
      <c r="EFY39" s="19"/>
      <c r="EFZ39" s="19"/>
      <c r="EGA39" s="19"/>
      <c r="EGB39" s="19"/>
      <c r="EGC39" s="19"/>
      <c r="EGD39" s="19"/>
      <c r="EGE39" s="19"/>
      <c r="EGF39" s="19"/>
      <c r="EGG39" s="19"/>
      <c r="EGH39" s="19"/>
      <c r="EGI39" s="19"/>
      <c r="EGJ39" s="19"/>
      <c r="EGK39" s="19"/>
      <c r="EGL39" s="19"/>
      <c r="EGM39" s="19"/>
      <c r="EGN39" s="19"/>
      <c r="EGO39" s="19"/>
      <c r="EGP39" s="19"/>
      <c r="EGQ39" s="19"/>
      <c r="EGR39" s="19"/>
      <c r="EGS39" s="19"/>
      <c r="EGT39" s="19"/>
      <c r="EGU39" s="19"/>
      <c r="EGV39" s="19"/>
      <c r="EGW39" s="19"/>
      <c r="EGX39" s="19"/>
      <c r="EGY39" s="19"/>
      <c r="EGZ39" s="19"/>
      <c r="EHA39" s="19"/>
      <c r="EHB39" s="19"/>
      <c r="EHC39" s="19"/>
      <c r="EHD39" s="19"/>
      <c r="EHE39" s="19"/>
      <c r="EHF39" s="19"/>
      <c r="EHG39" s="19"/>
      <c r="EHH39" s="19"/>
      <c r="EHI39" s="19"/>
      <c r="EHJ39" s="19"/>
      <c r="EHK39" s="19"/>
      <c r="EHL39" s="19"/>
      <c r="EHM39" s="19"/>
      <c r="EHN39" s="19"/>
      <c r="EHO39" s="19"/>
      <c r="EHP39" s="19"/>
      <c r="EHQ39" s="19"/>
      <c r="EHR39" s="19"/>
      <c r="EHS39" s="19"/>
      <c r="EHT39" s="19"/>
      <c r="EHU39" s="19"/>
      <c r="EHV39" s="19"/>
      <c r="EHW39" s="19"/>
      <c r="EHX39" s="19"/>
      <c r="EHY39" s="19"/>
      <c r="EHZ39" s="19"/>
      <c r="EIA39" s="19"/>
      <c r="EIB39" s="19"/>
      <c r="EIC39" s="19"/>
      <c r="EID39" s="19"/>
      <c r="EIE39" s="19"/>
      <c r="EIF39" s="19"/>
      <c r="EIG39" s="19"/>
      <c r="EIH39" s="19"/>
      <c r="EII39" s="19"/>
      <c r="EIJ39" s="19"/>
      <c r="EIK39" s="19"/>
      <c r="EIL39" s="19"/>
      <c r="EIM39" s="19"/>
      <c r="EIN39" s="19"/>
      <c r="EIO39" s="19"/>
      <c r="EIP39" s="19"/>
      <c r="EIQ39" s="19"/>
      <c r="EIR39" s="19"/>
      <c r="EIS39" s="19"/>
      <c r="EIT39" s="19"/>
      <c r="EIU39" s="19"/>
      <c r="EIV39" s="19"/>
      <c r="EIW39" s="19"/>
      <c r="EIX39" s="19"/>
      <c r="EIY39" s="19"/>
      <c r="EIZ39" s="19"/>
      <c r="EJA39" s="19"/>
      <c r="EJB39" s="19"/>
      <c r="EJC39" s="19"/>
      <c r="EJD39" s="19"/>
      <c r="EJE39" s="19"/>
      <c r="EJF39" s="19"/>
      <c r="EJG39" s="19"/>
      <c r="EJH39" s="19"/>
      <c r="EJI39" s="19"/>
      <c r="EJJ39" s="19"/>
      <c r="EJK39" s="19"/>
      <c r="EJL39" s="19"/>
      <c r="EJM39" s="19"/>
      <c r="EJN39" s="19"/>
      <c r="EJO39" s="19"/>
      <c r="EJP39" s="19"/>
      <c r="EJQ39" s="19"/>
      <c r="EJR39" s="19"/>
      <c r="EJS39" s="19"/>
      <c r="EJT39" s="19"/>
      <c r="EJU39" s="19"/>
      <c r="EJV39" s="19"/>
      <c r="EJW39" s="19"/>
      <c r="EJX39" s="19"/>
      <c r="EJY39" s="19"/>
      <c r="EJZ39" s="19"/>
      <c r="EKA39" s="19"/>
      <c r="EKB39" s="19"/>
      <c r="EKC39" s="19"/>
      <c r="EKD39" s="19"/>
      <c r="EKE39" s="19"/>
      <c r="EKF39" s="19"/>
      <c r="EKG39" s="19"/>
      <c r="EKH39" s="19"/>
      <c r="EKI39" s="19"/>
      <c r="EKJ39" s="19"/>
      <c r="EKK39" s="19"/>
      <c r="EKL39" s="19"/>
      <c r="EKM39" s="19"/>
      <c r="EKN39" s="19"/>
      <c r="EKO39" s="19"/>
      <c r="EKP39" s="19"/>
      <c r="EKQ39" s="19"/>
      <c r="EKR39" s="19"/>
      <c r="EKS39" s="19"/>
      <c r="EKT39" s="19"/>
      <c r="EKU39" s="19"/>
      <c r="EKV39" s="19"/>
      <c r="EKW39" s="19"/>
      <c r="EKX39" s="19"/>
      <c r="EKY39" s="19"/>
      <c r="EKZ39" s="19"/>
      <c r="ELA39" s="19"/>
      <c r="ELB39" s="19"/>
      <c r="ELC39" s="19"/>
      <c r="ELD39" s="19"/>
      <c r="ELE39" s="19"/>
      <c r="ELF39" s="19"/>
      <c r="ELG39" s="19"/>
      <c r="ELH39" s="19"/>
      <c r="ELI39" s="19"/>
      <c r="ELJ39" s="19"/>
      <c r="ELK39" s="19"/>
      <c r="ELL39" s="19"/>
      <c r="ELM39" s="19"/>
      <c r="ELN39" s="19"/>
      <c r="ELO39" s="19"/>
      <c r="ELP39" s="19"/>
      <c r="ELQ39" s="19"/>
      <c r="ELR39" s="19"/>
      <c r="ELS39" s="19"/>
      <c r="ELT39" s="19"/>
      <c r="ELU39" s="19"/>
      <c r="ELV39" s="19"/>
      <c r="ELW39" s="19"/>
      <c r="ELX39" s="19"/>
      <c r="ELY39" s="19"/>
      <c r="ELZ39" s="19"/>
      <c r="EMA39" s="19"/>
      <c r="EMB39" s="19"/>
      <c r="EMC39" s="19"/>
      <c r="EMD39" s="19"/>
      <c r="EME39" s="19"/>
      <c r="EMF39" s="19"/>
      <c r="EMG39" s="19"/>
      <c r="EMH39" s="19"/>
      <c r="EMI39" s="19"/>
      <c r="EMJ39" s="19"/>
      <c r="EMK39" s="19"/>
      <c r="EML39" s="19"/>
      <c r="EMM39" s="19"/>
      <c r="EMN39" s="19"/>
      <c r="EMO39" s="19"/>
      <c r="EMP39" s="19"/>
      <c r="EMQ39" s="19"/>
      <c r="EMR39" s="19"/>
      <c r="EMS39" s="19"/>
      <c r="EMT39" s="19"/>
      <c r="EMU39" s="19"/>
      <c r="EMV39" s="19"/>
      <c r="EMW39" s="19"/>
      <c r="EMX39" s="19"/>
      <c r="EMY39" s="19"/>
      <c r="EMZ39" s="19"/>
      <c r="ENA39" s="19"/>
      <c r="ENB39" s="19"/>
      <c r="ENC39" s="19"/>
      <c r="END39" s="19"/>
      <c r="ENE39" s="19"/>
      <c r="ENF39" s="19"/>
      <c r="ENG39" s="19"/>
      <c r="ENH39" s="19"/>
      <c r="ENI39" s="19"/>
      <c r="ENJ39" s="19"/>
      <c r="ENK39" s="19"/>
      <c r="ENL39" s="19"/>
      <c r="ENM39" s="19"/>
      <c r="ENN39" s="19"/>
      <c r="ENO39" s="19"/>
      <c r="ENP39" s="19"/>
      <c r="ENQ39" s="19"/>
      <c r="ENR39" s="19"/>
      <c r="ENS39" s="19"/>
      <c r="ENT39" s="19"/>
      <c r="ENU39" s="19"/>
      <c r="ENV39" s="19"/>
      <c r="ENW39" s="19"/>
      <c r="ENX39" s="19"/>
      <c r="ENY39" s="19"/>
      <c r="ENZ39" s="19"/>
      <c r="EOA39" s="19"/>
      <c r="EOB39" s="19"/>
      <c r="EOC39" s="19"/>
      <c r="EOD39" s="19"/>
      <c r="EOE39" s="19"/>
      <c r="EOF39" s="19"/>
      <c r="EOG39" s="19"/>
      <c r="EOH39" s="19"/>
      <c r="EOI39" s="19"/>
      <c r="EOJ39" s="19"/>
      <c r="EOK39" s="19"/>
      <c r="EOL39" s="19"/>
      <c r="EOM39" s="19"/>
      <c r="EON39" s="19"/>
      <c r="EOO39" s="19"/>
      <c r="EOP39" s="19"/>
      <c r="EOQ39" s="19"/>
      <c r="EOR39" s="19"/>
      <c r="EOS39" s="19"/>
      <c r="EOT39" s="19"/>
      <c r="EOU39" s="19"/>
      <c r="EOV39" s="19"/>
      <c r="EOW39" s="19"/>
      <c r="EOX39" s="19"/>
      <c r="EOY39" s="19"/>
      <c r="EOZ39" s="19"/>
      <c r="EPA39" s="19"/>
      <c r="EPB39" s="19"/>
      <c r="EPC39" s="19"/>
      <c r="EPD39" s="19"/>
      <c r="EPE39" s="19"/>
      <c r="EPF39" s="19"/>
      <c r="EPG39" s="19"/>
      <c r="EPH39" s="19"/>
      <c r="EPI39" s="19"/>
      <c r="EPJ39" s="19"/>
      <c r="EPK39" s="19"/>
      <c r="EPL39" s="19"/>
      <c r="EPM39" s="19"/>
      <c r="EPN39" s="19"/>
      <c r="EPO39" s="19"/>
      <c r="EPP39" s="19"/>
      <c r="EPQ39" s="19"/>
      <c r="EPR39" s="19"/>
      <c r="EPS39" s="19"/>
      <c r="EPT39" s="19"/>
      <c r="EPU39" s="19"/>
      <c r="EPV39" s="19"/>
      <c r="EPW39" s="19"/>
      <c r="EPX39" s="19"/>
      <c r="EPY39" s="19"/>
      <c r="EPZ39" s="19"/>
      <c r="EQA39" s="19"/>
      <c r="EQB39" s="19"/>
      <c r="EQC39" s="19"/>
      <c r="EQD39" s="19"/>
      <c r="EQE39" s="19"/>
      <c r="EQF39" s="19"/>
      <c r="EQG39" s="19"/>
      <c r="EQH39" s="19"/>
      <c r="EQI39" s="19"/>
      <c r="EQJ39" s="19"/>
      <c r="EQK39" s="19"/>
      <c r="EQL39" s="19"/>
      <c r="EQM39" s="19"/>
      <c r="EQN39" s="19"/>
      <c r="EQO39" s="19"/>
      <c r="EQP39" s="19"/>
      <c r="EQQ39" s="19"/>
      <c r="EQR39" s="19"/>
      <c r="EQS39" s="19"/>
      <c r="EQT39" s="19"/>
      <c r="EQU39" s="19"/>
      <c r="EQV39" s="19"/>
      <c r="EQW39" s="19"/>
      <c r="EQX39" s="19"/>
      <c r="EQY39" s="19"/>
      <c r="EQZ39" s="19"/>
      <c r="ERA39" s="19"/>
      <c r="ERB39" s="19"/>
      <c r="ERC39" s="19"/>
      <c r="ERD39" s="19"/>
      <c r="ERE39" s="19"/>
      <c r="ERF39" s="19"/>
      <c r="ERG39" s="19"/>
      <c r="ERH39" s="19"/>
      <c r="ERI39" s="19"/>
      <c r="ERJ39" s="19"/>
      <c r="ERK39" s="19"/>
      <c r="ERL39" s="19"/>
      <c r="ERM39" s="19"/>
      <c r="ERN39" s="19"/>
      <c r="ERO39" s="19"/>
      <c r="ERP39" s="19"/>
      <c r="ERQ39" s="19"/>
      <c r="ERR39" s="19"/>
      <c r="ERS39" s="19"/>
      <c r="ERT39" s="19"/>
      <c r="ERU39" s="19"/>
      <c r="ERV39" s="19"/>
      <c r="ERW39" s="19"/>
      <c r="ERX39" s="19"/>
      <c r="ERY39" s="19"/>
      <c r="ERZ39" s="19"/>
      <c r="ESA39" s="19"/>
      <c r="ESB39" s="19"/>
      <c r="ESC39" s="19"/>
      <c r="ESD39" s="19"/>
      <c r="ESE39" s="19"/>
      <c r="ESF39" s="19"/>
      <c r="ESG39" s="19"/>
      <c r="ESH39" s="19"/>
      <c r="ESI39" s="19"/>
      <c r="ESJ39" s="19"/>
      <c r="ESK39" s="19"/>
      <c r="ESL39" s="19"/>
      <c r="ESM39" s="19"/>
      <c r="ESN39" s="19"/>
      <c r="ESO39" s="19"/>
      <c r="ESP39" s="19"/>
      <c r="ESQ39" s="19"/>
      <c r="ESR39" s="19"/>
      <c r="ESS39" s="19"/>
      <c r="EST39" s="19"/>
      <c r="ESU39" s="19"/>
      <c r="ESV39" s="19"/>
      <c r="ESW39" s="19"/>
      <c r="ESX39" s="19"/>
      <c r="ESY39" s="19"/>
      <c r="ESZ39" s="19"/>
      <c r="ETA39" s="19"/>
      <c r="ETB39" s="19"/>
      <c r="ETC39" s="19"/>
      <c r="ETD39" s="19"/>
      <c r="ETE39" s="19"/>
      <c r="ETF39" s="19"/>
      <c r="ETG39" s="19"/>
      <c r="ETH39" s="19"/>
      <c r="ETI39" s="19"/>
      <c r="ETJ39" s="19"/>
      <c r="ETK39" s="19"/>
      <c r="ETL39" s="19"/>
      <c r="ETM39" s="19"/>
      <c r="ETN39" s="19"/>
      <c r="ETO39" s="19"/>
      <c r="ETP39" s="19"/>
      <c r="ETQ39" s="19"/>
      <c r="ETR39" s="19"/>
      <c r="ETS39" s="19"/>
      <c r="ETT39" s="19"/>
      <c r="ETU39" s="19"/>
      <c r="ETV39" s="19"/>
      <c r="ETW39" s="19"/>
      <c r="ETX39" s="19"/>
      <c r="ETY39" s="19"/>
      <c r="ETZ39" s="19"/>
      <c r="EUA39" s="19"/>
      <c r="EUB39" s="19"/>
      <c r="EUC39" s="19"/>
      <c r="EUD39" s="19"/>
      <c r="EUE39" s="19"/>
      <c r="EUF39" s="19"/>
      <c r="EUG39" s="19"/>
      <c r="EUH39" s="19"/>
      <c r="EUI39" s="19"/>
      <c r="EUJ39" s="19"/>
      <c r="EUK39" s="19"/>
      <c r="EUL39" s="19"/>
      <c r="EUM39" s="19"/>
      <c r="EUN39" s="19"/>
      <c r="EUO39" s="19"/>
      <c r="EUP39" s="19"/>
      <c r="EUQ39" s="19"/>
      <c r="EUR39" s="19"/>
      <c r="EUS39" s="19"/>
      <c r="EUT39" s="19"/>
      <c r="EUU39" s="19"/>
      <c r="EUV39" s="19"/>
      <c r="EUW39" s="19"/>
      <c r="EUX39" s="19"/>
      <c r="EUY39" s="19"/>
      <c r="EUZ39" s="19"/>
      <c r="EVA39" s="19"/>
      <c r="EVB39" s="19"/>
      <c r="EVC39" s="19"/>
      <c r="EVD39" s="19"/>
      <c r="EVE39" s="19"/>
      <c r="EVF39" s="19"/>
      <c r="EVG39" s="19"/>
      <c r="EVH39" s="19"/>
      <c r="EVI39" s="19"/>
      <c r="EVJ39" s="19"/>
      <c r="EVK39" s="19"/>
      <c r="EVL39" s="19"/>
      <c r="EVM39" s="19"/>
      <c r="EVN39" s="19"/>
      <c r="EVO39" s="19"/>
      <c r="EVP39" s="19"/>
      <c r="EVQ39" s="19"/>
      <c r="EVR39" s="19"/>
      <c r="EVS39" s="19"/>
      <c r="EVT39" s="19"/>
      <c r="EVU39" s="19"/>
      <c r="EVV39" s="19"/>
      <c r="EVW39" s="19"/>
      <c r="EVX39" s="19"/>
      <c r="EVY39" s="19"/>
      <c r="EVZ39" s="19"/>
      <c r="EWA39" s="19"/>
      <c r="EWB39" s="19"/>
      <c r="EWC39" s="19"/>
      <c r="EWD39" s="19"/>
      <c r="EWE39" s="19"/>
      <c r="EWF39" s="19"/>
      <c r="EWG39" s="19"/>
      <c r="EWH39" s="19"/>
      <c r="EWI39" s="19"/>
      <c r="EWJ39" s="19"/>
      <c r="EWK39" s="19"/>
      <c r="EWL39" s="19"/>
      <c r="EWM39" s="19"/>
      <c r="EWN39" s="19"/>
      <c r="EWO39" s="19"/>
      <c r="EWP39" s="19"/>
      <c r="EWQ39" s="19"/>
      <c r="EWR39" s="19"/>
      <c r="EWS39" s="19"/>
      <c r="EWT39" s="19"/>
      <c r="EWU39" s="19"/>
      <c r="EWV39" s="19"/>
      <c r="EWW39" s="19"/>
      <c r="EWX39" s="19"/>
      <c r="EWY39" s="19"/>
      <c r="EWZ39" s="19"/>
      <c r="EXA39" s="19"/>
      <c r="EXB39" s="19"/>
      <c r="EXC39" s="19"/>
      <c r="EXD39" s="19"/>
      <c r="EXE39" s="19"/>
      <c r="EXF39" s="19"/>
      <c r="EXG39" s="19"/>
      <c r="EXH39" s="19"/>
      <c r="EXI39" s="19"/>
      <c r="EXJ39" s="19"/>
      <c r="EXK39" s="19"/>
      <c r="EXL39" s="19"/>
      <c r="EXM39" s="19"/>
      <c r="EXN39" s="19"/>
      <c r="EXO39" s="19"/>
      <c r="EXP39" s="19"/>
      <c r="EXQ39" s="19"/>
      <c r="EXR39" s="19"/>
      <c r="EXS39" s="19"/>
      <c r="EXT39" s="19"/>
      <c r="EXU39" s="19"/>
      <c r="EXV39" s="19"/>
      <c r="EXW39" s="19"/>
      <c r="EXX39" s="19"/>
      <c r="EXY39" s="19"/>
      <c r="EXZ39" s="19"/>
      <c r="EYA39" s="19"/>
      <c r="EYB39" s="19"/>
      <c r="EYC39" s="19"/>
      <c r="EYD39" s="19"/>
      <c r="EYE39" s="19"/>
      <c r="EYF39" s="19"/>
      <c r="EYG39" s="19"/>
      <c r="EYH39" s="19"/>
      <c r="EYI39" s="19"/>
      <c r="EYJ39" s="19"/>
      <c r="EYK39" s="19"/>
      <c r="EYL39" s="19"/>
      <c r="EYM39" s="19"/>
      <c r="EYN39" s="19"/>
      <c r="EYO39" s="19"/>
      <c r="EYP39" s="19"/>
      <c r="EYQ39" s="19"/>
      <c r="EYR39" s="19"/>
      <c r="EYS39" s="19"/>
      <c r="EYT39" s="19"/>
      <c r="EYU39" s="19"/>
      <c r="EYV39" s="19"/>
      <c r="EYW39" s="19"/>
      <c r="EYX39" s="19"/>
      <c r="EYY39" s="19"/>
      <c r="EYZ39" s="19"/>
      <c r="EZA39" s="19"/>
      <c r="EZB39" s="19"/>
      <c r="EZC39" s="19"/>
      <c r="EZD39" s="19"/>
      <c r="EZE39" s="19"/>
      <c r="EZF39" s="19"/>
      <c r="EZG39" s="19"/>
      <c r="EZH39" s="19"/>
      <c r="EZI39" s="19"/>
      <c r="EZJ39" s="19"/>
      <c r="EZK39" s="19"/>
      <c r="EZL39" s="19"/>
      <c r="EZM39" s="19"/>
      <c r="EZN39" s="19"/>
      <c r="EZO39" s="19"/>
      <c r="EZP39" s="19"/>
      <c r="EZQ39" s="19"/>
      <c r="EZR39" s="19"/>
      <c r="EZS39" s="19"/>
      <c r="EZT39" s="19"/>
      <c r="EZU39" s="19"/>
      <c r="EZV39" s="19"/>
      <c r="EZW39" s="19"/>
      <c r="EZX39" s="19"/>
      <c r="EZY39" s="19"/>
      <c r="EZZ39" s="19"/>
      <c r="FAA39" s="19"/>
      <c r="FAB39" s="19"/>
      <c r="FAC39" s="19"/>
      <c r="FAD39" s="19"/>
      <c r="FAE39" s="19"/>
      <c r="FAF39" s="19"/>
      <c r="FAG39" s="19"/>
      <c r="FAH39" s="19"/>
      <c r="FAI39" s="19"/>
      <c r="FAJ39" s="19"/>
      <c r="FAK39" s="19"/>
      <c r="FAL39" s="19"/>
      <c r="FAM39" s="19"/>
      <c r="FAN39" s="19"/>
      <c r="FAO39" s="19"/>
      <c r="FAP39" s="19"/>
      <c r="FAQ39" s="19"/>
      <c r="FAR39" s="19"/>
      <c r="FAS39" s="19"/>
      <c r="FAT39" s="19"/>
      <c r="FAU39" s="19"/>
      <c r="FAV39" s="19"/>
      <c r="FAW39" s="19"/>
      <c r="FAX39" s="19"/>
      <c r="FAY39" s="19"/>
      <c r="FAZ39" s="19"/>
      <c r="FBA39" s="19"/>
      <c r="FBB39" s="19"/>
      <c r="FBC39" s="19"/>
      <c r="FBD39" s="19"/>
      <c r="FBE39" s="19"/>
      <c r="FBF39" s="19"/>
      <c r="FBG39" s="19"/>
      <c r="FBH39" s="19"/>
      <c r="FBI39" s="19"/>
      <c r="FBJ39" s="19"/>
      <c r="FBK39" s="19"/>
      <c r="FBL39" s="19"/>
      <c r="FBM39" s="19"/>
      <c r="FBN39" s="19"/>
      <c r="FBO39" s="19"/>
      <c r="FBP39" s="19"/>
      <c r="FBQ39" s="19"/>
      <c r="FBR39" s="19"/>
      <c r="FBS39" s="19"/>
      <c r="FBT39" s="19"/>
      <c r="FBU39" s="19"/>
      <c r="FBV39" s="19"/>
      <c r="FBW39" s="19"/>
      <c r="FBX39" s="19"/>
      <c r="FBY39" s="19"/>
      <c r="FBZ39" s="19"/>
      <c r="FCA39" s="19"/>
      <c r="FCB39" s="19"/>
      <c r="FCC39" s="19"/>
      <c r="FCD39" s="19"/>
      <c r="FCE39" s="19"/>
      <c r="FCF39" s="19"/>
      <c r="FCG39" s="19"/>
      <c r="FCH39" s="19"/>
      <c r="FCI39" s="19"/>
      <c r="FCJ39" s="19"/>
      <c r="FCK39" s="19"/>
      <c r="FCL39" s="19"/>
      <c r="FCM39" s="19"/>
      <c r="FCN39" s="19"/>
      <c r="FCO39" s="19"/>
      <c r="FCP39" s="19"/>
      <c r="FCQ39" s="19"/>
      <c r="FCR39" s="19"/>
      <c r="FCS39" s="19"/>
      <c r="FCT39" s="19"/>
      <c r="FCU39" s="19"/>
      <c r="FCV39" s="19"/>
      <c r="FCW39" s="19"/>
      <c r="FCX39" s="19"/>
      <c r="FCY39" s="19"/>
      <c r="FCZ39" s="19"/>
      <c r="FDA39" s="19"/>
      <c r="FDB39" s="19"/>
      <c r="FDC39" s="19"/>
      <c r="FDD39" s="19"/>
      <c r="FDE39" s="19"/>
      <c r="FDF39" s="19"/>
      <c r="FDG39" s="19"/>
      <c r="FDH39" s="19"/>
      <c r="FDI39" s="19"/>
      <c r="FDJ39" s="19"/>
      <c r="FDK39" s="19"/>
      <c r="FDL39" s="19"/>
      <c r="FDM39" s="19"/>
      <c r="FDN39" s="19"/>
      <c r="FDO39" s="19"/>
      <c r="FDP39" s="19"/>
      <c r="FDQ39" s="19"/>
      <c r="FDR39" s="19"/>
      <c r="FDS39" s="19"/>
      <c r="FDT39" s="19"/>
      <c r="FDU39" s="19"/>
      <c r="FDV39" s="19"/>
      <c r="FDW39" s="19"/>
      <c r="FDX39" s="19"/>
      <c r="FDY39" s="19"/>
      <c r="FDZ39" s="19"/>
      <c r="FEA39" s="19"/>
      <c r="FEB39" s="19"/>
      <c r="FEC39" s="19"/>
      <c r="FED39" s="19"/>
      <c r="FEE39" s="19"/>
      <c r="FEF39" s="19"/>
      <c r="FEG39" s="19"/>
      <c r="FEH39" s="19"/>
      <c r="FEI39" s="19"/>
      <c r="FEJ39" s="19"/>
      <c r="FEK39" s="19"/>
      <c r="FEL39" s="19"/>
      <c r="FEM39" s="19"/>
      <c r="FEN39" s="19"/>
      <c r="FEO39" s="19"/>
      <c r="FEP39" s="19"/>
      <c r="FEQ39" s="19"/>
      <c r="FER39" s="19"/>
      <c r="FES39" s="19"/>
      <c r="FET39" s="19"/>
      <c r="FEU39" s="19"/>
      <c r="FEV39" s="19"/>
      <c r="FEW39" s="19"/>
      <c r="FEX39" s="19"/>
      <c r="FEY39" s="19"/>
      <c r="FEZ39" s="19"/>
      <c r="FFA39" s="19"/>
      <c r="FFB39" s="19"/>
      <c r="FFC39" s="19"/>
      <c r="FFD39" s="19"/>
      <c r="FFE39" s="19"/>
      <c r="FFF39" s="19"/>
      <c r="FFG39" s="19"/>
      <c r="FFH39" s="19"/>
      <c r="FFI39" s="19"/>
      <c r="FFJ39" s="19"/>
      <c r="FFK39" s="19"/>
      <c r="FFL39" s="19"/>
      <c r="FFM39" s="19"/>
      <c r="FFN39" s="19"/>
      <c r="FFO39" s="19"/>
      <c r="FFP39" s="19"/>
      <c r="FFQ39" s="19"/>
      <c r="FFR39" s="19"/>
      <c r="FFS39" s="19"/>
      <c r="FFT39" s="19"/>
      <c r="FFU39" s="19"/>
      <c r="FFV39" s="19"/>
      <c r="FFW39" s="19"/>
      <c r="FFX39" s="19"/>
      <c r="FFY39" s="19"/>
      <c r="FFZ39" s="19"/>
      <c r="FGA39" s="19"/>
      <c r="FGB39" s="19"/>
      <c r="FGC39" s="19"/>
      <c r="FGD39" s="19"/>
      <c r="FGE39" s="19"/>
      <c r="FGF39" s="19"/>
      <c r="FGG39" s="19"/>
      <c r="FGH39" s="19"/>
      <c r="FGI39" s="19"/>
      <c r="FGJ39" s="19"/>
      <c r="FGK39" s="19"/>
      <c r="FGL39" s="19"/>
      <c r="FGM39" s="19"/>
      <c r="FGN39" s="19"/>
      <c r="FGO39" s="19"/>
      <c r="FGP39" s="19"/>
      <c r="FGQ39" s="19"/>
      <c r="FGR39" s="19"/>
      <c r="FGS39" s="19"/>
      <c r="FGT39" s="19"/>
      <c r="FGU39" s="19"/>
      <c r="FGV39" s="19"/>
      <c r="FGW39" s="19"/>
      <c r="FGX39" s="19"/>
      <c r="FGY39" s="19"/>
      <c r="FGZ39" s="19"/>
      <c r="FHA39" s="19"/>
      <c r="FHB39" s="19"/>
      <c r="FHC39" s="19"/>
      <c r="FHD39" s="19"/>
      <c r="FHE39" s="19"/>
      <c r="FHF39" s="19"/>
      <c r="FHG39" s="19"/>
      <c r="FHH39" s="19"/>
      <c r="FHI39" s="19"/>
      <c r="FHJ39" s="19"/>
      <c r="FHK39" s="19"/>
      <c r="FHL39" s="19"/>
      <c r="FHM39" s="19"/>
      <c r="FHN39" s="19"/>
      <c r="FHO39" s="19"/>
      <c r="FHP39" s="19"/>
      <c r="FHQ39" s="19"/>
      <c r="FHR39" s="19"/>
      <c r="FHS39" s="19"/>
      <c r="FHT39" s="19"/>
      <c r="FHU39" s="19"/>
      <c r="FHV39" s="19"/>
      <c r="FHW39" s="19"/>
      <c r="FHX39" s="19"/>
      <c r="FHY39" s="19"/>
      <c r="FHZ39" s="19"/>
      <c r="FIA39" s="19"/>
      <c r="FIB39" s="19"/>
      <c r="FIC39" s="19"/>
      <c r="FID39" s="19"/>
      <c r="FIE39" s="19"/>
      <c r="FIF39" s="19"/>
      <c r="FIG39" s="19"/>
      <c r="FIH39" s="19"/>
      <c r="FII39" s="19"/>
      <c r="FIJ39" s="19"/>
      <c r="FIK39" s="19"/>
      <c r="FIL39" s="19"/>
      <c r="FIM39" s="19"/>
      <c r="FIN39" s="19"/>
      <c r="FIO39" s="19"/>
      <c r="FIP39" s="19"/>
      <c r="FIQ39" s="19"/>
      <c r="FIR39" s="19"/>
      <c r="FIS39" s="19"/>
      <c r="FIT39" s="19"/>
      <c r="FIU39" s="19"/>
      <c r="FIV39" s="19"/>
      <c r="FIW39" s="19"/>
      <c r="FIX39" s="19"/>
      <c r="FIY39" s="19"/>
      <c r="FIZ39" s="19"/>
      <c r="FJA39" s="19"/>
      <c r="FJB39" s="19"/>
      <c r="FJC39" s="19"/>
      <c r="FJD39" s="19"/>
      <c r="FJE39" s="19"/>
      <c r="FJF39" s="19"/>
      <c r="FJG39" s="19"/>
      <c r="FJH39" s="19"/>
      <c r="FJI39" s="19"/>
      <c r="FJJ39" s="19"/>
      <c r="FJK39" s="19"/>
      <c r="FJL39" s="19"/>
      <c r="FJM39" s="19"/>
      <c r="FJN39" s="19"/>
      <c r="FJO39" s="19"/>
      <c r="FJP39" s="19"/>
      <c r="FJQ39" s="19"/>
      <c r="FJR39" s="19"/>
      <c r="FJS39" s="19"/>
      <c r="FJT39" s="19"/>
      <c r="FJU39" s="19"/>
      <c r="FJV39" s="19"/>
      <c r="FJW39" s="19"/>
      <c r="FJX39" s="19"/>
      <c r="FJY39" s="19"/>
      <c r="FJZ39" s="19"/>
      <c r="FKA39" s="19"/>
      <c r="FKB39" s="19"/>
      <c r="FKC39" s="19"/>
      <c r="FKD39" s="19"/>
      <c r="FKE39" s="19"/>
      <c r="FKF39" s="19"/>
      <c r="FKG39" s="19"/>
      <c r="FKH39" s="19"/>
      <c r="FKI39" s="19"/>
      <c r="FKJ39" s="19"/>
      <c r="FKK39" s="19"/>
      <c r="FKL39" s="19"/>
      <c r="FKM39" s="19"/>
      <c r="FKN39" s="19"/>
      <c r="FKO39" s="19"/>
      <c r="FKP39" s="19"/>
      <c r="FKQ39" s="19"/>
      <c r="FKR39" s="19"/>
      <c r="FKS39" s="19"/>
      <c r="FKT39" s="19"/>
      <c r="FKU39" s="19"/>
      <c r="FKV39" s="19"/>
      <c r="FKW39" s="19"/>
      <c r="FKX39" s="19"/>
      <c r="FKY39" s="19"/>
      <c r="FKZ39" s="19"/>
      <c r="FLA39" s="19"/>
      <c r="FLB39" s="19"/>
      <c r="FLC39" s="19"/>
      <c r="FLD39" s="19"/>
      <c r="FLE39" s="19"/>
      <c r="FLF39" s="19"/>
      <c r="FLG39" s="19"/>
      <c r="FLH39" s="19"/>
      <c r="FLI39" s="19"/>
      <c r="FLJ39" s="19"/>
      <c r="FLK39" s="19"/>
      <c r="FLL39" s="19"/>
      <c r="FLM39" s="19"/>
      <c r="FLN39" s="19"/>
      <c r="FLO39" s="19"/>
      <c r="FLP39" s="19"/>
      <c r="FLQ39" s="19"/>
      <c r="FLR39" s="19"/>
      <c r="FLS39" s="19"/>
      <c r="FLT39" s="19"/>
      <c r="FLU39" s="19"/>
      <c r="FLV39" s="19"/>
      <c r="FLW39" s="19"/>
      <c r="FLX39" s="19"/>
      <c r="FLY39" s="19"/>
      <c r="FLZ39" s="19"/>
      <c r="FMA39" s="19"/>
      <c r="FMB39" s="19"/>
      <c r="FMC39" s="19"/>
      <c r="FMD39" s="19"/>
      <c r="FME39" s="19"/>
      <c r="FMF39" s="19"/>
      <c r="FMG39" s="19"/>
      <c r="FMH39" s="19"/>
      <c r="FMI39" s="19"/>
      <c r="FMJ39" s="19"/>
      <c r="FMK39" s="19"/>
      <c r="FML39" s="19"/>
      <c r="FMM39" s="19"/>
      <c r="FMN39" s="19"/>
      <c r="FMO39" s="19"/>
      <c r="FMP39" s="19"/>
      <c r="FMQ39" s="19"/>
      <c r="FMR39" s="19"/>
      <c r="FMS39" s="19"/>
      <c r="FMT39" s="19"/>
      <c r="FMU39" s="19"/>
      <c r="FMV39" s="19"/>
      <c r="FMW39" s="19"/>
      <c r="FMX39" s="19"/>
      <c r="FMY39" s="19"/>
      <c r="FMZ39" s="19"/>
      <c r="FNA39" s="19"/>
      <c r="FNB39" s="19"/>
      <c r="FNC39" s="19"/>
      <c r="FND39" s="19"/>
      <c r="FNE39" s="19"/>
      <c r="FNF39" s="19"/>
      <c r="FNG39" s="19"/>
      <c r="FNH39" s="19"/>
      <c r="FNI39" s="19"/>
      <c r="FNJ39" s="19"/>
      <c r="FNK39" s="19"/>
      <c r="FNL39" s="19"/>
      <c r="FNM39" s="19"/>
      <c r="FNN39" s="19"/>
      <c r="FNO39" s="19"/>
      <c r="FNP39" s="19"/>
      <c r="FNQ39" s="19"/>
      <c r="FNR39" s="19"/>
      <c r="FNS39" s="19"/>
      <c r="FNT39" s="19"/>
      <c r="FNU39" s="19"/>
      <c r="FNV39" s="19"/>
      <c r="FNW39" s="19"/>
      <c r="FNX39" s="19"/>
      <c r="FNY39" s="19"/>
      <c r="FNZ39" s="19"/>
      <c r="FOA39" s="19"/>
      <c r="FOB39" s="19"/>
      <c r="FOC39" s="19"/>
      <c r="FOD39" s="19"/>
      <c r="FOE39" s="19"/>
      <c r="FOF39" s="19"/>
      <c r="FOG39" s="19"/>
      <c r="FOH39" s="19"/>
      <c r="FOI39" s="19"/>
      <c r="FOJ39" s="19"/>
      <c r="FOK39" s="19"/>
      <c r="FOL39" s="19"/>
      <c r="FOM39" s="19"/>
      <c r="FON39" s="19"/>
      <c r="FOO39" s="19"/>
      <c r="FOP39" s="19"/>
      <c r="FOQ39" s="19"/>
      <c r="FOR39" s="19"/>
      <c r="FOS39" s="19"/>
      <c r="FOT39" s="19"/>
      <c r="FOU39" s="19"/>
      <c r="FOV39" s="19"/>
      <c r="FOW39" s="19"/>
      <c r="FOX39" s="19"/>
      <c r="FOY39" s="19"/>
      <c r="FOZ39" s="19"/>
      <c r="FPA39" s="19"/>
      <c r="FPB39" s="19"/>
      <c r="FPC39" s="19"/>
      <c r="FPD39" s="19"/>
      <c r="FPE39" s="19"/>
      <c r="FPF39" s="19"/>
      <c r="FPG39" s="19"/>
      <c r="FPH39" s="19"/>
      <c r="FPI39" s="19"/>
      <c r="FPJ39" s="19"/>
      <c r="FPK39" s="19"/>
      <c r="FPL39" s="19"/>
      <c r="FPM39" s="19"/>
      <c r="FPN39" s="19"/>
      <c r="FPO39" s="19"/>
      <c r="FPP39" s="19"/>
      <c r="FPQ39" s="19"/>
      <c r="FPR39" s="19"/>
      <c r="FPS39" s="19"/>
      <c r="FPT39" s="19"/>
      <c r="FPU39" s="19"/>
      <c r="FPV39" s="19"/>
      <c r="FPW39" s="19"/>
      <c r="FPX39" s="19"/>
      <c r="FPY39" s="19"/>
      <c r="FPZ39" s="19"/>
      <c r="FQA39" s="19"/>
      <c r="FQB39" s="19"/>
      <c r="FQC39" s="19"/>
      <c r="FQD39" s="19"/>
      <c r="FQE39" s="19"/>
      <c r="FQF39" s="19"/>
      <c r="FQG39" s="19"/>
      <c r="FQH39" s="19"/>
      <c r="FQI39" s="19"/>
      <c r="FQJ39" s="19"/>
      <c r="FQK39" s="19"/>
      <c r="FQL39" s="19"/>
      <c r="FQM39" s="19"/>
      <c r="FQN39" s="19"/>
      <c r="FQO39" s="19"/>
      <c r="FQP39" s="19"/>
      <c r="FQQ39" s="19"/>
      <c r="FQR39" s="19"/>
      <c r="FQS39" s="19"/>
      <c r="FQT39" s="19"/>
      <c r="FQU39" s="19"/>
      <c r="FQV39" s="19"/>
      <c r="FQW39" s="19"/>
      <c r="FQX39" s="19"/>
      <c r="FQY39" s="19"/>
      <c r="FQZ39" s="19"/>
      <c r="FRA39" s="19"/>
      <c r="FRB39" s="19"/>
      <c r="FRC39" s="19"/>
      <c r="FRD39" s="19"/>
      <c r="FRE39" s="19"/>
      <c r="FRF39" s="19"/>
      <c r="FRG39" s="19"/>
      <c r="FRH39" s="19"/>
      <c r="FRI39" s="19"/>
      <c r="FRJ39" s="19"/>
      <c r="FRK39" s="19"/>
      <c r="FRL39" s="19"/>
      <c r="FRM39" s="19"/>
      <c r="FRN39" s="19"/>
      <c r="FRO39" s="19"/>
      <c r="FRP39" s="19"/>
      <c r="FRQ39" s="19"/>
      <c r="FRR39" s="19"/>
      <c r="FRS39" s="19"/>
      <c r="FRT39" s="19"/>
      <c r="FRU39" s="19"/>
      <c r="FRV39" s="19"/>
      <c r="FRW39" s="19"/>
      <c r="FRX39" s="19"/>
      <c r="FRY39" s="19"/>
      <c r="FRZ39" s="19"/>
      <c r="FSA39" s="19"/>
      <c r="FSB39" s="19"/>
      <c r="FSC39" s="19"/>
      <c r="FSD39" s="19"/>
      <c r="FSE39" s="19"/>
      <c r="FSF39" s="19"/>
      <c r="FSG39" s="19"/>
      <c r="FSH39" s="19"/>
      <c r="FSI39" s="19"/>
      <c r="FSJ39" s="19"/>
      <c r="FSK39" s="19"/>
      <c r="FSL39" s="19"/>
      <c r="FSM39" s="19"/>
      <c r="FSN39" s="19"/>
      <c r="FSO39" s="19"/>
      <c r="FSP39" s="19"/>
      <c r="FSQ39" s="19"/>
      <c r="FSR39" s="19"/>
      <c r="FSS39" s="19"/>
      <c r="FST39" s="19"/>
      <c r="FSU39" s="19"/>
      <c r="FSV39" s="19"/>
      <c r="FSW39" s="19"/>
      <c r="FSX39" s="19"/>
      <c r="FSY39" s="19"/>
      <c r="FSZ39" s="19"/>
      <c r="FTA39" s="19"/>
      <c r="FTB39" s="19"/>
      <c r="FTC39" s="19"/>
      <c r="FTD39" s="19"/>
      <c r="FTE39" s="19"/>
      <c r="FTF39" s="19"/>
      <c r="FTG39" s="19"/>
      <c r="FTH39" s="19"/>
      <c r="FTI39" s="19"/>
      <c r="FTJ39" s="19"/>
      <c r="FTK39" s="19"/>
      <c r="FTL39" s="19"/>
      <c r="FTM39" s="19"/>
      <c r="FTN39" s="19"/>
      <c r="FTO39" s="19"/>
      <c r="FTP39" s="19"/>
      <c r="FTQ39" s="19"/>
      <c r="FTR39" s="19"/>
      <c r="FTS39" s="19"/>
      <c r="FTT39" s="19"/>
      <c r="FTU39" s="19"/>
      <c r="FTV39" s="19"/>
      <c r="FTW39" s="19"/>
      <c r="FTX39" s="19"/>
      <c r="FTY39" s="19"/>
      <c r="FTZ39" s="19"/>
      <c r="FUA39" s="19"/>
      <c r="FUB39" s="19"/>
      <c r="FUC39" s="19"/>
      <c r="FUD39" s="19"/>
      <c r="FUE39" s="19"/>
      <c r="FUF39" s="19"/>
      <c r="FUG39" s="19"/>
      <c r="FUH39" s="19"/>
      <c r="FUI39" s="19"/>
      <c r="FUJ39" s="19"/>
      <c r="FUK39" s="19"/>
      <c r="FUL39" s="19"/>
      <c r="FUM39" s="19"/>
      <c r="FUN39" s="19"/>
      <c r="FUO39" s="19"/>
      <c r="FUP39" s="19"/>
      <c r="FUQ39" s="19"/>
      <c r="FUR39" s="19"/>
      <c r="FUS39" s="19"/>
      <c r="FUT39" s="19"/>
      <c r="FUU39" s="19"/>
      <c r="FUV39" s="19"/>
      <c r="FUW39" s="19"/>
      <c r="FUX39" s="19"/>
      <c r="FUY39" s="19"/>
      <c r="FUZ39" s="19"/>
      <c r="FVA39" s="19"/>
      <c r="FVB39" s="19"/>
      <c r="FVC39" s="19"/>
      <c r="FVD39" s="19"/>
      <c r="FVE39" s="19"/>
      <c r="FVF39" s="19"/>
      <c r="FVG39" s="19"/>
      <c r="FVH39" s="19"/>
      <c r="FVI39" s="19"/>
      <c r="FVJ39" s="19"/>
      <c r="FVK39" s="19"/>
      <c r="FVL39" s="19"/>
      <c r="FVM39" s="19"/>
      <c r="FVN39" s="19"/>
      <c r="FVO39" s="19"/>
      <c r="FVP39" s="19"/>
      <c r="FVQ39" s="19"/>
      <c r="FVR39" s="19"/>
      <c r="FVS39" s="19"/>
      <c r="FVT39" s="19"/>
      <c r="FVU39" s="19"/>
      <c r="FVV39" s="19"/>
      <c r="FVW39" s="19"/>
      <c r="FVX39" s="19"/>
      <c r="FVY39" s="19"/>
      <c r="FVZ39" s="19"/>
      <c r="FWA39" s="19"/>
      <c r="FWB39" s="19"/>
      <c r="FWC39" s="19"/>
      <c r="FWD39" s="19"/>
      <c r="FWE39" s="19"/>
      <c r="FWF39" s="19"/>
      <c r="FWG39" s="19"/>
      <c r="FWH39" s="19"/>
      <c r="FWI39" s="19"/>
      <c r="FWJ39" s="19"/>
      <c r="FWK39" s="19"/>
      <c r="FWL39" s="19"/>
      <c r="FWM39" s="19"/>
      <c r="FWN39" s="19"/>
      <c r="FWO39" s="19"/>
      <c r="FWP39" s="19"/>
      <c r="FWQ39" s="19"/>
      <c r="FWR39" s="19"/>
      <c r="FWS39" s="19"/>
      <c r="FWT39" s="19"/>
      <c r="FWU39" s="19"/>
      <c r="FWV39" s="19"/>
      <c r="FWW39" s="19"/>
      <c r="FWX39" s="19"/>
      <c r="FWY39" s="19"/>
      <c r="FWZ39" s="19"/>
      <c r="FXA39" s="19"/>
      <c r="FXB39" s="19"/>
      <c r="FXC39" s="19"/>
      <c r="FXD39" s="19"/>
      <c r="FXE39" s="19"/>
      <c r="FXF39" s="19"/>
      <c r="FXG39" s="19"/>
      <c r="FXH39" s="19"/>
      <c r="FXI39" s="19"/>
      <c r="FXJ39" s="19"/>
      <c r="FXK39" s="19"/>
      <c r="FXL39" s="19"/>
      <c r="FXM39" s="19"/>
      <c r="FXN39" s="19"/>
      <c r="FXO39" s="19"/>
      <c r="FXP39" s="19"/>
      <c r="FXQ39" s="19"/>
      <c r="FXR39" s="19"/>
      <c r="FXS39" s="19"/>
      <c r="FXT39" s="19"/>
      <c r="FXU39" s="19"/>
      <c r="FXV39" s="19"/>
      <c r="FXW39" s="19"/>
      <c r="FXX39" s="19"/>
      <c r="FXY39" s="19"/>
      <c r="FXZ39" s="19"/>
      <c r="FYA39" s="19"/>
      <c r="FYB39" s="19"/>
      <c r="FYC39" s="19"/>
      <c r="FYD39" s="19"/>
      <c r="FYE39" s="19"/>
      <c r="FYF39" s="19"/>
      <c r="FYG39" s="19"/>
      <c r="FYH39" s="19"/>
      <c r="FYI39" s="19"/>
      <c r="FYJ39" s="19"/>
      <c r="FYK39" s="19"/>
      <c r="FYL39" s="19"/>
      <c r="FYM39" s="19"/>
      <c r="FYN39" s="19"/>
      <c r="FYO39" s="19"/>
      <c r="FYP39" s="19"/>
      <c r="FYQ39" s="19"/>
      <c r="FYR39" s="19"/>
      <c r="FYS39" s="19"/>
      <c r="FYT39" s="19"/>
      <c r="FYU39" s="19"/>
      <c r="FYV39" s="19"/>
      <c r="FYW39" s="19"/>
      <c r="FYX39" s="19"/>
      <c r="FYY39" s="19"/>
      <c r="FYZ39" s="19"/>
      <c r="FZA39" s="19"/>
      <c r="FZB39" s="19"/>
      <c r="FZC39" s="19"/>
      <c r="FZD39" s="19"/>
      <c r="FZE39" s="19"/>
      <c r="FZF39" s="19"/>
      <c r="FZG39" s="19"/>
      <c r="FZH39" s="19"/>
      <c r="FZI39" s="19"/>
      <c r="FZJ39" s="19"/>
      <c r="FZK39" s="19"/>
      <c r="FZL39" s="19"/>
      <c r="FZM39" s="19"/>
      <c r="FZN39" s="19"/>
      <c r="FZO39" s="19"/>
      <c r="FZP39" s="19"/>
      <c r="FZQ39" s="19"/>
      <c r="FZR39" s="19"/>
      <c r="FZS39" s="19"/>
      <c r="FZT39" s="19"/>
      <c r="FZU39" s="19"/>
      <c r="FZV39" s="19"/>
      <c r="FZW39" s="19"/>
      <c r="FZX39" s="19"/>
      <c r="FZY39" s="19"/>
      <c r="FZZ39" s="19"/>
      <c r="GAA39" s="19"/>
      <c r="GAB39" s="19"/>
      <c r="GAC39" s="19"/>
      <c r="GAD39" s="19"/>
      <c r="GAE39" s="19"/>
      <c r="GAF39" s="19"/>
      <c r="GAG39" s="19"/>
      <c r="GAH39" s="19"/>
      <c r="GAI39" s="19"/>
      <c r="GAJ39" s="19"/>
      <c r="GAK39" s="19"/>
      <c r="GAL39" s="19"/>
      <c r="GAM39" s="19"/>
      <c r="GAN39" s="19"/>
      <c r="GAO39" s="19"/>
      <c r="GAP39" s="19"/>
      <c r="GAQ39" s="19"/>
      <c r="GAR39" s="19"/>
      <c r="GAS39" s="19"/>
      <c r="GAT39" s="19"/>
      <c r="GAU39" s="19"/>
      <c r="GAV39" s="19"/>
      <c r="GAW39" s="19"/>
      <c r="GAX39" s="19"/>
      <c r="GAY39" s="19"/>
      <c r="GAZ39" s="19"/>
      <c r="GBA39" s="19"/>
      <c r="GBB39" s="19"/>
      <c r="GBC39" s="19"/>
      <c r="GBD39" s="19"/>
      <c r="GBE39" s="19"/>
      <c r="GBF39" s="19"/>
      <c r="GBG39" s="19"/>
      <c r="GBH39" s="19"/>
      <c r="GBI39" s="19"/>
      <c r="GBJ39" s="19"/>
      <c r="GBK39" s="19"/>
      <c r="GBL39" s="19"/>
      <c r="GBM39" s="19"/>
      <c r="GBN39" s="19"/>
      <c r="GBO39" s="19"/>
      <c r="GBP39" s="19"/>
      <c r="GBQ39" s="19"/>
      <c r="GBR39" s="19"/>
      <c r="GBS39" s="19"/>
      <c r="GBT39" s="19"/>
      <c r="GBU39" s="19"/>
      <c r="GBV39" s="19"/>
      <c r="GBW39" s="19"/>
      <c r="GBX39" s="19"/>
      <c r="GBY39" s="19"/>
      <c r="GBZ39" s="19"/>
      <c r="GCA39" s="19"/>
      <c r="GCB39" s="19"/>
      <c r="GCC39" s="19"/>
      <c r="GCD39" s="19"/>
      <c r="GCE39" s="19"/>
      <c r="GCF39" s="19"/>
      <c r="GCG39" s="19"/>
      <c r="GCH39" s="19"/>
      <c r="GCI39" s="19"/>
      <c r="GCJ39" s="19"/>
      <c r="GCK39" s="19"/>
      <c r="GCL39" s="19"/>
      <c r="GCM39" s="19"/>
      <c r="GCN39" s="19"/>
      <c r="GCO39" s="19"/>
      <c r="GCP39" s="19"/>
      <c r="GCQ39" s="19"/>
      <c r="GCR39" s="19"/>
      <c r="GCS39" s="19"/>
      <c r="GCT39" s="19"/>
      <c r="GCU39" s="19"/>
      <c r="GCV39" s="19"/>
      <c r="GCW39" s="19"/>
      <c r="GCX39" s="19"/>
      <c r="GCY39" s="19"/>
      <c r="GCZ39" s="19"/>
      <c r="GDA39" s="19"/>
      <c r="GDB39" s="19"/>
      <c r="GDC39" s="19"/>
      <c r="GDD39" s="19"/>
      <c r="GDE39" s="19"/>
      <c r="GDF39" s="19"/>
      <c r="GDG39" s="19"/>
      <c r="GDH39" s="19"/>
      <c r="GDI39" s="19"/>
      <c r="GDJ39" s="19"/>
      <c r="GDK39" s="19"/>
      <c r="GDL39" s="19"/>
      <c r="GDM39" s="19"/>
      <c r="GDN39" s="19"/>
      <c r="GDO39" s="19"/>
      <c r="GDP39" s="19"/>
      <c r="GDQ39" s="19"/>
      <c r="GDR39" s="19"/>
      <c r="GDS39" s="19"/>
      <c r="GDT39" s="19"/>
      <c r="GDU39" s="19"/>
      <c r="GDV39" s="19"/>
      <c r="GDW39" s="19"/>
      <c r="GDX39" s="19"/>
      <c r="GDY39" s="19"/>
      <c r="GDZ39" s="19"/>
      <c r="GEA39" s="19"/>
      <c r="GEB39" s="19"/>
      <c r="GEC39" s="19"/>
      <c r="GED39" s="19"/>
      <c r="GEE39" s="19"/>
      <c r="GEF39" s="19"/>
      <c r="GEG39" s="19"/>
      <c r="GEH39" s="19"/>
      <c r="GEI39" s="19"/>
      <c r="GEJ39" s="19"/>
      <c r="GEK39" s="19"/>
      <c r="GEL39" s="19"/>
      <c r="GEM39" s="19"/>
      <c r="GEN39" s="19"/>
      <c r="GEO39" s="19"/>
      <c r="GEP39" s="19"/>
      <c r="GEQ39" s="19"/>
      <c r="GER39" s="19"/>
      <c r="GES39" s="19"/>
      <c r="GET39" s="19"/>
      <c r="GEU39" s="19"/>
      <c r="GEV39" s="19"/>
      <c r="GEW39" s="19"/>
      <c r="GEX39" s="19"/>
      <c r="GEY39" s="19"/>
      <c r="GEZ39" s="19"/>
      <c r="GFA39" s="19"/>
      <c r="GFB39" s="19"/>
      <c r="GFC39" s="19"/>
      <c r="GFD39" s="19"/>
      <c r="GFE39" s="19"/>
      <c r="GFF39" s="19"/>
      <c r="GFG39" s="19"/>
      <c r="GFH39" s="19"/>
      <c r="GFI39" s="19"/>
      <c r="GFJ39" s="19"/>
      <c r="GFK39" s="19"/>
      <c r="GFL39" s="19"/>
      <c r="GFM39" s="19"/>
      <c r="GFN39" s="19"/>
      <c r="GFO39" s="19"/>
      <c r="GFP39" s="19"/>
      <c r="GFQ39" s="19"/>
      <c r="GFR39" s="19"/>
      <c r="GFS39" s="19"/>
      <c r="GFT39" s="19"/>
      <c r="GFU39" s="19"/>
      <c r="GFV39" s="19"/>
      <c r="GFW39" s="19"/>
      <c r="GFX39" s="19"/>
      <c r="GFY39" s="19"/>
      <c r="GFZ39" s="19"/>
      <c r="GGA39" s="19"/>
      <c r="GGB39" s="19"/>
      <c r="GGC39" s="19"/>
      <c r="GGD39" s="19"/>
      <c r="GGE39" s="19"/>
      <c r="GGF39" s="19"/>
      <c r="GGG39" s="19"/>
      <c r="GGH39" s="19"/>
      <c r="GGI39" s="19"/>
      <c r="GGJ39" s="19"/>
      <c r="GGK39" s="19"/>
      <c r="GGL39" s="19"/>
      <c r="GGM39" s="19"/>
      <c r="GGN39" s="19"/>
      <c r="GGO39" s="19"/>
      <c r="GGP39" s="19"/>
      <c r="GGQ39" s="19"/>
      <c r="GGR39" s="19"/>
      <c r="GGS39" s="19"/>
      <c r="GGT39" s="19"/>
      <c r="GGU39" s="19"/>
      <c r="GGV39" s="19"/>
      <c r="GGW39" s="19"/>
      <c r="GGX39" s="19"/>
      <c r="GGY39" s="19"/>
      <c r="GGZ39" s="19"/>
      <c r="GHA39" s="19"/>
      <c r="GHB39" s="19"/>
      <c r="GHC39" s="19"/>
      <c r="GHD39" s="19"/>
      <c r="GHE39" s="19"/>
      <c r="GHF39" s="19"/>
      <c r="GHG39" s="19"/>
      <c r="GHH39" s="19"/>
      <c r="GHI39" s="19"/>
      <c r="GHJ39" s="19"/>
      <c r="GHK39" s="19"/>
      <c r="GHL39" s="19"/>
      <c r="GHM39" s="19"/>
      <c r="GHN39" s="19"/>
      <c r="GHO39" s="19"/>
      <c r="GHP39" s="19"/>
      <c r="GHQ39" s="19"/>
      <c r="GHR39" s="19"/>
      <c r="GHS39" s="19"/>
      <c r="GHT39" s="19"/>
      <c r="GHU39" s="19"/>
      <c r="GHV39" s="19"/>
      <c r="GHW39" s="19"/>
      <c r="GHX39" s="19"/>
      <c r="GHY39" s="19"/>
      <c r="GHZ39" s="19"/>
      <c r="GIA39" s="19"/>
      <c r="GIB39" s="19"/>
      <c r="GIC39" s="19"/>
      <c r="GID39" s="19"/>
      <c r="GIE39" s="19"/>
      <c r="GIF39" s="19"/>
      <c r="GIG39" s="19"/>
      <c r="GIH39" s="19"/>
      <c r="GII39" s="19"/>
      <c r="GIJ39" s="19"/>
      <c r="GIK39" s="19"/>
      <c r="GIL39" s="19"/>
      <c r="GIM39" s="19"/>
      <c r="GIN39" s="19"/>
      <c r="GIO39" s="19"/>
      <c r="GIP39" s="19"/>
      <c r="GIQ39" s="19"/>
      <c r="GIR39" s="19"/>
      <c r="GIS39" s="19"/>
      <c r="GIT39" s="19"/>
      <c r="GIU39" s="19"/>
      <c r="GIV39" s="19"/>
      <c r="GIW39" s="19"/>
      <c r="GIX39" s="19"/>
      <c r="GIY39" s="19"/>
      <c r="GIZ39" s="19"/>
      <c r="GJA39" s="19"/>
      <c r="GJB39" s="19"/>
      <c r="GJC39" s="19"/>
      <c r="GJD39" s="19"/>
      <c r="GJE39" s="19"/>
      <c r="GJF39" s="19"/>
      <c r="GJG39" s="19"/>
      <c r="GJH39" s="19"/>
      <c r="GJI39" s="19"/>
      <c r="GJJ39" s="19"/>
      <c r="GJK39" s="19"/>
      <c r="GJL39" s="19"/>
      <c r="GJM39" s="19"/>
      <c r="GJN39" s="19"/>
      <c r="GJO39" s="19"/>
      <c r="GJP39" s="19"/>
      <c r="GJQ39" s="19"/>
      <c r="GJR39" s="19"/>
      <c r="GJS39" s="19"/>
      <c r="GJT39" s="19"/>
      <c r="GJU39" s="19"/>
      <c r="GJV39" s="19"/>
      <c r="GJW39" s="19"/>
      <c r="GJX39" s="19"/>
      <c r="GJY39" s="19"/>
      <c r="GJZ39" s="19"/>
      <c r="GKA39" s="19"/>
      <c r="GKB39" s="19"/>
      <c r="GKC39" s="19"/>
      <c r="GKD39" s="19"/>
      <c r="GKE39" s="19"/>
      <c r="GKF39" s="19"/>
      <c r="GKG39" s="19"/>
      <c r="GKH39" s="19"/>
      <c r="GKI39" s="19"/>
      <c r="GKJ39" s="19"/>
      <c r="GKK39" s="19"/>
      <c r="GKL39" s="19"/>
      <c r="GKM39" s="19"/>
      <c r="GKN39" s="19"/>
      <c r="GKO39" s="19"/>
      <c r="GKP39" s="19"/>
      <c r="GKQ39" s="19"/>
      <c r="GKR39" s="19"/>
      <c r="GKS39" s="19"/>
      <c r="GKT39" s="19"/>
      <c r="GKU39" s="19"/>
      <c r="GKV39" s="19"/>
      <c r="GKW39" s="19"/>
      <c r="GKX39" s="19"/>
      <c r="GKY39" s="19"/>
      <c r="GKZ39" s="19"/>
      <c r="GLA39" s="19"/>
      <c r="GLB39" s="19"/>
      <c r="GLC39" s="19"/>
      <c r="GLD39" s="19"/>
      <c r="GLE39" s="19"/>
      <c r="GLF39" s="19"/>
      <c r="GLG39" s="19"/>
      <c r="GLH39" s="19"/>
      <c r="GLI39" s="19"/>
      <c r="GLJ39" s="19"/>
      <c r="GLK39" s="19"/>
      <c r="GLL39" s="19"/>
      <c r="GLM39" s="19"/>
      <c r="GLN39" s="19"/>
      <c r="GLO39" s="19"/>
      <c r="GLP39" s="19"/>
      <c r="GLQ39" s="19"/>
      <c r="GLR39" s="19"/>
      <c r="GLS39" s="19"/>
      <c r="GLT39" s="19"/>
      <c r="GLU39" s="19"/>
      <c r="GLV39" s="19"/>
      <c r="GLW39" s="19"/>
      <c r="GLX39" s="19"/>
      <c r="GLY39" s="19"/>
      <c r="GLZ39" s="19"/>
      <c r="GMA39" s="19"/>
      <c r="GMB39" s="19"/>
      <c r="GMC39" s="19"/>
      <c r="GMD39" s="19"/>
      <c r="GME39" s="19"/>
      <c r="GMF39" s="19"/>
      <c r="GMG39" s="19"/>
      <c r="GMH39" s="19"/>
      <c r="GMI39" s="19"/>
      <c r="GMJ39" s="19"/>
      <c r="GMK39" s="19"/>
      <c r="GML39" s="19"/>
      <c r="GMM39" s="19"/>
      <c r="GMN39" s="19"/>
      <c r="GMO39" s="19"/>
      <c r="GMP39" s="19"/>
      <c r="GMQ39" s="19"/>
      <c r="GMR39" s="19"/>
      <c r="GMS39" s="19"/>
      <c r="GMT39" s="19"/>
      <c r="GMU39" s="19"/>
      <c r="GMV39" s="19"/>
      <c r="GMW39" s="19"/>
      <c r="GMX39" s="19"/>
      <c r="GMY39" s="19"/>
      <c r="GMZ39" s="19"/>
      <c r="GNA39" s="19"/>
      <c r="GNB39" s="19"/>
      <c r="GNC39" s="19"/>
      <c r="GND39" s="19"/>
      <c r="GNE39" s="19"/>
      <c r="GNF39" s="19"/>
      <c r="GNG39" s="19"/>
      <c r="GNH39" s="19"/>
      <c r="GNI39" s="19"/>
      <c r="GNJ39" s="19"/>
      <c r="GNK39" s="19"/>
      <c r="GNL39" s="19"/>
      <c r="GNM39" s="19"/>
      <c r="GNN39" s="19"/>
      <c r="GNO39" s="19"/>
      <c r="GNP39" s="19"/>
      <c r="GNQ39" s="19"/>
      <c r="GNR39" s="19"/>
      <c r="GNS39" s="19"/>
      <c r="GNT39" s="19"/>
      <c r="GNU39" s="19"/>
      <c r="GNV39" s="19"/>
      <c r="GNW39" s="19"/>
      <c r="GNX39" s="19"/>
      <c r="GNY39" s="19"/>
      <c r="GNZ39" s="19"/>
      <c r="GOA39" s="19"/>
      <c r="GOB39" s="19"/>
      <c r="GOC39" s="19"/>
      <c r="GOD39" s="19"/>
      <c r="GOE39" s="19"/>
      <c r="GOF39" s="19"/>
      <c r="GOG39" s="19"/>
      <c r="GOH39" s="19"/>
      <c r="GOI39" s="19"/>
      <c r="GOJ39" s="19"/>
      <c r="GOK39" s="19"/>
      <c r="GOL39" s="19"/>
      <c r="GOM39" s="19"/>
      <c r="GON39" s="19"/>
      <c r="GOO39" s="19"/>
      <c r="GOP39" s="19"/>
      <c r="GOQ39" s="19"/>
      <c r="GOR39" s="19"/>
      <c r="GOS39" s="19"/>
      <c r="GOT39" s="19"/>
      <c r="GOU39" s="19"/>
      <c r="GOV39" s="19"/>
      <c r="GOW39" s="19"/>
      <c r="GOX39" s="19"/>
      <c r="GOY39" s="19"/>
      <c r="GOZ39" s="19"/>
      <c r="GPA39" s="19"/>
      <c r="GPB39" s="19"/>
      <c r="GPC39" s="19"/>
      <c r="GPD39" s="19"/>
      <c r="GPE39" s="19"/>
      <c r="GPF39" s="19"/>
      <c r="GPG39" s="19"/>
      <c r="GPH39" s="19"/>
      <c r="GPI39" s="19"/>
      <c r="GPJ39" s="19"/>
      <c r="GPK39" s="19"/>
      <c r="GPL39" s="19"/>
      <c r="GPM39" s="19"/>
      <c r="GPN39" s="19"/>
      <c r="GPO39" s="19"/>
      <c r="GPP39" s="19"/>
      <c r="GPQ39" s="19"/>
      <c r="GPR39" s="19"/>
      <c r="GPS39" s="19"/>
      <c r="GPT39" s="19"/>
      <c r="GPU39" s="19"/>
      <c r="GPV39" s="19"/>
      <c r="GPW39" s="19"/>
      <c r="GPX39" s="19"/>
      <c r="GPY39" s="19"/>
      <c r="GPZ39" s="19"/>
      <c r="GQA39" s="19"/>
      <c r="GQB39" s="19"/>
      <c r="GQC39" s="19"/>
      <c r="GQD39" s="19"/>
      <c r="GQE39" s="19"/>
      <c r="GQF39" s="19"/>
      <c r="GQG39" s="19"/>
      <c r="GQH39" s="19"/>
      <c r="GQI39" s="19"/>
      <c r="GQJ39" s="19"/>
      <c r="GQK39" s="19"/>
      <c r="GQL39" s="19"/>
      <c r="GQM39" s="19"/>
      <c r="GQN39" s="19"/>
      <c r="GQO39" s="19"/>
      <c r="GQP39" s="19"/>
      <c r="GQQ39" s="19"/>
      <c r="GQR39" s="19"/>
      <c r="GQS39" s="19"/>
      <c r="GQT39" s="19"/>
      <c r="GQU39" s="19"/>
      <c r="GQV39" s="19"/>
      <c r="GQW39" s="19"/>
      <c r="GQX39" s="19"/>
      <c r="GQY39" s="19"/>
      <c r="GQZ39" s="19"/>
      <c r="GRA39" s="19"/>
      <c r="GRB39" s="19"/>
      <c r="GRC39" s="19"/>
      <c r="GRD39" s="19"/>
      <c r="GRE39" s="19"/>
      <c r="GRF39" s="19"/>
      <c r="GRG39" s="19"/>
      <c r="GRH39" s="19"/>
      <c r="GRI39" s="19"/>
      <c r="GRJ39" s="19"/>
      <c r="GRK39" s="19"/>
      <c r="GRL39" s="19"/>
      <c r="GRM39" s="19"/>
      <c r="GRN39" s="19"/>
      <c r="GRO39" s="19"/>
      <c r="GRP39" s="19"/>
      <c r="GRQ39" s="19"/>
      <c r="GRR39" s="19"/>
      <c r="GRS39" s="19"/>
      <c r="GRT39" s="19"/>
      <c r="GRU39" s="19"/>
      <c r="GRV39" s="19"/>
      <c r="GRW39" s="19"/>
      <c r="GRX39" s="19"/>
      <c r="GRY39" s="19"/>
      <c r="GRZ39" s="19"/>
      <c r="GSA39" s="19"/>
      <c r="GSB39" s="19"/>
      <c r="GSC39" s="19"/>
      <c r="GSD39" s="19"/>
      <c r="GSE39" s="19"/>
      <c r="GSF39" s="19"/>
      <c r="GSG39" s="19"/>
      <c r="GSH39" s="19"/>
      <c r="GSI39" s="19"/>
      <c r="GSJ39" s="19"/>
      <c r="GSK39" s="19"/>
      <c r="GSL39" s="19"/>
      <c r="GSM39" s="19"/>
      <c r="GSN39" s="19"/>
      <c r="GSO39" s="19"/>
      <c r="GSP39" s="19"/>
      <c r="GSQ39" s="19"/>
      <c r="GSR39" s="19"/>
      <c r="GSS39" s="19"/>
      <c r="GST39" s="19"/>
      <c r="GSU39" s="19"/>
      <c r="GSV39" s="19"/>
      <c r="GSW39" s="19"/>
      <c r="GSX39" s="19"/>
      <c r="GSY39" s="19"/>
      <c r="GSZ39" s="19"/>
      <c r="GTA39" s="19"/>
      <c r="GTB39" s="19"/>
      <c r="GTC39" s="19"/>
      <c r="GTD39" s="19"/>
      <c r="GTE39" s="19"/>
      <c r="GTF39" s="19"/>
      <c r="GTG39" s="19"/>
      <c r="GTH39" s="19"/>
      <c r="GTI39" s="19"/>
      <c r="GTJ39" s="19"/>
      <c r="GTK39" s="19"/>
      <c r="GTL39" s="19"/>
      <c r="GTM39" s="19"/>
      <c r="GTN39" s="19"/>
      <c r="GTO39" s="19"/>
      <c r="GTP39" s="19"/>
      <c r="GTQ39" s="19"/>
      <c r="GTR39" s="19"/>
      <c r="GTS39" s="19"/>
      <c r="GTT39" s="19"/>
      <c r="GTU39" s="19"/>
      <c r="GTV39" s="19"/>
      <c r="GTW39" s="19"/>
      <c r="GTX39" s="19"/>
      <c r="GTY39" s="19"/>
      <c r="GTZ39" s="19"/>
      <c r="GUA39" s="19"/>
      <c r="GUB39" s="19"/>
      <c r="GUC39" s="19"/>
      <c r="GUD39" s="19"/>
      <c r="GUE39" s="19"/>
      <c r="GUF39" s="19"/>
      <c r="GUG39" s="19"/>
      <c r="GUH39" s="19"/>
      <c r="GUI39" s="19"/>
      <c r="GUJ39" s="19"/>
      <c r="GUK39" s="19"/>
      <c r="GUL39" s="19"/>
      <c r="GUM39" s="19"/>
      <c r="GUN39" s="19"/>
      <c r="GUO39" s="19"/>
      <c r="GUP39" s="19"/>
      <c r="GUQ39" s="19"/>
      <c r="GUR39" s="19"/>
      <c r="GUS39" s="19"/>
      <c r="GUT39" s="19"/>
      <c r="GUU39" s="19"/>
      <c r="GUV39" s="19"/>
      <c r="GUW39" s="19"/>
      <c r="GUX39" s="19"/>
      <c r="GUY39" s="19"/>
      <c r="GUZ39" s="19"/>
      <c r="GVA39" s="19"/>
      <c r="GVB39" s="19"/>
      <c r="GVC39" s="19"/>
      <c r="GVD39" s="19"/>
      <c r="GVE39" s="19"/>
      <c r="GVF39" s="19"/>
      <c r="GVG39" s="19"/>
      <c r="GVH39" s="19"/>
      <c r="GVI39" s="19"/>
      <c r="GVJ39" s="19"/>
      <c r="GVK39" s="19"/>
      <c r="GVL39" s="19"/>
      <c r="GVM39" s="19"/>
      <c r="GVN39" s="19"/>
      <c r="GVO39" s="19"/>
      <c r="GVP39" s="19"/>
      <c r="GVQ39" s="19"/>
      <c r="GVR39" s="19"/>
      <c r="GVS39" s="19"/>
      <c r="GVT39" s="19"/>
      <c r="GVU39" s="19"/>
      <c r="GVV39" s="19"/>
      <c r="GVW39" s="19"/>
      <c r="GVX39" s="19"/>
      <c r="GVY39" s="19"/>
      <c r="GVZ39" s="19"/>
      <c r="GWA39" s="19"/>
      <c r="GWB39" s="19"/>
      <c r="GWC39" s="19"/>
      <c r="GWD39" s="19"/>
      <c r="GWE39" s="19"/>
      <c r="GWF39" s="19"/>
      <c r="GWG39" s="19"/>
      <c r="GWH39" s="19"/>
      <c r="GWI39" s="19"/>
      <c r="GWJ39" s="19"/>
      <c r="GWK39" s="19"/>
      <c r="GWL39" s="19"/>
      <c r="GWM39" s="19"/>
      <c r="GWN39" s="19"/>
      <c r="GWO39" s="19"/>
      <c r="GWP39" s="19"/>
      <c r="GWQ39" s="19"/>
      <c r="GWR39" s="19"/>
      <c r="GWS39" s="19"/>
      <c r="GWT39" s="19"/>
      <c r="GWU39" s="19"/>
      <c r="GWV39" s="19"/>
      <c r="GWW39" s="19"/>
      <c r="GWX39" s="19"/>
      <c r="GWY39" s="19"/>
      <c r="GWZ39" s="19"/>
      <c r="GXA39" s="19"/>
      <c r="GXB39" s="19"/>
      <c r="GXC39" s="19"/>
      <c r="GXD39" s="19"/>
      <c r="GXE39" s="19"/>
      <c r="GXF39" s="19"/>
      <c r="GXG39" s="19"/>
      <c r="GXH39" s="19"/>
      <c r="GXI39" s="19"/>
      <c r="GXJ39" s="19"/>
      <c r="GXK39" s="19"/>
      <c r="GXL39" s="19"/>
      <c r="GXM39" s="19"/>
      <c r="GXN39" s="19"/>
      <c r="GXO39" s="19"/>
      <c r="GXP39" s="19"/>
      <c r="GXQ39" s="19"/>
      <c r="GXR39" s="19"/>
      <c r="GXS39" s="19"/>
      <c r="GXT39" s="19"/>
      <c r="GXU39" s="19"/>
      <c r="GXV39" s="19"/>
      <c r="GXW39" s="19"/>
      <c r="GXX39" s="19"/>
      <c r="GXY39" s="19"/>
      <c r="GXZ39" s="19"/>
      <c r="GYA39" s="19"/>
      <c r="GYB39" s="19"/>
      <c r="GYC39" s="19"/>
      <c r="GYD39" s="19"/>
      <c r="GYE39" s="19"/>
      <c r="GYF39" s="19"/>
      <c r="GYG39" s="19"/>
      <c r="GYH39" s="19"/>
      <c r="GYI39" s="19"/>
      <c r="GYJ39" s="19"/>
      <c r="GYK39" s="19"/>
      <c r="GYL39" s="19"/>
      <c r="GYM39" s="19"/>
      <c r="GYN39" s="19"/>
      <c r="GYO39" s="19"/>
      <c r="GYP39" s="19"/>
      <c r="GYQ39" s="19"/>
      <c r="GYR39" s="19"/>
      <c r="GYS39" s="19"/>
      <c r="GYT39" s="19"/>
      <c r="GYU39" s="19"/>
      <c r="GYV39" s="19"/>
      <c r="GYW39" s="19"/>
      <c r="GYX39" s="19"/>
      <c r="GYY39" s="19"/>
      <c r="GYZ39" s="19"/>
      <c r="GZA39" s="19"/>
      <c r="GZB39" s="19"/>
      <c r="GZC39" s="19"/>
      <c r="GZD39" s="19"/>
      <c r="GZE39" s="19"/>
      <c r="GZF39" s="19"/>
      <c r="GZG39" s="19"/>
      <c r="GZH39" s="19"/>
      <c r="GZI39" s="19"/>
      <c r="GZJ39" s="19"/>
      <c r="GZK39" s="19"/>
      <c r="GZL39" s="19"/>
      <c r="GZM39" s="19"/>
      <c r="GZN39" s="19"/>
      <c r="GZO39" s="19"/>
      <c r="GZP39" s="19"/>
      <c r="GZQ39" s="19"/>
      <c r="GZR39" s="19"/>
      <c r="GZS39" s="19"/>
      <c r="GZT39" s="19"/>
      <c r="GZU39" s="19"/>
      <c r="GZV39" s="19"/>
      <c r="GZW39" s="19"/>
      <c r="GZX39" s="19"/>
      <c r="GZY39" s="19"/>
      <c r="GZZ39" s="19"/>
      <c r="HAA39" s="19"/>
      <c r="HAB39" s="19"/>
      <c r="HAC39" s="19"/>
      <c r="HAD39" s="19"/>
      <c r="HAE39" s="19"/>
      <c r="HAF39" s="19"/>
      <c r="HAG39" s="19"/>
      <c r="HAH39" s="19"/>
      <c r="HAI39" s="19"/>
      <c r="HAJ39" s="19"/>
      <c r="HAK39" s="19"/>
      <c r="HAL39" s="19"/>
      <c r="HAM39" s="19"/>
      <c r="HAN39" s="19"/>
      <c r="HAO39" s="19"/>
      <c r="HAP39" s="19"/>
      <c r="HAQ39" s="19"/>
      <c r="HAR39" s="19"/>
      <c r="HAS39" s="19"/>
      <c r="HAT39" s="19"/>
      <c r="HAU39" s="19"/>
      <c r="HAV39" s="19"/>
      <c r="HAW39" s="19"/>
      <c r="HAX39" s="19"/>
      <c r="HAY39" s="19"/>
      <c r="HAZ39" s="19"/>
      <c r="HBA39" s="19"/>
      <c r="HBB39" s="19"/>
      <c r="HBC39" s="19"/>
      <c r="HBD39" s="19"/>
      <c r="HBE39" s="19"/>
      <c r="HBF39" s="19"/>
      <c r="HBG39" s="19"/>
      <c r="HBH39" s="19"/>
      <c r="HBI39" s="19"/>
      <c r="HBJ39" s="19"/>
      <c r="HBK39" s="19"/>
      <c r="HBL39" s="19"/>
      <c r="HBM39" s="19"/>
      <c r="HBN39" s="19"/>
      <c r="HBO39" s="19"/>
      <c r="HBP39" s="19"/>
      <c r="HBQ39" s="19"/>
      <c r="HBR39" s="19"/>
      <c r="HBS39" s="19"/>
      <c r="HBT39" s="19"/>
      <c r="HBU39" s="19"/>
      <c r="HBV39" s="19"/>
      <c r="HBW39" s="19"/>
      <c r="HBX39" s="19"/>
      <c r="HBY39" s="19"/>
      <c r="HBZ39" s="19"/>
      <c r="HCA39" s="19"/>
      <c r="HCB39" s="19"/>
      <c r="HCC39" s="19"/>
      <c r="HCD39" s="19"/>
      <c r="HCE39" s="19"/>
      <c r="HCF39" s="19"/>
      <c r="HCG39" s="19"/>
      <c r="HCH39" s="19"/>
      <c r="HCI39" s="19"/>
      <c r="HCJ39" s="19"/>
      <c r="HCK39" s="19"/>
      <c r="HCL39" s="19"/>
      <c r="HCM39" s="19"/>
      <c r="HCN39" s="19"/>
      <c r="HCO39" s="19"/>
      <c r="HCP39" s="19"/>
      <c r="HCQ39" s="19"/>
      <c r="HCR39" s="19"/>
      <c r="HCS39" s="19"/>
      <c r="HCT39" s="19"/>
      <c r="HCU39" s="19"/>
      <c r="HCV39" s="19"/>
      <c r="HCW39" s="19"/>
      <c r="HCX39" s="19"/>
      <c r="HCY39" s="19"/>
      <c r="HCZ39" s="19"/>
      <c r="HDA39" s="19"/>
      <c r="HDB39" s="19"/>
      <c r="HDC39" s="19"/>
      <c r="HDD39" s="19"/>
      <c r="HDE39" s="19"/>
      <c r="HDF39" s="19"/>
      <c r="HDG39" s="19"/>
      <c r="HDH39" s="19"/>
      <c r="HDI39" s="19"/>
      <c r="HDJ39" s="19"/>
      <c r="HDK39" s="19"/>
      <c r="HDL39" s="19"/>
      <c r="HDM39" s="19"/>
      <c r="HDN39" s="19"/>
      <c r="HDO39" s="19"/>
      <c r="HDP39" s="19"/>
      <c r="HDQ39" s="19"/>
      <c r="HDR39" s="19"/>
      <c r="HDS39" s="19"/>
      <c r="HDT39" s="19"/>
      <c r="HDU39" s="19"/>
      <c r="HDV39" s="19"/>
      <c r="HDW39" s="19"/>
      <c r="HDX39" s="19"/>
      <c r="HDY39" s="19"/>
      <c r="HDZ39" s="19"/>
      <c r="HEA39" s="19"/>
      <c r="HEB39" s="19"/>
      <c r="HEC39" s="19"/>
      <c r="HED39" s="19"/>
      <c r="HEE39" s="19"/>
      <c r="HEF39" s="19"/>
      <c r="HEG39" s="19"/>
      <c r="HEH39" s="19"/>
      <c r="HEI39" s="19"/>
      <c r="HEJ39" s="19"/>
      <c r="HEK39" s="19"/>
      <c r="HEL39" s="19"/>
      <c r="HEM39" s="19"/>
      <c r="HEN39" s="19"/>
      <c r="HEO39" s="19"/>
      <c r="HEP39" s="19"/>
      <c r="HEQ39" s="19"/>
      <c r="HER39" s="19"/>
      <c r="HES39" s="19"/>
      <c r="HET39" s="19"/>
      <c r="HEU39" s="19"/>
      <c r="HEV39" s="19"/>
      <c r="HEW39" s="19"/>
      <c r="HEX39" s="19"/>
      <c r="HEY39" s="19"/>
      <c r="HEZ39" s="19"/>
      <c r="HFA39" s="19"/>
      <c r="HFB39" s="19"/>
      <c r="HFC39" s="19"/>
      <c r="HFD39" s="19"/>
      <c r="HFE39" s="19"/>
      <c r="HFF39" s="19"/>
      <c r="HFG39" s="19"/>
      <c r="HFH39" s="19"/>
      <c r="HFI39" s="19"/>
      <c r="HFJ39" s="19"/>
      <c r="HFK39" s="19"/>
      <c r="HFL39" s="19"/>
      <c r="HFM39" s="19"/>
      <c r="HFN39" s="19"/>
      <c r="HFO39" s="19"/>
      <c r="HFP39" s="19"/>
      <c r="HFQ39" s="19"/>
      <c r="HFR39" s="19"/>
      <c r="HFS39" s="19"/>
      <c r="HFT39" s="19"/>
      <c r="HFU39" s="19"/>
      <c r="HFV39" s="19"/>
      <c r="HFW39" s="19"/>
      <c r="HFX39" s="19"/>
      <c r="HFY39" s="19"/>
      <c r="HFZ39" s="19"/>
      <c r="HGA39" s="19"/>
      <c r="HGB39" s="19"/>
      <c r="HGC39" s="19"/>
      <c r="HGD39" s="19"/>
      <c r="HGE39" s="19"/>
      <c r="HGF39" s="19"/>
      <c r="HGG39" s="19"/>
      <c r="HGH39" s="19"/>
      <c r="HGI39" s="19"/>
      <c r="HGJ39" s="19"/>
      <c r="HGK39" s="19"/>
      <c r="HGL39" s="19"/>
      <c r="HGM39" s="19"/>
      <c r="HGN39" s="19"/>
      <c r="HGO39" s="19"/>
      <c r="HGP39" s="19"/>
      <c r="HGQ39" s="19"/>
      <c r="HGR39" s="19"/>
      <c r="HGS39" s="19"/>
      <c r="HGT39" s="19"/>
      <c r="HGU39" s="19"/>
      <c r="HGV39" s="19"/>
      <c r="HGW39" s="19"/>
      <c r="HGX39" s="19"/>
      <c r="HGY39" s="19"/>
      <c r="HGZ39" s="19"/>
      <c r="HHA39" s="19"/>
      <c r="HHB39" s="19"/>
      <c r="HHC39" s="19"/>
      <c r="HHD39" s="19"/>
      <c r="HHE39" s="19"/>
      <c r="HHF39" s="19"/>
      <c r="HHG39" s="19"/>
      <c r="HHH39" s="19"/>
      <c r="HHI39" s="19"/>
      <c r="HHJ39" s="19"/>
      <c r="HHK39" s="19"/>
      <c r="HHL39" s="19"/>
      <c r="HHM39" s="19"/>
      <c r="HHN39" s="19"/>
      <c r="HHO39" s="19"/>
      <c r="HHP39" s="19"/>
      <c r="HHQ39" s="19"/>
      <c r="HHR39" s="19"/>
      <c r="HHS39" s="19"/>
      <c r="HHT39" s="19"/>
      <c r="HHU39" s="19"/>
      <c r="HHV39" s="19"/>
      <c r="HHW39" s="19"/>
      <c r="HHX39" s="19"/>
      <c r="HHY39" s="19"/>
      <c r="HHZ39" s="19"/>
      <c r="HIA39" s="19"/>
      <c r="HIB39" s="19"/>
      <c r="HIC39" s="19"/>
      <c r="HID39" s="19"/>
      <c r="HIE39" s="19"/>
      <c r="HIF39" s="19"/>
      <c r="HIG39" s="19"/>
      <c r="HIH39" s="19"/>
      <c r="HII39" s="19"/>
      <c r="HIJ39" s="19"/>
      <c r="HIK39" s="19"/>
      <c r="HIL39" s="19"/>
      <c r="HIM39" s="19"/>
      <c r="HIN39" s="19"/>
      <c r="HIO39" s="19"/>
      <c r="HIP39" s="19"/>
      <c r="HIQ39" s="19"/>
      <c r="HIR39" s="19"/>
      <c r="HIS39" s="19"/>
      <c r="HIT39" s="19"/>
      <c r="HIU39" s="19"/>
      <c r="HIV39" s="19"/>
      <c r="HIW39" s="19"/>
      <c r="HIX39" s="19"/>
      <c r="HIY39" s="19"/>
      <c r="HIZ39" s="19"/>
      <c r="HJA39" s="19"/>
      <c r="HJB39" s="19"/>
      <c r="HJC39" s="19"/>
      <c r="HJD39" s="19"/>
      <c r="HJE39" s="19"/>
      <c r="HJF39" s="19"/>
      <c r="HJG39" s="19"/>
      <c r="HJH39" s="19"/>
      <c r="HJI39" s="19"/>
      <c r="HJJ39" s="19"/>
      <c r="HJK39" s="19"/>
      <c r="HJL39" s="19"/>
      <c r="HJM39" s="19"/>
      <c r="HJN39" s="19"/>
      <c r="HJO39" s="19"/>
      <c r="HJP39" s="19"/>
      <c r="HJQ39" s="19"/>
      <c r="HJR39" s="19"/>
      <c r="HJS39" s="19"/>
      <c r="HJT39" s="19"/>
      <c r="HJU39" s="19"/>
      <c r="HJV39" s="19"/>
      <c r="HJW39" s="19"/>
      <c r="HJX39" s="19"/>
      <c r="HJY39" s="19"/>
      <c r="HJZ39" s="19"/>
      <c r="HKA39" s="19"/>
      <c r="HKB39" s="19"/>
      <c r="HKC39" s="19"/>
      <c r="HKD39" s="19"/>
      <c r="HKE39" s="19"/>
      <c r="HKF39" s="19"/>
      <c r="HKG39" s="19"/>
      <c r="HKH39" s="19"/>
      <c r="HKI39" s="19"/>
      <c r="HKJ39" s="19"/>
      <c r="HKK39" s="19"/>
      <c r="HKL39" s="19"/>
      <c r="HKM39" s="19"/>
      <c r="HKN39" s="19"/>
      <c r="HKO39" s="19"/>
      <c r="HKP39" s="19"/>
      <c r="HKQ39" s="19"/>
      <c r="HKR39" s="19"/>
      <c r="HKS39" s="19"/>
      <c r="HKT39" s="19"/>
      <c r="HKU39" s="19"/>
      <c r="HKV39" s="19"/>
      <c r="HKW39" s="19"/>
      <c r="HKX39" s="19"/>
      <c r="HKY39" s="19"/>
      <c r="HKZ39" s="19"/>
      <c r="HLA39" s="19"/>
      <c r="HLB39" s="19"/>
      <c r="HLC39" s="19"/>
      <c r="HLD39" s="19"/>
      <c r="HLE39" s="19"/>
      <c r="HLF39" s="19"/>
      <c r="HLG39" s="19"/>
      <c r="HLH39" s="19"/>
      <c r="HLI39" s="19"/>
      <c r="HLJ39" s="19"/>
      <c r="HLK39" s="19"/>
      <c r="HLL39" s="19"/>
      <c r="HLM39" s="19"/>
      <c r="HLN39" s="19"/>
      <c r="HLO39" s="19"/>
      <c r="HLP39" s="19"/>
      <c r="HLQ39" s="19"/>
      <c r="HLR39" s="19"/>
      <c r="HLS39" s="19"/>
      <c r="HLT39" s="19"/>
      <c r="HLU39" s="19"/>
      <c r="HLV39" s="19"/>
      <c r="HLW39" s="19"/>
      <c r="HLX39" s="19"/>
      <c r="HLY39" s="19"/>
      <c r="HLZ39" s="19"/>
      <c r="HMA39" s="19"/>
      <c r="HMB39" s="19"/>
      <c r="HMC39" s="19"/>
      <c r="HMD39" s="19"/>
      <c r="HME39" s="19"/>
      <c r="HMF39" s="19"/>
      <c r="HMG39" s="19"/>
      <c r="HMH39" s="19"/>
      <c r="HMI39" s="19"/>
      <c r="HMJ39" s="19"/>
      <c r="HMK39" s="19"/>
      <c r="HML39" s="19"/>
      <c r="HMM39" s="19"/>
      <c r="HMN39" s="19"/>
      <c r="HMO39" s="19"/>
      <c r="HMP39" s="19"/>
      <c r="HMQ39" s="19"/>
      <c r="HMR39" s="19"/>
      <c r="HMS39" s="19"/>
      <c r="HMT39" s="19"/>
      <c r="HMU39" s="19"/>
      <c r="HMV39" s="19"/>
      <c r="HMW39" s="19"/>
      <c r="HMX39" s="19"/>
      <c r="HMY39" s="19"/>
      <c r="HMZ39" s="19"/>
      <c r="HNA39" s="19"/>
      <c r="HNB39" s="19"/>
      <c r="HNC39" s="19"/>
      <c r="HND39" s="19"/>
      <c r="HNE39" s="19"/>
      <c r="HNF39" s="19"/>
      <c r="HNG39" s="19"/>
      <c r="HNH39" s="19"/>
      <c r="HNI39" s="19"/>
      <c r="HNJ39" s="19"/>
      <c r="HNK39" s="19"/>
      <c r="HNL39" s="19"/>
      <c r="HNM39" s="19"/>
      <c r="HNN39" s="19"/>
      <c r="HNO39" s="19"/>
      <c r="HNP39" s="19"/>
      <c r="HNQ39" s="19"/>
      <c r="HNR39" s="19"/>
      <c r="HNS39" s="19"/>
      <c r="HNT39" s="19"/>
      <c r="HNU39" s="19"/>
      <c r="HNV39" s="19"/>
      <c r="HNW39" s="19"/>
      <c r="HNX39" s="19"/>
      <c r="HNY39" s="19"/>
      <c r="HNZ39" s="19"/>
      <c r="HOA39" s="19"/>
      <c r="HOB39" s="19"/>
      <c r="HOC39" s="19"/>
      <c r="HOD39" s="19"/>
      <c r="HOE39" s="19"/>
      <c r="HOF39" s="19"/>
      <c r="HOG39" s="19"/>
      <c r="HOH39" s="19"/>
      <c r="HOI39" s="19"/>
      <c r="HOJ39" s="19"/>
      <c r="HOK39" s="19"/>
      <c r="HOL39" s="19"/>
      <c r="HOM39" s="19"/>
      <c r="HON39" s="19"/>
      <c r="HOO39" s="19"/>
      <c r="HOP39" s="19"/>
      <c r="HOQ39" s="19"/>
      <c r="HOR39" s="19"/>
      <c r="HOS39" s="19"/>
      <c r="HOT39" s="19"/>
      <c r="HOU39" s="19"/>
      <c r="HOV39" s="19"/>
      <c r="HOW39" s="19"/>
      <c r="HOX39" s="19"/>
      <c r="HOY39" s="19"/>
      <c r="HOZ39" s="19"/>
      <c r="HPA39" s="19"/>
      <c r="HPB39" s="19"/>
      <c r="HPC39" s="19"/>
      <c r="HPD39" s="19"/>
      <c r="HPE39" s="19"/>
      <c r="HPF39" s="19"/>
      <c r="HPG39" s="19"/>
      <c r="HPH39" s="19"/>
      <c r="HPI39" s="19"/>
      <c r="HPJ39" s="19"/>
      <c r="HPK39" s="19"/>
      <c r="HPL39" s="19"/>
      <c r="HPM39" s="19"/>
      <c r="HPN39" s="19"/>
      <c r="HPO39" s="19"/>
      <c r="HPP39" s="19"/>
      <c r="HPQ39" s="19"/>
      <c r="HPR39" s="19"/>
      <c r="HPS39" s="19"/>
      <c r="HPT39" s="19"/>
      <c r="HPU39" s="19"/>
      <c r="HPV39" s="19"/>
      <c r="HPW39" s="19"/>
      <c r="HPX39" s="19"/>
      <c r="HPY39" s="19"/>
      <c r="HPZ39" s="19"/>
      <c r="HQA39" s="19"/>
      <c r="HQB39" s="19"/>
      <c r="HQC39" s="19"/>
      <c r="HQD39" s="19"/>
      <c r="HQE39" s="19"/>
      <c r="HQF39" s="19"/>
      <c r="HQG39" s="19"/>
      <c r="HQH39" s="19"/>
      <c r="HQI39" s="19"/>
      <c r="HQJ39" s="19"/>
      <c r="HQK39" s="19"/>
      <c r="HQL39" s="19"/>
      <c r="HQM39" s="19"/>
      <c r="HQN39" s="19"/>
      <c r="HQO39" s="19"/>
      <c r="HQP39" s="19"/>
      <c r="HQQ39" s="19"/>
      <c r="HQR39" s="19"/>
      <c r="HQS39" s="19"/>
      <c r="HQT39" s="19"/>
      <c r="HQU39" s="19"/>
      <c r="HQV39" s="19"/>
      <c r="HQW39" s="19"/>
      <c r="HQX39" s="19"/>
      <c r="HQY39" s="19"/>
      <c r="HQZ39" s="19"/>
      <c r="HRA39" s="19"/>
      <c r="HRB39" s="19"/>
      <c r="HRC39" s="19"/>
      <c r="HRD39" s="19"/>
      <c r="HRE39" s="19"/>
      <c r="HRF39" s="19"/>
      <c r="HRG39" s="19"/>
      <c r="HRH39" s="19"/>
      <c r="HRI39" s="19"/>
      <c r="HRJ39" s="19"/>
      <c r="HRK39" s="19"/>
      <c r="HRL39" s="19"/>
      <c r="HRM39" s="19"/>
      <c r="HRN39" s="19"/>
      <c r="HRO39" s="19"/>
      <c r="HRP39" s="19"/>
      <c r="HRQ39" s="19"/>
      <c r="HRR39" s="19"/>
      <c r="HRS39" s="19"/>
      <c r="HRT39" s="19"/>
      <c r="HRU39" s="19"/>
      <c r="HRV39" s="19"/>
      <c r="HRW39" s="19"/>
      <c r="HRX39" s="19"/>
      <c r="HRY39" s="19"/>
      <c r="HRZ39" s="19"/>
      <c r="HSA39" s="19"/>
      <c r="HSB39" s="19"/>
      <c r="HSC39" s="19"/>
      <c r="HSD39" s="19"/>
      <c r="HSE39" s="19"/>
      <c r="HSF39" s="19"/>
      <c r="HSG39" s="19"/>
      <c r="HSH39" s="19"/>
      <c r="HSI39" s="19"/>
      <c r="HSJ39" s="19"/>
      <c r="HSK39" s="19"/>
      <c r="HSL39" s="19"/>
      <c r="HSM39" s="19"/>
      <c r="HSN39" s="19"/>
      <c r="HSO39" s="19"/>
      <c r="HSP39" s="19"/>
      <c r="HSQ39" s="19"/>
      <c r="HSR39" s="19"/>
      <c r="HSS39" s="19"/>
      <c r="HST39" s="19"/>
      <c r="HSU39" s="19"/>
      <c r="HSV39" s="19"/>
      <c r="HSW39" s="19"/>
      <c r="HSX39" s="19"/>
      <c r="HSY39" s="19"/>
      <c r="HSZ39" s="19"/>
      <c r="HTA39" s="19"/>
      <c r="HTB39" s="19"/>
      <c r="HTC39" s="19"/>
      <c r="HTD39" s="19"/>
      <c r="HTE39" s="19"/>
      <c r="HTF39" s="19"/>
      <c r="HTG39" s="19"/>
      <c r="HTH39" s="19"/>
      <c r="HTI39" s="19"/>
      <c r="HTJ39" s="19"/>
      <c r="HTK39" s="19"/>
      <c r="HTL39" s="19"/>
      <c r="HTM39" s="19"/>
      <c r="HTN39" s="19"/>
      <c r="HTO39" s="19"/>
      <c r="HTP39" s="19"/>
      <c r="HTQ39" s="19"/>
      <c r="HTR39" s="19"/>
      <c r="HTS39" s="19"/>
      <c r="HTT39" s="19"/>
      <c r="HTU39" s="19"/>
      <c r="HTV39" s="19"/>
      <c r="HTW39" s="19"/>
      <c r="HTX39" s="19"/>
      <c r="HTY39" s="19"/>
      <c r="HTZ39" s="19"/>
      <c r="HUA39" s="19"/>
      <c r="HUB39" s="19"/>
      <c r="HUC39" s="19"/>
      <c r="HUD39" s="19"/>
      <c r="HUE39" s="19"/>
      <c r="HUF39" s="19"/>
      <c r="HUG39" s="19"/>
      <c r="HUH39" s="19"/>
      <c r="HUI39" s="19"/>
      <c r="HUJ39" s="19"/>
      <c r="HUK39" s="19"/>
      <c r="HUL39" s="19"/>
      <c r="HUM39" s="19"/>
      <c r="HUN39" s="19"/>
      <c r="HUO39" s="19"/>
      <c r="HUP39" s="19"/>
      <c r="HUQ39" s="19"/>
      <c r="HUR39" s="19"/>
      <c r="HUS39" s="19"/>
      <c r="HUT39" s="19"/>
      <c r="HUU39" s="19"/>
      <c r="HUV39" s="19"/>
      <c r="HUW39" s="19"/>
      <c r="HUX39" s="19"/>
      <c r="HUY39" s="19"/>
      <c r="HUZ39" s="19"/>
      <c r="HVA39" s="19"/>
      <c r="HVB39" s="19"/>
      <c r="HVC39" s="19"/>
      <c r="HVD39" s="19"/>
      <c r="HVE39" s="19"/>
      <c r="HVF39" s="19"/>
      <c r="HVG39" s="19"/>
      <c r="HVH39" s="19"/>
      <c r="HVI39" s="19"/>
      <c r="HVJ39" s="19"/>
      <c r="HVK39" s="19"/>
      <c r="HVL39" s="19"/>
      <c r="HVM39" s="19"/>
      <c r="HVN39" s="19"/>
      <c r="HVO39" s="19"/>
      <c r="HVP39" s="19"/>
      <c r="HVQ39" s="19"/>
      <c r="HVR39" s="19"/>
      <c r="HVS39" s="19"/>
      <c r="HVT39" s="19"/>
      <c r="HVU39" s="19"/>
      <c r="HVV39" s="19"/>
      <c r="HVW39" s="19"/>
      <c r="HVX39" s="19"/>
      <c r="HVY39" s="19"/>
      <c r="HVZ39" s="19"/>
      <c r="HWA39" s="19"/>
      <c r="HWB39" s="19"/>
      <c r="HWC39" s="19"/>
      <c r="HWD39" s="19"/>
      <c r="HWE39" s="19"/>
      <c r="HWF39" s="19"/>
      <c r="HWG39" s="19"/>
      <c r="HWH39" s="19"/>
      <c r="HWI39" s="19"/>
      <c r="HWJ39" s="19"/>
      <c r="HWK39" s="19"/>
      <c r="HWL39" s="19"/>
      <c r="HWM39" s="19"/>
      <c r="HWN39" s="19"/>
      <c r="HWO39" s="19"/>
      <c r="HWP39" s="19"/>
      <c r="HWQ39" s="19"/>
      <c r="HWR39" s="19"/>
      <c r="HWS39" s="19"/>
      <c r="HWT39" s="19"/>
      <c r="HWU39" s="19"/>
      <c r="HWV39" s="19"/>
      <c r="HWW39" s="19"/>
      <c r="HWX39" s="19"/>
      <c r="HWY39" s="19"/>
      <c r="HWZ39" s="19"/>
      <c r="HXA39" s="19"/>
      <c r="HXB39" s="19"/>
      <c r="HXC39" s="19"/>
      <c r="HXD39" s="19"/>
      <c r="HXE39" s="19"/>
      <c r="HXF39" s="19"/>
      <c r="HXG39" s="19"/>
      <c r="HXH39" s="19"/>
      <c r="HXI39" s="19"/>
      <c r="HXJ39" s="19"/>
      <c r="HXK39" s="19"/>
      <c r="HXL39" s="19"/>
      <c r="HXM39" s="19"/>
      <c r="HXN39" s="19"/>
      <c r="HXO39" s="19"/>
      <c r="HXP39" s="19"/>
      <c r="HXQ39" s="19"/>
      <c r="HXR39" s="19"/>
      <c r="HXS39" s="19"/>
      <c r="HXT39" s="19"/>
      <c r="HXU39" s="19"/>
      <c r="HXV39" s="19"/>
      <c r="HXW39" s="19"/>
      <c r="HXX39" s="19"/>
      <c r="HXY39" s="19"/>
      <c r="HXZ39" s="19"/>
      <c r="HYA39" s="19"/>
      <c r="HYB39" s="19"/>
      <c r="HYC39" s="19"/>
      <c r="HYD39" s="19"/>
      <c r="HYE39" s="19"/>
      <c r="HYF39" s="19"/>
      <c r="HYG39" s="19"/>
      <c r="HYH39" s="19"/>
      <c r="HYI39" s="19"/>
      <c r="HYJ39" s="19"/>
      <c r="HYK39" s="19"/>
      <c r="HYL39" s="19"/>
      <c r="HYM39" s="19"/>
      <c r="HYN39" s="19"/>
      <c r="HYO39" s="19"/>
      <c r="HYP39" s="19"/>
      <c r="HYQ39" s="19"/>
      <c r="HYR39" s="19"/>
      <c r="HYS39" s="19"/>
      <c r="HYT39" s="19"/>
      <c r="HYU39" s="19"/>
      <c r="HYV39" s="19"/>
      <c r="HYW39" s="19"/>
      <c r="HYX39" s="19"/>
      <c r="HYY39" s="19"/>
      <c r="HYZ39" s="19"/>
      <c r="HZA39" s="19"/>
      <c r="HZB39" s="19"/>
      <c r="HZC39" s="19"/>
      <c r="HZD39" s="19"/>
      <c r="HZE39" s="19"/>
      <c r="HZF39" s="19"/>
      <c r="HZG39" s="19"/>
      <c r="HZH39" s="19"/>
      <c r="HZI39" s="19"/>
      <c r="HZJ39" s="19"/>
      <c r="HZK39" s="19"/>
      <c r="HZL39" s="19"/>
      <c r="HZM39" s="19"/>
      <c r="HZN39" s="19"/>
      <c r="HZO39" s="19"/>
      <c r="HZP39" s="19"/>
      <c r="HZQ39" s="19"/>
      <c r="HZR39" s="19"/>
      <c r="HZS39" s="19"/>
      <c r="HZT39" s="19"/>
      <c r="HZU39" s="19"/>
      <c r="HZV39" s="19"/>
      <c r="HZW39" s="19"/>
      <c r="HZX39" s="19"/>
      <c r="HZY39" s="19"/>
      <c r="HZZ39" s="19"/>
      <c r="IAA39" s="19"/>
      <c r="IAB39" s="19"/>
      <c r="IAC39" s="19"/>
      <c r="IAD39" s="19"/>
      <c r="IAE39" s="19"/>
      <c r="IAF39" s="19"/>
      <c r="IAG39" s="19"/>
      <c r="IAH39" s="19"/>
      <c r="IAI39" s="19"/>
      <c r="IAJ39" s="19"/>
      <c r="IAK39" s="19"/>
      <c r="IAL39" s="19"/>
      <c r="IAM39" s="19"/>
      <c r="IAN39" s="19"/>
      <c r="IAO39" s="19"/>
      <c r="IAP39" s="19"/>
      <c r="IAQ39" s="19"/>
      <c r="IAR39" s="19"/>
      <c r="IAS39" s="19"/>
      <c r="IAT39" s="19"/>
      <c r="IAU39" s="19"/>
      <c r="IAV39" s="19"/>
      <c r="IAW39" s="19"/>
      <c r="IAX39" s="19"/>
      <c r="IAY39" s="19"/>
      <c r="IAZ39" s="19"/>
      <c r="IBA39" s="19"/>
      <c r="IBB39" s="19"/>
      <c r="IBC39" s="19"/>
      <c r="IBD39" s="19"/>
      <c r="IBE39" s="19"/>
      <c r="IBF39" s="19"/>
      <c r="IBG39" s="19"/>
      <c r="IBH39" s="19"/>
      <c r="IBI39" s="19"/>
      <c r="IBJ39" s="19"/>
      <c r="IBK39" s="19"/>
      <c r="IBL39" s="19"/>
      <c r="IBM39" s="19"/>
      <c r="IBN39" s="19"/>
      <c r="IBO39" s="19"/>
      <c r="IBP39" s="19"/>
      <c r="IBQ39" s="19"/>
      <c r="IBR39" s="19"/>
      <c r="IBS39" s="19"/>
      <c r="IBT39" s="19"/>
      <c r="IBU39" s="19"/>
      <c r="IBV39" s="19"/>
      <c r="IBW39" s="19"/>
      <c r="IBX39" s="19"/>
      <c r="IBY39" s="19"/>
      <c r="IBZ39" s="19"/>
      <c r="ICA39" s="19"/>
      <c r="ICB39" s="19"/>
      <c r="ICC39" s="19"/>
      <c r="ICD39" s="19"/>
      <c r="ICE39" s="19"/>
      <c r="ICF39" s="19"/>
      <c r="ICG39" s="19"/>
      <c r="ICH39" s="19"/>
      <c r="ICI39" s="19"/>
      <c r="ICJ39" s="19"/>
      <c r="ICK39" s="19"/>
      <c r="ICL39" s="19"/>
      <c r="ICM39" s="19"/>
      <c r="ICN39" s="19"/>
      <c r="ICO39" s="19"/>
      <c r="ICP39" s="19"/>
      <c r="ICQ39" s="19"/>
      <c r="ICR39" s="19"/>
      <c r="ICS39" s="19"/>
      <c r="ICT39" s="19"/>
      <c r="ICU39" s="19"/>
      <c r="ICV39" s="19"/>
      <c r="ICW39" s="19"/>
      <c r="ICX39" s="19"/>
      <c r="ICY39" s="19"/>
      <c r="ICZ39" s="19"/>
      <c r="IDA39" s="19"/>
      <c r="IDB39" s="19"/>
      <c r="IDC39" s="19"/>
      <c r="IDD39" s="19"/>
      <c r="IDE39" s="19"/>
      <c r="IDF39" s="19"/>
      <c r="IDG39" s="19"/>
      <c r="IDH39" s="19"/>
      <c r="IDI39" s="19"/>
      <c r="IDJ39" s="19"/>
      <c r="IDK39" s="19"/>
      <c r="IDL39" s="19"/>
      <c r="IDM39" s="19"/>
      <c r="IDN39" s="19"/>
      <c r="IDO39" s="19"/>
      <c r="IDP39" s="19"/>
      <c r="IDQ39" s="19"/>
      <c r="IDR39" s="19"/>
      <c r="IDS39" s="19"/>
      <c r="IDT39" s="19"/>
      <c r="IDU39" s="19"/>
      <c r="IDV39" s="19"/>
      <c r="IDW39" s="19"/>
      <c r="IDX39" s="19"/>
      <c r="IDY39" s="19"/>
      <c r="IDZ39" s="19"/>
      <c r="IEA39" s="19"/>
      <c r="IEB39" s="19"/>
      <c r="IEC39" s="19"/>
      <c r="IED39" s="19"/>
      <c r="IEE39" s="19"/>
      <c r="IEF39" s="19"/>
      <c r="IEG39" s="19"/>
      <c r="IEH39" s="19"/>
      <c r="IEI39" s="19"/>
      <c r="IEJ39" s="19"/>
      <c r="IEK39" s="19"/>
      <c r="IEL39" s="19"/>
      <c r="IEM39" s="19"/>
      <c r="IEN39" s="19"/>
      <c r="IEO39" s="19"/>
      <c r="IEP39" s="19"/>
      <c r="IEQ39" s="19"/>
      <c r="IER39" s="19"/>
      <c r="IES39" s="19"/>
      <c r="IET39" s="19"/>
      <c r="IEU39" s="19"/>
      <c r="IEV39" s="19"/>
      <c r="IEW39" s="19"/>
      <c r="IEX39" s="19"/>
      <c r="IEY39" s="19"/>
      <c r="IEZ39" s="19"/>
      <c r="IFA39" s="19"/>
      <c r="IFB39" s="19"/>
      <c r="IFC39" s="19"/>
      <c r="IFD39" s="19"/>
      <c r="IFE39" s="19"/>
      <c r="IFF39" s="19"/>
      <c r="IFG39" s="19"/>
      <c r="IFH39" s="19"/>
      <c r="IFI39" s="19"/>
      <c r="IFJ39" s="19"/>
      <c r="IFK39" s="19"/>
      <c r="IFL39" s="19"/>
      <c r="IFM39" s="19"/>
      <c r="IFN39" s="19"/>
      <c r="IFO39" s="19"/>
      <c r="IFP39" s="19"/>
      <c r="IFQ39" s="19"/>
      <c r="IFR39" s="19"/>
      <c r="IFS39" s="19"/>
      <c r="IFT39" s="19"/>
      <c r="IFU39" s="19"/>
      <c r="IFV39" s="19"/>
      <c r="IFW39" s="19"/>
      <c r="IFX39" s="19"/>
      <c r="IFY39" s="19"/>
      <c r="IFZ39" s="19"/>
      <c r="IGA39" s="19"/>
      <c r="IGB39" s="19"/>
      <c r="IGC39" s="19"/>
      <c r="IGD39" s="19"/>
      <c r="IGE39" s="19"/>
      <c r="IGF39" s="19"/>
      <c r="IGG39" s="19"/>
      <c r="IGH39" s="19"/>
      <c r="IGI39" s="19"/>
      <c r="IGJ39" s="19"/>
      <c r="IGK39" s="19"/>
      <c r="IGL39" s="19"/>
      <c r="IGM39" s="19"/>
      <c r="IGN39" s="19"/>
      <c r="IGO39" s="19"/>
      <c r="IGP39" s="19"/>
      <c r="IGQ39" s="19"/>
      <c r="IGR39" s="19"/>
      <c r="IGS39" s="19"/>
      <c r="IGT39" s="19"/>
      <c r="IGU39" s="19"/>
      <c r="IGV39" s="19"/>
      <c r="IGW39" s="19"/>
      <c r="IGX39" s="19"/>
      <c r="IGY39" s="19"/>
      <c r="IGZ39" s="19"/>
      <c r="IHA39" s="19"/>
      <c r="IHB39" s="19"/>
      <c r="IHC39" s="19"/>
      <c r="IHD39" s="19"/>
      <c r="IHE39" s="19"/>
      <c r="IHF39" s="19"/>
      <c r="IHG39" s="19"/>
      <c r="IHH39" s="19"/>
      <c r="IHI39" s="19"/>
      <c r="IHJ39" s="19"/>
      <c r="IHK39" s="19"/>
      <c r="IHL39" s="19"/>
      <c r="IHM39" s="19"/>
      <c r="IHN39" s="19"/>
      <c r="IHO39" s="19"/>
      <c r="IHP39" s="19"/>
      <c r="IHQ39" s="19"/>
      <c r="IHR39" s="19"/>
      <c r="IHS39" s="19"/>
      <c r="IHT39" s="19"/>
      <c r="IHU39" s="19"/>
      <c r="IHV39" s="19"/>
      <c r="IHW39" s="19"/>
      <c r="IHX39" s="19"/>
      <c r="IHY39" s="19"/>
      <c r="IHZ39" s="19"/>
      <c r="IIA39" s="19"/>
      <c r="IIB39" s="19"/>
      <c r="IIC39" s="19"/>
      <c r="IID39" s="19"/>
      <c r="IIE39" s="19"/>
      <c r="IIF39" s="19"/>
      <c r="IIG39" s="19"/>
      <c r="IIH39" s="19"/>
      <c r="III39" s="19"/>
      <c r="IIJ39" s="19"/>
      <c r="IIK39" s="19"/>
      <c r="IIL39" s="19"/>
      <c r="IIM39" s="19"/>
      <c r="IIN39" s="19"/>
      <c r="IIO39" s="19"/>
      <c r="IIP39" s="19"/>
      <c r="IIQ39" s="19"/>
      <c r="IIR39" s="19"/>
      <c r="IIS39" s="19"/>
      <c r="IIT39" s="19"/>
      <c r="IIU39" s="19"/>
      <c r="IIV39" s="19"/>
      <c r="IIW39" s="19"/>
      <c r="IIX39" s="19"/>
      <c r="IIY39" s="19"/>
      <c r="IIZ39" s="19"/>
      <c r="IJA39" s="19"/>
      <c r="IJB39" s="19"/>
      <c r="IJC39" s="19"/>
      <c r="IJD39" s="19"/>
      <c r="IJE39" s="19"/>
      <c r="IJF39" s="19"/>
      <c r="IJG39" s="19"/>
      <c r="IJH39" s="19"/>
      <c r="IJI39" s="19"/>
      <c r="IJJ39" s="19"/>
      <c r="IJK39" s="19"/>
      <c r="IJL39" s="19"/>
      <c r="IJM39" s="19"/>
      <c r="IJN39" s="19"/>
      <c r="IJO39" s="19"/>
      <c r="IJP39" s="19"/>
      <c r="IJQ39" s="19"/>
      <c r="IJR39" s="19"/>
      <c r="IJS39" s="19"/>
      <c r="IJT39" s="19"/>
      <c r="IJU39" s="19"/>
      <c r="IJV39" s="19"/>
      <c r="IJW39" s="19"/>
      <c r="IJX39" s="19"/>
      <c r="IJY39" s="19"/>
      <c r="IJZ39" s="19"/>
      <c r="IKA39" s="19"/>
      <c r="IKB39" s="19"/>
      <c r="IKC39" s="19"/>
      <c r="IKD39" s="19"/>
      <c r="IKE39" s="19"/>
      <c r="IKF39" s="19"/>
      <c r="IKG39" s="19"/>
      <c r="IKH39" s="19"/>
      <c r="IKI39" s="19"/>
      <c r="IKJ39" s="19"/>
      <c r="IKK39" s="19"/>
      <c r="IKL39" s="19"/>
      <c r="IKM39" s="19"/>
      <c r="IKN39" s="19"/>
      <c r="IKO39" s="19"/>
      <c r="IKP39" s="19"/>
      <c r="IKQ39" s="19"/>
      <c r="IKR39" s="19"/>
      <c r="IKS39" s="19"/>
      <c r="IKT39" s="19"/>
      <c r="IKU39" s="19"/>
      <c r="IKV39" s="19"/>
      <c r="IKW39" s="19"/>
      <c r="IKX39" s="19"/>
      <c r="IKY39" s="19"/>
      <c r="IKZ39" s="19"/>
      <c r="ILA39" s="19"/>
      <c r="ILB39" s="19"/>
      <c r="ILC39" s="19"/>
      <c r="ILD39" s="19"/>
      <c r="ILE39" s="19"/>
      <c r="ILF39" s="19"/>
      <c r="ILG39" s="19"/>
      <c r="ILH39" s="19"/>
      <c r="ILI39" s="19"/>
      <c r="ILJ39" s="19"/>
      <c r="ILK39" s="19"/>
      <c r="ILL39" s="19"/>
      <c r="ILM39" s="19"/>
      <c r="ILN39" s="19"/>
      <c r="ILO39" s="19"/>
      <c r="ILP39" s="19"/>
      <c r="ILQ39" s="19"/>
      <c r="ILR39" s="19"/>
      <c r="ILS39" s="19"/>
      <c r="ILT39" s="19"/>
      <c r="ILU39" s="19"/>
      <c r="ILV39" s="19"/>
      <c r="ILW39" s="19"/>
      <c r="ILX39" s="19"/>
      <c r="ILY39" s="19"/>
      <c r="ILZ39" s="19"/>
      <c r="IMA39" s="19"/>
      <c r="IMB39" s="19"/>
      <c r="IMC39" s="19"/>
      <c r="IMD39" s="19"/>
      <c r="IME39" s="19"/>
      <c r="IMF39" s="19"/>
      <c r="IMG39" s="19"/>
      <c r="IMH39" s="19"/>
      <c r="IMI39" s="19"/>
      <c r="IMJ39" s="19"/>
      <c r="IMK39" s="19"/>
      <c r="IML39" s="19"/>
      <c r="IMM39" s="19"/>
      <c r="IMN39" s="19"/>
      <c r="IMO39" s="19"/>
      <c r="IMP39" s="19"/>
      <c r="IMQ39" s="19"/>
      <c r="IMR39" s="19"/>
      <c r="IMS39" s="19"/>
      <c r="IMT39" s="19"/>
      <c r="IMU39" s="19"/>
      <c r="IMV39" s="19"/>
      <c r="IMW39" s="19"/>
      <c r="IMX39" s="19"/>
      <c r="IMY39" s="19"/>
      <c r="IMZ39" s="19"/>
      <c r="INA39" s="19"/>
      <c r="INB39" s="19"/>
      <c r="INC39" s="19"/>
      <c r="IND39" s="19"/>
      <c r="INE39" s="19"/>
      <c r="INF39" s="19"/>
      <c r="ING39" s="19"/>
      <c r="INH39" s="19"/>
      <c r="INI39" s="19"/>
      <c r="INJ39" s="19"/>
      <c r="INK39" s="19"/>
      <c r="INL39" s="19"/>
      <c r="INM39" s="19"/>
      <c r="INN39" s="19"/>
      <c r="INO39" s="19"/>
      <c r="INP39" s="19"/>
      <c r="INQ39" s="19"/>
      <c r="INR39" s="19"/>
      <c r="INS39" s="19"/>
      <c r="INT39" s="19"/>
      <c r="INU39" s="19"/>
      <c r="INV39" s="19"/>
      <c r="INW39" s="19"/>
      <c r="INX39" s="19"/>
      <c r="INY39" s="19"/>
      <c r="INZ39" s="19"/>
      <c r="IOA39" s="19"/>
      <c r="IOB39" s="19"/>
      <c r="IOC39" s="19"/>
      <c r="IOD39" s="19"/>
      <c r="IOE39" s="19"/>
      <c r="IOF39" s="19"/>
      <c r="IOG39" s="19"/>
      <c r="IOH39" s="19"/>
      <c r="IOI39" s="19"/>
      <c r="IOJ39" s="19"/>
      <c r="IOK39" s="19"/>
      <c r="IOL39" s="19"/>
      <c r="IOM39" s="19"/>
      <c r="ION39" s="19"/>
      <c r="IOO39" s="19"/>
      <c r="IOP39" s="19"/>
      <c r="IOQ39" s="19"/>
      <c r="IOR39" s="19"/>
      <c r="IOS39" s="19"/>
      <c r="IOT39" s="19"/>
      <c r="IOU39" s="19"/>
      <c r="IOV39" s="19"/>
      <c r="IOW39" s="19"/>
      <c r="IOX39" s="19"/>
      <c r="IOY39" s="19"/>
      <c r="IOZ39" s="19"/>
      <c r="IPA39" s="19"/>
      <c r="IPB39" s="19"/>
      <c r="IPC39" s="19"/>
      <c r="IPD39" s="19"/>
      <c r="IPE39" s="19"/>
      <c r="IPF39" s="19"/>
      <c r="IPG39" s="19"/>
      <c r="IPH39" s="19"/>
      <c r="IPI39" s="19"/>
      <c r="IPJ39" s="19"/>
      <c r="IPK39" s="19"/>
      <c r="IPL39" s="19"/>
      <c r="IPM39" s="19"/>
      <c r="IPN39" s="19"/>
      <c r="IPO39" s="19"/>
      <c r="IPP39" s="19"/>
      <c r="IPQ39" s="19"/>
      <c r="IPR39" s="19"/>
      <c r="IPS39" s="19"/>
      <c r="IPT39" s="19"/>
      <c r="IPU39" s="19"/>
      <c r="IPV39" s="19"/>
      <c r="IPW39" s="19"/>
      <c r="IPX39" s="19"/>
      <c r="IPY39" s="19"/>
      <c r="IPZ39" s="19"/>
      <c r="IQA39" s="19"/>
      <c r="IQB39" s="19"/>
      <c r="IQC39" s="19"/>
      <c r="IQD39" s="19"/>
      <c r="IQE39" s="19"/>
      <c r="IQF39" s="19"/>
      <c r="IQG39" s="19"/>
      <c r="IQH39" s="19"/>
      <c r="IQI39" s="19"/>
      <c r="IQJ39" s="19"/>
      <c r="IQK39" s="19"/>
      <c r="IQL39" s="19"/>
      <c r="IQM39" s="19"/>
      <c r="IQN39" s="19"/>
      <c r="IQO39" s="19"/>
      <c r="IQP39" s="19"/>
      <c r="IQQ39" s="19"/>
      <c r="IQR39" s="19"/>
      <c r="IQS39" s="19"/>
      <c r="IQT39" s="19"/>
      <c r="IQU39" s="19"/>
      <c r="IQV39" s="19"/>
      <c r="IQW39" s="19"/>
      <c r="IQX39" s="19"/>
      <c r="IQY39" s="19"/>
      <c r="IQZ39" s="19"/>
      <c r="IRA39" s="19"/>
      <c r="IRB39" s="19"/>
      <c r="IRC39" s="19"/>
      <c r="IRD39" s="19"/>
      <c r="IRE39" s="19"/>
      <c r="IRF39" s="19"/>
      <c r="IRG39" s="19"/>
      <c r="IRH39" s="19"/>
      <c r="IRI39" s="19"/>
      <c r="IRJ39" s="19"/>
      <c r="IRK39" s="19"/>
      <c r="IRL39" s="19"/>
      <c r="IRM39" s="19"/>
      <c r="IRN39" s="19"/>
      <c r="IRO39" s="19"/>
      <c r="IRP39" s="19"/>
      <c r="IRQ39" s="19"/>
      <c r="IRR39" s="19"/>
      <c r="IRS39" s="19"/>
      <c r="IRT39" s="19"/>
      <c r="IRU39" s="19"/>
      <c r="IRV39" s="19"/>
      <c r="IRW39" s="19"/>
      <c r="IRX39" s="19"/>
      <c r="IRY39" s="19"/>
      <c r="IRZ39" s="19"/>
      <c r="ISA39" s="19"/>
      <c r="ISB39" s="19"/>
      <c r="ISC39" s="19"/>
      <c r="ISD39" s="19"/>
      <c r="ISE39" s="19"/>
      <c r="ISF39" s="19"/>
      <c r="ISG39" s="19"/>
      <c r="ISH39" s="19"/>
      <c r="ISI39" s="19"/>
      <c r="ISJ39" s="19"/>
      <c r="ISK39" s="19"/>
      <c r="ISL39" s="19"/>
      <c r="ISM39" s="19"/>
      <c r="ISN39" s="19"/>
      <c r="ISO39" s="19"/>
      <c r="ISP39" s="19"/>
      <c r="ISQ39" s="19"/>
      <c r="ISR39" s="19"/>
      <c r="ISS39" s="19"/>
      <c r="IST39" s="19"/>
      <c r="ISU39" s="19"/>
      <c r="ISV39" s="19"/>
      <c r="ISW39" s="19"/>
      <c r="ISX39" s="19"/>
      <c r="ISY39" s="19"/>
      <c r="ISZ39" s="19"/>
      <c r="ITA39" s="19"/>
      <c r="ITB39" s="19"/>
      <c r="ITC39" s="19"/>
      <c r="ITD39" s="19"/>
      <c r="ITE39" s="19"/>
      <c r="ITF39" s="19"/>
      <c r="ITG39" s="19"/>
      <c r="ITH39" s="19"/>
      <c r="ITI39" s="19"/>
      <c r="ITJ39" s="19"/>
      <c r="ITK39" s="19"/>
      <c r="ITL39" s="19"/>
      <c r="ITM39" s="19"/>
      <c r="ITN39" s="19"/>
      <c r="ITO39" s="19"/>
      <c r="ITP39" s="19"/>
      <c r="ITQ39" s="19"/>
      <c r="ITR39" s="19"/>
      <c r="ITS39" s="19"/>
      <c r="ITT39" s="19"/>
      <c r="ITU39" s="19"/>
      <c r="ITV39" s="19"/>
      <c r="ITW39" s="19"/>
      <c r="ITX39" s="19"/>
      <c r="ITY39" s="19"/>
      <c r="ITZ39" s="19"/>
      <c r="IUA39" s="19"/>
      <c r="IUB39" s="19"/>
      <c r="IUC39" s="19"/>
      <c r="IUD39" s="19"/>
      <c r="IUE39" s="19"/>
      <c r="IUF39" s="19"/>
      <c r="IUG39" s="19"/>
      <c r="IUH39" s="19"/>
      <c r="IUI39" s="19"/>
      <c r="IUJ39" s="19"/>
      <c r="IUK39" s="19"/>
      <c r="IUL39" s="19"/>
      <c r="IUM39" s="19"/>
      <c r="IUN39" s="19"/>
      <c r="IUO39" s="19"/>
      <c r="IUP39" s="19"/>
      <c r="IUQ39" s="19"/>
      <c r="IUR39" s="19"/>
      <c r="IUS39" s="19"/>
      <c r="IUT39" s="19"/>
      <c r="IUU39" s="19"/>
      <c r="IUV39" s="19"/>
      <c r="IUW39" s="19"/>
      <c r="IUX39" s="19"/>
      <c r="IUY39" s="19"/>
      <c r="IUZ39" s="19"/>
      <c r="IVA39" s="19"/>
      <c r="IVB39" s="19"/>
      <c r="IVC39" s="19"/>
      <c r="IVD39" s="19"/>
      <c r="IVE39" s="19"/>
      <c r="IVF39" s="19"/>
      <c r="IVG39" s="19"/>
      <c r="IVH39" s="19"/>
      <c r="IVI39" s="19"/>
      <c r="IVJ39" s="19"/>
      <c r="IVK39" s="19"/>
      <c r="IVL39" s="19"/>
      <c r="IVM39" s="19"/>
      <c r="IVN39" s="19"/>
      <c r="IVO39" s="19"/>
      <c r="IVP39" s="19"/>
      <c r="IVQ39" s="19"/>
      <c r="IVR39" s="19"/>
      <c r="IVS39" s="19"/>
      <c r="IVT39" s="19"/>
      <c r="IVU39" s="19"/>
      <c r="IVV39" s="19"/>
      <c r="IVW39" s="19"/>
      <c r="IVX39" s="19"/>
      <c r="IVY39" s="19"/>
      <c r="IVZ39" s="19"/>
      <c r="IWA39" s="19"/>
      <c r="IWB39" s="19"/>
      <c r="IWC39" s="19"/>
      <c r="IWD39" s="19"/>
      <c r="IWE39" s="19"/>
      <c r="IWF39" s="19"/>
      <c r="IWG39" s="19"/>
      <c r="IWH39" s="19"/>
      <c r="IWI39" s="19"/>
      <c r="IWJ39" s="19"/>
      <c r="IWK39" s="19"/>
      <c r="IWL39" s="19"/>
      <c r="IWM39" s="19"/>
      <c r="IWN39" s="19"/>
      <c r="IWO39" s="19"/>
      <c r="IWP39" s="19"/>
      <c r="IWQ39" s="19"/>
      <c r="IWR39" s="19"/>
      <c r="IWS39" s="19"/>
      <c r="IWT39" s="19"/>
      <c r="IWU39" s="19"/>
      <c r="IWV39" s="19"/>
      <c r="IWW39" s="19"/>
      <c r="IWX39" s="19"/>
      <c r="IWY39" s="19"/>
      <c r="IWZ39" s="19"/>
      <c r="IXA39" s="19"/>
      <c r="IXB39" s="19"/>
      <c r="IXC39" s="19"/>
      <c r="IXD39" s="19"/>
      <c r="IXE39" s="19"/>
      <c r="IXF39" s="19"/>
      <c r="IXG39" s="19"/>
      <c r="IXH39" s="19"/>
      <c r="IXI39" s="19"/>
      <c r="IXJ39" s="19"/>
      <c r="IXK39" s="19"/>
      <c r="IXL39" s="19"/>
      <c r="IXM39" s="19"/>
      <c r="IXN39" s="19"/>
      <c r="IXO39" s="19"/>
      <c r="IXP39" s="19"/>
      <c r="IXQ39" s="19"/>
      <c r="IXR39" s="19"/>
      <c r="IXS39" s="19"/>
      <c r="IXT39" s="19"/>
      <c r="IXU39" s="19"/>
      <c r="IXV39" s="19"/>
      <c r="IXW39" s="19"/>
      <c r="IXX39" s="19"/>
      <c r="IXY39" s="19"/>
      <c r="IXZ39" s="19"/>
      <c r="IYA39" s="19"/>
      <c r="IYB39" s="19"/>
      <c r="IYC39" s="19"/>
      <c r="IYD39" s="19"/>
      <c r="IYE39" s="19"/>
      <c r="IYF39" s="19"/>
      <c r="IYG39" s="19"/>
      <c r="IYH39" s="19"/>
      <c r="IYI39" s="19"/>
      <c r="IYJ39" s="19"/>
      <c r="IYK39" s="19"/>
      <c r="IYL39" s="19"/>
      <c r="IYM39" s="19"/>
      <c r="IYN39" s="19"/>
      <c r="IYO39" s="19"/>
      <c r="IYP39" s="19"/>
      <c r="IYQ39" s="19"/>
      <c r="IYR39" s="19"/>
      <c r="IYS39" s="19"/>
      <c r="IYT39" s="19"/>
      <c r="IYU39" s="19"/>
      <c r="IYV39" s="19"/>
      <c r="IYW39" s="19"/>
      <c r="IYX39" s="19"/>
      <c r="IYY39" s="19"/>
      <c r="IYZ39" s="19"/>
      <c r="IZA39" s="19"/>
      <c r="IZB39" s="19"/>
      <c r="IZC39" s="19"/>
      <c r="IZD39" s="19"/>
      <c r="IZE39" s="19"/>
      <c r="IZF39" s="19"/>
      <c r="IZG39" s="19"/>
      <c r="IZH39" s="19"/>
      <c r="IZI39" s="19"/>
      <c r="IZJ39" s="19"/>
      <c r="IZK39" s="19"/>
      <c r="IZL39" s="19"/>
      <c r="IZM39" s="19"/>
      <c r="IZN39" s="19"/>
      <c r="IZO39" s="19"/>
      <c r="IZP39" s="19"/>
      <c r="IZQ39" s="19"/>
      <c r="IZR39" s="19"/>
      <c r="IZS39" s="19"/>
      <c r="IZT39" s="19"/>
      <c r="IZU39" s="19"/>
      <c r="IZV39" s="19"/>
      <c r="IZW39" s="19"/>
      <c r="IZX39" s="19"/>
      <c r="IZY39" s="19"/>
      <c r="IZZ39" s="19"/>
      <c r="JAA39" s="19"/>
      <c r="JAB39" s="19"/>
      <c r="JAC39" s="19"/>
      <c r="JAD39" s="19"/>
      <c r="JAE39" s="19"/>
      <c r="JAF39" s="19"/>
      <c r="JAG39" s="19"/>
      <c r="JAH39" s="19"/>
      <c r="JAI39" s="19"/>
      <c r="JAJ39" s="19"/>
      <c r="JAK39" s="19"/>
      <c r="JAL39" s="19"/>
      <c r="JAM39" s="19"/>
      <c r="JAN39" s="19"/>
      <c r="JAO39" s="19"/>
      <c r="JAP39" s="19"/>
      <c r="JAQ39" s="19"/>
      <c r="JAR39" s="19"/>
      <c r="JAS39" s="19"/>
      <c r="JAT39" s="19"/>
      <c r="JAU39" s="19"/>
      <c r="JAV39" s="19"/>
      <c r="JAW39" s="19"/>
      <c r="JAX39" s="19"/>
      <c r="JAY39" s="19"/>
      <c r="JAZ39" s="19"/>
      <c r="JBA39" s="19"/>
      <c r="JBB39" s="19"/>
      <c r="JBC39" s="19"/>
      <c r="JBD39" s="19"/>
      <c r="JBE39" s="19"/>
      <c r="JBF39" s="19"/>
      <c r="JBG39" s="19"/>
      <c r="JBH39" s="19"/>
      <c r="JBI39" s="19"/>
      <c r="JBJ39" s="19"/>
      <c r="JBK39" s="19"/>
      <c r="JBL39" s="19"/>
      <c r="JBM39" s="19"/>
      <c r="JBN39" s="19"/>
      <c r="JBO39" s="19"/>
      <c r="JBP39" s="19"/>
      <c r="JBQ39" s="19"/>
      <c r="JBR39" s="19"/>
      <c r="JBS39" s="19"/>
      <c r="JBT39" s="19"/>
      <c r="JBU39" s="19"/>
      <c r="JBV39" s="19"/>
      <c r="JBW39" s="19"/>
      <c r="JBX39" s="19"/>
      <c r="JBY39" s="19"/>
      <c r="JBZ39" s="19"/>
      <c r="JCA39" s="19"/>
      <c r="JCB39" s="19"/>
      <c r="JCC39" s="19"/>
      <c r="JCD39" s="19"/>
      <c r="JCE39" s="19"/>
      <c r="JCF39" s="19"/>
      <c r="JCG39" s="19"/>
      <c r="JCH39" s="19"/>
      <c r="JCI39" s="19"/>
      <c r="JCJ39" s="19"/>
      <c r="JCK39" s="19"/>
      <c r="JCL39" s="19"/>
      <c r="JCM39" s="19"/>
      <c r="JCN39" s="19"/>
      <c r="JCO39" s="19"/>
      <c r="JCP39" s="19"/>
      <c r="JCQ39" s="19"/>
      <c r="JCR39" s="19"/>
      <c r="JCS39" s="19"/>
      <c r="JCT39" s="19"/>
      <c r="JCU39" s="19"/>
      <c r="JCV39" s="19"/>
      <c r="JCW39" s="19"/>
      <c r="JCX39" s="19"/>
      <c r="JCY39" s="19"/>
      <c r="JCZ39" s="19"/>
      <c r="JDA39" s="19"/>
      <c r="JDB39" s="19"/>
      <c r="JDC39" s="19"/>
      <c r="JDD39" s="19"/>
      <c r="JDE39" s="19"/>
      <c r="JDF39" s="19"/>
      <c r="JDG39" s="19"/>
      <c r="JDH39" s="19"/>
      <c r="JDI39" s="19"/>
      <c r="JDJ39" s="19"/>
      <c r="JDK39" s="19"/>
      <c r="JDL39" s="19"/>
      <c r="JDM39" s="19"/>
      <c r="JDN39" s="19"/>
      <c r="JDO39" s="19"/>
      <c r="JDP39" s="19"/>
      <c r="JDQ39" s="19"/>
      <c r="JDR39" s="19"/>
      <c r="JDS39" s="19"/>
      <c r="JDT39" s="19"/>
      <c r="JDU39" s="19"/>
      <c r="JDV39" s="19"/>
      <c r="JDW39" s="19"/>
      <c r="JDX39" s="19"/>
      <c r="JDY39" s="19"/>
      <c r="JDZ39" s="19"/>
      <c r="JEA39" s="19"/>
      <c r="JEB39" s="19"/>
      <c r="JEC39" s="19"/>
      <c r="JED39" s="19"/>
      <c r="JEE39" s="19"/>
      <c r="JEF39" s="19"/>
      <c r="JEG39" s="19"/>
      <c r="JEH39" s="19"/>
      <c r="JEI39" s="19"/>
      <c r="JEJ39" s="19"/>
      <c r="JEK39" s="19"/>
      <c r="JEL39" s="19"/>
      <c r="JEM39" s="19"/>
      <c r="JEN39" s="19"/>
      <c r="JEO39" s="19"/>
      <c r="JEP39" s="19"/>
      <c r="JEQ39" s="19"/>
      <c r="JER39" s="19"/>
      <c r="JES39" s="19"/>
      <c r="JET39" s="19"/>
      <c r="JEU39" s="19"/>
      <c r="JEV39" s="19"/>
      <c r="JEW39" s="19"/>
      <c r="JEX39" s="19"/>
      <c r="JEY39" s="19"/>
      <c r="JEZ39" s="19"/>
      <c r="JFA39" s="19"/>
      <c r="JFB39" s="19"/>
      <c r="JFC39" s="19"/>
      <c r="JFD39" s="19"/>
      <c r="JFE39" s="19"/>
      <c r="JFF39" s="19"/>
      <c r="JFG39" s="19"/>
      <c r="JFH39" s="19"/>
      <c r="JFI39" s="19"/>
      <c r="JFJ39" s="19"/>
      <c r="JFK39" s="19"/>
      <c r="JFL39" s="19"/>
      <c r="JFM39" s="19"/>
      <c r="JFN39" s="19"/>
      <c r="JFO39" s="19"/>
      <c r="JFP39" s="19"/>
      <c r="JFQ39" s="19"/>
      <c r="JFR39" s="19"/>
      <c r="JFS39" s="19"/>
      <c r="JFT39" s="19"/>
      <c r="JFU39" s="19"/>
      <c r="JFV39" s="19"/>
      <c r="JFW39" s="19"/>
      <c r="JFX39" s="19"/>
      <c r="JFY39" s="19"/>
      <c r="JFZ39" s="19"/>
      <c r="JGA39" s="19"/>
      <c r="JGB39" s="19"/>
      <c r="JGC39" s="19"/>
      <c r="JGD39" s="19"/>
      <c r="JGE39" s="19"/>
      <c r="JGF39" s="19"/>
      <c r="JGG39" s="19"/>
      <c r="JGH39" s="19"/>
      <c r="JGI39" s="19"/>
      <c r="JGJ39" s="19"/>
      <c r="JGK39" s="19"/>
      <c r="JGL39" s="19"/>
      <c r="JGM39" s="19"/>
      <c r="JGN39" s="19"/>
      <c r="JGO39" s="19"/>
      <c r="JGP39" s="19"/>
      <c r="JGQ39" s="19"/>
      <c r="JGR39" s="19"/>
      <c r="JGS39" s="19"/>
      <c r="JGT39" s="19"/>
      <c r="JGU39" s="19"/>
      <c r="JGV39" s="19"/>
      <c r="JGW39" s="19"/>
      <c r="JGX39" s="19"/>
      <c r="JGY39" s="19"/>
      <c r="JGZ39" s="19"/>
      <c r="JHA39" s="19"/>
      <c r="JHB39" s="19"/>
      <c r="JHC39" s="19"/>
      <c r="JHD39" s="19"/>
      <c r="JHE39" s="19"/>
      <c r="JHF39" s="19"/>
      <c r="JHG39" s="19"/>
      <c r="JHH39" s="19"/>
      <c r="JHI39" s="19"/>
      <c r="JHJ39" s="19"/>
      <c r="JHK39" s="19"/>
      <c r="JHL39" s="19"/>
      <c r="JHM39" s="19"/>
      <c r="JHN39" s="19"/>
      <c r="JHO39" s="19"/>
      <c r="JHP39" s="19"/>
      <c r="JHQ39" s="19"/>
      <c r="JHR39" s="19"/>
      <c r="JHS39" s="19"/>
      <c r="JHT39" s="19"/>
      <c r="JHU39" s="19"/>
      <c r="JHV39" s="19"/>
      <c r="JHW39" s="19"/>
      <c r="JHX39" s="19"/>
      <c r="JHY39" s="19"/>
      <c r="JHZ39" s="19"/>
      <c r="JIA39" s="19"/>
      <c r="JIB39" s="19"/>
      <c r="JIC39" s="19"/>
      <c r="JID39" s="19"/>
      <c r="JIE39" s="19"/>
      <c r="JIF39" s="19"/>
      <c r="JIG39" s="19"/>
      <c r="JIH39" s="19"/>
      <c r="JII39" s="19"/>
      <c r="JIJ39" s="19"/>
      <c r="JIK39" s="19"/>
      <c r="JIL39" s="19"/>
      <c r="JIM39" s="19"/>
      <c r="JIN39" s="19"/>
      <c r="JIO39" s="19"/>
      <c r="JIP39" s="19"/>
      <c r="JIQ39" s="19"/>
      <c r="JIR39" s="19"/>
      <c r="JIS39" s="19"/>
      <c r="JIT39" s="19"/>
      <c r="JIU39" s="19"/>
      <c r="JIV39" s="19"/>
      <c r="JIW39" s="19"/>
      <c r="JIX39" s="19"/>
      <c r="JIY39" s="19"/>
      <c r="JIZ39" s="19"/>
      <c r="JJA39" s="19"/>
      <c r="JJB39" s="19"/>
      <c r="JJC39" s="19"/>
      <c r="JJD39" s="19"/>
      <c r="JJE39" s="19"/>
      <c r="JJF39" s="19"/>
      <c r="JJG39" s="19"/>
      <c r="JJH39" s="19"/>
      <c r="JJI39" s="19"/>
      <c r="JJJ39" s="19"/>
      <c r="JJK39" s="19"/>
      <c r="JJL39" s="19"/>
      <c r="JJM39" s="19"/>
      <c r="JJN39" s="19"/>
      <c r="JJO39" s="19"/>
      <c r="JJP39" s="19"/>
      <c r="JJQ39" s="19"/>
      <c r="JJR39" s="19"/>
      <c r="JJS39" s="19"/>
      <c r="JJT39" s="19"/>
      <c r="JJU39" s="19"/>
      <c r="JJV39" s="19"/>
      <c r="JJW39" s="19"/>
      <c r="JJX39" s="19"/>
      <c r="JJY39" s="19"/>
      <c r="JJZ39" s="19"/>
      <c r="JKA39" s="19"/>
      <c r="JKB39" s="19"/>
      <c r="JKC39" s="19"/>
      <c r="JKD39" s="19"/>
      <c r="JKE39" s="19"/>
      <c r="JKF39" s="19"/>
      <c r="JKG39" s="19"/>
      <c r="JKH39" s="19"/>
      <c r="JKI39" s="19"/>
      <c r="JKJ39" s="19"/>
      <c r="JKK39" s="19"/>
      <c r="JKL39" s="19"/>
      <c r="JKM39" s="19"/>
      <c r="JKN39" s="19"/>
      <c r="JKO39" s="19"/>
      <c r="JKP39" s="19"/>
      <c r="JKQ39" s="19"/>
      <c r="JKR39" s="19"/>
      <c r="JKS39" s="19"/>
      <c r="JKT39" s="19"/>
      <c r="JKU39" s="19"/>
      <c r="JKV39" s="19"/>
      <c r="JKW39" s="19"/>
      <c r="JKX39" s="19"/>
      <c r="JKY39" s="19"/>
      <c r="JKZ39" s="19"/>
      <c r="JLA39" s="19"/>
      <c r="JLB39" s="19"/>
      <c r="JLC39" s="19"/>
      <c r="JLD39" s="19"/>
      <c r="JLE39" s="19"/>
      <c r="JLF39" s="19"/>
      <c r="JLG39" s="19"/>
      <c r="JLH39" s="19"/>
      <c r="JLI39" s="19"/>
      <c r="JLJ39" s="19"/>
      <c r="JLK39" s="19"/>
      <c r="JLL39" s="19"/>
      <c r="JLM39" s="19"/>
      <c r="JLN39" s="19"/>
      <c r="JLO39" s="19"/>
      <c r="JLP39" s="19"/>
      <c r="JLQ39" s="19"/>
      <c r="JLR39" s="19"/>
      <c r="JLS39" s="19"/>
      <c r="JLT39" s="19"/>
      <c r="JLU39" s="19"/>
      <c r="JLV39" s="19"/>
      <c r="JLW39" s="19"/>
      <c r="JLX39" s="19"/>
      <c r="JLY39" s="19"/>
      <c r="JLZ39" s="19"/>
      <c r="JMA39" s="19"/>
      <c r="JMB39" s="19"/>
      <c r="JMC39" s="19"/>
      <c r="JMD39" s="19"/>
      <c r="JME39" s="19"/>
      <c r="JMF39" s="19"/>
      <c r="JMG39" s="19"/>
      <c r="JMH39" s="19"/>
      <c r="JMI39" s="19"/>
      <c r="JMJ39" s="19"/>
      <c r="JMK39" s="19"/>
      <c r="JML39" s="19"/>
      <c r="JMM39" s="19"/>
      <c r="JMN39" s="19"/>
      <c r="JMO39" s="19"/>
      <c r="JMP39" s="19"/>
      <c r="JMQ39" s="19"/>
      <c r="JMR39" s="19"/>
      <c r="JMS39" s="19"/>
      <c r="JMT39" s="19"/>
      <c r="JMU39" s="19"/>
      <c r="JMV39" s="19"/>
      <c r="JMW39" s="19"/>
      <c r="JMX39" s="19"/>
      <c r="JMY39" s="19"/>
      <c r="JMZ39" s="19"/>
      <c r="JNA39" s="19"/>
      <c r="JNB39" s="19"/>
      <c r="JNC39" s="19"/>
      <c r="JND39" s="19"/>
      <c r="JNE39" s="19"/>
      <c r="JNF39" s="19"/>
      <c r="JNG39" s="19"/>
      <c r="JNH39" s="19"/>
      <c r="JNI39" s="19"/>
      <c r="JNJ39" s="19"/>
      <c r="JNK39" s="19"/>
      <c r="JNL39" s="19"/>
      <c r="JNM39" s="19"/>
      <c r="JNN39" s="19"/>
      <c r="JNO39" s="19"/>
      <c r="JNP39" s="19"/>
      <c r="JNQ39" s="19"/>
      <c r="JNR39" s="19"/>
      <c r="JNS39" s="19"/>
      <c r="JNT39" s="19"/>
      <c r="JNU39" s="19"/>
      <c r="JNV39" s="19"/>
      <c r="JNW39" s="19"/>
      <c r="JNX39" s="19"/>
      <c r="JNY39" s="19"/>
      <c r="JNZ39" s="19"/>
      <c r="JOA39" s="19"/>
      <c r="JOB39" s="19"/>
      <c r="JOC39" s="19"/>
      <c r="JOD39" s="19"/>
      <c r="JOE39" s="19"/>
      <c r="JOF39" s="19"/>
      <c r="JOG39" s="19"/>
      <c r="JOH39" s="19"/>
      <c r="JOI39" s="19"/>
      <c r="JOJ39" s="19"/>
      <c r="JOK39" s="19"/>
      <c r="JOL39" s="19"/>
      <c r="JOM39" s="19"/>
      <c r="JON39" s="19"/>
      <c r="JOO39" s="19"/>
      <c r="JOP39" s="19"/>
      <c r="JOQ39" s="19"/>
      <c r="JOR39" s="19"/>
      <c r="JOS39" s="19"/>
      <c r="JOT39" s="19"/>
      <c r="JOU39" s="19"/>
      <c r="JOV39" s="19"/>
      <c r="JOW39" s="19"/>
      <c r="JOX39" s="19"/>
      <c r="JOY39" s="19"/>
      <c r="JOZ39" s="19"/>
      <c r="JPA39" s="19"/>
      <c r="JPB39" s="19"/>
      <c r="JPC39" s="19"/>
      <c r="JPD39" s="19"/>
      <c r="JPE39" s="19"/>
      <c r="JPF39" s="19"/>
      <c r="JPG39" s="19"/>
      <c r="JPH39" s="19"/>
      <c r="JPI39" s="19"/>
      <c r="JPJ39" s="19"/>
      <c r="JPK39" s="19"/>
      <c r="JPL39" s="19"/>
      <c r="JPM39" s="19"/>
      <c r="JPN39" s="19"/>
      <c r="JPO39" s="19"/>
      <c r="JPP39" s="19"/>
      <c r="JPQ39" s="19"/>
      <c r="JPR39" s="19"/>
      <c r="JPS39" s="19"/>
      <c r="JPT39" s="19"/>
      <c r="JPU39" s="19"/>
      <c r="JPV39" s="19"/>
      <c r="JPW39" s="19"/>
      <c r="JPX39" s="19"/>
      <c r="JPY39" s="19"/>
      <c r="JPZ39" s="19"/>
      <c r="JQA39" s="19"/>
      <c r="JQB39" s="19"/>
      <c r="JQC39" s="19"/>
      <c r="JQD39" s="19"/>
      <c r="JQE39" s="19"/>
      <c r="JQF39" s="19"/>
      <c r="JQG39" s="19"/>
      <c r="JQH39" s="19"/>
      <c r="JQI39" s="19"/>
      <c r="JQJ39" s="19"/>
      <c r="JQK39" s="19"/>
      <c r="JQL39" s="19"/>
      <c r="JQM39" s="19"/>
      <c r="JQN39" s="19"/>
      <c r="JQO39" s="19"/>
      <c r="JQP39" s="19"/>
      <c r="JQQ39" s="19"/>
      <c r="JQR39" s="19"/>
      <c r="JQS39" s="19"/>
      <c r="JQT39" s="19"/>
      <c r="JQU39" s="19"/>
      <c r="JQV39" s="19"/>
      <c r="JQW39" s="19"/>
      <c r="JQX39" s="19"/>
      <c r="JQY39" s="19"/>
      <c r="JQZ39" s="19"/>
      <c r="JRA39" s="19"/>
      <c r="JRB39" s="19"/>
      <c r="JRC39" s="19"/>
      <c r="JRD39" s="19"/>
      <c r="JRE39" s="19"/>
      <c r="JRF39" s="19"/>
      <c r="JRG39" s="19"/>
      <c r="JRH39" s="19"/>
      <c r="JRI39" s="19"/>
      <c r="JRJ39" s="19"/>
      <c r="JRK39" s="19"/>
      <c r="JRL39" s="19"/>
      <c r="JRM39" s="19"/>
      <c r="JRN39" s="19"/>
      <c r="JRO39" s="19"/>
      <c r="JRP39" s="19"/>
      <c r="JRQ39" s="19"/>
      <c r="JRR39" s="19"/>
      <c r="JRS39" s="19"/>
      <c r="JRT39" s="19"/>
      <c r="JRU39" s="19"/>
      <c r="JRV39" s="19"/>
      <c r="JRW39" s="19"/>
      <c r="JRX39" s="19"/>
      <c r="JRY39" s="19"/>
      <c r="JRZ39" s="19"/>
      <c r="JSA39" s="19"/>
      <c r="JSB39" s="19"/>
      <c r="JSC39" s="19"/>
      <c r="JSD39" s="19"/>
      <c r="JSE39" s="19"/>
      <c r="JSF39" s="19"/>
      <c r="JSG39" s="19"/>
      <c r="JSH39" s="19"/>
      <c r="JSI39" s="19"/>
      <c r="JSJ39" s="19"/>
      <c r="JSK39" s="19"/>
      <c r="JSL39" s="19"/>
      <c r="JSM39" s="19"/>
      <c r="JSN39" s="19"/>
      <c r="JSO39" s="19"/>
      <c r="JSP39" s="19"/>
      <c r="JSQ39" s="19"/>
      <c r="JSR39" s="19"/>
      <c r="JSS39" s="19"/>
      <c r="JST39" s="19"/>
      <c r="JSU39" s="19"/>
      <c r="JSV39" s="19"/>
      <c r="JSW39" s="19"/>
      <c r="JSX39" s="19"/>
      <c r="JSY39" s="19"/>
      <c r="JSZ39" s="19"/>
      <c r="JTA39" s="19"/>
      <c r="JTB39" s="19"/>
      <c r="JTC39" s="19"/>
      <c r="JTD39" s="19"/>
      <c r="JTE39" s="19"/>
      <c r="JTF39" s="19"/>
      <c r="JTG39" s="19"/>
      <c r="JTH39" s="19"/>
      <c r="JTI39" s="19"/>
      <c r="JTJ39" s="19"/>
      <c r="JTK39" s="19"/>
      <c r="JTL39" s="19"/>
      <c r="JTM39" s="19"/>
      <c r="JTN39" s="19"/>
      <c r="JTO39" s="19"/>
      <c r="JTP39" s="19"/>
      <c r="JTQ39" s="19"/>
      <c r="JTR39" s="19"/>
      <c r="JTS39" s="19"/>
      <c r="JTT39" s="19"/>
      <c r="JTU39" s="19"/>
      <c r="JTV39" s="19"/>
      <c r="JTW39" s="19"/>
      <c r="JTX39" s="19"/>
      <c r="JTY39" s="19"/>
      <c r="JTZ39" s="19"/>
      <c r="JUA39" s="19"/>
      <c r="JUB39" s="19"/>
      <c r="JUC39" s="19"/>
      <c r="JUD39" s="19"/>
      <c r="JUE39" s="19"/>
      <c r="JUF39" s="19"/>
      <c r="JUG39" s="19"/>
      <c r="JUH39" s="19"/>
      <c r="JUI39" s="19"/>
      <c r="JUJ39" s="19"/>
      <c r="JUK39" s="19"/>
      <c r="JUL39" s="19"/>
      <c r="JUM39" s="19"/>
      <c r="JUN39" s="19"/>
      <c r="JUO39" s="19"/>
      <c r="JUP39" s="19"/>
      <c r="JUQ39" s="19"/>
      <c r="JUR39" s="19"/>
      <c r="JUS39" s="19"/>
      <c r="JUT39" s="19"/>
      <c r="JUU39" s="19"/>
      <c r="JUV39" s="19"/>
      <c r="JUW39" s="19"/>
      <c r="JUX39" s="19"/>
      <c r="JUY39" s="19"/>
      <c r="JUZ39" s="19"/>
      <c r="JVA39" s="19"/>
      <c r="JVB39" s="19"/>
      <c r="JVC39" s="19"/>
      <c r="JVD39" s="19"/>
      <c r="JVE39" s="19"/>
      <c r="JVF39" s="19"/>
      <c r="JVG39" s="19"/>
      <c r="JVH39" s="19"/>
      <c r="JVI39" s="19"/>
      <c r="JVJ39" s="19"/>
      <c r="JVK39" s="19"/>
      <c r="JVL39" s="19"/>
      <c r="JVM39" s="19"/>
      <c r="JVN39" s="19"/>
      <c r="JVO39" s="19"/>
      <c r="JVP39" s="19"/>
      <c r="JVQ39" s="19"/>
      <c r="JVR39" s="19"/>
      <c r="JVS39" s="19"/>
      <c r="JVT39" s="19"/>
      <c r="JVU39" s="19"/>
      <c r="JVV39" s="19"/>
      <c r="JVW39" s="19"/>
      <c r="JVX39" s="19"/>
      <c r="JVY39" s="19"/>
      <c r="JVZ39" s="19"/>
      <c r="JWA39" s="19"/>
      <c r="JWB39" s="19"/>
      <c r="JWC39" s="19"/>
      <c r="JWD39" s="19"/>
      <c r="JWE39" s="19"/>
      <c r="JWF39" s="19"/>
      <c r="JWG39" s="19"/>
      <c r="JWH39" s="19"/>
      <c r="JWI39" s="19"/>
      <c r="JWJ39" s="19"/>
      <c r="JWK39" s="19"/>
      <c r="JWL39" s="19"/>
      <c r="JWM39" s="19"/>
      <c r="JWN39" s="19"/>
      <c r="JWO39" s="19"/>
      <c r="JWP39" s="19"/>
      <c r="JWQ39" s="19"/>
      <c r="JWR39" s="19"/>
      <c r="JWS39" s="19"/>
      <c r="JWT39" s="19"/>
      <c r="JWU39" s="19"/>
      <c r="JWV39" s="19"/>
      <c r="JWW39" s="19"/>
      <c r="JWX39" s="19"/>
      <c r="JWY39" s="19"/>
      <c r="JWZ39" s="19"/>
      <c r="JXA39" s="19"/>
      <c r="JXB39" s="19"/>
      <c r="JXC39" s="19"/>
      <c r="JXD39" s="19"/>
      <c r="JXE39" s="19"/>
      <c r="JXF39" s="19"/>
      <c r="JXG39" s="19"/>
      <c r="JXH39" s="19"/>
      <c r="JXI39" s="19"/>
      <c r="JXJ39" s="19"/>
      <c r="JXK39" s="19"/>
      <c r="JXL39" s="19"/>
      <c r="JXM39" s="19"/>
      <c r="JXN39" s="19"/>
      <c r="JXO39" s="19"/>
      <c r="JXP39" s="19"/>
      <c r="JXQ39" s="19"/>
      <c r="JXR39" s="19"/>
      <c r="JXS39" s="19"/>
      <c r="JXT39" s="19"/>
      <c r="JXU39" s="19"/>
      <c r="JXV39" s="19"/>
      <c r="JXW39" s="19"/>
      <c r="JXX39" s="19"/>
      <c r="JXY39" s="19"/>
      <c r="JXZ39" s="19"/>
      <c r="JYA39" s="19"/>
      <c r="JYB39" s="19"/>
      <c r="JYC39" s="19"/>
      <c r="JYD39" s="19"/>
      <c r="JYE39" s="19"/>
      <c r="JYF39" s="19"/>
      <c r="JYG39" s="19"/>
      <c r="JYH39" s="19"/>
      <c r="JYI39" s="19"/>
      <c r="JYJ39" s="19"/>
      <c r="JYK39" s="19"/>
      <c r="JYL39" s="19"/>
      <c r="JYM39" s="19"/>
      <c r="JYN39" s="19"/>
      <c r="JYO39" s="19"/>
      <c r="JYP39" s="19"/>
      <c r="JYQ39" s="19"/>
      <c r="JYR39" s="19"/>
      <c r="JYS39" s="19"/>
      <c r="JYT39" s="19"/>
      <c r="JYU39" s="19"/>
      <c r="JYV39" s="19"/>
      <c r="JYW39" s="19"/>
      <c r="JYX39" s="19"/>
      <c r="JYY39" s="19"/>
      <c r="JYZ39" s="19"/>
      <c r="JZA39" s="19"/>
      <c r="JZB39" s="19"/>
      <c r="JZC39" s="19"/>
      <c r="JZD39" s="19"/>
      <c r="JZE39" s="19"/>
      <c r="JZF39" s="19"/>
      <c r="JZG39" s="19"/>
      <c r="JZH39" s="19"/>
      <c r="JZI39" s="19"/>
      <c r="JZJ39" s="19"/>
      <c r="JZK39" s="19"/>
      <c r="JZL39" s="19"/>
      <c r="JZM39" s="19"/>
      <c r="JZN39" s="19"/>
      <c r="JZO39" s="19"/>
      <c r="JZP39" s="19"/>
      <c r="JZQ39" s="19"/>
      <c r="JZR39" s="19"/>
      <c r="JZS39" s="19"/>
      <c r="JZT39" s="19"/>
      <c r="JZU39" s="19"/>
      <c r="JZV39" s="19"/>
      <c r="JZW39" s="19"/>
      <c r="JZX39" s="19"/>
      <c r="JZY39" s="19"/>
      <c r="JZZ39" s="19"/>
      <c r="KAA39" s="19"/>
      <c r="KAB39" s="19"/>
      <c r="KAC39" s="19"/>
      <c r="KAD39" s="19"/>
      <c r="KAE39" s="19"/>
      <c r="KAF39" s="19"/>
      <c r="KAG39" s="19"/>
      <c r="KAH39" s="19"/>
      <c r="KAI39" s="19"/>
      <c r="KAJ39" s="19"/>
      <c r="KAK39" s="19"/>
      <c r="KAL39" s="19"/>
      <c r="KAM39" s="19"/>
      <c r="KAN39" s="19"/>
      <c r="KAO39" s="19"/>
      <c r="KAP39" s="19"/>
      <c r="KAQ39" s="19"/>
      <c r="KAR39" s="19"/>
      <c r="KAS39" s="19"/>
      <c r="KAT39" s="19"/>
      <c r="KAU39" s="19"/>
      <c r="KAV39" s="19"/>
      <c r="KAW39" s="19"/>
      <c r="KAX39" s="19"/>
      <c r="KAY39" s="19"/>
      <c r="KAZ39" s="19"/>
      <c r="KBA39" s="19"/>
      <c r="KBB39" s="19"/>
      <c r="KBC39" s="19"/>
      <c r="KBD39" s="19"/>
      <c r="KBE39" s="19"/>
      <c r="KBF39" s="19"/>
      <c r="KBG39" s="19"/>
      <c r="KBH39" s="19"/>
      <c r="KBI39" s="19"/>
      <c r="KBJ39" s="19"/>
      <c r="KBK39" s="19"/>
      <c r="KBL39" s="19"/>
      <c r="KBM39" s="19"/>
      <c r="KBN39" s="19"/>
      <c r="KBO39" s="19"/>
      <c r="KBP39" s="19"/>
      <c r="KBQ39" s="19"/>
      <c r="KBR39" s="19"/>
      <c r="KBS39" s="19"/>
      <c r="KBT39" s="19"/>
      <c r="KBU39" s="19"/>
      <c r="KBV39" s="19"/>
      <c r="KBW39" s="19"/>
      <c r="KBX39" s="19"/>
      <c r="KBY39" s="19"/>
      <c r="KBZ39" s="19"/>
      <c r="KCA39" s="19"/>
      <c r="KCB39" s="19"/>
      <c r="KCC39" s="19"/>
      <c r="KCD39" s="19"/>
      <c r="KCE39" s="19"/>
      <c r="KCF39" s="19"/>
      <c r="KCG39" s="19"/>
      <c r="KCH39" s="19"/>
      <c r="KCI39" s="19"/>
      <c r="KCJ39" s="19"/>
      <c r="KCK39" s="19"/>
      <c r="KCL39" s="19"/>
      <c r="KCM39" s="19"/>
      <c r="KCN39" s="19"/>
      <c r="KCO39" s="19"/>
      <c r="KCP39" s="19"/>
      <c r="KCQ39" s="19"/>
      <c r="KCR39" s="19"/>
      <c r="KCS39" s="19"/>
      <c r="KCT39" s="19"/>
      <c r="KCU39" s="19"/>
      <c r="KCV39" s="19"/>
      <c r="KCW39" s="19"/>
      <c r="KCX39" s="19"/>
      <c r="KCY39" s="19"/>
      <c r="KCZ39" s="19"/>
      <c r="KDA39" s="19"/>
      <c r="KDB39" s="19"/>
      <c r="KDC39" s="19"/>
      <c r="KDD39" s="19"/>
      <c r="KDE39" s="19"/>
      <c r="KDF39" s="19"/>
      <c r="KDG39" s="19"/>
      <c r="KDH39" s="19"/>
      <c r="KDI39" s="19"/>
      <c r="KDJ39" s="19"/>
      <c r="KDK39" s="19"/>
      <c r="KDL39" s="19"/>
      <c r="KDM39" s="19"/>
      <c r="KDN39" s="19"/>
      <c r="KDO39" s="19"/>
      <c r="KDP39" s="19"/>
      <c r="KDQ39" s="19"/>
      <c r="KDR39" s="19"/>
      <c r="KDS39" s="19"/>
      <c r="KDT39" s="19"/>
      <c r="KDU39" s="19"/>
      <c r="KDV39" s="19"/>
      <c r="KDW39" s="19"/>
      <c r="KDX39" s="19"/>
      <c r="KDY39" s="19"/>
      <c r="KDZ39" s="19"/>
      <c r="KEA39" s="19"/>
      <c r="KEB39" s="19"/>
      <c r="KEC39" s="19"/>
      <c r="KED39" s="19"/>
      <c r="KEE39" s="19"/>
      <c r="KEF39" s="19"/>
      <c r="KEG39" s="19"/>
      <c r="KEH39" s="19"/>
      <c r="KEI39" s="19"/>
      <c r="KEJ39" s="19"/>
      <c r="KEK39" s="19"/>
      <c r="KEL39" s="19"/>
      <c r="KEM39" s="19"/>
      <c r="KEN39" s="19"/>
      <c r="KEO39" s="19"/>
      <c r="KEP39" s="19"/>
      <c r="KEQ39" s="19"/>
      <c r="KER39" s="19"/>
      <c r="KES39" s="19"/>
      <c r="KET39" s="19"/>
      <c r="KEU39" s="19"/>
      <c r="KEV39" s="19"/>
      <c r="KEW39" s="19"/>
      <c r="KEX39" s="19"/>
      <c r="KEY39" s="19"/>
      <c r="KEZ39" s="19"/>
      <c r="KFA39" s="19"/>
      <c r="KFB39" s="19"/>
      <c r="KFC39" s="19"/>
      <c r="KFD39" s="19"/>
      <c r="KFE39" s="19"/>
      <c r="KFF39" s="19"/>
      <c r="KFG39" s="19"/>
      <c r="KFH39" s="19"/>
      <c r="KFI39" s="19"/>
      <c r="KFJ39" s="19"/>
      <c r="KFK39" s="19"/>
      <c r="KFL39" s="19"/>
      <c r="KFM39" s="19"/>
      <c r="KFN39" s="19"/>
      <c r="KFO39" s="19"/>
      <c r="KFP39" s="19"/>
      <c r="KFQ39" s="19"/>
      <c r="KFR39" s="19"/>
      <c r="KFS39" s="19"/>
      <c r="KFT39" s="19"/>
      <c r="KFU39" s="19"/>
      <c r="KFV39" s="19"/>
      <c r="KFW39" s="19"/>
      <c r="KFX39" s="19"/>
      <c r="KFY39" s="19"/>
      <c r="KFZ39" s="19"/>
      <c r="KGA39" s="19"/>
      <c r="KGB39" s="19"/>
      <c r="KGC39" s="19"/>
      <c r="KGD39" s="19"/>
      <c r="KGE39" s="19"/>
      <c r="KGF39" s="19"/>
      <c r="KGG39" s="19"/>
      <c r="KGH39" s="19"/>
      <c r="KGI39" s="19"/>
      <c r="KGJ39" s="19"/>
      <c r="KGK39" s="19"/>
      <c r="KGL39" s="19"/>
      <c r="KGM39" s="19"/>
      <c r="KGN39" s="19"/>
      <c r="KGO39" s="19"/>
      <c r="KGP39" s="19"/>
      <c r="KGQ39" s="19"/>
      <c r="KGR39" s="19"/>
      <c r="KGS39" s="19"/>
      <c r="KGT39" s="19"/>
      <c r="KGU39" s="19"/>
      <c r="KGV39" s="19"/>
      <c r="KGW39" s="19"/>
      <c r="KGX39" s="19"/>
      <c r="KGY39" s="19"/>
      <c r="KGZ39" s="19"/>
      <c r="KHA39" s="19"/>
      <c r="KHB39" s="19"/>
      <c r="KHC39" s="19"/>
      <c r="KHD39" s="19"/>
      <c r="KHE39" s="19"/>
      <c r="KHF39" s="19"/>
      <c r="KHG39" s="19"/>
      <c r="KHH39" s="19"/>
      <c r="KHI39" s="19"/>
      <c r="KHJ39" s="19"/>
      <c r="KHK39" s="19"/>
      <c r="KHL39" s="19"/>
      <c r="KHM39" s="19"/>
      <c r="KHN39" s="19"/>
      <c r="KHO39" s="19"/>
      <c r="KHP39" s="19"/>
      <c r="KHQ39" s="19"/>
      <c r="KHR39" s="19"/>
      <c r="KHS39" s="19"/>
      <c r="KHT39" s="19"/>
      <c r="KHU39" s="19"/>
      <c r="KHV39" s="19"/>
      <c r="KHW39" s="19"/>
      <c r="KHX39" s="19"/>
      <c r="KHY39" s="19"/>
      <c r="KHZ39" s="19"/>
      <c r="KIA39" s="19"/>
      <c r="KIB39" s="19"/>
      <c r="KIC39" s="19"/>
      <c r="KID39" s="19"/>
      <c r="KIE39" s="19"/>
      <c r="KIF39" s="19"/>
      <c r="KIG39" s="19"/>
      <c r="KIH39" s="19"/>
      <c r="KII39" s="19"/>
      <c r="KIJ39" s="19"/>
      <c r="KIK39" s="19"/>
      <c r="KIL39" s="19"/>
      <c r="KIM39" s="19"/>
      <c r="KIN39" s="19"/>
      <c r="KIO39" s="19"/>
      <c r="KIP39" s="19"/>
      <c r="KIQ39" s="19"/>
      <c r="KIR39" s="19"/>
      <c r="KIS39" s="19"/>
      <c r="KIT39" s="19"/>
      <c r="KIU39" s="19"/>
      <c r="KIV39" s="19"/>
      <c r="KIW39" s="19"/>
      <c r="KIX39" s="19"/>
      <c r="KIY39" s="19"/>
      <c r="KIZ39" s="19"/>
      <c r="KJA39" s="19"/>
      <c r="KJB39" s="19"/>
      <c r="KJC39" s="19"/>
      <c r="KJD39" s="19"/>
      <c r="KJE39" s="19"/>
      <c r="KJF39" s="19"/>
      <c r="KJG39" s="19"/>
      <c r="KJH39" s="19"/>
      <c r="KJI39" s="19"/>
      <c r="KJJ39" s="19"/>
      <c r="KJK39" s="19"/>
      <c r="KJL39" s="19"/>
      <c r="KJM39" s="19"/>
      <c r="KJN39" s="19"/>
      <c r="KJO39" s="19"/>
      <c r="KJP39" s="19"/>
      <c r="KJQ39" s="19"/>
      <c r="KJR39" s="19"/>
      <c r="KJS39" s="19"/>
      <c r="KJT39" s="19"/>
      <c r="KJU39" s="19"/>
      <c r="KJV39" s="19"/>
      <c r="KJW39" s="19"/>
      <c r="KJX39" s="19"/>
      <c r="KJY39" s="19"/>
      <c r="KJZ39" s="19"/>
      <c r="KKA39" s="19"/>
      <c r="KKB39" s="19"/>
      <c r="KKC39" s="19"/>
      <c r="KKD39" s="19"/>
      <c r="KKE39" s="19"/>
      <c r="KKF39" s="19"/>
      <c r="KKG39" s="19"/>
      <c r="KKH39" s="19"/>
      <c r="KKI39" s="19"/>
      <c r="KKJ39" s="19"/>
      <c r="KKK39" s="19"/>
      <c r="KKL39" s="19"/>
      <c r="KKM39" s="19"/>
      <c r="KKN39" s="19"/>
      <c r="KKO39" s="19"/>
      <c r="KKP39" s="19"/>
      <c r="KKQ39" s="19"/>
      <c r="KKR39" s="19"/>
      <c r="KKS39" s="19"/>
      <c r="KKT39" s="19"/>
      <c r="KKU39" s="19"/>
      <c r="KKV39" s="19"/>
      <c r="KKW39" s="19"/>
      <c r="KKX39" s="19"/>
      <c r="KKY39" s="19"/>
      <c r="KKZ39" s="19"/>
      <c r="KLA39" s="19"/>
      <c r="KLB39" s="19"/>
      <c r="KLC39" s="19"/>
      <c r="KLD39" s="19"/>
      <c r="KLE39" s="19"/>
      <c r="KLF39" s="19"/>
      <c r="KLG39" s="19"/>
      <c r="KLH39" s="19"/>
      <c r="KLI39" s="19"/>
      <c r="KLJ39" s="19"/>
      <c r="KLK39" s="19"/>
      <c r="KLL39" s="19"/>
      <c r="KLM39" s="19"/>
      <c r="KLN39" s="19"/>
      <c r="KLO39" s="19"/>
      <c r="KLP39" s="19"/>
      <c r="KLQ39" s="19"/>
      <c r="KLR39" s="19"/>
      <c r="KLS39" s="19"/>
      <c r="KLT39" s="19"/>
      <c r="KLU39" s="19"/>
      <c r="KLV39" s="19"/>
      <c r="KLW39" s="19"/>
      <c r="KLX39" s="19"/>
      <c r="KLY39" s="19"/>
      <c r="KLZ39" s="19"/>
      <c r="KMA39" s="19"/>
      <c r="KMB39" s="19"/>
      <c r="KMC39" s="19"/>
      <c r="KMD39" s="19"/>
      <c r="KME39" s="19"/>
      <c r="KMF39" s="19"/>
      <c r="KMG39" s="19"/>
      <c r="KMH39" s="19"/>
      <c r="KMI39" s="19"/>
      <c r="KMJ39" s="19"/>
      <c r="KMK39" s="19"/>
      <c r="KML39" s="19"/>
      <c r="KMM39" s="19"/>
      <c r="KMN39" s="19"/>
      <c r="KMO39" s="19"/>
      <c r="KMP39" s="19"/>
      <c r="KMQ39" s="19"/>
      <c r="KMR39" s="19"/>
      <c r="KMS39" s="19"/>
      <c r="KMT39" s="19"/>
      <c r="KMU39" s="19"/>
      <c r="KMV39" s="19"/>
      <c r="KMW39" s="19"/>
      <c r="KMX39" s="19"/>
      <c r="KMY39" s="19"/>
      <c r="KMZ39" s="19"/>
      <c r="KNA39" s="19"/>
      <c r="KNB39" s="19"/>
      <c r="KNC39" s="19"/>
      <c r="KND39" s="19"/>
      <c r="KNE39" s="19"/>
      <c r="KNF39" s="19"/>
      <c r="KNG39" s="19"/>
      <c r="KNH39" s="19"/>
      <c r="KNI39" s="19"/>
      <c r="KNJ39" s="19"/>
      <c r="KNK39" s="19"/>
      <c r="KNL39" s="19"/>
      <c r="KNM39" s="19"/>
      <c r="KNN39" s="19"/>
      <c r="KNO39" s="19"/>
      <c r="KNP39" s="19"/>
      <c r="KNQ39" s="19"/>
      <c r="KNR39" s="19"/>
      <c r="KNS39" s="19"/>
      <c r="KNT39" s="19"/>
      <c r="KNU39" s="19"/>
      <c r="KNV39" s="19"/>
      <c r="KNW39" s="19"/>
      <c r="KNX39" s="19"/>
      <c r="KNY39" s="19"/>
      <c r="KNZ39" s="19"/>
      <c r="KOA39" s="19"/>
      <c r="KOB39" s="19"/>
      <c r="KOC39" s="19"/>
      <c r="KOD39" s="19"/>
      <c r="KOE39" s="19"/>
      <c r="KOF39" s="19"/>
      <c r="KOG39" s="19"/>
      <c r="KOH39" s="19"/>
      <c r="KOI39" s="19"/>
      <c r="KOJ39" s="19"/>
      <c r="KOK39" s="19"/>
      <c r="KOL39" s="19"/>
      <c r="KOM39" s="19"/>
      <c r="KON39" s="19"/>
      <c r="KOO39" s="19"/>
      <c r="KOP39" s="19"/>
      <c r="KOQ39" s="19"/>
      <c r="KOR39" s="19"/>
      <c r="KOS39" s="19"/>
      <c r="KOT39" s="19"/>
      <c r="KOU39" s="19"/>
      <c r="KOV39" s="19"/>
      <c r="KOW39" s="19"/>
      <c r="KOX39" s="19"/>
      <c r="KOY39" s="19"/>
      <c r="KOZ39" s="19"/>
      <c r="KPA39" s="19"/>
      <c r="KPB39" s="19"/>
      <c r="KPC39" s="19"/>
      <c r="KPD39" s="19"/>
      <c r="KPE39" s="19"/>
      <c r="KPF39" s="19"/>
      <c r="KPG39" s="19"/>
      <c r="KPH39" s="19"/>
      <c r="KPI39" s="19"/>
      <c r="KPJ39" s="19"/>
      <c r="KPK39" s="19"/>
      <c r="KPL39" s="19"/>
      <c r="KPM39" s="19"/>
      <c r="KPN39" s="19"/>
      <c r="KPO39" s="19"/>
      <c r="KPP39" s="19"/>
      <c r="KPQ39" s="19"/>
      <c r="KPR39" s="19"/>
      <c r="KPS39" s="19"/>
      <c r="KPT39" s="19"/>
      <c r="KPU39" s="19"/>
      <c r="KPV39" s="19"/>
      <c r="KPW39" s="19"/>
      <c r="KPX39" s="19"/>
      <c r="KPY39" s="19"/>
      <c r="KPZ39" s="19"/>
      <c r="KQA39" s="19"/>
      <c r="KQB39" s="19"/>
      <c r="KQC39" s="19"/>
      <c r="KQD39" s="19"/>
      <c r="KQE39" s="19"/>
      <c r="KQF39" s="19"/>
      <c r="KQG39" s="19"/>
      <c r="KQH39" s="19"/>
      <c r="KQI39" s="19"/>
      <c r="KQJ39" s="19"/>
      <c r="KQK39" s="19"/>
      <c r="KQL39" s="19"/>
      <c r="KQM39" s="19"/>
      <c r="KQN39" s="19"/>
      <c r="KQO39" s="19"/>
      <c r="KQP39" s="19"/>
      <c r="KQQ39" s="19"/>
      <c r="KQR39" s="19"/>
      <c r="KQS39" s="19"/>
      <c r="KQT39" s="19"/>
      <c r="KQU39" s="19"/>
      <c r="KQV39" s="19"/>
      <c r="KQW39" s="19"/>
      <c r="KQX39" s="19"/>
      <c r="KQY39" s="19"/>
      <c r="KQZ39" s="19"/>
      <c r="KRA39" s="19"/>
      <c r="KRB39" s="19"/>
      <c r="KRC39" s="19"/>
      <c r="KRD39" s="19"/>
      <c r="KRE39" s="19"/>
      <c r="KRF39" s="19"/>
      <c r="KRG39" s="19"/>
      <c r="KRH39" s="19"/>
      <c r="KRI39" s="19"/>
      <c r="KRJ39" s="19"/>
      <c r="KRK39" s="19"/>
      <c r="KRL39" s="19"/>
      <c r="KRM39" s="19"/>
      <c r="KRN39" s="19"/>
      <c r="KRO39" s="19"/>
      <c r="KRP39" s="19"/>
      <c r="KRQ39" s="19"/>
      <c r="KRR39" s="19"/>
      <c r="KRS39" s="19"/>
      <c r="KRT39" s="19"/>
      <c r="KRU39" s="19"/>
      <c r="KRV39" s="19"/>
      <c r="KRW39" s="19"/>
      <c r="KRX39" s="19"/>
      <c r="KRY39" s="19"/>
      <c r="KRZ39" s="19"/>
      <c r="KSA39" s="19"/>
      <c r="KSB39" s="19"/>
      <c r="KSC39" s="19"/>
      <c r="KSD39" s="19"/>
      <c r="KSE39" s="19"/>
      <c r="KSF39" s="19"/>
      <c r="KSG39" s="19"/>
      <c r="KSH39" s="19"/>
      <c r="KSI39" s="19"/>
      <c r="KSJ39" s="19"/>
      <c r="KSK39" s="19"/>
      <c r="KSL39" s="19"/>
      <c r="KSM39" s="19"/>
      <c r="KSN39" s="19"/>
      <c r="KSO39" s="19"/>
      <c r="KSP39" s="19"/>
      <c r="KSQ39" s="19"/>
      <c r="KSR39" s="19"/>
      <c r="KSS39" s="19"/>
      <c r="KST39" s="19"/>
      <c r="KSU39" s="19"/>
      <c r="KSV39" s="19"/>
      <c r="KSW39" s="19"/>
      <c r="KSX39" s="19"/>
      <c r="KSY39" s="19"/>
      <c r="KSZ39" s="19"/>
      <c r="KTA39" s="19"/>
      <c r="KTB39" s="19"/>
      <c r="KTC39" s="19"/>
      <c r="KTD39" s="19"/>
      <c r="KTE39" s="19"/>
      <c r="KTF39" s="19"/>
      <c r="KTG39" s="19"/>
      <c r="KTH39" s="19"/>
      <c r="KTI39" s="19"/>
      <c r="KTJ39" s="19"/>
      <c r="KTK39" s="19"/>
      <c r="KTL39" s="19"/>
      <c r="KTM39" s="19"/>
      <c r="KTN39" s="19"/>
      <c r="KTO39" s="19"/>
      <c r="KTP39" s="19"/>
      <c r="KTQ39" s="19"/>
      <c r="KTR39" s="19"/>
      <c r="KTS39" s="19"/>
      <c r="KTT39" s="19"/>
      <c r="KTU39" s="19"/>
      <c r="KTV39" s="19"/>
      <c r="KTW39" s="19"/>
      <c r="KTX39" s="19"/>
      <c r="KTY39" s="19"/>
      <c r="KTZ39" s="19"/>
      <c r="KUA39" s="19"/>
      <c r="KUB39" s="19"/>
      <c r="KUC39" s="19"/>
      <c r="KUD39" s="19"/>
      <c r="KUE39" s="19"/>
      <c r="KUF39" s="19"/>
      <c r="KUG39" s="19"/>
      <c r="KUH39" s="19"/>
      <c r="KUI39" s="19"/>
      <c r="KUJ39" s="19"/>
      <c r="KUK39" s="19"/>
      <c r="KUL39" s="19"/>
      <c r="KUM39" s="19"/>
      <c r="KUN39" s="19"/>
      <c r="KUO39" s="19"/>
      <c r="KUP39" s="19"/>
      <c r="KUQ39" s="19"/>
      <c r="KUR39" s="19"/>
      <c r="KUS39" s="19"/>
      <c r="KUT39" s="19"/>
      <c r="KUU39" s="19"/>
      <c r="KUV39" s="19"/>
      <c r="KUW39" s="19"/>
      <c r="KUX39" s="19"/>
      <c r="KUY39" s="19"/>
      <c r="KUZ39" s="19"/>
      <c r="KVA39" s="19"/>
      <c r="KVB39" s="19"/>
      <c r="KVC39" s="19"/>
      <c r="KVD39" s="19"/>
      <c r="KVE39" s="19"/>
      <c r="KVF39" s="19"/>
      <c r="KVG39" s="19"/>
      <c r="KVH39" s="19"/>
      <c r="KVI39" s="19"/>
      <c r="KVJ39" s="19"/>
      <c r="KVK39" s="19"/>
      <c r="KVL39" s="19"/>
      <c r="KVM39" s="19"/>
      <c r="KVN39" s="19"/>
      <c r="KVO39" s="19"/>
      <c r="KVP39" s="19"/>
      <c r="KVQ39" s="19"/>
      <c r="KVR39" s="19"/>
      <c r="KVS39" s="19"/>
      <c r="KVT39" s="19"/>
      <c r="KVU39" s="19"/>
      <c r="KVV39" s="19"/>
      <c r="KVW39" s="19"/>
      <c r="KVX39" s="19"/>
      <c r="KVY39" s="19"/>
      <c r="KVZ39" s="19"/>
      <c r="KWA39" s="19"/>
      <c r="KWB39" s="19"/>
      <c r="KWC39" s="19"/>
      <c r="KWD39" s="19"/>
      <c r="KWE39" s="19"/>
      <c r="KWF39" s="19"/>
      <c r="KWG39" s="19"/>
      <c r="KWH39" s="19"/>
      <c r="KWI39" s="19"/>
      <c r="KWJ39" s="19"/>
      <c r="KWK39" s="19"/>
      <c r="KWL39" s="19"/>
      <c r="KWM39" s="19"/>
      <c r="KWN39" s="19"/>
      <c r="KWO39" s="19"/>
      <c r="KWP39" s="19"/>
      <c r="KWQ39" s="19"/>
      <c r="KWR39" s="19"/>
      <c r="KWS39" s="19"/>
      <c r="KWT39" s="19"/>
      <c r="KWU39" s="19"/>
      <c r="KWV39" s="19"/>
      <c r="KWW39" s="19"/>
      <c r="KWX39" s="19"/>
      <c r="KWY39" s="19"/>
      <c r="KWZ39" s="19"/>
      <c r="KXA39" s="19"/>
      <c r="KXB39" s="19"/>
      <c r="KXC39" s="19"/>
      <c r="KXD39" s="19"/>
      <c r="KXE39" s="19"/>
      <c r="KXF39" s="19"/>
      <c r="KXG39" s="19"/>
      <c r="KXH39" s="19"/>
      <c r="KXI39" s="19"/>
      <c r="KXJ39" s="19"/>
      <c r="KXK39" s="19"/>
      <c r="KXL39" s="19"/>
      <c r="KXM39" s="19"/>
      <c r="KXN39" s="19"/>
      <c r="KXO39" s="19"/>
      <c r="KXP39" s="19"/>
      <c r="KXQ39" s="19"/>
      <c r="KXR39" s="19"/>
      <c r="KXS39" s="19"/>
      <c r="KXT39" s="19"/>
      <c r="KXU39" s="19"/>
      <c r="KXV39" s="19"/>
      <c r="KXW39" s="19"/>
      <c r="KXX39" s="19"/>
      <c r="KXY39" s="19"/>
      <c r="KXZ39" s="19"/>
      <c r="KYA39" s="19"/>
      <c r="KYB39" s="19"/>
      <c r="KYC39" s="19"/>
      <c r="KYD39" s="19"/>
      <c r="KYE39" s="19"/>
      <c r="KYF39" s="19"/>
      <c r="KYG39" s="19"/>
      <c r="KYH39" s="19"/>
      <c r="KYI39" s="19"/>
      <c r="KYJ39" s="19"/>
      <c r="KYK39" s="19"/>
      <c r="KYL39" s="19"/>
      <c r="KYM39" s="19"/>
      <c r="KYN39" s="19"/>
      <c r="KYO39" s="19"/>
      <c r="KYP39" s="19"/>
      <c r="KYQ39" s="19"/>
      <c r="KYR39" s="19"/>
      <c r="KYS39" s="19"/>
      <c r="KYT39" s="19"/>
      <c r="KYU39" s="19"/>
      <c r="KYV39" s="19"/>
      <c r="KYW39" s="19"/>
      <c r="KYX39" s="19"/>
      <c r="KYY39" s="19"/>
      <c r="KYZ39" s="19"/>
      <c r="KZA39" s="19"/>
      <c r="KZB39" s="19"/>
      <c r="KZC39" s="19"/>
      <c r="KZD39" s="19"/>
      <c r="KZE39" s="19"/>
      <c r="KZF39" s="19"/>
      <c r="KZG39" s="19"/>
      <c r="KZH39" s="19"/>
      <c r="KZI39" s="19"/>
      <c r="KZJ39" s="19"/>
      <c r="KZK39" s="19"/>
      <c r="KZL39" s="19"/>
      <c r="KZM39" s="19"/>
      <c r="KZN39" s="19"/>
      <c r="KZO39" s="19"/>
      <c r="KZP39" s="19"/>
      <c r="KZQ39" s="19"/>
      <c r="KZR39" s="19"/>
      <c r="KZS39" s="19"/>
      <c r="KZT39" s="19"/>
      <c r="KZU39" s="19"/>
      <c r="KZV39" s="19"/>
      <c r="KZW39" s="19"/>
      <c r="KZX39" s="19"/>
      <c r="KZY39" s="19"/>
      <c r="KZZ39" s="19"/>
      <c r="LAA39" s="19"/>
      <c r="LAB39" s="19"/>
      <c r="LAC39" s="19"/>
      <c r="LAD39" s="19"/>
      <c r="LAE39" s="19"/>
      <c r="LAF39" s="19"/>
      <c r="LAG39" s="19"/>
      <c r="LAH39" s="19"/>
      <c r="LAI39" s="19"/>
      <c r="LAJ39" s="19"/>
      <c r="LAK39" s="19"/>
      <c r="LAL39" s="19"/>
      <c r="LAM39" s="19"/>
      <c r="LAN39" s="19"/>
      <c r="LAO39" s="19"/>
      <c r="LAP39" s="19"/>
      <c r="LAQ39" s="19"/>
      <c r="LAR39" s="19"/>
      <c r="LAS39" s="19"/>
      <c r="LAT39" s="19"/>
      <c r="LAU39" s="19"/>
      <c r="LAV39" s="19"/>
      <c r="LAW39" s="19"/>
      <c r="LAX39" s="19"/>
      <c r="LAY39" s="19"/>
      <c r="LAZ39" s="19"/>
      <c r="LBA39" s="19"/>
      <c r="LBB39" s="19"/>
      <c r="LBC39" s="19"/>
      <c r="LBD39" s="19"/>
      <c r="LBE39" s="19"/>
      <c r="LBF39" s="19"/>
      <c r="LBG39" s="19"/>
      <c r="LBH39" s="19"/>
      <c r="LBI39" s="19"/>
      <c r="LBJ39" s="19"/>
      <c r="LBK39" s="19"/>
      <c r="LBL39" s="19"/>
      <c r="LBM39" s="19"/>
      <c r="LBN39" s="19"/>
      <c r="LBO39" s="19"/>
      <c r="LBP39" s="19"/>
      <c r="LBQ39" s="19"/>
      <c r="LBR39" s="19"/>
      <c r="LBS39" s="19"/>
      <c r="LBT39" s="19"/>
      <c r="LBU39" s="19"/>
      <c r="LBV39" s="19"/>
      <c r="LBW39" s="19"/>
      <c r="LBX39" s="19"/>
      <c r="LBY39" s="19"/>
      <c r="LBZ39" s="19"/>
      <c r="LCA39" s="19"/>
      <c r="LCB39" s="19"/>
      <c r="LCC39" s="19"/>
      <c r="LCD39" s="19"/>
      <c r="LCE39" s="19"/>
      <c r="LCF39" s="19"/>
      <c r="LCG39" s="19"/>
      <c r="LCH39" s="19"/>
      <c r="LCI39" s="19"/>
      <c r="LCJ39" s="19"/>
      <c r="LCK39" s="19"/>
      <c r="LCL39" s="19"/>
      <c r="LCM39" s="19"/>
      <c r="LCN39" s="19"/>
      <c r="LCO39" s="19"/>
      <c r="LCP39" s="19"/>
      <c r="LCQ39" s="19"/>
      <c r="LCR39" s="19"/>
      <c r="LCS39" s="19"/>
      <c r="LCT39" s="19"/>
      <c r="LCU39" s="19"/>
      <c r="LCV39" s="19"/>
      <c r="LCW39" s="19"/>
      <c r="LCX39" s="19"/>
      <c r="LCY39" s="19"/>
      <c r="LCZ39" s="19"/>
      <c r="LDA39" s="19"/>
      <c r="LDB39" s="19"/>
      <c r="LDC39" s="19"/>
      <c r="LDD39" s="19"/>
      <c r="LDE39" s="19"/>
      <c r="LDF39" s="19"/>
      <c r="LDG39" s="19"/>
      <c r="LDH39" s="19"/>
      <c r="LDI39" s="19"/>
      <c r="LDJ39" s="19"/>
      <c r="LDK39" s="19"/>
      <c r="LDL39" s="19"/>
      <c r="LDM39" s="19"/>
      <c r="LDN39" s="19"/>
      <c r="LDO39" s="19"/>
      <c r="LDP39" s="19"/>
      <c r="LDQ39" s="19"/>
      <c r="LDR39" s="19"/>
      <c r="LDS39" s="19"/>
      <c r="LDT39" s="19"/>
      <c r="LDU39" s="19"/>
      <c r="LDV39" s="19"/>
      <c r="LDW39" s="19"/>
      <c r="LDX39" s="19"/>
      <c r="LDY39" s="19"/>
      <c r="LDZ39" s="19"/>
      <c r="LEA39" s="19"/>
      <c r="LEB39" s="19"/>
      <c r="LEC39" s="19"/>
      <c r="LED39" s="19"/>
      <c r="LEE39" s="19"/>
      <c r="LEF39" s="19"/>
      <c r="LEG39" s="19"/>
      <c r="LEH39" s="19"/>
      <c r="LEI39" s="19"/>
      <c r="LEJ39" s="19"/>
      <c r="LEK39" s="19"/>
      <c r="LEL39" s="19"/>
      <c r="LEM39" s="19"/>
      <c r="LEN39" s="19"/>
      <c r="LEO39" s="19"/>
      <c r="LEP39" s="19"/>
      <c r="LEQ39" s="19"/>
      <c r="LER39" s="19"/>
      <c r="LES39" s="19"/>
      <c r="LET39" s="19"/>
      <c r="LEU39" s="19"/>
      <c r="LEV39" s="19"/>
      <c r="LEW39" s="19"/>
      <c r="LEX39" s="19"/>
      <c r="LEY39" s="19"/>
      <c r="LEZ39" s="19"/>
      <c r="LFA39" s="19"/>
      <c r="LFB39" s="19"/>
      <c r="LFC39" s="19"/>
      <c r="LFD39" s="19"/>
      <c r="LFE39" s="19"/>
      <c r="LFF39" s="19"/>
      <c r="LFG39" s="19"/>
      <c r="LFH39" s="19"/>
      <c r="LFI39" s="19"/>
      <c r="LFJ39" s="19"/>
      <c r="LFK39" s="19"/>
      <c r="LFL39" s="19"/>
      <c r="LFM39" s="19"/>
      <c r="LFN39" s="19"/>
      <c r="LFO39" s="19"/>
      <c r="LFP39" s="19"/>
      <c r="LFQ39" s="19"/>
      <c r="LFR39" s="19"/>
      <c r="LFS39" s="19"/>
      <c r="LFT39" s="19"/>
      <c r="LFU39" s="19"/>
      <c r="LFV39" s="19"/>
      <c r="LFW39" s="19"/>
      <c r="LFX39" s="19"/>
      <c r="LFY39" s="19"/>
      <c r="LFZ39" s="19"/>
      <c r="LGA39" s="19"/>
      <c r="LGB39" s="19"/>
      <c r="LGC39" s="19"/>
      <c r="LGD39" s="19"/>
      <c r="LGE39" s="19"/>
      <c r="LGF39" s="19"/>
      <c r="LGG39" s="19"/>
      <c r="LGH39" s="19"/>
      <c r="LGI39" s="19"/>
      <c r="LGJ39" s="19"/>
      <c r="LGK39" s="19"/>
      <c r="LGL39" s="19"/>
      <c r="LGM39" s="19"/>
      <c r="LGN39" s="19"/>
      <c r="LGO39" s="19"/>
      <c r="LGP39" s="19"/>
      <c r="LGQ39" s="19"/>
      <c r="LGR39" s="19"/>
      <c r="LGS39" s="19"/>
      <c r="LGT39" s="19"/>
      <c r="LGU39" s="19"/>
      <c r="LGV39" s="19"/>
      <c r="LGW39" s="19"/>
      <c r="LGX39" s="19"/>
      <c r="LGY39" s="19"/>
      <c r="LGZ39" s="19"/>
      <c r="LHA39" s="19"/>
      <c r="LHB39" s="19"/>
      <c r="LHC39" s="19"/>
      <c r="LHD39" s="19"/>
      <c r="LHE39" s="19"/>
      <c r="LHF39" s="19"/>
      <c r="LHG39" s="19"/>
      <c r="LHH39" s="19"/>
      <c r="LHI39" s="19"/>
      <c r="LHJ39" s="19"/>
      <c r="LHK39" s="19"/>
      <c r="LHL39" s="19"/>
      <c r="LHM39" s="19"/>
      <c r="LHN39" s="19"/>
      <c r="LHO39" s="19"/>
      <c r="LHP39" s="19"/>
      <c r="LHQ39" s="19"/>
      <c r="LHR39" s="19"/>
      <c r="LHS39" s="19"/>
      <c r="LHT39" s="19"/>
      <c r="LHU39" s="19"/>
      <c r="LHV39" s="19"/>
      <c r="LHW39" s="19"/>
      <c r="LHX39" s="19"/>
      <c r="LHY39" s="19"/>
      <c r="LHZ39" s="19"/>
      <c r="LIA39" s="19"/>
      <c r="LIB39" s="19"/>
      <c r="LIC39" s="19"/>
      <c r="LID39" s="19"/>
      <c r="LIE39" s="19"/>
      <c r="LIF39" s="19"/>
      <c r="LIG39" s="19"/>
      <c r="LIH39" s="19"/>
      <c r="LII39" s="19"/>
      <c r="LIJ39" s="19"/>
      <c r="LIK39" s="19"/>
      <c r="LIL39" s="19"/>
      <c r="LIM39" s="19"/>
      <c r="LIN39" s="19"/>
      <c r="LIO39" s="19"/>
      <c r="LIP39" s="19"/>
      <c r="LIQ39" s="19"/>
      <c r="LIR39" s="19"/>
      <c r="LIS39" s="19"/>
      <c r="LIT39" s="19"/>
      <c r="LIU39" s="19"/>
      <c r="LIV39" s="19"/>
      <c r="LIW39" s="19"/>
      <c r="LIX39" s="19"/>
      <c r="LIY39" s="19"/>
      <c r="LIZ39" s="19"/>
      <c r="LJA39" s="19"/>
      <c r="LJB39" s="19"/>
      <c r="LJC39" s="19"/>
      <c r="LJD39" s="19"/>
      <c r="LJE39" s="19"/>
      <c r="LJF39" s="19"/>
      <c r="LJG39" s="19"/>
      <c r="LJH39" s="19"/>
      <c r="LJI39" s="19"/>
      <c r="LJJ39" s="19"/>
      <c r="LJK39" s="19"/>
      <c r="LJL39" s="19"/>
      <c r="LJM39" s="19"/>
      <c r="LJN39" s="19"/>
      <c r="LJO39" s="19"/>
      <c r="LJP39" s="19"/>
      <c r="LJQ39" s="19"/>
      <c r="LJR39" s="19"/>
      <c r="LJS39" s="19"/>
      <c r="LJT39" s="19"/>
      <c r="LJU39" s="19"/>
      <c r="LJV39" s="19"/>
      <c r="LJW39" s="19"/>
      <c r="LJX39" s="19"/>
      <c r="LJY39" s="19"/>
      <c r="LJZ39" s="19"/>
      <c r="LKA39" s="19"/>
      <c r="LKB39" s="19"/>
      <c r="LKC39" s="19"/>
      <c r="LKD39" s="19"/>
      <c r="LKE39" s="19"/>
      <c r="LKF39" s="19"/>
      <c r="LKG39" s="19"/>
      <c r="LKH39" s="19"/>
      <c r="LKI39" s="19"/>
      <c r="LKJ39" s="19"/>
      <c r="LKK39" s="19"/>
      <c r="LKL39" s="19"/>
      <c r="LKM39" s="19"/>
      <c r="LKN39" s="19"/>
      <c r="LKO39" s="19"/>
      <c r="LKP39" s="19"/>
      <c r="LKQ39" s="19"/>
      <c r="LKR39" s="19"/>
      <c r="LKS39" s="19"/>
      <c r="LKT39" s="19"/>
      <c r="LKU39" s="19"/>
      <c r="LKV39" s="19"/>
      <c r="LKW39" s="19"/>
      <c r="LKX39" s="19"/>
      <c r="LKY39" s="19"/>
      <c r="LKZ39" s="19"/>
      <c r="LLA39" s="19"/>
      <c r="LLB39" s="19"/>
      <c r="LLC39" s="19"/>
      <c r="LLD39" s="19"/>
      <c r="LLE39" s="19"/>
      <c r="LLF39" s="19"/>
      <c r="LLG39" s="19"/>
      <c r="LLH39" s="19"/>
      <c r="LLI39" s="19"/>
      <c r="LLJ39" s="19"/>
      <c r="LLK39" s="19"/>
      <c r="LLL39" s="19"/>
      <c r="LLM39" s="19"/>
      <c r="LLN39" s="19"/>
      <c r="LLO39" s="19"/>
      <c r="LLP39" s="19"/>
      <c r="LLQ39" s="19"/>
      <c r="LLR39" s="19"/>
      <c r="LLS39" s="19"/>
      <c r="LLT39" s="19"/>
      <c r="LLU39" s="19"/>
      <c r="LLV39" s="19"/>
      <c r="LLW39" s="19"/>
      <c r="LLX39" s="19"/>
      <c r="LLY39" s="19"/>
      <c r="LLZ39" s="19"/>
      <c r="LMA39" s="19"/>
      <c r="LMB39" s="19"/>
      <c r="LMC39" s="19"/>
      <c r="LMD39" s="19"/>
      <c r="LME39" s="19"/>
      <c r="LMF39" s="19"/>
      <c r="LMG39" s="19"/>
      <c r="LMH39" s="19"/>
      <c r="LMI39" s="19"/>
      <c r="LMJ39" s="19"/>
      <c r="LMK39" s="19"/>
      <c r="LML39" s="19"/>
      <c r="LMM39" s="19"/>
      <c r="LMN39" s="19"/>
      <c r="LMO39" s="19"/>
      <c r="LMP39" s="19"/>
      <c r="LMQ39" s="19"/>
      <c r="LMR39" s="19"/>
      <c r="LMS39" s="19"/>
      <c r="LMT39" s="19"/>
      <c r="LMU39" s="19"/>
      <c r="LMV39" s="19"/>
      <c r="LMW39" s="19"/>
      <c r="LMX39" s="19"/>
      <c r="LMY39" s="19"/>
      <c r="LMZ39" s="19"/>
      <c r="LNA39" s="19"/>
      <c r="LNB39" s="19"/>
      <c r="LNC39" s="19"/>
      <c r="LND39" s="19"/>
      <c r="LNE39" s="19"/>
      <c r="LNF39" s="19"/>
      <c r="LNG39" s="19"/>
      <c r="LNH39" s="19"/>
      <c r="LNI39" s="19"/>
      <c r="LNJ39" s="19"/>
      <c r="LNK39" s="19"/>
      <c r="LNL39" s="19"/>
      <c r="LNM39" s="19"/>
      <c r="LNN39" s="19"/>
      <c r="LNO39" s="19"/>
      <c r="LNP39" s="19"/>
      <c r="LNQ39" s="19"/>
      <c r="LNR39" s="19"/>
      <c r="LNS39" s="19"/>
      <c r="LNT39" s="19"/>
      <c r="LNU39" s="19"/>
      <c r="LNV39" s="19"/>
      <c r="LNW39" s="19"/>
      <c r="LNX39" s="19"/>
      <c r="LNY39" s="19"/>
      <c r="LNZ39" s="19"/>
      <c r="LOA39" s="19"/>
      <c r="LOB39" s="19"/>
      <c r="LOC39" s="19"/>
      <c r="LOD39" s="19"/>
      <c r="LOE39" s="19"/>
      <c r="LOF39" s="19"/>
      <c r="LOG39" s="19"/>
      <c r="LOH39" s="19"/>
      <c r="LOI39" s="19"/>
      <c r="LOJ39" s="19"/>
      <c r="LOK39" s="19"/>
      <c r="LOL39" s="19"/>
      <c r="LOM39" s="19"/>
      <c r="LON39" s="19"/>
      <c r="LOO39" s="19"/>
      <c r="LOP39" s="19"/>
      <c r="LOQ39" s="19"/>
      <c r="LOR39" s="19"/>
      <c r="LOS39" s="19"/>
      <c r="LOT39" s="19"/>
      <c r="LOU39" s="19"/>
      <c r="LOV39" s="19"/>
      <c r="LOW39" s="19"/>
      <c r="LOX39" s="19"/>
      <c r="LOY39" s="19"/>
      <c r="LOZ39" s="19"/>
      <c r="LPA39" s="19"/>
      <c r="LPB39" s="19"/>
      <c r="LPC39" s="19"/>
      <c r="LPD39" s="19"/>
      <c r="LPE39" s="19"/>
      <c r="LPF39" s="19"/>
      <c r="LPG39" s="19"/>
      <c r="LPH39" s="19"/>
      <c r="LPI39" s="19"/>
      <c r="LPJ39" s="19"/>
      <c r="LPK39" s="19"/>
      <c r="LPL39" s="19"/>
      <c r="LPM39" s="19"/>
      <c r="LPN39" s="19"/>
      <c r="LPO39" s="19"/>
      <c r="LPP39" s="19"/>
      <c r="LPQ39" s="19"/>
      <c r="LPR39" s="19"/>
      <c r="LPS39" s="19"/>
      <c r="LPT39" s="19"/>
      <c r="LPU39" s="19"/>
      <c r="LPV39" s="19"/>
      <c r="LPW39" s="19"/>
      <c r="LPX39" s="19"/>
      <c r="LPY39" s="19"/>
      <c r="LPZ39" s="19"/>
      <c r="LQA39" s="19"/>
      <c r="LQB39" s="19"/>
      <c r="LQC39" s="19"/>
      <c r="LQD39" s="19"/>
      <c r="LQE39" s="19"/>
      <c r="LQF39" s="19"/>
      <c r="LQG39" s="19"/>
      <c r="LQH39" s="19"/>
      <c r="LQI39" s="19"/>
      <c r="LQJ39" s="19"/>
      <c r="LQK39" s="19"/>
      <c r="LQL39" s="19"/>
      <c r="LQM39" s="19"/>
      <c r="LQN39" s="19"/>
      <c r="LQO39" s="19"/>
      <c r="LQP39" s="19"/>
      <c r="LQQ39" s="19"/>
      <c r="LQR39" s="19"/>
      <c r="LQS39" s="19"/>
      <c r="LQT39" s="19"/>
      <c r="LQU39" s="19"/>
      <c r="LQV39" s="19"/>
      <c r="LQW39" s="19"/>
      <c r="LQX39" s="19"/>
      <c r="LQY39" s="19"/>
      <c r="LQZ39" s="19"/>
      <c r="LRA39" s="19"/>
      <c r="LRB39" s="19"/>
      <c r="LRC39" s="19"/>
      <c r="LRD39" s="19"/>
      <c r="LRE39" s="19"/>
      <c r="LRF39" s="19"/>
      <c r="LRG39" s="19"/>
      <c r="LRH39" s="19"/>
      <c r="LRI39" s="19"/>
      <c r="LRJ39" s="19"/>
      <c r="LRK39" s="19"/>
      <c r="LRL39" s="19"/>
      <c r="LRM39" s="19"/>
      <c r="LRN39" s="19"/>
      <c r="LRO39" s="19"/>
      <c r="LRP39" s="19"/>
      <c r="LRQ39" s="19"/>
      <c r="LRR39" s="19"/>
      <c r="LRS39" s="19"/>
      <c r="LRT39" s="19"/>
      <c r="LRU39" s="19"/>
      <c r="LRV39" s="19"/>
      <c r="LRW39" s="19"/>
      <c r="LRX39" s="19"/>
      <c r="LRY39" s="19"/>
      <c r="LRZ39" s="19"/>
      <c r="LSA39" s="19"/>
      <c r="LSB39" s="19"/>
      <c r="LSC39" s="19"/>
      <c r="LSD39" s="19"/>
      <c r="LSE39" s="19"/>
      <c r="LSF39" s="19"/>
      <c r="LSG39" s="19"/>
      <c r="LSH39" s="19"/>
      <c r="LSI39" s="19"/>
      <c r="LSJ39" s="19"/>
      <c r="LSK39" s="19"/>
      <c r="LSL39" s="19"/>
      <c r="LSM39" s="19"/>
      <c r="LSN39" s="19"/>
      <c r="LSO39" s="19"/>
      <c r="LSP39" s="19"/>
      <c r="LSQ39" s="19"/>
      <c r="LSR39" s="19"/>
      <c r="LSS39" s="19"/>
      <c r="LST39" s="19"/>
      <c r="LSU39" s="19"/>
      <c r="LSV39" s="19"/>
      <c r="LSW39" s="19"/>
      <c r="LSX39" s="19"/>
      <c r="LSY39" s="19"/>
      <c r="LSZ39" s="19"/>
      <c r="LTA39" s="19"/>
      <c r="LTB39" s="19"/>
      <c r="LTC39" s="19"/>
      <c r="LTD39" s="19"/>
      <c r="LTE39" s="19"/>
      <c r="LTF39" s="19"/>
      <c r="LTG39" s="19"/>
      <c r="LTH39" s="19"/>
      <c r="LTI39" s="19"/>
      <c r="LTJ39" s="19"/>
      <c r="LTK39" s="19"/>
      <c r="LTL39" s="19"/>
      <c r="LTM39" s="19"/>
      <c r="LTN39" s="19"/>
      <c r="LTO39" s="19"/>
      <c r="LTP39" s="19"/>
      <c r="LTQ39" s="19"/>
      <c r="LTR39" s="19"/>
      <c r="LTS39" s="19"/>
      <c r="LTT39" s="19"/>
      <c r="LTU39" s="19"/>
      <c r="LTV39" s="19"/>
      <c r="LTW39" s="19"/>
      <c r="LTX39" s="19"/>
      <c r="LTY39" s="19"/>
      <c r="LTZ39" s="19"/>
      <c r="LUA39" s="19"/>
      <c r="LUB39" s="19"/>
      <c r="LUC39" s="19"/>
      <c r="LUD39" s="19"/>
      <c r="LUE39" s="19"/>
      <c r="LUF39" s="19"/>
      <c r="LUG39" s="19"/>
      <c r="LUH39" s="19"/>
      <c r="LUI39" s="19"/>
      <c r="LUJ39" s="19"/>
      <c r="LUK39" s="19"/>
      <c r="LUL39" s="19"/>
      <c r="LUM39" s="19"/>
      <c r="LUN39" s="19"/>
      <c r="LUO39" s="19"/>
      <c r="LUP39" s="19"/>
      <c r="LUQ39" s="19"/>
      <c r="LUR39" s="19"/>
      <c r="LUS39" s="19"/>
      <c r="LUT39" s="19"/>
      <c r="LUU39" s="19"/>
      <c r="LUV39" s="19"/>
      <c r="LUW39" s="19"/>
      <c r="LUX39" s="19"/>
      <c r="LUY39" s="19"/>
      <c r="LUZ39" s="19"/>
      <c r="LVA39" s="19"/>
      <c r="LVB39" s="19"/>
      <c r="LVC39" s="19"/>
      <c r="LVD39" s="19"/>
      <c r="LVE39" s="19"/>
      <c r="LVF39" s="19"/>
      <c r="LVG39" s="19"/>
      <c r="LVH39" s="19"/>
      <c r="LVI39" s="19"/>
      <c r="LVJ39" s="19"/>
      <c r="LVK39" s="19"/>
      <c r="LVL39" s="19"/>
      <c r="LVM39" s="19"/>
      <c r="LVN39" s="19"/>
      <c r="LVO39" s="19"/>
      <c r="LVP39" s="19"/>
      <c r="LVQ39" s="19"/>
      <c r="LVR39" s="19"/>
      <c r="LVS39" s="19"/>
      <c r="LVT39" s="19"/>
      <c r="LVU39" s="19"/>
      <c r="LVV39" s="19"/>
      <c r="LVW39" s="19"/>
      <c r="LVX39" s="19"/>
      <c r="LVY39" s="19"/>
      <c r="LVZ39" s="19"/>
      <c r="LWA39" s="19"/>
      <c r="LWB39" s="19"/>
      <c r="LWC39" s="19"/>
      <c r="LWD39" s="19"/>
      <c r="LWE39" s="19"/>
      <c r="LWF39" s="19"/>
      <c r="LWG39" s="19"/>
      <c r="LWH39" s="19"/>
      <c r="LWI39" s="19"/>
      <c r="LWJ39" s="19"/>
      <c r="LWK39" s="19"/>
      <c r="LWL39" s="19"/>
      <c r="LWM39" s="19"/>
      <c r="LWN39" s="19"/>
      <c r="LWO39" s="19"/>
      <c r="LWP39" s="19"/>
      <c r="LWQ39" s="19"/>
      <c r="LWR39" s="19"/>
      <c r="LWS39" s="19"/>
      <c r="LWT39" s="19"/>
      <c r="LWU39" s="19"/>
      <c r="LWV39" s="19"/>
      <c r="LWW39" s="19"/>
      <c r="LWX39" s="19"/>
      <c r="LWY39" s="19"/>
      <c r="LWZ39" s="19"/>
      <c r="LXA39" s="19"/>
      <c r="LXB39" s="19"/>
      <c r="LXC39" s="19"/>
      <c r="LXD39" s="19"/>
      <c r="LXE39" s="19"/>
      <c r="LXF39" s="19"/>
      <c r="LXG39" s="19"/>
      <c r="LXH39" s="19"/>
      <c r="LXI39" s="19"/>
      <c r="LXJ39" s="19"/>
      <c r="LXK39" s="19"/>
      <c r="LXL39" s="19"/>
      <c r="LXM39" s="19"/>
      <c r="LXN39" s="19"/>
      <c r="LXO39" s="19"/>
      <c r="LXP39" s="19"/>
      <c r="LXQ39" s="19"/>
      <c r="LXR39" s="19"/>
      <c r="LXS39" s="19"/>
      <c r="LXT39" s="19"/>
      <c r="LXU39" s="19"/>
      <c r="LXV39" s="19"/>
      <c r="LXW39" s="19"/>
      <c r="LXX39" s="19"/>
      <c r="LXY39" s="19"/>
      <c r="LXZ39" s="19"/>
      <c r="LYA39" s="19"/>
      <c r="LYB39" s="19"/>
      <c r="LYC39" s="19"/>
      <c r="LYD39" s="19"/>
      <c r="LYE39" s="19"/>
      <c r="LYF39" s="19"/>
      <c r="LYG39" s="19"/>
      <c r="LYH39" s="19"/>
      <c r="LYI39" s="19"/>
      <c r="LYJ39" s="19"/>
      <c r="LYK39" s="19"/>
      <c r="LYL39" s="19"/>
      <c r="LYM39" s="19"/>
      <c r="LYN39" s="19"/>
      <c r="LYO39" s="19"/>
      <c r="LYP39" s="19"/>
      <c r="LYQ39" s="19"/>
      <c r="LYR39" s="19"/>
      <c r="LYS39" s="19"/>
      <c r="LYT39" s="19"/>
      <c r="LYU39" s="19"/>
      <c r="LYV39" s="19"/>
      <c r="LYW39" s="19"/>
      <c r="LYX39" s="19"/>
      <c r="LYY39" s="19"/>
      <c r="LYZ39" s="19"/>
      <c r="LZA39" s="19"/>
      <c r="LZB39" s="19"/>
      <c r="LZC39" s="19"/>
      <c r="LZD39" s="19"/>
      <c r="LZE39" s="19"/>
      <c r="LZF39" s="19"/>
      <c r="LZG39" s="19"/>
      <c r="LZH39" s="19"/>
      <c r="LZI39" s="19"/>
      <c r="LZJ39" s="19"/>
      <c r="LZK39" s="19"/>
      <c r="LZL39" s="19"/>
      <c r="LZM39" s="19"/>
      <c r="LZN39" s="19"/>
      <c r="LZO39" s="19"/>
      <c r="LZP39" s="19"/>
      <c r="LZQ39" s="19"/>
      <c r="LZR39" s="19"/>
      <c r="LZS39" s="19"/>
      <c r="LZT39" s="19"/>
      <c r="LZU39" s="19"/>
      <c r="LZV39" s="19"/>
      <c r="LZW39" s="19"/>
      <c r="LZX39" s="19"/>
      <c r="LZY39" s="19"/>
      <c r="LZZ39" s="19"/>
      <c r="MAA39" s="19"/>
      <c r="MAB39" s="19"/>
      <c r="MAC39" s="19"/>
      <c r="MAD39" s="19"/>
      <c r="MAE39" s="19"/>
      <c r="MAF39" s="19"/>
      <c r="MAG39" s="19"/>
      <c r="MAH39" s="19"/>
      <c r="MAI39" s="19"/>
      <c r="MAJ39" s="19"/>
      <c r="MAK39" s="19"/>
      <c r="MAL39" s="19"/>
      <c r="MAM39" s="19"/>
      <c r="MAN39" s="19"/>
      <c r="MAO39" s="19"/>
      <c r="MAP39" s="19"/>
      <c r="MAQ39" s="19"/>
      <c r="MAR39" s="19"/>
      <c r="MAS39" s="19"/>
      <c r="MAT39" s="19"/>
      <c r="MAU39" s="19"/>
      <c r="MAV39" s="19"/>
      <c r="MAW39" s="19"/>
      <c r="MAX39" s="19"/>
      <c r="MAY39" s="19"/>
      <c r="MAZ39" s="19"/>
      <c r="MBA39" s="19"/>
      <c r="MBB39" s="19"/>
      <c r="MBC39" s="19"/>
      <c r="MBD39" s="19"/>
      <c r="MBE39" s="19"/>
      <c r="MBF39" s="19"/>
      <c r="MBG39" s="19"/>
      <c r="MBH39" s="19"/>
      <c r="MBI39" s="19"/>
      <c r="MBJ39" s="19"/>
      <c r="MBK39" s="19"/>
      <c r="MBL39" s="19"/>
      <c r="MBM39" s="19"/>
      <c r="MBN39" s="19"/>
      <c r="MBO39" s="19"/>
      <c r="MBP39" s="19"/>
      <c r="MBQ39" s="19"/>
      <c r="MBR39" s="19"/>
      <c r="MBS39" s="19"/>
      <c r="MBT39" s="19"/>
      <c r="MBU39" s="19"/>
      <c r="MBV39" s="19"/>
      <c r="MBW39" s="19"/>
      <c r="MBX39" s="19"/>
      <c r="MBY39" s="19"/>
      <c r="MBZ39" s="19"/>
      <c r="MCA39" s="19"/>
      <c r="MCB39" s="19"/>
      <c r="MCC39" s="19"/>
      <c r="MCD39" s="19"/>
      <c r="MCE39" s="19"/>
      <c r="MCF39" s="19"/>
      <c r="MCG39" s="19"/>
      <c r="MCH39" s="19"/>
      <c r="MCI39" s="19"/>
      <c r="MCJ39" s="19"/>
      <c r="MCK39" s="19"/>
      <c r="MCL39" s="19"/>
      <c r="MCM39" s="19"/>
      <c r="MCN39" s="19"/>
      <c r="MCO39" s="19"/>
      <c r="MCP39" s="19"/>
      <c r="MCQ39" s="19"/>
      <c r="MCR39" s="19"/>
      <c r="MCS39" s="19"/>
      <c r="MCT39" s="19"/>
      <c r="MCU39" s="19"/>
      <c r="MCV39" s="19"/>
      <c r="MCW39" s="19"/>
      <c r="MCX39" s="19"/>
      <c r="MCY39" s="19"/>
      <c r="MCZ39" s="19"/>
      <c r="MDA39" s="19"/>
      <c r="MDB39" s="19"/>
      <c r="MDC39" s="19"/>
      <c r="MDD39" s="19"/>
      <c r="MDE39" s="19"/>
      <c r="MDF39" s="19"/>
      <c r="MDG39" s="19"/>
      <c r="MDH39" s="19"/>
      <c r="MDI39" s="19"/>
      <c r="MDJ39" s="19"/>
      <c r="MDK39" s="19"/>
      <c r="MDL39" s="19"/>
      <c r="MDM39" s="19"/>
      <c r="MDN39" s="19"/>
      <c r="MDO39" s="19"/>
      <c r="MDP39" s="19"/>
      <c r="MDQ39" s="19"/>
      <c r="MDR39" s="19"/>
      <c r="MDS39" s="19"/>
      <c r="MDT39" s="19"/>
      <c r="MDU39" s="19"/>
      <c r="MDV39" s="19"/>
      <c r="MDW39" s="19"/>
      <c r="MDX39" s="19"/>
      <c r="MDY39" s="19"/>
      <c r="MDZ39" s="19"/>
      <c r="MEA39" s="19"/>
      <c r="MEB39" s="19"/>
      <c r="MEC39" s="19"/>
      <c r="MED39" s="19"/>
      <c r="MEE39" s="19"/>
      <c r="MEF39" s="19"/>
      <c r="MEG39" s="19"/>
      <c r="MEH39" s="19"/>
      <c r="MEI39" s="19"/>
      <c r="MEJ39" s="19"/>
      <c r="MEK39" s="19"/>
      <c r="MEL39" s="19"/>
      <c r="MEM39" s="19"/>
      <c r="MEN39" s="19"/>
      <c r="MEO39" s="19"/>
      <c r="MEP39" s="19"/>
      <c r="MEQ39" s="19"/>
      <c r="MER39" s="19"/>
      <c r="MES39" s="19"/>
      <c r="MET39" s="19"/>
      <c r="MEU39" s="19"/>
      <c r="MEV39" s="19"/>
      <c r="MEW39" s="19"/>
      <c r="MEX39" s="19"/>
      <c r="MEY39" s="19"/>
      <c r="MEZ39" s="19"/>
      <c r="MFA39" s="19"/>
      <c r="MFB39" s="19"/>
      <c r="MFC39" s="19"/>
      <c r="MFD39" s="19"/>
      <c r="MFE39" s="19"/>
      <c r="MFF39" s="19"/>
      <c r="MFG39" s="19"/>
      <c r="MFH39" s="19"/>
      <c r="MFI39" s="19"/>
      <c r="MFJ39" s="19"/>
      <c r="MFK39" s="19"/>
      <c r="MFL39" s="19"/>
      <c r="MFM39" s="19"/>
      <c r="MFN39" s="19"/>
      <c r="MFO39" s="19"/>
      <c r="MFP39" s="19"/>
      <c r="MFQ39" s="19"/>
      <c r="MFR39" s="19"/>
      <c r="MFS39" s="19"/>
      <c r="MFT39" s="19"/>
      <c r="MFU39" s="19"/>
      <c r="MFV39" s="19"/>
      <c r="MFW39" s="19"/>
      <c r="MFX39" s="19"/>
      <c r="MFY39" s="19"/>
      <c r="MFZ39" s="19"/>
      <c r="MGA39" s="19"/>
      <c r="MGB39" s="19"/>
      <c r="MGC39" s="19"/>
      <c r="MGD39" s="19"/>
      <c r="MGE39" s="19"/>
      <c r="MGF39" s="19"/>
      <c r="MGG39" s="19"/>
      <c r="MGH39" s="19"/>
      <c r="MGI39" s="19"/>
      <c r="MGJ39" s="19"/>
      <c r="MGK39" s="19"/>
      <c r="MGL39" s="19"/>
      <c r="MGM39" s="19"/>
      <c r="MGN39" s="19"/>
      <c r="MGO39" s="19"/>
      <c r="MGP39" s="19"/>
      <c r="MGQ39" s="19"/>
      <c r="MGR39" s="19"/>
      <c r="MGS39" s="19"/>
      <c r="MGT39" s="19"/>
      <c r="MGU39" s="19"/>
      <c r="MGV39" s="19"/>
      <c r="MGW39" s="19"/>
      <c r="MGX39" s="19"/>
      <c r="MGY39" s="19"/>
      <c r="MGZ39" s="19"/>
      <c r="MHA39" s="19"/>
      <c r="MHB39" s="19"/>
      <c r="MHC39" s="19"/>
      <c r="MHD39" s="19"/>
      <c r="MHE39" s="19"/>
      <c r="MHF39" s="19"/>
      <c r="MHG39" s="19"/>
      <c r="MHH39" s="19"/>
      <c r="MHI39" s="19"/>
      <c r="MHJ39" s="19"/>
      <c r="MHK39" s="19"/>
      <c r="MHL39" s="19"/>
      <c r="MHM39" s="19"/>
      <c r="MHN39" s="19"/>
      <c r="MHO39" s="19"/>
      <c r="MHP39" s="19"/>
      <c r="MHQ39" s="19"/>
      <c r="MHR39" s="19"/>
      <c r="MHS39" s="19"/>
      <c r="MHT39" s="19"/>
      <c r="MHU39" s="19"/>
      <c r="MHV39" s="19"/>
      <c r="MHW39" s="19"/>
      <c r="MHX39" s="19"/>
      <c r="MHY39" s="19"/>
      <c r="MHZ39" s="19"/>
      <c r="MIA39" s="19"/>
      <c r="MIB39" s="19"/>
      <c r="MIC39" s="19"/>
      <c r="MID39" s="19"/>
      <c r="MIE39" s="19"/>
      <c r="MIF39" s="19"/>
      <c r="MIG39" s="19"/>
      <c r="MIH39" s="19"/>
      <c r="MII39" s="19"/>
      <c r="MIJ39" s="19"/>
      <c r="MIK39" s="19"/>
      <c r="MIL39" s="19"/>
      <c r="MIM39" s="19"/>
      <c r="MIN39" s="19"/>
      <c r="MIO39" s="19"/>
      <c r="MIP39" s="19"/>
      <c r="MIQ39" s="19"/>
      <c r="MIR39" s="19"/>
      <c r="MIS39" s="19"/>
      <c r="MIT39" s="19"/>
      <c r="MIU39" s="19"/>
      <c r="MIV39" s="19"/>
      <c r="MIW39" s="19"/>
      <c r="MIX39" s="19"/>
      <c r="MIY39" s="19"/>
      <c r="MIZ39" s="19"/>
      <c r="MJA39" s="19"/>
      <c r="MJB39" s="19"/>
      <c r="MJC39" s="19"/>
      <c r="MJD39" s="19"/>
      <c r="MJE39" s="19"/>
      <c r="MJF39" s="19"/>
      <c r="MJG39" s="19"/>
      <c r="MJH39" s="19"/>
      <c r="MJI39" s="19"/>
      <c r="MJJ39" s="19"/>
      <c r="MJK39" s="19"/>
      <c r="MJL39" s="19"/>
      <c r="MJM39" s="19"/>
      <c r="MJN39" s="19"/>
      <c r="MJO39" s="19"/>
      <c r="MJP39" s="19"/>
      <c r="MJQ39" s="19"/>
      <c r="MJR39" s="19"/>
      <c r="MJS39" s="19"/>
      <c r="MJT39" s="19"/>
      <c r="MJU39" s="19"/>
      <c r="MJV39" s="19"/>
      <c r="MJW39" s="19"/>
      <c r="MJX39" s="19"/>
      <c r="MJY39" s="19"/>
      <c r="MJZ39" s="19"/>
      <c r="MKA39" s="19"/>
      <c r="MKB39" s="19"/>
      <c r="MKC39" s="19"/>
      <c r="MKD39" s="19"/>
      <c r="MKE39" s="19"/>
      <c r="MKF39" s="19"/>
      <c r="MKG39" s="19"/>
      <c r="MKH39" s="19"/>
      <c r="MKI39" s="19"/>
      <c r="MKJ39" s="19"/>
      <c r="MKK39" s="19"/>
      <c r="MKL39" s="19"/>
      <c r="MKM39" s="19"/>
      <c r="MKN39" s="19"/>
      <c r="MKO39" s="19"/>
      <c r="MKP39" s="19"/>
      <c r="MKQ39" s="19"/>
      <c r="MKR39" s="19"/>
      <c r="MKS39" s="19"/>
      <c r="MKT39" s="19"/>
      <c r="MKU39" s="19"/>
      <c r="MKV39" s="19"/>
      <c r="MKW39" s="19"/>
      <c r="MKX39" s="19"/>
      <c r="MKY39" s="19"/>
      <c r="MKZ39" s="19"/>
      <c r="MLA39" s="19"/>
      <c r="MLB39" s="19"/>
      <c r="MLC39" s="19"/>
      <c r="MLD39" s="19"/>
      <c r="MLE39" s="19"/>
      <c r="MLF39" s="19"/>
      <c r="MLG39" s="19"/>
      <c r="MLH39" s="19"/>
      <c r="MLI39" s="19"/>
      <c r="MLJ39" s="19"/>
      <c r="MLK39" s="19"/>
      <c r="MLL39" s="19"/>
      <c r="MLM39" s="19"/>
      <c r="MLN39" s="19"/>
      <c r="MLO39" s="19"/>
      <c r="MLP39" s="19"/>
      <c r="MLQ39" s="19"/>
      <c r="MLR39" s="19"/>
      <c r="MLS39" s="19"/>
      <c r="MLT39" s="19"/>
      <c r="MLU39" s="19"/>
      <c r="MLV39" s="19"/>
      <c r="MLW39" s="19"/>
      <c r="MLX39" s="19"/>
      <c r="MLY39" s="19"/>
      <c r="MLZ39" s="19"/>
      <c r="MMA39" s="19"/>
      <c r="MMB39" s="19"/>
      <c r="MMC39" s="19"/>
      <c r="MMD39" s="19"/>
      <c r="MME39" s="19"/>
      <c r="MMF39" s="19"/>
      <c r="MMG39" s="19"/>
      <c r="MMH39" s="19"/>
      <c r="MMI39" s="19"/>
      <c r="MMJ39" s="19"/>
      <c r="MMK39" s="19"/>
      <c r="MML39" s="19"/>
      <c r="MMM39" s="19"/>
      <c r="MMN39" s="19"/>
      <c r="MMO39" s="19"/>
      <c r="MMP39" s="19"/>
      <c r="MMQ39" s="19"/>
      <c r="MMR39" s="19"/>
      <c r="MMS39" s="19"/>
      <c r="MMT39" s="19"/>
      <c r="MMU39" s="19"/>
      <c r="MMV39" s="19"/>
      <c r="MMW39" s="19"/>
      <c r="MMX39" s="19"/>
      <c r="MMY39" s="19"/>
      <c r="MMZ39" s="19"/>
      <c r="MNA39" s="19"/>
      <c r="MNB39" s="19"/>
      <c r="MNC39" s="19"/>
      <c r="MND39" s="19"/>
      <c r="MNE39" s="19"/>
      <c r="MNF39" s="19"/>
      <c r="MNG39" s="19"/>
      <c r="MNH39" s="19"/>
      <c r="MNI39" s="19"/>
      <c r="MNJ39" s="19"/>
      <c r="MNK39" s="19"/>
      <c r="MNL39" s="19"/>
      <c r="MNM39" s="19"/>
      <c r="MNN39" s="19"/>
      <c r="MNO39" s="19"/>
      <c r="MNP39" s="19"/>
      <c r="MNQ39" s="19"/>
      <c r="MNR39" s="19"/>
      <c r="MNS39" s="19"/>
      <c r="MNT39" s="19"/>
      <c r="MNU39" s="19"/>
      <c r="MNV39" s="19"/>
      <c r="MNW39" s="19"/>
      <c r="MNX39" s="19"/>
      <c r="MNY39" s="19"/>
      <c r="MNZ39" s="19"/>
      <c r="MOA39" s="19"/>
      <c r="MOB39" s="19"/>
      <c r="MOC39" s="19"/>
      <c r="MOD39" s="19"/>
      <c r="MOE39" s="19"/>
      <c r="MOF39" s="19"/>
      <c r="MOG39" s="19"/>
      <c r="MOH39" s="19"/>
      <c r="MOI39" s="19"/>
      <c r="MOJ39" s="19"/>
      <c r="MOK39" s="19"/>
      <c r="MOL39" s="19"/>
      <c r="MOM39" s="19"/>
      <c r="MON39" s="19"/>
      <c r="MOO39" s="19"/>
      <c r="MOP39" s="19"/>
      <c r="MOQ39" s="19"/>
      <c r="MOR39" s="19"/>
      <c r="MOS39" s="19"/>
      <c r="MOT39" s="19"/>
      <c r="MOU39" s="19"/>
      <c r="MOV39" s="19"/>
      <c r="MOW39" s="19"/>
      <c r="MOX39" s="19"/>
      <c r="MOY39" s="19"/>
      <c r="MOZ39" s="19"/>
      <c r="MPA39" s="19"/>
      <c r="MPB39" s="19"/>
      <c r="MPC39" s="19"/>
      <c r="MPD39" s="19"/>
      <c r="MPE39" s="19"/>
      <c r="MPF39" s="19"/>
      <c r="MPG39" s="19"/>
      <c r="MPH39" s="19"/>
      <c r="MPI39" s="19"/>
      <c r="MPJ39" s="19"/>
      <c r="MPK39" s="19"/>
      <c r="MPL39" s="19"/>
      <c r="MPM39" s="19"/>
      <c r="MPN39" s="19"/>
      <c r="MPO39" s="19"/>
      <c r="MPP39" s="19"/>
      <c r="MPQ39" s="19"/>
      <c r="MPR39" s="19"/>
      <c r="MPS39" s="19"/>
      <c r="MPT39" s="19"/>
      <c r="MPU39" s="19"/>
      <c r="MPV39" s="19"/>
      <c r="MPW39" s="19"/>
      <c r="MPX39" s="19"/>
      <c r="MPY39" s="19"/>
      <c r="MPZ39" s="19"/>
      <c r="MQA39" s="19"/>
      <c r="MQB39" s="19"/>
      <c r="MQC39" s="19"/>
      <c r="MQD39" s="19"/>
      <c r="MQE39" s="19"/>
      <c r="MQF39" s="19"/>
      <c r="MQG39" s="19"/>
      <c r="MQH39" s="19"/>
      <c r="MQI39" s="19"/>
      <c r="MQJ39" s="19"/>
      <c r="MQK39" s="19"/>
      <c r="MQL39" s="19"/>
      <c r="MQM39" s="19"/>
      <c r="MQN39" s="19"/>
      <c r="MQO39" s="19"/>
      <c r="MQP39" s="19"/>
      <c r="MQQ39" s="19"/>
      <c r="MQR39" s="19"/>
      <c r="MQS39" s="19"/>
      <c r="MQT39" s="19"/>
      <c r="MQU39" s="19"/>
      <c r="MQV39" s="19"/>
      <c r="MQW39" s="19"/>
      <c r="MQX39" s="19"/>
      <c r="MQY39" s="19"/>
      <c r="MQZ39" s="19"/>
      <c r="MRA39" s="19"/>
      <c r="MRB39" s="19"/>
      <c r="MRC39" s="19"/>
      <c r="MRD39" s="19"/>
      <c r="MRE39" s="19"/>
      <c r="MRF39" s="19"/>
      <c r="MRG39" s="19"/>
      <c r="MRH39" s="19"/>
      <c r="MRI39" s="19"/>
      <c r="MRJ39" s="19"/>
      <c r="MRK39" s="19"/>
      <c r="MRL39" s="19"/>
      <c r="MRM39" s="19"/>
      <c r="MRN39" s="19"/>
      <c r="MRO39" s="19"/>
      <c r="MRP39" s="19"/>
      <c r="MRQ39" s="19"/>
      <c r="MRR39" s="19"/>
      <c r="MRS39" s="19"/>
      <c r="MRT39" s="19"/>
      <c r="MRU39" s="19"/>
      <c r="MRV39" s="19"/>
      <c r="MRW39" s="19"/>
      <c r="MRX39" s="19"/>
      <c r="MRY39" s="19"/>
      <c r="MRZ39" s="19"/>
      <c r="MSA39" s="19"/>
      <c r="MSB39" s="19"/>
      <c r="MSC39" s="19"/>
      <c r="MSD39" s="19"/>
      <c r="MSE39" s="19"/>
      <c r="MSF39" s="19"/>
      <c r="MSG39" s="19"/>
      <c r="MSH39" s="19"/>
      <c r="MSI39" s="19"/>
      <c r="MSJ39" s="19"/>
      <c r="MSK39" s="19"/>
      <c r="MSL39" s="19"/>
      <c r="MSM39" s="19"/>
      <c r="MSN39" s="19"/>
      <c r="MSO39" s="19"/>
      <c r="MSP39" s="19"/>
      <c r="MSQ39" s="19"/>
      <c r="MSR39" s="19"/>
      <c r="MSS39" s="19"/>
      <c r="MST39" s="19"/>
      <c r="MSU39" s="19"/>
      <c r="MSV39" s="19"/>
      <c r="MSW39" s="19"/>
      <c r="MSX39" s="19"/>
      <c r="MSY39" s="19"/>
      <c r="MSZ39" s="19"/>
      <c r="MTA39" s="19"/>
      <c r="MTB39" s="19"/>
      <c r="MTC39" s="19"/>
      <c r="MTD39" s="19"/>
      <c r="MTE39" s="19"/>
      <c r="MTF39" s="19"/>
      <c r="MTG39" s="19"/>
      <c r="MTH39" s="19"/>
      <c r="MTI39" s="19"/>
      <c r="MTJ39" s="19"/>
      <c r="MTK39" s="19"/>
      <c r="MTL39" s="19"/>
      <c r="MTM39" s="19"/>
      <c r="MTN39" s="19"/>
      <c r="MTO39" s="19"/>
      <c r="MTP39" s="19"/>
      <c r="MTQ39" s="19"/>
      <c r="MTR39" s="19"/>
      <c r="MTS39" s="19"/>
      <c r="MTT39" s="19"/>
      <c r="MTU39" s="19"/>
      <c r="MTV39" s="19"/>
      <c r="MTW39" s="19"/>
      <c r="MTX39" s="19"/>
      <c r="MTY39" s="19"/>
      <c r="MTZ39" s="19"/>
      <c r="MUA39" s="19"/>
      <c r="MUB39" s="19"/>
      <c r="MUC39" s="19"/>
      <c r="MUD39" s="19"/>
      <c r="MUE39" s="19"/>
      <c r="MUF39" s="19"/>
      <c r="MUG39" s="19"/>
      <c r="MUH39" s="19"/>
      <c r="MUI39" s="19"/>
      <c r="MUJ39" s="19"/>
      <c r="MUK39" s="19"/>
      <c r="MUL39" s="19"/>
      <c r="MUM39" s="19"/>
      <c r="MUN39" s="19"/>
      <c r="MUO39" s="19"/>
      <c r="MUP39" s="19"/>
      <c r="MUQ39" s="19"/>
      <c r="MUR39" s="19"/>
      <c r="MUS39" s="19"/>
      <c r="MUT39" s="19"/>
      <c r="MUU39" s="19"/>
      <c r="MUV39" s="19"/>
      <c r="MUW39" s="19"/>
      <c r="MUX39" s="19"/>
      <c r="MUY39" s="19"/>
      <c r="MUZ39" s="19"/>
      <c r="MVA39" s="19"/>
      <c r="MVB39" s="19"/>
      <c r="MVC39" s="19"/>
      <c r="MVD39" s="19"/>
      <c r="MVE39" s="19"/>
      <c r="MVF39" s="19"/>
      <c r="MVG39" s="19"/>
      <c r="MVH39" s="19"/>
      <c r="MVI39" s="19"/>
      <c r="MVJ39" s="19"/>
      <c r="MVK39" s="19"/>
      <c r="MVL39" s="19"/>
      <c r="MVM39" s="19"/>
      <c r="MVN39" s="19"/>
      <c r="MVO39" s="19"/>
      <c r="MVP39" s="19"/>
      <c r="MVQ39" s="19"/>
      <c r="MVR39" s="19"/>
      <c r="MVS39" s="19"/>
      <c r="MVT39" s="19"/>
      <c r="MVU39" s="19"/>
      <c r="MVV39" s="19"/>
      <c r="MVW39" s="19"/>
      <c r="MVX39" s="19"/>
      <c r="MVY39" s="19"/>
      <c r="MVZ39" s="19"/>
      <c r="MWA39" s="19"/>
      <c r="MWB39" s="19"/>
      <c r="MWC39" s="19"/>
      <c r="MWD39" s="19"/>
      <c r="MWE39" s="19"/>
      <c r="MWF39" s="19"/>
      <c r="MWG39" s="19"/>
      <c r="MWH39" s="19"/>
      <c r="MWI39" s="19"/>
      <c r="MWJ39" s="19"/>
      <c r="MWK39" s="19"/>
      <c r="MWL39" s="19"/>
      <c r="MWM39" s="19"/>
      <c r="MWN39" s="19"/>
      <c r="MWO39" s="19"/>
      <c r="MWP39" s="19"/>
      <c r="MWQ39" s="19"/>
      <c r="MWR39" s="19"/>
      <c r="MWS39" s="19"/>
      <c r="MWT39" s="19"/>
      <c r="MWU39" s="19"/>
      <c r="MWV39" s="19"/>
      <c r="MWW39" s="19"/>
      <c r="MWX39" s="19"/>
      <c r="MWY39" s="19"/>
      <c r="MWZ39" s="19"/>
      <c r="MXA39" s="19"/>
      <c r="MXB39" s="19"/>
      <c r="MXC39" s="19"/>
      <c r="MXD39" s="19"/>
      <c r="MXE39" s="19"/>
      <c r="MXF39" s="19"/>
      <c r="MXG39" s="19"/>
      <c r="MXH39" s="19"/>
      <c r="MXI39" s="19"/>
      <c r="MXJ39" s="19"/>
      <c r="MXK39" s="19"/>
      <c r="MXL39" s="19"/>
      <c r="MXM39" s="19"/>
      <c r="MXN39" s="19"/>
      <c r="MXO39" s="19"/>
      <c r="MXP39" s="19"/>
      <c r="MXQ39" s="19"/>
      <c r="MXR39" s="19"/>
      <c r="MXS39" s="19"/>
      <c r="MXT39" s="19"/>
      <c r="MXU39" s="19"/>
      <c r="MXV39" s="19"/>
      <c r="MXW39" s="19"/>
      <c r="MXX39" s="19"/>
      <c r="MXY39" s="19"/>
      <c r="MXZ39" s="19"/>
      <c r="MYA39" s="19"/>
      <c r="MYB39" s="19"/>
      <c r="MYC39" s="19"/>
      <c r="MYD39" s="19"/>
      <c r="MYE39" s="19"/>
      <c r="MYF39" s="19"/>
      <c r="MYG39" s="19"/>
      <c r="MYH39" s="19"/>
      <c r="MYI39" s="19"/>
      <c r="MYJ39" s="19"/>
      <c r="MYK39" s="19"/>
      <c r="MYL39" s="19"/>
      <c r="MYM39" s="19"/>
      <c r="MYN39" s="19"/>
      <c r="MYO39" s="19"/>
      <c r="MYP39" s="19"/>
      <c r="MYQ39" s="19"/>
      <c r="MYR39" s="19"/>
      <c r="MYS39" s="19"/>
      <c r="MYT39" s="19"/>
      <c r="MYU39" s="19"/>
      <c r="MYV39" s="19"/>
      <c r="MYW39" s="19"/>
      <c r="MYX39" s="19"/>
      <c r="MYY39" s="19"/>
      <c r="MYZ39" s="19"/>
      <c r="MZA39" s="19"/>
      <c r="MZB39" s="19"/>
      <c r="MZC39" s="19"/>
      <c r="MZD39" s="19"/>
      <c r="MZE39" s="19"/>
      <c r="MZF39" s="19"/>
      <c r="MZG39" s="19"/>
      <c r="MZH39" s="19"/>
      <c r="MZI39" s="19"/>
      <c r="MZJ39" s="19"/>
      <c r="MZK39" s="19"/>
      <c r="MZL39" s="19"/>
      <c r="MZM39" s="19"/>
      <c r="MZN39" s="19"/>
      <c r="MZO39" s="19"/>
      <c r="MZP39" s="19"/>
      <c r="MZQ39" s="19"/>
      <c r="MZR39" s="19"/>
      <c r="MZS39" s="19"/>
      <c r="MZT39" s="19"/>
      <c r="MZU39" s="19"/>
      <c r="MZV39" s="19"/>
      <c r="MZW39" s="19"/>
      <c r="MZX39" s="19"/>
      <c r="MZY39" s="19"/>
      <c r="MZZ39" s="19"/>
      <c r="NAA39" s="19"/>
      <c r="NAB39" s="19"/>
      <c r="NAC39" s="19"/>
      <c r="NAD39" s="19"/>
      <c r="NAE39" s="19"/>
      <c r="NAF39" s="19"/>
      <c r="NAG39" s="19"/>
      <c r="NAH39" s="19"/>
      <c r="NAI39" s="19"/>
      <c r="NAJ39" s="19"/>
      <c r="NAK39" s="19"/>
      <c r="NAL39" s="19"/>
      <c r="NAM39" s="19"/>
      <c r="NAN39" s="19"/>
      <c r="NAO39" s="19"/>
      <c r="NAP39" s="19"/>
      <c r="NAQ39" s="19"/>
      <c r="NAR39" s="19"/>
      <c r="NAS39" s="19"/>
      <c r="NAT39" s="19"/>
      <c r="NAU39" s="19"/>
      <c r="NAV39" s="19"/>
      <c r="NAW39" s="19"/>
      <c r="NAX39" s="19"/>
      <c r="NAY39" s="19"/>
      <c r="NAZ39" s="19"/>
      <c r="NBA39" s="19"/>
      <c r="NBB39" s="19"/>
      <c r="NBC39" s="19"/>
      <c r="NBD39" s="19"/>
      <c r="NBE39" s="19"/>
      <c r="NBF39" s="19"/>
      <c r="NBG39" s="19"/>
      <c r="NBH39" s="19"/>
      <c r="NBI39" s="19"/>
      <c r="NBJ39" s="19"/>
      <c r="NBK39" s="19"/>
      <c r="NBL39" s="19"/>
      <c r="NBM39" s="19"/>
      <c r="NBN39" s="19"/>
      <c r="NBO39" s="19"/>
      <c r="NBP39" s="19"/>
      <c r="NBQ39" s="19"/>
      <c r="NBR39" s="19"/>
      <c r="NBS39" s="19"/>
      <c r="NBT39" s="19"/>
      <c r="NBU39" s="19"/>
      <c r="NBV39" s="19"/>
      <c r="NBW39" s="19"/>
      <c r="NBX39" s="19"/>
      <c r="NBY39" s="19"/>
      <c r="NBZ39" s="19"/>
      <c r="NCA39" s="19"/>
      <c r="NCB39" s="19"/>
      <c r="NCC39" s="19"/>
      <c r="NCD39" s="19"/>
      <c r="NCE39" s="19"/>
      <c r="NCF39" s="19"/>
      <c r="NCG39" s="19"/>
      <c r="NCH39" s="19"/>
      <c r="NCI39" s="19"/>
      <c r="NCJ39" s="19"/>
      <c r="NCK39" s="19"/>
      <c r="NCL39" s="19"/>
      <c r="NCM39" s="19"/>
      <c r="NCN39" s="19"/>
      <c r="NCO39" s="19"/>
      <c r="NCP39" s="19"/>
      <c r="NCQ39" s="19"/>
      <c r="NCR39" s="19"/>
      <c r="NCS39" s="19"/>
      <c r="NCT39" s="19"/>
      <c r="NCU39" s="19"/>
      <c r="NCV39" s="19"/>
      <c r="NCW39" s="19"/>
      <c r="NCX39" s="19"/>
      <c r="NCY39" s="19"/>
      <c r="NCZ39" s="19"/>
      <c r="NDA39" s="19"/>
      <c r="NDB39" s="19"/>
      <c r="NDC39" s="19"/>
      <c r="NDD39" s="19"/>
      <c r="NDE39" s="19"/>
      <c r="NDF39" s="19"/>
      <c r="NDG39" s="19"/>
      <c r="NDH39" s="19"/>
      <c r="NDI39" s="19"/>
      <c r="NDJ39" s="19"/>
      <c r="NDK39" s="19"/>
      <c r="NDL39" s="19"/>
      <c r="NDM39" s="19"/>
      <c r="NDN39" s="19"/>
      <c r="NDO39" s="19"/>
      <c r="NDP39" s="19"/>
      <c r="NDQ39" s="19"/>
      <c r="NDR39" s="19"/>
      <c r="NDS39" s="19"/>
      <c r="NDT39" s="19"/>
      <c r="NDU39" s="19"/>
      <c r="NDV39" s="19"/>
      <c r="NDW39" s="19"/>
      <c r="NDX39" s="19"/>
      <c r="NDY39" s="19"/>
      <c r="NDZ39" s="19"/>
      <c r="NEA39" s="19"/>
      <c r="NEB39" s="19"/>
      <c r="NEC39" s="19"/>
      <c r="NED39" s="19"/>
      <c r="NEE39" s="19"/>
      <c r="NEF39" s="19"/>
      <c r="NEG39" s="19"/>
      <c r="NEH39" s="19"/>
      <c r="NEI39" s="19"/>
      <c r="NEJ39" s="19"/>
      <c r="NEK39" s="19"/>
      <c r="NEL39" s="19"/>
      <c r="NEM39" s="19"/>
      <c r="NEN39" s="19"/>
      <c r="NEO39" s="19"/>
      <c r="NEP39" s="19"/>
      <c r="NEQ39" s="19"/>
      <c r="NER39" s="19"/>
      <c r="NES39" s="19"/>
      <c r="NET39" s="19"/>
      <c r="NEU39" s="19"/>
      <c r="NEV39" s="19"/>
      <c r="NEW39" s="19"/>
      <c r="NEX39" s="19"/>
      <c r="NEY39" s="19"/>
      <c r="NEZ39" s="19"/>
      <c r="NFA39" s="19"/>
      <c r="NFB39" s="19"/>
      <c r="NFC39" s="19"/>
      <c r="NFD39" s="19"/>
      <c r="NFE39" s="19"/>
      <c r="NFF39" s="19"/>
      <c r="NFG39" s="19"/>
      <c r="NFH39" s="19"/>
      <c r="NFI39" s="19"/>
      <c r="NFJ39" s="19"/>
      <c r="NFK39" s="19"/>
      <c r="NFL39" s="19"/>
      <c r="NFM39" s="19"/>
      <c r="NFN39" s="19"/>
      <c r="NFO39" s="19"/>
      <c r="NFP39" s="19"/>
      <c r="NFQ39" s="19"/>
      <c r="NFR39" s="19"/>
      <c r="NFS39" s="19"/>
      <c r="NFT39" s="19"/>
      <c r="NFU39" s="19"/>
      <c r="NFV39" s="19"/>
      <c r="NFW39" s="19"/>
      <c r="NFX39" s="19"/>
      <c r="NFY39" s="19"/>
      <c r="NFZ39" s="19"/>
      <c r="NGA39" s="19"/>
      <c r="NGB39" s="19"/>
      <c r="NGC39" s="19"/>
      <c r="NGD39" s="19"/>
      <c r="NGE39" s="19"/>
      <c r="NGF39" s="19"/>
      <c r="NGG39" s="19"/>
      <c r="NGH39" s="19"/>
      <c r="NGI39" s="19"/>
      <c r="NGJ39" s="19"/>
      <c r="NGK39" s="19"/>
      <c r="NGL39" s="19"/>
      <c r="NGM39" s="19"/>
      <c r="NGN39" s="19"/>
      <c r="NGO39" s="19"/>
      <c r="NGP39" s="19"/>
      <c r="NGQ39" s="19"/>
      <c r="NGR39" s="19"/>
      <c r="NGS39" s="19"/>
      <c r="NGT39" s="19"/>
      <c r="NGU39" s="19"/>
      <c r="NGV39" s="19"/>
      <c r="NGW39" s="19"/>
      <c r="NGX39" s="19"/>
      <c r="NGY39" s="19"/>
      <c r="NGZ39" s="19"/>
      <c r="NHA39" s="19"/>
      <c r="NHB39" s="19"/>
      <c r="NHC39" s="19"/>
      <c r="NHD39" s="19"/>
      <c r="NHE39" s="19"/>
      <c r="NHF39" s="19"/>
      <c r="NHG39" s="19"/>
      <c r="NHH39" s="19"/>
      <c r="NHI39" s="19"/>
      <c r="NHJ39" s="19"/>
      <c r="NHK39" s="19"/>
      <c r="NHL39" s="19"/>
      <c r="NHM39" s="19"/>
      <c r="NHN39" s="19"/>
      <c r="NHO39" s="19"/>
      <c r="NHP39" s="19"/>
      <c r="NHQ39" s="19"/>
      <c r="NHR39" s="19"/>
      <c r="NHS39" s="19"/>
      <c r="NHT39" s="19"/>
      <c r="NHU39" s="19"/>
      <c r="NHV39" s="19"/>
      <c r="NHW39" s="19"/>
      <c r="NHX39" s="19"/>
      <c r="NHY39" s="19"/>
      <c r="NHZ39" s="19"/>
      <c r="NIA39" s="19"/>
      <c r="NIB39" s="19"/>
      <c r="NIC39" s="19"/>
      <c r="NID39" s="19"/>
      <c r="NIE39" s="19"/>
      <c r="NIF39" s="19"/>
      <c r="NIG39" s="19"/>
      <c r="NIH39" s="19"/>
      <c r="NII39" s="19"/>
      <c r="NIJ39" s="19"/>
      <c r="NIK39" s="19"/>
      <c r="NIL39" s="19"/>
      <c r="NIM39" s="19"/>
      <c r="NIN39" s="19"/>
      <c r="NIO39" s="19"/>
      <c r="NIP39" s="19"/>
      <c r="NIQ39" s="19"/>
      <c r="NIR39" s="19"/>
      <c r="NIS39" s="19"/>
      <c r="NIT39" s="19"/>
      <c r="NIU39" s="19"/>
      <c r="NIV39" s="19"/>
      <c r="NIW39" s="19"/>
      <c r="NIX39" s="19"/>
      <c r="NIY39" s="19"/>
      <c r="NIZ39" s="19"/>
      <c r="NJA39" s="19"/>
      <c r="NJB39" s="19"/>
      <c r="NJC39" s="19"/>
      <c r="NJD39" s="19"/>
      <c r="NJE39" s="19"/>
      <c r="NJF39" s="19"/>
      <c r="NJG39" s="19"/>
      <c r="NJH39" s="19"/>
      <c r="NJI39" s="19"/>
      <c r="NJJ39" s="19"/>
      <c r="NJK39" s="19"/>
      <c r="NJL39" s="19"/>
      <c r="NJM39" s="19"/>
      <c r="NJN39" s="19"/>
      <c r="NJO39" s="19"/>
      <c r="NJP39" s="19"/>
      <c r="NJQ39" s="19"/>
      <c r="NJR39" s="19"/>
      <c r="NJS39" s="19"/>
      <c r="NJT39" s="19"/>
      <c r="NJU39" s="19"/>
      <c r="NJV39" s="19"/>
      <c r="NJW39" s="19"/>
      <c r="NJX39" s="19"/>
      <c r="NJY39" s="19"/>
      <c r="NJZ39" s="19"/>
      <c r="NKA39" s="19"/>
      <c r="NKB39" s="19"/>
      <c r="NKC39" s="19"/>
      <c r="NKD39" s="19"/>
      <c r="NKE39" s="19"/>
      <c r="NKF39" s="19"/>
      <c r="NKG39" s="19"/>
      <c r="NKH39" s="19"/>
      <c r="NKI39" s="19"/>
      <c r="NKJ39" s="19"/>
      <c r="NKK39" s="19"/>
      <c r="NKL39" s="19"/>
      <c r="NKM39" s="19"/>
      <c r="NKN39" s="19"/>
      <c r="NKO39" s="19"/>
      <c r="NKP39" s="19"/>
      <c r="NKQ39" s="19"/>
      <c r="NKR39" s="19"/>
      <c r="NKS39" s="19"/>
      <c r="NKT39" s="19"/>
      <c r="NKU39" s="19"/>
      <c r="NKV39" s="19"/>
      <c r="NKW39" s="19"/>
      <c r="NKX39" s="19"/>
      <c r="NKY39" s="19"/>
      <c r="NKZ39" s="19"/>
      <c r="NLA39" s="19"/>
      <c r="NLB39" s="19"/>
      <c r="NLC39" s="19"/>
      <c r="NLD39" s="19"/>
      <c r="NLE39" s="19"/>
      <c r="NLF39" s="19"/>
      <c r="NLG39" s="19"/>
      <c r="NLH39" s="19"/>
      <c r="NLI39" s="19"/>
      <c r="NLJ39" s="19"/>
      <c r="NLK39" s="19"/>
      <c r="NLL39" s="19"/>
      <c r="NLM39" s="19"/>
      <c r="NLN39" s="19"/>
      <c r="NLO39" s="19"/>
      <c r="NLP39" s="19"/>
      <c r="NLQ39" s="19"/>
      <c r="NLR39" s="19"/>
      <c r="NLS39" s="19"/>
      <c r="NLT39" s="19"/>
      <c r="NLU39" s="19"/>
      <c r="NLV39" s="19"/>
      <c r="NLW39" s="19"/>
      <c r="NLX39" s="19"/>
      <c r="NLY39" s="19"/>
      <c r="NLZ39" s="19"/>
      <c r="NMA39" s="19"/>
      <c r="NMB39" s="19"/>
      <c r="NMC39" s="19"/>
      <c r="NMD39" s="19"/>
      <c r="NME39" s="19"/>
      <c r="NMF39" s="19"/>
      <c r="NMG39" s="19"/>
      <c r="NMH39" s="19"/>
      <c r="NMI39" s="19"/>
      <c r="NMJ39" s="19"/>
      <c r="NMK39" s="19"/>
      <c r="NML39" s="19"/>
      <c r="NMM39" s="19"/>
      <c r="NMN39" s="19"/>
      <c r="NMO39" s="19"/>
      <c r="NMP39" s="19"/>
      <c r="NMQ39" s="19"/>
      <c r="NMR39" s="19"/>
      <c r="NMS39" s="19"/>
      <c r="NMT39" s="19"/>
      <c r="NMU39" s="19"/>
      <c r="NMV39" s="19"/>
      <c r="NMW39" s="19"/>
      <c r="NMX39" s="19"/>
      <c r="NMY39" s="19"/>
      <c r="NMZ39" s="19"/>
      <c r="NNA39" s="19"/>
      <c r="NNB39" s="19"/>
      <c r="NNC39" s="19"/>
      <c r="NND39" s="19"/>
      <c r="NNE39" s="19"/>
      <c r="NNF39" s="19"/>
      <c r="NNG39" s="19"/>
      <c r="NNH39" s="19"/>
      <c r="NNI39" s="19"/>
      <c r="NNJ39" s="19"/>
      <c r="NNK39" s="19"/>
      <c r="NNL39" s="19"/>
      <c r="NNM39" s="19"/>
      <c r="NNN39" s="19"/>
      <c r="NNO39" s="19"/>
      <c r="NNP39" s="19"/>
      <c r="NNQ39" s="19"/>
      <c r="NNR39" s="19"/>
      <c r="NNS39" s="19"/>
      <c r="NNT39" s="19"/>
      <c r="NNU39" s="19"/>
      <c r="NNV39" s="19"/>
      <c r="NNW39" s="19"/>
      <c r="NNX39" s="19"/>
      <c r="NNY39" s="19"/>
      <c r="NNZ39" s="19"/>
      <c r="NOA39" s="19"/>
      <c r="NOB39" s="19"/>
      <c r="NOC39" s="19"/>
      <c r="NOD39" s="19"/>
      <c r="NOE39" s="19"/>
      <c r="NOF39" s="19"/>
      <c r="NOG39" s="19"/>
      <c r="NOH39" s="19"/>
      <c r="NOI39" s="19"/>
      <c r="NOJ39" s="19"/>
      <c r="NOK39" s="19"/>
      <c r="NOL39" s="19"/>
      <c r="NOM39" s="19"/>
      <c r="NON39" s="19"/>
      <c r="NOO39" s="19"/>
      <c r="NOP39" s="19"/>
      <c r="NOQ39" s="19"/>
      <c r="NOR39" s="19"/>
      <c r="NOS39" s="19"/>
      <c r="NOT39" s="19"/>
      <c r="NOU39" s="19"/>
      <c r="NOV39" s="19"/>
      <c r="NOW39" s="19"/>
      <c r="NOX39" s="19"/>
      <c r="NOY39" s="19"/>
      <c r="NOZ39" s="19"/>
      <c r="NPA39" s="19"/>
      <c r="NPB39" s="19"/>
      <c r="NPC39" s="19"/>
      <c r="NPD39" s="19"/>
      <c r="NPE39" s="19"/>
      <c r="NPF39" s="19"/>
      <c r="NPG39" s="19"/>
      <c r="NPH39" s="19"/>
      <c r="NPI39" s="19"/>
      <c r="NPJ39" s="19"/>
      <c r="NPK39" s="19"/>
      <c r="NPL39" s="19"/>
      <c r="NPM39" s="19"/>
      <c r="NPN39" s="19"/>
      <c r="NPO39" s="19"/>
      <c r="NPP39" s="19"/>
      <c r="NPQ39" s="19"/>
      <c r="NPR39" s="19"/>
      <c r="NPS39" s="19"/>
      <c r="NPT39" s="19"/>
      <c r="NPU39" s="19"/>
      <c r="NPV39" s="19"/>
      <c r="NPW39" s="19"/>
      <c r="NPX39" s="19"/>
      <c r="NPY39" s="19"/>
      <c r="NPZ39" s="19"/>
      <c r="NQA39" s="19"/>
      <c r="NQB39" s="19"/>
      <c r="NQC39" s="19"/>
      <c r="NQD39" s="19"/>
      <c r="NQE39" s="19"/>
      <c r="NQF39" s="19"/>
      <c r="NQG39" s="19"/>
      <c r="NQH39" s="19"/>
      <c r="NQI39" s="19"/>
      <c r="NQJ39" s="19"/>
      <c r="NQK39" s="19"/>
      <c r="NQL39" s="19"/>
      <c r="NQM39" s="19"/>
      <c r="NQN39" s="19"/>
      <c r="NQO39" s="19"/>
      <c r="NQP39" s="19"/>
      <c r="NQQ39" s="19"/>
      <c r="NQR39" s="19"/>
      <c r="NQS39" s="19"/>
      <c r="NQT39" s="19"/>
      <c r="NQU39" s="19"/>
      <c r="NQV39" s="19"/>
      <c r="NQW39" s="19"/>
      <c r="NQX39" s="19"/>
      <c r="NQY39" s="19"/>
      <c r="NQZ39" s="19"/>
      <c r="NRA39" s="19"/>
      <c r="NRB39" s="19"/>
      <c r="NRC39" s="19"/>
      <c r="NRD39" s="19"/>
      <c r="NRE39" s="19"/>
      <c r="NRF39" s="19"/>
      <c r="NRG39" s="19"/>
      <c r="NRH39" s="19"/>
      <c r="NRI39" s="19"/>
      <c r="NRJ39" s="19"/>
      <c r="NRK39" s="19"/>
      <c r="NRL39" s="19"/>
      <c r="NRM39" s="19"/>
      <c r="NRN39" s="19"/>
      <c r="NRO39" s="19"/>
      <c r="NRP39" s="19"/>
      <c r="NRQ39" s="19"/>
      <c r="NRR39" s="19"/>
      <c r="NRS39" s="19"/>
      <c r="NRT39" s="19"/>
      <c r="NRU39" s="19"/>
      <c r="NRV39" s="19"/>
      <c r="NRW39" s="19"/>
      <c r="NRX39" s="19"/>
      <c r="NRY39" s="19"/>
      <c r="NRZ39" s="19"/>
      <c r="NSA39" s="19"/>
      <c r="NSB39" s="19"/>
      <c r="NSC39" s="19"/>
      <c r="NSD39" s="19"/>
      <c r="NSE39" s="19"/>
      <c r="NSF39" s="19"/>
      <c r="NSG39" s="19"/>
      <c r="NSH39" s="19"/>
      <c r="NSI39" s="19"/>
      <c r="NSJ39" s="19"/>
      <c r="NSK39" s="19"/>
      <c r="NSL39" s="19"/>
      <c r="NSM39" s="19"/>
      <c r="NSN39" s="19"/>
      <c r="NSO39" s="19"/>
      <c r="NSP39" s="19"/>
      <c r="NSQ39" s="19"/>
      <c r="NSR39" s="19"/>
      <c r="NSS39" s="19"/>
      <c r="NST39" s="19"/>
      <c r="NSU39" s="19"/>
      <c r="NSV39" s="19"/>
      <c r="NSW39" s="19"/>
      <c r="NSX39" s="19"/>
      <c r="NSY39" s="19"/>
      <c r="NSZ39" s="19"/>
      <c r="NTA39" s="19"/>
      <c r="NTB39" s="19"/>
      <c r="NTC39" s="19"/>
      <c r="NTD39" s="19"/>
      <c r="NTE39" s="19"/>
      <c r="NTF39" s="19"/>
      <c r="NTG39" s="19"/>
      <c r="NTH39" s="19"/>
      <c r="NTI39" s="19"/>
      <c r="NTJ39" s="19"/>
      <c r="NTK39" s="19"/>
      <c r="NTL39" s="19"/>
      <c r="NTM39" s="19"/>
      <c r="NTN39" s="19"/>
      <c r="NTO39" s="19"/>
      <c r="NTP39" s="19"/>
      <c r="NTQ39" s="19"/>
      <c r="NTR39" s="19"/>
      <c r="NTS39" s="19"/>
      <c r="NTT39" s="19"/>
      <c r="NTU39" s="19"/>
      <c r="NTV39" s="19"/>
      <c r="NTW39" s="19"/>
      <c r="NTX39" s="19"/>
      <c r="NTY39" s="19"/>
      <c r="NTZ39" s="19"/>
      <c r="NUA39" s="19"/>
      <c r="NUB39" s="19"/>
      <c r="NUC39" s="19"/>
      <c r="NUD39" s="19"/>
      <c r="NUE39" s="19"/>
      <c r="NUF39" s="19"/>
      <c r="NUG39" s="19"/>
      <c r="NUH39" s="19"/>
      <c r="NUI39" s="19"/>
      <c r="NUJ39" s="19"/>
      <c r="NUK39" s="19"/>
      <c r="NUL39" s="19"/>
      <c r="NUM39" s="19"/>
      <c r="NUN39" s="19"/>
      <c r="NUO39" s="19"/>
      <c r="NUP39" s="19"/>
      <c r="NUQ39" s="19"/>
      <c r="NUR39" s="19"/>
      <c r="NUS39" s="19"/>
      <c r="NUT39" s="19"/>
      <c r="NUU39" s="19"/>
      <c r="NUV39" s="19"/>
      <c r="NUW39" s="19"/>
      <c r="NUX39" s="19"/>
      <c r="NUY39" s="19"/>
      <c r="NUZ39" s="19"/>
      <c r="NVA39" s="19"/>
      <c r="NVB39" s="19"/>
      <c r="NVC39" s="19"/>
      <c r="NVD39" s="19"/>
      <c r="NVE39" s="19"/>
      <c r="NVF39" s="19"/>
      <c r="NVG39" s="19"/>
      <c r="NVH39" s="19"/>
      <c r="NVI39" s="19"/>
      <c r="NVJ39" s="19"/>
      <c r="NVK39" s="19"/>
      <c r="NVL39" s="19"/>
      <c r="NVM39" s="19"/>
      <c r="NVN39" s="19"/>
      <c r="NVO39" s="19"/>
      <c r="NVP39" s="19"/>
      <c r="NVQ39" s="19"/>
      <c r="NVR39" s="19"/>
      <c r="NVS39" s="19"/>
      <c r="NVT39" s="19"/>
      <c r="NVU39" s="19"/>
      <c r="NVV39" s="19"/>
      <c r="NVW39" s="19"/>
      <c r="NVX39" s="19"/>
      <c r="NVY39" s="19"/>
      <c r="NVZ39" s="19"/>
      <c r="NWA39" s="19"/>
      <c r="NWB39" s="19"/>
      <c r="NWC39" s="19"/>
      <c r="NWD39" s="19"/>
      <c r="NWE39" s="19"/>
      <c r="NWF39" s="19"/>
      <c r="NWG39" s="19"/>
      <c r="NWH39" s="19"/>
      <c r="NWI39" s="19"/>
      <c r="NWJ39" s="19"/>
      <c r="NWK39" s="19"/>
      <c r="NWL39" s="19"/>
      <c r="NWM39" s="19"/>
      <c r="NWN39" s="19"/>
      <c r="NWO39" s="19"/>
      <c r="NWP39" s="19"/>
      <c r="NWQ39" s="19"/>
      <c r="NWR39" s="19"/>
      <c r="NWS39" s="19"/>
      <c r="NWT39" s="19"/>
      <c r="NWU39" s="19"/>
      <c r="NWV39" s="19"/>
      <c r="NWW39" s="19"/>
      <c r="NWX39" s="19"/>
      <c r="NWY39" s="19"/>
      <c r="NWZ39" s="19"/>
      <c r="NXA39" s="19"/>
      <c r="NXB39" s="19"/>
      <c r="NXC39" s="19"/>
      <c r="NXD39" s="19"/>
      <c r="NXE39" s="19"/>
      <c r="NXF39" s="19"/>
      <c r="NXG39" s="19"/>
      <c r="NXH39" s="19"/>
      <c r="NXI39" s="19"/>
      <c r="NXJ39" s="19"/>
      <c r="NXK39" s="19"/>
      <c r="NXL39" s="19"/>
      <c r="NXM39" s="19"/>
      <c r="NXN39" s="19"/>
      <c r="NXO39" s="19"/>
      <c r="NXP39" s="19"/>
      <c r="NXQ39" s="19"/>
      <c r="NXR39" s="19"/>
      <c r="NXS39" s="19"/>
      <c r="NXT39" s="19"/>
      <c r="NXU39" s="19"/>
      <c r="NXV39" s="19"/>
      <c r="NXW39" s="19"/>
      <c r="NXX39" s="19"/>
      <c r="NXY39" s="19"/>
      <c r="NXZ39" s="19"/>
      <c r="NYA39" s="19"/>
      <c r="NYB39" s="19"/>
      <c r="NYC39" s="19"/>
      <c r="NYD39" s="19"/>
      <c r="NYE39" s="19"/>
      <c r="NYF39" s="19"/>
      <c r="NYG39" s="19"/>
      <c r="NYH39" s="19"/>
      <c r="NYI39" s="19"/>
      <c r="NYJ39" s="19"/>
      <c r="NYK39" s="19"/>
      <c r="NYL39" s="19"/>
      <c r="NYM39" s="19"/>
      <c r="NYN39" s="19"/>
      <c r="NYO39" s="19"/>
      <c r="NYP39" s="19"/>
      <c r="NYQ39" s="19"/>
      <c r="NYR39" s="19"/>
      <c r="NYS39" s="19"/>
      <c r="NYT39" s="19"/>
      <c r="NYU39" s="19"/>
      <c r="NYV39" s="19"/>
      <c r="NYW39" s="19"/>
      <c r="NYX39" s="19"/>
      <c r="NYY39" s="19"/>
      <c r="NYZ39" s="19"/>
      <c r="NZA39" s="19"/>
      <c r="NZB39" s="19"/>
      <c r="NZC39" s="19"/>
      <c r="NZD39" s="19"/>
      <c r="NZE39" s="19"/>
      <c r="NZF39" s="19"/>
      <c r="NZG39" s="19"/>
      <c r="NZH39" s="19"/>
      <c r="NZI39" s="19"/>
      <c r="NZJ39" s="19"/>
      <c r="NZK39" s="19"/>
      <c r="NZL39" s="19"/>
      <c r="NZM39" s="19"/>
      <c r="NZN39" s="19"/>
      <c r="NZO39" s="19"/>
      <c r="NZP39" s="19"/>
      <c r="NZQ39" s="19"/>
      <c r="NZR39" s="19"/>
      <c r="NZS39" s="19"/>
      <c r="NZT39" s="19"/>
      <c r="NZU39" s="19"/>
      <c r="NZV39" s="19"/>
      <c r="NZW39" s="19"/>
      <c r="NZX39" s="19"/>
      <c r="NZY39" s="19"/>
      <c r="NZZ39" s="19"/>
      <c r="OAA39" s="19"/>
      <c r="OAB39" s="19"/>
      <c r="OAC39" s="19"/>
      <c r="OAD39" s="19"/>
      <c r="OAE39" s="19"/>
      <c r="OAF39" s="19"/>
      <c r="OAG39" s="19"/>
      <c r="OAH39" s="19"/>
      <c r="OAI39" s="19"/>
      <c r="OAJ39" s="19"/>
      <c r="OAK39" s="19"/>
      <c r="OAL39" s="19"/>
      <c r="OAM39" s="19"/>
      <c r="OAN39" s="19"/>
      <c r="OAO39" s="19"/>
      <c r="OAP39" s="19"/>
      <c r="OAQ39" s="19"/>
      <c r="OAR39" s="19"/>
      <c r="OAS39" s="19"/>
      <c r="OAT39" s="19"/>
      <c r="OAU39" s="19"/>
      <c r="OAV39" s="19"/>
      <c r="OAW39" s="19"/>
      <c r="OAX39" s="19"/>
      <c r="OAY39" s="19"/>
      <c r="OAZ39" s="19"/>
      <c r="OBA39" s="19"/>
      <c r="OBB39" s="19"/>
      <c r="OBC39" s="19"/>
      <c r="OBD39" s="19"/>
      <c r="OBE39" s="19"/>
      <c r="OBF39" s="19"/>
      <c r="OBG39" s="19"/>
      <c r="OBH39" s="19"/>
      <c r="OBI39" s="19"/>
      <c r="OBJ39" s="19"/>
      <c r="OBK39" s="19"/>
      <c r="OBL39" s="19"/>
      <c r="OBM39" s="19"/>
      <c r="OBN39" s="19"/>
      <c r="OBO39" s="19"/>
      <c r="OBP39" s="19"/>
      <c r="OBQ39" s="19"/>
      <c r="OBR39" s="19"/>
      <c r="OBS39" s="19"/>
      <c r="OBT39" s="19"/>
      <c r="OBU39" s="19"/>
      <c r="OBV39" s="19"/>
      <c r="OBW39" s="19"/>
      <c r="OBX39" s="19"/>
      <c r="OBY39" s="19"/>
      <c r="OBZ39" s="19"/>
      <c r="OCA39" s="19"/>
      <c r="OCB39" s="19"/>
      <c r="OCC39" s="19"/>
      <c r="OCD39" s="19"/>
      <c r="OCE39" s="19"/>
      <c r="OCF39" s="19"/>
      <c r="OCG39" s="19"/>
      <c r="OCH39" s="19"/>
      <c r="OCI39" s="19"/>
      <c r="OCJ39" s="19"/>
      <c r="OCK39" s="19"/>
      <c r="OCL39" s="19"/>
      <c r="OCM39" s="19"/>
      <c r="OCN39" s="19"/>
      <c r="OCO39" s="19"/>
      <c r="OCP39" s="19"/>
      <c r="OCQ39" s="19"/>
      <c r="OCR39" s="19"/>
      <c r="OCS39" s="19"/>
      <c r="OCT39" s="19"/>
      <c r="OCU39" s="19"/>
      <c r="OCV39" s="19"/>
      <c r="OCW39" s="19"/>
      <c r="OCX39" s="19"/>
      <c r="OCY39" s="19"/>
      <c r="OCZ39" s="19"/>
      <c r="ODA39" s="19"/>
      <c r="ODB39" s="19"/>
      <c r="ODC39" s="19"/>
      <c r="ODD39" s="19"/>
      <c r="ODE39" s="19"/>
      <c r="ODF39" s="19"/>
      <c r="ODG39" s="19"/>
      <c r="ODH39" s="19"/>
      <c r="ODI39" s="19"/>
      <c r="ODJ39" s="19"/>
      <c r="ODK39" s="19"/>
      <c r="ODL39" s="19"/>
      <c r="ODM39" s="19"/>
      <c r="ODN39" s="19"/>
      <c r="ODO39" s="19"/>
      <c r="ODP39" s="19"/>
      <c r="ODQ39" s="19"/>
      <c r="ODR39" s="19"/>
      <c r="ODS39" s="19"/>
      <c r="ODT39" s="19"/>
      <c r="ODU39" s="19"/>
      <c r="ODV39" s="19"/>
      <c r="ODW39" s="19"/>
      <c r="ODX39" s="19"/>
      <c r="ODY39" s="19"/>
      <c r="ODZ39" s="19"/>
      <c r="OEA39" s="19"/>
      <c r="OEB39" s="19"/>
      <c r="OEC39" s="19"/>
      <c r="OED39" s="19"/>
      <c r="OEE39" s="19"/>
      <c r="OEF39" s="19"/>
      <c r="OEG39" s="19"/>
      <c r="OEH39" s="19"/>
      <c r="OEI39" s="19"/>
      <c r="OEJ39" s="19"/>
      <c r="OEK39" s="19"/>
      <c r="OEL39" s="19"/>
      <c r="OEM39" s="19"/>
      <c r="OEN39" s="19"/>
      <c r="OEO39" s="19"/>
      <c r="OEP39" s="19"/>
      <c r="OEQ39" s="19"/>
      <c r="OER39" s="19"/>
      <c r="OES39" s="19"/>
      <c r="OET39" s="19"/>
      <c r="OEU39" s="19"/>
      <c r="OEV39" s="19"/>
      <c r="OEW39" s="19"/>
      <c r="OEX39" s="19"/>
      <c r="OEY39" s="19"/>
      <c r="OEZ39" s="19"/>
      <c r="OFA39" s="19"/>
      <c r="OFB39" s="19"/>
      <c r="OFC39" s="19"/>
      <c r="OFD39" s="19"/>
      <c r="OFE39" s="19"/>
      <c r="OFF39" s="19"/>
      <c r="OFG39" s="19"/>
      <c r="OFH39" s="19"/>
      <c r="OFI39" s="19"/>
      <c r="OFJ39" s="19"/>
      <c r="OFK39" s="19"/>
      <c r="OFL39" s="19"/>
      <c r="OFM39" s="19"/>
      <c r="OFN39" s="19"/>
      <c r="OFO39" s="19"/>
      <c r="OFP39" s="19"/>
      <c r="OFQ39" s="19"/>
      <c r="OFR39" s="19"/>
      <c r="OFS39" s="19"/>
      <c r="OFT39" s="19"/>
      <c r="OFU39" s="19"/>
      <c r="OFV39" s="19"/>
      <c r="OFW39" s="19"/>
      <c r="OFX39" s="19"/>
      <c r="OFY39" s="19"/>
      <c r="OFZ39" s="19"/>
      <c r="OGA39" s="19"/>
      <c r="OGB39" s="19"/>
      <c r="OGC39" s="19"/>
      <c r="OGD39" s="19"/>
      <c r="OGE39" s="19"/>
      <c r="OGF39" s="19"/>
      <c r="OGG39" s="19"/>
      <c r="OGH39" s="19"/>
      <c r="OGI39" s="19"/>
      <c r="OGJ39" s="19"/>
      <c r="OGK39" s="19"/>
      <c r="OGL39" s="19"/>
      <c r="OGM39" s="19"/>
      <c r="OGN39" s="19"/>
      <c r="OGO39" s="19"/>
      <c r="OGP39" s="19"/>
      <c r="OGQ39" s="19"/>
      <c r="OGR39" s="19"/>
      <c r="OGS39" s="19"/>
      <c r="OGT39" s="19"/>
      <c r="OGU39" s="19"/>
      <c r="OGV39" s="19"/>
      <c r="OGW39" s="19"/>
      <c r="OGX39" s="19"/>
      <c r="OGY39" s="19"/>
      <c r="OGZ39" s="19"/>
      <c r="OHA39" s="19"/>
      <c r="OHB39" s="19"/>
      <c r="OHC39" s="19"/>
      <c r="OHD39" s="19"/>
      <c r="OHE39" s="19"/>
      <c r="OHF39" s="19"/>
      <c r="OHG39" s="19"/>
      <c r="OHH39" s="19"/>
      <c r="OHI39" s="19"/>
      <c r="OHJ39" s="19"/>
      <c r="OHK39" s="19"/>
      <c r="OHL39" s="19"/>
      <c r="OHM39" s="19"/>
      <c r="OHN39" s="19"/>
      <c r="OHO39" s="19"/>
      <c r="OHP39" s="19"/>
      <c r="OHQ39" s="19"/>
      <c r="OHR39" s="19"/>
      <c r="OHS39" s="19"/>
      <c r="OHT39" s="19"/>
      <c r="OHU39" s="19"/>
      <c r="OHV39" s="19"/>
      <c r="OHW39" s="19"/>
      <c r="OHX39" s="19"/>
      <c r="OHY39" s="19"/>
      <c r="OHZ39" s="19"/>
      <c r="OIA39" s="19"/>
      <c r="OIB39" s="19"/>
      <c r="OIC39" s="19"/>
      <c r="OID39" s="19"/>
      <c r="OIE39" s="19"/>
      <c r="OIF39" s="19"/>
      <c r="OIG39" s="19"/>
      <c r="OIH39" s="19"/>
      <c r="OII39" s="19"/>
      <c r="OIJ39" s="19"/>
      <c r="OIK39" s="19"/>
      <c r="OIL39" s="19"/>
      <c r="OIM39" s="19"/>
      <c r="OIN39" s="19"/>
      <c r="OIO39" s="19"/>
      <c r="OIP39" s="19"/>
      <c r="OIQ39" s="19"/>
      <c r="OIR39" s="19"/>
      <c r="OIS39" s="19"/>
      <c r="OIT39" s="19"/>
      <c r="OIU39" s="19"/>
      <c r="OIV39" s="19"/>
      <c r="OIW39" s="19"/>
      <c r="OIX39" s="19"/>
      <c r="OIY39" s="19"/>
      <c r="OIZ39" s="19"/>
      <c r="OJA39" s="19"/>
      <c r="OJB39" s="19"/>
      <c r="OJC39" s="19"/>
      <c r="OJD39" s="19"/>
      <c r="OJE39" s="19"/>
      <c r="OJF39" s="19"/>
      <c r="OJG39" s="19"/>
      <c r="OJH39" s="19"/>
      <c r="OJI39" s="19"/>
      <c r="OJJ39" s="19"/>
      <c r="OJK39" s="19"/>
      <c r="OJL39" s="19"/>
      <c r="OJM39" s="19"/>
      <c r="OJN39" s="19"/>
      <c r="OJO39" s="19"/>
      <c r="OJP39" s="19"/>
      <c r="OJQ39" s="19"/>
      <c r="OJR39" s="19"/>
      <c r="OJS39" s="19"/>
      <c r="OJT39" s="19"/>
      <c r="OJU39" s="19"/>
      <c r="OJV39" s="19"/>
      <c r="OJW39" s="19"/>
      <c r="OJX39" s="19"/>
      <c r="OJY39" s="19"/>
      <c r="OJZ39" s="19"/>
      <c r="OKA39" s="19"/>
      <c r="OKB39" s="19"/>
      <c r="OKC39" s="19"/>
      <c r="OKD39" s="19"/>
      <c r="OKE39" s="19"/>
      <c r="OKF39" s="19"/>
      <c r="OKG39" s="19"/>
      <c r="OKH39" s="19"/>
      <c r="OKI39" s="19"/>
      <c r="OKJ39" s="19"/>
      <c r="OKK39" s="19"/>
      <c r="OKL39" s="19"/>
      <c r="OKM39" s="19"/>
      <c r="OKN39" s="19"/>
      <c r="OKO39" s="19"/>
      <c r="OKP39" s="19"/>
      <c r="OKQ39" s="19"/>
      <c r="OKR39" s="19"/>
      <c r="OKS39" s="19"/>
      <c r="OKT39" s="19"/>
      <c r="OKU39" s="19"/>
      <c r="OKV39" s="19"/>
      <c r="OKW39" s="19"/>
      <c r="OKX39" s="19"/>
      <c r="OKY39" s="19"/>
      <c r="OKZ39" s="19"/>
      <c r="OLA39" s="19"/>
      <c r="OLB39" s="19"/>
      <c r="OLC39" s="19"/>
      <c r="OLD39" s="19"/>
      <c r="OLE39" s="19"/>
      <c r="OLF39" s="19"/>
      <c r="OLG39" s="19"/>
      <c r="OLH39" s="19"/>
      <c r="OLI39" s="19"/>
      <c r="OLJ39" s="19"/>
      <c r="OLK39" s="19"/>
      <c r="OLL39" s="19"/>
      <c r="OLM39" s="19"/>
      <c r="OLN39" s="19"/>
      <c r="OLO39" s="19"/>
      <c r="OLP39" s="19"/>
      <c r="OLQ39" s="19"/>
      <c r="OLR39" s="19"/>
      <c r="OLS39" s="19"/>
      <c r="OLT39" s="19"/>
      <c r="OLU39" s="19"/>
      <c r="OLV39" s="19"/>
      <c r="OLW39" s="19"/>
      <c r="OLX39" s="19"/>
      <c r="OLY39" s="19"/>
      <c r="OLZ39" s="19"/>
      <c r="OMA39" s="19"/>
      <c r="OMB39" s="19"/>
      <c r="OMC39" s="19"/>
      <c r="OMD39" s="19"/>
      <c r="OME39" s="19"/>
      <c r="OMF39" s="19"/>
      <c r="OMG39" s="19"/>
      <c r="OMH39" s="19"/>
      <c r="OMI39" s="19"/>
      <c r="OMJ39" s="19"/>
      <c r="OMK39" s="19"/>
      <c r="OML39" s="19"/>
      <c r="OMM39" s="19"/>
      <c r="OMN39" s="19"/>
      <c r="OMO39" s="19"/>
      <c r="OMP39" s="19"/>
      <c r="OMQ39" s="19"/>
      <c r="OMR39" s="19"/>
      <c r="OMS39" s="19"/>
      <c r="OMT39" s="19"/>
      <c r="OMU39" s="19"/>
      <c r="OMV39" s="19"/>
      <c r="OMW39" s="19"/>
      <c r="OMX39" s="19"/>
      <c r="OMY39" s="19"/>
      <c r="OMZ39" s="19"/>
      <c r="ONA39" s="19"/>
      <c r="ONB39" s="19"/>
      <c r="ONC39" s="19"/>
      <c r="OND39" s="19"/>
      <c r="ONE39" s="19"/>
      <c r="ONF39" s="19"/>
      <c r="ONG39" s="19"/>
      <c r="ONH39" s="19"/>
      <c r="ONI39" s="19"/>
      <c r="ONJ39" s="19"/>
      <c r="ONK39" s="19"/>
      <c r="ONL39" s="19"/>
      <c r="ONM39" s="19"/>
      <c r="ONN39" s="19"/>
      <c r="ONO39" s="19"/>
      <c r="ONP39" s="19"/>
      <c r="ONQ39" s="19"/>
      <c r="ONR39" s="19"/>
      <c r="ONS39" s="19"/>
      <c r="ONT39" s="19"/>
      <c r="ONU39" s="19"/>
      <c r="ONV39" s="19"/>
      <c r="ONW39" s="19"/>
      <c r="ONX39" s="19"/>
      <c r="ONY39" s="19"/>
      <c r="ONZ39" s="19"/>
      <c r="OOA39" s="19"/>
      <c r="OOB39" s="19"/>
      <c r="OOC39" s="19"/>
      <c r="OOD39" s="19"/>
      <c r="OOE39" s="19"/>
      <c r="OOF39" s="19"/>
      <c r="OOG39" s="19"/>
      <c r="OOH39" s="19"/>
      <c r="OOI39" s="19"/>
      <c r="OOJ39" s="19"/>
      <c r="OOK39" s="19"/>
      <c r="OOL39" s="19"/>
      <c r="OOM39" s="19"/>
      <c r="OON39" s="19"/>
      <c r="OOO39" s="19"/>
      <c r="OOP39" s="19"/>
      <c r="OOQ39" s="19"/>
      <c r="OOR39" s="19"/>
      <c r="OOS39" s="19"/>
      <c r="OOT39" s="19"/>
      <c r="OOU39" s="19"/>
      <c r="OOV39" s="19"/>
      <c r="OOW39" s="19"/>
      <c r="OOX39" s="19"/>
      <c r="OOY39" s="19"/>
      <c r="OOZ39" s="19"/>
      <c r="OPA39" s="19"/>
      <c r="OPB39" s="19"/>
      <c r="OPC39" s="19"/>
      <c r="OPD39" s="19"/>
      <c r="OPE39" s="19"/>
      <c r="OPF39" s="19"/>
      <c r="OPG39" s="19"/>
      <c r="OPH39" s="19"/>
      <c r="OPI39" s="19"/>
      <c r="OPJ39" s="19"/>
      <c r="OPK39" s="19"/>
      <c r="OPL39" s="19"/>
      <c r="OPM39" s="19"/>
      <c r="OPN39" s="19"/>
      <c r="OPO39" s="19"/>
      <c r="OPP39" s="19"/>
      <c r="OPQ39" s="19"/>
      <c r="OPR39" s="19"/>
      <c r="OPS39" s="19"/>
      <c r="OPT39" s="19"/>
      <c r="OPU39" s="19"/>
      <c r="OPV39" s="19"/>
      <c r="OPW39" s="19"/>
      <c r="OPX39" s="19"/>
      <c r="OPY39" s="19"/>
      <c r="OPZ39" s="19"/>
      <c r="OQA39" s="19"/>
      <c r="OQB39" s="19"/>
      <c r="OQC39" s="19"/>
      <c r="OQD39" s="19"/>
      <c r="OQE39" s="19"/>
      <c r="OQF39" s="19"/>
      <c r="OQG39" s="19"/>
      <c r="OQH39" s="19"/>
      <c r="OQI39" s="19"/>
      <c r="OQJ39" s="19"/>
      <c r="OQK39" s="19"/>
      <c r="OQL39" s="19"/>
      <c r="OQM39" s="19"/>
      <c r="OQN39" s="19"/>
      <c r="OQO39" s="19"/>
      <c r="OQP39" s="19"/>
      <c r="OQQ39" s="19"/>
      <c r="OQR39" s="19"/>
      <c r="OQS39" s="19"/>
      <c r="OQT39" s="19"/>
      <c r="OQU39" s="19"/>
      <c r="OQV39" s="19"/>
      <c r="OQW39" s="19"/>
      <c r="OQX39" s="19"/>
      <c r="OQY39" s="19"/>
      <c r="OQZ39" s="19"/>
      <c r="ORA39" s="19"/>
      <c r="ORB39" s="19"/>
      <c r="ORC39" s="19"/>
      <c r="ORD39" s="19"/>
      <c r="ORE39" s="19"/>
      <c r="ORF39" s="19"/>
      <c r="ORG39" s="19"/>
      <c r="ORH39" s="19"/>
      <c r="ORI39" s="19"/>
      <c r="ORJ39" s="19"/>
      <c r="ORK39" s="19"/>
      <c r="ORL39" s="19"/>
      <c r="ORM39" s="19"/>
      <c r="ORN39" s="19"/>
      <c r="ORO39" s="19"/>
      <c r="ORP39" s="19"/>
      <c r="ORQ39" s="19"/>
      <c r="ORR39" s="19"/>
      <c r="ORS39" s="19"/>
      <c r="ORT39" s="19"/>
      <c r="ORU39" s="19"/>
      <c r="ORV39" s="19"/>
      <c r="ORW39" s="19"/>
      <c r="ORX39" s="19"/>
      <c r="ORY39" s="19"/>
      <c r="ORZ39" s="19"/>
      <c r="OSA39" s="19"/>
      <c r="OSB39" s="19"/>
      <c r="OSC39" s="19"/>
      <c r="OSD39" s="19"/>
      <c r="OSE39" s="19"/>
      <c r="OSF39" s="19"/>
      <c r="OSG39" s="19"/>
      <c r="OSH39" s="19"/>
      <c r="OSI39" s="19"/>
      <c r="OSJ39" s="19"/>
      <c r="OSK39" s="19"/>
      <c r="OSL39" s="19"/>
      <c r="OSM39" s="19"/>
      <c r="OSN39" s="19"/>
      <c r="OSO39" s="19"/>
      <c r="OSP39" s="19"/>
      <c r="OSQ39" s="19"/>
      <c r="OSR39" s="19"/>
      <c r="OSS39" s="19"/>
      <c r="OST39" s="19"/>
      <c r="OSU39" s="19"/>
      <c r="OSV39" s="19"/>
      <c r="OSW39" s="19"/>
      <c r="OSX39" s="19"/>
      <c r="OSY39" s="19"/>
      <c r="OSZ39" s="19"/>
      <c r="OTA39" s="19"/>
      <c r="OTB39" s="19"/>
      <c r="OTC39" s="19"/>
      <c r="OTD39" s="19"/>
      <c r="OTE39" s="19"/>
      <c r="OTF39" s="19"/>
      <c r="OTG39" s="19"/>
      <c r="OTH39" s="19"/>
      <c r="OTI39" s="19"/>
      <c r="OTJ39" s="19"/>
      <c r="OTK39" s="19"/>
      <c r="OTL39" s="19"/>
      <c r="OTM39" s="19"/>
      <c r="OTN39" s="19"/>
      <c r="OTO39" s="19"/>
      <c r="OTP39" s="19"/>
      <c r="OTQ39" s="19"/>
      <c r="OTR39" s="19"/>
      <c r="OTS39" s="19"/>
      <c r="OTT39" s="19"/>
      <c r="OTU39" s="19"/>
      <c r="OTV39" s="19"/>
      <c r="OTW39" s="19"/>
      <c r="OTX39" s="19"/>
      <c r="OTY39" s="19"/>
      <c r="OTZ39" s="19"/>
      <c r="OUA39" s="19"/>
      <c r="OUB39" s="19"/>
      <c r="OUC39" s="19"/>
      <c r="OUD39" s="19"/>
      <c r="OUE39" s="19"/>
      <c r="OUF39" s="19"/>
      <c r="OUG39" s="19"/>
      <c r="OUH39" s="19"/>
      <c r="OUI39" s="19"/>
      <c r="OUJ39" s="19"/>
      <c r="OUK39" s="19"/>
      <c r="OUL39" s="19"/>
      <c r="OUM39" s="19"/>
      <c r="OUN39" s="19"/>
      <c r="OUO39" s="19"/>
      <c r="OUP39" s="19"/>
      <c r="OUQ39" s="19"/>
      <c r="OUR39" s="19"/>
      <c r="OUS39" s="19"/>
      <c r="OUT39" s="19"/>
      <c r="OUU39" s="19"/>
      <c r="OUV39" s="19"/>
      <c r="OUW39" s="19"/>
      <c r="OUX39" s="19"/>
      <c r="OUY39" s="19"/>
      <c r="OUZ39" s="19"/>
      <c r="OVA39" s="19"/>
      <c r="OVB39" s="19"/>
      <c r="OVC39" s="19"/>
      <c r="OVD39" s="19"/>
      <c r="OVE39" s="19"/>
      <c r="OVF39" s="19"/>
      <c r="OVG39" s="19"/>
      <c r="OVH39" s="19"/>
      <c r="OVI39" s="19"/>
      <c r="OVJ39" s="19"/>
      <c r="OVK39" s="19"/>
      <c r="OVL39" s="19"/>
      <c r="OVM39" s="19"/>
      <c r="OVN39" s="19"/>
      <c r="OVO39" s="19"/>
      <c r="OVP39" s="19"/>
      <c r="OVQ39" s="19"/>
      <c r="OVR39" s="19"/>
      <c r="OVS39" s="19"/>
      <c r="OVT39" s="19"/>
      <c r="OVU39" s="19"/>
      <c r="OVV39" s="19"/>
      <c r="OVW39" s="19"/>
      <c r="OVX39" s="19"/>
      <c r="OVY39" s="19"/>
      <c r="OVZ39" s="19"/>
      <c r="OWA39" s="19"/>
      <c r="OWB39" s="19"/>
      <c r="OWC39" s="19"/>
      <c r="OWD39" s="19"/>
      <c r="OWE39" s="19"/>
      <c r="OWF39" s="19"/>
      <c r="OWG39" s="19"/>
      <c r="OWH39" s="19"/>
      <c r="OWI39" s="19"/>
      <c r="OWJ39" s="19"/>
      <c r="OWK39" s="19"/>
      <c r="OWL39" s="19"/>
      <c r="OWM39" s="19"/>
      <c r="OWN39" s="19"/>
      <c r="OWO39" s="19"/>
      <c r="OWP39" s="19"/>
      <c r="OWQ39" s="19"/>
      <c r="OWR39" s="19"/>
      <c r="OWS39" s="19"/>
      <c r="OWT39" s="19"/>
      <c r="OWU39" s="19"/>
      <c r="OWV39" s="19"/>
      <c r="OWW39" s="19"/>
      <c r="OWX39" s="19"/>
      <c r="OWY39" s="19"/>
      <c r="OWZ39" s="19"/>
      <c r="OXA39" s="19"/>
      <c r="OXB39" s="19"/>
      <c r="OXC39" s="19"/>
      <c r="OXD39" s="19"/>
      <c r="OXE39" s="19"/>
      <c r="OXF39" s="19"/>
      <c r="OXG39" s="19"/>
      <c r="OXH39" s="19"/>
      <c r="OXI39" s="19"/>
      <c r="OXJ39" s="19"/>
      <c r="OXK39" s="19"/>
      <c r="OXL39" s="19"/>
      <c r="OXM39" s="19"/>
      <c r="OXN39" s="19"/>
      <c r="OXO39" s="19"/>
      <c r="OXP39" s="19"/>
      <c r="OXQ39" s="19"/>
      <c r="OXR39" s="19"/>
      <c r="OXS39" s="19"/>
      <c r="OXT39" s="19"/>
      <c r="OXU39" s="19"/>
      <c r="OXV39" s="19"/>
      <c r="OXW39" s="19"/>
      <c r="OXX39" s="19"/>
      <c r="OXY39" s="19"/>
      <c r="OXZ39" s="19"/>
      <c r="OYA39" s="19"/>
      <c r="OYB39" s="19"/>
      <c r="OYC39" s="19"/>
      <c r="OYD39" s="19"/>
      <c r="OYE39" s="19"/>
      <c r="OYF39" s="19"/>
      <c r="OYG39" s="19"/>
      <c r="OYH39" s="19"/>
      <c r="OYI39" s="19"/>
      <c r="OYJ39" s="19"/>
      <c r="OYK39" s="19"/>
      <c r="OYL39" s="19"/>
      <c r="OYM39" s="19"/>
      <c r="OYN39" s="19"/>
      <c r="OYO39" s="19"/>
      <c r="OYP39" s="19"/>
      <c r="OYQ39" s="19"/>
      <c r="OYR39" s="19"/>
      <c r="OYS39" s="19"/>
      <c r="OYT39" s="19"/>
      <c r="OYU39" s="19"/>
      <c r="OYV39" s="19"/>
      <c r="OYW39" s="19"/>
      <c r="OYX39" s="19"/>
      <c r="OYY39" s="19"/>
      <c r="OYZ39" s="19"/>
      <c r="OZA39" s="19"/>
      <c r="OZB39" s="19"/>
      <c r="OZC39" s="19"/>
      <c r="OZD39" s="19"/>
      <c r="OZE39" s="19"/>
      <c r="OZF39" s="19"/>
      <c r="OZG39" s="19"/>
      <c r="OZH39" s="19"/>
      <c r="OZI39" s="19"/>
      <c r="OZJ39" s="19"/>
      <c r="OZK39" s="19"/>
      <c r="OZL39" s="19"/>
      <c r="OZM39" s="19"/>
      <c r="OZN39" s="19"/>
      <c r="OZO39" s="19"/>
      <c r="OZP39" s="19"/>
      <c r="OZQ39" s="19"/>
      <c r="OZR39" s="19"/>
      <c r="OZS39" s="19"/>
      <c r="OZT39" s="19"/>
      <c r="OZU39" s="19"/>
      <c r="OZV39" s="19"/>
      <c r="OZW39" s="19"/>
      <c r="OZX39" s="19"/>
      <c r="OZY39" s="19"/>
      <c r="OZZ39" s="19"/>
      <c r="PAA39" s="19"/>
      <c r="PAB39" s="19"/>
      <c r="PAC39" s="19"/>
      <c r="PAD39" s="19"/>
      <c r="PAE39" s="19"/>
      <c r="PAF39" s="19"/>
      <c r="PAG39" s="19"/>
      <c r="PAH39" s="19"/>
      <c r="PAI39" s="19"/>
      <c r="PAJ39" s="19"/>
      <c r="PAK39" s="19"/>
      <c r="PAL39" s="19"/>
      <c r="PAM39" s="19"/>
      <c r="PAN39" s="19"/>
      <c r="PAO39" s="19"/>
      <c r="PAP39" s="19"/>
      <c r="PAQ39" s="19"/>
      <c r="PAR39" s="19"/>
      <c r="PAS39" s="19"/>
      <c r="PAT39" s="19"/>
      <c r="PAU39" s="19"/>
      <c r="PAV39" s="19"/>
      <c r="PAW39" s="19"/>
      <c r="PAX39" s="19"/>
      <c r="PAY39" s="19"/>
      <c r="PAZ39" s="19"/>
      <c r="PBA39" s="19"/>
      <c r="PBB39" s="19"/>
      <c r="PBC39" s="19"/>
      <c r="PBD39" s="19"/>
      <c r="PBE39" s="19"/>
      <c r="PBF39" s="19"/>
      <c r="PBG39" s="19"/>
      <c r="PBH39" s="19"/>
      <c r="PBI39" s="19"/>
      <c r="PBJ39" s="19"/>
      <c r="PBK39" s="19"/>
      <c r="PBL39" s="19"/>
      <c r="PBM39" s="19"/>
      <c r="PBN39" s="19"/>
      <c r="PBO39" s="19"/>
      <c r="PBP39" s="19"/>
      <c r="PBQ39" s="19"/>
      <c r="PBR39" s="19"/>
      <c r="PBS39" s="19"/>
      <c r="PBT39" s="19"/>
      <c r="PBU39" s="19"/>
      <c r="PBV39" s="19"/>
      <c r="PBW39" s="19"/>
      <c r="PBX39" s="19"/>
      <c r="PBY39" s="19"/>
      <c r="PBZ39" s="19"/>
      <c r="PCA39" s="19"/>
      <c r="PCB39" s="19"/>
      <c r="PCC39" s="19"/>
      <c r="PCD39" s="19"/>
      <c r="PCE39" s="19"/>
      <c r="PCF39" s="19"/>
      <c r="PCG39" s="19"/>
      <c r="PCH39" s="19"/>
      <c r="PCI39" s="19"/>
      <c r="PCJ39" s="19"/>
      <c r="PCK39" s="19"/>
      <c r="PCL39" s="19"/>
      <c r="PCM39" s="19"/>
      <c r="PCN39" s="19"/>
      <c r="PCO39" s="19"/>
      <c r="PCP39" s="19"/>
      <c r="PCQ39" s="19"/>
      <c r="PCR39" s="19"/>
      <c r="PCS39" s="19"/>
      <c r="PCT39" s="19"/>
      <c r="PCU39" s="19"/>
      <c r="PCV39" s="19"/>
      <c r="PCW39" s="19"/>
      <c r="PCX39" s="19"/>
      <c r="PCY39" s="19"/>
      <c r="PCZ39" s="19"/>
      <c r="PDA39" s="19"/>
      <c r="PDB39" s="19"/>
      <c r="PDC39" s="19"/>
      <c r="PDD39" s="19"/>
      <c r="PDE39" s="19"/>
      <c r="PDF39" s="19"/>
      <c r="PDG39" s="19"/>
      <c r="PDH39" s="19"/>
      <c r="PDI39" s="19"/>
      <c r="PDJ39" s="19"/>
      <c r="PDK39" s="19"/>
      <c r="PDL39" s="19"/>
      <c r="PDM39" s="19"/>
      <c r="PDN39" s="19"/>
      <c r="PDO39" s="19"/>
      <c r="PDP39" s="19"/>
      <c r="PDQ39" s="19"/>
      <c r="PDR39" s="19"/>
      <c r="PDS39" s="19"/>
      <c r="PDT39" s="19"/>
      <c r="PDU39" s="19"/>
      <c r="PDV39" s="19"/>
      <c r="PDW39" s="19"/>
      <c r="PDX39" s="19"/>
      <c r="PDY39" s="19"/>
      <c r="PDZ39" s="19"/>
      <c r="PEA39" s="19"/>
      <c r="PEB39" s="19"/>
      <c r="PEC39" s="19"/>
      <c r="PED39" s="19"/>
      <c r="PEE39" s="19"/>
      <c r="PEF39" s="19"/>
      <c r="PEG39" s="19"/>
      <c r="PEH39" s="19"/>
      <c r="PEI39" s="19"/>
      <c r="PEJ39" s="19"/>
      <c r="PEK39" s="19"/>
      <c r="PEL39" s="19"/>
      <c r="PEM39" s="19"/>
      <c r="PEN39" s="19"/>
      <c r="PEO39" s="19"/>
      <c r="PEP39" s="19"/>
      <c r="PEQ39" s="19"/>
      <c r="PER39" s="19"/>
      <c r="PES39" s="19"/>
      <c r="PET39" s="19"/>
      <c r="PEU39" s="19"/>
      <c r="PEV39" s="19"/>
      <c r="PEW39" s="19"/>
      <c r="PEX39" s="19"/>
      <c r="PEY39" s="19"/>
      <c r="PEZ39" s="19"/>
      <c r="PFA39" s="19"/>
      <c r="PFB39" s="19"/>
      <c r="PFC39" s="19"/>
      <c r="PFD39" s="19"/>
      <c r="PFE39" s="19"/>
      <c r="PFF39" s="19"/>
      <c r="PFG39" s="19"/>
      <c r="PFH39" s="19"/>
      <c r="PFI39" s="19"/>
      <c r="PFJ39" s="19"/>
      <c r="PFK39" s="19"/>
      <c r="PFL39" s="19"/>
      <c r="PFM39" s="19"/>
      <c r="PFN39" s="19"/>
      <c r="PFO39" s="19"/>
      <c r="PFP39" s="19"/>
      <c r="PFQ39" s="19"/>
      <c r="PFR39" s="19"/>
      <c r="PFS39" s="19"/>
      <c r="PFT39" s="19"/>
      <c r="PFU39" s="19"/>
      <c r="PFV39" s="19"/>
      <c r="PFW39" s="19"/>
      <c r="PFX39" s="19"/>
      <c r="PFY39" s="19"/>
      <c r="PFZ39" s="19"/>
      <c r="PGA39" s="19"/>
      <c r="PGB39" s="19"/>
      <c r="PGC39" s="19"/>
      <c r="PGD39" s="19"/>
      <c r="PGE39" s="19"/>
      <c r="PGF39" s="19"/>
      <c r="PGG39" s="19"/>
      <c r="PGH39" s="19"/>
      <c r="PGI39" s="19"/>
      <c r="PGJ39" s="19"/>
      <c r="PGK39" s="19"/>
      <c r="PGL39" s="19"/>
      <c r="PGM39" s="19"/>
      <c r="PGN39" s="19"/>
      <c r="PGO39" s="19"/>
      <c r="PGP39" s="19"/>
      <c r="PGQ39" s="19"/>
      <c r="PGR39" s="19"/>
      <c r="PGS39" s="19"/>
      <c r="PGT39" s="19"/>
      <c r="PGU39" s="19"/>
      <c r="PGV39" s="19"/>
      <c r="PGW39" s="19"/>
      <c r="PGX39" s="19"/>
      <c r="PGY39" s="19"/>
      <c r="PGZ39" s="19"/>
      <c r="PHA39" s="19"/>
      <c r="PHB39" s="19"/>
      <c r="PHC39" s="19"/>
      <c r="PHD39" s="19"/>
      <c r="PHE39" s="19"/>
      <c r="PHF39" s="19"/>
      <c r="PHG39" s="19"/>
      <c r="PHH39" s="19"/>
      <c r="PHI39" s="19"/>
      <c r="PHJ39" s="19"/>
      <c r="PHK39" s="19"/>
      <c r="PHL39" s="19"/>
      <c r="PHM39" s="19"/>
      <c r="PHN39" s="19"/>
      <c r="PHO39" s="19"/>
      <c r="PHP39" s="19"/>
      <c r="PHQ39" s="19"/>
      <c r="PHR39" s="19"/>
      <c r="PHS39" s="19"/>
      <c r="PHT39" s="19"/>
      <c r="PHU39" s="19"/>
      <c r="PHV39" s="19"/>
      <c r="PHW39" s="19"/>
      <c r="PHX39" s="19"/>
      <c r="PHY39" s="19"/>
      <c r="PHZ39" s="19"/>
      <c r="PIA39" s="19"/>
      <c r="PIB39" s="19"/>
      <c r="PIC39" s="19"/>
      <c r="PID39" s="19"/>
      <c r="PIE39" s="19"/>
      <c r="PIF39" s="19"/>
      <c r="PIG39" s="19"/>
      <c r="PIH39" s="19"/>
      <c r="PII39" s="19"/>
      <c r="PIJ39" s="19"/>
      <c r="PIK39" s="19"/>
      <c r="PIL39" s="19"/>
      <c r="PIM39" s="19"/>
      <c r="PIN39" s="19"/>
      <c r="PIO39" s="19"/>
      <c r="PIP39" s="19"/>
      <c r="PIQ39" s="19"/>
      <c r="PIR39" s="19"/>
      <c r="PIS39" s="19"/>
      <c r="PIT39" s="19"/>
      <c r="PIU39" s="19"/>
      <c r="PIV39" s="19"/>
      <c r="PIW39" s="19"/>
      <c r="PIX39" s="19"/>
      <c r="PIY39" s="19"/>
      <c r="PIZ39" s="19"/>
      <c r="PJA39" s="19"/>
      <c r="PJB39" s="19"/>
      <c r="PJC39" s="19"/>
      <c r="PJD39" s="19"/>
      <c r="PJE39" s="19"/>
      <c r="PJF39" s="19"/>
      <c r="PJG39" s="19"/>
      <c r="PJH39" s="19"/>
      <c r="PJI39" s="19"/>
      <c r="PJJ39" s="19"/>
      <c r="PJK39" s="19"/>
      <c r="PJL39" s="19"/>
      <c r="PJM39" s="19"/>
      <c r="PJN39" s="19"/>
      <c r="PJO39" s="19"/>
      <c r="PJP39" s="19"/>
      <c r="PJQ39" s="19"/>
      <c r="PJR39" s="19"/>
      <c r="PJS39" s="19"/>
      <c r="PJT39" s="19"/>
      <c r="PJU39" s="19"/>
      <c r="PJV39" s="19"/>
      <c r="PJW39" s="19"/>
      <c r="PJX39" s="19"/>
      <c r="PJY39" s="19"/>
      <c r="PJZ39" s="19"/>
      <c r="PKA39" s="19"/>
      <c r="PKB39" s="19"/>
      <c r="PKC39" s="19"/>
      <c r="PKD39" s="19"/>
      <c r="PKE39" s="19"/>
      <c r="PKF39" s="19"/>
      <c r="PKG39" s="19"/>
      <c r="PKH39" s="19"/>
      <c r="PKI39" s="19"/>
      <c r="PKJ39" s="19"/>
      <c r="PKK39" s="19"/>
      <c r="PKL39" s="19"/>
      <c r="PKM39" s="19"/>
      <c r="PKN39" s="19"/>
      <c r="PKO39" s="19"/>
      <c r="PKP39" s="19"/>
      <c r="PKQ39" s="19"/>
      <c r="PKR39" s="19"/>
      <c r="PKS39" s="19"/>
      <c r="PKT39" s="19"/>
      <c r="PKU39" s="19"/>
      <c r="PKV39" s="19"/>
      <c r="PKW39" s="19"/>
      <c r="PKX39" s="19"/>
      <c r="PKY39" s="19"/>
      <c r="PKZ39" s="19"/>
      <c r="PLA39" s="19"/>
      <c r="PLB39" s="19"/>
      <c r="PLC39" s="19"/>
      <c r="PLD39" s="19"/>
      <c r="PLE39" s="19"/>
      <c r="PLF39" s="19"/>
      <c r="PLG39" s="19"/>
      <c r="PLH39" s="19"/>
      <c r="PLI39" s="19"/>
      <c r="PLJ39" s="19"/>
      <c r="PLK39" s="19"/>
      <c r="PLL39" s="19"/>
      <c r="PLM39" s="19"/>
      <c r="PLN39" s="19"/>
      <c r="PLO39" s="19"/>
      <c r="PLP39" s="19"/>
      <c r="PLQ39" s="19"/>
      <c r="PLR39" s="19"/>
      <c r="PLS39" s="19"/>
      <c r="PLT39" s="19"/>
      <c r="PLU39" s="19"/>
      <c r="PLV39" s="19"/>
      <c r="PLW39" s="19"/>
      <c r="PLX39" s="19"/>
      <c r="PLY39" s="19"/>
      <c r="PLZ39" s="19"/>
      <c r="PMA39" s="19"/>
      <c r="PMB39" s="19"/>
      <c r="PMC39" s="19"/>
      <c r="PMD39" s="19"/>
      <c r="PME39" s="19"/>
      <c r="PMF39" s="19"/>
      <c r="PMG39" s="19"/>
      <c r="PMH39" s="19"/>
      <c r="PMI39" s="19"/>
      <c r="PMJ39" s="19"/>
      <c r="PMK39" s="19"/>
      <c r="PML39" s="19"/>
      <c r="PMM39" s="19"/>
      <c r="PMN39" s="19"/>
      <c r="PMO39" s="19"/>
      <c r="PMP39" s="19"/>
      <c r="PMQ39" s="19"/>
      <c r="PMR39" s="19"/>
      <c r="PMS39" s="19"/>
      <c r="PMT39" s="19"/>
      <c r="PMU39" s="19"/>
      <c r="PMV39" s="19"/>
      <c r="PMW39" s="19"/>
      <c r="PMX39" s="19"/>
      <c r="PMY39" s="19"/>
      <c r="PMZ39" s="19"/>
      <c r="PNA39" s="19"/>
      <c r="PNB39" s="19"/>
      <c r="PNC39" s="19"/>
      <c r="PND39" s="19"/>
      <c r="PNE39" s="19"/>
      <c r="PNF39" s="19"/>
      <c r="PNG39" s="19"/>
      <c r="PNH39" s="19"/>
      <c r="PNI39" s="19"/>
      <c r="PNJ39" s="19"/>
      <c r="PNK39" s="19"/>
      <c r="PNL39" s="19"/>
      <c r="PNM39" s="19"/>
      <c r="PNN39" s="19"/>
      <c r="PNO39" s="19"/>
      <c r="PNP39" s="19"/>
      <c r="PNQ39" s="19"/>
      <c r="PNR39" s="19"/>
      <c r="PNS39" s="19"/>
      <c r="PNT39" s="19"/>
      <c r="PNU39" s="19"/>
      <c r="PNV39" s="19"/>
      <c r="PNW39" s="19"/>
      <c r="PNX39" s="19"/>
      <c r="PNY39" s="19"/>
      <c r="PNZ39" s="19"/>
      <c r="POA39" s="19"/>
      <c r="POB39" s="19"/>
      <c r="POC39" s="19"/>
      <c r="POD39" s="19"/>
      <c r="POE39" s="19"/>
      <c r="POF39" s="19"/>
      <c r="POG39" s="19"/>
      <c r="POH39" s="19"/>
      <c r="POI39" s="19"/>
      <c r="POJ39" s="19"/>
      <c r="POK39" s="19"/>
      <c r="POL39" s="19"/>
      <c r="POM39" s="19"/>
      <c r="PON39" s="19"/>
      <c r="POO39" s="19"/>
      <c r="POP39" s="19"/>
      <c r="POQ39" s="19"/>
      <c r="POR39" s="19"/>
      <c r="POS39" s="19"/>
      <c r="POT39" s="19"/>
      <c r="POU39" s="19"/>
      <c r="POV39" s="19"/>
      <c r="POW39" s="19"/>
      <c r="POX39" s="19"/>
      <c r="POY39" s="19"/>
      <c r="POZ39" s="19"/>
      <c r="PPA39" s="19"/>
      <c r="PPB39" s="19"/>
      <c r="PPC39" s="19"/>
      <c r="PPD39" s="19"/>
      <c r="PPE39" s="19"/>
      <c r="PPF39" s="19"/>
      <c r="PPG39" s="19"/>
      <c r="PPH39" s="19"/>
      <c r="PPI39" s="19"/>
      <c r="PPJ39" s="19"/>
      <c r="PPK39" s="19"/>
      <c r="PPL39" s="19"/>
      <c r="PPM39" s="19"/>
      <c r="PPN39" s="19"/>
      <c r="PPO39" s="19"/>
      <c r="PPP39" s="19"/>
      <c r="PPQ39" s="19"/>
      <c r="PPR39" s="19"/>
      <c r="PPS39" s="19"/>
      <c r="PPT39" s="19"/>
      <c r="PPU39" s="19"/>
      <c r="PPV39" s="19"/>
      <c r="PPW39" s="19"/>
      <c r="PPX39" s="19"/>
      <c r="PPY39" s="19"/>
      <c r="PPZ39" s="19"/>
      <c r="PQA39" s="19"/>
      <c r="PQB39" s="19"/>
      <c r="PQC39" s="19"/>
      <c r="PQD39" s="19"/>
      <c r="PQE39" s="19"/>
      <c r="PQF39" s="19"/>
      <c r="PQG39" s="19"/>
      <c r="PQH39" s="19"/>
      <c r="PQI39" s="19"/>
      <c r="PQJ39" s="19"/>
      <c r="PQK39" s="19"/>
      <c r="PQL39" s="19"/>
      <c r="PQM39" s="19"/>
      <c r="PQN39" s="19"/>
      <c r="PQO39" s="19"/>
      <c r="PQP39" s="19"/>
      <c r="PQQ39" s="19"/>
      <c r="PQR39" s="19"/>
      <c r="PQS39" s="19"/>
      <c r="PQT39" s="19"/>
      <c r="PQU39" s="19"/>
      <c r="PQV39" s="19"/>
      <c r="PQW39" s="19"/>
      <c r="PQX39" s="19"/>
      <c r="PQY39" s="19"/>
      <c r="PQZ39" s="19"/>
      <c r="PRA39" s="19"/>
      <c r="PRB39" s="19"/>
      <c r="PRC39" s="19"/>
      <c r="PRD39" s="19"/>
      <c r="PRE39" s="19"/>
      <c r="PRF39" s="19"/>
      <c r="PRG39" s="19"/>
      <c r="PRH39" s="19"/>
      <c r="PRI39" s="19"/>
      <c r="PRJ39" s="19"/>
      <c r="PRK39" s="19"/>
      <c r="PRL39" s="19"/>
      <c r="PRM39" s="19"/>
      <c r="PRN39" s="19"/>
      <c r="PRO39" s="19"/>
      <c r="PRP39" s="19"/>
      <c r="PRQ39" s="19"/>
      <c r="PRR39" s="19"/>
      <c r="PRS39" s="19"/>
      <c r="PRT39" s="19"/>
      <c r="PRU39" s="19"/>
      <c r="PRV39" s="19"/>
      <c r="PRW39" s="19"/>
      <c r="PRX39" s="19"/>
      <c r="PRY39" s="19"/>
      <c r="PRZ39" s="19"/>
      <c r="PSA39" s="19"/>
      <c r="PSB39" s="19"/>
      <c r="PSC39" s="19"/>
      <c r="PSD39" s="19"/>
      <c r="PSE39" s="19"/>
      <c r="PSF39" s="19"/>
      <c r="PSG39" s="19"/>
      <c r="PSH39" s="19"/>
      <c r="PSI39" s="19"/>
      <c r="PSJ39" s="19"/>
      <c r="PSK39" s="19"/>
      <c r="PSL39" s="19"/>
      <c r="PSM39" s="19"/>
      <c r="PSN39" s="19"/>
      <c r="PSO39" s="19"/>
      <c r="PSP39" s="19"/>
      <c r="PSQ39" s="19"/>
      <c r="PSR39" s="19"/>
      <c r="PSS39" s="19"/>
      <c r="PST39" s="19"/>
      <c r="PSU39" s="19"/>
      <c r="PSV39" s="19"/>
      <c r="PSW39" s="19"/>
      <c r="PSX39" s="19"/>
      <c r="PSY39" s="19"/>
      <c r="PSZ39" s="19"/>
      <c r="PTA39" s="19"/>
      <c r="PTB39" s="19"/>
      <c r="PTC39" s="19"/>
      <c r="PTD39" s="19"/>
      <c r="PTE39" s="19"/>
      <c r="PTF39" s="19"/>
      <c r="PTG39" s="19"/>
      <c r="PTH39" s="19"/>
      <c r="PTI39" s="19"/>
      <c r="PTJ39" s="19"/>
      <c r="PTK39" s="19"/>
      <c r="PTL39" s="19"/>
      <c r="PTM39" s="19"/>
      <c r="PTN39" s="19"/>
      <c r="PTO39" s="19"/>
      <c r="PTP39" s="19"/>
      <c r="PTQ39" s="19"/>
      <c r="PTR39" s="19"/>
      <c r="PTS39" s="19"/>
      <c r="PTT39" s="19"/>
      <c r="PTU39" s="19"/>
      <c r="PTV39" s="19"/>
      <c r="PTW39" s="19"/>
      <c r="PTX39" s="19"/>
      <c r="PTY39" s="19"/>
      <c r="PTZ39" s="19"/>
      <c r="PUA39" s="19"/>
      <c r="PUB39" s="19"/>
      <c r="PUC39" s="19"/>
      <c r="PUD39" s="19"/>
      <c r="PUE39" s="19"/>
      <c r="PUF39" s="19"/>
      <c r="PUG39" s="19"/>
      <c r="PUH39" s="19"/>
      <c r="PUI39" s="19"/>
      <c r="PUJ39" s="19"/>
      <c r="PUK39" s="19"/>
      <c r="PUL39" s="19"/>
      <c r="PUM39" s="19"/>
      <c r="PUN39" s="19"/>
      <c r="PUO39" s="19"/>
      <c r="PUP39" s="19"/>
      <c r="PUQ39" s="19"/>
      <c r="PUR39" s="19"/>
      <c r="PUS39" s="19"/>
      <c r="PUT39" s="19"/>
      <c r="PUU39" s="19"/>
      <c r="PUV39" s="19"/>
      <c r="PUW39" s="19"/>
      <c r="PUX39" s="19"/>
      <c r="PUY39" s="19"/>
      <c r="PUZ39" s="19"/>
      <c r="PVA39" s="19"/>
      <c r="PVB39" s="19"/>
      <c r="PVC39" s="19"/>
      <c r="PVD39" s="19"/>
      <c r="PVE39" s="19"/>
      <c r="PVF39" s="19"/>
      <c r="PVG39" s="19"/>
      <c r="PVH39" s="19"/>
      <c r="PVI39" s="19"/>
      <c r="PVJ39" s="19"/>
      <c r="PVK39" s="19"/>
      <c r="PVL39" s="19"/>
      <c r="PVM39" s="19"/>
      <c r="PVN39" s="19"/>
      <c r="PVO39" s="19"/>
      <c r="PVP39" s="19"/>
      <c r="PVQ39" s="19"/>
      <c r="PVR39" s="19"/>
      <c r="PVS39" s="19"/>
      <c r="PVT39" s="19"/>
      <c r="PVU39" s="19"/>
      <c r="PVV39" s="19"/>
      <c r="PVW39" s="19"/>
      <c r="PVX39" s="19"/>
      <c r="PVY39" s="19"/>
      <c r="PVZ39" s="19"/>
      <c r="PWA39" s="19"/>
      <c r="PWB39" s="19"/>
      <c r="PWC39" s="19"/>
      <c r="PWD39" s="19"/>
      <c r="PWE39" s="19"/>
      <c r="PWF39" s="19"/>
      <c r="PWG39" s="19"/>
      <c r="PWH39" s="19"/>
      <c r="PWI39" s="19"/>
      <c r="PWJ39" s="19"/>
      <c r="PWK39" s="19"/>
      <c r="PWL39" s="19"/>
      <c r="PWM39" s="19"/>
      <c r="PWN39" s="19"/>
      <c r="PWO39" s="19"/>
      <c r="PWP39" s="19"/>
      <c r="PWQ39" s="19"/>
      <c r="PWR39" s="19"/>
      <c r="PWS39" s="19"/>
      <c r="PWT39" s="19"/>
      <c r="PWU39" s="19"/>
      <c r="PWV39" s="19"/>
      <c r="PWW39" s="19"/>
      <c r="PWX39" s="19"/>
      <c r="PWY39" s="19"/>
      <c r="PWZ39" s="19"/>
      <c r="PXA39" s="19"/>
      <c r="PXB39" s="19"/>
      <c r="PXC39" s="19"/>
      <c r="PXD39" s="19"/>
      <c r="PXE39" s="19"/>
      <c r="PXF39" s="19"/>
      <c r="PXG39" s="19"/>
      <c r="PXH39" s="19"/>
      <c r="PXI39" s="19"/>
      <c r="PXJ39" s="19"/>
      <c r="PXK39" s="19"/>
      <c r="PXL39" s="19"/>
      <c r="PXM39" s="19"/>
      <c r="PXN39" s="19"/>
      <c r="PXO39" s="19"/>
      <c r="PXP39" s="19"/>
      <c r="PXQ39" s="19"/>
      <c r="PXR39" s="19"/>
      <c r="PXS39" s="19"/>
      <c r="PXT39" s="19"/>
      <c r="PXU39" s="19"/>
      <c r="PXV39" s="19"/>
      <c r="PXW39" s="19"/>
      <c r="PXX39" s="19"/>
      <c r="PXY39" s="19"/>
      <c r="PXZ39" s="19"/>
      <c r="PYA39" s="19"/>
      <c r="PYB39" s="19"/>
      <c r="PYC39" s="19"/>
      <c r="PYD39" s="19"/>
      <c r="PYE39" s="19"/>
      <c r="PYF39" s="19"/>
      <c r="PYG39" s="19"/>
      <c r="PYH39" s="19"/>
      <c r="PYI39" s="19"/>
      <c r="PYJ39" s="19"/>
      <c r="PYK39" s="19"/>
      <c r="PYL39" s="19"/>
      <c r="PYM39" s="19"/>
      <c r="PYN39" s="19"/>
      <c r="PYO39" s="19"/>
      <c r="PYP39" s="19"/>
      <c r="PYQ39" s="19"/>
      <c r="PYR39" s="19"/>
      <c r="PYS39" s="19"/>
      <c r="PYT39" s="19"/>
      <c r="PYU39" s="19"/>
      <c r="PYV39" s="19"/>
      <c r="PYW39" s="19"/>
      <c r="PYX39" s="19"/>
      <c r="PYY39" s="19"/>
      <c r="PYZ39" s="19"/>
      <c r="PZA39" s="19"/>
      <c r="PZB39" s="19"/>
      <c r="PZC39" s="19"/>
      <c r="PZD39" s="19"/>
      <c r="PZE39" s="19"/>
      <c r="PZF39" s="19"/>
      <c r="PZG39" s="19"/>
      <c r="PZH39" s="19"/>
      <c r="PZI39" s="19"/>
      <c r="PZJ39" s="19"/>
      <c r="PZK39" s="19"/>
      <c r="PZL39" s="19"/>
      <c r="PZM39" s="19"/>
      <c r="PZN39" s="19"/>
      <c r="PZO39" s="19"/>
      <c r="PZP39" s="19"/>
      <c r="PZQ39" s="19"/>
      <c r="PZR39" s="19"/>
      <c r="PZS39" s="19"/>
      <c r="PZT39" s="19"/>
      <c r="PZU39" s="19"/>
      <c r="PZV39" s="19"/>
      <c r="PZW39" s="19"/>
      <c r="PZX39" s="19"/>
      <c r="PZY39" s="19"/>
      <c r="PZZ39" s="19"/>
      <c r="QAA39" s="19"/>
      <c r="QAB39" s="19"/>
      <c r="QAC39" s="19"/>
      <c r="QAD39" s="19"/>
      <c r="QAE39" s="19"/>
      <c r="QAF39" s="19"/>
      <c r="QAG39" s="19"/>
      <c r="QAH39" s="19"/>
      <c r="QAI39" s="19"/>
      <c r="QAJ39" s="19"/>
      <c r="QAK39" s="19"/>
      <c r="QAL39" s="19"/>
      <c r="QAM39" s="19"/>
      <c r="QAN39" s="19"/>
      <c r="QAO39" s="19"/>
      <c r="QAP39" s="19"/>
      <c r="QAQ39" s="19"/>
      <c r="QAR39" s="19"/>
      <c r="QAS39" s="19"/>
      <c r="QAT39" s="19"/>
      <c r="QAU39" s="19"/>
      <c r="QAV39" s="19"/>
      <c r="QAW39" s="19"/>
      <c r="QAX39" s="19"/>
      <c r="QAY39" s="19"/>
      <c r="QAZ39" s="19"/>
      <c r="QBA39" s="19"/>
      <c r="QBB39" s="19"/>
      <c r="QBC39" s="19"/>
      <c r="QBD39" s="19"/>
      <c r="QBE39" s="19"/>
      <c r="QBF39" s="19"/>
      <c r="QBG39" s="19"/>
      <c r="QBH39" s="19"/>
      <c r="QBI39" s="19"/>
      <c r="QBJ39" s="19"/>
      <c r="QBK39" s="19"/>
      <c r="QBL39" s="19"/>
      <c r="QBM39" s="19"/>
      <c r="QBN39" s="19"/>
      <c r="QBO39" s="19"/>
      <c r="QBP39" s="19"/>
      <c r="QBQ39" s="19"/>
      <c r="QBR39" s="19"/>
      <c r="QBS39" s="19"/>
      <c r="QBT39" s="19"/>
      <c r="QBU39" s="19"/>
      <c r="QBV39" s="19"/>
      <c r="QBW39" s="19"/>
      <c r="QBX39" s="19"/>
      <c r="QBY39" s="19"/>
      <c r="QBZ39" s="19"/>
      <c r="QCA39" s="19"/>
      <c r="QCB39" s="19"/>
      <c r="QCC39" s="19"/>
      <c r="QCD39" s="19"/>
      <c r="QCE39" s="19"/>
      <c r="QCF39" s="19"/>
      <c r="QCG39" s="19"/>
      <c r="QCH39" s="19"/>
      <c r="QCI39" s="19"/>
      <c r="QCJ39" s="19"/>
      <c r="QCK39" s="19"/>
      <c r="QCL39" s="19"/>
      <c r="QCM39" s="19"/>
      <c r="QCN39" s="19"/>
      <c r="QCO39" s="19"/>
      <c r="QCP39" s="19"/>
      <c r="QCQ39" s="19"/>
      <c r="QCR39" s="19"/>
      <c r="QCS39" s="19"/>
      <c r="QCT39" s="19"/>
      <c r="QCU39" s="19"/>
      <c r="QCV39" s="19"/>
      <c r="QCW39" s="19"/>
      <c r="QCX39" s="19"/>
      <c r="QCY39" s="19"/>
      <c r="QCZ39" s="19"/>
      <c r="QDA39" s="19"/>
      <c r="QDB39" s="19"/>
      <c r="QDC39" s="19"/>
      <c r="QDD39" s="19"/>
      <c r="QDE39" s="19"/>
      <c r="QDF39" s="19"/>
      <c r="QDG39" s="19"/>
      <c r="QDH39" s="19"/>
      <c r="QDI39" s="19"/>
      <c r="QDJ39" s="19"/>
      <c r="QDK39" s="19"/>
      <c r="QDL39" s="19"/>
      <c r="QDM39" s="19"/>
      <c r="QDN39" s="19"/>
      <c r="QDO39" s="19"/>
      <c r="QDP39" s="19"/>
      <c r="QDQ39" s="19"/>
      <c r="QDR39" s="19"/>
      <c r="QDS39" s="19"/>
      <c r="QDT39" s="19"/>
      <c r="QDU39" s="19"/>
      <c r="QDV39" s="19"/>
      <c r="QDW39" s="19"/>
      <c r="QDX39" s="19"/>
      <c r="QDY39" s="19"/>
      <c r="QDZ39" s="19"/>
      <c r="QEA39" s="19"/>
      <c r="QEB39" s="19"/>
      <c r="QEC39" s="19"/>
      <c r="QED39" s="19"/>
      <c r="QEE39" s="19"/>
      <c r="QEF39" s="19"/>
      <c r="QEG39" s="19"/>
      <c r="QEH39" s="19"/>
      <c r="QEI39" s="19"/>
      <c r="QEJ39" s="19"/>
      <c r="QEK39" s="19"/>
      <c r="QEL39" s="19"/>
      <c r="QEM39" s="19"/>
      <c r="QEN39" s="19"/>
      <c r="QEO39" s="19"/>
      <c r="QEP39" s="19"/>
      <c r="QEQ39" s="19"/>
      <c r="QER39" s="19"/>
      <c r="QES39" s="19"/>
      <c r="QET39" s="19"/>
      <c r="QEU39" s="19"/>
      <c r="QEV39" s="19"/>
      <c r="QEW39" s="19"/>
      <c r="QEX39" s="19"/>
      <c r="QEY39" s="19"/>
      <c r="QEZ39" s="19"/>
      <c r="QFA39" s="19"/>
      <c r="QFB39" s="19"/>
      <c r="QFC39" s="19"/>
      <c r="QFD39" s="19"/>
      <c r="QFE39" s="19"/>
      <c r="QFF39" s="19"/>
      <c r="QFG39" s="19"/>
      <c r="QFH39" s="19"/>
      <c r="QFI39" s="19"/>
      <c r="QFJ39" s="19"/>
      <c r="QFK39" s="19"/>
      <c r="QFL39" s="19"/>
      <c r="QFM39" s="19"/>
      <c r="QFN39" s="19"/>
      <c r="QFO39" s="19"/>
      <c r="QFP39" s="19"/>
      <c r="QFQ39" s="19"/>
      <c r="QFR39" s="19"/>
      <c r="QFS39" s="19"/>
      <c r="QFT39" s="19"/>
      <c r="QFU39" s="19"/>
      <c r="QFV39" s="19"/>
      <c r="QFW39" s="19"/>
      <c r="QFX39" s="19"/>
      <c r="QFY39" s="19"/>
      <c r="QFZ39" s="19"/>
      <c r="QGA39" s="19"/>
      <c r="QGB39" s="19"/>
      <c r="QGC39" s="19"/>
      <c r="QGD39" s="19"/>
      <c r="QGE39" s="19"/>
      <c r="QGF39" s="19"/>
      <c r="QGG39" s="19"/>
      <c r="QGH39" s="19"/>
      <c r="QGI39" s="19"/>
      <c r="QGJ39" s="19"/>
      <c r="QGK39" s="19"/>
      <c r="QGL39" s="19"/>
      <c r="QGM39" s="19"/>
      <c r="QGN39" s="19"/>
      <c r="QGO39" s="19"/>
      <c r="QGP39" s="19"/>
      <c r="QGQ39" s="19"/>
      <c r="QGR39" s="19"/>
      <c r="QGS39" s="19"/>
      <c r="QGT39" s="19"/>
      <c r="QGU39" s="19"/>
      <c r="QGV39" s="19"/>
      <c r="QGW39" s="19"/>
      <c r="QGX39" s="19"/>
      <c r="QGY39" s="19"/>
      <c r="QGZ39" s="19"/>
      <c r="QHA39" s="19"/>
      <c r="QHB39" s="19"/>
      <c r="QHC39" s="19"/>
      <c r="QHD39" s="19"/>
      <c r="QHE39" s="19"/>
      <c r="QHF39" s="19"/>
      <c r="QHG39" s="19"/>
      <c r="QHH39" s="19"/>
      <c r="QHI39" s="19"/>
      <c r="QHJ39" s="19"/>
      <c r="QHK39" s="19"/>
      <c r="QHL39" s="19"/>
      <c r="QHM39" s="19"/>
      <c r="QHN39" s="19"/>
      <c r="QHO39" s="19"/>
      <c r="QHP39" s="19"/>
      <c r="QHQ39" s="19"/>
      <c r="QHR39" s="19"/>
      <c r="QHS39" s="19"/>
      <c r="QHT39" s="19"/>
      <c r="QHU39" s="19"/>
      <c r="QHV39" s="19"/>
      <c r="QHW39" s="19"/>
      <c r="QHX39" s="19"/>
      <c r="QHY39" s="19"/>
      <c r="QHZ39" s="19"/>
      <c r="QIA39" s="19"/>
      <c r="QIB39" s="19"/>
      <c r="QIC39" s="19"/>
      <c r="QID39" s="19"/>
      <c r="QIE39" s="19"/>
      <c r="QIF39" s="19"/>
      <c r="QIG39" s="19"/>
      <c r="QIH39" s="19"/>
      <c r="QII39" s="19"/>
      <c r="QIJ39" s="19"/>
      <c r="QIK39" s="19"/>
      <c r="QIL39" s="19"/>
      <c r="QIM39" s="19"/>
      <c r="QIN39" s="19"/>
      <c r="QIO39" s="19"/>
      <c r="QIP39" s="19"/>
      <c r="QIQ39" s="19"/>
      <c r="QIR39" s="19"/>
      <c r="QIS39" s="19"/>
      <c r="QIT39" s="19"/>
      <c r="QIU39" s="19"/>
      <c r="QIV39" s="19"/>
      <c r="QIW39" s="19"/>
      <c r="QIX39" s="19"/>
      <c r="QIY39" s="19"/>
      <c r="QIZ39" s="19"/>
      <c r="QJA39" s="19"/>
      <c r="QJB39" s="19"/>
      <c r="QJC39" s="19"/>
      <c r="QJD39" s="19"/>
      <c r="QJE39" s="19"/>
      <c r="QJF39" s="19"/>
      <c r="QJG39" s="19"/>
      <c r="QJH39" s="19"/>
      <c r="QJI39" s="19"/>
      <c r="QJJ39" s="19"/>
      <c r="QJK39" s="19"/>
      <c r="QJL39" s="19"/>
      <c r="QJM39" s="19"/>
      <c r="QJN39" s="19"/>
      <c r="QJO39" s="19"/>
      <c r="QJP39" s="19"/>
      <c r="QJQ39" s="19"/>
      <c r="QJR39" s="19"/>
      <c r="QJS39" s="19"/>
      <c r="QJT39" s="19"/>
      <c r="QJU39" s="19"/>
      <c r="QJV39" s="19"/>
      <c r="QJW39" s="19"/>
      <c r="QJX39" s="19"/>
      <c r="QJY39" s="19"/>
      <c r="QJZ39" s="19"/>
      <c r="QKA39" s="19"/>
      <c r="QKB39" s="19"/>
      <c r="QKC39" s="19"/>
      <c r="QKD39" s="19"/>
      <c r="QKE39" s="19"/>
      <c r="QKF39" s="19"/>
      <c r="QKG39" s="19"/>
      <c r="QKH39" s="19"/>
      <c r="QKI39" s="19"/>
      <c r="QKJ39" s="19"/>
      <c r="QKK39" s="19"/>
      <c r="QKL39" s="19"/>
      <c r="QKM39" s="19"/>
      <c r="QKN39" s="19"/>
      <c r="QKO39" s="19"/>
      <c r="QKP39" s="19"/>
      <c r="QKQ39" s="19"/>
      <c r="QKR39" s="19"/>
      <c r="QKS39" s="19"/>
      <c r="QKT39" s="19"/>
      <c r="QKU39" s="19"/>
      <c r="QKV39" s="19"/>
      <c r="QKW39" s="19"/>
      <c r="QKX39" s="19"/>
      <c r="QKY39" s="19"/>
      <c r="QKZ39" s="19"/>
      <c r="QLA39" s="19"/>
      <c r="QLB39" s="19"/>
      <c r="QLC39" s="19"/>
      <c r="QLD39" s="19"/>
      <c r="QLE39" s="19"/>
      <c r="QLF39" s="19"/>
      <c r="QLG39" s="19"/>
      <c r="QLH39" s="19"/>
      <c r="QLI39" s="19"/>
      <c r="QLJ39" s="19"/>
      <c r="QLK39" s="19"/>
      <c r="QLL39" s="19"/>
      <c r="QLM39" s="19"/>
      <c r="QLN39" s="19"/>
      <c r="QLO39" s="19"/>
      <c r="QLP39" s="19"/>
      <c r="QLQ39" s="19"/>
      <c r="QLR39" s="19"/>
      <c r="QLS39" s="19"/>
      <c r="QLT39" s="19"/>
      <c r="QLU39" s="19"/>
      <c r="QLV39" s="19"/>
      <c r="QLW39" s="19"/>
      <c r="QLX39" s="19"/>
      <c r="QLY39" s="19"/>
      <c r="QLZ39" s="19"/>
      <c r="QMA39" s="19"/>
      <c r="QMB39" s="19"/>
      <c r="QMC39" s="19"/>
      <c r="QMD39" s="19"/>
      <c r="QME39" s="19"/>
      <c r="QMF39" s="19"/>
      <c r="QMG39" s="19"/>
      <c r="QMH39" s="19"/>
      <c r="QMI39" s="19"/>
      <c r="QMJ39" s="19"/>
      <c r="QMK39" s="19"/>
      <c r="QML39" s="19"/>
      <c r="QMM39" s="19"/>
      <c r="QMN39" s="19"/>
      <c r="QMO39" s="19"/>
      <c r="QMP39" s="19"/>
      <c r="QMQ39" s="19"/>
      <c r="QMR39" s="19"/>
      <c r="QMS39" s="19"/>
      <c r="QMT39" s="19"/>
      <c r="QMU39" s="19"/>
      <c r="QMV39" s="19"/>
      <c r="QMW39" s="19"/>
      <c r="QMX39" s="19"/>
      <c r="QMY39" s="19"/>
      <c r="QMZ39" s="19"/>
      <c r="QNA39" s="19"/>
      <c r="QNB39" s="19"/>
      <c r="QNC39" s="19"/>
      <c r="QND39" s="19"/>
      <c r="QNE39" s="19"/>
      <c r="QNF39" s="19"/>
      <c r="QNG39" s="19"/>
      <c r="QNH39" s="19"/>
      <c r="QNI39" s="19"/>
      <c r="QNJ39" s="19"/>
      <c r="QNK39" s="19"/>
      <c r="QNL39" s="19"/>
      <c r="QNM39" s="19"/>
      <c r="QNN39" s="19"/>
      <c r="QNO39" s="19"/>
      <c r="QNP39" s="19"/>
      <c r="QNQ39" s="19"/>
      <c r="QNR39" s="19"/>
      <c r="QNS39" s="19"/>
      <c r="QNT39" s="19"/>
      <c r="QNU39" s="19"/>
      <c r="QNV39" s="19"/>
      <c r="QNW39" s="19"/>
      <c r="QNX39" s="19"/>
      <c r="QNY39" s="19"/>
      <c r="QNZ39" s="19"/>
      <c r="QOA39" s="19"/>
      <c r="QOB39" s="19"/>
      <c r="QOC39" s="19"/>
      <c r="QOD39" s="19"/>
      <c r="QOE39" s="19"/>
      <c r="QOF39" s="19"/>
      <c r="QOG39" s="19"/>
      <c r="QOH39" s="19"/>
      <c r="QOI39" s="19"/>
      <c r="QOJ39" s="19"/>
      <c r="QOK39" s="19"/>
      <c r="QOL39" s="19"/>
      <c r="QOM39" s="19"/>
      <c r="QON39" s="19"/>
      <c r="QOO39" s="19"/>
      <c r="QOP39" s="19"/>
      <c r="QOQ39" s="19"/>
      <c r="QOR39" s="19"/>
      <c r="QOS39" s="19"/>
      <c r="QOT39" s="19"/>
      <c r="QOU39" s="19"/>
      <c r="QOV39" s="19"/>
      <c r="QOW39" s="19"/>
      <c r="QOX39" s="19"/>
      <c r="QOY39" s="19"/>
      <c r="QOZ39" s="19"/>
      <c r="QPA39" s="19"/>
      <c r="QPB39" s="19"/>
      <c r="QPC39" s="19"/>
      <c r="QPD39" s="19"/>
      <c r="QPE39" s="19"/>
      <c r="QPF39" s="19"/>
      <c r="QPG39" s="19"/>
      <c r="QPH39" s="19"/>
      <c r="QPI39" s="19"/>
      <c r="QPJ39" s="19"/>
      <c r="QPK39" s="19"/>
      <c r="QPL39" s="19"/>
      <c r="QPM39" s="19"/>
      <c r="QPN39" s="19"/>
      <c r="QPO39" s="19"/>
      <c r="QPP39" s="19"/>
      <c r="QPQ39" s="19"/>
      <c r="QPR39" s="19"/>
      <c r="QPS39" s="19"/>
      <c r="QPT39" s="19"/>
      <c r="QPU39" s="19"/>
      <c r="QPV39" s="19"/>
      <c r="QPW39" s="19"/>
      <c r="QPX39" s="19"/>
      <c r="QPY39" s="19"/>
      <c r="QPZ39" s="19"/>
      <c r="QQA39" s="19"/>
      <c r="QQB39" s="19"/>
      <c r="QQC39" s="19"/>
      <c r="QQD39" s="19"/>
      <c r="QQE39" s="19"/>
      <c r="QQF39" s="19"/>
      <c r="QQG39" s="19"/>
      <c r="QQH39" s="19"/>
      <c r="QQI39" s="19"/>
      <c r="QQJ39" s="19"/>
      <c r="QQK39" s="19"/>
      <c r="QQL39" s="19"/>
      <c r="QQM39" s="19"/>
      <c r="QQN39" s="19"/>
      <c r="QQO39" s="19"/>
      <c r="QQP39" s="19"/>
      <c r="QQQ39" s="19"/>
      <c r="QQR39" s="19"/>
      <c r="QQS39" s="19"/>
      <c r="QQT39" s="19"/>
      <c r="QQU39" s="19"/>
      <c r="QQV39" s="19"/>
      <c r="QQW39" s="19"/>
      <c r="QQX39" s="19"/>
      <c r="QQY39" s="19"/>
      <c r="QQZ39" s="19"/>
      <c r="QRA39" s="19"/>
      <c r="QRB39" s="19"/>
      <c r="QRC39" s="19"/>
      <c r="QRD39" s="19"/>
      <c r="QRE39" s="19"/>
      <c r="QRF39" s="19"/>
      <c r="QRG39" s="19"/>
      <c r="QRH39" s="19"/>
      <c r="QRI39" s="19"/>
      <c r="QRJ39" s="19"/>
      <c r="QRK39" s="19"/>
      <c r="QRL39" s="19"/>
      <c r="QRM39" s="19"/>
      <c r="QRN39" s="19"/>
      <c r="QRO39" s="19"/>
      <c r="QRP39" s="19"/>
      <c r="QRQ39" s="19"/>
      <c r="QRR39" s="19"/>
      <c r="QRS39" s="19"/>
      <c r="QRT39" s="19"/>
      <c r="QRU39" s="19"/>
      <c r="QRV39" s="19"/>
      <c r="QRW39" s="19"/>
      <c r="QRX39" s="19"/>
      <c r="QRY39" s="19"/>
      <c r="QRZ39" s="19"/>
      <c r="QSA39" s="19"/>
      <c r="QSB39" s="19"/>
      <c r="QSC39" s="19"/>
      <c r="QSD39" s="19"/>
      <c r="QSE39" s="19"/>
      <c r="QSF39" s="19"/>
      <c r="QSG39" s="19"/>
      <c r="QSH39" s="19"/>
      <c r="QSI39" s="19"/>
      <c r="QSJ39" s="19"/>
      <c r="QSK39" s="19"/>
      <c r="QSL39" s="19"/>
      <c r="QSM39" s="19"/>
      <c r="QSN39" s="19"/>
      <c r="QSO39" s="19"/>
      <c r="QSP39" s="19"/>
      <c r="QSQ39" s="19"/>
      <c r="QSR39" s="19"/>
      <c r="QSS39" s="19"/>
      <c r="QST39" s="19"/>
      <c r="QSU39" s="19"/>
      <c r="QSV39" s="19"/>
      <c r="QSW39" s="19"/>
      <c r="QSX39" s="19"/>
      <c r="QSY39" s="19"/>
      <c r="QSZ39" s="19"/>
      <c r="QTA39" s="19"/>
      <c r="QTB39" s="19"/>
      <c r="QTC39" s="19"/>
      <c r="QTD39" s="19"/>
      <c r="QTE39" s="19"/>
      <c r="QTF39" s="19"/>
      <c r="QTG39" s="19"/>
      <c r="QTH39" s="19"/>
      <c r="QTI39" s="19"/>
      <c r="QTJ39" s="19"/>
      <c r="QTK39" s="19"/>
      <c r="QTL39" s="19"/>
      <c r="QTM39" s="19"/>
      <c r="QTN39" s="19"/>
      <c r="QTO39" s="19"/>
      <c r="QTP39" s="19"/>
      <c r="QTQ39" s="19"/>
      <c r="QTR39" s="19"/>
      <c r="QTS39" s="19"/>
      <c r="QTT39" s="19"/>
      <c r="QTU39" s="19"/>
      <c r="QTV39" s="19"/>
      <c r="QTW39" s="19"/>
      <c r="QTX39" s="19"/>
      <c r="QTY39" s="19"/>
      <c r="QTZ39" s="19"/>
      <c r="QUA39" s="19"/>
      <c r="QUB39" s="19"/>
      <c r="QUC39" s="19"/>
      <c r="QUD39" s="19"/>
      <c r="QUE39" s="19"/>
      <c r="QUF39" s="19"/>
      <c r="QUG39" s="19"/>
      <c r="QUH39" s="19"/>
      <c r="QUI39" s="19"/>
      <c r="QUJ39" s="19"/>
      <c r="QUK39" s="19"/>
      <c r="QUL39" s="19"/>
      <c r="QUM39" s="19"/>
      <c r="QUN39" s="19"/>
      <c r="QUO39" s="19"/>
      <c r="QUP39" s="19"/>
      <c r="QUQ39" s="19"/>
      <c r="QUR39" s="19"/>
      <c r="QUS39" s="19"/>
      <c r="QUT39" s="19"/>
      <c r="QUU39" s="19"/>
      <c r="QUV39" s="19"/>
      <c r="QUW39" s="19"/>
      <c r="QUX39" s="19"/>
      <c r="QUY39" s="19"/>
      <c r="QUZ39" s="19"/>
      <c r="QVA39" s="19"/>
      <c r="QVB39" s="19"/>
      <c r="QVC39" s="19"/>
      <c r="QVD39" s="19"/>
      <c r="QVE39" s="19"/>
      <c r="QVF39" s="19"/>
      <c r="QVG39" s="19"/>
      <c r="QVH39" s="19"/>
      <c r="QVI39" s="19"/>
      <c r="QVJ39" s="19"/>
      <c r="QVK39" s="19"/>
      <c r="QVL39" s="19"/>
      <c r="QVM39" s="19"/>
      <c r="QVN39" s="19"/>
      <c r="QVO39" s="19"/>
      <c r="QVP39" s="19"/>
      <c r="QVQ39" s="19"/>
      <c r="QVR39" s="19"/>
      <c r="QVS39" s="19"/>
      <c r="QVT39" s="19"/>
      <c r="QVU39" s="19"/>
      <c r="QVV39" s="19"/>
      <c r="QVW39" s="19"/>
      <c r="QVX39" s="19"/>
      <c r="QVY39" s="19"/>
      <c r="QVZ39" s="19"/>
      <c r="QWA39" s="19"/>
      <c r="QWB39" s="19"/>
      <c r="QWC39" s="19"/>
      <c r="QWD39" s="19"/>
      <c r="QWE39" s="19"/>
      <c r="QWF39" s="19"/>
      <c r="QWG39" s="19"/>
      <c r="QWH39" s="19"/>
      <c r="QWI39" s="19"/>
      <c r="QWJ39" s="19"/>
      <c r="QWK39" s="19"/>
      <c r="QWL39" s="19"/>
      <c r="QWM39" s="19"/>
      <c r="QWN39" s="19"/>
      <c r="QWO39" s="19"/>
      <c r="QWP39" s="19"/>
      <c r="QWQ39" s="19"/>
      <c r="QWR39" s="19"/>
      <c r="QWS39" s="19"/>
      <c r="QWT39" s="19"/>
      <c r="QWU39" s="19"/>
      <c r="QWV39" s="19"/>
      <c r="QWW39" s="19"/>
      <c r="QWX39" s="19"/>
      <c r="QWY39" s="19"/>
      <c r="QWZ39" s="19"/>
      <c r="QXA39" s="19"/>
      <c r="QXB39" s="19"/>
      <c r="QXC39" s="19"/>
      <c r="QXD39" s="19"/>
      <c r="QXE39" s="19"/>
      <c r="QXF39" s="19"/>
      <c r="QXG39" s="19"/>
      <c r="QXH39" s="19"/>
      <c r="QXI39" s="19"/>
      <c r="QXJ39" s="19"/>
      <c r="QXK39" s="19"/>
      <c r="QXL39" s="19"/>
      <c r="QXM39" s="19"/>
      <c r="QXN39" s="19"/>
      <c r="QXO39" s="19"/>
      <c r="QXP39" s="19"/>
      <c r="QXQ39" s="19"/>
      <c r="QXR39" s="19"/>
      <c r="QXS39" s="19"/>
      <c r="QXT39" s="19"/>
      <c r="QXU39" s="19"/>
      <c r="QXV39" s="19"/>
      <c r="QXW39" s="19"/>
      <c r="QXX39" s="19"/>
      <c r="QXY39" s="19"/>
      <c r="QXZ39" s="19"/>
      <c r="QYA39" s="19"/>
      <c r="QYB39" s="19"/>
      <c r="QYC39" s="19"/>
      <c r="QYD39" s="19"/>
      <c r="QYE39" s="19"/>
      <c r="QYF39" s="19"/>
      <c r="QYG39" s="19"/>
      <c r="QYH39" s="19"/>
      <c r="QYI39" s="19"/>
      <c r="QYJ39" s="19"/>
      <c r="QYK39" s="19"/>
      <c r="QYL39" s="19"/>
      <c r="QYM39" s="19"/>
      <c r="QYN39" s="19"/>
      <c r="QYO39" s="19"/>
      <c r="QYP39" s="19"/>
      <c r="QYQ39" s="19"/>
      <c r="QYR39" s="19"/>
      <c r="QYS39" s="19"/>
      <c r="QYT39" s="19"/>
      <c r="QYU39" s="19"/>
      <c r="QYV39" s="19"/>
      <c r="QYW39" s="19"/>
      <c r="QYX39" s="19"/>
      <c r="QYY39" s="19"/>
      <c r="QYZ39" s="19"/>
      <c r="QZA39" s="19"/>
      <c r="QZB39" s="19"/>
      <c r="QZC39" s="19"/>
      <c r="QZD39" s="19"/>
      <c r="QZE39" s="19"/>
      <c r="QZF39" s="19"/>
      <c r="QZG39" s="19"/>
      <c r="QZH39" s="19"/>
      <c r="QZI39" s="19"/>
      <c r="QZJ39" s="19"/>
      <c r="QZK39" s="19"/>
      <c r="QZL39" s="19"/>
      <c r="QZM39" s="19"/>
      <c r="QZN39" s="19"/>
      <c r="QZO39" s="19"/>
      <c r="QZP39" s="19"/>
      <c r="QZQ39" s="19"/>
      <c r="QZR39" s="19"/>
      <c r="QZS39" s="19"/>
      <c r="QZT39" s="19"/>
      <c r="QZU39" s="19"/>
      <c r="QZV39" s="19"/>
      <c r="QZW39" s="19"/>
      <c r="QZX39" s="19"/>
      <c r="QZY39" s="19"/>
      <c r="QZZ39" s="19"/>
      <c r="RAA39" s="19"/>
      <c r="RAB39" s="19"/>
      <c r="RAC39" s="19"/>
      <c r="RAD39" s="19"/>
      <c r="RAE39" s="19"/>
      <c r="RAF39" s="19"/>
      <c r="RAG39" s="19"/>
      <c r="RAH39" s="19"/>
      <c r="RAI39" s="19"/>
      <c r="RAJ39" s="19"/>
      <c r="RAK39" s="19"/>
      <c r="RAL39" s="19"/>
      <c r="RAM39" s="19"/>
      <c r="RAN39" s="19"/>
      <c r="RAO39" s="19"/>
      <c r="RAP39" s="19"/>
      <c r="RAQ39" s="19"/>
      <c r="RAR39" s="19"/>
      <c r="RAS39" s="19"/>
      <c r="RAT39" s="19"/>
      <c r="RAU39" s="19"/>
      <c r="RAV39" s="19"/>
      <c r="RAW39" s="19"/>
      <c r="RAX39" s="19"/>
      <c r="RAY39" s="19"/>
      <c r="RAZ39" s="19"/>
      <c r="RBA39" s="19"/>
      <c r="RBB39" s="19"/>
      <c r="RBC39" s="19"/>
      <c r="RBD39" s="19"/>
      <c r="RBE39" s="19"/>
      <c r="RBF39" s="19"/>
      <c r="RBG39" s="19"/>
      <c r="RBH39" s="19"/>
      <c r="RBI39" s="19"/>
      <c r="RBJ39" s="19"/>
      <c r="RBK39" s="19"/>
      <c r="RBL39" s="19"/>
      <c r="RBM39" s="19"/>
      <c r="RBN39" s="19"/>
      <c r="RBO39" s="19"/>
      <c r="RBP39" s="19"/>
      <c r="RBQ39" s="19"/>
      <c r="RBR39" s="19"/>
      <c r="RBS39" s="19"/>
      <c r="RBT39" s="19"/>
      <c r="RBU39" s="19"/>
      <c r="RBV39" s="19"/>
      <c r="RBW39" s="19"/>
      <c r="RBX39" s="19"/>
      <c r="RBY39" s="19"/>
      <c r="RBZ39" s="19"/>
      <c r="RCA39" s="19"/>
      <c r="RCB39" s="19"/>
      <c r="RCC39" s="19"/>
      <c r="RCD39" s="19"/>
      <c r="RCE39" s="19"/>
      <c r="RCF39" s="19"/>
      <c r="RCG39" s="19"/>
      <c r="RCH39" s="19"/>
      <c r="RCI39" s="19"/>
      <c r="RCJ39" s="19"/>
      <c r="RCK39" s="19"/>
      <c r="RCL39" s="19"/>
      <c r="RCM39" s="19"/>
      <c r="RCN39" s="19"/>
      <c r="RCO39" s="19"/>
      <c r="RCP39" s="19"/>
      <c r="RCQ39" s="19"/>
      <c r="RCR39" s="19"/>
      <c r="RCS39" s="19"/>
      <c r="RCT39" s="19"/>
      <c r="RCU39" s="19"/>
      <c r="RCV39" s="19"/>
      <c r="RCW39" s="19"/>
      <c r="RCX39" s="19"/>
      <c r="RCY39" s="19"/>
      <c r="RCZ39" s="19"/>
      <c r="RDA39" s="19"/>
      <c r="RDB39" s="19"/>
      <c r="RDC39" s="19"/>
      <c r="RDD39" s="19"/>
      <c r="RDE39" s="19"/>
      <c r="RDF39" s="19"/>
      <c r="RDG39" s="19"/>
      <c r="RDH39" s="19"/>
      <c r="RDI39" s="19"/>
      <c r="RDJ39" s="19"/>
      <c r="RDK39" s="19"/>
      <c r="RDL39" s="19"/>
      <c r="RDM39" s="19"/>
      <c r="RDN39" s="19"/>
      <c r="RDO39" s="19"/>
      <c r="RDP39" s="19"/>
      <c r="RDQ39" s="19"/>
      <c r="RDR39" s="19"/>
      <c r="RDS39" s="19"/>
      <c r="RDT39" s="19"/>
      <c r="RDU39" s="19"/>
      <c r="RDV39" s="19"/>
      <c r="RDW39" s="19"/>
      <c r="RDX39" s="19"/>
      <c r="RDY39" s="19"/>
      <c r="RDZ39" s="19"/>
      <c r="REA39" s="19"/>
      <c r="REB39" s="19"/>
      <c r="REC39" s="19"/>
      <c r="RED39" s="19"/>
      <c r="REE39" s="19"/>
      <c r="REF39" s="19"/>
      <c r="REG39" s="19"/>
      <c r="REH39" s="19"/>
      <c r="REI39" s="19"/>
      <c r="REJ39" s="19"/>
      <c r="REK39" s="19"/>
      <c r="REL39" s="19"/>
      <c r="REM39" s="19"/>
      <c r="REN39" s="19"/>
      <c r="REO39" s="19"/>
      <c r="REP39" s="19"/>
      <c r="REQ39" s="19"/>
      <c r="RER39" s="19"/>
      <c r="RES39" s="19"/>
      <c r="RET39" s="19"/>
      <c r="REU39" s="19"/>
      <c r="REV39" s="19"/>
      <c r="REW39" s="19"/>
      <c r="REX39" s="19"/>
      <c r="REY39" s="19"/>
      <c r="REZ39" s="19"/>
      <c r="RFA39" s="19"/>
      <c r="RFB39" s="19"/>
      <c r="RFC39" s="19"/>
      <c r="RFD39" s="19"/>
      <c r="RFE39" s="19"/>
      <c r="RFF39" s="19"/>
      <c r="RFG39" s="19"/>
      <c r="RFH39" s="19"/>
      <c r="RFI39" s="19"/>
      <c r="RFJ39" s="19"/>
      <c r="RFK39" s="19"/>
      <c r="RFL39" s="19"/>
      <c r="RFM39" s="19"/>
      <c r="RFN39" s="19"/>
      <c r="RFO39" s="19"/>
      <c r="RFP39" s="19"/>
      <c r="RFQ39" s="19"/>
      <c r="RFR39" s="19"/>
      <c r="RFS39" s="19"/>
      <c r="RFT39" s="19"/>
      <c r="RFU39" s="19"/>
      <c r="RFV39" s="19"/>
      <c r="RFW39" s="19"/>
      <c r="RFX39" s="19"/>
      <c r="RFY39" s="19"/>
      <c r="RFZ39" s="19"/>
      <c r="RGA39" s="19"/>
      <c r="RGB39" s="19"/>
      <c r="RGC39" s="19"/>
      <c r="RGD39" s="19"/>
      <c r="RGE39" s="19"/>
      <c r="RGF39" s="19"/>
      <c r="RGG39" s="19"/>
      <c r="RGH39" s="19"/>
      <c r="RGI39" s="19"/>
      <c r="RGJ39" s="19"/>
      <c r="RGK39" s="19"/>
      <c r="RGL39" s="19"/>
      <c r="RGM39" s="19"/>
      <c r="RGN39" s="19"/>
      <c r="RGO39" s="19"/>
      <c r="RGP39" s="19"/>
      <c r="RGQ39" s="19"/>
      <c r="RGR39" s="19"/>
      <c r="RGS39" s="19"/>
      <c r="RGT39" s="19"/>
      <c r="RGU39" s="19"/>
      <c r="RGV39" s="19"/>
      <c r="RGW39" s="19"/>
      <c r="RGX39" s="19"/>
      <c r="RGY39" s="19"/>
      <c r="RGZ39" s="19"/>
      <c r="RHA39" s="19"/>
      <c r="RHB39" s="19"/>
      <c r="RHC39" s="19"/>
      <c r="RHD39" s="19"/>
      <c r="RHE39" s="19"/>
      <c r="RHF39" s="19"/>
      <c r="RHG39" s="19"/>
      <c r="RHH39" s="19"/>
      <c r="RHI39" s="19"/>
      <c r="RHJ39" s="19"/>
      <c r="RHK39" s="19"/>
      <c r="RHL39" s="19"/>
      <c r="RHM39" s="19"/>
      <c r="RHN39" s="19"/>
      <c r="RHO39" s="19"/>
      <c r="RHP39" s="19"/>
      <c r="RHQ39" s="19"/>
      <c r="RHR39" s="19"/>
      <c r="RHS39" s="19"/>
      <c r="RHT39" s="19"/>
      <c r="RHU39" s="19"/>
      <c r="RHV39" s="19"/>
      <c r="RHW39" s="19"/>
      <c r="RHX39" s="19"/>
      <c r="RHY39" s="19"/>
      <c r="RHZ39" s="19"/>
      <c r="RIA39" s="19"/>
      <c r="RIB39" s="19"/>
      <c r="RIC39" s="19"/>
      <c r="RID39" s="19"/>
      <c r="RIE39" s="19"/>
      <c r="RIF39" s="19"/>
      <c r="RIG39" s="19"/>
      <c r="RIH39" s="19"/>
      <c r="RII39" s="19"/>
      <c r="RIJ39" s="19"/>
      <c r="RIK39" s="19"/>
      <c r="RIL39" s="19"/>
      <c r="RIM39" s="19"/>
      <c r="RIN39" s="19"/>
      <c r="RIO39" s="19"/>
      <c r="RIP39" s="19"/>
      <c r="RIQ39" s="19"/>
      <c r="RIR39" s="19"/>
      <c r="RIS39" s="19"/>
      <c r="RIT39" s="19"/>
      <c r="RIU39" s="19"/>
      <c r="RIV39" s="19"/>
      <c r="RIW39" s="19"/>
      <c r="RIX39" s="19"/>
      <c r="RIY39" s="19"/>
      <c r="RIZ39" s="19"/>
      <c r="RJA39" s="19"/>
      <c r="RJB39" s="19"/>
      <c r="RJC39" s="19"/>
      <c r="RJD39" s="19"/>
      <c r="RJE39" s="19"/>
      <c r="RJF39" s="19"/>
      <c r="RJG39" s="19"/>
      <c r="RJH39" s="19"/>
      <c r="RJI39" s="19"/>
      <c r="RJJ39" s="19"/>
      <c r="RJK39" s="19"/>
      <c r="RJL39" s="19"/>
      <c r="RJM39" s="19"/>
      <c r="RJN39" s="19"/>
      <c r="RJO39" s="19"/>
      <c r="RJP39" s="19"/>
      <c r="RJQ39" s="19"/>
      <c r="RJR39" s="19"/>
      <c r="RJS39" s="19"/>
      <c r="RJT39" s="19"/>
      <c r="RJU39" s="19"/>
      <c r="RJV39" s="19"/>
      <c r="RJW39" s="19"/>
      <c r="RJX39" s="19"/>
      <c r="RJY39" s="19"/>
      <c r="RJZ39" s="19"/>
      <c r="RKA39" s="19"/>
      <c r="RKB39" s="19"/>
      <c r="RKC39" s="19"/>
      <c r="RKD39" s="19"/>
      <c r="RKE39" s="19"/>
      <c r="RKF39" s="19"/>
      <c r="RKG39" s="19"/>
      <c r="RKH39" s="19"/>
      <c r="RKI39" s="19"/>
      <c r="RKJ39" s="19"/>
      <c r="RKK39" s="19"/>
      <c r="RKL39" s="19"/>
      <c r="RKM39" s="19"/>
      <c r="RKN39" s="19"/>
      <c r="RKO39" s="19"/>
      <c r="RKP39" s="19"/>
      <c r="RKQ39" s="19"/>
      <c r="RKR39" s="19"/>
      <c r="RKS39" s="19"/>
      <c r="RKT39" s="19"/>
      <c r="RKU39" s="19"/>
      <c r="RKV39" s="19"/>
      <c r="RKW39" s="19"/>
      <c r="RKX39" s="19"/>
      <c r="RKY39" s="19"/>
      <c r="RKZ39" s="19"/>
      <c r="RLA39" s="19"/>
      <c r="RLB39" s="19"/>
      <c r="RLC39" s="19"/>
      <c r="RLD39" s="19"/>
      <c r="RLE39" s="19"/>
      <c r="RLF39" s="19"/>
      <c r="RLG39" s="19"/>
      <c r="RLH39" s="19"/>
      <c r="RLI39" s="19"/>
      <c r="RLJ39" s="19"/>
      <c r="RLK39" s="19"/>
      <c r="RLL39" s="19"/>
      <c r="RLM39" s="19"/>
      <c r="RLN39" s="19"/>
      <c r="RLO39" s="19"/>
      <c r="RLP39" s="19"/>
      <c r="RLQ39" s="19"/>
      <c r="RLR39" s="19"/>
      <c r="RLS39" s="19"/>
      <c r="RLT39" s="19"/>
      <c r="RLU39" s="19"/>
      <c r="RLV39" s="19"/>
      <c r="RLW39" s="19"/>
      <c r="RLX39" s="19"/>
      <c r="RLY39" s="19"/>
      <c r="RLZ39" s="19"/>
      <c r="RMA39" s="19"/>
      <c r="RMB39" s="19"/>
      <c r="RMC39" s="19"/>
      <c r="RMD39" s="19"/>
      <c r="RME39" s="19"/>
      <c r="RMF39" s="19"/>
      <c r="RMG39" s="19"/>
      <c r="RMH39" s="19"/>
      <c r="RMI39" s="19"/>
      <c r="RMJ39" s="19"/>
      <c r="RMK39" s="19"/>
      <c r="RML39" s="19"/>
      <c r="RMM39" s="19"/>
      <c r="RMN39" s="19"/>
      <c r="RMO39" s="19"/>
      <c r="RMP39" s="19"/>
      <c r="RMQ39" s="19"/>
      <c r="RMR39" s="19"/>
      <c r="RMS39" s="19"/>
      <c r="RMT39" s="19"/>
      <c r="RMU39" s="19"/>
      <c r="RMV39" s="19"/>
      <c r="RMW39" s="19"/>
      <c r="RMX39" s="19"/>
      <c r="RMY39" s="19"/>
      <c r="RMZ39" s="19"/>
      <c r="RNA39" s="19"/>
      <c r="RNB39" s="19"/>
      <c r="RNC39" s="19"/>
      <c r="RND39" s="19"/>
      <c r="RNE39" s="19"/>
      <c r="RNF39" s="19"/>
      <c r="RNG39" s="19"/>
      <c r="RNH39" s="19"/>
      <c r="RNI39" s="19"/>
      <c r="RNJ39" s="19"/>
      <c r="RNK39" s="19"/>
      <c r="RNL39" s="19"/>
      <c r="RNM39" s="19"/>
      <c r="RNN39" s="19"/>
      <c r="RNO39" s="19"/>
      <c r="RNP39" s="19"/>
      <c r="RNQ39" s="19"/>
      <c r="RNR39" s="19"/>
      <c r="RNS39" s="19"/>
      <c r="RNT39" s="19"/>
      <c r="RNU39" s="19"/>
      <c r="RNV39" s="19"/>
      <c r="RNW39" s="19"/>
      <c r="RNX39" s="19"/>
      <c r="RNY39" s="19"/>
      <c r="RNZ39" s="19"/>
      <c r="ROA39" s="19"/>
      <c r="ROB39" s="19"/>
      <c r="ROC39" s="19"/>
      <c r="ROD39" s="19"/>
      <c r="ROE39" s="19"/>
      <c r="ROF39" s="19"/>
      <c r="ROG39" s="19"/>
      <c r="ROH39" s="19"/>
      <c r="ROI39" s="19"/>
      <c r="ROJ39" s="19"/>
      <c r="ROK39" s="19"/>
      <c r="ROL39" s="19"/>
      <c r="ROM39" s="19"/>
      <c r="RON39" s="19"/>
      <c r="ROO39" s="19"/>
      <c r="ROP39" s="19"/>
      <c r="ROQ39" s="19"/>
      <c r="ROR39" s="19"/>
      <c r="ROS39" s="19"/>
      <c r="ROT39" s="19"/>
      <c r="ROU39" s="19"/>
      <c r="ROV39" s="19"/>
      <c r="ROW39" s="19"/>
      <c r="ROX39" s="19"/>
      <c r="ROY39" s="19"/>
      <c r="ROZ39" s="19"/>
      <c r="RPA39" s="19"/>
      <c r="RPB39" s="19"/>
      <c r="RPC39" s="19"/>
      <c r="RPD39" s="19"/>
      <c r="RPE39" s="19"/>
      <c r="RPF39" s="19"/>
      <c r="RPG39" s="19"/>
      <c r="RPH39" s="19"/>
      <c r="RPI39" s="19"/>
      <c r="RPJ39" s="19"/>
      <c r="RPK39" s="19"/>
      <c r="RPL39" s="19"/>
      <c r="RPM39" s="19"/>
      <c r="RPN39" s="19"/>
      <c r="RPO39" s="19"/>
      <c r="RPP39" s="19"/>
      <c r="RPQ39" s="19"/>
      <c r="RPR39" s="19"/>
      <c r="RPS39" s="19"/>
      <c r="RPT39" s="19"/>
      <c r="RPU39" s="19"/>
      <c r="RPV39" s="19"/>
      <c r="RPW39" s="19"/>
      <c r="RPX39" s="19"/>
      <c r="RPY39" s="19"/>
      <c r="RPZ39" s="19"/>
      <c r="RQA39" s="19"/>
      <c r="RQB39" s="19"/>
      <c r="RQC39" s="19"/>
      <c r="RQD39" s="19"/>
      <c r="RQE39" s="19"/>
      <c r="RQF39" s="19"/>
      <c r="RQG39" s="19"/>
      <c r="RQH39" s="19"/>
      <c r="RQI39" s="19"/>
      <c r="RQJ39" s="19"/>
      <c r="RQK39" s="19"/>
      <c r="RQL39" s="19"/>
      <c r="RQM39" s="19"/>
      <c r="RQN39" s="19"/>
      <c r="RQO39" s="19"/>
      <c r="RQP39" s="19"/>
      <c r="RQQ39" s="19"/>
      <c r="RQR39" s="19"/>
      <c r="RQS39" s="19"/>
      <c r="RQT39" s="19"/>
      <c r="RQU39" s="19"/>
      <c r="RQV39" s="19"/>
      <c r="RQW39" s="19"/>
      <c r="RQX39" s="19"/>
      <c r="RQY39" s="19"/>
      <c r="RQZ39" s="19"/>
      <c r="RRA39" s="19"/>
      <c r="RRB39" s="19"/>
      <c r="RRC39" s="19"/>
      <c r="RRD39" s="19"/>
      <c r="RRE39" s="19"/>
      <c r="RRF39" s="19"/>
      <c r="RRG39" s="19"/>
      <c r="RRH39" s="19"/>
      <c r="RRI39" s="19"/>
      <c r="RRJ39" s="19"/>
      <c r="RRK39" s="19"/>
      <c r="RRL39" s="19"/>
      <c r="RRM39" s="19"/>
      <c r="RRN39" s="19"/>
      <c r="RRO39" s="19"/>
      <c r="RRP39" s="19"/>
      <c r="RRQ39" s="19"/>
      <c r="RRR39" s="19"/>
      <c r="RRS39" s="19"/>
      <c r="RRT39" s="19"/>
      <c r="RRU39" s="19"/>
      <c r="RRV39" s="19"/>
      <c r="RRW39" s="19"/>
      <c r="RRX39" s="19"/>
      <c r="RRY39" s="19"/>
      <c r="RRZ39" s="19"/>
      <c r="RSA39" s="19"/>
      <c r="RSB39" s="19"/>
      <c r="RSC39" s="19"/>
      <c r="RSD39" s="19"/>
      <c r="RSE39" s="19"/>
      <c r="RSF39" s="19"/>
      <c r="RSG39" s="19"/>
      <c r="RSH39" s="19"/>
      <c r="RSI39" s="19"/>
      <c r="RSJ39" s="19"/>
      <c r="RSK39" s="19"/>
      <c r="RSL39" s="19"/>
      <c r="RSM39" s="19"/>
      <c r="RSN39" s="19"/>
      <c r="RSO39" s="19"/>
      <c r="RSP39" s="19"/>
      <c r="RSQ39" s="19"/>
      <c r="RSR39" s="19"/>
      <c r="RSS39" s="19"/>
      <c r="RST39" s="19"/>
      <c r="RSU39" s="19"/>
      <c r="RSV39" s="19"/>
      <c r="RSW39" s="19"/>
      <c r="RSX39" s="19"/>
      <c r="RSY39" s="19"/>
      <c r="RSZ39" s="19"/>
      <c r="RTA39" s="19"/>
      <c r="RTB39" s="19"/>
      <c r="RTC39" s="19"/>
      <c r="RTD39" s="19"/>
      <c r="RTE39" s="19"/>
      <c r="RTF39" s="19"/>
      <c r="RTG39" s="19"/>
      <c r="RTH39" s="19"/>
      <c r="RTI39" s="19"/>
      <c r="RTJ39" s="19"/>
      <c r="RTK39" s="19"/>
      <c r="RTL39" s="19"/>
      <c r="RTM39" s="19"/>
      <c r="RTN39" s="19"/>
      <c r="RTO39" s="19"/>
      <c r="RTP39" s="19"/>
      <c r="RTQ39" s="19"/>
      <c r="RTR39" s="19"/>
      <c r="RTS39" s="19"/>
      <c r="RTT39" s="19"/>
      <c r="RTU39" s="19"/>
      <c r="RTV39" s="19"/>
      <c r="RTW39" s="19"/>
      <c r="RTX39" s="19"/>
      <c r="RTY39" s="19"/>
      <c r="RTZ39" s="19"/>
      <c r="RUA39" s="19"/>
      <c r="RUB39" s="19"/>
      <c r="RUC39" s="19"/>
      <c r="RUD39" s="19"/>
      <c r="RUE39" s="19"/>
      <c r="RUF39" s="19"/>
      <c r="RUG39" s="19"/>
      <c r="RUH39" s="19"/>
      <c r="RUI39" s="19"/>
      <c r="RUJ39" s="19"/>
      <c r="RUK39" s="19"/>
      <c r="RUL39" s="19"/>
      <c r="RUM39" s="19"/>
      <c r="RUN39" s="19"/>
      <c r="RUO39" s="19"/>
      <c r="RUP39" s="19"/>
      <c r="RUQ39" s="19"/>
      <c r="RUR39" s="19"/>
      <c r="RUS39" s="19"/>
      <c r="RUT39" s="19"/>
      <c r="RUU39" s="19"/>
      <c r="RUV39" s="19"/>
      <c r="RUW39" s="19"/>
      <c r="RUX39" s="19"/>
      <c r="RUY39" s="19"/>
      <c r="RUZ39" s="19"/>
      <c r="RVA39" s="19"/>
      <c r="RVB39" s="19"/>
      <c r="RVC39" s="19"/>
      <c r="RVD39" s="19"/>
      <c r="RVE39" s="19"/>
      <c r="RVF39" s="19"/>
      <c r="RVG39" s="19"/>
      <c r="RVH39" s="19"/>
      <c r="RVI39" s="19"/>
      <c r="RVJ39" s="19"/>
      <c r="RVK39" s="19"/>
      <c r="RVL39" s="19"/>
      <c r="RVM39" s="19"/>
      <c r="RVN39" s="19"/>
      <c r="RVO39" s="19"/>
      <c r="RVP39" s="19"/>
      <c r="RVQ39" s="19"/>
      <c r="RVR39" s="19"/>
      <c r="RVS39" s="19"/>
      <c r="RVT39" s="19"/>
      <c r="RVU39" s="19"/>
      <c r="RVV39" s="19"/>
      <c r="RVW39" s="19"/>
      <c r="RVX39" s="19"/>
      <c r="RVY39" s="19"/>
      <c r="RVZ39" s="19"/>
      <c r="RWA39" s="19"/>
      <c r="RWB39" s="19"/>
      <c r="RWC39" s="19"/>
      <c r="RWD39" s="19"/>
      <c r="RWE39" s="19"/>
      <c r="RWF39" s="19"/>
      <c r="RWG39" s="19"/>
      <c r="RWH39" s="19"/>
      <c r="RWI39" s="19"/>
      <c r="RWJ39" s="19"/>
      <c r="RWK39" s="19"/>
      <c r="RWL39" s="19"/>
      <c r="RWM39" s="19"/>
      <c r="RWN39" s="19"/>
      <c r="RWO39" s="19"/>
      <c r="RWP39" s="19"/>
      <c r="RWQ39" s="19"/>
      <c r="RWR39" s="19"/>
      <c r="RWS39" s="19"/>
      <c r="RWT39" s="19"/>
      <c r="RWU39" s="19"/>
      <c r="RWV39" s="19"/>
      <c r="RWW39" s="19"/>
      <c r="RWX39" s="19"/>
      <c r="RWY39" s="19"/>
      <c r="RWZ39" s="19"/>
      <c r="RXA39" s="19"/>
      <c r="RXB39" s="19"/>
      <c r="RXC39" s="19"/>
      <c r="RXD39" s="19"/>
      <c r="RXE39" s="19"/>
      <c r="RXF39" s="19"/>
      <c r="RXG39" s="19"/>
      <c r="RXH39" s="19"/>
      <c r="RXI39" s="19"/>
      <c r="RXJ39" s="19"/>
      <c r="RXK39" s="19"/>
      <c r="RXL39" s="19"/>
      <c r="RXM39" s="19"/>
      <c r="RXN39" s="19"/>
      <c r="RXO39" s="19"/>
      <c r="RXP39" s="19"/>
      <c r="RXQ39" s="19"/>
      <c r="RXR39" s="19"/>
      <c r="RXS39" s="19"/>
      <c r="RXT39" s="19"/>
      <c r="RXU39" s="19"/>
      <c r="RXV39" s="19"/>
      <c r="RXW39" s="19"/>
      <c r="RXX39" s="19"/>
      <c r="RXY39" s="19"/>
      <c r="RXZ39" s="19"/>
      <c r="RYA39" s="19"/>
      <c r="RYB39" s="19"/>
      <c r="RYC39" s="19"/>
      <c r="RYD39" s="19"/>
      <c r="RYE39" s="19"/>
      <c r="RYF39" s="19"/>
      <c r="RYG39" s="19"/>
      <c r="RYH39" s="19"/>
      <c r="RYI39" s="19"/>
      <c r="RYJ39" s="19"/>
      <c r="RYK39" s="19"/>
      <c r="RYL39" s="19"/>
      <c r="RYM39" s="19"/>
      <c r="RYN39" s="19"/>
      <c r="RYO39" s="19"/>
      <c r="RYP39" s="19"/>
      <c r="RYQ39" s="19"/>
      <c r="RYR39" s="19"/>
      <c r="RYS39" s="19"/>
      <c r="RYT39" s="19"/>
      <c r="RYU39" s="19"/>
      <c r="RYV39" s="19"/>
      <c r="RYW39" s="19"/>
      <c r="RYX39" s="19"/>
      <c r="RYY39" s="19"/>
      <c r="RYZ39" s="19"/>
      <c r="RZA39" s="19"/>
      <c r="RZB39" s="19"/>
      <c r="RZC39" s="19"/>
      <c r="RZD39" s="19"/>
      <c r="RZE39" s="19"/>
      <c r="RZF39" s="19"/>
      <c r="RZG39" s="19"/>
      <c r="RZH39" s="19"/>
      <c r="RZI39" s="19"/>
      <c r="RZJ39" s="19"/>
      <c r="RZK39" s="19"/>
      <c r="RZL39" s="19"/>
      <c r="RZM39" s="19"/>
      <c r="RZN39" s="19"/>
      <c r="RZO39" s="19"/>
      <c r="RZP39" s="19"/>
      <c r="RZQ39" s="19"/>
      <c r="RZR39" s="19"/>
      <c r="RZS39" s="19"/>
      <c r="RZT39" s="19"/>
      <c r="RZU39" s="19"/>
      <c r="RZV39" s="19"/>
      <c r="RZW39" s="19"/>
      <c r="RZX39" s="19"/>
      <c r="RZY39" s="19"/>
      <c r="RZZ39" s="19"/>
      <c r="SAA39" s="19"/>
      <c r="SAB39" s="19"/>
      <c r="SAC39" s="19"/>
      <c r="SAD39" s="19"/>
      <c r="SAE39" s="19"/>
      <c r="SAF39" s="19"/>
      <c r="SAG39" s="19"/>
      <c r="SAH39" s="19"/>
      <c r="SAI39" s="19"/>
      <c r="SAJ39" s="19"/>
      <c r="SAK39" s="19"/>
      <c r="SAL39" s="19"/>
      <c r="SAM39" s="19"/>
      <c r="SAN39" s="19"/>
      <c r="SAO39" s="19"/>
      <c r="SAP39" s="19"/>
      <c r="SAQ39" s="19"/>
      <c r="SAR39" s="19"/>
      <c r="SAS39" s="19"/>
      <c r="SAT39" s="19"/>
      <c r="SAU39" s="19"/>
      <c r="SAV39" s="19"/>
      <c r="SAW39" s="19"/>
      <c r="SAX39" s="19"/>
      <c r="SAY39" s="19"/>
      <c r="SAZ39" s="19"/>
      <c r="SBA39" s="19"/>
      <c r="SBB39" s="19"/>
      <c r="SBC39" s="19"/>
      <c r="SBD39" s="19"/>
      <c r="SBE39" s="19"/>
      <c r="SBF39" s="19"/>
      <c r="SBG39" s="19"/>
      <c r="SBH39" s="19"/>
      <c r="SBI39" s="19"/>
      <c r="SBJ39" s="19"/>
      <c r="SBK39" s="19"/>
      <c r="SBL39" s="19"/>
      <c r="SBM39" s="19"/>
      <c r="SBN39" s="19"/>
      <c r="SBO39" s="19"/>
      <c r="SBP39" s="19"/>
      <c r="SBQ39" s="19"/>
      <c r="SBR39" s="19"/>
      <c r="SBS39" s="19"/>
      <c r="SBT39" s="19"/>
      <c r="SBU39" s="19"/>
      <c r="SBV39" s="19"/>
      <c r="SBW39" s="19"/>
      <c r="SBX39" s="19"/>
      <c r="SBY39" s="19"/>
      <c r="SBZ39" s="19"/>
      <c r="SCA39" s="19"/>
      <c r="SCB39" s="19"/>
      <c r="SCC39" s="19"/>
      <c r="SCD39" s="19"/>
      <c r="SCE39" s="19"/>
      <c r="SCF39" s="19"/>
      <c r="SCG39" s="19"/>
      <c r="SCH39" s="19"/>
      <c r="SCI39" s="19"/>
      <c r="SCJ39" s="19"/>
      <c r="SCK39" s="19"/>
      <c r="SCL39" s="19"/>
      <c r="SCM39" s="19"/>
      <c r="SCN39" s="19"/>
      <c r="SCO39" s="19"/>
      <c r="SCP39" s="19"/>
      <c r="SCQ39" s="19"/>
      <c r="SCR39" s="19"/>
      <c r="SCS39" s="19"/>
      <c r="SCT39" s="19"/>
      <c r="SCU39" s="19"/>
      <c r="SCV39" s="19"/>
      <c r="SCW39" s="19"/>
      <c r="SCX39" s="19"/>
      <c r="SCY39" s="19"/>
      <c r="SCZ39" s="19"/>
      <c r="SDA39" s="19"/>
      <c r="SDB39" s="19"/>
      <c r="SDC39" s="19"/>
      <c r="SDD39" s="19"/>
      <c r="SDE39" s="19"/>
      <c r="SDF39" s="19"/>
      <c r="SDG39" s="19"/>
      <c r="SDH39" s="19"/>
      <c r="SDI39" s="19"/>
      <c r="SDJ39" s="19"/>
      <c r="SDK39" s="19"/>
      <c r="SDL39" s="19"/>
      <c r="SDM39" s="19"/>
      <c r="SDN39" s="19"/>
      <c r="SDO39" s="19"/>
      <c r="SDP39" s="19"/>
      <c r="SDQ39" s="19"/>
      <c r="SDR39" s="19"/>
      <c r="SDS39" s="19"/>
      <c r="SDT39" s="19"/>
      <c r="SDU39" s="19"/>
      <c r="SDV39" s="19"/>
      <c r="SDW39" s="19"/>
      <c r="SDX39" s="19"/>
      <c r="SDY39" s="19"/>
      <c r="SDZ39" s="19"/>
      <c r="SEA39" s="19"/>
      <c r="SEB39" s="19"/>
      <c r="SEC39" s="19"/>
      <c r="SED39" s="19"/>
      <c r="SEE39" s="19"/>
      <c r="SEF39" s="19"/>
      <c r="SEG39" s="19"/>
      <c r="SEH39" s="19"/>
      <c r="SEI39" s="19"/>
      <c r="SEJ39" s="19"/>
      <c r="SEK39" s="19"/>
      <c r="SEL39" s="19"/>
      <c r="SEM39" s="19"/>
      <c r="SEN39" s="19"/>
      <c r="SEO39" s="19"/>
      <c r="SEP39" s="19"/>
      <c r="SEQ39" s="19"/>
      <c r="SER39" s="19"/>
      <c r="SES39" s="19"/>
      <c r="SET39" s="19"/>
      <c r="SEU39" s="19"/>
      <c r="SEV39" s="19"/>
      <c r="SEW39" s="19"/>
      <c r="SEX39" s="19"/>
      <c r="SEY39" s="19"/>
      <c r="SEZ39" s="19"/>
      <c r="SFA39" s="19"/>
      <c r="SFB39" s="19"/>
      <c r="SFC39" s="19"/>
      <c r="SFD39" s="19"/>
      <c r="SFE39" s="19"/>
      <c r="SFF39" s="19"/>
      <c r="SFG39" s="19"/>
      <c r="SFH39" s="19"/>
      <c r="SFI39" s="19"/>
      <c r="SFJ39" s="19"/>
      <c r="SFK39" s="19"/>
      <c r="SFL39" s="19"/>
      <c r="SFM39" s="19"/>
      <c r="SFN39" s="19"/>
      <c r="SFO39" s="19"/>
      <c r="SFP39" s="19"/>
      <c r="SFQ39" s="19"/>
      <c r="SFR39" s="19"/>
      <c r="SFS39" s="19"/>
      <c r="SFT39" s="19"/>
      <c r="SFU39" s="19"/>
      <c r="SFV39" s="19"/>
      <c r="SFW39" s="19"/>
      <c r="SFX39" s="19"/>
      <c r="SFY39" s="19"/>
      <c r="SFZ39" s="19"/>
      <c r="SGA39" s="19"/>
      <c r="SGB39" s="19"/>
      <c r="SGC39" s="19"/>
      <c r="SGD39" s="19"/>
      <c r="SGE39" s="19"/>
      <c r="SGF39" s="19"/>
      <c r="SGG39" s="19"/>
      <c r="SGH39" s="19"/>
      <c r="SGI39" s="19"/>
      <c r="SGJ39" s="19"/>
      <c r="SGK39" s="19"/>
      <c r="SGL39" s="19"/>
      <c r="SGM39" s="19"/>
      <c r="SGN39" s="19"/>
      <c r="SGO39" s="19"/>
      <c r="SGP39" s="19"/>
      <c r="SGQ39" s="19"/>
      <c r="SGR39" s="19"/>
      <c r="SGS39" s="19"/>
      <c r="SGT39" s="19"/>
      <c r="SGU39" s="19"/>
      <c r="SGV39" s="19"/>
      <c r="SGW39" s="19"/>
      <c r="SGX39" s="19"/>
      <c r="SGY39" s="19"/>
      <c r="SGZ39" s="19"/>
      <c r="SHA39" s="19"/>
      <c r="SHB39" s="19"/>
      <c r="SHC39" s="19"/>
      <c r="SHD39" s="19"/>
      <c r="SHE39" s="19"/>
      <c r="SHF39" s="19"/>
      <c r="SHG39" s="19"/>
      <c r="SHH39" s="19"/>
      <c r="SHI39" s="19"/>
      <c r="SHJ39" s="19"/>
      <c r="SHK39" s="19"/>
      <c r="SHL39" s="19"/>
      <c r="SHM39" s="19"/>
      <c r="SHN39" s="19"/>
      <c r="SHO39" s="19"/>
      <c r="SHP39" s="19"/>
      <c r="SHQ39" s="19"/>
      <c r="SHR39" s="19"/>
      <c r="SHS39" s="19"/>
      <c r="SHT39" s="19"/>
      <c r="SHU39" s="19"/>
      <c r="SHV39" s="19"/>
      <c r="SHW39" s="19"/>
      <c r="SHX39" s="19"/>
      <c r="SHY39" s="19"/>
      <c r="SHZ39" s="19"/>
      <c r="SIA39" s="19"/>
      <c r="SIB39" s="19"/>
      <c r="SIC39" s="19"/>
      <c r="SID39" s="19"/>
      <c r="SIE39" s="19"/>
      <c r="SIF39" s="19"/>
      <c r="SIG39" s="19"/>
      <c r="SIH39" s="19"/>
      <c r="SII39" s="19"/>
      <c r="SIJ39" s="19"/>
      <c r="SIK39" s="19"/>
      <c r="SIL39" s="19"/>
      <c r="SIM39" s="19"/>
      <c r="SIN39" s="19"/>
      <c r="SIO39" s="19"/>
      <c r="SIP39" s="19"/>
      <c r="SIQ39" s="19"/>
      <c r="SIR39" s="19"/>
      <c r="SIS39" s="19"/>
      <c r="SIT39" s="19"/>
      <c r="SIU39" s="19"/>
      <c r="SIV39" s="19"/>
      <c r="SIW39" s="19"/>
      <c r="SIX39" s="19"/>
      <c r="SIY39" s="19"/>
      <c r="SIZ39" s="19"/>
      <c r="SJA39" s="19"/>
      <c r="SJB39" s="19"/>
      <c r="SJC39" s="19"/>
      <c r="SJD39" s="19"/>
      <c r="SJE39" s="19"/>
      <c r="SJF39" s="19"/>
      <c r="SJG39" s="19"/>
      <c r="SJH39" s="19"/>
      <c r="SJI39" s="19"/>
      <c r="SJJ39" s="19"/>
      <c r="SJK39" s="19"/>
      <c r="SJL39" s="19"/>
      <c r="SJM39" s="19"/>
      <c r="SJN39" s="19"/>
      <c r="SJO39" s="19"/>
      <c r="SJP39" s="19"/>
      <c r="SJQ39" s="19"/>
      <c r="SJR39" s="19"/>
      <c r="SJS39" s="19"/>
      <c r="SJT39" s="19"/>
      <c r="SJU39" s="19"/>
      <c r="SJV39" s="19"/>
      <c r="SJW39" s="19"/>
      <c r="SJX39" s="19"/>
      <c r="SJY39" s="19"/>
      <c r="SJZ39" s="19"/>
      <c r="SKA39" s="19"/>
      <c r="SKB39" s="19"/>
      <c r="SKC39" s="19"/>
      <c r="SKD39" s="19"/>
      <c r="SKE39" s="19"/>
      <c r="SKF39" s="19"/>
      <c r="SKG39" s="19"/>
      <c r="SKH39" s="19"/>
      <c r="SKI39" s="19"/>
      <c r="SKJ39" s="19"/>
      <c r="SKK39" s="19"/>
      <c r="SKL39" s="19"/>
      <c r="SKM39" s="19"/>
      <c r="SKN39" s="19"/>
      <c r="SKO39" s="19"/>
      <c r="SKP39" s="19"/>
      <c r="SKQ39" s="19"/>
      <c r="SKR39" s="19"/>
      <c r="SKS39" s="19"/>
      <c r="SKT39" s="19"/>
      <c r="SKU39" s="19"/>
      <c r="SKV39" s="19"/>
      <c r="SKW39" s="19"/>
      <c r="SKX39" s="19"/>
      <c r="SKY39" s="19"/>
      <c r="SKZ39" s="19"/>
      <c r="SLA39" s="19"/>
      <c r="SLB39" s="19"/>
      <c r="SLC39" s="19"/>
      <c r="SLD39" s="19"/>
      <c r="SLE39" s="19"/>
      <c r="SLF39" s="19"/>
      <c r="SLG39" s="19"/>
      <c r="SLH39" s="19"/>
      <c r="SLI39" s="19"/>
      <c r="SLJ39" s="19"/>
      <c r="SLK39" s="19"/>
      <c r="SLL39" s="19"/>
      <c r="SLM39" s="19"/>
      <c r="SLN39" s="19"/>
      <c r="SLO39" s="19"/>
      <c r="SLP39" s="19"/>
      <c r="SLQ39" s="19"/>
      <c r="SLR39" s="19"/>
      <c r="SLS39" s="19"/>
      <c r="SLT39" s="19"/>
      <c r="SLU39" s="19"/>
      <c r="SLV39" s="19"/>
      <c r="SLW39" s="19"/>
      <c r="SLX39" s="19"/>
      <c r="SLY39" s="19"/>
      <c r="SLZ39" s="19"/>
      <c r="SMA39" s="19"/>
      <c r="SMB39" s="19"/>
      <c r="SMC39" s="19"/>
      <c r="SMD39" s="19"/>
      <c r="SME39" s="19"/>
      <c r="SMF39" s="19"/>
      <c r="SMG39" s="19"/>
      <c r="SMH39" s="19"/>
      <c r="SMI39" s="19"/>
      <c r="SMJ39" s="19"/>
      <c r="SMK39" s="19"/>
      <c r="SML39" s="19"/>
      <c r="SMM39" s="19"/>
      <c r="SMN39" s="19"/>
      <c r="SMO39" s="19"/>
      <c r="SMP39" s="19"/>
      <c r="SMQ39" s="19"/>
      <c r="SMR39" s="19"/>
      <c r="SMS39" s="19"/>
      <c r="SMT39" s="19"/>
      <c r="SMU39" s="19"/>
      <c r="SMV39" s="19"/>
      <c r="SMW39" s="19"/>
      <c r="SMX39" s="19"/>
      <c r="SMY39" s="19"/>
      <c r="SMZ39" s="19"/>
      <c r="SNA39" s="19"/>
      <c r="SNB39" s="19"/>
      <c r="SNC39" s="19"/>
      <c r="SND39" s="19"/>
      <c r="SNE39" s="19"/>
      <c r="SNF39" s="19"/>
      <c r="SNG39" s="19"/>
      <c r="SNH39" s="19"/>
      <c r="SNI39" s="19"/>
      <c r="SNJ39" s="19"/>
      <c r="SNK39" s="19"/>
      <c r="SNL39" s="19"/>
      <c r="SNM39" s="19"/>
      <c r="SNN39" s="19"/>
      <c r="SNO39" s="19"/>
      <c r="SNP39" s="19"/>
      <c r="SNQ39" s="19"/>
      <c r="SNR39" s="19"/>
      <c r="SNS39" s="19"/>
      <c r="SNT39" s="19"/>
      <c r="SNU39" s="19"/>
      <c r="SNV39" s="19"/>
      <c r="SNW39" s="19"/>
      <c r="SNX39" s="19"/>
      <c r="SNY39" s="19"/>
      <c r="SNZ39" s="19"/>
      <c r="SOA39" s="19"/>
      <c r="SOB39" s="19"/>
      <c r="SOC39" s="19"/>
      <c r="SOD39" s="19"/>
      <c r="SOE39" s="19"/>
      <c r="SOF39" s="19"/>
      <c r="SOG39" s="19"/>
      <c r="SOH39" s="19"/>
      <c r="SOI39" s="19"/>
      <c r="SOJ39" s="19"/>
      <c r="SOK39" s="19"/>
      <c r="SOL39" s="19"/>
      <c r="SOM39" s="19"/>
      <c r="SON39" s="19"/>
      <c r="SOO39" s="19"/>
      <c r="SOP39" s="19"/>
      <c r="SOQ39" s="19"/>
      <c r="SOR39" s="19"/>
      <c r="SOS39" s="19"/>
      <c r="SOT39" s="19"/>
      <c r="SOU39" s="19"/>
      <c r="SOV39" s="19"/>
      <c r="SOW39" s="19"/>
      <c r="SOX39" s="19"/>
      <c r="SOY39" s="19"/>
      <c r="SOZ39" s="19"/>
      <c r="SPA39" s="19"/>
      <c r="SPB39" s="19"/>
      <c r="SPC39" s="19"/>
      <c r="SPD39" s="19"/>
      <c r="SPE39" s="19"/>
      <c r="SPF39" s="19"/>
      <c r="SPG39" s="19"/>
      <c r="SPH39" s="19"/>
      <c r="SPI39" s="19"/>
      <c r="SPJ39" s="19"/>
      <c r="SPK39" s="19"/>
      <c r="SPL39" s="19"/>
      <c r="SPM39" s="19"/>
      <c r="SPN39" s="19"/>
      <c r="SPO39" s="19"/>
      <c r="SPP39" s="19"/>
      <c r="SPQ39" s="19"/>
      <c r="SPR39" s="19"/>
      <c r="SPS39" s="19"/>
      <c r="SPT39" s="19"/>
      <c r="SPU39" s="19"/>
      <c r="SPV39" s="19"/>
      <c r="SPW39" s="19"/>
      <c r="SPX39" s="19"/>
      <c r="SPY39" s="19"/>
      <c r="SPZ39" s="19"/>
      <c r="SQA39" s="19"/>
      <c r="SQB39" s="19"/>
      <c r="SQC39" s="19"/>
      <c r="SQD39" s="19"/>
      <c r="SQE39" s="19"/>
      <c r="SQF39" s="19"/>
      <c r="SQG39" s="19"/>
      <c r="SQH39" s="19"/>
      <c r="SQI39" s="19"/>
      <c r="SQJ39" s="19"/>
      <c r="SQK39" s="19"/>
      <c r="SQL39" s="19"/>
      <c r="SQM39" s="19"/>
      <c r="SQN39" s="19"/>
      <c r="SQO39" s="19"/>
      <c r="SQP39" s="19"/>
      <c r="SQQ39" s="19"/>
      <c r="SQR39" s="19"/>
      <c r="SQS39" s="19"/>
      <c r="SQT39" s="19"/>
      <c r="SQU39" s="19"/>
      <c r="SQV39" s="19"/>
      <c r="SQW39" s="19"/>
      <c r="SQX39" s="19"/>
      <c r="SQY39" s="19"/>
      <c r="SQZ39" s="19"/>
      <c r="SRA39" s="19"/>
      <c r="SRB39" s="19"/>
      <c r="SRC39" s="19"/>
      <c r="SRD39" s="19"/>
      <c r="SRE39" s="19"/>
      <c r="SRF39" s="19"/>
      <c r="SRG39" s="19"/>
      <c r="SRH39" s="19"/>
      <c r="SRI39" s="19"/>
      <c r="SRJ39" s="19"/>
      <c r="SRK39" s="19"/>
      <c r="SRL39" s="19"/>
      <c r="SRM39" s="19"/>
      <c r="SRN39" s="19"/>
      <c r="SRO39" s="19"/>
      <c r="SRP39" s="19"/>
      <c r="SRQ39" s="19"/>
      <c r="SRR39" s="19"/>
      <c r="SRS39" s="19"/>
      <c r="SRT39" s="19"/>
      <c r="SRU39" s="19"/>
      <c r="SRV39" s="19"/>
      <c r="SRW39" s="19"/>
      <c r="SRX39" s="19"/>
      <c r="SRY39" s="19"/>
      <c r="SRZ39" s="19"/>
      <c r="SSA39" s="19"/>
      <c r="SSB39" s="19"/>
      <c r="SSC39" s="19"/>
      <c r="SSD39" s="19"/>
      <c r="SSE39" s="19"/>
      <c r="SSF39" s="19"/>
      <c r="SSG39" s="19"/>
      <c r="SSH39" s="19"/>
      <c r="SSI39" s="19"/>
      <c r="SSJ39" s="19"/>
      <c r="SSK39" s="19"/>
      <c r="SSL39" s="19"/>
      <c r="SSM39" s="19"/>
      <c r="SSN39" s="19"/>
      <c r="SSO39" s="19"/>
      <c r="SSP39" s="19"/>
      <c r="SSQ39" s="19"/>
      <c r="SSR39" s="19"/>
      <c r="SSS39" s="19"/>
      <c r="SST39" s="19"/>
      <c r="SSU39" s="19"/>
      <c r="SSV39" s="19"/>
      <c r="SSW39" s="19"/>
      <c r="SSX39" s="19"/>
      <c r="SSY39" s="19"/>
      <c r="SSZ39" s="19"/>
      <c r="STA39" s="19"/>
      <c r="STB39" s="19"/>
      <c r="STC39" s="19"/>
      <c r="STD39" s="19"/>
      <c r="STE39" s="19"/>
      <c r="STF39" s="19"/>
      <c r="STG39" s="19"/>
      <c r="STH39" s="19"/>
      <c r="STI39" s="19"/>
      <c r="STJ39" s="19"/>
      <c r="STK39" s="19"/>
      <c r="STL39" s="19"/>
      <c r="STM39" s="19"/>
      <c r="STN39" s="19"/>
      <c r="STO39" s="19"/>
      <c r="STP39" s="19"/>
      <c r="STQ39" s="19"/>
      <c r="STR39" s="19"/>
      <c r="STS39" s="19"/>
      <c r="STT39" s="19"/>
      <c r="STU39" s="19"/>
      <c r="STV39" s="19"/>
      <c r="STW39" s="19"/>
      <c r="STX39" s="19"/>
      <c r="STY39" s="19"/>
      <c r="STZ39" s="19"/>
      <c r="SUA39" s="19"/>
      <c r="SUB39" s="19"/>
      <c r="SUC39" s="19"/>
      <c r="SUD39" s="19"/>
      <c r="SUE39" s="19"/>
      <c r="SUF39" s="19"/>
      <c r="SUG39" s="19"/>
      <c r="SUH39" s="19"/>
      <c r="SUI39" s="19"/>
      <c r="SUJ39" s="19"/>
      <c r="SUK39" s="19"/>
      <c r="SUL39" s="19"/>
      <c r="SUM39" s="19"/>
      <c r="SUN39" s="19"/>
      <c r="SUO39" s="19"/>
      <c r="SUP39" s="19"/>
      <c r="SUQ39" s="19"/>
      <c r="SUR39" s="19"/>
      <c r="SUS39" s="19"/>
      <c r="SUT39" s="19"/>
      <c r="SUU39" s="19"/>
      <c r="SUV39" s="19"/>
      <c r="SUW39" s="19"/>
      <c r="SUX39" s="19"/>
      <c r="SUY39" s="19"/>
      <c r="SUZ39" s="19"/>
      <c r="SVA39" s="19"/>
      <c r="SVB39" s="19"/>
      <c r="SVC39" s="19"/>
      <c r="SVD39" s="19"/>
      <c r="SVE39" s="19"/>
      <c r="SVF39" s="19"/>
      <c r="SVG39" s="19"/>
      <c r="SVH39" s="19"/>
      <c r="SVI39" s="19"/>
      <c r="SVJ39" s="19"/>
      <c r="SVK39" s="19"/>
      <c r="SVL39" s="19"/>
      <c r="SVM39" s="19"/>
      <c r="SVN39" s="19"/>
      <c r="SVO39" s="19"/>
      <c r="SVP39" s="19"/>
      <c r="SVQ39" s="19"/>
      <c r="SVR39" s="19"/>
      <c r="SVS39" s="19"/>
      <c r="SVT39" s="19"/>
      <c r="SVU39" s="19"/>
      <c r="SVV39" s="19"/>
      <c r="SVW39" s="19"/>
      <c r="SVX39" s="19"/>
      <c r="SVY39" s="19"/>
      <c r="SVZ39" s="19"/>
      <c r="SWA39" s="19"/>
      <c r="SWB39" s="19"/>
      <c r="SWC39" s="19"/>
      <c r="SWD39" s="19"/>
      <c r="SWE39" s="19"/>
      <c r="SWF39" s="19"/>
      <c r="SWG39" s="19"/>
      <c r="SWH39" s="19"/>
      <c r="SWI39" s="19"/>
      <c r="SWJ39" s="19"/>
      <c r="SWK39" s="19"/>
      <c r="SWL39" s="19"/>
      <c r="SWM39" s="19"/>
      <c r="SWN39" s="19"/>
      <c r="SWO39" s="19"/>
      <c r="SWP39" s="19"/>
      <c r="SWQ39" s="19"/>
      <c r="SWR39" s="19"/>
      <c r="SWS39" s="19"/>
      <c r="SWT39" s="19"/>
      <c r="SWU39" s="19"/>
      <c r="SWV39" s="19"/>
      <c r="SWW39" s="19"/>
      <c r="SWX39" s="19"/>
      <c r="SWY39" s="19"/>
      <c r="SWZ39" s="19"/>
      <c r="SXA39" s="19"/>
      <c r="SXB39" s="19"/>
      <c r="SXC39" s="19"/>
      <c r="SXD39" s="19"/>
      <c r="SXE39" s="19"/>
      <c r="SXF39" s="19"/>
      <c r="SXG39" s="19"/>
      <c r="SXH39" s="19"/>
      <c r="SXI39" s="19"/>
      <c r="SXJ39" s="19"/>
      <c r="SXK39" s="19"/>
      <c r="SXL39" s="19"/>
      <c r="SXM39" s="19"/>
      <c r="SXN39" s="19"/>
      <c r="SXO39" s="19"/>
      <c r="SXP39" s="19"/>
      <c r="SXQ39" s="19"/>
      <c r="SXR39" s="19"/>
      <c r="SXS39" s="19"/>
      <c r="SXT39" s="19"/>
      <c r="SXU39" s="19"/>
      <c r="SXV39" s="19"/>
      <c r="SXW39" s="19"/>
      <c r="SXX39" s="19"/>
      <c r="SXY39" s="19"/>
      <c r="SXZ39" s="19"/>
      <c r="SYA39" s="19"/>
      <c r="SYB39" s="19"/>
      <c r="SYC39" s="19"/>
      <c r="SYD39" s="19"/>
      <c r="SYE39" s="19"/>
      <c r="SYF39" s="19"/>
      <c r="SYG39" s="19"/>
      <c r="SYH39" s="19"/>
      <c r="SYI39" s="19"/>
      <c r="SYJ39" s="19"/>
      <c r="SYK39" s="19"/>
      <c r="SYL39" s="19"/>
      <c r="SYM39" s="19"/>
      <c r="SYN39" s="19"/>
      <c r="SYO39" s="19"/>
      <c r="SYP39" s="19"/>
      <c r="SYQ39" s="19"/>
      <c r="SYR39" s="19"/>
      <c r="SYS39" s="19"/>
      <c r="SYT39" s="19"/>
      <c r="SYU39" s="19"/>
      <c r="SYV39" s="19"/>
      <c r="SYW39" s="19"/>
      <c r="SYX39" s="19"/>
      <c r="SYY39" s="19"/>
      <c r="SYZ39" s="19"/>
      <c r="SZA39" s="19"/>
      <c r="SZB39" s="19"/>
      <c r="SZC39" s="19"/>
      <c r="SZD39" s="19"/>
      <c r="SZE39" s="19"/>
      <c r="SZF39" s="19"/>
      <c r="SZG39" s="19"/>
      <c r="SZH39" s="19"/>
      <c r="SZI39" s="19"/>
      <c r="SZJ39" s="19"/>
      <c r="SZK39" s="19"/>
      <c r="SZL39" s="19"/>
      <c r="SZM39" s="19"/>
      <c r="SZN39" s="19"/>
      <c r="SZO39" s="19"/>
      <c r="SZP39" s="19"/>
      <c r="SZQ39" s="19"/>
      <c r="SZR39" s="19"/>
      <c r="SZS39" s="19"/>
      <c r="SZT39" s="19"/>
      <c r="SZU39" s="19"/>
      <c r="SZV39" s="19"/>
      <c r="SZW39" s="19"/>
      <c r="SZX39" s="19"/>
      <c r="SZY39" s="19"/>
      <c r="SZZ39" s="19"/>
      <c r="TAA39" s="19"/>
      <c r="TAB39" s="19"/>
      <c r="TAC39" s="19"/>
      <c r="TAD39" s="19"/>
      <c r="TAE39" s="19"/>
      <c r="TAF39" s="19"/>
      <c r="TAG39" s="19"/>
      <c r="TAH39" s="19"/>
      <c r="TAI39" s="19"/>
      <c r="TAJ39" s="19"/>
      <c r="TAK39" s="19"/>
      <c r="TAL39" s="19"/>
      <c r="TAM39" s="19"/>
      <c r="TAN39" s="19"/>
      <c r="TAO39" s="19"/>
      <c r="TAP39" s="19"/>
      <c r="TAQ39" s="19"/>
      <c r="TAR39" s="19"/>
      <c r="TAS39" s="19"/>
      <c r="TAT39" s="19"/>
      <c r="TAU39" s="19"/>
      <c r="TAV39" s="19"/>
      <c r="TAW39" s="19"/>
      <c r="TAX39" s="19"/>
      <c r="TAY39" s="19"/>
      <c r="TAZ39" s="19"/>
      <c r="TBA39" s="19"/>
      <c r="TBB39" s="19"/>
      <c r="TBC39" s="19"/>
      <c r="TBD39" s="19"/>
      <c r="TBE39" s="19"/>
      <c r="TBF39" s="19"/>
      <c r="TBG39" s="19"/>
      <c r="TBH39" s="19"/>
      <c r="TBI39" s="19"/>
      <c r="TBJ39" s="19"/>
      <c r="TBK39" s="19"/>
      <c r="TBL39" s="19"/>
      <c r="TBM39" s="19"/>
      <c r="TBN39" s="19"/>
      <c r="TBO39" s="19"/>
      <c r="TBP39" s="19"/>
      <c r="TBQ39" s="19"/>
      <c r="TBR39" s="19"/>
      <c r="TBS39" s="19"/>
      <c r="TBT39" s="19"/>
      <c r="TBU39" s="19"/>
      <c r="TBV39" s="19"/>
      <c r="TBW39" s="19"/>
      <c r="TBX39" s="19"/>
      <c r="TBY39" s="19"/>
      <c r="TBZ39" s="19"/>
      <c r="TCA39" s="19"/>
      <c r="TCB39" s="19"/>
      <c r="TCC39" s="19"/>
      <c r="TCD39" s="19"/>
      <c r="TCE39" s="19"/>
      <c r="TCF39" s="19"/>
      <c r="TCG39" s="19"/>
      <c r="TCH39" s="19"/>
      <c r="TCI39" s="19"/>
      <c r="TCJ39" s="19"/>
      <c r="TCK39" s="19"/>
      <c r="TCL39" s="19"/>
      <c r="TCM39" s="19"/>
      <c r="TCN39" s="19"/>
      <c r="TCO39" s="19"/>
      <c r="TCP39" s="19"/>
      <c r="TCQ39" s="19"/>
      <c r="TCR39" s="19"/>
      <c r="TCS39" s="19"/>
      <c r="TCT39" s="19"/>
      <c r="TCU39" s="19"/>
      <c r="TCV39" s="19"/>
      <c r="TCW39" s="19"/>
      <c r="TCX39" s="19"/>
      <c r="TCY39" s="19"/>
      <c r="TCZ39" s="19"/>
      <c r="TDA39" s="19"/>
      <c r="TDB39" s="19"/>
      <c r="TDC39" s="19"/>
      <c r="TDD39" s="19"/>
      <c r="TDE39" s="19"/>
      <c r="TDF39" s="19"/>
      <c r="TDG39" s="19"/>
      <c r="TDH39" s="19"/>
      <c r="TDI39" s="19"/>
      <c r="TDJ39" s="19"/>
      <c r="TDK39" s="19"/>
      <c r="TDL39" s="19"/>
      <c r="TDM39" s="19"/>
      <c r="TDN39" s="19"/>
      <c r="TDO39" s="19"/>
      <c r="TDP39" s="19"/>
      <c r="TDQ39" s="19"/>
      <c r="TDR39" s="19"/>
      <c r="TDS39" s="19"/>
      <c r="TDT39" s="19"/>
      <c r="TDU39" s="19"/>
      <c r="TDV39" s="19"/>
      <c r="TDW39" s="19"/>
      <c r="TDX39" s="19"/>
      <c r="TDY39" s="19"/>
      <c r="TDZ39" s="19"/>
      <c r="TEA39" s="19"/>
      <c r="TEB39" s="19"/>
      <c r="TEC39" s="19"/>
      <c r="TED39" s="19"/>
      <c r="TEE39" s="19"/>
      <c r="TEF39" s="19"/>
      <c r="TEG39" s="19"/>
      <c r="TEH39" s="19"/>
      <c r="TEI39" s="19"/>
      <c r="TEJ39" s="19"/>
      <c r="TEK39" s="19"/>
      <c r="TEL39" s="19"/>
      <c r="TEM39" s="19"/>
      <c r="TEN39" s="19"/>
      <c r="TEO39" s="19"/>
      <c r="TEP39" s="19"/>
      <c r="TEQ39" s="19"/>
      <c r="TER39" s="19"/>
      <c r="TES39" s="19"/>
      <c r="TET39" s="19"/>
      <c r="TEU39" s="19"/>
      <c r="TEV39" s="19"/>
      <c r="TEW39" s="19"/>
      <c r="TEX39" s="19"/>
      <c r="TEY39" s="19"/>
      <c r="TEZ39" s="19"/>
      <c r="TFA39" s="19"/>
      <c r="TFB39" s="19"/>
      <c r="TFC39" s="19"/>
      <c r="TFD39" s="19"/>
      <c r="TFE39" s="19"/>
      <c r="TFF39" s="19"/>
      <c r="TFG39" s="19"/>
      <c r="TFH39" s="19"/>
      <c r="TFI39" s="19"/>
      <c r="TFJ39" s="19"/>
      <c r="TFK39" s="19"/>
      <c r="TFL39" s="19"/>
      <c r="TFM39" s="19"/>
      <c r="TFN39" s="19"/>
      <c r="TFO39" s="19"/>
      <c r="TFP39" s="19"/>
      <c r="TFQ39" s="19"/>
      <c r="TFR39" s="19"/>
      <c r="TFS39" s="19"/>
      <c r="TFT39" s="19"/>
      <c r="TFU39" s="19"/>
      <c r="TFV39" s="19"/>
      <c r="TFW39" s="19"/>
      <c r="TFX39" s="19"/>
      <c r="TFY39" s="19"/>
      <c r="TFZ39" s="19"/>
      <c r="TGA39" s="19"/>
      <c r="TGB39" s="19"/>
      <c r="TGC39" s="19"/>
      <c r="TGD39" s="19"/>
      <c r="TGE39" s="19"/>
      <c r="TGF39" s="19"/>
      <c r="TGG39" s="19"/>
      <c r="TGH39" s="19"/>
      <c r="TGI39" s="19"/>
      <c r="TGJ39" s="19"/>
      <c r="TGK39" s="19"/>
      <c r="TGL39" s="19"/>
      <c r="TGM39" s="19"/>
      <c r="TGN39" s="19"/>
      <c r="TGO39" s="19"/>
      <c r="TGP39" s="19"/>
      <c r="TGQ39" s="19"/>
      <c r="TGR39" s="19"/>
      <c r="TGS39" s="19"/>
      <c r="TGT39" s="19"/>
      <c r="TGU39" s="19"/>
      <c r="TGV39" s="19"/>
      <c r="TGW39" s="19"/>
      <c r="TGX39" s="19"/>
      <c r="TGY39" s="19"/>
      <c r="TGZ39" s="19"/>
      <c r="THA39" s="19"/>
      <c r="THB39" s="19"/>
      <c r="THC39" s="19"/>
      <c r="THD39" s="19"/>
      <c r="THE39" s="19"/>
      <c r="THF39" s="19"/>
      <c r="THG39" s="19"/>
      <c r="THH39" s="19"/>
      <c r="THI39" s="19"/>
      <c r="THJ39" s="19"/>
      <c r="THK39" s="19"/>
      <c r="THL39" s="19"/>
      <c r="THM39" s="19"/>
      <c r="THN39" s="19"/>
      <c r="THO39" s="19"/>
      <c r="THP39" s="19"/>
      <c r="THQ39" s="19"/>
      <c r="THR39" s="19"/>
      <c r="THS39" s="19"/>
      <c r="THT39" s="19"/>
      <c r="THU39" s="19"/>
      <c r="THV39" s="19"/>
      <c r="THW39" s="19"/>
      <c r="THX39" s="19"/>
      <c r="THY39" s="19"/>
      <c r="THZ39" s="19"/>
      <c r="TIA39" s="19"/>
      <c r="TIB39" s="19"/>
      <c r="TIC39" s="19"/>
      <c r="TID39" s="19"/>
      <c r="TIE39" s="19"/>
      <c r="TIF39" s="19"/>
      <c r="TIG39" s="19"/>
      <c r="TIH39" s="19"/>
      <c r="TII39" s="19"/>
      <c r="TIJ39" s="19"/>
      <c r="TIK39" s="19"/>
      <c r="TIL39" s="19"/>
      <c r="TIM39" s="19"/>
      <c r="TIN39" s="19"/>
      <c r="TIO39" s="19"/>
      <c r="TIP39" s="19"/>
      <c r="TIQ39" s="19"/>
      <c r="TIR39" s="19"/>
      <c r="TIS39" s="19"/>
      <c r="TIT39" s="19"/>
      <c r="TIU39" s="19"/>
      <c r="TIV39" s="19"/>
      <c r="TIW39" s="19"/>
      <c r="TIX39" s="19"/>
      <c r="TIY39" s="19"/>
      <c r="TIZ39" s="19"/>
      <c r="TJA39" s="19"/>
      <c r="TJB39" s="19"/>
      <c r="TJC39" s="19"/>
      <c r="TJD39" s="19"/>
      <c r="TJE39" s="19"/>
      <c r="TJF39" s="19"/>
      <c r="TJG39" s="19"/>
      <c r="TJH39" s="19"/>
      <c r="TJI39" s="19"/>
      <c r="TJJ39" s="19"/>
      <c r="TJK39" s="19"/>
      <c r="TJL39" s="19"/>
      <c r="TJM39" s="19"/>
      <c r="TJN39" s="19"/>
      <c r="TJO39" s="19"/>
      <c r="TJP39" s="19"/>
      <c r="TJQ39" s="19"/>
      <c r="TJR39" s="19"/>
      <c r="TJS39" s="19"/>
      <c r="TJT39" s="19"/>
      <c r="TJU39" s="19"/>
      <c r="TJV39" s="19"/>
      <c r="TJW39" s="19"/>
      <c r="TJX39" s="19"/>
      <c r="TJY39" s="19"/>
      <c r="TJZ39" s="19"/>
      <c r="TKA39" s="19"/>
      <c r="TKB39" s="19"/>
      <c r="TKC39" s="19"/>
      <c r="TKD39" s="19"/>
      <c r="TKE39" s="19"/>
      <c r="TKF39" s="19"/>
      <c r="TKG39" s="19"/>
      <c r="TKH39" s="19"/>
      <c r="TKI39" s="19"/>
      <c r="TKJ39" s="19"/>
      <c r="TKK39" s="19"/>
      <c r="TKL39" s="19"/>
      <c r="TKM39" s="19"/>
      <c r="TKN39" s="19"/>
      <c r="TKO39" s="19"/>
      <c r="TKP39" s="19"/>
      <c r="TKQ39" s="19"/>
      <c r="TKR39" s="19"/>
      <c r="TKS39" s="19"/>
      <c r="TKT39" s="19"/>
      <c r="TKU39" s="19"/>
      <c r="TKV39" s="19"/>
      <c r="TKW39" s="19"/>
      <c r="TKX39" s="19"/>
      <c r="TKY39" s="19"/>
      <c r="TKZ39" s="19"/>
      <c r="TLA39" s="19"/>
      <c r="TLB39" s="19"/>
      <c r="TLC39" s="19"/>
      <c r="TLD39" s="19"/>
      <c r="TLE39" s="19"/>
      <c r="TLF39" s="19"/>
      <c r="TLG39" s="19"/>
      <c r="TLH39" s="19"/>
      <c r="TLI39" s="19"/>
      <c r="TLJ39" s="19"/>
      <c r="TLK39" s="19"/>
      <c r="TLL39" s="19"/>
      <c r="TLM39" s="19"/>
      <c r="TLN39" s="19"/>
      <c r="TLO39" s="19"/>
      <c r="TLP39" s="19"/>
      <c r="TLQ39" s="19"/>
      <c r="TLR39" s="19"/>
      <c r="TLS39" s="19"/>
      <c r="TLT39" s="19"/>
      <c r="TLU39" s="19"/>
      <c r="TLV39" s="19"/>
      <c r="TLW39" s="19"/>
      <c r="TLX39" s="19"/>
      <c r="TLY39" s="19"/>
      <c r="TLZ39" s="19"/>
      <c r="TMA39" s="19"/>
      <c r="TMB39" s="19"/>
      <c r="TMC39" s="19"/>
      <c r="TMD39" s="19"/>
      <c r="TME39" s="19"/>
      <c r="TMF39" s="19"/>
      <c r="TMG39" s="19"/>
      <c r="TMH39" s="19"/>
      <c r="TMI39" s="19"/>
      <c r="TMJ39" s="19"/>
      <c r="TMK39" s="19"/>
      <c r="TML39" s="19"/>
      <c r="TMM39" s="19"/>
      <c r="TMN39" s="19"/>
      <c r="TMO39" s="19"/>
      <c r="TMP39" s="19"/>
      <c r="TMQ39" s="19"/>
      <c r="TMR39" s="19"/>
      <c r="TMS39" s="19"/>
      <c r="TMT39" s="19"/>
      <c r="TMU39" s="19"/>
      <c r="TMV39" s="19"/>
      <c r="TMW39" s="19"/>
      <c r="TMX39" s="19"/>
      <c r="TMY39" s="19"/>
      <c r="TMZ39" s="19"/>
      <c r="TNA39" s="19"/>
      <c r="TNB39" s="19"/>
      <c r="TNC39" s="19"/>
      <c r="TND39" s="19"/>
      <c r="TNE39" s="19"/>
      <c r="TNF39" s="19"/>
      <c r="TNG39" s="19"/>
      <c r="TNH39" s="19"/>
      <c r="TNI39" s="19"/>
      <c r="TNJ39" s="19"/>
      <c r="TNK39" s="19"/>
      <c r="TNL39" s="19"/>
      <c r="TNM39" s="19"/>
      <c r="TNN39" s="19"/>
      <c r="TNO39" s="19"/>
      <c r="TNP39" s="19"/>
      <c r="TNQ39" s="19"/>
      <c r="TNR39" s="19"/>
      <c r="TNS39" s="19"/>
      <c r="TNT39" s="19"/>
      <c r="TNU39" s="19"/>
      <c r="TNV39" s="19"/>
      <c r="TNW39" s="19"/>
      <c r="TNX39" s="19"/>
      <c r="TNY39" s="19"/>
      <c r="TNZ39" s="19"/>
      <c r="TOA39" s="19"/>
      <c r="TOB39" s="19"/>
      <c r="TOC39" s="19"/>
      <c r="TOD39" s="19"/>
      <c r="TOE39" s="19"/>
      <c r="TOF39" s="19"/>
      <c r="TOG39" s="19"/>
      <c r="TOH39" s="19"/>
      <c r="TOI39" s="19"/>
      <c r="TOJ39" s="19"/>
      <c r="TOK39" s="19"/>
      <c r="TOL39" s="19"/>
      <c r="TOM39" s="19"/>
      <c r="TON39" s="19"/>
      <c r="TOO39" s="19"/>
      <c r="TOP39" s="19"/>
      <c r="TOQ39" s="19"/>
      <c r="TOR39" s="19"/>
      <c r="TOS39" s="19"/>
      <c r="TOT39" s="19"/>
      <c r="TOU39" s="19"/>
      <c r="TOV39" s="19"/>
      <c r="TOW39" s="19"/>
      <c r="TOX39" s="19"/>
      <c r="TOY39" s="19"/>
      <c r="TOZ39" s="19"/>
      <c r="TPA39" s="19"/>
      <c r="TPB39" s="19"/>
      <c r="TPC39" s="19"/>
      <c r="TPD39" s="19"/>
      <c r="TPE39" s="19"/>
      <c r="TPF39" s="19"/>
      <c r="TPG39" s="19"/>
      <c r="TPH39" s="19"/>
      <c r="TPI39" s="19"/>
      <c r="TPJ39" s="19"/>
      <c r="TPK39" s="19"/>
      <c r="TPL39" s="19"/>
      <c r="TPM39" s="19"/>
      <c r="TPN39" s="19"/>
      <c r="TPO39" s="19"/>
      <c r="TPP39" s="19"/>
      <c r="TPQ39" s="19"/>
      <c r="TPR39" s="19"/>
      <c r="TPS39" s="19"/>
      <c r="TPT39" s="19"/>
      <c r="TPU39" s="19"/>
      <c r="TPV39" s="19"/>
      <c r="TPW39" s="19"/>
      <c r="TPX39" s="19"/>
      <c r="TPY39" s="19"/>
      <c r="TPZ39" s="19"/>
      <c r="TQA39" s="19"/>
      <c r="TQB39" s="19"/>
      <c r="TQC39" s="19"/>
      <c r="TQD39" s="19"/>
      <c r="TQE39" s="19"/>
      <c r="TQF39" s="19"/>
      <c r="TQG39" s="19"/>
      <c r="TQH39" s="19"/>
      <c r="TQI39" s="19"/>
      <c r="TQJ39" s="19"/>
      <c r="TQK39" s="19"/>
      <c r="TQL39" s="19"/>
      <c r="TQM39" s="19"/>
      <c r="TQN39" s="19"/>
      <c r="TQO39" s="19"/>
      <c r="TQP39" s="19"/>
      <c r="TQQ39" s="19"/>
      <c r="TQR39" s="19"/>
      <c r="TQS39" s="19"/>
      <c r="TQT39" s="19"/>
      <c r="TQU39" s="19"/>
      <c r="TQV39" s="19"/>
      <c r="TQW39" s="19"/>
      <c r="TQX39" s="19"/>
      <c r="TQY39" s="19"/>
      <c r="TQZ39" s="19"/>
      <c r="TRA39" s="19"/>
      <c r="TRB39" s="19"/>
      <c r="TRC39" s="19"/>
      <c r="TRD39" s="19"/>
      <c r="TRE39" s="19"/>
      <c r="TRF39" s="19"/>
      <c r="TRG39" s="19"/>
      <c r="TRH39" s="19"/>
      <c r="TRI39" s="19"/>
      <c r="TRJ39" s="19"/>
      <c r="TRK39" s="19"/>
      <c r="TRL39" s="19"/>
      <c r="TRM39" s="19"/>
      <c r="TRN39" s="19"/>
      <c r="TRO39" s="19"/>
      <c r="TRP39" s="19"/>
      <c r="TRQ39" s="19"/>
      <c r="TRR39" s="19"/>
      <c r="TRS39" s="19"/>
      <c r="TRT39" s="19"/>
      <c r="TRU39" s="19"/>
      <c r="TRV39" s="19"/>
      <c r="TRW39" s="19"/>
      <c r="TRX39" s="19"/>
      <c r="TRY39" s="19"/>
      <c r="TRZ39" s="19"/>
      <c r="TSA39" s="19"/>
      <c r="TSB39" s="19"/>
      <c r="TSC39" s="19"/>
      <c r="TSD39" s="19"/>
      <c r="TSE39" s="19"/>
      <c r="TSF39" s="19"/>
      <c r="TSG39" s="19"/>
      <c r="TSH39" s="19"/>
      <c r="TSI39" s="19"/>
      <c r="TSJ39" s="19"/>
      <c r="TSK39" s="19"/>
      <c r="TSL39" s="19"/>
      <c r="TSM39" s="19"/>
      <c r="TSN39" s="19"/>
      <c r="TSO39" s="19"/>
      <c r="TSP39" s="19"/>
      <c r="TSQ39" s="19"/>
      <c r="TSR39" s="19"/>
      <c r="TSS39" s="19"/>
      <c r="TST39" s="19"/>
      <c r="TSU39" s="19"/>
      <c r="TSV39" s="19"/>
      <c r="TSW39" s="19"/>
      <c r="TSX39" s="19"/>
      <c r="TSY39" s="19"/>
      <c r="TSZ39" s="19"/>
      <c r="TTA39" s="19"/>
      <c r="TTB39" s="19"/>
      <c r="TTC39" s="19"/>
      <c r="TTD39" s="19"/>
      <c r="TTE39" s="19"/>
      <c r="TTF39" s="19"/>
      <c r="TTG39" s="19"/>
      <c r="TTH39" s="19"/>
      <c r="TTI39" s="19"/>
      <c r="TTJ39" s="19"/>
      <c r="TTK39" s="19"/>
      <c r="TTL39" s="19"/>
      <c r="TTM39" s="19"/>
      <c r="TTN39" s="19"/>
      <c r="TTO39" s="19"/>
      <c r="TTP39" s="19"/>
      <c r="TTQ39" s="19"/>
      <c r="TTR39" s="19"/>
      <c r="TTS39" s="19"/>
      <c r="TTT39" s="19"/>
      <c r="TTU39" s="19"/>
      <c r="TTV39" s="19"/>
      <c r="TTW39" s="19"/>
      <c r="TTX39" s="19"/>
      <c r="TTY39" s="19"/>
      <c r="TTZ39" s="19"/>
      <c r="TUA39" s="19"/>
      <c r="TUB39" s="19"/>
      <c r="TUC39" s="19"/>
      <c r="TUD39" s="19"/>
      <c r="TUE39" s="19"/>
      <c r="TUF39" s="19"/>
      <c r="TUG39" s="19"/>
      <c r="TUH39" s="19"/>
      <c r="TUI39" s="19"/>
      <c r="TUJ39" s="19"/>
      <c r="TUK39" s="19"/>
      <c r="TUL39" s="19"/>
      <c r="TUM39" s="19"/>
      <c r="TUN39" s="19"/>
      <c r="TUO39" s="19"/>
      <c r="TUP39" s="19"/>
      <c r="TUQ39" s="19"/>
      <c r="TUR39" s="19"/>
      <c r="TUS39" s="19"/>
      <c r="TUT39" s="19"/>
      <c r="TUU39" s="19"/>
      <c r="TUV39" s="19"/>
      <c r="TUW39" s="19"/>
      <c r="TUX39" s="19"/>
      <c r="TUY39" s="19"/>
      <c r="TUZ39" s="19"/>
      <c r="TVA39" s="19"/>
      <c r="TVB39" s="19"/>
      <c r="TVC39" s="19"/>
      <c r="TVD39" s="19"/>
      <c r="TVE39" s="19"/>
      <c r="TVF39" s="19"/>
      <c r="TVG39" s="19"/>
      <c r="TVH39" s="19"/>
      <c r="TVI39" s="19"/>
      <c r="TVJ39" s="19"/>
      <c r="TVK39" s="19"/>
      <c r="TVL39" s="19"/>
      <c r="TVM39" s="19"/>
      <c r="TVN39" s="19"/>
      <c r="TVO39" s="19"/>
      <c r="TVP39" s="19"/>
      <c r="TVQ39" s="19"/>
      <c r="TVR39" s="19"/>
      <c r="TVS39" s="19"/>
      <c r="TVT39" s="19"/>
      <c r="TVU39" s="19"/>
      <c r="TVV39" s="19"/>
      <c r="TVW39" s="19"/>
      <c r="TVX39" s="19"/>
      <c r="TVY39" s="19"/>
      <c r="TVZ39" s="19"/>
      <c r="TWA39" s="19"/>
      <c r="TWB39" s="19"/>
      <c r="TWC39" s="19"/>
      <c r="TWD39" s="19"/>
      <c r="TWE39" s="19"/>
      <c r="TWF39" s="19"/>
      <c r="TWG39" s="19"/>
      <c r="TWH39" s="19"/>
      <c r="TWI39" s="19"/>
      <c r="TWJ39" s="19"/>
      <c r="TWK39" s="19"/>
      <c r="TWL39" s="19"/>
      <c r="TWM39" s="19"/>
      <c r="TWN39" s="19"/>
      <c r="TWO39" s="19"/>
      <c r="TWP39" s="19"/>
      <c r="TWQ39" s="19"/>
      <c r="TWR39" s="19"/>
      <c r="TWS39" s="19"/>
      <c r="TWT39" s="19"/>
      <c r="TWU39" s="19"/>
      <c r="TWV39" s="19"/>
      <c r="TWW39" s="19"/>
      <c r="TWX39" s="19"/>
      <c r="TWY39" s="19"/>
      <c r="TWZ39" s="19"/>
      <c r="TXA39" s="19"/>
      <c r="TXB39" s="19"/>
      <c r="TXC39" s="19"/>
      <c r="TXD39" s="19"/>
      <c r="TXE39" s="19"/>
      <c r="TXF39" s="19"/>
      <c r="TXG39" s="19"/>
      <c r="TXH39" s="19"/>
      <c r="TXI39" s="19"/>
      <c r="TXJ39" s="19"/>
      <c r="TXK39" s="19"/>
      <c r="TXL39" s="19"/>
      <c r="TXM39" s="19"/>
      <c r="TXN39" s="19"/>
      <c r="TXO39" s="19"/>
      <c r="TXP39" s="19"/>
      <c r="TXQ39" s="19"/>
      <c r="TXR39" s="19"/>
      <c r="TXS39" s="19"/>
      <c r="TXT39" s="19"/>
      <c r="TXU39" s="19"/>
      <c r="TXV39" s="19"/>
      <c r="TXW39" s="19"/>
      <c r="TXX39" s="19"/>
      <c r="TXY39" s="19"/>
      <c r="TXZ39" s="19"/>
      <c r="TYA39" s="19"/>
      <c r="TYB39" s="19"/>
      <c r="TYC39" s="19"/>
      <c r="TYD39" s="19"/>
      <c r="TYE39" s="19"/>
      <c r="TYF39" s="19"/>
      <c r="TYG39" s="19"/>
      <c r="TYH39" s="19"/>
      <c r="TYI39" s="19"/>
      <c r="TYJ39" s="19"/>
      <c r="TYK39" s="19"/>
      <c r="TYL39" s="19"/>
      <c r="TYM39" s="19"/>
      <c r="TYN39" s="19"/>
      <c r="TYO39" s="19"/>
      <c r="TYP39" s="19"/>
      <c r="TYQ39" s="19"/>
      <c r="TYR39" s="19"/>
      <c r="TYS39" s="19"/>
      <c r="TYT39" s="19"/>
      <c r="TYU39" s="19"/>
      <c r="TYV39" s="19"/>
      <c r="TYW39" s="19"/>
      <c r="TYX39" s="19"/>
      <c r="TYY39" s="19"/>
      <c r="TYZ39" s="19"/>
      <c r="TZA39" s="19"/>
      <c r="TZB39" s="19"/>
      <c r="TZC39" s="19"/>
      <c r="TZD39" s="19"/>
      <c r="TZE39" s="19"/>
      <c r="TZF39" s="19"/>
      <c r="TZG39" s="19"/>
      <c r="TZH39" s="19"/>
      <c r="TZI39" s="19"/>
      <c r="TZJ39" s="19"/>
      <c r="TZK39" s="19"/>
      <c r="TZL39" s="19"/>
      <c r="TZM39" s="19"/>
      <c r="TZN39" s="19"/>
      <c r="TZO39" s="19"/>
      <c r="TZP39" s="19"/>
      <c r="TZQ39" s="19"/>
      <c r="TZR39" s="19"/>
      <c r="TZS39" s="19"/>
      <c r="TZT39" s="19"/>
      <c r="TZU39" s="19"/>
      <c r="TZV39" s="19"/>
      <c r="TZW39" s="19"/>
      <c r="TZX39" s="19"/>
      <c r="TZY39" s="19"/>
      <c r="TZZ39" s="19"/>
      <c r="UAA39" s="19"/>
      <c r="UAB39" s="19"/>
      <c r="UAC39" s="19"/>
      <c r="UAD39" s="19"/>
      <c r="UAE39" s="19"/>
      <c r="UAF39" s="19"/>
      <c r="UAG39" s="19"/>
      <c r="UAH39" s="19"/>
      <c r="UAI39" s="19"/>
      <c r="UAJ39" s="19"/>
      <c r="UAK39" s="19"/>
      <c r="UAL39" s="19"/>
      <c r="UAM39" s="19"/>
      <c r="UAN39" s="19"/>
      <c r="UAO39" s="19"/>
      <c r="UAP39" s="19"/>
      <c r="UAQ39" s="19"/>
      <c r="UAR39" s="19"/>
      <c r="UAS39" s="19"/>
      <c r="UAT39" s="19"/>
      <c r="UAU39" s="19"/>
      <c r="UAV39" s="19"/>
      <c r="UAW39" s="19"/>
      <c r="UAX39" s="19"/>
      <c r="UAY39" s="19"/>
      <c r="UAZ39" s="19"/>
      <c r="UBA39" s="19"/>
      <c r="UBB39" s="19"/>
      <c r="UBC39" s="19"/>
      <c r="UBD39" s="19"/>
      <c r="UBE39" s="19"/>
      <c r="UBF39" s="19"/>
      <c r="UBG39" s="19"/>
      <c r="UBH39" s="19"/>
      <c r="UBI39" s="19"/>
      <c r="UBJ39" s="19"/>
      <c r="UBK39" s="19"/>
      <c r="UBL39" s="19"/>
      <c r="UBM39" s="19"/>
      <c r="UBN39" s="19"/>
      <c r="UBO39" s="19"/>
      <c r="UBP39" s="19"/>
      <c r="UBQ39" s="19"/>
      <c r="UBR39" s="19"/>
      <c r="UBS39" s="19"/>
      <c r="UBT39" s="19"/>
      <c r="UBU39" s="19"/>
      <c r="UBV39" s="19"/>
      <c r="UBW39" s="19"/>
      <c r="UBX39" s="19"/>
      <c r="UBY39" s="19"/>
      <c r="UBZ39" s="19"/>
      <c r="UCA39" s="19"/>
      <c r="UCB39" s="19"/>
      <c r="UCC39" s="19"/>
      <c r="UCD39" s="19"/>
      <c r="UCE39" s="19"/>
      <c r="UCF39" s="19"/>
      <c r="UCG39" s="19"/>
      <c r="UCH39" s="19"/>
      <c r="UCI39" s="19"/>
      <c r="UCJ39" s="19"/>
      <c r="UCK39" s="19"/>
      <c r="UCL39" s="19"/>
      <c r="UCM39" s="19"/>
      <c r="UCN39" s="19"/>
      <c r="UCO39" s="19"/>
      <c r="UCP39" s="19"/>
      <c r="UCQ39" s="19"/>
      <c r="UCR39" s="19"/>
      <c r="UCS39" s="19"/>
      <c r="UCT39" s="19"/>
      <c r="UCU39" s="19"/>
      <c r="UCV39" s="19"/>
      <c r="UCW39" s="19"/>
      <c r="UCX39" s="19"/>
      <c r="UCY39" s="19"/>
      <c r="UCZ39" s="19"/>
      <c r="UDA39" s="19"/>
      <c r="UDB39" s="19"/>
      <c r="UDC39" s="19"/>
      <c r="UDD39" s="19"/>
      <c r="UDE39" s="19"/>
      <c r="UDF39" s="19"/>
      <c r="UDG39" s="19"/>
      <c r="UDH39" s="19"/>
      <c r="UDI39" s="19"/>
      <c r="UDJ39" s="19"/>
      <c r="UDK39" s="19"/>
      <c r="UDL39" s="19"/>
      <c r="UDM39" s="19"/>
      <c r="UDN39" s="19"/>
      <c r="UDO39" s="19"/>
      <c r="UDP39" s="19"/>
      <c r="UDQ39" s="19"/>
      <c r="UDR39" s="19"/>
      <c r="UDS39" s="19"/>
      <c r="UDT39" s="19"/>
      <c r="UDU39" s="19"/>
      <c r="UDV39" s="19"/>
      <c r="UDW39" s="19"/>
      <c r="UDX39" s="19"/>
      <c r="UDY39" s="19"/>
      <c r="UDZ39" s="19"/>
      <c r="UEA39" s="19"/>
      <c r="UEB39" s="19"/>
      <c r="UEC39" s="19"/>
      <c r="UED39" s="19"/>
      <c r="UEE39" s="19"/>
      <c r="UEF39" s="19"/>
      <c r="UEG39" s="19"/>
      <c r="UEH39" s="19"/>
      <c r="UEI39" s="19"/>
      <c r="UEJ39" s="19"/>
      <c r="UEK39" s="19"/>
      <c r="UEL39" s="19"/>
      <c r="UEM39" s="19"/>
      <c r="UEN39" s="19"/>
      <c r="UEO39" s="19"/>
      <c r="UEP39" s="19"/>
      <c r="UEQ39" s="19"/>
      <c r="UER39" s="19"/>
      <c r="UES39" s="19"/>
      <c r="UET39" s="19"/>
      <c r="UEU39" s="19"/>
      <c r="UEV39" s="19"/>
      <c r="UEW39" s="19"/>
      <c r="UEX39" s="19"/>
      <c r="UEY39" s="19"/>
      <c r="UEZ39" s="19"/>
      <c r="UFA39" s="19"/>
      <c r="UFB39" s="19"/>
      <c r="UFC39" s="19"/>
      <c r="UFD39" s="19"/>
      <c r="UFE39" s="19"/>
      <c r="UFF39" s="19"/>
      <c r="UFG39" s="19"/>
      <c r="UFH39" s="19"/>
      <c r="UFI39" s="19"/>
      <c r="UFJ39" s="19"/>
      <c r="UFK39" s="19"/>
      <c r="UFL39" s="19"/>
      <c r="UFM39" s="19"/>
      <c r="UFN39" s="19"/>
      <c r="UFO39" s="19"/>
      <c r="UFP39" s="19"/>
      <c r="UFQ39" s="19"/>
      <c r="UFR39" s="19"/>
      <c r="UFS39" s="19"/>
      <c r="UFT39" s="19"/>
      <c r="UFU39" s="19"/>
      <c r="UFV39" s="19"/>
      <c r="UFW39" s="19"/>
      <c r="UFX39" s="19"/>
      <c r="UFY39" s="19"/>
      <c r="UFZ39" s="19"/>
      <c r="UGA39" s="19"/>
      <c r="UGB39" s="19"/>
      <c r="UGC39" s="19"/>
      <c r="UGD39" s="19"/>
      <c r="UGE39" s="19"/>
      <c r="UGF39" s="19"/>
      <c r="UGG39" s="19"/>
      <c r="UGH39" s="19"/>
      <c r="UGI39" s="19"/>
      <c r="UGJ39" s="19"/>
      <c r="UGK39" s="19"/>
      <c r="UGL39" s="19"/>
      <c r="UGM39" s="19"/>
      <c r="UGN39" s="19"/>
      <c r="UGO39" s="19"/>
      <c r="UGP39" s="19"/>
      <c r="UGQ39" s="19"/>
      <c r="UGR39" s="19"/>
      <c r="UGS39" s="19"/>
      <c r="UGT39" s="19"/>
      <c r="UGU39" s="19"/>
      <c r="UGV39" s="19"/>
      <c r="UGW39" s="19"/>
      <c r="UGX39" s="19"/>
      <c r="UGY39" s="19"/>
      <c r="UGZ39" s="19"/>
      <c r="UHA39" s="19"/>
      <c r="UHB39" s="19"/>
      <c r="UHC39" s="19"/>
      <c r="UHD39" s="19"/>
      <c r="UHE39" s="19"/>
      <c r="UHF39" s="19"/>
      <c r="UHG39" s="19"/>
      <c r="UHH39" s="19"/>
      <c r="UHI39" s="19"/>
      <c r="UHJ39" s="19"/>
      <c r="UHK39" s="19"/>
      <c r="UHL39" s="19"/>
      <c r="UHM39" s="19"/>
      <c r="UHN39" s="19"/>
      <c r="UHO39" s="19"/>
      <c r="UHP39" s="19"/>
      <c r="UHQ39" s="19"/>
      <c r="UHR39" s="19"/>
      <c r="UHS39" s="19"/>
      <c r="UHT39" s="19"/>
      <c r="UHU39" s="19"/>
      <c r="UHV39" s="19"/>
      <c r="UHW39" s="19"/>
      <c r="UHX39" s="19"/>
      <c r="UHY39" s="19"/>
      <c r="UHZ39" s="19"/>
      <c r="UIA39" s="19"/>
      <c r="UIB39" s="19"/>
      <c r="UIC39" s="19"/>
      <c r="UID39" s="19"/>
      <c r="UIE39" s="19"/>
      <c r="UIF39" s="19"/>
      <c r="UIG39" s="19"/>
      <c r="UIH39" s="19"/>
      <c r="UII39" s="19"/>
      <c r="UIJ39" s="19"/>
      <c r="UIK39" s="19"/>
      <c r="UIL39" s="19"/>
      <c r="UIM39" s="19"/>
      <c r="UIN39" s="19"/>
      <c r="UIO39" s="19"/>
      <c r="UIP39" s="19"/>
      <c r="UIQ39" s="19"/>
      <c r="UIR39" s="19"/>
      <c r="UIS39" s="19"/>
      <c r="UIT39" s="19"/>
      <c r="UIU39" s="19"/>
      <c r="UIV39" s="19"/>
      <c r="UIW39" s="19"/>
      <c r="UIX39" s="19"/>
      <c r="UIY39" s="19"/>
      <c r="UIZ39" s="19"/>
      <c r="UJA39" s="19"/>
      <c r="UJB39" s="19"/>
      <c r="UJC39" s="19"/>
      <c r="UJD39" s="19"/>
      <c r="UJE39" s="19"/>
      <c r="UJF39" s="19"/>
      <c r="UJG39" s="19"/>
      <c r="UJH39" s="19"/>
      <c r="UJI39" s="19"/>
      <c r="UJJ39" s="19"/>
      <c r="UJK39" s="19"/>
      <c r="UJL39" s="19"/>
      <c r="UJM39" s="19"/>
      <c r="UJN39" s="19"/>
      <c r="UJO39" s="19"/>
      <c r="UJP39" s="19"/>
      <c r="UJQ39" s="19"/>
      <c r="UJR39" s="19"/>
      <c r="UJS39" s="19"/>
      <c r="UJT39" s="19"/>
      <c r="UJU39" s="19"/>
      <c r="UJV39" s="19"/>
      <c r="UJW39" s="19"/>
      <c r="UJX39" s="19"/>
      <c r="UJY39" s="19"/>
      <c r="UJZ39" s="19"/>
      <c r="UKA39" s="19"/>
      <c r="UKB39" s="19"/>
      <c r="UKC39" s="19"/>
      <c r="UKD39" s="19"/>
      <c r="UKE39" s="19"/>
      <c r="UKF39" s="19"/>
      <c r="UKG39" s="19"/>
      <c r="UKH39" s="19"/>
      <c r="UKI39" s="19"/>
      <c r="UKJ39" s="19"/>
      <c r="UKK39" s="19"/>
      <c r="UKL39" s="19"/>
      <c r="UKM39" s="19"/>
      <c r="UKN39" s="19"/>
      <c r="UKO39" s="19"/>
      <c r="UKP39" s="19"/>
      <c r="UKQ39" s="19"/>
      <c r="UKR39" s="19"/>
      <c r="UKS39" s="19"/>
      <c r="UKT39" s="19"/>
      <c r="UKU39" s="19"/>
      <c r="UKV39" s="19"/>
      <c r="UKW39" s="19"/>
      <c r="UKX39" s="19"/>
      <c r="UKY39" s="19"/>
      <c r="UKZ39" s="19"/>
      <c r="ULA39" s="19"/>
      <c r="ULB39" s="19"/>
      <c r="ULC39" s="19"/>
      <c r="ULD39" s="19"/>
      <c r="ULE39" s="19"/>
      <c r="ULF39" s="19"/>
      <c r="ULG39" s="19"/>
      <c r="ULH39" s="19"/>
      <c r="ULI39" s="19"/>
      <c r="ULJ39" s="19"/>
      <c r="ULK39" s="19"/>
      <c r="ULL39" s="19"/>
      <c r="ULM39" s="19"/>
      <c r="ULN39" s="19"/>
      <c r="ULO39" s="19"/>
      <c r="ULP39" s="19"/>
      <c r="ULQ39" s="19"/>
      <c r="ULR39" s="19"/>
      <c r="ULS39" s="19"/>
      <c r="ULT39" s="19"/>
      <c r="ULU39" s="19"/>
      <c r="ULV39" s="19"/>
      <c r="ULW39" s="19"/>
      <c r="ULX39" s="19"/>
      <c r="ULY39" s="19"/>
      <c r="ULZ39" s="19"/>
      <c r="UMA39" s="19"/>
      <c r="UMB39" s="19"/>
      <c r="UMC39" s="19"/>
      <c r="UMD39" s="19"/>
      <c r="UME39" s="19"/>
      <c r="UMF39" s="19"/>
      <c r="UMG39" s="19"/>
      <c r="UMH39" s="19"/>
      <c r="UMI39" s="19"/>
      <c r="UMJ39" s="19"/>
      <c r="UMK39" s="19"/>
      <c r="UML39" s="19"/>
      <c r="UMM39" s="19"/>
      <c r="UMN39" s="19"/>
      <c r="UMO39" s="19"/>
      <c r="UMP39" s="19"/>
      <c r="UMQ39" s="19"/>
      <c r="UMR39" s="19"/>
      <c r="UMS39" s="19"/>
      <c r="UMT39" s="19"/>
      <c r="UMU39" s="19"/>
      <c r="UMV39" s="19"/>
      <c r="UMW39" s="19"/>
      <c r="UMX39" s="19"/>
      <c r="UMY39" s="19"/>
      <c r="UMZ39" s="19"/>
      <c r="UNA39" s="19"/>
      <c r="UNB39" s="19"/>
      <c r="UNC39" s="19"/>
      <c r="UND39" s="19"/>
      <c r="UNE39" s="19"/>
      <c r="UNF39" s="19"/>
      <c r="UNG39" s="19"/>
      <c r="UNH39" s="19"/>
      <c r="UNI39" s="19"/>
      <c r="UNJ39" s="19"/>
      <c r="UNK39" s="19"/>
      <c r="UNL39" s="19"/>
      <c r="UNM39" s="19"/>
      <c r="UNN39" s="19"/>
      <c r="UNO39" s="19"/>
      <c r="UNP39" s="19"/>
      <c r="UNQ39" s="19"/>
      <c r="UNR39" s="19"/>
      <c r="UNS39" s="19"/>
      <c r="UNT39" s="19"/>
      <c r="UNU39" s="19"/>
      <c r="UNV39" s="19"/>
      <c r="UNW39" s="19"/>
      <c r="UNX39" s="19"/>
      <c r="UNY39" s="19"/>
      <c r="UNZ39" s="19"/>
      <c r="UOA39" s="19"/>
      <c r="UOB39" s="19"/>
      <c r="UOC39" s="19"/>
      <c r="UOD39" s="19"/>
      <c r="UOE39" s="19"/>
      <c r="UOF39" s="19"/>
      <c r="UOG39" s="19"/>
      <c r="UOH39" s="19"/>
      <c r="UOI39" s="19"/>
      <c r="UOJ39" s="19"/>
      <c r="UOK39" s="19"/>
      <c r="UOL39" s="19"/>
      <c r="UOM39" s="19"/>
      <c r="UON39" s="19"/>
      <c r="UOO39" s="19"/>
      <c r="UOP39" s="19"/>
      <c r="UOQ39" s="19"/>
      <c r="UOR39" s="19"/>
      <c r="UOS39" s="19"/>
      <c r="UOT39" s="19"/>
      <c r="UOU39" s="19"/>
      <c r="UOV39" s="19"/>
      <c r="UOW39" s="19"/>
      <c r="UOX39" s="19"/>
      <c r="UOY39" s="19"/>
      <c r="UOZ39" s="19"/>
      <c r="UPA39" s="19"/>
      <c r="UPB39" s="19"/>
      <c r="UPC39" s="19"/>
      <c r="UPD39" s="19"/>
      <c r="UPE39" s="19"/>
      <c r="UPF39" s="19"/>
      <c r="UPG39" s="19"/>
      <c r="UPH39" s="19"/>
      <c r="UPI39" s="19"/>
      <c r="UPJ39" s="19"/>
      <c r="UPK39" s="19"/>
      <c r="UPL39" s="19"/>
      <c r="UPM39" s="19"/>
      <c r="UPN39" s="19"/>
      <c r="UPO39" s="19"/>
      <c r="UPP39" s="19"/>
      <c r="UPQ39" s="19"/>
      <c r="UPR39" s="19"/>
      <c r="UPS39" s="19"/>
      <c r="UPT39" s="19"/>
      <c r="UPU39" s="19"/>
      <c r="UPV39" s="19"/>
      <c r="UPW39" s="19"/>
      <c r="UPX39" s="19"/>
      <c r="UPY39" s="19"/>
      <c r="UPZ39" s="19"/>
      <c r="UQA39" s="19"/>
      <c r="UQB39" s="19"/>
      <c r="UQC39" s="19"/>
      <c r="UQD39" s="19"/>
      <c r="UQE39" s="19"/>
      <c r="UQF39" s="19"/>
      <c r="UQG39" s="19"/>
      <c r="UQH39" s="19"/>
      <c r="UQI39" s="19"/>
      <c r="UQJ39" s="19"/>
      <c r="UQK39" s="19"/>
      <c r="UQL39" s="19"/>
      <c r="UQM39" s="19"/>
      <c r="UQN39" s="19"/>
      <c r="UQO39" s="19"/>
      <c r="UQP39" s="19"/>
      <c r="UQQ39" s="19"/>
      <c r="UQR39" s="19"/>
      <c r="UQS39" s="19"/>
      <c r="UQT39" s="19"/>
      <c r="UQU39" s="19"/>
      <c r="UQV39" s="19"/>
      <c r="UQW39" s="19"/>
      <c r="UQX39" s="19"/>
      <c r="UQY39" s="19"/>
      <c r="UQZ39" s="19"/>
      <c r="URA39" s="19"/>
      <c r="URB39" s="19"/>
      <c r="URC39" s="19"/>
      <c r="URD39" s="19"/>
      <c r="URE39" s="19"/>
      <c r="URF39" s="19"/>
      <c r="URG39" s="19"/>
      <c r="URH39" s="19"/>
      <c r="URI39" s="19"/>
      <c r="URJ39" s="19"/>
      <c r="URK39" s="19"/>
      <c r="URL39" s="19"/>
      <c r="URM39" s="19"/>
      <c r="URN39" s="19"/>
      <c r="URO39" s="19"/>
      <c r="URP39" s="19"/>
      <c r="URQ39" s="19"/>
      <c r="URR39" s="19"/>
      <c r="URS39" s="19"/>
      <c r="URT39" s="19"/>
      <c r="URU39" s="19"/>
      <c r="URV39" s="19"/>
      <c r="URW39" s="19"/>
      <c r="URX39" s="19"/>
      <c r="URY39" s="19"/>
      <c r="URZ39" s="19"/>
      <c r="USA39" s="19"/>
      <c r="USB39" s="19"/>
      <c r="USC39" s="19"/>
      <c r="USD39" s="19"/>
      <c r="USE39" s="19"/>
      <c r="USF39" s="19"/>
      <c r="USG39" s="19"/>
      <c r="USH39" s="19"/>
      <c r="USI39" s="19"/>
      <c r="USJ39" s="19"/>
      <c r="USK39" s="19"/>
      <c r="USL39" s="19"/>
      <c r="USM39" s="19"/>
      <c r="USN39" s="19"/>
      <c r="USO39" s="19"/>
      <c r="USP39" s="19"/>
      <c r="USQ39" s="19"/>
      <c r="USR39" s="19"/>
      <c r="USS39" s="19"/>
      <c r="UST39" s="19"/>
      <c r="USU39" s="19"/>
      <c r="USV39" s="19"/>
      <c r="USW39" s="19"/>
      <c r="USX39" s="19"/>
      <c r="USY39" s="19"/>
      <c r="USZ39" s="19"/>
      <c r="UTA39" s="19"/>
      <c r="UTB39" s="19"/>
      <c r="UTC39" s="19"/>
      <c r="UTD39" s="19"/>
      <c r="UTE39" s="19"/>
      <c r="UTF39" s="19"/>
      <c r="UTG39" s="19"/>
      <c r="UTH39" s="19"/>
      <c r="UTI39" s="19"/>
      <c r="UTJ39" s="19"/>
      <c r="UTK39" s="19"/>
      <c r="UTL39" s="19"/>
      <c r="UTM39" s="19"/>
      <c r="UTN39" s="19"/>
      <c r="UTO39" s="19"/>
      <c r="UTP39" s="19"/>
      <c r="UTQ39" s="19"/>
      <c r="UTR39" s="19"/>
      <c r="UTS39" s="19"/>
      <c r="UTT39" s="19"/>
      <c r="UTU39" s="19"/>
      <c r="UTV39" s="19"/>
      <c r="UTW39" s="19"/>
      <c r="UTX39" s="19"/>
      <c r="UTY39" s="19"/>
      <c r="UTZ39" s="19"/>
      <c r="UUA39" s="19"/>
      <c r="UUB39" s="19"/>
      <c r="UUC39" s="19"/>
      <c r="UUD39" s="19"/>
      <c r="UUE39" s="19"/>
      <c r="UUF39" s="19"/>
      <c r="UUG39" s="19"/>
      <c r="UUH39" s="19"/>
      <c r="UUI39" s="19"/>
      <c r="UUJ39" s="19"/>
      <c r="UUK39" s="19"/>
      <c r="UUL39" s="19"/>
      <c r="UUM39" s="19"/>
      <c r="UUN39" s="19"/>
      <c r="UUO39" s="19"/>
      <c r="UUP39" s="19"/>
      <c r="UUQ39" s="19"/>
      <c r="UUR39" s="19"/>
      <c r="UUS39" s="19"/>
      <c r="UUT39" s="19"/>
      <c r="UUU39" s="19"/>
      <c r="UUV39" s="19"/>
      <c r="UUW39" s="19"/>
      <c r="UUX39" s="19"/>
      <c r="UUY39" s="19"/>
      <c r="UUZ39" s="19"/>
      <c r="UVA39" s="19"/>
      <c r="UVB39" s="19"/>
      <c r="UVC39" s="19"/>
      <c r="UVD39" s="19"/>
      <c r="UVE39" s="19"/>
      <c r="UVF39" s="19"/>
      <c r="UVG39" s="19"/>
      <c r="UVH39" s="19"/>
      <c r="UVI39" s="19"/>
      <c r="UVJ39" s="19"/>
      <c r="UVK39" s="19"/>
      <c r="UVL39" s="19"/>
      <c r="UVM39" s="19"/>
      <c r="UVN39" s="19"/>
      <c r="UVO39" s="19"/>
      <c r="UVP39" s="19"/>
      <c r="UVQ39" s="19"/>
      <c r="UVR39" s="19"/>
      <c r="UVS39" s="19"/>
      <c r="UVT39" s="19"/>
      <c r="UVU39" s="19"/>
      <c r="UVV39" s="19"/>
      <c r="UVW39" s="19"/>
      <c r="UVX39" s="19"/>
      <c r="UVY39" s="19"/>
      <c r="UVZ39" s="19"/>
      <c r="UWA39" s="19"/>
      <c r="UWB39" s="19"/>
      <c r="UWC39" s="19"/>
      <c r="UWD39" s="19"/>
      <c r="UWE39" s="19"/>
      <c r="UWF39" s="19"/>
      <c r="UWG39" s="19"/>
      <c r="UWH39" s="19"/>
      <c r="UWI39" s="19"/>
      <c r="UWJ39" s="19"/>
      <c r="UWK39" s="19"/>
      <c r="UWL39" s="19"/>
      <c r="UWM39" s="19"/>
      <c r="UWN39" s="19"/>
      <c r="UWO39" s="19"/>
      <c r="UWP39" s="19"/>
      <c r="UWQ39" s="19"/>
      <c r="UWR39" s="19"/>
      <c r="UWS39" s="19"/>
      <c r="UWT39" s="19"/>
      <c r="UWU39" s="19"/>
      <c r="UWV39" s="19"/>
      <c r="UWW39" s="19"/>
      <c r="UWX39" s="19"/>
      <c r="UWY39" s="19"/>
      <c r="UWZ39" s="19"/>
      <c r="UXA39" s="19"/>
      <c r="UXB39" s="19"/>
      <c r="UXC39" s="19"/>
      <c r="UXD39" s="19"/>
      <c r="UXE39" s="19"/>
      <c r="UXF39" s="19"/>
      <c r="UXG39" s="19"/>
      <c r="UXH39" s="19"/>
      <c r="UXI39" s="19"/>
      <c r="UXJ39" s="19"/>
      <c r="UXK39" s="19"/>
      <c r="UXL39" s="19"/>
      <c r="UXM39" s="19"/>
      <c r="UXN39" s="19"/>
      <c r="UXO39" s="19"/>
      <c r="UXP39" s="19"/>
      <c r="UXQ39" s="19"/>
      <c r="UXR39" s="19"/>
      <c r="UXS39" s="19"/>
      <c r="UXT39" s="19"/>
      <c r="UXU39" s="19"/>
      <c r="UXV39" s="19"/>
      <c r="UXW39" s="19"/>
      <c r="UXX39" s="19"/>
      <c r="UXY39" s="19"/>
      <c r="UXZ39" s="19"/>
      <c r="UYA39" s="19"/>
      <c r="UYB39" s="19"/>
      <c r="UYC39" s="19"/>
      <c r="UYD39" s="19"/>
      <c r="UYE39" s="19"/>
      <c r="UYF39" s="19"/>
      <c r="UYG39" s="19"/>
      <c r="UYH39" s="19"/>
      <c r="UYI39" s="19"/>
      <c r="UYJ39" s="19"/>
      <c r="UYK39" s="19"/>
      <c r="UYL39" s="19"/>
      <c r="UYM39" s="19"/>
      <c r="UYN39" s="19"/>
      <c r="UYO39" s="19"/>
      <c r="UYP39" s="19"/>
      <c r="UYQ39" s="19"/>
      <c r="UYR39" s="19"/>
      <c r="UYS39" s="19"/>
      <c r="UYT39" s="19"/>
      <c r="UYU39" s="19"/>
      <c r="UYV39" s="19"/>
      <c r="UYW39" s="19"/>
      <c r="UYX39" s="19"/>
      <c r="UYY39" s="19"/>
      <c r="UYZ39" s="19"/>
      <c r="UZA39" s="19"/>
      <c r="UZB39" s="19"/>
      <c r="UZC39" s="19"/>
      <c r="UZD39" s="19"/>
      <c r="UZE39" s="19"/>
      <c r="UZF39" s="19"/>
      <c r="UZG39" s="19"/>
      <c r="UZH39" s="19"/>
      <c r="UZI39" s="19"/>
      <c r="UZJ39" s="19"/>
      <c r="UZK39" s="19"/>
      <c r="UZL39" s="19"/>
      <c r="UZM39" s="19"/>
      <c r="UZN39" s="19"/>
      <c r="UZO39" s="19"/>
      <c r="UZP39" s="19"/>
      <c r="UZQ39" s="19"/>
      <c r="UZR39" s="19"/>
      <c r="UZS39" s="19"/>
      <c r="UZT39" s="19"/>
      <c r="UZU39" s="19"/>
      <c r="UZV39" s="19"/>
      <c r="UZW39" s="19"/>
      <c r="UZX39" s="19"/>
      <c r="UZY39" s="19"/>
      <c r="UZZ39" s="19"/>
      <c r="VAA39" s="19"/>
      <c r="VAB39" s="19"/>
      <c r="VAC39" s="19"/>
      <c r="VAD39" s="19"/>
      <c r="VAE39" s="19"/>
      <c r="VAF39" s="19"/>
      <c r="VAG39" s="19"/>
      <c r="VAH39" s="19"/>
      <c r="VAI39" s="19"/>
      <c r="VAJ39" s="19"/>
      <c r="VAK39" s="19"/>
      <c r="VAL39" s="19"/>
      <c r="VAM39" s="19"/>
      <c r="VAN39" s="19"/>
      <c r="VAO39" s="19"/>
      <c r="VAP39" s="19"/>
      <c r="VAQ39" s="19"/>
      <c r="VAR39" s="19"/>
      <c r="VAS39" s="19"/>
      <c r="VAT39" s="19"/>
      <c r="VAU39" s="19"/>
      <c r="VAV39" s="19"/>
      <c r="VAW39" s="19"/>
      <c r="VAX39" s="19"/>
      <c r="VAY39" s="19"/>
      <c r="VAZ39" s="19"/>
      <c r="VBA39" s="19"/>
      <c r="VBB39" s="19"/>
      <c r="VBC39" s="19"/>
      <c r="VBD39" s="19"/>
      <c r="VBE39" s="19"/>
      <c r="VBF39" s="19"/>
      <c r="VBG39" s="19"/>
      <c r="VBH39" s="19"/>
      <c r="VBI39" s="19"/>
      <c r="VBJ39" s="19"/>
      <c r="VBK39" s="19"/>
      <c r="VBL39" s="19"/>
      <c r="VBM39" s="19"/>
      <c r="VBN39" s="19"/>
      <c r="VBO39" s="19"/>
      <c r="VBP39" s="19"/>
      <c r="VBQ39" s="19"/>
      <c r="VBR39" s="19"/>
      <c r="VBS39" s="19"/>
      <c r="VBT39" s="19"/>
      <c r="VBU39" s="19"/>
      <c r="VBV39" s="19"/>
      <c r="VBW39" s="19"/>
      <c r="VBX39" s="19"/>
      <c r="VBY39" s="19"/>
      <c r="VBZ39" s="19"/>
      <c r="VCA39" s="19"/>
      <c r="VCB39" s="19"/>
      <c r="VCC39" s="19"/>
      <c r="VCD39" s="19"/>
      <c r="VCE39" s="19"/>
      <c r="VCF39" s="19"/>
      <c r="VCG39" s="19"/>
      <c r="VCH39" s="19"/>
      <c r="VCI39" s="19"/>
      <c r="VCJ39" s="19"/>
      <c r="VCK39" s="19"/>
      <c r="VCL39" s="19"/>
      <c r="VCM39" s="19"/>
      <c r="VCN39" s="19"/>
      <c r="VCO39" s="19"/>
      <c r="VCP39" s="19"/>
      <c r="VCQ39" s="19"/>
      <c r="VCR39" s="19"/>
      <c r="VCS39" s="19"/>
      <c r="VCT39" s="19"/>
      <c r="VCU39" s="19"/>
      <c r="VCV39" s="19"/>
      <c r="VCW39" s="19"/>
      <c r="VCX39" s="19"/>
      <c r="VCY39" s="19"/>
      <c r="VCZ39" s="19"/>
      <c r="VDA39" s="19"/>
      <c r="VDB39" s="19"/>
      <c r="VDC39" s="19"/>
      <c r="VDD39" s="19"/>
      <c r="VDE39" s="19"/>
      <c r="VDF39" s="19"/>
      <c r="VDG39" s="19"/>
      <c r="VDH39" s="19"/>
      <c r="VDI39" s="19"/>
      <c r="VDJ39" s="19"/>
      <c r="VDK39" s="19"/>
      <c r="VDL39" s="19"/>
      <c r="VDM39" s="19"/>
      <c r="VDN39" s="19"/>
      <c r="VDO39" s="19"/>
      <c r="VDP39" s="19"/>
      <c r="VDQ39" s="19"/>
      <c r="VDR39" s="19"/>
      <c r="VDS39" s="19"/>
      <c r="VDT39" s="19"/>
      <c r="VDU39" s="19"/>
      <c r="VDV39" s="19"/>
      <c r="VDW39" s="19"/>
      <c r="VDX39" s="19"/>
      <c r="VDY39" s="19"/>
      <c r="VDZ39" s="19"/>
      <c r="VEA39" s="19"/>
      <c r="VEB39" s="19"/>
      <c r="VEC39" s="19"/>
      <c r="VED39" s="19"/>
      <c r="VEE39" s="19"/>
      <c r="VEF39" s="19"/>
      <c r="VEG39" s="19"/>
      <c r="VEH39" s="19"/>
      <c r="VEI39" s="19"/>
      <c r="VEJ39" s="19"/>
      <c r="VEK39" s="19"/>
      <c r="VEL39" s="19"/>
      <c r="VEM39" s="19"/>
      <c r="VEN39" s="19"/>
      <c r="VEO39" s="19"/>
      <c r="VEP39" s="19"/>
      <c r="VEQ39" s="19"/>
      <c r="VER39" s="19"/>
      <c r="VES39" s="19"/>
      <c r="VET39" s="19"/>
      <c r="VEU39" s="19"/>
      <c r="VEV39" s="19"/>
      <c r="VEW39" s="19"/>
      <c r="VEX39" s="19"/>
      <c r="VEY39" s="19"/>
      <c r="VEZ39" s="19"/>
      <c r="VFA39" s="19"/>
      <c r="VFB39" s="19"/>
      <c r="VFC39" s="19"/>
      <c r="VFD39" s="19"/>
      <c r="VFE39" s="19"/>
      <c r="VFF39" s="19"/>
      <c r="VFG39" s="19"/>
      <c r="VFH39" s="19"/>
      <c r="VFI39" s="19"/>
      <c r="VFJ39" s="19"/>
      <c r="VFK39" s="19"/>
      <c r="VFL39" s="19"/>
      <c r="VFM39" s="19"/>
      <c r="VFN39" s="19"/>
      <c r="VFO39" s="19"/>
      <c r="VFP39" s="19"/>
      <c r="VFQ39" s="19"/>
      <c r="VFR39" s="19"/>
      <c r="VFS39" s="19"/>
      <c r="VFT39" s="19"/>
      <c r="VFU39" s="19"/>
      <c r="VFV39" s="19"/>
      <c r="VFW39" s="19"/>
      <c r="VFX39" s="19"/>
      <c r="VFY39" s="19"/>
      <c r="VFZ39" s="19"/>
      <c r="VGA39" s="19"/>
      <c r="VGB39" s="19"/>
      <c r="VGC39" s="19"/>
      <c r="VGD39" s="19"/>
      <c r="VGE39" s="19"/>
      <c r="VGF39" s="19"/>
      <c r="VGG39" s="19"/>
      <c r="VGH39" s="19"/>
      <c r="VGI39" s="19"/>
      <c r="VGJ39" s="19"/>
      <c r="VGK39" s="19"/>
      <c r="VGL39" s="19"/>
      <c r="VGM39" s="19"/>
      <c r="VGN39" s="19"/>
      <c r="VGO39" s="19"/>
      <c r="VGP39" s="19"/>
      <c r="VGQ39" s="19"/>
      <c r="VGR39" s="19"/>
      <c r="VGS39" s="19"/>
      <c r="VGT39" s="19"/>
      <c r="VGU39" s="19"/>
      <c r="VGV39" s="19"/>
      <c r="VGW39" s="19"/>
      <c r="VGX39" s="19"/>
      <c r="VGY39" s="19"/>
      <c r="VGZ39" s="19"/>
      <c r="VHA39" s="19"/>
      <c r="VHB39" s="19"/>
      <c r="VHC39" s="19"/>
      <c r="VHD39" s="19"/>
      <c r="VHE39" s="19"/>
      <c r="VHF39" s="19"/>
      <c r="VHG39" s="19"/>
      <c r="VHH39" s="19"/>
      <c r="VHI39" s="19"/>
      <c r="VHJ39" s="19"/>
      <c r="VHK39" s="19"/>
      <c r="VHL39" s="19"/>
      <c r="VHM39" s="19"/>
      <c r="VHN39" s="19"/>
      <c r="VHO39" s="19"/>
      <c r="VHP39" s="19"/>
      <c r="VHQ39" s="19"/>
      <c r="VHR39" s="19"/>
      <c r="VHS39" s="19"/>
      <c r="VHT39" s="19"/>
      <c r="VHU39" s="19"/>
      <c r="VHV39" s="19"/>
      <c r="VHW39" s="19"/>
      <c r="VHX39" s="19"/>
      <c r="VHY39" s="19"/>
      <c r="VHZ39" s="19"/>
      <c r="VIA39" s="19"/>
      <c r="VIB39" s="19"/>
      <c r="VIC39" s="19"/>
      <c r="VID39" s="19"/>
      <c r="VIE39" s="19"/>
      <c r="VIF39" s="19"/>
      <c r="VIG39" s="19"/>
      <c r="VIH39" s="19"/>
      <c r="VII39" s="19"/>
      <c r="VIJ39" s="19"/>
      <c r="VIK39" s="19"/>
      <c r="VIL39" s="19"/>
      <c r="VIM39" s="19"/>
      <c r="VIN39" s="19"/>
      <c r="VIO39" s="19"/>
      <c r="VIP39" s="19"/>
      <c r="VIQ39" s="19"/>
      <c r="VIR39" s="19"/>
      <c r="VIS39" s="19"/>
      <c r="VIT39" s="19"/>
      <c r="VIU39" s="19"/>
      <c r="VIV39" s="19"/>
      <c r="VIW39" s="19"/>
      <c r="VIX39" s="19"/>
      <c r="VIY39" s="19"/>
      <c r="VIZ39" s="19"/>
      <c r="VJA39" s="19"/>
      <c r="VJB39" s="19"/>
      <c r="VJC39" s="19"/>
      <c r="VJD39" s="19"/>
      <c r="VJE39" s="19"/>
      <c r="VJF39" s="19"/>
      <c r="VJG39" s="19"/>
      <c r="VJH39" s="19"/>
      <c r="VJI39" s="19"/>
      <c r="VJJ39" s="19"/>
      <c r="VJK39" s="19"/>
      <c r="VJL39" s="19"/>
      <c r="VJM39" s="19"/>
      <c r="VJN39" s="19"/>
      <c r="VJO39" s="19"/>
      <c r="VJP39" s="19"/>
      <c r="VJQ39" s="19"/>
      <c r="VJR39" s="19"/>
      <c r="VJS39" s="19"/>
      <c r="VJT39" s="19"/>
      <c r="VJU39" s="19"/>
      <c r="VJV39" s="19"/>
      <c r="VJW39" s="19"/>
      <c r="VJX39" s="19"/>
      <c r="VJY39" s="19"/>
      <c r="VJZ39" s="19"/>
      <c r="VKA39" s="19"/>
      <c r="VKB39" s="19"/>
      <c r="VKC39" s="19"/>
      <c r="VKD39" s="19"/>
      <c r="VKE39" s="19"/>
      <c r="VKF39" s="19"/>
      <c r="VKG39" s="19"/>
      <c r="VKH39" s="19"/>
      <c r="VKI39" s="19"/>
      <c r="VKJ39" s="19"/>
      <c r="VKK39" s="19"/>
      <c r="VKL39" s="19"/>
      <c r="VKM39" s="19"/>
      <c r="VKN39" s="19"/>
      <c r="VKO39" s="19"/>
      <c r="VKP39" s="19"/>
      <c r="VKQ39" s="19"/>
      <c r="VKR39" s="19"/>
      <c r="VKS39" s="19"/>
      <c r="VKT39" s="19"/>
      <c r="VKU39" s="19"/>
      <c r="VKV39" s="19"/>
      <c r="VKW39" s="19"/>
      <c r="VKX39" s="19"/>
      <c r="VKY39" s="19"/>
      <c r="VKZ39" s="19"/>
      <c r="VLA39" s="19"/>
      <c r="VLB39" s="19"/>
      <c r="VLC39" s="19"/>
      <c r="VLD39" s="19"/>
      <c r="VLE39" s="19"/>
      <c r="VLF39" s="19"/>
      <c r="VLG39" s="19"/>
      <c r="VLH39" s="19"/>
      <c r="VLI39" s="19"/>
      <c r="VLJ39" s="19"/>
      <c r="VLK39" s="19"/>
      <c r="VLL39" s="19"/>
      <c r="VLM39" s="19"/>
      <c r="VLN39" s="19"/>
      <c r="VLO39" s="19"/>
      <c r="VLP39" s="19"/>
      <c r="VLQ39" s="19"/>
      <c r="VLR39" s="19"/>
      <c r="VLS39" s="19"/>
      <c r="VLT39" s="19"/>
      <c r="VLU39" s="19"/>
      <c r="VLV39" s="19"/>
      <c r="VLW39" s="19"/>
      <c r="VLX39" s="19"/>
      <c r="VLY39" s="19"/>
      <c r="VLZ39" s="19"/>
      <c r="VMA39" s="19"/>
      <c r="VMB39" s="19"/>
      <c r="VMC39" s="19"/>
      <c r="VMD39" s="19"/>
      <c r="VME39" s="19"/>
      <c r="VMF39" s="19"/>
      <c r="VMG39" s="19"/>
      <c r="VMH39" s="19"/>
      <c r="VMI39" s="19"/>
      <c r="VMJ39" s="19"/>
      <c r="VMK39" s="19"/>
      <c r="VML39" s="19"/>
      <c r="VMM39" s="19"/>
      <c r="VMN39" s="19"/>
      <c r="VMO39" s="19"/>
      <c r="VMP39" s="19"/>
      <c r="VMQ39" s="19"/>
      <c r="VMR39" s="19"/>
      <c r="VMS39" s="19"/>
      <c r="VMT39" s="19"/>
      <c r="VMU39" s="19"/>
      <c r="VMV39" s="19"/>
      <c r="VMW39" s="19"/>
      <c r="VMX39" s="19"/>
      <c r="VMY39" s="19"/>
      <c r="VMZ39" s="19"/>
      <c r="VNA39" s="19"/>
      <c r="VNB39" s="19"/>
      <c r="VNC39" s="19"/>
      <c r="VND39" s="19"/>
      <c r="VNE39" s="19"/>
      <c r="VNF39" s="19"/>
      <c r="VNG39" s="19"/>
      <c r="VNH39" s="19"/>
      <c r="VNI39" s="19"/>
      <c r="VNJ39" s="19"/>
      <c r="VNK39" s="19"/>
      <c r="VNL39" s="19"/>
      <c r="VNM39" s="19"/>
      <c r="VNN39" s="19"/>
      <c r="VNO39" s="19"/>
      <c r="VNP39" s="19"/>
      <c r="VNQ39" s="19"/>
      <c r="VNR39" s="19"/>
      <c r="VNS39" s="19"/>
      <c r="VNT39" s="19"/>
      <c r="VNU39" s="19"/>
      <c r="VNV39" s="19"/>
      <c r="VNW39" s="19"/>
      <c r="VNX39" s="19"/>
      <c r="VNY39" s="19"/>
      <c r="VNZ39" s="19"/>
      <c r="VOA39" s="19"/>
      <c r="VOB39" s="19"/>
      <c r="VOC39" s="19"/>
      <c r="VOD39" s="19"/>
      <c r="VOE39" s="19"/>
      <c r="VOF39" s="19"/>
      <c r="VOG39" s="19"/>
      <c r="VOH39" s="19"/>
      <c r="VOI39" s="19"/>
      <c r="VOJ39" s="19"/>
      <c r="VOK39" s="19"/>
      <c r="VOL39" s="19"/>
      <c r="VOM39" s="19"/>
      <c r="VON39" s="19"/>
      <c r="VOO39" s="19"/>
      <c r="VOP39" s="19"/>
      <c r="VOQ39" s="19"/>
      <c r="VOR39" s="19"/>
      <c r="VOS39" s="19"/>
      <c r="VOT39" s="19"/>
      <c r="VOU39" s="19"/>
      <c r="VOV39" s="19"/>
      <c r="VOW39" s="19"/>
      <c r="VOX39" s="19"/>
      <c r="VOY39" s="19"/>
      <c r="VOZ39" s="19"/>
      <c r="VPA39" s="19"/>
      <c r="VPB39" s="19"/>
      <c r="VPC39" s="19"/>
      <c r="VPD39" s="19"/>
      <c r="VPE39" s="19"/>
      <c r="VPF39" s="19"/>
      <c r="VPG39" s="19"/>
      <c r="VPH39" s="19"/>
      <c r="VPI39" s="19"/>
      <c r="VPJ39" s="19"/>
      <c r="VPK39" s="19"/>
      <c r="VPL39" s="19"/>
      <c r="VPM39" s="19"/>
      <c r="VPN39" s="19"/>
      <c r="VPO39" s="19"/>
      <c r="VPP39" s="19"/>
      <c r="VPQ39" s="19"/>
      <c r="VPR39" s="19"/>
      <c r="VPS39" s="19"/>
      <c r="VPT39" s="19"/>
      <c r="VPU39" s="19"/>
      <c r="VPV39" s="19"/>
      <c r="VPW39" s="19"/>
      <c r="VPX39" s="19"/>
      <c r="VPY39" s="19"/>
      <c r="VPZ39" s="19"/>
      <c r="VQA39" s="19"/>
      <c r="VQB39" s="19"/>
      <c r="VQC39" s="19"/>
      <c r="VQD39" s="19"/>
      <c r="VQE39" s="19"/>
      <c r="VQF39" s="19"/>
      <c r="VQG39" s="19"/>
      <c r="VQH39" s="19"/>
      <c r="VQI39" s="19"/>
      <c r="VQJ39" s="19"/>
      <c r="VQK39" s="19"/>
      <c r="VQL39" s="19"/>
      <c r="VQM39" s="19"/>
      <c r="VQN39" s="19"/>
      <c r="VQO39" s="19"/>
      <c r="VQP39" s="19"/>
      <c r="VQQ39" s="19"/>
      <c r="VQR39" s="19"/>
      <c r="VQS39" s="19"/>
      <c r="VQT39" s="19"/>
      <c r="VQU39" s="19"/>
      <c r="VQV39" s="19"/>
      <c r="VQW39" s="19"/>
      <c r="VQX39" s="19"/>
      <c r="VQY39" s="19"/>
      <c r="VQZ39" s="19"/>
      <c r="VRA39" s="19"/>
      <c r="VRB39" s="19"/>
      <c r="VRC39" s="19"/>
      <c r="VRD39" s="19"/>
      <c r="VRE39" s="19"/>
      <c r="VRF39" s="19"/>
      <c r="VRG39" s="19"/>
      <c r="VRH39" s="19"/>
      <c r="VRI39" s="19"/>
      <c r="VRJ39" s="19"/>
      <c r="VRK39" s="19"/>
      <c r="VRL39" s="19"/>
      <c r="VRM39" s="19"/>
      <c r="VRN39" s="19"/>
      <c r="VRO39" s="19"/>
      <c r="VRP39" s="19"/>
      <c r="VRQ39" s="19"/>
      <c r="VRR39" s="19"/>
      <c r="VRS39" s="19"/>
      <c r="VRT39" s="19"/>
      <c r="VRU39" s="19"/>
      <c r="VRV39" s="19"/>
      <c r="VRW39" s="19"/>
      <c r="VRX39" s="19"/>
      <c r="VRY39" s="19"/>
      <c r="VRZ39" s="19"/>
      <c r="VSA39" s="19"/>
      <c r="VSB39" s="19"/>
      <c r="VSC39" s="19"/>
      <c r="VSD39" s="19"/>
      <c r="VSE39" s="19"/>
      <c r="VSF39" s="19"/>
      <c r="VSG39" s="19"/>
      <c r="VSH39" s="19"/>
      <c r="VSI39" s="19"/>
      <c r="VSJ39" s="19"/>
      <c r="VSK39" s="19"/>
      <c r="VSL39" s="19"/>
      <c r="VSM39" s="19"/>
      <c r="VSN39" s="19"/>
      <c r="VSO39" s="19"/>
      <c r="VSP39" s="19"/>
      <c r="VSQ39" s="19"/>
      <c r="VSR39" s="19"/>
      <c r="VSS39" s="19"/>
      <c r="VST39" s="19"/>
      <c r="VSU39" s="19"/>
      <c r="VSV39" s="19"/>
      <c r="VSW39" s="19"/>
      <c r="VSX39" s="19"/>
      <c r="VSY39" s="19"/>
      <c r="VSZ39" s="19"/>
      <c r="VTA39" s="19"/>
      <c r="VTB39" s="19"/>
      <c r="VTC39" s="19"/>
      <c r="VTD39" s="19"/>
      <c r="VTE39" s="19"/>
      <c r="VTF39" s="19"/>
      <c r="VTG39" s="19"/>
      <c r="VTH39" s="19"/>
      <c r="VTI39" s="19"/>
      <c r="VTJ39" s="19"/>
      <c r="VTK39" s="19"/>
      <c r="VTL39" s="19"/>
      <c r="VTM39" s="19"/>
      <c r="VTN39" s="19"/>
      <c r="VTO39" s="19"/>
      <c r="VTP39" s="19"/>
      <c r="VTQ39" s="19"/>
      <c r="VTR39" s="19"/>
      <c r="VTS39" s="19"/>
      <c r="VTT39" s="19"/>
      <c r="VTU39" s="19"/>
      <c r="VTV39" s="19"/>
      <c r="VTW39" s="19"/>
      <c r="VTX39" s="19"/>
      <c r="VTY39" s="19"/>
      <c r="VTZ39" s="19"/>
      <c r="VUA39" s="19"/>
      <c r="VUB39" s="19"/>
      <c r="VUC39" s="19"/>
      <c r="VUD39" s="19"/>
      <c r="VUE39" s="19"/>
      <c r="VUF39" s="19"/>
      <c r="VUG39" s="19"/>
      <c r="VUH39" s="19"/>
      <c r="VUI39" s="19"/>
      <c r="VUJ39" s="19"/>
      <c r="VUK39" s="19"/>
      <c r="VUL39" s="19"/>
      <c r="VUM39" s="19"/>
      <c r="VUN39" s="19"/>
      <c r="VUO39" s="19"/>
      <c r="VUP39" s="19"/>
      <c r="VUQ39" s="19"/>
      <c r="VUR39" s="19"/>
      <c r="VUS39" s="19"/>
      <c r="VUT39" s="19"/>
      <c r="VUU39" s="19"/>
      <c r="VUV39" s="19"/>
      <c r="VUW39" s="19"/>
      <c r="VUX39" s="19"/>
      <c r="VUY39" s="19"/>
      <c r="VUZ39" s="19"/>
      <c r="VVA39" s="19"/>
      <c r="VVB39" s="19"/>
      <c r="VVC39" s="19"/>
      <c r="VVD39" s="19"/>
      <c r="VVE39" s="19"/>
      <c r="VVF39" s="19"/>
      <c r="VVG39" s="19"/>
      <c r="VVH39" s="19"/>
      <c r="VVI39" s="19"/>
      <c r="VVJ39" s="19"/>
      <c r="VVK39" s="19"/>
      <c r="VVL39" s="19"/>
      <c r="VVM39" s="19"/>
      <c r="VVN39" s="19"/>
      <c r="VVO39" s="19"/>
      <c r="VVP39" s="19"/>
      <c r="VVQ39" s="19"/>
      <c r="VVR39" s="19"/>
      <c r="VVS39" s="19"/>
      <c r="VVT39" s="19"/>
      <c r="VVU39" s="19"/>
      <c r="VVV39" s="19"/>
      <c r="VVW39" s="19"/>
      <c r="VVX39" s="19"/>
      <c r="VVY39" s="19"/>
      <c r="VVZ39" s="19"/>
      <c r="VWA39" s="19"/>
      <c r="VWB39" s="19"/>
      <c r="VWC39" s="19"/>
      <c r="VWD39" s="19"/>
      <c r="VWE39" s="19"/>
      <c r="VWF39" s="19"/>
      <c r="VWG39" s="19"/>
      <c r="VWH39" s="19"/>
      <c r="VWI39" s="19"/>
      <c r="VWJ39" s="19"/>
      <c r="VWK39" s="19"/>
      <c r="VWL39" s="19"/>
      <c r="VWM39" s="19"/>
      <c r="VWN39" s="19"/>
      <c r="VWO39" s="19"/>
      <c r="VWP39" s="19"/>
      <c r="VWQ39" s="19"/>
      <c r="VWR39" s="19"/>
      <c r="VWS39" s="19"/>
      <c r="VWT39" s="19"/>
      <c r="VWU39" s="19"/>
      <c r="VWV39" s="19"/>
      <c r="VWW39" s="19"/>
      <c r="VWX39" s="19"/>
      <c r="VWY39" s="19"/>
      <c r="VWZ39" s="19"/>
      <c r="VXA39" s="19"/>
      <c r="VXB39" s="19"/>
      <c r="VXC39" s="19"/>
      <c r="VXD39" s="19"/>
      <c r="VXE39" s="19"/>
      <c r="VXF39" s="19"/>
      <c r="VXG39" s="19"/>
      <c r="VXH39" s="19"/>
      <c r="VXI39" s="19"/>
      <c r="VXJ39" s="19"/>
      <c r="VXK39" s="19"/>
      <c r="VXL39" s="19"/>
      <c r="VXM39" s="19"/>
      <c r="VXN39" s="19"/>
      <c r="VXO39" s="19"/>
      <c r="VXP39" s="19"/>
      <c r="VXQ39" s="19"/>
      <c r="VXR39" s="19"/>
      <c r="VXS39" s="19"/>
      <c r="VXT39" s="19"/>
      <c r="VXU39" s="19"/>
      <c r="VXV39" s="19"/>
      <c r="VXW39" s="19"/>
      <c r="VXX39" s="19"/>
      <c r="VXY39" s="19"/>
      <c r="VXZ39" s="19"/>
      <c r="VYA39" s="19"/>
      <c r="VYB39" s="19"/>
      <c r="VYC39" s="19"/>
      <c r="VYD39" s="19"/>
      <c r="VYE39" s="19"/>
      <c r="VYF39" s="19"/>
      <c r="VYG39" s="19"/>
      <c r="VYH39" s="19"/>
      <c r="VYI39" s="19"/>
      <c r="VYJ39" s="19"/>
      <c r="VYK39" s="19"/>
      <c r="VYL39" s="19"/>
      <c r="VYM39" s="19"/>
      <c r="VYN39" s="19"/>
      <c r="VYO39" s="19"/>
      <c r="VYP39" s="19"/>
      <c r="VYQ39" s="19"/>
      <c r="VYR39" s="19"/>
      <c r="VYS39" s="19"/>
      <c r="VYT39" s="19"/>
      <c r="VYU39" s="19"/>
      <c r="VYV39" s="19"/>
      <c r="VYW39" s="19"/>
      <c r="VYX39" s="19"/>
      <c r="VYY39" s="19"/>
      <c r="VYZ39" s="19"/>
      <c r="VZA39" s="19"/>
      <c r="VZB39" s="19"/>
      <c r="VZC39" s="19"/>
      <c r="VZD39" s="19"/>
      <c r="VZE39" s="19"/>
      <c r="VZF39" s="19"/>
      <c r="VZG39" s="19"/>
      <c r="VZH39" s="19"/>
      <c r="VZI39" s="19"/>
      <c r="VZJ39" s="19"/>
      <c r="VZK39" s="19"/>
      <c r="VZL39" s="19"/>
      <c r="VZM39" s="19"/>
      <c r="VZN39" s="19"/>
      <c r="VZO39" s="19"/>
      <c r="VZP39" s="19"/>
      <c r="VZQ39" s="19"/>
      <c r="VZR39" s="19"/>
      <c r="VZS39" s="19"/>
      <c r="VZT39" s="19"/>
      <c r="VZU39" s="19"/>
      <c r="VZV39" s="19"/>
      <c r="VZW39" s="19"/>
      <c r="VZX39" s="19"/>
      <c r="VZY39" s="19"/>
      <c r="VZZ39" s="19"/>
      <c r="WAA39" s="19"/>
      <c r="WAB39" s="19"/>
      <c r="WAC39" s="19"/>
      <c r="WAD39" s="19"/>
      <c r="WAE39" s="19"/>
      <c r="WAF39" s="19"/>
      <c r="WAG39" s="19"/>
      <c r="WAH39" s="19"/>
      <c r="WAI39" s="19"/>
      <c r="WAJ39" s="19"/>
      <c r="WAK39" s="19"/>
      <c r="WAL39" s="19"/>
      <c r="WAM39" s="19"/>
      <c r="WAN39" s="19"/>
      <c r="WAO39" s="19"/>
      <c r="WAP39" s="19"/>
      <c r="WAQ39" s="19"/>
      <c r="WAR39" s="19"/>
      <c r="WAS39" s="19"/>
      <c r="WAT39" s="19"/>
      <c r="WAU39" s="19"/>
      <c r="WAV39" s="19"/>
      <c r="WAW39" s="19"/>
      <c r="WAX39" s="19"/>
      <c r="WAY39" s="19"/>
      <c r="WAZ39" s="19"/>
      <c r="WBA39" s="19"/>
      <c r="WBB39" s="19"/>
      <c r="WBC39" s="19"/>
      <c r="WBD39" s="19"/>
      <c r="WBE39" s="19"/>
      <c r="WBF39" s="19"/>
      <c r="WBG39" s="19"/>
      <c r="WBH39" s="19"/>
      <c r="WBI39" s="19"/>
      <c r="WBJ39" s="19"/>
      <c r="WBK39" s="19"/>
      <c r="WBL39" s="19"/>
      <c r="WBM39" s="19"/>
      <c r="WBN39" s="19"/>
      <c r="WBO39" s="19"/>
      <c r="WBP39" s="19"/>
      <c r="WBQ39" s="19"/>
      <c r="WBR39" s="19"/>
      <c r="WBS39" s="19"/>
      <c r="WBT39" s="19"/>
      <c r="WBU39" s="19"/>
      <c r="WBV39" s="19"/>
      <c r="WBW39" s="19"/>
      <c r="WBX39" s="19"/>
      <c r="WBY39" s="19"/>
      <c r="WBZ39" s="19"/>
      <c r="WCA39" s="19"/>
      <c r="WCB39" s="19"/>
      <c r="WCC39" s="19"/>
      <c r="WCD39" s="19"/>
      <c r="WCE39" s="19"/>
      <c r="WCF39" s="19"/>
      <c r="WCG39" s="19"/>
      <c r="WCH39" s="19"/>
      <c r="WCI39" s="19"/>
      <c r="WCJ39" s="19"/>
      <c r="WCK39" s="19"/>
      <c r="WCL39" s="19"/>
      <c r="WCM39" s="19"/>
      <c r="WCN39" s="19"/>
      <c r="WCO39" s="19"/>
      <c r="WCP39" s="19"/>
      <c r="WCQ39" s="19"/>
      <c r="WCR39" s="19"/>
      <c r="WCS39" s="19"/>
      <c r="WCT39" s="19"/>
      <c r="WCU39" s="19"/>
      <c r="WCV39" s="19"/>
      <c r="WCW39" s="19"/>
      <c r="WCX39" s="19"/>
      <c r="WCY39" s="19"/>
      <c r="WCZ39" s="19"/>
      <c r="WDA39" s="19"/>
      <c r="WDB39" s="19"/>
      <c r="WDC39" s="19"/>
      <c r="WDD39" s="19"/>
      <c r="WDE39" s="19"/>
      <c r="WDF39" s="19"/>
      <c r="WDG39" s="19"/>
      <c r="WDH39" s="19"/>
      <c r="WDI39" s="19"/>
      <c r="WDJ39" s="19"/>
      <c r="WDK39" s="19"/>
      <c r="WDL39" s="19"/>
      <c r="WDM39" s="19"/>
      <c r="WDN39" s="19"/>
      <c r="WDO39" s="19"/>
      <c r="WDP39" s="19"/>
      <c r="WDQ39" s="19"/>
      <c r="WDR39" s="19"/>
      <c r="WDS39" s="19"/>
      <c r="WDT39" s="19"/>
      <c r="WDU39" s="19"/>
      <c r="WDV39" s="19"/>
      <c r="WDW39" s="19"/>
      <c r="WDX39" s="19"/>
      <c r="WDY39" s="19"/>
      <c r="WDZ39" s="19"/>
      <c r="WEA39" s="19"/>
      <c r="WEB39" s="19"/>
      <c r="WEC39" s="19"/>
      <c r="WED39" s="19"/>
      <c r="WEE39" s="19"/>
      <c r="WEF39" s="19"/>
      <c r="WEG39" s="19"/>
      <c r="WEH39" s="19"/>
      <c r="WEI39" s="19"/>
      <c r="WEJ39" s="19"/>
      <c r="WEK39" s="19"/>
      <c r="WEL39" s="19"/>
      <c r="WEM39" s="19"/>
      <c r="WEN39" s="19"/>
      <c r="WEO39" s="19"/>
      <c r="WEP39" s="19"/>
      <c r="WEQ39" s="19"/>
      <c r="WER39" s="19"/>
      <c r="WES39" s="19"/>
      <c r="WET39" s="19"/>
      <c r="WEU39" s="19"/>
      <c r="WEV39" s="19"/>
      <c r="WEW39" s="19"/>
      <c r="WEX39" s="19"/>
      <c r="WEY39" s="19"/>
      <c r="WEZ39" s="19"/>
      <c r="WFA39" s="19"/>
      <c r="WFB39" s="19"/>
      <c r="WFC39" s="19"/>
      <c r="WFD39" s="19"/>
      <c r="WFE39" s="19"/>
      <c r="WFF39" s="19"/>
      <c r="WFG39" s="19"/>
      <c r="WFH39" s="19"/>
      <c r="WFI39" s="19"/>
      <c r="WFJ39" s="19"/>
      <c r="WFK39" s="19"/>
      <c r="WFL39" s="19"/>
      <c r="WFM39" s="19"/>
      <c r="WFN39" s="19"/>
      <c r="WFO39" s="19"/>
      <c r="WFP39" s="19"/>
      <c r="WFQ39" s="19"/>
      <c r="WFR39" s="19"/>
      <c r="WFS39" s="19"/>
      <c r="WFT39" s="19"/>
      <c r="WFU39" s="19"/>
      <c r="WFV39" s="19"/>
      <c r="WFW39" s="19"/>
      <c r="WFX39" s="19"/>
      <c r="WFY39" s="19"/>
      <c r="WFZ39" s="19"/>
      <c r="WGA39" s="19"/>
      <c r="WGB39" s="19"/>
      <c r="WGC39" s="19"/>
      <c r="WGD39" s="19"/>
      <c r="WGE39" s="19"/>
      <c r="WGF39" s="19"/>
      <c r="WGG39" s="19"/>
      <c r="WGH39" s="19"/>
      <c r="WGI39" s="19"/>
      <c r="WGJ39" s="19"/>
      <c r="WGK39" s="19"/>
      <c r="WGL39" s="19"/>
      <c r="WGM39" s="19"/>
      <c r="WGN39" s="19"/>
      <c r="WGO39" s="19"/>
      <c r="WGP39" s="19"/>
      <c r="WGQ39" s="19"/>
      <c r="WGR39" s="19"/>
      <c r="WGS39" s="19"/>
      <c r="WGT39" s="19"/>
      <c r="WGU39" s="19"/>
      <c r="WGV39" s="19"/>
      <c r="WGW39" s="19"/>
      <c r="WGX39" s="19"/>
      <c r="WGY39" s="19"/>
      <c r="WGZ39" s="19"/>
      <c r="WHA39" s="19"/>
      <c r="WHB39" s="19"/>
      <c r="WHC39" s="19"/>
      <c r="WHD39" s="19"/>
      <c r="WHE39" s="19"/>
      <c r="WHF39" s="19"/>
      <c r="WHG39" s="19"/>
      <c r="WHH39" s="19"/>
      <c r="WHI39" s="19"/>
      <c r="WHJ39" s="19"/>
      <c r="WHK39" s="19"/>
      <c r="WHL39" s="19"/>
      <c r="WHM39" s="19"/>
      <c r="WHN39" s="19"/>
      <c r="WHO39" s="19"/>
      <c r="WHP39" s="19"/>
      <c r="WHQ39" s="19"/>
      <c r="WHR39" s="19"/>
      <c r="WHS39" s="19"/>
      <c r="WHT39" s="19"/>
      <c r="WHU39" s="19"/>
      <c r="WHV39" s="19"/>
      <c r="WHW39" s="19"/>
      <c r="WHX39" s="19"/>
      <c r="WHY39" s="19"/>
      <c r="WHZ39" s="19"/>
      <c r="WIA39" s="19"/>
      <c r="WIB39" s="19"/>
      <c r="WIC39" s="19"/>
      <c r="WID39" s="19"/>
      <c r="WIE39" s="19"/>
      <c r="WIF39" s="19"/>
      <c r="WIG39" s="19"/>
      <c r="WIH39" s="19"/>
      <c r="WII39" s="19"/>
      <c r="WIJ39" s="19"/>
      <c r="WIK39" s="19"/>
      <c r="WIL39" s="19"/>
      <c r="WIM39" s="19"/>
      <c r="WIN39" s="19"/>
      <c r="WIO39" s="19"/>
      <c r="WIP39" s="19"/>
      <c r="WIQ39" s="19"/>
      <c r="WIR39" s="19"/>
      <c r="WIS39" s="19"/>
      <c r="WIT39" s="19"/>
      <c r="WIU39" s="19"/>
      <c r="WIV39" s="19"/>
      <c r="WIW39" s="19"/>
      <c r="WIX39" s="19"/>
      <c r="WIY39" s="19"/>
      <c r="WIZ39" s="19"/>
      <c r="WJA39" s="19"/>
      <c r="WJB39" s="19"/>
      <c r="WJC39" s="19"/>
      <c r="WJD39" s="19"/>
      <c r="WJE39" s="19"/>
      <c r="WJF39" s="19"/>
      <c r="WJG39" s="19"/>
      <c r="WJH39" s="19"/>
      <c r="WJI39" s="19"/>
      <c r="WJJ39" s="19"/>
      <c r="WJK39" s="19"/>
      <c r="WJL39" s="19"/>
      <c r="WJM39" s="19"/>
      <c r="WJN39" s="19"/>
      <c r="WJO39" s="19"/>
      <c r="WJP39" s="19"/>
      <c r="WJQ39" s="19"/>
      <c r="WJR39" s="19"/>
      <c r="WJS39" s="19"/>
      <c r="WJT39" s="19"/>
      <c r="WJU39" s="19"/>
      <c r="WJV39" s="19"/>
      <c r="WJW39" s="19"/>
      <c r="WJX39" s="19"/>
      <c r="WJY39" s="19"/>
      <c r="WJZ39" s="19"/>
      <c r="WKA39" s="19"/>
      <c r="WKB39" s="19"/>
      <c r="WKC39" s="19"/>
      <c r="WKD39" s="19"/>
      <c r="WKE39" s="19"/>
      <c r="WKF39" s="19"/>
      <c r="WKG39" s="19"/>
      <c r="WKH39" s="19"/>
      <c r="WKI39" s="19"/>
      <c r="WKJ39" s="19"/>
      <c r="WKK39" s="19"/>
      <c r="WKL39" s="19"/>
      <c r="WKM39" s="19"/>
      <c r="WKN39" s="19"/>
      <c r="WKO39" s="19"/>
      <c r="WKP39" s="19"/>
      <c r="WKQ39" s="19"/>
      <c r="WKR39" s="19"/>
      <c r="WKS39" s="19"/>
      <c r="WKT39" s="19"/>
      <c r="WKU39" s="19"/>
      <c r="WKV39" s="19"/>
      <c r="WKW39" s="19"/>
      <c r="WKX39" s="19"/>
      <c r="WKY39" s="19"/>
      <c r="WKZ39" s="19"/>
      <c r="WLA39" s="19"/>
      <c r="WLB39" s="19"/>
      <c r="WLC39" s="19"/>
      <c r="WLD39" s="19"/>
      <c r="WLE39" s="19"/>
      <c r="WLF39" s="19"/>
      <c r="WLG39" s="19"/>
      <c r="WLH39" s="19"/>
      <c r="WLI39" s="19"/>
      <c r="WLJ39" s="19"/>
      <c r="WLK39" s="19"/>
      <c r="WLL39" s="19"/>
      <c r="WLM39" s="19"/>
      <c r="WLN39" s="19"/>
      <c r="WLO39" s="19"/>
      <c r="WLP39" s="19"/>
      <c r="WLQ39" s="19"/>
      <c r="WLR39" s="19"/>
      <c r="WLS39" s="19"/>
      <c r="WLT39" s="19"/>
      <c r="WLU39" s="19"/>
      <c r="WLV39" s="19"/>
      <c r="WLW39" s="19"/>
      <c r="WLX39" s="19"/>
      <c r="WLY39" s="19"/>
      <c r="WLZ39" s="19"/>
      <c r="WMA39" s="19"/>
      <c r="WMB39" s="19"/>
      <c r="WMC39" s="19"/>
      <c r="WMD39" s="19"/>
      <c r="WME39" s="19"/>
      <c r="WMF39" s="19"/>
      <c r="WMG39" s="19"/>
      <c r="WMH39" s="19"/>
      <c r="WMI39" s="19"/>
      <c r="WMJ39" s="19"/>
      <c r="WMK39" s="19"/>
      <c r="WML39" s="19"/>
      <c r="WMM39" s="19"/>
      <c r="WMN39" s="19"/>
      <c r="WMO39" s="19"/>
      <c r="WMP39" s="19"/>
      <c r="WMQ39" s="19"/>
      <c r="WMR39" s="19"/>
      <c r="WMS39" s="19"/>
      <c r="WMT39" s="19"/>
      <c r="WMU39" s="19"/>
      <c r="WMV39" s="19"/>
      <c r="WMW39" s="19"/>
      <c r="WMX39" s="19"/>
      <c r="WMY39" s="19"/>
      <c r="WMZ39" s="19"/>
      <c r="WNA39" s="19"/>
      <c r="WNB39" s="19"/>
      <c r="WNC39" s="19"/>
      <c r="WND39" s="19"/>
      <c r="WNE39" s="19"/>
      <c r="WNF39" s="19"/>
      <c r="WNG39" s="19"/>
      <c r="WNH39" s="19"/>
      <c r="WNI39" s="19"/>
      <c r="WNJ39" s="19"/>
      <c r="WNK39" s="19"/>
      <c r="WNL39" s="19"/>
      <c r="WNM39" s="19"/>
      <c r="WNN39" s="19"/>
      <c r="WNO39" s="19"/>
      <c r="WNP39" s="19"/>
      <c r="WNQ39" s="19"/>
      <c r="WNR39" s="19"/>
      <c r="WNS39" s="19"/>
      <c r="WNT39" s="19"/>
      <c r="WNU39" s="19"/>
      <c r="WNV39" s="19"/>
      <c r="WNW39" s="19"/>
      <c r="WNX39" s="19"/>
      <c r="WNY39" s="19"/>
      <c r="WNZ39" s="19"/>
      <c r="WOA39" s="19"/>
      <c r="WOB39" s="19"/>
      <c r="WOC39" s="19"/>
      <c r="WOD39" s="19"/>
      <c r="WOE39" s="19"/>
      <c r="WOF39" s="19"/>
      <c r="WOG39" s="19"/>
      <c r="WOH39" s="19"/>
      <c r="WOI39" s="19"/>
      <c r="WOJ39" s="19"/>
      <c r="WOK39" s="19"/>
      <c r="WOL39" s="19"/>
      <c r="WOM39" s="19"/>
      <c r="WON39" s="19"/>
      <c r="WOO39" s="19"/>
      <c r="WOP39" s="19"/>
      <c r="WOQ39" s="19"/>
      <c r="WOR39" s="19"/>
      <c r="WOS39" s="19"/>
      <c r="WOT39" s="19"/>
      <c r="WOU39" s="19"/>
      <c r="WOV39" s="19"/>
      <c r="WOW39" s="19"/>
      <c r="WOX39" s="19"/>
      <c r="WOY39" s="19"/>
      <c r="WOZ39" s="19"/>
      <c r="WPA39" s="19"/>
      <c r="WPB39" s="19"/>
      <c r="WPC39" s="19"/>
      <c r="WPD39" s="19"/>
      <c r="WPE39" s="19"/>
      <c r="WPF39" s="19"/>
      <c r="WPG39" s="19"/>
      <c r="WPH39" s="19"/>
      <c r="WPI39" s="19"/>
      <c r="WPJ39" s="19"/>
      <c r="WPK39" s="19"/>
      <c r="WPL39" s="19"/>
      <c r="WPM39" s="19"/>
      <c r="WPN39" s="19"/>
      <c r="WPO39" s="19"/>
      <c r="WPP39" s="19"/>
      <c r="WPQ39" s="19"/>
      <c r="WPR39" s="19"/>
      <c r="WPS39" s="19"/>
      <c r="WPT39" s="19"/>
      <c r="WPU39" s="19"/>
      <c r="WPV39" s="19"/>
      <c r="WPW39" s="19"/>
      <c r="WPX39" s="19"/>
      <c r="WPY39" s="19"/>
      <c r="WPZ39" s="19"/>
      <c r="WQA39" s="19"/>
      <c r="WQB39" s="19"/>
      <c r="WQC39" s="19"/>
      <c r="WQD39" s="19"/>
      <c r="WQE39" s="19"/>
      <c r="WQF39" s="19"/>
      <c r="WQG39" s="19"/>
      <c r="WQH39" s="19"/>
      <c r="WQI39" s="19"/>
      <c r="WQJ39" s="19"/>
      <c r="WQK39" s="19"/>
      <c r="WQL39" s="19"/>
      <c r="WQM39" s="19"/>
      <c r="WQN39" s="19"/>
      <c r="WQO39" s="19"/>
      <c r="WQP39" s="19"/>
      <c r="WQQ39" s="19"/>
      <c r="WQR39" s="19"/>
      <c r="WQS39" s="19"/>
      <c r="WQT39" s="19"/>
      <c r="WQU39" s="19"/>
      <c r="WQV39" s="19"/>
      <c r="WQW39" s="19"/>
      <c r="WQX39" s="19"/>
      <c r="WQY39" s="19"/>
      <c r="WQZ39" s="19"/>
      <c r="WRA39" s="19"/>
      <c r="WRB39" s="19"/>
      <c r="WRC39" s="19"/>
      <c r="WRD39" s="19"/>
      <c r="WRE39" s="19"/>
      <c r="WRF39" s="19"/>
      <c r="WRG39" s="19"/>
      <c r="WRH39" s="19"/>
      <c r="WRI39" s="19"/>
      <c r="WRJ39" s="19"/>
      <c r="WRK39" s="19"/>
      <c r="WRL39" s="19"/>
      <c r="WRM39" s="19"/>
      <c r="WRN39" s="19"/>
      <c r="WRO39" s="19"/>
      <c r="WRP39" s="19"/>
      <c r="WRQ39" s="19"/>
      <c r="WRR39" s="19"/>
      <c r="WRS39" s="19"/>
      <c r="WRT39" s="19"/>
      <c r="WRU39" s="19"/>
      <c r="WRV39" s="19"/>
      <c r="WRW39" s="19"/>
      <c r="WRX39" s="19"/>
      <c r="WRY39" s="19"/>
      <c r="WRZ39" s="19"/>
      <c r="WSA39" s="19"/>
      <c r="WSB39" s="19"/>
      <c r="WSC39" s="19"/>
      <c r="WSD39" s="19"/>
      <c r="WSE39" s="19"/>
      <c r="WSF39" s="19"/>
      <c r="WSG39" s="19"/>
      <c r="WSH39" s="19"/>
      <c r="WSI39" s="19"/>
      <c r="WSJ39" s="19"/>
      <c r="WSK39" s="19"/>
      <c r="WSL39" s="19"/>
      <c r="WSM39" s="19"/>
      <c r="WSN39" s="19"/>
      <c r="WSO39" s="19"/>
      <c r="WSP39" s="19"/>
      <c r="WSQ39" s="19"/>
      <c r="WSR39" s="19"/>
      <c r="WSS39" s="19"/>
      <c r="WST39" s="19"/>
      <c r="WSU39" s="19"/>
      <c r="WSV39" s="19"/>
      <c r="WSW39" s="19"/>
      <c r="WSX39" s="19"/>
      <c r="WSY39" s="19"/>
      <c r="WSZ39" s="19"/>
      <c r="WTA39" s="19"/>
      <c r="WTB39" s="19"/>
      <c r="WTC39" s="19"/>
      <c r="WTD39" s="19"/>
      <c r="WTE39" s="19"/>
      <c r="WTF39" s="19"/>
      <c r="WTG39" s="19"/>
      <c r="WTH39" s="19"/>
      <c r="WTI39" s="19"/>
      <c r="WTJ39" s="19"/>
      <c r="WTK39" s="19"/>
      <c r="WTL39" s="19"/>
      <c r="WTM39" s="19"/>
      <c r="WTN39" s="19"/>
      <c r="WTO39" s="19"/>
      <c r="WTP39" s="19"/>
      <c r="WTQ39" s="19"/>
      <c r="WTR39" s="19"/>
      <c r="WTS39" s="19"/>
      <c r="WTT39" s="19"/>
      <c r="WTU39" s="19"/>
      <c r="WTV39" s="19"/>
      <c r="WTW39" s="19"/>
      <c r="WTX39" s="19"/>
      <c r="WTY39" s="19"/>
      <c r="WTZ39" s="19"/>
      <c r="WUA39" s="19"/>
      <c r="WUB39" s="19"/>
      <c r="WUC39" s="19"/>
      <c r="WUD39" s="19"/>
      <c r="WUE39" s="19"/>
      <c r="WUF39" s="19"/>
      <c r="WUG39" s="19"/>
      <c r="WUH39" s="19"/>
      <c r="WUI39" s="19"/>
      <c r="WUJ39" s="19"/>
      <c r="WUK39" s="19"/>
      <c r="WUL39" s="19"/>
      <c r="WUM39" s="19"/>
      <c r="WUN39" s="19"/>
      <c r="WUO39" s="19"/>
      <c r="WUP39" s="19"/>
      <c r="WUQ39" s="19"/>
      <c r="WUR39" s="19"/>
      <c r="WUS39" s="19"/>
      <c r="WUT39" s="19"/>
      <c r="WUU39" s="19"/>
      <c r="WUV39" s="19"/>
      <c r="WUW39" s="19"/>
      <c r="WUX39" s="19"/>
      <c r="WUY39" s="19"/>
      <c r="WUZ39" s="19"/>
      <c r="WVA39" s="19"/>
      <c r="WVB39" s="19"/>
      <c r="WVC39" s="19"/>
      <c r="WVD39" s="19"/>
      <c r="WVE39" s="19"/>
      <c r="WVF39" s="19"/>
      <c r="WVG39" s="19"/>
      <c r="WVH39" s="19"/>
      <c r="WVI39" s="19"/>
      <c r="WVJ39" s="19"/>
      <c r="WVK39" s="19"/>
      <c r="WVL39" s="19"/>
      <c r="WVM39" s="19"/>
      <c r="WVN39" s="19"/>
      <c r="WVO39" s="19"/>
      <c r="WVP39" s="19"/>
      <c r="WVQ39" s="19"/>
      <c r="WVR39" s="19"/>
      <c r="WVS39" s="19"/>
      <c r="WVT39" s="19"/>
      <c r="WVU39" s="19"/>
      <c r="WVV39" s="19"/>
      <c r="WVW39" s="19"/>
      <c r="WVX39" s="19"/>
      <c r="WVY39" s="19"/>
      <c r="WVZ39" s="19"/>
      <c r="WWA39" s="19"/>
      <c r="WWB39" s="19"/>
      <c r="WWC39" s="19"/>
      <c r="WWD39" s="19"/>
      <c r="WWE39" s="19"/>
      <c r="WWF39" s="19"/>
      <c r="WWG39" s="19"/>
      <c r="WWH39" s="19"/>
      <c r="WWI39" s="19"/>
      <c r="WWJ39" s="19"/>
      <c r="WWK39" s="19"/>
      <c r="WWL39" s="19"/>
      <c r="WWM39" s="19"/>
      <c r="WWN39" s="19"/>
      <c r="WWO39" s="19"/>
      <c r="WWP39" s="19"/>
      <c r="WWQ39" s="19"/>
      <c r="WWR39" s="19"/>
      <c r="WWS39" s="19"/>
      <c r="WWT39" s="19"/>
      <c r="WWU39" s="19"/>
      <c r="WWV39" s="19"/>
      <c r="WWW39" s="19"/>
      <c r="WWX39" s="19"/>
      <c r="WWY39" s="19"/>
      <c r="WWZ39" s="19"/>
      <c r="WXA39" s="19"/>
      <c r="WXB39" s="19"/>
      <c r="WXC39" s="19"/>
      <c r="WXD39" s="19"/>
      <c r="WXE39" s="19"/>
      <c r="WXF39" s="19"/>
      <c r="WXG39" s="19"/>
      <c r="WXH39" s="19"/>
      <c r="WXI39" s="19"/>
      <c r="WXJ39" s="19"/>
      <c r="WXK39" s="19"/>
      <c r="WXL39" s="19"/>
      <c r="WXM39" s="19"/>
      <c r="WXN39" s="19"/>
      <c r="WXO39" s="19"/>
      <c r="WXP39" s="19"/>
      <c r="WXQ39" s="19"/>
      <c r="WXR39" s="19"/>
      <c r="WXS39" s="19"/>
      <c r="WXT39" s="19"/>
      <c r="WXU39" s="19"/>
      <c r="WXV39" s="19"/>
      <c r="WXW39" s="19"/>
      <c r="WXX39" s="19"/>
      <c r="WXY39" s="19"/>
      <c r="WXZ39" s="19"/>
      <c r="WYA39" s="19"/>
      <c r="WYB39" s="19"/>
      <c r="WYC39" s="19"/>
      <c r="WYD39" s="19"/>
      <c r="WYE39" s="19"/>
      <c r="WYF39" s="19"/>
      <c r="WYG39" s="19"/>
      <c r="WYH39" s="19"/>
      <c r="WYI39" s="19"/>
      <c r="WYJ39" s="19"/>
      <c r="WYK39" s="19"/>
      <c r="WYL39" s="19"/>
      <c r="WYM39" s="19"/>
      <c r="WYN39" s="19"/>
      <c r="WYO39" s="19"/>
      <c r="WYP39" s="19"/>
      <c r="WYQ39" s="19"/>
      <c r="WYR39" s="19"/>
      <c r="WYS39" s="19"/>
      <c r="WYT39" s="19"/>
      <c r="WYU39" s="19"/>
      <c r="WYV39" s="19"/>
      <c r="WYW39" s="19"/>
      <c r="WYX39" s="19"/>
      <c r="WYY39" s="19"/>
      <c r="WYZ39" s="19"/>
      <c r="WZA39" s="19"/>
      <c r="WZB39" s="19"/>
      <c r="WZC39" s="19"/>
      <c r="WZD39" s="19"/>
      <c r="WZE39" s="19"/>
      <c r="WZF39" s="19"/>
      <c r="WZG39" s="19"/>
      <c r="WZH39" s="19"/>
      <c r="WZI39" s="19"/>
      <c r="WZJ39" s="19"/>
      <c r="WZK39" s="19"/>
      <c r="WZL39" s="19"/>
      <c r="WZM39" s="19"/>
      <c r="WZN39" s="19"/>
      <c r="WZO39" s="19"/>
      <c r="WZP39" s="19"/>
      <c r="WZQ39" s="19"/>
      <c r="WZR39" s="19"/>
      <c r="WZS39" s="19"/>
      <c r="WZT39" s="19"/>
      <c r="WZU39" s="19"/>
      <c r="WZV39" s="19"/>
      <c r="WZW39" s="19"/>
      <c r="WZX39" s="19"/>
      <c r="WZY39" s="19"/>
      <c r="WZZ39" s="19"/>
      <c r="XAA39" s="19"/>
      <c r="XAB39" s="19"/>
      <c r="XAC39" s="19"/>
      <c r="XAD39" s="19"/>
      <c r="XAE39" s="19"/>
      <c r="XAF39" s="19"/>
      <c r="XAG39" s="19"/>
      <c r="XAH39" s="19"/>
      <c r="XAI39" s="19"/>
      <c r="XAJ39" s="19"/>
      <c r="XAK39" s="19"/>
      <c r="XAL39" s="19"/>
      <c r="XAM39" s="19"/>
      <c r="XAN39" s="19"/>
      <c r="XAO39" s="19"/>
      <c r="XAP39" s="19"/>
      <c r="XAQ39" s="19"/>
      <c r="XAR39" s="19"/>
      <c r="XAS39" s="19"/>
      <c r="XAT39" s="19"/>
      <c r="XAU39" s="19"/>
      <c r="XAV39" s="19"/>
      <c r="XAW39" s="19"/>
      <c r="XAX39" s="19"/>
      <c r="XAY39" s="19"/>
      <c r="XAZ39" s="19"/>
      <c r="XBA39" s="19"/>
      <c r="XBB39" s="19"/>
      <c r="XBC39" s="19"/>
      <c r="XBD39" s="19"/>
      <c r="XBE39" s="19"/>
      <c r="XBF39" s="19"/>
      <c r="XBG39" s="19"/>
      <c r="XBH39" s="19"/>
      <c r="XBI39" s="19"/>
      <c r="XBJ39" s="19"/>
      <c r="XBK39" s="19"/>
      <c r="XBL39" s="19"/>
      <c r="XBM39" s="19"/>
      <c r="XBN39" s="19"/>
      <c r="XBO39" s="19"/>
      <c r="XBP39" s="19"/>
      <c r="XBQ39" s="19"/>
      <c r="XBR39" s="19"/>
      <c r="XBS39" s="19"/>
      <c r="XBT39" s="19"/>
      <c r="XBU39" s="19"/>
      <c r="XBV39" s="19"/>
      <c r="XBW39" s="19"/>
      <c r="XBX39" s="19"/>
      <c r="XBY39" s="19"/>
      <c r="XBZ39" s="19"/>
      <c r="XCA39" s="19"/>
      <c r="XCB39" s="19"/>
      <c r="XCC39" s="19"/>
      <c r="XCD39" s="19"/>
      <c r="XCE39" s="19"/>
      <c r="XCF39" s="19"/>
      <c r="XCG39" s="19"/>
      <c r="XCH39" s="19"/>
      <c r="XCI39" s="19"/>
      <c r="XCJ39" s="19"/>
      <c r="XCK39" s="19"/>
      <c r="XCL39" s="19"/>
      <c r="XCM39" s="19"/>
      <c r="XCN39" s="19"/>
      <c r="XCO39" s="19"/>
      <c r="XCP39" s="19"/>
      <c r="XCQ39" s="19"/>
      <c r="XCR39" s="19"/>
      <c r="XCS39" s="19"/>
      <c r="XCT39" s="19"/>
      <c r="XCU39" s="19"/>
      <c r="XCV39" s="19"/>
      <c r="XCW39" s="19"/>
      <c r="XCX39" s="19"/>
      <c r="XCY39" s="19"/>
      <c r="XCZ39" s="19"/>
      <c r="XDA39" s="19"/>
      <c r="XDB39" s="19"/>
      <c r="XDC39" s="19"/>
      <c r="XDD39" s="19"/>
      <c r="XDE39" s="19"/>
      <c r="XDF39" s="19"/>
      <c r="XDG39" s="19"/>
      <c r="XDH39" s="19"/>
      <c r="XDI39" s="19"/>
      <c r="XDJ39" s="19"/>
      <c r="XDK39" s="19"/>
      <c r="XDL39" s="19"/>
      <c r="XDM39" s="19"/>
      <c r="XDN39" s="19"/>
      <c r="XDO39" s="19"/>
      <c r="XDP39" s="19"/>
      <c r="XDQ39" s="19"/>
      <c r="XDR39" s="19"/>
      <c r="XDS39" s="19"/>
      <c r="XDT39" s="19"/>
      <c r="XDU39" s="19"/>
      <c r="XDV39" s="19"/>
      <c r="XDW39" s="19"/>
      <c r="XDX39" s="19"/>
      <c r="XDY39" s="19"/>
      <c r="XDZ39" s="19"/>
      <c r="XEA39" s="19"/>
      <c r="XEB39" s="19"/>
      <c r="XEC39" s="19"/>
      <c r="XED39" s="19"/>
      <c r="XEE39" s="19"/>
      <c r="XEF39" s="19"/>
      <c r="XEG39" s="19"/>
      <c r="XEH39" s="19"/>
      <c r="XEI39" s="19"/>
      <c r="XEJ39" s="19"/>
      <c r="XEK39" s="19"/>
      <c r="XEL39" s="19"/>
      <c r="XEM39" s="19"/>
      <c r="XEN39" s="19"/>
      <c r="XEO39" s="19"/>
      <c r="XEP39" s="19"/>
      <c r="XEQ39" s="19"/>
      <c r="XER39" s="19"/>
      <c r="XES39" s="19"/>
      <c r="XET39" s="19"/>
      <c r="XEU39" s="19"/>
      <c r="XEV39" s="19"/>
      <c r="XEW39" s="19"/>
      <c r="XEX39" s="19"/>
      <c r="XEY39" s="19"/>
      <c r="XEZ39" s="19"/>
      <c r="XFA39" s="19"/>
      <c r="XFB39" s="19"/>
    </row>
    <row r="40" spans="1:16382" s="18" customFormat="1" ht="15.95" customHeight="1" x14ac:dyDescent="0.25">
      <c r="B40" s="233"/>
      <c r="D40" s="175" t="s">
        <v>7</v>
      </c>
      <c r="E40" s="179">
        <f>'Mês atual'!K1012/CMV!E29</f>
        <v>0.33972000000000002</v>
      </c>
      <c r="F40" s="179"/>
      <c r="G40" s="179"/>
      <c r="H40" s="179"/>
      <c r="I40" s="17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9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  <c r="LR40" s="19"/>
      <c r="LS40" s="19"/>
      <c r="LT40" s="19"/>
      <c r="LU40" s="19"/>
      <c r="LV40" s="19"/>
      <c r="LW40" s="19"/>
      <c r="LX40" s="19"/>
      <c r="LY40" s="19"/>
      <c r="LZ40" s="19"/>
      <c r="MA40" s="19"/>
      <c r="MB40" s="19"/>
      <c r="MC40" s="19"/>
      <c r="MD40" s="19"/>
      <c r="ME40" s="19"/>
      <c r="MF40" s="19"/>
      <c r="MG40" s="19"/>
      <c r="MH40" s="19"/>
      <c r="MI40" s="19"/>
      <c r="MJ40" s="19"/>
      <c r="MK40" s="19"/>
      <c r="ML40" s="19"/>
      <c r="MM40" s="19"/>
      <c r="MN40" s="19"/>
      <c r="MO40" s="19"/>
      <c r="MP40" s="19"/>
      <c r="MQ40" s="19"/>
      <c r="MR40" s="19"/>
      <c r="MS40" s="19"/>
      <c r="MT40" s="19"/>
      <c r="MU40" s="19"/>
      <c r="MV40" s="19"/>
      <c r="MW40" s="19"/>
      <c r="MX40" s="19"/>
      <c r="MY40" s="19"/>
      <c r="MZ40" s="19"/>
      <c r="NA40" s="19"/>
      <c r="NB40" s="19"/>
      <c r="NC40" s="19"/>
      <c r="ND40" s="19"/>
      <c r="NE40" s="19"/>
      <c r="NF40" s="19"/>
      <c r="NG40" s="19"/>
      <c r="NH40" s="19"/>
      <c r="NI40" s="19"/>
      <c r="NJ40" s="19"/>
      <c r="NK40" s="19"/>
      <c r="NL40" s="19"/>
      <c r="NM40" s="19"/>
      <c r="NN40" s="19"/>
      <c r="NO40" s="19"/>
      <c r="NP40" s="19"/>
      <c r="NQ40" s="19"/>
      <c r="NR40" s="19"/>
      <c r="NS40" s="19"/>
      <c r="NT40" s="19"/>
      <c r="NU40" s="19"/>
      <c r="NV40" s="19"/>
      <c r="NW40" s="19"/>
      <c r="NX40" s="19"/>
      <c r="NY40" s="19"/>
      <c r="NZ40" s="19"/>
      <c r="OA40" s="19"/>
      <c r="OB40" s="19"/>
      <c r="OC40" s="19"/>
      <c r="OD40" s="19"/>
      <c r="OE40" s="19"/>
      <c r="OF40" s="19"/>
      <c r="OG40" s="19"/>
      <c r="OH40" s="19"/>
      <c r="OI40" s="19"/>
      <c r="OJ40" s="19"/>
      <c r="OK40" s="19"/>
      <c r="OL40" s="19"/>
      <c r="OM40" s="19"/>
      <c r="ON40" s="19"/>
      <c r="OO40" s="19"/>
      <c r="OP40" s="19"/>
      <c r="OQ40" s="19"/>
      <c r="OR40" s="19"/>
      <c r="OS40" s="19"/>
      <c r="OT40" s="19"/>
      <c r="OU40" s="19"/>
      <c r="OV40" s="19"/>
      <c r="OW40" s="19"/>
      <c r="OX40" s="19"/>
      <c r="OY40" s="19"/>
      <c r="OZ40" s="19"/>
      <c r="PA40" s="19"/>
      <c r="PB40" s="19"/>
      <c r="PC40" s="19"/>
      <c r="PD40" s="19"/>
      <c r="PE40" s="19"/>
      <c r="PF40" s="19"/>
      <c r="PG40" s="19"/>
      <c r="PH40" s="19"/>
      <c r="PI40" s="19"/>
      <c r="PJ40" s="19"/>
      <c r="PK40" s="19"/>
      <c r="PL40" s="19"/>
      <c r="PM40" s="19"/>
      <c r="PN40" s="19"/>
      <c r="PO40" s="19"/>
      <c r="PP40" s="19"/>
      <c r="PQ40" s="19"/>
      <c r="PR40" s="19"/>
      <c r="PS40" s="19"/>
      <c r="PT40" s="19"/>
      <c r="PU40" s="19"/>
      <c r="PV40" s="19"/>
      <c r="PW40" s="19"/>
      <c r="PX40" s="19"/>
      <c r="PY40" s="19"/>
      <c r="PZ40" s="19"/>
      <c r="QA40" s="19"/>
      <c r="QB40" s="19"/>
      <c r="QC40" s="19"/>
      <c r="QD40" s="19"/>
      <c r="QE40" s="19"/>
      <c r="QF40" s="19"/>
      <c r="QG40" s="19"/>
      <c r="QH40" s="19"/>
      <c r="QI40" s="19"/>
      <c r="QJ40" s="19"/>
      <c r="QK40" s="19"/>
      <c r="QL40" s="19"/>
      <c r="QM40" s="19"/>
      <c r="QN40" s="19"/>
      <c r="QO40" s="19"/>
      <c r="QP40" s="19"/>
      <c r="QQ40" s="19"/>
      <c r="QR40" s="19"/>
      <c r="QS40" s="19"/>
      <c r="QT40" s="19"/>
      <c r="QU40" s="19"/>
      <c r="QV40" s="19"/>
      <c r="QW40" s="19"/>
      <c r="QX40" s="19"/>
      <c r="QY40" s="19"/>
      <c r="QZ40" s="19"/>
      <c r="RA40" s="19"/>
      <c r="RB40" s="19"/>
      <c r="RC40" s="19"/>
      <c r="RD40" s="19"/>
      <c r="RE40" s="19"/>
      <c r="RF40" s="19"/>
      <c r="RG40" s="19"/>
      <c r="RH40" s="19"/>
      <c r="RI40" s="19"/>
      <c r="RJ40" s="19"/>
      <c r="RK40" s="19"/>
      <c r="RL40" s="19"/>
      <c r="RM40" s="19"/>
      <c r="RN40" s="19"/>
      <c r="RO40" s="19"/>
      <c r="RP40" s="19"/>
      <c r="RQ40" s="19"/>
      <c r="RR40" s="19"/>
      <c r="RS40" s="19"/>
      <c r="RT40" s="19"/>
      <c r="RU40" s="19"/>
      <c r="RV40" s="19"/>
      <c r="RW40" s="19"/>
      <c r="RX40" s="19"/>
      <c r="RY40" s="19"/>
      <c r="RZ40" s="19"/>
      <c r="SA40" s="19"/>
      <c r="SB40" s="19"/>
      <c r="SC40" s="19"/>
      <c r="SD40" s="19"/>
      <c r="SE40" s="19"/>
      <c r="SF40" s="19"/>
      <c r="SG40" s="19"/>
      <c r="SH40" s="19"/>
      <c r="SI40" s="19"/>
      <c r="SJ40" s="19"/>
      <c r="SK40" s="19"/>
      <c r="SL40" s="19"/>
      <c r="SM40" s="19"/>
      <c r="SN40" s="19"/>
      <c r="SO40" s="19"/>
      <c r="SP40" s="19"/>
      <c r="SQ40" s="19"/>
      <c r="SR40" s="19"/>
      <c r="SS40" s="19"/>
      <c r="ST40" s="19"/>
      <c r="SU40" s="19"/>
      <c r="SV40" s="19"/>
      <c r="SW40" s="19"/>
      <c r="SX40" s="19"/>
      <c r="SY40" s="19"/>
      <c r="SZ40" s="19"/>
      <c r="TA40" s="19"/>
      <c r="TB40" s="19"/>
      <c r="TC40" s="19"/>
      <c r="TD40" s="19"/>
      <c r="TE40" s="19"/>
      <c r="TF40" s="19"/>
      <c r="TG40" s="19"/>
      <c r="TH40" s="19"/>
      <c r="TI40" s="19"/>
      <c r="TJ40" s="19"/>
      <c r="TK40" s="19"/>
      <c r="TL40" s="19"/>
      <c r="TM40" s="19"/>
      <c r="TN40" s="19"/>
      <c r="TO40" s="19"/>
      <c r="TP40" s="19"/>
      <c r="TQ40" s="19"/>
      <c r="TR40" s="19"/>
      <c r="TS40" s="19"/>
      <c r="TT40" s="19"/>
      <c r="TU40" s="19"/>
      <c r="TV40" s="19"/>
      <c r="TW40" s="19"/>
      <c r="TX40" s="19"/>
      <c r="TY40" s="19"/>
      <c r="TZ40" s="19"/>
      <c r="UA40" s="19"/>
      <c r="UB40" s="19"/>
      <c r="UC40" s="19"/>
      <c r="UD40" s="19"/>
      <c r="UE40" s="19"/>
      <c r="UF40" s="19"/>
      <c r="UG40" s="19"/>
      <c r="UH40" s="19"/>
      <c r="UI40" s="19"/>
      <c r="UJ40" s="19"/>
      <c r="UK40" s="19"/>
      <c r="UL40" s="19"/>
      <c r="UM40" s="19"/>
      <c r="UN40" s="19"/>
      <c r="UO40" s="19"/>
      <c r="UP40" s="19"/>
      <c r="UQ40" s="19"/>
      <c r="UR40" s="19"/>
      <c r="US40" s="19"/>
      <c r="UT40" s="19"/>
      <c r="UU40" s="19"/>
      <c r="UV40" s="19"/>
      <c r="UW40" s="19"/>
      <c r="UX40" s="19"/>
      <c r="UY40" s="19"/>
      <c r="UZ40" s="19"/>
      <c r="VA40" s="19"/>
      <c r="VB40" s="19"/>
      <c r="VC40" s="19"/>
      <c r="VD40" s="19"/>
      <c r="VE40" s="19"/>
      <c r="VF40" s="19"/>
      <c r="VG40" s="19"/>
      <c r="VH40" s="19"/>
      <c r="VI40" s="19"/>
      <c r="VJ40" s="19"/>
      <c r="VK40" s="19"/>
      <c r="VL40" s="19"/>
      <c r="VM40" s="19"/>
      <c r="VN40" s="19"/>
      <c r="VO40" s="19"/>
      <c r="VP40" s="19"/>
      <c r="VQ40" s="19"/>
      <c r="VR40" s="19"/>
      <c r="VS40" s="19"/>
      <c r="VT40" s="19"/>
      <c r="VU40" s="19"/>
      <c r="VV40" s="19"/>
      <c r="VW40" s="19"/>
      <c r="VX40" s="19"/>
      <c r="VY40" s="19"/>
      <c r="VZ40" s="19"/>
      <c r="WA40" s="19"/>
      <c r="WB40" s="19"/>
      <c r="WC40" s="19"/>
      <c r="WD40" s="19"/>
      <c r="WE40" s="19"/>
      <c r="WF40" s="19"/>
      <c r="WG40" s="19"/>
      <c r="WH40" s="19"/>
      <c r="WI40" s="19"/>
      <c r="WJ40" s="19"/>
      <c r="WK40" s="19"/>
      <c r="WL40" s="19"/>
      <c r="WM40" s="19"/>
      <c r="WN40" s="19"/>
      <c r="WO40" s="19"/>
      <c r="WP40" s="19"/>
      <c r="WQ40" s="19"/>
      <c r="WR40" s="19"/>
      <c r="WS40" s="19"/>
      <c r="WT40" s="19"/>
      <c r="WU40" s="19"/>
      <c r="WV40" s="19"/>
      <c r="WW40" s="19"/>
      <c r="WX40" s="19"/>
      <c r="WY40" s="19"/>
      <c r="WZ40" s="19"/>
      <c r="XA40" s="19"/>
      <c r="XB40" s="19"/>
      <c r="XC40" s="19"/>
      <c r="XD40" s="19"/>
      <c r="XE40" s="19"/>
      <c r="XF40" s="19"/>
      <c r="XG40" s="19"/>
      <c r="XH40" s="19"/>
      <c r="XI40" s="19"/>
      <c r="XJ40" s="19"/>
      <c r="XK40" s="19"/>
      <c r="XL40" s="19"/>
      <c r="XM40" s="19"/>
      <c r="XN40" s="19"/>
      <c r="XO40" s="19"/>
      <c r="XP40" s="19"/>
      <c r="XQ40" s="19"/>
      <c r="XR40" s="19"/>
      <c r="XS40" s="19"/>
      <c r="XT40" s="19"/>
      <c r="XU40" s="19"/>
      <c r="XV40" s="19"/>
      <c r="XW40" s="19"/>
      <c r="XX40" s="19"/>
      <c r="XY40" s="19"/>
      <c r="XZ40" s="19"/>
      <c r="YA40" s="19"/>
      <c r="YB40" s="19"/>
      <c r="YC40" s="19"/>
      <c r="YD40" s="19"/>
      <c r="YE40" s="19"/>
      <c r="YF40" s="19"/>
      <c r="YG40" s="19"/>
      <c r="YH40" s="19"/>
      <c r="YI40" s="19"/>
      <c r="YJ40" s="19"/>
      <c r="YK40" s="19"/>
      <c r="YL40" s="19"/>
      <c r="YM40" s="19"/>
      <c r="YN40" s="19"/>
      <c r="YO40" s="19"/>
      <c r="YP40" s="19"/>
      <c r="YQ40" s="19"/>
      <c r="YR40" s="19"/>
      <c r="YS40" s="19"/>
      <c r="YT40" s="19"/>
      <c r="YU40" s="19"/>
      <c r="YV40" s="19"/>
      <c r="YW40" s="19"/>
      <c r="YX40" s="19"/>
      <c r="YY40" s="19"/>
      <c r="YZ40" s="19"/>
      <c r="ZA40" s="19"/>
      <c r="ZB40" s="19"/>
      <c r="ZC40" s="19"/>
      <c r="ZD40" s="19"/>
      <c r="ZE40" s="19"/>
      <c r="ZF40" s="19"/>
      <c r="ZG40" s="19"/>
      <c r="ZH40" s="19"/>
      <c r="ZI40" s="19"/>
      <c r="ZJ40" s="19"/>
      <c r="ZK40" s="19"/>
      <c r="ZL40" s="19"/>
      <c r="ZM40" s="19"/>
      <c r="ZN40" s="19"/>
      <c r="ZO40" s="19"/>
      <c r="ZP40" s="19"/>
      <c r="ZQ40" s="19"/>
      <c r="ZR40" s="19"/>
      <c r="ZS40" s="19"/>
      <c r="ZT40" s="19"/>
      <c r="ZU40" s="19"/>
      <c r="ZV40" s="19"/>
      <c r="ZW40" s="19"/>
      <c r="ZX40" s="19"/>
      <c r="ZY40" s="19"/>
      <c r="ZZ40" s="19"/>
      <c r="AAA40" s="19"/>
      <c r="AAB40" s="19"/>
      <c r="AAC40" s="19"/>
      <c r="AAD40" s="19"/>
      <c r="AAE40" s="19"/>
      <c r="AAF40" s="19"/>
      <c r="AAG40" s="19"/>
      <c r="AAH40" s="19"/>
      <c r="AAI40" s="19"/>
      <c r="AAJ40" s="19"/>
      <c r="AAK40" s="19"/>
      <c r="AAL40" s="19"/>
      <c r="AAM40" s="19"/>
      <c r="AAN40" s="19"/>
      <c r="AAO40" s="19"/>
      <c r="AAP40" s="19"/>
      <c r="AAQ40" s="19"/>
      <c r="AAR40" s="19"/>
      <c r="AAS40" s="19"/>
      <c r="AAT40" s="19"/>
      <c r="AAU40" s="19"/>
      <c r="AAV40" s="19"/>
      <c r="AAW40" s="19"/>
      <c r="AAX40" s="19"/>
      <c r="AAY40" s="19"/>
      <c r="AAZ40" s="19"/>
      <c r="ABA40" s="19"/>
      <c r="ABB40" s="19"/>
      <c r="ABC40" s="19"/>
      <c r="ABD40" s="19"/>
      <c r="ABE40" s="19"/>
      <c r="ABF40" s="19"/>
      <c r="ABG40" s="19"/>
      <c r="ABH40" s="19"/>
      <c r="ABI40" s="19"/>
      <c r="ABJ40" s="19"/>
      <c r="ABK40" s="19"/>
      <c r="ABL40" s="19"/>
      <c r="ABM40" s="19"/>
      <c r="ABN40" s="19"/>
      <c r="ABO40" s="19"/>
      <c r="ABP40" s="19"/>
      <c r="ABQ40" s="19"/>
      <c r="ABR40" s="19"/>
      <c r="ABS40" s="19"/>
      <c r="ABT40" s="19"/>
      <c r="ABU40" s="19"/>
      <c r="ABV40" s="19"/>
      <c r="ABW40" s="19"/>
      <c r="ABX40" s="19"/>
      <c r="ABY40" s="19"/>
      <c r="ABZ40" s="19"/>
      <c r="ACA40" s="19"/>
      <c r="ACB40" s="19"/>
      <c r="ACC40" s="19"/>
      <c r="ACD40" s="19"/>
      <c r="ACE40" s="19"/>
      <c r="ACF40" s="19"/>
      <c r="ACG40" s="19"/>
      <c r="ACH40" s="19"/>
      <c r="ACI40" s="19"/>
      <c r="ACJ40" s="19"/>
      <c r="ACK40" s="19"/>
      <c r="ACL40" s="19"/>
      <c r="ACM40" s="19"/>
      <c r="ACN40" s="19"/>
      <c r="ACO40" s="19"/>
      <c r="ACP40" s="19"/>
      <c r="ACQ40" s="19"/>
      <c r="ACR40" s="19"/>
      <c r="ACS40" s="19"/>
      <c r="ACT40" s="19"/>
      <c r="ACU40" s="19"/>
      <c r="ACV40" s="19"/>
      <c r="ACW40" s="19"/>
      <c r="ACX40" s="19"/>
      <c r="ACY40" s="19"/>
      <c r="ACZ40" s="19"/>
      <c r="ADA40" s="19"/>
      <c r="ADB40" s="19"/>
      <c r="ADC40" s="19"/>
      <c r="ADD40" s="19"/>
      <c r="ADE40" s="19"/>
      <c r="ADF40" s="19"/>
      <c r="ADG40" s="19"/>
      <c r="ADH40" s="19"/>
      <c r="ADI40" s="19"/>
      <c r="ADJ40" s="19"/>
      <c r="ADK40" s="19"/>
      <c r="ADL40" s="19"/>
      <c r="ADM40" s="19"/>
      <c r="ADN40" s="19"/>
      <c r="ADO40" s="19"/>
      <c r="ADP40" s="19"/>
      <c r="ADQ40" s="19"/>
      <c r="ADR40" s="19"/>
      <c r="ADS40" s="19"/>
      <c r="ADT40" s="19"/>
      <c r="ADU40" s="19"/>
      <c r="ADV40" s="19"/>
      <c r="ADW40" s="19"/>
      <c r="ADX40" s="19"/>
      <c r="ADY40" s="19"/>
      <c r="ADZ40" s="19"/>
      <c r="AEA40" s="19"/>
      <c r="AEB40" s="19"/>
      <c r="AEC40" s="19"/>
      <c r="AED40" s="19"/>
      <c r="AEE40" s="19"/>
      <c r="AEF40" s="19"/>
      <c r="AEG40" s="19"/>
      <c r="AEH40" s="19"/>
      <c r="AEI40" s="19"/>
      <c r="AEJ40" s="19"/>
      <c r="AEK40" s="19"/>
      <c r="AEL40" s="19"/>
      <c r="AEM40" s="19"/>
      <c r="AEN40" s="19"/>
      <c r="AEO40" s="19"/>
      <c r="AEP40" s="19"/>
      <c r="AEQ40" s="19"/>
      <c r="AER40" s="19"/>
      <c r="AES40" s="19"/>
      <c r="AET40" s="19"/>
      <c r="AEU40" s="19"/>
      <c r="AEV40" s="19"/>
      <c r="AEW40" s="19"/>
      <c r="AEX40" s="19"/>
      <c r="AEY40" s="19"/>
      <c r="AEZ40" s="19"/>
      <c r="AFA40" s="19"/>
      <c r="AFB40" s="19"/>
      <c r="AFC40" s="19"/>
      <c r="AFD40" s="19"/>
      <c r="AFE40" s="19"/>
      <c r="AFF40" s="19"/>
      <c r="AFG40" s="19"/>
      <c r="AFH40" s="19"/>
      <c r="AFI40" s="19"/>
      <c r="AFJ40" s="19"/>
      <c r="AFK40" s="19"/>
      <c r="AFL40" s="19"/>
      <c r="AFM40" s="19"/>
      <c r="AFN40" s="19"/>
      <c r="AFO40" s="19"/>
      <c r="AFP40" s="19"/>
      <c r="AFQ40" s="19"/>
      <c r="AFR40" s="19"/>
      <c r="AFS40" s="19"/>
      <c r="AFT40" s="19"/>
      <c r="AFU40" s="19"/>
      <c r="AFV40" s="19"/>
      <c r="AFW40" s="19"/>
      <c r="AFX40" s="19"/>
      <c r="AFY40" s="19"/>
      <c r="AFZ40" s="19"/>
      <c r="AGA40" s="19"/>
      <c r="AGB40" s="19"/>
      <c r="AGC40" s="19"/>
      <c r="AGD40" s="19"/>
      <c r="AGE40" s="19"/>
      <c r="AGF40" s="19"/>
      <c r="AGG40" s="19"/>
      <c r="AGH40" s="19"/>
      <c r="AGI40" s="19"/>
      <c r="AGJ40" s="19"/>
      <c r="AGK40" s="19"/>
      <c r="AGL40" s="19"/>
      <c r="AGM40" s="19"/>
      <c r="AGN40" s="19"/>
      <c r="AGO40" s="19"/>
      <c r="AGP40" s="19"/>
      <c r="AGQ40" s="19"/>
      <c r="AGR40" s="19"/>
      <c r="AGS40" s="19"/>
      <c r="AGT40" s="19"/>
      <c r="AGU40" s="19"/>
      <c r="AGV40" s="19"/>
      <c r="AGW40" s="19"/>
      <c r="AGX40" s="19"/>
      <c r="AGY40" s="19"/>
      <c r="AGZ40" s="19"/>
      <c r="AHA40" s="19"/>
      <c r="AHB40" s="19"/>
      <c r="AHC40" s="19"/>
      <c r="AHD40" s="19"/>
      <c r="AHE40" s="19"/>
      <c r="AHF40" s="19"/>
      <c r="AHG40" s="19"/>
      <c r="AHH40" s="19"/>
      <c r="AHI40" s="19"/>
      <c r="AHJ40" s="19"/>
      <c r="AHK40" s="19"/>
      <c r="AHL40" s="19"/>
      <c r="AHM40" s="19"/>
      <c r="AHN40" s="19"/>
      <c r="AHO40" s="19"/>
      <c r="AHP40" s="19"/>
      <c r="AHQ40" s="19"/>
      <c r="AHR40" s="19"/>
      <c r="AHS40" s="19"/>
      <c r="AHT40" s="19"/>
      <c r="AHU40" s="19"/>
      <c r="AHV40" s="19"/>
      <c r="AHW40" s="19"/>
      <c r="AHX40" s="19"/>
      <c r="AHY40" s="19"/>
      <c r="AHZ40" s="19"/>
      <c r="AIA40" s="19"/>
      <c r="AIB40" s="19"/>
      <c r="AIC40" s="19"/>
      <c r="AID40" s="19"/>
      <c r="AIE40" s="19"/>
      <c r="AIF40" s="19"/>
      <c r="AIG40" s="19"/>
      <c r="AIH40" s="19"/>
      <c r="AII40" s="19"/>
      <c r="AIJ40" s="19"/>
      <c r="AIK40" s="19"/>
      <c r="AIL40" s="19"/>
      <c r="AIM40" s="19"/>
      <c r="AIN40" s="19"/>
      <c r="AIO40" s="19"/>
      <c r="AIP40" s="19"/>
      <c r="AIQ40" s="19"/>
      <c r="AIR40" s="19"/>
      <c r="AIS40" s="19"/>
      <c r="AIT40" s="19"/>
      <c r="AIU40" s="19"/>
      <c r="AIV40" s="19"/>
      <c r="AIW40" s="19"/>
      <c r="AIX40" s="19"/>
      <c r="AIY40" s="19"/>
      <c r="AIZ40" s="19"/>
      <c r="AJA40" s="19"/>
      <c r="AJB40" s="19"/>
      <c r="AJC40" s="19"/>
      <c r="AJD40" s="19"/>
      <c r="AJE40" s="19"/>
      <c r="AJF40" s="19"/>
      <c r="AJG40" s="19"/>
      <c r="AJH40" s="19"/>
      <c r="AJI40" s="19"/>
      <c r="AJJ40" s="19"/>
      <c r="AJK40" s="19"/>
      <c r="AJL40" s="19"/>
      <c r="AJM40" s="19"/>
      <c r="AJN40" s="19"/>
      <c r="AJO40" s="19"/>
      <c r="AJP40" s="19"/>
      <c r="AJQ40" s="19"/>
      <c r="AJR40" s="19"/>
      <c r="AJS40" s="19"/>
      <c r="AJT40" s="19"/>
      <c r="AJU40" s="19"/>
      <c r="AJV40" s="19"/>
      <c r="AJW40" s="19"/>
      <c r="AJX40" s="19"/>
      <c r="AJY40" s="19"/>
      <c r="AJZ40" s="19"/>
      <c r="AKA40" s="19"/>
      <c r="AKB40" s="19"/>
      <c r="AKC40" s="19"/>
      <c r="AKD40" s="19"/>
      <c r="AKE40" s="19"/>
      <c r="AKF40" s="19"/>
      <c r="AKG40" s="19"/>
      <c r="AKH40" s="19"/>
      <c r="AKI40" s="19"/>
      <c r="AKJ40" s="19"/>
      <c r="AKK40" s="19"/>
      <c r="AKL40" s="19"/>
      <c r="AKM40" s="19"/>
      <c r="AKN40" s="19"/>
      <c r="AKO40" s="19"/>
      <c r="AKP40" s="19"/>
      <c r="AKQ40" s="19"/>
      <c r="AKR40" s="19"/>
      <c r="AKS40" s="19"/>
      <c r="AKT40" s="19"/>
      <c r="AKU40" s="19"/>
      <c r="AKV40" s="19"/>
      <c r="AKW40" s="19"/>
      <c r="AKX40" s="19"/>
      <c r="AKY40" s="19"/>
      <c r="AKZ40" s="19"/>
      <c r="ALA40" s="19"/>
      <c r="ALB40" s="19"/>
      <c r="ALC40" s="19"/>
      <c r="ALD40" s="19"/>
      <c r="ALE40" s="19"/>
      <c r="ALF40" s="19"/>
      <c r="ALG40" s="19"/>
      <c r="ALH40" s="19"/>
      <c r="ALI40" s="19"/>
      <c r="ALJ40" s="19"/>
      <c r="ALK40" s="19"/>
      <c r="ALL40" s="19"/>
      <c r="ALM40" s="19"/>
      <c r="ALN40" s="19"/>
      <c r="ALO40" s="19"/>
      <c r="ALP40" s="19"/>
      <c r="ALQ40" s="19"/>
      <c r="ALR40" s="19"/>
      <c r="ALS40" s="19"/>
      <c r="ALT40" s="19"/>
      <c r="ALU40" s="19"/>
      <c r="ALV40" s="19"/>
      <c r="ALW40" s="19"/>
      <c r="ALX40" s="19"/>
      <c r="ALY40" s="19"/>
      <c r="ALZ40" s="19"/>
      <c r="AMA40" s="19"/>
      <c r="AMB40" s="19"/>
      <c r="AMC40" s="19"/>
      <c r="AMD40" s="19"/>
      <c r="AME40" s="19"/>
      <c r="AMF40" s="19"/>
      <c r="AMG40" s="19"/>
      <c r="AMH40" s="19"/>
      <c r="AMI40" s="19"/>
      <c r="AMJ40" s="19"/>
      <c r="AMK40" s="19"/>
      <c r="AML40" s="19"/>
      <c r="AMM40" s="19"/>
      <c r="AMN40" s="19"/>
      <c r="AMO40" s="19"/>
      <c r="AMP40" s="19"/>
      <c r="AMQ40" s="19"/>
      <c r="AMR40" s="19"/>
      <c r="AMS40" s="19"/>
      <c r="AMT40" s="19"/>
      <c r="AMU40" s="19"/>
      <c r="AMV40" s="19"/>
      <c r="AMW40" s="19"/>
      <c r="AMX40" s="19"/>
      <c r="AMY40" s="19"/>
      <c r="AMZ40" s="19"/>
      <c r="ANA40" s="19"/>
      <c r="ANB40" s="19"/>
      <c r="ANC40" s="19"/>
      <c r="AND40" s="19"/>
      <c r="ANE40" s="19"/>
      <c r="ANF40" s="19"/>
      <c r="ANG40" s="19"/>
      <c r="ANH40" s="19"/>
      <c r="ANI40" s="19"/>
      <c r="ANJ40" s="19"/>
      <c r="ANK40" s="19"/>
      <c r="ANL40" s="19"/>
      <c r="ANM40" s="19"/>
      <c r="ANN40" s="19"/>
      <c r="ANO40" s="19"/>
      <c r="ANP40" s="19"/>
      <c r="ANQ40" s="19"/>
      <c r="ANR40" s="19"/>
      <c r="ANS40" s="19"/>
      <c r="ANT40" s="19"/>
      <c r="ANU40" s="19"/>
      <c r="ANV40" s="19"/>
      <c r="ANW40" s="19"/>
      <c r="ANX40" s="19"/>
      <c r="ANY40" s="19"/>
      <c r="ANZ40" s="19"/>
      <c r="AOA40" s="19"/>
      <c r="AOB40" s="19"/>
      <c r="AOC40" s="19"/>
      <c r="AOD40" s="19"/>
      <c r="AOE40" s="19"/>
      <c r="AOF40" s="19"/>
      <c r="AOG40" s="19"/>
      <c r="AOH40" s="19"/>
      <c r="AOI40" s="19"/>
      <c r="AOJ40" s="19"/>
      <c r="AOK40" s="19"/>
      <c r="AOL40" s="19"/>
      <c r="AOM40" s="19"/>
      <c r="AON40" s="19"/>
      <c r="AOO40" s="19"/>
      <c r="AOP40" s="19"/>
      <c r="AOQ40" s="19"/>
      <c r="AOR40" s="19"/>
      <c r="AOS40" s="19"/>
      <c r="AOT40" s="19"/>
      <c r="AOU40" s="19"/>
      <c r="AOV40" s="19"/>
      <c r="AOW40" s="19"/>
      <c r="AOX40" s="19"/>
      <c r="AOY40" s="19"/>
      <c r="AOZ40" s="19"/>
      <c r="APA40" s="19"/>
      <c r="APB40" s="19"/>
      <c r="APC40" s="19"/>
      <c r="APD40" s="19"/>
      <c r="APE40" s="19"/>
      <c r="APF40" s="19"/>
      <c r="APG40" s="19"/>
      <c r="APH40" s="19"/>
      <c r="API40" s="19"/>
      <c r="APJ40" s="19"/>
      <c r="APK40" s="19"/>
      <c r="APL40" s="19"/>
      <c r="APM40" s="19"/>
      <c r="APN40" s="19"/>
      <c r="APO40" s="19"/>
      <c r="APP40" s="19"/>
      <c r="APQ40" s="19"/>
      <c r="APR40" s="19"/>
      <c r="APS40" s="19"/>
      <c r="APT40" s="19"/>
      <c r="APU40" s="19"/>
      <c r="APV40" s="19"/>
      <c r="APW40" s="19"/>
      <c r="APX40" s="19"/>
      <c r="APY40" s="19"/>
      <c r="APZ40" s="19"/>
      <c r="AQA40" s="19"/>
      <c r="AQB40" s="19"/>
      <c r="AQC40" s="19"/>
      <c r="AQD40" s="19"/>
      <c r="AQE40" s="19"/>
      <c r="AQF40" s="19"/>
      <c r="AQG40" s="19"/>
      <c r="AQH40" s="19"/>
      <c r="AQI40" s="19"/>
      <c r="AQJ40" s="19"/>
      <c r="AQK40" s="19"/>
      <c r="AQL40" s="19"/>
      <c r="AQM40" s="19"/>
      <c r="AQN40" s="19"/>
      <c r="AQO40" s="19"/>
      <c r="AQP40" s="19"/>
      <c r="AQQ40" s="19"/>
      <c r="AQR40" s="19"/>
      <c r="AQS40" s="19"/>
      <c r="AQT40" s="19"/>
      <c r="AQU40" s="19"/>
      <c r="AQV40" s="19"/>
      <c r="AQW40" s="19"/>
      <c r="AQX40" s="19"/>
      <c r="AQY40" s="19"/>
      <c r="AQZ40" s="19"/>
      <c r="ARA40" s="19"/>
      <c r="ARB40" s="19"/>
      <c r="ARC40" s="19"/>
      <c r="ARD40" s="19"/>
      <c r="ARE40" s="19"/>
      <c r="ARF40" s="19"/>
      <c r="ARG40" s="19"/>
      <c r="ARH40" s="19"/>
      <c r="ARI40" s="19"/>
      <c r="ARJ40" s="19"/>
      <c r="ARK40" s="19"/>
      <c r="ARL40" s="19"/>
      <c r="ARM40" s="19"/>
      <c r="ARN40" s="19"/>
      <c r="ARO40" s="19"/>
      <c r="ARP40" s="19"/>
      <c r="ARQ40" s="19"/>
      <c r="ARR40" s="19"/>
      <c r="ARS40" s="19"/>
      <c r="ART40" s="19"/>
      <c r="ARU40" s="19"/>
      <c r="ARV40" s="19"/>
      <c r="ARW40" s="19"/>
      <c r="ARX40" s="19"/>
      <c r="ARY40" s="19"/>
      <c r="ARZ40" s="19"/>
      <c r="ASA40" s="19"/>
      <c r="ASB40" s="19"/>
      <c r="ASC40" s="19"/>
      <c r="ASD40" s="19"/>
      <c r="ASE40" s="19"/>
      <c r="ASF40" s="19"/>
      <c r="ASG40" s="19"/>
      <c r="ASH40" s="19"/>
      <c r="ASI40" s="19"/>
      <c r="ASJ40" s="19"/>
      <c r="ASK40" s="19"/>
      <c r="ASL40" s="19"/>
      <c r="ASM40" s="19"/>
      <c r="ASN40" s="19"/>
      <c r="ASO40" s="19"/>
      <c r="ASP40" s="19"/>
      <c r="ASQ40" s="19"/>
      <c r="ASR40" s="19"/>
      <c r="ASS40" s="19"/>
      <c r="AST40" s="19"/>
      <c r="ASU40" s="19"/>
      <c r="ASV40" s="19"/>
      <c r="ASW40" s="19"/>
      <c r="ASX40" s="19"/>
      <c r="ASY40" s="19"/>
      <c r="ASZ40" s="19"/>
      <c r="ATA40" s="19"/>
      <c r="ATB40" s="19"/>
      <c r="ATC40" s="19"/>
      <c r="ATD40" s="19"/>
      <c r="ATE40" s="19"/>
      <c r="ATF40" s="19"/>
      <c r="ATG40" s="19"/>
      <c r="ATH40" s="19"/>
      <c r="ATI40" s="19"/>
      <c r="ATJ40" s="19"/>
      <c r="ATK40" s="19"/>
      <c r="ATL40" s="19"/>
      <c r="ATM40" s="19"/>
      <c r="ATN40" s="19"/>
      <c r="ATO40" s="19"/>
      <c r="ATP40" s="19"/>
      <c r="ATQ40" s="19"/>
      <c r="ATR40" s="19"/>
      <c r="ATS40" s="19"/>
      <c r="ATT40" s="19"/>
      <c r="ATU40" s="19"/>
      <c r="ATV40" s="19"/>
      <c r="ATW40" s="19"/>
      <c r="ATX40" s="19"/>
      <c r="ATY40" s="19"/>
      <c r="ATZ40" s="19"/>
      <c r="AUA40" s="19"/>
      <c r="AUB40" s="19"/>
      <c r="AUC40" s="19"/>
      <c r="AUD40" s="19"/>
      <c r="AUE40" s="19"/>
      <c r="AUF40" s="19"/>
      <c r="AUG40" s="19"/>
      <c r="AUH40" s="19"/>
      <c r="AUI40" s="19"/>
      <c r="AUJ40" s="19"/>
      <c r="AUK40" s="19"/>
      <c r="AUL40" s="19"/>
      <c r="AUM40" s="19"/>
      <c r="AUN40" s="19"/>
      <c r="AUO40" s="19"/>
      <c r="AUP40" s="19"/>
      <c r="AUQ40" s="19"/>
      <c r="AUR40" s="19"/>
      <c r="AUS40" s="19"/>
      <c r="AUT40" s="19"/>
      <c r="AUU40" s="19"/>
      <c r="AUV40" s="19"/>
      <c r="AUW40" s="19"/>
      <c r="AUX40" s="19"/>
      <c r="AUY40" s="19"/>
      <c r="AUZ40" s="19"/>
      <c r="AVA40" s="19"/>
      <c r="AVB40" s="19"/>
      <c r="AVC40" s="19"/>
      <c r="AVD40" s="19"/>
      <c r="AVE40" s="19"/>
      <c r="AVF40" s="19"/>
      <c r="AVG40" s="19"/>
      <c r="AVH40" s="19"/>
      <c r="AVI40" s="19"/>
      <c r="AVJ40" s="19"/>
      <c r="AVK40" s="19"/>
      <c r="AVL40" s="19"/>
      <c r="AVM40" s="19"/>
      <c r="AVN40" s="19"/>
      <c r="AVO40" s="19"/>
      <c r="AVP40" s="19"/>
      <c r="AVQ40" s="19"/>
      <c r="AVR40" s="19"/>
      <c r="AVS40" s="19"/>
      <c r="AVT40" s="19"/>
      <c r="AVU40" s="19"/>
      <c r="AVV40" s="19"/>
      <c r="AVW40" s="19"/>
      <c r="AVX40" s="19"/>
      <c r="AVY40" s="19"/>
      <c r="AVZ40" s="19"/>
      <c r="AWA40" s="19"/>
      <c r="AWB40" s="19"/>
      <c r="AWC40" s="19"/>
      <c r="AWD40" s="19"/>
      <c r="AWE40" s="19"/>
      <c r="AWF40" s="19"/>
      <c r="AWG40" s="19"/>
      <c r="AWH40" s="19"/>
      <c r="AWI40" s="19"/>
      <c r="AWJ40" s="19"/>
      <c r="AWK40" s="19"/>
      <c r="AWL40" s="19"/>
      <c r="AWM40" s="19"/>
      <c r="AWN40" s="19"/>
      <c r="AWO40" s="19"/>
      <c r="AWP40" s="19"/>
      <c r="AWQ40" s="19"/>
      <c r="AWR40" s="19"/>
      <c r="AWS40" s="19"/>
      <c r="AWT40" s="19"/>
      <c r="AWU40" s="19"/>
      <c r="AWV40" s="19"/>
      <c r="AWW40" s="19"/>
      <c r="AWX40" s="19"/>
      <c r="AWY40" s="19"/>
      <c r="AWZ40" s="19"/>
      <c r="AXA40" s="19"/>
      <c r="AXB40" s="19"/>
      <c r="AXC40" s="19"/>
      <c r="AXD40" s="19"/>
      <c r="AXE40" s="19"/>
      <c r="AXF40" s="19"/>
      <c r="AXG40" s="19"/>
      <c r="AXH40" s="19"/>
      <c r="AXI40" s="19"/>
      <c r="AXJ40" s="19"/>
      <c r="AXK40" s="19"/>
      <c r="AXL40" s="19"/>
      <c r="AXM40" s="19"/>
      <c r="AXN40" s="19"/>
      <c r="AXO40" s="19"/>
      <c r="AXP40" s="19"/>
      <c r="AXQ40" s="19"/>
      <c r="AXR40" s="19"/>
      <c r="AXS40" s="19"/>
      <c r="AXT40" s="19"/>
      <c r="AXU40" s="19"/>
      <c r="AXV40" s="19"/>
      <c r="AXW40" s="19"/>
      <c r="AXX40" s="19"/>
      <c r="AXY40" s="19"/>
      <c r="AXZ40" s="19"/>
      <c r="AYA40" s="19"/>
      <c r="AYB40" s="19"/>
      <c r="AYC40" s="19"/>
      <c r="AYD40" s="19"/>
      <c r="AYE40" s="19"/>
      <c r="AYF40" s="19"/>
      <c r="AYG40" s="19"/>
      <c r="AYH40" s="19"/>
      <c r="AYI40" s="19"/>
      <c r="AYJ40" s="19"/>
      <c r="AYK40" s="19"/>
      <c r="AYL40" s="19"/>
      <c r="AYM40" s="19"/>
      <c r="AYN40" s="19"/>
      <c r="AYO40" s="19"/>
      <c r="AYP40" s="19"/>
      <c r="AYQ40" s="19"/>
      <c r="AYR40" s="19"/>
      <c r="AYS40" s="19"/>
      <c r="AYT40" s="19"/>
      <c r="AYU40" s="19"/>
      <c r="AYV40" s="19"/>
      <c r="AYW40" s="19"/>
      <c r="AYX40" s="19"/>
      <c r="AYY40" s="19"/>
      <c r="AYZ40" s="19"/>
      <c r="AZA40" s="19"/>
      <c r="AZB40" s="19"/>
      <c r="AZC40" s="19"/>
      <c r="AZD40" s="19"/>
      <c r="AZE40" s="19"/>
      <c r="AZF40" s="19"/>
      <c r="AZG40" s="19"/>
      <c r="AZH40" s="19"/>
      <c r="AZI40" s="19"/>
      <c r="AZJ40" s="19"/>
      <c r="AZK40" s="19"/>
      <c r="AZL40" s="19"/>
      <c r="AZM40" s="19"/>
      <c r="AZN40" s="19"/>
      <c r="AZO40" s="19"/>
      <c r="AZP40" s="19"/>
      <c r="AZQ40" s="19"/>
      <c r="AZR40" s="19"/>
      <c r="AZS40" s="19"/>
      <c r="AZT40" s="19"/>
      <c r="AZU40" s="19"/>
      <c r="AZV40" s="19"/>
      <c r="AZW40" s="19"/>
      <c r="AZX40" s="19"/>
      <c r="AZY40" s="19"/>
      <c r="AZZ40" s="19"/>
      <c r="BAA40" s="19"/>
      <c r="BAB40" s="19"/>
      <c r="BAC40" s="19"/>
      <c r="BAD40" s="19"/>
      <c r="BAE40" s="19"/>
      <c r="BAF40" s="19"/>
      <c r="BAG40" s="19"/>
      <c r="BAH40" s="19"/>
      <c r="BAI40" s="19"/>
      <c r="BAJ40" s="19"/>
      <c r="BAK40" s="19"/>
      <c r="BAL40" s="19"/>
      <c r="BAM40" s="19"/>
      <c r="BAN40" s="19"/>
      <c r="BAO40" s="19"/>
      <c r="BAP40" s="19"/>
      <c r="BAQ40" s="19"/>
      <c r="BAR40" s="19"/>
      <c r="BAS40" s="19"/>
      <c r="BAT40" s="19"/>
      <c r="BAU40" s="19"/>
      <c r="BAV40" s="19"/>
      <c r="BAW40" s="19"/>
      <c r="BAX40" s="19"/>
      <c r="BAY40" s="19"/>
      <c r="BAZ40" s="19"/>
      <c r="BBA40" s="19"/>
      <c r="BBB40" s="19"/>
      <c r="BBC40" s="19"/>
      <c r="BBD40" s="19"/>
      <c r="BBE40" s="19"/>
      <c r="BBF40" s="19"/>
      <c r="BBG40" s="19"/>
      <c r="BBH40" s="19"/>
      <c r="BBI40" s="19"/>
      <c r="BBJ40" s="19"/>
      <c r="BBK40" s="19"/>
      <c r="BBL40" s="19"/>
      <c r="BBM40" s="19"/>
      <c r="BBN40" s="19"/>
      <c r="BBO40" s="19"/>
      <c r="BBP40" s="19"/>
      <c r="BBQ40" s="19"/>
      <c r="BBR40" s="19"/>
      <c r="BBS40" s="19"/>
      <c r="BBT40" s="19"/>
      <c r="BBU40" s="19"/>
      <c r="BBV40" s="19"/>
      <c r="BBW40" s="19"/>
      <c r="BBX40" s="19"/>
      <c r="BBY40" s="19"/>
      <c r="BBZ40" s="19"/>
      <c r="BCA40" s="19"/>
      <c r="BCB40" s="19"/>
      <c r="BCC40" s="19"/>
      <c r="BCD40" s="19"/>
      <c r="BCE40" s="19"/>
      <c r="BCF40" s="19"/>
      <c r="BCG40" s="19"/>
      <c r="BCH40" s="19"/>
      <c r="BCI40" s="19"/>
      <c r="BCJ40" s="19"/>
      <c r="BCK40" s="19"/>
      <c r="BCL40" s="19"/>
      <c r="BCM40" s="19"/>
      <c r="BCN40" s="19"/>
      <c r="BCO40" s="19"/>
      <c r="BCP40" s="19"/>
      <c r="BCQ40" s="19"/>
      <c r="BCR40" s="19"/>
      <c r="BCS40" s="19"/>
      <c r="BCT40" s="19"/>
      <c r="BCU40" s="19"/>
      <c r="BCV40" s="19"/>
      <c r="BCW40" s="19"/>
      <c r="BCX40" s="19"/>
      <c r="BCY40" s="19"/>
      <c r="BCZ40" s="19"/>
      <c r="BDA40" s="19"/>
      <c r="BDB40" s="19"/>
      <c r="BDC40" s="19"/>
      <c r="BDD40" s="19"/>
      <c r="BDE40" s="19"/>
      <c r="BDF40" s="19"/>
      <c r="BDG40" s="19"/>
      <c r="BDH40" s="19"/>
      <c r="BDI40" s="19"/>
      <c r="BDJ40" s="19"/>
      <c r="BDK40" s="19"/>
      <c r="BDL40" s="19"/>
      <c r="BDM40" s="19"/>
      <c r="BDN40" s="19"/>
      <c r="BDO40" s="19"/>
      <c r="BDP40" s="19"/>
      <c r="BDQ40" s="19"/>
      <c r="BDR40" s="19"/>
      <c r="BDS40" s="19"/>
      <c r="BDT40" s="19"/>
      <c r="BDU40" s="19"/>
      <c r="BDV40" s="19"/>
      <c r="BDW40" s="19"/>
      <c r="BDX40" s="19"/>
      <c r="BDY40" s="19"/>
      <c r="BDZ40" s="19"/>
      <c r="BEA40" s="19"/>
      <c r="BEB40" s="19"/>
      <c r="BEC40" s="19"/>
      <c r="BED40" s="19"/>
      <c r="BEE40" s="19"/>
      <c r="BEF40" s="19"/>
      <c r="BEG40" s="19"/>
      <c r="BEH40" s="19"/>
      <c r="BEI40" s="19"/>
      <c r="BEJ40" s="19"/>
      <c r="BEK40" s="19"/>
      <c r="BEL40" s="19"/>
      <c r="BEM40" s="19"/>
      <c r="BEN40" s="19"/>
      <c r="BEO40" s="19"/>
      <c r="BEP40" s="19"/>
      <c r="BEQ40" s="19"/>
      <c r="BER40" s="19"/>
      <c r="BES40" s="19"/>
      <c r="BET40" s="19"/>
      <c r="BEU40" s="19"/>
      <c r="BEV40" s="19"/>
      <c r="BEW40" s="19"/>
      <c r="BEX40" s="19"/>
      <c r="BEY40" s="19"/>
      <c r="BEZ40" s="19"/>
      <c r="BFA40" s="19"/>
      <c r="BFB40" s="19"/>
      <c r="BFC40" s="19"/>
      <c r="BFD40" s="19"/>
      <c r="BFE40" s="19"/>
      <c r="BFF40" s="19"/>
      <c r="BFG40" s="19"/>
      <c r="BFH40" s="19"/>
      <c r="BFI40" s="19"/>
      <c r="BFJ40" s="19"/>
      <c r="BFK40" s="19"/>
      <c r="BFL40" s="19"/>
      <c r="BFM40" s="19"/>
      <c r="BFN40" s="19"/>
      <c r="BFO40" s="19"/>
      <c r="BFP40" s="19"/>
      <c r="BFQ40" s="19"/>
      <c r="BFR40" s="19"/>
      <c r="BFS40" s="19"/>
      <c r="BFT40" s="19"/>
      <c r="BFU40" s="19"/>
      <c r="BFV40" s="19"/>
      <c r="BFW40" s="19"/>
      <c r="BFX40" s="19"/>
      <c r="BFY40" s="19"/>
      <c r="BFZ40" s="19"/>
      <c r="BGA40" s="19"/>
      <c r="BGB40" s="19"/>
      <c r="BGC40" s="19"/>
      <c r="BGD40" s="19"/>
      <c r="BGE40" s="19"/>
      <c r="BGF40" s="19"/>
      <c r="BGG40" s="19"/>
      <c r="BGH40" s="19"/>
      <c r="BGI40" s="19"/>
      <c r="BGJ40" s="19"/>
      <c r="BGK40" s="19"/>
      <c r="BGL40" s="19"/>
      <c r="BGM40" s="19"/>
      <c r="BGN40" s="19"/>
      <c r="BGO40" s="19"/>
      <c r="BGP40" s="19"/>
      <c r="BGQ40" s="19"/>
      <c r="BGR40" s="19"/>
      <c r="BGS40" s="19"/>
      <c r="BGT40" s="19"/>
      <c r="BGU40" s="19"/>
      <c r="BGV40" s="19"/>
      <c r="BGW40" s="19"/>
      <c r="BGX40" s="19"/>
      <c r="BGY40" s="19"/>
      <c r="BGZ40" s="19"/>
      <c r="BHA40" s="19"/>
      <c r="BHB40" s="19"/>
      <c r="BHC40" s="19"/>
      <c r="BHD40" s="19"/>
      <c r="BHE40" s="19"/>
      <c r="BHF40" s="19"/>
      <c r="BHG40" s="19"/>
      <c r="BHH40" s="19"/>
      <c r="BHI40" s="19"/>
      <c r="BHJ40" s="19"/>
      <c r="BHK40" s="19"/>
      <c r="BHL40" s="19"/>
      <c r="BHM40" s="19"/>
      <c r="BHN40" s="19"/>
      <c r="BHO40" s="19"/>
      <c r="BHP40" s="19"/>
      <c r="BHQ40" s="19"/>
      <c r="BHR40" s="19"/>
      <c r="BHS40" s="19"/>
      <c r="BHT40" s="19"/>
      <c r="BHU40" s="19"/>
      <c r="BHV40" s="19"/>
      <c r="BHW40" s="19"/>
      <c r="BHX40" s="19"/>
      <c r="BHY40" s="19"/>
      <c r="BHZ40" s="19"/>
      <c r="BIA40" s="19"/>
      <c r="BIB40" s="19"/>
      <c r="BIC40" s="19"/>
      <c r="BID40" s="19"/>
      <c r="BIE40" s="19"/>
      <c r="BIF40" s="19"/>
      <c r="BIG40" s="19"/>
      <c r="BIH40" s="19"/>
      <c r="BII40" s="19"/>
      <c r="BIJ40" s="19"/>
      <c r="BIK40" s="19"/>
      <c r="BIL40" s="19"/>
      <c r="BIM40" s="19"/>
      <c r="BIN40" s="19"/>
      <c r="BIO40" s="19"/>
      <c r="BIP40" s="19"/>
      <c r="BIQ40" s="19"/>
      <c r="BIR40" s="19"/>
      <c r="BIS40" s="19"/>
      <c r="BIT40" s="19"/>
      <c r="BIU40" s="19"/>
      <c r="BIV40" s="19"/>
      <c r="BIW40" s="19"/>
      <c r="BIX40" s="19"/>
      <c r="BIY40" s="19"/>
      <c r="BIZ40" s="19"/>
      <c r="BJA40" s="19"/>
      <c r="BJB40" s="19"/>
      <c r="BJC40" s="19"/>
      <c r="BJD40" s="19"/>
      <c r="BJE40" s="19"/>
      <c r="BJF40" s="19"/>
      <c r="BJG40" s="19"/>
      <c r="BJH40" s="19"/>
      <c r="BJI40" s="19"/>
      <c r="BJJ40" s="19"/>
      <c r="BJK40" s="19"/>
      <c r="BJL40" s="19"/>
      <c r="BJM40" s="19"/>
      <c r="BJN40" s="19"/>
      <c r="BJO40" s="19"/>
      <c r="BJP40" s="19"/>
      <c r="BJQ40" s="19"/>
      <c r="BJR40" s="19"/>
      <c r="BJS40" s="19"/>
      <c r="BJT40" s="19"/>
      <c r="BJU40" s="19"/>
      <c r="BJV40" s="19"/>
      <c r="BJW40" s="19"/>
      <c r="BJX40" s="19"/>
      <c r="BJY40" s="19"/>
      <c r="BJZ40" s="19"/>
      <c r="BKA40" s="19"/>
      <c r="BKB40" s="19"/>
      <c r="BKC40" s="19"/>
      <c r="BKD40" s="19"/>
      <c r="BKE40" s="19"/>
      <c r="BKF40" s="19"/>
      <c r="BKG40" s="19"/>
      <c r="BKH40" s="19"/>
      <c r="BKI40" s="19"/>
      <c r="BKJ40" s="19"/>
      <c r="BKK40" s="19"/>
      <c r="BKL40" s="19"/>
      <c r="BKM40" s="19"/>
      <c r="BKN40" s="19"/>
      <c r="BKO40" s="19"/>
      <c r="BKP40" s="19"/>
      <c r="BKQ40" s="19"/>
      <c r="BKR40" s="19"/>
      <c r="BKS40" s="19"/>
      <c r="BKT40" s="19"/>
      <c r="BKU40" s="19"/>
      <c r="BKV40" s="19"/>
      <c r="BKW40" s="19"/>
      <c r="BKX40" s="19"/>
      <c r="BKY40" s="19"/>
      <c r="BKZ40" s="19"/>
      <c r="BLA40" s="19"/>
      <c r="BLB40" s="19"/>
      <c r="BLC40" s="19"/>
      <c r="BLD40" s="19"/>
      <c r="BLE40" s="19"/>
      <c r="BLF40" s="19"/>
      <c r="BLG40" s="19"/>
      <c r="BLH40" s="19"/>
      <c r="BLI40" s="19"/>
      <c r="BLJ40" s="19"/>
      <c r="BLK40" s="19"/>
      <c r="BLL40" s="19"/>
      <c r="BLM40" s="19"/>
      <c r="BLN40" s="19"/>
      <c r="BLO40" s="19"/>
      <c r="BLP40" s="19"/>
      <c r="BLQ40" s="19"/>
      <c r="BLR40" s="19"/>
      <c r="BLS40" s="19"/>
      <c r="BLT40" s="19"/>
      <c r="BLU40" s="19"/>
      <c r="BLV40" s="19"/>
      <c r="BLW40" s="19"/>
      <c r="BLX40" s="19"/>
      <c r="BLY40" s="19"/>
      <c r="BLZ40" s="19"/>
      <c r="BMA40" s="19"/>
      <c r="BMB40" s="19"/>
      <c r="BMC40" s="19"/>
      <c r="BMD40" s="19"/>
      <c r="BME40" s="19"/>
      <c r="BMF40" s="19"/>
      <c r="BMG40" s="19"/>
      <c r="BMH40" s="19"/>
      <c r="BMI40" s="19"/>
      <c r="BMJ40" s="19"/>
      <c r="BMK40" s="19"/>
      <c r="BML40" s="19"/>
      <c r="BMM40" s="19"/>
      <c r="BMN40" s="19"/>
      <c r="BMO40" s="19"/>
      <c r="BMP40" s="19"/>
      <c r="BMQ40" s="19"/>
      <c r="BMR40" s="19"/>
      <c r="BMS40" s="19"/>
      <c r="BMT40" s="19"/>
      <c r="BMU40" s="19"/>
      <c r="BMV40" s="19"/>
      <c r="BMW40" s="19"/>
      <c r="BMX40" s="19"/>
      <c r="BMY40" s="19"/>
      <c r="BMZ40" s="19"/>
      <c r="BNA40" s="19"/>
      <c r="BNB40" s="19"/>
      <c r="BNC40" s="19"/>
      <c r="BND40" s="19"/>
      <c r="BNE40" s="19"/>
      <c r="BNF40" s="19"/>
      <c r="BNG40" s="19"/>
      <c r="BNH40" s="19"/>
      <c r="BNI40" s="19"/>
      <c r="BNJ40" s="19"/>
      <c r="BNK40" s="19"/>
      <c r="BNL40" s="19"/>
      <c r="BNM40" s="19"/>
      <c r="BNN40" s="19"/>
      <c r="BNO40" s="19"/>
      <c r="BNP40" s="19"/>
      <c r="BNQ40" s="19"/>
      <c r="BNR40" s="19"/>
      <c r="BNS40" s="19"/>
      <c r="BNT40" s="19"/>
      <c r="BNU40" s="19"/>
      <c r="BNV40" s="19"/>
      <c r="BNW40" s="19"/>
      <c r="BNX40" s="19"/>
      <c r="BNY40" s="19"/>
      <c r="BNZ40" s="19"/>
      <c r="BOA40" s="19"/>
      <c r="BOB40" s="19"/>
      <c r="BOC40" s="19"/>
      <c r="BOD40" s="19"/>
      <c r="BOE40" s="19"/>
      <c r="BOF40" s="19"/>
      <c r="BOG40" s="19"/>
      <c r="BOH40" s="19"/>
      <c r="BOI40" s="19"/>
      <c r="BOJ40" s="19"/>
      <c r="BOK40" s="19"/>
      <c r="BOL40" s="19"/>
      <c r="BOM40" s="19"/>
      <c r="BON40" s="19"/>
      <c r="BOO40" s="19"/>
      <c r="BOP40" s="19"/>
      <c r="BOQ40" s="19"/>
      <c r="BOR40" s="19"/>
      <c r="BOS40" s="19"/>
      <c r="BOT40" s="19"/>
      <c r="BOU40" s="19"/>
      <c r="BOV40" s="19"/>
      <c r="BOW40" s="19"/>
      <c r="BOX40" s="19"/>
      <c r="BOY40" s="19"/>
      <c r="BOZ40" s="19"/>
      <c r="BPA40" s="19"/>
      <c r="BPB40" s="19"/>
      <c r="BPC40" s="19"/>
      <c r="BPD40" s="19"/>
      <c r="BPE40" s="19"/>
      <c r="BPF40" s="19"/>
      <c r="BPG40" s="19"/>
      <c r="BPH40" s="19"/>
      <c r="BPI40" s="19"/>
      <c r="BPJ40" s="19"/>
      <c r="BPK40" s="19"/>
      <c r="BPL40" s="19"/>
      <c r="BPM40" s="19"/>
      <c r="BPN40" s="19"/>
      <c r="BPO40" s="19"/>
      <c r="BPP40" s="19"/>
      <c r="BPQ40" s="19"/>
      <c r="BPR40" s="19"/>
      <c r="BPS40" s="19"/>
      <c r="BPT40" s="19"/>
      <c r="BPU40" s="19"/>
      <c r="BPV40" s="19"/>
      <c r="BPW40" s="19"/>
      <c r="BPX40" s="19"/>
      <c r="BPY40" s="19"/>
      <c r="BPZ40" s="19"/>
      <c r="BQA40" s="19"/>
      <c r="BQB40" s="19"/>
      <c r="BQC40" s="19"/>
      <c r="BQD40" s="19"/>
      <c r="BQE40" s="19"/>
      <c r="BQF40" s="19"/>
      <c r="BQG40" s="19"/>
      <c r="BQH40" s="19"/>
      <c r="BQI40" s="19"/>
      <c r="BQJ40" s="19"/>
      <c r="BQK40" s="19"/>
      <c r="BQL40" s="19"/>
      <c r="BQM40" s="19"/>
      <c r="BQN40" s="19"/>
      <c r="BQO40" s="19"/>
      <c r="BQP40" s="19"/>
      <c r="BQQ40" s="19"/>
      <c r="BQR40" s="19"/>
      <c r="BQS40" s="19"/>
      <c r="BQT40" s="19"/>
      <c r="BQU40" s="19"/>
      <c r="BQV40" s="19"/>
      <c r="BQW40" s="19"/>
      <c r="BQX40" s="19"/>
      <c r="BQY40" s="19"/>
      <c r="BQZ40" s="19"/>
      <c r="BRA40" s="19"/>
      <c r="BRB40" s="19"/>
      <c r="BRC40" s="19"/>
      <c r="BRD40" s="19"/>
      <c r="BRE40" s="19"/>
      <c r="BRF40" s="19"/>
      <c r="BRG40" s="19"/>
      <c r="BRH40" s="19"/>
      <c r="BRI40" s="19"/>
      <c r="BRJ40" s="19"/>
      <c r="BRK40" s="19"/>
      <c r="BRL40" s="19"/>
      <c r="BRM40" s="19"/>
      <c r="BRN40" s="19"/>
      <c r="BRO40" s="19"/>
      <c r="BRP40" s="19"/>
      <c r="BRQ40" s="19"/>
      <c r="BRR40" s="19"/>
      <c r="BRS40" s="19"/>
      <c r="BRT40" s="19"/>
      <c r="BRU40" s="19"/>
      <c r="BRV40" s="19"/>
      <c r="BRW40" s="19"/>
      <c r="BRX40" s="19"/>
      <c r="BRY40" s="19"/>
      <c r="BRZ40" s="19"/>
      <c r="BSA40" s="19"/>
      <c r="BSB40" s="19"/>
      <c r="BSC40" s="19"/>
      <c r="BSD40" s="19"/>
      <c r="BSE40" s="19"/>
      <c r="BSF40" s="19"/>
      <c r="BSG40" s="19"/>
      <c r="BSH40" s="19"/>
      <c r="BSI40" s="19"/>
      <c r="BSJ40" s="19"/>
      <c r="BSK40" s="19"/>
      <c r="BSL40" s="19"/>
      <c r="BSM40" s="19"/>
      <c r="BSN40" s="19"/>
      <c r="BSO40" s="19"/>
      <c r="BSP40" s="19"/>
      <c r="BSQ40" s="19"/>
      <c r="BSR40" s="19"/>
      <c r="BSS40" s="19"/>
      <c r="BST40" s="19"/>
      <c r="BSU40" s="19"/>
      <c r="BSV40" s="19"/>
      <c r="BSW40" s="19"/>
      <c r="BSX40" s="19"/>
      <c r="BSY40" s="19"/>
      <c r="BSZ40" s="19"/>
      <c r="BTA40" s="19"/>
      <c r="BTB40" s="19"/>
      <c r="BTC40" s="19"/>
      <c r="BTD40" s="19"/>
      <c r="BTE40" s="19"/>
      <c r="BTF40" s="19"/>
      <c r="BTG40" s="19"/>
      <c r="BTH40" s="19"/>
      <c r="BTI40" s="19"/>
      <c r="BTJ40" s="19"/>
      <c r="BTK40" s="19"/>
      <c r="BTL40" s="19"/>
      <c r="BTM40" s="19"/>
      <c r="BTN40" s="19"/>
      <c r="BTO40" s="19"/>
      <c r="BTP40" s="19"/>
      <c r="BTQ40" s="19"/>
      <c r="BTR40" s="19"/>
      <c r="BTS40" s="19"/>
      <c r="BTT40" s="19"/>
      <c r="BTU40" s="19"/>
      <c r="BTV40" s="19"/>
      <c r="BTW40" s="19"/>
      <c r="BTX40" s="19"/>
      <c r="BTY40" s="19"/>
      <c r="BTZ40" s="19"/>
      <c r="BUA40" s="19"/>
      <c r="BUB40" s="19"/>
      <c r="BUC40" s="19"/>
      <c r="BUD40" s="19"/>
      <c r="BUE40" s="19"/>
      <c r="BUF40" s="19"/>
      <c r="BUG40" s="19"/>
      <c r="BUH40" s="19"/>
      <c r="BUI40" s="19"/>
      <c r="BUJ40" s="19"/>
      <c r="BUK40" s="19"/>
      <c r="BUL40" s="19"/>
      <c r="BUM40" s="19"/>
      <c r="BUN40" s="19"/>
      <c r="BUO40" s="19"/>
      <c r="BUP40" s="19"/>
      <c r="BUQ40" s="19"/>
      <c r="BUR40" s="19"/>
      <c r="BUS40" s="19"/>
      <c r="BUT40" s="19"/>
      <c r="BUU40" s="19"/>
      <c r="BUV40" s="19"/>
      <c r="BUW40" s="19"/>
      <c r="BUX40" s="19"/>
      <c r="BUY40" s="19"/>
      <c r="BUZ40" s="19"/>
      <c r="BVA40" s="19"/>
      <c r="BVB40" s="19"/>
      <c r="BVC40" s="19"/>
      <c r="BVD40" s="19"/>
      <c r="BVE40" s="19"/>
      <c r="BVF40" s="19"/>
      <c r="BVG40" s="19"/>
      <c r="BVH40" s="19"/>
      <c r="BVI40" s="19"/>
      <c r="BVJ40" s="19"/>
      <c r="BVK40" s="19"/>
      <c r="BVL40" s="19"/>
      <c r="BVM40" s="19"/>
      <c r="BVN40" s="19"/>
      <c r="BVO40" s="19"/>
      <c r="BVP40" s="19"/>
      <c r="BVQ40" s="19"/>
      <c r="BVR40" s="19"/>
      <c r="BVS40" s="19"/>
      <c r="BVT40" s="19"/>
      <c r="BVU40" s="19"/>
      <c r="BVV40" s="19"/>
      <c r="BVW40" s="19"/>
      <c r="BVX40" s="19"/>
      <c r="BVY40" s="19"/>
      <c r="BVZ40" s="19"/>
      <c r="BWA40" s="19"/>
      <c r="BWB40" s="19"/>
      <c r="BWC40" s="19"/>
      <c r="BWD40" s="19"/>
      <c r="BWE40" s="19"/>
      <c r="BWF40" s="19"/>
      <c r="BWG40" s="19"/>
      <c r="BWH40" s="19"/>
      <c r="BWI40" s="19"/>
      <c r="BWJ40" s="19"/>
      <c r="BWK40" s="19"/>
      <c r="BWL40" s="19"/>
      <c r="BWM40" s="19"/>
      <c r="BWN40" s="19"/>
      <c r="BWO40" s="19"/>
      <c r="BWP40" s="19"/>
      <c r="BWQ40" s="19"/>
      <c r="BWR40" s="19"/>
      <c r="BWS40" s="19"/>
      <c r="BWT40" s="19"/>
      <c r="BWU40" s="19"/>
      <c r="BWV40" s="19"/>
      <c r="BWW40" s="19"/>
      <c r="BWX40" s="19"/>
      <c r="BWY40" s="19"/>
      <c r="BWZ40" s="19"/>
      <c r="BXA40" s="19"/>
      <c r="BXB40" s="19"/>
      <c r="BXC40" s="19"/>
      <c r="BXD40" s="19"/>
      <c r="BXE40" s="19"/>
      <c r="BXF40" s="19"/>
      <c r="BXG40" s="19"/>
      <c r="BXH40" s="19"/>
      <c r="BXI40" s="19"/>
      <c r="BXJ40" s="19"/>
      <c r="BXK40" s="19"/>
      <c r="BXL40" s="19"/>
      <c r="BXM40" s="19"/>
      <c r="BXN40" s="19"/>
      <c r="BXO40" s="19"/>
      <c r="BXP40" s="19"/>
      <c r="BXQ40" s="19"/>
      <c r="BXR40" s="19"/>
      <c r="BXS40" s="19"/>
      <c r="BXT40" s="19"/>
      <c r="BXU40" s="19"/>
      <c r="BXV40" s="19"/>
      <c r="BXW40" s="19"/>
      <c r="BXX40" s="19"/>
      <c r="BXY40" s="19"/>
      <c r="BXZ40" s="19"/>
      <c r="BYA40" s="19"/>
      <c r="BYB40" s="19"/>
      <c r="BYC40" s="19"/>
      <c r="BYD40" s="19"/>
      <c r="BYE40" s="19"/>
      <c r="BYF40" s="19"/>
      <c r="BYG40" s="19"/>
      <c r="BYH40" s="19"/>
      <c r="BYI40" s="19"/>
      <c r="BYJ40" s="19"/>
      <c r="BYK40" s="19"/>
      <c r="BYL40" s="19"/>
      <c r="BYM40" s="19"/>
      <c r="BYN40" s="19"/>
      <c r="BYO40" s="19"/>
      <c r="BYP40" s="19"/>
      <c r="BYQ40" s="19"/>
      <c r="BYR40" s="19"/>
      <c r="BYS40" s="19"/>
      <c r="BYT40" s="19"/>
      <c r="BYU40" s="19"/>
      <c r="BYV40" s="19"/>
      <c r="BYW40" s="19"/>
      <c r="BYX40" s="19"/>
      <c r="BYY40" s="19"/>
      <c r="BYZ40" s="19"/>
      <c r="BZA40" s="19"/>
      <c r="BZB40" s="19"/>
      <c r="BZC40" s="19"/>
      <c r="BZD40" s="19"/>
      <c r="BZE40" s="19"/>
      <c r="BZF40" s="19"/>
      <c r="BZG40" s="19"/>
      <c r="BZH40" s="19"/>
      <c r="BZI40" s="19"/>
      <c r="BZJ40" s="19"/>
      <c r="BZK40" s="19"/>
      <c r="BZL40" s="19"/>
      <c r="BZM40" s="19"/>
      <c r="BZN40" s="19"/>
      <c r="BZO40" s="19"/>
      <c r="BZP40" s="19"/>
      <c r="BZQ40" s="19"/>
      <c r="BZR40" s="19"/>
      <c r="BZS40" s="19"/>
      <c r="BZT40" s="19"/>
      <c r="BZU40" s="19"/>
      <c r="BZV40" s="19"/>
      <c r="BZW40" s="19"/>
      <c r="BZX40" s="19"/>
      <c r="BZY40" s="19"/>
      <c r="BZZ40" s="19"/>
      <c r="CAA40" s="19"/>
      <c r="CAB40" s="19"/>
      <c r="CAC40" s="19"/>
      <c r="CAD40" s="19"/>
      <c r="CAE40" s="19"/>
      <c r="CAF40" s="19"/>
      <c r="CAG40" s="19"/>
      <c r="CAH40" s="19"/>
      <c r="CAI40" s="19"/>
      <c r="CAJ40" s="19"/>
      <c r="CAK40" s="19"/>
      <c r="CAL40" s="19"/>
      <c r="CAM40" s="19"/>
      <c r="CAN40" s="19"/>
      <c r="CAO40" s="19"/>
      <c r="CAP40" s="19"/>
      <c r="CAQ40" s="19"/>
      <c r="CAR40" s="19"/>
      <c r="CAS40" s="19"/>
      <c r="CAT40" s="19"/>
      <c r="CAU40" s="19"/>
      <c r="CAV40" s="19"/>
      <c r="CAW40" s="19"/>
      <c r="CAX40" s="19"/>
      <c r="CAY40" s="19"/>
      <c r="CAZ40" s="19"/>
      <c r="CBA40" s="19"/>
      <c r="CBB40" s="19"/>
      <c r="CBC40" s="19"/>
      <c r="CBD40" s="19"/>
      <c r="CBE40" s="19"/>
      <c r="CBF40" s="19"/>
      <c r="CBG40" s="19"/>
      <c r="CBH40" s="19"/>
      <c r="CBI40" s="19"/>
      <c r="CBJ40" s="19"/>
      <c r="CBK40" s="19"/>
      <c r="CBL40" s="19"/>
      <c r="CBM40" s="19"/>
      <c r="CBN40" s="19"/>
      <c r="CBO40" s="19"/>
      <c r="CBP40" s="19"/>
      <c r="CBQ40" s="19"/>
      <c r="CBR40" s="19"/>
      <c r="CBS40" s="19"/>
      <c r="CBT40" s="19"/>
      <c r="CBU40" s="19"/>
      <c r="CBV40" s="19"/>
      <c r="CBW40" s="19"/>
      <c r="CBX40" s="19"/>
      <c r="CBY40" s="19"/>
      <c r="CBZ40" s="19"/>
      <c r="CCA40" s="19"/>
      <c r="CCB40" s="19"/>
      <c r="CCC40" s="19"/>
      <c r="CCD40" s="19"/>
      <c r="CCE40" s="19"/>
      <c r="CCF40" s="19"/>
      <c r="CCG40" s="19"/>
      <c r="CCH40" s="19"/>
      <c r="CCI40" s="19"/>
      <c r="CCJ40" s="19"/>
      <c r="CCK40" s="19"/>
      <c r="CCL40" s="19"/>
      <c r="CCM40" s="19"/>
      <c r="CCN40" s="19"/>
      <c r="CCO40" s="19"/>
      <c r="CCP40" s="19"/>
      <c r="CCQ40" s="19"/>
      <c r="CCR40" s="19"/>
      <c r="CCS40" s="19"/>
      <c r="CCT40" s="19"/>
      <c r="CCU40" s="19"/>
      <c r="CCV40" s="19"/>
      <c r="CCW40" s="19"/>
      <c r="CCX40" s="19"/>
      <c r="CCY40" s="19"/>
      <c r="CCZ40" s="19"/>
      <c r="CDA40" s="19"/>
      <c r="CDB40" s="19"/>
      <c r="CDC40" s="19"/>
      <c r="CDD40" s="19"/>
      <c r="CDE40" s="19"/>
      <c r="CDF40" s="19"/>
      <c r="CDG40" s="19"/>
      <c r="CDH40" s="19"/>
      <c r="CDI40" s="19"/>
      <c r="CDJ40" s="19"/>
      <c r="CDK40" s="19"/>
      <c r="CDL40" s="19"/>
      <c r="CDM40" s="19"/>
      <c r="CDN40" s="19"/>
      <c r="CDO40" s="19"/>
      <c r="CDP40" s="19"/>
      <c r="CDQ40" s="19"/>
      <c r="CDR40" s="19"/>
      <c r="CDS40" s="19"/>
      <c r="CDT40" s="19"/>
      <c r="CDU40" s="19"/>
      <c r="CDV40" s="19"/>
      <c r="CDW40" s="19"/>
      <c r="CDX40" s="19"/>
      <c r="CDY40" s="19"/>
      <c r="CDZ40" s="19"/>
      <c r="CEA40" s="19"/>
      <c r="CEB40" s="19"/>
      <c r="CEC40" s="19"/>
      <c r="CED40" s="19"/>
      <c r="CEE40" s="19"/>
      <c r="CEF40" s="19"/>
      <c r="CEG40" s="19"/>
      <c r="CEH40" s="19"/>
      <c r="CEI40" s="19"/>
      <c r="CEJ40" s="19"/>
      <c r="CEK40" s="19"/>
      <c r="CEL40" s="19"/>
      <c r="CEM40" s="19"/>
      <c r="CEN40" s="19"/>
      <c r="CEO40" s="19"/>
      <c r="CEP40" s="19"/>
      <c r="CEQ40" s="19"/>
      <c r="CER40" s="19"/>
      <c r="CES40" s="19"/>
      <c r="CET40" s="19"/>
      <c r="CEU40" s="19"/>
      <c r="CEV40" s="19"/>
      <c r="CEW40" s="19"/>
      <c r="CEX40" s="19"/>
      <c r="CEY40" s="19"/>
      <c r="CEZ40" s="19"/>
      <c r="CFA40" s="19"/>
      <c r="CFB40" s="19"/>
      <c r="CFC40" s="19"/>
      <c r="CFD40" s="19"/>
      <c r="CFE40" s="19"/>
      <c r="CFF40" s="19"/>
      <c r="CFG40" s="19"/>
      <c r="CFH40" s="19"/>
      <c r="CFI40" s="19"/>
      <c r="CFJ40" s="19"/>
      <c r="CFK40" s="19"/>
      <c r="CFL40" s="19"/>
      <c r="CFM40" s="19"/>
      <c r="CFN40" s="19"/>
      <c r="CFO40" s="19"/>
      <c r="CFP40" s="19"/>
      <c r="CFQ40" s="19"/>
      <c r="CFR40" s="19"/>
      <c r="CFS40" s="19"/>
      <c r="CFT40" s="19"/>
      <c r="CFU40" s="19"/>
      <c r="CFV40" s="19"/>
      <c r="CFW40" s="19"/>
      <c r="CFX40" s="19"/>
      <c r="CFY40" s="19"/>
      <c r="CFZ40" s="19"/>
      <c r="CGA40" s="19"/>
      <c r="CGB40" s="19"/>
      <c r="CGC40" s="19"/>
      <c r="CGD40" s="19"/>
      <c r="CGE40" s="19"/>
      <c r="CGF40" s="19"/>
      <c r="CGG40" s="19"/>
      <c r="CGH40" s="19"/>
      <c r="CGI40" s="19"/>
      <c r="CGJ40" s="19"/>
      <c r="CGK40" s="19"/>
      <c r="CGL40" s="19"/>
      <c r="CGM40" s="19"/>
      <c r="CGN40" s="19"/>
      <c r="CGO40" s="19"/>
      <c r="CGP40" s="19"/>
      <c r="CGQ40" s="19"/>
      <c r="CGR40" s="19"/>
      <c r="CGS40" s="19"/>
      <c r="CGT40" s="19"/>
      <c r="CGU40" s="19"/>
      <c r="CGV40" s="19"/>
      <c r="CGW40" s="19"/>
      <c r="CGX40" s="19"/>
      <c r="CGY40" s="19"/>
      <c r="CGZ40" s="19"/>
      <c r="CHA40" s="19"/>
      <c r="CHB40" s="19"/>
      <c r="CHC40" s="19"/>
      <c r="CHD40" s="19"/>
      <c r="CHE40" s="19"/>
      <c r="CHF40" s="19"/>
      <c r="CHG40" s="19"/>
      <c r="CHH40" s="19"/>
      <c r="CHI40" s="19"/>
      <c r="CHJ40" s="19"/>
      <c r="CHK40" s="19"/>
      <c r="CHL40" s="19"/>
      <c r="CHM40" s="19"/>
      <c r="CHN40" s="19"/>
      <c r="CHO40" s="19"/>
      <c r="CHP40" s="19"/>
      <c r="CHQ40" s="19"/>
      <c r="CHR40" s="19"/>
      <c r="CHS40" s="19"/>
      <c r="CHT40" s="19"/>
      <c r="CHU40" s="19"/>
      <c r="CHV40" s="19"/>
      <c r="CHW40" s="19"/>
      <c r="CHX40" s="19"/>
      <c r="CHY40" s="19"/>
      <c r="CHZ40" s="19"/>
      <c r="CIA40" s="19"/>
      <c r="CIB40" s="19"/>
      <c r="CIC40" s="19"/>
      <c r="CID40" s="19"/>
      <c r="CIE40" s="19"/>
      <c r="CIF40" s="19"/>
      <c r="CIG40" s="19"/>
      <c r="CIH40" s="19"/>
      <c r="CII40" s="19"/>
      <c r="CIJ40" s="19"/>
      <c r="CIK40" s="19"/>
      <c r="CIL40" s="19"/>
      <c r="CIM40" s="19"/>
      <c r="CIN40" s="19"/>
      <c r="CIO40" s="19"/>
      <c r="CIP40" s="19"/>
      <c r="CIQ40" s="19"/>
      <c r="CIR40" s="19"/>
      <c r="CIS40" s="19"/>
      <c r="CIT40" s="19"/>
      <c r="CIU40" s="19"/>
      <c r="CIV40" s="19"/>
      <c r="CIW40" s="19"/>
      <c r="CIX40" s="19"/>
      <c r="CIY40" s="19"/>
      <c r="CIZ40" s="19"/>
      <c r="CJA40" s="19"/>
      <c r="CJB40" s="19"/>
      <c r="CJC40" s="19"/>
      <c r="CJD40" s="19"/>
      <c r="CJE40" s="19"/>
      <c r="CJF40" s="19"/>
      <c r="CJG40" s="19"/>
      <c r="CJH40" s="19"/>
      <c r="CJI40" s="19"/>
      <c r="CJJ40" s="19"/>
      <c r="CJK40" s="19"/>
      <c r="CJL40" s="19"/>
      <c r="CJM40" s="19"/>
      <c r="CJN40" s="19"/>
      <c r="CJO40" s="19"/>
      <c r="CJP40" s="19"/>
      <c r="CJQ40" s="19"/>
      <c r="CJR40" s="19"/>
      <c r="CJS40" s="19"/>
      <c r="CJT40" s="19"/>
      <c r="CJU40" s="19"/>
      <c r="CJV40" s="19"/>
      <c r="CJW40" s="19"/>
      <c r="CJX40" s="19"/>
      <c r="CJY40" s="19"/>
      <c r="CJZ40" s="19"/>
      <c r="CKA40" s="19"/>
      <c r="CKB40" s="19"/>
      <c r="CKC40" s="19"/>
      <c r="CKD40" s="19"/>
      <c r="CKE40" s="19"/>
      <c r="CKF40" s="19"/>
      <c r="CKG40" s="19"/>
      <c r="CKH40" s="19"/>
      <c r="CKI40" s="19"/>
      <c r="CKJ40" s="19"/>
      <c r="CKK40" s="19"/>
      <c r="CKL40" s="19"/>
      <c r="CKM40" s="19"/>
      <c r="CKN40" s="19"/>
      <c r="CKO40" s="19"/>
      <c r="CKP40" s="19"/>
      <c r="CKQ40" s="19"/>
      <c r="CKR40" s="19"/>
      <c r="CKS40" s="19"/>
      <c r="CKT40" s="19"/>
      <c r="CKU40" s="19"/>
      <c r="CKV40" s="19"/>
      <c r="CKW40" s="19"/>
      <c r="CKX40" s="19"/>
      <c r="CKY40" s="19"/>
      <c r="CKZ40" s="19"/>
      <c r="CLA40" s="19"/>
      <c r="CLB40" s="19"/>
      <c r="CLC40" s="19"/>
      <c r="CLD40" s="19"/>
      <c r="CLE40" s="19"/>
      <c r="CLF40" s="19"/>
      <c r="CLG40" s="19"/>
      <c r="CLH40" s="19"/>
      <c r="CLI40" s="19"/>
      <c r="CLJ40" s="19"/>
      <c r="CLK40" s="19"/>
      <c r="CLL40" s="19"/>
      <c r="CLM40" s="19"/>
      <c r="CLN40" s="19"/>
      <c r="CLO40" s="19"/>
      <c r="CLP40" s="19"/>
      <c r="CLQ40" s="19"/>
      <c r="CLR40" s="19"/>
      <c r="CLS40" s="19"/>
      <c r="CLT40" s="19"/>
      <c r="CLU40" s="19"/>
      <c r="CLV40" s="19"/>
      <c r="CLW40" s="19"/>
      <c r="CLX40" s="19"/>
      <c r="CLY40" s="19"/>
      <c r="CLZ40" s="19"/>
      <c r="CMA40" s="19"/>
      <c r="CMB40" s="19"/>
      <c r="CMC40" s="19"/>
      <c r="CMD40" s="19"/>
      <c r="CME40" s="19"/>
      <c r="CMF40" s="19"/>
      <c r="CMG40" s="19"/>
      <c r="CMH40" s="19"/>
      <c r="CMI40" s="19"/>
      <c r="CMJ40" s="19"/>
      <c r="CMK40" s="19"/>
      <c r="CML40" s="19"/>
      <c r="CMM40" s="19"/>
      <c r="CMN40" s="19"/>
      <c r="CMO40" s="19"/>
      <c r="CMP40" s="19"/>
      <c r="CMQ40" s="19"/>
      <c r="CMR40" s="19"/>
      <c r="CMS40" s="19"/>
      <c r="CMT40" s="19"/>
      <c r="CMU40" s="19"/>
      <c r="CMV40" s="19"/>
      <c r="CMW40" s="19"/>
      <c r="CMX40" s="19"/>
      <c r="CMY40" s="19"/>
      <c r="CMZ40" s="19"/>
      <c r="CNA40" s="19"/>
      <c r="CNB40" s="19"/>
      <c r="CNC40" s="19"/>
      <c r="CND40" s="19"/>
      <c r="CNE40" s="19"/>
      <c r="CNF40" s="19"/>
      <c r="CNG40" s="19"/>
      <c r="CNH40" s="19"/>
      <c r="CNI40" s="19"/>
      <c r="CNJ40" s="19"/>
      <c r="CNK40" s="19"/>
      <c r="CNL40" s="19"/>
      <c r="CNM40" s="19"/>
      <c r="CNN40" s="19"/>
      <c r="CNO40" s="19"/>
      <c r="CNP40" s="19"/>
      <c r="CNQ40" s="19"/>
      <c r="CNR40" s="19"/>
      <c r="CNS40" s="19"/>
      <c r="CNT40" s="19"/>
      <c r="CNU40" s="19"/>
      <c r="CNV40" s="19"/>
      <c r="CNW40" s="19"/>
      <c r="CNX40" s="19"/>
      <c r="CNY40" s="19"/>
      <c r="CNZ40" s="19"/>
      <c r="COA40" s="19"/>
      <c r="COB40" s="19"/>
      <c r="COC40" s="19"/>
      <c r="COD40" s="19"/>
      <c r="COE40" s="19"/>
      <c r="COF40" s="19"/>
      <c r="COG40" s="19"/>
      <c r="COH40" s="19"/>
      <c r="COI40" s="19"/>
      <c r="COJ40" s="19"/>
      <c r="COK40" s="19"/>
      <c r="COL40" s="19"/>
      <c r="COM40" s="19"/>
      <c r="CON40" s="19"/>
      <c r="COO40" s="19"/>
      <c r="COP40" s="19"/>
      <c r="COQ40" s="19"/>
      <c r="COR40" s="19"/>
      <c r="COS40" s="19"/>
      <c r="COT40" s="19"/>
      <c r="COU40" s="19"/>
      <c r="COV40" s="19"/>
      <c r="COW40" s="19"/>
      <c r="COX40" s="19"/>
      <c r="COY40" s="19"/>
      <c r="COZ40" s="19"/>
      <c r="CPA40" s="19"/>
      <c r="CPB40" s="19"/>
      <c r="CPC40" s="19"/>
      <c r="CPD40" s="19"/>
      <c r="CPE40" s="19"/>
      <c r="CPF40" s="19"/>
      <c r="CPG40" s="19"/>
      <c r="CPH40" s="19"/>
      <c r="CPI40" s="19"/>
      <c r="CPJ40" s="19"/>
      <c r="CPK40" s="19"/>
      <c r="CPL40" s="19"/>
      <c r="CPM40" s="19"/>
      <c r="CPN40" s="19"/>
      <c r="CPO40" s="19"/>
      <c r="CPP40" s="19"/>
      <c r="CPQ40" s="19"/>
      <c r="CPR40" s="19"/>
      <c r="CPS40" s="19"/>
      <c r="CPT40" s="19"/>
      <c r="CPU40" s="19"/>
      <c r="CPV40" s="19"/>
      <c r="CPW40" s="19"/>
      <c r="CPX40" s="19"/>
      <c r="CPY40" s="19"/>
      <c r="CPZ40" s="19"/>
      <c r="CQA40" s="19"/>
      <c r="CQB40" s="19"/>
      <c r="CQC40" s="19"/>
      <c r="CQD40" s="19"/>
      <c r="CQE40" s="19"/>
      <c r="CQF40" s="19"/>
      <c r="CQG40" s="19"/>
      <c r="CQH40" s="19"/>
      <c r="CQI40" s="19"/>
      <c r="CQJ40" s="19"/>
      <c r="CQK40" s="19"/>
      <c r="CQL40" s="19"/>
      <c r="CQM40" s="19"/>
      <c r="CQN40" s="19"/>
      <c r="CQO40" s="19"/>
      <c r="CQP40" s="19"/>
      <c r="CQQ40" s="19"/>
      <c r="CQR40" s="19"/>
      <c r="CQS40" s="19"/>
      <c r="CQT40" s="19"/>
      <c r="CQU40" s="19"/>
      <c r="CQV40" s="19"/>
      <c r="CQW40" s="19"/>
      <c r="CQX40" s="19"/>
      <c r="CQY40" s="19"/>
      <c r="CQZ40" s="19"/>
      <c r="CRA40" s="19"/>
      <c r="CRB40" s="19"/>
      <c r="CRC40" s="19"/>
      <c r="CRD40" s="19"/>
      <c r="CRE40" s="19"/>
      <c r="CRF40" s="19"/>
      <c r="CRG40" s="19"/>
      <c r="CRH40" s="19"/>
      <c r="CRI40" s="19"/>
      <c r="CRJ40" s="19"/>
      <c r="CRK40" s="19"/>
      <c r="CRL40" s="19"/>
      <c r="CRM40" s="19"/>
      <c r="CRN40" s="19"/>
      <c r="CRO40" s="19"/>
      <c r="CRP40" s="19"/>
      <c r="CRQ40" s="19"/>
      <c r="CRR40" s="19"/>
      <c r="CRS40" s="19"/>
      <c r="CRT40" s="19"/>
      <c r="CRU40" s="19"/>
      <c r="CRV40" s="19"/>
      <c r="CRW40" s="19"/>
      <c r="CRX40" s="19"/>
      <c r="CRY40" s="19"/>
      <c r="CRZ40" s="19"/>
      <c r="CSA40" s="19"/>
      <c r="CSB40" s="19"/>
      <c r="CSC40" s="19"/>
      <c r="CSD40" s="19"/>
      <c r="CSE40" s="19"/>
      <c r="CSF40" s="19"/>
      <c r="CSG40" s="19"/>
      <c r="CSH40" s="19"/>
      <c r="CSI40" s="19"/>
      <c r="CSJ40" s="19"/>
      <c r="CSK40" s="19"/>
      <c r="CSL40" s="19"/>
      <c r="CSM40" s="19"/>
      <c r="CSN40" s="19"/>
      <c r="CSO40" s="19"/>
      <c r="CSP40" s="19"/>
      <c r="CSQ40" s="19"/>
      <c r="CSR40" s="19"/>
      <c r="CSS40" s="19"/>
      <c r="CST40" s="19"/>
      <c r="CSU40" s="19"/>
      <c r="CSV40" s="19"/>
      <c r="CSW40" s="19"/>
      <c r="CSX40" s="19"/>
      <c r="CSY40" s="19"/>
      <c r="CSZ40" s="19"/>
      <c r="CTA40" s="19"/>
      <c r="CTB40" s="19"/>
      <c r="CTC40" s="19"/>
      <c r="CTD40" s="19"/>
      <c r="CTE40" s="19"/>
      <c r="CTF40" s="19"/>
      <c r="CTG40" s="19"/>
      <c r="CTH40" s="19"/>
      <c r="CTI40" s="19"/>
      <c r="CTJ40" s="19"/>
      <c r="CTK40" s="19"/>
      <c r="CTL40" s="19"/>
      <c r="CTM40" s="19"/>
      <c r="CTN40" s="19"/>
      <c r="CTO40" s="19"/>
      <c r="CTP40" s="19"/>
      <c r="CTQ40" s="19"/>
      <c r="CTR40" s="19"/>
      <c r="CTS40" s="19"/>
      <c r="CTT40" s="19"/>
      <c r="CTU40" s="19"/>
      <c r="CTV40" s="19"/>
      <c r="CTW40" s="19"/>
      <c r="CTX40" s="19"/>
      <c r="CTY40" s="19"/>
      <c r="CTZ40" s="19"/>
      <c r="CUA40" s="19"/>
      <c r="CUB40" s="19"/>
      <c r="CUC40" s="19"/>
      <c r="CUD40" s="19"/>
      <c r="CUE40" s="19"/>
      <c r="CUF40" s="19"/>
      <c r="CUG40" s="19"/>
      <c r="CUH40" s="19"/>
      <c r="CUI40" s="19"/>
      <c r="CUJ40" s="19"/>
      <c r="CUK40" s="19"/>
      <c r="CUL40" s="19"/>
      <c r="CUM40" s="19"/>
      <c r="CUN40" s="19"/>
      <c r="CUO40" s="19"/>
      <c r="CUP40" s="19"/>
      <c r="CUQ40" s="19"/>
      <c r="CUR40" s="19"/>
      <c r="CUS40" s="19"/>
      <c r="CUT40" s="19"/>
      <c r="CUU40" s="19"/>
      <c r="CUV40" s="19"/>
      <c r="CUW40" s="19"/>
      <c r="CUX40" s="19"/>
      <c r="CUY40" s="19"/>
      <c r="CUZ40" s="19"/>
      <c r="CVA40" s="19"/>
      <c r="CVB40" s="19"/>
      <c r="CVC40" s="19"/>
      <c r="CVD40" s="19"/>
      <c r="CVE40" s="19"/>
      <c r="CVF40" s="19"/>
      <c r="CVG40" s="19"/>
      <c r="CVH40" s="19"/>
      <c r="CVI40" s="19"/>
      <c r="CVJ40" s="19"/>
      <c r="CVK40" s="19"/>
      <c r="CVL40" s="19"/>
      <c r="CVM40" s="19"/>
      <c r="CVN40" s="19"/>
      <c r="CVO40" s="19"/>
      <c r="CVP40" s="19"/>
      <c r="CVQ40" s="19"/>
      <c r="CVR40" s="19"/>
      <c r="CVS40" s="19"/>
      <c r="CVT40" s="19"/>
      <c r="CVU40" s="19"/>
      <c r="CVV40" s="19"/>
      <c r="CVW40" s="19"/>
      <c r="CVX40" s="19"/>
      <c r="CVY40" s="19"/>
      <c r="CVZ40" s="19"/>
      <c r="CWA40" s="19"/>
      <c r="CWB40" s="19"/>
      <c r="CWC40" s="19"/>
      <c r="CWD40" s="19"/>
      <c r="CWE40" s="19"/>
      <c r="CWF40" s="19"/>
      <c r="CWG40" s="19"/>
      <c r="CWH40" s="19"/>
      <c r="CWI40" s="19"/>
      <c r="CWJ40" s="19"/>
      <c r="CWK40" s="19"/>
      <c r="CWL40" s="19"/>
      <c r="CWM40" s="19"/>
      <c r="CWN40" s="19"/>
      <c r="CWO40" s="19"/>
      <c r="CWP40" s="19"/>
      <c r="CWQ40" s="19"/>
      <c r="CWR40" s="19"/>
      <c r="CWS40" s="19"/>
      <c r="CWT40" s="19"/>
      <c r="CWU40" s="19"/>
      <c r="CWV40" s="19"/>
      <c r="CWW40" s="19"/>
      <c r="CWX40" s="19"/>
      <c r="CWY40" s="19"/>
      <c r="CWZ40" s="19"/>
      <c r="CXA40" s="19"/>
      <c r="CXB40" s="19"/>
      <c r="CXC40" s="19"/>
      <c r="CXD40" s="19"/>
      <c r="CXE40" s="19"/>
      <c r="CXF40" s="19"/>
      <c r="CXG40" s="19"/>
      <c r="CXH40" s="19"/>
      <c r="CXI40" s="19"/>
      <c r="CXJ40" s="19"/>
      <c r="CXK40" s="19"/>
      <c r="CXL40" s="19"/>
      <c r="CXM40" s="19"/>
      <c r="CXN40" s="19"/>
      <c r="CXO40" s="19"/>
      <c r="CXP40" s="19"/>
      <c r="CXQ40" s="19"/>
      <c r="CXR40" s="19"/>
      <c r="CXS40" s="19"/>
      <c r="CXT40" s="19"/>
      <c r="CXU40" s="19"/>
      <c r="CXV40" s="19"/>
      <c r="CXW40" s="19"/>
      <c r="CXX40" s="19"/>
      <c r="CXY40" s="19"/>
      <c r="CXZ40" s="19"/>
      <c r="CYA40" s="19"/>
      <c r="CYB40" s="19"/>
      <c r="CYC40" s="19"/>
      <c r="CYD40" s="19"/>
      <c r="CYE40" s="19"/>
      <c r="CYF40" s="19"/>
      <c r="CYG40" s="19"/>
      <c r="CYH40" s="19"/>
      <c r="CYI40" s="19"/>
      <c r="CYJ40" s="19"/>
      <c r="CYK40" s="19"/>
      <c r="CYL40" s="19"/>
      <c r="CYM40" s="19"/>
      <c r="CYN40" s="19"/>
      <c r="CYO40" s="19"/>
      <c r="CYP40" s="19"/>
      <c r="CYQ40" s="19"/>
      <c r="CYR40" s="19"/>
      <c r="CYS40" s="19"/>
      <c r="CYT40" s="19"/>
      <c r="CYU40" s="19"/>
      <c r="CYV40" s="19"/>
      <c r="CYW40" s="19"/>
      <c r="CYX40" s="19"/>
      <c r="CYY40" s="19"/>
      <c r="CYZ40" s="19"/>
      <c r="CZA40" s="19"/>
      <c r="CZB40" s="19"/>
      <c r="CZC40" s="19"/>
      <c r="CZD40" s="19"/>
      <c r="CZE40" s="19"/>
      <c r="CZF40" s="19"/>
      <c r="CZG40" s="19"/>
      <c r="CZH40" s="19"/>
      <c r="CZI40" s="19"/>
      <c r="CZJ40" s="19"/>
      <c r="CZK40" s="19"/>
      <c r="CZL40" s="19"/>
      <c r="CZM40" s="19"/>
      <c r="CZN40" s="19"/>
      <c r="CZO40" s="19"/>
      <c r="CZP40" s="19"/>
      <c r="CZQ40" s="19"/>
      <c r="CZR40" s="19"/>
      <c r="CZS40" s="19"/>
      <c r="CZT40" s="19"/>
      <c r="CZU40" s="19"/>
      <c r="CZV40" s="19"/>
      <c r="CZW40" s="19"/>
      <c r="CZX40" s="19"/>
      <c r="CZY40" s="19"/>
      <c r="CZZ40" s="19"/>
      <c r="DAA40" s="19"/>
      <c r="DAB40" s="19"/>
      <c r="DAC40" s="19"/>
      <c r="DAD40" s="19"/>
      <c r="DAE40" s="19"/>
      <c r="DAF40" s="19"/>
      <c r="DAG40" s="19"/>
      <c r="DAH40" s="19"/>
      <c r="DAI40" s="19"/>
      <c r="DAJ40" s="19"/>
      <c r="DAK40" s="19"/>
      <c r="DAL40" s="19"/>
      <c r="DAM40" s="19"/>
      <c r="DAN40" s="19"/>
      <c r="DAO40" s="19"/>
      <c r="DAP40" s="19"/>
      <c r="DAQ40" s="19"/>
      <c r="DAR40" s="19"/>
      <c r="DAS40" s="19"/>
      <c r="DAT40" s="19"/>
      <c r="DAU40" s="19"/>
      <c r="DAV40" s="19"/>
      <c r="DAW40" s="19"/>
      <c r="DAX40" s="19"/>
      <c r="DAY40" s="19"/>
      <c r="DAZ40" s="19"/>
      <c r="DBA40" s="19"/>
      <c r="DBB40" s="19"/>
      <c r="DBC40" s="19"/>
      <c r="DBD40" s="19"/>
      <c r="DBE40" s="19"/>
      <c r="DBF40" s="19"/>
      <c r="DBG40" s="19"/>
      <c r="DBH40" s="19"/>
      <c r="DBI40" s="19"/>
      <c r="DBJ40" s="19"/>
      <c r="DBK40" s="19"/>
      <c r="DBL40" s="19"/>
      <c r="DBM40" s="19"/>
      <c r="DBN40" s="19"/>
      <c r="DBO40" s="19"/>
      <c r="DBP40" s="19"/>
      <c r="DBQ40" s="19"/>
      <c r="DBR40" s="19"/>
      <c r="DBS40" s="19"/>
      <c r="DBT40" s="19"/>
      <c r="DBU40" s="19"/>
      <c r="DBV40" s="19"/>
      <c r="DBW40" s="19"/>
      <c r="DBX40" s="19"/>
      <c r="DBY40" s="19"/>
      <c r="DBZ40" s="19"/>
      <c r="DCA40" s="19"/>
      <c r="DCB40" s="19"/>
      <c r="DCC40" s="19"/>
      <c r="DCD40" s="19"/>
      <c r="DCE40" s="19"/>
      <c r="DCF40" s="19"/>
      <c r="DCG40" s="19"/>
      <c r="DCH40" s="19"/>
      <c r="DCI40" s="19"/>
      <c r="DCJ40" s="19"/>
      <c r="DCK40" s="19"/>
      <c r="DCL40" s="19"/>
      <c r="DCM40" s="19"/>
      <c r="DCN40" s="19"/>
      <c r="DCO40" s="19"/>
      <c r="DCP40" s="19"/>
      <c r="DCQ40" s="19"/>
      <c r="DCR40" s="19"/>
      <c r="DCS40" s="19"/>
      <c r="DCT40" s="19"/>
      <c r="DCU40" s="19"/>
      <c r="DCV40" s="19"/>
      <c r="DCW40" s="19"/>
      <c r="DCX40" s="19"/>
      <c r="DCY40" s="19"/>
      <c r="DCZ40" s="19"/>
      <c r="DDA40" s="19"/>
      <c r="DDB40" s="19"/>
      <c r="DDC40" s="19"/>
      <c r="DDD40" s="19"/>
      <c r="DDE40" s="19"/>
      <c r="DDF40" s="19"/>
      <c r="DDG40" s="19"/>
      <c r="DDH40" s="19"/>
      <c r="DDI40" s="19"/>
      <c r="DDJ40" s="19"/>
      <c r="DDK40" s="19"/>
      <c r="DDL40" s="19"/>
      <c r="DDM40" s="19"/>
      <c r="DDN40" s="19"/>
      <c r="DDO40" s="19"/>
      <c r="DDP40" s="19"/>
      <c r="DDQ40" s="19"/>
      <c r="DDR40" s="19"/>
      <c r="DDS40" s="19"/>
      <c r="DDT40" s="19"/>
      <c r="DDU40" s="19"/>
      <c r="DDV40" s="19"/>
      <c r="DDW40" s="19"/>
      <c r="DDX40" s="19"/>
      <c r="DDY40" s="19"/>
      <c r="DDZ40" s="19"/>
      <c r="DEA40" s="19"/>
      <c r="DEB40" s="19"/>
      <c r="DEC40" s="19"/>
      <c r="DED40" s="19"/>
      <c r="DEE40" s="19"/>
      <c r="DEF40" s="19"/>
      <c r="DEG40" s="19"/>
      <c r="DEH40" s="19"/>
      <c r="DEI40" s="19"/>
      <c r="DEJ40" s="19"/>
      <c r="DEK40" s="19"/>
      <c r="DEL40" s="19"/>
      <c r="DEM40" s="19"/>
      <c r="DEN40" s="19"/>
      <c r="DEO40" s="19"/>
      <c r="DEP40" s="19"/>
      <c r="DEQ40" s="19"/>
      <c r="DER40" s="19"/>
      <c r="DES40" s="19"/>
      <c r="DET40" s="19"/>
      <c r="DEU40" s="19"/>
      <c r="DEV40" s="19"/>
      <c r="DEW40" s="19"/>
      <c r="DEX40" s="19"/>
      <c r="DEY40" s="19"/>
      <c r="DEZ40" s="19"/>
      <c r="DFA40" s="19"/>
      <c r="DFB40" s="19"/>
      <c r="DFC40" s="19"/>
      <c r="DFD40" s="19"/>
      <c r="DFE40" s="19"/>
      <c r="DFF40" s="19"/>
      <c r="DFG40" s="19"/>
      <c r="DFH40" s="19"/>
      <c r="DFI40" s="19"/>
      <c r="DFJ40" s="19"/>
      <c r="DFK40" s="19"/>
      <c r="DFL40" s="19"/>
      <c r="DFM40" s="19"/>
      <c r="DFN40" s="19"/>
      <c r="DFO40" s="19"/>
      <c r="DFP40" s="19"/>
      <c r="DFQ40" s="19"/>
      <c r="DFR40" s="19"/>
      <c r="DFS40" s="19"/>
      <c r="DFT40" s="19"/>
      <c r="DFU40" s="19"/>
      <c r="DFV40" s="19"/>
      <c r="DFW40" s="19"/>
      <c r="DFX40" s="19"/>
      <c r="DFY40" s="19"/>
      <c r="DFZ40" s="19"/>
      <c r="DGA40" s="19"/>
      <c r="DGB40" s="19"/>
      <c r="DGC40" s="19"/>
      <c r="DGD40" s="19"/>
      <c r="DGE40" s="19"/>
      <c r="DGF40" s="19"/>
      <c r="DGG40" s="19"/>
      <c r="DGH40" s="19"/>
      <c r="DGI40" s="19"/>
      <c r="DGJ40" s="19"/>
      <c r="DGK40" s="19"/>
      <c r="DGL40" s="19"/>
      <c r="DGM40" s="19"/>
      <c r="DGN40" s="19"/>
      <c r="DGO40" s="19"/>
      <c r="DGP40" s="19"/>
      <c r="DGQ40" s="19"/>
      <c r="DGR40" s="19"/>
      <c r="DGS40" s="19"/>
      <c r="DGT40" s="19"/>
      <c r="DGU40" s="19"/>
      <c r="DGV40" s="19"/>
      <c r="DGW40" s="19"/>
      <c r="DGX40" s="19"/>
      <c r="DGY40" s="19"/>
      <c r="DGZ40" s="19"/>
      <c r="DHA40" s="19"/>
      <c r="DHB40" s="19"/>
      <c r="DHC40" s="19"/>
      <c r="DHD40" s="19"/>
      <c r="DHE40" s="19"/>
      <c r="DHF40" s="19"/>
      <c r="DHG40" s="19"/>
      <c r="DHH40" s="19"/>
      <c r="DHI40" s="19"/>
      <c r="DHJ40" s="19"/>
      <c r="DHK40" s="19"/>
      <c r="DHL40" s="19"/>
      <c r="DHM40" s="19"/>
      <c r="DHN40" s="19"/>
      <c r="DHO40" s="19"/>
      <c r="DHP40" s="19"/>
      <c r="DHQ40" s="19"/>
      <c r="DHR40" s="19"/>
      <c r="DHS40" s="19"/>
      <c r="DHT40" s="19"/>
      <c r="DHU40" s="19"/>
      <c r="DHV40" s="19"/>
      <c r="DHW40" s="19"/>
      <c r="DHX40" s="19"/>
      <c r="DHY40" s="19"/>
      <c r="DHZ40" s="19"/>
      <c r="DIA40" s="19"/>
      <c r="DIB40" s="19"/>
      <c r="DIC40" s="19"/>
      <c r="DID40" s="19"/>
      <c r="DIE40" s="19"/>
      <c r="DIF40" s="19"/>
      <c r="DIG40" s="19"/>
      <c r="DIH40" s="19"/>
      <c r="DII40" s="19"/>
      <c r="DIJ40" s="19"/>
      <c r="DIK40" s="19"/>
      <c r="DIL40" s="19"/>
      <c r="DIM40" s="19"/>
      <c r="DIN40" s="19"/>
      <c r="DIO40" s="19"/>
      <c r="DIP40" s="19"/>
      <c r="DIQ40" s="19"/>
      <c r="DIR40" s="19"/>
      <c r="DIS40" s="19"/>
      <c r="DIT40" s="19"/>
      <c r="DIU40" s="19"/>
      <c r="DIV40" s="19"/>
      <c r="DIW40" s="19"/>
      <c r="DIX40" s="19"/>
      <c r="DIY40" s="19"/>
      <c r="DIZ40" s="19"/>
      <c r="DJA40" s="19"/>
      <c r="DJB40" s="19"/>
      <c r="DJC40" s="19"/>
      <c r="DJD40" s="19"/>
      <c r="DJE40" s="19"/>
      <c r="DJF40" s="19"/>
      <c r="DJG40" s="19"/>
      <c r="DJH40" s="19"/>
      <c r="DJI40" s="19"/>
      <c r="DJJ40" s="19"/>
      <c r="DJK40" s="19"/>
      <c r="DJL40" s="19"/>
      <c r="DJM40" s="19"/>
      <c r="DJN40" s="19"/>
      <c r="DJO40" s="19"/>
      <c r="DJP40" s="19"/>
      <c r="DJQ40" s="19"/>
      <c r="DJR40" s="19"/>
      <c r="DJS40" s="19"/>
      <c r="DJT40" s="19"/>
      <c r="DJU40" s="19"/>
      <c r="DJV40" s="19"/>
      <c r="DJW40" s="19"/>
      <c r="DJX40" s="19"/>
      <c r="DJY40" s="19"/>
      <c r="DJZ40" s="19"/>
      <c r="DKA40" s="19"/>
      <c r="DKB40" s="19"/>
      <c r="DKC40" s="19"/>
      <c r="DKD40" s="19"/>
      <c r="DKE40" s="19"/>
      <c r="DKF40" s="19"/>
      <c r="DKG40" s="19"/>
      <c r="DKH40" s="19"/>
      <c r="DKI40" s="19"/>
      <c r="DKJ40" s="19"/>
      <c r="DKK40" s="19"/>
      <c r="DKL40" s="19"/>
      <c r="DKM40" s="19"/>
      <c r="DKN40" s="19"/>
      <c r="DKO40" s="19"/>
      <c r="DKP40" s="19"/>
      <c r="DKQ40" s="19"/>
      <c r="DKR40" s="19"/>
      <c r="DKS40" s="19"/>
      <c r="DKT40" s="19"/>
      <c r="DKU40" s="19"/>
      <c r="DKV40" s="19"/>
      <c r="DKW40" s="19"/>
      <c r="DKX40" s="19"/>
      <c r="DKY40" s="19"/>
      <c r="DKZ40" s="19"/>
      <c r="DLA40" s="19"/>
      <c r="DLB40" s="19"/>
      <c r="DLC40" s="19"/>
      <c r="DLD40" s="19"/>
      <c r="DLE40" s="19"/>
      <c r="DLF40" s="19"/>
      <c r="DLG40" s="19"/>
      <c r="DLH40" s="19"/>
      <c r="DLI40" s="19"/>
      <c r="DLJ40" s="19"/>
      <c r="DLK40" s="19"/>
      <c r="DLL40" s="19"/>
      <c r="DLM40" s="19"/>
      <c r="DLN40" s="19"/>
      <c r="DLO40" s="19"/>
      <c r="DLP40" s="19"/>
      <c r="DLQ40" s="19"/>
      <c r="DLR40" s="19"/>
      <c r="DLS40" s="19"/>
      <c r="DLT40" s="19"/>
      <c r="DLU40" s="19"/>
      <c r="DLV40" s="19"/>
      <c r="DLW40" s="19"/>
      <c r="DLX40" s="19"/>
      <c r="DLY40" s="19"/>
      <c r="DLZ40" s="19"/>
      <c r="DMA40" s="19"/>
      <c r="DMB40" s="19"/>
      <c r="DMC40" s="19"/>
      <c r="DMD40" s="19"/>
      <c r="DME40" s="19"/>
      <c r="DMF40" s="19"/>
      <c r="DMG40" s="19"/>
      <c r="DMH40" s="19"/>
      <c r="DMI40" s="19"/>
      <c r="DMJ40" s="19"/>
      <c r="DMK40" s="19"/>
      <c r="DML40" s="19"/>
      <c r="DMM40" s="19"/>
      <c r="DMN40" s="19"/>
      <c r="DMO40" s="19"/>
      <c r="DMP40" s="19"/>
      <c r="DMQ40" s="19"/>
      <c r="DMR40" s="19"/>
      <c r="DMS40" s="19"/>
      <c r="DMT40" s="19"/>
      <c r="DMU40" s="19"/>
      <c r="DMV40" s="19"/>
      <c r="DMW40" s="19"/>
      <c r="DMX40" s="19"/>
      <c r="DMY40" s="19"/>
      <c r="DMZ40" s="19"/>
      <c r="DNA40" s="19"/>
      <c r="DNB40" s="19"/>
      <c r="DNC40" s="19"/>
      <c r="DND40" s="19"/>
      <c r="DNE40" s="19"/>
      <c r="DNF40" s="19"/>
      <c r="DNG40" s="19"/>
      <c r="DNH40" s="19"/>
      <c r="DNI40" s="19"/>
      <c r="DNJ40" s="19"/>
      <c r="DNK40" s="19"/>
      <c r="DNL40" s="19"/>
      <c r="DNM40" s="19"/>
      <c r="DNN40" s="19"/>
      <c r="DNO40" s="19"/>
      <c r="DNP40" s="19"/>
      <c r="DNQ40" s="19"/>
      <c r="DNR40" s="19"/>
      <c r="DNS40" s="19"/>
      <c r="DNT40" s="19"/>
      <c r="DNU40" s="19"/>
      <c r="DNV40" s="19"/>
      <c r="DNW40" s="19"/>
      <c r="DNX40" s="19"/>
      <c r="DNY40" s="19"/>
      <c r="DNZ40" s="19"/>
      <c r="DOA40" s="19"/>
      <c r="DOB40" s="19"/>
      <c r="DOC40" s="19"/>
      <c r="DOD40" s="19"/>
      <c r="DOE40" s="19"/>
      <c r="DOF40" s="19"/>
      <c r="DOG40" s="19"/>
      <c r="DOH40" s="19"/>
      <c r="DOI40" s="19"/>
      <c r="DOJ40" s="19"/>
      <c r="DOK40" s="19"/>
      <c r="DOL40" s="19"/>
      <c r="DOM40" s="19"/>
      <c r="DON40" s="19"/>
      <c r="DOO40" s="19"/>
      <c r="DOP40" s="19"/>
      <c r="DOQ40" s="19"/>
      <c r="DOR40" s="19"/>
      <c r="DOS40" s="19"/>
      <c r="DOT40" s="19"/>
      <c r="DOU40" s="19"/>
      <c r="DOV40" s="19"/>
      <c r="DOW40" s="19"/>
      <c r="DOX40" s="19"/>
      <c r="DOY40" s="19"/>
      <c r="DOZ40" s="19"/>
      <c r="DPA40" s="19"/>
      <c r="DPB40" s="19"/>
      <c r="DPC40" s="19"/>
      <c r="DPD40" s="19"/>
      <c r="DPE40" s="19"/>
      <c r="DPF40" s="19"/>
      <c r="DPG40" s="19"/>
      <c r="DPH40" s="19"/>
      <c r="DPI40" s="19"/>
      <c r="DPJ40" s="19"/>
      <c r="DPK40" s="19"/>
      <c r="DPL40" s="19"/>
      <c r="DPM40" s="19"/>
      <c r="DPN40" s="19"/>
      <c r="DPO40" s="19"/>
      <c r="DPP40" s="19"/>
      <c r="DPQ40" s="19"/>
      <c r="DPR40" s="19"/>
      <c r="DPS40" s="19"/>
      <c r="DPT40" s="19"/>
      <c r="DPU40" s="19"/>
      <c r="DPV40" s="19"/>
      <c r="DPW40" s="19"/>
      <c r="DPX40" s="19"/>
      <c r="DPY40" s="19"/>
      <c r="DPZ40" s="19"/>
      <c r="DQA40" s="19"/>
      <c r="DQB40" s="19"/>
      <c r="DQC40" s="19"/>
      <c r="DQD40" s="19"/>
      <c r="DQE40" s="19"/>
      <c r="DQF40" s="19"/>
      <c r="DQG40" s="19"/>
      <c r="DQH40" s="19"/>
      <c r="DQI40" s="19"/>
      <c r="DQJ40" s="19"/>
      <c r="DQK40" s="19"/>
      <c r="DQL40" s="19"/>
      <c r="DQM40" s="19"/>
      <c r="DQN40" s="19"/>
      <c r="DQO40" s="19"/>
      <c r="DQP40" s="19"/>
      <c r="DQQ40" s="19"/>
      <c r="DQR40" s="19"/>
      <c r="DQS40" s="19"/>
      <c r="DQT40" s="19"/>
      <c r="DQU40" s="19"/>
      <c r="DQV40" s="19"/>
      <c r="DQW40" s="19"/>
      <c r="DQX40" s="19"/>
      <c r="DQY40" s="19"/>
      <c r="DQZ40" s="19"/>
      <c r="DRA40" s="19"/>
      <c r="DRB40" s="19"/>
      <c r="DRC40" s="19"/>
      <c r="DRD40" s="19"/>
      <c r="DRE40" s="19"/>
      <c r="DRF40" s="19"/>
      <c r="DRG40" s="19"/>
      <c r="DRH40" s="19"/>
      <c r="DRI40" s="19"/>
      <c r="DRJ40" s="19"/>
      <c r="DRK40" s="19"/>
      <c r="DRL40" s="19"/>
      <c r="DRM40" s="19"/>
      <c r="DRN40" s="19"/>
      <c r="DRO40" s="19"/>
      <c r="DRP40" s="19"/>
      <c r="DRQ40" s="19"/>
      <c r="DRR40" s="19"/>
      <c r="DRS40" s="19"/>
      <c r="DRT40" s="19"/>
      <c r="DRU40" s="19"/>
      <c r="DRV40" s="19"/>
      <c r="DRW40" s="19"/>
      <c r="DRX40" s="19"/>
      <c r="DRY40" s="19"/>
      <c r="DRZ40" s="19"/>
      <c r="DSA40" s="19"/>
      <c r="DSB40" s="19"/>
      <c r="DSC40" s="19"/>
      <c r="DSD40" s="19"/>
      <c r="DSE40" s="19"/>
      <c r="DSF40" s="19"/>
      <c r="DSG40" s="19"/>
      <c r="DSH40" s="19"/>
      <c r="DSI40" s="19"/>
      <c r="DSJ40" s="19"/>
      <c r="DSK40" s="19"/>
      <c r="DSL40" s="19"/>
      <c r="DSM40" s="19"/>
      <c r="DSN40" s="19"/>
      <c r="DSO40" s="19"/>
      <c r="DSP40" s="19"/>
      <c r="DSQ40" s="19"/>
      <c r="DSR40" s="19"/>
      <c r="DSS40" s="19"/>
      <c r="DST40" s="19"/>
      <c r="DSU40" s="19"/>
      <c r="DSV40" s="19"/>
      <c r="DSW40" s="19"/>
      <c r="DSX40" s="19"/>
      <c r="DSY40" s="19"/>
      <c r="DSZ40" s="19"/>
      <c r="DTA40" s="19"/>
      <c r="DTB40" s="19"/>
      <c r="DTC40" s="19"/>
      <c r="DTD40" s="19"/>
      <c r="DTE40" s="19"/>
      <c r="DTF40" s="19"/>
      <c r="DTG40" s="19"/>
      <c r="DTH40" s="19"/>
      <c r="DTI40" s="19"/>
      <c r="DTJ40" s="19"/>
      <c r="DTK40" s="19"/>
      <c r="DTL40" s="19"/>
      <c r="DTM40" s="19"/>
      <c r="DTN40" s="19"/>
      <c r="DTO40" s="19"/>
      <c r="DTP40" s="19"/>
      <c r="DTQ40" s="19"/>
      <c r="DTR40" s="19"/>
      <c r="DTS40" s="19"/>
      <c r="DTT40" s="19"/>
      <c r="DTU40" s="19"/>
      <c r="DTV40" s="19"/>
      <c r="DTW40" s="19"/>
      <c r="DTX40" s="19"/>
      <c r="DTY40" s="19"/>
      <c r="DTZ40" s="19"/>
      <c r="DUA40" s="19"/>
      <c r="DUB40" s="19"/>
      <c r="DUC40" s="19"/>
      <c r="DUD40" s="19"/>
      <c r="DUE40" s="19"/>
      <c r="DUF40" s="19"/>
      <c r="DUG40" s="19"/>
      <c r="DUH40" s="19"/>
      <c r="DUI40" s="19"/>
      <c r="DUJ40" s="19"/>
      <c r="DUK40" s="19"/>
      <c r="DUL40" s="19"/>
      <c r="DUM40" s="19"/>
      <c r="DUN40" s="19"/>
      <c r="DUO40" s="19"/>
      <c r="DUP40" s="19"/>
      <c r="DUQ40" s="19"/>
      <c r="DUR40" s="19"/>
      <c r="DUS40" s="19"/>
      <c r="DUT40" s="19"/>
      <c r="DUU40" s="19"/>
      <c r="DUV40" s="19"/>
      <c r="DUW40" s="19"/>
      <c r="DUX40" s="19"/>
      <c r="DUY40" s="19"/>
      <c r="DUZ40" s="19"/>
      <c r="DVA40" s="19"/>
      <c r="DVB40" s="19"/>
      <c r="DVC40" s="19"/>
      <c r="DVD40" s="19"/>
      <c r="DVE40" s="19"/>
      <c r="DVF40" s="19"/>
      <c r="DVG40" s="19"/>
      <c r="DVH40" s="19"/>
      <c r="DVI40" s="19"/>
      <c r="DVJ40" s="19"/>
      <c r="DVK40" s="19"/>
      <c r="DVL40" s="19"/>
      <c r="DVM40" s="19"/>
      <c r="DVN40" s="19"/>
      <c r="DVO40" s="19"/>
      <c r="DVP40" s="19"/>
      <c r="DVQ40" s="19"/>
      <c r="DVR40" s="19"/>
      <c r="DVS40" s="19"/>
      <c r="DVT40" s="19"/>
      <c r="DVU40" s="19"/>
      <c r="DVV40" s="19"/>
      <c r="DVW40" s="19"/>
      <c r="DVX40" s="19"/>
      <c r="DVY40" s="19"/>
      <c r="DVZ40" s="19"/>
      <c r="DWA40" s="19"/>
      <c r="DWB40" s="19"/>
      <c r="DWC40" s="19"/>
      <c r="DWD40" s="19"/>
      <c r="DWE40" s="19"/>
      <c r="DWF40" s="19"/>
      <c r="DWG40" s="19"/>
      <c r="DWH40" s="19"/>
      <c r="DWI40" s="19"/>
      <c r="DWJ40" s="19"/>
      <c r="DWK40" s="19"/>
      <c r="DWL40" s="19"/>
      <c r="DWM40" s="19"/>
      <c r="DWN40" s="19"/>
      <c r="DWO40" s="19"/>
      <c r="DWP40" s="19"/>
      <c r="DWQ40" s="19"/>
      <c r="DWR40" s="19"/>
      <c r="DWS40" s="19"/>
      <c r="DWT40" s="19"/>
      <c r="DWU40" s="19"/>
      <c r="DWV40" s="19"/>
      <c r="DWW40" s="19"/>
      <c r="DWX40" s="19"/>
      <c r="DWY40" s="19"/>
      <c r="DWZ40" s="19"/>
      <c r="DXA40" s="19"/>
      <c r="DXB40" s="19"/>
      <c r="DXC40" s="19"/>
      <c r="DXD40" s="19"/>
      <c r="DXE40" s="19"/>
      <c r="DXF40" s="19"/>
      <c r="DXG40" s="19"/>
      <c r="DXH40" s="19"/>
      <c r="DXI40" s="19"/>
      <c r="DXJ40" s="19"/>
      <c r="DXK40" s="19"/>
      <c r="DXL40" s="19"/>
      <c r="DXM40" s="19"/>
      <c r="DXN40" s="19"/>
      <c r="DXO40" s="19"/>
      <c r="DXP40" s="19"/>
      <c r="DXQ40" s="19"/>
      <c r="DXR40" s="19"/>
      <c r="DXS40" s="19"/>
      <c r="DXT40" s="19"/>
      <c r="DXU40" s="19"/>
      <c r="DXV40" s="19"/>
      <c r="DXW40" s="19"/>
      <c r="DXX40" s="19"/>
      <c r="DXY40" s="19"/>
      <c r="DXZ40" s="19"/>
      <c r="DYA40" s="19"/>
      <c r="DYB40" s="19"/>
      <c r="DYC40" s="19"/>
      <c r="DYD40" s="19"/>
      <c r="DYE40" s="19"/>
      <c r="DYF40" s="19"/>
      <c r="DYG40" s="19"/>
      <c r="DYH40" s="19"/>
      <c r="DYI40" s="19"/>
      <c r="DYJ40" s="19"/>
      <c r="DYK40" s="19"/>
      <c r="DYL40" s="19"/>
      <c r="DYM40" s="19"/>
      <c r="DYN40" s="19"/>
      <c r="DYO40" s="19"/>
      <c r="DYP40" s="19"/>
      <c r="DYQ40" s="19"/>
      <c r="DYR40" s="19"/>
      <c r="DYS40" s="19"/>
      <c r="DYT40" s="19"/>
      <c r="DYU40" s="19"/>
      <c r="DYV40" s="19"/>
      <c r="DYW40" s="19"/>
      <c r="DYX40" s="19"/>
      <c r="DYY40" s="19"/>
      <c r="DYZ40" s="19"/>
      <c r="DZA40" s="19"/>
      <c r="DZB40" s="19"/>
      <c r="DZC40" s="19"/>
      <c r="DZD40" s="19"/>
      <c r="DZE40" s="19"/>
      <c r="DZF40" s="19"/>
      <c r="DZG40" s="19"/>
      <c r="DZH40" s="19"/>
      <c r="DZI40" s="19"/>
      <c r="DZJ40" s="19"/>
      <c r="DZK40" s="19"/>
      <c r="DZL40" s="19"/>
      <c r="DZM40" s="19"/>
      <c r="DZN40" s="19"/>
      <c r="DZO40" s="19"/>
      <c r="DZP40" s="19"/>
      <c r="DZQ40" s="19"/>
      <c r="DZR40" s="19"/>
      <c r="DZS40" s="19"/>
      <c r="DZT40" s="19"/>
      <c r="DZU40" s="19"/>
      <c r="DZV40" s="19"/>
      <c r="DZW40" s="19"/>
      <c r="DZX40" s="19"/>
      <c r="DZY40" s="19"/>
      <c r="DZZ40" s="19"/>
      <c r="EAA40" s="19"/>
      <c r="EAB40" s="19"/>
      <c r="EAC40" s="19"/>
      <c r="EAD40" s="19"/>
      <c r="EAE40" s="19"/>
      <c r="EAF40" s="19"/>
      <c r="EAG40" s="19"/>
      <c r="EAH40" s="19"/>
      <c r="EAI40" s="19"/>
      <c r="EAJ40" s="19"/>
      <c r="EAK40" s="19"/>
      <c r="EAL40" s="19"/>
      <c r="EAM40" s="19"/>
      <c r="EAN40" s="19"/>
      <c r="EAO40" s="19"/>
      <c r="EAP40" s="19"/>
      <c r="EAQ40" s="19"/>
      <c r="EAR40" s="19"/>
      <c r="EAS40" s="19"/>
      <c r="EAT40" s="19"/>
      <c r="EAU40" s="19"/>
      <c r="EAV40" s="19"/>
      <c r="EAW40" s="19"/>
      <c r="EAX40" s="19"/>
      <c r="EAY40" s="19"/>
      <c r="EAZ40" s="19"/>
      <c r="EBA40" s="19"/>
      <c r="EBB40" s="19"/>
      <c r="EBC40" s="19"/>
      <c r="EBD40" s="19"/>
      <c r="EBE40" s="19"/>
      <c r="EBF40" s="19"/>
      <c r="EBG40" s="19"/>
      <c r="EBH40" s="19"/>
      <c r="EBI40" s="19"/>
      <c r="EBJ40" s="19"/>
      <c r="EBK40" s="19"/>
      <c r="EBL40" s="19"/>
      <c r="EBM40" s="19"/>
      <c r="EBN40" s="19"/>
      <c r="EBO40" s="19"/>
      <c r="EBP40" s="19"/>
      <c r="EBQ40" s="19"/>
      <c r="EBR40" s="19"/>
      <c r="EBS40" s="19"/>
      <c r="EBT40" s="19"/>
      <c r="EBU40" s="19"/>
      <c r="EBV40" s="19"/>
      <c r="EBW40" s="19"/>
      <c r="EBX40" s="19"/>
      <c r="EBY40" s="19"/>
      <c r="EBZ40" s="19"/>
      <c r="ECA40" s="19"/>
      <c r="ECB40" s="19"/>
      <c r="ECC40" s="19"/>
      <c r="ECD40" s="19"/>
      <c r="ECE40" s="19"/>
      <c r="ECF40" s="19"/>
      <c r="ECG40" s="19"/>
      <c r="ECH40" s="19"/>
      <c r="ECI40" s="19"/>
      <c r="ECJ40" s="19"/>
      <c r="ECK40" s="19"/>
      <c r="ECL40" s="19"/>
      <c r="ECM40" s="19"/>
      <c r="ECN40" s="19"/>
      <c r="ECO40" s="19"/>
      <c r="ECP40" s="19"/>
      <c r="ECQ40" s="19"/>
      <c r="ECR40" s="19"/>
      <c r="ECS40" s="19"/>
      <c r="ECT40" s="19"/>
      <c r="ECU40" s="19"/>
      <c r="ECV40" s="19"/>
      <c r="ECW40" s="19"/>
      <c r="ECX40" s="19"/>
      <c r="ECY40" s="19"/>
      <c r="ECZ40" s="19"/>
      <c r="EDA40" s="19"/>
      <c r="EDB40" s="19"/>
      <c r="EDC40" s="19"/>
      <c r="EDD40" s="19"/>
      <c r="EDE40" s="19"/>
      <c r="EDF40" s="19"/>
      <c r="EDG40" s="19"/>
      <c r="EDH40" s="19"/>
      <c r="EDI40" s="19"/>
      <c r="EDJ40" s="19"/>
      <c r="EDK40" s="19"/>
      <c r="EDL40" s="19"/>
      <c r="EDM40" s="19"/>
      <c r="EDN40" s="19"/>
      <c r="EDO40" s="19"/>
      <c r="EDP40" s="19"/>
      <c r="EDQ40" s="19"/>
      <c r="EDR40" s="19"/>
      <c r="EDS40" s="19"/>
      <c r="EDT40" s="19"/>
      <c r="EDU40" s="19"/>
      <c r="EDV40" s="19"/>
      <c r="EDW40" s="19"/>
      <c r="EDX40" s="19"/>
      <c r="EDY40" s="19"/>
      <c r="EDZ40" s="19"/>
      <c r="EEA40" s="19"/>
      <c r="EEB40" s="19"/>
      <c r="EEC40" s="19"/>
      <c r="EED40" s="19"/>
      <c r="EEE40" s="19"/>
      <c r="EEF40" s="19"/>
      <c r="EEG40" s="19"/>
      <c r="EEH40" s="19"/>
      <c r="EEI40" s="19"/>
      <c r="EEJ40" s="19"/>
      <c r="EEK40" s="19"/>
      <c r="EEL40" s="19"/>
      <c r="EEM40" s="19"/>
      <c r="EEN40" s="19"/>
      <c r="EEO40" s="19"/>
      <c r="EEP40" s="19"/>
      <c r="EEQ40" s="19"/>
      <c r="EER40" s="19"/>
      <c r="EES40" s="19"/>
      <c r="EET40" s="19"/>
      <c r="EEU40" s="19"/>
      <c r="EEV40" s="19"/>
      <c r="EEW40" s="19"/>
      <c r="EEX40" s="19"/>
      <c r="EEY40" s="19"/>
      <c r="EEZ40" s="19"/>
      <c r="EFA40" s="19"/>
      <c r="EFB40" s="19"/>
      <c r="EFC40" s="19"/>
      <c r="EFD40" s="19"/>
      <c r="EFE40" s="19"/>
      <c r="EFF40" s="19"/>
      <c r="EFG40" s="19"/>
      <c r="EFH40" s="19"/>
      <c r="EFI40" s="19"/>
      <c r="EFJ40" s="19"/>
      <c r="EFK40" s="19"/>
      <c r="EFL40" s="19"/>
      <c r="EFM40" s="19"/>
      <c r="EFN40" s="19"/>
      <c r="EFO40" s="19"/>
      <c r="EFP40" s="19"/>
      <c r="EFQ40" s="19"/>
      <c r="EFR40" s="19"/>
      <c r="EFS40" s="19"/>
      <c r="EFT40" s="19"/>
      <c r="EFU40" s="19"/>
      <c r="EFV40" s="19"/>
      <c r="EFW40" s="19"/>
      <c r="EFX40" s="19"/>
      <c r="EFY40" s="19"/>
      <c r="EFZ40" s="19"/>
      <c r="EGA40" s="19"/>
      <c r="EGB40" s="19"/>
      <c r="EGC40" s="19"/>
      <c r="EGD40" s="19"/>
      <c r="EGE40" s="19"/>
      <c r="EGF40" s="19"/>
      <c r="EGG40" s="19"/>
      <c r="EGH40" s="19"/>
      <c r="EGI40" s="19"/>
      <c r="EGJ40" s="19"/>
      <c r="EGK40" s="19"/>
      <c r="EGL40" s="19"/>
      <c r="EGM40" s="19"/>
      <c r="EGN40" s="19"/>
      <c r="EGO40" s="19"/>
      <c r="EGP40" s="19"/>
      <c r="EGQ40" s="19"/>
      <c r="EGR40" s="19"/>
      <c r="EGS40" s="19"/>
      <c r="EGT40" s="19"/>
      <c r="EGU40" s="19"/>
      <c r="EGV40" s="19"/>
      <c r="EGW40" s="19"/>
      <c r="EGX40" s="19"/>
      <c r="EGY40" s="19"/>
      <c r="EGZ40" s="19"/>
      <c r="EHA40" s="19"/>
      <c r="EHB40" s="19"/>
      <c r="EHC40" s="19"/>
      <c r="EHD40" s="19"/>
      <c r="EHE40" s="19"/>
      <c r="EHF40" s="19"/>
      <c r="EHG40" s="19"/>
      <c r="EHH40" s="19"/>
      <c r="EHI40" s="19"/>
      <c r="EHJ40" s="19"/>
      <c r="EHK40" s="19"/>
      <c r="EHL40" s="19"/>
      <c r="EHM40" s="19"/>
      <c r="EHN40" s="19"/>
      <c r="EHO40" s="19"/>
      <c r="EHP40" s="19"/>
      <c r="EHQ40" s="19"/>
      <c r="EHR40" s="19"/>
      <c r="EHS40" s="19"/>
      <c r="EHT40" s="19"/>
      <c r="EHU40" s="19"/>
      <c r="EHV40" s="19"/>
      <c r="EHW40" s="19"/>
      <c r="EHX40" s="19"/>
      <c r="EHY40" s="19"/>
      <c r="EHZ40" s="19"/>
      <c r="EIA40" s="19"/>
      <c r="EIB40" s="19"/>
      <c r="EIC40" s="19"/>
      <c r="EID40" s="19"/>
      <c r="EIE40" s="19"/>
      <c r="EIF40" s="19"/>
      <c r="EIG40" s="19"/>
      <c r="EIH40" s="19"/>
      <c r="EII40" s="19"/>
      <c r="EIJ40" s="19"/>
      <c r="EIK40" s="19"/>
      <c r="EIL40" s="19"/>
      <c r="EIM40" s="19"/>
      <c r="EIN40" s="19"/>
      <c r="EIO40" s="19"/>
      <c r="EIP40" s="19"/>
      <c r="EIQ40" s="19"/>
      <c r="EIR40" s="19"/>
      <c r="EIS40" s="19"/>
      <c r="EIT40" s="19"/>
      <c r="EIU40" s="19"/>
      <c r="EIV40" s="19"/>
      <c r="EIW40" s="19"/>
      <c r="EIX40" s="19"/>
      <c r="EIY40" s="19"/>
      <c r="EIZ40" s="19"/>
      <c r="EJA40" s="19"/>
      <c r="EJB40" s="19"/>
      <c r="EJC40" s="19"/>
      <c r="EJD40" s="19"/>
      <c r="EJE40" s="19"/>
      <c r="EJF40" s="19"/>
      <c r="EJG40" s="19"/>
      <c r="EJH40" s="19"/>
      <c r="EJI40" s="19"/>
      <c r="EJJ40" s="19"/>
      <c r="EJK40" s="19"/>
      <c r="EJL40" s="19"/>
      <c r="EJM40" s="19"/>
      <c r="EJN40" s="19"/>
      <c r="EJO40" s="19"/>
      <c r="EJP40" s="19"/>
      <c r="EJQ40" s="19"/>
      <c r="EJR40" s="19"/>
      <c r="EJS40" s="19"/>
      <c r="EJT40" s="19"/>
      <c r="EJU40" s="19"/>
      <c r="EJV40" s="19"/>
      <c r="EJW40" s="19"/>
      <c r="EJX40" s="19"/>
      <c r="EJY40" s="19"/>
      <c r="EJZ40" s="19"/>
      <c r="EKA40" s="19"/>
      <c r="EKB40" s="19"/>
      <c r="EKC40" s="19"/>
      <c r="EKD40" s="19"/>
      <c r="EKE40" s="19"/>
      <c r="EKF40" s="19"/>
      <c r="EKG40" s="19"/>
      <c r="EKH40" s="19"/>
      <c r="EKI40" s="19"/>
      <c r="EKJ40" s="19"/>
      <c r="EKK40" s="19"/>
      <c r="EKL40" s="19"/>
      <c r="EKM40" s="19"/>
      <c r="EKN40" s="19"/>
      <c r="EKO40" s="19"/>
      <c r="EKP40" s="19"/>
      <c r="EKQ40" s="19"/>
      <c r="EKR40" s="19"/>
      <c r="EKS40" s="19"/>
      <c r="EKT40" s="19"/>
      <c r="EKU40" s="19"/>
      <c r="EKV40" s="19"/>
      <c r="EKW40" s="19"/>
      <c r="EKX40" s="19"/>
      <c r="EKY40" s="19"/>
      <c r="EKZ40" s="19"/>
      <c r="ELA40" s="19"/>
      <c r="ELB40" s="19"/>
      <c r="ELC40" s="19"/>
      <c r="ELD40" s="19"/>
      <c r="ELE40" s="19"/>
      <c r="ELF40" s="19"/>
      <c r="ELG40" s="19"/>
      <c r="ELH40" s="19"/>
      <c r="ELI40" s="19"/>
      <c r="ELJ40" s="19"/>
      <c r="ELK40" s="19"/>
      <c r="ELL40" s="19"/>
      <c r="ELM40" s="19"/>
      <c r="ELN40" s="19"/>
      <c r="ELO40" s="19"/>
      <c r="ELP40" s="19"/>
      <c r="ELQ40" s="19"/>
      <c r="ELR40" s="19"/>
      <c r="ELS40" s="19"/>
      <c r="ELT40" s="19"/>
      <c r="ELU40" s="19"/>
      <c r="ELV40" s="19"/>
      <c r="ELW40" s="19"/>
      <c r="ELX40" s="19"/>
      <c r="ELY40" s="19"/>
      <c r="ELZ40" s="19"/>
      <c r="EMA40" s="19"/>
      <c r="EMB40" s="19"/>
      <c r="EMC40" s="19"/>
      <c r="EMD40" s="19"/>
      <c r="EME40" s="19"/>
      <c r="EMF40" s="19"/>
      <c r="EMG40" s="19"/>
      <c r="EMH40" s="19"/>
      <c r="EMI40" s="19"/>
      <c r="EMJ40" s="19"/>
      <c r="EMK40" s="19"/>
      <c r="EML40" s="19"/>
      <c r="EMM40" s="19"/>
      <c r="EMN40" s="19"/>
      <c r="EMO40" s="19"/>
      <c r="EMP40" s="19"/>
      <c r="EMQ40" s="19"/>
      <c r="EMR40" s="19"/>
      <c r="EMS40" s="19"/>
      <c r="EMT40" s="19"/>
      <c r="EMU40" s="19"/>
      <c r="EMV40" s="19"/>
      <c r="EMW40" s="19"/>
      <c r="EMX40" s="19"/>
      <c r="EMY40" s="19"/>
      <c r="EMZ40" s="19"/>
      <c r="ENA40" s="19"/>
      <c r="ENB40" s="19"/>
      <c r="ENC40" s="19"/>
      <c r="END40" s="19"/>
      <c r="ENE40" s="19"/>
      <c r="ENF40" s="19"/>
      <c r="ENG40" s="19"/>
      <c r="ENH40" s="19"/>
      <c r="ENI40" s="19"/>
      <c r="ENJ40" s="19"/>
      <c r="ENK40" s="19"/>
      <c r="ENL40" s="19"/>
      <c r="ENM40" s="19"/>
      <c r="ENN40" s="19"/>
      <c r="ENO40" s="19"/>
      <c r="ENP40" s="19"/>
      <c r="ENQ40" s="19"/>
      <c r="ENR40" s="19"/>
      <c r="ENS40" s="19"/>
      <c r="ENT40" s="19"/>
      <c r="ENU40" s="19"/>
      <c r="ENV40" s="19"/>
      <c r="ENW40" s="19"/>
      <c r="ENX40" s="19"/>
      <c r="ENY40" s="19"/>
      <c r="ENZ40" s="19"/>
      <c r="EOA40" s="19"/>
      <c r="EOB40" s="19"/>
      <c r="EOC40" s="19"/>
      <c r="EOD40" s="19"/>
      <c r="EOE40" s="19"/>
      <c r="EOF40" s="19"/>
      <c r="EOG40" s="19"/>
      <c r="EOH40" s="19"/>
      <c r="EOI40" s="19"/>
      <c r="EOJ40" s="19"/>
      <c r="EOK40" s="19"/>
      <c r="EOL40" s="19"/>
      <c r="EOM40" s="19"/>
      <c r="EON40" s="19"/>
      <c r="EOO40" s="19"/>
      <c r="EOP40" s="19"/>
      <c r="EOQ40" s="19"/>
      <c r="EOR40" s="19"/>
      <c r="EOS40" s="19"/>
      <c r="EOT40" s="19"/>
      <c r="EOU40" s="19"/>
      <c r="EOV40" s="19"/>
      <c r="EOW40" s="19"/>
      <c r="EOX40" s="19"/>
      <c r="EOY40" s="19"/>
      <c r="EOZ40" s="19"/>
      <c r="EPA40" s="19"/>
      <c r="EPB40" s="19"/>
      <c r="EPC40" s="19"/>
      <c r="EPD40" s="19"/>
      <c r="EPE40" s="19"/>
      <c r="EPF40" s="19"/>
      <c r="EPG40" s="19"/>
      <c r="EPH40" s="19"/>
      <c r="EPI40" s="19"/>
      <c r="EPJ40" s="19"/>
      <c r="EPK40" s="19"/>
      <c r="EPL40" s="19"/>
      <c r="EPM40" s="19"/>
      <c r="EPN40" s="19"/>
      <c r="EPO40" s="19"/>
      <c r="EPP40" s="19"/>
      <c r="EPQ40" s="19"/>
      <c r="EPR40" s="19"/>
      <c r="EPS40" s="19"/>
      <c r="EPT40" s="19"/>
      <c r="EPU40" s="19"/>
      <c r="EPV40" s="19"/>
      <c r="EPW40" s="19"/>
      <c r="EPX40" s="19"/>
      <c r="EPY40" s="19"/>
      <c r="EPZ40" s="19"/>
      <c r="EQA40" s="19"/>
      <c r="EQB40" s="19"/>
      <c r="EQC40" s="19"/>
      <c r="EQD40" s="19"/>
      <c r="EQE40" s="19"/>
      <c r="EQF40" s="19"/>
      <c r="EQG40" s="19"/>
      <c r="EQH40" s="19"/>
      <c r="EQI40" s="19"/>
      <c r="EQJ40" s="19"/>
      <c r="EQK40" s="19"/>
      <c r="EQL40" s="19"/>
      <c r="EQM40" s="19"/>
      <c r="EQN40" s="19"/>
      <c r="EQO40" s="19"/>
      <c r="EQP40" s="19"/>
      <c r="EQQ40" s="19"/>
      <c r="EQR40" s="19"/>
      <c r="EQS40" s="19"/>
      <c r="EQT40" s="19"/>
      <c r="EQU40" s="19"/>
      <c r="EQV40" s="19"/>
      <c r="EQW40" s="19"/>
      <c r="EQX40" s="19"/>
      <c r="EQY40" s="19"/>
      <c r="EQZ40" s="19"/>
      <c r="ERA40" s="19"/>
      <c r="ERB40" s="19"/>
      <c r="ERC40" s="19"/>
      <c r="ERD40" s="19"/>
      <c r="ERE40" s="19"/>
      <c r="ERF40" s="19"/>
      <c r="ERG40" s="19"/>
      <c r="ERH40" s="19"/>
      <c r="ERI40" s="19"/>
      <c r="ERJ40" s="19"/>
      <c r="ERK40" s="19"/>
      <c r="ERL40" s="19"/>
      <c r="ERM40" s="19"/>
      <c r="ERN40" s="19"/>
      <c r="ERO40" s="19"/>
      <c r="ERP40" s="19"/>
      <c r="ERQ40" s="19"/>
      <c r="ERR40" s="19"/>
      <c r="ERS40" s="19"/>
      <c r="ERT40" s="19"/>
      <c r="ERU40" s="19"/>
      <c r="ERV40" s="19"/>
      <c r="ERW40" s="19"/>
      <c r="ERX40" s="19"/>
      <c r="ERY40" s="19"/>
      <c r="ERZ40" s="19"/>
      <c r="ESA40" s="19"/>
      <c r="ESB40" s="19"/>
      <c r="ESC40" s="19"/>
      <c r="ESD40" s="19"/>
      <c r="ESE40" s="19"/>
      <c r="ESF40" s="19"/>
      <c r="ESG40" s="19"/>
      <c r="ESH40" s="19"/>
      <c r="ESI40" s="19"/>
      <c r="ESJ40" s="19"/>
      <c r="ESK40" s="19"/>
      <c r="ESL40" s="19"/>
      <c r="ESM40" s="19"/>
      <c r="ESN40" s="19"/>
      <c r="ESO40" s="19"/>
      <c r="ESP40" s="19"/>
      <c r="ESQ40" s="19"/>
      <c r="ESR40" s="19"/>
      <c r="ESS40" s="19"/>
      <c r="EST40" s="19"/>
      <c r="ESU40" s="19"/>
      <c r="ESV40" s="19"/>
      <c r="ESW40" s="19"/>
      <c r="ESX40" s="19"/>
      <c r="ESY40" s="19"/>
      <c r="ESZ40" s="19"/>
      <c r="ETA40" s="19"/>
      <c r="ETB40" s="19"/>
      <c r="ETC40" s="19"/>
      <c r="ETD40" s="19"/>
      <c r="ETE40" s="19"/>
      <c r="ETF40" s="19"/>
      <c r="ETG40" s="19"/>
      <c r="ETH40" s="19"/>
      <c r="ETI40" s="19"/>
      <c r="ETJ40" s="19"/>
      <c r="ETK40" s="19"/>
      <c r="ETL40" s="19"/>
      <c r="ETM40" s="19"/>
      <c r="ETN40" s="19"/>
      <c r="ETO40" s="19"/>
      <c r="ETP40" s="19"/>
      <c r="ETQ40" s="19"/>
      <c r="ETR40" s="19"/>
      <c r="ETS40" s="19"/>
      <c r="ETT40" s="19"/>
      <c r="ETU40" s="19"/>
      <c r="ETV40" s="19"/>
      <c r="ETW40" s="19"/>
      <c r="ETX40" s="19"/>
      <c r="ETY40" s="19"/>
      <c r="ETZ40" s="19"/>
      <c r="EUA40" s="19"/>
      <c r="EUB40" s="19"/>
      <c r="EUC40" s="19"/>
      <c r="EUD40" s="19"/>
      <c r="EUE40" s="19"/>
      <c r="EUF40" s="19"/>
      <c r="EUG40" s="19"/>
      <c r="EUH40" s="19"/>
      <c r="EUI40" s="19"/>
      <c r="EUJ40" s="19"/>
      <c r="EUK40" s="19"/>
      <c r="EUL40" s="19"/>
      <c r="EUM40" s="19"/>
      <c r="EUN40" s="19"/>
      <c r="EUO40" s="19"/>
      <c r="EUP40" s="19"/>
      <c r="EUQ40" s="19"/>
      <c r="EUR40" s="19"/>
      <c r="EUS40" s="19"/>
      <c r="EUT40" s="19"/>
      <c r="EUU40" s="19"/>
      <c r="EUV40" s="19"/>
      <c r="EUW40" s="19"/>
      <c r="EUX40" s="19"/>
      <c r="EUY40" s="19"/>
      <c r="EUZ40" s="19"/>
      <c r="EVA40" s="19"/>
      <c r="EVB40" s="19"/>
      <c r="EVC40" s="19"/>
      <c r="EVD40" s="19"/>
      <c r="EVE40" s="19"/>
      <c r="EVF40" s="19"/>
      <c r="EVG40" s="19"/>
      <c r="EVH40" s="19"/>
      <c r="EVI40" s="19"/>
      <c r="EVJ40" s="19"/>
      <c r="EVK40" s="19"/>
      <c r="EVL40" s="19"/>
      <c r="EVM40" s="19"/>
      <c r="EVN40" s="19"/>
      <c r="EVO40" s="19"/>
      <c r="EVP40" s="19"/>
      <c r="EVQ40" s="19"/>
      <c r="EVR40" s="19"/>
      <c r="EVS40" s="19"/>
      <c r="EVT40" s="19"/>
      <c r="EVU40" s="19"/>
      <c r="EVV40" s="19"/>
      <c r="EVW40" s="19"/>
      <c r="EVX40" s="19"/>
      <c r="EVY40" s="19"/>
      <c r="EVZ40" s="19"/>
      <c r="EWA40" s="19"/>
      <c r="EWB40" s="19"/>
      <c r="EWC40" s="19"/>
      <c r="EWD40" s="19"/>
      <c r="EWE40" s="19"/>
      <c r="EWF40" s="19"/>
      <c r="EWG40" s="19"/>
      <c r="EWH40" s="19"/>
      <c r="EWI40" s="19"/>
      <c r="EWJ40" s="19"/>
      <c r="EWK40" s="19"/>
      <c r="EWL40" s="19"/>
      <c r="EWM40" s="19"/>
      <c r="EWN40" s="19"/>
      <c r="EWO40" s="19"/>
      <c r="EWP40" s="19"/>
      <c r="EWQ40" s="19"/>
      <c r="EWR40" s="19"/>
      <c r="EWS40" s="19"/>
      <c r="EWT40" s="19"/>
      <c r="EWU40" s="19"/>
      <c r="EWV40" s="19"/>
      <c r="EWW40" s="19"/>
      <c r="EWX40" s="19"/>
      <c r="EWY40" s="19"/>
      <c r="EWZ40" s="19"/>
      <c r="EXA40" s="19"/>
      <c r="EXB40" s="19"/>
      <c r="EXC40" s="19"/>
      <c r="EXD40" s="19"/>
      <c r="EXE40" s="19"/>
      <c r="EXF40" s="19"/>
      <c r="EXG40" s="19"/>
      <c r="EXH40" s="19"/>
      <c r="EXI40" s="19"/>
      <c r="EXJ40" s="19"/>
      <c r="EXK40" s="19"/>
      <c r="EXL40" s="19"/>
      <c r="EXM40" s="19"/>
      <c r="EXN40" s="19"/>
      <c r="EXO40" s="19"/>
      <c r="EXP40" s="19"/>
      <c r="EXQ40" s="19"/>
      <c r="EXR40" s="19"/>
      <c r="EXS40" s="19"/>
      <c r="EXT40" s="19"/>
      <c r="EXU40" s="19"/>
      <c r="EXV40" s="19"/>
      <c r="EXW40" s="19"/>
      <c r="EXX40" s="19"/>
      <c r="EXY40" s="19"/>
      <c r="EXZ40" s="19"/>
      <c r="EYA40" s="19"/>
      <c r="EYB40" s="19"/>
      <c r="EYC40" s="19"/>
      <c r="EYD40" s="19"/>
      <c r="EYE40" s="19"/>
      <c r="EYF40" s="19"/>
      <c r="EYG40" s="19"/>
      <c r="EYH40" s="19"/>
      <c r="EYI40" s="19"/>
      <c r="EYJ40" s="19"/>
      <c r="EYK40" s="19"/>
      <c r="EYL40" s="19"/>
      <c r="EYM40" s="19"/>
      <c r="EYN40" s="19"/>
      <c r="EYO40" s="19"/>
      <c r="EYP40" s="19"/>
      <c r="EYQ40" s="19"/>
      <c r="EYR40" s="19"/>
      <c r="EYS40" s="19"/>
      <c r="EYT40" s="19"/>
      <c r="EYU40" s="19"/>
      <c r="EYV40" s="19"/>
      <c r="EYW40" s="19"/>
      <c r="EYX40" s="19"/>
      <c r="EYY40" s="19"/>
      <c r="EYZ40" s="19"/>
      <c r="EZA40" s="19"/>
      <c r="EZB40" s="19"/>
      <c r="EZC40" s="19"/>
      <c r="EZD40" s="19"/>
      <c r="EZE40" s="19"/>
      <c r="EZF40" s="19"/>
      <c r="EZG40" s="19"/>
      <c r="EZH40" s="19"/>
      <c r="EZI40" s="19"/>
      <c r="EZJ40" s="19"/>
      <c r="EZK40" s="19"/>
      <c r="EZL40" s="19"/>
      <c r="EZM40" s="19"/>
      <c r="EZN40" s="19"/>
      <c r="EZO40" s="19"/>
      <c r="EZP40" s="19"/>
      <c r="EZQ40" s="19"/>
      <c r="EZR40" s="19"/>
      <c r="EZS40" s="19"/>
      <c r="EZT40" s="19"/>
      <c r="EZU40" s="19"/>
      <c r="EZV40" s="19"/>
      <c r="EZW40" s="19"/>
      <c r="EZX40" s="19"/>
      <c r="EZY40" s="19"/>
      <c r="EZZ40" s="19"/>
      <c r="FAA40" s="19"/>
      <c r="FAB40" s="19"/>
      <c r="FAC40" s="19"/>
      <c r="FAD40" s="19"/>
      <c r="FAE40" s="19"/>
      <c r="FAF40" s="19"/>
      <c r="FAG40" s="19"/>
      <c r="FAH40" s="19"/>
      <c r="FAI40" s="19"/>
      <c r="FAJ40" s="19"/>
      <c r="FAK40" s="19"/>
      <c r="FAL40" s="19"/>
      <c r="FAM40" s="19"/>
      <c r="FAN40" s="19"/>
      <c r="FAO40" s="19"/>
      <c r="FAP40" s="19"/>
      <c r="FAQ40" s="19"/>
      <c r="FAR40" s="19"/>
      <c r="FAS40" s="19"/>
      <c r="FAT40" s="19"/>
      <c r="FAU40" s="19"/>
      <c r="FAV40" s="19"/>
      <c r="FAW40" s="19"/>
      <c r="FAX40" s="19"/>
      <c r="FAY40" s="19"/>
      <c r="FAZ40" s="19"/>
      <c r="FBA40" s="19"/>
      <c r="FBB40" s="19"/>
      <c r="FBC40" s="19"/>
      <c r="FBD40" s="19"/>
      <c r="FBE40" s="19"/>
      <c r="FBF40" s="19"/>
      <c r="FBG40" s="19"/>
      <c r="FBH40" s="19"/>
      <c r="FBI40" s="19"/>
      <c r="FBJ40" s="19"/>
      <c r="FBK40" s="19"/>
      <c r="FBL40" s="19"/>
      <c r="FBM40" s="19"/>
      <c r="FBN40" s="19"/>
      <c r="FBO40" s="19"/>
      <c r="FBP40" s="19"/>
      <c r="FBQ40" s="19"/>
      <c r="FBR40" s="19"/>
      <c r="FBS40" s="19"/>
      <c r="FBT40" s="19"/>
      <c r="FBU40" s="19"/>
      <c r="FBV40" s="19"/>
      <c r="FBW40" s="19"/>
      <c r="FBX40" s="19"/>
      <c r="FBY40" s="19"/>
      <c r="FBZ40" s="19"/>
      <c r="FCA40" s="19"/>
      <c r="FCB40" s="19"/>
      <c r="FCC40" s="19"/>
      <c r="FCD40" s="19"/>
      <c r="FCE40" s="19"/>
      <c r="FCF40" s="19"/>
      <c r="FCG40" s="19"/>
      <c r="FCH40" s="19"/>
      <c r="FCI40" s="19"/>
      <c r="FCJ40" s="19"/>
      <c r="FCK40" s="19"/>
      <c r="FCL40" s="19"/>
      <c r="FCM40" s="19"/>
      <c r="FCN40" s="19"/>
      <c r="FCO40" s="19"/>
      <c r="FCP40" s="19"/>
      <c r="FCQ40" s="19"/>
      <c r="FCR40" s="19"/>
      <c r="FCS40" s="19"/>
      <c r="FCT40" s="19"/>
      <c r="FCU40" s="19"/>
      <c r="FCV40" s="19"/>
      <c r="FCW40" s="19"/>
      <c r="FCX40" s="19"/>
      <c r="FCY40" s="19"/>
      <c r="FCZ40" s="19"/>
      <c r="FDA40" s="19"/>
      <c r="FDB40" s="19"/>
      <c r="FDC40" s="19"/>
      <c r="FDD40" s="19"/>
      <c r="FDE40" s="19"/>
      <c r="FDF40" s="19"/>
      <c r="FDG40" s="19"/>
      <c r="FDH40" s="19"/>
      <c r="FDI40" s="19"/>
      <c r="FDJ40" s="19"/>
      <c r="FDK40" s="19"/>
      <c r="FDL40" s="19"/>
      <c r="FDM40" s="19"/>
      <c r="FDN40" s="19"/>
      <c r="FDO40" s="19"/>
      <c r="FDP40" s="19"/>
      <c r="FDQ40" s="19"/>
      <c r="FDR40" s="19"/>
      <c r="FDS40" s="19"/>
      <c r="FDT40" s="19"/>
      <c r="FDU40" s="19"/>
      <c r="FDV40" s="19"/>
      <c r="FDW40" s="19"/>
      <c r="FDX40" s="19"/>
      <c r="FDY40" s="19"/>
      <c r="FDZ40" s="19"/>
      <c r="FEA40" s="19"/>
      <c r="FEB40" s="19"/>
      <c r="FEC40" s="19"/>
      <c r="FED40" s="19"/>
      <c r="FEE40" s="19"/>
      <c r="FEF40" s="19"/>
      <c r="FEG40" s="19"/>
      <c r="FEH40" s="19"/>
      <c r="FEI40" s="19"/>
      <c r="FEJ40" s="19"/>
      <c r="FEK40" s="19"/>
      <c r="FEL40" s="19"/>
      <c r="FEM40" s="19"/>
      <c r="FEN40" s="19"/>
      <c r="FEO40" s="19"/>
      <c r="FEP40" s="19"/>
      <c r="FEQ40" s="19"/>
      <c r="FER40" s="19"/>
      <c r="FES40" s="19"/>
      <c r="FET40" s="19"/>
      <c r="FEU40" s="19"/>
      <c r="FEV40" s="19"/>
      <c r="FEW40" s="19"/>
      <c r="FEX40" s="19"/>
      <c r="FEY40" s="19"/>
      <c r="FEZ40" s="19"/>
      <c r="FFA40" s="19"/>
      <c r="FFB40" s="19"/>
      <c r="FFC40" s="19"/>
      <c r="FFD40" s="19"/>
      <c r="FFE40" s="19"/>
      <c r="FFF40" s="19"/>
      <c r="FFG40" s="19"/>
      <c r="FFH40" s="19"/>
      <c r="FFI40" s="19"/>
      <c r="FFJ40" s="19"/>
      <c r="FFK40" s="19"/>
      <c r="FFL40" s="19"/>
      <c r="FFM40" s="19"/>
      <c r="FFN40" s="19"/>
      <c r="FFO40" s="19"/>
      <c r="FFP40" s="19"/>
      <c r="FFQ40" s="19"/>
      <c r="FFR40" s="19"/>
      <c r="FFS40" s="19"/>
      <c r="FFT40" s="19"/>
      <c r="FFU40" s="19"/>
      <c r="FFV40" s="19"/>
      <c r="FFW40" s="19"/>
      <c r="FFX40" s="19"/>
      <c r="FFY40" s="19"/>
      <c r="FFZ40" s="19"/>
      <c r="FGA40" s="19"/>
      <c r="FGB40" s="19"/>
      <c r="FGC40" s="19"/>
      <c r="FGD40" s="19"/>
      <c r="FGE40" s="19"/>
      <c r="FGF40" s="19"/>
      <c r="FGG40" s="19"/>
      <c r="FGH40" s="19"/>
      <c r="FGI40" s="19"/>
      <c r="FGJ40" s="19"/>
      <c r="FGK40" s="19"/>
      <c r="FGL40" s="19"/>
      <c r="FGM40" s="19"/>
      <c r="FGN40" s="19"/>
      <c r="FGO40" s="19"/>
      <c r="FGP40" s="19"/>
      <c r="FGQ40" s="19"/>
      <c r="FGR40" s="19"/>
      <c r="FGS40" s="19"/>
      <c r="FGT40" s="19"/>
      <c r="FGU40" s="19"/>
      <c r="FGV40" s="19"/>
      <c r="FGW40" s="19"/>
      <c r="FGX40" s="19"/>
      <c r="FGY40" s="19"/>
      <c r="FGZ40" s="19"/>
      <c r="FHA40" s="19"/>
      <c r="FHB40" s="19"/>
      <c r="FHC40" s="19"/>
      <c r="FHD40" s="19"/>
      <c r="FHE40" s="19"/>
      <c r="FHF40" s="19"/>
      <c r="FHG40" s="19"/>
      <c r="FHH40" s="19"/>
      <c r="FHI40" s="19"/>
      <c r="FHJ40" s="19"/>
      <c r="FHK40" s="19"/>
      <c r="FHL40" s="19"/>
      <c r="FHM40" s="19"/>
      <c r="FHN40" s="19"/>
      <c r="FHO40" s="19"/>
      <c r="FHP40" s="19"/>
      <c r="FHQ40" s="19"/>
      <c r="FHR40" s="19"/>
      <c r="FHS40" s="19"/>
      <c r="FHT40" s="19"/>
      <c r="FHU40" s="19"/>
      <c r="FHV40" s="19"/>
      <c r="FHW40" s="19"/>
      <c r="FHX40" s="19"/>
      <c r="FHY40" s="19"/>
      <c r="FHZ40" s="19"/>
      <c r="FIA40" s="19"/>
      <c r="FIB40" s="19"/>
      <c r="FIC40" s="19"/>
      <c r="FID40" s="19"/>
      <c r="FIE40" s="19"/>
      <c r="FIF40" s="19"/>
      <c r="FIG40" s="19"/>
      <c r="FIH40" s="19"/>
      <c r="FII40" s="19"/>
      <c r="FIJ40" s="19"/>
      <c r="FIK40" s="19"/>
      <c r="FIL40" s="19"/>
      <c r="FIM40" s="19"/>
      <c r="FIN40" s="19"/>
      <c r="FIO40" s="19"/>
      <c r="FIP40" s="19"/>
      <c r="FIQ40" s="19"/>
      <c r="FIR40" s="19"/>
      <c r="FIS40" s="19"/>
      <c r="FIT40" s="19"/>
      <c r="FIU40" s="19"/>
      <c r="FIV40" s="19"/>
      <c r="FIW40" s="19"/>
      <c r="FIX40" s="19"/>
      <c r="FIY40" s="19"/>
      <c r="FIZ40" s="19"/>
      <c r="FJA40" s="19"/>
      <c r="FJB40" s="19"/>
      <c r="FJC40" s="19"/>
      <c r="FJD40" s="19"/>
      <c r="FJE40" s="19"/>
      <c r="FJF40" s="19"/>
      <c r="FJG40" s="19"/>
      <c r="FJH40" s="19"/>
      <c r="FJI40" s="19"/>
      <c r="FJJ40" s="19"/>
      <c r="FJK40" s="19"/>
      <c r="FJL40" s="19"/>
      <c r="FJM40" s="19"/>
      <c r="FJN40" s="19"/>
      <c r="FJO40" s="19"/>
      <c r="FJP40" s="19"/>
      <c r="FJQ40" s="19"/>
      <c r="FJR40" s="19"/>
      <c r="FJS40" s="19"/>
      <c r="FJT40" s="19"/>
      <c r="FJU40" s="19"/>
      <c r="FJV40" s="19"/>
      <c r="FJW40" s="19"/>
      <c r="FJX40" s="19"/>
      <c r="FJY40" s="19"/>
      <c r="FJZ40" s="19"/>
      <c r="FKA40" s="19"/>
      <c r="FKB40" s="19"/>
      <c r="FKC40" s="19"/>
      <c r="FKD40" s="19"/>
      <c r="FKE40" s="19"/>
      <c r="FKF40" s="19"/>
      <c r="FKG40" s="19"/>
      <c r="FKH40" s="19"/>
      <c r="FKI40" s="19"/>
      <c r="FKJ40" s="19"/>
      <c r="FKK40" s="19"/>
      <c r="FKL40" s="19"/>
      <c r="FKM40" s="19"/>
      <c r="FKN40" s="19"/>
      <c r="FKO40" s="19"/>
      <c r="FKP40" s="19"/>
      <c r="FKQ40" s="19"/>
      <c r="FKR40" s="19"/>
      <c r="FKS40" s="19"/>
      <c r="FKT40" s="19"/>
      <c r="FKU40" s="19"/>
      <c r="FKV40" s="19"/>
      <c r="FKW40" s="19"/>
      <c r="FKX40" s="19"/>
      <c r="FKY40" s="19"/>
      <c r="FKZ40" s="19"/>
      <c r="FLA40" s="19"/>
      <c r="FLB40" s="19"/>
      <c r="FLC40" s="19"/>
      <c r="FLD40" s="19"/>
      <c r="FLE40" s="19"/>
      <c r="FLF40" s="19"/>
      <c r="FLG40" s="19"/>
      <c r="FLH40" s="19"/>
      <c r="FLI40" s="19"/>
      <c r="FLJ40" s="19"/>
      <c r="FLK40" s="19"/>
      <c r="FLL40" s="19"/>
      <c r="FLM40" s="19"/>
      <c r="FLN40" s="19"/>
      <c r="FLO40" s="19"/>
      <c r="FLP40" s="19"/>
      <c r="FLQ40" s="19"/>
      <c r="FLR40" s="19"/>
      <c r="FLS40" s="19"/>
      <c r="FLT40" s="19"/>
      <c r="FLU40" s="19"/>
      <c r="FLV40" s="19"/>
      <c r="FLW40" s="19"/>
      <c r="FLX40" s="19"/>
      <c r="FLY40" s="19"/>
      <c r="FLZ40" s="19"/>
      <c r="FMA40" s="19"/>
      <c r="FMB40" s="19"/>
      <c r="FMC40" s="19"/>
      <c r="FMD40" s="19"/>
      <c r="FME40" s="19"/>
      <c r="FMF40" s="19"/>
      <c r="FMG40" s="19"/>
      <c r="FMH40" s="19"/>
      <c r="FMI40" s="19"/>
      <c r="FMJ40" s="19"/>
      <c r="FMK40" s="19"/>
      <c r="FML40" s="19"/>
      <c r="FMM40" s="19"/>
      <c r="FMN40" s="19"/>
      <c r="FMO40" s="19"/>
      <c r="FMP40" s="19"/>
      <c r="FMQ40" s="19"/>
      <c r="FMR40" s="19"/>
      <c r="FMS40" s="19"/>
      <c r="FMT40" s="19"/>
      <c r="FMU40" s="19"/>
      <c r="FMV40" s="19"/>
      <c r="FMW40" s="19"/>
      <c r="FMX40" s="19"/>
      <c r="FMY40" s="19"/>
      <c r="FMZ40" s="19"/>
      <c r="FNA40" s="19"/>
      <c r="FNB40" s="19"/>
      <c r="FNC40" s="19"/>
      <c r="FND40" s="19"/>
      <c r="FNE40" s="19"/>
      <c r="FNF40" s="19"/>
      <c r="FNG40" s="19"/>
      <c r="FNH40" s="19"/>
      <c r="FNI40" s="19"/>
      <c r="FNJ40" s="19"/>
      <c r="FNK40" s="19"/>
      <c r="FNL40" s="19"/>
      <c r="FNM40" s="19"/>
      <c r="FNN40" s="19"/>
      <c r="FNO40" s="19"/>
      <c r="FNP40" s="19"/>
      <c r="FNQ40" s="19"/>
      <c r="FNR40" s="19"/>
      <c r="FNS40" s="19"/>
      <c r="FNT40" s="19"/>
      <c r="FNU40" s="19"/>
      <c r="FNV40" s="19"/>
      <c r="FNW40" s="19"/>
      <c r="FNX40" s="19"/>
      <c r="FNY40" s="19"/>
      <c r="FNZ40" s="19"/>
      <c r="FOA40" s="19"/>
      <c r="FOB40" s="19"/>
      <c r="FOC40" s="19"/>
      <c r="FOD40" s="19"/>
      <c r="FOE40" s="19"/>
      <c r="FOF40" s="19"/>
      <c r="FOG40" s="19"/>
      <c r="FOH40" s="19"/>
      <c r="FOI40" s="19"/>
      <c r="FOJ40" s="19"/>
      <c r="FOK40" s="19"/>
      <c r="FOL40" s="19"/>
      <c r="FOM40" s="19"/>
      <c r="FON40" s="19"/>
      <c r="FOO40" s="19"/>
      <c r="FOP40" s="19"/>
      <c r="FOQ40" s="19"/>
      <c r="FOR40" s="19"/>
      <c r="FOS40" s="19"/>
      <c r="FOT40" s="19"/>
      <c r="FOU40" s="19"/>
      <c r="FOV40" s="19"/>
      <c r="FOW40" s="19"/>
      <c r="FOX40" s="19"/>
      <c r="FOY40" s="19"/>
      <c r="FOZ40" s="19"/>
      <c r="FPA40" s="19"/>
      <c r="FPB40" s="19"/>
      <c r="FPC40" s="19"/>
      <c r="FPD40" s="19"/>
      <c r="FPE40" s="19"/>
      <c r="FPF40" s="19"/>
      <c r="FPG40" s="19"/>
      <c r="FPH40" s="19"/>
      <c r="FPI40" s="19"/>
      <c r="FPJ40" s="19"/>
      <c r="FPK40" s="19"/>
      <c r="FPL40" s="19"/>
      <c r="FPM40" s="19"/>
      <c r="FPN40" s="19"/>
      <c r="FPO40" s="19"/>
      <c r="FPP40" s="19"/>
      <c r="FPQ40" s="19"/>
      <c r="FPR40" s="19"/>
      <c r="FPS40" s="19"/>
      <c r="FPT40" s="19"/>
      <c r="FPU40" s="19"/>
      <c r="FPV40" s="19"/>
      <c r="FPW40" s="19"/>
      <c r="FPX40" s="19"/>
      <c r="FPY40" s="19"/>
      <c r="FPZ40" s="19"/>
      <c r="FQA40" s="19"/>
      <c r="FQB40" s="19"/>
      <c r="FQC40" s="19"/>
      <c r="FQD40" s="19"/>
      <c r="FQE40" s="19"/>
      <c r="FQF40" s="19"/>
      <c r="FQG40" s="19"/>
      <c r="FQH40" s="19"/>
      <c r="FQI40" s="19"/>
      <c r="FQJ40" s="19"/>
      <c r="FQK40" s="19"/>
      <c r="FQL40" s="19"/>
      <c r="FQM40" s="19"/>
      <c r="FQN40" s="19"/>
      <c r="FQO40" s="19"/>
      <c r="FQP40" s="19"/>
      <c r="FQQ40" s="19"/>
      <c r="FQR40" s="19"/>
      <c r="FQS40" s="19"/>
      <c r="FQT40" s="19"/>
      <c r="FQU40" s="19"/>
      <c r="FQV40" s="19"/>
      <c r="FQW40" s="19"/>
      <c r="FQX40" s="19"/>
      <c r="FQY40" s="19"/>
      <c r="FQZ40" s="19"/>
      <c r="FRA40" s="19"/>
      <c r="FRB40" s="19"/>
      <c r="FRC40" s="19"/>
      <c r="FRD40" s="19"/>
      <c r="FRE40" s="19"/>
      <c r="FRF40" s="19"/>
      <c r="FRG40" s="19"/>
      <c r="FRH40" s="19"/>
      <c r="FRI40" s="19"/>
      <c r="FRJ40" s="19"/>
      <c r="FRK40" s="19"/>
      <c r="FRL40" s="19"/>
      <c r="FRM40" s="19"/>
      <c r="FRN40" s="19"/>
      <c r="FRO40" s="19"/>
      <c r="FRP40" s="19"/>
      <c r="FRQ40" s="19"/>
      <c r="FRR40" s="19"/>
      <c r="FRS40" s="19"/>
      <c r="FRT40" s="19"/>
      <c r="FRU40" s="19"/>
      <c r="FRV40" s="19"/>
      <c r="FRW40" s="19"/>
      <c r="FRX40" s="19"/>
      <c r="FRY40" s="19"/>
      <c r="FRZ40" s="19"/>
      <c r="FSA40" s="19"/>
      <c r="FSB40" s="19"/>
      <c r="FSC40" s="19"/>
      <c r="FSD40" s="19"/>
      <c r="FSE40" s="19"/>
      <c r="FSF40" s="19"/>
      <c r="FSG40" s="19"/>
      <c r="FSH40" s="19"/>
      <c r="FSI40" s="19"/>
      <c r="FSJ40" s="19"/>
      <c r="FSK40" s="19"/>
      <c r="FSL40" s="19"/>
      <c r="FSM40" s="19"/>
      <c r="FSN40" s="19"/>
      <c r="FSO40" s="19"/>
      <c r="FSP40" s="19"/>
      <c r="FSQ40" s="19"/>
      <c r="FSR40" s="19"/>
      <c r="FSS40" s="19"/>
      <c r="FST40" s="19"/>
      <c r="FSU40" s="19"/>
      <c r="FSV40" s="19"/>
      <c r="FSW40" s="19"/>
      <c r="FSX40" s="19"/>
      <c r="FSY40" s="19"/>
      <c r="FSZ40" s="19"/>
      <c r="FTA40" s="19"/>
      <c r="FTB40" s="19"/>
      <c r="FTC40" s="19"/>
      <c r="FTD40" s="19"/>
      <c r="FTE40" s="19"/>
      <c r="FTF40" s="19"/>
      <c r="FTG40" s="19"/>
      <c r="FTH40" s="19"/>
      <c r="FTI40" s="19"/>
      <c r="FTJ40" s="19"/>
      <c r="FTK40" s="19"/>
      <c r="FTL40" s="19"/>
      <c r="FTM40" s="19"/>
      <c r="FTN40" s="19"/>
      <c r="FTO40" s="19"/>
      <c r="FTP40" s="19"/>
      <c r="FTQ40" s="19"/>
      <c r="FTR40" s="19"/>
      <c r="FTS40" s="19"/>
      <c r="FTT40" s="19"/>
      <c r="FTU40" s="19"/>
      <c r="FTV40" s="19"/>
      <c r="FTW40" s="19"/>
      <c r="FTX40" s="19"/>
      <c r="FTY40" s="19"/>
      <c r="FTZ40" s="19"/>
      <c r="FUA40" s="19"/>
      <c r="FUB40" s="19"/>
      <c r="FUC40" s="19"/>
      <c r="FUD40" s="19"/>
      <c r="FUE40" s="19"/>
      <c r="FUF40" s="19"/>
      <c r="FUG40" s="19"/>
      <c r="FUH40" s="19"/>
      <c r="FUI40" s="19"/>
      <c r="FUJ40" s="19"/>
      <c r="FUK40" s="19"/>
      <c r="FUL40" s="19"/>
      <c r="FUM40" s="19"/>
      <c r="FUN40" s="19"/>
      <c r="FUO40" s="19"/>
      <c r="FUP40" s="19"/>
      <c r="FUQ40" s="19"/>
      <c r="FUR40" s="19"/>
      <c r="FUS40" s="19"/>
      <c r="FUT40" s="19"/>
      <c r="FUU40" s="19"/>
      <c r="FUV40" s="19"/>
      <c r="FUW40" s="19"/>
      <c r="FUX40" s="19"/>
      <c r="FUY40" s="19"/>
      <c r="FUZ40" s="19"/>
      <c r="FVA40" s="19"/>
      <c r="FVB40" s="19"/>
      <c r="FVC40" s="19"/>
      <c r="FVD40" s="19"/>
      <c r="FVE40" s="19"/>
      <c r="FVF40" s="19"/>
      <c r="FVG40" s="19"/>
      <c r="FVH40" s="19"/>
      <c r="FVI40" s="19"/>
      <c r="FVJ40" s="19"/>
      <c r="FVK40" s="19"/>
      <c r="FVL40" s="19"/>
      <c r="FVM40" s="19"/>
      <c r="FVN40" s="19"/>
      <c r="FVO40" s="19"/>
      <c r="FVP40" s="19"/>
      <c r="FVQ40" s="19"/>
      <c r="FVR40" s="19"/>
      <c r="FVS40" s="19"/>
      <c r="FVT40" s="19"/>
      <c r="FVU40" s="19"/>
      <c r="FVV40" s="19"/>
      <c r="FVW40" s="19"/>
      <c r="FVX40" s="19"/>
      <c r="FVY40" s="19"/>
      <c r="FVZ40" s="19"/>
      <c r="FWA40" s="19"/>
      <c r="FWB40" s="19"/>
      <c r="FWC40" s="19"/>
      <c r="FWD40" s="19"/>
      <c r="FWE40" s="19"/>
      <c r="FWF40" s="19"/>
      <c r="FWG40" s="19"/>
      <c r="FWH40" s="19"/>
      <c r="FWI40" s="19"/>
      <c r="FWJ40" s="19"/>
      <c r="FWK40" s="19"/>
      <c r="FWL40" s="19"/>
      <c r="FWM40" s="19"/>
      <c r="FWN40" s="19"/>
      <c r="FWO40" s="19"/>
      <c r="FWP40" s="19"/>
      <c r="FWQ40" s="19"/>
      <c r="FWR40" s="19"/>
      <c r="FWS40" s="19"/>
      <c r="FWT40" s="19"/>
      <c r="FWU40" s="19"/>
      <c r="FWV40" s="19"/>
      <c r="FWW40" s="19"/>
      <c r="FWX40" s="19"/>
      <c r="FWY40" s="19"/>
      <c r="FWZ40" s="19"/>
      <c r="FXA40" s="19"/>
      <c r="FXB40" s="19"/>
      <c r="FXC40" s="19"/>
      <c r="FXD40" s="19"/>
      <c r="FXE40" s="19"/>
      <c r="FXF40" s="19"/>
      <c r="FXG40" s="19"/>
      <c r="FXH40" s="19"/>
      <c r="FXI40" s="19"/>
      <c r="FXJ40" s="19"/>
      <c r="FXK40" s="19"/>
      <c r="FXL40" s="19"/>
      <c r="FXM40" s="19"/>
      <c r="FXN40" s="19"/>
      <c r="FXO40" s="19"/>
      <c r="FXP40" s="19"/>
      <c r="FXQ40" s="19"/>
      <c r="FXR40" s="19"/>
      <c r="FXS40" s="19"/>
      <c r="FXT40" s="19"/>
      <c r="FXU40" s="19"/>
      <c r="FXV40" s="19"/>
      <c r="FXW40" s="19"/>
      <c r="FXX40" s="19"/>
      <c r="FXY40" s="19"/>
      <c r="FXZ40" s="19"/>
      <c r="FYA40" s="19"/>
      <c r="FYB40" s="19"/>
      <c r="FYC40" s="19"/>
      <c r="FYD40" s="19"/>
      <c r="FYE40" s="19"/>
      <c r="FYF40" s="19"/>
      <c r="FYG40" s="19"/>
      <c r="FYH40" s="19"/>
      <c r="FYI40" s="19"/>
      <c r="FYJ40" s="19"/>
      <c r="FYK40" s="19"/>
      <c r="FYL40" s="19"/>
      <c r="FYM40" s="19"/>
      <c r="FYN40" s="19"/>
      <c r="FYO40" s="19"/>
      <c r="FYP40" s="19"/>
      <c r="FYQ40" s="19"/>
      <c r="FYR40" s="19"/>
      <c r="FYS40" s="19"/>
      <c r="FYT40" s="19"/>
      <c r="FYU40" s="19"/>
      <c r="FYV40" s="19"/>
      <c r="FYW40" s="19"/>
      <c r="FYX40" s="19"/>
      <c r="FYY40" s="19"/>
      <c r="FYZ40" s="19"/>
      <c r="FZA40" s="19"/>
      <c r="FZB40" s="19"/>
      <c r="FZC40" s="19"/>
      <c r="FZD40" s="19"/>
      <c r="FZE40" s="19"/>
      <c r="FZF40" s="19"/>
      <c r="FZG40" s="19"/>
      <c r="FZH40" s="19"/>
      <c r="FZI40" s="19"/>
      <c r="FZJ40" s="19"/>
      <c r="FZK40" s="19"/>
      <c r="FZL40" s="19"/>
      <c r="FZM40" s="19"/>
      <c r="FZN40" s="19"/>
      <c r="FZO40" s="19"/>
      <c r="FZP40" s="19"/>
      <c r="FZQ40" s="19"/>
      <c r="FZR40" s="19"/>
      <c r="FZS40" s="19"/>
      <c r="FZT40" s="19"/>
      <c r="FZU40" s="19"/>
      <c r="FZV40" s="19"/>
      <c r="FZW40" s="19"/>
      <c r="FZX40" s="19"/>
      <c r="FZY40" s="19"/>
      <c r="FZZ40" s="19"/>
      <c r="GAA40" s="19"/>
      <c r="GAB40" s="19"/>
      <c r="GAC40" s="19"/>
      <c r="GAD40" s="19"/>
      <c r="GAE40" s="19"/>
      <c r="GAF40" s="19"/>
      <c r="GAG40" s="19"/>
      <c r="GAH40" s="19"/>
      <c r="GAI40" s="19"/>
      <c r="GAJ40" s="19"/>
      <c r="GAK40" s="19"/>
      <c r="GAL40" s="19"/>
      <c r="GAM40" s="19"/>
      <c r="GAN40" s="19"/>
      <c r="GAO40" s="19"/>
      <c r="GAP40" s="19"/>
      <c r="GAQ40" s="19"/>
      <c r="GAR40" s="19"/>
      <c r="GAS40" s="19"/>
      <c r="GAT40" s="19"/>
      <c r="GAU40" s="19"/>
      <c r="GAV40" s="19"/>
      <c r="GAW40" s="19"/>
      <c r="GAX40" s="19"/>
      <c r="GAY40" s="19"/>
      <c r="GAZ40" s="19"/>
      <c r="GBA40" s="19"/>
      <c r="GBB40" s="19"/>
      <c r="GBC40" s="19"/>
      <c r="GBD40" s="19"/>
      <c r="GBE40" s="19"/>
      <c r="GBF40" s="19"/>
      <c r="GBG40" s="19"/>
      <c r="GBH40" s="19"/>
      <c r="GBI40" s="19"/>
      <c r="GBJ40" s="19"/>
      <c r="GBK40" s="19"/>
      <c r="GBL40" s="19"/>
      <c r="GBM40" s="19"/>
      <c r="GBN40" s="19"/>
      <c r="GBO40" s="19"/>
      <c r="GBP40" s="19"/>
      <c r="GBQ40" s="19"/>
      <c r="GBR40" s="19"/>
      <c r="GBS40" s="19"/>
      <c r="GBT40" s="19"/>
      <c r="GBU40" s="19"/>
      <c r="GBV40" s="19"/>
      <c r="GBW40" s="19"/>
      <c r="GBX40" s="19"/>
      <c r="GBY40" s="19"/>
      <c r="GBZ40" s="19"/>
      <c r="GCA40" s="19"/>
      <c r="GCB40" s="19"/>
      <c r="GCC40" s="19"/>
      <c r="GCD40" s="19"/>
      <c r="GCE40" s="19"/>
      <c r="GCF40" s="19"/>
      <c r="GCG40" s="19"/>
      <c r="GCH40" s="19"/>
      <c r="GCI40" s="19"/>
      <c r="GCJ40" s="19"/>
      <c r="GCK40" s="19"/>
      <c r="GCL40" s="19"/>
      <c r="GCM40" s="19"/>
      <c r="GCN40" s="19"/>
      <c r="GCO40" s="19"/>
      <c r="GCP40" s="19"/>
      <c r="GCQ40" s="19"/>
      <c r="GCR40" s="19"/>
      <c r="GCS40" s="19"/>
      <c r="GCT40" s="19"/>
      <c r="GCU40" s="19"/>
      <c r="GCV40" s="19"/>
      <c r="GCW40" s="19"/>
      <c r="GCX40" s="19"/>
      <c r="GCY40" s="19"/>
      <c r="GCZ40" s="19"/>
      <c r="GDA40" s="19"/>
      <c r="GDB40" s="19"/>
      <c r="GDC40" s="19"/>
      <c r="GDD40" s="19"/>
      <c r="GDE40" s="19"/>
      <c r="GDF40" s="19"/>
      <c r="GDG40" s="19"/>
      <c r="GDH40" s="19"/>
      <c r="GDI40" s="19"/>
      <c r="GDJ40" s="19"/>
      <c r="GDK40" s="19"/>
      <c r="GDL40" s="19"/>
      <c r="GDM40" s="19"/>
      <c r="GDN40" s="19"/>
      <c r="GDO40" s="19"/>
      <c r="GDP40" s="19"/>
      <c r="GDQ40" s="19"/>
      <c r="GDR40" s="19"/>
      <c r="GDS40" s="19"/>
      <c r="GDT40" s="19"/>
      <c r="GDU40" s="19"/>
      <c r="GDV40" s="19"/>
      <c r="GDW40" s="19"/>
      <c r="GDX40" s="19"/>
      <c r="GDY40" s="19"/>
      <c r="GDZ40" s="19"/>
      <c r="GEA40" s="19"/>
      <c r="GEB40" s="19"/>
      <c r="GEC40" s="19"/>
      <c r="GED40" s="19"/>
      <c r="GEE40" s="19"/>
      <c r="GEF40" s="19"/>
      <c r="GEG40" s="19"/>
      <c r="GEH40" s="19"/>
      <c r="GEI40" s="19"/>
      <c r="GEJ40" s="19"/>
      <c r="GEK40" s="19"/>
      <c r="GEL40" s="19"/>
      <c r="GEM40" s="19"/>
      <c r="GEN40" s="19"/>
      <c r="GEO40" s="19"/>
      <c r="GEP40" s="19"/>
      <c r="GEQ40" s="19"/>
      <c r="GER40" s="19"/>
      <c r="GES40" s="19"/>
      <c r="GET40" s="19"/>
      <c r="GEU40" s="19"/>
      <c r="GEV40" s="19"/>
      <c r="GEW40" s="19"/>
      <c r="GEX40" s="19"/>
      <c r="GEY40" s="19"/>
      <c r="GEZ40" s="19"/>
      <c r="GFA40" s="19"/>
      <c r="GFB40" s="19"/>
      <c r="GFC40" s="19"/>
      <c r="GFD40" s="19"/>
      <c r="GFE40" s="19"/>
      <c r="GFF40" s="19"/>
      <c r="GFG40" s="19"/>
      <c r="GFH40" s="19"/>
      <c r="GFI40" s="19"/>
      <c r="GFJ40" s="19"/>
      <c r="GFK40" s="19"/>
      <c r="GFL40" s="19"/>
      <c r="GFM40" s="19"/>
      <c r="GFN40" s="19"/>
      <c r="GFO40" s="19"/>
      <c r="GFP40" s="19"/>
      <c r="GFQ40" s="19"/>
      <c r="GFR40" s="19"/>
      <c r="GFS40" s="19"/>
      <c r="GFT40" s="19"/>
      <c r="GFU40" s="19"/>
      <c r="GFV40" s="19"/>
      <c r="GFW40" s="19"/>
      <c r="GFX40" s="19"/>
      <c r="GFY40" s="19"/>
      <c r="GFZ40" s="19"/>
      <c r="GGA40" s="19"/>
      <c r="GGB40" s="19"/>
      <c r="GGC40" s="19"/>
      <c r="GGD40" s="19"/>
      <c r="GGE40" s="19"/>
      <c r="GGF40" s="19"/>
      <c r="GGG40" s="19"/>
      <c r="GGH40" s="19"/>
      <c r="GGI40" s="19"/>
      <c r="GGJ40" s="19"/>
      <c r="GGK40" s="19"/>
      <c r="GGL40" s="19"/>
      <c r="GGM40" s="19"/>
      <c r="GGN40" s="19"/>
      <c r="GGO40" s="19"/>
      <c r="GGP40" s="19"/>
      <c r="GGQ40" s="19"/>
      <c r="GGR40" s="19"/>
      <c r="GGS40" s="19"/>
      <c r="GGT40" s="19"/>
      <c r="GGU40" s="19"/>
      <c r="GGV40" s="19"/>
      <c r="GGW40" s="19"/>
      <c r="GGX40" s="19"/>
      <c r="GGY40" s="19"/>
      <c r="GGZ40" s="19"/>
      <c r="GHA40" s="19"/>
      <c r="GHB40" s="19"/>
      <c r="GHC40" s="19"/>
      <c r="GHD40" s="19"/>
      <c r="GHE40" s="19"/>
      <c r="GHF40" s="19"/>
      <c r="GHG40" s="19"/>
      <c r="GHH40" s="19"/>
      <c r="GHI40" s="19"/>
      <c r="GHJ40" s="19"/>
      <c r="GHK40" s="19"/>
      <c r="GHL40" s="19"/>
      <c r="GHM40" s="19"/>
      <c r="GHN40" s="19"/>
      <c r="GHO40" s="19"/>
      <c r="GHP40" s="19"/>
      <c r="GHQ40" s="19"/>
      <c r="GHR40" s="19"/>
      <c r="GHS40" s="19"/>
      <c r="GHT40" s="19"/>
      <c r="GHU40" s="19"/>
      <c r="GHV40" s="19"/>
      <c r="GHW40" s="19"/>
      <c r="GHX40" s="19"/>
      <c r="GHY40" s="19"/>
      <c r="GHZ40" s="19"/>
      <c r="GIA40" s="19"/>
      <c r="GIB40" s="19"/>
      <c r="GIC40" s="19"/>
      <c r="GID40" s="19"/>
      <c r="GIE40" s="19"/>
      <c r="GIF40" s="19"/>
      <c r="GIG40" s="19"/>
      <c r="GIH40" s="19"/>
      <c r="GII40" s="19"/>
      <c r="GIJ40" s="19"/>
      <c r="GIK40" s="19"/>
      <c r="GIL40" s="19"/>
      <c r="GIM40" s="19"/>
      <c r="GIN40" s="19"/>
      <c r="GIO40" s="19"/>
      <c r="GIP40" s="19"/>
      <c r="GIQ40" s="19"/>
      <c r="GIR40" s="19"/>
      <c r="GIS40" s="19"/>
      <c r="GIT40" s="19"/>
      <c r="GIU40" s="19"/>
      <c r="GIV40" s="19"/>
      <c r="GIW40" s="19"/>
      <c r="GIX40" s="19"/>
      <c r="GIY40" s="19"/>
      <c r="GIZ40" s="19"/>
      <c r="GJA40" s="19"/>
      <c r="GJB40" s="19"/>
      <c r="GJC40" s="19"/>
      <c r="GJD40" s="19"/>
      <c r="GJE40" s="19"/>
      <c r="GJF40" s="19"/>
      <c r="GJG40" s="19"/>
      <c r="GJH40" s="19"/>
      <c r="GJI40" s="19"/>
      <c r="GJJ40" s="19"/>
      <c r="GJK40" s="19"/>
      <c r="GJL40" s="19"/>
      <c r="GJM40" s="19"/>
      <c r="GJN40" s="19"/>
      <c r="GJO40" s="19"/>
      <c r="GJP40" s="19"/>
      <c r="GJQ40" s="19"/>
      <c r="GJR40" s="19"/>
      <c r="GJS40" s="19"/>
      <c r="GJT40" s="19"/>
      <c r="GJU40" s="19"/>
      <c r="GJV40" s="19"/>
      <c r="GJW40" s="19"/>
      <c r="GJX40" s="19"/>
      <c r="GJY40" s="19"/>
      <c r="GJZ40" s="19"/>
      <c r="GKA40" s="19"/>
      <c r="GKB40" s="19"/>
      <c r="GKC40" s="19"/>
      <c r="GKD40" s="19"/>
      <c r="GKE40" s="19"/>
      <c r="GKF40" s="19"/>
      <c r="GKG40" s="19"/>
      <c r="GKH40" s="19"/>
      <c r="GKI40" s="19"/>
      <c r="GKJ40" s="19"/>
      <c r="GKK40" s="19"/>
      <c r="GKL40" s="19"/>
      <c r="GKM40" s="19"/>
      <c r="GKN40" s="19"/>
      <c r="GKO40" s="19"/>
      <c r="GKP40" s="19"/>
      <c r="GKQ40" s="19"/>
      <c r="GKR40" s="19"/>
      <c r="GKS40" s="19"/>
      <c r="GKT40" s="19"/>
      <c r="GKU40" s="19"/>
      <c r="GKV40" s="19"/>
      <c r="GKW40" s="19"/>
      <c r="GKX40" s="19"/>
      <c r="GKY40" s="19"/>
      <c r="GKZ40" s="19"/>
      <c r="GLA40" s="19"/>
      <c r="GLB40" s="19"/>
      <c r="GLC40" s="19"/>
      <c r="GLD40" s="19"/>
      <c r="GLE40" s="19"/>
      <c r="GLF40" s="19"/>
      <c r="GLG40" s="19"/>
      <c r="GLH40" s="19"/>
      <c r="GLI40" s="19"/>
      <c r="GLJ40" s="19"/>
      <c r="GLK40" s="19"/>
      <c r="GLL40" s="19"/>
      <c r="GLM40" s="19"/>
      <c r="GLN40" s="19"/>
      <c r="GLO40" s="19"/>
      <c r="GLP40" s="19"/>
      <c r="GLQ40" s="19"/>
      <c r="GLR40" s="19"/>
      <c r="GLS40" s="19"/>
      <c r="GLT40" s="19"/>
      <c r="GLU40" s="19"/>
      <c r="GLV40" s="19"/>
      <c r="GLW40" s="19"/>
      <c r="GLX40" s="19"/>
      <c r="GLY40" s="19"/>
      <c r="GLZ40" s="19"/>
      <c r="GMA40" s="19"/>
      <c r="GMB40" s="19"/>
      <c r="GMC40" s="19"/>
      <c r="GMD40" s="19"/>
      <c r="GME40" s="19"/>
      <c r="GMF40" s="19"/>
      <c r="GMG40" s="19"/>
      <c r="GMH40" s="19"/>
      <c r="GMI40" s="19"/>
      <c r="GMJ40" s="19"/>
      <c r="GMK40" s="19"/>
      <c r="GML40" s="19"/>
      <c r="GMM40" s="19"/>
      <c r="GMN40" s="19"/>
      <c r="GMO40" s="19"/>
      <c r="GMP40" s="19"/>
      <c r="GMQ40" s="19"/>
      <c r="GMR40" s="19"/>
      <c r="GMS40" s="19"/>
      <c r="GMT40" s="19"/>
      <c r="GMU40" s="19"/>
      <c r="GMV40" s="19"/>
      <c r="GMW40" s="19"/>
      <c r="GMX40" s="19"/>
      <c r="GMY40" s="19"/>
      <c r="GMZ40" s="19"/>
      <c r="GNA40" s="19"/>
      <c r="GNB40" s="19"/>
      <c r="GNC40" s="19"/>
      <c r="GND40" s="19"/>
      <c r="GNE40" s="19"/>
      <c r="GNF40" s="19"/>
      <c r="GNG40" s="19"/>
      <c r="GNH40" s="19"/>
      <c r="GNI40" s="19"/>
      <c r="GNJ40" s="19"/>
      <c r="GNK40" s="19"/>
      <c r="GNL40" s="19"/>
      <c r="GNM40" s="19"/>
      <c r="GNN40" s="19"/>
      <c r="GNO40" s="19"/>
      <c r="GNP40" s="19"/>
      <c r="GNQ40" s="19"/>
      <c r="GNR40" s="19"/>
      <c r="GNS40" s="19"/>
      <c r="GNT40" s="19"/>
      <c r="GNU40" s="19"/>
      <c r="GNV40" s="19"/>
      <c r="GNW40" s="19"/>
      <c r="GNX40" s="19"/>
      <c r="GNY40" s="19"/>
      <c r="GNZ40" s="19"/>
      <c r="GOA40" s="19"/>
      <c r="GOB40" s="19"/>
      <c r="GOC40" s="19"/>
      <c r="GOD40" s="19"/>
      <c r="GOE40" s="19"/>
      <c r="GOF40" s="19"/>
      <c r="GOG40" s="19"/>
      <c r="GOH40" s="19"/>
      <c r="GOI40" s="19"/>
      <c r="GOJ40" s="19"/>
      <c r="GOK40" s="19"/>
      <c r="GOL40" s="19"/>
      <c r="GOM40" s="19"/>
      <c r="GON40" s="19"/>
      <c r="GOO40" s="19"/>
      <c r="GOP40" s="19"/>
      <c r="GOQ40" s="19"/>
      <c r="GOR40" s="19"/>
      <c r="GOS40" s="19"/>
      <c r="GOT40" s="19"/>
      <c r="GOU40" s="19"/>
      <c r="GOV40" s="19"/>
      <c r="GOW40" s="19"/>
      <c r="GOX40" s="19"/>
      <c r="GOY40" s="19"/>
      <c r="GOZ40" s="19"/>
      <c r="GPA40" s="19"/>
      <c r="GPB40" s="19"/>
      <c r="GPC40" s="19"/>
      <c r="GPD40" s="19"/>
      <c r="GPE40" s="19"/>
      <c r="GPF40" s="19"/>
      <c r="GPG40" s="19"/>
      <c r="GPH40" s="19"/>
      <c r="GPI40" s="19"/>
      <c r="GPJ40" s="19"/>
      <c r="GPK40" s="19"/>
      <c r="GPL40" s="19"/>
      <c r="GPM40" s="19"/>
      <c r="GPN40" s="19"/>
      <c r="GPO40" s="19"/>
      <c r="GPP40" s="19"/>
      <c r="GPQ40" s="19"/>
      <c r="GPR40" s="19"/>
      <c r="GPS40" s="19"/>
      <c r="GPT40" s="19"/>
      <c r="GPU40" s="19"/>
      <c r="GPV40" s="19"/>
      <c r="GPW40" s="19"/>
      <c r="GPX40" s="19"/>
      <c r="GPY40" s="19"/>
      <c r="GPZ40" s="19"/>
      <c r="GQA40" s="19"/>
      <c r="GQB40" s="19"/>
      <c r="GQC40" s="19"/>
      <c r="GQD40" s="19"/>
      <c r="GQE40" s="19"/>
      <c r="GQF40" s="19"/>
      <c r="GQG40" s="19"/>
      <c r="GQH40" s="19"/>
      <c r="GQI40" s="19"/>
      <c r="GQJ40" s="19"/>
      <c r="GQK40" s="19"/>
      <c r="GQL40" s="19"/>
      <c r="GQM40" s="19"/>
      <c r="GQN40" s="19"/>
      <c r="GQO40" s="19"/>
      <c r="GQP40" s="19"/>
      <c r="GQQ40" s="19"/>
      <c r="GQR40" s="19"/>
      <c r="GQS40" s="19"/>
      <c r="GQT40" s="19"/>
      <c r="GQU40" s="19"/>
      <c r="GQV40" s="19"/>
      <c r="GQW40" s="19"/>
      <c r="GQX40" s="19"/>
      <c r="GQY40" s="19"/>
      <c r="GQZ40" s="19"/>
      <c r="GRA40" s="19"/>
      <c r="GRB40" s="19"/>
      <c r="GRC40" s="19"/>
      <c r="GRD40" s="19"/>
      <c r="GRE40" s="19"/>
      <c r="GRF40" s="19"/>
      <c r="GRG40" s="19"/>
      <c r="GRH40" s="19"/>
      <c r="GRI40" s="19"/>
      <c r="GRJ40" s="19"/>
      <c r="GRK40" s="19"/>
      <c r="GRL40" s="19"/>
      <c r="GRM40" s="19"/>
      <c r="GRN40" s="19"/>
      <c r="GRO40" s="19"/>
      <c r="GRP40" s="19"/>
      <c r="GRQ40" s="19"/>
      <c r="GRR40" s="19"/>
      <c r="GRS40" s="19"/>
      <c r="GRT40" s="19"/>
      <c r="GRU40" s="19"/>
      <c r="GRV40" s="19"/>
      <c r="GRW40" s="19"/>
      <c r="GRX40" s="19"/>
      <c r="GRY40" s="19"/>
      <c r="GRZ40" s="19"/>
      <c r="GSA40" s="19"/>
      <c r="GSB40" s="19"/>
      <c r="GSC40" s="19"/>
      <c r="GSD40" s="19"/>
      <c r="GSE40" s="19"/>
      <c r="GSF40" s="19"/>
      <c r="GSG40" s="19"/>
      <c r="GSH40" s="19"/>
      <c r="GSI40" s="19"/>
      <c r="GSJ40" s="19"/>
      <c r="GSK40" s="19"/>
      <c r="GSL40" s="19"/>
      <c r="GSM40" s="19"/>
      <c r="GSN40" s="19"/>
      <c r="GSO40" s="19"/>
      <c r="GSP40" s="19"/>
      <c r="GSQ40" s="19"/>
      <c r="GSR40" s="19"/>
      <c r="GSS40" s="19"/>
      <c r="GST40" s="19"/>
      <c r="GSU40" s="19"/>
      <c r="GSV40" s="19"/>
      <c r="GSW40" s="19"/>
      <c r="GSX40" s="19"/>
      <c r="GSY40" s="19"/>
      <c r="GSZ40" s="19"/>
      <c r="GTA40" s="19"/>
      <c r="GTB40" s="19"/>
      <c r="GTC40" s="19"/>
      <c r="GTD40" s="19"/>
      <c r="GTE40" s="19"/>
      <c r="GTF40" s="19"/>
      <c r="GTG40" s="19"/>
      <c r="GTH40" s="19"/>
      <c r="GTI40" s="19"/>
      <c r="GTJ40" s="19"/>
      <c r="GTK40" s="19"/>
      <c r="GTL40" s="19"/>
      <c r="GTM40" s="19"/>
      <c r="GTN40" s="19"/>
      <c r="GTO40" s="19"/>
      <c r="GTP40" s="19"/>
      <c r="GTQ40" s="19"/>
      <c r="GTR40" s="19"/>
      <c r="GTS40" s="19"/>
      <c r="GTT40" s="19"/>
      <c r="GTU40" s="19"/>
      <c r="GTV40" s="19"/>
      <c r="GTW40" s="19"/>
      <c r="GTX40" s="19"/>
      <c r="GTY40" s="19"/>
      <c r="GTZ40" s="19"/>
      <c r="GUA40" s="19"/>
      <c r="GUB40" s="19"/>
      <c r="GUC40" s="19"/>
      <c r="GUD40" s="19"/>
      <c r="GUE40" s="19"/>
      <c r="GUF40" s="19"/>
      <c r="GUG40" s="19"/>
      <c r="GUH40" s="19"/>
      <c r="GUI40" s="19"/>
      <c r="GUJ40" s="19"/>
      <c r="GUK40" s="19"/>
      <c r="GUL40" s="19"/>
      <c r="GUM40" s="19"/>
      <c r="GUN40" s="19"/>
      <c r="GUO40" s="19"/>
      <c r="GUP40" s="19"/>
      <c r="GUQ40" s="19"/>
      <c r="GUR40" s="19"/>
      <c r="GUS40" s="19"/>
      <c r="GUT40" s="19"/>
      <c r="GUU40" s="19"/>
      <c r="GUV40" s="19"/>
      <c r="GUW40" s="19"/>
      <c r="GUX40" s="19"/>
      <c r="GUY40" s="19"/>
      <c r="GUZ40" s="19"/>
      <c r="GVA40" s="19"/>
      <c r="GVB40" s="19"/>
      <c r="GVC40" s="19"/>
      <c r="GVD40" s="19"/>
      <c r="GVE40" s="19"/>
      <c r="GVF40" s="19"/>
      <c r="GVG40" s="19"/>
      <c r="GVH40" s="19"/>
      <c r="GVI40" s="19"/>
      <c r="GVJ40" s="19"/>
      <c r="GVK40" s="19"/>
      <c r="GVL40" s="19"/>
      <c r="GVM40" s="19"/>
      <c r="GVN40" s="19"/>
      <c r="GVO40" s="19"/>
      <c r="GVP40" s="19"/>
      <c r="GVQ40" s="19"/>
      <c r="GVR40" s="19"/>
      <c r="GVS40" s="19"/>
      <c r="GVT40" s="19"/>
      <c r="GVU40" s="19"/>
      <c r="GVV40" s="19"/>
      <c r="GVW40" s="19"/>
      <c r="GVX40" s="19"/>
      <c r="GVY40" s="19"/>
      <c r="GVZ40" s="19"/>
      <c r="GWA40" s="19"/>
      <c r="GWB40" s="19"/>
      <c r="GWC40" s="19"/>
      <c r="GWD40" s="19"/>
      <c r="GWE40" s="19"/>
      <c r="GWF40" s="19"/>
      <c r="GWG40" s="19"/>
      <c r="GWH40" s="19"/>
      <c r="GWI40" s="19"/>
      <c r="GWJ40" s="19"/>
      <c r="GWK40" s="19"/>
      <c r="GWL40" s="19"/>
      <c r="GWM40" s="19"/>
      <c r="GWN40" s="19"/>
      <c r="GWO40" s="19"/>
      <c r="GWP40" s="19"/>
      <c r="GWQ40" s="19"/>
      <c r="GWR40" s="19"/>
      <c r="GWS40" s="19"/>
      <c r="GWT40" s="19"/>
      <c r="GWU40" s="19"/>
      <c r="GWV40" s="19"/>
      <c r="GWW40" s="19"/>
      <c r="GWX40" s="19"/>
      <c r="GWY40" s="19"/>
      <c r="GWZ40" s="19"/>
      <c r="GXA40" s="19"/>
      <c r="GXB40" s="19"/>
      <c r="GXC40" s="19"/>
      <c r="GXD40" s="19"/>
      <c r="GXE40" s="19"/>
      <c r="GXF40" s="19"/>
      <c r="GXG40" s="19"/>
      <c r="GXH40" s="19"/>
      <c r="GXI40" s="19"/>
      <c r="GXJ40" s="19"/>
      <c r="GXK40" s="19"/>
      <c r="GXL40" s="19"/>
      <c r="GXM40" s="19"/>
      <c r="GXN40" s="19"/>
      <c r="GXO40" s="19"/>
      <c r="GXP40" s="19"/>
      <c r="GXQ40" s="19"/>
      <c r="GXR40" s="19"/>
      <c r="GXS40" s="19"/>
      <c r="GXT40" s="19"/>
      <c r="GXU40" s="19"/>
      <c r="GXV40" s="19"/>
      <c r="GXW40" s="19"/>
      <c r="GXX40" s="19"/>
      <c r="GXY40" s="19"/>
      <c r="GXZ40" s="19"/>
      <c r="GYA40" s="19"/>
      <c r="GYB40" s="19"/>
      <c r="GYC40" s="19"/>
      <c r="GYD40" s="19"/>
      <c r="GYE40" s="19"/>
      <c r="GYF40" s="19"/>
      <c r="GYG40" s="19"/>
      <c r="GYH40" s="19"/>
      <c r="GYI40" s="19"/>
      <c r="GYJ40" s="19"/>
      <c r="GYK40" s="19"/>
      <c r="GYL40" s="19"/>
      <c r="GYM40" s="19"/>
      <c r="GYN40" s="19"/>
      <c r="GYO40" s="19"/>
      <c r="GYP40" s="19"/>
      <c r="GYQ40" s="19"/>
      <c r="GYR40" s="19"/>
      <c r="GYS40" s="19"/>
      <c r="GYT40" s="19"/>
      <c r="GYU40" s="19"/>
      <c r="GYV40" s="19"/>
      <c r="GYW40" s="19"/>
      <c r="GYX40" s="19"/>
      <c r="GYY40" s="19"/>
      <c r="GYZ40" s="19"/>
      <c r="GZA40" s="19"/>
      <c r="GZB40" s="19"/>
      <c r="GZC40" s="19"/>
      <c r="GZD40" s="19"/>
      <c r="GZE40" s="19"/>
      <c r="GZF40" s="19"/>
      <c r="GZG40" s="19"/>
      <c r="GZH40" s="19"/>
      <c r="GZI40" s="19"/>
      <c r="GZJ40" s="19"/>
      <c r="GZK40" s="19"/>
      <c r="GZL40" s="19"/>
      <c r="GZM40" s="19"/>
      <c r="GZN40" s="19"/>
      <c r="GZO40" s="19"/>
      <c r="GZP40" s="19"/>
      <c r="GZQ40" s="19"/>
      <c r="GZR40" s="19"/>
      <c r="GZS40" s="19"/>
      <c r="GZT40" s="19"/>
      <c r="GZU40" s="19"/>
      <c r="GZV40" s="19"/>
      <c r="GZW40" s="19"/>
      <c r="GZX40" s="19"/>
      <c r="GZY40" s="19"/>
      <c r="GZZ40" s="19"/>
      <c r="HAA40" s="19"/>
      <c r="HAB40" s="19"/>
      <c r="HAC40" s="19"/>
      <c r="HAD40" s="19"/>
      <c r="HAE40" s="19"/>
      <c r="HAF40" s="19"/>
      <c r="HAG40" s="19"/>
      <c r="HAH40" s="19"/>
      <c r="HAI40" s="19"/>
      <c r="HAJ40" s="19"/>
      <c r="HAK40" s="19"/>
      <c r="HAL40" s="19"/>
      <c r="HAM40" s="19"/>
      <c r="HAN40" s="19"/>
      <c r="HAO40" s="19"/>
      <c r="HAP40" s="19"/>
      <c r="HAQ40" s="19"/>
      <c r="HAR40" s="19"/>
      <c r="HAS40" s="19"/>
      <c r="HAT40" s="19"/>
      <c r="HAU40" s="19"/>
      <c r="HAV40" s="19"/>
      <c r="HAW40" s="19"/>
      <c r="HAX40" s="19"/>
      <c r="HAY40" s="19"/>
      <c r="HAZ40" s="19"/>
      <c r="HBA40" s="19"/>
      <c r="HBB40" s="19"/>
      <c r="HBC40" s="19"/>
      <c r="HBD40" s="19"/>
      <c r="HBE40" s="19"/>
      <c r="HBF40" s="19"/>
      <c r="HBG40" s="19"/>
      <c r="HBH40" s="19"/>
      <c r="HBI40" s="19"/>
      <c r="HBJ40" s="19"/>
      <c r="HBK40" s="19"/>
      <c r="HBL40" s="19"/>
      <c r="HBM40" s="19"/>
      <c r="HBN40" s="19"/>
      <c r="HBO40" s="19"/>
      <c r="HBP40" s="19"/>
      <c r="HBQ40" s="19"/>
      <c r="HBR40" s="19"/>
      <c r="HBS40" s="19"/>
      <c r="HBT40" s="19"/>
      <c r="HBU40" s="19"/>
      <c r="HBV40" s="19"/>
      <c r="HBW40" s="19"/>
      <c r="HBX40" s="19"/>
      <c r="HBY40" s="19"/>
      <c r="HBZ40" s="19"/>
      <c r="HCA40" s="19"/>
      <c r="HCB40" s="19"/>
      <c r="HCC40" s="19"/>
      <c r="HCD40" s="19"/>
      <c r="HCE40" s="19"/>
      <c r="HCF40" s="19"/>
      <c r="HCG40" s="19"/>
      <c r="HCH40" s="19"/>
      <c r="HCI40" s="19"/>
      <c r="HCJ40" s="19"/>
      <c r="HCK40" s="19"/>
      <c r="HCL40" s="19"/>
      <c r="HCM40" s="19"/>
      <c r="HCN40" s="19"/>
      <c r="HCO40" s="19"/>
      <c r="HCP40" s="19"/>
      <c r="HCQ40" s="19"/>
      <c r="HCR40" s="19"/>
      <c r="HCS40" s="19"/>
      <c r="HCT40" s="19"/>
      <c r="HCU40" s="19"/>
      <c r="HCV40" s="19"/>
      <c r="HCW40" s="19"/>
      <c r="HCX40" s="19"/>
      <c r="HCY40" s="19"/>
      <c r="HCZ40" s="19"/>
      <c r="HDA40" s="19"/>
      <c r="HDB40" s="19"/>
      <c r="HDC40" s="19"/>
      <c r="HDD40" s="19"/>
      <c r="HDE40" s="19"/>
      <c r="HDF40" s="19"/>
      <c r="HDG40" s="19"/>
      <c r="HDH40" s="19"/>
      <c r="HDI40" s="19"/>
      <c r="HDJ40" s="19"/>
      <c r="HDK40" s="19"/>
      <c r="HDL40" s="19"/>
      <c r="HDM40" s="19"/>
      <c r="HDN40" s="19"/>
      <c r="HDO40" s="19"/>
      <c r="HDP40" s="19"/>
      <c r="HDQ40" s="19"/>
      <c r="HDR40" s="19"/>
      <c r="HDS40" s="19"/>
      <c r="HDT40" s="19"/>
      <c r="HDU40" s="19"/>
      <c r="HDV40" s="19"/>
      <c r="HDW40" s="19"/>
      <c r="HDX40" s="19"/>
      <c r="HDY40" s="19"/>
      <c r="HDZ40" s="19"/>
      <c r="HEA40" s="19"/>
      <c r="HEB40" s="19"/>
      <c r="HEC40" s="19"/>
      <c r="HED40" s="19"/>
      <c r="HEE40" s="19"/>
      <c r="HEF40" s="19"/>
      <c r="HEG40" s="19"/>
      <c r="HEH40" s="19"/>
      <c r="HEI40" s="19"/>
      <c r="HEJ40" s="19"/>
      <c r="HEK40" s="19"/>
      <c r="HEL40" s="19"/>
      <c r="HEM40" s="19"/>
      <c r="HEN40" s="19"/>
      <c r="HEO40" s="19"/>
      <c r="HEP40" s="19"/>
      <c r="HEQ40" s="19"/>
      <c r="HER40" s="19"/>
      <c r="HES40" s="19"/>
      <c r="HET40" s="19"/>
      <c r="HEU40" s="19"/>
      <c r="HEV40" s="19"/>
      <c r="HEW40" s="19"/>
      <c r="HEX40" s="19"/>
      <c r="HEY40" s="19"/>
      <c r="HEZ40" s="19"/>
      <c r="HFA40" s="19"/>
      <c r="HFB40" s="19"/>
      <c r="HFC40" s="19"/>
      <c r="HFD40" s="19"/>
      <c r="HFE40" s="19"/>
      <c r="HFF40" s="19"/>
      <c r="HFG40" s="19"/>
      <c r="HFH40" s="19"/>
      <c r="HFI40" s="19"/>
      <c r="HFJ40" s="19"/>
      <c r="HFK40" s="19"/>
      <c r="HFL40" s="19"/>
      <c r="HFM40" s="19"/>
      <c r="HFN40" s="19"/>
      <c r="HFO40" s="19"/>
      <c r="HFP40" s="19"/>
      <c r="HFQ40" s="19"/>
      <c r="HFR40" s="19"/>
      <c r="HFS40" s="19"/>
      <c r="HFT40" s="19"/>
      <c r="HFU40" s="19"/>
      <c r="HFV40" s="19"/>
      <c r="HFW40" s="19"/>
      <c r="HFX40" s="19"/>
      <c r="HFY40" s="19"/>
      <c r="HFZ40" s="19"/>
      <c r="HGA40" s="19"/>
      <c r="HGB40" s="19"/>
      <c r="HGC40" s="19"/>
      <c r="HGD40" s="19"/>
      <c r="HGE40" s="19"/>
      <c r="HGF40" s="19"/>
      <c r="HGG40" s="19"/>
      <c r="HGH40" s="19"/>
      <c r="HGI40" s="19"/>
      <c r="HGJ40" s="19"/>
      <c r="HGK40" s="19"/>
      <c r="HGL40" s="19"/>
      <c r="HGM40" s="19"/>
      <c r="HGN40" s="19"/>
      <c r="HGO40" s="19"/>
      <c r="HGP40" s="19"/>
      <c r="HGQ40" s="19"/>
      <c r="HGR40" s="19"/>
      <c r="HGS40" s="19"/>
      <c r="HGT40" s="19"/>
      <c r="HGU40" s="19"/>
      <c r="HGV40" s="19"/>
      <c r="HGW40" s="19"/>
      <c r="HGX40" s="19"/>
      <c r="HGY40" s="19"/>
      <c r="HGZ40" s="19"/>
      <c r="HHA40" s="19"/>
      <c r="HHB40" s="19"/>
      <c r="HHC40" s="19"/>
      <c r="HHD40" s="19"/>
      <c r="HHE40" s="19"/>
      <c r="HHF40" s="19"/>
      <c r="HHG40" s="19"/>
      <c r="HHH40" s="19"/>
      <c r="HHI40" s="19"/>
      <c r="HHJ40" s="19"/>
      <c r="HHK40" s="19"/>
      <c r="HHL40" s="19"/>
      <c r="HHM40" s="19"/>
      <c r="HHN40" s="19"/>
      <c r="HHO40" s="19"/>
      <c r="HHP40" s="19"/>
      <c r="HHQ40" s="19"/>
      <c r="HHR40" s="19"/>
      <c r="HHS40" s="19"/>
      <c r="HHT40" s="19"/>
      <c r="HHU40" s="19"/>
      <c r="HHV40" s="19"/>
      <c r="HHW40" s="19"/>
      <c r="HHX40" s="19"/>
      <c r="HHY40" s="19"/>
      <c r="HHZ40" s="19"/>
      <c r="HIA40" s="19"/>
      <c r="HIB40" s="19"/>
      <c r="HIC40" s="19"/>
      <c r="HID40" s="19"/>
      <c r="HIE40" s="19"/>
      <c r="HIF40" s="19"/>
      <c r="HIG40" s="19"/>
      <c r="HIH40" s="19"/>
      <c r="HII40" s="19"/>
      <c r="HIJ40" s="19"/>
      <c r="HIK40" s="19"/>
      <c r="HIL40" s="19"/>
      <c r="HIM40" s="19"/>
      <c r="HIN40" s="19"/>
      <c r="HIO40" s="19"/>
      <c r="HIP40" s="19"/>
      <c r="HIQ40" s="19"/>
      <c r="HIR40" s="19"/>
      <c r="HIS40" s="19"/>
      <c r="HIT40" s="19"/>
      <c r="HIU40" s="19"/>
      <c r="HIV40" s="19"/>
      <c r="HIW40" s="19"/>
      <c r="HIX40" s="19"/>
      <c r="HIY40" s="19"/>
      <c r="HIZ40" s="19"/>
      <c r="HJA40" s="19"/>
      <c r="HJB40" s="19"/>
      <c r="HJC40" s="19"/>
      <c r="HJD40" s="19"/>
      <c r="HJE40" s="19"/>
      <c r="HJF40" s="19"/>
      <c r="HJG40" s="19"/>
      <c r="HJH40" s="19"/>
      <c r="HJI40" s="19"/>
      <c r="HJJ40" s="19"/>
      <c r="HJK40" s="19"/>
      <c r="HJL40" s="19"/>
      <c r="HJM40" s="19"/>
      <c r="HJN40" s="19"/>
      <c r="HJO40" s="19"/>
      <c r="HJP40" s="19"/>
      <c r="HJQ40" s="19"/>
      <c r="HJR40" s="19"/>
      <c r="HJS40" s="19"/>
      <c r="HJT40" s="19"/>
      <c r="HJU40" s="19"/>
      <c r="HJV40" s="19"/>
      <c r="HJW40" s="19"/>
      <c r="HJX40" s="19"/>
      <c r="HJY40" s="19"/>
      <c r="HJZ40" s="19"/>
      <c r="HKA40" s="19"/>
      <c r="HKB40" s="19"/>
      <c r="HKC40" s="19"/>
      <c r="HKD40" s="19"/>
      <c r="HKE40" s="19"/>
      <c r="HKF40" s="19"/>
      <c r="HKG40" s="19"/>
      <c r="HKH40" s="19"/>
      <c r="HKI40" s="19"/>
      <c r="HKJ40" s="19"/>
      <c r="HKK40" s="19"/>
      <c r="HKL40" s="19"/>
      <c r="HKM40" s="19"/>
      <c r="HKN40" s="19"/>
      <c r="HKO40" s="19"/>
      <c r="HKP40" s="19"/>
      <c r="HKQ40" s="19"/>
      <c r="HKR40" s="19"/>
      <c r="HKS40" s="19"/>
      <c r="HKT40" s="19"/>
      <c r="HKU40" s="19"/>
      <c r="HKV40" s="19"/>
      <c r="HKW40" s="19"/>
      <c r="HKX40" s="19"/>
      <c r="HKY40" s="19"/>
      <c r="HKZ40" s="19"/>
      <c r="HLA40" s="19"/>
      <c r="HLB40" s="19"/>
      <c r="HLC40" s="19"/>
      <c r="HLD40" s="19"/>
      <c r="HLE40" s="19"/>
      <c r="HLF40" s="19"/>
      <c r="HLG40" s="19"/>
      <c r="HLH40" s="19"/>
      <c r="HLI40" s="19"/>
      <c r="HLJ40" s="19"/>
      <c r="HLK40" s="19"/>
      <c r="HLL40" s="19"/>
      <c r="HLM40" s="19"/>
      <c r="HLN40" s="19"/>
      <c r="HLO40" s="19"/>
      <c r="HLP40" s="19"/>
      <c r="HLQ40" s="19"/>
      <c r="HLR40" s="19"/>
      <c r="HLS40" s="19"/>
      <c r="HLT40" s="19"/>
      <c r="HLU40" s="19"/>
      <c r="HLV40" s="19"/>
      <c r="HLW40" s="19"/>
      <c r="HLX40" s="19"/>
      <c r="HLY40" s="19"/>
      <c r="HLZ40" s="19"/>
      <c r="HMA40" s="19"/>
      <c r="HMB40" s="19"/>
      <c r="HMC40" s="19"/>
      <c r="HMD40" s="19"/>
      <c r="HME40" s="19"/>
      <c r="HMF40" s="19"/>
      <c r="HMG40" s="19"/>
      <c r="HMH40" s="19"/>
      <c r="HMI40" s="19"/>
      <c r="HMJ40" s="19"/>
      <c r="HMK40" s="19"/>
      <c r="HML40" s="19"/>
      <c r="HMM40" s="19"/>
      <c r="HMN40" s="19"/>
      <c r="HMO40" s="19"/>
      <c r="HMP40" s="19"/>
      <c r="HMQ40" s="19"/>
      <c r="HMR40" s="19"/>
      <c r="HMS40" s="19"/>
      <c r="HMT40" s="19"/>
      <c r="HMU40" s="19"/>
      <c r="HMV40" s="19"/>
      <c r="HMW40" s="19"/>
      <c r="HMX40" s="19"/>
      <c r="HMY40" s="19"/>
      <c r="HMZ40" s="19"/>
      <c r="HNA40" s="19"/>
      <c r="HNB40" s="19"/>
      <c r="HNC40" s="19"/>
      <c r="HND40" s="19"/>
      <c r="HNE40" s="19"/>
      <c r="HNF40" s="19"/>
      <c r="HNG40" s="19"/>
      <c r="HNH40" s="19"/>
      <c r="HNI40" s="19"/>
      <c r="HNJ40" s="19"/>
      <c r="HNK40" s="19"/>
      <c r="HNL40" s="19"/>
      <c r="HNM40" s="19"/>
      <c r="HNN40" s="19"/>
      <c r="HNO40" s="19"/>
      <c r="HNP40" s="19"/>
      <c r="HNQ40" s="19"/>
      <c r="HNR40" s="19"/>
      <c r="HNS40" s="19"/>
      <c r="HNT40" s="19"/>
      <c r="HNU40" s="19"/>
      <c r="HNV40" s="19"/>
      <c r="HNW40" s="19"/>
      <c r="HNX40" s="19"/>
      <c r="HNY40" s="19"/>
      <c r="HNZ40" s="19"/>
      <c r="HOA40" s="19"/>
      <c r="HOB40" s="19"/>
      <c r="HOC40" s="19"/>
      <c r="HOD40" s="19"/>
      <c r="HOE40" s="19"/>
      <c r="HOF40" s="19"/>
      <c r="HOG40" s="19"/>
      <c r="HOH40" s="19"/>
      <c r="HOI40" s="19"/>
      <c r="HOJ40" s="19"/>
      <c r="HOK40" s="19"/>
      <c r="HOL40" s="19"/>
      <c r="HOM40" s="19"/>
      <c r="HON40" s="19"/>
      <c r="HOO40" s="19"/>
      <c r="HOP40" s="19"/>
      <c r="HOQ40" s="19"/>
      <c r="HOR40" s="19"/>
      <c r="HOS40" s="19"/>
      <c r="HOT40" s="19"/>
      <c r="HOU40" s="19"/>
      <c r="HOV40" s="19"/>
      <c r="HOW40" s="19"/>
      <c r="HOX40" s="19"/>
      <c r="HOY40" s="19"/>
      <c r="HOZ40" s="19"/>
      <c r="HPA40" s="19"/>
      <c r="HPB40" s="19"/>
      <c r="HPC40" s="19"/>
      <c r="HPD40" s="19"/>
      <c r="HPE40" s="19"/>
      <c r="HPF40" s="19"/>
      <c r="HPG40" s="19"/>
      <c r="HPH40" s="19"/>
      <c r="HPI40" s="19"/>
      <c r="HPJ40" s="19"/>
      <c r="HPK40" s="19"/>
      <c r="HPL40" s="19"/>
      <c r="HPM40" s="19"/>
      <c r="HPN40" s="19"/>
      <c r="HPO40" s="19"/>
      <c r="HPP40" s="19"/>
      <c r="HPQ40" s="19"/>
      <c r="HPR40" s="19"/>
      <c r="HPS40" s="19"/>
      <c r="HPT40" s="19"/>
      <c r="HPU40" s="19"/>
      <c r="HPV40" s="19"/>
      <c r="HPW40" s="19"/>
      <c r="HPX40" s="19"/>
      <c r="HPY40" s="19"/>
      <c r="HPZ40" s="19"/>
      <c r="HQA40" s="19"/>
      <c r="HQB40" s="19"/>
      <c r="HQC40" s="19"/>
      <c r="HQD40" s="19"/>
      <c r="HQE40" s="19"/>
      <c r="HQF40" s="19"/>
      <c r="HQG40" s="19"/>
      <c r="HQH40" s="19"/>
      <c r="HQI40" s="19"/>
      <c r="HQJ40" s="19"/>
      <c r="HQK40" s="19"/>
      <c r="HQL40" s="19"/>
      <c r="HQM40" s="19"/>
      <c r="HQN40" s="19"/>
      <c r="HQO40" s="19"/>
      <c r="HQP40" s="19"/>
      <c r="HQQ40" s="19"/>
      <c r="HQR40" s="19"/>
      <c r="HQS40" s="19"/>
      <c r="HQT40" s="19"/>
      <c r="HQU40" s="19"/>
      <c r="HQV40" s="19"/>
      <c r="HQW40" s="19"/>
      <c r="HQX40" s="19"/>
      <c r="HQY40" s="19"/>
      <c r="HQZ40" s="19"/>
      <c r="HRA40" s="19"/>
      <c r="HRB40" s="19"/>
      <c r="HRC40" s="19"/>
      <c r="HRD40" s="19"/>
      <c r="HRE40" s="19"/>
      <c r="HRF40" s="19"/>
      <c r="HRG40" s="19"/>
      <c r="HRH40" s="19"/>
      <c r="HRI40" s="19"/>
      <c r="HRJ40" s="19"/>
      <c r="HRK40" s="19"/>
      <c r="HRL40" s="19"/>
      <c r="HRM40" s="19"/>
      <c r="HRN40" s="19"/>
      <c r="HRO40" s="19"/>
      <c r="HRP40" s="19"/>
      <c r="HRQ40" s="19"/>
      <c r="HRR40" s="19"/>
      <c r="HRS40" s="19"/>
      <c r="HRT40" s="19"/>
      <c r="HRU40" s="19"/>
      <c r="HRV40" s="19"/>
      <c r="HRW40" s="19"/>
      <c r="HRX40" s="19"/>
      <c r="HRY40" s="19"/>
      <c r="HRZ40" s="19"/>
      <c r="HSA40" s="19"/>
      <c r="HSB40" s="19"/>
      <c r="HSC40" s="19"/>
      <c r="HSD40" s="19"/>
      <c r="HSE40" s="19"/>
      <c r="HSF40" s="19"/>
      <c r="HSG40" s="19"/>
      <c r="HSH40" s="19"/>
      <c r="HSI40" s="19"/>
      <c r="HSJ40" s="19"/>
      <c r="HSK40" s="19"/>
      <c r="HSL40" s="19"/>
      <c r="HSM40" s="19"/>
      <c r="HSN40" s="19"/>
      <c r="HSO40" s="19"/>
      <c r="HSP40" s="19"/>
      <c r="HSQ40" s="19"/>
      <c r="HSR40" s="19"/>
      <c r="HSS40" s="19"/>
      <c r="HST40" s="19"/>
      <c r="HSU40" s="19"/>
      <c r="HSV40" s="19"/>
      <c r="HSW40" s="19"/>
      <c r="HSX40" s="19"/>
      <c r="HSY40" s="19"/>
      <c r="HSZ40" s="19"/>
      <c r="HTA40" s="19"/>
      <c r="HTB40" s="19"/>
      <c r="HTC40" s="19"/>
      <c r="HTD40" s="19"/>
      <c r="HTE40" s="19"/>
      <c r="HTF40" s="19"/>
      <c r="HTG40" s="19"/>
      <c r="HTH40" s="19"/>
      <c r="HTI40" s="19"/>
      <c r="HTJ40" s="19"/>
      <c r="HTK40" s="19"/>
      <c r="HTL40" s="19"/>
      <c r="HTM40" s="19"/>
      <c r="HTN40" s="19"/>
      <c r="HTO40" s="19"/>
      <c r="HTP40" s="19"/>
      <c r="HTQ40" s="19"/>
      <c r="HTR40" s="19"/>
      <c r="HTS40" s="19"/>
      <c r="HTT40" s="19"/>
      <c r="HTU40" s="19"/>
      <c r="HTV40" s="19"/>
      <c r="HTW40" s="19"/>
      <c r="HTX40" s="19"/>
      <c r="HTY40" s="19"/>
      <c r="HTZ40" s="19"/>
      <c r="HUA40" s="19"/>
      <c r="HUB40" s="19"/>
      <c r="HUC40" s="19"/>
      <c r="HUD40" s="19"/>
      <c r="HUE40" s="19"/>
      <c r="HUF40" s="19"/>
      <c r="HUG40" s="19"/>
      <c r="HUH40" s="19"/>
      <c r="HUI40" s="19"/>
      <c r="HUJ40" s="19"/>
      <c r="HUK40" s="19"/>
      <c r="HUL40" s="19"/>
      <c r="HUM40" s="19"/>
      <c r="HUN40" s="19"/>
      <c r="HUO40" s="19"/>
      <c r="HUP40" s="19"/>
      <c r="HUQ40" s="19"/>
      <c r="HUR40" s="19"/>
      <c r="HUS40" s="19"/>
      <c r="HUT40" s="19"/>
      <c r="HUU40" s="19"/>
      <c r="HUV40" s="19"/>
      <c r="HUW40" s="19"/>
      <c r="HUX40" s="19"/>
      <c r="HUY40" s="19"/>
      <c r="HUZ40" s="19"/>
      <c r="HVA40" s="19"/>
      <c r="HVB40" s="19"/>
      <c r="HVC40" s="19"/>
      <c r="HVD40" s="19"/>
      <c r="HVE40" s="19"/>
      <c r="HVF40" s="19"/>
      <c r="HVG40" s="19"/>
      <c r="HVH40" s="19"/>
      <c r="HVI40" s="19"/>
      <c r="HVJ40" s="19"/>
      <c r="HVK40" s="19"/>
      <c r="HVL40" s="19"/>
      <c r="HVM40" s="19"/>
      <c r="HVN40" s="19"/>
      <c r="HVO40" s="19"/>
      <c r="HVP40" s="19"/>
      <c r="HVQ40" s="19"/>
      <c r="HVR40" s="19"/>
      <c r="HVS40" s="19"/>
      <c r="HVT40" s="19"/>
      <c r="HVU40" s="19"/>
      <c r="HVV40" s="19"/>
      <c r="HVW40" s="19"/>
      <c r="HVX40" s="19"/>
      <c r="HVY40" s="19"/>
      <c r="HVZ40" s="19"/>
      <c r="HWA40" s="19"/>
      <c r="HWB40" s="19"/>
      <c r="HWC40" s="19"/>
      <c r="HWD40" s="19"/>
      <c r="HWE40" s="19"/>
      <c r="HWF40" s="19"/>
      <c r="HWG40" s="19"/>
      <c r="HWH40" s="19"/>
      <c r="HWI40" s="19"/>
      <c r="HWJ40" s="19"/>
      <c r="HWK40" s="19"/>
      <c r="HWL40" s="19"/>
      <c r="HWM40" s="19"/>
      <c r="HWN40" s="19"/>
      <c r="HWO40" s="19"/>
      <c r="HWP40" s="19"/>
      <c r="HWQ40" s="19"/>
      <c r="HWR40" s="19"/>
      <c r="HWS40" s="19"/>
      <c r="HWT40" s="19"/>
      <c r="HWU40" s="19"/>
      <c r="HWV40" s="19"/>
      <c r="HWW40" s="19"/>
      <c r="HWX40" s="19"/>
      <c r="HWY40" s="19"/>
      <c r="HWZ40" s="19"/>
      <c r="HXA40" s="19"/>
      <c r="HXB40" s="19"/>
      <c r="HXC40" s="19"/>
      <c r="HXD40" s="19"/>
      <c r="HXE40" s="19"/>
      <c r="HXF40" s="19"/>
      <c r="HXG40" s="19"/>
      <c r="HXH40" s="19"/>
      <c r="HXI40" s="19"/>
      <c r="HXJ40" s="19"/>
      <c r="HXK40" s="19"/>
      <c r="HXL40" s="19"/>
      <c r="HXM40" s="19"/>
      <c r="HXN40" s="19"/>
      <c r="HXO40" s="19"/>
      <c r="HXP40" s="19"/>
      <c r="HXQ40" s="19"/>
      <c r="HXR40" s="19"/>
      <c r="HXS40" s="19"/>
      <c r="HXT40" s="19"/>
      <c r="HXU40" s="19"/>
      <c r="HXV40" s="19"/>
      <c r="HXW40" s="19"/>
      <c r="HXX40" s="19"/>
      <c r="HXY40" s="19"/>
      <c r="HXZ40" s="19"/>
      <c r="HYA40" s="19"/>
      <c r="HYB40" s="19"/>
      <c r="HYC40" s="19"/>
      <c r="HYD40" s="19"/>
      <c r="HYE40" s="19"/>
      <c r="HYF40" s="19"/>
      <c r="HYG40" s="19"/>
      <c r="HYH40" s="19"/>
      <c r="HYI40" s="19"/>
      <c r="HYJ40" s="19"/>
      <c r="HYK40" s="19"/>
      <c r="HYL40" s="19"/>
      <c r="HYM40" s="19"/>
      <c r="HYN40" s="19"/>
      <c r="HYO40" s="19"/>
      <c r="HYP40" s="19"/>
      <c r="HYQ40" s="19"/>
      <c r="HYR40" s="19"/>
      <c r="HYS40" s="19"/>
      <c r="HYT40" s="19"/>
      <c r="HYU40" s="19"/>
      <c r="HYV40" s="19"/>
      <c r="HYW40" s="19"/>
      <c r="HYX40" s="19"/>
      <c r="HYY40" s="19"/>
      <c r="HYZ40" s="19"/>
      <c r="HZA40" s="19"/>
      <c r="HZB40" s="19"/>
      <c r="HZC40" s="19"/>
      <c r="HZD40" s="19"/>
      <c r="HZE40" s="19"/>
      <c r="HZF40" s="19"/>
      <c r="HZG40" s="19"/>
      <c r="HZH40" s="19"/>
      <c r="HZI40" s="19"/>
      <c r="HZJ40" s="19"/>
      <c r="HZK40" s="19"/>
      <c r="HZL40" s="19"/>
      <c r="HZM40" s="19"/>
      <c r="HZN40" s="19"/>
      <c r="HZO40" s="19"/>
      <c r="HZP40" s="19"/>
      <c r="HZQ40" s="19"/>
      <c r="HZR40" s="19"/>
      <c r="HZS40" s="19"/>
      <c r="HZT40" s="19"/>
      <c r="HZU40" s="19"/>
      <c r="HZV40" s="19"/>
      <c r="HZW40" s="19"/>
      <c r="HZX40" s="19"/>
      <c r="HZY40" s="19"/>
      <c r="HZZ40" s="19"/>
      <c r="IAA40" s="19"/>
      <c r="IAB40" s="19"/>
      <c r="IAC40" s="19"/>
      <c r="IAD40" s="19"/>
      <c r="IAE40" s="19"/>
      <c r="IAF40" s="19"/>
      <c r="IAG40" s="19"/>
      <c r="IAH40" s="19"/>
      <c r="IAI40" s="19"/>
      <c r="IAJ40" s="19"/>
      <c r="IAK40" s="19"/>
      <c r="IAL40" s="19"/>
      <c r="IAM40" s="19"/>
      <c r="IAN40" s="19"/>
      <c r="IAO40" s="19"/>
      <c r="IAP40" s="19"/>
      <c r="IAQ40" s="19"/>
      <c r="IAR40" s="19"/>
      <c r="IAS40" s="19"/>
      <c r="IAT40" s="19"/>
      <c r="IAU40" s="19"/>
      <c r="IAV40" s="19"/>
      <c r="IAW40" s="19"/>
      <c r="IAX40" s="19"/>
      <c r="IAY40" s="19"/>
      <c r="IAZ40" s="19"/>
      <c r="IBA40" s="19"/>
      <c r="IBB40" s="19"/>
      <c r="IBC40" s="19"/>
      <c r="IBD40" s="19"/>
      <c r="IBE40" s="19"/>
      <c r="IBF40" s="19"/>
      <c r="IBG40" s="19"/>
      <c r="IBH40" s="19"/>
      <c r="IBI40" s="19"/>
      <c r="IBJ40" s="19"/>
      <c r="IBK40" s="19"/>
      <c r="IBL40" s="19"/>
      <c r="IBM40" s="19"/>
      <c r="IBN40" s="19"/>
      <c r="IBO40" s="19"/>
      <c r="IBP40" s="19"/>
      <c r="IBQ40" s="19"/>
      <c r="IBR40" s="19"/>
      <c r="IBS40" s="19"/>
      <c r="IBT40" s="19"/>
      <c r="IBU40" s="19"/>
      <c r="IBV40" s="19"/>
      <c r="IBW40" s="19"/>
      <c r="IBX40" s="19"/>
      <c r="IBY40" s="19"/>
      <c r="IBZ40" s="19"/>
      <c r="ICA40" s="19"/>
      <c r="ICB40" s="19"/>
      <c r="ICC40" s="19"/>
      <c r="ICD40" s="19"/>
      <c r="ICE40" s="19"/>
      <c r="ICF40" s="19"/>
      <c r="ICG40" s="19"/>
      <c r="ICH40" s="19"/>
      <c r="ICI40" s="19"/>
      <c r="ICJ40" s="19"/>
      <c r="ICK40" s="19"/>
      <c r="ICL40" s="19"/>
      <c r="ICM40" s="19"/>
      <c r="ICN40" s="19"/>
      <c r="ICO40" s="19"/>
      <c r="ICP40" s="19"/>
      <c r="ICQ40" s="19"/>
      <c r="ICR40" s="19"/>
      <c r="ICS40" s="19"/>
      <c r="ICT40" s="19"/>
      <c r="ICU40" s="19"/>
      <c r="ICV40" s="19"/>
      <c r="ICW40" s="19"/>
      <c r="ICX40" s="19"/>
      <c r="ICY40" s="19"/>
      <c r="ICZ40" s="19"/>
      <c r="IDA40" s="19"/>
      <c r="IDB40" s="19"/>
      <c r="IDC40" s="19"/>
      <c r="IDD40" s="19"/>
      <c r="IDE40" s="19"/>
      <c r="IDF40" s="19"/>
      <c r="IDG40" s="19"/>
      <c r="IDH40" s="19"/>
      <c r="IDI40" s="19"/>
      <c r="IDJ40" s="19"/>
      <c r="IDK40" s="19"/>
      <c r="IDL40" s="19"/>
      <c r="IDM40" s="19"/>
      <c r="IDN40" s="19"/>
      <c r="IDO40" s="19"/>
      <c r="IDP40" s="19"/>
      <c r="IDQ40" s="19"/>
      <c r="IDR40" s="19"/>
      <c r="IDS40" s="19"/>
      <c r="IDT40" s="19"/>
      <c r="IDU40" s="19"/>
      <c r="IDV40" s="19"/>
      <c r="IDW40" s="19"/>
      <c r="IDX40" s="19"/>
      <c r="IDY40" s="19"/>
      <c r="IDZ40" s="19"/>
      <c r="IEA40" s="19"/>
      <c r="IEB40" s="19"/>
      <c r="IEC40" s="19"/>
      <c r="IED40" s="19"/>
      <c r="IEE40" s="19"/>
      <c r="IEF40" s="19"/>
      <c r="IEG40" s="19"/>
      <c r="IEH40" s="19"/>
      <c r="IEI40" s="19"/>
      <c r="IEJ40" s="19"/>
      <c r="IEK40" s="19"/>
      <c r="IEL40" s="19"/>
      <c r="IEM40" s="19"/>
      <c r="IEN40" s="19"/>
      <c r="IEO40" s="19"/>
      <c r="IEP40" s="19"/>
      <c r="IEQ40" s="19"/>
      <c r="IER40" s="19"/>
      <c r="IES40" s="19"/>
      <c r="IET40" s="19"/>
      <c r="IEU40" s="19"/>
      <c r="IEV40" s="19"/>
      <c r="IEW40" s="19"/>
      <c r="IEX40" s="19"/>
      <c r="IEY40" s="19"/>
      <c r="IEZ40" s="19"/>
      <c r="IFA40" s="19"/>
      <c r="IFB40" s="19"/>
      <c r="IFC40" s="19"/>
      <c r="IFD40" s="19"/>
      <c r="IFE40" s="19"/>
      <c r="IFF40" s="19"/>
      <c r="IFG40" s="19"/>
      <c r="IFH40" s="19"/>
      <c r="IFI40" s="19"/>
      <c r="IFJ40" s="19"/>
      <c r="IFK40" s="19"/>
      <c r="IFL40" s="19"/>
      <c r="IFM40" s="19"/>
      <c r="IFN40" s="19"/>
      <c r="IFO40" s="19"/>
      <c r="IFP40" s="19"/>
      <c r="IFQ40" s="19"/>
      <c r="IFR40" s="19"/>
      <c r="IFS40" s="19"/>
      <c r="IFT40" s="19"/>
      <c r="IFU40" s="19"/>
      <c r="IFV40" s="19"/>
      <c r="IFW40" s="19"/>
      <c r="IFX40" s="19"/>
      <c r="IFY40" s="19"/>
      <c r="IFZ40" s="19"/>
      <c r="IGA40" s="19"/>
      <c r="IGB40" s="19"/>
      <c r="IGC40" s="19"/>
      <c r="IGD40" s="19"/>
      <c r="IGE40" s="19"/>
      <c r="IGF40" s="19"/>
      <c r="IGG40" s="19"/>
      <c r="IGH40" s="19"/>
      <c r="IGI40" s="19"/>
      <c r="IGJ40" s="19"/>
      <c r="IGK40" s="19"/>
      <c r="IGL40" s="19"/>
      <c r="IGM40" s="19"/>
      <c r="IGN40" s="19"/>
      <c r="IGO40" s="19"/>
      <c r="IGP40" s="19"/>
      <c r="IGQ40" s="19"/>
      <c r="IGR40" s="19"/>
      <c r="IGS40" s="19"/>
      <c r="IGT40" s="19"/>
      <c r="IGU40" s="19"/>
      <c r="IGV40" s="19"/>
      <c r="IGW40" s="19"/>
      <c r="IGX40" s="19"/>
      <c r="IGY40" s="19"/>
      <c r="IGZ40" s="19"/>
      <c r="IHA40" s="19"/>
      <c r="IHB40" s="19"/>
      <c r="IHC40" s="19"/>
      <c r="IHD40" s="19"/>
      <c r="IHE40" s="19"/>
      <c r="IHF40" s="19"/>
      <c r="IHG40" s="19"/>
      <c r="IHH40" s="19"/>
      <c r="IHI40" s="19"/>
      <c r="IHJ40" s="19"/>
      <c r="IHK40" s="19"/>
      <c r="IHL40" s="19"/>
      <c r="IHM40" s="19"/>
      <c r="IHN40" s="19"/>
      <c r="IHO40" s="19"/>
      <c r="IHP40" s="19"/>
      <c r="IHQ40" s="19"/>
      <c r="IHR40" s="19"/>
      <c r="IHS40" s="19"/>
      <c r="IHT40" s="19"/>
      <c r="IHU40" s="19"/>
      <c r="IHV40" s="19"/>
      <c r="IHW40" s="19"/>
      <c r="IHX40" s="19"/>
      <c r="IHY40" s="19"/>
      <c r="IHZ40" s="19"/>
      <c r="IIA40" s="19"/>
      <c r="IIB40" s="19"/>
      <c r="IIC40" s="19"/>
      <c r="IID40" s="19"/>
      <c r="IIE40" s="19"/>
      <c r="IIF40" s="19"/>
      <c r="IIG40" s="19"/>
      <c r="IIH40" s="19"/>
      <c r="III40" s="19"/>
      <c r="IIJ40" s="19"/>
      <c r="IIK40" s="19"/>
      <c r="IIL40" s="19"/>
      <c r="IIM40" s="19"/>
      <c r="IIN40" s="19"/>
      <c r="IIO40" s="19"/>
      <c r="IIP40" s="19"/>
      <c r="IIQ40" s="19"/>
      <c r="IIR40" s="19"/>
      <c r="IIS40" s="19"/>
      <c r="IIT40" s="19"/>
      <c r="IIU40" s="19"/>
      <c r="IIV40" s="19"/>
      <c r="IIW40" s="19"/>
      <c r="IIX40" s="19"/>
      <c r="IIY40" s="19"/>
      <c r="IIZ40" s="19"/>
      <c r="IJA40" s="19"/>
      <c r="IJB40" s="19"/>
      <c r="IJC40" s="19"/>
      <c r="IJD40" s="19"/>
      <c r="IJE40" s="19"/>
      <c r="IJF40" s="19"/>
      <c r="IJG40" s="19"/>
      <c r="IJH40" s="19"/>
      <c r="IJI40" s="19"/>
      <c r="IJJ40" s="19"/>
      <c r="IJK40" s="19"/>
      <c r="IJL40" s="19"/>
      <c r="IJM40" s="19"/>
      <c r="IJN40" s="19"/>
      <c r="IJO40" s="19"/>
      <c r="IJP40" s="19"/>
      <c r="IJQ40" s="19"/>
      <c r="IJR40" s="19"/>
      <c r="IJS40" s="19"/>
      <c r="IJT40" s="19"/>
      <c r="IJU40" s="19"/>
      <c r="IJV40" s="19"/>
      <c r="IJW40" s="19"/>
      <c r="IJX40" s="19"/>
      <c r="IJY40" s="19"/>
      <c r="IJZ40" s="19"/>
      <c r="IKA40" s="19"/>
      <c r="IKB40" s="19"/>
      <c r="IKC40" s="19"/>
      <c r="IKD40" s="19"/>
      <c r="IKE40" s="19"/>
      <c r="IKF40" s="19"/>
      <c r="IKG40" s="19"/>
      <c r="IKH40" s="19"/>
      <c r="IKI40" s="19"/>
      <c r="IKJ40" s="19"/>
      <c r="IKK40" s="19"/>
      <c r="IKL40" s="19"/>
      <c r="IKM40" s="19"/>
      <c r="IKN40" s="19"/>
      <c r="IKO40" s="19"/>
      <c r="IKP40" s="19"/>
      <c r="IKQ40" s="19"/>
      <c r="IKR40" s="19"/>
      <c r="IKS40" s="19"/>
      <c r="IKT40" s="19"/>
      <c r="IKU40" s="19"/>
      <c r="IKV40" s="19"/>
      <c r="IKW40" s="19"/>
      <c r="IKX40" s="19"/>
      <c r="IKY40" s="19"/>
      <c r="IKZ40" s="19"/>
      <c r="ILA40" s="19"/>
      <c r="ILB40" s="19"/>
      <c r="ILC40" s="19"/>
      <c r="ILD40" s="19"/>
      <c r="ILE40" s="19"/>
      <c r="ILF40" s="19"/>
      <c r="ILG40" s="19"/>
      <c r="ILH40" s="19"/>
      <c r="ILI40" s="19"/>
      <c r="ILJ40" s="19"/>
      <c r="ILK40" s="19"/>
      <c r="ILL40" s="19"/>
      <c r="ILM40" s="19"/>
      <c r="ILN40" s="19"/>
      <c r="ILO40" s="19"/>
      <c r="ILP40" s="19"/>
      <c r="ILQ40" s="19"/>
      <c r="ILR40" s="19"/>
      <c r="ILS40" s="19"/>
      <c r="ILT40" s="19"/>
      <c r="ILU40" s="19"/>
      <c r="ILV40" s="19"/>
      <c r="ILW40" s="19"/>
      <c r="ILX40" s="19"/>
      <c r="ILY40" s="19"/>
      <c r="ILZ40" s="19"/>
      <c r="IMA40" s="19"/>
      <c r="IMB40" s="19"/>
      <c r="IMC40" s="19"/>
      <c r="IMD40" s="19"/>
      <c r="IME40" s="19"/>
      <c r="IMF40" s="19"/>
      <c r="IMG40" s="19"/>
      <c r="IMH40" s="19"/>
      <c r="IMI40" s="19"/>
      <c r="IMJ40" s="19"/>
      <c r="IMK40" s="19"/>
      <c r="IML40" s="19"/>
      <c r="IMM40" s="19"/>
      <c r="IMN40" s="19"/>
      <c r="IMO40" s="19"/>
      <c r="IMP40" s="19"/>
      <c r="IMQ40" s="19"/>
      <c r="IMR40" s="19"/>
      <c r="IMS40" s="19"/>
      <c r="IMT40" s="19"/>
      <c r="IMU40" s="19"/>
      <c r="IMV40" s="19"/>
      <c r="IMW40" s="19"/>
      <c r="IMX40" s="19"/>
      <c r="IMY40" s="19"/>
      <c r="IMZ40" s="19"/>
      <c r="INA40" s="19"/>
      <c r="INB40" s="19"/>
      <c r="INC40" s="19"/>
      <c r="IND40" s="19"/>
      <c r="INE40" s="19"/>
      <c r="INF40" s="19"/>
      <c r="ING40" s="19"/>
      <c r="INH40" s="19"/>
      <c r="INI40" s="19"/>
      <c r="INJ40" s="19"/>
      <c r="INK40" s="19"/>
      <c r="INL40" s="19"/>
      <c r="INM40" s="19"/>
      <c r="INN40" s="19"/>
      <c r="INO40" s="19"/>
      <c r="INP40" s="19"/>
      <c r="INQ40" s="19"/>
      <c r="INR40" s="19"/>
      <c r="INS40" s="19"/>
      <c r="INT40" s="19"/>
      <c r="INU40" s="19"/>
      <c r="INV40" s="19"/>
      <c r="INW40" s="19"/>
      <c r="INX40" s="19"/>
      <c r="INY40" s="19"/>
      <c r="INZ40" s="19"/>
      <c r="IOA40" s="19"/>
      <c r="IOB40" s="19"/>
      <c r="IOC40" s="19"/>
      <c r="IOD40" s="19"/>
      <c r="IOE40" s="19"/>
      <c r="IOF40" s="19"/>
      <c r="IOG40" s="19"/>
      <c r="IOH40" s="19"/>
      <c r="IOI40" s="19"/>
      <c r="IOJ40" s="19"/>
      <c r="IOK40" s="19"/>
      <c r="IOL40" s="19"/>
      <c r="IOM40" s="19"/>
      <c r="ION40" s="19"/>
      <c r="IOO40" s="19"/>
      <c r="IOP40" s="19"/>
      <c r="IOQ40" s="19"/>
      <c r="IOR40" s="19"/>
      <c r="IOS40" s="19"/>
      <c r="IOT40" s="19"/>
      <c r="IOU40" s="19"/>
      <c r="IOV40" s="19"/>
      <c r="IOW40" s="19"/>
      <c r="IOX40" s="19"/>
      <c r="IOY40" s="19"/>
      <c r="IOZ40" s="19"/>
      <c r="IPA40" s="19"/>
      <c r="IPB40" s="19"/>
      <c r="IPC40" s="19"/>
      <c r="IPD40" s="19"/>
      <c r="IPE40" s="19"/>
      <c r="IPF40" s="19"/>
      <c r="IPG40" s="19"/>
      <c r="IPH40" s="19"/>
      <c r="IPI40" s="19"/>
      <c r="IPJ40" s="19"/>
      <c r="IPK40" s="19"/>
      <c r="IPL40" s="19"/>
      <c r="IPM40" s="19"/>
      <c r="IPN40" s="19"/>
      <c r="IPO40" s="19"/>
      <c r="IPP40" s="19"/>
      <c r="IPQ40" s="19"/>
      <c r="IPR40" s="19"/>
      <c r="IPS40" s="19"/>
      <c r="IPT40" s="19"/>
      <c r="IPU40" s="19"/>
      <c r="IPV40" s="19"/>
      <c r="IPW40" s="19"/>
      <c r="IPX40" s="19"/>
      <c r="IPY40" s="19"/>
      <c r="IPZ40" s="19"/>
      <c r="IQA40" s="19"/>
      <c r="IQB40" s="19"/>
      <c r="IQC40" s="19"/>
      <c r="IQD40" s="19"/>
      <c r="IQE40" s="19"/>
      <c r="IQF40" s="19"/>
      <c r="IQG40" s="19"/>
      <c r="IQH40" s="19"/>
      <c r="IQI40" s="19"/>
      <c r="IQJ40" s="19"/>
      <c r="IQK40" s="19"/>
      <c r="IQL40" s="19"/>
      <c r="IQM40" s="19"/>
      <c r="IQN40" s="19"/>
      <c r="IQO40" s="19"/>
      <c r="IQP40" s="19"/>
      <c r="IQQ40" s="19"/>
      <c r="IQR40" s="19"/>
      <c r="IQS40" s="19"/>
      <c r="IQT40" s="19"/>
      <c r="IQU40" s="19"/>
      <c r="IQV40" s="19"/>
      <c r="IQW40" s="19"/>
      <c r="IQX40" s="19"/>
      <c r="IQY40" s="19"/>
      <c r="IQZ40" s="19"/>
      <c r="IRA40" s="19"/>
      <c r="IRB40" s="19"/>
      <c r="IRC40" s="19"/>
      <c r="IRD40" s="19"/>
      <c r="IRE40" s="19"/>
      <c r="IRF40" s="19"/>
      <c r="IRG40" s="19"/>
      <c r="IRH40" s="19"/>
      <c r="IRI40" s="19"/>
      <c r="IRJ40" s="19"/>
      <c r="IRK40" s="19"/>
      <c r="IRL40" s="19"/>
      <c r="IRM40" s="19"/>
      <c r="IRN40" s="19"/>
      <c r="IRO40" s="19"/>
      <c r="IRP40" s="19"/>
      <c r="IRQ40" s="19"/>
      <c r="IRR40" s="19"/>
      <c r="IRS40" s="19"/>
      <c r="IRT40" s="19"/>
      <c r="IRU40" s="19"/>
      <c r="IRV40" s="19"/>
      <c r="IRW40" s="19"/>
      <c r="IRX40" s="19"/>
      <c r="IRY40" s="19"/>
      <c r="IRZ40" s="19"/>
      <c r="ISA40" s="19"/>
      <c r="ISB40" s="19"/>
      <c r="ISC40" s="19"/>
      <c r="ISD40" s="19"/>
      <c r="ISE40" s="19"/>
      <c r="ISF40" s="19"/>
      <c r="ISG40" s="19"/>
      <c r="ISH40" s="19"/>
      <c r="ISI40" s="19"/>
      <c r="ISJ40" s="19"/>
      <c r="ISK40" s="19"/>
      <c r="ISL40" s="19"/>
      <c r="ISM40" s="19"/>
      <c r="ISN40" s="19"/>
      <c r="ISO40" s="19"/>
      <c r="ISP40" s="19"/>
      <c r="ISQ40" s="19"/>
      <c r="ISR40" s="19"/>
      <c r="ISS40" s="19"/>
      <c r="IST40" s="19"/>
      <c r="ISU40" s="19"/>
      <c r="ISV40" s="19"/>
      <c r="ISW40" s="19"/>
      <c r="ISX40" s="19"/>
      <c r="ISY40" s="19"/>
      <c r="ISZ40" s="19"/>
      <c r="ITA40" s="19"/>
      <c r="ITB40" s="19"/>
      <c r="ITC40" s="19"/>
      <c r="ITD40" s="19"/>
      <c r="ITE40" s="19"/>
      <c r="ITF40" s="19"/>
      <c r="ITG40" s="19"/>
      <c r="ITH40" s="19"/>
      <c r="ITI40" s="19"/>
      <c r="ITJ40" s="19"/>
      <c r="ITK40" s="19"/>
      <c r="ITL40" s="19"/>
      <c r="ITM40" s="19"/>
      <c r="ITN40" s="19"/>
      <c r="ITO40" s="19"/>
      <c r="ITP40" s="19"/>
      <c r="ITQ40" s="19"/>
      <c r="ITR40" s="19"/>
      <c r="ITS40" s="19"/>
      <c r="ITT40" s="19"/>
      <c r="ITU40" s="19"/>
      <c r="ITV40" s="19"/>
      <c r="ITW40" s="19"/>
      <c r="ITX40" s="19"/>
      <c r="ITY40" s="19"/>
      <c r="ITZ40" s="19"/>
      <c r="IUA40" s="19"/>
      <c r="IUB40" s="19"/>
      <c r="IUC40" s="19"/>
      <c r="IUD40" s="19"/>
      <c r="IUE40" s="19"/>
      <c r="IUF40" s="19"/>
      <c r="IUG40" s="19"/>
      <c r="IUH40" s="19"/>
      <c r="IUI40" s="19"/>
      <c r="IUJ40" s="19"/>
      <c r="IUK40" s="19"/>
      <c r="IUL40" s="19"/>
      <c r="IUM40" s="19"/>
      <c r="IUN40" s="19"/>
      <c r="IUO40" s="19"/>
      <c r="IUP40" s="19"/>
      <c r="IUQ40" s="19"/>
      <c r="IUR40" s="19"/>
      <c r="IUS40" s="19"/>
      <c r="IUT40" s="19"/>
      <c r="IUU40" s="19"/>
      <c r="IUV40" s="19"/>
      <c r="IUW40" s="19"/>
      <c r="IUX40" s="19"/>
      <c r="IUY40" s="19"/>
      <c r="IUZ40" s="19"/>
      <c r="IVA40" s="19"/>
      <c r="IVB40" s="19"/>
      <c r="IVC40" s="19"/>
      <c r="IVD40" s="19"/>
      <c r="IVE40" s="19"/>
      <c r="IVF40" s="19"/>
      <c r="IVG40" s="19"/>
      <c r="IVH40" s="19"/>
      <c r="IVI40" s="19"/>
      <c r="IVJ40" s="19"/>
      <c r="IVK40" s="19"/>
      <c r="IVL40" s="19"/>
      <c r="IVM40" s="19"/>
      <c r="IVN40" s="19"/>
      <c r="IVO40" s="19"/>
      <c r="IVP40" s="19"/>
      <c r="IVQ40" s="19"/>
      <c r="IVR40" s="19"/>
      <c r="IVS40" s="19"/>
      <c r="IVT40" s="19"/>
      <c r="IVU40" s="19"/>
      <c r="IVV40" s="19"/>
      <c r="IVW40" s="19"/>
      <c r="IVX40" s="19"/>
      <c r="IVY40" s="19"/>
      <c r="IVZ40" s="19"/>
      <c r="IWA40" s="19"/>
      <c r="IWB40" s="19"/>
      <c r="IWC40" s="19"/>
      <c r="IWD40" s="19"/>
      <c r="IWE40" s="19"/>
      <c r="IWF40" s="19"/>
      <c r="IWG40" s="19"/>
      <c r="IWH40" s="19"/>
      <c r="IWI40" s="19"/>
      <c r="IWJ40" s="19"/>
      <c r="IWK40" s="19"/>
      <c r="IWL40" s="19"/>
      <c r="IWM40" s="19"/>
      <c r="IWN40" s="19"/>
      <c r="IWO40" s="19"/>
      <c r="IWP40" s="19"/>
      <c r="IWQ40" s="19"/>
      <c r="IWR40" s="19"/>
      <c r="IWS40" s="19"/>
      <c r="IWT40" s="19"/>
      <c r="IWU40" s="19"/>
      <c r="IWV40" s="19"/>
      <c r="IWW40" s="19"/>
      <c r="IWX40" s="19"/>
      <c r="IWY40" s="19"/>
      <c r="IWZ40" s="19"/>
      <c r="IXA40" s="19"/>
      <c r="IXB40" s="19"/>
      <c r="IXC40" s="19"/>
      <c r="IXD40" s="19"/>
      <c r="IXE40" s="19"/>
      <c r="IXF40" s="19"/>
      <c r="IXG40" s="19"/>
      <c r="IXH40" s="19"/>
      <c r="IXI40" s="19"/>
      <c r="IXJ40" s="19"/>
      <c r="IXK40" s="19"/>
      <c r="IXL40" s="19"/>
      <c r="IXM40" s="19"/>
      <c r="IXN40" s="19"/>
      <c r="IXO40" s="19"/>
      <c r="IXP40" s="19"/>
      <c r="IXQ40" s="19"/>
      <c r="IXR40" s="19"/>
      <c r="IXS40" s="19"/>
      <c r="IXT40" s="19"/>
      <c r="IXU40" s="19"/>
      <c r="IXV40" s="19"/>
      <c r="IXW40" s="19"/>
      <c r="IXX40" s="19"/>
      <c r="IXY40" s="19"/>
      <c r="IXZ40" s="19"/>
      <c r="IYA40" s="19"/>
      <c r="IYB40" s="19"/>
      <c r="IYC40" s="19"/>
      <c r="IYD40" s="19"/>
      <c r="IYE40" s="19"/>
      <c r="IYF40" s="19"/>
      <c r="IYG40" s="19"/>
      <c r="IYH40" s="19"/>
      <c r="IYI40" s="19"/>
      <c r="IYJ40" s="19"/>
      <c r="IYK40" s="19"/>
      <c r="IYL40" s="19"/>
      <c r="IYM40" s="19"/>
      <c r="IYN40" s="19"/>
      <c r="IYO40" s="19"/>
      <c r="IYP40" s="19"/>
      <c r="IYQ40" s="19"/>
      <c r="IYR40" s="19"/>
      <c r="IYS40" s="19"/>
      <c r="IYT40" s="19"/>
      <c r="IYU40" s="19"/>
      <c r="IYV40" s="19"/>
      <c r="IYW40" s="19"/>
      <c r="IYX40" s="19"/>
      <c r="IYY40" s="19"/>
      <c r="IYZ40" s="19"/>
      <c r="IZA40" s="19"/>
      <c r="IZB40" s="19"/>
      <c r="IZC40" s="19"/>
      <c r="IZD40" s="19"/>
      <c r="IZE40" s="19"/>
      <c r="IZF40" s="19"/>
      <c r="IZG40" s="19"/>
      <c r="IZH40" s="19"/>
      <c r="IZI40" s="19"/>
      <c r="IZJ40" s="19"/>
      <c r="IZK40" s="19"/>
      <c r="IZL40" s="19"/>
      <c r="IZM40" s="19"/>
      <c r="IZN40" s="19"/>
      <c r="IZO40" s="19"/>
      <c r="IZP40" s="19"/>
      <c r="IZQ40" s="19"/>
      <c r="IZR40" s="19"/>
      <c r="IZS40" s="19"/>
      <c r="IZT40" s="19"/>
      <c r="IZU40" s="19"/>
      <c r="IZV40" s="19"/>
      <c r="IZW40" s="19"/>
      <c r="IZX40" s="19"/>
      <c r="IZY40" s="19"/>
      <c r="IZZ40" s="19"/>
      <c r="JAA40" s="19"/>
      <c r="JAB40" s="19"/>
      <c r="JAC40" s="19"/>
      <c r="JAD40" s="19"/>
      <c r="JAE40" s="19"/>
      <c r="JAF40" s="19"/>
      <c r="JAG40" s="19"/>
      <c r="JAH40" s="19"/>
      <c r="JAI40" s="19"/>
      <c r="JAJ40" s="19"/>
      <c r="JAK40" s="19"/>
      <c r="JAL40" s="19"/>
      <c r="JAM40" s="19"/>
      <c r="JAN40" s="19"/>
      <c r="JAO40" s="19"/>
      <c r="JAP40" s="19"/>
      <c r="JAQ40" s="19"/>
      <c r="JAR40" s="19"/>
      <c r="JAS40" s="19"/>
      <c r="JAT40" s="19"/>
      <c r="JAU40" s="19"/>
      <c r="JAV40" s="19"/>
      <c r="JAW40" s="19"/>
      <c r="JAX40" s="19"/>
      <c r="JAY40" s="19"/>
      <c r="JAZ40" s="19"/>
      <c r="JBA40" s="19"/>
      <c r="JBB40" s="19"/>
      <c r="JBC40" s="19"/>
      <c r="JBD40" s="19"/>
      <c r="JBE40" s="19"/>
      <c r="JBF40" s="19"/>
      <c r="JBG40" s="19"/>
      <c r="JBH40" s="19"/>
      <c r="JBI40" s="19"/>
      <c r="JBJ40" s="19"/>
      <c r="JBK40" s="19"/>
      <c r="JBL40" s="19"/>
      <c r="JBM40" s="19"/>
      <c r="JBN40" s="19"/>
      <c r="JBO40" s="19"/>
      <c r="JBP40" s="19"/>
      <c r="JBQ40" s="19"/>
      <c r="JBR40" s="19"/>
      <c r="JBS40" s="19"/>
      <c r="JBT40" s="19"/>
      <c r="JBU40" s="19"/>
      <c r="JBV40" s="19"/>
      <c r="JBW40" s="19"/>
      <c r="JBX40" s="19"/>
      <c r="JBY40" s="19"/>
      <c r="JBZ40" s="19"/>
      <c r="JCA40" s="19"/>
      <c r="JCB40" s="19"/>
      <c r="JCC40" s="19"/>
      <c r="JCD40" s="19"/>
      <c r="JCE40" s="19"/>
      <c r="JCF40" s="19"/>
      <c r="JCG40" s="19"/>
      <c r="JCH40" s="19"/>
      <c r="JCI40" s="19"/>
      <c r="JCJ40" s="19"/>
      <c r="JCK40" s="19"/>
      <c r="JCL40" s="19"/>
      <c r="JCM40" s="19"/>
      <c r="JCN40" s="19"/>
      <c r="JCO40" s="19"/>
      <c r="JCP40" s="19"/>
      <c r="JCQ40" s="19"/>
      <c r="JCR40" s="19"/>
      <c r="JCS40" s="19"/>
      <c r="JCT40" s="19"/>
      <c r="JCU40" s="19"/>
      <c r="JCV40" s="19"/>
      <c r="JCW40" s="19"/>
      <c r="JCX40" s="19"/>
      <c r="JCY40" s="19"/>
      <c r="JCZ40" s="19"/>
      <c r="JDA40" s="19"/>
      <c r="JDB40" s="19"/>
      <c r="JDC40" s="19"/>
      <c r="JDD40" s="19"/>
      <c r="JDE40" s="19"/>
      <c r="JDF40" s="19"/>
      <c r="JDG40" s="19"/>
      <c r="JDH40" s="19"/>
      <c r="JDI40" s="19"/>
      <c r="JDJ40" s="19"/>
      <c r="JDK40" s="19"/>
      <c r="JDL40" s="19"/>
      <c r="JDM40" s="19"/>
      <c r="JDN40" s="19"/>
      <c r="JDO40" s="19"/>
      <c r="JDP40" s="19"/>
      <c r="JDQ40" s="19"/>
      <c r="JDR40" s="19"/>
      <c r="JDS40" s="19"/>
      <c r="JDT40" s="19"/>
      <c r="JDU40" s="19"/>
      <c r="JDV40" s="19"/>
      <c r="JDW40" s="19"/>
      <c r="JDX40" s="19"/>
      <c r="JDY40" s="19"/>
      <c r="JDZ40" s="19"/>
      <c r="JEA40" s="19"/>
      <c r="JEB40" s="19"/>
      <c r="JEC40" s="19"/>
      <c r="JED40" s="19"/>
      <c r="JEE40" s="19"/>
      <c r="JEF40" s="19"/>
      <c r="JEG40" s="19"/>
      <c r="JEH40" s="19"/>
      <c r="JEI40" s="19"/>
      <c r="JEJ40" s="19"/>
      <c r="JEK40" s="19"/>
      <c r="JEL40" s="19"/>
      <c r="JEM40" s="19"/>
      <c r="JEN40" s="19"/>
      <c r="JEO40" s="19"/>
      <c r="JEP40" s="19"/>
      <c r="JEQ40" s="19"/>
      <c r="JER40" s="19"/>
      <c r="JES40" s="19"/>
      <c r="JET40" s="19"/>
      <c r="JEU40" s="19"/>
      <c r="JEV40" s="19"/>
      <c r="JEW40" s="19"/>
      <c r="JEX40" s="19"/>
      <c r="JEY40" s="19"/>
      <c r="JEZ40" s="19"/>
      <c r="JFA40" s="19"/>
      <c r="JFB40" s="19"/>
      <c r="JFC40" s="19"/>
      <c r="JFD40" s="19"/>
      <c r="JFE40" s="19"/>
      <c r="JFF40" s="19"/>
      <c r="JFG40" s="19"/>
      <c r="JFH40" s="19"/>
      <c r="JFI40" s="19"/>
      <c r="JFJ40" s="19"/>
      <c r="JFK40" s="19"/>
      <c r="JFL40" s="19"/>
      <c r="JFM40" s="19"/>
      <c r="JFN40" s="19"/>
      <c r="JFO40" s="19"/>
      <c r="JFP40" s="19"/>
      <c r="JFQ40" s="19"/>
      <c r="JFR40" s="19"/>
      <c r="JFS40" s="19"/>
      <c r="JFT40" s="19"/>
      <c r="JFU40" s="19"/>
      <c r="JFV40" s="19"/>
      <c r="JFW40" s="19"/>
      <c r="JFX40" s="19"/>
      <c r="JFY40" s="19"/>
      <c r="JFZ40" s="19"/>
      <c r="JGA40" s="19"/>
      <c r="JGB40" s="19"/>
      <c r="JGC40" s="19"/>
      <c r="JGD40" s="19"/>
      <c r="JGE40" s="19"/>
      <c r="JGF40" s="19"/>
      <c r="JGG40" s="19"/>
      <c r="JGH40" s="19"/>
      <c r="JGI40" s="19"/>
      <c r="JGJ40" s="19"/>
      <c r="JGK40" s="19"/>
      <c r="JGL40" s="19"/>
      <c r="JGM40" s="19"/>
      <c r="JGN40" s="19"/>
      <c r="JGO40" s="19"/>
      <c r="JGP40" s="19"/>
      <c r="JGQ40" s="19"/>
      <c r="JGR40" s="19"/>
      <c r="JGS40" s="19"/>
      <c r="JGT40" s="19"/>
      <c r="JGU40" s="19"/>
      <c r="JGV40" s="19"/>
      <c r="JGW40" s="19"/>
      <c r="JGX40" s="19"/>
      <c r="JGY40" s="19"/>
      <c r="JGZ40" s="19"/>
      <c r="JHA40" s="19"/>
      <c r="JHB40" s="19"/>
      <c r="JHC40" s="19"/>
      <c r="JHD40" s="19"/>
      <c r="JHE40" s="19"/>
      <c r="JHF40" s="19"/>
      <c r="JHG40" s="19"/>
      <c r="JHH40" s="19"/>
      <c r="JHI40" s="19"/>
      <c r="JHJ40" s="19"/>
      <c r="JHK40" s="19"/>
      <c r="JHL40" s="19"/>
      <c r="JHM40" s="19"/>
      <c r="JHN40" s="19"/>
      <c r="JHO40" s="19"/>
      <c r="JHP40" s="19"/>
      <c r="JHQ40" s="19"/>
      <c r="JHR40" s="19"/>
      <c r="JHS40" s="19"/>
      <c r="JHT40" s="19"/>
      <c r="JHU40" s="19"/>
      <c r="JHV40" s="19"/>
      <c r="JHW40" s="19"/>
      <c r="JHX40" s="19"/>
      <c r="JHY40" s="19"/>
      <c r="JHZ40" s="19"/>
      <c r="JIA40" s="19"/>
      <c r="JIB40" s="19"/>
      <c r="JIC40" s="19"/>
      <c r="JID40" s="19"/>
      <c r="JIE40" s="19"/>
      <c r="JIF40" s="19"/>
      <c r="JIG40" s="19"/>
      <c r="JIH40" s="19"/>
      <c r="JII40" s="19"/>
      <c r="JIJ40" s="19"/>
      <c r="JIK40" s="19"/>
      <c r="JIL40" s="19"/>
      <c r="JIM40" s="19"/>
      <c r="JIN40" s="19"/>
      <c r="JIO40" s="19"/>
      <c r="JIP40" s="19"/>
      <c r="JIQ40" s="19"/>
      <c r="JIR40" s="19"/>
      <c r="JIS40" s="19"/>
      <c r="JIT40" s="19"/>
      <c r="JIU40" s="19"/>
      <c r="JIV40" s="19"/>
      <c r="JIW40" s="19"/>
      <c r="JIX40" s="19"/>
      <c r="JIY40" s="19"/>
      <c r="JIZ40" s="19"/>
      <c r="JJA40" s="19"/>
      <c r="JJB40" s="19"/>
      <c r="JJC40" s="19"/>
      <c r="JJD40" s="19"/>
      <c r="JJE40" s="19"/>
      <c r="JJF40" s="19"/>
      <c r="JJG40" s="19"/>
      <c r="JJH40" s="19"/>
      <c r="JJI40" s="19"/>
      <c r="JJJ40" s="19"/>
      <c r="JJK40" s="19"/>
      <c r="JJL40" s="19"/>
      <c r="JJM40" s="19"/>
      <c r="JJN40" s="19"/>
      <c r="JJO40" s="19"/>
      <c r="JJP40" s="19"/>
      <c r="JJQ40" s="19"/>
      <c r="JJR40" s="19"/>
      <c r="JJS40" s="19"/>
      <c r="JJT40" s="19"/>
      <c r="JJU40" s="19"/>
      <c r="JJV40" s="19"/>
      <c r="JJW40" s="19"/>
      <c r="JJX40" s="19"/>
      <c r="JJY40" s="19"/>
      <c r="JJZ40" s="19"/>
      <c r="JKA40" s="19"/>
      <c r="JKB40" s="19"/>
      <c r="JKC40" s="19"/>
      <c r="JKD40" s="19"/>
      <c r="JKE40" s="19"/>
      <c r="JKF40" s="19"/>
      <c r="JKG40" s="19"/>
      <c r="JKH40" s="19"/>
      <c r="JKI40" s="19"/>
      <c r="JKJ40" s="19"/>
      <c r="JKK40" s="19"/>
      <c r="JKL40" s="19"/>
      <c r="JKM40" s="19"/>
      <c r="JKN40" s="19"/>
      <c r="JKO40" s="19"/>
      <c r="JKP40" s="19"/>
      <c r="JKQ40" s="19"/>
      <c r="JKR40" s="19"/>
      <c r="JKS40" s="19"/>
      <c r="JKT40" s="19"/>
      <c r="JKU40" s="19"/>
      <c r="JKV40" s="19"/>
      <c r="JKW40" s="19"/>
      <c r="JKX40" s="19"/>
      <c r="JKY40" s="19"/>
      <c r="JKZ40" s="19"/>
      <c r="JLA40" s="19"/>
      <c r="JLB40" s="19"/>
      <c r="JLC40" s="19"/>
      <c r="JLD40" s="19"/>
      <c r="JLE40" s="19"/>
      <c r="JLF40" s="19"/>
      <c r="JLG40" s="19"/>
      <c r="JLH40" s="19"/>
      <c r="JLI40" s="19"/>
      <c r="JLJ40" s="19"/>
      <c r="JLK40" s="19"/>
      <c r="JLL40" s="19"/>
      <c r="JLM40" s="19"/>
      <c r="JLN40" s="19"/>
      <c r="JLO40" s="19"/>
      <c r="JLP40" s="19"/>
      <c r="JLQ40" s="19"/>
      <c r="JLR40" s="19"/>
      <c r="JLS40" s="19"/>
      <c r="JLT40" s="19"/>
      <c r="JLU40" s="19"/>
      <c r="JLV40" s="19"/>
      <c r="JLW40" s="19"/>
      <c r="JLX40" s="19"/>
      <c r="JLY40" s="19"/>
      <c r="JLZ40" s="19"/>
      <c r="JMA40" s="19"/>
      <c r="JMB40" s="19"/>
      <c r="JMC40" s="19"/>
      <c r="JMD40" s="19"/>
      <c r="JME40" s="19"/>
      <c r="JMF40" s="19"/>
      <c r="JMG40" s="19"/>
      <c r="JMH40" s="19"/>
      <c r="JMI40" s="19"/>
      <c r="JMJ40" s="19"/>
      <c r="JMK40" s="19"/>
      <c r="JML40" s="19"/>
      <c r="JMM40" s="19"/>
      <c r="JMN40" s="19"/>
      <c r="JMO40" s="19"/>
      <c r="JMP40" s="19"/>
      <c r="JMQ40" s="19"/>
      <c r="JMR40" s="19"/>
      <c r="JMS40" s="19"/>
      <c r="JMT40" s="19"/>
      <c r="JMU40" s="19"/>
      <c r="JMV40" s="19"/>
      <c r="JMW40" s="19"/>
      <c r="JMX40" s="19"/>
      <c r="JMY40" s="19"/>
      <c r="JMZ40" s="19"/>
      <c r="JNA40" s="19"/>
      <c r="JNB40" s="19"/>
      <c r="JNC40" s="19"/>
      <c r="JND40" s="19"/>
      <c r="JNE40" s="19"/>
      <c r="JNF40" s="19"/>
      <c r="JNG40" s="19"/>
      <c r="JNH40" s="19"/>
      <c r="JNI40" s="19"/>
      <c r="JNJ40" s="19"/>
      <c r="JNK40" s="19"/>
      <c r="JNL40" s="19"/>
      <c r="JNM40" s="19"/>
      <c r="JNN40" s="19"/>
      <c r="JNO40" s="19"/>
      <c r="JNP40" s="19"/>
      <c r="JNQ40" s="19"/>
      <c r="JNR40" s="19"/>
      <c r="JNS40" s="19"/>
      <c r="JNT40" s="19"/>
      <c r="JNU40" s="19"/>
      <c r="JNV40" s="19"/>
      <c r="JNW40" s="19"/>
      <c r="JNX40" s="19"/>
      <c r="JNY40" s="19"/>
      <c r="JNZ40" s="19"/>
      <c r="JOA40" s="19"/>
      <c r="JOB40" s="19"/>
      <c r="JOC40" s="19"/>
      <c r="JOD40" s="19"/>
      <c r="JOE40" s="19"/>
      <c r="JOF40" s="19"/>
      <c r="JOG40" s="19"/>
      <c r="JOH40" s="19"/>
      <c r="JOI40" s="19"/>
      <c r="JOJ40" s="19"/>
      <c r="JOK40" s="19"/>
      <c r="JOL40" s="19"/>
      <c r="JOM40" s="19"/>
      <c r="JON40" s="19"/>
      <c r="JOO40" s="19"/>
      <c r="JOP40" s="19"/>
      <c r="JOQ40" s="19"/>
      <c r="JOR40" s="19"/>
      <c r="JOS40" s="19"/>
      <c r="JOT40" s="19"/>
      <c r="JOU40" s="19"/>
      <c r="JOV40" s="19"/>
      <c r="JOW40" s="19"/>
      <c r="JOX40" s="19"/>
      <c r="JOY40" s="19"/>
      <c r="JOZ40" s="19"/>
      <c r="JPA40" s="19"/>
      <c r="JPB40" s="19"/>
      <c r="JPC40" s="19"/>
      <c r="JPD40" s="19"/>
      <c r="JPE40" s="19"/>
      <c r="JPF40" s="19"/>
      <c r="JPG40" s="19"/>
      <c r="JPH40" s="19"/>
      <c r="JPI40" s="19"/>
      <c r="JPJ40" s="19"/>
      <c r="JPK40" s="19"/>
      <c r="JPL40" s="19"/>
      <c r="JPM40" s="19"/>
      <c r="JPN40" s="19"/>
      <c r="JPO40" s="19"/>
      <c r="JPP40" s="19"/>
      <c r="JPQ40" s="19"/>
      <c r="JPR40" s="19"/>
      <c r="JPS40" s="19"/>
      <c r="JPT40" s="19"/>
      <c r="JPU40" s="19"/>
      <c r="JPV40" s="19"/>
      <c r="JPW40" s="19"/>
      <c r="JPX40" s="19"/>
      <c r="JPY40" s="19"/>
      <c r="JPZ40" s="19"/>
      <c r="JQA40" s="19"/>
      <c r="JQB40" s="19"/>
      <c r="JQC40" s="19"/>
      <c r="JQD40" s="19"/>
      <c r="JQE40" s="19"/>
      <c r="JQF40" s="19"/>
      <c r="JQG40" s="19"/>
      <c r="JQH40" s="19"/>
      <c r="JQI40" s="19"/>
      <c r="JQJ40" s="19"/>
      <c r="JQK40" s="19"/>
      <c r="JQL40" s="19"/>
      <c r="JQM40" s="19"/>
      <c r="JQN40" s="19"/>
      <c r="JQO40" s="19"/>
      <c r="JQP40" s="19"/>
      <c r="JQQ40" s="19"/>
      <c r="JQR40" s="19"/>
      <c r="JQS40" s="19"/>
      <c r="JQT40" s="19"/>
      <c r="JQU40" s="19"/>
      <c r="JQV40" s="19"/>
      <c r="JQW40" s="19"/>
      <c r="JQX40" s="19"/>
      <c r="JQY40" s="19"/>
      <c r="JQZ40" s="19"/>
      <c r="JRA40" s="19"/>
      <c r="JRB40" s="19"/>
      <c r="JRC40" s="19"/>
      <c r="JRD40" s="19"/>
      <c r="JRE40" s="19"/>
      <c r="JRF40" s="19"/>
      <c r="JRG40" s="19"/>
      <c r="JRH40" s="19"/>
      <c r="JRI40" s="19"/>
      <c r="JRJ40" s="19"/>
      <c r="JRK40" s="19"/>
      <c r="JRL40" s="19"/>
      <c r="JRM40" s="19"/>
      <c r="JRN40" s="19"/>
      <c r="JRO40" s="19"/>
      <c r="JRP40" s="19"/>
      <c r="JRQ40" s="19"/>
      <c r="JRR40" s="19"/>
      <c r="JRS40" s="19"/>
      <c r="JRT40" s="19"/>
      <c r="JRU40" s="19"/>
      <c r="JRV40" s="19"/>
      <c r="JRW40" s="19"/>
      <c r="JRX40" s="19"/>
      <c r="JRY40" s="19"/>
      <c r="JRZ40" s="19"/>
      <c r="JSA40" s="19"/>
      <c r="JSB40" s="19"/>
      <c r="JSC40" s="19"/>
      <c r="JSD40" s="19"/>
      <c r="JSE40" s="19"/>
      <c r="JSF40" s="19"/>
      <c r="JSG40" s="19"/>
      <c r="JSH40" s="19"/>
      <c r="JSI40" s="19"/>
      <c r="JSJ40" s="19"/>
      <c r="JSK40" s="19"/>
      <c r="JSL40" s="19"/>
      <c r="JSM40" s="19"/>
      <c r="JSN40" s="19"/>
      <c r="JSO40" s="19"/>
      <c r="JSP40" s="19"/>
      <c r="JSQ40" s="19"/>
      <c r="JSR40" s="19"/>
      <c r="JSS40" s="19"/>
      <c r="JST40" s="19"/>
      <c r="JSU40" s="19"/>
      <c r="JSV40" s="19"/>
      <c r="JSW40" s="19"/>
      <c r="JSX40" s="19"/>
      <c r="JSY40" s="19"/>
      <c r="JSZ40" s="19"/>
      <c r="JTA40" s="19"/>
      <c r="JTB40" s="19"/>
      <c r="JTC40" s="19"/>
      <c r="JTD40" s="19"/>
      <c r="JTE40" s="19"/>
      <c r="JTF40" s="19"/>
      <c r="JTG40" s="19"/>
      <c r="JTH40" s="19"/>
      <c r="JTI40" s="19"/>
      <c r="JTJ40" s="19"/>
      <c r="JTK40" s="19"/>
      <c r="JTL40" s="19"/>
      <c r="JTM40" s="19"/>
      <c r="JTN40" s="19"/>
      <c r="JTO40" s="19"/>
      <c r="JTP40" s="19"/>
      <c r="JTQ40" s="19"/>
      <c r="JTR40" s="19"/>
      <c r="JTS40" s="19"/>
      <c r="JTT40" s="19"/>
      <c r="JTU40" s="19"/>
      <c r="JTV40" s="19"/>
      <c r="JTW40" s="19"/>
      <c r="JTX40" s="19"/>
      <c r="JTY40" s="19"/>
      <c r="JTZ40" s="19"/>
      <c r="JUA40" s="19"/>
      <c r="JUB40" s="19"/>
      <c r="JUC40" s="19"/>
      <c r="JUD40" s="19"/>
      <c r="JUE40" s="19"/>
      <c r="JUF40" s="19"/>
      <c r="JUG40" s="19"/>
      <c r="JUH40" s="19"/>
      <c r="JUI40" s="19"/>
      <c r="JUJ40" s="19"/>
      <c r="JUK40" s="19"/>
      <c r="JUL40" s="19"/>
      <c r="JUM40" s="19"/>
      <c r="JUN40" s="19"/>
      <c r="JUO40" s="19"/>
      <c r="JUP40" s="19"/>
      <c r="JUQ40" s="19"/>
      <c r="JUR40" s="19"/>
      <c r="JUS40" s="19"/>
      <c r="JUT40" s="19"/>
      <c r="JUU40" s="19"/>
      <c r="JUV40" s="19"/>
      <c r="JUW40" s="19"/>
      <c r="JUX40" s="19"/>
      <c r="JUY40" s="19"/>
      <c r="JUZ40" s="19"/>
      <c r="JVA40" s="19"/>
      <c r="JVB40" s="19"/>
      <c r="JVC40" s="19"/>
      <c r="JVD40" s="19"/>
      <c r="JVE40" s="19"/>
      <c r="JVF40" s="19"/>
      <c r="JVG40" s="19"/>
      <c r="JVH40" s="19"/>
      <c r="JVI40" s="19"/>
      <c r="JVJ40" s="19"/>
      <c r="JVK40" s="19"/>
      <c r="JVL40" s="19"/>
      <c r="JVM40" s="19"/>
      <c r="JVN40" s="19"/>
      <c r="JVO40" s="19"/>
      <c r="JVP40" s="19"/>
      <c r="JVQ40" s="19"/>
      <c r="JVR40" s="19"/>
      <c r="JVS40" s="19"/>
      <c r="JVT40" s="19"/>
      <c r="JVU40" s="19"/>
      <c r="JVV40" s="19"/>
      <c r="JVW40" s="19"/>
      <c r="JVX40" s="19"/>
      <c r="JVY40" s="19"/>
      <c r="JVZ40" s="19"/>
      <c r="JWA40" s="19"/>
      <c r="JWB40" s="19"/>
      <c r="JWC40" s="19"/>
      <c r="JWD40" s="19"/>
      <c r="JWE40" s="19"/>
      <c r="JWF40" s="19"/>
      <c r="JWG40" s="19"/>
      <c r="JWH40" s="19"/>
      <c r="JWI40" s="19"/>
      <c r="JWJ40" s="19"/>
      <c r="JWK40" s="19"/>
      <c r="JWL40" s="19"/>
      <c r="JWM40" s="19"/>
      <c r="JWN40" s="19"/>
      <c r="JWO40" s="19"/>
      <c r="JWP40" s="19"/>
      <c r="JWQ40" s="19"/>
      <c r="JWR40" s="19"/>
      <c r="JWS40" s="19"/>
      <c r="JWT40" s="19"/>
      <c r="JWU40" s="19"/>
      <c r="JWV40" s="19"/>
      <c r="JWW40" s="19"/>
      <c r="JWX40" s="19"/>
      <c r="JWY40" s="19"/>
      <c r="JWZ40" s="19"/>
      <c r="JXA40" s="19"/>
      <c r="JXB40" s="19"/>
      <c r="JXC40" s="19"/>
      <c r="JXD40" s="19"/>
      <c r="JXE40" s="19"/>
      <c r="JXF40" s="19"/>
      <c r="JXG40" s="19"/>
      <c r="JXH40" s="19"/>
      <c r="JXI40" s="19"/>
      <c r="JXJ40" s="19"/>
      <c r="JXK40" s="19"/>
      <c r="JXL40" s="19"/>
      <c r="JXM40" s="19"/>
      <c r="JXN40" s="19"/>
      <c r="JXO40" s="19"/>
      <c r="JXP40" s="19"/>
      <c r="JXQ40" s="19"/>
      <c r="JXR40" s="19"/>
      <c r="JXS40" s="19"/>
      <c r="JXT40" s="19"/>
      <c r="JXU40" s="19"/>
      <c r="JXV40" s="19"/>
      <c r="JXW40" s="19"/>
      <c r="JXX40" s="19"/>
      <c r="JXY40" s="19"/>
      <c r="JXZ40" s="19"/>
      <c r="JYA40" s="19"/>
      <c r="JYB40" s="19"/>
      <c r="JYC40" s="19"/>
      <c r="JYD40" s="19"/>
      <c r="JYE40" s="19"/>
      <c r="JYF40" s="19"/>
      <c r="JYG40" s="19"/>
      <c r="JYH40" s="19"/>
      <c r="JYI40" s="19"/>
      <c r="JYJ40" s="19"/>
      <c r="JYK40" s="19"/>
      <c r="JYL40" s="19"/>
      <c r="JYM40" s="19"/>
      <c r="JYN40" s="19"/>
      <c r="JYO40" s="19"/>
      <c r="JYP40" s="19"/>
      <c r="JYQ40" s="19"/>
      <c r="JYR40" s="19"/>
      <c r="JYS40" s="19"/>
      <c r="JYT40" s="19"/>
      <c r="JYU40" s="19"/>
      <c r="JYV40" s="19"/>
      <c r="JYW40" s="19"/>
      <c r="JYX40" s="19"/>
      <c r="JYY40" s="19"/>
      <c r="JYZ40" s="19"/>
      <c r="JZA40" s="19"/>
      <c r="JZB40" s="19"/>
      <c r="JZC40" s="19"/>
      <c r="JZD40" s="19"/>
      <c r="JZE40" s="19"/>
      <c r="JZF40" s="19"/>
      <c r="JZG40" s="19"/>
      <c r="JZH40" s="19"/>
      <c r="JZI40" s="19"/>
      <c r="JZJ40" s="19"/>
      <c r="JZK40" s="19"/>
      <c r="JZL40" s="19"/>
      <c r="JZM40" s="19"/>
      <c r="JZN40" s="19"/>
      <c r="JZO40" s="19"/>
      <c r="JZP40" s="19"/>
      <c r="JZQ40" s="19"/>
      <c r="JZR40" s="19"/>
      <c r="JZS40" s="19"/>
      <c r="JZT40" s="19"/>
      <c r="JZU40" s="19"/>
      <c r="JZV40" s="19"/>
      <c r="JZW40" s="19"/>
      <c r="JZX40" s="19"/>
      <c r="JZY40" s="19"/>
      <c r="JZZ40" s="19"/>
      <c r="KAA40" s="19"/>
      <c r="KAB40" s="19"/>
      <c r="KAC40" s="19"/>
      <c r="KAD40" s="19"/>
      <c r="KAE40" s="19"/>
      <c r="KAF40" s="19"/>
      <c r="KAG40" s="19"/>
      <c r="KAH40" s="19"/>
      <c r="KAI40" s="19"/>
      <c r="KAJ40" s="19"/>
      <c r="KAK40" s="19"/>
      <c r="KAL40" s="19"/>
      <c r="KAM40" s="19"/>
      <c r="KAN40" s="19"/>
      <c r="KAO40" s="19"/>
      <c r="KAP40" s="19"/>
      <c r="KAQ40" s="19"/>
      <c r="KAR40" s="19"/>
      <c r="KAS40" s="19"/>
      <c r="KAT40" s="19"/>
      <c r="KAU40" s="19"/>
      <c r="KAV40" s="19"/>
      <c r="KAW40" s="19"/>
      <c r="KAX40" s="19"/>
      <c r="KAY40" s="19"/>
      <c r="KAZ40" s="19"/>
      <c r="KBA40" s="19"/>
      <c r="KBB40" s="19"/>
      <c r="KBC40" s="19"/>
      <c r="KBD40" s="19"/>
      <c r="KBE40" s="19"/>
      <c r="KBF40" s="19"/>
      <c r="KBG40" s="19"/>
      <c r="KBH40" s="19"/>
      <c r="KBI40" s="19"/>
      <c r="KBJ40" s="19"/>
      <c r="KBK40" s="19"/>
      <c r="KBL40" s="19"/>
      <c r="KBM40" s="19"/>
      <c r="KBN40" s="19"/>
      <c r="KBO40" s="19"/>
      <c r="KBP40" s="19"/>
      <c r="KBQ40" s="19"/>
      <c r="KBR40" s="19"/>
      <c r="KBS40" s="19"/>
      <c r="KBT40" s="19"/>
      <c r="KBU40" s="19"/>
      <c r="KBV40" s="19"/>
      <c r="KBW40" s="19"/>
      <c r="KBX40" s="19"/>
      <c r="KBY40" s="19"/>
      <c r="KBZ40" s="19"/>
      <c r="KCA40" s="19"/>
      <c r="KCB40" s="19"/>
      <c r="KCC40" s="19"/>
      <c r="KCD40" s="19"/>
      <c r="KCE40" s="19"/>
      <c r="KCF40" s="19"/>
      <c r="KCG40" s="19"/>
      <c r="KCH40" s="19"/>
      <c r="KCI40" s="19"/>
      <c r="KCJ40" s="19"/>
      <c r="KCK40" s="19"/>
      <c r="KCL40" s="19"/>
      <c r="KCM40" s="19"/>
      <c r="KCN40" s="19"/>
      <c r="KCO40" s="19"/>
      <c r="KCP40" s="19"/>
      <c r="KCQ40" s="19"/>
      <c r="KCR40" s="19"/>
      <c r="KCS40" s="19"/>
      <c r="KCT40" s="19"/>
      <c r="KCU40" s="19"/>
      <c r="KCV40" s="19"/>
      <c r="KCW40" s="19"/>
      <c r="KCX40" s="19"/>
      <c r="KCY40" s="19"/>
      <c r="KCZ40" s="19"/>
      <c r="KDA40" s="19"/>
      <c r="KDB40" s="19"/>
      <c r="KDC40" s="19"/>
      <c r="KDD40" s="19"/>
      <c r="KDE40" s="19"/>
      <c r="KDF40" s="19"/>
      <c r="KDG40" s="19"/>
      <c r="KDH40" s="19"/>
      <c r="KDI40" s="19"/>
      <c r="KDJ40" s="19"/>
      <c r="KDK40" s="19"/>
      <c r="KDL40" s="19"/>
      <c r="KDM40" s="19"/>
      <c r="KDN40" s="19"/>
      <c r="KDO40" s="19"/>
      <c r="KDP40" s="19"/>
      <c r="KDQ40" s="19"/>
      <c r="KDR40" s="19"/>
      <c r="KDS40" s="19"/>
      <c r="KDT40" s="19"/>
      <c r="KDU40" s="19"/>
      <c r="KDV40" s="19"/>
      <c r="KDW40" s="19"/>
      <c r="KDX40" s="19"/>
      <c r="KDY40" s="19"/>
      <c r="KDZ40" s="19"/>
      <c r="KEA40" s="19"/>
      <c r="KEB40" s="19"/>
      <c r="KEC40" s="19"/>
      <c r="KED40" s="19"/>
      <c r="KEE40" s="19"/>
      <c r="KEF40" s="19"/>
      <c r="KEG40" s="19"/>
      <c r="KEH40" s="19"/>
      <c r="KEI40" s="19"/>
      <c r="KEJ40" s="19"/>
      <c r="KEK40" s="19"/>
      <c r="KEL40" s="19"/>
      <c r="KEM40" s="19"/>
      <c r="KEN40" s="19"/>
      <c r="KEO40" s="19"/>
      <c r="KEP40" s="19"/>
      <c r="KEQ40" s="19"/>
      <c r="KER40" s="19"/>
      <c r="KES40" s="19"/>
      <c r="KET40" s="19"/>
      <c r="KEU40" s="19"/>
      <c r="KEV40" s="19"/>
      <c r="KEW40" s="19"/>
      <c r="KEX40" s="19"/>
      <c r="KEY40" s="19"/>
      <c r="KEZ40" s="19"/>
      <c r="KFA40" s="19"/>
      <c r="KFB40" s="19"/>
      <c r="KFC40" s="19"/>
      <c r="KFD40" s="19"/>
      <c r="KFE40" s="19"/>
      <c r="KFF40" s="19"/>
      <c r="KFG40" s="19"/>
      <c r="KFH40" s="19"/>
      <c r="KFI40" s="19"/>
      <c r="KFJ40" s="19"/>
      <c r="KFK40" s="19"/>
      <c r="KFL40" s="19"/>
      <c r="KFM40" s="19"/>
      <c r="KFN40" s="19"/>
      <c r="KFO40" s="19"/>
      <c r="KFP40" s="19"/>
      <c r="KFQ40" s="19"/>
      <c r="KFR40" s="19"/>
      <c r="KFS40" s="19"/>
      <c r="KFT40" s="19"/>
      <c r="KFU40" s="19"/>
      <c r="KFV40" s="19"/>
      <c r="KFW40" s="19"/>
      <c r="KFX40" s="19"/>
      <c r="KFY40" s="19"/>
      <c r="KFZ40" s="19"/>
      <c r="KGA40" s="19"/>
      <c r="KGB40" s="19"/>
      <c r="KGC40" s="19"/>
      <c r="KGD40" s="19"/>
      <c r="KGE40" s="19"/>
      <c r="KGF40" s="19"/>
      <c r="KGG40" s="19"/>
      <c r="KGH40" s="19"/>
      <c r="KGI40" s="19"/>
      <c r="KGJ40" s="19"/>
      <c r="KGK40" s="19"/>
      <c r="KGL40" s="19"/>
      <c r="KGM40" s="19"/>
      <c r="KGN40" s="19"/>
      <c r="KGO40" s="19"/>
      <c r="KGP40" s="19"/>
      <c r="KGQ40" s="19"/>
      <c r="KGR40" s="19"/>
      <c r="KGS40" s="19"/>
      <c r="KGT40" s="19"/>
      <c r="KGU40" s="19"/>
      <c r="KGV40" s="19"/>
      <c r="KGW40" s="19"/>
      <c r="KGX40" s="19"/>
      <c r="KGY40" s="19"/>
      <c r="KGZ40" s="19"/>
      <c r="KHA40" s="19"/>
      <c r="KHB40" s="19"/>
      <c r="KHC40" s="19"/>
      <c r="KHD40" s="19"/>
      <c r="KHE40" s="19"/>
      <c r="KHF40" s="19"/>
      <c r="KHG40" s="19"/>
      <c r="KHH40" s="19"/>
      <c r="KHI40" s="19"/>
      <c r="KHJ40" s="19"/>
      <c r="KHK40" s="19"/>
      <c r="KHL40" s="19"/>
      <c r="KHM40" s="19"/>
      <c r="KHN40" s="19"/>
      <c r="KHO40" s="19"/>
      <c r="KHP40" s="19"/>
      <c r="KHQ40" s="19"/>
      <c r="KHR40" s="19"/>
      <c r="KHS40" s="19"/>
      <c r="KHT40" s="19"/>
      <c r="KHU40" s="19"/>
      <c r="KHV40" s="19"/>
      <c r="KHW40" s="19"/>
      <c r="KHX40" s="19"/>
      <c r="KHY40" s="19"/>
      <c r="KHZ40" s="19"/>
      <c r="KIA40" s="19"/>
      <c r="KIB40" s="19"/>
      <c r="KIC40" s="19"/>
      <c r="KID40" s="19"/>
      <c r="KIE40" s="19"/>
      <c r="KIF40" s="19"/>
      <c r="KIG40" s="19"/>
      <c r="KIH40" s="19"/>
      <c r="KII40" s="19"/>
      <c r="KIJ40" s="19"/>
      <c r="KIK40" s="19"/>
      <c r="KIL40" s="19"/>
      <c r="KIM40" s="19"/>
      <c r="KIN40" s="19"/>
      <c r="KIO40" s="19"/>
      <c r="KIP40" s="19"/>
      <c r="KIQ40" s="19"/>
      <c r="KIR40" s="19"/>
      <c r="KIS40" s="19"/>
      <c r="KIT40" s="19"/>
      <c r="KIU40" s="19"/>
      <c r="KIV40" s="19"/>
      <c r="KIW40" s="19"/>
      <c r="KIX40" s="19"/>
      <c r="KIY40" s="19"/>
      <c r="KIZ40" s="19"/>
      <c r="KJA40" s="19"/>
      <c r="KJB40" s="19"/>
      <c r="KJC40" s="19"/>
      <c r="KJD40" s="19"/>
      <c r="KJE40" s="19"/>
      <c r="KJF40" s="19"/>
      <c r="KJG40" s="19"/>
      <c r="KJH40" s="19"/>
      <c r="KJI40" s="19"/>
      <c r="KJJ40" s="19"/>
      <c r="KJK40" s="19"/>
      <c r="KJL40" s="19"/>
      <c r="KJM40" s="19"/>
      <c r="KJN40" s="19"/>
      <c r="KJO40" s="19"/>
      <c r="KJP40" s="19"/>
      <c r="KJQ40" s="19"/>
      <c r="KJR40" s="19"/>
      <c r="KJS40" s="19"/>
      <c r="KJT40" s="19"/>
      <c r="KJU40" s="19"/>
      <c r="KJV40" s="19"/>
      <c r="KJW40" s="19"/>
      <c r="KJX40" s="19"/>
      <c r="KJY40" s="19"/>
      <c r="KJZ40" s="19"/>
      <c r="KKA40" s="19"/>
      <c r="KKB40" s="19"/>
      <c r="KKC40" s="19"/>
      <c r="KKD40" s="19"/>
      <c r="KKE40" s="19"/>
      <c r="KKF40" s="19"/>
      <c r="KKG40" s="19"/>
      <c r="KKH40" s="19"/>
      <c r="KKI40" s="19"/>
      <c r="KKJ40" s="19"/>
      <c r="KKK40" s="19"/>
      <c r="KKL40" s="19"/>
      <c r="KKM40" s="19"/>
      <c r="KKN40" s="19"/>
      <c r="KKO40" s="19"/>
      <c r="KKP40" s="19"/>
      <c r="KKQ40" s="19"/>
      <c r="KKR40" s="19"/>
      <c r="KKS40" s="19"/>
      <c r="KKT40" s="19"/>
      <c r="KKU40" s="19"/>
      <c r="KKV40" s="19"/>
      <c r="KKW40" s="19"/>
      <c r="KKX40" s="19"/>
      <c r="KKY40" s="19"/>
      <c r="KKZ40" s="19"/>
      <c r="KLA40" s="19"/>
      <c r="KLB40" s="19"/>
      <c r="KLC40" s="19"/>
      <c r="KLD40" s="19"/>
      <c r="KLE40" s="19"/>
      <c r="KLF40" s="19"/>
      <c r="KLG40" s="19"/>
      <c r="KLH40" s="19"/>
      <c r="KLI40" s="19"/>
      <c r="KLJ40" s="19"/>
      <c r="KLK40" s="19"/>
      <c r="KLL40" s="19"/>
      <c r="KLM40" s="19"/>
      <c r="KLN40" s="19"/>
      <c r="KLO40" s="19"/>
      <c r="KLP40" s="19"/>
      <c r="KLQ40" s="19"/>
      <c r="KLR40" s="19"/>
      <c r="KLS40" s="19"/>
      <c r="KLT40" s="19"/>
      <c r="KLU40" s="19"/>
      <c r="KLV40" s="19"/>
      <c r="KLW40" s="19"/>
      <c r="KLX40" s="19"/>
      <c r="KLY40" s="19"/>
      <c r="KLZ40" s="19"/>
      <c r="KMA40" s="19"/>
      <c r="KMB40" s="19"/>
      <c r="KMC40" s="19"/>
      <c r="KMD40" s="19"/>
      <c r="KME40" s="19"/>
      <c r="KMF40" s="19"/>
      <c r="KMG40" s="19"/>
      <c r="KMH40" s="19"/>
      <c r="KMI40" s="19"/>
      <c r="KMJ40" s="19"/>
      <c r="KMK40" s="19"/>
      <c r="KML40" s="19"/>
      <c r="KMM40" s="19"/>
      <c r="KMN40" s="19"/>
      <c r="KMO40" s="19"/>
      <c r="KMP40" s="19"/>
      <c r="KMQ40" s="19"/>
      <c r="KMR40" s="19"/>
      <c r="KMS40" s="19"/>
      <c r="KMT40" s="19"/>
      <c r="KMU40" s="19"/>
      <c r="KMV40" s="19"/>
      <c r="KMW40" s="19"/>
      <c r="KMX40" s="19"/>
      <c r="KMY40" s="19"/>
      <c r="KMZ40" s="19"/>
      <c r="KNA40" s="19"/>
      <c r="KNB40" s="19"/>
      <c r="KNC40" s="19"/>
      <c r="KND40" s="19"/>
      <c r="KNE40" s="19"/>
      <c r="KNF40" s="19"/>
      <c r="KNG40" s="19"/>
      <c r="KNH40" s="19"/>
      <c r="KNI40" s="19"/>
      <c r="KNJ40" s="19"/>
      <c r="KNK40" s="19"/>
      <c r="KNL40" s="19"/>
      <c r="KNM40" s="19"/>
      <c r="KNN40" s="19"/>
      <c r="KNO40" s="19"/>
      <c r="KNP40" s="19"/>
      <c r="KNQ40" s="19"/>
      <c r="KNR40" s="19"/>
      <c r="KNS40" s="19"/>
      <c r="KNT40" s="19"/>
      <c r="KNU40" s="19"/>
      <c r="KNV40" s="19"/>
      <c r="KNW40" s="19"/>
      <c r="KNX40" s="19"/>
      <c r="KNY40" s="19"/>
      <c r="KNZ40" s="19"/>
      <c r="KOA40" s="19"/>
      <c r="KOB40" s="19"/>
      <c r="KOC40" s="19"/>
      <c r="KOD40" s="19"/>
      <c r="KOE40" s="19"/>
      <c r="KOF40" s="19"/>
      <c r="KOG40" s="19"/>
      <c r="KOH40" s="19"/>
      <c r="KOI40" s="19"/>
      <c r="KOJ40" s="19"/>
      <c r="KOK40" s="19"/>
      <c r="KOL40" s="19"/>
      <c r="KOM40" s="19"/>
      <c r="KON40" s="19"/>
      <c r="KOO40" s="19"/>
      <c r="KOP40" s="19"/>
      <c r="KOQ40" s="19"/>
      <c r="KOR40" s="19"/>
      <c r="KOS40" s="19"/>
      <c r="KOT40" s="19"/>
      <c r="KOU40" s="19"/>
      <c r="KOV40" s="19"/>
      <c r="KOW40" s="19"/>
      <c r="KOX40" s="19"/>
      <c r="KOY40" s="19"/>
      <c r="KOZ40" s="19"/>
      <c r="KPA40" s="19"/>
      <c r="KPB40" s="19"/>
      <c r="KPC40" s="19"/>
      <c r="KPD40" s="19"/>
      <c r="KPE40" s="19"/>
      <c r="KPF40" s="19"/>
      <c r="KPG40" s="19"/>
      <c r="KPH40" s="19"/>
      <c r="KPI40" s="19"/>
      <c r="KPJ40" s="19"/>
      <c r="KPK40" s="19"/>
      <c r="KPL40" s="19"/>
      <c r="KPM40" s="19"/>
      <c r="KPN40" s="19"/>
      <c r="KPO40" s="19"/>
      <c r="KPP40" s="19"/>
      <c r="KPQ40" s="19"/>
      <c r="KPR40" s="19"/>
      <c r="KPS40" s="19"/>
      <c r="KPT40" s="19"/>
      <c r="KPU40" s="19"/>
      <c r="KPV40" s="19"/>
      <c r="KPW40" s="19"/>
      <c r="KPX40" s="19"/>
      <c r="KPY40" s="19"/>
      <c r="KPZ40" s="19"/>
      <c r="KQA40" s="19"/>
      <c r="KQB40" s="19"/>
      <c r="KQC40" s="19"/>
      <c r="KQD40" s="19"/>
      <c r="KQE40" s="19"/>
      <c r="KQF40" s="19"/>
      <c r="KQG40" s="19"/>
      <c r="KQH40" s="19"/>
      <c r="KQI40" s="19"/>
      <c r="KQJ40" s="19"/>
      <c r="KQK40" s="19"/>
      <c r="KQL40" s="19"/>
      <c r="KQM40" s="19"/>
      <c r="KQN40" s="19"/>
      <c r="KQO40" s="19"/>
      <c r="KQP40" s="19"/>
      <c r="KQQ40" s="19"/>
      <c r="KQR40" s="19"/>
      <c r="KQS40" s="19"/>
      <c r="KQT40" s="19"/>
      <c r="KQU40" s="19"/>
      <c r="KQV40" s="19"/>
      <c r="KQW40" s="19"/>
      <c r="KQX40" s="19"/>
      <c r="KQY40" s="19"/>
      <c r="KQZ40" s="19"/>
      <c r="KRA40" s="19"/>
      <c r="KRB40" s="19"/>
      <c r="KRC40" s="19"/>
      <c r="KRD40" s="19"/>
      <c r="KRE40" s="19"/>
      <c r="KRF40" s="19"/>
      <c r="KRG40" s="19"/>
      <c r="KRH40" s="19"/>
      <c r="KRI40" s="19"/>
      <c r="KRJ40" s="19"/>
      <c r="KRK40" s="19"/>
      <c r="KRL40" s="19"/>
      <c r="KRM40" s="19"/>
      <c r="KRN40" s="19"/>
      <c r="KRO40" s="19"/>
      <c r="KRP40" s="19"/>
      <c r="KRQ40" s="19"/>
      <c r="KRR40" s="19"/>
      <c r="KRS40" s="19"/>
      <c r="KRT40" s="19"/>
      <c r="KRU40" s="19"/>
      <c r="KRV40" s="19"/>
      <c r="KRW40" s="19"/>
      <c r="KRX40" s="19"/>
      <c r="KRY40" s="19"/>
      <c r="KRZ40" s="19"/>
      <c r="KSA40" s="19"/>
      <c r="KSB40" s="19"/>
      <c r="KSC40" s="19"/>
      <c r="KSD40" s="19"/>
      <c r="KSE40" s="19"/>
      <c r="KSF40" s="19"/>
      <c r="KSG40" s="19"/>
      <c r="KSH40" s="19"/>
      <c r="KSI40" s="19"/>
      <c r="KSJ40" s="19"/>
      <c r="KSK40" s="19"/>
      <c r="KSL40" s="19"/>
      <c r="KSM40" s="19"/>
      <c r="KSN40" s="19"/>
      <c r="KSO40" s="19"/>
      <c r="KSP40" s="19"/>
      <c r="KSQ40" s="19"/>
      <c r="KSR40" s="19"/>
      <c r="KSS40" s="19"/>
      <c r="KST40" s="19"/>
      <c r="KSU40" s="19"/>
      <c r="KSV40" s="19"/>
      <c r="KSW40" s="19"/>
      <c r="KSX40" s="19"/>
      <c r="KSY40" s="19"/>
      <c r="KSZ40" s="19"/>
      <c r="KTA40" s="19"/>
      <c r="KTB40" s="19"/>
      <c r="KTC40" s="19"/>
      <c r="KTD40" s="19"/>
      <c r="KTE40" s="19"/>
      <c r="KTF40" s="19"/>
      <c r="KTG40" s="19"/>
      <c r="KTH40" s="19"/>
      <c r="KTI40" s="19"/>
      <c r="KTJ40" s="19"/>
      <c r="KTK40" s="19"/>
      <c r="KTL40" s="19"/>
      <c r="KTM40" s="19"/>
      <c r="KTN40" s="19"/>
      <c r="KTO40" s="19"/>
      <c r="KTP40" s="19"/>
      <c r="KTQ40" s="19"/>
      <c r="KTR40" s="19"/>
      <c r="KTS40" s="19"/>
      <c r="KTT40" s="19"/>
      <c r="KTU40" s="19"/>
      <c r="KTV40" s="19"/>
      <c r="KTW40" s="19"/>
      <c r="KTX40" s="19"/>
      <c r="KTY40" s="19"/>
      <c r="KTZ40" s="19"/>
      <c r="KUA40" s="19"/>
      <c r="KUB40" s="19"/>
      <c r="KUC40" s="19"/>
      <c r="KUD40" s="19"/>
      <c r="KUE40" s="19"/>
      <c r="KUF40" s="19"/>
      <c r="KUG40" s="19"/>
      <c r="KUH40" s="19"/>
      <c r="KUI40" s="19"/>
      <c r="KUJ40" s="19"/>
      <c r="KUK40" s="19"/>
      <c r="KUL40" s="19"/>
      <c r="KUM40" s="19"/>
      <c r="KUN40" s="19"/>
      <c r="KUO40" s="19"/>
      <c r="KUP40" s="19"/>
      <c r="KUQ40" s="19"/>
      <c r="KUR40" s="19"/>
      <c r="KUS40" s="19"/>
      <c r="KUT40" s="19"/>
      <c r="KUU40" s="19"/>
      <c r="KUV40" s="19"/>
      <c r="KUW40" s="19"/>
      <c r="KUX40" s="19"/>
      <c r="KUY40" s="19"/>
      <c r="KUZ40" s="19"/>
      <c r="KVA40" s="19"/>
      <c r="KVB40" s="19"/>
      <c r="KVC40" s="19"/>
      <c r="KVD40" s="19"/>
      <c r="KVE40" s="19"/>
      <c r="KVF40" s="19"/>
      <c r="KVG40" s="19"/>
      <c r="KVH40" s="19"/>
      <c r="KVI40" s="19"/>
      <c r="KVJ40" s="19"/>
      <c r="KVK40" s="19"/>
      <c r="KVL40" s="19"/>
      <c r="KVM40" s="19"/>
      <c r="KVN40" s="19"/>
      <c r="KVO40" s="19"/>
      <c r="KVP40" s="19"/>
      <c r="KVQ40" s="19"/>
      <c r="KVR40" s="19"/>
      <c r="KVS40" s="19"/>
      <c r="KVT40" s="19"/>
      <c r="KVU40" s="19"/>
      <c r="KVV40" s="19"/>
      <c r="KVW40" s="19"/>
      <c r="KVX40" s="19"/>
      <c r="KVY40" s="19"/>
      <c r="KVZ40" s="19"/>
      <c r="KWA40" s="19"/>
      <c r="KWB40" s="19"/>
      <c r="KWC40" s="19"/>
      <c r="KWD40" s="19"/>
      <c r="KWE40" s="19"/>
      <c r="KWF40" s="19"/>
      <c r="KWG40" s="19"/>
      <c r="KWH40" s="19"/>
      <c r="KWI40" s="19"/>
      <c r="KWJ40" s="19"/>
      <c r="KWK40" s="19"/>
      <c r="KWL40" s="19"/>
      <c r="KWM40" s="19"/>
      <c r="KWN40" s="19"/>
      <c r="KWO40" s="19"/>
      <c r="KWP40" s="19"/>
      <c r="KWQ40" s="19"/>
      <c r="KWR40" s="19"/>
      <c r="KWS40" s="19"/>
      <c r="KWT40" s="19"/>
      <c r="KWU40" s="19"/>
      <c r="KWV40" s="19"/>
      <c r="KWW40" s="19"/>
      <c r="KWX40" s="19"/>
      <c r="KWY40" s="19"/>
      <c r="KWZ40" s="19"/>
      <c r="KXA40" s="19"/>
      <c r="KXB40" s="19"/>
      <c r="KXC40" s="19"/>
      <c r="KXD40" s="19"/>
      <c r="KXE40" s="19"/>
      <c r="KXF40" s="19"/>
      <c r="KXG40" s="19"/>
      <c r="KXH40" s="19"/>
      <c r="KXI40" s="19"/>
      <c r="KXJ40" s="19"/>
      <c r="KXK40" s="19"/>
      <c r="KXL40" s="19"/>
      <c r="KXM40" s="19"/>
      <c r="KXN40" s="19"/>
      <c r="KXO40" s="19"/>
      <c r="KXP40" s="19"/>
      <c r="KXQ40" s="19"/>
      <c r="KXR40" s="19"/>
      <c r="KXS40" s="19"/>
      <c r="KXT40" s="19"/>
      <c r="KXU40" s="19"/>
      <c r="KXV40" s="19"/>
      <c r="KXW40" s="19"/>
      <c r="KXX40" s="19"/>
      <c r="KXY40" s="19"/>
      <c r="KXZ40" s="19"/>
      <c r="KYA40" s="19"/>
      <c r="KYB40" s="19"/>
      <c r="KYC40" s="19"/>
      <c r="KYD40" s="19"/>
      <c r="KYE40" s="19"/>
      <c r="KYF40" s="19"/>
      <c r="KYG40" s="19"/>
      <c r="KYH40" s="19"/>
      <c r="KYI40" s="19"/>
      <c r="KYJ40" s="19"/>
      <c r="KYK40" s="19"/>
      <c r="KYL40" s="19"/>
      <c r="KYM40" s="19"/>
      <c r="KYN40" s="19"/>
      <c r="KYO40" s="19"/>
      <c r="KYP40" s="19"/>
      <c r="KYQ40" s="19"/>
      <c r="KYR40" s="19"/>
      <c r="KYS40" s="19"/>
      <c r="KYT40" s="19"/>
      <c r="KYU40" s="19"/>
      <c r="KYV40" s="19"/>
      <c r="KYW40" s="19"/>
      <c r="KYX40" s="19"/>
      <c r="KYY40" s="19"/>
      <c r="KYZ40" s="19"/>
      <c r="KZA40" s="19"/>
      <c r="KZB40" s="19"/>
      <c r="KZC40" s="19"/>
      <c r="KZD40" s="19"/>
      <c r="KZE40" s="19"/>
      <c r="KZF40" s="19"/>
      <c r="KZG40" s="19"/>
      <c r="KZH40" s="19"/>
      <c r="KZI40" s="19"/>
      <c r="KZJ40" s="19"/>
      <c r="KZK40" s="19"/>
      <c r="KZL40" s="19"/>
      <c r="KZM40" s="19"/>
      <c r="KZN40" s="19"/>
      <c r="KZO40" s="19"/>
      <c r="KZP40" s="19"/>
      <c r="KZQ40" s="19"/>
      <c r="KZR40" s="19"/>
      <c r="KZS40" s="19"/>
      <c r="KZT40" s="19"/>
      <c r="KZU40" s="19"/>
      <c r="KZV40" s="19"/>
      <c r="KZW40" s="19"/>
      <c r="KZX40" s="19"/>
      <c r="KZY40" s="19"/>
      <c r="KZZ40" s="19"/>
      <c r="LAA40" s="19"/>
      <c r="LAB40" s="19"/>
      <c r="LAC40" s="19"/>
      <c r="LAD40" s="19"/>
      <c r="LAE40" s="19"/>
      <c r="LAF40" s="19"/>
      <c r="LAG40" s="19"/>
      <c r="LAH40" s="19"/>
      <c r="LAI40" s="19"/>
      <c r="LAJ40" s="19"/>
      <c r="LAK40" s="19"/>
      <c r="LAL40" s="19"/>
      <c r="LAM40" s="19"/>
      <c r="LAN40" s="19"/>
      <c r="LAO40" s="19"/>
      <c r="LAP40" s="19"/>
      <c r="LAQ40" s="19"/>
      <c r="LAR40" s="19"/>
      <c r="LAS40" s="19"/>
      <c r="LAT40" s="19"/>
      <c r="LAU40" s="19"/>
      <c r="LAV40" s="19"/>
      <c r="LAW40" s="19"/>
      <c r="LAX40" s="19"/>
      <c r="LAY40" s="19"/>
      <c r="LAZ40" s="19"/>
      <c r="LBA40" s="19"/>
      <c r="LBB40" s="19"/>
      <c r="LBC40" s="19"/>
      <c r="LBD40" s="19"/>
      <c r="LBE40" s="19"/>
      <c r="LBF40" s="19"/>
      <c r="LBG40" s="19"/>
      <c r="LBH40" s="19"/>
      <c r="LBI40" s="19"/>
      <c r="LBJ40" s="19"/>
      <c r="LBK40" s="19"/>
      <c r="LBL40" s="19"/>
      <c r="LBM40" s="19"/>
      <c r="LBN40" s="19"/>
      <c r="LBO40" s="19"/>
      <c r="LBP40" s="19"/>
      <c r="LBQ40" s="19"/>
      <c r="LBR40" s="19"/>
      <c r="LBS40" s="19"/>
      <c r="LBT40" s="19"/>
      <c r="LBU40" s="19"/>
      <c r="LBV40" s="19"/>
      <c r="LBW40" s="19"/>
      <c r="LBX40" s="19"/>
      <c r="LBY40" s="19"/>
      <c r="LBZ40" s="19"/>
      <c r="LCA40" s="19"/>
      <c r="LCB40" s="19"/>
      <c r="LCC40" s="19"/>
      <c r="LCD40" s="19"/>
      <c r="LCE40" s="19"/>
      <c r="LCF40" s="19"/>
      <c r="LCG40" s="19"/>
      <c r="LCH40" s="19"/>
      <c r="LCI40" s="19"/>
      <c r="LCJ40" s="19"/>
      <c r="LCK40" s="19"/>
      <c r="LCL40" s="19"/>
      <c r="LCM40" s="19"/>
      <c r="LCN40" s="19"/>
      <c r="LCO40" s="19"/>
      <c r="LCP40" s="19"/>
      <c r="LCQ40" s="19"/>
      <c r="LCR40" s="19"/>
      <c r="LCS40" s="19"/>
      <c r="LCT40" s="19"/>
      <c r="LCU40" s="19"/>
      <c r="LCV40" s="19"/>
      <c r="LCW40" s="19"/>
      <c r="LCX40" s="19"/>
      <c r="LCY40" s="19"/>
      <c r="LCZ40" s="19"/>
      <c r="LDA40" s="19"/>
      <c r="LDB40" s="19"/>
      <c r="LDC40" s="19"/>
      <c r="LDD40" s="19"/>
      <c r="LDE40" s="19"/>
      <c r="LDF40" s="19"/>
      <c r="LDG40" s="19"/>
      <c r="LDH40" s="19"/>
      <c r="LDI40" s="19"/>
      <c r="LDJ40" s="19"/>
      <c r="LDK40" s="19"/>
      <c r="LDL40" s="19"/>
      <c r="LDM40" s="19"/>
      <c r="LDN40" s="19"/>
      <c r="LDO40" s="19"/>
      <c r="LDP40" s="19"/>
      <c r="LDQ40" s="19"/>
      <c r="LDR40" s="19"/>
      <c r="LDS40" s="19"/>
      <c r="LDT40" s="19"/>
      <c r="LDU40" s="19"/>
      <c r="LDV40" s="19"/>
      <c r="LDW40" s="19"/>
      <c r="LDX40" s="19"/>
      <c r="LDY40" s="19"/>
      <c r="LDZ40" s="19"/>
      <c r="LEA40" s="19"/>
      <c r="LEB40" s="19"/>
      <c r="LEC40" s="19"/>
      <c r="LED40" s="19"/>
      <c r="LEE40" s="19"/>
      <c r="LEF40" s="19"/>
      <c r="LEG40" s="19"/>
      <c r="LEH40" s="19"/>
      <c r="LEI40" s="19"/>
      <c r="LEJ40" s="19"/>
      <c r="LEK40" s="19"/>
      <c r="LEL40" s="19"/>
      <c r="LEM40" s="19"/>
      <c r="LEN40" s="19"/>
      <c r="LEO40" s="19"/>
      <c r="LEP40" s="19"/>
      <c r="LEQ40" s="19"/>
      <c r="LER40" s="19"/>
      <c r="LES40" s="19"/>
      <c r="LET40" s="19"/>
      <c r="LEU40" s="19"/>
      <c r="LEV40" s="19"/>
      <c r="LEW40" s="19"/>
      <c r="LEX40" s="19"/>
      <c r="LEY40" s="19"/>
      <c r="LEZ40" s="19"/>
      <c r="LFA40" s="19"/>
      <c r="LFB40" s="19"/>
      <c r="LFC40" s="19"/>
      <c r="LFD40" s="19"/>
      <c r="LFE40" s="19"/>
      <c r="LFF40" s="19"/>
      <c r="LFG40" s="19"/>
      <c r="LFH40" s="19"/>
      <c r="LFI40" s="19"/>
      <c r="LFJ40" s="19"/>
      <c r="LFK40" s="19"/>
      <c r="LFL40" s="19"/>
      <c r="LFM40" s="19"/>
      <c r="LFN40" s="19"/>
      <c r="LFO40" s="19"/>
      <c r="LFP40" s="19"/>
      <c r="LFQ40" s="19"/>
      <c r="LFR40" s="19"/>
      <c r="LFS40" s="19"/>
      <c r="LFT40" s="19"/>
      <c r="LFU40" s="19"/>
      <c r="LFV40" s="19"/>
      <c r="LFW40" s="19"/>
      <c r="LFX40" s="19"/>
      <c r="LFY40" s="19"/>
      <c r="LFZ40" s="19"/>
      <c r="LGA40" s="19"/>
      <c r="LGB40" s="19"/>
      <c r="LGC40" s="19"/>
      <c r="LGD40" s="19"/>
      <c r="LGE40" s="19"/>
      <c r="LGF40" s="19"/>
      <c r="LGG40" s="19"/>
      <c r="LGH40" s="19"/>
      <c r="LGI40" s="19"/>
      <c r="LGJ40" s="19"/>
      <c r="LGK40" s="19"/>
      <c r="LGL40" s="19"/>
      <c r="LGM40" s="19"/>
      <c r="LGN40" s="19"/>
      <c r="LGO40" s="19"/>
      <c r="LGP40" s="19"/>
      <c r="LGQ40" s="19"/>
      <c r="LGR40" s="19"/>
      <c r="LGS40" s="19"/>
      <c r="LGT40" s="19"/>
      <c r="LGU40" s="19"/>
      <c r="LGV40" s="19"/>
      <c r="LGW40" s="19"/>
      <c r="LGX40" s="19"/>
      <c r="LGY40" s="19"/>
      <c r="LGZ40" s="19"/>
      <c r="LHA40" s="19"/>
      <c r="LHB40" s="19"/>
      <c r="LHC40" s="19"/>
      <c r="LHD40" s="19"/>
      <c r="LHE40" s="19"/>
      <c r="LHF40" s="19"/>
      <c r="LHG40" s="19"/>
      <c r="LHH40" s="19"/>
      <c r="LHI40" s="19"/>
      <c r="LHJ40" s="19"/>
      <c r="LHK40" s="19"/>
      <c r="LHL40" s="19"/>
      <c r="LHM40" s="19"/>
      <c r="LHN40" s="19"/>
      <c r="LHO40" s="19"/>
      <c r="LHP40" s="19"/>
      <c r="LHQ40" s="19"/>
      <c r="LHR40" s="19"/>
      <c r="LHS40" s="19"/>
      <c r="LHT40" s="19"/>
      <c r="LHU40" s="19"/>
      <c r="LHV40" s="19"/>
      <c r="LHW40" s="19"/>
      <c r="LHX40" s="19"/>
      <c r="LHY40" s="19"/>
      <c r="LHZ40" s="19"/>
      <c r="LIA40" s="19"/>
      <c r="LIB40" s="19"/>
      <c r="LIC40" s="19"/>
      <c r="LID40" s="19"/>
      <c r="LIE40" s="19"/>
      <c r="LIF40" s="19"/>
      <c r="LIG40" s="19"/>
      <c r="LIH40" s="19"/>
      <c r="LII40" s="19"/>
      <c r="LIJ40" s="19"/>
      <c r="LIK40" s="19"/>
      <c r="LIL40" s="19"/>
      <c r="LIM40" s="19"/>
      <c r="LIN40" s="19"/>
      <c r="LIO40" s="19"/>
      <c r="LIP40" s="19"/>
      <c r="LIQ40" s="19"/>
      <c r="LIR40" s="19"/>
      <c r="LIS40" s="19"/>
      <c r="LIT40" s="19"/>
      <c r="LIU40" s="19"/>
      <c r="LIV40" s="19"/>
      <c r="LIW40" s="19"/>
      <c r="LIX40" s="19"/>
      <c r="LIY40" s="19"/>
      <c r="LIZ40" s="19"/>
      <c r="LJA40" s="19"/>
      <c r="LJB40" s="19"/>
      <c r="LJC40" s="19"/>
      <c r="LJD40" s="19"/>
      <c r="LJE40" s="19"/>
      <c r="LJF40" s="19"/>
      <c r="LJG40" s="19"/>
      <c r="LJH40" s="19"/>
      <c r="LJI40" s="19"/>
      <c r="LJJ40" s="19"/>
      <c r="LJK40" s="19"/>
      <c r="LJL40" s="19"/>
      <c r="LJM40" s="19"/>
      <c r="LJN40" s="19"/>
      <c r="LJO40" s="19"/>
      <c r="LJP40" s="19"/>
      <c r="LJQ40" s="19"/>
      <c r="LJR40" s="19"/>
      <c r="LJS40" s="19"/>
      <c r="LJT40" s="19"/>
      <c r="LJU40" s="19"/>
      <c r="LJV40" s="19"/>
      <c r="LJW40" s="19"/>
      <c r="LJX40" s="19"/>
      <c r="LJY40" s="19"/>
      <c r="LJZ40" s="19"/>
      <c r="LKA40" s="19"/>
      <c r="LKB40" s="19"/>
      <c r="LKC40" s="19"/>
      <c r="LKD40" s="19"/>
      <c r="LKE40" s="19"/>
      <c r="LKF40" s="19"/>
      <c r="LKG40" s="19"/>
      <c r="LKH40" s="19"/>
      <c r="LKI40" s="19"/>
      <c r="LKJ40" s="19"/>
      <c r="LKK40" s="19"/>
      <c r="LKL40" s="19"/>
      <c r="LKM40" s="19"/>
      <c r="LKN40" s="19"/>
      <c r="LKO40" s="19"/>
      <c r="LKP40" s="19"/>
      <c r="LKQ40" s="19"/>
      <c r="LKR40" s="19"/>
      <c r="LKS40" s="19"/>
      <c r="LKT40" s="19"/>
      <c r="LKU40" s="19"/>
      <c r="LKV40" s="19"/>
      <c r="LKW40" s="19"/>
      <c r="LKX40" s="19"/>
      <c r="LKY40" s="19"/>
      <c r="LKZ40" s="19"/>
      <c r="LLA40" s="19"/>
      <c r="LLB40" s="19"/>
      <c r="LLC40" s="19"/>
      <c r="LLD40" s="19"/>
      <c r="LLE40" s="19"/>
      <c r="LLF40" s="19"/>
      <c r="LLG40" s="19"/>
      <c r="LLH40" s="19"/>
      <c r="LLI40" s="19"/>
      <c r="LLJ40" s="19"/>
      <c r="LLK40" s="19"/>
      <c r="LLL40" s="19"/>
      <c r="LLM40" s="19"/>
      <c r="LLN40" s="19"/>
      <c r="LLO40" s="19"/>
      <c r="LLP40" s="19"/>
      <c r="LLQ40" s="19"/>
      <c r="LLR40" s="19"/>
      <c r="LLS40" s="19"/>
      <c r="LLT40" s="19"/>
      <c r="LLU40" s="19"/>
      <c r="LLV40" s="19"/>
      <c r="LLW40" s="19"/>
      <c r="LLX40" s="19"/>
      <c r="LLY40" s="19"/>
      <c r="LLZ40" s="19"/>
      <c r="LMA40" s="19"/>
      <c r="LMB40" s="19"/>
      <c r="LMC40" s="19"/>
      <c r="LMD40" s="19"/>
      <c r="LME40" s="19"/>
      <c r="LMF40" s="19"/>
      <c r="LMG40" s="19"/>
      <c r="LMH40" s="19"/>
      <c r="LMI40" s="19"/>
      <c r="LMJ40" s="19"/>
      <c r="LMK40" s="19"/>
      <c r="LML40" s="19"/>
      <c r="LMM40" s="19"/>
      <c r="LMN40" s="19"/>
      <c r="LMO40" s="19"/>
      <c r="LMP40" s="19"/>
      <c r="LMQ40" s="19"/>
      <c r="LMR40" s="19"/>
      <c r="LMS40" s="19"/>
      <c r="LMT40" s="19"/>
      <c r="LMU40" s="19"/>
      <c r="LMV40" s="19"/>
      <c r="LMW40" s="19"/>
      <c r="LMX40" s="19"/>
      <c r="LMY40" s="19"/>
      <c r="LMZ40" s="19"/>
      <c r="LNA40" s="19"/>
      <c r="LNB40" s="19"/>
      <c r="LNC40" s="19"/>
      <c r="LND40" s="19"/>
      <c r="LNE40" s="19"/>
      <c r="LNF40" s="19"/>
      <c r="LNG40" s="19"/>
      <c r="LNH40" s="19"/>
      <c r="LNI40" s="19"/>
      <c r="LNJ40" s="19"/>
      <c r="LNK40" s="19"/>
      <c r="LNL40" s="19"/>
      <c r="LNM40" s="19"/>
      <c r="LNN40" s="19"/>
      <c r="LNO40" s="19"/>
      <c r="LNP40" s="19"/>
      <c r="LNQ40" s="19"/>
      <c r="LNR40" s="19"/>
      <c r="LNS40" s="19"/>
      <c r="LNT40" s="19"/>
      <c r="LNU40" s="19"/>
      <c r="LNV40" s="19"/>
      <c r="LNW40" s="19"/>
      <c r="LNX40" s="19"/>
      <c r="LNY40" s="19"/>
      <c r="LNZ40" s="19"/>
      <c r="LOA40" s="19"/>
      <c r="LOB40" s="19"/>
      <c r="LOC40" s="19"/>
      <c r="LOD40" s="19"/>
      <c r="LOE40" s="19"/>
      <c r="LOF40" s="19"/>
      <c r="LOG40" s="19"/>
      <c r="LOH40" s="19"/>
      <c r="LOI40" s="19"/>
      <c r="LOJ40" s="19"/>
      <c r="LOK40" s="19"/>
      <c r="LOL40" s="19"/>
      <c r="LOM40" s="19"/>
      <c r="LON40" s="19"/>
      <c r="LOO40" s="19"/>
      <c r="LOP40" s="19"/>
      <c r="LOQ40" s="19"/>
      <c r="LOR40" s="19"/>
      <c r="LOS40" s="19"/>
      <c r="LOT40" s="19"/>
      <c r="LOU40" s="19"/>
      <c r="LOV40" s="19"/>
      <c r="LOW40" s="19"/>
      <c r="LOX40" s="19"/>
      <c r="LOY40" s="19"/>
      <c r="LOZ40" s="19"/>
      <c r="LPA40" s="19"/>
      <c r="LPB40" s="19"/>
      <c r="LPC40" s="19"/>
      <c r="LPD40" s="19"/>
      <c r="LPE40" s="19"/>
      <c r="LPF40" s="19"/>
      <c r="LPG40" s="19"/>
      <c r="LPH40" s="19"/>
      <c r="LPI40" s="19"/>
      <c r="LPJ40" s="19"/>
      <c r="LPK40" s="19"/>
      <c r="LPL40" s="19"/>
      <c r="LPM40" s="19"/>
      <c r="LPN40" s="19"/>
      <c r="LPO40" s="19"/>
      <c r="LPP40" s="19"/>
      <c r="LPQ40" s="19"/>
      <c r="LPR40" s="19"/>
      <c r="LPS40" s="19"/>
      <c r="LPT40" s="19"/>
      <c r="LPU40" s="19"/>
      <c r="LPV40" s="19"/>
      <c r="LPW40" s="19"/>
      <c r="LPX40" s="19"/>
      <c r="LPY40" s="19"/>
      <c r="LPZ40" s="19"/>
      <c r="LQA40" s="19"/>
      <c r="LQB40" s="19"/>
      <c r="LQC40" s="19"/>
      <c r="LQD40" s="19"/>
      <c r="LQE40" s="19"/>
      <c r="LQF40" s="19"/>
      <c r="LQG40" s="19"/>
      <c r="LQH40" s="19"/>
      <c r="LQI40" s="19"/>
      <c r="LQJ40" s="19"/>
      <c r="LQK40" s="19"/>
      <c r="LQL40" s="19"/>
      <c r="LQM40" s="19"/>
      <c r="LQN40" s="19"/>
      <c r="LQO40" s="19"/>
      <c r="LQP40" s="19"/>
      <c r="LQQ40" s="19"/>
      <c r="LQR40" s="19"/>
      <c r="LQS40" s="19"/>
      <c r="LQT40" s="19"/>
      <c r="LQU40" s="19"/>
      <c r="LQV40" s="19"/>
      <c r="LQW40" s="19"/>
      <c r="LQX40" s="19"/>
      <c r="LQY40" s="19"/>
      <c r="LQZ40" s="19"/>
      <c r="LRA40" s="19"/>
      <c r="LRB40" s="19"/>
      <c r="LRC40" s="19"/>
      <c r="LRD40" s="19"/>
      <c r="LRE40" s="19"/>
      <c r="LRF40" s="19"/>
      <c r="LRG40" s="19"/>
      <c r="LRH40" s="19"/>
      <c r="LRI40" s="19"/>
      <c r="LRJ40" s="19"/>
      <c r="LRK40" s="19"/>
      <c r="LRL40" s="19"/>
      <c r="LRM40" s="19"/>
      <c r="LRN40" s="19"/>
      <c r="LRO40" s="19"/>
      <c r="LRP40" s="19"/>
      <c r="LRQ40" s="19"/>
      <c r="LRR40" s="19"/>
      <c r="LRS40" s="19"/>
      <c r="LRT40" s="19"/>
      <c r="LRU40" s="19"/>
      <c r="LRV40" s="19"/>
      <c r="LRW40" s="19"/>
      <c r="LRX40" s="19"/>
      <c r="LRY40" s="19"/>
      <c r="LRZ40" s="19"/>
      <c r="LSA40" s="19"/>
      <c r="LSB40" s="19"/>
      <c r="LSC40" s="19"/>
      <c r="LSD40" s="19"/>
      <c r="LSE40" s="19"/>
      <c r="LSF40" s="19"/>
      <c r="LSG40" s="19"/>
      <c r="LSH40" s="19"/>
      <c r="LSI40" s="19"/>
      <c r="LSJ40" s="19"/>
      <c r="LSK40" s="19"/>
      <c r="LSL40" s="19"/>
      <c r="LSM40" s="19"/>
      <c r="LSN40" s="19"/>
      <c r="LSO40" s="19"/>
      <c r="LSP40" s="19"/>
      <c r="LSQ40" s="19"/>
      <c r="LSR40" s="19"/>
      <c r="LSS40" s="19"/>
      <c r="LST40" s="19"/>
      <c r="LSU40" s="19"/>
      <c r="LSV40" s="19"/>
      <c r="LSW40" s="19"/>
      <c r="LSX40" s="19"/>
      <c r="LSY40" s="19"/>
      <c r="LSZ40" s="19"/>
      <c r="LTA40" s="19"/>
      <c r="LTB40" s="19"/>
      <c r="LTC40" s="19"/>
      <c r="LTD40" s="19"/>
      <c r="LTE40" s="19"/>
      <c r="LTF40" s="19"/>
      <c r="LTG40" s="19"/>
      <c r="LTH40" s="19"/>
      <c r="LTI40" s="19"/>
      <c r="LTJ40" s="19"/>
      <c r="LTK40" s="19"/>
      <c r="LTL40" s="19"/>
      <c r="LTM40" s="19"/>
      <c r="LTN40" s="19"/>
      <c r="LTO40" s="19"/>
      <c r="LTP40" s="19"/>
      <c r="LTQ40" s="19"/>
      <c r="LTR40" s="19"/>
      <c r="LTS40" s="19"/>
      <c r="LTT40" s="19"/>
      <c r="LTU40" s="19"/>
      <c r="LTV40" s="19"/>
      <c r="LTW40" s="19"/>
      <c r="LTX40" s="19"/>
      <c r="LTY40" s="19"/>
      <c r="LTZ40" s="19"/>
      <c r="LUA40" s="19"/>
      <c r="LUB40" s="19"/>
      <c r="LUC40" s="19"/>
      <c r="LUD40" s="19"/>
      <c r="LUE40" s="19"/>
      <c r="LUF40" s="19"/>
      <c r="LUG40" s="19"/>
      <c r="LUH40" s="19"/>
      <c r="LUI40" s="19"/>
      <c r="LUJ40" s="19"/>
      <c r="LUK40" s="19"/>
      <c r="LUL40" s="19"/>
      <c r="LUM40" s="19"/>
      <c r="LUN40" s="19"/>
      <c r="LUO40" s="19"/>
      <c r="LUP40" s="19"/>
      <c r="LUQ40" s="19"/>
      <c r="LUR40" s="19"/>
      <c r="LUS40" s="19"/>
      <c r="LUT40" s="19"/>
      <c r="LUU40" s="19"/>
      <c r="LUV40" s="19"/>
      <c r="LUW40" s="19"/>
      <c r="LUX40" s="19"/>
      <c r="LUY40" s="19"/>
      <c r="LUZ40" s="19"/>
      <c r="LVA40" s="19"/>
      <c r="LVB40" s="19"/>
      <c r="LVC40" s="19"/>
      <c r="LVD40" s="19"/>
      <c r="LVE40" s="19"/>
      <c r="LVF40" s="19"/>
      <c r="LVG40" s="19"/>
      <c r="LVH40" s="19"/>
      <c r="LVI40" s="19"/>
      <c r="LVJ40" s="19"/>
      <c r="LVK40" s="19"/>
      <c r="LVL40" s="19"/>
      <c r="LVM40" s="19"/>
      <c r="LVN40" s="19"/>
      <c r="LVO40" s="19"/>
      <c r="LVP40" s="19"/>
      <c r="LVQ40" s="19"/>
      <c r="LVR40" s="19"/>
      <c r="LVS40" s="19"/>
      <c r="LVT40" s="19"/>
      <c r="LVU40" s="19"/>
      <c r="LVV40" s="19"/>
      <c r="LVW40" s="19"/>
      <c r="LVX40" s="19"/>
      <c r="LVY40" s="19"/>
      <c r="LVZ40" s="19"/>
      <c r="LWA40" s="19"/>
      <c r="LWB40" s="19"/>
      <c r="LWC40" s="19"/>
      <c r="LWD40" s="19"/>
      <c r="LWE40" s="19"/>
      <c r="LWF40" s="19"/>
      <c r="LWG40" s="19"/>
      <c r="LWH40" s="19"/>
      <c r="LWI40" s="19"/>
      <c r="LWJ40" s="19"/>
      <c r="LWK40" s="19"/>
      <c r="LWL40" s="19"/>
      <c r="LWM40" s="19"/>
      <c r="LWN40" s="19"/>
      <c r="LWO40" s="19"/>
      <c r="LWP40" s="19"/>
      <c r="LWQ40" s="19"/>
      <c r="LWR40" s="19"/>
      <c r="LWS40" s="19"/>
      <c r="LWT40" s="19"/>
      <c r="LWU40" s="19"/>
      <c r="LWV40" s="19"/>
      <c r="LWW40" s="19"/>
      <c r="LWX40" s="19"/>
      <c r="LWY40" s="19"/>
      <c r="LWZ40" s="19"/>
      <c r="LXA40" s="19"/>
      <c r="LXB40" s="19"/>
      <c r="LXC40" s="19"/>
      <c r="LXD40" s="19"/>
      <c r="LXE40" s="19"/>
      <c r="LXF40" s="19"/>
      <c r="LXG40" s="19"/>
      <c r="LXH40" s="19"/>
      <c r="LXI40" s="19"/>
      <c r="LXJ40" s="19"/>
      <c r="LXK40" s="19"/>
      <c r="LXL40" s="19"/>
      <c r="LXM40" s="19"/>
      <c r="LXN40" s="19"/>
      <c r="LXO40" s="19"/>
      <c r="LXP40" s="19"/>
      <c r="LXQ40" s="19"/>
      <c r="LXR40" s="19"/>
      <c r="LXS40" s="19"/>
      <c r="LXT40" s="19"/>
      <c r="LXU40" s="19"/>
      <c r="LXV40" s="19"/>
      <c r="LXW40" s="19"/>
      <c r="LXX40" s="19"/>
      <c r="LXY40" s="19"/>
      <c r="LXZ40" s="19"/>
      <c r="LYA40" s="19"/>
      <c r="LYB40" s="19"/>
      <c r="LYC40" s="19"/>
      <c r="LYD40" s="19"/>
      <c r="LYE40" s="19"/>
      <c r="LYF40" s="19"/>
      <c r="LYG40" s="19"/>
      <c r="LYH40" s="19"/>
      <c r="LYI40" s="19"/>
      <c r="LYJ40" s="19"/>
      <c r="LYK40" s="19"/>
      <c r="LYL40" s="19"/>
      <c r="LYM40" s="19"/>
      <c r="LYN40" s="19"/>
      <c r="LYO40" s="19"/>
      <c r="LYP40" s="19"/>
      <c r="LYQ40" s="19"/>
      <c r="LYR40" s="19"/>
      <c r="LYS40" s="19"/>
      <c r="LYT40" s="19"/>
      <c r="LYU40" s="19"/>
      <c r="LYV40" s="19"/>
      <c r="LYW40" s="19"/>
      <c r="LYX40" s="19"/>
      <c r="LYY40" s="19"/>
      <c r="LYZ40" s="19"/>
      <c r="LZA40" s="19"/>
      <c r="LZB40" s="19"/>
      <c r="LZC40" s="19"/>
      <c r="LZD40" s="19"/>
      <c r="LZE40" s="19"/>
      <c r="LZF40" s="19"/>
      <c r="LZG40" s="19"/>
      <c r="LZH40" s="19"/>
      <c r="LZI40" s="19"/>
      <c r="LZJ40" s="19"/>
      <c r="LZK40" s="19"/>
      <c r="LZL40" s="19"/>
      <c r="LZM40" s="19"/>
      <c r="LZN40" s="19"/>
      <c r="LZO40" s="19"/>
      <c r="LZP40" s="19"/>
      <c r="LZQ40" s="19"/>
      <c r="LZR40" s="19"/>
      <c r="LZS40" s="19"/>
      <c r="LZT40" s="19"/>
      <c r="LZU40" s="19"/>
      <c r="LZV40" s="19"/>
      <c r="LZW40" s="19"/>
      <c r="LZX40" s="19"/>
      <c r="LZY40" s="19"/>
      <c r="LZZ40" s="19"/>
      <c r="MAA40" s="19"/>
      <c r="MAB40" s="19"/>
      <c r="MAC40" s="19"/>
      <c r="MAD40" s="19"/>
      <c r="MAE40" s="19"/>
      <c r="MAF40" s="19"/>
      <c r="MAG40" s="19"/>
      <c r="MAH40" s="19"/>
      <c r="MAI40" s="19"/>
      <c r="MAJ40" s="19"/>
      <c r="MAK40" s="19"/>
      <c r="MAL40" s="19"/>
      <c r="MAM40" s="19"/>
      <c r="MAN40" s="19"/>
      <c r="MAO40" s="19"/>
      <c r="MAP40" s="19"/>
      <c r="MAQ40" s="19"/>
      <c r="MAR40" s="19"/>
      <c r="MAS40" s="19"/>
      <c r="MAT40" s="19"/>
      <c r="MAU40" s="19"/>
      <c r="MAV40" s="19"/>
      <c r="MAW40" s="19"/>
      <c r="MAX40" s="19"/>
      <c r="MAY40" s="19"/>
      <c r="MAZ40" s="19"/>
      <c r="MBA40" s="19"/>
      <c r="MBB40" s="19"/>
      <c r="MBC40" s="19"/>
      <c r="MBD40" s="19"/>
      <c r="MBE40" s="19"/>
      <c r="MBF40" s="19"/>
      <c r="MBG40" s="19"/>
      <c r="MBH40" s="19"/>
      <c r="MBI40" s="19"/>
      <c r="MBJ40" s="19"/>
      <c r="MBK40" s="19"/>
      <c r="MBL40" s="19"/>
      <c r="MBM40" s="19"/>
      <c r="MBN40" s="19"/>
      <c r="MBO40" s="19"/>
      <c r="MBP40" s="19"/>
      <c r="MBQ40" s="19"/>
      <c r="MBR40" s="19"/>
      <c r="MBS40" s="19"/>
      <c r="MBT40" s="19"/>
      <c r="MBU40" s="19"/>
      <c r="MBV40" s="19"/>
      <c r="MBW40" s="19"/>
      <c r="MBX40" s="19"/>
      <c r="MBY40" s="19"/>
      <c r="MBZ40" s="19"/>
      <c r="MCA40" s="19"/>
      <c r="MCB40" s="19"/>
      <c r="MCC40" s="19"/>
      <c r="MCD40" s="19"/>
      <c r="MCE40" s="19"/>
      <c r="MCF40" s="19"/>
      <c r="MCG40" s="19"/>
      <c r="MCH40" s="19"/>
      <c r="MCI40" s="19"/>
      <c r="MCJ40" s="19"/>
      <c r="MCK40" s="19"/>
      <c r="MCL40" s="19"/>
      <c r="MCM40" s="19"/>
      <c r="MCN40" s="19"/>
      <c r="MCO40" s="19"/>
      <c r="MCP40" s="19"/>
      <c r="MCQ40" s="19"/>
      <c r="MCR40" s="19"/>
      <c r="MCS40" s="19"/>
      <c r="MCT40" s="19"/>
      <c r="MCU40" s="19"/>
      <c r="MCV40" s="19"/>
      <c r="MCW40" s="19"/>
      <c r="MCX40" s="19"/>
      <c r="MCY40" s="19"/>
      <c r="MCZ40" s="19"/>
      <c r="MDA40" s="19"/>
      <c r="MDB40" s="19"/>
      <c r="MDC40" s="19"/>
      <c r="MDD40" s="19"/>
      <c r="MDE40" s="19"/>
      <c r="MDF40" s="19"/>
      <c r="MDG40" s="19"/>
      <c r="MDH40" s="19"/>
      <c r="MDI40" s="19"/>
      <c r="MDJ40" s="19"/>
      <c r="MDK40" s="19"/>
      <c r="MDL40" s="19"/>
      <c r="MDM40" s="19"/>
      <c r="MDN40" s="19"/>
      <c r="MDO40" s="19"/>
      <c r="MDP40" s="19"/>
      <c r="MDQ40" s="19"/>
      <c r="MDR40" s="19"/>
      <c r="MDS40" s="19"/>
      <c r="MDT40" s="19"/>
      <c r="MDU40" s="19"/>
      <c r="MDV40" s="19"/>
      <c r="MDW40" s="19"/>
      <c r="MDX40" s="19"/>
      <c r="MDY40" s="19"/>
      <c r="MDZ40" s="19"/>
      <c r="MEA40" s="19"/>
      <c r="MEB40" s="19"/>
      <c r="MEC40" s="19"/>
      <c r="MED40" s="19"/>
      <c r="MEE40" s="19"/>
      <c r="MEF40" s="19"/>
      <c r="MEG40" s="19"/>
      <c r="MEH40" s="19"/>
      <c r="MEI40" s="19"/>
      <c r="MEJ40" s="19"/>
      <c r="MEK40" s="19"/>
      <c r="MEL40" s="19"/>
      <c r="MEM40" s="19"/>
      <c r="MEN40" s="19"/>
      <c r="MEO40" s="19"/>
      <c r="MEP40" s="19"/>
      <c r="MEQ40" s="19"/>
      <c r="MER40" s="19"/>
      <c r="MES40" s="19"/>
      <c r="MET40" s="19"/>
      <c r="MEU40" s="19"/>
      <c r="MEV40" s="19"/>
      <c r="MEW40" s="19"/>
      <c r="MEX40" s="19"/>
      <c r="MEY40" s="19"/>
      <c r="MEZ40" s="19"/>
      <c r="MFA40" s="19"/>
      <c r="MFB40" s="19"/>
      <c r="MFC40" s="19"/>
      <c r="MFD40" s="19"/>
      <c r="MFE40" s="19"/>
      <c r="MFF40" s="19"/>
      <c r="MFG40" s="19"/>
      <c r="MFH40" s="19"/>
      <c r="MFI40" s="19"/>
      <c r="MFJ40" s="19"/>
      <c r="MFK40" s="19"/>
      <c r="MFL40" s="19"/>
      <c r="MFM40" s="19"/>
      <c r="MFN40" s="19"/>
      <c r="MFO40" s="19"/>
      <c r="MFP40" s="19"/>
      <c r="MFQ40" s="19"/>
      <c r="MFR40" s="19"/>
      <c r="MFS40" s="19"/>
      <c r="MFT40" s="19"/>
      <c r="MFU40" s="19"/>
      <c r="MFV40" s="19"/>
      <c r="MFW40" s="19"/>
      <c r="MFX40" s="19"/>
      <c r="MFY40" s="19"/>
      <c r="MFZ40" s="19"/>
      <c r="MGA40" s="19"/>
      <c r="MGB40" s="19"/>
      <c r="MGC40" s="19"/>
      <c r="MGD40" s="19"/>
      <c r="MGE40" s="19"/>
      <c r="MGF40" s="19"/>
      <c r="MGG40" s="19"/>
      <c r="MGH40" s="19"/>
      <c r="MGI40" s="19"/>
      <c r="MGJ40" s="19"/>
      <c r="MGK40" s="19"/>
      <c r="MGL40" s="19"/>
      <c r="MGM40" s="19"/>
      <c r="MGN40" s="19"/>
      <c r="MGO40" s="19"/>
      <c r="MGP40" s="19"/>
      <c r="MGQ40" s="19"/>
      <c r="MGR40" s="19"/>
      <c r="MGS40" s="19"/>
      <c r="MGT40" s="19"/>
      <c r="MGU40" s="19"/>
      <c r="MGV40" s="19"/>
      <c r="MGW40" s="19"/>
      <c r="MGX40" s="19"/>
      <c r="MGY40" s="19"/>
      <c r="MGZ40" s="19"/>
      <c r="MHA40" s="19"/>
      <c r="MHB40" s="19"/>
      <c r="MHC40" s="19"/>
      <c r="MHD40" s="19"/>
      <c r="MHE40" s="19"/>
      <c r="MHF40" s="19"/>
      <c r="MHG40" s="19"/>
      <c r="MHH40" s="19"/>
      <c r="MHI40" s="19"/>
      <c r="MHJ40" s="19"/>
      <c r="MHK40" s="19"/>
      <c r="MHL40" s="19"/>
      <c r="MHM40" s="19"/>
      <c r="MHN40" s="19"/>
      <c r="MHO40" s="19"/>
      <c r="MHP40" s="19"/>
      <c r="MHQ40" s="19"/>
      <c r="MHR40" s="19"/>
      <c r="MHS40" s="19"/>
      <c r="MHT40" s="19"/>
      <c r="MHU40" s="19"/>
      <c r="MHV40" s="19"/>
      <c r="MHW40" s="19"/>
      <c r="MHX40" s="19"/>
      <c r="MHY40" s="19"/>
      <c r="MHZ40" s="19"/>
      <c r="MIA40" s="19"/>
      <c r="MIB40" s="19"/>
      <c r="MIC40" s="19"/>
      <c r="MID40" s="19"/>
      <c r="MIE40" s="19"/>
      <c r="MIF40" s="19"/>
      <c r="MIG40" s="19"/>
      <c r="MIH40" s="19"/>
      <c r="MII40" s="19"/>
      <c r="MIJ40" s="19"/>
      <c r="MIK40" s="19"/>
      <c r="MIL40" s="19"/>
      <c r="MIM40" s="19"/>
      <c r="MIN40" s="19"/>
      <c r="MIO40" s="19"/>
      <c r="MIP40" s="19"/>
      <c r="MIQ40" s="19"/>
      <c r="MIR40" s="19"/>
      <c r="MIS40" s="19"/>
      <c r="MIT40" s="19"/>
      <c r="MIU40" s="19"/>
      <c r="MIV40" s="19"/>
      <c r="MIW40" s="19"/>
      <c r="MIX40" s="19"/>
      <c r="MIY40" s="19"/>
      <c r="MIZ40" s="19"/>
      <c r="MJA40" s="19"/>
      <c r="MJB40" s="19"/>
      <c r="MJC40" s="19"/>
      <c r="MJD40" s="19"/>
      <c r="MJE40" s="19"/>
      <c r="MJF40" s="19"/>
      <c r="MJG40" s="19"/>
      <c r="MJH40" s="19"/>
      <c r="MJI40" s="19"/>
      <c r="MJJ40" s="19"/>
      <c r="MJK40" s="19"/>
      <c r="MJL40" s="19"/>
      <c r="MJM40" s="19"/>
      <c r="MJN40" s="19"/>
      <c r="MJO40" s="19"/>
      <c r="MJP40" s="19"/>
      <c r="MJQ40" s="19"/>
      <c r="MJR40" s="19"/>
      <c r="MJS40" s="19"/>
      <c r="MJT40" s="19"/>
      <c r="MJU40" s="19"/>
      <c r="MJV40" s="19"/>
      <c r="MJW40" s="19"/>
      <c r="MJX40" s="19"/>
      <c r="MJY40" s="19"/>
      <c r="MJZ40" s="19"/>
      <c r="MKA40" s="19"/>
      <c r="MKB40" s="19"/>
      <c r="MKC40" s="19"/>
      <c r="MKD40" s="19"/>
      <c r="MKE40" s="19"/>
      <c r="MKF40" s="19"/>
      <c r="MKG40" s="19"/>
      <c r="MKH40" s="19"/>
      <c r="MKI40" s="19"/>
      <c r="MKJ40" s="19"/>
      <c r="MKK40" s="19"/>
      <c r="MKL40" s="19"/>
      <c r="MKM40" s="19"/>
      <c r="MKN40" s="19"/>
      <c r="MKO40" s="19"/>
      <c r="MKP40" s="19"/>
      <c r="MKQ40" s="19"/>
      <c r="MKR40" s="19"/>
      <c r="MKS40" s="19"/>
      <c r="MKT40" s="19"/>
      <c r="MKU40" s="19"/>
      <c r="MKV40" s="19"/>
      <c r="MKW40" s="19"/>
      <c r="MKX40" s="19"/>
      <c r="MKY40" s="19"/>
      <c r="MKZ40" s="19"/>
      <c r="MLA40" s="19"/>
      <c r="MLB40" s="19"/>
      <c r="MLC40" s="19"/>
      <c r="MLD40" s="19"/>
      <c r="MLE40" s="19"/>
      <c r="MLF40" s="19"/>
      <c r="MLG40" s="19"/>
      <c r="MLH40" s="19"/>
      <c r="MLI40" s="19"/>
      <c r="MLJ40" s="19"/>
      <c r="MLK40" s="19"/>
      <c r="MLL40" s="19"/>
      <c r="MLM40" s="19"/>
      <c r="MLN40" s="19"/>
      <c r="MLO40" s="19"/>
      <c r="MLP40" s="19"/>
      <c r="MLQ40" s="19"/>
      <c r="MLR40" s="19"/>
      <c r="MLS40" s="19"/>
      <c r="MLT40" s="19"/>
      <c r="MLU40" s="19"/>
      <c r="MLV40" s="19"/>
      <c r="MLW40" s="19"/>
      <c r="MLX40" s="19"/>
      <c r="MLY40" s="19"/>
      <c r="MLZ40" s="19"/>
      <c r="MMA40" s="19"/>
      <c r="MMB40" s="19"/>
      <c r="MMC40" s="19"/>
      <c r="MMD40" s="19"/>
      <c r="MME40" s="19"/>
      <c r="MMF40" s="19"/>
      <c r="MMG40" s="19"/>
      <c r="MMH40" s="19"/>
      <c r="MMI40" s="19"/>
      <c r="MMJ40" s="19"/>
      <c r="MMK40" s="19"/>
      <c r="MML40" s="19"/>
      <c r="MMM40" s="19"/>
      <c r="MMN40" s="19"/>
      <c r="MMO40" s="19"/>
      <c r="MMP40" s="19"/>
      <c r="MMQ40" s="19"/>
      <c r="MMR40" s="19"/>
      <c r="MMS40" s="19"/>
      <c r="MMT40" s="19"/>
      <c r="MMU40" s="19"/>
      <c r="MMV40" s="19"/>
      <c r="MMW40" s="19"/>
      <c r="MMX40" s="19"/>
      <c r="MMY40" s="19"/>
      <c r="MMZ40" s="19"/>
      <c r="MNA40" s="19"/>
      <c r="MNB40" s="19"/>
      <c r="MNC40" s="19"/>
      <c r="MND40" s="19"/>
      <c r="MNE40" s="19"/>
      <c r="MNF40" s="19"/>
      <c r="MNG40" s="19"/>
      <c r="MNH40" s="19"/>
      <c r="MNI40" s="19"/>
      <c r="MNJ40" s="19"/>
      <c r="MNK40" s="19"/>
      <c r="MNL40" s="19"/>
      <c r="MNM40" s="19"/>
      <c r="MNN40" s="19"/>
      <c r="MNO40" s="19"/>
      <c r="MNP40" s="19"/>
      <c r="MNQ40" s="19"/>
      <c r="MNR40" s="19"/>
      <c r="MNS40" s="19"/>
      <c r="MNT40" s="19"/>
      <c r="MNU40" s="19"/>
      <c r="MNV40" s="19"/>
      <c r="MNW40" s="19"/>
      <c r="MNX40" s="19"/>
      <c r="MNY40" s="19"/>
      <c r="MNZ40" s="19"/>
      <c r="MOA40" s="19"/>
      <c r="MOB40" s="19"/>
      <c r="MOC40" s="19"/>
      <c r="MOD40" s="19"/>
      <c r="MOE40" s="19"/>
      <c r="MOF40" s="19"/>
      <c r="MOG40" s="19"/>
      <c r="MOH40" s="19"/>
      <c r="MOI40" s="19"/>
      <c r="MOJ40" s="19"/>
      <c r="MOK40" s="19"/>
      <c r="MOL40" s="19"/>
      <c r="MOM40" s="19"/>
      <c r="MON40" s="19"/>
      <c r="MOO40" s="19"/>
      <c r="MOP40" s="19"/>
      <c r="MOQ40" s="19"/>
      <c r="MOR40" s="19"/>
      <c r="MOS40" s="19"/>
      <c r="MOT40" s="19"/>
      <c r="MOU40" s="19"/>
      <c r="MOV40" s="19"/>
      <c r="MOW40" s="19"/>
      <c r="MOX40" s="19"/>
      <c r="MOY40" s="19"/>
      <c r="MOZ40" s="19"/>
      <c r="MPA40" s="19"/>
      <c r="MPB40" s="19"/>
      <c r="MPC40" s="19"/>
      <c r="MPD40" s="19"/>
      <c r="MPE40" s="19"/>
      <c r="MPF40" s="19"/>
      <c r="MPG40" s="19"/>
      <c r="MPH40" s="19"/>
      <c r="MPI40" s="19"/>
      <c r="MPJ40" s="19"/>
      <c r="MPK40" s="19"/>
      <c r="MPL40" s="19"/>
      <c r="MPM40" s="19"/>
      <c r="MPN40" s="19"/>
      <c r="MPO40" s="19"/>
      <c r="MPP40" s="19"/>
      <c r="MPQ40" s="19"/>
      <c r="MPR40" s="19"/>
      <c r="MPS40" s="19"/>
      <c r="MPT40" s="19"/>
      <c r="MPU40" s="19"/>
      <c r="MPV40" s="19"/>
      <c r="MPW40" s="19"/>
      <c r="MPX40" s="19"/>
      <c r="MPY40" s="19"/>
      <c r="MPZ40" s="19"/>
      <c r="MQA40" s="19"/>
      <c r="MQB40" s="19"/>
      <c r="MQC40" s="19"/>
      <c r="MQD40" s="19"/>
      <c r="MQE40" s="19"/>
      <c r="MQF40" s="19"/>
      <c r="MQG40" s="19"/>
      <c r="MQH40" s="19"/>
      <c r="MQI40" s="19"/>
      <c r="MQJ40" s="19"/>
      <c r="MQK40" s="19"/>
      <c r="MQL40" s="19"/>
      <c r="MQM40" s="19"/>
      <c r="MQN40" s="19"/>
      <c r="MQO40" s="19"/>
      <c r="MQP40" s="19"/>
      <c r="MQQ40" s="19"/>
      <c r="MQR40" s="19"/>
      <c r="MQS40" s="19"/>
      <c r="MQT40" s="19"/>
      <c r="MQU40" s="19"/>
      <c r="MQV40" s="19"/>
      <c r="MQW40" s="19"/>
      <c r="MQX40" s="19"/>
      <c r="MQY40" s="19"/>
      <c r="MQZ40" s="19"/>
      <c r="MRA40" s="19"/>
      <c r="MRB40" s="19"/>
      <c r="MRC40" s="19"/>
      <c r="MRD40" s="19"/>
      <c r="MRE40" s="19"/>
      <c r="MRF40" s="19"/>
      <c r="MRG40" s="19"/>
      <c r="MRH40" s="19"/>
      <c r="MRI40" s="19"/>
      <c r="MRJ40" s="19"/>
      <c r="MRK40" s="19"/>
      <c r="MRL40" s="19"/>
      <c r="MRM40" s="19"/>
      <c r="MRN40" s="19"/>
      <c r="MRO40" s="19"/>
      <c r="MRP40" s="19"/>
      <c r="MRQ40" s="19"/>
      <c r="MRR40" s="19"/>
      <c r="MRS40" s="19"/>
      <c r="MRT40" s="19"/>
      <c r="MRU40" s="19"/>
      <c r="MRV40" s="19"/>
      <c r="MRW40" s="19"/>
      <c r="MRX40" s="19"/>
      <c r="MRY40" s="19"/>
      <c r="MRZ40" s="19"/>
      <c r="MSA40" s="19"/>
      <c r="MSB40" s="19"/>
      <c r="MSC40" s="19"/>
      <c r="MSD40" s="19"/>
      <c r="MSE40" s="19"/>
      <c r="MSF40" s="19"/>
      <c r="MSG40" s="19"/>
      <c r="MSH40" s="19"/>
      <c r="MSI40" s="19"/>
      <c r="MSJ40" s="19"/>
      <c r="MSK40" s="19"/>
      <c r="MSL40" s="19"/>
      <c r="MSM40" s="19"/>
      <c r="MSN40" s="19"/>
      <c r="MSO40" s="19"/>
      <c r="MSP40" s="19"/>
      <c r="MSQ40" s="19"/>
      <c r="MSR40" s="19"/>
      <c r="MSS40" s="19"/>
      <c r="MST40" s="19"/>
      <c r="MSU40" s="19"/>
      <c r="MSV40" s="19"/>
      <c r="MSW40" s="19"/>
      <c r="MSX40" s="19"/>
      <c r="MSY40" s="19"/>
      <c r="MSZ40" s="19"/>
      <c r="MTA40" s="19"/>
      <c r="MTB40" s="19"/>
      <c r="MTC40" s="19"/>
      <c r="MTD40" s="19"/>
      <c r="MTE40" s="19"/>
      <c r="MTF40" s="19"/>
      <c r="MTG40" s="19"/>
      <c r="MTH40" s="19"/>
      <c r="MTI40" s="19"/>
      <c r="MTJ40" s="19"/>
      <c r="MTK40" s="19"/>
      <c r="MTL40" s="19"/>
      <c r="MTM40" s="19"/>
      <c r="MTN40" s="19"/>
      <c r="MTO40" s="19"/>
      <c r="MTP40" s="19"/>
      <c r="MTQ40" s="19"/>
      <c r="MTR40" s="19"/>
      <c r="MTS40" s="19"/>
      <c r="MTT40" s="19"/>
      <c r="MTU40" s="19"/>
      <c r="MTV40" s="19"/>
      <c r="MTW40" s="19"/>
      <c r="MTX40" s="19"/>
      <c r="MTY40" s="19"/>
      <c r="MTZ40" s="19"/>
      <c r="MUA40" s="19"/>
      <c r="MUB40" s="19"/>
      <c r="MUC40" s="19"/>
      <c r="MUD40" s="19"/>
      <c r="MUE40" s="19"/>
      <c r="MUF40" s="19"/>
      <c r="MUG40" s="19"/>
      <c r="MUH40" s="19"/>
      <c r="MUI40" s="19"/>
      <c r="MUJ40" s="19"/>
      <c r="MUK40" s="19"/>
      <c r="MUL40" s="19"/>
      <c r="MUM40" s="19"/>
      <c r="MUN40" s="19"/>
      <c r="MUO40" s="19"/>
      <c r="MUP40" s="19"/>
      <c r="MUQ40" s="19"/>
      <c r="MUR40" s="19"/>
      <c r="MUS40" s="19"/>
      <c r="MUT40" s="19"/>
      <c r="MUU40" s="19"/>
      <c r="MUV40" s="19"/>
      <c r="MUW40" s="19"/>
      <c r="MUX40" s="19"/>
      <c r="MUY40" s="19"/>
      <c r="MUZ40" s="19"/>
      <c r="MVA40" s="19"/>
      <c r="MVB40" s="19"/>
      <c r="MVC40" s="19"/>
      <c r="MVD40" s="19"/>
      <c r="MVE40" s="19"/>
      <c r="MVF40" s="19"/>
      <c r="MVG40" s="19"/>
      <c r="MVH40" s="19"/>
      <c r="MVI40" s="19"/>
      <c r="MVJ40" s="19"/>
      <c r="MVK40" s="19"/>
      <c r="MVL40" s="19"/>
      <c r="MVM40" s="19"/>
      <c r="MVN40" s="19"/>
      <c r="MVO40" s="19"/>
      <c r="MVP40" s="19"/>
      <c r="MVQ40" s="19"/>
      <c r="MVR40" s="19"/>
      <c r="MVS40" s="19"/>
      <c r="MVT40" s="19"/>
      <c r="MVU40" s="19"/>
      <c r="MVV40" s="19"/>
      <c r="MVW40" s="19"/>
      <c r="MVX40" s="19"/>
      <c r="MVY40" s="19"/>
      <c r="MVZ40" s="19"/>
      <c r="MWA40" s="19"/>
      <c r="MWB40" s="19"/>
      <c r="MWC40" s="19"/>
      <c r="MWD40" s="19"/>
      <c r="MWE40" s="19"/>
      <c r="MWF40" s="19"/>
      <c r="MWG40" s="19"/>
      <c r="MWH40" s="19"/>
      <c r="MWI40" s="19"/>
      <c r="MWJ40" s="19"/>
      <c r="MWK40" s="19"/>
      <c r="MWL40" s="19"/>
      <c r="MWM40" s="19"/>
      <c r="MWN40" s="19"/>
      <c r="MWO40" s="19"/>
      <c r="MWP40" s="19"/>
      <c r="MWQ40" s="19"/>
      <c r="MWR40" s="19"/>
      <c r="MWS40" s="19"/>
      <c r="MWT40" s="19"/>
      <c r="MWU40" s="19"/>
      <c r="MWV40" s="19"/>
      <c r="MWW40" s="19"/>
      <c r="MWX40" s="19"/>
      <c r="MWY40" s="19"/>
      <c r="MWZ40" s="19"/>
      <c r="MXA40" s="19"/>
      <c r="MXB40" s="19"/>
      <c r="MXC40" s="19"/>
      <c r="MXD40" s="19"/>
      <c r="MXE40" s="19"/>
      <c r="MXF40" s="19"/>
      <c r="MXG40" s="19"/>
      <c r="MXH40" s="19"/>
      <c r="MXI40" s="19"/>
      <c r="MXJ40" s="19"/>
      <c r="MXK40" s="19"/>
      <c r="MXL40" s="19"/>
      <c r="MXM40" s="19"/>
      <c r="MXN40" s="19"/>
      <c r="MXO40" s="19"/>
      <c r="MXP40" s="19"/>
      <c r="MXQ40" s="19"/>
      <c r="MXR40" s="19"/>
      <c r="MXS40" s="19"/>
      <c r="MXT40" s="19"/>
      <c r="MXU40" s="19"/>
      <c r="MXV40" s="19"/>
      <c r="MXW40" s="19"/>
      <c r="MXX40" s="19"/>
      <c r="MXY40" s="19"/>
      <c r="MXZ40" s="19"/>
      <c r="MYA40" s="19"/>
      <c r="MYB40" s="19"/>
      <c r="MYC40" s="19"/>
      <c r="MYD40" s="19"/>
      <c r="MYE40" s="19"/>
      <c r="MYF40" s="19"/>
      <c r="MYG40" s="19"/>
      <c r="MYH40" s="19"/>
      <c r="MYI40" s="19"/>
      <c r="MYJ40" s="19"/>
      <c r="MYK40" s="19"/>
      <c r="MYL40" s="19"/>
      <c r="MYM40" s="19"/>
      <c r="MYN40" s="19"/>
      <c r="MYO40" s="19"/>
      <c r="MYP40" s="19"/>
      <c r="MYQ40" s="19"/>
      <c r="MYR40" s="19"/>
      <c r="MYS40" s="19"/>
      <c r="MYT40" s="19"/>
      <c r="MYU40" s="19"/>
      <c r="MYV40" s="19"/>
      <c r="MYW40" s="19"/>
      <c r="MYX40" s="19"/>
      <c r="MYY40" s="19"/>
      <c r="MYZ40" s="19"/>
      <c r="MZA40" s="19"/>
      <c r="MZB40" s="19"/>
      <c r="MZC40" s="19"/>
      <c r="MZD40" s="19"/>
      <c r="MZE40" s="19"/>
      <c r="MZF40" s="19"/>
      <c r="MZG40" s="19"/>
      <c r="MZH40" s="19"/>
      <c r="MZI40" s="19"/>
      <c r="MZJ40" s="19"/>
      <c r="MZK40" s="19"/>
      <c r="MZL40" s="19"/>
      <c r="MZM40" s="19"/>
      <c r="MZN40" s="19"/>
      <c r="MZO40" s="19"/>
      <c r="MZP40" s="19"/>
      <c r="MZQ40" s="19"/>
      <c r="MZR40" s="19"/>
      <c r="MZS40" s="19"/>
      <c r="MZT40" s="19"/>
      <c r="MZU40" s="19"/>
      <c r="MZV40" s="19"/>
      <c r="MZW40" s="19"/>
      <c r="MZX40" s="19"/>
      <c r="MZY40" s="19"/>
      <c r="MZZ40" s="19"/>
      <c r="NAA40" s="19"/>
      <c r="NAB40" s="19"/>
      <c r="NAC40" s="19"/>
      <c r="NAD40" s="19"/>
      <c r="NAE40" s="19"/>
      <c r="NAF40" s="19"/>
      <c r="NAG40" s="19"/>
      <c r="NAH40" s="19"/>
      <c r="NAI40" s="19"/>
      <c r="NAJ40" s="19"/>
      <c r="NAK40" s="19"/>
      <c r="NAL40" s="19"/>
      <c r="NAM40" s="19"/>
      <c r="NAN40" s="19"/>
      <c r="NAO40" s="19"/>
      <c r="NAP40" s="19"/>
      <c r="NAQ40" s="19"/>
      <c r="NAR40" s="19"/>
      <c r="NAS40" s="19"/>
      <c r="NAT40" s="19"/>
      <c r="NAU40" s="19"/>
      <c r="NAV40" s="19"/>
      <c r="NAW40" s="19"/>
      <c r="NAX40" s="19"/>
      <c r="NAY40" s="19"/>
      <c r="NAZ40" s="19"/>
      <c r="NBA40" s="19"/>
      <c r="NBB40" s="19"/>
      <c r="NBC40" s="19"/>
      <c r="NBD40" s="19"/>
      <c r="NBE40" s="19"/>
      <c r="NBF40" s="19"/>
      <c r="NBG40" s="19"/>
      <c r="NBH40" s="19"/>
      <c r="NBI40" s="19"/>
      <c r="NBJ40" s="19"/>
      <c r="NBK40" s="19"/>
      <c r="NBL40" s="19"/>
      <c r="NBM40" s="19"/>
      <c r="NBN40" s="19"/>
      <c r="NBO40" s="19"/>
      <c r="NBP40" s="19"/>
      <c r="NBQ40" s="19"/>
      <c r="NBR40" s="19"/>
      <c r="NBS40" s="19"/>
      <c r="NBT40" s="19"/>
      <c r="NBU40" s="19"/>
      <c r="NBV40" s="19"/>
      <c r="NBW40" s="19"/>
      <c r="NBX40" s="19"/>
      <c r="NBY40" s="19"/>
      <c r="NBZ40" s="19"/>
      <c r="NCA40" s="19"/>
      <c r="NCB40" s="19"/>
      <c r="NCC40" s="19"/>
      <c r="NCD40" s="19"/>
      <c r="NCE40" s="19"/>
      <c r="NCF40" s="19"/>
      <c r="NCG40" s="19"/>
      <c r="NCH40" s="19"/>
      <c r="NCI40" s="19"/>
      <c r="NCJ40" s="19"/>
      <c r="NCK40" s="19"/>
      <c r="NCL40" s="19"/>
      <c r="NCM40" s="19"/>
      <c r="NCN40" s="19"/>
      <c r="NCO40" s="19"/>
      <c r="NCP40" s="19"/>
      <c r="NCQ40" s="19"/>
      <c r="NCR40" s="19"/>
      <c r="NCS40" s="19"/>
      <c r="NCT40" s="19"/>
      <c r="NCU40" s="19"/>
      <c r="NCV40" s="19"/>
      <c r="NCW40" s="19"/>
      <c r="NCX40" s="19"/>
      <c r="NCY40" s="19"/>
      <c r="NCZ40" s="19"/>
      <c r="NDA40" s="19"/>
      <c r="NDB40" s="19"/>
      <c r="NDC40" s="19"/>
      <c r="NDD40" s="19"/>
      <c r="NDE40" s="19"/>
      <c r="NDF40" s="19"/>
      <c r="NDG40" s="19"/>
      <c r="NDH40" s="19"/>
      <c r="NDI40" s="19"/>
      <c r="NDJ40" s="19"/>
      <c r="NDK40" s="19"/>
      <c r="NDL40" s="19"/>
      <c r="NDM40" s="19"/>
      <c r="NDN40" s="19"/>
      <c r="NDO40" s="19"/>
      <c r="NDP40" s="19"/>
      <c r="NDQ40" s="19"/>
      <c r="NDR40" s="19"/>
      <c r="NDS40" s="19"/>
      <c r="NDT40" s="19"/>
      <c r="NDU40" s="19"/>
      <c r="NDV40" s="19"/>
      <c r="NDW40" s="19"/>
      <c r="NDX40" s="19"/>
      <c r="NDY40" s="19"/>
      <c r="NDZ40" s="19"/>
      <c r="NEA40" s="19"/>
      <c r="NEB40" s="19"/>
      <c r="NEC40" s="19"/>
      <c r="NED40" s="19"/>
      <c r="NEE40" s="19"/>
      <c r="NEF40" s="19"/>
      <c r="NEG40" s="19"/>
      <c r="NEH40" s="19"/>
      <c r="NEI40" s="19"/>
      <c r="NEJ40" s="19"/>
      <c r="NEK40" s="19"/>
      <c r="NEL40" s="19"/>
      <c r="NEM40" s="19"/>
      <c r="NEN40" s="19"/>
      <c r="NEO40" s="19"/>
      <c r="NEP40" s="19"/>
      <c r="NEQ40" s="19"/>
      <c r="NER40" s="19"/>
      <c r="NES40" s="19"/>
      <c r="NET40" s="19"/>
      <c r="NEU40" s="19"/>
      <c r="NEV40" s="19"/>
      <c r="NEW40" s="19"/>
      <c r="NEX40" s="19"/>
      <c r="NEY40" s="19"/>
      <c r="NEZ40" s="19"/>
      <c r="NFA40" s="19"/>
      <c r="NFB40" s="19"/>
      <c r="NFC40" s="19"/>
      <c r="NFD40" s="19"/>
      <c r="NFE40" s="19"/>
      <c r="NFF40" s="19"/>
      <c r="NFG40" s="19"/>
      <c r="NFH40" s="19"/>
      <c r="NFI40" s="19"/>
      <c r="NFJ40" s="19"/>
      <c r="NFK40" s="19"/>
      <c r="NFL40" s="19"/>
      <c r="NFM40" s="19"/>
      <c r="NFN40" s="19"/>
      <c r="NFO40" s="19"/>
      <c r="NFP40" s="19"/>
      <c r="NFQ40" s="19"/>
      <c r="NFR40" s="19"/>
      <c r="NFS40" s="19"/>
      <c r="NFT40" s="19"/>
      <c r="NFU40" s="19"/>
      <c r="NFV40" s="19"/>
      <c r="NFW40" s="19"/>
      <c r="NFX40" s="19"/>
      <c r="NFY40" s="19"/>
      <c r="NFZ40" s="19"/>
      <c r="NGA40" s="19"/>
      <c r="NGB40" s="19"/>
      <c r="NGC40" s="19"/>
      <c r="NGD40" s="19"/>
      <c r="NGE40" s="19"/>
      <c r="NGF40" s="19"/>
      <c r="NGG40" s="19"/>
      <c r="NGH40" s="19"/>
      <c r="NGI40" s="19"/>
      <c r="NGJ40" s="19"/>
      <c r="NGK40" s="19"/>
      <c r="NGL40" s="19"/>
      <c r="NGM40" s="19"/>
      <c r="NGN40" s="19"/>
      <c r="NGO40" s="19"/>
      <c r="NGP40" s="19"/>
      <c r="NGQ40" s="19"/>
      <c r="NGR40" s="19"/>
      <c r="NGS40" s="19"/>
      <c r="NGT40" s="19"/>
      <c r="NGU40" s="19"/>
      <c r="NGV40" s="19"/>
      <c r="NGW40" s="19"/>
      <c r="NGX40" s="19"/>
      <c r="NGY40" s="19"/>
      <c r="NGZ40" s="19"/>
      <c r="NHA40" s="19"/>
      <c r="NHB40" s="19"/>
      <c r="NHC40" s="19"/>
      <c r="NHD40" s="19"/>
      <c r="NHE40" s="19"/>
      <c r="NHF40" s="19"/>
      <c r="NHG40" s="19"/>
      <c r="NHH40" s="19"/>
      <c r="NHI40" s="19"/>
      <c r="NHJ40" s="19"/>
      <c r="NHK40" s="19"/>
      <c r="NHL40" s="19"/>
      <c r="NHM40" s="19"/>
      <c r="NHN40" s="19"/>
      <c r="NHO40" s="19"/>
      <c r="NHP40" s="19"/>
      <c r="NHQ40" s="19"/>
      <c r="NHR40" s="19"/>
      <c r="NHS40" s="19"/>
      <c r="NHT40" s="19"/>
      <c r="NHU40" s="19"/>
      <c r="NHV40" s="19"/>
      <c r="NHW40" s="19"/>
      <c r="NHX40" s="19"/>
      <c r="NHY40" s="19"/>
      <c r="NHZ40" s="19"/>
      <c r="NIA40" s="19"/>
      <c r="NIB40" s="19"/>
      <c r="NIC40" s="19"/>
      <c r="NID40" s="19"/>
      <c r="NIE40" s="19"/>
      <c r="NIF40" s="19"/>
      <c r="NIG40" s="19"/>
      <c r="NIH40" s="19"/>
      <c r="NII40" s="19"/>
      <c r="NIJ40" s="19"/>
      <c r="NIK40" s="19"/>
      <c r="NIL40" s="19"/>
      <c r="NIM40" s="19"/>
      <c r="NIN40" s="19"/>
      <c r="NIO40" s="19"/>
      <c r="NIP40" s="19"/>
      <c r="NIQ40" s="19"/>
      <c r="NIR40" s="19"/>
      <c r="NIS40" s="19"/>
      <c r="NIT40" s="19"/>
      <c r="NIU40" s="19"/>
      <c r="NIV40" s="19"/>
      <c r="NIW40" s="19"/>
      <c r="NIX40" s="19"/>
      <c r="NIY40" s="19"/>
      <c r="NIZ40" s="19"/>
      <c r="NJA40" s="19"/>
      <c r="NJB40" s="19"/>
      <c r="NJC40" s="19"/>
      <c r="NJD40" s="19"/>
      <c r="NJE40" s="19"/>
      <c r="NJF40" s="19"/>
      <c r="NJG40" s="19"/>
      <c r="NJH40" s="19"/>
      <c r="NJI40" s="19"/>
      <c r="NJJ40" s="19"/>
      <c r="NJK40" s="19"/>
      <c r="NJL40" s="19"/>
      <c r="NJM40" s="19"/>
      <c r="NJN40" s="19"/>
      <c r="NJO40" s="19"/>
      <c r="NJP40" s="19"/>
      <c r="NJQ40" s="19"/>
      <c r="NJR40" s="19"/>
      <c r="NJS40" s="19"/>
      <c r="NJT40" s="19"/>
      <c r="NJU40" s="19"/>
      <c r="NJV40" s="19"/>
      <c r="NJW40" s="19"/>
      <c r="NJX40" s="19"/>
      <c r="NJY40" s="19"/>
      <c r="NJZ40" s="19"/>
      <c r="NKA40" s="19"/>
      <c r="NKB40" s="19"/>
      <c r="NKC40" s="19"/>
      <c r="NKD40" s="19"/>
      <c r="NKE40" s="19"/>
      <c r="NKF40" s="19"/>
      <c r="NKG40" s="19"/>
      <c r="NKH40" s="19"/>
      <c r="NKI40" s="19"/>
      <c r="NKJ40" s="19"/>
      <c r="NKK40" s="19"/>
      <c r="NKL40" s="19"/>
      <c r="NKM40" s="19"/>
      <c r="NKN40" s="19"/>
      <c r="NKO40" s="19"/>
      <c r="NKP40" s="19"/>
      <c r="NKQ40" s="19"/>
      <c r="NKR40" s="19"/>
      <c r="NKS40" s="19"/>
      <c r="NKT40" s="19"/>
      <c r="NKU40" s="19"/>
      <c r="NKV40" s="19"/>
      <c r="NKW40" s="19"/>
      <c r="NKX40" s="19"/>
      <c r="NKY40" s="19"/>
      <c r="NKZ40" s="19"/>
      <c r="NLA40" s="19"/>
      <c r="NLB40" s="19"/>
      <c r="NLC40" s="19"/>
      <c r="NLD40" s="19"/>
      <c r="NLE40" s="19"/>
      <c r="NLF40" s="19"/>
      <c r="NLG40" s="19"/>
      <c r="NLH40" s="19"/>
      <c r="NLI40" s="19"/>
      <c r="NLJ40" s="19"/>
      <c r="NLK40" s="19"/>
      <c r="NLL40" s="19"/>
      <c r="NLM40" s="19"/>
      <c r="NLN40" s="19"/>
      <c r="NLO40" s="19"/>
      <c r="NLP40" s="19"/>
      <c r="NLQ40" s="19"/>
      <c r="NLR40" s="19"/>
      <c r="NLS40" s="19"/>
      <c r="NLT40" s="19"/>
      <c r="NLU40" s="19"/>
      <c r="NLV40" s="19"/>
      <c r="NLW40" s="19"/>
      <c r="NLX40" s="19"/>
      <c r="NLY40" s="19"/>
      <c r="NLZ40" s="19"/>
      <c r="NMA40" s="19"/>
      <c r="NMB40" s="19"/>
      <c r="NMC40" s="19"/>
      <c r="NMD40" s="19"/>
      <c r="NME40" s="19"/>
      <c r="NMF40" s="19"/>
      <c r="NMG40" s="19"/>
      <c r="NMH40" s="19"/>
      <c r="NMI40" s="19"/>
      <c r="NMJ40" s="19"/>
      <c r="NMK40" s="19"/>
      <c r="NML40" s="19"/>
      <c r="NMM40" s="19"/>
      <c r="NMN40" s="19"/>
      <c r="NMO40" s="19"/>
      <c r="NMP40" s="19"/>
      <c r="NMQ40" s="19"/>
      <c r="NMR40" s="19"/>
      <c r="NMS40" s="19"/>
      <c r="NMT40" s="19"/>
      <c r="NMU40" s="19"/>
      <c r="NMV40" s="19"/>
      <c r="NMW40" s="19"/>
      <c r="NMX40" s="19"/>
      <c r="NMY40" s="19"/>
      <c r="NMZ40" s="19"/>
      <c r="NNA40" s="19"/>
      <c r="NNB40" s="19"/>
      <c r="NNC40" s="19"/>
      <c r="NND40" s="19"/>
      <c r="NNE40" s="19"/>
      <c r="NNF40" s="19"/>
      <c r="NNG40" s="19"/>
      <c r="NNH40" s="19"/>
      <c r="NNI40" s="19"/>
      <c r="NNJ40" s="19"/>
      <c r="NNK40" s="19"/>
      <c r="NNL40" s="19"/>
      <c r="NNM40" s="19"/>
      <c r="NNN40" s="19"/>
      <c r="NNO40" s="19"/>
      <c r="NNP40" s="19"/>
      <c r="NNQ40" s="19"/>
      <c r="NNR40" s="19"/>
      <c r="NNS40" s="19"/>
      <c r="NNT40" s="19"/>
      <c r="NNU40" s="19"/>
      <c r="NNV40" s="19"/>
      <c r="NNW40" s="19"/>
      <c r="NNX40" s="19"/>
      <c r="NNY40" s="19"/>
      <c r="NNZ40" s="19"/>
      <c r="NOA40" s="19"/>
      <c r="NOB40" s="19"/>
      <c r="NOC40" s="19"/>
      <c r="NOD40" s="19"/>
      <c r="NOE40" s="19"/>
      <c r="NOF40" s="19"/>
      <c r="NOG40" s="19"/>
      <c r="NOH40" s="19"/>
      <c r="NOI40" s="19"/>
      <c r="NOJ40" s="19"/>
      <c r="NOK40" s="19"/>
      <c r="NOL40" s="19"/>
      <c r="NOM40" s="19"/>
      <c r="NON40" s="19"/>
      <c r="NOO40" s="19"/>
      <c r="NOP40" s="19"/>
      <c r="NOQ40" s="19"/>
      <c r="NOR40" s="19"/>
      <c r="NOS40" s="19"/>
      <c r="NOT40" s="19"/>
      <c r="NOU40" s="19"/>
      <c r="NOV40" s="19"/>
      <c r="NOW40" s="19"/>
      <c r="NOX40" s="19"/>
      <c r="NOY40" s="19"/>
      <c r="NOZ40" s="19"/>
      <c r="NPA40" s="19"/>
      <c r="NPB40" s="19"/>
      <c r="NPC40" s="19"/>
      <c r="NPD40" s="19"/>
      <c r="NPE40" s="19"/>
      <c r="NPF40" s="19"/>
      <c r="NPG40" s="19"/>
      <c r="NPH40" s="19"/>
      <c r="NPI40" s="19"/>
      <c r="NPJ40" s="19"/>
      <c r="NPK40" s="19"/>
      <c r="NPL40" s="19"/>
      <c r="NPM40" s="19"/>
      <c r="NPN40" s="19"/>
      <c r="NPO40" s="19"/>
      <c r="NPP40" s="19"/>
      <c r="NPQ40" s="19"/>
      <c r="NPR40" s="19"/>
      <c r="NPS40" s="19"/>
      <c r="NPT40" s="19"/>
      <c r="NPU40" s="19"/>
      <c r="NPV40" s="19"/>
      <c r="NPW40" s="19"/>
      <c r="NPX40" s="19"/>
      <c r="NPY40" s="19"/>
      <c r="NPZ40" s="19"/>
      <c r="NQA40" s="19"/>
      <c r="NQB40" s="19"/>
      <c r="NQC40" s="19"/>
      <c r="NQD40" s="19"/>
      <c r="NQE40" s="19"/>
      <c r="NQF40" s="19"/>
      <c r="NQG40" s="19"/>
      <c r="NQH40" s="19"/>
      <c r="NQI40" s="19"/>
      <c r="NQJ40" s="19"/>
      <c r="NQK40" s="19"/>
      <c r="NQL40" s="19"/>
      <c r="NQM40" s="19"/>
      <c r="NQN40" s="19"/>
      <c r="NQO40" s="19"/>
      <c r="NQP40" s="19"/>
      <c r="NQQ40" s="19"/>
      <c r="NQR40" s="19"/>
      <c r="NQS40" s="19"/>
      <c r="NQT40" s="19"/>
      <c r="NQU40" s="19"/>
      <c r="NQV40" s="19"/>
      <c r="NQW40" s="19"/>
      <c r="NQX40" s="19"/>
      <c r="NQY40" s="19"/>
      <c r="NQZ40" s="19"/>
      <c r="NRA40" s="19"/>
      <c r="NRB40" s="19"/>
      <c r="NRC40" s="19"/>
      <c r="NRD40" s="19"/>
      <c r="NRE40" s="19"/>
      <c r="NRF40" s="19"/>
      <c r="NRG40" s="19"/>
      <c r="NRH40" s="19"/>
      <c r="NRI40" s="19"/>
      <c r="NRJ40" s="19"/>
      <c r="NRK40" s="19"/>
      <c r="NRL40" s="19"/>
      <c r="NRM40" s="19"/>
      <c r="NRN40" s="19"/>
      <c r="NRO40" s="19"/>
      <c r="NRP40" s="19"/>
      <c r="NRQ40" s="19"/>
      <c r="NRR40" s="19"/>
      <c r="NRS40" s="19"/>
      <c r="NRT40" s="19"/>
      <c r="NRU40" s="19"/>
      <c r="NRV40" s="19"/>
      <c r="NRW40" s="19"/>
      <c r="NRX40" s="19"/>
      <c r="NRY40" s="19"/>
      <c r="NRZ40" s="19"/>
      <c r="NSA40" s="19"/>
      <c r="NSB40" s="19"/>
      <c r="NSC40" s="19"/>
      <c r="NSD40" s="19"/>
      <c r="NSE40" s="19"/>
      <c r="NSF40" s="19"/>
      <c r="NSG40" s="19"/>
      <c r="NSH40" s="19"/>
      <c r="NSI40" s="19"/>
      <c r="NSJ40" s="19"/>
      <c r="NSK40" s="19"/>
      <c r="NSL40" s="19"/>
      <c r="NSM40" s="19"/>
      <c r="NSN40" s="19"/>
      <c r="NSO40" s="19"/>
      <c r="NSP40" s="19"/>
      <c r="NSQ40" s="19"/>
      <c r="NSR40" s="19"/>
      <c r="NSS40" s="19"/>
      <c r="NST40" s="19"/>
      <c r="NSU40" s="19"/>
      <c r="NSV40" s="19"/>
      <c r="NSW40" s="19"/>
      <c r="NSX40" s="19"/>
      <c r="NSY40" s="19"/>
      <c r="NSZ40" s="19"/>
      <c r="NTA40" s="19"/>
      <c r="NTB40" s="19"/>
      <c r="NTC40" s="19"/>
      <c r="NTD40" s="19"/>
      <c r="NTE40" s="19"/>
      <c r="NTF40" s="19"/>
      <c r="NTG40" s="19"/>
      <c r="NTH40" s="19"/>
      <c r="NTI40" s="19"/>
      <c r="NTJ40" s="19"/>
      <c r="NTK40" s="19"/>
      <c r="NTL40" s="19"/>
      <c r="NTM40" s="19"/>
      <c r="NTN40" s="19"/>
      <c r="NTO40" s="19"/>
      <c r="NTP40" s="19"/>
      <c r="NTQ40" s="19"/>
      <c r="NTR40" s="19"/>
      <c r="NTS40" s="19"/>
      <c r="NTT40" s="19"/>
      <c r="NTU40" s="19"/>
      <c r="NTV40" s="19"/>
      <c r="NTW40" s="19"/>
      <c r="NTX40" s="19"/>
      <c r="NTY40" s="19"/>
      <c r="NTZ40" s="19"/>
      <c r="NUA40" s="19"/>
      <c r="NUB40" s="19"/>
      <c r="NUC40" s="19"/>
      <c r="NUD40" s="19"/>
      <c r="NUE40" s="19"/>
      <c r="NUF40" s="19"/>
      <c r="NUG40" s="19"/>
      <c r="NUH40" s="19"/>
      <c r="NUI40" s="19"/>
      <c r="NUJ40" s="19"/>
      <c r="NUK40" s="19"/>
      <c r="NUL40" s="19"/>
      <c r="NUM40" s="19"/>
      <c r="NUN40" s="19"/>
      <c r="NUO40" s="19"/>
      <c r="NUP40" s="19"/>
      <c r="NUQ40" s="19"/>
      <c r="NUR40" s="19"/>
      <c r="NUS40" s="19"/>
      <c r="NUT40" s="19"/>
      <c r="NUU40" s="19"/>
      <c r="NUV40" s="19"/>
      <c r="NUW40" s="19"/>
      <c r="NUX40" s="19"/>
      <c r="NUY40" s="19"/>
      <c r="NUZ40" s="19"/>
      <c r="NVA40" s="19"/>
      <c r="NVB40" s="19"/>
      <c r="NVC40" s="19"/>
      <c r="NVD40" s="19"/>
      <c r="NVE40" s="19"/>
      <c r="NVF40" s="19"/>
      <c r="NVG40" s="19"/>
      <c r="NVH40" s="19"/>
      <c r="NVI40" s="19"/>
      <c r="NVJ40" s="19"/>
      <c r="NVK40" s="19"/>
      <c r="NVL40" s="19"/>
      <c r="NVM40" s="19"/>
      <c r="NVN40" s="19"/>
      <c r="NVO40" s="19"/>
      <c r="NVP40" s="19"/>
      <c r="NVQ40" s="19"/>
      <c r="NVR40" s="19"/>
      <c r="NVS40" s="19"/>
      <c r="NVT40" s="19"/>
      <c r="NVU40" s="19"/>
      <c r="NVV40" s="19"/>
      <c r="NVW40" s="19"/>
      <c r="NVX40" s="19"/>
      <c r="NVY40" s="19"/>
      <c r="NVZ40" s="19"/>
      <c r="NWA40" s="19"/>
      <c r="NWB40" s="19"/>
      <c r="NWC40" s="19"/>
      <c r="NWD40" s="19"/>
      <c r="NWE40" s="19"/>
      <c r="NWF40" s="19"/>
      <c r="NWG40" s="19"/>
      <c r="NWH40" s="19"/>
      <c r="NWI40" s="19"/>
      <c r="NWJ40" s="19"/>
      <c r="NWK40" s="19"/>
      <c r="NWL40" s="19"/>
      <c r="NWM40" s="19"/>
      <c r="NWN40" s="19"/>
      <c r="NWO40" s="19"/>
      <c r="NWP40" s="19"/>
      <c r="NWQ40" s="19"/>
      <c r="NWR40" s="19"/>
      <c r="NWS40" s="19"/>
      <c r="NWT40" s="19"/>
      <c r="NWU40" s="19"/>
      <c r="NWV40" s="19"/>
      <c r="NWW40" s="19"/>
      <c r="NWX40" s="19"/>
      <c r="NWY40" s="19"/>
      <c r="NWZ40" s="19"/>
      <c r="NXA40" s="19"/>
      <c r="NXB40" s="19"/>
      <c r="NXC40" s="19"/>
      <c r="NXD40" s="19"/>
      <c r="NXE40" s="19"/>
      <c r="NXF40" s="19"/>
      <c r="NXG40" s="19"/>
      <c r="NXH40" s="19"/>
      <c r="NXI40" s="19"/>
      <c r="NXJ40" s="19"/>
      <c r="NXK40" s="19"/>
      <c r="NXL40" s="19"/>
      <c r="NXM40" s="19"/>
      <c r="NXN40" s="19"/>
      <c r="NXO40" s="19"/>
      <c r="NXP40" s="19"/>
      <c r="NXQ40" s="19"/>
      <c r="NXR40" s="19"/>
      <c r="NXS40" s="19"/>
      <c r="NXT40" s="19"/>
      <c r="NXU40" s="19"/>
      <c r="NXV40" s="19"/>
      <c r="NXW40" s="19"/>
      <c r="NXX40" s="19"/>
      <c r="NXY40" s="19"/>
      <c r="NXZ40" s="19"/>
      <c r="NYA40" s="19"/>
      <c r="NYB40" s="19"/>
      <c r="NYC40" s="19"/>
      <c r="NYD40" s="19"/>
      <c r="NYE40" s="19"/>
      <c r="NYF40" s="19"/>
      <c r="NYG40" s="19"/>
      <c r="NYH40" s="19"/>
      <c r="NYI40" s="19"/>
      <c r="NYJ40" s="19"/>
      <c r="NYK40" s="19"/>
      <c r="NYL40" s="19"/>
      <c r="NYM40" s="19"/>
      <c r="NYN40" s="19"/>
      <c r="NYO40" s="19"/>
      <c r="NYP40" s="19"/>
      <c r="NYQ40" s="19"/>
      <c r="NYR40" s="19"/>
      <c r="NYS40" s="19"/>
      <c r="NYT40" s="19"/>
      <c r="NYU40" s="19"/>
      <c r="NYV40" s="19"/>
      <c r="NYW40" s="19"/>
      <c r="NYX40" s="19"/>
      <c r="NYY40" s="19"/>
      <c r="NYZ40" s="19"/>
      <c r="NZA40" s="19"/>
      <c r="NZB40" s="19"/>
      <c r="NZC40" s="19"/>
      <c r="NZD40" s="19"/>
      <c r="NZE40" s="19"/>
      <c r="NZF40" s="19"/>
      <c r="NZG40" s="19"/>
      <c r="NZH40" s="19"/>
      <c r="NZI40" s="19"/>
      <c r="NZJ40" s="19"/>
      <c r="NZK40" s="19"/>
      <c r="NZL40" s="19"/>
      <c r="NZM40" s="19"/>
      <c r="NZN40" s="19"/>
      <c r="NZO40" s="19"/>
      <c r="NZP40" s="19"/>
      <c r="NZQ40" s="19"/>
      <c r="NZR40" s="19"/>
      <c r="NZS40" s="19"/>
      <c r="NZT40" s="19"/>
      <c r="NZU40" s="19"/>
      <c r="NZV40" s="19"/>
      <c r="NZW40" s="19"/>
      <c r="NZX40" s="19"/>
      <c r="NZY40" s="19"/>
      <c r="NZZ40" s="19"/>
      <c r="OAA40" s="19"/>
      <c r="OAB40" s="19"/>
      <c r="OAC40" s="19"/>
      <c r="OAD40" s="19"/>
      <c r="OAE40" s="19"/>
      <c r="OAF40" s="19"/>
      <c r="OAG40" s="19"/>
      <c r="OAH40" s="19"/>
      <c r="OAI40" s="19"/>
      <c r="OAJ40" s="19"/>
      <c r="OAK40" s="19"/>
      <c r="OAL40" s="19"/>
      <c r="OAM40" s="19"/>
      <c r="OAN40" s="19"/>
      <c r="OAO40" s="19"/>
      <c r="OAP40" s="19"/>
      <c r="OAQ40" s="19"/>
      <c r="OAR40" s="19"/>
      <c r="OAS40" s="19"/>
      <c r="OAT40" s="19"/>
      <c r="OAU40" s="19"/>
      <c r="OAV40" s="19"/>
      <c r="OAW40" s="19"/>
      <c r="OAX40" s="19"/>
      <c r="OAY40" s="19"/>
      <c r="OAZ40" s="19"/>
      <c r="OBA40" s="19"/>
      <c r="OBB40" s="19"/>
      <c r="OBC40" s="19"/>
      <c r="OBD40" s="19"/>
      <c r="OBE40" s="19"/>
      <c r="OBF40" s="19"/>
      <c r="OBG40" s="19"/>
      <c r="OBH40" s="19"/>
      <c r="OBI40" s="19"/>
      <c r="OBJ40" s="19"/>
      <c r="OBK40" s="19"/>
      <c r="OBL40" s="19"/>
      <c r="OBM40" s="19"/>
      <c r="OBN40" s="19"/>
      <c r="OBO40" s="19"/>
      <c r="OBP40" s="19"/>
      <c r="OBQ40" s="19"/>
      <c r="OBR40" s="19"/>
      <c r="OBS40" s="19"/>
      <c r="OBT40" s="19"/>
      <c r="OBU40" s="19"/>
      <c r="OBV40" s="19"/>
      <c r="OBW40" s="19"/>
      <c r="OBX40" s="19"/>
      <c r="OBY40" s="19"/>
      <c r="OBZ40" s="19"/>
      <c r="OCA40" s="19"/>
      <c r="OCB40" s="19"/>
      <c r="OCC40" s="19"/>
      <c r="OCD40" s="19"/>
      <c r="OCE40" s="19"/>
      <c r="OCF40" s="19"/>
      <c r="OCG40" s="19"/>
      <c r="OCH40" s="19"/>
      <c r="OCI40" s="19"/>
      <c r="OCJ40" s="19"/>
      <c r="OCK40" s="19"/>
      <c r="OCL40" s="19"/>
      <c r="OCM40" s="19"/>
      <c r="OCN40" s="19"/>
      <c r="OCO40" s="19"/>
      <c r="OCP40" s="19"/>
      <c r="OCQ40" s="19"/>
      <c r="OCR40" s="19"/>
      <c r="OCS40" s="19"/>
      <c r="OCT40" s="19"/>
      <c r="OCU40" s="19"/>
      <c r="OCV40" s="19"/>
      <c r="OCW40" s="19"/>
      <c r="OCX40" s="19"/>
      <c r="OCY40" s="19"/>
      <c r="OCZ40" s="19"/>
      <c r="ODA40" s="19"/>
      <c r="ODB40" s="19"/>
      <c r="ODC40" s="19"/>
      <c r="ODD40" s="19"/>
      <c r="ODE40" s="19"/>
      <c r="ODF40" s="19"/>
      <c r="ODG40" s="19"/>
      <c r="ODH40" s="19"/>
      <c r="ODI40" s="19"/>
      <c r="ODJ40" s="19"/>
      <c r="ODK40" s="19"/>
      <c r="ODL40" s="19"/>
      <c r="ODM40" s="19"/>
      <c r="ODN40" s="19"/>
      <c r="ODO40" s="19"/>
      <c r="ODP40" s="19"/>
      <c r="ODQ40" s="19"/>
      <c r="ODR40" s="19"/>
      <c r="ODS40" s="19"/>
      <c r="ODT40" s="19"/>
      <c r="ODU40" s="19"/>
      <c r="ODV40" s="19"/>
      <c r="ODW40" s="19"/>
      <c r="ODX40" s="19"/>
      <c r="ODY40" s="19"/>
      <c r="ODZ40" s="19"/>
      <c r="OEA40" s="19"/>
      <c r="OEB40" s="19"/>
      <c r="OEC40" s="19"/>
      <c r="OED40" s="19"/>
      <c r="OEE40" s="19"/>
      <c r="OEF40" s="19"/>
      <c r="OEG40" s="19"/>
      <c r="OEH40" s="19"/>
      <c r="OEI40" s="19"/>
      <c r="OEJ40" s="19"/>
      <c r="OEK40" s="19"/>
      <c r="OEL40" s="19"/>
      <c r="OEM40" s="19"/>
      <c r="OEN40" s="19"/>
      <c r="OEO40" s="19"/>
      <c r="OEP40" s="19"/>
      <c r="OEQ40" s="19"/>
      <c r="OER40" s="19"/>
      <c r="OES40" s="19"/>
      <c r="OET40" s="19"/>
      <c r="OEU40" s="19"/>
      <c r="OEV40" s="19"/>
      <c r="OEW40" s="19"/>
      <c r="OEX40" s="19"/>
      <c r="OEY40" s="19"/>
      <c r="OEZ40" s="19"/>
      <c r="OFA40" s="19"/>
      <c r="OFB40" s="19"/>
      <c r="OFC40" s="19"/>
      <c r="OFD40" s="19"/>
      <c r="OFE40" s="19"/>
      <c r="OFF40" s="19"/>
      <c r="OFG40" s="19"/>
      <c r="OFH40" s="19"/>
      <c r="OFI40" s="19"/>
      <c r="OFJ40" s="19"/>
      <c r="OFK40" s="19"/>
      <c r="OFL40" s="19"/>
      <c r="OFM40" s="19"/>
      <c r="OFN40" s="19"/>
      <c r="OFO40" s="19"/>
      <c r="OFP40" s="19"/>
      <c r="OFQ40" s="19"/>
      <c r="OFR40" s="19"/>
      <c r="OFS40" s="19"/>
      <c r="OFT40" s="19"/>
      <c r="OFU40" s="19"/>
      <c r="OFV40" s="19"/>
      <c r="OFW40" s="19"/>
      <c r="OFX40" s="19"/>
      <c r="OFY40" s="19"/>
      <c r="OFZ40" s="19"/>
      <c r="OGA40" s="19"/>
      <c r="OGB40" s="19"/>
      <c r="OGC40" s="19"/>
      <c r="OGD40" s="19"/>
      <c r="OGE40" s="19"/>
      <c r="OGF40" s="19"/>
      <c r="OGG40" s="19"/>
      <c r="OGH40" s="19"/>
      <c r="OGI40" s="19"/>
      <c r="OGJ40" s="19"/>
      <c r="OGK40" s="19"/>
      <c r="OGL40" s="19"/>
      <c r="OGM40" s="19"/>
      <c r="OGN40" s="19"/>
      <c r="OGO40" s="19"/>
      <c r="OGP40" s="19"/>
      <c r="OGQ40" s="19"/>
      <c r="OGR40" s="19"/>
      <c r="OGS40" s="19"/>
      <c r="OGT40" s="19"/>
      <c r="OGU40" s="19"/>
      <c r="OGV40" s="19"/>
      <c r="OGW40" s="19"/>
      <c r="OGX40" s="19"/>
      <c r="OGY40" s="19"/>
      <c r="OGZ40" s="19"/>
      <c r="OHA40" s="19"/>
      <c r="OHB40" s="19"/>
      <c r="OHC40" s="19"/>
      <c r="OHD40" s="19"/>
      <c r="OHE40" s="19"/>
      <c r="OHF40" s="19"/>
      <c r="OHG40" s="19"/>
      <c r="OHH40" s="19"/>
      <c r="OHI40" s="19"/>
      <c r="OHJ40" s="19"/>
      <c r="OHK40" s="19"/>
      <c r="OHL40" s="19"/>
      <c r="OHM40" s="19"/>
      <c r="OHN40" s="19"/>
      <c r="OHO40" s="19"/>
      <c r="OHP40" s="19"/>
      <c r="OHQ40" s="19"/>
      <c r="OHR40" s="19"/>
      <c r="OHS40" s="19"/>
      <c r="OHT40" s="19"/>
      <c r="OHU40" s="19"/>
      <c r="OHV40" s="19"/>
      <c r="OHW40" s="19"/>
      <c r="OHX40" s="19"/>
      <c r="OHY40" s="19"/>
      <c r="OHZ40" s="19"/>
      <c r="OIA40" s="19"/>
      <c r="OIB40" s="19"/>
      <c r="OIC40" s="19"/>
      <c r="OID40" s="19"/>
      <c r="OIE40" s="19"/>
      <c r="OIF40" s="19"/>
      <c r="OIG40" s="19"/>
      <c r="OIH40" s="19"/>
      <c r="OII40" s="19"/>
      <c r="OIJ40" s="19"/>
      <c r="OIK40" s="19"/>
      <c r="OIL40" s="19"/>
      <c r="OIM40" s="19"/>
      <c r="OIN40" s="19"/>
      <c r="OIO40" s="19"/>
      <c r="OIP40" s="19"/>
      <c r="OIQ40" s="19"/>
      <c r="OIR40" s="19"/>
      <c r="OIS40" s="19"/>
      <c r="OIT40" s="19"/>
      <c r="OIU40" s="19"/>
      <c r="OIV40" s="19"/>
      <c r="OIW40" s="19"/>
      <c r="OIX40" s="19"/>
      <c r="OIY40" s="19"/>
      <c r="OIZ40" s="19"/>
      <c r="OJA40" s="19"/>
      <c r="OJB40" s="19"/>
      <c r="OJC40" s="19"/>
      <c r="OJD40" s="19"/>
      <c r="OJE40" s="19"/>
      <c r="OJF40" s="19"/>
      <c r="OJG40" s="19"/>
      <c r="OJH40" s="19"/>
      <c r="OJI40" s="19"/>
      <c r="OJJ40" s="19"/>
      <c r="OJK40" s="19"/>
      <c r="OJL40" s="19"/>
      <c r="OJM40" s="19"/>
      <c r="OJN40" s="19"/>
      <c r="OJO40" s="19"/>
      <c r="OJP40" s="19"/>
      <c r="OJQ40" s="19"/>
      <c r="OJR40" s="19"/>
      <c r="OJS40" s="19"/>
      <c r="OJT40" s="19"/>
      <c r="OJU40" s="19"/>
      <c r="OJV40" s="19"/>
      <c r="OJW40" s="19"/>
      <c r="OJX40" s="19"/>
      <c r="OJY40" s="19"/>
      <c r="OJZ40" s="19"/>
      <c r="OKA40" s="19"/>
      <c r="OKB40" s="19"/>
      <c r="OKC40" s="19"/>
      <c r="OKD40" s="19"/>
      <c r="OKE40" s="19"/>
      <c r="OKF40" s="19"/>
      <c r="OKG40" s="19"/>
      <c r="OKH40" s="19"/>
      <c r="OKI40" s="19"/>
      <c r="OKJ40" s="19"/>
      <c r="OKK40" s="19"/>
      <c r="OKL40" s="19"/>
      <c r="OKM40" s="19"/>
      <c r="OKN40" s="19"/>
      <c r="OKO40" s="19"/>
      <c r="OKP40" s="19"/>
      <c r="OKQ40" s="19"/>
      <c r="OKR40" s="19"/>
      <c r="OKS40" s="19"/>
      <c r="OKT40" s="19"/>
      <c r="OKU40" s="19"/>
      <c r="OKV40" s="19"/>
      <c r="OKW40" s="19"/>
      <c r="OKX40" s="19"/>
      <c r="OKY40" s="19"/>
      <c r="OKZ40" s="19"/>
      <c r="OLA40" s="19"/>
      <c r="OLB40" s="19"/>
      <c r="OLC40" s="19"/>
      <c r="OLD40" s="19"/>
      <c r="OLE40" s="19"/>
      <c r="OLF40" s="19"/>
      <c r="OLG40" s="19"/>
      <c r="OLH40" s="19"/>
      <c r="OLI40" s="19"/>
      <c r="OLJ40" s="19"/>
      <c r="OLK40" s="19"/>
      <c r="OLL40" s="19"/>
      <c r="OLM40" s="19"/>
      <c r="OLN40" s="19"/>
      <c r="OLO40" s="19"/>
      <c r="OLP40" s="19"/>
      <c r="OLQ40" s="19"/>
      <c r="OLR40" s="19"/>
      <c r="OLS40" s="19"/>
      <c r="OLT40" s="19"/>
      <c r="OLU40" s="19"/>
      <c r="OLV40" s="19"/>
      <c r="OLW40" s="19"/>
      <c r="OLX40" s="19"/>
      <c r="OLY40" s="19"/>
      <c r="OLZ40" s="19"/>
      <c r="OMA40" s="19"/>
      <c r="OMB40" s="19"/>
      <c r="OMC40" s="19"/>
      <c r="OMD40" s="19"/>
      <c r="OME40" s="19"/>
      <c r="OMF40" s="19"/>
      <c r="OMG40" s="19"/>
      <c r="OMH40" s="19"/>
      <c r="OMI40" s="19"/>
      <c r="OMJ40" s="19"/>
      <c r="OMK40" s="19"/>
      <c r="OML40" s="19"/>
      <c r="OMM40" s="19"/>
      <c r="OMN40" s="19"/>
      <c r="OMO40" s="19"/>
      <c r="OMP40" s="19"/>
      <c r="OMQ40" s="19"/>
      <c r="OMR40" s="19"/>
      <c r="OMS40" s="19"/>
      <c r="OMT40" s="19"/>
      <c r="OMU40" s="19"/>
      <c r="OMV40" s="19"/>
      <c r="OMW40" s="19"/>
      <c r="OMX40" s="19"/>
      <c r="OMY40" s="19"/>
      <c r="OMZ40" s="19"/>
      <c r="ONA40" s="19"/>
      <c r="ONB40" s="19"/>
      <c r="ONC40" s="19"/>
      <c r="OND40" s="19"/>
      <c r="ONE40" s="19"/>
      <c r="ONF40" s="19"/>
      <c r="ONG40" s="19"/>
      <c r="ONH40" s="19"/>
      <c r="ONI40" s="19"/>
      <c r="ONJ40" s="19"/>
      <c r="ONK40" s="19"/>
      <c r="ONL40" s="19"/>
      <c r="ONM40" s="19"/>
      <c r="ONN40" s="19"/>
      <c r="ONO40" s="19"/>
      <c r="ONP40" s="19"/>
      <c r="ONQ40" s="19"/>
      <c r="ONR40" s="19"/>
      <c r="ONS40" s="19"/>
      <c r="ONT40" s="19"/>
      <c r="ONU40" s="19"/>
      <c r="ONV40" s="19"/>
      <c r="ONW40" s="19"/>
      <c r="ONX40" s="19"/>
      <c r="ONY40" s="19"/>
      <c r="ONZ40" s="19"/>
      <c r="OOA40" s="19"/>
      <c r="OOB40" s="19"/>
      <c r="OOC40" s="19"/>
      <c r="OOD40" s="19"/>
      <c r="OOE40" s="19"/>
      <c r="OOF40" s="19"/>
      <c r="OOG40" s="19"/>
      <c r="OOH40" s="19"/>
      <c r="OOI40" s="19"/>
      <c r="OOJ40" s="19"/>
      <c r="OOK40" s="19"/>
      <c r="OOL40" s="19"/>
      <c r="OOM40" s="19"/>
      <c r="OON40" s="19"/>
      <c r="OOO40" s="19"/>
      <c r="OOP40" s="19"/>
      <c r="OOQ40" s="19"/>
      <c r="OOR40" s="19"/>
      <c r="OOS40" s="19"/>
      <c r="OOT40" s="19"/>
      <c r="OOU40" s="19"/>
      <c r="OOV40" s="19"/>
      <c r="OOW40" s="19"/>
      <c r="OOX40" s="19"/>
      <c r="OOY40" s="19"/>
      <c r="OOZ40" s="19"/>
      <c r="OPA40" s="19"/>
      <c r="OPB40" s="19"/>
      <c r="OPC40" s="19"/>
      <c r="OPD40" s="19"/>
      <c r="OPE40" s="19"/>
      <c r="OPF40" s="19"/>
      <c r="OPG40" s="19"/>
      <c r="OPH40" s="19"/>
      <c r="OPI40" s="19"/>
      <c r="OPJ40" s="19"/>
      <c r="OPK40" s="19"/>
      <c r="OPL40" s="19"/>
      <c r="OPM40" s="19"/>
      <c r="OPN40" s="19"/>
      <c r="OPO40" s="19"/>
      <c r="OPP40" s="19"/>
      <c r="OPQ40" s="19"/>
      <c r="OPR40" s="19"/>
      <c r="OPS40" s="19"/>
      <c r="OPT40" s="19"/>
      <c r="OPU40" s="19"/>
      <c r="OPV40" s="19"/>
      <c r="OPW40" s="19"/>
      <c r="OPX40" s="19"/>
      <c r="OPY40" s="19"/>
      <c r="OPZ40" s="19"/>
      <c r="OQA40" s="19"/>
      <c r="OQB40" s="19"/>
      <c r="OQC40" s="19"/>
      <c r="OQD40" s="19"/>
      <c r="OQE40" s="19"/>
      <c r="OQF40" s="19"/>
      <c r="OQG40" s="19"/>
      <c r="OQH40" s="19"/>
      <c r="OQI40" s="19"/>
      <c r="OQJ40" s="19"/>
      <c r="OQK40" s="19"/>
      <c r="OQL40" s="19"/>
      <c r="OQM40" s="19"/>
      <c r="OQN40" s="19"/>
      <c r="OQO40" s="19"/>
      <c r="OQP40" s="19"/>
      <c r="OQQ40" s="19"/>
      <c r="OQR40" s="19"/>
      <c r="OQS40" s="19"/>
      <c r="OQT40" s="19"/>
      <c r="OQU40" s="19"/>
      <c r="OQV40" s="19"/>
      <c r="OQW40" s="19"/>
      <c r="OQX40" s="19"/>
      <c r="OQY40" s="19"/>
      <c r="OQZ40" s="19"/>
      <c r="ORA40" s="19"/>
      <c r="ORB40" s="19"/>
      <c r="ORC40" s="19"/>
      <c r="ORD40" s="19"/>
      <c r="ORE40" s="19"/>
      <c r="ORF40" s="19"/>
      <c r="ORG40" s="19"/>
      <c r="ORH40" s="19"/>
      <c r="ORI40" s="19"/>
      <c r="ORJ40" s="19"/>
      <c r="ORK40" s="19"/>
      <c r="ORL40" s="19"/>
      <c r="ORM40" s="19"/>
      <c r="ORN40" s="19"/>
      <c r="ORO40" s="19"/>
      <c r="ORP40" s="19"/>
      <c r="ORQ40" s="19"/>
      <c r="ORR40" s="19"/>
      <c r="ORS40" s="19"/>
      <c r="ORT40" s="19"/>
      <c r="ORU40" s="19"/>
      <c r="ORV40" s="19"/>
      <c r="ORW40" s="19"/>
      <c r="ORX40" s="19"/>
      <c r="ORY40" s="19"/>
      <c r="ORZ40" s="19"/>
      <c r="OSA40" s="19"/>
      <c r="OSB40" s="19"/>
      <c r="OSC40" s="19"/>
      <c r="OSD40" s="19"/>
      <c r="OSE40" s="19"/>
      <c r="OSF40" s="19"/>
      <c r="OSG40" s="19"/>
      <c r="OSH40" s="19"/>
      <c r="OSI40" s="19"/>
      <c r="OSJ40" s="19"/>
      <c r="OSK40" s="19"/>
      <c r="OSL40" s="19"/>
      <c r="OSM40" s="19"/>
      <c r="OSN40" s="19"/>
      <c r="OSO40" s="19"/>
      <c r="OSP40" s="19"/>
      <c r="OSQ40" s="19"/>
      <c r="OSR40" s="19"/>
      <c r="OSS40" s="19"/>
      <c r="OST40" s="19"/>
      <c r="OSU40" s="19"/>
      <c r="OSV40" s="19"/>
      <c r="OSW40" s="19"/>
      <c r="OSX40" s="19"/>
      <c r="OSY40" s="19"/>
      <c r="OSZ40" s="19"/>
      <c r="OTA40" s="19"/>
      <c r="OTB40" s="19"/>
      <c r="OTC40" s="19"/>
      <c r="OTD40" s="19"/>
      <c r="OTE40" s="19"/>
      <c r="OTF40" s="19"/>
      <c r="OTG40" s="19"/>
      <c r="OTH40" s="19"/>
      <c r="OTI40" s="19"/>
      <c r="OTJ40" s="19"/>
      <c r="OTK40" s="19"/>
      <c r="OTL40" s="19"/>
      <c r="OTM40" s="19"/>
      <c r="OTN40" s="19"/>
      <c r="OTO40" s="19"/>
      <c r="OTP40" s="19"/>
      <c r="OTQ40" s="19"/>
      <c r="OTR40" s="19"/>
      <c r="OTS40" s="19"/>
      <c r="OTT40" s="19"/>
      <c r="OTU40" s="19"/>
      <c r="OTV40" s="19"/>
      <c r="OTW40" s="19"/>
      <c r="OTX40" s="19"/>
      <c r="OTY40" s="19"/>
      <c r="OTZ40" s="19"/>
      <c r="OUA40" s="19"/>
      <c r="OUB40" s="19"/>
      <c r="OUC40" s="19"/>
      <c r="OUD40" s="19"/>
      <c r="OUE40" s="19"/>
      <c r="OUF40" s="19"/>
      <c r="OUG40" s="19"/>
      <c r="OUH40" s="19"/>
      <c r="OUI40" s="19"/>
      <c r="OUJ40" s="19"/>
      <c r="OUK40" s="19"/>
      <c r="OUL40" s="19"/>
      <c r="OUM40" s="19"/>
      <c r="OUN40" s="19"/>
      <c r="OUO40" s="19"/>
      <c r="OUP40" s="19"/>
      <c r="OUQ40" s="19"/>
      <c r="OUR40" s="19"/>
      <c r="OUS40" s="19"/>
      <c r="OUT40" s="19"/>
      <c r="OUU40" s="19"/>
      <c r="OUV40" s="19"/>
      <c r="OUW40" s="19"/>
      <c r="OUX40" s="19"/>
      <c r="OUY40" s="19"/>
      <c r="OUZ40" s="19"/>
      <c r="OVA40" s="19"/>
      <c r="OVB40" s="19"/>
      <c r="OVC40" s="19"/>
      <c r="OVD40" s="19"/>
      <c r="OVE40" s="19"/>
      <c r="OVF40" s="19"/>
      <c r="OVG40" s="19"/>
      <c r="OVH40" s="19"/>
      <c r="OVI40" s="19"/>
      <c r="OVJ40" s="19"/>
      <c r="OVK40" s="19"/>
      <c r="OVL40" s="19"/>
      <c r="OVM40" s="19"/>
      <c r="OVN40" s="19"/>
      <c r="OVO40" s="19"/>
      <c r="OVP40" s="19"/>
      <c r="OVQ40" s="19"/>
      <c r="OVR40" s="19"/>
      <c r="OVS40" s="19"/>
      <c r="OVT40" s="19"/>
      <c r="OVU40" s="19"/>
      <c r="OVV40" s="19"/>
      <c r="OVW40" s="19"/>
      <c r="OVX40" s="19"/>
      <c r="OVY40" s="19"/>
      <c r="OVZ40" s="19"/>
      <c r="OWA40" s="19"/>
      <c r="OWB40" s="19"/>
      <c r="OWC40" s="19"/>
      <c r="OWD40" s="19"/>
      <c r="OWE40" s="19"/>
      <c r="OWF40" s="19"/>
      <c r="OWG40" s="19"/>
      <c r="OWH40" s="19"/>
      <c r="OWI40" s="19"/>
      <c r="OWJ40" s="19"/>
      <c r="OWK40" s="19"/>
      <c r="OWL40" s="19"/>
      <c r="OWM40" s="19"/>
      <c r="OWN40" s="19"/>
      <c r="OWO40" s="19"/>
      <c r="OWP40" s="19"/>
      <c r="OWQ40" s="19"/>
      <c r="OWR40" s="19"/>
      <c r="OWS40" s="19"/>
      <c r="OWT40" s="19"/>
      <c r="OWU40" s="19"/>
      <c r="OWV40" s="19"/>
      <c r="OWW40" s="19"/>
      <c r="OWX40" s="19"/>
      <c r="OWY40" s="19"/>
      <c r="OWZ40" s="19"/>
      <c r="OXA40" s="19"/>
      <c r="OXB40" s="19"/>
      <c r="OXC40" s="19"/>
      <c r="OXD40" s="19"/>
      <c r="OXE40" s="19"/>
      <c r="OXF40" s="19"/>
      <c r="OXG40" s="19"/>
      <c r="OXH40" s="19"/>
      <c r="OXI40" s="19"/>
      <c r="OXJ40" s="19"/>
      <c r="OXK40" s="19"/>
      <c r="OXL40" s="19"/>
      <c r="OXM40" s="19"/>
      <c r="OXN40" s="19"/>
      <c r="OXO40" s="19"/>
      <c r="OXP40" s="19"/>
      <c r="OXQ40" s="19"/>
      <c r="OXR40" s="19"/>
      <c r="OXS40" s="19"/>
      <c r="OXT40" s="19"/>
      <c r="OXU40" s="19"/>
      <c r="OXV40" s="19"/>
      <c r="OXW40" s="19"/>
      <c r="OXX40" s="19"/>
      <c r="OXY40" s="19"/>
      <c r="OXZ40" s="19"/>
      <c r="OYA40" s="19"/>
      <c r="OYB40" s="19"/>
      <c r="OYC40" s="19"/>
      <c r="OYD40" s="19"/>
      <c r="OYE40" s="19"/>
      <c r="OYF40" s="19"/>
      <c r="OYG40" s="19"/>
      <c r="OYH40" s="19"/>
      <c r="OYI40" s="19"/>
      <c r="OYJ40" s="19"/>
      <c r="OYK40" s="19"/>
      <c r="OYL40" s="19"/>
      <c r="OYM40" s="19"/>
      <c r="OYN40" s="19"/>
      <c r="OYO40" s="19"/>
      <c r="OYP40" s="19"/>
      <c r="OYQ40" s="19"/>
      <c r="OYR40" s="19"/>
      <c r="OYS40" s="19"/>
      <c r="OYT40" s="19"/>
      <c r="OYU40" s="19"/>
      <c r="OYV40" s="19"/>
      <c r="OYW40" s="19"/>
      <c r="OYX40" s="19"/>
      <c r="OYY40" s="19"/>
      <c r="OYZ40" s="19"/>
      <c r="OZA40" s="19"/>
      <c r="OZB40" s="19"/>
      <c r="OZC40" s="19"/>
      <c r="OZD40" s="19"/>
      <c r="OZE40" s="19"/>
      <c r="OZF40" s="19"/>
      <c r="OZG40" s="19"/>
      <c r="OZH40" s="19"/>
      <c r="OZI40" s="19"/>
      <c r="OZJ40" s="19"/>
      <c r="OZK40" s="19"/>
      <c r="OZL40" s="19"/>
      <c r="OZM40" s="19"/>
      <c r="OZN40" s="19"/>
      <c r="OZO40" s="19"/>
      <c r="OZP40" s="19"/>
      <c r="OZQ40" s="19"/>
      <c r="OZR40" s="19"/>
      <c r="OZS40" s="19"/>
      <c r="OZT40" s="19"/>
      <c r="OZU40" s="19"/>
      <c r="OZV40" s="19"/>
      <c r="OZW40" s="19"/>
      <c r="OZX40" s="19"/>
      <c r="OZY40" s="19"/>
      <c r="OZZ40" s="19"/>
      <c r="PAA40" s="19"/>
      <c r="PAB40" s="19"/>
      <c r="PAC40" s="19"/>
      <c r="PAD40" s="19"/>
      <c r="PAE40" s="19"/>
      <c r="PAF40" s="19"/>
      <c r="PAG40" s="19"/>
      <c r="PAH40" s="19"/>
      <c r="PAI40" s="19"/>
      <c r="PAJ40" s="19"/>
      <c r="PAK40" s="19"/>
      <c r="PAL40" s="19"/>
      <c r="PAM40" s="19"/>
      <c r="PAN40" s="19"/>
      <c r="PAO40" s="19"/>
      <c r="PAP40" s="19"/>
      <c r="PAQ40" s="19"/>
      <c r="PAR40" s="19"/>
      <c r="PAS40" s="19"/>
      <c r="PAT40" s="19"/>
      <c r="PAU40" s="19"/>
      <c r="PAV40" s="19"/>
      <c r="PAW40" s="19"/>
      <c r="PAX40" s="19"/>
      <c r="PAY40" s="19"/>
      <c r="PAZ40" s="19"/>
      <c r="PBA40" s="19"/>
      <c r="PBB40" s="19"/>
      <c r="PBC40" s="19"/>
      <c r="PBD40" s="19"/>
      <c r="PBE40" s="19"/>
      <c r="PBF40" s="19"/>
      <c r="PBG40" s="19"/>
      <c r="PBH40" s="19"/>
      <c r="PBI40" s="19"/>
      <c r="PBJ40" s="19"/>
      <c r="PBK40" s="19"/>
      <c r="PBL40" s="19"/>
      <c r="PBM40" s="19"/>
      <c r="PBN40" s="19"/>
      <c r="PBO40" s="19"/>
      <c r="PBP40" s="19"/>
      <c r="PBQ40" s="19"/>
      <c r="PBR40" s="19"/>
      <c r="PBS40" s="19"/>
      <c r="PBT40" s="19"/>
      <c r="PBU40" s="19"/>
      <c r="PBV40" s="19"/>
      <c r="PBW40" s="19"/>
      <c r="PBX40" s="19"/>
      <c r="PBY40" s="19"/>
      <c r="PBZ40" s="19"/>
      <c r="PCA40" s="19"/>
      <c r="PCB40" s="19"/>
      <c r="PCC40" s="19"/>
      <c r="PCD40" s="19"/>
      <c r="PCE40" s="19"/>
      <c r="PCF40" s="19"/>
      <c r="PCG40" s="19"/>
      <c r="PCH40" s="19"/>
      <c r="PCI40" s="19"/>
      <c r="PCJ40" s="19"/>
      <c r="PCK40" s="19"/>
      <c r="PCL40" s="19"/>
      <c r="PCM40" s="19"/>
      <c r="PCN40" s="19"/>
      <c r="PCO40" s="19"/>
      <c r="PCP40" s="19"/>
      <c r="PCQ40" s="19"/>
      <c r="PCR40" s="19"/>
      <c r="PCS40" s="19"/>
      <c r="PCT40" s="19"/>
      <c r="PCU40" s="19"/>
      <c r="PCV40" s="19"/>
      <c r="PCW40" s="19"/>
      <c r="PCX40" s="19"/>
      <c r="PCY40" s="19"/>
      <c r="PCZ40" s="19"/>
      <c r="PDA40" s="19"/>
      <c r="PDB40" s="19"/>
      <c r="PDC40" s="19"/>
      <c r="PDD40" s="19"/>
      <c r="PDE40" s="19"/>
      <c r="PDF40" s="19"/>
      <c r="PDG40" s="19"/>
      <c r="PDH40" s="19"/>
      <c r="PDI40" s="19"/>
      <c r="PDJ40" s="19"/>
      <c r="PDK40" s="19"/>
      <c r="PDL40" s="19"/>
      <c r="PDM40" s="19"/>
      <c r="PDN40" s="19"/>
      <c r="PDO40" s="19"/>
      <c r="PDP40" s="19"/>
      <c r="PDQ40" s="19"/>
      <c r="PDR40" s="19"/>
      <c r="PDS40" s="19"/>
      <c r="PDT40" s="19"/>
      <c r="PDU40" s="19"/>
      <c r="PDV40" s="19"/>
      <c r="PDW40" s="19"/>
      <c r="PDX40" s="19"/>
      <c r="PDY40" s="19"/>
      <c r="PDZ40" s="19"/>
      <c r="PEA40" s="19"/>
      <c r="PEB40" s="19"/>
      <c r="PEC40" s="19"/>
      <c r="PED40" s="19"/>
      <c r="PEE40" s="19"/>
      <c r="PEF40" s="19"/>
      <c r="PEG40" s="19"/>
      <c r="PEH40" s="19"/>
      <c r="PEI40" s="19"/>
      <c r="PEJ40" s="19"/>
      <c r="PEK40" s="19"/>
      <c r="PEL40" s="19"/>
      <c r="PEM40" s="19"/>
      <c r="PEN40" s="19"/>
      <c r="PEO40" s="19"/>
      <c r="PEP40" s="19"/>
      <c r="PEQ40" s="19"/>
      <c r="PER40" s="19"/>
      <c r="PES40" s="19"/>
      <c r="PET40" s="19"/>
      <c r="PEU40" s="19"/>
      <c r="PEV40" s="19"/>
      <c r="PEW40" s="19"/>
      <c r="PEX40" s="19"/>
      <c r="PEY40" s="19"/>
      <c r="PEZ40" s="19"/>
      <c r="PFA40" s="19"/>
      <c r="PFB40" s="19"/>
      <c r="PFC40" s="19"/>
      <c r="PFD40" s="19"/>
      <c r="PFE40" s="19"/>
      <c r="PFF40" s="19"/>
      <c r="PFG40" s="19"/>
      <c r="PFH40" s="19"/>
      <c r="PFI40" s="19"/>
      <c r="PFJ40" s="19"/>
      <c r="PFK40" s="19"/>
      <c r="PFL40" s="19"/>
      <c r="PFM40" s="19"/>
      <c r="PFN40" s="19"/>
      <c r="PFO40" s="19"/>
      <c r="PFP40" s="19"/>
      <c r="PFQ40" s="19"/>
      <c r="PFR40" s="19"/>
      <c r="PFS40" s="19"/>
      <c r="PFT40" s="19"/>
      <c r="PFU40" s="19"/>
      <c r="PFV40" s="19"/>
      <c r="PFW40" s="19"/>
      <c r="PFX40" s="19"/>
      <c r="PFY40" s="19"/>
      <c r="PFZ40" s="19"/>
      <c r="PGA40" s="19"/>
      <c r="PGB40" s="19"/>
      <c r="PGC40" s="19"/>
      <c r="PGD40" s="19"/>
      <c r="PGE40" s="19"/>
      <c r="PGF40" s="19"/>
      <c r="PGG40" s="19"/>
      <c r="PGH40" s="19"/>
      <c r="PGI40" s="19"/>
      <c r="PGJ40" s="19"/>
      <c r="PGK40" s="19"/>
      <c r="PGL40" s="19"/>
      <c r="PGM40" s="19"/>
      <c r="PGN40" s="19"/>
      <c r="PGO40" s="19"/>
      <c r="PGP40" s="19"/>
      <c r="PGQ40" s="19"/>
      <c r="PGR40" s="19"/>
      <c r="PGS40" s="19"/>
      <c r="PGT40" s="19"/>
      <c r="PGU40" s="19"/>
      <c r="PGV40" s="19"/>
      <c r="PGW40" s="19"/>
      <c r="PGX40" s="19"/>
      <c r="PGY40" s="19"/>
      <c r="PGZ40" s="19"/>
      <c r="PHA40" s="19"/>
      <c r="PHB40" s="19"/>
      <c r="PHC40" s="19"/>
      <c r="PHD40" s="19"/>
      <c r="PHE40" s="19"/>
      <c r="PHF40" s="19"/>
      <c r="PHG40" s="19"/>
      <c r="PHH40" s="19"/>
      <c r="PHI40" s="19"/>
      <c r="PHJ40" s="19"/>
      <c r="PHK40" s="19"/>
      <c r="PHL40" s="19"/>
      <c r="PHM40" s="19"/>
      <c r="PHN40" s="19"/>
      <c r="PHO40" s="19"/>
      <c r="PHP40" s="19"/>
      <c r="PHQ40" s="19"/>
      <c r="PHR40" s="19"/>
      <c r="PHS40" s="19"/>
      <c r="PHT40" s="19"/>
      <c r="PHU40" s="19"/>
      <c r="PHV40" s="19"/>
      <c r="PHW40" s="19"/>
      <c r="PHX40" s="19"/>
      <c r="PHY40" s="19"/>
      <c r="PHZ40" s="19"/>
      <c r="PIA40" s="19"/>
      <c r="PIB40" s="19"/>
      <c r="PIC40" s="19"/>
      <c r="PID40" s="19"/>
      <c r="PIE40" s="19"/>
      <c r="PIF40" s="19"/>
      <c r="PIG40" s="19"/>
      <c r="PIH40" s="19"/>
      <c r="PII40" s="19"/>
      <c r="PIJ40" s="19"/>
      <c r="PIK40" s="19"/>
      <c r="PIL40" s="19"/>
      <c r="PIM40" s="19"/>
      <c r="PIN40" s="19"/>
      <c r="PIO40" s="19"/>
      <c r="PIP40" s="19"/>
      <c r="PIQ40" s="19"/>
      <c r="PIR40" s="19"/>
      <c r="PIS40" s="19"/>
      <c r="PIT40" s="19"/>
      <c r="PIU40" s="19"/>
      <c r="PIV40" s="19"/>
      <c r="PIW40" s="19"/>
      <c r="PIX40" s="19"/>
      <c r="PIY40" s="19"/>
      <c r="PIZ40" s="19"/>
      <c r="PJA40" s="19"/>
      <c r="PJB40" s="19"/>
      <c r="PJC40" s="19"/>
      <c r="PJD40" s="19"/>
      <c r="PJE40" s="19"/>
      <c r="PJF40" s="19"/>
      <c r="PJG40" s="19"/>
      <c r="PJH40" s="19"/>
      <c r="PJI40" s="19"/>
      <c r="PJJ40" s="19"/>
      <c r="PJK40" s="19"/>
      <c r="PJL40" s="19"/>
      <c r="PJM40" s="19"/>
      <c r="PJN40" s="19"/>
      <c r="PJO40" s="19"/>
      <c r="PJP40" s="19"/>
      <c r="PJQ40" s="19"/>
      <c r="PJR40" s="19"/>
      <c r="PJS40" s="19"/>
      <c r="PJT40" s="19"/>
      <c r="PJU40" s="19"/>
      <c r="PJV40" s="19"/>
      <c r="PJW40" s="19"/>
      <c r="PJX40" s="19"/>
      <c r="PJY40" s="19"/>
      <c r="PJZ40" s="19"/>
      <c r="PKA40" s="19"/>
      <c r="PKB40" s="19"/>
      <c r="PKC40" s="19"/>
      <c r="PKD40" s="19"/>
      <c r="PKE40" s="19"/>
      <c r="PKF40" s="19"/>
      <c r="PKG40" s="19"/>
      <c r="PKH40" s="19"/>
      <c r="PKI40" s="19"/>
      <c r="PKJ40" s="19"/>
      <c r="PKK40" s="19"/>
      <c r="PKL40" s="19"/>
      <c r="PKM40" s="19"/>
      <c r="PKN40" s="19"/>
      <c r="PKO40" s="19"/>
      <c r="PKP40" s="19"/>
      <c r="PKQ40" s="19"/>
      <c r="PKR40" s="19"/>
      <c r="PKS40" s="19"/>
      <c r="PKT40" s="19"/>
      <c r="PKU40" s="19"/>
      <c r="PKV40" s="19"/>
      <c r="PKW40" s="19"/>
      <c r="PKX40" s="19"/>
      <c r="PKY40" s="19"/>
      <c r="PKZ40" s="19"/>
      <c r="PLA40" s="19"/>
      <c r="PLB40" s="19"/>
      <c r="PLC40" s="19"/>
      <c r="PLD40" s="19"/>
      <c r="PLE40" s="19"/>
      <c r="PLF40" s="19"/>
      <c r="PLG40" s="19"/>
      <c r="PLH40" s="19"/>
      <c r="PLI40" s="19"/>
      <c r="PLJ40" s="19"/>
      <c r="PLK40" s="19"/>
      <c r="PLL40" s="19"/>
      <c r="PLM40" s="19"/>
      <c r="PLN40" s="19"/>
      <c r="PLO40" s="19"/>
      <c r="PLP40" s="19"/>
      <c r="PLQ40" s="19"/>
      <c r="PLR40" s="19"/>
      <c r="PLS40" s="19"/>
      <c r="PLT40" s="19"/>
      <c r="PLU40" s="19"/>
      <c r="PLV40" s="19"/>
      <c r="PLW40" s="19"/>
      <c r="PLX40" s="19"/>
      <c r="PLY40" s="19"/>
      <c r="PLZ40" s="19"/>
      <c r="PMA40" s="19"/>
      <c r="PMB40" s="19"/>
      <c r="PMC40" s="19"/>
      <c r="PMD40" s="19"/>
      <c r="PME40" s="19"/>
      <c r="PMF40" s="19"/>
      <c r="PMG40" s="19"/>
      <c r="PMH40" s="19"/>
      <c r="PMI40" s="19"/>
      <c r="PMJ40" s="19"/>
      <c r="PMK40" s="19"/>
      <c r="PML40" s="19"/>
      <c r="PMM40" s="19"/>
      <c r="PMN40" s="19"/>
      <c r="PMO40" s="19"/>
      <c r="PMP40" s="19"/>
      <c r="PMQ40" s="19"/>
      <c r="PMR40" s="19"/>
      <c r="PMS40" s="19"/>
      <c r="PMT40" s="19"/>
      <c r="PMU40" s="19"/>
      <c r="PMV40" s="19"/>
      <c r="PMW40" s="19"/>
      <c r="PMX40" s="19"/>
      <c r="PMY40" s="19"/>
      <c r="PMZ40" s="19"/>
      <c r="PNA40" s="19"/>
      <c r="PNB40" s="19"/>
      <c r="PNC40" s="19"/>
      <c r="PND40" s="19"/>
      <c r="PNE40" s="19"/>
      <c r="PNF40" s="19"/>
      <c r="PNG40" s="19"/>
      <c r="PNH40" s="19"/>
      <c r="PNI40" s="19"/>
      <c r="PNJ40" s="19"/>
      <c r="PNK40" s="19"/>
      <c r="PNL40" s="19"/>
      <c r="PNM40" s="19"/>
      <c r="PNN40" s="19"/>
      <c r="PNO40" s="19"/>
      <c r="PNP40" s="19"/>
      <c r="PNQ40" s="19"/>
      <c r="PNR40" s="19"/>
      <c r="PNS40" s="19"/>
      <c r="PNT40" s="19"/>
      <c r="PNU40" s="19"/>
      <c r="PNV40" s="19"/>
      <c r="PNW40" s="19"/>
      <c r="PNX40" s="19"/>
      <c r="PNY40" s="19"/>
      <c r="PNZ40" s="19"/>
      <c r="POA40" s="19"/>
      <c r="POB40" s="19"/>
      <c r="POC40" s="19"/>
      <c r="POD40" s="19"/>
      <c r="POE40" s="19"/>
      <c r="POF40" s="19"/>
      <c r="POG40" s="19"/>
      <c r="POH40" s="19"/>
      <c r="POI40" s="19"/>
      <c r="POJ40" s="19"/>
      <c r="POK40" s="19"/>
      <c r="POL40" s="19"/>
      <c r="POM40" s="19"/>
      <c r="PON40" s="19"/>
      <c r="POO40" s="19"/>
      <c r="POP40" s="19"/>
      <c r="POQ40" s="19"/>
      <c r="POR40" s="19"/>
      <c r="POS40" s="19"/>
      <c r="POT40" s="19"/>
      <c r="POU40" s="19"/>
      <c r="POV40" s="19"/>
      <c r="POW40" s="19"/>
      <c r="POX40" s="19"/>
      <c r="POY40" s="19"/>
      <c r="POZ40" s="19"/>
      <c r="PPA40" s="19"/>
      <c r="PPB40" s="19"/>
      <c r="PPC40" s="19"/>
      <c r="PPD40" s="19"/>
      <c r="PPE40" s="19"/>
      <c r="PPF40" s="19"/>
      <c r="PPG40" s="19"/>
      <c r="PPH40" s="19"/>
      <c r="PPI40" s="19"/>
      <c r="PPJ40" s="19"/>
      <c r="PPK40" s="19"/>
      <c r="PPL40" s="19"/>
      <c r="PPM40" s="19"/>
      <c r="PPN40" s="19"/>
      <c r="PPO40" s="19"/>
      <c r="PPP40" s="19"/>
      <c r="PPQ40" s="19"/>
      <c r="PPR40" s="19"/>
      <c r="PPS40" s="19"/>
      <c r="PPT40" s="19"/>
      <c r="PPU40" s="19"/>
      <c r="PPV40" s="19"/>
      <c r="PPW40" s="19"/>
      <c r="PPX40" s="19"/>
      <c r="PPY40" s="19"/>
      <c r="PPZ40" s="19"/>
      <c r="PQA40" s="19"/>
      <c r="PQB40" s="19"/>
      <c r="PQC40" s="19"/>
      <c r="PQD40" s="19"/>
      <c r="PQE40" s="19"/>
      <c r="PQF40" s="19"/>
      <c r="PQG40" s="19"/>
      <c r="PQH40" s="19"/>
      <c r="PQI40" s="19"/>
      <c r="PQJ40" s="19"/>
      <c r="PQK40" s="19"/>
      <c r="PQL40" s="19"/>
      <c r="PQM40" s="19"/>
      <c r="PQN40" s="19"/>
      <c r="PQO40" s="19"/>
      <c r="PQP40" s="19"/>
      <c r="PQQ40" s="19"/>
      <c r="PQR40" s="19"/>
      <c r="PQS40" s="19"/>
      <c r="PQT40" s="19"/>
      <c r="PQU40" s="19"/>
      <c r="PQV40" s="19"/>
      <c r="PQW40" s="19"/>
      <c r="PQX40" s="19"/>
      <c r="PQY40" s="19"/>
      <c r="PQZ40" s="19"/>
      <c r="PRA40" s="19"/>
      <c r="PRB40" s="19"/>
      <c r="PRC40" s="19"/>
      <c r="PRD40" s="19"/>
      <c r="PRE40" s="19"/>
      <c r="PRF40" s="19"/>
      <c r="PRG40" s="19"/>
      <c r="PRH40" s="19"/>
      <c r="PRI40" s="19"/>
      <c r="PRJ40" s="19"/>
      <c r="PRK40" s="19"/>
      <c r="PRL40" s="19"/>
      <c r="PRM40" s="19"/>
      <c r="PRN40" s="19"/>
      <c r="PRO40" s="19"/>
      <c r="PRP40" s="19"/>
      <c r="PRQ40" s="19"/>
      <c r="PRR40" s="19"/>
      <c r="PRS40" s="19"/>
      <c r="PRT40" s="19"/>
      <c r="PRU40" s="19"/>
      <c r="PRV40" s="19"/>
      <c r="PRW40" s="19"/>
      <c r="PRX40" s="19"/>
      <c r="PRY40" s="19"/>
      <c r="PRZ40" s="19"/>
      <c r="PSA40" s="19"/>
      <c r="PSB40" s="19"/>
      <c r="PSC40" s="19"/>
      <c r="PSD40" s="19"/>
      <c r="PSE40" s="19"/>
      <c r="PSF40" s="19"/>
      <c r="PSG40" s="19"/>
      <c r="PSH40" s="19"/>
      <c r="PSI40" s="19"/>
      <c r="PSJ40" s="19"/>
      <c r="PSK40" s="19"/>
      <c r="PSL40" s="19"/>
      <c r="PSM40" s="19"/>
      <c r="PSN40" s="19"/>
      <c r="PSO40" s="19"/>
      <c r="PSP40" s="19"/>
      <c r="PSQ40" s="19"/>
      <c r="PSR40" s="19"/>
      <c r="PSS40" s="19"/>
      <c r="PST40" s="19"/>
      <c r="PSU40" s="19"/>
      <c r="PSV40" s="19"/>
      <c r="PSW40" s="19"/>
      <c r="PSX40" s="19"/>
      <c r="PSY40" s="19"/>
      <c r="PSZ40" s="19"/>
      <c r="PTA40" s="19"/>
      <c r="PTB40" s="19"/>
      <c r="PTC40" s="19"/>
      <c r="PTD40" s="19"/>
      <c r="PTE40" s="19"/>
      <c r="PTF40" s="19"/>
      <c r="PTG40" s="19"/>
      <c r="PTH40" s="19"/>
      <c r="PTI40" s="19"/>
      <c r="PTJ40" s="19"/>
      <c r="PTK40" s="19"/>
      <c r="PTL40" s="19"/>
      <c r="PTM40" s="19"/>
      <c r="PTN40" s="19"/>
      <c r="PTO40" s="19"/>
      <c r="PTP40" s="19"/>
      <c r="PTQ40" s="19"/>
      <c r="PTR40" s="19"/>
      <c r="PTS40" s="19"/>
      <c r="PTT40" s="19"/>
      <c r="PTU40" s="19"/>
      <c r="PTV40" s="19"/>
      <c r="PTW40" s="19"/>
      <c r="PTX40" s="19"/>
      <c r="PTY40" s="19"/>
      <c r="PTZ40" s="19"/>
      <c r="PUA40" s="19"/>
      <c r="PUB40" s="19"/>
      <c r="PUC40" s="19"/>
      <c r="PUD40" s="19"/>
      <c r="PUE40" s="19"/>
      <c r="PUF40" s="19"/>
      <c r="PUG40" s="19"/>
      <c r="PUH40" s="19"/>
      <c r="PUI40" s="19"/>
      <c r="PUJ40" s="19"/>
      <c r="PUK40" s="19"/>
      <c r="PUL40" s="19"/>
      <c r="PUM40" s="19"/>
      <c r="PUN40" s="19"/>
      <c r="PUO40" s="19"/>
      <c r="PUP40" s="19"/>
      <c r="PUQ40" s="19"/>
      <c r="PUR40" s="19"/>
      <c r="PUS40" s="19"/>
      <c r="PUT40" s="19"/>
      <c r="PUU40" s="19"/>
      <c r="PUV40" s="19"/>
      <c r="PUW40" s="19"/>
      <c r="PUX40" s="19"/>
      <c r="PUY40" s="19"/>
      <c r="PUZ40" s="19"/>
      <c r="PVA40" s="19"/>
      <c r="PVB40" s="19"/>
      <c r="PVC40" s="19"/>
      <c r="PVD40" s="19"/>
      <c r="PVE40" s="19"/>
      <c r="PVF40" s="19"/>
      <c r="PVG40" s="19"/>
      <c r="PVH40" s="19"/>
      <c r="PVI40" s="19"/>
      <c r="PVJ40" s="19"/>
      <c r="PVK40" s="19"/>
      <c r="PVL40" s="19"/>
      <c r="PVM40" s="19"/>
      <c r="PVN40" s="19"/>
      <c r="PVO40" s="19"/>
      <c r="PVP40" s="19"/>
      <c r="PVQ40" s="19"/>
      <c r="PVR40" s="19"/>
      <c r="PVS40" s="19"/>
      <c r="PVT40" s="19"/>
      <c r="PVU40" s="19"/>
      <c r="PVV40" s="19"/>
      <c r="PVW40" s="19"/>
      <c r="PVX40" s="19"/>
      <c r="PVY40" s="19"/>
      <c r="PVZ40" s="19"/>
      <c r="PWA40" s="19"/>
      <c r="PWB40" s="19"/>
      <c r="PWC40" s="19"/>
      <c r="PWD40" s="19"/>
      <c r="PWE40" s="19"/>
      <c r="PWF40" s="19"/>
      <c r="PWG40" s="19"/>
      <c r="PWH40" s="19"/>
      <c r="PWI40" s="19"/>
      <c r="PWJ40" s="19"/>
      <c r="PWK40" s="19"/>
      <c r="PWL40" s="19"/>
      <c r="PWM40" s="19"/>
      <c r="PWN40" s="19"/>
      <c r="PWO40" s="19"/>
      <c r="PWP40" s="19"/>
      <c r="PWQ40" s="19"/>
      <c r="PWR40" s="19"/>
      <c r="PWS40" s="19"/>
      <c r="PWT40" s="19"/>
      <c r="PWU40" s="19"/>
      <c r="PWV40" s="19"/>
      <c r="PWW40" s="19"/>
      <c r="PWX40" s="19"/>
      <c r="PWY40" s="19"/>
      <c r="PWZ40" s="19"/>
      <c r="PXA40" s="19"/>
      <c r="PXB40" s="19"/>
      <c r="PXC40" s="19"/>
      <c r="PXD40" s="19"/>
      <c r="PXE40" s="19"/>
      <c r="PXF40" s="19"/>
      <c r="PXG40" s="19"/>
      <c r="PXH40" s="19"/>
      <c r="PXI40" s="19"/>
      <c r="PXJ40" s="19"/>
      <c r="PXK40" s="19"/>
      <c r="PXL40" s="19"/>
      <c r="PXM40" s="19"/>
      <c r="PXN40" s="19"/>
      <c r="PXO40" s="19"/>
      <c r="PXP40" s="19"/>
      <c r="PXQ40" s="19"/>
      <c r="PXR40" s="19"/>
      <c r="PXS40" s="19"/>
      <c r="PXT40" s="19"/>
      <c r="PXU40" s="19"/>
      <c r="PXV40" s="19"/>
      <c r="PXW40" s="19"/>
      <c r="PXX40" s="19"/>
      <c r="PXY40" s="19"/>
      <c r="PXZ40" s="19"/>
      <c r="PYA40" s="19"/>
      <c r="PYB40" s="19"/>
      <c r="PYC40" s="19"/>
      <c r="PYD40" s="19"/>
      <c r="PYE40" s="19"/>
      <c r="PYF40" s="19"/>
      <c r="PYG40" s="19"/>
      <c r="PYH40" s="19"/>
      <c r="PYI40" s="19"/>
      <c r="PYJ40" s="19"/>
      <c r="PYK40" s="19"/>
      <c r="PYL40" s="19"/>
      <c r="PYM40" s="19"/>
      <c r="PYN40" s="19"/>
      <c r="PYO40" s="19"/>
      <c r="PYP40" s="19"/>
      <c r="PYQ40" s="19"/>
      <c r="PYR40" s="19"/>
      <c r="PYS40" s="19"/>
      <c r="PYT40" s="19"/>
      <c r="PYU40" s="19"/>
      <c r="PYV40" s="19"/>
      <c r="PYW40" s="19"/>
      <c r="PYX40" s="19"/>
      <c r="PYY40" s="19"/>
      <c r="PYZ40" s="19"/>
      <c r="PZA40" s="19"/>
      <c r="PZB40" s="19"/>
      <c r="PZC40" s="19"/>
      <c r="PZD40" s="19"/>
      <c r="PZE40" s="19"/>
      <c r="PZF40" s="19"/>
      <c r="PZG40" s="19"/>
      <c r="PZH40" s="19"/>
      <c r="PZI40" s="19"/>
      <c r="PZJ40" s="19"/>
      <c r="PZK40" s="19"/>
      <c r="PZL40" s="19"/>
      <c r="PZM40" s="19"/>
      <c r="PZN40" s="19"/>
      <c r="PZO40" s="19"/>
      <c r="PZP40" s="19"/>
      <c r="PZQ40" s="19"/>
      <c r="PZR40" s="19"/>
      <c r="PZS40" s="19"/>
      <c r="PZT40" s="19"/>
      <c r="PZU40" s="19"/>
      <c r="PZV40" s="19"/>
      <c r="PZW40" s="19"/>
      <c r="PZX40" s="19"/>
      <c r="PZY40" s="19"/>
      <c r="PZZ40" s="19"/>
      <c r="QAA40" s="19"/>
      <c r="QAB40" s="19"/>
      <c r="QAC40" s="19"/>
      <c r="QAD40" s="19"/>
      <c r="QAE40" s="19"/>
      <c r="QAF40" s="19"/>
      <c r="QAG40" s="19"/>
      <c r="QAH40" s="19"/>
      <c r="QAI40" s="19"/>
      <c r="QAJ40" s="19"/>
      <c r="QAK40" s="19"/>
      <c r="QAL40" s="19"/>
      <c r="QAM40" s="19"/>
      <c r="QAN40" s="19"/>
      <c r="QAO40" s="19"/>
      <c r="QAP40" s="19"/>
      <c r="QAQ40" s="19"/>
      <c r="QAR40" s="19"/>
      <c r="QAS40" s="19"/>
      <c r="QAT40" s="19"/>
      <c r="QAU40" s="19"/>
      <c r="QAV40" s="19"/>
      <c r="QAW40" s="19"/>
      <c r="QAX40" s="19"/>
      <c r="QAY40" s="19"/>
      <c r="QAZ40" s="19"/>
      <c r="QBA40" s="19"/>
      <c r="QBB40" s="19"/>
      <c r="QBC40" s="19"/>
      <c r="QBD40" s="19"/>
      <c r="QBE40" s="19"/>
      <c r="QBF40" s="19"/>
      <c r="QBG40" s="19"/>
      <c r="QBH40" s="19"/>
      <c r="QBI40" s="19"/>
      <c r="QBJ40" s="19"/>
      <c r="QBK40" s="19"/>
      <c r="QBL40" s="19"/>
      <c r="QBM40" s="19"/>
      <c r="QBN40" s="19"/>
      <c r="QBO40" s="19"/>
      <c r="QBP40" s="19"/>
      <c r="QBQ40" s="19"/>
      <c r="QBR40" s="19"/>
      <c r="QBS40" s="19"/>
      <c r="QBT40" s="19"/>
      <c r="QBU40" s="19"/>
      <c r="QBV40" s="19"/>
      <c r="QBW40" s="19"/>
      <c r="QBX40" s="19"/>
      <c r="QBY40" s="19"/>
      <c r="QBZ40" s="19"/>
      <c r="QCA40" s="19"/>
      <c r="QCB40" s="19"/>
      <c r="QCC40" s="19"/>
      <c r="QCD40" s="19"/>
      <c r="QCE40" s="19"/>
      <c r="QCF40" s="19"/>
      <c r="QCG40" s="19"/>
      <c r="QCH40" s="19"/>
      <c r="QCI40" s="19"/>
      <c r="QCJ40" s="19"/>
      <c r="QCK40" s="19"/>
      <c r="QCL40" s="19"/>
      <c r="QCM40" s="19"/>
      <c r="QCN40" s="19"/>
      <c r="QCO40" s="19"/>
      <c r="QCP40" s="19"/>
      <c r="QCQ40" s="19"/>
      <c r="QCR40" s="19"/>
      <c r="QCS40" s="19"/>
      <c r="QCT40" s="19"/>
      <c r="QCU40" s="19"/>
      <c r="QCV40" s="19"/>
      <c r="QCW40" s="19"/>
      <c r="QCX40" s="19"/>
      <c r="QCY40" s="19"/>
      <c r="QCZ40" s="19"/>
      <c r="QDA40" s="19"/>
      <c r="QDB40" s="19"/>
      <c r="QDC40" s="19"/>
      <c r="QDD40" s="19"/>
      <c r="QDE40" s="19"/>
      <c r="QDF40" s="19"/>
      <c r="QDG40" s="19"/>
      <c r="QDH40" s="19"/>
      <c r="QDI40" s="19"/>
      <c r="QDJ40" s="19"/>
      <c r="QDK40" s="19"/>
      <c r="QDL40" s="19"/>
      <c r="QDM40" s="19"/>
      <c r="QDN40" s="19"/>
      <c r="QDO40" s="19"/>
      <c r="QDP40" s="19"/>
      <c r="QDQ40" s="19"/>
      <c r="QDR40" s="19"/>
      <c r="QDS40" s="19"/>
      <c r="QDT40" s="19"/>
      <c r="QDU40" s="19"/>
      <c r="QDV40" s="19"/>
      <c r="QDW40" s="19"/>
      <c r="QDX40" s="19"/>
      <c r="QDY40" s="19"/>
      <c r="QDZ40" s="19"/>
      <c r="QEA40" s="19"/>
      <c r="QEB40" s="19"/>
      <c r="QEC40" s="19"/>
      <c r="QED40" s="19"/>
      <c r="QEE40" s="19"/>
      <c r="QEF40" s="19"/>
      <c r="QEG40" s="19"/>
      <c r="QEH40" s="19"/>
      <c r="QEI40" s="19"/>
      <c r="QEJ40" s="19"/>
      <c r="QEK40" s="19"/>
      <c r="QEL40" s="19"/>
      <c r="QEM40" s="19"/>
      <c r="QEN40" s="19"/>
      <c r="QEO40" s="19"/>
      <c r="QEP40" s="19"/>
      <c r="QEQ40" s="19"/>
      <c r="QER40" s="19"/>
      <c r="QES40" s="19"/>
      <c r="QET40" s="19"/>
      <c r="QEU40" s="19"/>
      <c r="QEV40" s="19"/>
      <c r="QEW40" s="19"/>
      <c r="QEX40" s="19"/>
      <c r="QEY40" s="19"/>
      <c r="QEZ40" s="19"/>
      <c r="QFA40" s="19"/>
      <c r="QFB40" s="19"/>
      <c r="QFC40" s="19"/>
      <c r="QFD40" s="19"/>
      <c r="QFE40" s="19"/>
      <c r="QFF40" s="19"/>
      <c r="QFG40" s="19"/>
      <c r="QFH40" s="19"/>
      <c r="QFI40" s="19"/>
      <c r="QFJ40" s="19"/>
      <c r="QFK40" s="19"/>
      <c r="QFL40" s="19"/>
      <c r="QFM40" s="19"/>
      <c r="QFN40" s="19"/>
      <c r="QFO40" s="19"/>
      <c r="QFP40" s="19"/>
      <c r="QFQ40" s="19"/>
      <c r="QFR40" s="19"/>
      <c r="QFS40" s="19"/>
      <c r="QFT40" s="19"/>
      <c r="QFU40" s="19"/>
      <c r="QFV40" s="19"/>
      <c r="QFW40" s="19"/>
      <c r="QFX40" s="19"/>
      <c r="QFY40" s="19"/>
      <c r="QFZ40" s="19"/>
      <c r="QGA40" s="19"/>
      <c r="QGB40" s="19"/>
      <c r="QGC40" s="19"/>
      <c r="QGD40" s="19"/>
      <c r="QGE40" s="19"/>
      <c r="QGF40" s="19"/>
      <c r="QGG40" s="19"/>
      <c r="QGH40" s="19"/>
      <c r="QGI40" s="19"/>
      <c r="QGJ40" s="19"/>
      <c r="QGK40" s="19"/>
      <c r="QGL40" s="19"/>
      <c r="QGM40" s="19"/>
      <c r="QGN40" s="19"/>
      <c r="QGO40" s="19"/>
      <c r="QGP40" s="19"/>
      <c r="QGQ40" s="19"/>
      <c r="QGR40" s="19"/>
      <c r="QGS40" s="19"/>
      <c r="QGT40" s="19"/>
      <c r="QGU40" s="19"/>
      <c r="QGV40" s="19"/>
      <c r="QGW40" s="19"/>
      <c r="QGX40" s="19"/>
      <c r="QGY40" s="19"/>
      <c r="QGZ40" s="19"/>
      <c r="QHA40" s="19"/>
      <c r="QHB40" s="19"/>
      <c r="QHC40" s="19"/>
      <c r="QHD40" s="19"/>
      <c r="QHE40" s="19"/>
      <c r="QHF40" s="19"/>
      <c r="QHG40" s="19"/>
      <c r="QHH40" s="19"/>
      <c r="QHI40" s="19"/>
      <c r="QHJ40" s="19"/>
      <c r="QHK40" s="19"/>
      <c r="QHL40" s="19"/>
      <c r="QHM40" s="19"/>
      <c r="QHN40" s="19"/>
      <c r="QHO40" s="19"/>
      <c r="QHP40" s="19"/>
      <c r="QHQ40" s="19"/>
      <c r="QHR40" s="19"/>
      <c r="QHS40" s="19"/>
      <c r="QHT40" s="19"/>
      <c r="QHU40" s="19"/>
      <c r="QHV40" s="19"/>
      <c r="QHW40" s="19"/>
      <c r="QHX40" s="19"/>
      <c r="QHY40" s="19"/>
      <c r="QHZ40" s="19"/>
      <c r="QIA40" s="19"/>
      <c r="QIB40" s="19"/>
      <c r="QIC40" s="19"/>
      <c r="QID40" s="19"/>
      <c r="QIE40" s="19"/>
      <c r="QIF40" s="19"/>
      <c r="QIG40" s="19"/>
      <c r="QIH40" s="19"/>
      <c r="QII40" s="19"/>
      <c r="QIJ40" s="19"/>
      <c r="QIK40" s="19"/>
      <c r="QIL40" s="19"/>
      <c r="QIM40" s="19"/>
      <c r="QIN40" s="19"/>
      <c r="QIO40" s="19"/>
      <c r="QIP40" s="19"/>
      <c r="QIQ40" s="19"/>
      <c r="QIR40" s="19"/>
      <c r="QIS40" s="19"/>
      <c r="QIT40" s="19"/>
      <c r="QIU40" s="19"/>
      <c r="QIV40" s="19"/>
      <c r="QIW40" s="19"/>
      <c r="QIX40" s="19"/>
      <c r="QIY40" s="19"/>
      <c r="QIZ40" s="19"/>
      <c r="QJA40" s="19"/>
      <c r="QJB40" s="19"/>
      <c r="QJC40" s="19"/>
      <c r="QJD40" s="19"/>
      <c r="QJE40" s="19"/>
      <c r="QJF40" s="19"/>
      <c r="QJG40" s="19"/>
      <c r="QJH40" s="19"/>
      <c r="QJI40" s="19"/>
      <c r="QJJ40" s="19"/>
      <c r="QJK40" s="19"/>
      <c r="QJL40" s="19"/>
      <c r="QJM40" s="19"/>
      <c r="QJN40" s="19"/>
      <c r="QJO40" s="19"/>
      <c r="QJP40" s="19"/>
      <c r="QJQ40" s="19"/>
      <c r="QJR40" s="19"/>
      <c r="QJS40" s="19"/>
      <c r="QJT40" s="19"/>
      <c r="QJU40" s="19"/>
      <c r="QJV40" s="19"/>
      <c r="QJW40" s="19"/>
      <c r="QJX40" s="19"/>
      <c r="QJY40" s="19"/>
      <c r="QJZ40" s="19"/>
      <c r="QKA40" s="19"/>
      <c r="QKB40" s="19"/>
      <c r="QKC40" s="19"/>
      <c r="QKD40" s="19"/>
      <c r="QKE40" s="19"/>
      <c r="QKF40" s="19"/>
      <c r="QKG40" s="19"/>
      <c r="QKH40" s="19"/>
      <c r="QKI40" s="19"/>
      <c r="QKJ40" s="19"/>
      <c r="QKK40" s="19"/>
      <c r="QKL40" s="19"/>
      <c r="QKM40" s="19"/>
      <c r="QKN40" s="19"/>
      <c r="QKO40" s="19"/>
      <c r="QKP40" s="19"/>
      <c r="QKQ40" s="19"/>
      <c r="QKR40" s="19"/>
      <c r="QKS40" s="19"/>
      <c r="QKT40" s="19"/>
      <c r="QKU40" s="19"/>
      <c r="QKV40" s="19"/>
      <c r="QKW40" s="19"/>
      <c r="QKX40" s="19"/>
      <c r="QKY40" s="19"/>
      <c r="QKZ40" s="19"/>
      <c r="QLA40" s="19"/>
      <c r="QLB40" s="19"/>
      <c r="QLC40" s="19"/>
      <c r="QLD40" s="19"/>
      <c r="QLE40" s="19"/>
      <c r="QLF40" s="19"/>
      <c r="QLG40" s="19"/>
      <c r="QLH40" s="19"/>
      <c r="QLI40" s="19"/>
      <c r="QLJ40" s="19"/>
      <c r="QLK40" s="19"/>
      <c r="QLL40" s="19"/>
      <c r="QLM40" s="19"/>
      <c r="QLN40" s="19"/>
      <c r="QLO40" s="19"/>
      <c r="QLP40" s="19"/>
      <c r="QLQ40" s="19"/>
      <c r="QLR40" s="19"/>
      <c r="QLS40" s="19"/>
      <c r="QLT40" s="19"/>
      <c r="QLU40" s="19"/>
      <c r="QLV40" s="19"/>
      <c r="QLW40" s="19"/>
      <c r="QLX40" s="19"/>
      <c r="QLY40" s="19"/>
      <c r="QLZ40" s="19"/>
      <c r="QMA40" s="19"/>
      <c r="QMB40" s="19"/>
      <c r="QMC40" s="19"/>
      <c r="QMD40" s="19"/>
      <c r="QME40" s="19"/>
      <c r="QMF40" s="19"/>
      <c r="QMG40" s="19"/>
      <c r="QMH40" s="19"/>
      <c r="QMI40" s="19"/>
      <c r="QMJ40" s="19"/>
      <c r="QMK40" s="19"/>
      <c r="QML40" s="19"/>
      <c r="QMM40" s="19"/>
      <c r="QMN40" s="19"/>
      <c r="QMO40" s="19"/>
      <c r="QMP40" s="19"/>
      <c r="QMQ40" s="19"/>
      <c r="QMR40" s="19"/>
      <c r="QMS40" s="19"/>
      <c r="QMT40" s="19"/>
      <c r="QMU40" s="19"/>
      <c r="QMV40" s="19"/>
      <c r="QMW40" s="19"/>
      <c r="QMX40" s="19"/>
      <c r="QMY40" s="19"/>
      <c r="QMZ40" s="19"/>
      <c r="QNA40" s="19"/>
      <c r="QNB40" s="19"/>
      <c r="QNC40" s="19"/>
      <c r="QND40" s="19"/>
      <c r="QNE40" s="19"/>
      <c r="QNF40" s="19"/>
      <c r="QNG40" s="19"/>
      <c r="QNH40" s="19"/>
      <c r="QNI40" s="19"/>
      <c r="QNJ40" s="19"/>
      <c r="QNK40" s="19"/>
      <c r="QNL40" s="19"/>
      <c r="QNM40" s="19"/>
      <c r="QNN40" s="19"/>
      <c r="QNO40" s="19"/>
      <c r="QNP40" s="19"/>
      <c r="QNQ40" s="19"/>
      <c r="QNR40" s="19"/>
      <c r="QNS40" s="19"/>
      <c r="QNT40" s="19"/>
      <c r="QNU40" s="19"/>
      <c r="QNV40" s="19"/>
      <c r="QNW40" s="19"/>
      <c r="QNX40" s="19"/>
      <c r="QNY40" s="19"/>
      <c r="QNZ40" s="19"/>
      <c r="QOA40" s="19"/>
      <c r="QOB40" s="19"/>
      <c r="QOC40" s="19"/>
      <c r="QOD40" s="19"/>
      <c r="QOE40" s="19"/>
      <c r="QOF40" s="19"/>
      <c r="QOG40" s="19"/>
      <c r="QOH40" s="19"/>
      <c r="QOI40" s="19"/>
      <c r="QOJ40" s="19"/>
      <c r="QOK40" s="19"/>
      <c r="QOL40" s="19"/>
      <c r="QOM40" s="19"/>
      <c r="QON40" s="19"/>
      <c r="QOO40" s="19"/>
      <c r="QOP40" s="19"/>
      <c r="QOQ40" s="19"/>
      <c r="QOR40" s="19"/>
      <c r="QOS40" s="19"/>
      <c r="QOT40" s="19"/>
      <c r="QOU40" s="19"/>
      <c r="QOV40" s="19"/>
      <c r="QOW40" s="19"/>
      <c r="QOX40" s="19"/>
      <c r="QOY40" s="19"/>
      <c r="QOZ40" s="19"/>
      <c r="QPA40" s="19"/>
      <c r="QPB40" s="19"/>
      <c r="QPC40" s="19"/>
      <c r="QPD40" s="19"/>
      <c r="QPE40" s="19"/>
      <c r="QPF40" s="19"/>
      <c r="QPG40" s="19"/>
      <c r="QPH40" s="19"/>
      <c r="QPI40" s="19"/>
      <c r="QPJ40" s="19"/>
      <c r="QPK40" s="19"/>
      <c r="QPL40" s="19"/>
      <c r="QPM40" s="19"/>
      <c r="QPN40" s="19"/>
      <c r="QPO40" s="19"/>
      <c r="QPP40" s="19"/>
      <c r="QPQ40" s="19"/>
      <c r="QPR40" s="19"/>
      <c r="QPS40" s="19"/>
      <c r="QPT40" s="19"/>
      <c r="QPU40" s="19"/>
      <c r="QPV40" s="19"/>
      <c r="QPW40" s="19"/>
      <c r="QPX40" s="19"/>
      <c r="QPY40" s="19"/>
      <c r="QPZ40" s="19"/>
      <c r="QQA40" s="19"/>
      <c r="QQB40" s="19"/>
      <c r="QQC40" s="19"/>
      <c r="QQD40" s="19"/>
      <c r="QQE40" s="19"/>
      <c r="QQF40" s="19"/>
      <c r="QQG40" s="19"/>
      <c r="QQH40" s="19"/>
      <c r="QQI40" s="19"/>
      <c r="QQJ40" s="19"/>
      <c r="QQK40" s="19"/>
      <c r="QQL40" s="19"/>
      <c r="QQM40" s="19"/>
      <c r="QQN40" s="19"/>
      <c r="QQO40" s="19"/>
      <c r="QQP40" s="19"/>
      <c r="QQQ40" s="19"/>
      <c r="QQR40" s="19"/>
      <c r="QQS40" s="19"/>
      <c r="QQT40" s="19"/>
      <c r="QQU40" s="19"/>
      <c r="QQV40" s="19"/>
      <c r="QQW40" s="19"/>
      <c r="QQX40" s="19"/>
      <c r="QQY40" s="19"/>
      <c r="QQZ40" s="19"/>
      <c r="QRA40" s="19"/>
      <c r="QRB40" s="19"/>
      <c r="QRC40" s="19"/>
      <c r="QRD40" s="19"/>
      <c r="QRE40" s="19"/>
      <c r="QRF40" s="19"/>
      <c r="QRG40" s="19"/>
      <c r="QRH40" s="19"/>
      <c r="QRI40" s="19"/>
      <c r="QRJ40" s="19"/>
      <c r="QRK40" s="19"/>
      <c r="QRL40" s="19"/>
      <c r="QRM40" s="19"/>
      <c r="QRN40" s="19"/>
      <c r="QRO40" s="19"/>
      <c r="QRP40" s="19"/>
      <c r="QRQ40" s="19"/>
      <c r="QRR40" s="19"/>
      <c r="QRS40" s="19"/>
      <c r="QRT40" s="19"/>
      <c r="QRU40" s="19"/>
      <c r="QRV40" s="19"/>
      <c r="QRW40" s="19"/>
      <c r="QRX40" s="19"/>
      <c r="QRY40" s="19"/>
      <c r="QRZ40" s="19"/>
      <c r="QSA40" s="19"/>
      <c r="QSB40" s="19"/>
      <c r="QSC40" s="19"/>
      <c r="QSD40" s="19"/>
      <c r="QSE40" s="19"/>
      <c r="QSF40" s="19"/>
      <c r="QSG40" s="19"/>
      <c r="QSH40" s="19"/>
      <c r="QSI40" s="19"/>
      <c r="QSJ40" s="19"/>
      <c r="QSK40" s="19"/>
      <c r="QSL40" s="19"/>
      <c r="QSM40" s="19"/>
      <c r="QSN40" s="19"/>
      <c r="QSO40" s="19"/>
      <c r="QSP40" s="19"/>
      <c r="QSQ40" s="19"/>
      <c r="QSR40" s="19"/>
      <c r="QSS40" s="19"/>
      <c r="QST40" s="19"/>
      <c r="QSU40" s="19"/>
      <c r="QSV40" s="19"/>
      <c r="QSW40" s="19"/>
      <c r="QSX40" s="19"/>
      <c r="QSY40" s="19"/>
      <c r="QSZ40" s="19"/>
      <c r="QTA40" s="19"/>
      <c r="QTB40" s="19"/>
      <c r="QTC40" s="19"/>
      <c r="QTD40" s="19"/>
      <c r="QTE40" s="19"/>
      <c r="QTF40" s="19"/>
      <c r="QTG40" s="19"/>
      <c r="QTH40" s="19"/>
      <c r="QTI40" s="19"/>
      <c r="QTJ40" s="19"/>
      <c r="QTK40" s="19"/>
      <c r="QTL40" s="19"/>
      <c r="QTM40" s="19"/>
      <c r="QTN40" s="19"/>
      <c r="QTO40" s="19"/>
      <c r="QTP40" s="19"/>
      <c r="QTQ40" s="19"/>
      <c r="QTR40" s="19"/>
      <c r="QTS40" s="19"/>
      <c r="QTT40" s="19"/>
      <c r="QTU40" s="19"/>
      <c r="QTV40" s="19"/>
      <c r="QTW40" s="19"/>
      <c r="QTX40" s="19"/>
      <c r="QTY40" s="19"/>
      <c r="QTZ40" s="19"/>
      <c r="QUA40" s="19"/>
      <c r="QUB40" s="19"/>
      <c r="QUC40" s="19"/>
      <c r="QUD40" s="19"/>
      <c r="QUE40" s="19"/>
      <c r="QUF40" s="19"/>
      <c r="QUG40" s="19"/>
      <c r="QUH40" s="19"/>
      <c r="QUI40" s="19"/>
      <c r="QUJ40" s="19"/>
      <c r="QUK40" s="19"/>
      <c r="QUL40" s="19"/>
      <c r="QUM40" s="19"/>
      <c r="QUN40" s="19"/>
      <c r="QUO40" s="19"/>
      <c r="QUP40" s="19"/>
      <c r="QUQ40" s="19"/>
      <c r="QUR40" s="19"/>
      <c r="QUS40" s="19"/>
      <c r="QUT40" s="19"/>
      <c r="QUU40" s="19"/>
      <c r="QUV40" s="19"/>
      <c r="QUW40" s="19"/>
      <c r="QUX40" s="19"/>
      <c r="QUY40" s="19"/>
      <c r="QUZ40" s="19"/>
      <c r="QVA40" s="19"/>
      <c r="QVB40" s="19"/>
      <c r="QVC40" s="19"/>
      <c r="QVD40" s="19"/>
      <c r="QVE40" s="19"/>
      <c r="QVF40" s="19"/>
      <c r="QVG40" s="19"/>
      <c r="QVH40" s="19"/>
      <c r="QVI40" s="19"/>
      <c r="QVJ40" s="19"/>
      <c r="QVK40" s="19"/>
      <c r="QVL40" s="19"/>
      <c r="QVM40" s="19"/>
      <c r="QVN40" s="19"/>
      <c r="QVO40" s="19"/>
      <c r="QVP40" s="19"/>
      <c r="QVQ40" s="19"/>
      <c r="QVR40" s="19"/>
      <c r="QVS40" s="19"/>
      <c r="QVT40" s="19"/>
      <c r="QVU40" s="19"/>
      <c r="QVV40" s="19"/>
      <c r="QVW40" s="19"/>
      <c r="QVX40" s="19"/>
      <c r="QVY40" s="19"/>
      <c r="QVZ40" s="19"/>
      <c r="QWA40" s="19"/>
      <c r="QWB40" s="19"/>
      <c r="QWC40" s="19"/>
      <c r="QWD40" s="19"/>
      <c r="QWE40" s="19"/>
      <c r="QWF40" s="19"/>
      <c r="QWG40" s="19"/>
      <c r="QWH40" s="19"/>
      <c r="QWI40" s="19"/>
      <c r="QWJ40" s="19"/>
      <c r="QWK40" s="19"/>
      <c r="QWL40" s="19"/>
      <c r="QWM40" s="19"/>
      <c r="QWN40" s="19"/>
      <c r="QWO40" s="19"/>
      <c r="QWP40" s="19"/>
      <c r="QWQ40" s="19"/>
      <c r="QWR40" s="19"/>
      <c r="QWS40" s="19"/>
      <c r="QWT40" s="19"/>
      <c r="QWU40" s="19"/>
      <c r="QWV40" s="19"/>
      <c r="QWW40" s="19"/>
      <c r="QWX40" s="19"/>
      <c r="QWY40" s="19"/>
      <c r="QWZ40" s="19"/>
      <c r="QXA40" s="19"/>
      <c r="QXB40" s="19"/>
      <c r="QXC40" s="19"/>
      <c r="QXD40" s="19"/>
      <c r="QXE40" s="19"/>
      <c r="QXF40" s="19"/>
      <c r="QXG40" s="19"/>
      <c r="QXH40" s="19"/>
      <c r="QXI40" s="19"/>
      <c r="QXJ40" s="19"/>
      <c r="QXK40" s="19"/>
      <c r="QXL40" s="19"/>
      <c r="QXM40" s="19"/>
      <c r="QXN40" s="19"/>
      <c r="QXO40" s="19"/>
      <c r="QXP40" s="19"/>
      <c r="QXQ40" s="19"/>
      <c r="QXR40" s="19"/>
      <c r="QXS40" s="19"/>
      <c r="QXT40" s="19"/>
      <c r="QXU40" s="19"/>
      <c r="QXV40" s="19"/>
      <c r="QXW40" s="19"/>
      <c r="QXX40" s="19"/>
      <c r="QXY40" s="19"/>
      <c r="QXZ40" s="19"/>
      <c r="QYA40" s="19"/>
      <c r="QYB40" s="19"/>
      <c r="QYC40" s="19"/>
      <c r="QYD40" s="19"/>
      <c r="QYE40" s="19"/>
      <c r="QYF40" s="19"/>
      <c r="QYG40" s="19"/>
      <c r="QYH40" s="19"/>
      <c r="QYI40" s="19"/>
      <c r="QYJ40" s="19"/>
      <c r="QYK40" s="19"/>
      <c r="QYL40" s="19"/>
      <c r="QYM40" s="19"/>
      <c r="QYN40" s="19"/>
      <c r="QYO40" s="19"/>
      <c r="QYP40" s="19"/>
      <c r="QYQ40" s="19"/>
      <c r="QYR40" s="19"/>
      <c r="QYS40" s="19"/>
      <c r="QYT40" s="19"/>
      <c r="QYU40" s="19"/>
      <c r="QYV40" s="19"/>
      <c r="QYW40" s="19"/>
      <c r="QYX40" s="19"/>
      <c r="QYY40" s="19"/>
      <c r="QYZ40" s="19"/>
      <c r="QZA40" s="19"/>
      <c r="QZB40" s="19"/>
      <c r="QZC40" s="19"/>
      <c r="QZD40" s="19"/>
      <c r="QZE40" s="19"/>
      <c r="QZF40" s="19"/>
      <c r="QZG40" s="19"/>
      <c r="QZH40" s="19"/>
      <c r="QZI40" s="19"/>
      <c r="QZJ40" s="19"/>
      <c r="QZK40" s="19"/>
      <c r="QZL40" s="19"/>
      <c r="QZM40" s="19"/>
      <c r="QZN40" s="19"/>
      <c r="QZO40" s="19"/>
      <c r="QZP40" s="19"/>
      <c r="QZQ40" s="19"/>
      <c r="QZR40" s="19"/>
      <c r="QZS40" s="19"/>
      <c r="QZT40" s="19"/>
      <c r="QZU40" s="19"/>
      <c r="QZV40" s="19"/>
      <c r="QZW40" s="19"/>
      <c r="QZX40" s="19"/>
      <c r="QZY40" s="19"/>
      <c r="QZZ40" s="19"/>
      <c r="RAA40" s="19"/>
      <c r="RAB40" s="19"/>
      <c r="RAC40" s="19"/>
      <c r="RAD40" s="19"/>
      <c r="RAE40" s="19"/>
      <c r="RAF40" s="19"/>
      <c r="RAG40" s="19"/>
      <c r="RAH40" s="19"/>
      <c r="RAI40" s="19"/>
      <c r="RAJ40" s="19"/>
      <c r="RAK40" s="19"/>
      <c r="RAL40" s="19"/>
      <c r="RAM40" s="19"/>
      <c r="RAN40" s="19"/>
      <c r="RAO40" s="19"/>
      <c r="RAP40" s="19"/>
      <c r="RAQ40" s="19"/>
      <c r="RAR40" s="19"/>
      <c r="RAS40" s="19"/>
      <c r="RAT40" s="19"/>
      <c r="RAU40" s="19"/>
      <c r="RAV40" s="19"/>
      <c r="RAW40" s="19"/>
      <c r="RAX40" s="19"/>
      <c r="RAY40" s="19"/>
      <c r="RAZ40" s="19"/>
      <c r="RBA40" s="19"/>
      <c r="RBB40" s="19"/>
      <c r="RBC40" s="19"/>
      <c r="RBD40" s="19"/>
      <c r="RBE40" s="19"/>
      <c r="RBF40" s="19"/>
      <c r="RBG40" s="19"/>
      <c r="RBH40" s="19"/>
      <c r="RBI40" s="19"/>
      <c r="RBJ40" s="19"/>
      <c r="RBK40" s="19"/>
      <c r="RBL40" s="19"/>
      <c r="RBM40" s="19"/>
      <c r="RBN40" s="19"/>
      <c r="RBO40" s="19"/>
      <c r="RBP40" s="19"/>
      <c r="RBQ40" s="19"/>
      <c r="RBR40" s="19"/>
      <c r="RBS40" s="19"/>
      <c r="RBT40" s="19"/>
      <c r="RBU40" s="19"/>
      <c r="RBV40" s="19"/>
      <c r="RBW40" s="19"/>
      <c r="RBX40" s="19"/>
      <c r="RBY40" s="19"/>
      <c r="RBZ40" s="19"/>
      <c r="RCA40" s="19"/>
      <c r="RCB40" s="19"/>
      <c r="RCC40" s="19"/>
      <c r="RCD40" s="19"/>
      <c r="RCE40" s="19"/>
      <c r="RCF40" s="19"/>
      <c r="RCG40" s="19"/>
      <c r="RCH40" s="19"/>
      <c r="RCI40" s="19"/>
      <c r="RCJ40" s="19"/>
      <c r="RCK40" s="19"/>
      <c r="RCL40" s="19"/>
      <c r="RCM40" s="19"/>
      <c r="RCN40" s="19"/>
      <c r="RCO40" s="19"/>
      <c r="RCP40" s="19"/>
      <c r="RCQ40" s="19"/>
      <c r="RCR40" s="19"/>
      <c r="RCS40" s="19"/>
      <c r="RCT40" s="19"/>
      <c r="RCU40" s="19"/>
      <c r="RCV40" s="19"/>
      <c r="RCW40" s="19"/>
      <c r="RCX40" s="19"/>
      <c r="RCY40" s="19"/>
      <c r="RCZ40" s="19"/>
      <c r="RDA40" s="19"/>
      <c r="RDB40" s="19"/>
      <c r="RDC40" s="19"/>
      <c r="RDD40" s="19"/>
      <c r="RDE40" s="19"/>
      <c r="RDF40" s="19"/>
      <c r="RDG40" s="19"/>
      <c r="RDH40" s="19"/>
      <c r="RDI40" s="19"/>
      <c r="RDJ40" s="19"/>
      <c r="RDK40" s="19"/>
      <c r="RDL40" s="19"/>
      <c r="RDM40" s="19"/>
      <c r="RDN40" s="19"/>
      <c r="RDO40" s="19"/>
      <c r="RDP40" s="19"/>
      <c r="RDQ40" s="19"/>
      <c r="RDR40" s="19"/>
      <c r="RDS40" s="19"/>
      <c r="RDT40" s="19"/>
      <c r="RDU40" s="19"/>
      <c r="RDV40" s="19"/>
      <c r="RDW40" s="19"/>
      <c r="RDX40" s="19"/>
      <c r="RDY40" s="19"/>
      <c r="RDZ40" s="19"/>
      <c r="REA40" s="19"/>
      <c r="REB40" s="19"/>
      <c r="REC40" s="19"/>
      <c r="RED40" s="19"/>
      <c r="REE40" s="19"/>
      <c r="REF40" s="19"/>
      <c r="REG40" s="19"/>
      <c r="REH40" s="19"/>
      <c r="REI40" s="19"/>
      <c r="REJ40" s="19"/>
      <c r="REK40" s="19"/>
      <c r="REL40" s="19"/>
      <c r="REM40" s="19"/>
      <c r="REN40" s="19"/>
      <c r="REO40" s="19"/>
      <c r="REP40" s="19"/>
      <c r="REQ40" s="19"/>
      <c r="RER40" s="19"/>
      <c r="RES40" s="19"/>
      <c r="RET40" s="19"/>
      <c r="REU40" s="19"/>
      <c r="REV40" s="19"/>
      <c r="REW40" s="19"/>
      <c r="REX40" s="19"/>
      <c r="REY40" s="19"/>
      <c r="REZ40" s="19"/>
      <c r="RFA40" s="19"/>
      <c r="RFB40" s="19"/>
      <c r="RFC40" s="19"/>
      <c r="RFD40" s="19"/>
      <c r="RFE40" s="19"/>
      <c r="RFF40" s="19"/>
      <c r="RFG40" s="19"/>
      <c r="RFH40" s="19"/>
      <c r="RFI40" s="19"/>
      <c r="RFJ40" s="19"/>
      <c r="RFK40" s="19"/>
      <c r="RFL40" s="19"/>
      <c r="RFM40" s="19"/>
      <c r="RFN40" s="19"/>
      <c r="RFO40" s="19"/>
      <c r="RFP40" s="19"/>
      <c r="RFQ40" s="19"/>
      <c r="RFR40" s="19"/>
      <c r="RFS40" s="19"/>
      <c r="RFT40" s="19"/>
      <c r="RFU40" s="19"/>
      <c r="RFV40" s="19"/>
      <c r="RFW40" s="19"/>
      <c r="RFX40" s="19"/>
      <c r="RFY40" s="19"/>
      <c r="RFZ40" s="19"/>
      <c r="RGA40" s="19"/>
      <c r="RGB40" s="19"/>
      <c r="RGC40" s="19"/>
      <c r="RGD40" s="19"/>
      <c r="RGE40" s="19"/>
      <c r="RGF40" s="19"/>
      <c r="RGG40" s="19"/>
      <c r="RGH40" s="19"/>
      <c r="RGI40" s="19"/>
      <c r="RGJ40" s="19"/>
      <c r="RGK40" s="19"/>
      <c r="RGL40" s="19"/>
      <c r="RGM40" s="19"/>
      <c r="RGN40" s="19"/>
      <c r="RGO40" s="19"/>
      <c r="RGP40" s="19"/>
      <c r="RGQ40" s="19"/>
      <c r="RGR40" s="19"/>
      <c r="RGS40" s="19"/>
      <c r="RGT40" s="19"/>
      <c r="RGU40" s="19"/>
      <c r="RGV40" s="19"/>
      <c r="RGW40" s="19"/>
      <c r="RGX40" s="19"/>
      <c r="RGY40" s="19"/>
      <c r="RGZ40" s="19"/>
      <c r="RHA40" s="19"/>
      <c r="RHB40" s="19"/>
      <c r="RHC40" s="19"/>
      <c r="RHD40" s="19"/>
      <c r="RHE40" s="19"/>
      <c r="RHF40" s="19"/>
      <c r="RHG40" s="19"/>
      <c r="RHH40" s="19"/>
      <c r="RHI40" s="19"/>
      <c r="RHJ40" s="19"/>
      <c r="RHK40" s="19"/>
      <c r="RHL40" s="19"/>
      <c r="RHM40" s="19"/>
      <c r="RHN40" s="19"/>
      <c r="RHO40" s="19"/>
      <c r="RHP40" s="19"/>
      <c r="RHQ40" s="19"/>
      <c r="RHR40" s="19"/>
      <c r="RHS40" s="19"/>
      <c r="RHT40" s="19"/>
      <c r="RHU40" s="19"/>
      <c r="RHV40" s="19"/>
      <c r="RHW40" s="19"/>
      <c r="RHX40" s="19"/>
      <c r="RHY40" s="19"/>
      <c r="RHZ40" s="19"/>
      <c r="RIA40" s="19"/>
      <c r="RIB40" s="19"/>
      <c r="RIC40" s="19"/>
      <c r="RID40" s="19"/>
      <c r="RIE40" s="19"/>
      <c r="RIF40" s="19"/>
      <c r="RIG40" s="19"/>
      <c r="RIH40" s="19"/>
      <c r="RII40" s="19"/>
      <c r="RIJ40" s="19"/>
      <c r="RIK40" s="19"/>
      <c r="RIL40" s="19"/>
      <c r="RIM40" s="19"/>
      <c r="RIN40" s="19"/>
      <c r="RIO40" s="19"/>
      <c r="RIP40" s="19"/>
      <c r="RIQ40" s="19"/>
      <c r="RIR40" s="19"/>
      <c r="RIS40" s="19"/>
      <c r="RIT40" s="19"/>
      <c r="RIU40" s="19"/>
      <c r="RIV40" s="19"/>
      <c r="RIW40" s="19"/>
      <c r="RIX40" s="19"/>
      <c r="RIY40" s="19"/>
      <c r="RIZ40" s="19"/>
      <c r="RJA40" s="19"/>
      <c r="RJB40" s="19"/>
      <c r="RJC40" s="19"/>
      <c r="RJD40" s="19"/>
      <c r="RJE40" s="19"/>
      <c r="RJF40" s="19"/>
      <c r="RJG40" s="19"/>
      <c r="RJH40" s="19"/>
      <c r="RJI40" s="19"/>
      <c r="RJJ40" s="19"/>
      <c r="RJK40" s="19"/>
      <c r="RJL40" s="19"/>
      <c r="RJM40" s="19"/>
      <c r="RJN40" s="19"/>
      <c r="RJO40" s="19"/>
      <c r="RJP40" s="19"/>
      <c r="RJQ40" s="19"/>
      <c r="RJR40" s="19"/>
      <c r="RJS40" s="19"/>
      <c r="RJT40" s="19"/>
      <c r="RJU40" s="19"/>
      <c r="RJV40" s="19"/>
      <c r="RJW40" s="19"/>
      <c r="RJX40" s="19"/>
      <c r="RJY40" s="19"/>
      <c r="RJZ40" s="19"/>
      <c r="RKA40" s="19"/>
      <c r="RKB40" s="19"/>
      <c r="RKC40" s="19"/>
      <c r="RKD40" s="19"/>
      <c r="RKE40" s="19"/>
      <c r="RKF40" s="19"/>
      <c r="RKG40" s="19"/>
      <c r="RKH40" s="19"/>
      <c r="RKI40" s="19"/>
      <c r="RKJ40" s="19"/>
      <c r="RKK40" s="19"/>
      <c r="RKL40" s="19"/>
      <c r="RKM40" s="19"/>
      <c r="RKN40" s="19"/>
      <c r="RKO40" s="19"/>
      <c r="RKP40" s="19"/>
      <c r="RKQ40" s="19"/>
      <c r="RKR40" s="19"/>
      <c r="RKS40" s="19"/>
      <c r="RKT40" s="19"/>
      <c r="RKU40" s="19"/>
      <c r="RKV40" s="19"/>
      <c r="RKW40" s="19"/>
      <c r="RKX40" s="19"/>
      <c r="RKY40" s="19"/>
      <c r="RKZ40" s="19"/>
      <c r="RLA40" s="19"/>
      <c r="RLB40" s="19"/>
      <c r="RLC40" s="19"/>
      <c r="RLD40" s="19"/>
      <c r="RLE40" s="19"/>
      <c r="RLF40" s="19"/>
      <c r="RLG40" s="19"/>
      <c r="RLH40" s="19"/>
      <c r="RLI40" s="19"/>
      <c r="RLJ40" s="19"/>
      <c r="RLK40" s="19"/>
      <c r="RLL40" s="19"/>
      <c r="RLM40" s="19"/>
      <c r="RLN40" s="19"/>
      <c r="RLO40" s="19"/>
      <c r="RLP40" s="19"/>
      <c r="RLQ40" s="19"/>
      <c r="RLR40" s="19"/>
      <c r="RLS40" s="19"/>
      <c r="RLT40" s="19"/>
      <c r="RLU40" s="19"/>
      <c r="RLV40" s="19"/>
      <c r="RLW40" s="19"/>
      <c r="RLX40" s="19"/>
      <c r="RLY40" s="19"/>
      <c r="RLZ40" s="19"/>
      <c r="RMA40" s="19"/>
      <c r="RMB40" s="19"/>
      <c r="RMC40" s="19"/>
      <c r="RMD40" s="19"/>
      <c r="RME40" s="19"/>
      <c r="RMF40" s="19"/>
      <c r="RMG40" s="19"/>
      <c r="RMH40" s="19"/>
      <c r="RMI40" s="19"/>
      <c r="RMJ40" s="19"/>
      <c r="RMK40" s="19"/>
      <c r="RML40" s="19"/>
      <c r="RMM40" s="19"/>
      <c r="RMN40" s="19"/>
      <c r="RMO40" s="19"/>
      <c r="RMP40" s="19"/>
      <c r="RMQ40" s="19"/>
      <c r="RMR40" s="19"/>
      <c r="RMS40" s="19"/>
      <c r="RMT40" s="19"/>
      <c r="RMU40" s="19"/>
      <c r="RMV40" s="19"/>
      <c r="RMW40" s="19"/>
      <c r="RMX40" s="19"/>
      <c r="RMY40" s="19"/>
      <c r="RMZ40" s="19"/>
      <c r="RNA40" s="19"/>
      <c r="RNB40" s="19"/>
      <c r="RNC40" s="19"/>
      <c r="RND40" s="19"/>
      <c r="RNE40" s="19"/>
      <c r="RNF40" s="19"/>
      <c r="RNG40" s="19"/>
      <c r="RNH40" s="19"/>
      <c r="RNI40" s="19"/>
      <c r="RNJ40" s="19"/>
      <c r="RNK40" s="19"/>
      <c r="RNL40" s="19"/>
      <c r="RNM40" s="19"/>
      <c r="RNN40" s="19"/>
      <c r="RNO40" s="19"/>
      <c r="RNP40" s="19"/>
      <c r="RNQ40" s="19"/>
      <c r="RNR40" s="19"/>
      <c r="RNS40" s="19"/>
      <c r="RNT40" s="19"/>
      <c r="RNU40" s="19"/>
      <c r="RNV40" s="19"/>
      <c r="RNW40" s="19"/>
      <c r="RNX40" s="19"/>
      <c r="RNY40" s="19"/>
      <c r="RNZ40" s="19"/>
      <c r="ROA40" s="19"/>
      <c r="ROB40" s="19"/>
      <c r="ROC40" s="19"/>
      <c r="ROD40" s="19"/>
      <c r="ROE40" s="19"/>
      <c r="ROF40" s="19"/>
      <c r="ROG40" s="19"/>
      <c r="ROH40" s="19"/>
      <c r="ROI40" s="19"/>
      <c r="ROJ40" s="19"/>
      <c r="ROK40" s="19"/>
      <c r="ROL40" s="19"/>
      <c r="ROM40" s="19"/>
      <c r="RON40" s="19"/>
      <c r="ROO40" s="19"/>
      <c r="ROP40" s="19"/>
      <c r="ROQ40" s="19"/>
      <c r="ROR40" s="19"/>
      <c r="ROS40" s="19"/>
      <c r="ROT40" s="19"/>
      <c r="ROU40" s="19"/>
      <c r="ROV40" s="19"/>
      <c r="ROW40" s="19"/>
      <c r="ROX40" s="19"/>
      <c r="ROY40" s="19"/>
      <c r="ROZ40" s="19"/>
      <c r="RPA40" s="19"/>
      <c r="RPB40" s="19"/>
      <c r="RPC40" s="19"/>
      <c r="RPD40" s="19"/>
      <c r="RPE40" s="19"/>
      <c r="RPF40" s="19"/>
      <c r="RPG40" s="19"/>
      <c r="RPH40" s="19"/>
      <c r="RPI40" s="19"/>
      <c r="RPJ40" s="19"/>
      <c r="RPK40" s="19"/>
      <c r="RPL40" s="19"/>
      <c r="RPM40" s="19"/>
      <c r="RPN40" s="19"/>
      <c r="RPO40" s="19"/>
      <c r="RPP40" s="19"/>
      <c r="RPQ40" s="19"/>
      <c r="RPR40" s="19"/>
      <c r="RPS40" s="19"/>
      <c r="RPT40" s="19"/>
      <c r="RPU40" s="19"/>
      <c r="RPV40" s="19"/>
      <c r="RPW40" s="19"/>
      <c r="RPX40" s="19"/>
      <c r="RPY40" s="19"/>
      <c r="RPZ40" s="19"/>
      <c r="RQA40" s="19"/>
      <c r="RQB40" s="19"/>
      <c r="RQC40" s="19"/>
      <c r="RQD40" s="19"/>
      <c r="RQE40" s="19"/>
      <c r="RQF40" s="19"/>
      <c r="RQG40" s="19"/>
      <c r="RQH40" s="19"/>
      <c r="RQI40" s="19"/>
      <c r="RQJ40" s="19"/>
      <c r="RQK40" s="19"/>
      <c r="RQL40" s="19"/>
      <c r="RQM40" s="19"/>
      <c r="RQN40" s="19"/>
      <c r="RQO40" s="19"/>
      <c r="RQP40" s="19"/>
      <c r="RQQ40" s="19"/>
      <c r="RQR40" s="19"/>
      <c r="RQS40" s="19"/>
      <c r="RQT40" s="19"/>
      <c r="RQU40" s="19"/>
      <c r="RQV40" s="19"/>
      <c r="RQW40" s="19"/>
      <c r="RQX40" s="19"/>
      <c r="RQY40" s="19"/>
      <c r="RQZ40" s="19"/>
      <c r="RRA40" s="19"/>
      <c r="RRB40" s="19"/>
      <c r="RRC40" s="19"/>
      <c r="RRD40" s="19"/>
      <c r="RRE40" s="19"/>
      <c r="RRF40" s="19"/>
      <c r="RRG40" s="19"/>
      <c r="RRH40" s="19"/>
      <c r="RRI40" s="19"/>
      <c r="RRJ40" s="19"/>
      <c r="RRK40" s="19"/>
      <c r="RRL40" s="19"/>
      <c r="RRM40" s="19"/>
      <c r="RRN40" s="19"/>
      <c r="RRO40" s="19"/>
      <c r="RRP40" s="19"/>
      <c r="RRQ40" s="19"/>
      <c r="RRR40" s="19"/>
      <c r="RRS40" s="19"/>
      <c r="RRT40" s="19"/>
      <c r="RRU40" s="19"/>
      <c r="RRV40" s="19"/>
      <c r="RRW40" s="19"/>
      <c r="RRX40" s="19"/>
      <c r="RRY40" s="19"/>
      <c r="RRZ40" s="19"/>
      <c r="RSA40" s="19"/>
      <c r="RSB40" s="19"/>
      <c r="RSC40" s="19"/>
      <c r="RSD40" s="19"/>
      <c r="RSE40" s="19"/>
      <c r="RSF40" s="19"/>
      <c r="RSG40" s="19"/>
      <c r="RSH40" s="19"/>
      <c r="RSI40" s="19"/>
      <c r="RSJ40" s="19"/>
      <c r="RSK40" s="19"/>
      <c r="RSL40" s="19"/>
      <c r="RSM40" s="19"/>
      <c r="RSN40" s="19"/>
      <c r="RSO40" s="19"/>
      <c r="RSP40" s="19"/>
      <c r="RSQ40" s="19"/>
      <c r="RSR40" s="19"/>
      <c r="RSS40" s="19"/>
      <c r="RST40" s="19"/>
      <c r="RSU40" s="19"/>
      <c r="RSV40" s="19"/>
      <c r="RSW40" s="19"/>
      <c r="RSX40" s="19"/>
      <c r="RSY40" s="19"/>
      <c r="RSZ40" s="19"/>
      <c r="RTA40" s="19"/>
      <c r="RTB40" s="19"/>
      <c r="RTC40" s="19"/>
      <c r="RTD40" s="19"/>
      <c r="RTE40" s="19"/>
      <c r="RTF40" s="19"/>
      <c r="RTG40" s="19"/>
      <c r="RTH40" s="19"/>
      <c r="RTI40" s="19"/>
      <c r="RTJ40" s="19"/>
      <c r="RTK40" s="19"/>
      <c r="RTL40" s="19"/>
      <c r="RTM40" s="19"/>
      <c r="RTN40" s="19"/>
      <c r="RTO40" s="19"/>
      <c r="RTP40" s="19"/>
      <c r="RTQ40" s="19"/>
      <c r="RTR40" s="19"/>
      <c r="RTS40" s="19"/>
      <c r="RTT40" s="19"/>
      <c r="RTU40" s="19"/>
      <c r="RTV40" s="19"/>
      <c r="RTW40" s="19"/>
      <c r="RTX40" s="19"/>
      <c r="RTY40" s="19"/>
      <c r="RTZ40" s="19"/>
      <c r="RUA40" s="19"/>
      <c r="RUB40" s="19"/>
      <c r="RUC40" s="19"/>
      <c r="RUD40" s="19"/>
      <c r="RUE40" s="19"/>
      <c r="RUF40" s="19"/>
      <c r="RUG40" s="19"/>
      <c r="RUH40" s="19"/>
      <c r="RUI40" s="19"/>
      <c r="RUJ40" s="19"/>
      <c r="RUK40" s="19"/>
      <c r="RUL40" s="19"/>
      <c r="RUM40" s="19"/>
      <c r="RUN40" s="19"/>
      <c r="RUO40" s="19"/>
      <c r="RUP40" s="19"/>
      <c r="RUQ40" s="19"/>
      <c r="RUR40" s="19"/>
      <c r="RUS40" s="19"/>
      <c r="RUT40" s="19"/>
      <c r="RUU40" s="19"/>
      <c r="RUV40" s="19"/>
      <c r="RUW40" s="19"/>
      <c r="RUX40" s="19"/>
      <c r="RUY40" s="19"/>
      <c r="RUZ40" s="19"/>
      <c r="RVA40" s="19"/>
      <c r="RVB40" s="19"/>
      <c r="RVC40" s="19"/>
      <c r="RVD40" s="19"/>
      <c r="RVE40" s="19"/>
      <c r="RVF40" s="19"/>
      <c r="RVG40" s="19"/>
      <c r="RVH40" s="19"/>
      <c r="RVI40" s="19"/>
      <c r="RVJ40" s="19"/>
      <c r="RVK40" s="19"/>
      <c r="RVL40" s="19"/>
      <c r="RVM40" s="19"/>
      <c r="RVN40" s="19"/>
      <c r="RVO40" s="19"/>
      <c r="RVP40" s="19"/>
      <c r="RVQ40" s="19"/>
      <c r="RVR40" s="19"/>
      <c r="RVS40" s="19"/>
      <c r="RVT40" s="19"/>
      <c r="RVU40" s="19"/>
      <c r="RVV40" s="19"/>
      <c r="RVW40" s="19"/>
      <c r="RVX40" s="19"/>
      <c r="RVY40" s="19"/>
      <c r="RVZ40" s="19"/>
      <c r="RWA40" s="19"/>
      <c r="RWB40" s="19"/>
      <c r="RWC40" s="19"/>
      <c r="RWD40" s="19"/>
      <c r="RWE40" s="19"/>
      <c r="RWF40" s="19"/>
      <c r="RWG40" s="19"/>
      <c r="RWH40" s="19"/>
      <c r="RWI40" s="19"/>
      <c r="RWJ40" s="19"/>
      <c r="RWK40" s="19"/>
      <c r="RWL40" s="19"/>
      <c r="RWM40" s="19"/>
      <c r="RWN40" s="19"/>
      <c r="RWO40" s="19"/>
      <c r="RWP40" s="19"/>
      <c r="RWQ40" s="19"/>
      <c r="RWR40" s="19"/>
      <c r="RWS40" s="19"/>
      <c r="RWT40" s="19"/>
      <c r="RWU40" s="19"/>
      <c r="RWV40" s="19"/>
      <c r="RWW40" s="19"/>
      <c r="RWX40" s="19"/>
      <c r="RWY40" s="19"/>
      <c r="RWZ40" s="19"/>
      <c r="RXA40" s="19"/>
      <c r="RXB40" s="19"/>
      <c r="RXC40" s="19"/>
      <c r="RXD40" s="19"/>
      <c r="RXE40" s="19"/>
      <c r="RXF40" s="19"/>
      <c r="RXG40" s="19"/>
      <c r="RXH40" s="19"/>
      <c r="RXI40" s="19"/>
      <c r="RXJ40" s="19"/>
      <c r="RXK40" s="19"/>
      <c r="RXL40" s="19"/>
      <c r="RXM40" s="19"/>
      <c r="RXN40" s="19"/>
      <c r="RXO40" s="19"/>
      <c r="RXP40" s="19"/>
      <c r="RXQ40" s="19"/>
      <c r="RXR40" s="19"/>
      <c r="RXS40" s="19"/>
      <c r="RXT40" s="19"/>
      <c r="RXU40" s="19"/>
      <c r="RXV40" s="19"/>
      <c r="RXW40" s="19"/>
      <c r="RXX40" s="19"/>
      <c r="RXY40" s="19"/>
      <c r="RXZ40" s="19"/>
      <c r="RYA40" s="19"/>
      <c r="RYB40" s="19"/>
      <c r="RYC40" s="19"/>
      <c r="RYD40" s="19"/>
      <c r="RYE40" s="19"/>
      <c r="RYF40" s="19"/>
      <c r="RYG40" s="19"/>
      <c r="RYH40" s="19"/>
      <c r="RYI40" s="19"/>
      <c r="RYJ40" s="19"/>
      <c r="RYK40" s="19"/>
      <c r="RYL40" s="19"/>
      <c r="RYM40" s="19"/>
      <c r="RYN40" s="19"/>
      <c r="RYO40" s="19"/>
      <c r="RYP40" s="19"/>
      <c r="RYQ40" s="19"/>
      <c r="RYR40" s="19"/>
      <c r="RYS40" s="19"/>
      <c r="RYT40" s="19"/>
      <c r="RYU40" s="19"/>
      <c r="RYV40" s="19"/>
      <c r="RYW40" s="19"/>
      <c r="RYX40" s="19"/>
      <c r="RYY40" s="19"/>
      <c r="RYZ40" s="19"/>
      <c r="RZA40" s="19"/>
      <c r="RZB40" s="19"/>
      <c r="RZC40" s="19"/>
      <c r="RZD40" s="19"/>
      <c r="RZE40" s="19"/>
      <c r="RZF40" s="19"/>
      <c r="RZG40" s="19"/>
      <c r="RZH40" s="19"/>
      <c r="RZI40" s="19"/>
      <c r="RZJ40" s="19"/>
      <c r="RZK40" s="19"/>
      <c r="RZL40" s="19"/>
      <c r="RZM40" s="19"/>
      <c r="RZN40" s="19"/>
      <c r="RZO40" s="19"/>
      <c r="RZP40" s="19"/>
      <c r="RZQ40" s="19"/>
      <c r="RZR40" s="19"/>
      <c r="RZS40" s="19"/>
      <c r="RZT40" s="19"/>
      <c r="RZU40" s="19"/>
      <c r="RZV40" s="19"/>
      <c r="RZW40" s="19"/>
      <c r="RZX40" s="19"/>
      <c r="RZY40" s="19"/>
      <c r="RZZ40" s="19"/>
      <c r="SAA40" s="19"/>
      <c r="SAB40" s="19"/>
      <c r="SAC40" s="19"/>
      <c r="SAD40" s="19"/>
      <c r="SAE40" s="19"/>
      <c r="SAF40" s="19"/>
      <c r="SAG40" s="19"/>
      <c r="SAH40" s="19"/>
      <c r="SAI40" s="19"/>
      <c r="SAJ40" s="19"/>
      <c r="SAK40" s="19"/>
      <c r="SAL40" s="19"/>
      <c r="SAM40" s="19"/>
      <c r="SAN40" s="19"/>
      <c r="SAO40" s="19"/>
      <c r="SAP40" s="19"/>
      <c r="SAQ40" s="19"/>
      <c r="SAR40" s="19"/>
      <c r="SAS40" s="19"/>
      <c r="SAT40" s="19"/>
      <c r="SAU40" s="19"/>
      <c r="SAV40" s="19"/>
      <c r="SAW40" s="19"/>
      <c r="SAX40" s="19"/>
      <c r="SAY40" s="19"/>
      <c r="SAZ40" s="19"/>
      <c r="SBA40" s="19"/>
      <c r="SBB40" s="19"/>
      <c r="SBC40" s="19"/>
      <c r="SBD40" s="19"/>
      <c r="SBE40" s="19"/>
      <c r="SBF40" s="19"/>
      <c r="SBG40" s="19"/>
      <c r="SBH40" s="19"/>
      <c r="SBI40" s="19"/>
      <c r="SBJ40" s="19"/>
      <c r="SBK40" s="19"/>
      <c r="SBL40" s="19"/>
      <c r="SBM40" s="19"/>
      <c r="SBN40" s="19"/>
      <c r="SBO40" s="19"/>
      <c r="SBP40" s="19"/>
      <c r="SBQ40" s="19"/>
      <c r="SBR40" s="19"/>
      <c r="SBS40" s="19"/>
      <c r="SBT40" s="19"/>
      <c r="SBU40" s="19"/>
      <c r="SBV40" s="19"/>
      <c r="SBW40" s="19"/>
      <c r="SBX40" s="19"/>
      <c r="SBY40" s="19"/>
      <c r="SBZ40" s="19"/>
      <c r="SCA40" s="19"/>
      <c r="SCB40" s="19"/>
      <c r="SCC40" s="19"/>
      <c r="SCD40" s="19"/>
      <c r="SCE40" s="19"/>
      <c r="SCF40" s="19"/>
      <c r="SCG40" s="19"/>
      <c r="SCH40" s="19"/>
      <c r="SCI40" s="19"/>
      <c r="SCJ40" s="19"/>
      <c r="SCK40" s="19"/>
      <c r="SCL40" s="19"/>
      <c r="SCM40" s="19"/>
      <c r="SCN40" s="19"/>
      <c r="SCO40" s="19"/>
      <c r="SCP40" s="19"/>
      <c r="SCQ40" s="19"/>
      <c r="SCR40" s="19"/>
      <c r="SCS40" s="19"/>
      <c r="SCT40" s="19"/>
      <c r="SCU40" s="19"/>
      <c r="SCV40" s="19"/>
      <c r="SCW40" s="19"/>
      <c r="SCX40" s="19"/>
      <c r="SCY40" s="19"/>
      <c r="SCZ40" s="19"/>
      <c r="SDA40" s="19"/>
      <c r="SDB40" s="19"/>
      <c r="SDC40" s="19"/>
      <c r="SDD40" s="19"/>
      <c r="SDE40" s="19"/>
      <c r="SDF40" s="19"/>
      <c r="SDG40" s="19"/>
      <c r="SDH40" s="19"/>
      <c r="SDI40" s="19"/>
      <c r="SDJ40" s="19"/>
      <c r="SDK40" s="19"/>
      <c r="SDL40" s="19"/>
      <c r="SDM40" s="19"/>
      <c r="SDN40" s="19"/>
      <c r="SDO40" s="19"/>
      <c r="SDP40" s="19"/>
      <c r="SDQ40" s="19"/>
      <c r="SDR40" s="19"/>
      <c r="SDS40" s="19"/>
      <c r="SDT40" s="19"/>
      <c r="SDU40" s="19"/>
      <c r="SDV40" s="19"/>
      <c r="SDW40" s="19"/>
      <c r="SDX40" s="19"/>
      <c r="SDY40" s="19"/>
      <c r="SDZ40" s="19"/>
      <c r="SEA40" s="19"/>
      <c r="SEB40" s="19"/>
      <c r="SEC40" s="19"/>
      <c r="SED40" s="19"/>
      <c r="SEE40" s="19"/>
      <c r="SEF40" s="19"/>
      <c r="SEG40" s="19"/>
      <c r="SEH40" s="19"/>
      <c r="SEI40" s="19"/>
      <c r="SEJ40" s="19"/>
      <c r="SEK40" s="19"/>
      <c r="SEL40" s="19"/>
      <c r="SEM40" s="19"/>
      <c r="SEN40" s="19"/>
      <c r="SEO40" s="19"/>
      <c r="SEP40" s="19"/>
      <c r="SEQ40" s="19"/>
      <c r="SER40" s="19"/>
      <c r="SES40" s="19"/>
      <c r="SET40" s="19"/>
      <c r="SEU40" s="19"/>
      <c r="SEV40" s="19"/>
      <c r="SEW40" s="19"/>
      <c r="SEX40" s="19"/>
      <c r="SEY40" s="19"/>
      <c r="SEZ40" s="19"/>
      <c r="SFA40" s="19"/>
      <c r="SFB40" s="19"/>
      <c r="SFC40" s="19"/>
      <c r="SFD40" s="19"/>
      <c r="SFE40" s="19"/>
      <c r="SFF40" s="19"/>
      <c r="SFG40" s="19"/>
      <c r="SFH40" s="19"/>
      <c r="SFI40" s="19"/>
      <c r="SFJ40" s="19"/>
      <c r="SFK40" s="19"/>
      <c r="SFL40" s="19"/>
      <c r="SFM40" s="19"/>
      <c r="SFN40" s="19"/>
      <c r="SFO40" s="19"/>
      <c r="SFP40" s="19"/>
      <c r="SFQ40" s="19"/>
      <c r="SFR40" s="19"/>
      <c r="SFS40" s="19"/>
      <c r="SFT40" s="19"/>
      <c r="SFU40" s="19"/>
      <c r="SFV40" s="19"/>
      <c r="SFW40" s="19"/>
      <c r="SFX40" s="19"/>
      <c r="SFY40" s="19"/>
      <c r="SFZ40" s="19"/>
      <c r="SGA40" s="19"/>
      <c r="SGB40" s="19"/>
      <c r="SGC40" s="19"/>
      <c r="SGD40" s="19"/>
      <c r="SGE40" s="19"/>
      <c r="SGF40" s="19"/>
      <c r="SGG40" s="19"/>
      <c r="SGH40" s="19"/>
      <c r="SGI40" s="19"/>
      <c r="SGJ40" s="19"/>
      <c r="SGK40" s="19"/>
      <c r="SGL40" s="19"/>
      <c r="SGM40" s="19"/>
      <c r="SGN40" s="19"/>
      <c r="SGO40" s="19"/>
      <c r="SGP40" s="19"/>
      <c r="SGQ40" s="19"/>
      <c r="SGR40" s="19"/>
      <c r="SGS40" s="19"/>
      <c r="SGT40" s="19"/>
      <c r="SGU40" s="19"/>
      <c r="SGV40" s="19"/>
      <c r="SGW40" s="19"/>
      <c r="SGX40" s="19"/>
      <c r="SGY40" s="19"/>
      <c r="SGZ40" s="19"/>
      <c r="SHA40" s="19"/>
      <c r="SHB40" s="19"/>
      <c r="SHC40" s="19"/>
      <c r="SHD40" s="19"/>
      <c r="SHE40" s="19"/>
      <c r="SHF40" s="19"/>
      <c r="SHG40" s="19"/>
      <c r="SHH40" s="19"/>
      <c r="SHI40" s="19"/>
      <c r="SHJ40" s="19"/>
      <c r="SHK40" s="19"/>
      <c r="SHL40" s="19"/>
      <c r="SHM40" s="19"/>
      <c r="SHN40" s="19"/>
      <c r="SHO40" s="19"/>
      <c r="SHP40" s="19"/>
      <c r="SHQ40" s="19"/>
      <c r="SHR40" s="19"/>
      <c r="SHS40" s="19"/>
      <c r="SHT40" s="19"/>
      <c r="SHU40" s="19"/>
      <c r="SHV40" s="19"/>
      <c r="SHW40" s="19"/>
      <c r="SHX40" s="19"/>
      <c r="SHY40" s="19"/>
      <c r="SHZ40" s="19"/>
      <c r="SIA40" s="19"/>
      <c r="SIB40" s="19"/>
      <c r="SIC40" s="19"/>
      <c r="SID40" s="19"/>
      <c r="SIE40" s="19"/>
      <c r="SIF40" s="19"/>
      <c r="SIG40" s="19"/>
      <c r="SIH40" s="19"/>
      <c r="SII40" s="19"/>
      <c r="SIJ40" s="19"/>
      <c r="SIK40" s="19"/>
      <c r="SIL40" s="19"/>
      <c r="SIM40" s="19"/>
      <c r="SIN40" s="19"/>
      <c r="SIO40" s="19"/>
      <c r="SIP40" s="19"/>
      <c r="SIQ40" s="19"/>
      <c r="SIR40" s="19"/>
      <c r="SIS40" s="19"/>
      <c r="SIT40" s="19"/>
      <c r="SIU40" s="19"/>
      <c r="SIV40" s="19"/>
      <c r="SIW40" s="19"/>
      <c r="SIX40" s="19"/>
      <c r="SIY40" s="19"/>
      <c r="SIZ40" s="19"/>
      <c r="SJA40" s="19"/>
      <c r="SJB40" s="19"/>
      <c r="SJC40" s="19"/>
      <c r="SJD40" s="19"/>
      <c r="SJE40" s="19"/>
      <c r="SJF40" s="19"/>
      <c r="SJG40" s="19"/>
      <c r="SJH40" s="19"/>
      <c r="SJI40" s="19"/>
      <c r="SJJ40" s="19"/>
      <c r="SJK40" s="19"/>
      <c r="SJL40" s="19"/>
      <c r="SJM40" s="19"/>
      <c r="SJN40" s="19"/>
      <c r="SJO40" s="19"/>
      <c r="SJP40" s="19"/>
      <c r="SJQ40" s="19"/>
      <c r="SJR40" s="19"/>
      <c r="SJS40" s="19"/>
      <c r="SJT40" s="19"/>
      <c r="SJU40" s="19"/>
      <c r="SJV40" s="19"/>
      <c r="SJW40" s="19"/>
      <c r="SJX40" s="19"/>
      <c r="SJY40" s="19"/>
      <c r="SJZ40" s="19"/>
      <c r="SKA40" s="19"/>
      <c r="SKB40" s="19"/>
      <c r="SKC40" s="19"/>
      <c r="SKD40" s="19"/>
      <c r="SKE40" s="19"/>
      <c r="SKF40" s="19"/>
      <c r="SKG40" s="19"/>
      <c r="SKH40" s="19"/>
      <c r="SKI40" s="19"/>
      <c r="SKJ40" s="19"/>
      <c r="SKK40" s="19"/>
      <c r="SKL40" s="19"/>
      <c r="SKM40" s="19"/>
      <c r="SKN40" s="19"/>
      <c r="SKO40" s="19"/>
      <c r="SKP40" s="19"/>
      <c r="SKQ40" s="19"/>
      <c r="SKR40" s="19"/>
      <c r="SKS40" s="19"/>
      <c r="SKT40" s="19"/>
      <c r="SKU40" s="19"/>
      <c r="SKV40" s="19"/>
      <c r="SKW40" s="19"/>
      <c r="SKX40" s="19"/>
      <c r="SKY40" s="19"/>
      <c r="SKZ40" s="19"/>
      <c r="SLA40" s="19"/>
      <c r="SLB40" s="19"/>
      <c r="SLC40" s="19"/>
      <c r="SLD40" s="19"/>
      <c r="SLE40" s="19"/>
      <c r="SLF40" s="19"/>
      <c r="SLG40" s="19"/>
      <c r="SLH40" s="19"/>
      <c r="SLI40" s="19"/>
      <c r="SLJ40" s="19"/>
      <c r="SLK40" s="19"/>
      <c r="SLL40" s="19"/>
      <c r="SLM40" s="19"/>
      <c r="SLN40" s="19"/>
      <c r="SLO40" s="19"/>
      <c r="SLP40" s="19"/>
      <c r="SLQ40" s="19"/>
      <c r="SLR40" s="19"/>
      <c r="SLS40" s="19"/>
      <c r="SLT40" s="19"/>
      <c r="SLU40" s="19"/>
      <c r="SLV40" s="19"/>
      <c r="SLW40" s="19"/>
      <c r="SLX40" s="19"/>
      <c r="SLY40" s="19"/>
      <c r="SLZ40" s="19"/>
      <c r="SMA40" s="19"/>
      <c r="SMB40" s="19"/>
      <c r="SMC40" s="19"/>
      <c r="SMD40" s="19"/>
      <c r="SME40" s="19"/>
      <c r="SMF40" s="19"/>
      <c r="SMG40" s="19"/>
      <c r="SMH40" s="19"/>
      <c r="SMI40" s="19"/>
      <c r="SMJ40" s="19"/>
      <c r="SMK40" s="19"/>
      <c r="SML40" s="19"/>
      <c r="SMM40" s="19"/>
      <c r="SMN40" s="19"/>
      <c r="SMO40" s="19"/>
      <c r="SMP40" s="19"/>
      <c r="SMQ40" s="19"/>
      <c r="SMR40" s="19"/>
      <c r="SMS40" s="19"/>
      <c r="SMT40" s="19"/>
      <c r="SMU40" s="19"/>
      <c r="SMV40" s="19"/>
      <c r="SMW40" s="19"/>
      <c r="SMX40" s="19"/>
      <c r="SMY40" s="19"/>
      <c r="SMZ40" s="19"/>
      <c r="SNA40" s="19"/>
      <c r="SNB40" s="19"/>
      <c r="SNC40" s="19"/>
      <c r="SND40" s="19"/>
      <c r="SNE40" s="19"/>
      <c r="SNF40" s="19"/>
      <c r="SNG40" s="19"/>
      <c r="SNH40" s="19"/>
      <c r="SNI40" s="19"/>
      <c r="SNJ40" s="19"/>
      <c r="SNK40" s="19"/>
      <c r="SNL40" s="19"/>
      <c r="SNM40" s="19"/>
      <c r="SNN40" s="19"/>
      <c r="SNO40" s="19"/>
      <c r="SNP40" s="19"/>
      <c r="SNQ40" s="19"/>
      <c r="SNR40" s="19"/>
      <c r="SNS40" s="19"/>
      <c r="SNT40" s="19"/>
      <c r="SNU40" s="19"/>
      <c r="SNV40" s="19"/>
      <c r="SNW40" s="19"/>
      <c r="SNX40" s="19"/>
      <c r="SNY40" s="19"/>
      <c r="SNZ40" s="19"/>
      <c r="SOA40" s="19"/>
      <c r="SOB40" s="19"/>
      <c r="SOC40" s="19"/>
      <c r="SOD40" s="19"/>
      <c r="SOE40" s="19"/>
      <c r="SOF40" s="19"/>
      <c r="SOG40" s="19"/>
      <c r="SOH40" s="19"/>
      <c r="SOI40" s="19"/>
      <c r="SOJ40" s="19"/>
      <c r="SOK40" s="19"/>
      <c r="SOL40" s="19"/>
      <c r="SOM40" s="19"/>
      <c r="SON40" s="19"/>
      <c r="SOO40" s="19"/>
      <c r="SOP40" s="19"/>
      <c r="SOQ40" s="19"/>
      <c r="SOR40" s="19"/>
      <c r="SOS40" s="19"/>
      <c r="SOT40" s="19"/>
      <c r="SOU40" s="19"/>
      <c r="SOV40" s="19"/>
      <c r="SOW40" s="19"/>
      <c r="SOX40" s="19"/>
      <c r="SOY40" s="19"/>
      <c r="SOZ40" s="19"/>
      <c r="SPA40" s="19"/>
      <c r="SPB40" s="19"/>
      <c r="SPC40" s="19"/>
      <c r="SPD40" s="19"/>
      <c r="SPE40" s="19"/>
      <c r="SPF40" s="19"/>
      <c r="SPG40" s="19"/>
      <c r="SPH40" s="19"/>
      <c r="SPI40" s="19"/>
      <c r="SPJ40" s="19"/>
      <c r="SPK40" s="19"/>
      <c r="SPL40" s="19"/>
      <c r="SPM40" s="19"/>
      <c r="SPN40" s="19"/>
      <c r="SPO40" s="19"/>
      <c r="SPP40" s="19"/>
      <c r="SPQ40" s="19"/>
      <c r="SPR40" s="19"/>
      <c r="SPS40" s="19"/>
      <c r="SPT40" s="19"/>
      <c r="SPU40" s="19"/>
      <c r="SPV40" s="19"/>
      <c r="SPW40" s="19"/>
      <c r="SPX40" s="19"/>
      <c r="SPY40" s="19"/>
      <c r="SPZ40" s="19"/>
      <c r="SQA40" s="19"/>
      <c r="SQB40" s="19"/>
      <c r="SQC40" s="19"/>
      <c r="SQD40" s="19"/>
      <c r="SQE40" s="19"/>
      <c r="SQF40" s="19"/>
      <c r="SQG40" s="19"/>
      <c r="SQH40" s="19"/>
      <c r="SQI40" s="19"/>
      <c r="SQJ40" s="19"/>
      <c r="SQK40" s="19"/>
      <c r="SQL40" s="19"/>
      <c r="SQM40" s="19"/>
      <c r="SQN40" s="19"/>
      <c r="SQO40" s="19"/>
      <c r="SQP40" s="19"/>
      <c r="SQQ40" s="19"/>
      <c r="SQR40" s="19"/>
      <c r="SQS40" s="19"/>
      <c r="SQT40" s="19"/>
      <c r="SQU40" s="19"/>
      <c r="SQV40" s="19"/>
      <c r="SQW40" s="19"/>
      <c r="SQX40" s="19"/>
      <c r="SQY40" s="19"/>
      <c r="SQZ40" s="19"/>
      <c r="SRA40" s="19"/>
      <c r="SRB40" s="19"/>
      <c r="SRC40" s="19"/>
      <c r="SRD40" s="19"/>
      <c r="SRE40" s="19"/>
      <c r="SRF40" s="19"/>
      <c r="SRG40" s="19"/>
      <c r="SRH40" s="19"/>
      <c r="SRI40" s="19"/>
      <c r="SRJ40" s="19"/>
      <c r="SRK40" s="19"/>
      <c r="SRL40" s="19"/>
      <c r="SRM40" s="19"/>
      <c r="SRN40" s="19"/>
      <c r="SRO40" s="19"/>
      <c r="SRP40" s="19"/>
      <c r="SRQ40" s="19"/>
      <c r="SRR40" s="19"/>
      <c r="SRS40" s="19"/>
      <c r="SRT40" s="19"/>
      <c r="SRU40" s="19"/>
      <c r="SRV40" s="19"/>
      <c r="SRW40" s="19"/>
      <c r="SRX40" s="19"/>
      <c r="SRY40" s="19"/>
      <c r="SRZ40" s="19"/>
      <c r="SSA40" s="19"/>
      <c r="SSB40" s="19"/>
      <c r="SSC40" s="19"/>
      <c r="SSD40" s="19"/>
      <c r="SSE40" s="19"/>
      <c r="SSF40" s="19"/>
      <c r="SSG40" s="19"/>
      <c r="SSH40" s="19"/>
      <c r="SSI40" s="19"/>
      <c r="SSJ40" s="19"/>
      <c r="SSK40" s="19"/>
      <c r="SSL40" s="19"/>
      <c r="SSM40" s="19"/>
      <c r="SSN40" s="19"/>
      <c r="SSO40" s="19"/>
      <c r="SSP40" s="19"/>
      <c r="SSQ40" s="19"/>
      <c r="SSR40" s="19"/>
      <c r="SSS40" s="19"/>
      <c r="SST40" s="19"/>
      <c r="SSU40" s="19"/>
      <c r="SSV40" s="19"/>
      <c r="SSW40" s="19"/>
      <c r="SSX40" s="19"/>
      <c r="SSY40" s="19"/>
      <c r="SSZ40" s="19"/>
      <c r="STA40" s="19"/>
      <c r="STB40" s="19"/>
      <c r="STC40" s="19"/>
      <c r="STD40" s="19"/>
      <c r="STE40" s="19"/>
      <c r="STF40" s="19"/>
      <c r="STG40" s="19"/>
      <c r="STH40" s="19"/>
      <c r="STI40" s="19"/>
      <c r="STJ40" s="19"/>
      <c r="STK40" s="19"/>
      <c r="STL40" s="19"/>
      <c r="STM40" s="19"/>
      <c r="STN40" s="19"/>
      <c r="STO40" s="19"/>
      <c r="STP40" s="19"/>
      <c r="STQ40" s="19"/>
      <c r="STR40" s="19"/>
      <c r="STS40" s="19"/>
      <c r="STT40" s="19"/>
      <c r="STU40" s="19"/>
      <c r="STV40" s="19"/>
      <c r="STW40" s="19"/>
      <c r="STX40" s="19"/>
      <c r="STY40" s="19"/>
      <c r="STZ40" s="19"/>
      <c r="SUA40" s="19"/>
      <c r="SUB40" s="19"/>
      <c r="SUC40" s="19"/>
      <c r="SUD40" s="19"/>
      <c r="SUE40" s="19"/>
      <c r="SUF40" s="19"/>
      <c r="SUG40" s="19"/>
      <c r="SUH40" s="19"/>
      <c r="SUI40" s="19"/>
      <c r="SUJ40" s="19"/>
      <c r="SUK40" s="19"/>
      <c r="SUL40" s="19"/>
      <c r="SUM40" s="19"/>
      <c r="SUN40" s="19"/>
      <c r="SUO40" s="19"/>
      <c r="SUP40" s="19"/>
      <c r="SUQ40" s="19"/>
      <c r="SUR40" s="19"/>
      <c r="SUS40" s="19"/>
      <c r="SUT40" s="19"/>
      <c r="SUU40" s="19"/>
      <c r="SUV40" s="19"/>
      <c r="SUW40" s="19"/>
      <c r="SUX40" s="19"/>
      <c r="SUY40" s="19"/>
      <c r="SUZ40" s="19"/>
      <c r="SVA40" s="19"/>
      <c r="SVB40" s="19"/>
      <c r="SVC40" s="19"/>
      <c r="SVD40" s="19"/>
      <c r="SVE40" s="19"/>
      <c r="SVF40" s="19"/>
      <c r="SVG40" s="19"/>
      <c r="SVH40" s="19"/>
      <c r="SVI40" s="19"/>
      <c r="SVJ40" s="19"/>
      <c r="SVK40" s="19"/>
      <c r="SVL40" s="19"/>
      <c r="SVM40" s="19"/>
      <c r="SVN40" s="19"/>
      <c r="SVO40" s="19"/>
      <c r="SVP40" s="19"/>
      <c r="SVQ40" s="19"/>
      <c r="SVR40" s="19"/>
      <c r="SVS40" s="19"/>
      <c r="SVT40" s="19"/>
      <c r="SVU40" s="19"/>
      <c r="SVV40" s="19"/>
      <c r="SVW40" s="19"/>
      <c r="SVX40" s="19"/>
      <c r="SVY40" s="19"/>
      <c r="SVZ40" s="19"/>
      <c r="SWA40" s="19"/>
      <c r="SWB40" s="19"/>
      <c r="SWC40" s="19"/>
      <c r="SWD40" s="19"/>
      <c r="SWE40" s="19"/>
      <c r="SWF40" s="19"/>
      <c r="SWG40" s="19"/>
      <c r="SWH40" s="19"/>
      <c r="SWI40" s="19"/>
      <c r="SWJ40" s="19"/>
      <c r="SWK40" s="19"/>
      <c r="SWL40" s="19"/>
      <c r="SWM40" s="19"/>
      <c r="SWN40" s="19"/>
      <c r="SWO40" s="19"/>
      <c r="SWP40" s="19"/>
      <c r="SWQ40" s="19"/>
      <c r="SWR40" s="19"/>
      <c r="SWS40" s="19"/>
      <c r="SWT40" s="19"/>
      <c r="SWU40" s="19"/>
      <c r="SWV40" s="19"/>
      <c r="SWW40" s="19"/>
      <c r="SWX40" s="19"/>
      <c r="SWY40" s="19"/>
      <c r="SWZ40" s="19"/>
      <c r="SXA40" s="19"/>
      <c r="SXB40" s="19"/>
      <c r="SXC40" s="19"/>
      <c r="SXD40" s="19"/>
      <c r="SXE40" s="19"/>
      <c r="SXF40" s="19"/>
      <c r="SXG40" s="19"/>
      <c r="SXH40" s="19"/>
      <c r="SXI40" s="19"/>
      <c r="SXJ40" s="19"/>
      <c r="SXK40" s="19"/>
      <c r="SXL40" s="19"/>
      <c r="SXM40" s="19"/>
      <c r="SXN40" s="19"/>
      <c r="SXO40" s="19"/>
      <c r="SXP40" s="19"/>
      <c r="SXQ40" s="19"/>
      <c r="SXR40" s="19"/>
      <c r="SXS40" s="19"/>
      <c r="SXT40" s="19"/>
      <c r="SXU40" s="19"/>
      <c r="SXV40" s="19"/>
      <c r="SXW40" s="19"/>
      <c r="SXX40" s="19"/>
      <c r="SXY40" s="19"/>
      <c r="SXZ40" s="19"/>
      <c r="SYA40" s="19"/>
      <c r="SYB40" s="19"/>
      <c r="SYC40" s="19"/>
      <c r="SYD40" s="19"/>
      <c r="SYE40" s="19"/>
      <c r="SYF40" s="19"/>
      <c r="SYG40" s="19"/>
      <c r="SYH40" s="19"/>
      <c r="SYI40" s="19"/>
      <c r="SYJ40" s="19"/>
      <c r="SYK40" s="19"/>
      <c r="SYL40" s="19"/>
      <c r="SYM40" s="19"/>
      <c r="SYN40" s="19"/>
      <c r="SYO40" s="19"/>
      <c r="SYP40" s="19"/>
      <c r="SYQ40" s="19"/>
      <c r="SYR40" s="19"/>
      <c r="SYS40" s="19"/>
      <c r="SYT40" s="19"/>
      <c r="SYU40" s="19"/>
      <c r="SYV40" s="19"/>
      <c r="SYW40" s="19"/>
      <c r="SYX40" s="19"/>
      <c r="SYY40" s="19"/>
      <c r="SYZ40" s="19"/>
      <c r="SZA40" s="19"/>
      <c r="SZB40" s="19"/>
      <c r="SZC40" s="19"/>
      <c r="SZD40" s="19"/>
      <c r="SZE40" s="19"/>
      <c r="SZF40" s="19"/>
      <c r="SZG40" s="19"/>
      <c r="SZH40" s="19"/>
      <c r="SZI40" s="19"/>
      <c r="SZJ40" s="19"/>
      <c r="SZK40" s="19"/>
      <c r="SZL40" s="19"/>
      <c r="SZM40" s="19"/>
      <c r="SZN40" s="19"/>
      <c r="SZO40" s="19"/>
      <c r="SZP40" s="19"/>
      <c r="SZQ40" s="19"/>
      <c r="SZR40" s="19"/>
      <c r="SZS40" s="19"/>
      <c r="SZT40" s="19"/>
      <c r="SZU40" s="19"/>
      <c r="SZV40" s="19"/>
      <c r="SZW40" s="19"/>
      <c r="SZX40" s="19"/>
      <c r="SZY40" s="19"/>
      <c r="SZZ40" s="19"/>
      <c r="TAA40" s="19"/>
      <c r="TAB40" s="19"/>
      <c r="TAC40" s="19"/>
      <c r="TAD40" s="19"/>
      <c r="TAE40" s="19"/>
      <c r="TAF40" s="19"/>
      <c r="TAG40" s="19"/>
      <c r="TAH40" s="19"/>
      <c r="TAI40" s="19"/>
      <c r="TAJ40" s="19"/>
      <c r="TAK40" s="19"/>
      <c r="TAL40" s="19"/>
      <c r="TAM40" s="19"/>
      <c r="TAN40" s="19"/>
      <c r="TAO40" s="19"/>
      <c r="TAP40" s="19"/>
      <c r="TAQ40" s="19"/>
      <c r="TAR40" s="19"/>
      <c r="TAS40" s="19"/>
      <c r="TAT40" s="19"/>
      <c r="TAU40" s="19"/>
      <c r="TAV40" s="19"/>
      <c r="TAW40" s="19"/>
      <c r="TAX40" s="19"/>
      <c r="TAY40" s="19"/>
      <c r="TAZ40" s="19"/>
      <c r="TBA40" s="19"/>
      <c r="TBB40" s="19"/>
      <c r="TBC40" s="19"/>
      <c r="TBD40" s="19"/>
      <c r="TBE40" s="19"/>
      <c r="TBF40" s="19"/>
      <c r="TBG40" s="19"/>
      <c r="TBH40" s="19"/>
      <c r="TBI40" s="19"/>
      <c r="TBJ40" s="19"/>
      <c r="TBK40" s="19"/>
      <c r="TBL40" s="19"/>
      <c r="TBM40" s="19"/>
      <c r="TBN40" s="19"/>
      <c r="TBO40" s="19"/>
      <c r="TBP40" s="19"/>
      <c r="TBQ40" s="19"/>
      <c r="TBR40" s="19"/>
      <c r="TBS40" s="19"/>
      <c r="TBT40" s="19"/>
      <c r="TBU40" s="19"/>
      <c r="TBV40" s="19"/>
      <c r="TBW40" s="19"/>
      <c r="TBX40" s="19"/>
      <c r="TBY40" s="19"/>
      <c r="TBZ40" s="19"/>
      <c r="TCA40" s="19"/>
      <c r="TCB40" s="19"/>
      <c r="TCC40" s="19"/>
      <c r="TCD40" s="19"/>
      <c r="TCE40" s="19"/>
      <c r="TCF40" s="19"/>
      <c r="TCG40" s="19"/>
      <c r="TCH40" s="19"/>
      <c r="TCI40" s="19"/>
      <c r="TCJ40" s="19"/>
      <c r="TCK40" s="19"/>
      <c r="TCL40" s="19"/>
      <c r="TCM40" s="19"/>
      <c r="TCN40" s="19"/>
      <c r="TCO40" s="19"/>
      <c r="TCP40" s="19"/>
      <c r="TCQ40" s="19"/>
      <c r="TCR40" s="19"/>
      <c r="TCS40" s="19"/>
      <c r="TCT40" s="19"/>
      <c r="TCU40" s="19"/>
      <c r="TCV40" s="19"/>
      <c r="TCW40" s="19"/>
      <c r="TCX40" s="19"/>
      <c r="TCY40" s="19"/>
      <c r="TCZ40" s="19"/>
      <c r="TDA40" s="19"/>
      <c r="TDB40" s="19"/>
      <c r="TDC40" s="19"/>
      <c r="TDD40" s="19"/>
      <c r="TDE40" s="19"/>
      <c r="TDF40" s="19"/>
      <c r="TDG40" s="19"/>
      <c r="TDH40" s="19"/>
      <c r="TDI40" s="19"/>
      <c r="TDJ40" s="19"/>
      <c r="TDK40" s="19"/>
      <c r="TDL40" s="19"/>
      <c r="TDM40" s="19"/>
      <c r="TDN40" s="19"/>
      <c r="TDO40" s="19"/>
      <c r="TDP40" s="19"/>
      <c r="TDQ40" s="19"/>
      <c r="TDR40" s="19"/>
      <c r="TDS40" s="19"/>
      <c r="TDT40" s="19"/>
      <c r="TDU40" s="19"/>
      <c r="TDV40" s="19"/>
      <c r="TDW40" s="19"/>
      <c r="TDX40" s="19"/>
      <c r="TDY40" s="19"/>
      <c r="TDZ40" s="19"/>
      <c r="TEA40" s="19"/>
      <c r="TEB40" s="19"/>
      <c r="TEC40" s="19"/>
      <c r="TED40" s="19"/>
      <c r="TEE40" s="19"/>
      <c r="TEF40" s="19"/>
      <c r="TEG40" s="19"/>
      <c r="TEH40" s="19"/>
      <c r="TEI40" s="19"/>
      <c r="TEJ40" s="19"/>
      <c r="TEK40" s="19"/>
      <c r="TEL40" s="19"/>
      <c r="TEM40" s="19"/>
      <c r="TEN40" s="19"/>
      <c r="TEO40" s="19"/>
      <c r="TEP40" s="19"/>
      <c r="TEQ40" s="19"/>
      <c r="TER40" s="19"/>
      <c r="TES40" s="19"/>
      <c r="TET40" s="19"/>
      <c r="TEU40" s="19"/>
      <c r="TEV40" s="19"/>
      <c r="TEW40" s="19"/>
      <c r="TEX40" s="19"/>
      <c r="TEY40" s="19"/>
      <c r="TEZ40" s="19"/>
      <c r="TFA40" s="19"/>
      <c r="TFB40" s="19"/>
      <c r="TFC40" s="19"/>
      <c r="TFD40" s="19"/>
      <c r="TFE40" s="19"/>
      <c r="TFF40" s="19"/>
      <c r="TFG40" s="19"/>
      <c r="TFH40" s="19"/>
      <c r="TFI40" s="19"/>
      <c r="TFJ40" s="19"/>
      <c r="TFK40" s="19"/>
      <c r="TFL40" s="19"/>
      <c r="TFM40" s="19"/>
      <c r="TFN40" s="19"/>
      <c r="TFO40" s="19"/>
      <c r="TFP40" s="19"/>
      <c r="TFQ40" s="19"/>
      <c r="TFR40" s="19"/>
      <c r="TFS40" s="19"/>
      <c r="TFT40" s="19"/>
      <c r="TFU40" s="19"/>
      <c r="TFV40" s="19"/>
      <c r="TFW40" s="19"/>
      <c r="TFX40" s="19"/>
      <c r="TFY40" s="19"/>
      <c r="TFZ40" s="19"/>
      <c r="TGA40" s="19"/>
      <c r="TGB40" s="19"/>
      <c r="TGC40" s="19"/>
      <c r="TGD40" s="19"/>
      <c r="TGE40" s="19"/>
      <c r="TGF40" s="19"/>
      <c r="TGG40" s="19"/>
      <c r="TGH40" s="19"/>
      <c r="TGI40" s="19"/>
      <c r="TGJ40" s="19"/>
      <c r="TGK40" s="19"/>
      <c r="TGL40" s="19"/>
      <c r="TGM40" s="19"/>
      <c r="TGN40" s="19"/>
      <c r="TGO40" s="19"/>
      <c r="TGP40" s="19"/>
      <c r="TGQ40" s="19"/>
      <c r="TGR40" s="19"/>
      <c r="TGS40" s="19"/>
      <c r="TGT40" s="19"/>
      <c r="TGU40" s="19"/>
      <c r="TGV40" s="19"/>
      <c r="TGW40" s="19"/>
      <c r="TGX40" s="19"/>
      <c r="TGY40" s="19"/>
      <c r="TGZ40" s="19"/>
      <c r="THA40" s="19"/>
      <c r="THB40" s="19"/>
      <c r="THC40" s="19"/>
      <c r="THD40" s="19"/>
      <c r="THE40" s="19"/>
      <c r="THF40" s="19"/>
      <c r="THG40" s="19"/>
      <c r="THH40" s="19"/>
      <c r="THI40" s="19"/>
      <c r="THJ40" s="19"/>
      <c r="THK40" s="19"/>
      <c r="THL40" s="19"/>
      <c r="THM40" s="19"/>
      <c r="THN40" s="19"/>
      <c r="THO40" s="19"/>
      <c r="THP40" s="19"/>
      <c r="THQ40" s="19"/>
      <c r="THR40" s="19"/>
      <c r="THS40" s="19"/>
      <c r="THT40" s="19"/>
      <c r="THU40" s="19"/>
      <c r="THV40" s="19"/>
      <c r="THW40" s="19"/>
      <c r="THX40" s="19"/>
      <c r="THY40" s="19"/>
      <c r="THZ40" s="19"/>
      <c r="TIA40" s="19"/>
      <c r="TIB40" s="19"/>
      <c r="TIC40" s="19"/>
      <c r="TID40" s="19"/>
      <c r="TIE40" s="19"/>
      <c r="TIF40" s="19"/>
      <c r="TIG40" s="19"/>
      <c r="TIH40" s="19"/>
      <c r="TII40" s="19"/>
      <c r="TIJ40" s="19"/>
      <c r="TIK40" s="19"/>
      <c r="TIL40" s="19"/>
      <c r="TIM40" s="19"/>
      <c r="TIN40" s="19"/>
      <c r="TIO40" s="19"/>
      <c r="TIP40" s="19"/>
      <c r="TIQ40" s="19"/>
      <c r="TIR40" s="19"/>
      <c r="TIS40" s="19"/>
      <c r="TIT40" s="19"/>
      <c r="TIU40" s="19"/>
      <c r="TIV40" s="19"/>
      <c r="TIW40" s="19"/>
      <c r="TIX40" s="19"/>
      <c r="TIY40" s="19"/>
      <c r="TIZ40" s="19"/>
      <c r="TJA40" s="19"/>
      <c r="TJB40" s="19"/>
      <c r="TJC40" s="19"/>
      <c r="TJD40" s="19"/>
      <c r="TJE40" s="19"/>
      <c r="TJF40" s="19"/>
      <c r="TJG40" s="19"/>
      <c r="TJH40" s="19"/>
      <c r="TJI40" s="19"/>
      <c r="TJJ40" s="19"/>
      <c r="TJK40" s="19"/>
      <c r="TJL40" s="19"/>
      <c r="TJM40" s="19"/>
      <c r="TJN40" s="19"/>
      <c r="TJO40" s="19"/>
      <c r="TJP40" s="19"/>
      <c r="TJQ40" s="19"/>
      <c r="TJR40" s="19"/>
      <c r="TJS40" s="19"/>
      <c r="TJT40" s="19"/>
      <c r="TJU40" s="19"/>
      <c r="TJV40" s="19"/>
      <c r="TJW40" s="19"/>
      <c r="TJX40" s="19"/>
      <c r="TJY40" s="19"/>
      <c r="TJZ40" s="19"/>
      <c r="TKA40" s="19"/>
      <c r="TKB40" s="19"/>
      <c r="TKC40" s="19"/>
      <c r="TKD40" s="19"/>
      <c r="TKE40" s="19"/>
      <c r="TKF40" s="19"/>
      <c r="TKG40" s="19"/>
      <c r="TKH40" s="19"/>
      <c r="TKI40" s="19"/>
      <c r="TKJ40" s="19"/>
      <c r="TKK40" s="19"/>
      <c r="TKL40" s="19"/>
      <c r="TKM40" s="19"/>
      <c r="TKN40" s="19"/>
      <c r="TKO40" s="19"/>
      <c r="TKP40" s="19"/>
      <c r="TKQ40" s="19"/>
      <c r="TKR40" s="19"/>
      <c r="TKS40" s="19"/>
      <c r="TKT40" s="19"/>
      <c r="TKU40" s="19"/>
      <c r="TKV40" s="19"/>
      <c r="TKW40" s="19"/>
      <c r="TKX40" s="19"/>
      <c r="TKY40" s="19"/>
      <c r="TKZ40" s="19"/>
      <c r="TLA40" s="19"/>
      <c r="TLB40" s="19"/>
      <c r="TLC40" s="19"/>
      <c r="TLD40" s="19"/>
      <c r="TLE40" s="19"/>
      <c r="TLF40" s="19"/>
      <c r="TLG40" s="19"/>
      <c r="TLH40" s="19"/>
      <c r="TLI40" s="19"/>
      <c r="TLJ40" s="19"/>
      <c r="TLK40" s="19"/>
      <c r="TLL40" s="19"/>
      <c r="TLM40" s="19"/>
      <c r="TLN40" s="19"/>
      <c r="TLO40" s="19"/>
      <c r="TLP40" s="19"/>
      <c r="TLQ40" s="19"/>
      <c r="TLR40" s="19"/>
      <c r="TLS40" s="19"/>
      <c r="TLT40" s="19"/>
      <c r="TLU40" s="19"/>
      <c r="TLV40" s="19"/>
      <c r="TLW40" s="19"/>
      <c r="TLX40" s="19"/>
      <c r="TLY40" s="19"/>
      <c r="TLZ40" s="19"/>
      <c r="TMA40" s="19"/>
      <c r="TMB40" s="19"/>
      <c r="TMC40" s="19"/>
      <c r="TMD40" s="19"/>
      <c r="TME40" s="19"/>
      <c r="TMF40" s="19"/>
      <c r="TMG40" s="19"/>
      <c r="TMH40" s="19"/>
      <c r="TMI40" s="19"/>
      <c r="TMJ40" s="19"/>
      <c r="TMK40" s="19"/>
      <c r="TML40" s="19"/>
      <c r="TMM40" s="19"/>
      <c r="TMN40" s="19"/>
      <c r="TMO40" s="19"/>
      <c r="TMP40" s="19"/>
      <c r="TMQ40" s="19"/>
      <c r="TMR40" s="19"/>
      <c r="TMS40" s="19"/>
      <c r="TMT40" s="19"/>
      <c r="TMU40" s="19"/>
      <c r="TMV40" s="19"/>
      <c r="TMW40" s="19"/>
      <c r="TMX40" s="19"/>
      <c r="TMY40" s="19"/>
      <c r="TMZ40" s="19"/>
      <c r="TNA40" s="19"/>
      <c r="TNB40" s="19"/>
      <c r="TNC40" s="19"/>
      <c r="TND40" s="19"/>
      <c r="TNE40" s="19"/>
      <c r="TNF40" s="19"/>
      <c r="TNG40" s="19"/>
      <c r="TNH40" s="19"/>
      <c r="TNI40" s="19"/>
      <c r="TNJ40" s="19"/>
      <c r="TNK40" s="19"/>
      <c r="TNL40" s="19"/>
      <c r="TNM40" s="19"/>
      <c r="TNN40" s="19"/>
      <c r="TNO40" s="19"/>
      <c r="TNP40" s="19"/>
      <c r="TNQ40" s="19"/>
      <c r="TNR40" s="19"/>
      <c r="TNS40" s="19"/>
      <c r="TNT40" s="19"/>
      <c r="TNU40" s="19"/>
      <c r="TNV40" s="19"/>
      <c r="TNW40" s="19"/>
      <c r="TNX40" s="19"/>
      <c r="TNY40" s="19"/>
      <c r="TNZ40" s="19"/>
      <c r="TOA40" s="19"/>
      <c r="TOB40" s="19"/>
      <c r="TOC40" s="19"/>
      <c r="TOD40" s="19"/>
      <c r="TOE40" s="19"/>
      <c r="TOF40" s="19"/>
      <c r="TOG40" s="19"/>
      <c r="TOH40" s="19"/>
      <c r="TOI40" s="19"/>
      <c r="TOJ40" s="19"/>
      <c r="TOK40" s="19"/>
      <c r="TOL40" s="19"/>
      <c r="TOM40" s="19"/>
      <c r="TON40" s="19"/>
      <c r="TOO40" s="19"/>
      <c r="TOP40" s="19"/>
      <c r="TOQ40" s="19"/>
      <c r="TOR40" s="19"/>
      <c r="TOS40" s="19"/>
      <c r="TOT40" s="19"/>
      <c r="TOU40" s="19"/>
      <c r="TOV40" s="19"/>
      <c r="TOW40" s="19"/>
      <c r="TOX40" s="19"/>
      <c r="TOY40" s="19"/>
      <c r="TOZ40" s="19"/>
      <c r="TPA40" s="19"/>
      <c r="TPB40" s="19"/>
      <c r="TPC40" s="19"/>
      <c r="TPD40" s="19"/>
      <c r="TPE40" s="19"/>
      <c r="TPF40" s="19"/>
      <c r="TPG40" s="19"/>
      <c r="TPH40" s="19"/>
      <c r="TPI40" s="19"/>
      <c r="TPJ40" s="19"/>
      <c r="TPK40" s="19"/>
      <c r="TPL40" s="19"/>
      <c r="TPM40" s="19"/>
      <c r="TPN40" s="19"/>
      <c r="TPO40" s="19"/>
      <c r="TPP40" s="19"/>
      <c r="TPQ40" s="19"/>
      <c r="TPR40" s="19"/>
      <c r="TPS40" s="19"/>
      <c r="TPT40" s="19"/>
      <c r="TPU40" s="19"/>
      <c r="TPV40" s="19"/>
      <c r="TPW40" s="19"/>
      <c r="TPX40" s="19"/>
      <c r="TPY40" s="19"/>
      <c r="TPZ40" s="19"/>
      <c r="TQA40" s="19"/>
      <c r="TQB40" s="19"/>
      <c r="TQC40" s="19"/>
      <c r="TQD40" s="19"/>
      <c r="TQE40" s="19"/>
      <c r="TQF40" s="19"/>
      <c r="TQG40" s="19"/>
      <c r="TQH40" s="19"/>
      <c r="TQI40" s="19"/>
      <c r="TQJ40" s="19"/>
      <c r="TQK40" s="19"/>
      <c r="TQL40" s="19"/>
      <c r="TQM40" s="19"/>
      <c r="TQN40" s="19"/>
      <c r="TQO40" s="19"/>
      <c r="TQP40" s="19"/>
      <c r="TQQ40" s="19"/>
      <c r="TQR40" s="19"/>
      <c r="TQS40" s="19"/>
      <c r="TQT40" s="19"/>
      <c r="TQU40" s="19"/>
      <c r="TQV40" s="19"/>
      <c r="TQW40" s="19"/>
      <c r="TQX40" s="19"/>
      <c r="TQY40" s="19"/>
      <c r="TQZ40" s="19"/>
      <c r="TRA40" s="19"/>
      <c r="TRB40" s="19"/>
      <c r="TRC40" s="19"/>
      <c r="TRD40" s="19"/>
      <c r="TRE40" s="19"/>
      <c r="TRF40" s="19"/>
      <c r="TRG40" s="19"/>
      <c r="TRH40" s="19"/>
      <c r="TRI40" s="19"/>
      <c r="TRJ40" s="19"/>
      <c r="TRK40" s="19"/>
      <c r="TRL40" s="19"/>
      <c r="TRM40" s="19"/>
      <c r="TRN40" s="19"/>
      <c r="TRO40" s="19"/>
      <c r="TRP40" s="19"/>
      <c r="TRQ40" s="19"/>
      <c r="TRR40" s="19"/>
      <c r="TRS40" s="19"/>
      <c r="TRT40" s="19"/>
      <c r="TRU40" s="19"/>
      <c r="TRV40" s="19"/>
      <c r="TRW40" s="19"/>
      <c r="TRX40" s="19"/>
      <c r="TRY40" s="19"/>
      <c r="TRZ40" s="19"/>
      <c r="TSA40" s="19"/>
      <c r="TSB40" s="19"/>
      <c r="TSC40" s="19"/>
      <c r="TSD40" s="19"/>
      <c r="TSE40" s="19"/>
      <c r="TSF40" s="19"/>
      <c r="TSG40" s="19"/>
      <c r="TSH40" s="19"/>
      <c r="TSI40" s="19"/>
      <c r="TSJ40" s="19"/>
      <c r="TSK40" s="19"/>
      <c r="TSL40" s="19"/>
      <c r="TSM40" s="19"/>
      <c r="TSN40" s="19"/>
      <c r="TSO40" s="19"/>
      <c r="TSP40" s="19"/>
      <c r="TSQ40" s="19"/>
      <c r="TSR40" s="19"/>
      <c r="TSS40" s="19"/>
      <c r="TST40" s="19"/>
      <c r="TSU40" s="19"/>
      <c r="TSV40" s="19"/>
      <c r="TSW40" s="19"/>
      <c r="TSX40" s="19"/>
      <c r="TSY40" s="19"/>
      <c r="TSZ40" s="19"/>
      <c r="TTA40" s="19"/>
      <c r="TTB40" s="19"/>
      <c r="TTC40" s="19"/>
      <c r="TTD40" s="19"/>
      <c r="TTE40" s="19"/>
      <c r="TTF40" s="19"/>
      <c r="TTG40" s="19"/>
      <c r="TTH40" s="19"/>
      <c r="TTI40" s="19"/>
      <c r="TTJ40" s="19"/>
      <c r="TTK40" s="19"/>
      <c r="TTL40" s="19"/>
      <c r="TTM40" s="19"/>
      <c r="TTN40" s="19"/>
      <c r="TTO40" s="19"/>
      <c r="TTP40" s="19"/>
      <c r="TTQ40" s="19"/>
      <c r="TTR40" s="19"/>
      <c r="TTS40" s="19"/>
      <c r="TTT40" s="19"/>
      <c r="TTU40" s="19"/>
      <c r="TTV40" s="19"/>
      <c r="TTW40" s="19"/>
      <c r="TTX40" s="19"/>
      <c r="TTY40" s="19"/>
      <c r="TTZ40" s="19"/>
      <c r="TUA40" s="19"/>
      <c r="TUB40" s="19"/>
      <c r="TUC40" s="19"/>
      <c r="TUD40" s="19"/>
      <c r="TUE40" s="19"/>
      <c r="TUF40" s="19"/>
      <c r="TUG40" s="19"/>
      <c r="TUH40" s="19"/>
      <c r="TUI40" s="19"/>
      <c r="TUJ40" s="19"/>
      <c r="TUK40" s="19"/>
      <c r="TUL40" s="19"/>
      <c r="TUM40" s="19"/>
      <c r="TUN40" s="19"/>
      <c r="TUO40" s="19"/>
      <c r="TUP40" s="19"/>
      <c r="TUQ40" s="19"/>
      <c r="TUR40" s="19"/>
      <c r="TUS40" s="19"/>
      <c r="TUT40" s="19"/>
      <c r="TUU40" s="19"/>
      <c r="TUV40" s="19"/>
      <c r="TUW40" s="19"/>
      <c r="TUX40" s="19"/>
      <c r="TUY40" s="19"/>
      <c r="TUZ40" s="19"/>
      <c r="TVA40" s="19"/>
      <c r="TVB40" s="19"/>
      <c r="TVC40" s="19"/>
      <c r="TVD40" s="19"/>
      <c r="TVE40" s="19"/>
      <c r="TVF40" s="19"/>
      <c r="TVG40" s="19"/>
      <c r="TVH40" s="19"/>
      <c r="TVI40" s="19"/>
      <c r="TVJ40" s="19"/>
      <c r="TVK40" s="19"/>
      <c r="TVL40" s="19"/>
      <c r="TVM40" s="19"/>
      <c r="TVN40" s="19"/>
      <c r="TVO40" s="19"/>
      <c r="TVP40" s="19"/>
      <c r="TVQ40" s="19"/>
      <c r="TVR40" s="19"/>
      <c r="TVS40" s="19"/>
      <c r="TVT40" s="19"/>
      <c r="TVU40" s="19"/>
      <c r="TVV40" s="19"/>
      <c r="TVW40" s="19"/>
      <c r="TVX40" s="19"/>
      <c r="TVY40" s="19"/>
      <c r="TVZ40" s="19"/>
      <c r="TWA40" s="19"/>
      <c r="TWB40" s="19"/>
      <c r="TWC40" s="19"/>
      <c r="TWD40" s="19"/>
      <c r="TWE40" s="19"/>
      <c r="TWF40" s="19"/>
      <c r="TWG40" s="19"/>
      <c r="TWH40" s="19"/>
      <c r="TWI40" s="19"/>
      <c r="TWJ40" s="19"/>
      <c r="TWK40" s="19"/>
      <c r="TWL40" s="19"/>
      <c r="TWM40" s="19"/>
      <c r="TWN40" s="19"/>
      <c r="TWO40" s="19"/>
      <c r="TWP40" s="19"/>
      <c r="TWQ40" s="19"/>
      <c r="TWR40" s="19"/>
      <c r="TWS40" s="19"/>
      <c r="TWT40" s="19"/>
      <c r="TWU40" s="19"/>
      <c r="TWV40" s="19"/>
      <c r="TWW40" s="19"/>
      <c r="TWX40" s="19"/>
      <c r="TWY40" s="19"/>
      <c r="TWZ40" s="19"/>
      <c r="TXA40" s="19"/>
      <c r="TXB40" s="19"/>
      <c r="TXC40" s="19"/>
      <c r="TXD40" s="19"/>
      <c r="TXE40" s="19"/>
      <c r="TXF40" s="19"/>
      <c r="TXG40" s="19"/>
      <c r="TXH40" s="19"/>
      <c r="TXI40" s="19"/>
      <c r="TXJ40" s="19"/>
      <c r="TXK40" s="19"/>
      <c r="TXL40" s="19"/>
      <c r="TXM40" s="19"/>
      <c r="TXN40" s="19"/>
      <c r="TXO40" s="19"/>
      <c r="TXP40" s="19"/>
      <c r="TXQ40" s="19"/>
      <c r="TXR40" s="19"/>
      <c r="TXS40" s="19"/>
      <c r="TXT40" s="19"/>
      <c r="TXU40" s="19"/>
      <c r="TXV40" s="19"/>
      <c r="TXW40" s="19"/>
      <c r="TXX40" s="19"/>
      <c r="TXY40" s="19"/>
      <c r="TXZ40" s="19"/>
      <c r="TYA40" s="19"/>
      <c r="TYB40" s="19"/>
      <c r="TYC40" s="19"/>
      <c r="TYD40" s="19"/>
      <c r="TYE40" s="19"/>
      <c r="TYF40" s="19"/>
      <c r="TYG40" s="19"/>
      <c r="TYH40" s="19"/>
      <c r="TYI40" s="19"/>
      <c r="TYJ40" s="19"/>
      <c r="TYK40" s="19"/>
      <c r="TYL40" s="19"/>
      <c r="TYM40" s="19"/>
      <c r="TYN40" s="19"/>
      <c r="TYO40" s="19"/>
      <c r="TYP40" s="19"/>
      <c r="TYQ40" s="19"/>
      <c r="TYR40" s="19"/>
      <c r="TYS40" s="19"/>
      <c r="TYT40" s="19"/>
      <c r="TYU40" s="19"/>
      <c r="TYV40" s="19"/>
      <c r="TYW40" s="19"/>
      <c r="TYX40" s="19"/>
      <c r="TYY40" s="19"/>
      <c r="TYZ40" s="19"/>
      <c r="TZA40" s="19"/>
      <c r="TZB40" s="19"/>
      <c r="TZC40" s="19"/>
      <c r="TZD40" s="19"/>
      <c r="TZE40" s="19"/>
      <c r="TZF40" s="19"/>
      <c r="TZG40" s="19"/>
      <c r="TZH40" s="19"/>
      <c r="TZI40" s="19"/>
      <c r="TZJ40" s="19"/>
      <c r="TZK40" s="19"/>
      <c r="TZL40" s="19"/>
      <c r="TZM40" s="19"/>
      <c r="TZN40" s="19"/>
      <c r="TZO40" s="19"/>
      <c r="TZP40" s="19"/>
      <c r="TZQ40" s="19"/>
      <c r="TZR40" s="19"/>
      <c r="TZS40" s="19"/>
      <c r="TZT40" s="19"/>
      <c r="TZU40" s="19"/>
      <c r="TZV40" s="19"/>
      <c r="TZW40" s="19"/>
      <c r="TZX40" s="19"/>
      <c r="TZY40" s="19"/>
      <c r="TZZ40" s="19"/>
      <c r="UAA40" s="19"/>
      <c r="UAB40" s="19"/>
      <c r="UAC40" s="19"/>
      <c r="UAD40" s="19"/>
      <c r="UAE40" s="19"/>
      <c r="UAF40" s="19"/>
      <c r="UAG40" s="19"/>
      <c r="UAH40" s="19"/>
      <c r="UAI40" s="19"/>
      <c r="UAJ40" s="19"/>
      <c r="UAK40" s="19"/>
      <c r="UAL40" s="19"/>
      <c r="UAM40" s="19"/>
      <c r="UAN40" s="19"/>
      <c r="UAO40" s="19"/>
      <c r="UAP40" s="19"/>
      <c r="UAQ40" s="19"/>
      <c r="UAR40" s="19"/>
      <c r="UAS40" s="19"/>
      <c r="UAT40" s="19"/>
      <c r="UAU40" s="19"/>
      <c r="UAV40" s="19"/>
      <c r="UAW40" s="19"/>
      <c r="UAX40" s="19"/>
      <c r="UAY40" s="19"/>
      <c r="UAZ40" s="19"/>
      <c r="UBA40" s="19"/>
      <c r="UBB40" s="19"/>
      <c r="UBC40" s="19"/>
      <c r="UBD40" s="19"/>
      <c r="UBE40" s="19"/>
      <c r="UBF40" s="19"/>
      <c r="UBG40" s="19"/>
      <c r="UBH40" s="19"/>
      <c r="UBI40" s="19"/>
      <c r="UBJ40" s="19"/>
      <c r="UBK40" s="19"/>
      <c r="UBL40" s="19"/>
      <c r="UBM40" s="19"/>
      <c r="UBN40" s="19"/>
      <c r="UBO40" s="19"/>
      <c r="UBP40" s="19"/>
      <c r="UBQ40" s="19"/>
      <c r="UBR40" s="19"/>
      <c r="UBS40" s="19"/>
      <c r="UBT40" s="19"/>
      <c r="UBU40" s="19"/>
      <c r="UBV40" s="19"/>
      <c r="UBW40" s="19"/>
      <c r="UBX40" s="19"/>
      <c r="UBY40" s="19"/>
      <c r="UBZ40" s="19"/>
      <c r="UCA40" s="19"/>
      <c r="UCB40" s="19"/>
      <c r="UCC40" s="19"/>
      <c r="UCD40" s="19"/>
      <c r="UCE40" s="19"/>
      <c r="UCF40" s="19"/>
      <c r="UCG40" s="19"/>
      <c r="UCH40" s="19"/>
      <c r="UCI40" s="19"/>
      <c r="UCJ40" s="19"/>
      <c r="UCK40" s="19"/>
      <c r="UCL40" s="19"/>
      <c r="UCM40" s="19"/>
      <c r="UCN40" s="19"/>
      <c r="UCO40" s="19"/>
      <c r="UCP40" s="19"/>
      <c r="UCQ40" s="19"/>
      <c r="UCR40" s="19"/>
      <c r="UCS40" s="19"/>
      <c r="UCT40" s="19"/>
      <c r="UCU40" s="19"/>
      <c r="UCV40" s="19"/>
      <c r="UCW40" s="19"/>
      <c r="UCX40" s="19"/>
      <c r="UCY40" s="19"/>
      <c r="UCZ40" s="19"/>
      <c r="UDA40" s="19"/>
      <c r="UDB40" s="19"/>
      <c r="UDC40" s="19"/>
      <c r="UDD40" s="19"/>
      <c r="UDE40" s="19"/>
      <c r="UDF40" s="19"/>
      <c r="UDG40" s="19"/>
      <c r="UDH40" s="19"/>
      <c r="UDI40" s="19"/>
      <c r="UDJ40" s="19"/>
      <c r="UDK40" s="19"/>
      <c r="UDL40" s="19"/>
      <c r="UDM40" s="19"/>
      <c r="UDN40" s="19"/>
      <c r="UDO40" s="19"/>
      <c r="UDP40" s="19"/>
      <c r="UDQ40" s="19"/>
      <c r="UDR40" s="19"/>
      <c r="UDS40" s="19"/>
      <c r="UDT40" s="19"/>
      <c r="UDU40" s="19"/>
      <c r="UDV40" s="19"/>
      <c r="UDW40" s="19"/>
      <c r="UDX40" s="19"/>
      <c r="UDY40" s="19"/>
      <c r="UDZ40" s="19"/>
      <c r="UEA40" s="19"/>
      <c r="UEB40" s="19"/>
      <c r="UEC40" s="19"/>
      <c r="UED40" s="19"/>
      <c r="UEE40" s="19"/>
      <c r="UEF40" s="19"/>
      <c r="UEG40" s="19"/>
      <c r="UEH40" s="19"/>
      <c r="UEI40" s="19"/>
      <c r="UEJ40" s="19"/>
      <c r="UEK40" s="19"/>
      <c r="UEL40" s="19"/>
      <c r="UEM40" s="19"/>
      <c r="UEN40" s="19"/>
      <c r="UEO40" s="19"/>
      <c r="UEP40" s="19"/>
      <c r="UEQ40" s="19"/>
      <c r="UER40" s="19"/>
      <c r="UES40" s="19"/>
      <c r="UET40" s="19"/>
      <c r="UEU40" s="19"/>
      <c r="UEV40" s="19"/>
      <c r="UEW40" s="19"/>
      <c r="UEX40" s="19"/>
      <c r="UEY40" s="19"/>
      <c r="UEZ40" s="19"/>
      <c r="UFA40" s="19"/>
      <c r="UFB40" s="19"/>
      <c r="UFC40" s="19"/>
      <c r="UFD40" s="19"/>
      <c r="UFE40" s="19"/>
      <c r="UFF40" s="19"/>
      <c r="UFG40" s="19"/>
      <c r="UFH40" s="19"/>
      <c r="UFI40" s="19"/>
      <c r="UFJ40" s="19"/>
      <c r="UFK40" s="19"/>
      <c r="UFL40" s="19"/>
      <c r="UFM40" s="19"/>
      <c r="UFN40" s="19"/>
      <c r="UFO40" s="19"/>
      <c r="UFP40" s="19"/>
      <c r="UFQ40" s="19"/>
      <c r="UFR40" s="19"/>
      <c r="UFS40" s="19"/>
      <c r="UFT40" s="19"/>
      <c r="UFU40" s="19"/>
      <c r="UFV40" s="19"/>
      <c r="UFW40" s="19"/>
      <c r="UFX40" s="19"/>
      <c r="UFY40" s="19"/>
      <c r="UFZ40" s="19"/>
      <c r="UGA40" s="19"/>
      <c r="UGB40" s="19"/>
      <c r="UGC40" s="19"/>
      <c r="UGD40" s="19"/>
      <c r="UGE40" s="19"/>
      <c r="UGF40" s="19"/>
      <c r="UGG40" s="19"/>
      <c r="UGH40" s="19"/>
      <c r="UGI40" s="19"/>
      <c r="UGJ40" s="19"/>
      <c r="UGK40" s="19"/>
      <c r="UGL40" s="19"/>
      <c r="UGM40" s="19"/>
      <c r="UGN40" s="19"/>
      <c r="UGO40" s="19"/>
      <c r="UGP40" s="19"/>
      <c r="UGQ40" s="19"/>
      <c r="UGR40" s="19"/>
      <c r="UGS40" s="19"/>
      <c r="UGT40" s="19"/>
      <c r="UGU40" s="19"/>
      <c r="UGV40" s="19"/>
      <c r="UGW40" s="19"/>
      <c r="UGX40" s="19"/>
      <c r="UGY40" s="19"/>
      <c r="UGZ40" s="19"/>
      <c r="UHA40" s="19"/>
      <c r="UHB40" s="19"/>
      <c r="UHC40" s="19"/>
      <c r="UHD40" s="19"/>
      <c r="UHE40" s="19"/>
      <c r="UHF40" s="19"/>
      <c r="UHG40" s="19"/>
      <c r="UHH40" s="19"/>
      <c r="UHI40" s="19"/>
      <c r="UHJ40" s="19"/>
      <c r="UHK40" s="19"/>
      <c r="UHL40" s="19"/>
      <c r="UHM40" s="19"/>
      <c r="UHN40" s="19"/>
      <c r="UHO40" s="19"/>
      <c r="UHP40" s="19"/>
      <c r="UHQ40" s="19"/>
      <c r="UHR40" s="19"/>
      <c r="UHS40" s="19"/>
      <c r="UHT40" s="19"/>
      <c r="UHU40" s="19"/>
      <c r="UHV40" s="19"/>
      <c r="UHW40" s="19"/>
      <c r="UHX40" s="19"/>
      <c r="UHY40" s="19"/>
      <c r="UHZ40" s="19"/>
      <c r="UIA40" s="19"/>
      <c r="UIB40" s="19"/>
      <c r="UIC40" s="19"/>
      <c r="UID40" s="19"/>
      <c r="UIE40" s="19"/>
      <c r="UIF40" s="19"/>
      <c r="UIG40" s="19"/>
      <c r="UIH40" s="19"/>
      <c r="UII40" s="19"/>
      <c r="UIJ40" s="19"/>
      <c r="UIK40" s="19"/>
      <c r="UIL40" s="19"/>
      <c r="UIM40" s="19"/>
      <c r="UIN40" s="19"/>
      <c r="UIO40" s="19"/>
      <c r="UIP40" s="19"/>
      <c r="UIQ40" s="19"/>
      <c r="UIR40" s="19"/>
      <c r="UIS40" s="19"/>
      <c r="UIT40" s="19"/>
      <c r="UIU40" s="19"/>
      <c r="UIV40" s="19"/>
      <c r="UIW40" s="19"/>
      <c r="UIX40" s="19"/>
      <c r="UIY40" s="19"/>
      <c r="UIZ40" s="19"/>
      <c r="UJA40" s="19"/>
      <c r="UJB40" s="19"/>
      <c r="UJC40" s="19"/>
      <c r="UJD40" s="19"/>
      <c r="UJE40" s="19"/>
      <c r="UJF40" s="19"/>
      <c r="UJG40" s="19"/>
      <c r="UJH40" s="19"/>
      <c r="UJI40" s="19"/>
      <c r="UJJ40" s="19"/>
      <c r="UJK40" s="19"/>
      <c r="UJL40" s="19"/>
      <c r="UJM40" s="19"/>
      <c r="UJN40" s="19"/>
      <c r="UJO40" s="19"/>
      <c r="UJP40" s="19"/>
      <c r="UJQ40" s="19"/>
      <c r="UJR40" s="19"/>
      <c r="UJS40" s="19"/>
      <c r="UJT40" s="19"/>
      <c r="UJU40" s="19"/>
      <c r="UJV40" s="19"/>
      <c r="UJW40" s="19"/>
      <c r="UJX40" s="19"/>
      <c r="UJY40" s="19"/>
      <c r="UJZ40" s="19"/>
      <c r="UKA40" s="19"/>
      <c r="UKB40" s="19"/>
      <c r="UKC40" s="19"/>
      <c r="UKD40" s="19"/>
      <c r="UKE40" s="19"/>
      <c r="UKF40" s="19"/>
      <c r="UKG40" s="19"/>
      <c r="UKH40" s="19"/>
      <c r="UKI40" s="19"/>
      <c r="UKJ40" s="19"/>
      <c r="UKK40" s="19"/>
      <c r="UKL40" s="19"/>
      <c r="UKM40" s="19"/>
      <c r="UKN40" s="19"/>
      <c r="UKO40" s="19"/>
      <c r="UKP40" s="19"/>
      <c r="UKQ40" s="19"/>
      <c r="UKR40" s="19"/>
      <c r="UKS40" s="19"/>
      <c r="UKT40" s="19"/>
      <c r="UKU40" s="19"/>
      <c r="UKV40" s="19"/>
      <c r="UKW40" s="19"/>
      <c r="UKX40" s="19"/>
      <c r="UKY40" s="19"/>
      <c r="UKZ40" s="19"/>
      <c r="ULA40" s="19"/>
      <c r="ULB40" s="19"/>
      <c r="ULC40" s="19"/>
      <c r="ULD40" s="19"/>
      <c r="ULE40" s="19"/>
      <c r="ULF40" s="19"/>
      <c r="ULG40" s="19"/>
      <c r="ULH40" s="19"/>
      <c r="ULI40" s="19"/>
      <c r="ULJ40" s="19"/>
      <c r="ULK40" s="19"/>
      <c r="ULL40" s="19"/>
      <c r="ULM40" s="19"/>
      <c r="ULN40" s="19"/>
      <c r="ULO40" s="19"/>
      <c r="ULP40" s="19"/>
      <c r="ULQ40" s="19"/>
      <c r="ULR40" s="19"/>
      <c r="ULS40" s="19"/>
      <c r="ULT40" s="19"/>
      <c r="ULU40" s="19"/>
      <c r="ULV40" s="19"/>
      <c r="ULW40" s="19"/>
      <c r="ULX40" s="19"/>
      <c r="ULY40" s="19"/>
      <c r="ULZ40" s="19"/>
      <c r="UMA40" s="19"/>
      <c r="UMB40" s="19"/>
      <c r="UMC40" s="19"/>
      <c r="UMD40" s="19"/>
      <c r="UME40" s="19"/>
      <c r="UMF40" s="19"/>
      <c r="UMG40" s="19"/>
      <c r="UMH40" s="19"/>
      <c r="UMI40" s="19"/>
      <c r="UMJ40" s="19"/>
      <c r="UMK40" s="19"/>
      <c r="UML40" s="19"/>
      <c r="UMM40" s="19"/>
      <c r="UMN40" s="19"/>
      <c r="UMO40" s="19"/>
      <c r="UMP40" s="19"/>
      <c r="UMQ40" s="19"/>
      <c r="UMR40" s="19"/>
      <c r="UMS40" s="19"/>
      <c r="UMT40" s="19"/>
      <c r="UMU40" s="19"/>
      <c r="UMV40" s="19"/>
      <c r="UMW40" s="19"/>
      <c r="UMX40" s="19"/>
      <c r="UMY40" s="19"/>
      <c r="UMZ40" s="19"/>
      <c r="UNA40" s="19"/>
      <c r="UNB40" s="19"/>
      <c r="UNC40" s="19"/>
      <c r="UND40" s="19"/>
      <c r="UNE40" s="19"/>
      <c r="UNF40" s="19"/>
      <c r="UNG40" s="19"/>
      <c r="UNH40" s="19"/>
      <c r="UNI40" s="19"/>
      <c r="UNJ40" s="19"/>
      <c r="UNK40" s="19"/>
      <c r="UNL40" s="19"/>
      <c r="UNM40" s="19"/>
      <c r="UNN40" s="19"/>
      <c r="UNO40" s="19"/>
      <c r="UNP40" s="19"/>
      <c r="UNQ40" s="19"/>
      <c r="UNR40" s="19"/>
      <c r="UNS40" s="19"/>
      <c r="UNT40" s="19"/>
      <c r="UNU40" s="19"/>
      <c r="UNV40" s="19"/>
      <c r="UNW40" s="19"/>
      <c r="UNX40" s="19"/>
      <c r="UNY40" s="19"/>
      <c r="UNZ40" s="19"/>
      <c r="UOA40" s="19"/>
      <c r="UOB40" s="19"/>
      <c r="UOC40" s="19"/>
      <c r="UOD40" s="19"/>
      <c r="UOE40" s="19"/>
      <c r="UOF40" s="19"/>
      <c r="UOG40" s="19"/>
      <c r="UOH40" s="19"/>
      <c r="UOI40" s="19"/>
      <c r="UOJ40" s="19"/>
      <c r="UOK40" s="19"/>
      <c r="UOL40" s="19"/>
      <c r="UOM40" s="19"/>
      <c r="UON40" s="19"/>
      <c r="UOO40" s="19"/>
      <c r="UOP40" s="19"/>
      <c r="UOQ40" s="19"/>
      <c r="UOR40" s="19"/>
      <c r="UOS40" s="19"/>
      <c r="UOT40" s="19"/>
      <c r="UOU40" s="19"/>
      <c r="UOV40" s="19"/>
      <c r="UOW40" s="19"/>
      <c r="UOX40" s="19"/>
      <c r="UOY40" s="19"/>
      <c r="UOZ40" s="19"/>
      <c r="UPA40" s="19"/>
      <c r="UPB40" s="19"/>
      <c r="UPC40" s="19"/>
      <c r="UPD40" s="19"/>
      <c r="UPE40" s="19"/>
      <c r="UPF40" s="19"/>
      <c r="UPG40" s="19"/>
      <c r="UPH40" s="19"/>
      <c r="UPI40" s="19"/>
      <c r="UPJ40" s="19"/>
      <c r="UPK40" s="19"/>
      <c r="UPL40" s="19"/>
      <c r="UPM40" s="19"/>
      <c r="UPN40" s="19"/>
      <c r="UPO40" s="19"/>
      <c r="UPP40" s="19"/>
      <c r="UPQ40" s="19"/>
      <c r="UPR40" s="19"/>
      <c r="UPS40" s="19"/>
      <c r="UPT40" s="19"/>
      <c r="UPU40" s="19"/>
      <c r="UPV40" s="19"/>
      <c r="UPW40" s="19"/>
      <c r="UPX40" s="19"/>
      <c r="UPY40" s="19"/>
      <c r="UPZ40" s="19"/>
      <c r="UQA40" s="19"/>
      <c r="UQB40" s="19"/>
      <c r="UQC40" s="19"/>
      <c r="UQD40" s="19"/>
      <c r="UQE40" s="19"/>
      <c r="UQF40" s="19"/>
      <c r="UQG40" s="19"/>
      <c r="UQH40" s="19"/>
      <c r="UQI40" s="19"/>
      <c r="UQJ40" s="19"/>
      <c r="UQK40" s="19"/>
      <c r="UQL40" s="19"/>
      <c r="UQM40" s="19"/>
      <c r="UQN40" s="19"/>
      <c r="UQO40" s="19"/>
      <c r="UQP40" s="19"/>
      <c r="UQQ40" s="19"/>
      <c r="UQR40" s="19"/>
      <c r="UQS40" s="19"/>
      <c r="UQT40" s="19"/>
      <c r="UQU40" s="19"/>
      <c r="UQV40" s="19"/>
      <c r="UQW40" s="19"/>
      <c r="UQX40" s="19"/>
      <c r="UQY40" s="19"/>
      <c r="UQZ40" s="19"/>
      <c r="URA40" s="19"/>
      <c r="URB40" s="19"/>
      <c r="URC40" s="19"/>
      <c r="URD40" s="19"/>
      <c r="URE40" s="19"/>
      <c r="URF40" s="19"/>
      <c r="URG40" s="19"/>
      <c r="URH40" s="19"/>
      <c r="URI40" s="19"/>
      <c r="URJ40" s="19"/>
      <c r="URK40" s="19"/>
      <c r="URL40" s="19"/>
      <c r="URM40" s="19"/>
      <c r="URN40" s="19"/>
      <c r="URO40" s="19"/>
      <c r="URP40" s="19"/>
      <c r="URQ40" s="19"/>
      <c r="URR40" s="19"/>
      <c r="URS40" s="19"/>
      <c r="URT40" s="19"/>
      <c r="URU40" s="19"/>
      <c r="URV40" s="19"/>
      <c r="URW40" s="19"/>
      <c r="URX40" s="19"/>
      <c r="URY40" s="19"/>
      <c r="URZ40" s="19"/>
      <c r="USA40" s="19"/>
      <c r="USB40" s="19"/>
      <c r="USC40" s="19"/>
      <c r="USD40" s="19"/>
      <c r="USE40" s="19"/>
      <c r="USF40" s="19"/>
      <c r="USG40" s="19"/>
      <c r="USH40" s="19"/>
      <c r="USI40" s="19"/>
      <c r="USJ40" s="19"/>
      <c r="USK40" s="19"/>
      <c r="USL40" s="19"/>
      <c r="USM40" s="19"/>
      <c r="USN40" s="19"/>
      <c r="USO40" s="19"/>
      <c r="USP40" s="19"/>
      <c r="USQ40" s="19"/>
      <c r="USR40" s="19"/>
      <c r="USS40" s="19"/>
      <c r="UST40" s="19"/>
      <c r="USU40" s="19"/>
      <c r="USV40" s="19"/>
      <c r="USW40" s="19"/>
      <c r="USX40" s="19"/>
      <c r="USY40" s="19"/>
      <c r="USZ40" s="19"/>
      <c r="UTA40" s="19"/>
      <c r="UTB40" s="19"/>
      <c r="UTC40" s="19"/>
      <c r="UTD40" s="19"/>
      <c r="UTE40" s="19"/>
      <c r="UTF40" s="19"/>
      <c r="UTG40" s="19"/>
      <c r="UTH40" s="19"/>
      <c r="UTI40" s="19"/>
      <c r="UTJ40" s="19"/>
      <c r="UTK40" s="19"/>
      <c r="UTL40" s="19"/>
      <c r="UTM40" s="19"/>
      <c r="UTN40" s="19"/>
      <c r="UTO40" s="19"/>
      <c r="UTP40" s="19"/>
      <c r="UTQ40" s="19"/>
      <c r="UTR40" s="19"/>
      <c r="UTS40" s="19"/>
      <c r="UTT40" s="19"/>
      <c r="UTU40" s="19"/>
      <c r="UTV40" s="19"/>
      <c r="UTW40" s="19"/>
      <c r="UTX40" s="19"/>
      <c r="UTY40" s="19"/>
      <c r="UTZ40" s="19"/>
      <c r="UUA40" s="19"/>
      <c r="UUB40" s="19"/>
      <c r="UUC40" s="19"/>
      <c r="UUD40" s="19"/>
      <c r="UUE40" s="19"/>
      <c r="UUF40" s="19"/>
      <c r="UUG40" s="19"/>
      <c r="UUH40" s="19"/>
      <c r="UUI40" s="19"/>
      <c r="UUJ40" s="19"/>
      <c r="UUK40" s="19"/>
      <c r="UUL40" s="19"/>
      <c r="UUM40" s="19"/>
      <c r="UUN40" s="19"/>
      <c r="UUO40" s="19"/>
      <c r="UUP40" s="19"/>
      <c r="UUQ40" s="19"/>
      <c r="UUR40" s="19"/>
      <c r="UUS40" s="19"/>
      <c r="UUT40" s="19"/>
      <c r="UUU40" s="19"/>
      <c r="UUV40" s="19"/>
      <c r="UUW40" s="19"/>
      <c r="UUX40" s="19"/>
      <c r="UUY40" s="19"/>
      <c r="UUZ40" s="19"/>
      <c r="UVA40" s="19"/>
      <c r="UVB40" s="19"/>
      <c r="UVC40" s="19"/>
      <c r="UVD40" s="19"/>
      <c r="UVE40" s="19"/>
      <c r="UVF40" s="19"/>
      <c r="UVG40" s="19"/>
      <c r="UVH40" s="19"/>
      <c r="UVI40" s="19"/>
      <c r="UVJ40" s="19"/>
      <c r="UVK40" s="19"/>
      <c r="UVL40" s="19"/>
      <c r="UVM40" s="19"/>
      <c r="UVN40" s="19"/>
      <c r="UVO40" s="19"/>
      <c r="UVP40" s="19"/>
      <c r="UVQ40" s="19"/>
      <c r="UVR40" s="19"/>
      <c r="UVS40" s="19"/>
      <c r="UVT40" s="19"/>
      <c r="UVU40" s="19"/>
      <c r="UVV40" s="19"/>
      <c r="UVW40" s="19"/>
      <c r="UVX40" s="19"/>
      <c r="UVY40" s="19"/>
      <c r="UVZ40" s="19"/>
      <c r="UWA40" s="19"/>
      <c r="UWB40" s="19"/>
      <c r="UWC40" s="19"/>
      <c r="UWD40" s="19"/>
      <c r="UWE40" s="19"/>
      <c r="UWF40" s="19"/>
      <c r="UWG40" s="19"/>
      <c r="UWH40" s="19"/>
      <c r="UWI40" s="19"/>
      <c r="UWJ40" s="19"/>
      <c r="UWK40" s="19"/>
      <c r="UWL40" s="19"/>
      <c r="UWM40" s="19"/>
      <c r="UWN40" s="19"/>
      <c r="UWO40" s="19"/>
      <c r="UWP40" s="19"/>
      <c r="UWQ40" s="19"/>
      <c r="UWR40" s="19"/>
      <c r="UWS40" s="19"/>
      <c r="UWT40" s="19"/>
      <c r="UWU40" s="19"/>
      <c r="UWV40" s="19"/>
      <c r="UWW40" s="19"/>
      <c r="UWX40" s="19"/>
      <c r="UWY40" s="19"/>
      <c r="UWZ40" s="19"/>
      <c r="UXA40" s="19"/>
      <c r="UXB40" s="19"/>
      <c r="UXC40" s="19"/>
      <c r="UXD40" s="19"/>
      <c r="UXE40" s="19"/>
      <c r="UXF40" s="19"/>
      <c r="UXG40" s="19"/>
      <c r="UXH40" s="19"/>
      <c r="UXI40" s="19"/>
      <c r="UXJ40" s="19"/>
      <c r="UXK40" s="19"/>
      <c r="UXL40" s="19"/>
      <c r="UXM40" s="19"/>
      <c r="UXN40" s="19"/>
      <c r="UXO40" s="19"/>
      <c r="UXP40" s="19"/>
      <c r="UXQ40" s="19"/>
      <c r="UXR40" s="19"/>
      <c r="UXS40" s="19"/>
      <c r="UXT40" s="19"/>
      <c r="UXU40" s="19"/>
      <c r="UXV40" s="19"/>
      <c r="UXW40" s="19"/>
      <c r="UXX40" s="19"/>
      <c r="UXY40" s="19"/>
      <c r="UXZ40" s="19"/>
      <c r="UYA40" s="19"/>
      <c r="UYB40" s="19"/>
      <c r="UYC40" s="19"/>
      <c r="UYD40" s="19"/>
      <c r="UYE40" s="19"/>
      <c r="UYF40" s="19"/>
      <c r="UYG40" s="19"/>
      <c r="UYH40" s="19"/>
      <c r="UYI40" s="19"/>
      <c r="UYJ40" s="19"/>
      <c r="UYK40" s="19"/>
      <c r="UYL40" s="19"/>
      <c r="UYM40" s="19"/>
      <c r="UYN40" s="19"/>
      <c r="UYO40" s="19"/>
      <c r="UYP40" s="19"/>
      <c r="UYQ40" s="19"/>
      <c r="UYR40" s="19"/>
      <c r="UYS40" s="19"/>
      <c r="UYT40" s="19"/>
      <c r="UYU40" s="19"/>
      <c r="UYV40" s="19"/>
      <c r="UYW40" s="19"/>
      <c r="UYX40" s="19"/>
      <c r="UYY40" s="19"/>
      <c r="UYZ40" s="19"/>
      <c r="UZA40" s="19"/>
      <c r="UZB40" s="19"/>
      <c r="UZC40" s="19"/>
      <c r="UZD40" s="19"/>
      <c r="UZE40" s="19"/>
      <c r="UZF40" s="19"/>
      <c r="UZG40" s="19"/>
      <c r="UZH40" s="19"/>
      <c r="UZI40" s="19"/>
      <c r="UZJ40" s="19"/>
      <c r="UZK40" s="19"/>
      <c r="UZL40" s="19"/>
      <c r="UZM40" s="19"/>
      <c r="UZN40" s="19"/>
      <c r="UZO40" s="19"/>
      <c r="UZP40" s="19"/>
      <c r="UZQ40" s="19"/>
      <c r="UZR40" s="19"/>
      <c r="UZS40" s="19"/>
      <c r="UZT40" s="19"/>
      <c r="UZU40" s="19"/>
      <c r="UZV40" s="19"/>
      <c r="UZW40" s="19"/>
      <c r="UZX40" s="19"/>
      <c r="UZY40" s="19"/>
      <c r="UZZ40" s="19"/>
      <c r="VAA40" s="19"/>
      <c r="VAB40" s="19"/>
      <c r="VAC40" s="19"/>
      <c r="VAD40" s="19"/>
      <c r="VAE40" s="19"/>
      <c r="VAF40" s="19"/>
      <c r="VAG40" s="19"/>
      <c r="VAH40" s="19"/>
      <c r="VAI40" s="19"/>
      <c r="VAJ40" s="19"/>
      <c r="VAK40" s="19"/>
      <c r="VAL40" s="19"/>
      <c r="VAM40" s="19"/>
      <c r="VAN40" s="19"/>
      <c r="VAO40" s="19"/>
      <c r="VAP40" s="19"/>
      <c r="VAQ40" s="19"/>
      <c r="VAR40" s="19"/>
      <c r="VAS40" s="19"/>
      <c r="VAT40" s="19"/>
      <c r="VAU40" s="19"/>
      <c r="VAV40" s="19"/>
      <c r="VAW40" s="19"/>
      <c r="VAX40" s="19"/>
      <c r="VAY40" s="19"/>
      <c r="VAZ40" s="19"/>
      <c r="VBA40" s="19"/>
      <c r="VBB40" s="19"/>
      <c r="VBC40" s="19"/>
      <c r="VBD40" s="19"/>
      <c r="VBE40" s="19"/>
      <c r="VBF40" s="19"/>
      <c r="VBG40" s="19"/>
      <c r="VBH40" s="19"/>
      <c r="VBI40" s="19"/>
      <c r="VBJ40" s="19"/>
      <c r="VBK40" s="19"/>
      <c r="VBL40" s="19"/>
      <c r="VBM40" s="19"/>
      <c r="VBN40" s="19"/>
      <c r="VBO40" s="19"/>
      <c r="VBP40" s="19"/>
      <c r="VBQ40" s="19"/>
      <c r="VBR40" s="19"/>
      <c r="VBS40" s="19"/>
      <c r="VBT40" s="19"/>
      <c r="VBU40" s="19"/>
      <c r="VBV40" s="19"/>
      <c r="VBW40" s="19"/>
      <c r="VBX40" s="19"/>
      <c r="VBY40" s="19"/>
      <c r="VBZ40" s="19"/>
      <c r="VCA40" s="19"/>
      <c r="VCB40" s="19"/>
      <c r="VCC40" s="19"/>
      <c r="VCD40" s="19"/>
      <c r="VCE40" s="19"/>
      <c r="VCF40" s="19"/>
      <c r="VCG40" s="19"/>
      <c r="VCH40" s="19"/>
      <c r="VCI40" s="19"/>
      <c r="VCJ40" s="19"/>
      <c r="VCK40" s="19"/>
      <c r="VCL40" s="19"/>
      <c r="VCM40" s="19"/>
      <c r="VCN40" s="19"/>
      <c r="VCO40" s="19"/>
      <c r="VCP40" s="19"/>
      <c r="VCQ40" s="19"/>
      <c r="VCR40" s="19"/>
      <c r="VCS40" s="19"/>
      <c r="VCT40" s="19"/>
      <c r="VCU40" s="19"/>
      <c r="VCV40" s="19"/>
      <c r="VCW40" s="19"/>
      <c r="VCX40" s="19"/>
      <c r="VCY40" s="19"/>
      <c r="VCZ40" s="19"/>
      <c r="VDA40" s="19"/>
      <c r="VDB40" s="19"/>
      <c r="VDC40" s="19"/>
      <c r="VDD40" s="19"/>
      <c r="VDE40" s="19"/>
      <c r="VDF40" s="19"/>
      <c r="VDG40" s="19"/>
      <c r="VDH40" s="19"/>
      <c r="VDI40" s="19"/>
      <c r="VDJ40" s="19"/>
      <c r="VDK40" s="19"/>
      <c r="VDL40" s="19"/>
      <c r="VDM40" s="19"/>
      <c r="VDN40" s="19"/>
      <c r="VDO40" s="19"/>
      <c r="VDP40" s="19"/>
      <c r="VDQ40" s="19"/>
      <c r="VDR40" s="19"/>
      <c r="VDS40" s="19"/>
      <c r="VDT40" s="19"/>
      <c r="VDU40" s="19"/>
      <c r="VDV40" s="19"/>
      <c r="VDW40" s="19"/>
      <c r="VDX40" s="19"/>
      <c r="VDY40" s="19"/>
      <c r="VDZ40" s="19"/>
      <c r="VEA40" s="19"/>
      <c r="VEB40" s="19"/>
      <c r="VEC40" s="19"/>
      <c r="VED40" s="19"/>
      <c r="VEE40" s="19"/>
      <c r="VEF40" s="19"/>
      <c r="VEG40" s="19"/>
      <c r="VEH40" s="19"/>
      <c r="VEI40" s="19"/>
      <c r="VEJ40" s="19"/>
      <c r="VEK40" s="19"/>
      <c r="VEL40" s="19"/>
      <c r="VEM40" s="19"/>
      <c r="VEN40" s="19"/>
      <c r="VEO40" s="19"/>
      <c r="VEP40" s="19"/>
      <c r="VEQ40" s="19"/>
      <c r="VER40" s="19"/>
      <c r="VES40" s="19"/>
      <c r="VET40" s="19"/>
      <c r="VEU40" s="19"/>
      <c r="VEV40" s="19"/>
      <c r="VEW40" s="19"/>
      <c r="VEX40" s="19"/>
      <c r="VEY40" s="19"/>
      <c r="VEZ40" s="19"/>
      <c r="VFA40" s="19"/>
      <c r="VFB40" s="19"/>
      <c r="VFC40" s="19"/>
      <c r="VFD40" s="19"/>
      <c r="VFE40" s="19"/>
      <c r="VFF40" s="19"/>
      <c r="VFG40" s="19"/>
      <c r="VFH40" s="19"/>
      <c r="VFI40" s="19"/>
      <c r="VFJ40" s="19"/>
      <c r="VFK40" s="19"/>
      <c r="VFL40" s="19"/>
      <c r="VFM40" s="19"/>
      <c r="VFN40" s="19"/>
      <c r="VFO40" s="19"/>
      <c r="VFP40" s="19"/>
      <c r="VFQ40" s="19"/>
      <c r="VFR40" s="19"/>
      <c r="VFS40" s="19"/>
      <c r="VFT40" s="19"/>
      <c r="VFU40" s="19"/>
      <c r="VFV40" s="19"/>
      <c r="VFW40" s="19"/>
      <c r="VFX40" s="19"/>
      <c r="VFY40" s="19"/>
      <c r="VFZ40" s="19"/>
      <c r="VGA40" s="19"/>
      <c r="VGB40" s="19"/>
      <c r="VGC40" s="19"/>
      <c r="VGD40" s="19"/>
      <c r="VGE40" s="19"/>
      <c r="VGF40" s="19"/>
      <c r="VGG40" s="19"/>
      <c r="VGH40" s="19"/>
      <c r="VGI40" s="19"/>
      <c r="VGJ40" s="19"/>
      <c r="VGK40" s="19"/>
      <c r="VGL40" s="19"/>
      <c r="VGM40" s="19"/>
      <c r="VGN40" s="19"/>
      <c r="VGO40" s="19"/>
      <c r="VGP40" s="19"/>
      <c r="VGQ40" s="19"/>
      <c r="VGR40" s="19"/>
      <c r="VGS40" s="19"/>
      <c r="VGT40" s="19"/>
      <c r="VGU40" s="19"/>
      <c r="VGV40" s="19"/>
      <c r="VGW40" s="19"/>
      <c r="VGX40" s="19"/>
      <c r="VGY40" s="19"/>
      <c r="VGZ40" s="19"/>
      <c r="VHA40" s="19"/>
      <c r="VHB40" s="19"/>
      <c r="VHC40" s="19"/>
      <c r="VHD40" s="19"/>
      <c r="VHE40" s="19"/>
      <c r="VHF40" s="19"/>
      <c r="VHG40" s="19"/>
      <c r="VHH40" s="19"/>
      <c r="VHI40" s="19"/>
      <c r="VHJ40" s="19"/>
      <c r="VHK40" s="19"/>
      <c r="VHL40" s="19"/>
      <c r="VHM40" s="19"/>
      <c r="VHN40" s="19"/>
      <c r="VHO40" s="19"/>
      <c r="VHP40" s="19"/>
      <c r="VHQ40" s="19"/>
      <c r="VHR40" s="19"/>
      <c r="VHS40" s="19"/>
      <c r="VHT40" s="19"/>
      <c r="VHU40" s="19"/>
      <c r="VHV40" s="19"/>
      <c r="VHW40" s="19"/>
      <c r="VHX40" s="19"/>
      <c r="VHY40" s="19"/>
      <c r="VHZ40" s="19"/>
      <c r="VIA40" s="19"/>
      <c r="VIB40" s="19"/>
      <c r="VIC40" s="19"/>
      <c r="VID40" s="19"/>
      <c r="VIE40" s="19"/>
      <c r="VIF40" s="19"/>
      <c r="VIG40" s="19"/>
      <c r="VIH40" s="19"/>
      <c r="VII40" s="19"/>
      <c r="VIJ40" s="19"/>
      <c r="VIK40" s="19"/>
      <c r="VIL40" s="19"/>
      <c r="VIM40" s="19"/>
      <c r="VIN40" s="19"/>
      <c r="VIO40" s="19"/>
      <c r="VIP40" s="19"/>
      <c r="VIQ40" s="19"/>
      <c r="VIR40" s="19"/>
      <c r="VIS40" s="19"/>
      <c r="VIT40" s="19"/>
      <c r="VIU40" s="19"/>
      <c r="VIV40" s="19"/>
      <c r="VIW40" s="19"/>
      <c r="VIX40" s="19"/>
      <c r="VIY40" s="19"/>
      <c r="VIZ40" s="19"/>
      <c r="VJA40" s="19"/>
      <c r="VJB40" s="19"/>
      <c r="VJC40" s="19"/>
      <c r="VJD40" s="19"/>
      <c r="VJE40" s="19"/>
      <c r="VJF40" s="19"/>
      <c r="VJG40" s="19"/>
      <c r="VJH40" s="19"/>
      <c r="VJI40" s="19"/>
      <c r="VJJ40" s="19"/>
      <c r="VJK40" s="19"/>
      <c r="VJL40" s="19"/>
      <c r="VJM40" s="19"/>
      <c r="VJN40" s="19"/>
      <c r="VJO40" s="19"/>
      <c r="VJP40" s="19"/>
      <c r="VJQ40" s="19"/>
      <c r="VJR40" s="19"/>
      <c r="VJS40" s="19"/>
      <c r="VJT40" s="19"/>
      <c r="VJU40" s="19"/>
      <c r="VJV40" s="19"/>
      <c r="VJW40" s="19"/>
      <c r="VJX40" s="19"/>
      <c r="VJY40" s="19"/>
      <c r="VJZ40" s="19"/>
      <c r="VKA40" s="19"/>
      <c r="VKB40" s="19"/>
      <c r="VKC40" s="19"/>
      <c r="VKD40" s="19"/>
      <c r="VKE40" s="19"/>
      <c r="VKF40" s="19"/>
      <c r="VKG40" s="19"/>
      <c r="VKH40" s="19"/>
      <c r="VKI40" s="19"/>
      <c r="VKJ40" s="19"/>
      <c r="VKK40" s="19"/>
      <c r="VKL40" s="19"/>
      <c r="VKM40" s="19"/>
      <c r="VKN40" s="19"/>
      <c r="VKO40" s="19"/>
      <c r="VKP40" s="19"/>
      <c r="VKQ40" s="19"/>
      <c r="VKR40" s="19"/>
      <c r="VKS40" s="19"/>
      <c r="VKT40" s="19"/>
      <c r="VKU40" s="19"/>
      <c r="VKV40" s="19"/>
      <c r="VKW40" s="19"/>
      <c r="VKX40" s="19"/>
      <c r="VKY40" s="19"/>
      <c r="VKZ40" s="19"/>
      <c r="VLA40" s="19"/>
      <c r="VLB40" s="19"/>
      <c r="VLC40" s="19"/>
      <c r="VLD40" s="19"/>
      <c r="VLE40" s="19"/>
      <c r="VLF40" s="19"/>
      <c r="VLG40" s="19"/>
      <c r="VLH40" s="19"/>
      <c r="VLI40" s="19"/>
      <c r="VLJ40" s="19"/>
      <c r="VLK40" s="19"/>
      <c r="VLL40" s="19"/>
      <c r="VLM40" s="19"/>
      <c r="VLN40" s="19"/>
      <c r="VLO40" s="19"/>
      <c r="VLP40" s="19"/>
      <c r="VLQ40" s="19"/>
      <c r="VLR40" s="19"/>
      <c r="VLS40" s="19"/>
      <c r="VLT40" s="19"/>
      <c r="VLU40" s="19"/>
      <c r="VLV40" s="19"/>
      <c r="VLW40" s="19"/>
      <c r="VLX40" s="19"/>
      <c r="VLY40" s="19"/>
      <c r="VLZ40" s="19"/>
      <c r="VMA40" s="19"/>
      <c r="VMB40" s="19"/>
      <c r="VMC40" s="19"/>
      <c r="VMD40" s="19"/>
      <c r="VME40" s="19"/>
      <c r="VMF40" s="19"/>
      <c r="VMG40" s="19"/>
      <c r="VMH40" s="19"/>
      <c r="VMI40" s="19"/>
      <c r="VMJ40" s="19"/>
      <c r="VMK40" s="19"/>
      <c r="VML40" s="19"/>
      <c r="VMM40" s="19"/>
      <c r="VMN40" s="19"/>
      <c r="VMO40" s="19"/>
      <c r="VMP40" s="19"/>
      <c r="VMQ40" s="19"/>
      <c r="VMR40" s="19"/>
      <c r="VMS40" s="19"/>
      <c r="VMT40" s="19"/>
      <c r="VMU40" s="19"/>
      <c r="VMV40" s="19"/>
      <c r="VMW40" s="19"/>
      <c r="VMX40" s="19"/>
      <c r="VMY40" s="19"/>
      <c r="VMZ40" s="19"/>
      <c r="VNA40" s="19"/>
      <c r="VNB40" s="19"/>
      <c r="VNC40" s="19"/>
      <c r="VND40" s="19"/>
      <c r="VNE40" s="19"/>
      <c r="VNF40" s="19"/>
      <c r="VNG40" s="19"/>
      <c r="VNH40" s="19"/>
      <c r="VNI40" s="19"/>
      <c r="VNJ40" s="19"/>
      <c r="VNK40" s="19"/>
      <c r="VNL40" s="19"/>
      <c r="VNM40" s="19"/>
      <c r="VNN40" s="19"/>
      <c r="VNO40" s="19"/>
      <c r="VNP40" s="19"/>
      <c r="VNQ40" s="19"/>
      <c r="VNR40" s="19"/>
      <c r="VNS40" s="19"/>
      <c r="VNT40" s="19"/>
      <c r="VNU40" s="19"/>
      <c r="VNV40" s="19"/>
      <c r="VNW40" s="19"/>
      <c r="VNX40" s="19"/>
      <c r="VNY40" s="19"/>
      <c r="VNZ40" s="19"/>
      <c r="VOA40" s="19"/>
      <c r="VOB40" s="19"/>
      <c r="VOC40" s="19"/>
      <c r="VOD40" s="19"/>
      <c r="VOE40" s="19"/>
      <c r="VOF40" s="19"/>
      <c r="VOG40" s="19"/>
      <c r="VOH40" s="19"/>
      <c r="VOI40" s="19"/>
      <c r="VOJ40" s="19"/>
      <c r="VOK40" s="19"/>
      <c r="VOL40" s="19"/>
      <c r="VOM40" s="19"/>
      <c r="VON40" s="19"/>
      <c r="VOO40" s="19"/>
      <c r="VOP40" s="19"/>
      <c r="VOQ40" s="19"/>
      <c r="VOR40" s="19"/>
      <c r="VOS40" s="19"/>
      <c r="VOT40" s="19"/>
      <c r="VOU40" s="19"/>
      <c r="VOV40" s="19"/>
      <c r="VOW40" s="19"/>
      <c r="VOX40" s="19"/>
      <c r="VOY40" s="19"/>
      <c r="VOZ40" s="19"/>
      <c r="VPA40" s="19"/>
      <c r="VPB40" s="19"/>
      <c r="VPC40" s="19"/>
      <c r="VPD40" s="19"/>
      <c r="VPE40" s="19"/>
      <c r="VPF40" s="19"/>
      <c r="VPG40" s="19"/>
      <c r="VPH40" s="19"/>
      <c r="VPI40" s="19"/>
      <c r="VPJ40" s="19"/>
      <c r="VPK40" s="19"/>
      <c r="VPL40" s="19"/>
      <c r="VPM40" s="19"/>
      <c r="VPN40" s="19"/>
      <c r="VPO40" s="19"/>
      <c r="VPP40" s="19"/>
      <c r="VPQ40" s="19"/>
      <c r="VPR40" s="19"/>
      <c r="VPS40" s="19"/>
      <c r="VPT40" s="19"/>
      <c r="VPU40" s="19"/>
      <c r="VPV40" s="19"/>
      <c r="VPW40" s="19"/>
      <c r="VPX40" s="19"/>
      <c r="VPY40" s="19"/>
      <c r="VPZ40" s="19"/>
      <c r="VQA40" s="19"/>
      <c r="VQB40" s="19"/>
      <c r="VQC40" s="19"/>
      <c r="VQD40" s="19"/>
      <c r="VQE40" s="19"/>
      <c r="VQF40" s="19"/>
      <c r="VQG40" s="19"/>
      <c r="VQH40" s="19"/>
      <c r="VQI40" s="19"/>
      <c r="VQJ40" s="19"/>
      <c r="VQK40" s="19"/>
      <c r="VQL40" s="19"/>
      <c r="VQM40" s="19"/>
      <c r="VQN40" s="19"/>
      <c r="VQO40" s="19"/>
      <c r="VQP40" s="19"/>
      <c r="VQQ40" s="19"/>
      <c r="VQR40" s="19"/>
      <c r="VQS40" s="19"/>
      <c r="VQT40" s="19"/>
      <c r="VQU40" s="19"/>
      <c r="VQV40" s="19"/>
      <c r="VQW40" s="19"/>
      <c r="VQX40" s="19"/>
      <c r="VQY40" s="19"/>
      <c r="VQZ40" s="19"/>
      <c r="VRA40" s="19"/>
      <c r="VRB40" s="19"/>
      <c r="VRC40" s="19"/>
      <c r="VRD40" s="19"/>
      <c r="VRE40" s="19"/>
      <c r="VRF40" s="19"/>
      <c r="VRG40" s="19"/>
      <c r="VRH40" s="19"/>
      <c r="VRI40" s="19"/>
      <c r="VRJ40" s="19"/>
      <c r="VRK40" s="19"/>
      <c r="VRL40" s="19"/>
      <c r="VRM40" s="19"/>
      <c r="VRN40" s="19"/>
      <c r="VRO40" s="19"/>
      <c r="VRP40" s="19"/>
      <c r="VRQ40" s="19"/>
      <c r="VRR40" s="19"/>
      <c r="VRS40" s="19"/>
      <c r="VRT40" s="19"/>
      <c r="VRU40" s="19"/>
      <c r="VRV40" s="19"/>
      <c r="VRW40" s="19"/>
      <c r="VRX40" s="19"/>
      <c r="VRY40" s="19"/>
      <c r="VRZ40" s="19"/>
      <c r="VSA40" s="19"/>
      <c r="VSB40" s="19"/>
      <c r="VSC40" s="19"/>
      <c r="VSD40" s="19"/>
      <c r="VSE40" s="19"/>
      <c r="VSF40" s="19"/>
      <c r="VSG40" s="19"/>
      <c r="VSH40" s="19"/>
      <c r="VSI40" s="19"/>
      <c r="VSJ40" s="19"/>
      <c r="VSK40" s="19"/>
      <c r="VSL40" s="19"/>
      <c r="VSM40" s="19"/>
      <c r="VSN40" s="19"/>
      <c r="VSO40" s="19"/>
      <c r="VSP40" s="19"/>
      <c r="VSQ40" s="19"/>
      <c r="VSR40" s="19"/>
      <c r="VSS40" s="19"/>
      <c r="VST40" s="19"/>
      <c r="VSU40" s="19"/>
      <c r="VSV40" s="19"/>
      <c r="VSW40" s="19"/>
      <c r="VSX40" s="19"/>
      <c r="VSY40" s="19"/>
      <c r="VSZ40" s="19"/>
      <c r="VTA40" s="19"/>
      <c r="VTB40" s="19"/>
      <c r="VTC40" s="19"/>
      <c r="VTD40" s="19"/>
      <c r="VTE40" s="19"/>
      <c r="VTF40" s="19"/>
      <c r="VTG40" s="19"/>
      <c r="VTH40" s="19"/>
      <c r="VTI40" s="19"/>
      <c r="VTJ40" s="19"/>
      <c r="VTK40" s="19"/>
      <c r="VTL40" s="19"/>
      <c r="VTM40" s="19"/>
      <c r="VTN40" s="19"/>
      <c r="VTO40" s="19"/>
      <c r="VTP40" s="19"/>
      <c r="VTQ40" s="19"/>
      <c r="VTR40" s="19"/>
      <c r="VTS40" s="19"/>
      <c r="VTT40" s="19"/>
      <c r="VTU40" s="19"/>
      <c r="VTV40" s="19"/>
      <c r="VTW40" s="19"/>
      <c r="VTX40" s="19"/>
      <c r="VTY40" s="19"/>
      <c r="VTZ40" s="19"/>
      <c r="VUA40" s="19"/>
      <c r="VUB40" s="19"/>
      <c r="VUC40" s="19"/>
      <c r="VUD40" s="19"/>
      <c r="VUE40" s="19"/>
      <c r="VUF40" s="19"/>
      <c r="VUG40" s="19"/>
      <c r="VUH40" s="19"/>
      <c r="VUI40" s="19"/>
      <c r="VUJ40" s="19"/>
      <c r="VUK40" s="19"/>
      <c r="VUL40" s="19"/>
      <c r="VUM40" s="19"/>
      <c r="VUN40" s="19"/>
      <c r="VUO40" s="19"/>
      <c r="VUP40" s="19"/>
      <c r="VUQ40" s="19"/>
      <c r="VUR40" s="19"/>
      <c r="VUS40" s="19"/>
      <c r="VUT40" s="19"/>
      <c r="VUU40" s="19"/>
      <c r="VUV40" s="19"/>
      <c r="VUW40" s="19"/>
      <c r="VUX40" s="19"/>
      <c r="VUY40" s="19"/>
      <c r="VUZ40" s="19"/>
      <c r="VVA40" s="19"/>
      <c r="VVB40" s="19"/>
      <c r="VVC40" s="19"/>
      <c r="VVD40" s="19"/>
      <c r="VVE40" s="19"/>
      <c r="VVF40" s="19"/>
      <c r="VVG40" s="19"/>
      <c r="VVH40" s="19"/>
      <c r="VVI40" s="19"/>
      <c r="VVJ40" s="19"/>
      <c r="VVK40" s="19"/>
      <c r="VVL40" s="19"/>
      <c r="VVM40" s="19"/>
      <c r="VVN40" s="19"/>
      <c r="VVO40" s="19"/>
      <c r="VVP40" s="19"/>
      <c r="VVQ40" s="19"/>
      <c r="VVR40" s="19"/>
      <c r="VVS40" s="19"/>
      <c r="VVT40" s="19"/>
      <c r="VVU40" s="19"/>
      <c r="VVV40" s="19"/>
      <c r="VVW40" s="19"/>
      <c r="VVX40" s="19"/>
      <c r="VVY40" s="19"/>
      <c r="VVZ40" s="19"/>
      <c r="VWA40" s="19"/>
      <c r="VWB40" s="19"/>
      <c r="VWC40" s="19"/>
      <c r="VWD40" s="19"/>
      <c r="VWE40" s="19"/>
      <c r="VWF40" s="19"/>
      <c r="VWG40" s="19"/>
      <c r="VWH40" s="19"/>
      <c r="VWI40" s="19"/>
      <c r="VWJ40" s="19"/>
      <c r="VWK40" s="19"/>
      <c r="VWL40" s="19"/>
      <c r="VWM40" s="19"/>
      <c r="VWN40" s="19"/>
      <c r="VWO40" s="19"/>
      <c r="VWP40" s="19"/>
      <c r="VWQ40" s="19"/>
      <c r="VWR40" s="19"/>
      <c r="VWS40" s="19"/>
      <c r="VWT40" s="19"/>
      <c r="VWU40" s="19"/>
      <c r="VWV40" s="19"/>
      <c r="VWW40" s="19"/>
      <c r="VWX40" s="19"/>
      <c r="VWY40" s="19"/>
      <c r="VWZ40" s="19"/>
      <c r="VXA40" s="19"/>
      <c r="VXB40" s="19"/>
      <c r="VXC40" s="19"/>
      <c r="VXD40" s="19"/>
      <c r="VXE40" s="19"/>
      <c r="VXF40" s="19"/>
      <c r="VXG40" s="19"/>
      <c r="VXH40" s="19"/>
      <c r="VXI40" s="19"/>
      <c r="VXJ40" s="19"/>
      <c r="VXK40" s="19"/>
      <c r="VXL40" s="19"/>
      <c r="VXM40" s="19"/>
      <c r="VXN40" s="19"/>
      <c r="VXO40" s="19"/>
      <c r="VXP40" s="19"/>
      <c r="VXQ40" s="19"/>
      <c r="VXR40" s="19"/>
      <c r="VXS40" s="19"/>
      <c r="VXT40" s="19"/>
      <c r="VXU40" s="19"/>
      <c r="VXV40" s="19"/>
      <c r="VXW40" s="19"/>
      <c r="VXX40" s="19"/>
      <c r="VXY40" s="19"/>
      <c r="VXZ40" s="19"/>
      <c r="VYA40" s="19"/>
      <c r="VYB40" s="19"/>
      <c r="VYC40" s="19"/>
      <c r="VYD40" s="19"/>
      <c r="VYE40" s="19"/>
      <c r="VYF40" s="19"/>
      <c r="VYG40" s="19"/>
      <c r="VYH40" s="19"/>
      <c r="VYI40" s="19"/>
      <c r="VYJ40" s="19"/>
      <c r="VYK40" s="19"/>
      <c r="VYL40" s="19"/>
      <c r="VYM40" s="19"/>
      <c r="VYN40" s="19"/>
      <c r="VYO40" s="19"/>
      <c r="VYP40" s="19"/>
      <c r="VYQ40" s="19"/>
      <c r="VYR40" s="19"/>
      <c r="VYS40" s="19"/>
      <c r="VYT40" s="19"/>
      <c r="VYU40" s="19"/>
      <c r="VYV40" s="19"/>
      <c r="VYW40" s="19"/>
      <c r="VYX40" s="19"/>
      <c r="VYY40" s="19"/>
      <c r="VYZ40" s="19"/>
      <c r="VZA40" s="19"/>
      <c r="VZB40" s="19"/>
      <c r="VZC40" s="19"/>
      <c r="VZD40" s="19"/>
      <c r="VZE40" s="19"/>
      <c r="VZF40" s="19"/>
      <c r="VZG40" s="19"/>
      <c r="VZH40" s="19"/>
      <c r="VZI40" s="19"/>
      <c r="VZJ40" s="19"/>
      <c r="VZK40" s="19"/>
      <c r="VZL40" s="19"/>
      <c r="VZM40" s="19"/>
      <c r="VZN40" s="19"/>
      <c r="VZO40" s="19"/>
      <c r="VZP40" s="19"/>
      <c r="VZQ40" s="19"/>
      <c r="VZR40" s="19"/>
      <c r="VZS40" s="19"/>
      <c r="VZT40" s="19"/>
      <c r="VZU40" s="19"/>
      <c r="VZV40" s="19"/>
      <c r="VZW40" s="19"/>
      <c r="VZX40" s="19"/>
      <c r="VZY40" s="19"/>
      <c r="VZZ40" s="19"/>
      <c r="WAA40" s="19"/>
      <c r="WAB40" s="19"/>
      <c r="WAC40" s="19"/>
      <c r="WAD40" s="19"/>
      <c r="WAE40" s="19"/>
      <c r="WAF40" s="19"/>
      <c r="WAG40" s="19"/>
      <c r="WAH40" s="19"/>
      <c r="WAI40" s="19"/>
      <c r="WAJ40" s="19"/>
      <c r="WAK40" s="19"/>
      <c r="WAL40" s="19"/>
      <c r="WAM40" s="19"/>
      <c r="WAN40" s="19"/>
      <c r="WAO40" s="19"/>
      <c r="WAP40" s="19"/>
      <c r="WAQ40" s="19"/>
      <c r="WAR40" s="19"/>
      <c r="WAS40" s="19"/>
      <c r="WAT40" s="19"/>
      <c r="WAU40" s="19"/>
      <c r="WAV40" s="19"/>
      <c r="WAW40" s="19"/>
      <c r="WAX40" s="19"/>
      <c r="WAY40" s="19"/>
      <c r="WAZ40" s="19"/>
      <c r="WBA40" s="19"/>
      <c r="WBB40" s="19"/>
      <c r="WBC40" s="19"/>
      <c r="WBD40" s="19"/>
      <c r="WBE40" s="19"/>
      <c r="WBF40" s="19"/>
      <c r="WBG40" s="19"/>
      <c r="WBH40" s="19"/>
      <c r="WBI40" s="19"/>
      <c r="WBJ40" s="19"/>
      <c r="WBK40" s="19"/>
      <c r="WBL40" s="19"/>
      <c r="WBM40" s="19"/>
      <c r="WBN40" s="19"/>
      <c r="WBO40" s="19"/>
      <c r="WBP40" s="19"/>
      <c r="WBQ40" s="19"/>
      <c r="WBR40" s="19"/>
      <c r="WBS40" s="19"/>
      <c r="WBT40" s="19"/>
      <c r="WBU40" s="19"/>
      <c r="WBV40" s="19"/>
      <c r="WBW40" s="19"/>
      <c r="WBX40" s="19"/>
      <c r="WBY40" s="19"/>
      <c r="WBZ40" s="19"/>
      <c r="WCA40" s="19"/>
      <c r="WCB40" s="19"/>
      <c r="WCC40" s="19"/>
      <c r="WCD40" s="19"/>
      <c r="WCE40" s="19"/>
      <c r="WCF40" s="19"/>
      <c r="WCG40" s="19"/>
      <c r="WCH40" s="19"/>
      <c r="WCI40" s="19"/>
      <c r="WCJ40" s="19"/>
      <c r="WCK40" s="19"/>
      <c r="WCL40" s="19"/>
      <c r="WCM40" s="19"/>
      <c r="WCN40" s="19"/>
      <c r="WCO40" s="19"/>
      <c r="WCP40" s="19"/>
      <c r="WCQ40" s="19"/>
      <c r="WCR40" s="19"/>
      <c r="WCS40" s="19"/>
      <c r="WCT40" s="19"/>
      <c r="WCU40" s="19"/>
      <c r="WCV40" s="19"/>
      <c r="WCW40" s="19"/>
      <c r="WCX40" s="19"/>
      <c r="WCY40" s="19"/>
      <c r="WCZ40" s="19"/>
      <c r="WDA40" s="19"/>
      <c r="WDB40" s="19"/>
      <c r="WDC40" s="19"/>
      <c r="WDD40" s="19"/>
      <c r="WDE40" s="19"/>
      <c r="WDF40" s="19"/>
      <c r="WDG40" s="19"/>
      <c r="WDH40" s="19"/>
      <c r="WDI40" s="19"/>
      <c r="WDJ40" s="19"/>
      <c r="WDK40" s="19"/>
      <c r="WDL40" s="19"/>
      <c r="WDM40" s="19"/>
      <c r="WDN40" s="19"/>
      <c r="WDO40" s="19"/>
      <c r="WDP40" s="19"/>
      <c r="WDQ40" s="19"/>
      <c r="WDR40" s="19"/>
      <c r="WDS40" s="19"/>
      <c r="WDT40" s="19"/>
      <c r="WDU40" s="19"/>
      <c r="WDV40" s="19"/>
      <c r="WDW40" s="19"/>
      <c r="WDX40" s="19"/>
      <c r="WDY40" s="19"/>
      <c r="WDZ40" s="19"/>
      <c r="WEA40" s="19"/>
      <c r="WEB40" s="19"/>
      <c r="WEC40" s="19"/>
      <c r="WED40" s="19"/>
      <c r="WEE40" s="19"/>
      <c r="WEF40" s="19"/>
      <c r="WEG40" s="19"/>
      <c r="WEH40" s="19"/>
      <c r="WEI40" s="19"/>
      <c r="WEJ40" s="19"/>
      <c r="WEK40" s="19"/>
      <c r="WEL40" s="19"/>
      <c r="WEM40" s="19"/>
      <c r="WEN40" s="19"/>
      <c r="WEO40" s="19"/>
      <c r="WEP40" s="19"/>
      <c r="WEQ40" s="19"/>
      <c r="WER40" s="19"/>
      <c r="WES40" s="19"/>
      <c r="WET40" s="19"/>
      <c r="WEU40" s="19"/>
      <c r="WEV40" s="19"/>
      <c r="WEW40" s="19"/>
      <c r="WEX40" s="19"/>
      <c r="WEY40" s="19"/>
      <c r="WEZ40" s="19"/>
      <c r="WFA40" s="19"/>
      <c r="WFB40" s="19"/>
      <c r="WFC40" s="19"/>
      <c r="WFD40" s="19"/>
      <c r="WFE40" s="19"/>
      <c r="WFF40" s="19"/>
      <c r="WFG40" s="19"/>
      <c r="WFH40" s="19"/>
      <c r="WFI40" s="19"/>
      <c r="WFJ40" s="19"/>
      <c r="WFK40" s="19"/>
      <c r="WFL40" s="19"/>
      <c r="WFM40" s="19"/>
      <c r="WFN40" s="19"/>
      <c r="WFO40" s="19"/>
      <c r="WFP40" s="19"/>
      <c r="WFQ40" s="19"/>
      <c r="WFR40" s="19"/>
      <c r="WFS40" s="19"/>
      <c r="WFT40" s="19"/>
      <c r="WFU40" s="19"/>
      <c r="WFV40" s="19"/>
      <c r="WFW40" s="19"/>
      <c r="WFX40" s="19"/>
      <c r="WFY40" s="19"/>
      <c r="WFZ40" s="19"/>
      <c r="WGA40" s="19"/>
      <c r="WGB40" s="19"/>
      <c r="WGC40" s="19"/>
      <c r="WGD40" s="19"/>
      <c r="WGE40" s="19"/>
      <c r="WGF40" s="19"/>
      <c r="WGG40" s="19"/>
      <c r="WGH40" s="19"/>
      <c r="WGI40" s="19"/>
      <c r="WGJ40" s="19"/>
      <c r="WGK40" s="19"/>
      <c r="WGL40" s="19"/>
      <c r="WGM40" s="19"/>
      <c r="WGN40" s="19"/>
      <c r="WGO40" s="19"/>
      <c r="WGP40" s="19"/>
      <c r="WGQ40" s="19"/>
      <c r="WGR40" s="19"/>
      <c r="WGS40" s="19"/>
      <c r="WGT40" s="19"/>
      <c r="WGU40" s="19"/>
      <c r="WGV40" s="19"/>
      <c r="WGW40" s="19"/>
      <c r="WGX40" s="19"/>
      <c r="WGY40" s="19"/>
      <c r="WGZ40" s="19"/>
      <c r="WHA40" s="19"/>
      <c r="WHB40" s="19"/>
      <c r="WHC40" s="19"/>
      <c r="WHD40" s="19"/>
      <c r="WHE40" s="19"/>
      <c r="WHF40" s="19"/>
      <c r="WHG40" s="19"/>
      <c r="WHH40" s="19"/>
      <c r="WHI40" s="19"/>
      <c r="WHJ40" s="19"/>
      <c r="WHK40" s="19"/>
      <c r="WHL40" s="19"/>
      <c r="WHM40" s="19"/>
      <c r="WHN40" s="19"/>
      <c r="WHO40" s="19"/>
      <c r="WHP40" s="19"/>
      <c r="WHQ40" s="19"/>
      <c r="WHR40" s="19"/>
      <c r="WHS40" s="19"/>
      <c r="WHT40" s="19"/>
      <c r="WHU40" s="19"/>
      <c r="WHV40" s="19"/>
      <c r="WHW40" s="19"/>
      <c r="WHX40" s="19"/>
      <c r="WHY40" s="19"/>
      <c r="WHZ40" s="19"/>
      <c r="WIA40" s="19"/>
      <c r="WIB40" s="19"/>
      <c r="WIC40" s="19"/>
      <c r="WID40" s="19"/>
      <c r="WIE40" s="19"/>
      <c r="WIF40" s="19"/>
      <c r="WIG40" s="19"/>
      <c r="WIH40" s="19"/>
      <c r="WII40" s="19"/>
      <c r="WIJ40" s="19"/>
      <c r="WIK40" s="19"/>
      <c r="WIL40" s="19"/>
      <c r="WIM40" s="19"/>
      <c r="WIN40" s="19"/>
      <c r="WIO40" s="19"/>
      <c r="WIP40" s="19"/>
      <c r="WIQ40" s="19"/>
      <c r="WIR40" s="19"/>
      <c r="WIS40" s="19"/>
      <c r="WIT40" s="19"/>
      <c r="WIU40" s="19"/>
      <c r="WIV40" s="19"/>
      <c r="WIW40" s="19"/>
      <c r="WIX40" s="19"/>
      <c r="WIY40" s="19"/>
      <c r="WIZ40" s="19"/>
      <c r="WJA40" s="19"/>
      <c r="WJB40" s="19"/>
      <c r="WJC40" s="19"/>
      <c r="WJD40" s="19"/>
      <c r="WJE40" s="19"/>
      <c r="WJF40" s="19"/>
      <c r="WJG40" s="19"/>
      <c r="WJH40" s="19"/>
      <c r="WJI40" s="19"/>
      <c r="WJJ40" s="19"/>
      <c r="WJK40" s="19"/>
      <c r="WJL40" s="19"/>
      <c r="WJM40" s="19"/>
      <c r="WJN40" s="19"/>
      <c r="WJO40" s="19"/>
      <c r="WJP40" s="19"/>
      <c r="WJQ40" s="19"/>
      <c r="WJR40" s="19"/>
      <c r="WJS40" s="19"/>
      <c r="WJT40" s="19"/>
      <c r="WJU40" s="19"/>
      <c r="WJV40" s="19"/>
      <c r="WJW40" s="19"/>
      <c r="WJX40" s="19"/>
      <c r="WJY40" s="19"/>
      <c r="WJZ40" s="19"/>
      <c r="WKA40" s="19"/>
      <c r="WKB40" s="19"/>
      <c r="WKC40" s="19"/>
      <c r="WKD40" s="19"/>
      <c r="WKE40" s="19"/>
      <c r="WKF40" s="19"/>
      <c r="WKG40" s="19"/>
      <c r="WKH40" s="19"/>
      <c r="WKI40" s="19"/>
      <c r="WKJ40" s="19"/>
      <c r="WKK40" s="19"/>
      <c r="WKL40" s="19"/>
      <c r="WKM40" s="19"/>
      <c r="WKN40" s="19"/>
      <c r="WKO40" s="19"/>
      <c r="WKP40" s="19"/>
      <c r="WKQ40" s="19"/>
      <c r="WKR40" s="19"/>
      <c r="WKS40" s="19"/>
      <c r="WKT40" s="19"/>
      <c r="WKU40" s="19"/>
      <c r="WKV40" s="19"/>
      <c r="WKW40" s="19"/>
      <c r="WKX40" s="19"/>
      <c r="WKY40" s="19"/>
      <c r="WKZ40" s="19"/>
      <c r="WLA40" s="19"/>
      <c r="WLB40" s="19"/>
      <c r="WLC40" s="19"/>
      <c r="WLD40" s="19"/>
      <c r="WLE40" s="19"/>
      <c r="WLF40" s="19"/>
      <c r="WLG40" s="19"/>
      <c r="WLH40" s="19"/>
      <c r="WLI40" s="19"/>
      <c r="WLJ40" s="19"/>
      <c r="WLK40" s="19"/>
      <c r="WLL40" s="19"/>
      <c r="WLM40" s="19"/>
      <c r="WLN40" s="19"/>
      <c r="WLO40" s="19"/>
      <c r="WLP40" s="19"/>
      <c r="WLQ40" s="19"/>
      <c r="WLR40" s="19"/>
      <c r="WLS40" s="19"/>
      <c r="WLT40" s="19"/>
      <c r="WLU40" s="19"/>
      <c r="WLV40" s="19"/>
      <c r="WLW40" s="19"/>
      <c r="WLX40" s="19"/>
      <c r="WLY40" s="19"/>
      <c r="WLZ40" s="19"/>
      <c r="WMA40" s="19"/>
      <c r="WMB40" s="19"/>
      <c r="WMC40" s="19"/>
      <c r="WMD40" s="19"/>
      <c r="WME40" s="19"/>
      <c r="WMF40" s="19"/>
      <c r="WMG40" s="19"/>
      <c r="WMH40" s="19"/>
      <c r="WMI40" s="19"/>
      <c r="WMJ40" s="19"/>
      <c r="WMK40" s="19"/>
      <c r="WML40" s="19"/>
      <c r="WMM40" s="19"/>
      <c r="WMN40" s="19"/>
      <c r="WMO40" s="19"/>
      <c r="WMP40" s="19"/>
      <c r="WMQ40" s="19"/>
      <c r="WMR40" s="19"/>
      <c r="WMS40" s="19"/>
      <c r="WMT40" s="19"/>
      <c r="WMU40" s="19"/>
      <c r="WMV40" s="19"/>
      <c r="WMW40" s="19"/>
      <c r="WMX40" s="19"/>
      <c r="WMY40" s="19"/>
      <c r="WMZ40" s="19"/>
      <c r="WNA40" s="19"/>
      <c r="WNB40" s="19"/>
      <c r="WNC40" s="19"/>
      <c r="WND40" s="19"/>
      <c r="WNE40" s="19"/>
      <c r="WNF40" s="19"/>
      <c r="WNG40" s="19"/>
      <c r="WNH40" s="19"/>
      <c r="WNI40" s="19"/>
      <c r="WNJ40" s="19"/>
      <c r="WNK40" s="19"/>
      <c r="WNL40" s="19"/>
      <c r="WNM40" s="19"/>
      <c r="WNN40" s="19"/>
      <c r="WNO40" s="19"/>
      <c r="WNP40" s="19"/>
      <c r="WNQ40" s="19"/>
      <c r="WNR40" s="19"/>
      <c r="WNS40" s="19"/>
      <c r="WNT40" s="19"/>
      <c r="WNU40" s="19"/>
      <c r="WNV40" s="19"/>
      <c r="WNW40" s="19"/>
      <c r="WNX40" s="19"/>
      <c r="WNY40" s="19"/>
      <c r="WNZ40" s="19"/>
      <c r="WOA40" s="19"/>
      <c r="WOB40" s="19"/>
      <c r="WOC40" s="19"/>
      <c r="WOD40" s="19"/>
      <c r="WOE40" s="19"/>
      <c r="WOF40" s="19"/>
      <c r="WOG40" s="19"/>
      <c r="WOH40" s="19"/>
      <c r="WOI40" s="19"/>
      <c r="WOJ40" s="19"/>
      <c r="WOK40" s="19"/>
      <c r="WOL40" s="19"/>
      <c r="WOM40" s="19"/>
      <c r="WON40" s="19"/>
      <c r="WOO40" s="19"/>
      <c r="WOP40" s="19"/>
      <c r="WOQ40" s="19"/>
      <c r="WOR40" s="19"/>
      <c r="WOS40" s="19"/>
      <c r="WOT40" s="19"/>
      <c r="WOU40" s="19"/>
      <c r="WOV40" s="19"/>
      <c r="WOW40" s="19"/>
      <c r="WOX40" s="19"/>
      <c r="WOY40" s="19"/>
      <c r="WOZ40" s="19"/>
      <c r="WPA40" s="19"/>
      <c r="WPB40" s="19"/>
      <c r="WPC40" s="19"/>
      <c r="WPD40" s="19"/>
      <c r="WPE40" s="19"/>
      <c r="WPF40" s="19"/>
      <c r="WPG40" s="19"/>
      <c r="WPH40" s="19"/>
      <c r="WPI40" s="19"/>
      <c r="WPJ40" s="19"/>
      <c r="WPK40" s="19"/>
      <c r="WPL40" s="19"/>
      <c r="WPM40" s="19"/>
      <c r="WPN40" s="19"/>
      <c r="WPO40" s="19"/>
      <c r="WPP40" s="19"/>
      <c r="WPQ40" s="19"/>
      <c r="WPR40" s="19"/>
      <c r="WPS40" s="19"/>
      <c r="WPT40" s="19"/>
      <c r="WPU40" s="19"/>
      <c r="WPV40" s="19"/>
      <c r="WPW40" s="19"/>
      <c r="WPX40" s="19"/>
      <c r="WPY40" s="19"/>
      <c r="WPZ40" s="19"/>
      <c r="WQA40" s="19"/>
      <c r="WQB40" s="19"/>
      <c r="WQC40" s="19"/>
      <c r="WQD40" s="19"/>
      <c r="WQE40" s="19"/>
      <c r="WQF40" s="19"/>
      <c r="WQG40" s="19"/>
      <c r="WQH40" s="19"/>
      <c r="WQI40" s="19"/>
      <c r="WQJ40" s="19"/>
      <c r="WQK40" s="19"/>
      <c r="WQL40" s="19"/>
      <c r="WQM40" s="19"/>
      <c r="WQN40" s="19"/>
      <c r="WQO40" s="19"/>
      <c r="WQP40" s="19"/>
      <c r="WQQ40" s="19"/>
      <c r="WQR40" s="19"/>
      <c r="WQS40" s="19"/>
      <c r="WQT40" s="19"/>
      <c r="WQU40" s="19"/>
      <c r="WQV40" s="19"/>
      <c r="WQW40" s="19"/>
      <c r="WQX40" s="19"/>
      <c r="WQY40" s="19"/>
      <c r="WQZ40" s="19"/>
      <c r="WRA40" s="19"/>
      <c r="WRB40" s="19"/>
      <c r="WRC40" s="19"/>
      <c r="WRD40" s="19"/>
      <c r="WRE40" s="19"/>
      <c r="WRF40" s="19"/>
      <c r="WRG40" s="19"/>
      <c r="WRH40" s="19"/>
      <c r="WRI40" s="19"/>
      <c r="WRJ40" s="19"/>
      <c r="WRK40" s="19"/>
      <c r="WRL40" s="19"/>
      <c r="WRM40" s="19"/>
      <c r="WRN40" s="19"/>
      <c r="WRO40" s="19"/>
      <c r="WRP40" s="19"/>
      <c r="WRQ40" s="19"/>
      <c r="WRR40" s="19"/>
      <c r="WRS40" s="19"/>
      <c r="WRT40" s="19"/>
      <c r="WRU40" s="19"/>
      <c r="WRV40" s="19"/>
      <c r="WRW40" s="19"/>
      <c r="WRX40" s="19"/>
      <c r="WRY40" s="19"/>
      <c r="WRZ40" s="19"/>
      <c r="WSA40" s="19"/>
      <c r="WSB40" s="19"/>
      <c r="WSC40" s="19"/>
      <c r="WSD40" s="19"/>
      <c r="WSE40" s="19"/>
      <c r="WSF40" s="19"/>
      <c r="WSG40" s="19"/>
      <c r="WSH40" s="19"/>
      <c r="WSI40" s="19"/>
      <c r="WSJ40" s="19"/>
      <c r="WSK40" s="19"/>
      <c r="WSL40" s="19"/>
      <c r="WSM40" s="19"/>
      <c r="WSN40" s="19"/>
      <c r="WSO40" s="19"/>
      <c r="WSP40" s="19"/>
      <c r="WSQ40" s="19"/>
      <c r="WSR40" s="19"/>
      <c r="WSS40" s="19"/>
      <c r="WST40" s="19"/>
      <c r="WSU40" s="19"/>
      <c r="WSV40" s="19"/>
      <c r="WSW40" s="19"/>
      <c r="WSX40" s="19"/>
      <c r="WSY40" s="19"/>
      <c r="WSZ40" s="19"/>
      <c r="WTA40" s="19"/>
      <c r="WTB40" s="19"/>
      <c r="WTC40" s="19"/>
      <c r="WTD40" s="19"/>
      <c r="WTE40" s="19"/>
      <c r="WTF40" s="19"/>
      <c r="WTG40" s="19"/>
      <c r="WTH40" s="19"/>
      <c r="WTI40" s="19"/>
      <c r="WTJ40" s="19"/>
      <c r="WTK40" s="19"/>
      <c r="WTL40" s="19"/>
      <c r="WTM40" s="19"/>
      <c r="WTN40" s="19"/>
      <c r="WTO40" s="19"/>
      <c r="WTP40" s="19"/>
      <c r="WTQ40" s="19"/>
      <c r="WTR40" s="19"/>
      <c r="WTS40" s="19"/>
      <c r="WTT40" s="19"/>
      <c r="WTU40" s="19"/>
      <c r="WTV40" s="19"/>
      <c r="WTW40" s="19"/>
      <c r="WTX40" s="19"/>
      <c r="WTY40" s="19"/>
      <c r="WTZ40" s="19"/>
      <c r="WUA40" s="19"/>
      <c r="WUB40" s="19"/>
      <c r="WUC40" s="19"/>
      <c r="WUD40" s="19"/>
      <c r="WUE40" s="19"/>
      <c r="WUF40" s="19"/>
      <c r="WUG40" s="19"/>
      <c r="WUH40" s="19"/>
      <c r="WUI40" s="19"/>
      <c r="WUJ40" s="19"/>
      <c r="WUK40" s="19"/>
      <c r="WUL40" s="19"/>
      <c r="WUM40" s="19"/>
      <c r="WUN40" s="19"/>
      <c r="WUO40" s="19"/>
      <c r="WUP40" s="19"/>
      <c r="WUQ40" s="19"/>
      <c r="WUR40" s="19"/>
      <c r="WUS40" s="19"/>
      <c r="WUT40" s="19"/>
      <c r="WUU40" s="19"/>
      <c r="WUV40" s="19"/>
      <c r="WUW40" s="19"/>
      <c r="WUX40" s="19"/>
      <c r="WUY40" s="19"/>
      <c r="WUZ40" s="19"/>
      <c r="WVA40" s="19"/>
      <c r="WVB40" s="19"/>
      <c r="WVC40" s="19"/>
      <c r="WVD40" s="19"/>
      <c r="WVE40" s="19"/>
      <c r="WVF40" s="19"/>
      <c r="WVG40" s="19"/>
      <c r="WVH40" s="19"/>
      <c r="WVI40" s="19"/>
      <c r="WVJ40" s="19"/>
      <c r="WVK40" s="19"/>
      <c r="WVL40" s="19"/>
      <c r="WVM40" s="19"/>
      <c r="WVN40" s="19"/>
      <c r="WVO40" s="19"/>
      <c r="WVP40" s="19"/>
      <c r="WVQ40" s="19"/>
      <c r="WVR40" s="19"/>
      <c r="WVS40" s="19"/>
      <c r="WVT40" s="19"/>
      <c r="WVU40" s="19"/>
      <c r="WVV40" s="19"/>
      <c r="WVW40" s="19"/>
      <c r="WVX40" s="19"/>
      <c r="WVY40" s="19"/>
      <c r="WVZ40" s="19"/>
      <c r="WWA40" s="19"/>
      <c r="WWB40" s="19"/>
      <c r="WWC40" s="19"/>
      <c r="WWD40" s="19"/>
      <c r="WWE40" s="19"/>
      <c r="WWF40" s="19"/>
      <c r="WWG40" s="19"/>
      <c r="WWH40" s="19"/>
      <c r="WWI40" s="19"/>
      <c r="WWJ40" s="19"/>
      <c r="WWK40" s="19"/>
      <c r="WWL40" s="19"/>
      <c r="WWM40" s="19"/>
      <c r="WWN40" s="19"/>
      <c r="WWO40" s="19"/>
      <c r="WWP40" s="19"/>
      <c r="WWQ40" s="19"/>
      <c r="WWR40" s="19"/>
      <c r="WWS40" s="19"/>
      <c r="WWT40" s="19"/>
      <c r="WWU40" s="19"/>
      <c r="WWV40" s="19"/>
      <c r="WWW40" s="19"/>
      <c r="WWX40" s="19"/>
      <c r="WWY40" s="19"/>
      <c r="WWZ40" s="19"/>
      <c r="WXA40" s="19"/>
      <c r="WXB40" s="19"/>
      <c r="WXC40" s="19"/>
      <c r="WXD40" s="19"/>
      <c r="WXE40" s="19"/>
      <c r="WXF40" s="19"/>
      <c r="WXG40" s="19"/>
      <c r="WXH40" s="19"/>
      <c r="WXI40" s="19"/>
      <c r="WXJ40" s="19"/>
      <c r="WXK40" s="19"/>
      <c r="WXL40" s="19"/>
      <c r="WXM40" s="19"/>
      <c r="WXN40" s="19"/>
      <c r="WXO40" s="19"/>
      <c r="WXP40" s="19"/>
      <c r="WXQ40" s="19"/>
      <c r="WXR40" s="19"/>
      <c r="WXS40" s="19"/>
      <c r="WXT40" s="19"/>
      <c r="WXU40" s="19"/>
      <c r="WXV40" s="19"/>
      <c r="WXW40" s="19"/>
      <c r="WXX40" s="19"/>
      <c r="WXY40" s="19"/>
      <c r="WXZ40" s="19"/>
      <c r="WYA40" s="19"/>
      <c r="WYB40" s="19"/>
      <c r="WYC40" s="19"/>
      <c r="WYD40" s="19"/>
      <c r="WYE40" s="19"/>
      <c r="WYF40" s="19"/>
      <c r="WYG40" s="19"/>
      <c r="WYH40" s="19"/>
      <c r="WYI40" s="19"/>
      <c r="WYJ40" s="19"/>
      <c r="WYK40" s="19"/>
      <c r="WYL40" s="19"/>
      <c r="WYM40" s="19"/>
      <c r="WYN40" s="19"/>
      <c r="WYO40" s="19"/>
      <c r="WYP40" s="19"/>
      <c r="WYQ40" s="19"/>
      <c r="WYR40" s="19"/>
      <c r="WYS40" s="19"/>
      <c r="WYT40" s="19"/>
      <c r="WYU40" s="19"/>
      <c r="WYV40" s="19"/>
      <c r="WYW40" s="19"/>
      <c r="WYX40" s="19"/>
      <c r="WYY40" s="19"/>
      <c r="WYZ40" s="19"/>
      <c r="WZA40" s="19"/>
      <c r="WZB40" s="19"/>
      <c r="WZC40" s="19"/>
      <c r="WZD40" s="19"/>
      <c r="WZE40" s="19"/>
      <c r="WZF40" s="19"/>
      <c r="WZG40" s="19"/>
      <c r="WZH40" s="19"/>
      <c r="WZI40" s="19"/>
      <c r="WZJ40" s="19"/>
      <c r="WZK40" s="19"/>
      <c r="WZL40" s="19"/>
      <c r="WZM40" s="19"/>
      <c r="WZN40" s="19"/>
      <c r="WZO40" s="19"/>
      <c r="WZP40" s="19"/>
      <c r="WZQ40" s="19"/>
      <c r="WZR40" s="19"/>
      <c r="WZS40" s="19"/>
      <c r="WZT40" s="19"/>
      <c r="WZU40" s="19"/>
      <c r="WZV40" s="19"/>
      <c r="WZW40" s="19"/>
      <c r="WZX40" s="19"/>
      <c r="WZY40" s="19"/>
      <c r="WZZ40" s="19"/>
      <c r="XAA40" s="19"/>
      <c r="XAB40" s="19"/>
      <c r="XAC40" s="19"/>
      <c r="XAD40" s="19"/>
      <c r="XAE40" s="19"/>
      <c r="XAF40" s="19"/>
      <c r="XAG40" s="19"/>
      <c r="XAH40" s="19"/>
      <c r="XAI40" s="19"/>
      <c r="XAJ40" s="19"/>
      <c r="XAK40" s="19"/>
      <c r="XAL40" s="19"/>
      <c r="XAM40" s="19"/>
      <c r="XAN40" s="19"/>
      <c r="XAO40" s="19"/>
      <c r="XAP40" s="19"/>
      <c r="XAQ40" s="19"/>
      <c r="XAR40" s="19"/>
      <c r="XAS40" s="19"/>
      <c r="XAT40" s="19"/>
      <c r="XAU40" s="19"/>
      <c r="XAV40" s="19"/>
      <c r="XAW40" s="19"/>
      <c r="XAX40" s="19"/>
      <c r="XAY40" s="19"/>
      <c r="XAZ40" s="19"/>
      <c r="XBA40" s="19"/>
      <c r="XBB40" s="19"/>
      <c r="XBC40" s="19"/>
      <c r="XBD40" s="19"/>
      <c r="XBE40" s="19"/>
      <c r="XBF40" s="19"/>
      <c r="XBG40" s="19"/>
      <c r="XBH40" s="19"/>
      <c r="XBI40" s="19"/>
      <c r="XBJ40" s="19"/>
      <c r="XBK40" s="19"/>
      <c r="XBL40" s="19"/>
      <c r="XBM40" s="19"/>
      <c r="XBN40" s="19"/>
      <c r="XBO40" s="19"/>
      <c r="XBP40" s="19"/>
      <c r="XBQ40" s="19"/>
      <c r="XBR40" s="19"/>
      <c r="XBS40" s="19"/>
      <c r="XBT40" s="19"/>
      <c r="XBU40" s="19"/>
      <c r="XBV40" s="19"/>
      <c r="XBW40" s="19"/>
      <c r="XBX40" s="19"/>
      <c r="XBY40" s="19"/>
      <c r="XBZ40" s="19"/>
      <c r="XCA40" s="19"/>
      <c r="XCB40" s="19"/>
      <c r="XCC40" s="19"/>
      <c r="XCD40" s="19"/>
      <c r="XCE40" s="19"/>
      <c r="XCF40" s="19"/>
      <c r="XCG40" s="19"/>
      <c r="XCH40" s="19"/>
      <c r="XCI40" s="19"/>
      <c r="XCJ40" s="19"/>
      <c r="XCK40" s="19"/>
      <c r="XCL40" s="19"/>
      <c r="XCM40" s="19"/>
      <c r="XCN40" s="19"/>
      <c r="XCO40" s="19"/>
      <c r="XCP40" s="19"/>
      <c r="XCQ40" s="19"/>
      <c r="XCR40" s="19"/>
      <c r="XCS40" s="19"/>
      <c r="XCT40" s="19"/>
      <c r="XCU40" s="19"/>
      <c r="XCV40" s="19"/>
      <c r="XCW40" s="19"/>
      <c r="XCX40" s="19"/>
      <c r="XCY40" s="19"/>
      <c r="XCZ40" s="19"/>
      <c r="XDA40" s="19"/>
      <c r="XDB40" s="19"/>
      <c r="XDC40" s="19"/>
      <c r="XDD40" s="19"/>
      <c r="XDE40" s="19"/>
      <c r="XDF40" s="19"/>
      <c r="XDG40" s="19"/>
      <c r="XDH40" s="19"/>
      <c r="XDI40" s="19"/>
      <c r="XDJ40" s="19"/>
      <c r="XDK40" s="19"/>
      <c r="XDL40" s="19"/>
      <c r="XDM40" s="19"/>
      <c r="XDN40" s="19"/>
      <c r="XDO40" s="19"/>
      <c r="XDP40" s="19"/>
      <c r="XDQ40" s="19"/>
      <c r="XDR40" s="19"/>
      <c r="XDS40" s="19"/>
      <c r="XDT40" s="19"/>
      <c r="XDU40" s="19"/>
      <c r="XDV40" s="19"/>
      <c r="XDW40" s="19"/>
      <c r="XDX40" s="19"/>
      <c r="XDY40" s="19"/>
      <c r="XDZ40" s="19"/>
      <c r="XEA40" s="19"/>
      <c r="XEB40" s="19"/>
      <c r="XEC40" s="19"/>
      <c r="XED40" s="19"/>
      <c r="XEE40" s="19"/>
      <c r="XEF40" s="19"/>
      <c r="XEG40" s="19"/>
      <c r="XEH40" s="19"/>
      <c r="XEI40" s="19"/>
      <c r="XEJ40" s="19"/>
      <c r="XEK40" s="19"/>
      <c r="XEL40" s="19"/>
      <c r="XEM40" s="19"/>
      <c r="XEN40" s="19"/>
      <c r="XEO40" s="19"/>
      <c r="XEP40" s="19"/>
      <c r="XEQ40" s="19"/>
      <c r="XER40" s="19"/>
      <c r="XES40" s="19"/>
      <c r="XET40" s="19"/>
      <c r="XEU40" s="19"/>
      <c r="XEV40" s="19"/>
      <c r="XEW40" s="19"/>
      <c r="XEX40" s="19"/>
      <c r="XEY40" s="19"/>
      <c r="XEZ40" s="19"/>
      <c r="XFA40" s="19"/>
      <c r="XFB40" s="19"/>
    </row>
    <row r="41" spans="1:16382" s="18" customFormat="1" ht="17.100000000000001" customHeight="1" x14ac:dyDescent="0.25">
      <c r="B41" s="233"/>
      <c r="D41" s="175" t="s">
        <v>1373</v>
      </c>
      <c r="E41" s="179"/>
      <c r="F41" s="179"/>
      <c r="G41" s="179"/>
      <c r="H41" s="179"/>
      <c r="I41" s="17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9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  <c r="LR41" s="19"/>
      <c r="LS41" s="19"/>
      <c r="LT41" s="19"/>
      <c r="LU41" s="19"/>
      <c r="LV41" s="19"/>
      <c r="LW41" s="19"/>
      <c r="LX41" s="19"/>
      <c r="LY41" s="19"/>
      <c r="LZ41" s="19"/>
      <c r="MA41" s="19"/>
      <c r="MB41" s="19"/>
      <c r="MC41" s="19"/>
      <c r="MD41" s="19"/>
      <c r="ME41" s="19"/>
      <c r="MF41" s="19"/>
      <c r="MG41" s="19"/>
      <c r="MH41" s="19"/>
      <c r="MI41" s="19"/>
      <c r="MJ41" s="19"/>
      <c r="MK41" s="19"/>
      <c r="ML41" s="19"/>
      <c r="MM41" s="19"/>
      <c r="MN41" s="19"/>
      <c r="MO41" s="19"/>
      <c r="MP41" s="19"/>
      <c r="MQ41" s="19"/>
      <c r="MR41" s="19"/>
      <c r="MS41" s="19"/>
      <c r="MT41" s="19"/>
      <c r="MU41" s="19"/>
      <c r="MV41" s="19"/>
      <c r="MW41" s="19"/>
      <c r="MX41" s="19"/>
      <c r="MY41" s="19"/>
      <c r="MZ41" s="19"/>
      <c r="NA41" s="19"/>
      <c r="NB41" s="19"/>
      <c r="NC41" s="19"/>
      <c r="ND41" s="19"/>
      <c r="NE41" s="19"/>
      <c r="NF41" s="19"/>
      <c r="NG41" s="19"/>
      <c r="NH41" s="19"/>
      <c r="NI41" s="19"/>
      <c r="NJ41" s="19"/>
      <c r="NK41" s="19"/>
      <c r="NL41" s="19"/>
      <c r="NM41" s="19"/>
      <c r="NN41" s="19"/>
      <c r="NO41" s="19"/>
      <c r="NP41" s="19"/>
      <c r="NQ41" s="19"/>
      <c r="NR41" s="19"/>
      <c r="NS41" s="19"/>
      <c r="NT41" s="19"/>
      <c r="NU41" s="19"/>
      <c r="NV41" s="19"/>
      <c r="NW41" s="19"/>
      <c r="NX41" s="19"/>
      <c r="NY41" s="19"/>
      <c r="NZ41" s="19"/>
      <c r="OA41" s="19"/>
      <c r="OB41" s="19"/>
      <c r="OC41" s="19"/>
      <c r="OD41" s="19"/>
      <c r="OE41" s="19"/>
      <c r="OF41" s="19"/>
      <c r="OG41" s="19"/>
      <c r="OH41" s="19"/>
      <c r="OI41" s="19"/>
      <c r="OJ41" s="19"/>
      <c r="OK41" s="19"/>
      <c r="OL41" s="19"/>
      <c r="OM41" s="19"/>
      <c r="ON41" s="19"/>
      <c r="OO41" s="19"/>
      <c r="OP41" s="19"/>
      <c r="OQ41" s="19"/>
      <c r="OR41" s="19"/>
      <c r="OS41" s="19"/>
      <c r="OT41" s="19"/>
      <c r="OU41" s="19"/>
      <c r="OV41" s="19"/>
      <c r="OW41" s="19"/>
      <c r="OX41" s="19"/>
      <c r="OY41" s="19"/>
      <c r="OZ41" s="19"/>
      <c r="PA41" s="19"/>
      <c r="PB41" s="19"/>
      <c r="PC41" s="19"/>
      <c r="PD41" s="19"/>
      <c r="PE41" s="19"/>
      <c r="PF41" s="19"/>
      <c r="PG41" s="19"/>
      <c r="PH41" s="19"/>
      <c r="PI41" s="19"/>
      <c r="PJ41" s="19"/>
      <c r="PK41" s="19"/>
      <c r="PL41" s="19"/>
      <c r="PM41" s="19"/>
      <c r="PN41" s="19"/>
      <c r="PO41" s="19"/>
      <c r="PP41" s="19"/>
      <c r="PQ41" s="19"/>
      <c r="PR41" s="19"/>
      <c r="PS41" s="19"/>
      <c r="PT41" s="19"/>
      <c r="PU41" s="19"/>
      <c r="PV41" s="19"/>
      <c r="PW41" s="19"/>
      <c r="PX41" s="19"/>
      <c r="PY41" s="19"/>
      <c r="PZ41" s="19"/>
      <c r="QA41" s="19"/>
      <c r="QB41" s="19"/>
      <c r="QC41" s="19"/>
      <c r="QD41" s="19"/>
      <c r="QE41" s="19"/>
      <c r="QF41" s="19"/>
      <c r="QG41" s="19"/>
      <c r="QH41" s="19"/>
      <c r="QI41" s="19"/>
      <c r="QJ41" s="19"/>
      <c r="QK41" s="19"/>
      <c r="QL41" s="19"/>
      <c r="QM41" s="19"/>
      <c r="QN41" s="19"/>
      <c r="QO41" s="19"/>
      <c r="QP41" s="19"/>
      <c r="QQ41" s="19"/>
      <c r="QR41" s="19"/>
      <c r="QS41" s="19"/>
      <c r="QT41" s="19"/>
      <c r="QU41" s="19"/>
      <c r="QV41" s="19"/>
      <c r="QW41" s="19"/>
      <c r="QX41" s="19"/>
      <c r="QY41" s="19"/>
      <c r="QZ41" s="19"/>
      <c r="RA41" s="19"/>
      <c r="RB41" s="19"/>
      <c r="RC41" s="19"/>
      <c r="RD41" s="19"/>
      <c r="RE41" s="19"/>
      <c r="RF41" s="19"/>
      <c r="RG41" s="19"/>
      <c r="RH41" s="19"/>
      <c r="RI41" s="19"/>
      <c r="RJ41" s="19"/>
      <c r="RK41" s="19"/>
      <c r="RL41" s="19"/>
      <c r="RM41" s="19"/>
      <c r="RN41" s="19"/>
      <c r="RO41" s="19"/>
      <c r="RP41" s="19"/>
      <c r="RQ41" s="19"/>
      <c r="RR41" s="19"/>
      <c r="RS41" s="19"/>
      <c r="RT41" s="19"/>
      <c r="RU41" s="19"/>
      <c r="RV41" s="19"/>
      <c r="RW41" s="19"/>
      <c r="RX41" s="19"/>
      <c r="RY41" s="19"/>
      <c r="RZ41" s="19"/>
      <c r="SA41" s="19"/>
      <c r="SB41" s="19"/>
      <c r="SC41" s="19"/>
      <c r="SD41" s="19"/>
      <c r="SE41" s="19"/>
      <c r="SF41" s="19"/>
      <c r="SG41" s="19"/>
      <c r="SH41" s="19"/>
      <c r="SI41" s="19"/>
      <c r="SJ41" s="19"/>
      <c r="SK41" s="19"/>
      <c r="SL41" s="19"/>
      <c r="SM41" s="19"/>
      <c r="SN41" s="19"/>
      <c r="SO41" s="19"/>
      <c r="SP41" s="19"/>
      <c r="SQ41" s="19"/>
      <c r="SR41" s="19"/>
      <c r="SS41" s="19"/>
      <c r="ST41" s="19"/>
      <c r="SU41" s="19"/>
      <c r="SV41" s="19"/>
      <c r="SW41" s="19"/>
      <c r="SX41" s="19"/>
      <c r="SY41" s="19"/>
      <c r="SZ41" s="19"/>
      <c r="TA41" s="19"/>
      <c r="TB41" s="19"/>
      <c r="TC41" s="19"/>
      <c r="TD41" s="19"/>
      <c r="TE41" s="19"/>
      <c r="TF41" s="19"/>
      <c r="TG41" s="19"/>
      <c r="TH41" s="19"/>
      <c r="TI41" s="19"/>
      <c r="TJ41" s="19"/>
      <c r="TK41" s="19"/>
      <c r="TL41" s="19"/>
      <c r="TM41" s="19"/>
      <c r="TN41" s="19"/>
      <c r="TO41" s="19"/>
      <c r="TP41" s="19"/>
      <c r="TQ41" s="19"/>
      <c r="TR41" s="19"/>
      <c r="TS41" s="19"/>
      <c r="TT41" s="19"/>
      <c r="TU41" s="19"/>
      <c r="TV41" s="19"/>
      <c r="TW41" s="19"/>
      <c r="TX41" s="19"/>
      <c r="TY41" s="19"/>
      <c r="TZ41" s="19"/>
      <c r="UA41" s="19"/>
      <c r="UB41" s="19"/>
      <c r="UC41" s="19"/>
      <c r="UD41" s="19"/>
      <c r="UE41" s="19"/>
      <c r="UF41" s="19"/>
      <c r="UG41" s="19"/>
      <c r="UH41" s="19"/>
      <c r="UI41" s="19"/>
      <c r="UJ41" s="19"/>
      <c r="UK41" s="19"/>
      <c r="UL41" s="19"/>
      <c r="UM41" s="19"/>
      <c r="UN41" s="19"/>
      <c r="UO41" s="19"/>
      <c r="UP41" s="19"/>
      <c r="UQ41" s="19"/>
      <c r="UR41" s="19"/>
      <c r="US41" s="19"/>
      <c r="UT41" s="19"/>
      <c r="UU41" s="19"/>
      <c r="UV41" s="19"/>
      <c r="UW41" s="19"/>
      <c r="UX41" s="19"/>
      <c r="UY41" s="19"/>
      <c r="UZ41" s="19"/>
      <c r="VA41" s="19"/>
      <c r="VB41" s="19"/>
      <c r="VC41" s="19"/>
      <c r="VD41" s="19"/>
      <c r="VE41" s="19"/>
      <c r="VF41" s="19"/>
      <c r="VG41" s="19"/>
      <c r="VH41" s="19"/>
      <c r="VI41" s="19"/>
      <c r="VJ41" s="19"/>
      <c r="VK41" s="19"/>
      <c r="VL41" s="19"/>
      <c r="VM41" s="19"/>
      <c r="VN41" s="19"/>
      <c r="VO41" s="19"/>
      <c r="VP41" s="19"/>
      <c r="VQ41" s="19"/>
      <c r="VR41" s="19"/>
      <c r="VS41" s="19"/>
      <c r="VT41" s="19"/>
      <c r="VU41" s="19"/>
      <c r="VV41" s="19"/>
      <c r="VW41" s="19"/>
      <c r="VX41" s="19"/>
      <c r="VY41" s="19"/>
      <c r="VZ41" s="19"/>
      <c r="WA41" s="19"/>
      <c r="WB41" s="19"/>
      <c r="WC41" s="19"/>
      <c r="WD41" s="19"/>
      <c r="WE41" s="19"/>
      <c r="WF41" s="19"/>
      <c r="WG41" s="19"/>
      <c r="WH41" s="19"/>
      <c r="WI41" s="19"/>
      <c r="WJ41" s="19"/>
      <c r="WK41" s="19"/>
      <c r="WL41" s="19"/>
      <c r="WM41" s="19"/>
      <c r="WN41" s="19"/>
      <c r="WO41" s="19"/>
      <c r="WP41" s="19"/>
      <c r="WQ41" s="19"/>
      <c r="WR41" s="19"/>
      <c r="WS41" s="19"/>
      <c r="WT41" s="19"/>
      <c r="WU41" s="19"/>
      <c r="WV41" s="19"/>
      <c r="WW41" s="19"/>
      <c r="WX41" s="19"/>
      <c r="WY41" s="19"/>
      <c r="WZ41" s="19"/>
      <c r="XA41" s="19"/>
      <c r="XB41" s="19"/>
      <c r="XC41" s="19"/>
      <c r="XD41" s="19"/>
      <c r="XE41" s="19"/>
      <c r="XF41" s="19"/>
      <c r="XG41" s="19"/>
      <c r="XH41" s="19"/>
      <c r="XI41" s="19"/>
      <c r="XJ41" s="19"/>
      <c r="XK41" s="19"/>
      <c r="XL41" s="19"/>
      <c r="XM41" s="19"/>
      <c r="XN41" s="19"/>
      <c r="XO41" s="19"/>
      <c r="XP41" s="19"/>
      <c r="XQ41" s="19"/>
      <c r="XR41" s="19"/>
      <c r="XS41" s="19"/>
      <c r="XT41" s="19"/>
      <c r="XU41" s="19"/>
      <c r="XV41" s="19"/>
      <c r="XW41" s="19"/>
      <c r="XX41" s="19"/>
      <c r="XY41" s="19"/>
      <c r="XZ41" s="19"/>
      <c r="YA41" s="19"/>
      <c r="YB41" s="19"/>
      <c r="YC41" s="19"/>
      <c r="YD41" s="19"/>
      <c r="YE41" s="19"/>
      <c r="YF41" s="19"/>
      <c r="YG41" s="19"/>
      <c r="YH41" s="19"/>
      <c r="YI41" s="19"/>
      <c r="YJ41" s="19"/>
      <c r="YK41" s="19"/>
      <c r="YL41" s="19"/>
      <c r="YM41" s="19"/>
      <c r="YN41" s="19"/>
      <c r="YO41" s="19"/>
      <c r="YP41" s="19"/>
      <c r="YQ41" s="19"/>
      <c r="YR41" s="19"/>
      <c r="YS41" s="19"/>
      <c r="YT41" s="19"/>
      <c r="YU41" s="19"/>
      <c r="YV41" s="19"/>
      <c r="YW41" s="19"/>
      <c r="YX41" s="19"/>
      <c r="YY41" s="19"/>
      <c r="YZ41" s="19"/>
      <c r="ZA41" s="19"/>
      <c r="ZB41" s="19"/>
      <c r="ZC41" s="19"/>
      <c r="ZD41" s="19"/>
      <c r="ZE41" s="19"/>
      <c r="ZF41" s="19"/>
      <c r="ZG41" s="19"/>
      <c r="ZH41" s="19"/>
      <c r="ZI41" s="19"/>
      <c r="ZJ41" s="19"/>
      <c r="ZK41" s="19"/>
      <c r="ZL41" s="19"/>
      <c r="ZM41" s="19"/>
      <c r="ZN41" s="19"/>
      <c r="ZO41" s="19"/>
      <c r="ZP41" s="19"/>
      <c r="ZQ41" s="19"/>
      <c r="ZR41" s="19"/>
      <c r="ZS41" s="19"/>
      <c r="ZT41" s="19"/>
      <c r="ZU41" s="19"/>
      <c r="ZV41" s="19"/>
      <c r="ZW41" s="19"/>
      <c r="ZX41" s="19"/>
      <c r="ZY41" s="19"/>
      <c r="ZZ41" s="19"/>
      <c r="AAA41" s="19"/>
      <c r="AAB41" s="19"/>
      <c r="AAC41" s="19"/>
      <c r="AAD41" s="19"/>
      <c r="AAE41" s="19"/>
      <c r="AAF41" s="19"/>
      <c r="AAG41" s="19"/>
      <c r="AAH41" s="19"/>
      <c r="AAI41" s="19"/>
      <c r="AAJ41" s="19"/>
      <c r="AAK41" s="19"/>
      <c r="AAL41" s="19"/>
      <c r="AAM41" s="19"/>
      <c r="AAN41" s="19"/>
      <c r="AAO41" s="19"/>
      <c r="AAP41" s="19"/>
      <c r="AAQ41" s="19"/>
      <c r="AAR41" s="19"/>
      <c r="AAS41" s="19"/>
      <c r="AAT41" s="19"/>
      <c r="AAU41" s="19"/>
      <c r="AAV41" s="19"/>
      <c r="AAW41" s="19"/>
      <c r="AAX41" s="19"/>
      <c r="AAY41" s="19"/>
      <c r="AAZ41" s="19"/>
      <c r="ABA41" s="19"/>
      <c r="ABB41" s="19"/>
      <c r="ABC41" s="19"/>
      <c r="ABD41" s="19"/>
      <c r="ABE41" s="19"/>
      <c r="ABF41" s="19"/>
      <c r="ABG41" s="19"/>
      <c r="ABH41" s="19"/>
      <c r="ABI41" s="19"/>
      <c r="ABJ41" s="19"/>
      <c r="ABK41" s="19"/>
      <c r="ABL41" s="19"/>
      <c r="ABM41" s="19"/>
      <c r="ABN41" s="19"/>
      <c r="ABO41" s="19"/>
      <c r="ABP41" s="19"/>
      <c r="ABQ41" s="19"/>
      <c r="ABR41" s="19"/>
      <c r="ABS41" s="19"/>
      <c r="ABT41" s="19"/>
      <c r="ABU41" s="19"/>
      <c r="ABV41" s="19"/>
      <c r="ABW41" s="19"/>
      <c r="ABX41" s="19"/>
      <c r="ABY41" s="19"/>
      <c r="ABZ41" s="19"/>
      <c r="ACA41" s="19"/>
      <c r="ACB41" s="19"/>
      <c r="ACC41" s="19"/>
      <c r="ACD41" s="19"/>
      <c r="ACE41" s="19"/>
      <c r="ACF41" s="19"/>
      <c r="ACG41" s="19"/>
      <c r="ACH41" s="19"/>
      <c r="ACI41" s="19"/>
      <c r="ACJ41" s="19"/>
      <c r="ACK41" s="19"/>
      <c r="ACL41" s="19"/>
      <c r="ACM41" s="19"/>
      <c r="ACN41" s="19"/>
      <c r="ACO41" s="19"/>
      <c r="ACP41" s="19"/>
      <c r="ACQ41" s="19"/>
      <c r="ACR41" s="19"/>
      <c r="ACS41" s="19"/>
      <c r="ACT41" s="19"/>
      <c r="ACU41" s="19"/>
      <c r="ACV41" s="19"/>
      <c r="ACW41" s="19"/>
      <c r="ACX41" s="19"/>
      <c r="ACY41" s="19"/>
      <c r="ACZ41" s="19"/>
      <c r="ADA41" s="19"/>
      <c r="ADB41" s="19"/>
      <c r="ADC41" s="19"/>
      <c r="ADD41" s="19"/>
      <c r="ADE41" s="19"/>
      <c r="ADF41" s="19"/>
      <c r="ADG41" s="19"/>
      <c r="ADH41" s="19"/>
      <c r="ADI41" s="19"/>
      <c r="ADJ41" s="19"/>
      <c r="ADK41" s="19"/>
      <c r="ADL41" s="19"/>
      <c r="ADM41" s="19"/>
      <c r="ADN41" s="19"/>
      <c r="ADO41" s="19"/>
      <c r="ADP41" s="19"/>
      <c r="ADQ41" s="19"/>
      <c r="ADR41" s="19"/>
      <c r="ADS41" s="19"/>
      <c r="ADT41" s="19"/>
      <c r="ADU41" s="19"/>
      <c r="ADV41" s="19"/>
      <c r="ADW41" s="19"/>
      <c r="ADX41" s="19"/>
      <c r="ADY41" s="19"/>
      <c r="ADZ41" s="19"/>
      <c r="AEA41" s="19"/>
      <c r="AEB41" s="19"/>
      <c r="AEC41" s="19"/>
      <c r="AED41" s="19"/>
      <c r="AEE41" s="19"/>
      <c r="AEF41" s="19"/>
      <c r="AEG41" s="19"/>
      <c r="AEH41" s="19"/>
      <c r="AEI41" s="19"/>
      <c r="AEJ41" s="19"/>
      <c r="AEK41" s="19"/>
      <c r="AEL41" s="19"/>
      <c r="AEM41" s="19"/>
      <c r="AEN41" s="19"/>
      <c r="AEO41" s="19"/>
      <c r="AEP41" s="19"/>
      <c r="AEQ41" s="19"/>
      <c r="AER41" s="19"/>
      <c r="AES41" s="19"/>
      <c r="AET41" s="19"/>
      <c r="AEU41" s="19"/>
      <c r="AEV41" s="19"/>
      <c r="AEW41" s="19"/>
      <c r="AEX41" s="19"/>
      <c r="AEY41" s="19"/>
      <c r="AEZ41" s="19"/>
      <c r="AFA41" s="19"/>
      <c r="AFB41" s="19"/>
      <c r="AFC41" s="19"/>
      <c r="AFD41" s="19"/>
      <c r="AFE41" s="19"/>
      <c r="AFF41" s="19"/>
      <c r="AFG41" s="19"/>
      <c r="AFH41" s="19"/>
      <c r="AFI41" s="19"/>
      <c r="AFJ41" s="19"/>
      <c r="AFK41" s="19"/>
      <c r="AFL41" s="19"/>
      <c r="AFM41" s="19"/>
      <c r="AFN41" s="19"/>
      <c r="AFO41" s="19"/>
      <c r="AFP41" s="19"/>
      <c r="AFQ41" s="19"/>
      <c r="AFR41" s="19"/>
      <c r="AFS41" s="19"/>
      <c r="AFT41" s="19"/>
      <c r="AFU41" s="19"/>
      <c r="AFV41" s="19"/>
      <c r="AFW41" s="19"/>
      <c r="AFX41" s="19"/>
      <c r="AFY41" s="19"/>
      <c r="AFZ41" s="19"/>
      <c r="AGA41" s="19"/>
      <c r="AGB41" s="19"/>
      <c r="AGC41" s="19"/>
      <c r="AGD41" s="19"/>
      <c r="AGE41" s="19"/>
      <c r="AGF41" s="19"/>
      <c r="AGG41" s="19"/>
      <c r="AGH41" s="19"/>
      <c r="AGI41" s="19"/>
      <c r="AGJ41" s="19"/>
      <c r="AGK41" s="19"/>
      <c r="AGL41" s="19"/>
      <c r="AGM41" s="19"/>
      <c r="AGN41" s="19"/>
      <c r="AGO41" s="19"/>
      <c r="AGP41" s="19"/>
      <c r="AGQ41" s="19"/>
      <c r="AGR41" s="19"/>
      <c r="AGS41" s="19"/>
      <c r="AGT41" s="19"/>
      <c r="AGU41" s="19"/>
      <c r="AGV41" s="19"/>
      <c r="AGW41" s="19"/>
      <c r="AGX41" s="19"/>
      <c r="AGY41" s="19"/>
      <c r="AGZ41" s="19"/>
      <c r="AHA41" s="19"/>
      <c r="AHB41" s="19"/>
      <c r="AHC41" s="19"/>
      <c r="AHD41" s="19"/>
      <c r="AHE41" s="19"/>
      <c r="AHF41" s="19"/>
      <c r="AHG41" s="19"/>
      <c r="AHH41" s="19"/>
      <c r="AHI41" s="19"/>
      <c r="AHJ41" s="19"/>
      <c r="AHK41" s="19"/>
      <c r="AHL41" s="19"/>
      <c r="AHM41" s="19"/>
      <c r="AHN41" s="19"/>
      <c r="AHO41" s="19"/>
      <c r="AHP41" s="19"/>
      <c r="AHQ41" s="19"/>
      <c r="AHR41" s="19"/>
      <c r="AHS41" s="19"/>
      <c r="AHT41" s="19"/>
      <c r="AHU41" s="19"/>
      <c r="AHV41" s="19"/>
      <c r="AHW41" s="19"/>
      <c r="AHX41" s="19"/>
      <c r="AHY41" s="19"/>
      <c r="AHZ41" s="19"/>
      <c r="AIA41" s="19"/>
      <c r="AIB41" s="19"/>
      <c r="AIC41" s="19"/>
      <c r="AID41" s="19"/>
      <c r="AIE41" s="19"/>
      <c r="AIF41" s="19"/>
      <c r="AIG41" s="19"/>
      <c r="AIH41" s="19"/>
      <c r="AII41" s="19"/>
      <c r="AIJ41" s="19"/>
      <c r="AIK41" s="19"/>
      <c r="AIL41" s="19"/>
      <c r="AIM41" s="19"/>
      <c r="AIN41" s="19"/>
      <c r="AIO41" s="19"/>
      <c r="AIP41" s="19"/>
      <c r="AIQ41" s="19"/>
      <c r="AIR41" s="19"/>
      <c r="AIS41" s="19"/>
      <c r="AIT41" s="19"/>
      <c r="AIU41" s="19"/>
      <c r="AIV41" s="19"/>
      <c r="AIW41" s="19"/>
      <c r="AIX41" s="19"/>
      <c r="AIY41" s="19"/>
      <c r="AIZ41" s="19"/>
      <c r="AJA41" s="19"/>
      <c r="AJB41" s="19"/>
      <c r="AJC41" s="19"/>
      <c r="AJD41" s="19"/>
      <c r="AJE41" s="19"/>
      <c r="AJF41" s="19"/>
      <c r="AJG41" s="19"/>
      <c r="AJH41" s="19"/>
      <c r="AJI41" s="19"/>
      <c r="AJJ41" s="19"/>
      <c r="AJK41" s="19"/>
      <c r="AJL41" s="19"/>
      <c r="AJM41" s="19"/>
      <c r="AJN41" s="19"/>
      <c r="AJO41" s="19"/>
      <c r="AJP41" s="19"/>
      <c r="AJQ41" s="19"/>
      <c r="AJR41" s="19"/>
      <c r="AJS41" s="19"/>
      <c r="AJT41" s="19"/>
      <c r="AJU41" s="19"/>
      <c r="AJV41" s="19"/>
      <c r="AJW41" s="19"/>
      <c r="AJX41" s="19"/>
      <c r="AJY41" s="19"/>
      <c r="AJZ41" s="19"/>
      <c r="AKA41" s="19"/>
      <c r="AKB41" s="19"/>
      <c r="AKC41" s="19"/>
      <c r="AKD41" s="19"/>
      <c r="AKE41" s="19"/>
      <c r="AKF41" s="19"/>
      <c r="AKG41" s="19"/>
      <c r="AKH41" s="19"/>
      <c r="AKI41" s="19"/>
      <c r="AKJ41" s="19"/>
      <c r="AKK41" s="19"/>
      <c r="AKL41" s="19"/>
      <c r="AKM41" s="19"/>
      <c r="AKN41" s="19"/>
      <c r="AKO41" s="19"/>
      <c r="AKP41" s="19"/>
      <c r="AKQ41" s="19"/>
      <c r="AKR41" s="19"/>
      <c r="AKS41" s="19"/>
      <c r="AKT41" s="19"/>
      <c r="AKU41" s="19"/>
      <c r="AKV41" s="19"/>
      <c r="AKW41" s="19"/>
      <c r="AKX41" s="19"/>
      <c r="AKY41" s="19"/>
      <c r="AKZ41" s="19"/>
      <c r="ALA41" s="19"/>
      <c r="ALB41" s="19"/>
      <c r="ALC41" s="19"/>
      <c r="ALD41" s="19"/>
      <c r="ALE41" s="19"/>
      <c r="ALF41" s="19"/>
      <c r="ALG41" s="19"/>
      <c r="ALH41" s="19"/>
      <c r="ALI41" s="19"/>
      <c r="ALJ41" s="19"/>
      <c r="ALK41" s="19"/>
      <c r="ALL41" s="19"/>
      <c r="ALM41" s="19"/>
      <c r="ALN41" s="19"/>
      <c r="ALO41" s="19"/>
      <c r="ALP41" s="19"/>
      <c r="ALQ41" s="19"/>
      <c r="ALR41" s="19"/>
      <c r="ALS41" s="19"/>
      <c r="ALT41" s="19"/>
      <c r="ALU41" s="19"/>
      <c r="ALV41" s="19"/>
      <c r="ALW41" s="19"/>
      <c r="ALX41" s="19"/>
      <c r="ALY41" s="19"/>
      <c r="ALZ41" s="19"/>
      <c r="AMA41" s="19"/>
      <c r="AMB41" s="19"/>
      <c r="AMC41" s="19"/>
      <c r="AMD41" s="19"/>
      <c r="AME41" s="19"/>
      <c r="AMF41" s="19"/>
      <c r="AMG41" s="19"/>
      <c r="AMH41" s="19"/>
      <c r="AMI41" s="19"/>
      <c r="AMJ41" s="19"/>
      <c r="AMK41" s="19"/>
      <c r="AML41" s="19"/>
      <c r="AMM41" s="19"/>
      <c r="AMN41" s="19"/>
      <c r="AMO41" s="19"/>
      <c r="AMP41" s="19"/>
      <c r="AMQ41" s="19"/>
      <c r="AMR41" s="19"/>
      <c r="AMS41" s="19"/>
      <c r="AMT41" s="19"/>
      <c r="AMU41" s="19"/>
      <c r="AMV41" s="19"/>
      <c r="AMW41" s="19"/>
      <c r="AMX41" s="19"/>
      <c r="AMY41" s="19"/>
      <c r="AMZ41" s="19"/>
      <c r="ANA41" s="19"/>
      <c r="ANB41" s="19"/>
      <c r="ANC41" s="19"/>
      <c r="AND41" s="19"/>
      <c r="ANE41" s="19"/>
      <c r="ANF41" s="19"/>
      <c r="ANG41" s="19"/>
      <c r="ANH41" s="19"/>
      <c r="ANI41" s="19"/>
      <c r="ANJ41" s="19"/>
      <c r="ANK41" s="19"/>
      <c r="ANL41" s="19"/>
      <c r="ANM41" s="19"/>
      <c r="ANN41" s="19"/>
      <c r="ANO41" s="19"/>
      <c r="ANP41" s="19"/>
      <c r="ANQ41" s="19"/>
      <c r="ANR41" s="19"/>
      <c r="ANS41" s="19"/>
      <c r="ANT41" s="19"/>
      <c r="ANU41" s="19"/>
      <c r="ANV41" s="19"/>
      <c r="ANW41" s="19"/>
      <c r="ANX41" s="19"/>
      <c r="ANY41" s="19"/>
      <c r="ANZ41" s="19"/>
      <c r="AOA41" s="19"/>
      <c r="AOB41" s="19"/>
      <c r="AOC41" s="19"/>
      <c r="AOD41" s="19"/>
      <c r="AOE41" s="19"/>
      <c r="AOF41" s="19"/>
      <c r="AOG41" s="19"/>
      <c r="AOH41" s="19"/>
      <c r="AOI41" s="19"/>
      <c r="AOJ41" s="19"/>
      <c r="AOK41" s="19"/>
      <c r="AOL41" s="19"/>
      <c r="AOM41" s="19"/>
      <c r="AON41" s="19"/>
      <c r="AOO41" s="19"/>
      <c r="AOP41" s="19"/>
      <c r="AOQ41" s="19"/>
      <c r="AOR41" s="19"/>
      <c r="AOS41" s="19"/>
      <c r="AOT41" s="19"/>
      <c r="AOU41" s="19"/>
      <c r="AOV41" s="19"/>
      <c r="AOW41" s="19"/>
      <c r="AOX41" s="19"/>
      <c r="AOY41" s="19"/>
      <c r="AOZ41" s="19"/>
      <c r="APA41" s="19"/>
      <c r="APB41" s="19"/>
      <c r="APC41" s="19"/>
      <c r="APD41" s="19"/>
      <c r="APE41" s="19"/>
      <c r="APF41" s="19"/>
      <c r="APG41" s="19"/>
      <c r="APH41" s="19"/>
      <c r="API41" s="19"/>
      <c r="APJ41" s="19"/>
      <c r="APK41" s="19"/>
      <c r="APL41" s="19"/>
      <c r="APM41" s="19"/>
      <c r="APN41" s="19"/>
      <c r="APO41" s="19"/>
      <c r="APP41" s="19"/>
      <c r="APQ41" s="19"/>
      <c r="APR41" s="19"/>
      <c r="APS41" s="19"/>
      <c r="APT41" s="19"/>
      <c r="APU41" s="19"/>
      <c r="APV41" s="19"/>
      <c r="APW41" s="19"/>
      <c r="APX41" s="19"/>
      <c r="APY41" s="19"/>
      <c r="APZ41" s="19"/>
      <c r="AQA41" s="19"/>
      <c r="AQB41" s="19"/>
      <c r="AQC41" s="19"/>
      <c r="AQD41" s="19"/>
      <c r="AQE41" s="19"/>
      <c r="AQF41" s="19"/>
      <c r="AQG41" s="19"/>
      <c r="AQH41" s="19"/>
      <c r="AQI41" s="19"/>
      <c r="AQJ41" s="19"/>
      <c r="AQK41" s="19"/>
      <c r="AQL41" s="19"/>
      <c r="AQM41" s="19"/>
      <c r="AQN41" s="19"/>
      <c r="AQO41" s="19"/>
      <c r="AQP41" s="19"/>
      <c r="AQQ41" s="19"/>
      <c r="AQR41" s="19"/>
      <c r="AQS41" s="19"/>
      <c r="AQT41" s="19"/>
      <c r="AQU41" s="19"/>
      <c r="AQV41" s="19"/>
      <c r="AQW41" s="19"/>
      <c r="AQX41" s="19"/>
      <c r="AQY41" s="19"/>
      <c r="AQZ41" s="19"/>
      <c r="ARA41" s="19"/>
      <c r="ARB41" s="19"/>
      <c r="ARC41" s="19"/>
      <c r="ARD41" s="19"/>
      <c r="ARE41" s="19"/>
      <c r="ARF41" s="19"/>
      <c r="ARG41" s="19"/>
      <c r="ARH41" s="19"/>
      <c r="ARI41" s="19"/>
      <c r="ARJ41" s="19"/>
      <c r="ARK41" s="19"/>
      <c r="ARL41" s="19"/>
      <c r="ARM41" s="19"/>
      <c r="ARN41" s="19"/>
      <c r="ARO41" s="19"/>
      <c r="ARP41" s="19"/>
      <c r="ARQ41" s="19"/>
      <c r="ARR41" s="19"/>
      <c r="ARS41" s="19"/>
      <c r="ART41" s="19"/>
      <c r="ARU41" s="19"/>
      <c r="ARV41" s="19"/>
      <c r="ARW41" s="19"/>
      <c r="ARX41" s="19"/>
      <c r="ARY41" s="19"/>
      <c r="ARZ41" s="19"/>
      <c r="ASA41" s="19"/>
      <c r="ASB41" s="19"/>
      <c r="ASC41" s="19"/>
      <c r="ASD41" s="19"/>
      <c r="ASE41" s="19"/>
      <c r="ASF41" s="19"/>
      <c r="ASG41" s="19"/>
      <c r="ASH41" s="19"/>
      <c r="ASI41" s="19"/>
      <c r="ASJ41" s="19"/>
      <c r="ASK41" s="19"/>
      <c r="ASL41" s="19"/>
      <c r="ASM41" s="19"/>
      <c r="ASN41" s="19"/>
      <c r="ASO41" s="19"/>
      <c r="ASP41" s="19"/>
      <c r="ASQ41" s="19"/>
      <c r="ASR41" s="19"/>
      <c r="ASS41" s="19"/>
      <c r="AST41" s="19"/>
      <c r="ASU41" s="19"/>
      <c r="ASV41" s="19"/>
      <c r="ASW41" s="19"/>
      <c r="ASX41" s="19"/>
      <c r="ASY41" s="19"/>
      <c r="ASZ41" s="19"/>
      <c r="ATA41" s="19"/>
      <c r="ATB41" s="19"/>
      <c r="ATC41" s="19"/>
      <c r="ATD41" s="19"/>
      <c r="ATE41" s="19"/>
      <c r="ATF41" s="19"/>
      <c r="ATG41" s="19"/>
      <c r="ATH41" s="19"/>
      <c r="ATI41" s="19"/>
      <c r="ATJ41" s="19"/>
      <c r="ATK41" s="19"/>
      <c r="ATL41" s="19"/>
      <c r="ATM41" s="19"/>
      <c r="ATN41" s="19"/>
      <c r="ATO41" s="19"/>
      <c r="ATP41" s="19"/>
      <c r="ATQ41" s="19"/>
      <c r="ATR41" s="19"/>
      <c r="ATS41" s="19"/>
      <c r="ATT41" s="19"/>
      <c r="ATU41" s="19"/>
      <c r="ATV41" s="19"/>
      <c r="ATW41" s="19"/>
      <c r="ATX41" s="19"/>
      <c r="ATY41" s="19"/>
      <c r="ATZ41" s="19"/>
      <c r="AUA41" s="19"/>
      <c r="AUB41" s="19"/>
      <c r="AUC41" s="19"/>
      <c r="AUD41" s="19"/>
      <c r="AUE41" s="19"/>
      <c r="AUF41" s="19"/>
      <c r="AUG41" s="19"/>
      <c r="AUH41" s="19"/>
      <c r="AUI41" s="19"/>
      <c r="AUJ41" s="19"/>
      <c r="AUK41" s="19"/>
      <c r="AUL41" s="19"/>
      <c r="AUM41" s="19"/>
      <c r="AUN41" s="19"/>
      <c r="AUO41" s="19"/>
      <c r="AUP41" s="19"/>
      <c r="AUQ41" s="19"/>
      <c r="AUR41" s="19"/>
      <c r="AUS41" s="19"/>
      <c r="AUT41" s="19"/>
      <c r="AUU41" s="19"/>
      <c r="AUV41" s="19"/>
      <c r="AUW41" s="19"/>
      <c r="AUX41" s="19"/>
      <c r="AUY41" s="19"/>
      <c r="AUZ41" s="19"/>
      <c r="AVA41" s="19"/>
      <c r="AVB41" s="19"/>
      <c r="AVC41" s="19"/>
      <c r="AVD41" s="19"/>
      <c r="AVE41" s="19"/>
      <c r="AVF41" s="19"/>
      <c r="AVG41" s="19"/>
      <c r="AVH41" s="19"/>
      <c r="AVI41" s="19"/>
      <c r="AVJ41" s="19"/>
      <c r="AVK41" s="19"/>
      <c r="AVL41" s="19"/>
      <c r="AVM41" s="19"/>
      <c r="AVN41" s="19"/>
      <c r="AVO41" s="19"/>
      <c r="AVP41" s="19"/>
      <c r="AVQ41" s="19"/>
      <c r="AVR41" s="19"/>
      <c r="AVS41" s="19"/>
      <c r="AVT41" s="19"/>
      <c r="AVU41" s="19"/>
      <c r="AVV41" s="19"/>
      <c r="AVW41" s="19"/>
      <c r="AVX41" s="19"/>
      <c r="AVY41" s="19"/>
      <c r="AVZ41" s="19"/>
      <c r="AWA41" s="19"/>
      <c r="AWB41" s="19"/>
      <c r="AWC41" s="19"/>
      <c r="AWD41" s="19"/>
      <c r="AWE41" s="19"/>
      <c r="AWF41" s="19"/>
      <c r="AWG41" s="19"/>
      <c r="AWH41" s="19"/>
      <c r="AWI41" s="19"/>
      <c r="AWJ41" s="19"/>
      <c r="AWK41" s="19"/>
      <c r="AWL41" s="19"/>
      <c r="AWM41" s="19"/>
      <c r="AWN41" s="19"/>
      <c r="AWO41" s="19"/>
      <c r="AWP41" s="19"/>
      <c r="AWQ41" s="19"/>
      <c r="AWR41" s="19"/>
      <c r="AWS41" s="19"/>
      <c r="AWT41" s="19"/>
      <c r="AWU41" s="19"/>
      <c r="AWV41" s="19"/>
      <c r="AWW41" s="19"/>
      <c r="AWX41" s="19"/>
      <c r="AWY41" s="19"/>
      <c r="AWZ41" s="19"/>
      <c r="AXA41" s="19"/>
      <c r="AXB41" s="19"/>
      <c r="AXC41" s="19"/>
      <c r="AXD41" s="19"/>
      <c r="AXE41" s="19"/>
      <c r="AXF41" s="19"/>
      <c r="AXG41" s="19"/>
      <c r="AXH41" s="19"/>
      <c r="AXI41" s="19"/>
      <c r="AXJ41" s="19"/>
      <c r="AXK41" s="19"/>
      <c r="AXL41" s="19"/>
      <c r="AXM41" s="19"/>
      <c r="AXN41" s="19"/>
      <c r="AXO41" s="19"/>
      <c r="AXP41" s="19"/>
      <c r="AXQ41" s="19"/>
      <c r="AXR41" s="19"/>
      <c r="AXS41" s="19"/>
      <c r="AXT41" s="19"/>
      <c r="AXU41" s="19"/>
      <c r="AXV41" s="19"/>
      <c r="AXW41" s="19"/>
      <c r="AXX41" s="19"/>
      <c r="AXY41" s="19"/>
      <c r="AXZ41" s="19"/>
      <c r="AYA41" s="19"/>
      <c r="AYB41" s="19"/>
      <c r="AYC41" s="19"/>
      <c r="AYD41" s="19"/>
      <c r="AYE41" s="19"/>
      <c r="AYF41" s="19"/>
      <c r="AYG41" s="19"/>
      <c r="AYH41" s="19"/>
      <c r="AYI41" s="19"/>
      <c r="AYJ41" s="19"/>
      <c r="AYK41" s="19"/>
      <c r="AYL41" s="19"/>
      <c r="AYM41" s="19"/>
      <c r="AYN41" s="19"/>
      <c r="AYO41" s="19"/>
      <c r="AYP41" s="19"/>
      <c r="AYQ41" s="19"/>
      <c r="AYR41" s="19"/>
      <c r="AYS41" s="19"/>
      <c r="AYT41" s="19"/>
      <c r="AYU41" s="19"/>
      <c r="AYV41" s="19"/>
      <c r="AYW41" s="19"/>
      <c r="AYX41" s="19"/>
      <c r="AYY41" s="19"/>
      <c r="AYZ41" s="19"/>
      <c r="AZA41" s="19"/>
      <c r="AZB41" s="19"/>
      <c r="AZC41" s="19"/>
      <c r="AZD41" s="19"/>
      <c r="AZE41" s="19"/>
      <c r="AZF41" s="19"/>
      <c r="AZG41" s="19"/>
      <c r="AZH41" s="19"/>
      <c r="AZI41" s="19"/>
      <c r="AZJ41" s="19"/>
      <c r="AZK41" s="19"/>
      <c r="AZL41" s="19"/>
      <c r="AZM41" s="19"/>
      <c r="AZN41" s="19"/>
      <c r="AZO41" s="19"/>
      <c r="AZP41" s="19"/>
      <c r="AZQ41" s="19"/>
      <c r="AZR41" s="19"/>
      <c r="AZS41" s="19"/>
      <c r="AZT41" s="19"/>
      <c r="AZU41" s="19"/>
      <c r="AZV41" s="19"/>
      <c r="AZW41" s="19"/>
      <c r="AZX41" s="19"/>
      <c r="AZY41" s="19"/>
      <c r="AZZ41" s="19"/>
      <c r="BAA41" s="19"/>
      <c r="BAB41" s="19"/>
      <c r="BAC41" s="19"/>
      <c r="BAD41" s="19"/>
      <c r="BAE41" s="19"/>
      <c r="BAF41" s="19"/>
      <c r="BAG41" s="19"/>
      <c r="BAH41" s="19"/>
      <c r="BAI41" s="19"/>
      <c r="BAJ41" s="19"/>
      <c r="BAK41" s="19"/>
      <c r="BAL41" s="19"/>
      <c r="BAM41" s="19"/>
      <c r="BAN41" s="19"/>
      <c r="BAO41" s="19"/>
      <c r="BAP41" s="19"/>
      <c r="BAQ41" s="19"/>
      <c r="BAR41" s="19"/>
      <c r="BAS41" s="19"/>
      <c r="BAT41" s="19"/>
      <c r="BAU41" s="19"/>
      <c r="BAV41" s="19"/>
      <c r="BAW41" s="19"/>
      <c r="BAX41" s="19"/>
      <c r="BAY41" s="19"/>
      <c r="BAZ41" s="19"/>
      <c r="BBA41" s="19"/>
      <c r="BBB41" s="19"/>
      <c r="BBC41" s="19"/>
      <c r="BBD41" s="19"/>
      <c r="BBE41" s="19"/>
      <c r="BBF41" s="19"/>
      <c r="BBG41" s="19"/>
      <c r="BBH41" s="19"/>
      <c r="BBI41" s="19"/>
      <c r="BBJ41" s="19"/>
      <c r="BBK41" s="19"/>
      <c r="BBL41" s="19"/>
      <c r="BBM41" s="19"/>
      <c r="BBN41" s="19"/>
      <c r="BBO41" s="19"/>
      <c r="BBP41" s="19"/>
      <c r="BBQ41" s="19"/>
      <c r="BBR41" s="19"/>
      <c r="BBS41" s="19"/>
      <c r="BBT41" s="19"/>
      <c r="BBU41" s="19"/>
      <c r="BBV41" s="19"/>
      <c r="BBW41" s="19"/>
      <c r="BBX41" s="19"/>
      <c r="BBY41" s="19"/>
      <c r="BBZ41" s="19"/>
      <c r="BCA41" s="19"/>
      <c r="BCB41" s="19"/>
      <c r="BCC41" s="19"/>
      <c r="BCD41" s="19"/>
      <c r="BCE41" s="19"/>
      <c r="BCF41" s="19"/>
      <c r="BCG41" s="19"/>
      <c r="BCH41" s="19"/>
      <c r="BCI41" s="19"/>
      <c r="BCJ41" s="19"/>
      <c r="BCK41" s="19"/>
      <c r="BCL41" s="19"/>
      <c r="BCM41" s="19"/>
      <c r="BCN41" s="19"/>
      <c r="BCO41" s="19"/>
      <c r="BCP41" s="19"/>
      <c r="BCQ41" s="19"/>
      <c r="BCR41" s="19"/>
      <c r="BCS41" s="19"/>
      <c r="BCT41" s="19"/>
      <c r="BCU41" s="19"/>
      <c r="BCV41" s="19"/>
      <c r="BCW41" s="19"/>
      <c r="BCX41" s="19"/>
      <c r="BCY41" s="19"/>
      <c r="BCZ41" s="19"/>
      <c r="BDA41" s="19"/>
      <c r="BDB41" s="19"/>
      <c r="BDC41" s="19"/>
      <c r="BDD41" s="19"/>
      <c r="BDE41" s="19"/>
      <c r="BDF41" s="19"/>
      <c r="BDG41" s="19"/>
      <c r="BDH41" s="19"/>
      <c r="BDI41" s="19"/>
      <c r="BDJ41" s="19"/>
      <c r="BDK41" s="19"/>
      <c r="BDL41" s="19"/>
      <c r="BDM41" s="19"/>
      <c r="BDN41" s="19"/>
      <c r="BDO41" s="19"/>
      <c r="BDP41" s="19"/>
      <c r="BDQ41" s="19"/>
      <c r="BDR41" s="19"/>
      <c r="BDS41" s="19"/>
      <c r="BDT41" s="19"/>
      <c r="BDU41" s="19"/>
      <c r="BDV41" s="19"/>
      <c r="BDW41" s="19"/>
      <c r="BDX41" s="19"/>
      <c r="BDY41" s="19"/>
      <c r="BDZ41" s="19"/>
      <c r="BEA41" s="19"/>
      <c r="BEB41" s="19"/>
      <c r="BEC41" s="19"/>
      <c r="BED41" s="19"/>
      <c r="BEE41" s="19"/>
      <c r="BEF41" s="19"/>
      <c r="BEG41" s="19"/>
      <c r="BEH41" s="19"/>
      <c r="BEI41" s="19"/>
      <c r="BEJ41" s="19"/>
      <c r="BEK41" s="19"/>
      <c r="BEL41" s="19"/>
      <c r="BEM41" s="19"/>
      <c r="BEN41" s="19"/>
      <c r="BEO41" s="19"/>
      <c r="BEP41" s="19"/>
      <c r="BEQ41" s="19"/>
      <c r="BER41" s="19"/>
      <c r="BES41" s="19"/>
      <c r="BET41" s="19"/>
      <c r="BEU41" s="19"/>
      <c r="BEV41" s="19"/>
      <c r="BEW41" s="19"/>
      <c r="BEX41" s="19"/>
      <c r="BEY41" s="19"/>
      <c r="BEZ41" s="19"/>
      <c r="BFA41" s="19"/>
      <c r="BFB41" s="19"/>
      <c r="BFC41" s="19"/>
      <c r="BFD41" s="19"/>
      <c r="BFE41" s="19"/>
      <c r="BFF41" s="19"/>
      <c r="BFG41" s="19"/>
      <c r="BFH41" s="19"/>
      <c r="BFI41" s="19"/>
      <c r="BFJ41" s="19"/>
      <c r="BFK41" s="19"/>
      <c r="BFL41" s="19"/>
      <c r="BFM41" s="19"/>
      <c r="BFN41" s="19"/>
      <c r="BFO41" s="19"/>
      <c r="BFP41" s="19"/>
      <c r="BFQ41" s="19"/>
      <c r="BFR41" s="19"/>
      <c r="BFS41" s="19"/>
      <c r="BFT41" s="19"/>
      <c r="BFU41" s="19"/>
      <c r="BFV41" s="19"/>
      <c r="BFW41" s="19"/>
      <c r="BFX41" s="19"/>
      <c r="BFY41" s="19"/>
      <c r="BFZ41" s="19"/>
      <c r="BGA41" s="19"/>
      <c r="BGB41" s="19"/>
      <c r="BGC41" s="19"/>
      <c r="BGD41" s="19"/>
      <c r="BGE41" s="19"/>
      <c r="BGF41" s="19"/>
      <c r="BGG41" s="19"/>
      <c r="BGH41" s="19"/>
      <c r="BGI41" s="19"/>
      <c r="BGJ41" s="19"/>
      <c r="BGK41" s="19"/>
      <c r="BGL41" s="19"/>
      <c r="BGM41" s="19"/>
      <c r="BGN41" s="19"/>
      <c r="BGO41" s="19"/>
      <c r="BGP41" s="19"/>
      <c r="BGQ41" s="19"/>
      <c r="BGR41" s="19"/>
      <c r="BGS41" s="19"/>
      <c r="BGT41" s="19"/>
      <c r="BGU41" s="19"/>
      <c r="BGV41" s="19"/>
      <c r="BGW41" s="19"/>
      <c r="BGX41" s="19"/>
      <c r="BGY41" s="19"/>
      <c r="BGZ41" s="19"/>
      <c r="BHA41" s="19"/>
      <c r="BHB41" s="19"/>
      <c r="BHC41" s="19"/>
      <c r="BHD41" s="19"/>
      <c r="BHE41" s="19"/>
      <c r="BHF41" s="19"/>
      <c r="BHG41" s="19"/>
      <c r="BHH41" s="19"/>
      <c r="BHI41" s="19"/>
      <c r="BHJ41" s="19"/>
      <c r="BHK41" s="19"/>
      <c r="BHL41" s="19"/>
      <c r="BHM41" s="19"/>
      <c r="BHN41" s="19"/>
      <c r="BHO41" s="19"/>
      <c r="BHP41" s="19"/>
      <c r="BHQ41" s="19"/>
      <c r="BHR41" s="19"/>
      <c r="BHS41" s="19"/>
      <c r="BHT41" s="19"/>
      <c r="BHU41" s="19"/>
      <c r="BHV41" s="19"/>
      <c r="BHW41" s="19"/>
      <c r="BHX41" s="19"/>
      <c r="BHY41" s="19"/>
      <c r="BHZ41" s="19"/>
      <c r="BIA41" s="19"/>
      <c r="BIB41" s="19"/>
      <c r="BIC41" s="19"/>
      <c r="BID41" s="19"/>
      <c r="BIE41" s="19"/>
      <c r="BIF41" s="19"/>
      <c r="BIG41" s="19"/>
      <c r="BIH41" s="19"/>
      <c r="BII41" s="19"/>
      <c r="BIJ41" s="19"/>
      <c r="BIK41" s="19"/>
      <c r="BIL41" s="19"/>
      <c r="BIM41" s="19"/>
      <c r="BIN41" s="19"/>
      <c r="BIO41" s="19"/>
      <c r="BIP41" s="19"/>
      <c r="BIQ41" s="19"/>
      <c r="BIR41" s="19"/>
      <c r="BIS41" s="19"/>
      <c r="BIT41" s="19"/>
      <c r="BIU41" s="19"/>
      <c r="BIV41" s="19"/>
      <c r="BIW41" s="19"/>
      <c r="BIX41" s="19"/>
      <c r="BIY41" s="19"/>
      <c r="BIZ41" s="19"/>
      <c r="BJA41" s="19"/>
      <c r="BJB41" s="19"/>
      <c r="BJC41" s="19"/>
      <c r="BJD41" s="19"/>
      <c r="BJE41" s="19"/>
      <c r="BJF41" s="19"/>
      <c r="BJG41" s="19"/>
      <c r="BJH41" s="19"/>
      <c r="BJI41" s="19"/>
      <c r="BJJ41" s="19"/>
      <c r="BJK41" s="19"/>
      <c r="BJL41" s="19"/>
      <c r="BJM41" s="19"/>
      <c r="BJN41" s="19"/>
      <c r="BJO41" s="19"/>
      <c r="BJP41" s="19"/>
      <c r="BJQ41" s="19"/>
      <c r="BJR41" s="19"/>
      <c r="BJS41" s="19"/>
      <c r="BJT41" s="19"/>
      <c r="BJU41" s="19"/>
      <c r="BJV41" s="19"/>
      <c r="BJW41" s="19"/>
      <c r="BJX41" s="19"/>
      <c r="BJY41" s="19"/>
      <c r="BJZ41" s="19"/>
      <c r="BKA41" s="19"/>
      <c r="BKB41" s="19"/>
      <c r="BKC41" s="19"/>
      <c r="BKD41" s="19"/>
      <c r="BKE41" s="19"/>
      <c r="BKF41" s="19"/>
      <c r="BKG41" s="19"/>
      <c r="BKH41" s="19"/>
      <c r="BKI41" s="19"/>
      <c r="BKJ41" s="19"/>
      <c r="BKK41" s="19"/>
      <c r="BKL41" s="19"/>
      <c r="BKM41" s="19"/>
      <c r="BKN41" s="19"/>
      <c r="BKO41" s="19"/>
      <c r="BKP41" s="19"/>
      <c r="BKQ41" s="19"/>
      <c r="BKR41" s="19"/>
      <c r="BKS41" s="19"/>
      <c r="BKT41" s="19"/>
      <c r="BKU41" s="19"/>
      <c r="BKV41" s="19"/>
      <c r="BKW41" s="19"/>
      <c r="BKX41" s="19"/>
      <c r="BKY41" s="19"/>
      <c r="BKZ41" s="19"/>
      <c r="BLA41" s="19"/>
      <c r="BLB41" s="19"/>
      <c r="BLC41" s="19"/>
      <c r="BLD41" s="19"/>
      <c r="BLE41" s="19"/>
      <c r="BLF41" s="19"/>
      <c r="BLG41" s="19"/>
      <c r="BLH41" s="19"/>
      <c r="BLI41" s="19"/>
      <c r="BLJ41" s="19"/>
      <c r="BLK41" s="19"/>
      <c r="BLL41" s="19"/>
      <c r="BLM41" s="19"/>
      <c r="BLN41" s="19"/>
      <c r="BLO41" s="19"/>
      <c r="BLP41" s="19"/>
      <c r="BLQ41" s="19"/>
      <c r="BLR41" s="19"/>
      <c r="BLS41" s="19"/>
      <c r="BLT41" s="19"/>
      <c r="BLU41" s="19"/>
      <c r="BLV41" s="19"/>
      <c r="BLW41" s="19"/>
      <c r="BLX41" s="19"/>
      <c r="BLY41" s="19"/>
      <c r="BLZ41" s="19"/>
      <c r="BMA41" s="19"/>
      <c r="BMB41" s="19"/>
      <c r="BMC41" s="19"/>
      <c r="BMD41" s="19"/>
      <c r="BME41" s="19"/>
      <c r="BMF41" s="19"/>
      <c r="BMG41" s="19"/>
      <c r="BMH41" s="19"/>
      <c r="BMI41" s="19"/>
      <c r="BMJ41" s="19"/>
      <c r="BMK41" s="19"/>
      <c r="BML41" s="19"/>
      <c r="BMM41" s="19"/>
      <c r="BMN41" s="19"/>
      <c r="BMO41" s="19"/>
      <c r="BMP41" s="19"/>
      <c r="BMQ41" s="19"/>
      <c r="BMR41" s="19"/>
      <c r="BMS41" s="19"/>
      <c r="BMT41" s="19"/>
      <c r="BMU41" s="19"/>
      <c r="BMV41" s="19"/>
      <c r="BMW41" s="19"/>
      <c r="BMX41" s="19"/>
      <c r="BMY41" s="19"/>
      <c r="BMZ41" s="19"/>
      <c r="BNA41" s="19"/>
      <c r="BNB41" s="19"/>
      <c r="BNC41" s="19"/>
      <c r="BND41" s="19"/>
      <c r="BNE41" s="19"/>
      <c r="BNF41" s="19"/>
      <c r="BNG41" s="19"/>
      <c r="BNH41" s="19"/>
      <c r="BNI41" s="19"/>
      <c r="BNJ41" s="19"/>
      <c r="BNK41" s="19"/>
      <c r="BNL41" s="19"/>
      <c r="BNM41" s="19"/>
      <c r="BNN41" s="19"/>
      <c r="BNO41" s="19"/>
      <c r="BNP41" s="19"/>
      <c r="BNQ41" s="19"/>
      <c r="BNR41" s="19"/>
      <c r="BNS41" s="19"/>
      <c r="BNT41" s="19"/>
      <c r="BNU41" s="19"/>
      <c r="BNV41" s="19"/>
      <c r="BNW41" s="19"/>
      <c r="BNX41" s="19"/>
      <c r="BNY41" s="19"/>
      <c r="BNZ41" s="19"/>
      <c r="BOA41" s="19"/>
      <c r="BOB41" s="19"/>
      <c r="BOC41" s="19"/>
      <c r="BOD41" s="19"/>
      <c r="BOE41" s="19"/>
      <c r="BOF41" s="19"/>
      <c r="BOG41" s="19"/>
      <c r="BOH41" s="19"/>
      <c r="BOI41" s="19"/>
      <c r="BOJ41" s="19"/>
      <c r="BOK41" s="19"/>
      <c r="BOL41" s="19"/>
      <c r="BOM41" s="19"/>
      <c r="BON41" s="19"/>
      <c r="BOO41" s="19"/>
      <c r="BOP41" s="19"/>
      <c r="BOQ41" s="19"/>
      <c r="BOR41" s="19"/>
      <c r="BOS41" s="19"/>
      <c r="BOT41" s="19"/>
      <c r="BOU41" s="19"/>
      <c r="BOV41" s="19"/>
      <c r="BOW41" s="19"/>
      <c r="BOX41" s="19"/>
      <c r="BOY41" s="19"/>
      <c r="BOZ41" s="19"/>
      <c r="BPA41" s="19"/>
      <c r="BPB41" s="19"/>
      <c r="BPC41" s="19"/>
      <c r="BPD41" s="19"/>
      <c r="BPE41" s="19"/>
      <c r="BPF41" s="19"/>
      <c r="BPG41" s="19"/>
      <c r="BPH41" s="19"/>
      <c r="BPI41" s="19"/>
      <c r="BPJ41" s="19"/>
      <c r="BPK41" s="19"/>
      <c r="BPL41" s="19"/>
      <c r="BPM41" s="19"/>
      <c r="BPN41" s="19"/>
      <c r="BPO41" s="19"/>
      <c r="BPP41" s="19"/>
      <c r="BPQ41" s="19"/>
      <c r="BPR41" s="19"/>
      <c r="BPS41" s="19"/>
      <c r="BPT41" s="19"/>
      <c r="BPU41" s="19"/>
      <c r="BPV41" s="19"/>
      <c r="BPW41" s="19"/>
      <c r="BPX41" s="19"/>
      <c r="BPY41" s="19"/>
      <c r="BPZ41" s="19"/>
      <c r="BQA41" s="19"/>
      <c r="BQB41" s="19"/>
      <c r="BQC41" s="19"/>
      <c r="BQD41" s="19"/>
      <c r="BQE41" s="19"/>
      <c r="BQF41" s="19"/>
      <c r="BQG41" s="19"/>
      <c r="BQH41" s="19"/>
      <c r="BQI41" s="19"/>
      <c r="BQJ41" s="19"/>
      <c r="BQK41" s="19"/>
      <c r="BQL41" s="19"/>
      <c r="BQM41" s="19"/>
      <c r="BQN41" s="19"/>
      <c r="BQO41" s="19"/>
      <c r="BQP41" s="19"/>
      <c r="BQQ41" s="19"/>
      <c r="BQR41" s="19"/>
      <c r="BQS41" s="19"/>
      <c r="BQT41" s="19"/>
      <c r="BQU41" s="19"/>
      <c r="BQV41" s="19"/>
      <c r="BQW41" s="19"/>
      <c r="BQX41" s="19"/>
      <c r="BQY41" s="19"/>
      <c r="BQZ41" s="19"/>
      <c r="BRA41" s="19"/>
      <c r="BRB41" s="19"/>
      <c r="BRC41" s="19"/>
      <c r="BRD41" s="19"/>
      <c r="BRE41" s="19"/>
      <c r="BRF41" s="19"/>
      <c r="BRG41" s="19"/>
      <c r="BRH41" s="19"/>
      <c r="BRI41" s="19"/>
      <c r="BRJ41" s="19"/>
      <c r="BRK41" s="19"/>
      <c r="BRL41" s="19"/>
      <c r="BRM41" s="19"/>
      <c r="BRN41" s="19"/>
      <c r="BRO41" s="19"/>
      <c r="BRP41" s="19"/>
      <c r="BRQ41" s="19"/>
      <c r="BRR41" s="19"/>
      <c r="BRS41" s="19"/>
      <c r="BRT41" s="19"/>
      <c r="BRU41" s="19"/>
      <c r="BRV41" s="19"/>
      <c r="BRW41" s="19"/>
      <c r="BRX41" s="19"/>
      <c r="BRY41" s="19"/>
      <c r="BRZ41" s="19"/>
      <c r="BSA41" s="19"/>
      <c r="BSB41" s="19"/>
      <c r="BSC41" s="19"/>
      <c r="BSD41" s="19"/>
      <c r="BSE41" s="19"/>
      <c r="BSF41" s="19"/>
      <c r="BSG41" s="19"/>
      <c r="BSH41" s="19"/>
      <c r="BSI41" s="19"/>
      <c r="BSJ41" s="19"/>
      <c r="BSK41" s="19"/>
      <c r="BSL41" s="19"/>
      <c r="BSM41" s="19"/>
      <c r="BSN41" s="19"/>
      <c r="BSO41" s="19"/>
      <c r="BSP41" s="19"/>
      <c r="BSQ41" s="19"/>
      <c r="BSR41" s="19"/>
      <c r="BSS41" s="19"/>
      <c r="BST41" s="19"/>
      <c r="BSU41" s="19"/>
      <c r="BSV41" s="19"/>
      <c r="BSW41" s="19"/>
      <c r="BSX41" s="19"/>
      <c r="BSY41" s="19"/>
      <c r="BSZ41" s="19"/>
      <c r="BTA41" s="19"/>
      <c r="BTB41" s="19"/>
      <c r="BTC41" s="19"/>
      <c r="BTD41" s="19"/>
      <c r="BTE41" s="19"/>
      <c r="BTF41" s="19"/>
      <c r="BTG41" s="19"/>
      <c r="BTH41" s="19"/>
      <c r="BTI41" s="19"/>
      <c r="BTJ41" s="19"/>
      <c r="BTK41" s="19"/>
      <c r="BTL41" s="19"/>
      <c r="BTM41" s="19"/>
      <c r="BTN41" s="19"/>
      <c r="BTO41" s="19"/>
      <c r="BTP41" s="19"/>
      <c r="BTQ41" s="19"/>
      <c r="BTR41" s="19"/>
      <c r="BTS41" s="19"/>
      <c r="BTT41" s="19"/>
      <c r="BTU41" s="19"/>
      <c r="BTV41" s="19"/>
      <c r="BTW41" s="19"/>
      <c r="BTX41" s="19"/>
      <c r="BTY41" s="19"/>
      <c r="BTZ41" s="19"/>
      <c r="BUA41" s="19"/>
      <c r="BUB41" s="19"/>
      <c r="BUC41" s="19"/>
      <c r="BUD41" s="19"/>
      <c r="BUE41" s="19"/>
      <c r="BUF41" s="19"/>
      <c r="BUG41" s="19"/>
      <c r="BUH41" s="19"/>
      <c r="BUI41" s="19"/>
      <c r="BUJ41" s="19"/>
      <c r="BUK41" s="19"/>
      <c r="BUL41" s="19"/>
      <c r="BUM41" s="19"/>
      <c r="BUN41" s="19"/>
      <c r="BUO41" s="19"/>
      <c r="BUP41" s="19"/>
      <c r="BUQ41" s="19"/>
      <c r="BUR41" s="19"/>
      <c r="BUS41" s="19"/>
      <c r="BUT41" s="19"/>
      <c r="BUU41" s="19"/>
      <c r="BUV41" s="19"/>
      <c r="BUW41" s="19"/>
      <c r="BUX41" s="19"/>
      <c r="BUY41" s="19"/>
      <c r="BUZ41" s="19"/>
      <c r="BVA41" s="19"/>
      <c r="BVB41" s="19"/>
      <c r="BVC41" s="19"/>
      <c r="BVD41" s="19"/>
      <c r="BVE41" s="19"/>
      <c r="BVF41" s="19"/>
      <c r="BVG41" s="19"/>
      <c r="BVH41" s="19"/>
      <c r="BVI41" s="19"/>
      <c r="BVJ41" s="19"/>
      <c r="BVK41" s="19"/>
      <c r="BVL41" s="19"/>
      <c r="BVM41" s="19"/>
      <c r="BVN41" s="19"/>
      <c r="BVO41" s="19"/>
      <c r="BVP41" s="19"/>
      <c r="BVQ41" s="19"/>
      <c r="BVR41" s="19"/>
      <c r="BVS41" s="19"/>
      <c r="BVT41" s="19"/>
      <c r="BVU41" s="19"/>
      <c r="BVV41" s="19"/>
      <c r="BVW41" s="19"/>
      <c r="BVX41" s="19"/>
      <c r="BVY41" s="19"/>
      <c r="BVZ41" s="19"/>
      <c r="BWA41" s="19"/>
      <c r="BWB41" s="19"/>
      <c r="BWC41" s="19"/>
      <c r="BWD41" s="19"/>
      <c r="BWE41" s="19"/>
      <c r="BWF41" s="19"/>
      <c r="BWG41" s="19"/>
      <c r="BWH41" s="19"/>
      <c r="BWI41" s="19"/>
      <c r="BWJ41" s="19"/>
      <c r="BWK41" s="19"/>
      <c r="BWL41" s="19"/>
      <c r="BWM41" s="19"/>
      <c r="BWN41" s="19"/>
      <c r="BWO41" s="19"/>
      <c r="BWP41" s="19"/>
      <c r="BWQ41" s="19"/>
      <c r="BWR41" s="19"/>
      <c r="BWS41" s="19"/>
      <c r="BWT41" s="19"/>
      <c r="BWU41" s="19"/>
      <c r="BWV41" s="19"/>
      <c r="BWW41" s="19"/>
      <c r="BWX41" s="19"/>
      <c r="BWY41" s="19"/>
      <c r="BWZ41" s="19"/>
      <c r="BXA41" s="19"/>
      <c r="BXB41" s="19"/>
      <c r="BXC41" s="19"/>
      <c r="BXD41" s="19"/>
      <c r="BXE41" s="19"/>
      <c r="BXF41" s="19"/>
      <c r="BXG41" s="19"/>
      <c r="BXH41" s="19"/>
      <c r="BXI41" s="19"/>
      <c r="BXJ41" s="19"/>
      <c r="BXK41" s="19"/>
      <c r="BXL41" s="19"/>
      <c r="BXM41" s="19"/>
      <c r="BXN41" s="19"/>
      <c r="BXO41" s="19"/>
      <c r="BXP41" s="19"/>
      <c r="BXQ41" s="19"/>
      <c r="BXR41" s="19"/>
      <c r="BXS41" s="19"/>
      <c r="BXT41" s="19"/>
      <c r="BXU41" s="19"/>
      <c r="BXV41" s="19"/>
      <c r="BXW41" s="19"/>
      <c r="BXX41" s="19"/>
      <c r="BXY41" s="19"/>
      <c r="BXZ41" s="19"/>
      <c r="BYA41" s="19"/>
      <c r="BYB41" s="19"/>
      <c r="BYC41" s="19"/>
      <c r="BYD41" s="19"/>
      <c r="BYE41" s="19"/>
      <c r="BYF41" s="19"/>
      <c r="BYG41" s="19"/>
      <c r="BYH41" s="19"/>
      <c r="BYI41" s="19"/>
      <c r="BYJ41" s="19"/>
      <c r="BYK41" s="19"/>
      <c r="BYL41" s="19"/>
      <c r="BYM41" s="19"/>
      <c r="BYN41" s="19"/>
      <c r="BYO41" s="19"/>
      <c r="BYP41" s="19"/>
      <c r="BYQ41" s="19"/>
      <c r="BYR41" s="19"/>
      <c r="BYS41" s="19"/>
      <c r="BYT41" s="19"/>
      <c r="BYU41" s="19"/>
      <c r="BYV41" s="19"/>
      <c r="BYW41" s="19"/>
      <c r="BYX41" s="19"/>
      <c r="BYY41" s="19"/>
      <c r="BYZ41" s="19"/>
      <c r="BZA41" s="19"/>
      <c r="BZB41" s="19"/>
      <c r="BZC41" s="19"/>
      <c r="BZD41" s="19"/>
      <c r="BZE41" s="19"/>
      <c r="BZF41" s="19"/>
      <c r="BZG41" s="19"/>
      <c r="BZH41" s="19"/>
      <c r="BZI41" s="19"/>
      <c r="BZJ41" s="19"/>
      <c r="BZK41" s="19"/>
      <c r="BZL41" s="19"/>
      <c r="BZM41" s="19"/>
      <c r="BZN41" s="19"/>
      <c r="BZO41" s="19"/>
      <c r="BZP41" s="19"/>
      <c r="BZQ41" s="19"/>
      <c r="BZR41" s="19"/>
      <c r="BZS41" s="19"/>
      <c r="BZT41" s="19"/>
      <c r="BZU41" s="19"/>
      <c r="BZV41" s="19"/>
      <c r="BZW41" s="19"/>
      <c r="BZX41" s="19"/>
      <c r="BZY41" s="19"/>
      <c r="BZZ41" s="19"/>
      <c r="CAA41" s="19"/>
      <c r="CAB41" s="19"/>
      <c r="CAC41" s="19"/>
      <c r="CAD41" s="19"/>
      <c r="CAE41" s="19"/>
      <c r="CAF41" s="19"/>
      <c r="CAG41" s="19"/>
      <c r="CAH41" s="19"/>
      <c r="CAI41" s="19"/>
      <c r="CAJ41" s="19"/>
      <c r="CAK41" s="19"/>
      <c r="CAL41" s="19"/>
      <c r="CAM41" s="19"/>
      <c r="CAN41" s="19"/>
      <c r="CAO41" s="19"/>
      <c r="CAP41" s="19"/>
      <c r="CAQ41" s="19"/>
      <c r="CAR41" s="19"/>
      <c r="CAS41" s="19"/>
      <c r="CAT41" s="19"/>
      <c r="CAU41" s="19"/>
      <c r="CAV41" s="19"/>
      <c r="CAW41" s="19"/>
      <c r="CAX41" s="19"/>
      <c r="CAY41" s="19"/>
      <c r="CAZ41" s="19"/>
      <c r="CBA41" s="19"/>
      <c r="CBB41" s="19"/>
      <c r="CBC41" s="19"/>
      <c r="CBD41" s="19"/>
      <c r="CBE41" s="19"/>
      <c r="CBF41" s="19"/>
      <c r="CBG41" s="19"/>
      <c r="CBH41" s="19"/>
      <c r="CBI41" s="19"/>
      <c r="CBJ41" s="19"/>
      <c r="CBK41" s="19"/>
      <c r="CBL41" s="19"/>
      <c r="CBM41" s="19"/>
      <c r="CBN41" s="19"/>
      <c r="CBO41" s="19"/>
      <c r="CBP41" s="19"/>
      <c r="CBQ41" s="19"/>
      <c r="CBR41" s="19"/>
      <c r="CBS41" s="19"/>
      <c r="CBT41" s="19"/>
      <c r="CBU41" s="19"/>
      <c r="CBV41" s="19"/>
      <c r="CBW41" s="19"/>
      <c r="CBX41" s="19"/>
      <c r="CBY41" s="19"/>
      <c r="CBZ41" s="19"/>
      <c r="CCA41" s="19"/>
      <c r="CCB41" s="19"/>
      <c r="CCC41" s="19"/>
      <c r="CCD41" s="19"/>
      <c r="CCE41" s="19"/>
      <c r="CCF41" s="19"/>
      <c r="CCG41" s="19"/>
      <c r="CCH41" s="19"/>
      <c r="CCI41" s="19"/>
      <c r="CCJ41" s="19"/>
      <c r="CCK41" s="19"/>
      <c r="CCL41" s="19"/>
      <c r="CCM41" s="19"/>
      <c r="CCN41" s="19"/>
      <c r="CCO41" s="19"/>
      <c r="CCP41" s="19"/>
      <c r="CCQ41" s="19"/>
      <c r="CCR41" s="19"/>
      <c r="CCS41" s="19"/>
      <c r="CCT41" s="19"/>
      <c r="CCU41" s="19"/>
      <c r="CCV41" s="19"/>
      <c r="CCW41" s="19"/>
      <c r="CCX41" s="19"/>
      <c r="CCY41" s="19"/>
      <c r="CCZ41" s="19"/>
      <c r="CDA41" s="19"/>
      <c r="CDB41" s="19"/>
      <c r="CDC41" s="19"/>
      <c r="CDD41" s="19"/>
      <c r="CDE41" s="19"/>
      <c r="CDF41" s="19"/>
      <c r="CDG41" s="19"/>
      <c r="CDH41" s="19"/>
      <c r="CDI41" s="19"/>
      <c r="CDJ41" s="19"/>
      <c r="CDK41" s="19"/>
      <c r="CDL41" s="19"/>
      <c r="CDM41" s="19"/>
      <c r="CDN41" s="19"/>
      <c r="CDO41" s="19"/>
      <c r="CDP41" s="19"/>
      <c r="CDQ41" s="19"/>
      <c r="CDR41" s="19"/>
      <c r="CDS41" s="19"/>
      <c r="CDT41" s="19"/>
      <c r="CDU41" s="19"/>
      <c r="CDV41" s="19"/>
      <c r="CDW41" s="19"/>
      <c r="CDX41" s="19"/>
      <c r="CDY41" s="19"/>
      <c r="CDZ41" s="19"/>
      <c r="CEA41" s="19"/>
      <c r="CEB41" s="19"/>
      <c r="CEC41" s="19"/>
      <c r="CED41" s="19"/>
      <c r="CEE41" s="19"/>
      <c r="CEF41" s="19"/>
      <c r="CEG41" s="19"/>
      <c r="CEH41" s="19"/>
      <c r="CEI41" s="19"/>
      <c r="CEJ41" s="19"/>
      <c r="CEK41" s="19"/>
      <c r="CEL41" s="19"/>
      <c r="CEM41" s="19"/>
      <c r="CEN41" s="19"/>
      <c r="CEO41" s="19"/>
      <c r="CEP41" s="19"/>
      <c r="CEQ41" s="19"/>
      <c r="CER41" s="19"/>
      <c r="CES41" s="19"/>
      <c r="CET41" s="19"/>
      <c r="CEU41" s="19"/>
      <c r="CEV41" s="19"/>
      <c r="CEW41" s="19"/>
      <c r="CEX41" s="19"/>
      <c r="CEY41" s="19"/>
      <c r="CEZ41" s="19"/>
      <c r="CFA41" s="19"/>
      <c r="CFB41" s="19"/>
      <c r="CFC41" s="19"/>
      <c r="CFD41" s="19"/>
      <c r="CFE41" s="19"/>
      <c r="CFF41" s="19"/>
      <c r="CFG41" s="19"/>
      <c r="CFH41" s="19"/>
      <c r="CFI41" s="19"/>
      <c r="CFJ41" s="19"/>
      <c r="CFK41" s="19"/>
      <c r="CFL41" s="19"/>
      <c r="CFM41" s="19"/>
      <c r="CFN41" s="19"/>
      <c r="CFO41" s="19"/>
      <c r="CFP41" s="19"/>
      <c r="CFQ41" s="19"/>
      <c r="CFR41" s="19"/>
      <c r="CFS41" s="19"/>
      <c r="CFT41" s="19"/>
      <c r="CFU41" s="19"/>
      <c r="CFV41" s="19"/>
      <c r="CFW41" s="19"/>
      <c r="CFX41" s="19"/>
      <c r="CFY41" s="19"/>
      <c r="CFZ41" s="19"/>
      <c r="CGA41" s="19"/>
      <c r="CGB41" s="19"/>
      <c r="CGC41" s="19"/>
      <c r="CGD41" s="19"/>
      <c r="CGE41" s="19"/>
      <c r="CGF41" s="19"/>
      <c r="CGG41" s="19"/>
      <c r="CGH41" s="19"/>
      <c r="CGI41" s="19"/>
      <c r="CGJ41" s="19"/>
      <c r="CGK41" s="19"/>
      <c r="CGL41" s="19"/>
      <c r="CGM41" s="19"/>
      <c r="CGN41" s="19"/>
      <c r="CGO41" s="19"/>
      <c r="CGP41" s="19"/>
      <c r="CGQ41" s="19"/>
      <c r="CGR41" s="19"/>
      <c r="CGS41" s="19"/>
      <c r="CGT41" s="19"/>
      <c r="CGU41" s="19"/>
      <c r="CGV41" s="19"/>
      <c r="CGW41" s="19"/>
      <c r="CGX41" s="19"/>
      <c r="CGY41" s="19"/>
      <c r="CGZ41" s="19"/>
      <c r="CHA41" s="19"/>
      <c r="CHB41" s="19"/>
      <c r="CHC41" s="19"/>
      <c r="CHD41" s="19"/>
      <c r="CHE41" s="19"/>
      <c r="CHF41" s="19"/>
      <c r="CHG41" s="19"/>
      <c r="CHH41" s="19"/>
      <c r="CHI41" s="19"/>
      <c r="CHJ41" s="19"/>
      <c r="CHK41" s="19"/>
      <c r="CHL41" s="19"/>
      <c r="CHM41" s="19"/>
      <c r="CHN41" s="19"/>
      <c r="CHO41" s="19"/>
      <c r="CHP41" s="19"/>
      <c r="CHQ41" s="19"/>
      <c r="CHR41" s="19"/>
      <c r="CHS41" s="19"/>
      <c r="CHT41" s="19"/>
      <c r="CHU41" s="19"/>
      <c r="CHV41" s="19"/>
      <c r="CHW41" s="19"/>
      <c r="CHX41" s="19"/>
      <c r="CHY41" s="19"/>
      <c r="CHZ41" s="19"/>
      <c r="CIA41" s="19"/>
      <c r="CIB41" s="19"/>
      <c r="CIC41" s="19"/>
      <c r="CID41" s="19"/>
      <c r="CIE41" s="19"/>
      <c r="CIF41" s="19"/>
      <c r="CIG41" s="19"/>
      <c r="CIH41" s="19"/>
      <c r="CII41" s="19"/>
      <c r="CIJ41" s="19"/>
      <c r="CIK41" s="19"/>
      <c r="CIL41" s="19"/>
      <c r="CIM41" s="19"/>
      <c r="CIN41" s="19"/>
      <c r="CIO41" s="19"/>
      <c r="CIP41" s="19"/>
      <c r="CIQ41" s="19"/>
      <c r="CIR41" s="19"/>
      <c r="CIS41" s="19"/>
      <c r="CIT41" s="19"/>
      <c r="CIU41" s="19"/>
      <c r="CIV41" s="19"/>
      <c r="CIW41" s="19"/>
      <c r="CIX41" s="19"/>
      <c r="CIY41" s="19"/>
      <c r="CIZ41" s="19"/>
      <c r="CJA41" s="19"/>
      <c r="CJB41" s="19"/>
      <c r="CJC41" s="19"/>
      <c r="CJD41" s="19"/>
      <c r="CJE41" s="19"/>
      <c r="CJF41" s="19"/>
      <c r="CJG41" s="19"/>
      <c r="CJH41" s="19"/>
      <c r="CJI41" s="19"/>
      <c r="CJJ41" s="19"/>
      <c r="CJK41" s="19"/>
      <c r="CJL41" s="19"/>
      <c r="CJM41" s="19"/>
      <c r="CJN41" s="19"/>
      <c r="CJO41" s="19"/>
      <c r="CJP41" s="19"/>
      <c r="CJQ41" s="19"/>
      <c r="CJR41" s="19"/>
      <c r="CJS41" s="19"/>
      <c r="CJT41" s="19"/>
      <c r="CJU41" s="19"/>
      <c r="CJV41" s="19"/>
      <c r="CJW41" s="19"/>
      <c r="CJX41" s="19"/>
      <c r="CJY41" s="19"/>
      <c r="CJZ41" s="19"/>
      <c r="CKA41" s="19"/>
      <c r="CKB41" s="19"/>
      <c r="CKC41" s="19"/>
      <c r="CKD41" s="19"/>
      <c r="CKE41" s="19"/>
      <c r="CKF41" s="19"/>
      <c r="CKG41" s="19"/>
      <c r="CKH41" s="19"/>
      <c r="CKI41" s="19"/>
      <c r="CKJ41" s="19"/>
      <c r="CKK41" s="19"/>
      <c r="CKL41" s="19"/>
      <c r="CKM41" s="19"/>
      <c r="CKN41" s="19"/>
      <c r="CKO41" s="19"/>
      <c r="CKP41" s="19"/>
      <c r="CKQ41" s="19"/>
      <c r="CKR41" s="19"/>
      <c r="CKS41" s="19"/>
      <c r="CKT41" s="19"/>
      <c r="CKU41" s="19"/>
      <c r="CKV41" s="19"/>
      <c r="CKW41" s="19"/>
      <c r="CKX41" s="19"/>
      <c r="CKY41" s="19"/>
      <c r="CKZ41" s="19"/>
      <c r="CLA41" s="19"/>
      <c r="CLB41" s="19"/>
      <c r="CLC41" s="19"/>
      <c r="CLD41" s="19"/>
      <c r="CLE41" s="19"/>
      <c r="CLF41" s="19"/>
      <c r="CLG41" s="19"/>
      <c r="CLH41" s="19"/>
      <c r="CLI41" s="19"/>
      <c r="CLJ41" s="19"/>
      <c r="CLK41" s="19"/>
      <c r="CLL41" s="19"/>
      <c r="CLM41" s="19"/>
      <c r="CLN41" s="19"/>
      <c r="CLO41" s="19"/>
      <c r="CLP41" s="19"/>
      <c r="CLQ41" s="19"/>
      <c r="CLR41" s="19"/>
      <c r="CLS41" s="19"/>
      <c r="CLT41" s="19"/>
      <c r="CLU41" s="19"/>
      <c r="CLV41" s="19"/>
      <c r="CLW41" s="19"/>
      <c r="CLX41" s="19"/>
      <c r="CLY41" s="19"/>
      <c r="CLZ41" s="19"/>
      <c r="CMA41" s="19"/>
      <c r="CMB41" s="19"/>
      <c r="CMC41" s="19"/>
      <c r="CMD41" s="19"/>
      <c r="CME41" s="19"/>
      <c r="CMF41" s="19"/>
      <c r="CMG41" s="19"/>
      <c r="CMH41" s="19"/>
      <c r="CMI41" s="19"/>
      <c r="CMJ41" s="19"/>
      <c r="CMK41" s="19"/>
      <c r="CML41" s="19"/>
      <c r="CMM41" s="19"/>
      <c r="CMN41" s="19"/>
      <c r="CMO41" s="19"/>
      <c r="CMP41" s="19"/>
      <c r="CMQ41" s="19"/>
      <c r="CMR41" s="19"/>
      <c r="CMS41" s="19"/>
      <c r="CMT41" s="19"/>
      <c r="CMU41" s="19"/>
      <c r="CMV41" s="19"/>
      <c r="CMW41" s="19"/>
      <c r="CMX41" s="19"/>
      <c r="CMY41" s="19"/>
      <c r="CMZ41" s="19"/>
      <c r="CNA41" s="19"/>
      <c r="CNB41" s="19"/>
      <c r="CNC41" s="19"/>
      <c r="CND41" s="19"/>
      <c r="CNE41" s="19"/>
      <c r="CNF41" s="19"/>
      <c r="CNG41" s="19"/>
      <c r="CNH41" s="19"/>
      <c r="CNI41" s="19"/>
      <c r="CNJ41" s="19"/>
      <c r="CNK41" s="19"/>
      <c r="CNL41" s="19"/>
      <c r="CNM41" s="19"/>
      <c r="CNN41" s="19"/>
      <c r="CNO41" s="19"/>
      <c r="CNP41" s="19"/>
      <c r="CNQ41" s="19"/>
      <c r="CNR41" s="19"/>
      <c r="CNS41" s="19"/>
      <c r="CNT41" s="19"/>
      <c r="CNU41" s="19"/>
      <c r="CNV41" s="19"/>
      <c r="CNW41" s="19"/>
      <c r="CNX41" s="19"/>
      <c r="CNY41" s="19"/>
      <c r="CNZ41" s="19"/>
      <c r="COA41" s="19"/>
      <c r="COB41" s="19"/>
      <c r="COC41" s="19"/>
      <c r="COD41" s="19"/>
      <c r="COE41" s="19"/>
      <c r="COF41" s="19"/>
      <c r="COG41" s="19"/>
      <c r="COH41" s="19"/>
      <c r="COI41" s="19"/>
      <c r="COJ41" s="19"/>
      <c r="COK41" s="19"/>
      <c r="COL41" s="19"/>
      <c r="COM41" s="19"/>
      <c r="CON41" s="19"/>
      <c r="COO41" s="19"/>
      <c r="COP41" s="19"/>
      <c r="COQ41" s="19"/>
      <c r="COR41" s="19"/>
      <c r="COS41" s="19"/>
      <c r="COT41" s="19"/>
      <c r="COU41" s="19"/>
      <c r="COV41" s="19"/>
      <c r="COW41" s="19"/>
      <c r="COX41" s="19"/>
      <c r="COY41" s="19"/>
      <c r="COZ41" s="19"/>
      <c r="CPA41" s="19"/>
      <c r="CPB41" s="19"/>
      <c r="CPC41" s="19"/>
      <c r="CPD41" s="19"/>
      <c r="CPE41" s="19"/>
      <c r="CPF41" s="19"/>
      <c r="CPG41" s="19"/>
      <c r="CPH41" s="19"/>
      <c r="CPI41" s="19"/>
      <c r="CPJ41" s="19"/>
      <c r="CPK41" s="19"/>
      <c r="CPL41" s="19"/>
      <c r="CPM41" s="19"/>
      <c r="CPN41" s="19"/>
      <c r="CPO41" s="19"/>
      <c r="CPP41" s="19"/>
      <c r="CPQ41" s="19"/>
      <c r="CPR41" s="19"/>
      <c r="CPS41" s="19"/>
      <c r="CPT41" s="19"/>
      <c r="CPU41" s="19"/>
      <c r="CPV41" s="19"/>
      <c r="CPW41" s="19"/>
      <c r="CPX41" s="19"/>
      <c r="CPY41" s="19"/>
      <c r="CPZ41" s="19"/>
      <c r="CQA41" s="19"/>
      <c r="CQB41" s="19"/>
      <c r="CQC41" s="19"/>
      <c r="CQD41" s="19"/>
      <c r="CQE41" s="19"/>
      <c r="CQF41" s="19"/>
      <c r="CQG41" s="19"/>
      <c r="CQH41" s="19"/>
      <c r="CQI41" s="19"/>
      <c r="CQJ41" s="19"/>
      <c r="CQK41" s="19"/>
      <c r="CQL41" s="19"/>
      <c r="CQM41" s="19"/>
      <c r="CQN41" s="19"/>
      <c r="CQO41" s="19"/>
      <c r="CQP41" s="19"/>
      <c r="CQQ41" s="19"/>
      <c r="CQR41" s="19"/>
      <c r="CQS41" s="19"/>
      <c r="CQT41" s="19"/>
      <c r="CQU41" s="19"/>
      <c r="CQV41" s="19"/>
      <c r="CQW41" s="19"/>
      <c r="CQX41" s="19"/>
      <c r="CQY41" s="19"/>
      <c r="CQZ41" s="19"/>
      <c r="CRA41" s="19"/>
      <c r="CRB41" s="19"/>
      <c r="CRC41" s="19"/>
      <c r="CRD41" s="19"/>
      <c r="CRE41" s="19"/>
      <c r="CRF41" s="19"/>
      <c r="CRG41" s="19"/>
      <c r="CRH41" s="19"/>
      <c r="CRI41" s="19"/>
      <c r="CRJ41" s="19"/>
      <c r="CRK41" s="19"/>
      <c r="CRL41" s="19"/>
      <c r="CRM41" s="19"/>
      <c r="CRN41" s="19"/>
      <c r="CRO41" s="19"/>
      <c r="CRP41" s="19"/>
      <c r="CRQ41" s="19"/>
      <c r="CRR41" s="19"/>
      <c r="CRS41" s="19"/>
      <c r="CRT41" s="19"/>
      <c r="CRU41" s="19"/>
      <c r="CRV41" s="19"/>
      <c r="CRW41" s="19"/>
      <c r="CRX41" s="19"/>
      <c r="CRY41" s="19"/>
      <c r="CRZ41" s="19"/>
      <c r="CSA41" s="19"/>
      <c r="CSB41" s="19"/>
      <c r="CSC41" s="19"/>
      <c r="CSD41" s="19"/>
      <c r="CSE41" s="19"/>
      <c r="CSF41" s="19"/>
      <c r="CSG41" s="19"/>
      <c r="CSH41" s="19"/>
      <c r="CSI41" s="19"/>
      <c r="CSJ41" s="19"/>
      <c r="CSK41" s="19"/>
      <c r="CSL41" s="19"/>
      <c r="CSM41" s="19"/>
      <c r="CSN41" s="19"/>
      <c r="CSO41" s="19"/>
      <c r="CSP41" s="19"/>
      <c r="CSQ41" s="19"/>
      <c r="CSR41" s="19"/>
      <c r="CSS41" s="19"/>
      <c r="CST41" s="19"/>
      <c r="CSU41" s="19"/>
      <c r="CSV41" s="19"/>
      <c r="CSW41" s="19"/>
      <c r="CSX41" s="19"/>
      <c r="CSY41" s="19"/>
      <c r="CSZ41" s="19"/>
      <c r="CTA41" s="19"/>
      <c r="CTB41" s="19"/>
      <c r="CTC41" s="19"/>
      <c r="CTD41" s="19"/>
      <c r="CTE41" s="19"/>
      <c r="CTF41" s="19"/>
      <c r="CTG41" s="19"/>
      <c r="CTH41" s="19"/>
      <c r="CTI41" s="19"/>
      <c r="CTJ41" s="19"/>
      <c r="CTK41" s="19"/>
      <c r="CTL41" s="19"/>
      <c r="CTM41" s="19"/>
      <c r="CTN41" s="19"/>
      <c r="CTO41" s="19"/>
      <c r="CTP41" s="19"/>
      <c r="CTQ41" s="19"/>
      <c r="CTR41" s="19"/>
      <c r="CTS41" s="19"/>
      <c r="CTT41" s="19"/>
      <c r="CTU41" s="19"/>
      <c r="CTV41" s="19"/>
      <c r="CTW41" s="19"/>
      <c r="CTX41" s="19"/>
      <c r="CTY41" s="19"/>
      <c r="CTZ41" s="19"/>
      <c r="CUA41" s="19"/>
      <c r="CUB41" s="19"/>
      <c r="CUC41" s="19"/>
      <c r="CUD41" s="19"/>
      <c r="CUE41" s="19"/>
      <c r="CUF41" s="19"/>
      <c r="CUG41" s="19"/>
      <c r="CUH41" s="19"/>
      <c r="CUI41" s="19"/>
      <c r="CUJ41" s="19"/>
      <c r="CUK41" s="19"/>
      <c r="CUL41" s="19"/>
      <c r="CUM41" s="19"/>
      <c r="CUN41" s="19"/>
      <c r="CUO41" s="19"/>
      <c r="CUP41" s="19"/>
      <c r="CUQ41" s="19"/>
      <c r="CUR41" s="19"/>
      <c r="CUS41" s="19"/>
      <c r="CUT41" s="19"/>
      <c r="CUU41" s="19"/>
      <c r="CUV41" s="19"/>
      <c r="CUW41" s="19"/>
      <c r="CUX41" s="19"/>
      <c r="CUY41" s="19"/>
      <c r="CUZ41" s="19"/>
      <c r="CVA41" s="19"/>
      <c r="CVB41" s="19"/>
      <c r="CVC41" s="19"/>
      <c r="CVD41" s="19"/>
      <c r="CVE41" s="19"/>
      <c r="CVF41" s="19"/>
      <c r="CVG41" s="19"/>
      <c r="CVH41" s="19"/>
      <c r="CVI41" s="19"/>
      <c r="CVJ41" s="19"/>
      <c r="CVK41" s="19"/>
      <c r="CVL41" s="19"/>
      <c r="CVM41" s="19"/>
      <c r="CVN41" s="19"/>
      <c r="CVO41" s="19"/>
      <c r="CVP41" s="19"/>
      <c r="CVQ41" s="19"/>
      <c r="CVR41" s="19"/>
      <c r="CVS41" s="19"/>
      <c r="CVT41" s="19"/>
      <c r="CVU41" s="19"/>
      <c r="CVV41" s="19"/>
      <c r="CVW41" s="19"/>
      <c r="CVX41" s="19"/>
      <c r="CVY41" s="19"/>
      <c r="CVZ41" s="19"/>
      <c r="CWA41" s="19"/>
      <c r="CWB41" s="19"/>
      <c r="CWC41" s="19"/>
      <c r="CWD41" s="19"/>
      <c r="CWE41" s="19"/>
      <c r="CWF41" s="19"/>
      <c r="CWG41" s="19"/>
      <c r="CWH41" s="19"/>
      <c r="CWI41" s="19"/>
      <c r="CWJ41" s="19"/>
      <c r="CWK41" s="19"/>
      <c r="CWL41" s="19"/>
      <c r="CWM41" s="19"/>
      <c r="CWN41" s="19"/>
      <c r="CWO41" s="19"/>
      <c r="CWP41" s="19"/>
      <c r="CWQ41" s="19"/>
      <c r="CWR41" s="19"/>
      <c r="CWS41" s="19"/>
      <c r="CWT41" s="19"/>
      <c r="CWU41" s="19"/>
      <c r="CWV41" s="19"/>
      <c r="CWW41" s="19"/>
      <c r="CWX41" s="19"/>
      <c r="CWY41" s="19"/>
      <c r="CWZ41" s="19"/>
      <c r="CXA41" s="19"/>
      <c r="CXB41" s="19"/>
      <c r="CXC41" s="19"/>
      <c r="CXD41" s="19"/>
      <c r="CXE41" s="19"/>
      <c r="CXF41" s="19"/>
      <c r="CXG41" s="19"/>
      <c r="CXH41" s="19"/>
      <c r="CXI41" s="19"/>
      <c r="CXJ41" s="19"/>
      <c r="CXK41" s="19"/>
      <c r="CXL41" s="19"/>
      <c r="CXM41" s="19"/>
      <c r="CXN41" s="19"/>
      <c r="CXO41" s="19"/>
      <c r="CXP41" s="19"/>
      <c r="CXQ41" s="19"/>
      <c r="CXR41" s="19"/>
      <c r="CXS41" s="19"/>
      <c r="CXT41" s="19"/>
      <c r="CXU41" s="19"/>
      <c r="CXV41" s="19"/>
      <c r="CXW41" s="19"/>
      <c r="CXX41" s="19"/>
      <c r="CXY41" s="19"/>
      <c r="CXZ41" s="19"/>
      <c r="CYA41" s="19"/>
      <c r="CYB41" s="19"/>
      <c r="CYC41" s="19"/>
      <c r="CYD41" s="19"/>
      <c r="CYE41" s="19"/>
      <c r="CYF41" s="19"/>
      <c r="CYG41" s="19"/>
      <c r="CYH41" s="19"/>
      <c r="CYI41" s="19"/>
      <c r="CYJ41" s="19"/>
      <c r="CYK41" s="19"/>
      <c r="CYL41" s="19"/>
      <c r="CYM41" s="19"/>
      <c r="CYN41" s="19"/>
      <c r="CYO41" s="19"/>
      <c r="CYP41" s="19"/>
      <c r="CYQ41" s="19"/>
      <c r="CYR41" s="19"/>
      <c r="CYS41" s="19"/>
      <c r="CYT41" s="19"/>
      <c r="CYU41" s="19"/>
      <c r="CYV41" s="19"/>
      <c r="CYW41" s="19"/>
      <c r="CYX41" s="19"/>
      <c r="CYY41" s="19"/>
      <c r="CYZ41" s="19"/>
      <c r="CZA41" s="19"/>
      <c r="CZB41" s="19"/>
      <c r="CZC41" s="19"/>
      <c r="CZD41" s="19"/>
      <c r="CZE41" s="19"/>
      <c r="CZF41" s="19"/>
      <c r="CZG41" s="19"/>
      <c r="CZH41" s="19"/>
      <c r="CZI41" s="19"/>
      <c r="CZJ41" s="19"/>
      <c r="CZK41" s="19"/>
      <c r="CZL41" s="19"/>
      <c r="CZM41" s="19"/>
      <c r="CZN41" s="19"/>
      <c r="CZO41" s="19"/>
      <c r="CZP41" s="19"/>
      <c r="CZQ41" s="19"/>
      <c r="CZR41" s="19"/>
      <c r="CZS41" s="19"/>
      <c r="CZT41" s="19"/>
      <c r="CZU41" s="19"/>
      <c r="CZV41" s="19"/>
      <c r="CZW41" s="19"/>
      <c r="CZX41" s="19"/>
      <c r="CZY41" s="19"/>
      <c r="CZZ41" s="19"/>
      <c r="DAA41" s="19"/>
      <c r="DAB41" s="19"/>
      <c r="DAC41" s="19"/>
      <c r="DAD41" s="19"/>
      <c r="DAE41" s="19"/>
      <c r="DAF41" s="19"/>
      <c r="DAG41" s="19"/>
      <c r="DAH41" s="19"/>
      <c r="DAI41" s="19"/>
      <c r="DAJ41" s="19"/>
      <c r="DAK41" s="19"/>
      <c r="DAL41" s="19"/>
      <c r="DAM41" s="19"/>
      <c r="DAN41" s="19"/>
      <c r="DAO41" s="19"/>
      <c r="DAP41" s="19"/>
      <c r="DAQ41" s="19"/>
      <c r="DAR41" s="19"/>
      <c r="DAS41" s="19"/>
      <c r="DAT41" s="19"/>
      <c r="DAU41" s="19"/>
      <c r="DAV41" s="19"/>
      <c r="DAW41" s="19"/>
      <c r="DAX41" s="19"/>
      <c r="DAY41" s="19"/>
      <c r="DAZ41" s="19"/>
      <c r="DBA41" s="19"/>
      <c r="DBB41" s="19"/>
      <c r="DBC41" s="19"/>
      <c r="DBD41" s="19"/>
      <c r="DBE41" s="19"/>
      <c r="DBF41" s="19"/>
      <c r="DBG41" s="19"/>
      <c r="DBH41" s="19"/>
      <c r="DBI41" s="19"/>
      <c r="DBJ41" s="19"/>
      <c r="DBK41" s="19"/>
      <c r="DBL41" s="19"/>
      <c r="DBM41" s="19"/>
      <c r="DBN41" s="19"/>
      <c r="DBO41" s="19"/>
      <c r="DBP41" s="19"/>
      <c r="DBQ41" s="19"/>
      <c r="DBR41" s="19"/>
      <c r="DBS41" s="19"/>
      <c r="DBT41" s="19"/>
      <c r="DBU41" s="19"/>
      <c r="DBV41" s="19"/>
      <c r="DBW41" s="19"/>
      <c r="DBX41" s="19"/>
      <c r="DBY41" s="19"/>
      <c r="DBZ41" s="19"/>
      <c r="DCA41" s="19"/>
      <c r="DCB41" s="19"/>
      <c r="DCC41" s="19"/>
      <c r="DCD41" s="19"/>
      <c r="DCE41" s="19"/>
      <c r="DCF41" s="19"/>
      <c r="DCG41" s="19"/>
      <c r="DCH41" s="19"/>
      <c r="DCI41" s="19"/>
      <c r="DCJ41" s="19"/>
      <c r="DCK41" s="19"/>
      <c r="DCL41" s="19"/>
      <c r="DCM41" s="19"/>
      <c r="DCN41" s="19"/>
      <c r="DCO41" s="19"/>
      <c r="DCP41" s="19"/>
      <c r="DCQ41" s="19"/>
      <c r="DCR41" s="19"/>
      <c r="DCS41" s="19"/>
      <c r="DCT41" s="19"/>
      <c r="DCU41" s="19"/>
      <c r="DCV41" s="19"/>
      <c r="DCW41" s="19"/>
      <c r="DCX41" s="19"/>
      <c r="DCY41" s="19"/>
      <c r="DCZ41" s="19"/>
      <c r="DDA41" s="19"/>
      <c r="DDB41" s="19"/>
      <c r="DDC41" s="19"/>
      <c r="DDD41" s="19"/>
      <c r="DDE41" s="19"/>
      <c r="DDF41" s="19"/>
      <c r="DDG41" s="19"/>
      <c r="DDH41" s="19"/>
      <c r="DDI41" s="19"/>
      <c r="DDJ41" s="19"/>
      <c r="DDK41" s="19"/>
      <c r="DDL41" s="19"/>
      <c r="DDM41" s="19"/>
      <c r="DDN41" s="19"/>
      <c r="DDO41" s="19"/>
      <c r="DDP41" s="19"/>
      <c r="DDQ41" s="19"/>
      <c r="DDR41" s="19"/>
      <c r="DDS41" s="19"/>
      <c r="DDT41" s="19"/>
      <c r="DDU41" s="19"/>
      <c r="DDV41" s="19"/>
      <c r="DDW41" s="19"/>
      <c r="DDX41" s="19"/>
      <c r="DDY41" s="19"/>
      <c r="DDZ41" s="19"/>
      <c r="DEA41" s="19"/>
      <c r="DEB41" s="19"/>
      <c r="DEC41" s="19"/>
      <c r="DED41" s="19"/>
      <c r="DEE41" s="19"/>
      <c r="DEF41" s="19"/>
      <c r="DEG41" s="19"/>
      <c r="DEH41" s="19"/>
      <c r="DEI41" s="19"/>
      <c r="DEJ41" s="19"/>
      <c r="DEK41" s="19"/>
      <c r="DEL41" s="19"/>
      <c r="DEM41" s="19"/>
      <c r="DEN41" s="19"/>
      <c r="DEO41" s="19"/>
      <c r="DEP41" s="19"/>
      <c r="DEQ41" s="19"/>
      <c r="DER41" s="19"/>
      <c r="DES41" s="19"/>
      <c r="DET41" s="19"/>
      <c r="DEU41" s="19"/>
      <c r="DEV41" s="19"/>
      <c r="DEW41" s="19"/>
      <c r="DEX41" s="19"/>
      <c r="DEY41" s="19"/>
      <c r="DEZ41" s="19"/>
      <c r="DFA41" s="19"/>
      <c r="DFB41" s="19"/>
      <c r="DFC41" s="19"/>
      <c r="DFD41" s="19"/>
      <c r="DFE41" s="19"/>
      <c r="DFF41" s="19"/>
      <c r="DFG41" s="19"/>
      <c r="DFH41" s="19"/>
      <c r="DFI41" s="19"/>
      <c r="DFJ41" s="19"/>
      <c r="DFK41" s="19"/>
      <c r="DFL41" s="19"/>
      <c r="DFM41" s="19"/>
      <c r="DFN41" s="19"/>
      <c r="DFO41" s="19"/>
      <c r="DFP41" s="19"/>
      <c r="DFQ41" s="19"/>
      <c r="DFR41" s="19"/>
      <c r="DFS41" s="19"/>
      <c r="DFT41" s="19"/>
      <c r="DFU41" s="19"/>
      <c r="DFV41" s="19"/>
      <c r="DFW41" s="19"/>
      <c r="DFX41" s="19"/>
      <c r="DFY41" s="19"/>
      <c r="DFZ41" s="19"/>
      <c r="DGA41" s="19"/>
      <c r="DGB41" s="19"/>
      <c r="DGC41" s="19"/>
      <c r="DGD41" s="19"/>
      <c r="DGE41" s="19"/>
      <c r="DGF41" s="19"/>
      <c r="DGG41" s="19"/>
      <c r="DGH41" s="19"/>
      <c r="DGI41" s="19"/>
      <c r="DGJ41" s="19"/>
      <c r="DGK41" s="19"/>
      <c r="DGL41" s="19"/>
      <c r="DGM41" s="19"/>
      <c r="DGN41" s="19"/>
      <c r="DGO41" s="19"/>
      <c r="DGP41" s="19"/>
      <c r="DGQ41" s="19"/>
      <c r="DGR41" s="19"/>
      <c r="DGS41" s="19"/>
      <c r="DGT41" s="19"/>
      <c r="DGU41" s="19"/>
      <c r="DGV41" s="19"/>
      <c r="DGW41" s="19"/>
      <c r="DGX41" s="19"/>
      <c r="DGY41" s="19"/>
      <c r="DGZ41" s="19"/>
      <c r="DHA41" s="19"/>
      <c r="DHB41" s="19"/>
      <c r="DHC41" s="19"/>
      <c r="DHD41" s="19"/>
      <c r="DHE41" s="19"/>
      <c r="DHF41" s="19"/>
      <c r="DHG41" s="19"/>
      <c r="DHH41" s="19"/>
      <c r="DHI41" s="19"/>
      <c r="DHJ41" s="19"/>
      <c r="DHK41" s="19"/>
      <c r="DHL41" s="19"/>
      <c r="DHM41" s="19"/>
      <c r="DHN41" s="19"/>
      <c r="DHO41" s="19"/>
      <c r="DHP41" s="19"/>
      <c r="DHQ41" s="19"/>
      <c r="DHR41" s="19"/>
      <c r="DHS41" s="19"/>
      <c r="DHT41" s="19"/>
      <c r="DHU41" s="19"/>
      <c r="DHV41" s="19"/>
      <c r="DHW41" s="19"/>
      <c r="DHX41" s="19"/>
      <c r="DHY41" s="19"/>
      <c r="DHZ41" s="19"/>
      <c r="DIA41" s="19"/>
      <c r="DIB41" s="19"/>
      <c r="DIC41" s="19"/>
      <c r="DID41" s="19"/>
      <c r="DIE41" s="19"/>
      <c r="DIF41" s="19"/>
      <c r="DIG41" s="19"/>
      <c r="DIH41" s="19"/>
      <c r="DII41" s="19"/>
      <c r="DIJ41" s="19"/>
      <c r="DIK41" s="19"/>
      <c r="DIL41" s="19"/>
      <c r="DIM41" s="19"/>
      <c r="DIN41" s="19"/>
      <c r="DIO41" s="19"/>
      <c r="DIP41" s="19"/>
      <c r="DIQ41" s="19"/>
      <c r="DIR41" s="19"/>
      <c r="DIS41" s="19"/>
      <c r="DIT41" s="19"/>
      <c r="DIU41" s="19"/>
      <c r="DIV41" s="19"/>
      <c r="DIW41" s="19"/>
      <c r="DIX41" s="19"/>
      <c r="DIY41" s="19"/>
      <c r="DIZ41" s="19"/>
      <c r="DJA41" s="19"/>
      <c r="DJB41" s="19"/>
      <c r="DJC41" s="19"/>
      <c r="DJD41" s="19"/>
      <c r="DJE41" s="19"/>
      <c r="DJF41" s="19"/>
      <c r="DJG41" s="19"/>
      <c r="DJH41" s="19"/>
      <c r="DJI41" s="19"/>
      <c r="DJJ41" s="19"/>
      <c r="DJK41" s="19"/>
      <c r="DJL41" s="19"/>
      <c r="DJM41" s="19"/>
      <c r="DJN41" s="19"/>
      <c r="DJO41" s="19"/>
      <c r="DJP41" s="19"/>
      <c r="DJQ41" s="19"/>
      <c r="DJR41" s="19"/>
      <c r="DJS41" s="19"/>
      <c r="DJT41" s="19"/>
      <c r="DJU41" s="19"/>
      <c r="DJV41" s="19"/>
      <c r="DJW41" s="19"/>
      <c r="DJX41" s="19"/>
      <c r="DJY41" s="19"/>
      <c r="DJZ41" s="19"/>
      <c r="DKA41" s="19"/>
      <c r="DKB41" s="19"/>
      <c r="DKC41" s="19"/>
      <c r="DKD41" s="19"/>
      <c r="DKE41" s="19"/>
      <c r="DKF41" s="19"/>
      <c r="DKG41" s="19"/>
      <c r="DKH41" s="19"/>
      <c r="DKI41" s="19"/>
      <c r="DKJ41" s="19"/>
      <c r="DKK41" s="19"/>
      <c r="DKL41" s="19"/>
      <c r="DKM41" s="19"/>
      <c r="DKN41" s="19"/>
      <c r="DKO41" s="19"/>
      <c r="DKP41" s="19"/>
      <c r="DKQ41" s="19"/>
      <c r="DKR41" s="19"/>
      <c r="DKS41" s="19"/>
      <c r="DKT41" s="19"/>
      <c r="DKU41" s="19"/>
      <c r="DKV41" s="19"/>
      <c r="DKW41" s="19"/>
      <c r="DKX41" s="19"/>
      <c r="DKY41" s="19"/>
      <c r="DKZ41" s="19"/>
      <c r="DLA41" s="19"/>
      <c r="DLB41" s="19"/>
      <c r="DLC41" s="19"/>
      <c r="DLD41" s="19"/>
      <c r="DLE41" s="19"/>
      <c r="DLF41" s="19"/>
      <c r="DLG41" s="19"/>
      <c r="DLH41" s="19"/>
      <c r="DLI41" s="19"/>
      <c r="DLJ41" s="19"/>
      <c r="DLK41" s="19"/>
      <c r="DLL41" s="19"/>
      <c r="DLM41" s="19"/>
      <c r="DLN41" s="19"/>
      <c r="DLO41" s="19"/>
      <c r="DLP41" s="19"/>
      <c r="DLQ41" s="19"/>
      <c r="DLR41" s="19"/>
      <c r="DLS41" s="19"/>
      <c r="DLT41" s="19"/>
      <c r="DLU41" s="19"/>
      <c r="DLV41" s="19"/>
      <c r="DLW41" s="19"/>
      <c r="DLX41" s="19"/>
      <c r="DLY41" s="19"/>
      <c r="DLZ41" s="19"/>
      <c r="DMA41" s="19"/>
      <c r="DMB41" s="19"/>
      <c r="DMC41" s="19"/>
      <c r="DMD41" s="19"/>
      <c r="DME41" s="19"/>
      <c r="DMF41" s="19"/>
      <c r="DMG41" s="19"/>
      <c r="DMH41" s="19"/>
      <c r="DMI41" s="19"/>
      <c r="DMJ41" s="19"/>
      <c r="DMK41" s="19"/>
      <c r="DML41" s="19"/>
      <c r="DMM41" s="19"/>
      <c r="DMN41" s="19"/>
      <c r="DMO41" s="19"/>
      <c r="DMP41" s="19"/>
      <c r="DMQ41" s="19"/>
      <c r="DMR41" s="19"/>
      <c r="DMS41" s="19"/>
      <c r="DMT41" s="19"/>
      <c r="DMU41" s="19"/>
      <c r="DMV41" s="19"/>
      <c r="DMW41" s="19"/>
      <c r="DMX41" s="19"/>
      <c r="DMY41" s="19"/>
      <c r="DMZ41" s="19"/>
      <c r="DNA41" s="19"/>
      <c r="DNB41" s="19"/>
      <c r="DNC41" s="19"/>
      <c r="DND41" s="19"/>
      <c r="DNE41" s="19"/>
      <c r="DNF41" s="19"/>
      <c r="DNG41" s="19"/>
      <c r="DNH41" s="19"/>
      <c r="DNI41" s="19"/>
      <c r="DNJ41" s="19"/>
      <c r="DNK41" s="19"/>
      <c r="DNL41" s="19"/>
      <c r="DNM41" s="19"/>
      <c r="DNN41" s="19"/>
      <c r="DNO41" s="19"/>
      <c r="DNP41" s="19"/>
      <c r="DNQ41" s="19"/>
      <c r="DNR41" s="19"/>
      <c r="DNS41" s="19"/>
      <c r="DNT41" s="19"/>
      <c r="DNU41" s="19"/>
      <c r="DNV41" s="19"/>
      <c r="DNW41" s="19"/>
      <c r="DNX41" s="19"/>
      <c r="DNY41" s="19"/>
      <c r="DNZ41" s="19"/>
      <c r="DOA41" s="19"/>
      <c r="DOB41" s="19"/>
      <c r="DOC41" s="19"/>
      <c r="DOD41" s="19"/>
      <c r="DOE41" s="19"/>
      <c r="DOF41" s="19"/>
      <c r="DOG41" s="19"/>
      <c r="DOH41" s="19"/>
      <c r="DOI41" s="19"/>
      <c r="DOJ41" s="19"/>
      <c r="DOK41" s="19"/>
      <c r="DOL41" s="19"/>
      <c r="DOM41" s="19"/>
      <c r="DON41" s="19"/>
      <c r="DOO41" s="19"/>
      <c r="DOP41" s="19"/>
      <c r="DOQ41" s="19"/>
      <c r="DOR41" s="19"/>
      <c r="DOS41" s="19"/>
      <c r="DOT41" s="19"/>
      <c r="DOU41" s="19"/>
      <c r="DOV41" s="19"/>
      <c r="DOW41" s="19"/>
      <c r="DOX41" s="19"/>
      <c r="DOY41" s="19"/>
      <c r="DOZ41" s="19"/>
      <c r="DPA41" s="19"/>
      <c r="DPB41" s="19"/>
      <c r="DPC41" s="19"/>
      <c r="DPD41" s="19"/>
      <c r="DPE41" s="19"/>
      <c r="DPF41" s="19"/>
      <c r="DPG41" s="19"/>
      <c r="DPH41" s="19"/>
      <c r="DPI41" s="19"/>
      <c r="DPJ41" s="19"/>
      <c r="DPK41" s="19"/>
      <c r="DPL41" s="19"/>
      <c r="DPM41" s="19"/>
      <c r="DPN41" s="19"/>
      <c r="DPO41" s="19"/>
      <c r="DPP41" s="19"/>
      <c r="DPQ41" s="19"/>
      <c r="DPR41" s="19"/>
      <c r="DPS41" s="19"/>
      <c r="DPT41" s="19"/>
      <c r="DPU41" s="19"/>
      <c r="DPV41" s="19"/>
      <c r="DPW41" s="19"/>
      <c r="DPX41" s="19"/>
      <c r="DPY41" s="19"/>
      <c r="DPZ41" s="19"/>
      <c r="DQA41" s="19"/>
      <c r="DQB41" s="19"/>
      <c r="DQC41" s="19"/>
      <c r="DQD41" s="19"/>
      <c r="DQE41" s="19"/>
      <c r="DQF41" s="19"/>
      <c r="DQG41" s="19"/>
      <c r="DQH41" s="19"/>
      <c r="DQI41" s="19"/>
      <c r="DQJ41" s="19"/>
      <c r="DQK41" s="19"/>
      <c r="DQL41" s="19"/>
      <c r="DQM41" s="19"/>
      <c r="DQN41" s="19"/>
      <c r="DQO41" s="19"/>
      <c r="DQP41" s="19"/>
      <c r="DQQ41" s="19"/>
      <c r="DQR41" s="19"/>
      <c r="DQS41" s="19"/>
      <c r="DQT41" s="19"/>
      <c r="DQU41" s="19"/>
      <c r="DQV41" s="19"/>
      <c r="DQW41" s="19"/>
      <c r="DQX41" s="19"/>
      <c r="DQY41" s="19"/>
      <c r="DQZ41" s="19"/>
      <c r="DRA41" s="19"/>
      <c r="DRB41" s="19"/>
      <c r="DRC41" s="19"/>
      <c r="DRD41" s="19"/>
      <c r="DRE41" s="19"/>
      <c r="DRF41" s="19"/>
      <c r="DRG41" s="19"/>
      <c r="DRH41" s="19"/>
      <c r="DRI41" s="19"/>
      <c r="DRJ41" s="19"/>
      <c r="DRK41" s="19"/>
      <c r="DRL41" s="19"/>
      <c r="DRM41" s="19"/>
      <c r="DRN41" s="19"/>
      <c r="DRO41" s="19"/>
      <c r="DRP41" s="19"/>
      <c r="DRQ41" s="19"/>
      <c r="DRR41" s="19"/>
      <c r="DRS41" s="19"/>
      <c r="DRT41" s="19"/>
      <c r="DRU41" s="19"/>
      <c r="DRV41" s="19"/>
      <c r="DRW41" s="19"/>
      <c r="DRX41" s="19"/>
      <c r="DRY41" s="19"/>
      <c r="DRZ41" s="19"/>
      <c r="DSA41" s="19"/>
      <c r="DSB41" s="19"/>
      <c r="DSC41" s="19"/>
      <c r="DSD41" s="19"/>
      <c r="DSE41" s="19"/>
      <c r="DSF41" s="19"/>
      <c r="DSG41" s="19"/>
      <c r="DSH41" s="19"/>
      <c r="DSI41" s="19"/>
      <c r="DSJ41" s="19"/>
      <c r="DSK41" s="19"/>
      <c r="DSL41" s="19"/>
      <c r="DSM41" s="19"/>
      <c r="DSN41" s="19"/>
      <c r="DSO41" s="19"/>
      <c r="DSP41" s="19"/>
      <c r="DSQ41" s="19"/>
      <c r="DSR41" s="19"/>
      <c r="DSS41" s="19"/>
      <c r="DST41" s="19"/>
      <c r="DSU41" s="19"/>
      <c r="DSV41" s="19"/>
      <c r="DSW41" s="19"/>
      <c r="DSX41" s="19"/>
      <c r="DSY41" s="19"/>
      <c r="DSZ41" s="19"/>
      <c r="DTA41" s="19"/>
      <c r="DTB41" s="19"/>
      <c r="DTC41" s="19"/>
      <c r="DTD41" s="19"/>
      <c r="DTE41" s="19"/>
      <c r="DTF41" s="19"/>
      <c r="DTG41" s="19"/>
      <c r="DTH41" s="19"/>
      <c r="DTI41" s="19"/>
      <c r="DTJ41" s="19"/>
      <c r="DTK41" s="19"/>
      <c r="DTL41" s="19"/>
      <c r="DTM41" s="19"/>
      <c r="DTN41" s="19"/>
      <c r="DTO41" s="19"/>
      <c r="DTP41" s="19"/>
      <c r="DTQ41" s="19"/>
      <c r="DTR41" s="19"/>
      <c r="DTS41" s="19"/>
      <c r="DTT41" s="19"/>
      <c r="DTU41" s="19"/>
      <c r="DTV41" s="19"/>
      <c r="DTW41" s="19"/>
      <c r="DTX41" s="19"/>
      <c r="DTY41" s="19"/>
      <c r="DTZ41" s="19"/>
      <c r="DUA41" s="19"/>
      <c r="DUB41" s="19"/>
      <c r="DUC41" s="19"/>
      <c r="DUD41" s="19"/>
      <c r="DUE41" s="19"/>
      <c r="DUF41" s="19"/>
      <c r="DUG41" s="19"/>
      <c r="DUH41" s="19"/>
      <c r="DUI41" s="19"/>
      <c r="DUJ41" s="19"/>
      <c r="DUK41" s="19"/>
      <c r="DUL41" s="19"/>
      <c r="DUM41" s="19"/>
      <c r="DUN41" s="19"/>
      <c r="DUO41" s="19"/>
      <c r="DUP41" s="19"/>
      <c r="DUQ41" s="19"/>
      <c r="DUR41" s="19"/>
      <c r="DUS41" s="19"/>
      <c r="DUT41" s="19"/>
      <c r="DUU41" s="19"/>
      <c r="DUV41" s="19"/>
      <c r="DUW41" s="19"/>
      <c r="DUX41" s="19"/>
      <c r="DUY41" s="19"/>
      <c r="DUZ41" s="19"/>
      <c r="DVA41" s="19"/>
      <c r="DVB41" s="19"/>
      <c r="DVC41" s="19"/>
      <c r="DVD41" s="19"/>
      <c r="DVE41" s="19"/>
      <c r="DVF41" s="19"/>
      <c r="DVG41" s="19"/>
      <c r="DVH41" s="19"/>
      <c r="DVI41" s="19"/>
      <c r="DVJ41" s="19"/>
      <c r="DVK41" s="19"/>
      <c r="DVL41" s="19"/>
      <c r="DVM41" s="19"/>
      <c r="DVN41" s="19"/>
      <c r="DVO41" s="19"/>
      <c r="DVP41" s="19"/>
      <c r="DVQ41" s="19"/>
      <c r="DVR41" s="19"/>
      <c r="DVS41" s="19"/>
      <c r="DVT41" s="19"/>
      <c r="DVU41" s="19"/>
      <c r="DVV41" s="19"/>
      <c r="DVW41" s="19"/>
      <c r="DVX41" s="19"/>
      <c r="DVY41" s="19"/>
      <c r="DVZ41" s="19"/>
      <c r="DWA41" s="19"/>
      <c r="DWB41" s="19"/>
      <c r="DWC41" s="19"/>
      <c r="DWD41" s="19"/>
      <c r="DWE41" s="19"/>
      <c r="DWF41" s="19"/>
      <c r="DWG41" s="19"/>
      <c r="DWH41" s="19"/>
      <c r="DWI41" s="19"/>
      <c r="DWJ41" s="19"/>
      <c r="DWK41" s="19"/>
      <c r="DWL41" s="19"/>
      <c r="DWM41" s="19"/>
      <c r="DWN41" s="19"/>
      <c r="DWO41" s="19"/>
      <c r="DWP41" s="19"/>
      <c r="DWQ41" s="19"/>
      <c r="DWR41" s="19"/>
      <c r="DWS41" s="19"/>
      <c r="DWT41" s="19"/>
      <c r="DWU41" s="19"/>
      <c r="DWV41" s="19"/>
      <c r="DWW41" s="19"/>
      <c r="DWX41" s="19"/>
      <c r="DWY41" s="19"/>
      <c r="DWZ41" s="19"/>
      <c r="DXA41" s="19"/>
      <c r="DXB41" s="19"/>
      <c r="DXC41" s="19"/>
      <c r="DXD41" s="19"/>
      <c r="DXE41" s="19"/>
      <c r="DXF41" s="19"/>
      <c r="DXG41" s="19"/>
      <c r="DXH41" s="19"/>
      <c r="DXI41" s="19"/>
      <c r="DXJ41" s="19"/>
      <c r="DXK41" s="19"/>
      <c r="DXL41" s="19"/>
      <c r="DXM41" s="19"/>
      <c r="DXN41" s="19"/>
      <c r="DXO41" s="19"/>
      <c r="DXP41" s="19"/>
      <c r="DXQ41" s="19"/>
      <c r="DXR41" s="19"/>
      <c r="DXS41" s="19"/>
      <c r="DXT41" s="19"/>
      <c r="DXU41" s="19"/>
      <c r="DXV41" s="19"/>
      <c r="DXW41" s="19"/>
      <c r="DXX41" s="19"/>
      <c r="DXY41" s="19"/>
      <c r="DXZ41" s="19"/>
      <c r="DYA41" s="19"/>
      <c r="DYB41" s="19"/>
      <c r="DYC41" s="19"/>
      <c r="DYD41" s="19"/>
      <c r="DYE41" s="19"/>
      <c r="DYF41" s="19"/>
      <c r="DYG41" s="19"/>
      <c r="DYH41" s="19"/>
      <c r="DYI41" s="19"/>
      <c r="DYJ41" s="19"/>
      <c r="DYK41" s="19"/>
      <c r="DYL41" s="19"/>
      <c r="DYM41" s="19"/>
      <c r="DYN41" s="19"/>
      <c r="DYO41" s="19"/>
      <c r="DYP41" s="19"/>
      <c r="DYQ41" s="19"/>
      <c r="DYR41" s="19"/>
      <c r="DYS41" s="19"/>
      <c r="DYT41" s="19"/>
      <c r="DYU41" s="19"/>
      <c r="DYV41" s="19"/>
      <c r="DYW41" s="19"/>
      <c r="DYX41" s="19"/>
      <c r="DYY41" s="19"/>
      <c r="DYZ41" s="19"/>
      <c r="DZA41" s="19"/>
      <c r="DZB41" s="19"/>
      <c r="DZC41" s="19"/>
      <c r="DZD41" s="19"/>
      <c r="DZE41" s="19"/>
      <c r="DZF41" s="19"/>
      <c r="DZG41" s="19"/>
      <c r="DZH41" s="19"/>
      <c r="DZI41" s="19"/>
      <c r="DZJ41" s="19"/>
      <c r="DZK41" s="19"/>
      <c r="DZL41" s="19"/>
      <c r="DZM41" s="19"/>
      <c r="DZN41" s="19"/>
      <c r="DZO41" s="19"/>
      <c r="DZP41" s="19"/>
      <c r="DZQ41" s="19"/>
      <c r="DZR41" s="19"/>
      <c r="DZS41" s="19"/>
      <c r="DZT41" s="19"/>
      <c r="DZU41" s="19"/>
      <c r="DZV41" s="19"/>
      <c r="DZW41" s="19"/>
      <c r="DZX41" s="19"/>
      <c r="DZY41" s="19"/>
      <c r="DZZ41" s="19"/>
      <c r="EAA41" s="19"/>
      <c r="EAB41" s="19"/>
      <c r="EAC41" s="19"/>
      <c r="EAD41" s="19"/>
      <c r="EAE41" s="19"/>
      <c r="EAF41" s="19"/>
      <c r="EAG41" s="19"/>
      <c r="EAH41" s="19"/>
      <c r="EAI41" s="19"/>
      <c r="EAJ41" s="19"/>
      <c r="EAK41" s="19"/>
      <c r="EAL41" s="19"/>
      <c r="EAM41" s="19"/>
      <c r="EAN41" s="19"/>
      <c r="EAO41" s="19"/>
      <c r="EAP41" s="19"/>
      <c r="EAQ41" s="19"/>
      <c r="EAR41" s="19"/>
      <c r="EAS41" s="19"/>
      <c r="EAT41" s="19"/>
      <c r="EAU41" s="19"/>
      <c r="EAV41" s="19"/>
      <c r="EAW41" s="19"/>
      <c r="EAX41" s="19"/>
      <c r="EAY41" s="19"/>
      <c r="EAZ41" s="19"/>
      <c r="EBA41" s="19"/>
      <c r="EBB41" s="19"/>
      <c r="EBC41" s="19"/>
      <c r="EBD41" s="19"/>
      <c r="EBE41" s="19"/>
      <c r="EBF41" s="19"/>
      <c r="EBG41" s="19"/>
      <c r="EBH41" s="19"/>
      <c r="EBI41" s="19"/>
      <c r="EBJ41" s="19"/>
      <c r="EBK41" s="19"/>
      <c r="EBL41" s="19"/>
      <c r="EBM41" s="19"/>
      <c r="EBN41" s="19"/>
      <c r="EBO41" s="19"/>
      <c r="EBP41" s="19"/>
      <c r="EBQ41" s="19"/>
      <c r="EBR41" s="19"/>
      <c r="EBS41" s="19"/>
      <c r="EBT41" s="19"/>
      <c r="EBU41" s="19"/>
      <c r="EBV41" s="19"/>
      <c r="EBW41" s="19"/>
      <c r="EBX41" s="19"/>
      <c r="EBY41" s="19"/>
      <c r="EBZ41" s="19"/>
      <c r="ECA41" s="19"/>
      <c r="ECB41" s="19"/>
      <c r="ECC41" s="19"/>
      <c r="ECD41" s="19"/>
      <c r="ECE41" s="19"/>
      <c r="ECF41" s="19"/>
      <c r="ECG41" s="19"/>
      <c r="ECH41" s="19"/>
      <c r="ECI41" s="19"/>
      <c r="ECJ41" s="19"/>
      <c r="ECK41" s="19"/>
      <c r="ECL41" s="19"/>
      <c r="ECM41" s="19"/>
      <c r="ECN41" s="19"/>
      <c r="ECO41" s="19"/>
      <c r="ECP41" s="19"/>
      <c r="ECQ41" s="19"/>
      <c r="ECR41" s="19"/>
      <c r="ECS41" s="19"/>
      <c r="ECT41" s="19"/>
      <c r="ECU41" s="19"/>
      <c r="ECV41" s="19"/>
      <c r="ECW41" s="19"/>
      <c r="ECX41" s="19"/>
      <c r="ECY41" s="19"/>
      <c r="ECZ41" s="19"/>
      <c r="EDA41" s="19"/>
      <c r="EDB41" s="19"/>
      <c r="EDC41" s="19"/>
      <c r="EDD41" s="19"/>
      <c r="EDE41" s="19"/>
      <c r="EDF41" s="19"/>
      <c r="EDG41" s="19"/>
      <c r="EDH41" s="19"/>
      <c r="EDI41" s="19"/>
      <c r="EDJ41" s="19"/>
      <c r="EDK41" s="19"/>
      <c r="EDL41" s="19"/>
      <c r="EDM41" s="19"/>
      <c r="EDN41" s="19"/>
      <c r="EDO41" s="19"/>
      <c r="EDP41" s="19"/>
      <c r="EDQ41" s="19"/>
      <c r="EDR41" s="19"/>
      <c r="EDS41" s="19"/>
      <c r="EDT41" s="19"/>
      <c r="EDU41" s="19"/>
      <c r="EDV41" s="19"/>
      <c r="EDW41" s="19"/>
      <c r="EDX41" s="19"/>
      <c r="EDY41" s="19"/>
      <c r="EDZ41" s="19"/>
      <c r="EEA41" s="19"/>
      <c r="EEB41" s="19"/>
      <c r="EEC41" s="19"/>
      <c r="EED41" s="19"/>
      <c r="EEE41" s="19"/>
      <c r="EEF41" s="19"/>
      <c r="EEG41" s="19"/>
      <c r="EEH41" s="19"/>
      <c r="EEI41" s="19"/>
      <c r="EEJ41" s="19"/>
      <c r="EEK41" s="19"/>
      <c r="EEL41" s="19"/>
      <c r="EEM41" s="19"/>
      <c r="EEN41" s="19"/>
      <c r="EEO41" s="19"/>
      <c r="EEP41" s="19"/>
      <c r="EEQ41" s="19"/>
      <c r="EER41" s="19"/>
      <c r="EES41" s="19"/>
      <c r="EET41" s="19"/>
      <c r="EEU41" s="19"/>
      <c r="EEV41" s="19"/>
      <c r="EEW41" s="19"/>
      <c r="EEX41" s="19"/>
      <c r="EEY41" s="19"/>
      <c r="EEZ41" s="19"/>
      <c r="EFA41" s="19"/>
      <c r="EFB41" s="19"/>
      <c r="EFC41" s="19"/>
      <c r="EFD41" s="19"/>
      <c r="EFE41" s="19"/>
      <c r="EFF41" s="19"/>
      <c r="EFG41" s="19"/>
      <c r="EFH41" s="19"/>
      <c r="EFI41" s="19"/>
      <c r="EFJ41" s="19"/>
      <c r="EFK41" s="19"/>
      <c r="EFL41" s="19"/>
      <c r="EFM41" s="19"/>
      <c r="EFN41" s="19"/>
      <c r="EFO41" s="19"/>
      <c r="EFP41" s="19"/>
      <c r="EFQ41" s="19"/>
      <c r="EFR41" s="19"/>
      <c r="EFS41" s="19"/>
      <c r="EFT41" s="19"/>
      <c r="EFU41" s="19"/>
      <c r="EFV41" s="19"/>
      <c r="EFW41" s="19"/>
      <c r="EFX41" s="19"/>
      <c r="EFY41" s="19"/>
      <c r="EFZ41" s="19"/>
      <c r="EGA41" s="19"/>
      <c r="EGB41" s="19"/>
      <c r="EGC41" s="19"/>
      <c r="EGD41" s="19"/>
      <c r="EGE41" s="19"/>
      <c r="EGF41" s="19"/>
      <c r="EGG41" s="19"/>
      <c r="EGH41" s="19"/>
      <c r="EGI41" s="19"/>
      <c r="EGJ41" s="19"/>
      <c r="EGK41" s="19"/>
      <c r="EGL41" s="19"/>
      <c r="EGM41" s="19"/>
      <c r="EGN41" s="19"/>
      <c r="EGO41" s="19"/>
      <c r="EGP41" s="19"/>
      <c r="EGQ41" s="19"/>
      <c r="EGR41" s="19"/>
      <c r="EGS41" s="19"/>
      <c r="EGT41" s="19"/>
      <c r="EGU41" s="19"/>
      <c r="EGV41" s="19"/>
      <c r="EGW41" s="19"/>
      <c r="EGX41" s="19"/>
      <c r="EGY41" s="19"/>
      <c r="EGZ41" s="19"/>
      <c r="EHA41" s="19"/>
      <c r="EHB41" s="19"/>
      <c r="EHC41" s="19"/>
      <c r="EHD41" s="19"/>
      <c r="EHE41" s="19"/>
      <c r="EHF41" s="19"/>
      <c r="EHG41" s="19"/>
      <c r="EHH41" s="19"/>
      <c r="EHI41" s="19"/>
      <c r="EHJ41" s="19"/>
      <c r="EHK41" s="19"/>
      <c r="EHL41" s="19"/>
      <c r="EHM41" s="19"/>
      <c r="EHN41" s="19"/>
      <c r="EHO41" s="19"/>
      <c r="EHP41" s="19"/>
      <c r="EHQ41" s="19"/>
      <c r="EHR41" s="19"/>
      <c r="EHS41" s="19"/>
      <c r="EHT41" s="19"/>
      <c r="EHU41" s="19"/>
      <c r="EHV41" s="19"/>
      <c r="EHW41" s="19"/>
      <c r="EHX41" s="19"/>
      <c r="EHY41" s="19"/>
      <c r="EHZ41" s="19"/>
      <c r="EIA41" s="19"/>
      <c r="EIB41" s="19"/>
      <c r="EIC41" s="19"/>
      <c r="EID41" s="19"/>
      <c r="EIE41" s="19"/>
      <c r="EIF41" s="19"/>
      <c r="EIG41" s="19"/>
      <c r="EIH41" s="19"/>
      <c r="EII41" s="19"/>
      <c r="EIJ41" s="19"/>
      <c r="EIK41" s="19"/>
      <c r="EIL41" s="19"/>
      <c r="EIM41" s="19"/>
      <c r="EIN41" s="19"/>
      <c r="EIO41" s="19"/>
      <c r="EIP41" s="19"/>
      <c r="EIQ41" s="19"/>
      <c r="EIR41" s="19"/>
      <c r="EIS41" s="19"/>
      <c r="EIT41" s="19"/>
      <c r="EIU41" s="19"/>
      <c r="EIV41" s="19"/>
      <c r="EIW41" s="19"/>
      <c r="EIX41" s="19"/>
      <c r="EIY41" s="19"/>
      <c r="EIZ41" s="19"/>
      <c r="EJA41" s="19"/>
      <c r="EJB41" s="19"/>
      <c r="EJC41" s="19"/>
      <c r="EJD41" s="19"/>
      <c r="EJE41" s="19"/>
      <c r="EJF41" s="19"/>
      <c r="EJG41" s="19"/>
      <c r="EJH41" s="19"/>
      <c r="EJI41" s="19"/>
      <c r="EJJ41" s="19"/>
      <c r="EJK41" s="19"/>
      <c r="EJL41" s="19"/>
      <c r="EJM41" s="19"/>
      <c r="EJN41" s="19"/>
      <c r="EJO41" s="19"/>
      <c r="EJP41" s="19"/>
      <c r="EJQ41" s="19"/>
      <c r="EJR41" s="19"/>
      <c r="EJS41" s="19"/>
      <c r="EJT41" s="19"/>
      <c r="EJU41" s="19"/>
      <c r="EJV41" s="19"/>
      <c r="EJW41" s="19"/>
      <c r="EJX41" s="19"/>
      <c r="EJY41" s="19"/>
      <c r="EJZ41" s="19"/>
      <c r="EKA41" s="19"/>
      <c r="EKB41" s="19"/>
      <c r="EKC41" s="19"/>
      <c r="EKD41" s="19"/>
      <c r="EKE41" s="19"/>
      <c r="EKF41" s="19"/>
      <c r="EKG41" s="19"/>
      <c r="EKH41" s="19"/>
      <c r="EKI41" s="19"/>
      <c r="EKJ41" s="19"/>
      <c r="EKK41" s="19"/>
      <c r="EKL41" s="19"/>
      <c r="EKM41" s="19"/>
      <c r="EKN41" s="19"/>
      <c r="EKO41" s="19"/>
      <c r="EKP41" s="19"/>
      <c r="EKQ41" s="19"/>
      <c r="EKR41" s="19"/>
      <c r="EKS41" s="19"/>
      <c r="EKT41" s="19"/>
      <c r="EKU41" s="19"/>
      <c r="EKV41" s="19"/>
      <c r="EKW41" s="19"/>
      <c r="EKX41" s="19"/>
      <c r="EKY41" s="19"/>
      <c r="EKZ41" s="19"/>
      <c r="ELA41" s="19"/>
      <c r="ELB41" s="19"/>
      <c r="ELC41" s="19"/>
      <c r="ELD41" s="19"/>
      <c r="ELE41" s="19"/>
      <c r="ELF41" s="19"/>
      <c r="ELG41" s="19"/>
      <c r="ELH41" s="19"/>
      <c r="ELI41" s="19"/>
      <c r="ELJ41" s="19"/>
      <c r="ELK41" s="19"/>
      <c r="ELL41" s="19"/>
      <c r="ELM41" s="19"/>
      <c r="ELN41" s="19"/>
      <c r="ELO41" s="19"/>
      <c r="ELP41" s="19"/>
      <c r="ELQ41" s="19"/>
      <c r="ELR41" s="19"/>
      <c r="ELS41" s="19"/>
      <c r="ELT41" s="19"/>
      <c r="ELU41" s="19"/>
      <c r="ELV41" s="19"/>
      <c r="ELW41" s="19"/>
      <c r="ELX41" s="19"/>
      <c r="ELY41" s="19"/>
      <c r="ELZ41" s="19"/>
      <c r="EMA41" s="19"/>
      <c r="EMB41" s="19"/>
      <c r="EMC41" s="19"/>
      <c r="EMD41" s="19"/>
      <c r="EME41" s="19"/>
      <c r="EMF41" s="19"/>
      <c r="EMG41" s="19"/>
      <c r="EMH41" s="19"/>
      <c r="EMI41" s="19"/>
      <c r="EMJ41" s="19"/>
      <c r="EMK41" s="19"/>
      <c r="EML41" s="19"/>
      <c r="EMM41" s="19"/>
      <c r="EMN41" s="19"/>
      <c r="EMO41" s="19"/>
      <c r="EMP41" s="19"/>
      <c r="EMQ41" s="19"/>
      <c r="EMR41" s="19"/>
      <c r="EMS41" s="19"/>
      <c r="EMT41" s="19"/>
      <c r="EMU41" s="19"/>
      <c r="EMV41" s="19"/>
      <c r="EMW41" s="19"/>
      <c r="EMX41" s="19"/>
      <c r="EMY41" s="19"/>
      <c r="EMZ41" s="19"/>
      <c r="ENA41" s="19"/>
      <c r="ENB41" s="19"/>
      <c r="ENC41" s="19"/>
      <c r="END41" s="19"/>
      <c r="ENE41" s="19"/>
      <c r="ENF41" s="19"/>
      <c r="ENG41" s="19"/>
      <c r="ENH41" s="19"/>
      <c r="ENI41" s="19"/>
      <c r="ENJ41" s="19"/>
      <c r="ENK41" s="19"/>
      <c r="ENL41" s="19"/>
      <c r="ENM41" s="19"/>
      <c r="ENN41" s="19"/>
      <c r="ENO41" s="19"/>
      <c r="ENP41" s="19"/>
      <c r="ENQ41" s="19"/>
      <c r="ENR41" s="19"/>
      <c r="ENS41" s="19"/>
      <c r="ENT41" s="19"/>
      <c r="ENU41" s="19"/>
      <c r="ENV41" s="19"/>
      <c r="ENW41" s="19"/>
      <c r="ENX41" s="19"/>
      <c r="ENY41" s="19"/>
      <c r="ENZ41" s="19"/>
      <c r="EOA41" s="19"/>
      <c r="EOB41" s="19"/>
      <c r="EOC41" s="19"/>
      <c r="EOD41" s="19"/>
      <c r="EOE41" s="19"/>
      <c r="EOF41" s="19"/>
      <c r="EOG41" s="19"/>
      <c r="EOH41" s="19"/>
      <c r="EOI41" s="19"/>
      <c r="EOJ41" s="19"/>
      <c r="EOK41" s="19"/>
      <c r="EOL41" s="19"/>
      <c r="EOM41" s="19"/>
      <c r="EON41" s="19"/>
      <c r="EOO41" s="19"/>
      <c r="EOP41" s="19"/>
      <c r="EOQ41" s="19"/>
      <c r="EOR41" s="19"/>
      <c r="EOS41" s="19"/>
      <c r="EOT41" s="19"/>
      <c r="EOU41" s="19"/>
      <c r="EOV41" s="19"/>
      <c r="EOW41" s="19"/>
      <c r="EOX41" s="19"/>
      <c r="EOY41" s="19"/>
      <c r="EOZ41" s="19"/>
      <c r="EPA41" s="19"/>
      <c r="EPB41" s="19"/>
      <c r="EPC41" s="19"/>
      <c r="EPD41" s="19"/>
      <c r="EPE41" s="19"/>
      <c r="EPF41" s="19"/>
      <c r="EPG41" s="19"/>
      <c r="EPH41" s="19"/>
      <c r="EPI41" s="19"/>
      <c r="EPJ41" s="19"/>
      <c r="EPK41" s="19"/>
      <c r="EPL41" s="19"/>
      <c r="EPM41" s="19"/>
      <c r="EPN41" s="19"/>
      <c r="EPO41" s="19"/>
      <c r="EPP41" s="19"/>
      <c r="EPQ41" s="19"/>
      <c r="EPR41" s="19"/>
      <c r="EPS41" s="19"/>
      <c r="EPT41" s="19"/>
      <c r="EPU41" s="19"/>
      <c r="EPV41" s="19"/>
      <c r="EPW41" s="19"/>
      <c r="EPX41" s="19"/>
      <c r="EPY41" s="19"/>
      <c r="EPZ41" s="19"/>
      <c r="EQA41" s="19"/>
      <c r="EQB41" s="19"/>
      <c r="EQC41" s="19"/>
      <c r="EQD41" s="19"/>
      <c r="EQE41" s="19"/>
      <c r="EQF41" s="19"/>
      <c r="EQG41" s="19"/>
      <c r="EQH41" s="19"/>
      <c r="EQI41" s="19"/>
      <c r="EQJ41" s="19"/>
      <c r="EQK41" s="19"/>
      <c r="EQL41" s="19"/>
      <c r="EQM41" s="19"/>
      <c r="EQN41" s="19"/>
      <c r="EQO41" s="19"/>
      <c r="EQP41" s="19"/>
      <c r="EQQ41" s="19"/>
      <c r="EQR41" s="19"/>
      <c r="EQS41" s="19"/>
      <c r="EQT41" s="19"/>
      <c r="EQU41" s="19"/>
      <c r="EQV41" s="19"/>
      <c r="EQW41" s="19"/>
      <c r="EQX41" s="19"/>
      <c r="EQY41" s="19"/>
      <c r="EQZ41" s="19"/>
      <c r="ERA41" s="19"/>
      <c r="ERB41" s="19"/>
      <c r="ERC41" s="19"/>
      <c r="ERD41" s="19"/>
      <c r="ERE41" s="19"/>
      <c r="ERF41" s="19"/>
      <c r="ERG41" s="19"/>
      <c r="ERH41" s="19"/>
      <c r="ERI41" s="19"/>
      <c r="ERJ41" s="19"/>
      <c r="ERK41" s="19"/>
      <c r="ERL41" s="19"/>
      <c r="ERM41" s="19"/>
      <c r="ERN41" s="19"/>
      <c r="ERO41" s="19"/>
      <c r="ERP41" s="19"/>
      <c r="ERQ41" s="19"/>
      <c r="ERR41" s="19"/>
      <c r="ERS41" s="19"/>
      <c r="ERT41" s="19"/>
      <c r="ERU41" s="19"/>
      <c r="ERV41" s="19"/>
      <c r="ERW41" s="19"/>
      <c r="ERX41" s="19"/>
      <c r="ERY41" s="19"/>
      <c r="ERZ41" s="19"/>
      <c r="ESA41" s="19"/>
      <c r="ESB41" s="19"/>
      <c r="ESC41" s="19"/>
      <c r="ESD41" s="19"/>
      <c r="ESE41" s="19"/>
      <c r="ESF41" s="19"/>
      <c r="ESG41" s="19"/>
      <c r="ESH41" s="19"/>
      <c r="ESI41" s="19"/>
      <c r="ESJ41" s="19"/>
      <c r="ESK41" s="19"/>
      <c r="ESL41" s="19"/>
      <c r="ESM41" s="19"/>
      <c r="ESN41" s="19"/>
      <c r="ESO41" s="19"/>
      <c r="ESP41" s="19"/>
      <c r="ESQ41" s="19"/>
      <c r="ESR41" s="19"/>
      <c r="ESS41" s="19"/>
      <c r="EST41" s="19"/>
      <c r="ESU41" s="19"/>
      <c r="ESV41" s="19"/>
      <c r="ESW41" s="19"/>
      <c r="ESX41" s="19"/>
      <c r="ESY41" s="19"/>
      <c r="ESZ41" s="19"/>
      <c r="ETA41" s="19"/>
      <c r="ETB41" s="19"/>
      <c r="ETC41" s="19"/>
      <c r="ETD41" s="19"/>
      <c r="ETE41" s="19"/>
      <c r="ETF41" s="19"/>
      <c r="ETG41" s="19"/>
      <c r="ETH41" s="19"/>
      <c r="ETI41" s="19"/>
      <c r="ETJ41" s="19"/>
      <c r="ETK41" s="19"/>
      <c r="ETL41" s="19"/>
      <c r="ETM41" s="19"/>
      <c r="ETN41" s="19"/>
      <c r="ETO41" s="19"/>
      <c r="ETP41" s="19"/>
      <c r="ETQ41" s="19"/>
      <c r="ETR41" s="19"/>
      <c r="ETS41" s="19"/>
      <c r="ETT41" s="19"/>
      <c r="ETU41" s="19"/>
      <c r="ETV41" s="19"/>
      <c r="ETW41" s="19"/>
      <c r="ETX41" s="19"/>
      <c r="ETY41" s="19"/>
      <c r="ETZ41" s="19"/>
      <c r="EUA41" s="19"/>
      <c r="EUB41" s="19"/>
      <c r="EUC41" s="19"/>
      <c r="EUD41" s="19"/>
      <c r="EUE41" s="19"/>
      <c r="EUF41" s="19"/>
      <c r="EUG41" s="19"/>
      <c r="EUH41" s="19"/>
      <c r="EUI41" s="19"/>
      <c r="EUJ41" s="19"/>
      <c r="EUK41" s="19"/>
      <c r="EUL41" s="19"/>
      <c r="EUM41" s="19"/>
      <c r="EUN41" s="19"/>
      <c r="EUO41" s="19"/>
      <c r="EUP41" s="19"/>
      <c r="EUQ41" s="19"/>
      <c r="EUR41" s="19"/>
      <c r="EUS41" s="19"/>
      <c r="EUT41" s="19"/>
      <c r="EUU41" s="19"/>
      <c r="EUV41" s="19"/>
      <c r="EUW41" s="19"/>
      <c r="EUX41" s="19"/>
      <c r="EUY41" s="19"/>
      <c r="EUZ41" s="19"/>
      <c r="EVA41" s="19"/>
      <c r="EVB41" s="19"/>
      <c r="EVC41" s="19"/>
      <c r="EVD41" s="19"/>
      <c r="EVE41" s="19"/>
      <c r="EVF41" s="19"/>
      <c r="EVG41" s="19"/>
      <c r="EVH41" s="19"/>
      <c r="EVI41" s="19"/>
      <c r="EVJ41" s="19"/>
      <c r="EVK41" s="19"/>
      <c r="EVL41" s="19"/>
      <c r="EVM41" s="19"/>
      <c r="EVN41" s="19"/>
      <c r="EVO41" s="19"/>
      <c r="EVP41" s="19"/>
      <c r="EVQ41" s="19"/>
      <c r="EVR41" s="19"/>
      <c r="EVS41" s="19"/>
      <c r="EVT41" s="19"/>
      <c r="EVU41" s="19"/>
      <c r="EVV41" s="19"/>
      <c r="EVW41" s="19"/>
      <c r="EVX41" s="19"/>
      <c r="EVY41" s="19"/>
      <c r="EVZ41" s="19"/>
      <c r="EWA41" s="19"/>
      <c r="EWB41" s="19"/>
      <c r="EWC41" s="19"/>
      <c r="EWD41" s="19"/>
      <c r="EWE41" s="19"/>
      <c r="EWF41" s="19"/>
      <c r="EWG41" s="19"/>
      <c r="EWH41" s="19"/>
      <c r="EWI41" s="19"/>
      <c r="EWJ41" s="19"/>
      <c r="EWK41" s="19"/>
      <c r="EWL41" s="19"/>
      <c r="EWM41" s="19"/>
      <c r="EWN41" s="19"/>
      <c r="EWO41" s="19"/>
      <c r="EWP41" s="19"/>
      <c r="EWQ41" s="19"/>
      <c r="EWR41" s="19"/>
      <c r="EWS41" s="19"/>
      <c r="EWT41" s="19"/>
      <c r="EWU41" s="19"/>
      <c r="EWV41" s="19"/>
      <c r="EWW41" s="19"/>
      <c r="EWX41" s="19"/>
      <c r="EWY41" s="19"/>
      <c r="EWZ41" s="19"/>
      <c r="EXA41" s="19"/>
      <c r="EXB41" s="19"/>
      <c r="EXC41" s="19"/>
      <c r="EXD41" s="19"/>
      <c r="EXE41" s="19"/>
      <c r="EXF41" s="19"/>
      <c r="EXG41" s="19"/>
      <c r="EXH41" s="19"/>
      <c r="EXI41" s="19"/>
      <c r="EXJ41" s="19"/>
      <c r="EXK41" s="19"/>
      <c r="EXL41" s="19"/>
      <c r="EXM41" s="19"/>
      <c r="EXN41" s="19"/>
      <c r="EXO41" s="19"/>
      <c r="EXP41" s="19"/>
      <c r="EXQ41" s="19"/>
      <c r="EXR41" s="19"/>
      <c r="EXS41" s="19"/>
      <c r="EXT41" s="19"/>
      <c r="EXU41" s="19"/>
      <c r="EXV41" s="19"/>
      <c r="EXW41" s="19"/>
      <c r="EXX41" s="19"/>
      <c r="EXY41" s="19"/>
      <c r="EXZ41" s="19"/>
      <c r="EYA41" s="19"/>
      <c r="EYB41" s="19"/>
      <c r="EYC41" s="19"/>
      <c r="EYD41" s="19"/>
      <c r="EYE41" s="19"/>
      <c r="EYF41" s="19"/>
      <c r="EYG41" s="19"/>
      <c r="EYH41" s="19"/>
      <c r="EYI41" s="19"/>
      <c r="EYJ41" s="19"/>
      <c r="EYK41" s="19"/>
      <c r="EYL41" s="19"/>
      <c r="EYM41" s="19"/>
      <c r="EYN41" s="19"/>
      <c r="EYO41" s="19"/>
      <c r="EYP41" s="19"/>
      <c r="EYQ41" s="19"/>
      <c r="EYR41" s="19"/>
      <c r="EYS41" s="19"/>
      <c r="EYT41" s="19"/>
      <c r="EYU41" s="19"/>
      <c r="EYV41" s="19"/>
      <c r="EYW41" s="19"/>
      <c r="EYX41" s="19"/>
      <c r="EYY41" s="19"/>
      <c r="EYZ41" s="19"/>
      <c r="EZA41" s="19"/>
      <c r="EZB41" s="19"/>
      <c r="EZC41" s="19"/>
      <c r="EZD41" s="19"/>
      <c r="EZE41" s="19"/>
      <c r="EZF41" s="19"/>
      <c r="EZG41" s="19"/>
      <c r="EZH41" s="19"/>
      <c r="EZI41" s="19"/>
      <c r="EZJ41" s="19"/>
      <c r="EZK41" s="19"/>
      <c r="EZL41" s="19"/>
      <c r="EZM41" s="19"/>
      <c r="EZN41" s="19"/>
      <c r="EZO41" s="19"/>
      <c r="EZP41" s="19"/>
      <c r="EZQ41" s="19"/>
      <c r="EZR41" s="19"/>
      <c r="EZS41" s="19"/>
      <c r="EZT41" s="19"/>
      <c r="EZU41" s="19"/>
      <c r="EZV41" s="19"/>
      <c r="EZW41" s="19"/>
      <c r="EZX41" s="19"/>
      <c r="EZY41" s="19"/>
      <c r="EZZ41" s="19"/>
      <c r="FAA41" s="19"/>
      <c r="FAB41" s="19"/>
      <c r="FAC41" s="19"/>
      <c r="FAD41" s="19"/>
      <c r="FAE41" s="19"/>
      <c r="FAF41" s="19"/>
      <c r="FAG41" s="19"/>
      <c r="FAH41" s="19"/>
      <c r="FAI41" s="19"/>
      <c r="FAJ41" s="19"/>
      <c r="FAK41" s="19"/>
      <c r="FAL41" s="19"/>
      <c r="FAM41" s="19"/>
      <c r="FAN41" s="19"/>
      <c r="FAO41" s="19"/>
      <c r="FAP41" s="19"/>
      <c r="FAQ41" s="19"/>
      <c r="FAR41" s="19"/>
      <c r="FAS41" s="19"/>
      <c r="FAT41" s="19"/>
      <c r="FAU41" s="19"/>
      <c r="FAV41" s="19"/>
      <c r="FAW41" s="19"/>
      <c r="FAX41" s="19"/>
      <c r="FAY41" s="19"/>
      <c r="FAZ41" s="19"/>
      <c r="FBA41" s="19"/>
      <c r="FBB41" s="19"/>
      <c r="FBC41" s="19"/>
      <c r="FBD41" s="19"/>
      <c r="FBE41" s="19"/>
      <c r="FBF41" s="19"/>
      <c r="FBG41" s="19"/>
      <c r="FBH41" s="19"/>
      <c r="FBI41" s="19"/>
      <c r="FBJ41" s="19"/>
      <c r="FBK41" s="19"/>
      <c r="FBL41" s="19"/>
      <c r="FBM41" s="19"/>
      <c r="FBN41" s="19"/>
      <c r="FBO41" s="19"/>
      <c r="FBP41" s="19"/>
      <c r="FBQ41" s="19"/>
      <c r="FBR41" s="19"/>
      <c r="FBS41" s="19"/>
      <c r="FBT41" s="19"/>
      <c r="FBU41" s="19"/>
      <c r="FBV41" s="19"/>
      <c r="FBW41" s="19"/>
      <c r="FBX41" s="19"/>
      <c r="FBY41" s="19"/>
      <c r="FBZ41" s="19"/>
      <c r="FCA41" s="19"/>
      <c r="FCB41" s="19"/>
      <c r="FCC41" s="19"/>
      <c r="FCD41" s="19"/>
      <c r="FCE41" s="19"/>
      <c r="FCF41" s="19"/>
      <c r="FCG41" s="19"/>
      <c r="FCH41" s="19"/>
      <c r="FCI41" s="19"/>
      <c r="FCJ41" s="19"/>
      <c r="FCK41" s="19"/>
      <c r="FCL41" s="19"/>
      <c r="FCM41" s="19"/>
      <c r="FCN41" s="19"/>
      <c r="FCO41" s="19"/>
      <c r="FCP41" s="19"/>
      <c r="FCQ41" s="19"/>
      <c r="FCR41" s="19"/>
      <c r="FCS41" s="19"/>
      <c r="FCT41" s="19"/>
      <c r="FCU41" s="19"/>
      <c r="FCV41" s="19"/>
      <c r="FCW41" s="19"/>
      <c r="FCX41" s="19"/>
      <c r="FCY41" s="19"/>
      <c r="FCZ41" s="19"/>
      <c r="FDA41" s="19"/>
      <c r="FDB41" s="19"/>
      <c r="FDC41" s="19"/>
      <c r="FDD41" s="19"/>
      <c r="FDE41" s="19"/>
      <c r="FDF41" s="19"/>
      <c r="FDG41" s="19"/>
      <c r="FDH41" s="19"/>
      <c r="FDI41" s="19"/>
      <c r="FDJ41" s="19"/>
      <c r="FDK41" s="19"/>
      <c r="FDL41" s="19"/>
      <c r="FDM41" s="19"/>
      <c r="FDN41" s="19"/>
      <c r="FDO41" s="19"/>
      <c r="FDP41" s="19"/>
      <c r="FDQ41" s="19"/>
      <c r="FDR41" s="19"/>
      <c r="FDS41" s="19"/>
      <c r="FDT41" s="19"/>
      <c r="FDU41" s="19"/>
      <c r="FDV41" s="19"/>
      <c r="FDW41" s="19"/>
      <c r="FDX41" s="19"/>
      <c r="FDY41" s="19"/>
      <c r="FDZ41" s="19"/>
      <c r="FEA41" s="19"/>
      <c r="FEB41" s="19"/>
      <c r="FEC41" s="19"/>
      <c r="FED41" s="19"/>
      <c r="FEE41" s="19"/>
      <c r="FEF41" s="19"/>
      <c r="FEG41" s="19"/>
      <c r="FEH41" s="19"/>
      <c r="FEI41" s="19"/>
      <c r="FEJ41" s="19"/>
      <c r="FEK41" s="19"/>
      <c r="FEL41" s="19"/>
      <c r="FEM41" s="19"/>
      <c r="FEN41" s="19"/>
      <c r="FEO41" s="19"/>
      <c r="FEP41" s="19"/>
      <c r="FEQ41" s="19"/>
      <c r="FER41" s="19"/>
      <c r="FES41" s="19"/>
      <c r="FET41" s="19"/>
      <c r="FEU41" s="19"/>
      <c r="FEV41" s="19"/>
      <c r="FEW41" s="19"/>
      <c r="FEX41" s="19"/>
      <c r="FEY41" s="19"/>
      <c r="FEZ41" s="19"/>
      <c r="FFA41" s="19"/>
      <c r="FFB41" s="19"/>
      <c r="FFC41" s="19"/>
      <c r="FFD41" s="19"/>
      <c r="FFE41" s="19"/>
      <c r="FFF41" s="19"/>
      <c r="FFG41" s="19"/>
      <c r="FFH41" s="19"/>
      <c r="FFI41" s="19"/>
      <c r="FFJ41" s="19"/>
      <c r="FFK41" s="19"/>
      <c r="FFL41" s="19"/>
      <c r="FFM41" s="19"/>
      <c r="FFN41" s="19"/>
      <c r="FFO41" s="19"/>
      <c r="FFP41" s="19"/>
      <c r="FFQ41" s="19"/>
      <c r="FFR41" s="19"/>
      <c r="FFS41" s="19"/>
      <c r="FFT41" s="19"/>
      <c r="FFU41" s="19"/>
      <c r="FFV41" s="19"/>
      <c r="FFW41" s="19"/>
      <c r="FFX41" s="19"/>
      <c r="FFY41" s="19"/>
      <c r="FFZ41" s="19"/>
      <c r="FGA41" s="19"/>
      <c r="FGB41" s="19"/>
      <c r="FGC41" s="19"/>
      <c r="FGD41" s="19"/>
      <c r="FGE41" s="19"/>
      <c r="FGF41" s="19"/>
      <c r="FGG41" s="19"/>
      <c r="FGH41" s="19"/>
      <c r="FGI41" s="19"/>
      <c r="FGJ41" s="19"/>
      <c r="FGK41" s="19"/>
      <c r="FGL41" s="19"/>
      <c r="FGM41" s="19"/>
      <c r="FGN41" s="19"/>
      <c r="FGO41" s="19"/>
      <c r="FGP41" s="19"/>
      <c r="FGQ41" s="19"/>
      <c r="FGR41" s="19"/>
      <c r="FGS41" s="19"/>
      <c r="FGT41" s="19"/>
      <c r="FGU41" s="19"/>
      <c r="FGV41" s="19"/>
      <c r="FGW41" s="19"/>
      <c r="FGX41" s="19"/>
      <c r="FGY41" s="19"/>
      <c r="FGZ41" s="19"/>
      <c r="FHA41" s="19"/>
      <c r="FHB41" s="19"/>
      <c r="FHC41" s="19"/>
      <c r="FHD41" s="19"/>
      <c r="FHE41" s="19"/>
      <c r="FHF41" s="19"/>
      <c r="FHG41" s="19"/>
      <c r="FHH41" s="19"/>
      <c r="FHI41" s="19"/>
      <c r="FHJ41" s="19"/>
      <c r="FHK41" s="19"/>
      <c r="FHL41" s="19"/>
      <c r="FHM41" s="19"/>
      <c r="FHN41" s="19"/>
      <c r="FHO41" s="19"/>
      <c r="FHP41" s="19"/>
      <c r="FHQ41" s="19"/>
      <c r="FHR41" s="19"/>
      <c r="FHS41" s="19"/>
      <c r="FHT41" s="19"/>
      <c r="FHU41" s="19"/>
      <c r="FHV41" s="19"/>
      <c r="FHW41" s="19"/>
      <c r="FHX41" s="19"/>
      <c r="FHY41" s="19"/>
      <c r="FHZ41" s="19"/>
      <c r="FIA41" s="19"/>
      <c r="FIB41" s="19"/>
      <c r="FIC41" s="19"/>
      <c r="FID41" s="19"/>
      <c r="FIE41" s="19"/>
      <c r="FIF41" s="19"/>
      <c r="FIG41" s="19"/>
      <c r="FIH41" s="19"/>
      <c r="FII41" s="19"/>
      <c r="FIJ41" s="19"/>
      <c r="FIK41" s="19"/>
      <c r="FIL41" s="19"/>
      <c r="FIM41" s="19"/>
      <c r="FIN41" s="19"/>
      <c r="FIO41" s="19"/>
      <c r="FIP41" s="19"/>
      <c r="FIQ41" s="19"/>
      <c r="FIR41" s="19"/>
      <c r="FIS41" s="19"/>
      <c r="FIT41" s="19"/>
      <c r="FIU41" s="19"/>
      <c r="FIV41" s="19"/>
      <c r="FIW41" s="19"/>
      <c r="FIX41" s="19"/>
      <c r="FIY41" s="19"/>
      <c r="FIZ41" s="19"/>
      <c r="FJA41" s="19"/>
      <c r="FJB41" s="19"/>
      <c r="FJC41" s="19"/>
      <c r="FJD41" s="19"/>
      <c r="FJE41" s="19"/>
      <c r="FJF41" s="19"/>
      <c r="FJG41" s="19"/>
      <c r="FJH41" s="19"/>
      <c r="FJI41" s="19"/>
      <c r="FJJ41" s="19"/>
      <c r="FJK41" s="19"/>
      <c r="FJL41" s="19"/>
      <c r="FJM41" s="19"/>
      <c r="FJN41" s="19"/>
      <c r="FJO41" s="19"/>
      <c r="FJP41" s="19"/>
      <c r="FJQ41" s="19"/>
      <c r="FJR41" s="19"/>
      <c r="FJS41" s="19"/>
      <c r="FJT41" s="19"/>
      <c r="FJU41" s="19"/>
      <c r="FJV41" s="19"/>
      <c r="FJW41" s="19"/>
      <c r="FJX41" s="19"/>
      <c r="FJY41" s="19"/>
      <c r="FJZ41" s="19"/>
      <c r="FKA41" s="19"/>
      <c r="FKB41" s="19"/>
      <c r="FKC41" s="19"/>
      <c r="FKD41" s="19"/>
      <c r="FKE41" s="19"/>
      <c r="FKF41" s="19"/>
      <c r="FKG41" s="19"/>
      <c r="FKH41" s="19"/>
      <c r="FKI41" s="19"/>
      <c r="FKJ41" s="19"/>
      <c r="FKK41" s="19"/>
      <c r="FKL41" s="19"/>
      <c r="FKM41" s="19"/>
      <c r="FKN41" s="19"/>
      <c r="FKO41" s="19"/>
      <c r="FKP41" s="19"/>
      <c r="FKQ41" s="19"/>
      <c r="FKR41" s="19"/>
      <c r="FKS41" s="19"/>
      <c r="FKT41" s="19"/>
      <c r="FKU41" s="19"/>
      <c r="FKV41" s="19"/>
      <c r="FKW41" s="19"/>
      <c r="FKX41" s="19"/>
      <c r="FKY41" s="19"/>
      <c r="FKZ41" s="19"/>
      <c r="FLA41" s="19"/>
      <c r="FLB41" s="19"/>
      <c r="FLC41" s="19"/>
      <c r="FLD41" s="19"/>
      <c r="FLE41" s="19"/>
      <c r="FLF41" s="19"/>
      <c r="FLG41" s="19"/>
      <c r="FLH41" s="19"/>
      <c r="FLI41" s="19"/>
      <c r="FLJ41" s="19"/>
      <c r="FLK41" s="19"/>
      <c r="FLL41" s="19"/>
      <c r="FLM41" s="19"/>
      <c r="FLN41" s="19"/>
      <c r="FLO41" s="19"/>
      <c r="FLP41" s="19"/>
      <c r="FLQ41" s="19"/>
      <c r="FLR41" s="19"/>
      <c r="FLS41" s="19"/>
      <c r="FLT41" s="19"/>
      <c r="FLU41" s="19"/>
      <c r="FLV41" s="19"/>
      <c r="FLW41" s="19"/>
      <c r="FLX41" s="19"/>
      <c r="FLY41" s="19"/>
      <c r="FLZ41" s="19"/>
      <c r="FMA41" s="19"/>
      <c r="FMB41" s="19"/>
      <c r="FMC41" s="19"/>
      <c r="FMD41" s="19"/>
      <c r="FME41" s="19"/>
      <c r="FMF41" s="19"/>
      <c r="FMG41" s="19"/>
      <c r="FMH41" s="19"/>
      <c r="FMI41" s="19"/>
      <c r="FMJ41" s="19"/>
      <c r="FMK41" s="19"/>
      <c r="FML41" s="19"/>
      <c r="FMM41" s="19"/>
      <c r="FMN41" s="19"/>
      <c r="FMO41" s="19"/>
      <c r="FMP41" s="19"/>
      <c r="FMQ41" s="19"/>
      <c r="FMR41" s="19"/>
      <c r="FMS41" s="19"/>
      <c r="FMT41" s="19"/>
      <c r="FMU41" s="19"/>
      <c r="FMV41" s="19"/>
      <c r="FMW41" s="19"/>
      <c r="FMX41" s="19"/>
      <c r="FMY41" s="19"/>
      <c r="FMZ41" s="19"/>
      <c r="FNA41" s="19"/>
      <c r="FNB41" s="19"/>
      <c r="FNC41" s="19"/>
      <c r="FND41" s="19"/>
      <c r="FNE41" s="19"/>
      <c r="FNF41" s="19"/>
      <c r="FNG41" s="19"/>
      <c r="FNH41" s="19"/>
      <c r="FNI41" s="19"/>
      <c r="FNJ41" s="19"/>
      <c r="FNK41" s="19"/>
      <c r="FNL41" s="19"/>
      <c r="FNM41" s="19"/>
      <c r="FNN41" s="19"/>
      <c r="FNO41" s="19"/>
      <c r="FNP41" s="19"/>
      <c r="FNQ41" s="19"/>
      <c r="FNR41" s="19"/>
      <c r="FNS41" s="19"/>
      <c r="FNT41" s="19"/>
      <c r="FNU41" s="19"/>
      <c r="FNV41" s="19"/>
      <c r="FNW41" s="19"/>
      <c r="FNX41" s="19"/>
      <c r="FNY41" s="19"/>
      <c r="FNZ41" s="19"/>
      <c r="FOA41" s="19"/>
      <c r="FOB41" s="19"/>
      <c r="FOC41" s="19"/>
      <c r="FOD41" s="19"/>
      <c r="FOE41" s="19"/>
      <c r="FOF41" s="19"/>
      <c r="FOG41" s="19"/>
      <c r="FOH41" s="19"/>
      <c r="FOI41" s="19"/>
      <c r="FOJ41" s="19"/>
      <c r="FOK41" s="19"/>
      <c r="FOL41" s="19"/>
      <c r="FOM41" s="19"/>
      <c r="FON41" s="19"/>
      <c r="FOO41" s="19"/>
      <c r="FOP41" s="19"/>
      <c r="FOQ41" s="19"/>
      <c r="FOR41" s="19"/>
      <c r="FOS41" s="19"/>
      <c r="FOT41" s="19"/>
      <c r="FOU41" s="19"/>
      <c r="FOV41" s="19"/>
      <c r="FOW41" s="19"/>
      <c r="FOX41" s="19"/>
      <c r="FOY41" s="19"/>
      <c r="FOZ41" s="19"/>
      <c r="FPA41" s="19"/>
      <c r="FPB41" s="19"/>
      <c r="FPC41" s="19"/>
      <c r="FPD41" s="19"/>
      <c r="FPE41" s="19"/>
      <c r="FPF41" s="19"/>
      <c r="FPG41" s="19"/>
      <c r="FPH41" s="19"/>
      <c r="FPI41" s="19"/>
      <c r="FPJ41" s="19"/>
      <c r="FPK41" s="19"/>
      <c r="FPL41" s="19"/>
      <c r="FPM41" s="19"/>
      <c r="FPN41" s="19"/>
      <c r="FPO41" s="19"/>
      <c r="FPP41" s="19"/>
      <c r="FPQ41" s="19"/>
      <c r="FPR41" s="19"/>
      <c r="FPS41" s="19"/>
      <c r="FPT41" s="19"/>
      <c r="FPU41" s="19"/>
      <c r="FPV41" s="19"/>
      <c r="FPW41" s="19"/>
      <c r="FPX41" s="19"/>
      <c r="FPY41" s="19"/>
      <c r="FPZ41" s="19"/>
      <c r="FQA41" s="19"/>
      <c r="FQB41" s="19"/>
      <c r="FQC41" s="19"/>
      <c r="FQD41" s="19"/>
      <c r="FQE41" s="19"/>
      <c r="FQF41" s="19"/>
      <c r="FQG41" s="19"/>
      <c r="FQH41" s="19"/>
      <c r="FQI41" s="19"/>
      <c r="FQJ41" s="19"/>
      <c r="FQK41" s="19"/>
      <c r="FQL41" s="19"/>
      <c r="FQM41" s="19"/>
      <c r="FQN41" s="19"/>
      <c r="FQO41" s="19"/>
      <c r="FQP41" s="19"/>
      <c r="FQQ41" s="19"/>
      <c r="FQR41" s="19"/>
      <c r="FQS41" s="19"/>
      <c r="FQT41" s="19"/>
      <c r="FQU41" s="19"/>
      <c r="FQV41" s="19"/>
      <c r="FQW41" s="19"/>
      <c r="FQX41" s="19"/>
      <c r="FQY41" s="19"/>
      <c r="FQZ41" s="19"/>
      <c r="FRA41" s="19"/>
      <c r="FRB41" s="19"/>
      <c r="FRC41" s="19"/>
      <c r="FRD41" s="19"/>
      <c r="FRE41" s="19"/>
      <c r="FRF41" s="19"/>
      <c r="FRG41" s="19"/>
      <c r="FRH41" s="19"/>
      <c r="FRI41" s="19"/>
      <c r="FRJ41" s="19"/>
      <c r="FRK41" s="19"/>
      <c r="FRL41" s="19"/>
      <c r="FRM41" s="19"/>
      <c r="FRN41" s="19"/>
      <c r="FRO41" s="19"/>
      <c r="FRP41" s="19"/>
      <c r="FRQ41" s="19"/>
      <c r="FRR41" s="19"/>
      <c r="FRS41" s="19"/>
      <c r="FRT41" s="19"/>
      <c r="FRU41" s="19"/>
      <c r="FRV41" s="19"/>
      <c r="FRW41" s="19"/>
      <c r="FRX41" s="19"/>
      <c r="FRY41" s="19"/>
      <c r="FRZ41" s="19"/>
      <c r="FSA41" s="19"/>
      <c r="FSB41" s="19"/>
      <c r="FSC41" s="19"/>
      <c r="FSD41" s="19"/>
      <c r="FSE41" s="19"/>
      <c r="FSF41" s="19"/>
      <c r="FSG41" s="19"/>
      <c r="FSH41" s="19"/>
      <c r="FSI41" s="19"/>
      <c r="FSJ41" s="19"/>
      <c r="FSK41" s="19"/>
      <c r="FSL41" s="19"/>
      <c r="FSM41" s="19"/>
      <c r="FSN41" s="19"/>
      <c r="FSO41" s="19"/>
      <c r="FSP41" s="19"/>
      <c r="FSQ41" s="19"/>
      <c r="FSR41" s="19"/>
      <c r="FSS41" s="19"/>
      <c r="FST41" s="19"/>
      <c r="FSU41" s="19"/>
      <c r="FSV41" s="19"/>
      <c r="FSW41" s="19"/>
      <c r="FSX41" s="19"/>
      <c r="FSY41" s="19"/>
      <c r="FSZ41" s="19"/>
      <c r="FTA41" s="19"/>
      <c r="FTB41" s="19"/>
      <c r="FTC41" s="19"/>
      <c r="FTD41" s="19"/>
      <c r="FTE41" s="19"/>
      <c r="FTF41" s="19"/>
      <c r="FTG41" s="19"/>
      <c r="FTH41" s="19"/>
      <c r="FTI41" s="19"/>
      <c r="FTJ41" s="19"/>
      <c r="FTK41" s="19"/>
      <c r="FTL41" s="19"/>
      <c r="FTM41" s="19"/>
      <c r="FTN41" s="19"/>
      <c r="FTO41" s="19"/>
      <c r="FTP41" s="19"/>
      <c r="FTQ41" s="19"/>
      <c r="FTR41" s="19"/>
      <c r="FTS41" s="19"/>
      <c r="FTT41" s="19"/>
      <c r="FTU41" s="19"/>
      <c r="FTV41" s="19"/>
      <c r="FTW41" s="19"/>
      <c r="FTX41" s="19"/>
      <c r="FTY41" s="19"/>
      <c r="FTZ41" s="19"/>
      <c r="FUA41" s="19"/>
      <c r="FUB41" s="19"/>
      <c r="FUC41" s="19"/>
      <c r="FUD41" s="19"/>
      <c r="FUE41" s="19"/>
      <c r="FUF41" s="19"/>
      <c r="FUG41" s="19"/>
      <c r="FUH41" s="19"/>
      <c r="FUI41" s="19"/>
      <c r="FUJ41" s="19"/>
      <c r="FUK41" s="19"/>
      <c r="FUL41" s="19"/>
      <c r="FUM41" s="19"/>
      <c r="FUN41" s="19"/>
      <c r="FUO41" s="19"/>
      <c r="FUP41" s="19"/>
      <c r="FUQ41" s="19"/>
      <c r="FUR41" s="19"/>
      <c r="FUS41" s="19"/>
      <c r="FUT41" s="19"/>
      <c r="FUU41" s="19"/>
      <c r="FUV41" s="19"/>
      <c r="FUW41" s="19"/>
      <c r="FUX41" s="19"/>
      <c r="FUY41" s="19"/>
      <c r="FUZ41" s="19"/>
      <c r="FVA41" s="19"/>
      <c r="FVB41" s="19"/>
      <c r="FVC41" s="19"/>
      <c r="FVD41" s="19"/>
      <c r="FVE41" s="19"/>
      <c r="FVF41" s="19"/>
      <c r="FVG41" s="19"/>
      <c r="FVH41" s="19"/>
      <c r="FVI41" s="19"/>
      <c r="FVJ41" s="19"/>
      <c r="FVK41" s="19"/>
      <c r="FVL41" s="19"/>
      <c r="FVM41" s="19"/>
      <c r="FVN41" s="19"/>
      <c r="FVO41" s="19"/>
      <c r="FVP41" s="19"/>
      <c r="FVQ41" s="19"/>
      <c r="FVR41" s="19"/>
      <c r="FVS41" s="19"/>
      <c r="FVT41" s="19"/>
      <c r="FVU41" s="19"/>
      <c r="FVV41" s="19"/>
      <c r="FVW41" s="19"/>
      <c r="FVX41" s="19"/>
      <c r="FVY41" s="19"/>
      <c r="FVZ41" s="19"/>
      <c r="FWA41" s="19"/>
      <c r="FWB41" s="19"/>
      <c r="FWC41" s="19"/>
      <c r="FWD41" s="19"/>
      <c r="FWE41" s="19"/>
      <c r="FWF41" s="19"/>
      <c r="FWG41" s="19"/>
      <c r="FWH41" s="19"/>
      <c r="FWI41" s="19"/>
      <c r="FWJ41" s="19"/>
      <c r="FWK41" s="19"/>
      <c r="FWL41" s="19"/>
      <c r="FWM41" s="19"/>
      <c r="FWN41" s="19"/>
      <c r="FWO41" s="19"/>
      <c r="FWP41" s="19"/>
      <c r="FWQ41" s="19"/>
      <c r="FWR41" s="19"/>
      <c r="FWS41" s="19"/>
      <c r="FWT41" s="19"/>
      <c r="FWU41" s="19"/>
      <c r="FWV41" s="19"/>
      <c r="FWW41" s="19"/>
      <c r="FWX41" s="19"/>
      <c r="FWY41" s="19"/>
      <c r="FWZ41" s="19"/>
      <c r="FXA41" s="19"/>
      <c r="FXB41" s="19"/>
      <c r="FXC41" s="19"/>
      <c r="FXD41" s="19"/>
      <c r="FXE41" s="19"/>
      <c r="FXF41" s="19"/>
      <c r="FXG41" s="19"/>
      <c r="FXH41" s="19"/>
      <c r="FXI41" s="19"/>
      <c r="FXJ41" s="19"/>
      <c r="FXK41" s="19"/>
      <c r="FXL41" s="19"/>
      <c r="FXM41" s="19"/>
      <c r="FXN41" s="19"/>
      <c r="FXO41" s="19"/>
      <c r="FXP41" s="19"/>
      <c r="FXQ41" s="19"/>
      <c r="FXR41" s="19"/>
      <c r="FXS41" s="19"/>
      <c r="FXT41" s="19"/>
      <c r="FXU41" s="19"/>
      <c r="FXV41" s="19"/>
      <c r="FXW41" s="19"/>
      <c r="FXX41" s="19"/>
      <c r="FXY41" s="19"/>
      <c r="FXZ41" s="19"/>
      <c r="FYA41" s="19"/>
      <c r="FYB41" s="19"/>
      <c r="FYC41" s="19"/>
      <c r="FYD41" s="19"/>
      <c r="FYE41" s="19"/>
      <c r="FYF41" s="19"/>
      <c r="FYG41" s="19"/>
      <c r="FYH41" s="19"/>
      <c r="FYI41" s="19"/>
      <c r="FYJ41" s="19"/>
      <c r="FYK41" s="19"/>
      <c r="FYL41" s="19"/>
      <c r="FYM41" s="19"/>
      <c r="FYN41" s="19"/>
      <c r="FYO41" s="19"/>
      <c r="FYP41" s="19"/>
      <c r="FYQ41" s="19"/>
      <c r="FYR41" s="19"/>
      <c r="FYS41" s="19"/>
      <c r="FYT41" s="19"/>
      <c r="FYU41" s="19"/>
      <c r="FYV41" s="19"/>
      <c r="FYW41" s="19"/>
      <c r="FYX41" s="19"/>
      <c r="FYY41" s="19"/>
      <c r="FYZ41" s="19"/>
      <c r="FZA41" s="19"/>
      <c r="FZB41" s="19"/>
      <c r="FZC41" s="19"/>
      <c r="FZD41" s="19"/>
      <c r="FZE41" s="19"/>
      <c r="FZF41" s="19"/>
      <c r="FZG41" s="19"/>
      <c r="FZH41" s="19"/>
      <c r="FZI41" s="19"/>
      <c r="FZJ41" s="19"/>
      <c r="FZK41" s="19"/>
      <c r="FZL41" s="19"/>
      <c r="FZM41" s="19"/>
      <c r="FZN41" s="19"/>
      <c r="FZO41" s="19"/>
      <c r="FZP41" s="19"/>
      <c r="FZQ41" s="19"/>
      <c r="FZR41" s="19"/>
      <c r="FZS41" s="19"/>
      <c r="FZT41" s="19"/>
      <c r="FZU41" s="19"/>
      <c r="FZV41" s="19"/>
      <c r="FZW41" s="19"/>
      <c r="FZX41" s="19"/>
      <c r="FZY41" s="19"/>
      <c r="FZZ41" s="19"/>
      <c r="GAA41" s="19"/>
      <c r="GAB41" s="19"/>
      <c r="GAC41" s="19"/>
      <c r="GAD41" s="19"/>
      <c r="GAE41" s="19"/>
      <c r="GAF41" s="19"/>
      <c r="GAG41" s="19"/>
      <c r="GAH41" s="19"/>
      <c r="GAI41" s="19"/>
      <c r="GAJ41" s="19"/>
      <c r="GAK41" s="19"/>
      <c r="GAL41" s="19"/>
      <c r="GAM41" s="19"/>
      <c r="GAN41" s="19"/>
      <c r="GAO41" s="19"/>
      <c r="GAP41" s="19"/>
      <c r="GAQ41" s="19"/>
      <c r="GAR41" s="19"/>
      <c r="GAS41" s="19"/>
      <c r="GAT41" s="19"/>
      <c r="GAU41" s="19"/>
      <c r="GAV41" s="19"/>
      <c r="GAW41" s="19"/>
      <c r="GAX41" s="19"/>
      <c r="GAY41" s="19"/>
      <c r="GAZ41" s="19"/>
      <c r="GBA41" s="19"/>
      <c r="GBB41" s="19"/>
      <c r="GBC41" s="19"/>
      <c r="GBD41" s="19"/>
      <c r="GBE41" s="19"/>
      <c r="GBF41" s="19"/>
      <c r="GBG41" s="19"/>
      <c r="GBH41" s="19"/>
      <c r="GBI41" s="19"/>
      <c r="GBJ41" s="19"/>
      <c r="GBK41" s="19"/>
      <c r="GBL41" s="19"/>
      <c r="GBM41" s="19"/>
      <c r="GBN41" s="19"/>
      <c r="GBO41" s="19"/>
      <c r="GBP41" s="19"/>
      <c r="GBQ41" s="19"/>
      <c r="GBR41" s="19"/>
      <c r="GBS41" s="19"/>
      <c r="GBT41" s="19"/>
      <c r="GBU41" s="19"/>
      <c r="GBV41" s="19"/>
      <c r="GBW41" s="19"/>
      <c r="GBX41" s="19"/>
      <c r="GBY41" s="19"/>
      <c r="GBZ41" s="19"/>
      <c r="GCA41" s="19"/>
      <c r="GCB41" s="19"/>
      <c r="GCC41" s="19"/>
      <c r="GCD41" s="19"/>
      <c r="GCE41" s="19"/>
      <c r="GCF41" s="19"/>
      <c r="GCG41" s="19"/>
      <c r="GCH41" s="19"/>
      <c r="GCI41" s="19"/>
      <c r="GCJ41" s="19"/>
      <c r="GCK41" s="19"/>
      <c r="GCL41" s="19"/>
      <c r="GCM41" s="19"/>
      <c r="GCN41" s="19"/>
      <c r="GCO41" s="19"/>
      <c r="GCP41" s="19"/>
      <c r="GCQ41" s="19"/>
      <c r="GCR41" s="19"/>
      <c r="GCS41" s="19"/>
      <c r="GCT41" s="19"/>
      <c r="GCU41" s="19"/>
      <c r="GCV41" s="19"/>
      <c r="GCW41" s="19"/>
      <c r="GCX41" s="19"/>
      <c r="GCY41" s="19"/>
      <c r="GCZ41" s="19"/>
      <c r="GDA41" s="19"/>
      <c r="GDB41" s="19"/>
      <c r="GDC41" s="19"/>
      <c r="GDD41" s="19"/>
      <c r="GDE41" s="19"/>
      <c r="GDF41" s="19"/>
      <c r="GDG41" s="19"/>
      <c r="GDH41" s="19"/>
      <c r="GDI41" s="19"/>
      <c r="GDJ41" s="19"/>
      <c r="GDK41" s="19"/>
      <c r="GDL41" s="19"/>
      <c r="GDM41" s="19"/>
      <c r="GDN41" s="19"/>
      <c r="GDO41" s="19"/>
      <c r="GDP41" s="19"/>
      <c r="GDQ41" s="19"/>
      <c r="GDR41" s="19"/>
      <c r="GDS41" s="19"/>
      <c r="GDT41" s="19"/>
      <c r="GDU41" s="19"/>
      <c r="GDV41" s="19"/>
      <c r="GDW41" s="19"/>
      <c r="GDX41" s="19"/>
      <c r="GDY41" s="19"/>
      <c r="GDZ41" s="19"/>
      <c r="GEA41" s="19"/>
      <c r="GEB41" s="19"/>
      <c r="GEC41" s="19"/>
      <c r="GED41" s="19"/>
      <c r="GEE41" s="19"/>
      <c r="GEF41" s="19"/>
      <c r="GEG41" s="19"/>
      <c r="GEH41" s="19"/>
      <c r="GEI41" s="19"/>
      <c r="GEJ41" s="19"/>
      <c r="GEK41" s="19"/>
      <c r="GEL41" s="19"/>
      <c r="GEM41" s="19"/>
      <c r="GEN41" s="19"/>
      <c r="GEO41" s="19"/>
      <c r="GEP41" s="19"/>
      <c r="GEQ41" s="19"/>
      <c r="GER41" s="19"/>
      <c r="GES41" s="19"/>
      <c r="GET41" s="19"/>
      <c r="GEU41" s="19"/>
      <c r="GEV41" s="19"/>
      <c r="GEW41" s="19"/>
      <c r="GEX41" s="19"/>
      <c r="GEY41" s="19"/>
      <c r="GEZ41" s="19"/>
      <c r="GFA41" s="19"/>
      <c r="GFB41" s="19"/>
      <c r="GFC41" s="19"/>
      <c r="GFD41" s="19"/>
      <c r="GFE41" s="19"/>
      <c r="GFF41" s="19"/>
      <c r="GFG41" s="19"/>
      <c r="GFH41" s="19"/>
      <c r="GFI41" s="19"/>
      <c r="GFJ41" s="19"/>
      <c r="GFK41" s="19"/>
      <c r="GFL41" s="19"/>
      <c r="GFM41" s="19"/>
      <c r="GFN41" s="19"/>
      <c r="GFO41" s="19"/>
      <c r="GFP41" s="19"/>
      <c r="GFQ41" s="19"/>
      <c r="GFR41" s="19"/>
      <c r="GFS41" s="19"/>
      <c r="GFT41" s="19"/>
      <c r="GFU41" s="19"/>
      <c r="GFV41" s="19"/>
      <c r="GFW41" s="19"/>
      <c r="GFX41" s="19"/>
      <c r="GFY41" s="19"/>
      <c r="GFZ41" s="19"/>
      <c r="GGA41" s="19"/>
      <c r="GGB41" s="19"/>
      <c r="GGC41" s="19"/>
      <c r="GGD41" s="19"/>
      <c r="GGE41" s="19"/>
      <c r="GGF41" s="19"/>
      <c r="GGG41" s="19"/>
      <c r="GGH41" s="19"/>
      <c r="GGI41" s="19"/>
      <c r="GGJ41" s="19"/>
      <c r="GGK41" s="19"/>
      <c r="GGL41" s="19"/>
      <c r="GGM41" s="19"/>
      <c r="GGN41" s="19"/>
      <c r="GGO41" s="19"/>
      <c r="GGP41" s="19"/>
      <c r="GGQ41" s="19"/>
      <c r="GGR41" s="19"/>
      <c r="GGS41" s="19"/>
      <c r="GGT41" s="19"/>
      <c r="GGU41" s="19"/>
      <c r="GGV41" s="19"/>
      <c r="GGW41" s="19"/>
      <c r="GGX41" s="19"/>
      <c r="GGY41" s="19"/>
      <c r="GGZ41" s="19"/>
      <c r="GHA41" s="19"/>
      <c r="GHB41" s="19"/>
      <c r="GHC41" s="19"/>
      <c r="GHD41" s="19"/>
      <c r="GHE41" s="19"/>
      <c r="GHF41" s="19"/>
      <c r="GHG41" s="19"/>
      <c r="GHH41" s="19"/>
      <c r="GHI41" s="19"/>
      <c r="GHJ41" s="19"/>
      <c r="GHK41" s="19"/>
      <c r="GHL41" s="19"/>
      <c r="GHM41" s="19"/>
      <c r="GHN41" s="19"/>
      <c r="GHO41" s="19"/>
      <c r="GHP41" s="19"/>
      <c r="GHQ41" s="19"/>
      <c r="GHR41" s="19"/>
      <c r="GHS41" s="19"/>
      <c r="GHT41" s="19"/>
      <c r="GHU41" s="19"/>
      <c r="GHV41" s="19"/>
      <c r="GHW41" s="19"/>
      <c r="GHX41" s="19"/>
      <c r="GHY41" s="19"/>
      <c r="GHZ41" s="19"/>
      <c r="GIA41" s="19"/>
      <c r="GIB41" s="19"/>
      <c r="GIC41" s="19"/>
      <c r="GID41" s="19"/>
      <c r="GIE41" s="19"/>
      <c r="GIF41" s="19"/>
      <c r="GIG41" s="19"/>
      <c r="GIH41" s="19"/>
      <c r="GII41" s="19"/>
      <c r="GIJ41" s="19"/>
      <c r="GIK41" s="19"/>
      <c r="GIL41" s="19"/>
      <c r="GIM41" s="19"/>
      <c r="GIN41" s="19"/>
      <c r="GIO41" s="19"/>
      <c r="GIP41" s="19"/>
      <c r="GIQ41" s="19"/>
      <c r="GIR41" s="19"/>
      <c r="GIS41" s="19"/>
      <c r="GIT41" s="19"/>
      <c r="GIU41" s="19"/>
      <c r="GIV41" s="19"/>
      <c r="GIW41" s="19"/>
      <c r="GIX41" s="19"/>
      <c r="GIY41" s="19"/>
      <c r="GIZ41" s="19"/>
      <c r="GJA41" s="19"/>
      <c r="GJB41" s="19"/>
      <c r="GJC41" s="19"/>
      <c r="GJD41" s="19"/>
      <c r="GJE41" s="19"/>
      <c r="GJF41" s="19"/>
      <c r="GJG41" s="19"/>
      <c r="GJH41" s="19"/>
      <c r="GJI41" s="19"/>
      <c r="GJJ41" s="19"/>
      <c r="GJK41" s="19"/>
      <c r="GJL41" s="19"/>
      <c r="GJM41" s="19"/>
      <c r="GJN41" s="19"/>
      <c r="GJO41" s="19"/>
      <c r="GJP41" s="19"/>
      <c r="GJQ41" s="19"/>
      <c r="GJR41" s="19"/>
      <c r="GJS41" s="19"/>
      <c r="GJT41" s="19"/>
      <c r="GJU41" s="19"/>
      <c r="GJV41" s="19"/>
      <c r="GJW41" s="19"/>
      <c r="GJX41" s="19"/>
      <c r="GJY41" s="19"/>
      <c r="GJZ41" s="19"/>
      <c r="GKA41" s="19"/>
      <c r="GKB41" s="19"/>
      <c r="GKC41" s="19"/>
      <c r="GKD41" s="19"/>
      <c r="GKE41" s="19"/>
      <c r="GKF41" s="19"/>
      <c r="GKG41" s="19"/>
      <c r="GKH41" s="19"/>
      <c r="GKI41" s="19"/>
      <c r="GKJ41" s="19"/>
      <c r="GKK41" s="19"/>
      <c r="GKL41" s="19"/>
      <c r="GKM41" s="19"/>
      <c r="GKN41" s="19"/>
      <c r="GKO41" s="19"/>
      <c r="GKP41" s="19"/>
      <c r="GKQ41" s="19"/>
      <c r="GKR41" s="19"/>
      <c r="GKS41" s="19"/>
      <c r="GKT41" s="19"/>
      <c r="GKU41" s="19"/>
      <c r="GKV41" s="19"/>
      <c r="GKW41" s="19"/>
      <c r="GKX41" s="19"/>
      <c r="GKY41" s="19"/>
      <c r="GKZ41" s="19"/>
      <c r="GLA41" s="19"/>
      <c r="GLB41" s="19"/>
      <c r="GLC41" s="19"/>
      <c r="GLD41" s="19"/>
      <c r="GLE41" s="19"/>
      <c r="GLF41" s="19"/>
      <c r="GLG41" s="19"/>
      <c r="GLH41" s="19"/>
      <c r="GLI41" s="19"/>
      <c r="GLJ41" s="19"/>
      <c r="GLK41" s="19"/>
      <c r="GLL41" s="19"/>
      <c r="GLM41" s="19"/>
      <c r="GLN41" s="19"/>
      <c r="GLO41" s="19"/>
      <c r="GLP41" s="19"/>
      <c r="GLQ41" s="19"/>
      <c r="GLR41" s="19"/>
      <c r="GLS41" s="19"/>
      <c r="GLT41" s="19"/>
      <c r="GLU41" s="19"/>
      <c r="GLV41" s="19"/>
      <c r="GLW41" s="19"/>
      <c r="GLX41" s="19"/>
      <c r="GLY41" s="19"/>
      <c r="GLZ41" s="19"/>
      <c r="GMA41" s="19"/>
      <c r="GMB41" s="19"/>
      <c r="GMC41" s="19"/>
      <c r="GMD41" s="19"/>
      <c r="GME41" s="19"/>
      <c r="GMF41" s="19"/>
      <c r="GMG41" s="19"/>
      <c r="GMH41" s="19"/>
      <c r="GMI41" s="19"/>
      <c r="GMJ41" s="19"/>
      <c r="GMK41" s="19"/>
      <c r="GML41" s="19"/>
      <c r="GMM41" s="19"/>
      <c r="GMN41" s="19"/>
      <c r="GMO41" s="19"/>
      <c r="GMP41" s="19"/>
      <c r="GMQ41" s="19"/>
      <c r="GMR41" s="19"/>
      <c r="GMS41" s="19"/>
      <c r="GMT41" s="19"/>
      <c r="GMU41" s="19"/>
      <c r="GMV41" s="19"/>
      <c r="GMW41" s="19"/>
      <c r="GMX41" s="19"/>
      <c r="GMY41" s="19"/>
      <c r="GMZ41" s="19"/>
      <c r="GNA41" s="19"/>
      <c r="GNB41" s="19"/>
      <c r="GNC41" s="19"/>
      <c r="GND41" s="19"/>
      <c r="GNE41" s="19"/>
      <c r="GNF41" s="19"/>
      <c r="GNG41" s="19"/>
      <c r="GNH41" s="19"/>
      <c r="GNI41" s="19"/>
      <c r="GNJ41" s="19"/>
      <c r="GNK41" s="19"/>
      <c r="GNL41" s="19"/>
      <c r="GNM41" s="19"/>
      <c r="GNN41" s="19"/>
      <c r="GNO41" s="19"/>
      <c r="GNP41" s="19"/>
      <c r="GNQ41" s="19"/>
      <c r="GNR41" s="19"/>
      <c r="GNS41" s="19"/>
      <c r="GNT41" s="19"/>
      <c r="GNU41" s="19"/>
      <c r="GNV41" s="19"/>
      <c r="GNW41" s="19"/>
      <c r="GNX41" s="19"/>
      <c r="GNY41" s="19"/>
      <c r="GNZ41" s="19"/>
      <c r="GOA41" s="19"/>
      <c r="GOB41" s="19"/>
      <c r="GOC41" s="19"/>
      <c r="GOD41" s="19"/>
      <c r="GOE41" s="19"/>
      <c r="GOF41" s="19"/>
      <c r="GOG41" s="19"/>
      <c r="GOH41" s="19"/>
      <c r="GOI41" s="19"/>
      <c r="GOJ41" s="19"/>
      <c r="GOK41" s="19"/>
      <c r="GOL41" s="19"/>
      <c r="GOM41" s="19"/>
      <c r="GON41" s="19"/>
      <c r="GOO41" s="19"/>
      <c r="GOP41" s="19"/>
      <c r="GOQ41" s="19"/>
      <c r="GOR41" s="19"/>
      <c r="GOS41" s="19"/>
      <c r="GOT41" s="19"/>
      <c r="GOU41" s="19"/>
      <c r="GOV41" s="19"/>
      <c r="GOW41" s="19"/>
      <c r="GOX41" s="19"/>
      <c r="GOY41" s="19"/>
      <c r="GOZ41" s="19"/>
      <c r="GPA41" s="19"/>
      <c r="GPB41" s="19"/>
      <c r="GPC41" s="19"/>
      <c r="GPD41" s="19"/>
      <c r="GPE41" s="19"/>
      <c r="GPF41" s="19"/>
      <c r="GPG41" s="19"/>
      <c r="GPH41" s="19"/>
      <c r="GPI41" s="19"/>
      <c r="GPJ41" s="19"/>
      <c r="GPK41" s="19"/>
      <c r="GPL41" s="19"/>
      <c r="GPM41" s="19"/>
      <c r="GPN41" s="19"/>
      <c r="GPO41" s="19"/>
      <c r="GPP41" s="19"/>
      <c r="GPQ41" s="19"/>
      <c r="GPR41" s="19"/>
      <c r="GPS41" s="19"/>
      <c r="GPT41" s="19"/>
      <c r="GPU41" s="19"/>
      <c r="GPV41" s="19"/>
      <c r="GPW41" s="19"/>
      <c r="GPX41" s="19"/>
      <c r="GPY41" s="19"/>
      <c r="GPZ41" s="19"/>
      <c r="GQA41" s="19"/>
      <c r="GQB41" s="19"/>
      <c r="GQC41" s="19"/>
      <c r="GQD41" s="19"/>
      <c r="GQE41" s="19"/>
      <c r="GQF41" s="19"/>
      <c r="GQG41" s="19"/>
      <c r="GQH41" s="19"/>
      <c r="GQI41" s="19"/>
      <c r="GQJ41" s="19"/>
      <c r="GQK41" s="19"/>
      <c r="GQL41" s="19"/>
      <c r="GQM41" s="19"/>
      <c r="GQN41" s="19"/>
      <c r="GQO41" s="19"/>
      <c r="GQP41" s="19"/>
      <c r="GQQ41" s="19"/>
      <c r="GQR41" s="19"/>
      <c r="GQS41" s="19"/>
      <c r="GQT41" s="19"/>
      <c r="GQU41" s="19"/>
      <c r="GQV41" s="19"/>
      <c r="GQW41" s="19"/>
      <c r="GQX41" s="19"/>
      <c r="GQY41" s="19"/>
      <c r="GQZ41" s="19"/>
      <c r="GRA41" s="19"/>
      <c r="GRB41" s="19"/>
      <c r="GRC41" s="19"/>
      <c r="GRD41" s="19"/>
      <c r="GRE41" s="19"/>
      <c r="GRF41" s="19"/>
      <c r="GRG41" s="19"/>
      <c r="GRH41" s="19"/>
      <c r="GRI41" s="19"/>
      <c r="GRJ41" s="19"/>
      <c r="GRK41" s="19"/>
      <c r="GRL41" s="19"/>
      <c r="GRM41" s="19"/>
      <c r="GRN41" s="19"/>
      <c r="GRO41" s="19"/>
      <c r="GRP41" s="19"/>
      <c r="GRQ41" s="19"/>
      <c r="GRR41" s="19"/>
      <c r="GRS41" s="19"/>
      <c r="GRT41" s="19"/>
      <c r="GRU41" s="19"/>
      <c r="GRV41" s="19"/>
      <c r="GRW41" s="19"/>
      <c r="GRX41" s="19"/>
      <c r="GRY41" s="19"/>
      <c r="GRZ41" s="19"/>
      <c r="GSA41" s="19"/>
      <c r="GSB41" s="19"/>
      <c r="GSC41" s="19"/>
      <c r="GSD41" s="19"/>
      <c r="GSE41" s="19"/>
      <c r="GSF41" s="19"/>
      <c r="GSG41" s="19"/>
      <c r="GSH41" s="19"/>
      <c r="GSI41" s="19"/>
      <c r="GSJ41" s="19"/>
      <c r="GSK41" s="19"/>
      <c r="GSL41" s="19"/>
      <c r="GSM41" s="19"/>
      <c r="GSN41" s="19"/>
      <c r="GSO41" s="19"/>
      <c r="GSP41" s="19"/>
      <c r="GSQ41" s="19"/>
      <c r="GSR41" s="19"/>
      <c r="GSS41" s="19"/>
      <c r="GST41" s="19"/>
      <c r="GSU41" s="19"/>
      <c r="GSV41" s="19"/>
      <c r="GSW41" s="19"/>
      <c r="GSX41" s="19"/>
      <c r="GSY41" s="19"/>
      <c r="GSZ41" s="19"/>
      <c r="GTA41" s="19"/>
      <c r="GTB41" s="19"/>
      <c r="GTC41" s="19"/>
      <c r="GTD41" s="19"/>
      <c r="GTE41" s="19"/>
      <c r="GTF41" s="19"/>
      <c r="GTG41" s="19"/>
      <c r="GTH41" s="19"/>
      <c r="GTI41" s="19"/>
      <c r="GTJ41" s="19"/>
      <c r="GTK41" s="19"/>
      <c r="GTL41" s="19"/>
      <c r="GTM41" s="19"/>
      <c r="GTN41" s="19"/>
      <c r="GTO41" s="19"/>
      <c r="GTP41" s="19"/>
      <c r="GTQ41" s="19"/>
      <c r="GTR41" s="19"/>
      <c r="GTS41" s="19"/>
      <c r="GTT41" s="19"/>
      <c r="GTU41" s="19"/>
      <c r="GTV41" s="19"/>
      <c r="GTW41" s="19"/>
      <c r="GTX41" s="19"/>
      <c r="GTY41" s="19"/>
      <c r="GTZ41" s="19"/>
      <c r="GUA41" s="19"/>
      <c r="GUB41" s="19"/>
      <c r="GUC41" s="19"/>
      <c r="GUD41" s="19"/>
      <c r="GUE41" s="19"/>
      <c r="GUF41" s="19"/>
      <c r="GUG41" s="19"/>
      <c r="GUH41" s="19"/>
      <c r="GUI41" s="19"/>
      <c r="GUJ41" s="19"/>
      <c r="GUK41" s="19"/>
      <c r="GUL41" s="19"/>
      <c r="GUM41" s="19"/>
      <c r="GUN41" s="19"/>
      <c r="GUO41" s="19"/>
      <c r="GUP41" s="19"/>
      <c r="GUQ41" s="19"/>
      <c r="GUR41" s="19"/>
      <c r="GUS41" s="19"/>
      <c r="GUT41" s="19"/>
      <c r="GUU41" s="19"/>
      <c r="GUV41" s="19"/>
      <c r="GUW41" s="19"/>
      <c r="GUX41" s="19"/>
      <c r="GUY41" s="19"/>
      <c r="GUZ41" s="19"/>
      <c r="GVA41" s="19"/>
      <c r="GVB41" s="19"/>
      <c r="GVC41" s="19"/>
      <c r="GVD41" s="19"/>
      <c r="GVE41" s="19"/>
      <c r="GVF41" s="19"/>
      <c r="GVG41" s="19"/>
      <c r="GVH41" s="19"/>
      <c r="GVI41" s="19"/>
      <c r="GVJ41" s="19"/>
      <c r="GVK41" s="19"/>
      <c r="GVL41" s="19"/>
      <c r="GVM41" s="19"/>
      <c r="GVN41" s="19"/>
      <c r="GVO41" s="19"/>
      <c r="GVP41" s="19"/>
      <c r="GVQ41" s="19"/>
      <c r="GVR41" s="19"/>
      <c r="GVS41" s="19"/>
      <c r="GVT41" s="19"/>
      <c r="GVU41" s="19"/>
      <c r="GVV41" s="19"/>
      <c r="GVW41" s="19"/>
      <c r="GVX41" s="19"/>
      <c r="GVY41" s="19"/>
      <c r="GVZ41" s="19"/>
      <c r="GWA41" s="19"/>
      <c r="GWB41" s="19"/>
      <c r="GWC41" s="19"/>
      <c r="GWD41" s="19"/>
      <c r="GWE41" s="19"/>
      <c r="GWF41" s="19"/>
      <c r="GWG41" s="19"/>
      <c r="GWH41" s="19"/>
      <c r="GWI41" s="19"/>
      <c r="GWJ41" s="19"/>
      <c r="GWK41" s="19"/>
      <c r="GWL41" s="19"/>
      <c r="GWM41" s="19"/>
      <c r="GWN41" s="19"/>
      <c r="GWO41" s="19"/>
      <c r="GWP41" s="19"/>
      <c r="GWQ41" s="19"/>
      <c r="GWR41" s="19"/>
      <c r="GWS41" s="19"/>
      <c r="GWT41" s="19"/>
      <c r="GWU41" s="19"/>
      <c r="GWV41" s="19"/>
      <c r="GWW41" s="19"/>
      <c r="GWX41" s="19"/>
      <c r="GWY41" s="19"/>
      <c r="GWZ41" s="19"/>
      <c r="GXA41" s="19"/>
      <c r="GXB41" s="19"/>
      <c r="GXC41" s="19"/>
      <c r="GXD41" s="19"/>
      <c r="GXE41" s="19"/>
      <c r="GXF41" s="19"/>
      <c r="GXG41" s="19"/>
      <c r="GXH41" s="19"/>
      <c r="GXI41" s="19"/>
      <c r="GXJ41" s="19"/>
      <c r="GXK41" s="19"/>
      <c r="GXL41" s="19"/>
      <c r="GXM41" s="19"/>
      <c r="GXN41" s="19"/>
      <c r="GXO41" s="19"/>
      <c r="GXP41" s="19"/>
      <c r="GXQ41" s="19"/>
      <c r="GXR41" s="19"/>
      <c r="GXS41" s="19"/>
      <c r="GXT41" s="19"/>
      <c r="GXU41" s="19"/>
      <c r="GXV41" s="19"/>
      <c r="GXW41" s="19"/>
      <c r="GXX41" s="19"/>
      <c r="GXY41" s="19"/>
      <c r="GXZ41" s="19"/>
      <c r="GYA41" s="19"/>
      <c r="GYB41" s="19"/>
      <c r="GYC41" s="19"/>
      <c r="GYD41" s="19"/>
      <c r="GYE41" s="19"/>
      <c r="GYF41" s="19"/>
      <c r="GYG41" s="19"/>
      <c r="GYH41" s="19"/>
      <c r="GYI41" s="19"/>
      <c r="GYJ41" s="19"/>
      <c r="GYK41" s="19"/>
      <c r="GYL41" s="19"/>
      <c r="GYM41" s="19"/>
      <c r="GYN41" s="19"/>
      <c r="GYO41" s="19"/>
      <c r="GYP41" s="19"/>
      <c r="GYQ41" s="19"/>
      <c r="GYR41" s="19"/>
      <c r="GYS41" s="19"/>
      <c r="GYT41" s="19"/>
      <c r="GYU41" s="19"/>
      <c r="GYV41" s="19"/>
      <c r="GYW41" s="19"/>
      <c r="GYX41" s="19"/>
      <c r="GYY41" s="19"/>
      <c r="GYZ41" s="19"/>
      <c r="GZA41" s="19"/>
      <c r="GZB41" s="19"/>
      <c r="GZC41" s="19"/>
      <c r="GZD41" s="19"/>
      <c r="GZE41" s="19"/>
      <c r="GZF41" s="19"/>
      <c r="GZG41" s="19"/>
      <c r="GZH41" s="19"/>
      <c r="GZI41" s="19"/>
      <c r="GZJ41" s="19"/>
      <c r="GZK41" s="19"/>
      <c r="GZL41" s="19"/>
      <c r="GZM41" s="19"/>
      <c r="GZN41" s="19"/>
      <c r="GZO41" s="19"/>
      <c r="GZP41" s="19"/>
      <c r="GZQ41" s="19"/>
      <c r="GZR41" s="19"/>
      <c r="GZS41" s="19"/>
      <c r="GZT41" s="19"/>
      <c r="GZU41" s="19"/>
      <c r="GZV41" s="19"/>
      <c r="GZW41" s="19"/>
      <c r="GZX41" s="19"/>
      <c r="GZY41" s="19"/>
      <c r="GZZ41" s="19"/>
      <c r="HAA41" s="19"/>
      <c r="HAB41" s="19"/>
      <c r="HAC41" s="19"/>
      <c r="HAD41" s="19"/>
      <c r="HAE41" s="19"/>
      <c r="HAF41" s="19"/>
      <c r="HAG41" s="19"/>
      <c r="HAH41" s="19"/>
      <c r="HAI41" s="19"/>
      <c r="HAJ41" s="19"/>
      <c r="HAK41" s="19"/>
      <c r="HAL41" s="19"/>
      <c r="HAM41" s="19"/>
      <c r="HAN41" s="19"/>
      <c r="HAO41" s="19"/>
      <c r="HAP41" s="19"/>
      <c r="HAQ41" s="19"/>
      <c r="HAR41" s="19"/>
      <c r="HAS41" s="19"/>
      <c r="HAT41" s="19"/>
      <c r="HAU41" s="19"/>
      <c r="HAV41" s="19"/>
      <c r="HAW41" s="19"/>
      <c r="HAX41" s="19"/>
      <c r="HAY41" s="19"/>
      <c r="HAZ41" s="19"/>
      <c r="HBA41" s="19"/>
      <c r="HBB41" s="19"/>
      <c r="HBC41" s="19"/>
      <c r="HBD41" s="19"/>
      <c r="HBE41" s="19"/>
      <c r="HBF41" s="19"/>
      <c r="HBG41" s="19"/>
      <c r="HBH41" s="19"/>
      <c r="HBI41" s="19"/>
      <c r="HBJ41" s="19"/>
      <c r="HBK41" s="19"/>
      <c r="HBL41" s="19"/>
      <c r="HBM41" s="19"/>
      <c r="HBN41" s="19"/>
      <c r="HBO41" s="19"/>
      <c r="HBP41" s="19"/>
      <c r="HBQ41" s="19"/>
      <c r="HBR41" s="19"/>
      <c r="HBS41" s="19"/>
      <c r="HBT41" s="19"/>
      <c r="HBU41" s="19"/>
      <c r="HBV41" s="19"/>
      <c r="HBW41" s="19"/>
      <c r="HBX41" s="19"/>
      <c r="HBY41" s="19"/>
      <c r="HBZ41" s="19"/>
      <c r="HCA41" s="19"/>
      <c r="HCB41" s="19"/>
      <c r="HCC41" s="19"/>
      <c r="HCD41" s="19"/>
      <c r="HCE41" s="19"/>
      <c r="HCF41" s="19"/>
      <c r="HCG41" s="19"/>
      <c r="HCH41" s="19"/>
      <c r="HCI41" s="19"/>
      <c r="HCJ41" s="19"/>
      <c r="HCK41" s="19"/>
      <c r="HCL41" s="19"/>
      <c r="HCM41" s="19"/>
      <c r="HCN41" s="19"/>
      <c r="HCO41" s="19"/>
      <c r="HCP41" s="19"/>
      <c r="HCQ41" s="19"/>
      <c r="HCR41" s="19"/>
      <c r="HCS41" s="19"/>
      <c r="HCT41" s="19"/>
      <c r="HCU41" s="19"/>
      <c r="HCV41" s="19"/>
      <c r="HCW41" s="19"/>
      <c r="HCX41" s="19"/>
      <c r="HCY41" s="19"/>
      <c r="HCZ41" s="19"/>
      <c r="HDA41" s="19"/>
      <c r="HDB41" s="19"/>
      <c r="HDC41" s="19"/>
      <c r="HDD41" s="19"/>
      <c r="HDE41" s="19"/>
      <c r="HDF41" s="19"/>
      <c r="HDG41" s="19"/>
      <c r="HDH41" s="19"/>
      <c r="HDI41" s="19"/>
      <c r="HDJ41" s="19"/>
      <c r="HDK41" s="19"/>
      <c r="HDL41" s="19"/>
      <c r="HDM41" s="19"/>
      <c r="HDN41" s="19"/>
      <c r="HDO41" s="19"/>
      <c r="HDP41" s="19"/>
      <c r="HDQ41" s="19"/>
      <c r="HDR41" s="19"/>
      <c r="HDS41" s="19"/>
      <c r="HDT41" s="19"/>
      <c r="HDU41" s="19"/>
      <c r="HDV41" s="19"/>
      <c r="HDW41" s="19"/>
      <c r="HDX41" s="19"/>
      <c r="HDY41" s="19"/>
      <c r="HDZ41" s="19"/>
      <c r="HEA41" s="19"/>
      <c r="HEB41" s="19"/>
      <c r="HEC41" s="19"/>
      <c r="HED41" s="19"/>
      <c r="HEE41" s="19"/>
      <c r="HEF41" s="19"/>
      <c r="HEG41" s="19"/>
      <c r="HEH41" s="19"/>
      <c r="HEI41" s="19"/>
      <c r="HEJ41" s="19"/>
      <c r="HEK41" s="19"/>
      <c r="HEL41" s="19"/>
      <c r="HEM41" s="19"/>
      <c r="HEN41" s="19"/>
      <c r="HEO41" s="19"/>
      <c r="HEP41" s="19"/>
      <c r="HEQ41" s="19"/>
      <c r="HER41" s="19"/>
      <c r="HES41" s="19"/>
      <c r="HET41" s="19"/>
      <c r="HEU41" s="19"/>
      <c r="HEV41" s="19"/>
      <c r="HEW41" s="19"/>
      <c r="HEX41" s="19"/>
      <c r="HEY41" s="19"/>
      <c r="HEZ41" s="19"/>
      <c r="HFA41" s="19"/>
      <c r="HFB41" s="19"/>
      <c r="HFC41" s="19"/>
      <c r="HFD41" s="19"/>
      <c r="HFE41" s="19"/>
      <c r="HFF41" s="19"/>
      <c r="HFG41" s="19"/>
      <c r="HFH41" s="19"/>
      <c r="HFI41" s="19"/>
      <c r="HFJ41" s="19"/>
      <c r="HFK41" s="19"/>
      <c r="HFL41" s="19"/>
      <c r="HFM41" s="19"/>
      <c r="HFN41" s="19"/>
      <c r="HFO41" s="19"/>
      <c r="HFP41" s="19"/>
      <c r="HFQ41" s="19"/>
      <c r="HFR41" s="19"/>
      <c r="HFS41" s="19"/>
      <c r="HFT41" s="19"/>
      <c r="HFU41" s="19"/>
      <c r="HFV41" s="19"/>
      <c r="HFW41" s="19"/>
      <c r="HFX41" s="19"/>
      <c r="HFY41" s="19"/>
      <c r="HFZ41" s="19"/>
      <c r="HGA41" s="19"/>
      <c r="HGB41" s="19"/>
      <c r="HGC41" s="19"/>
      <c r="HGD41" s="19"/>
      <c r="HGE41" s="19"/>
      <c r="HGF41" s="19"/>
      <c r="HGG41" s="19"/>
      <c r="HGH41" s="19"/>
      <c r="HGI41" s="19"/>
      <c r="HGJ41" s="19"/>
      <c r="HGK41" s="19"/>
      <c r="HGL41" s="19"/>
      <c r="HGM41" s="19"/>
      <c r="HGN41" s="19"/>
      <c r="HGO41" s="19"/>
      <c r="HGP41" s="19"/>
      <c r="HGQ41" s="19"/>
      <c r="HGR41" s="19"/>
      <c r="HGS41" s="19"/>
      <c r="HGT41" s="19"/>
      <c r="HGU41" s="19"/>
      <c r="HGV41" s="19"/>
      <c r="HGW41" s="19"/>
      <c r="HGX41" s="19"/>
      <c r="HGY41" s="19"/>
      <c r="HGZ41" s="19"/>
      <c r="HHA41" s="19"/>
      <c r="HHB41" s="19"/>
      <c r="HHC41" s="19"/>
      <c r="HHD41" s="19"/>
      <c r="HHE41" s="19"/>
      <c r="HHF41" s="19"/>
      <c r="HHG41" s="19"/>
      <c r="HHH41" s="19"/>
      <c r="HHI41" s="19"/>
      <c r="HHJ41" s="19"/>
      <c r="HHK41" s="19"/>
      <c r="HHL41" s="19"/>
      <c r="HHM41" s="19"/>
      <c r="HHN41" s="19"/>
      <c r="HHO41" s="19"/>
      <c r="HHP41" s="19"/>
      <c r="HHQ41" s="19"/>
      <c r="HHR41" s="19"/>
      <c r="HHS41" s="19"/>
      <c r="HHT41" s="19"/>
      <c r="HHU41" s="19"/>
      <c r="HHV41" s="19"/>
      <c r="HHW41" s="19"/>
      <c r="HHX41" s="19"/>
      <c r="HHY41" s="19"/>
      <c r="HHZ41" s="19"/>
      <c r="HIA41" s="19"/>
      <c r="HIB41" s="19"/>
      <c r="HIC41" s="19"/>
      <c r="HID41" s="19"/>
      <c r="HIE41" s="19"/>
      <c r="HIF41" s="19"/>
      <c r="HIG41" s="19"/>
      <c r="HIH41" s="19"/>
      <c r="HII41" s="19"/>
      <c r="HIJ41" s="19"/>
      <c r="HIK41" s="19"/>
      <c r="HIL41" s="19"/>
      <c r="HIM41" s="19"/>
      <c r="HIN41" s="19"/>
      <c r="HIO41" s="19"/>
      <c r="HIP41" s="19"/>
      <c r="HIQ41" s="19"/>
      <c r="HIR41" s="19"/>
      <c r="HIS41" s="19"/>
      <c r="HIT41" s="19"/>
      <c r="HIU41" s="19"/>
      <c r="HIV41" s="19"/>
      <c r="HIW41" s="19"/>
      <c r="HIX41" s="19"/>
      <c r="HIY41" s="19"/>
      <c r="HIZ41" s="19"/>
      <c r="HJA41" s="19"/>
      <c r="HJB41" s="19"/>
      <c r="HJC41" s="19"/>
      <c r="HJD41" s="19"/>
      <c r="HJE41" s="19"/>
      <c r="HJF41" s="19"/>
      <c r="HJG41" s="19"/>
      <c r="HJH41" s="19"/>
      <c r="HJI41" s="19"/>
      <c r="HJJ41" s="19"/>
      <c r="HJK41" s="19"/>
      <c r="HJL41" s="19"/>
      <c r="HJM41" s="19"/>
      <c r="HJN41" s="19"/>
      <c r="HJO41" s="19"/>
      <c r="HJP41" s="19"/>
      <c r="HJQ41" s="19"/>
      <c r="HJR41" s="19"/>
      <c r="HJS41" s="19"/>
      <c r="HJT41" s="19"/>
      <c r="HJU41" s="19"/>
      <c r="HJV41" s="19"/>
      <c r="HJW41" s="19"/>
      <c r="HJX41" s="19"/>
      <c r="HJY41" s="19"/>
      <c r="HJZ41" s="19"/>
      <c r="HKA41" s="19"/>
      <c r="HKB41" s="19"/>
      <c r="HKC41" s="19"/>
      <c r="HKD41" s="19"/>
      <c r="HKE41" s="19"/>
      <c r="HKF41" s="19"/>
      <c r="HKG41" s="19"/>
      <c r="HKH41" s="19"/>
      <c r="HKI41" s="19"/>
      <c r="HKJ41" s="19"/>
      <c r="HKK41" s="19"/>
      <c r="HKL41" s="19"/>
      <c r="HKM41" s="19"/>
      <c r="HKN41" s="19"/>
      <c r="HKO41" s="19"/>
      <c r="HKP41" s="19"/>
      <c r="HKQ41" s="19"/>
      <c r="HKR41" s="19"/>
      <c r="HKS41" s="19"/>
      <c r="HKT41" s="19"/>
      <c r="HKU41" s="19"/>
      <c r="HKV41" s="19"/>
      <c r="HKW41" s="19"/>
      <c r="HKX41" s="19"/>
      <c r="HKY41" s="19"/>
      <c r="HKZ41" s="19"/>
      <c r="HLA41" s="19"/>
      <c r="HLB41" s="19"/>
      <c r="HLC41" s="19"/>
      <c r="HLD41" s="19"/>
      <c r="HLE41" s="19"/>
      <c r="HLF41" s="19"/>
      <c r="HLG41" s="19"/>
      <c r="HLH41" s="19"/>
      <c r="HLI41" s="19"/>
      <c r="HLJ41" s="19"/>
      <c r="HLK41" s="19"/>
      <c r="HLL41" s="19"/>
      <c r="HLM41" s="19"/>
      <c r="HLN41" s="19"/>
      <c r="HLO41" s="19"/>
      <c r="HLP41" s="19"/>
      <c r="HLQ41" s="19"/>
      <c r="HLR41" s="19"/>
      <c r="HLS41" s="19"/>
      <c r="HLT41" s="19"/>
      <c r="HLU41" s="19"/>
      <c r="HLV41" s="19"/>
      <c r="HLW41" s="19"/>
      <c r="HLX41" s="19"/>
      <c r="HLY41" s="19"/>
      <c r="HLZ41" s="19"/>
      <c r="HMA41" s="19"/>
      <c r="HMB41" s="19"/>
      <c r="HMC41" s="19"/>
      <c r="HMD41" s="19"/>
      <c r="HME41" s="19"/>
      <c r="HMF41" s="19"/>
      <c r="HMG41" s="19"/>
      <c r="HMH41" s="19"/>
      <c r="HMI41" s="19"/>
      <c r="HMJ41" s="19"/>
      <c r="HMK41" s="19"/>
      <c r="HML41" s="19"/>
      <c r="HMM41" s="19"/>
      <c r="HMN41" s="19"/>
      <c r="HMO41" s="19"/>
      <c r="HMP41" s="19"/>
      <c r="HMQ41" s="19"/>
      <c r="HMR41" s="19"/>
      <c r="HMS41" s="19"/>
      <c r="HMT41" s="19"/>
      <c r="HMU41" s="19"/>
      <c r="HMV41" s="19"/>
      <c r="HMW41" s="19"/>
      <c r="HMX41" s="19"/>
      <c r="HMY41" s="19"/>
      <c r="HMZ41" s="19"/>
      <c r="HNA41" s="19"/>
      <c r="HNB41" s="19"/>
      <c r="HNC41" s="19"/>
      <c r="HND41" s="19"/>
      <c r="HNE41" s="19"/>
      <c r="HNF41" s="19"/>
      <c r="HNG41" s="19"/>
      <c r="HNH41" s="19"/>
      <c r="HNI41" s="19"/>
      <c r="HNJ41" s="19"/>
      <c r="HNK41" s="19"/>
      <c r="HNL41" s="19"/>
      <c r="HNM41" s="19"/>
      <c r="HNN41" s="19"/>
      <c r="HNO41" s="19"/>
      <c r="HNP41" s="19"/>
      <c r="HNQ41" s="19"/>
      <c r="HNR41" s="19"/>
      <c r="HNS41" s="19"/>
      <c r="HNT41" s="19"/>
      <c r="HNU41" s="19"/>
      <c r="HNV41" s="19"/>
      <c r="HNW41" s="19"/>
      <c r="HNX41" s="19"/>
      <c r="HNY41" s="19"/>
      <c r="HNZ41" s="19"/>
      <c r="HOA41" s="19"/>
      <c r="HOB41" s="19"/>
      <c r="HOC41" s="19"/>
      <c r="HOD41" s="19"/>
      <c r="HOE41" s="19"/>
      <c r="HOF41" s="19"/>
      <c r="HOG41" s="19"/>
      <c r="HOH41" s="19"/>
      <c r="HOI41" s="19"/>
      <c r="HOJ41" s="19"/>
      <c r="HOK41" s="19"/>
      <c r="HOL41" s="19"/>
      <c r="HOM41" s="19"/>
      <c r="HON41" s="19"/>
      <c r="HOO41" s="19"/>
      <c r="HOP41" s="19"/>
      <c r="HOQ41" s="19"/>
      <c r="HOR41" s="19"/>
      <c r="HOS41" s="19"/>
      <c r="HOT41" s="19"/>
      <c r="HOU41" s="19"/>
      <c r="HOV41" s="19"/>
      <c r="HOW41" s="19"/>
      <c r="HOX41" s="19"/>
      <c r="HOY41" s="19"/>
      <c r="HOZ41" s="19"/>
      <c r="HPA41" s="19"/>
      <c r="HPB41" s="19"/>
      <c r="HPC41" s="19"/>
      <c r="HPD41" s="19"/>
      <c r="HPE41" s="19"/>
      <c r="HPF41" s="19"/>
      <c r="HPG41" s="19"/>
      <c r="HPH41" s="19"/>
      <c r="HPI41" s="19"/>
      <c r="HPJ41" s="19"/>
      <c r="HPK41" s="19"/>
      <c r="HPL41" s="19"/>
      <c r="HPM41" s="19"/>
      <c r="HPN41" s="19"/>
      <c r="HPO41" s="19"/>
      <c r="HPP41" s="19"/>
      <c r="HPQ41" s="19"/>
      <c r="HPR41" s="19"/>
      <c r="HPS41" s="19"/>
      <c r="HPT41" s="19"/>
      <c r="HPU41" s="19"/>
      <c r="HPV41" s="19"/>
      <c r="HPW41" s="19"/>
      <c r="HPX41" s="19"/>
      <c r="HPY41" s="19"/>
      <c r="HPZ41" s="19"/>
      <c r="HQA41" s="19"/>
      <c r="HQB41" s="19"/>
      <c r="HQC41" s="19"/>
      <c r="HQD41" s="19"/>
      <c r="HQE41" s="19"/>
      <c r="HQF41" s="19"/>
      <c r="HQG41" s="19"/>
      <c r="HQH41" s="19"/>
      <c r="HQI41" s="19"/>
      <c r="HQJ41" s="19"/>
      <c r="HQK41" s="19"/>
      <c r="HQL41" s="19"/>
      <c r="HQM41" s="19"/>
      <c r="HQN41" s="19"/>
      <c r="HQO41" s="19"/>
      <c r="HQP41" s="19"/>
      <c r="HQQ41" s="19"/>
      <c r="HQR41" s="19"/>
      <c r="HQS41" s="19"/>
      <c r="HQT41" s="19"/>
      <c r="HQU41" s="19"/>
      <c r="HQV41" s="19"/>
      <c r="HQW41" s="19"/>
      <c r="HQX41" s="19"/>
      <c r="HQY41" s="19"/>
      <c r="HQZ41" s="19"/>
      <c r="HRA41" s="19"/>
      <c r="HRB41" s="19"/>
      <c r="HRC41" s="19"/>
      <c r="HRD41" s="19"/>
      <c r="HRE41" s="19"/>
      <c r="HRF41" s="19"/>
      <c r="HRG41" s="19"/>
      <c r="HRH41" s="19"/>
      <c r="HRI41" s="19"/>
      <c r="HRJ41" s="19"/>
      <c r="HRK41" s="19"/>
      <c r="HRL41" s="19"/>
      <c r="HRM41" s="19"/>
      <c r="HRN41" s="19"/>
      <c r="HRO41" s="19"/>
      <c r="HRP41" s="19"/>
      <c r="HRQ41" s="19"/>
      <c r="HRR41" s="19"/>
      <c r="HRS41" s="19"/>
      <c r="HRT41" s="19"/>
      <c r="HRU41" s="19"/>
      <c r="HRV41" s="19"/>
      <c r="HRW41" s="19"/>
      <c r="HRX41" s="19"/>
      <c r="HRY41" s="19"/>
      <c r="HRZ41" s="19"/>
      <c r="HSA41" s="19"/>
      <c r="HSB41" s="19"/>
      <c r="HSC41" s="19"/>
      <c r="HSD41" s="19"/>
      <c r="HSE41" s="19"/>
      <c r="HSF41" s="19"/>
      <c r="HSG41" s="19"/>
      <c r="HSH41" s="19"/>
      <c r="HSI41" s="19"/>
      <c r="HSJ41" s="19"/>
      <c r="HSK41" s="19"/>
      <c r="HSL41" s="19"/>
      <c r="HSM41" s="19"/>
      <c r="HSN41" s="19"/>
      <c r="HSO41" s="19"/>
      <c r="HSP41" s="19"/>
      <c r="HSQ41" s="19"/>
      <c r="HSR41" s="19"/>
      <c r="HSS41" s="19"/>
      <c r="HST41" s="19"/>
      <c r="HSU41" s="19"/>
      <c r="HSV41" s="19"/>
      <c r="HSW41" s="19"/>
      <c r="HSX41" s="19"/>
      <c r="HSY41" s="19"/>
      <c r="HSZ41" s="19"/>
      <c r="HTA41" s="19"/>
      <c r="HTB41" s="19"/>
      <c r="HTC41" s="19"/>
      <c r="HTD41" s="19"/>
      <c r="HTE41" s="19"/>
      <c r="HTF41" s="19"/>
      <c r="HTG41" s="19"/>
      <c r="HTH41" s="19"/>
      <c r="HTI41" s="19"/>
      <c r="HTJ41" s="19"/>
      <c r="HTK41" s="19"/>
      <c r="HTL41" s="19"/>
      <c r="HTM41" s="19"/>
      <c r="HTN41" s="19"/>
      <c r="HTO41" s="19"/>
      <c r="HTP41" s="19"/>
      <c r="HTQ41" s="19"/>
      <c r="HTR41" s="19"/>
      <c r="HTS41" s="19"/>
      <c r="HTT41" s="19"/>
      <c r="HTU41" s="19"/>
      <c r="HTV41" s="19"/>
      <c r="HTW41" s="19"/>
      <c r="HTX41" s="19"/>
      <c r="HTY41" s="19"/>
      <c r="HTZ41" s="19"/>
      <c r="HUA41" s="19"/>
      <c r="HUB41" s="19"/>
      <c r="HUC41" s="19"/>
      <c r="HUD41" s="19"/>
      <c r="HUE41" s="19"/>
      <c r="HUF41" s="19"/>
      <c r="HUG41" s="19"/>
      <c r="HUH41" s="19"/>
      <c r="HUI41" s="19"/>
      <c r="HUJ41" s="19"/>
      <c r="HUK41" s="19"/>
      <c r="HUL41" s="19"/>
      <c r="HUM41" s="19"/>
      <c r="HUN41" s="19"/>
      <c r="HUO41" s="19"/>
      <c r="HUP41" s="19"/>
      <c r="HUQ41" s="19"/>
      <c r="HUR41" s="19"/>
      <c r="HUS41" s="19"/>
      <c r="HUT41" s="19"/>
      <c r="HUU41" s="19"/>
      <c r="HUV41" s="19"/>
      <c r="HUW41" s="19"/>
      <c r="HUX41" s="19"/>
      <c r="HUY41" s="19"/>
      <c r="HUZ41" s="19"/>
      <c r="HVA41" s="19"/>
      <c r="HVB41" s="19"/>
      <c r="HVC41" s="19"/>
      <c r="HVD41" s="19"/>
      <c r="HVE41" s="19"/>
      <c r="HVF41" s="19"/>
      <c r="HVG41" s="19"/>
      <c r="HVH41" s="19"/>
      <c r="HVI41" s="19"/>
      <c r="HVJ41" s="19"/>
      <c r="HVK41" s="19"/>
      <c r="HVL41" s="19"/>
      <c r="HVM41" s="19"/>
      <c r="HVN41" s="19"/>
      <c r="HVO41" s="19"/>
      <c r="HVP41" s="19"/>
      <c r="HVQ41" s="19"/>
      <c r="HVR41" s="19"/>
      <c r="HVS41" s="19"/>
      <c r="HVT41" s="19"/>
      <c r="HVU41" s="19"/>
      <c r="HVV41" s="19"/>
      <c r="HVW41" s="19"/>
      <c r="HVX41" s="19"/>
      <c r="HVY41" s="19"/>
      <c r="HVZ41" s="19"/>
      <c r="HWA41" s="19"/>
      <c r="HWB41" s="19"/>
      <c r="HWC41" s="19"/>
      <c r="HWD41" s="19"/>
      <c r="HWE41" s="19"/>
      <c r="HWF41" s="19"/>
      <c r="HWG41" s="19"/>
      <c r="HWH41" s="19"/>
      <c r="HWI41" s="19"/>
      <c r="HWJ41" s="19"/>
      <c r="HWK41" s="19"/>
      <c r="HWL41" s="19"/>
      <c r="HWM41" s="19"/>
      <c r="HWN41" s="19"/>
      <c r="HWO41" s="19"/>
      <c r="HWP41" s="19"/>
      <c r="HWQ41" s="19"/>
      <c r="HWR41" s="19"/>
      <c r="HWS41" s="19"/>
      <c r="HWT41" s="19"/>
      <c r="HWU41" s="19"/>
      <c r="HWV41" s="19"/>
      <c r="HWW41" s="19"/>
      <c r="HWX41" s="19"/>
      <c r="HWY41" s="19"/>
      <c r="HWZ41" s="19"/>
      <c r="HXA41" s="19"/>
      <c r="HXB41" s="19"/>
      <c r="HXC41" s="19"/>
      <c r="HXD41" s="19"/>
      <c r="HXE41" s="19"/>
      <c r="HXF41" s="19"/>
      <c r="HXG41" s="19"/>
      <c r="HXH41" s="19"/>
      <c r="HXI41" s="19"/>
      <c r="HXJ41" s="19"/>
      <c r="HXK41" s="19"/>
      <c r="HXL41" s="19"/>
      <c r="HXM41" s="19"/>
      <c r="HXN41" s="19"/>
      <c r="HXO41" s="19"/>
      <c r="HXP41" s="19"/>
      <c r="HXQ41" s="19"/>
      <c r="HXR41" s="19"/>
      <c r="HXS41" s="19"/>
      <c r="HXT41" s="19"/>
      <c r="HXU41" s="19"/>
      <c r="HXV41" s="19"/>
      <c r="HXW41" s="19"/>
      <c r="HXX41" s="19"/>
      <c r="HXY41" s="19"/>
      <c r="HXZ41" s="19"/>
      <c r="HYA41" s="19"/>
      <c r="HYB41" s="19"/>
      <c r="HYC41" s="19"/>
      <c r="HYD41" s="19"/>
      <c r="HYE41" s="19"/>
      <c r="HYF41" s="19"/>
      <c r="HYG41" s="19"/>
      <c r="HYH41" s="19"/>
      <c r="HYI41" s="19"/>
      <c r="HYJ41" s="19"/>
      <c r="HYK41" s="19"/>
      <c r="HYL41" s="19"/>
      <c r="HYM41" s="19"/>
      <c r="HYN41" s="19"/>
      <c r="HYO41" s="19"/>
      <c r="HYP41" s="19"/>
      <c r="HYQ41" s="19"/>
      <c r="HYR41" s="19"/>
      <c r="HYS41" s="19"/>
      <c r="HYT41" s="19"/>
      <c r="HYU41" s="19"/>
      <c r="HYV41" s="19"/>
      <c r="HYW41" s="19"/>
      <c r="HYX41" s="19"/>
      <c r="HYY41" s="19"/>
      <c r="HYZ41" s="19"/>
      <c r="HZA41" s="19"/>
      <c r="HZB41" s="19"/>
      <c r="HZC41" s="19"/>
      <c r="HZD41" s="19"/>
      <c r="HZE41" s="19"/>
      <c r="HZF41" s="19"/>
      <c r="HZG41" s="19"/>
      <c r="HZH41" s="19"/>
      <c r="HZI41" s="19"/>
      <c r="HZJ41" s="19"/>
      <c r="HZK41" s="19"/>
      <c r="HZL41" s="19"/>
      <c r="HZM41" s="19"/>
      <c r="HZN41" s="19"/>
      <c r="HZO41" s="19"/>
      <c r="HZP41" s="19"/>
      <c r="HZQ41" s="19"/>
      <c r="HZR41" s="19"/>
      <c r="HZS41" s="19"/>
      <c r="HZT41" s="19"/>
      <c r="HZU41" s="19"/>
      <c r="HZV41" s="19"/>
      <c r="HZW41" s="19"/>
      <c r="HZX41" s="19"/>
      <c r="HZY41" s="19"/>
      <c r="HZZ41" s="19"/>
      <c r="IAA41" s="19"/>
      <c r="IAB41" s="19"/>
      <c r="IAC41" s="19"/>
      <c r="IAD41" s="19"/>
      <c r="IAE41" s="19"/>
      <c r="IAF41" s="19"/>
      <c r="IAG41" s="19"/>
      <c r="IAH41" s="19"/>
      <c r="IAI41" s="19"/>
      <c r="IAJ41" s="19"/>
      <c r="IAK41" s="19"/>
      <c r="IAL41" s="19"/>
      <c r="IAM41" s="19"/>
      <c r="IAN41" s="19"/>
      <c r="IAO41" s="19"/>
      <c r="IAP41" s="19"/>
      <c r="IAQ41" s="19"/>
      <c r="IAR41" s="19"/>
      <c r="IAS41" s="19"/>
      <c r="IAT41" s="19"/>
      <c r="IAU41" s="19"/>
      <c r="IAV41" s="19"/>
      <c r="IAW41" s="19"/>
      <c r="IAX41" s="19"/>
      <c r="IAY41" s="19"/>
      <c r="IAZ41" s="19"/>
      <c r="IBA41" s="19"/>
      <c r="IBB41" s="19"/>
      <c r="IBC41" s="19"/>
      <c r="IBD41" s="19"/>
      <c r="IBE41" s="19"/>
      <c r="IBF41" s="19"/>
      <c r="IBG41" s="19"/>
      <c r="IBH41" s="19"/>
      <c r="IBI41" s="19"/>
      <c r="IBJ41" s="19"/>
      <c r="IBK41" s="19"/>
      <c r="IBL41" s="19"/>
      <c r="IBM41" s="19"/>
      <c r="IBN41" s="19"/>
      <c r="IBO41" s="19"/>
      <c r="IBP41" s="19"/>
      <c r="IBQ41" s="19"/>
      <c r="IBR41" s="19"/>
      <c r="IBS41" s="19"/>
      <c r="IBT41" s="19"/>
      <c r="IBU41" s="19"/>
      <c r="IBV41" s="19"/>
      <c r="IBW41" s="19"/>
      <c r="IBX41" s="19"/>
      <c r="IBY41" s="19"/>
      <c r="IBZ41" s="19"/>
      <c r="ICA41" s="19"/>
      <c r="ICB41" s="19"/>
      <c r="ICC41" s="19"/>
      <c r="ICD41" s="19"/>
      <c r="ICE41" s="19"/>
      <c r="ICF41" s="19"/>
      <c r="ICG41" s="19"/>
      <c r="ICH41" s="19"/>
      <c r="ICI41" s="19"/>
      <c r="ICJ41" s="19"/>
      <c r="ICK41" s="19"/>
      <c r="ICL41" s="19"/>
      <c r="ICM41" s="19"/>
      <c r="ICN41" s="19"/>
      <c r="ICO41" s="19"/>
      <c r="ICP41" s="19"/>
      <c r="ICQ41" s="19"/>
      <c r="ICR41" s="19"/>
      <c r="ICS41" s="19"/>
      <c r="ICT41" s="19"/>
      <c r="ICU41" s="19"/>
      <c r="ICV41" s="19"/>
      <c r="ICW41" s="19"/>
      <c r="ICX41" s="19"/>
      <c r="ICY41" s="19"/>
      <c r="ICZ41" s="19"/>
      <c r="IDA41" s="19"/>
      <c r="IDB41" s="19"/>
      <c r="IDC41" s="19"/>
      <c r="IDD41" s="19"/>
      <c r="IDE41" s="19"/>
      <c r="IDF41" s="19"/>
      <c r="IDG41" s="19"/>
      <c r="IDH41" s="19"/>
      <c r="IDI41" s="19"/>
      <c r="IDJ41" s="19"/>
      <c r="IDK41" s="19"/>
      <c r="IDL41" s="19"/>
      <c r="IDM41" s="19"/>
      <c r="IDN41" s="19"/>
      <c r="IDO41" s="19"/>
      <c r="IDP41" s="19"/>
      <c r="IDQ41" s="19"/>
      <c r="IDR41" s="19"/>
      <c r="IDS41" s="19"/>
      <c r="IDT41" s="19"/>
      <c r="IDU41" s="19"/>
      <c r="IDV41" s="19"/>
      <c r="IDW41" s="19"/>
      <c r="IDX41" s="19"/>
      <c r="IDY41" s="19"/>
      <c r="IDZ41" s="19"/>
      <c r="IEA41" s="19"/>
      <c r="IEB41" s="19"/>
      <c r="IEC41" s="19"/>
      <c r="IED41" s="19"/>
      <c r="IEE41" s="19"/>
      <c r="IEF41" s="19"/>
      <c r="IEG41" s="19"/>
      <c r="IEH41" s="19"/>
      <c r="IEI41" s="19"/>
      <c r="IEJ41" s="19"/>
      <c r="IEK41" s="19"/>
      <c r="IEL41" s="19"/>
      <c r="IEM41" s="19"/>
      <c r="IEN41" s="19"/>
      <c r="IEO41" s="19"/>
      <c r="IEP41" s="19"/>
      <c r="IEQ41" s="19"/>
      <c r="IER41" s="19"/>
      <c r="IES41" s="19"/>
      <c r="IET41" s="19"/>
      <c r="IEU41" s="19"/>
      <c r="IEV41" s="19"/>
      <c r="IEW41" s="19"/>
      <c r="IEX41" s="19"/>
      <c r="IEY41" s="19"/>
      <c r="IEZ41" s="19"/>
      <c r="IFA41" s="19"/>
      <c r="IFB41" s="19"/>
      <c r="IFC41" s="19"/>
      <c r="IFD41" s="19"/>
      <c r="IFE41" s="19"/>
      <c r="IFF41" s="19"/>
      <c r="IFG41" s="19"/>
      <c r="IFH41" s="19"/>
      <c r="IFI41" s="19"/>
      <c r="IFJ41" s="19"/>
      <c r="IFK41" s="19"/>
      <c r="IFL41" s="19"/>
      <c r="IFM41" s="19"/>
      <c r="IFN41" s="19"/>
      <c r="IFO41" s="19"/>
      <c r="IFP41" s="19"/>
      <c r="IFQ41" s="19"/>
      <c r="IFR41" s="19"/>
      <c r="IFS41" s="19"/>
      <c r="IFT41" s="19"/>
      <c r="IFU41" s="19"/>
      <c r="IFV41" s="19"/>
      <c r="IFW41" s="19"/>
      <c r="IFX41" s="19"/>
      <c r="IFY41" s="19"/>
      <c r="IFZ41" s="19"/>
      <c r="IGA41" s="19"/>
      <c r="IGB41" s="19"/>
      <c r="IGC41" s="19"/>
      <c r="IGD41" s="19"/>
      <c r="IGE41" s="19"/>
      <c r="IGF41" s="19"/>
      <c r="IGG41" s="19"/>
      <c r="IGH41" s="19"/>
      <c r="IGI41" s="19"/>
      <c r="IGJ41" s="19"/>
      <c r="IGK41" s="19"/>
      <c r="IGL41" s="19"/>
      <c r="IGM41" s="19"/>
      <c r="IGN41" s="19"/>
      <c r="IGO41" s="19"/>
      <c r="IGP41" s="19"/>
      <c r="IGQ41" s="19"/>
      <c r="IGR41" s="19"/>
      <c r="IGS41" s="19"/>
      <c r="IGT41" s="19"/>
      <c r="IGU41" s="19"/>
      <c r="IGV41" s="19"/>
      <c r="IGW41" s="19"/>
      <c r="IGX41" s="19"/>
      <c r="IGY41" s="19"/>
      <c r="IGZ41" s="19"/>
      <c r="IHA41" s="19"/>
      <c r="IHB41" s="19"/>
      <c r="IHC41" s="19"/>
      <c r="IHD41" s="19"/>
      <c r="IHE41" s="19"/>
      <c r="IHF41" s="19"/>
      <c r="IHG41" s="19"/>
      <c r="IHH41" s="19"/>
      <c r="IHI41" s="19"/>
      <c r="IHJ41" s="19"/>
      <c r="IHK41" s="19"/>
      <c r="IHL41" s="19"/>
      <c r="IHM41" s="19"/>
      <c r="IHN41" s="19"/>
      <c r="IHO41" s="19"/>
      <c r="IHP41" s="19"/>
      <c r="IHQ41" s="19"/>
      <c r="IHR41" s="19"/>
      <c r="IHS41" s="19"/>
      <c r="IHT41" s="19"/>
      <c r="IHU41" s="19"/>
      <c r="IHV41" s="19"/>
      <c r="IHW41" s="19"/>
      <c r="IHX41" s="19"/>
      <c r="IHY41" s="19"/>
      <c r="IHZ41" s="19"/>
      <c r="IIA41" s="19"/>
      <c r="IIB41" s="19"/>
      <c r="IIC41" s="19"/>
      <c r="IID41" s="19"/>
      <c r="IIE41" s="19"/>
      <c r="IIF41" s="19"/>
      <c r="IIG41" s="19"/>
      <c r="IIH41" s="19"/>
      <c r="III41" s="19"/>
      <c r="IIJ41" s="19"/>
      <c r="IIK41" s="19"/>
      <c r="IIL41" s="19"/>
      <c r="IIM41" s="19"/>
      <c r="IIN41" s="19"/>
      <c r="IIO41" s="19"/>
      <c r="IIP41" s="19"/>
      <c r="IIQ41" s="19"/>
      <c r="IIR41" s="19"/>
      <c r="IIS41" s="19"/>
      <c r="IIT41" s="19"/>
      <c r="IIU41" s="19"/>
      <c r="IIV41" s="19"/>
      <c r="IIW41" s="19"/>
      <c r="IIX41" s="19"/>
      <c r="IIY41" s="19"/>
      <c r="IIZ41" s="19"/>
      <c r="IJA41" s="19"/>
      <c r="IJB41" s="19"/>
      <c r="IJC41" s="19"/>
      <c r="IJD41" s="19"/>
      <c r="IJE41" s="19"/>
      <c r="IJF41" s="19"/>
      <c r="IJG41" s="19"/>
      <c r="IJH41" s="19"/>
      <c r="IJI41" s="19"/>
      <c r="IJJ41" s="19"/>
      <c r="IJK41" s="19"/>
      <c r="IJL41" s="19"/>
      <c r="IJM41" s="19"/>
      <c r="IJN41" s="19"/>
      <c r="IJO41" s="19"/>
      <c r="IJP41" s="19"/>
      <c r="IJQ41" s="19"/>
      <c r="IJR41" s="19"/>
      <c r="IJS41" s="19"/>
      <c r="IJT41" s="19"/>
      <c r="IJU41" s="19"/>
      <c r="IJV41" s="19"/>
      <c r="IJW41" s="19"/>
      <c r="IJX41" s="19"/>
      <c r="IJY41" s="19"/>
      <c r="IJZ41" s="19"/>
      <c r="IKA41" s="19"/>
      <c r="IKB41" s="19"/>
      <c r="IKC41" s="19"/>
      <c r="IKD41" s="19"/>
      <c r="IKE41" s="19"/>
      <c r="IKF41" s="19"/>
      <c r="IKG41" s="19"/>
      <c r="IKH41" s="19"/>
      <c r="IKI41" s="19"/>
      <c r="IKJ41" s="19"/>
      <c r="IKK41" s="19"/>
      <c r="IKL41" s="19"/>
      <c r="IKM41" s="19"/>
      <c r="IKN41" s="19"/>
      <c r="IKO41" s="19"/>
      <c r="IKP41" s="19"/>
      <c r="IKQ41" s="19"/>
      <c r="IKR41" s="19"/>
      <c r="IKS41" s="19"/>
      <c r="IKT41" s="19"/>
      <c r="IKU41" s="19"/>
      <c r="IKV41" s="19"/>
      <c r="IKW41" s="19"/>
      <c r="IKX41" s="19"/>
      <c r="IKY41" s="19"/>
      <c r="IKZ41" s="19"/>
      <c r="ILA41" s="19"/>
      <c r="ILB41" s="19"/>
      <c r="ILC41" s="19"/>
      <c r="ILD41" s="19"/>
      <c r="ILE41" s="19"/>
      <c r="ILF41" s="19"/>
      <c r="ILG41" s="19"/>
      <c r="ILH41" s="19"/>
      <c r="ILI41" s="19"/>
      <c r="ILJ41" s="19"/>
      <c r="ILK41" s="19"/>
      <c r="ILL41" s="19"/>
      <c r="ILM41" s="19"/>
      <c r="ILN41" s="19"/>
      <c r="ILO41" s="19"/>
      <c r="ILP41" s="19"/>
      <c r="ILQ41" s="19"/>
      <c r="ILR41" s="19"/>
      <c r="ILS41" s="19"/>
      <c r="ILT41" s="19"/>
      <c r="ILU41" s="19"/>
      <c r="ILV41" s="19"/>
      <c r="ILW41" s="19"/>
      <c r="ILX41" s="19"/>
      <c r="ILY41" s="19"/>
      <c r="ILZ41" s="19"/>
      <c r="IMA41" s="19"/>
      <c r="IMB41" s="19"/>
      <c r="IMC41" s="19"/>
      <c r="IMD41" s="19"/>
      <c r="IME41" s="19"/>
      <c r="IMF41" s="19"/>
      <c r="IMG41" s="19"/>
      <c r="IMH41" s="19"/>
      <c r="IMI41" s="19"/>
      <c r="IMJ41" s="19"/>
      <c r="IMK41" s="19"/>
      <c r="IML41" s="19"/>
      <c r="IMM41" s="19"/>
      <c r="IMN41" s="19"/>
      <c r="IMO41" s="19"/>
      <c r="IMP41" s="19"/>
      <c r="IMQ41" s="19"/>
      <c r="IMR41" s="19"/>
      <c r="IMS41" s="19"/>
      <c r="IMT41" s="19"/>
      <c r="IMU41" s="19"/>
      <c r="IMV41" s="19"/>
      <c r="IMW41" s="19"/>
      <c r="IMX41" s="19"/>
      <c r="IMY41" s="19"/>
      <c r="IMZ41" s="19"/>
      <c r="INA41" s="19"/>
      <c r="INB41" s="19"/>
      <c r="INC41" s="19"/>
      <c r="IND41" s="19"/>
      <c r="INE41" s="19"/>
      <c r="INF41" s="19"/>
      <c r="ING41" s="19"/>
      <c r="INH41" s="19"/>
      <c r="INI41" s="19"/>
      <c r="INJ41" s="19"/>
      <c r="INK41" s="19"/>
      <c r="INL41" s="19"/>
      <c r="INM41" s="19"/>
      <c r="INN41" s="19"/>
      <c r="INO41" s="19"/>
      <c r="INP41" s="19"/>
      <c r="INQ41" s="19"/>
      <c r="INR41" s="19"/>
      <c r="INS41" s="19"/>
      <c r="INT41" s="19"/>
      <c r="INU41" s="19"/>
      <c r="INV41" s="19"/>
      <c r="INW41" s="19"/>
      <c r="INX41" s="19"/>
      <c r="INY41" s="19"/>
      <c r="INZ41" s="19"/>
      <c r="IOA41" s="19"/>
      <c r="IOB41" s="19"/>
      <c r="IOC41" s="19"/>
      <c r="IOD41" s="19"/>
      <c r="IOE41" s="19"/>
      <c r="IOF41" s="19"/>
      <c r="IOG41" s="19"/>
      <c r="IOH41" s="19"/>
      <c r="IOI41" s="19"/>
      <c r="IOJ41" s="19"/>
      <c r="IOK41" s="19"/>
      <c r="IOL41" s="19"/>
      <c r="IOM41" s="19"/>
      <c r="ION41" s="19"/>
      <c r="IOO41" s="19"/>
      <c r="IOP41" s="19"/>
      <c r="IOQ41" s="19"/>
      <c r="IOR41" s="19"/>
      <c r="IOS41" s="19"/>
      <c r="IOT41" s="19"/>
      <c r="IOU41" s="19"/>
      <c r="IOV41" s="19"/>
      <c r="IOW41" s="19"/>
      <c r="IOX41" s="19"/>
      <c r="IOY41" s="19"/>
      <c r="IOZ41" s="19"/>
      <c r="IPA41" s="19"/>
      <c r="IPB41" s="19"/>
      <c r="IPC41" s="19"/>
      <c r="IPD41" s="19"/>
      <c r="IPE41" s="19"/>
      <c r="IPF41" s="19"/>
      <c r="IPG41" s="19"/>
      <c r="IPH41" s="19"/>
      <c r="IPI41" s="19"/>
      <c r="IPJ41" s="19"/>
      <c r="IPK41" s="19"/>
      <c r="IPL41" s="19"/>
      <c r="IPM41" s="19"/>
      <c r="IPN41" s="19"/>
      <c r="IPO41" s="19"/>
      <c r="IPP41" s="19"/>
      <c r="IPQ41" s="19"/>
      <c r="IPR41" s="19"/>
      <c r="IPS41" s="19"/>
      <c r="IPT41" s="19"/>
      <c r="IPU41" s="19"/>
      <c r="IPV41" s="19"/>
      <c r="IPW41" s="19"/>
      <c r="IPX41" s="19"/>
      <c r="IPY41" s="19"/>
      <c r="IPZ41" s="19"/>
      <c r="IQA41" s="19"/>
      <c r="IQB41" s="19"/>
      <c r="IQC41" s="19"/>
      <c r="IQD41" s="19"/>
      <c r="IQE41" s="19"/>
      <c r="IQF41" s="19"/>
      <c r="IQG41" s="19"/>
      <c r="IQH41" s="19"/>
      <c r="IQI41" s="19"/>
      <c r="IQJ41" s="19"/>
      <c r="IQK41" s="19"/>
      <c r="IQL41" s="19"/>
      <c r="IQM41" s="19"/>
      <c r="IQN41" s="19"/>
      <c r="IQO41" s="19"/>
      <c r="IQP41" s="19"/>
      <c r="IQQ41" s="19"/>
      <c r="IQR41" s="19"/>
      <c r="IQS41" s="19"/>
      <c r="IQT41" s="19"/>
      <c r="IQU41" s="19"/>
      <c r="IQV41" s="19"/>
      <c r="IQW41" s="19"/>
      <c r="IQX41" s="19"/>
      <c r="IQY41" s="19"/>
      <c r="IQZ41" s="19"/>
      <c r="IRA41" s="19"/>
      <c r="IRB41" s="19"/>
      <c r="IRC41" s="19"/>
      <c r="IRD41" s="19"/>
      <c r="IRE41" s="19"/>
      <c r="IRF41" s="19"/>
      <c r="IRG41" s="19"/>
      <c r="IRH41" s="19"/>
      <c r="IRI41" s="19"/>
      <c r="IRJ41" s="19"/>
      <c r="IRK41" s="19"/>
      <c r="IRL41" s="19"/>
      <c r="IRM41" s="19"/>
      <c r="IRN41" s="19"/>
      <c r="IRO41" s="19"/>
      <c r="IRP41" s="19"/>
      <c r="IRQ41" s="19"/>
      <c r="IRR41" s="19"/>
      <c r="IRS41" s="19"/>
      <c r="IRT41" s="19"/>
      <c r="IRU41" s="19"/>
      <c r="IRV41" s="19"/>
      <c r="IRW41" s="19"/>
      <c r="IRX41" s="19"/>
      <c r="IRY41" s="19"/>
      <c r="IRZ41" s="19"/>
      <c r="ISA41" s="19"/>
      <c r="ISB41" s="19"/>
      <c r="ISC41" s="19"/>
      <c r="ISD41" s="19"/>
      <c r="ISE41" s="19"/>
      <c r="ISF41" s="19"/>
      <c r="ISG41" s="19"/>
      <c r="ISH41" s="19"/>
      <c r="ISI41" s="19"/>
      <c r="ISJ41" s="19"/>
      <c r="ISK41" s="19"/>
      <c r="ISL41" s="19"/>
      <c r="ISM41" s="19"/>
      <c r="ISN41" s="19"/>
      <c r="ISO41" s="19"/>
      <c r="ISP41" s="19"/>
      <c r="ISQ41" s="19"/>
      <c r="ISR41" s="19"/>
      <c r="ISS41" s="19"/>
      <c r="IST41" s="19"/>
      <c r="ISU41" s="19"/>
      <c r="ISV41" s="19"/>
      <c r="ISW41" s="19"/>
      <c r="ISX41" s="19"/>
      <c r="ISY41" s="19"/>
      <c r="ISZ41" s="19"/>
      <c r="ITA41" s="19"/>
      <c r="ITB41" s="19"/>
      <c r="ITC41" s="19"/>
      <c r="ITD41" s="19"/>
      <c r="ITE41" s="19"/>
      <c r="ITF41" s="19"/>
      <c r="ITG41" s="19"/>
      <c r="ITH41" s="19"/>
      <c r="ITI41" s="19"/>
      <c r="ITJ41" s="19"/>
      <c r="ITK41" s="19"/>
      <c r="ITL41" s="19"/>
      <c r="ITM41" s="19"/>
      <c r="ITN41" s="19"/>
      <c r="ITO41" s="19"/>
      <c r="ITP41" s="19"/>
      <c r="ITQ41" s="19"/>
      <c r="ITR41" s="19"/>
      <c r="ITS41" s="19"/>
      <c r="ITT41" s="19"/>
      <c r="ITU41" s="19"/>
      <c r="ITV41" s="19"/>
      <c r="ITW41" s="19"/>
      <c r="ITX41" s="19"/>
      <c r="ITY41" s="19"/>
      <c r="ITZ41" s="19"/>
      <c r="IUA41" s="19"/>
      <c r="IUB41" s="19"/>
      <c r="IUC41" s="19"/>
      <c r="IUD41" s="19"/>
      <c r="IUE41" s="19"/>
      <c r="IUF41" s="19"/>
      <c r="IUG41" s="19"/>
      <c r="IUH41" s="19"/>
      <c r="IUI41" s="19"/>
      <c r="IUJ41" s="19"/>
      <c r="IUK41" s="19"/>
      <c r="IUL41" s="19"/>
      <c r="IUM41" s="19"/>
      <c r="IUN41" s="19"/>
      <c r="IUO41" s="19"/>
      <c r="IUP41" s="19"/>
      <c r="IUQ41" s="19"/>
      <c r="IUR41" s="19"/>
      <c r="IUS41" s="19"/>
      <c r="IUT41" s="19"/>
      <c r="IUU41" s="19"/>
      <c r="IUV41" s="19"/>
      <c r="IUW41" s="19"/>
      <c r="IUX41" s="19"/>
      <c r="IUY41" s="19"/>
      <c r="IUZ41" s="19"/>
      <c r="IVA41" s="19"/>
      <c r="IVB41" s="19"/>
      <c r="IVC41" s="19"/>
      <c r="IVD41" s="19"/>
      <c r="IVE41" s="19"/>
      <c r="IVF41" s="19"/>
      <c r="IVG41" s="19"/>
      <c r="IVH41" s="19"/>
      <c r="IVI41" s="19"/>
      <c r="IVJ41" s="19"/>
      <c r="IVK41" s="19"/>
      <c r="IVL41" s="19"/>
      <c r="IVM41" s="19"/>
      <c r="IVN41" s="19"/>
      <c r="IVO41" s="19"/>
      <c r="IVP41" s="19"/>
      <c r="IVQ41" s="19"/>
      <c r="IVR41" s="19"/>
      <c r="IVS41" s="19"/>
      <c r="IVT41" s="19"/>
      <c r="IVU41" s="19"/>
      <c r="IVV41" s="19"/>
      <c r="IVW41" s="19"/>
      <c r="IVX41" s="19"/>
      <c r="IVY41" s="19"/>
      <c r="IVZ41" s="19"/>
      <c r="IWA41" s="19"/>
      <c r="IWB41" s="19"/>
      <c r="IWC41" s="19"/>
      <c r="IWD41" s="19"/>
      <c r="IWE41" s="19"/>
      <c r="IWF41" s="19"/>
      <c r="IWG41" s="19"/>
      <c r="IWH41" s="19"/>
      <c r="IWI41" s="19"/>
      <c r="IWJ41" s="19"/>
      <c r="IWK41" s="19"/>
      <c r="IWL41" s="19"/>
      <c r="IWM41" s="19"/>
      <c r="IWN41" s="19"/>
      <c r="IWO41" s="19"/>
      <c r="IWP41" s="19"/>
      <c r="IWQ41" s="19"/>
      <c r="IWR41" s="19"/>
      <c r="IWS41" s="19"/>
      <c r="IWT41" s="19"/>
      <c r="IWU41" s="19"/>
      <c r="IWV41" s="19"/>
      <c r="IWW41" s="19"/>
      <c r="IWX41" s="19"/>
      <c r="IWY41" s="19"/>
      <c r="IWZ41" s="19"/>
      <c r="IXA41" s="19"/>
      <c r="IXB41" s="19"/>
      <c r="IXC41" s="19"/>
      <c r="IXD41" s="19"/>
      <c r="IXE41" s="19"/>
      <c r="IXF41" s="19"/>
      <c r="IXG41" s="19"/>
      <c r="IXH41" s="19"/>
      <c r="IXI41" s="19"/>
      <c r="IXJ41" s="19"/>
      <c r="IXK41" s="19"/>
      <c r="IXL41" s="19"/>
      <c r="IXM41" s="19"/>
      <c r="IXN41" s="19"/>
      <c r="IXO41" s="19"/>
      <c r="IXP41" s="19"/>
      <c r="IXQ41" s="19"/>
      <c r="IXR41" s="19"/>
      <c r="IXS41" s="19"/>
      <c r="IXT41" s="19"/>
      <c r="IXU41" s="19"/>
      <c r="IXV41" s="19"/>
      <c r="IXW41" s="19"/>
      <c r="IXX41" s="19"/>
      <c r="IXY41" s="19"/>
      <c r="IXZ41" s="19"/>
      <c r="IYA41" s="19"/>
      <c r="IYB41" s="19"/>
      <c r="IYC41" s="19"/>
      <c r="IYD41" s="19"/>
      <c r="IYE41" s="19"/>
      <c r="IYF41" s="19"/>
      <c r="IYG41" s="19"/>
      <c r="IYH41" s="19"/>
      <c r="IYI41" s="19"/>
      <c r="IYJ41" s="19"/>
      <c r="IYK41" s="19"/>
      <c r="IYL41" s="19"/>
      <c r="IYM41" s="19"/>
      <c r="IYN41" s="19"/>
      <c r="IYO41" s="19"/>
      <c r="IYP41" s="19"/>
      <c r="IYQ41" s="19"/>
      <c r="IYR41" s="19"/>
      <c r="IYS41" s="19"/>
      <c r="IYT41" s="19"/>
      <c r="IYU41" s="19"/>
      <c r="IYV41" s="19"/>
      <c r="IYW41" s="19"/>
      <c r="IYX41" s="19"/>
      <c r="IYY41" s="19"/>
      <c r="IYZ41" s="19"/>
      <c r="IZA41" s="19"/>
      <c r="IZB41" s="19"/>
      <c r="IZC41" s="19"/>
      <c r="IZD41" s="19"/>
      <c r="IZE41" s="19"/>
      <c r="IZF41" s="19"/>
      <c r="IZG41" s="19"/>
      <c r="IZH41" s="19"/>
      <c r="IZI41" s="19"/>
      <c r="IZJ41" s="19"/>
      <c r="IZK41" s="19"/>
      <c r="IZL41" s="19"/>
      <c r="IZM41" s="19"/>
      <c r="IZN41" s="19"/>
      <c r="IZO41" s="19"/>
      <c r="IZP41" s="19"/>
      <c r="IZQ41" s="19"/>
      <c r="IZR41" s="19"/>
      <c r="IZS41" s="19"/>
      <c r="IZT41" s="19"/>
      <c r="IZU41" s="19"/>
      <c r="IZV41" s="19"/>
      <c r="IZW41" s="19"/>
      <c r="IZX41" s="19"/>
      <c r="IZY41" s="19"/>
      <c r="IZZ41" s="19"/>
      <c r="JAA41" s="19"/>
      <c r="JAB41" s="19"/>
      <c r="JAC41" s="19"/>
      <c r="JAD41" s="19"/>
      <c r="JAE41" s="19"/>
      <c r="JAF41" s="19"/>
      <c r="JAG41" s="19"/>
      <c r="JAH41" s="19"/>
      <c r="JAI41" s="19"/>
      <c r="JAJ41" s="19"/>
      <c r="JAK41" s="19"/>
      <c r="JAL41" s="19"/>
      <c r="JAM41" s="19"/>
      <c r="JAN41" s="19"/>
      <c r="JAO41" s="19"/>
      <c r="JAP41" s="19"/>
      <c r="JAQ41" s="19"/>
      <c r="JAR41" s="19"/>
      <c r="JAS41" s="19"/>
      <c r="JAT41" s="19"/>
      <c r="JAU41" s="19"/>
      <c r="JAV41" s="19"/>
      <c r="JAW41" s="19"/>
      <c r="JAX41" s="19"/>
      <c r="JAY41" s="19"/>
      <c r="JAZ41" s="19"/>
      <c r="JBA41" s="19"/>
      <c r="JBB41" s="19"/>
      <c r="JBC41" s="19"/>
      <c r="JBD41" s="19"/>
      <c r="JBE41" s="19"/>
      <c r="JBF41" s="19"/>
      <c r="JBG41" s="19"/>
      <c r="JBH41" s="19"/>
      <c r="JBI41" s="19"/>
      <c r="JBJ41" s="19"/>
      <c r="JBK41" s="19"/>
      <c r="JBL41" s="19"/>
      <c r="JBM41" s="19"/>
      <c r="JBN41" s="19"/>
      <c r="JBO41" s="19"/>
      <c r="JBP41" s="19"/>
      <c r="JBQ41" s="19"/>
      <c r="JBR41" s="19"/>
      <c r="JBS41" s="19"/>
      <c r="JBT41" s="19"/>
      <c r="JBU41" s="19"/>
      <c r="JBV41" s="19"/>
      <c r="JBW41" s="19"/>
      <c r="JBX41" s="19"/>
      <c r="JBY41" s="19"/>
      <c r="JBZ41" s="19"/>
      <c r="JCA41" s="19"/>
      <c r="JCB41" s="19"/>
      <c r="JCC41" s="19"/>
      <c r="JCD41" s="19"/>
      <c r="JCE41" s="19"/>
      <c r="JCF41" s="19"/>
      <c r="JCG41" s="19"/>
      <c r="JCH41" s="19"/>
      <c r="JCI41" s="19"/>
      <c r="JCJ41" s="19"/>
      <c r="JCK41" s="19"/>
      <c r="JCL41" s="19"/>
      <c r="JCM41" s="19"/>
      <c r="JCN41" s="19"/>
      <c r="JCO41" s="19"/>
      <c r="JCP41" s="19"/>
      <c r="JCQ41" s="19"/>
      <c r="JCR41" s="19"/>
      <c r="JCS41" s="19"/>
      <c r="JCT41" s="19"/>
      <c r="JCU41" s="19"/>
      <c r="JCV41" s="19"/>
      <c r="JCW41" s="19"/>
      <c r="JCX41" s="19"/>
      <c r="JCY41" s="19"/>
      <c r="JCZ41" s="19"/>
      <c r="JDA41" s="19"/>
      <c r="JDB41" s="19"/>
      <c r="JDC41" s="19"/>
      <c r="JDD41" s="19"/>
      <c r="JDE41" s="19"/>
      <c r="JDF41" s="19"/>
      <c r="JDG41" s="19"/>
      <c r="JDH41" s="19"/>
      <c r="JDI41" s="19"/>
      <c r="JDJ41" s="19"/>
      <c r="JDK41" s="19"/>
      <c r="JDL41" s="19"/>
      <c r="JDM41" s="19"/>
      <c r="JDN41" s="19"/>
      <c r="JDO41" s="19"/>
      <c r="JDP41" s="19"/>
      <c r="JDQ41" s="19"/>
      <c r="JDR41" s="19"/>
      <c r="JDS41" s="19"/>
      <c r="JDT41" s="19"/>
      <c r="JDU41" s="19"/>
      <c r="JDV41" s="19"/>
      <c r="JDW41" s="19"/>
      <c r="JDX41" s="19"/>
      <c r="JDY41" s="19"/>
      <c r="JDZ41" s="19"/>
      <c r="JEA41" s="19"/>
      <c r="JEB41" s="19"/>
      <c r="JEC41" s="19"/>
      <c r="JED41" s="19"/>
      <c r="JEE41" s="19"/>
      <c r="JEF41" s="19"/>
      <c r="JEG41" s="19"/>
      <c r="JEH41" s="19"/>
      <c r="JEI41" s="19"/>
      <c r="JEJ41" s="19"/>
      <c r="JEK41" s="19"/>
      <c r="JEL41" s="19"/>
      <c r="JEM41" s="19"/>
      <c r="JEN41" s="19"/>
      <c r="JEO41" s="19"/>
      <c r="JEP41" s="19"/>
      <c r="JEQ41" s="19"/>
      <c r="JER41" s="19"/>
      <c r="JES41" s="19"/>
      <c r="JET41" s="19"/>
      <c r="JEU41" s="19"/>
      <c r="JEV41" s="19"/>
      <c r="JEW41" s="19"/>
      <c r="JEX41" s="19"/>
      <c r="JEY41" s="19"/>
      <c r="JEZ41" s="19"/>
      <c r="JFA41" s="19"/>
      <c r="JFB41" s="19"/>
      <c r="JFC41" s="19"/>
      <c r="JFD41" s="19"/>
      <c r="JFE41" s="19"/>
      <c r="JFF41" s="19"/>
      <c r="JFG41" s="19"/>
      <c r="JFH41" s="19"/>
      <c r="JFI41" s="19"/>
      <c r="JFJ41" s="19"/>
      <c r="JFK41" s="19"/>
      <c r="JFL41" s="19"/>
      <c r="JFM41" s="19"/>
      <c r="JFN41" s="19"/>
      <c r="JFO41" s="19"/>
      <c r="JFP41" s="19"/>
      <c r="JFQ41" s="19"/>
      <c r="JFR41" s="19"/>
      <c r="JFS41" s="19"/>
      <c r="JFT41" s="19"/>
      <c r="JFU41" s="19"/>
      <c r="JFV41" s="19"/>
      <c r="JFW41" s="19"/>
      <c r="JFX41" s="19"/>
      <c r="JFY41" s="19"/>
      <c r="JFZ41" s="19"/>
      <c r="JGA41" s="19"/>
      <c r="JGB41" s="19"/>
      <c r="JGC41" s="19"/>
      <c r="JGD41" s="19"/>
      <c r="JGE41" s="19"/>
      <c r="JGF41" s="19"/>
      <c r="JGG41" s="19"/>
      <c r="JGH41" s="19"/>
      <c r="JGI41" s="19"/>
      <c r="JGJ41" s="19"/>
      <c r="JGK41" s="19"/>
      <c r="JGL41" s="19"/>
      <c r="JGM41" s="19"/>
      <c r="JGN41" s="19"/>
      <c r="JGO41" s="19"/>
      <c r="JGP41" s="19"/>
      <c r="JGQ41" s="19"/>
      <c r="JGR41" s="19"/>
      <c r="JGS41" s="19"/>
      <c r="JGT41" s="19"/>
      <c r="JGU41" s="19"/>
      <c r="JGV41" s="19"/>
      <c r="JGW41" s="19"/>
      <c r="JGX41" s="19"/>
      <c r="JGY41" s="19"/>
      <c r="JGZ41" s="19"/>
      <c r="JHA41" s="19"/>
      <c r="JHB41" s="19"/>
      <c r="JHC41" s="19"/>
      <c r="JHD41" s="19"/>
      <c r="JHE41" s="19"/>
      <c r="JHF41" s="19"/>
      <c r="JHG41" s="19"/>
      <c r="JHH41" s="19"/>
      <c r="JHI41" s="19"/>
      <c r="JHJ41" s="19"/>
      <c r="JHK41" s="19"/>
      <c r="JHL41" s="19"/>
      <c r="JHM41" s="19"/>
      <c r="JHN41" s="19"/>
      <c r="JHO41" s="19"/>
      <c r="JHP41" s="19"/>
      <c r="JHQ41" s="19"/>
      <c r="JHR41" s="19"/>
      <c r="JHS41" s="19"/>
      <c r="JHT41" s="19"/>
      <c r="JHU41" s="19"/>
      <c r="JHV41" s="19"/>
      <c r="JHW41" s="19"/>
      <c r="JHX41" s="19"/>
      <c r="JHY41" s="19"/>
      <c r="JHZ41" s="19"/>
      <c r="JIA41" s="19"/>
      <c r="JIB41" s="19"/>
      <c r="JIC41" s="19"/>
      <c r="JID41" s="19"/>
      <c r="JIE41" s="19"/>
      <c r="JIF41" s="19"/>
      <c r="JIG41" s="19"/>
      <c r="JIH41" s="19"/>
      <c r="JII41" s="19"/>
      <c r="JIJ41" s="19"/>
      <c r="JIK41" s="19"/>
      <c r="JIL41" s="19"/>
      <c r="JIM41" s="19"/>
      <c r="JIN41" s="19"/>
      <c r="JIO41" s="19"/>
      <c r="JIP41" s="19"/>
      <c r="JIQ41" s="19"/>
      <c r="JIR41" s="19"/>
      <c r="JIS41" s="19"/>
      <c r="JIT41" s="19"/>
      <c r="JIU41" s="19"/>
      <c r="JIV41" s="19"/>
      <c r="JIW41" s="19"/>
      <c r="JIX41" s="19"/>
      <c r="JIY41" s="19"/>
      <c r="JIZ41" s="19"/>
      <c r="JJA41" s="19"/>
      <c r="JJB41" s="19"/>
      <c r="JJC41" s="19"/>
      <c r="JJD41" s="19"/>
      <c r="JJE41" s="19"/>
      <c r="JJF41" s="19"/>
      <c r="JJG41" s="19"/>
      <c r="JJH41" s="19"/>
      <c r="JJI41" s="19"/>
      <c r="JJJ41" s="19"/>
      <c r="JJK41" s="19"/>
      <c r="JJL41" s="19"/>
      <c r="JJM41" s="19"/>
      <c r="JJN41" s="19"/>
      <c r="JJO41" s="19"/>
      <c r="JJP41" s="19"/>
      <c r="JJQ41" s="19"/>
      <c r="JJR41" s="19"/>
      <c r="JJS41" s="19"/>
      <c r="JJT41" s="19"/>
      <c r="JJU41" s="19"/>
      <c r="JJV41" s="19"/>
      <c r="JJW41" s="19"/>
      <c r="JJX41" s="19"/>
      <c r="JJY41" s="19"/>
      <c r="JJZ41" s="19"/>
      <c r="JKA41" s="19"/>
      <c r="JKB41" s="19"/>
      <c r="JKC41" s="19"/>
      <c r="JKD41" s="19"/>
      <c r="JKE41" s="19"/>
      <c r="JKF41" s="19"/>
      <c r="JKG41" s="19"/>
      <c r="JKH41" s="19"/>
      <c r="JKI41" s="19"/>
      <c r="JKJ41" s="19"/>
      <c r="JKK41" s="19"/>
      <c r="JKL41" s="19"/>
      <c r="JKM41" s="19"/>
      <c r="JKN41" s="19"/>
      <c r="JKO41" s="19"/>
      <c r="JKP41" s="19"/>
      <c r="JKQ41" s="19"/>
      <c r="JKR41" s="19"/>
      <c r="JKS41" s="19"/>
      <c r="JKT41" s="19"/>
      <c r="JKU41" s="19"/>
      <c r="JKV41" s="19"/>
      <c r="JKW41" s="19"/>
      <c r="JKX41" s="19"/>
      <c r="JKY41" s="19"/>
      <c r="JKZ41" s="19"/>
      <c r="JLA41" s="19"/>
      <c r="JLB41" s="19"/>
      <c r="JLC41" s="19"/>
      <c r="JLD41" s="19"/>
      <c r="JLE41" s="19"/>
      <c r="JLF41" s="19"/>
      <c r="JLG41" s="19"/>
      <c r="JLH41" s="19"/>
      <c r="JLI41" s="19"/>
      <c r="JLJ41" s="19"/>
      <c r="JLK41" s="19"/>
      <c r="JLL41" s="19"/>
      <c r="JLM41" s="19"/>
      <c r="JLN41" s="19"/>
      <c r="JLO41" s="19"/>
      <c r="JLP41" s="19"/>
      <c r="JLQ41" s="19"/>
      <c r="JLR41" s="19"/>
      <c r="JLS41" s="19"/>
      <c r="JLT41" s="19"/>
      <c r="JLU41" s="19"/>
      <c r="JLV41" s="19"/>
      <c r="JLW41" s="19"/>
      <c r="JLX41" s="19"/>
      <c r="JLY41" s="19"/>
      <c r="JLZ41" s="19"/>
      <c r="JMA41" s="19"/>
      <c r="JMB41" s="19"/>
      <c r="JMC41" s="19"/>
      <c r="JMD41" s="19"/>
      <c r="JME41" s="19"/>
      <c r="JMF41" s="19"/>
      <c r="JMG41" s="19"/>
      <c r="JMH41" s="19"/>
      <c r="JMI41" s="19"/>
      <c r="JMJ41" s="19"/>
      <c r="JMK41" s="19"/>
      <c r="JML41" s="19"/>
      <c r="JMM41" s="19"/>
      <c r="JMN41" s="19"/>
      <c r="JMO41" s="19"/>
      <c r="JMP41" s="19"/>
      <c r="JMQ41" s="19"/>
      <c r="JMR41" s="19"/>
      <c r="JMS41" s="19"/>
      <c r="JMT41" s="19"/>
      <c r="JMU41" s="19"/>
      <c r="JMV41" s="19"/>
      <c r="JMW41" s="19"/>
      <c r="JMX41" s="19"/>
      <c r="JMY41" s="19"/>
      <c r="JMZ41" s="19"/>
      <c r="JNA41" s="19"/>
      <c r="JNB41" s="19"/>
      <c r="JNC41" s="19"/>
      <c r="JND41" s="19"/>
      <c r="JNE41" s="19"/>
      <c r="JNF41" s="19"/>
      <c r="JNG41" s="19"/>
      <c r="JNH41" s="19"/>
      <c r="JNI41" s="19"/>
      <c r="JNJ41" s="19"/>
      <c r="JNK41" s="19"/>
      <c r="JNL41" s="19"/>
      <c r="JNM41" s="19"/>
      <c r="JNN41" s="19"/>
      <c r="JNO41" s="19"/>
      <c r="JNP41" s="19"/>
      <c r="JNQ41" s="19"/>
      <c r="JNR41" s="19"/>
      <c r="JNS41" s="19"/>
      <c r="JNT41" s="19"/>
      <c r="JNU41" s="19"/>
      <c r="JNV41" s="19"/>
      <c r="JNW41" s="19"/>
      <c r="JNX41" s="19"/>
      <c r="JNY41" s="19"/>
      <c r="JNZ41" s="19"/>
      <c r="JOA41" s="19"/>
      <c r="JOB41" s="19"/>
      <c r="JOC41" s="19"/>
      <c r="JOD41" s="19"/>
      <c r="JOE41" s="19"/>
      <c r="JOF41" s="19"/>
      <c r="JOG41" s="19"/>
      <c r="JOH41" s="19"/>
      <c r="JOI41" s="19"/>
      <c r="JOJ41" s="19"/>
      <c r="JOK41" s="19"/>
      <c r="JOL41" s="19"/>
      <c r="JOM41" s="19"/>
      <c r="JON41" s="19"/>
      <c r="JOO41" s="19"/>
      <c r="JOP41" s="19"/>
      <c r="JOQ41" s="19"/>
      <c r="JOR41" s="19"/>
      <c r="JOS41" s="19"/>
      <c r="JOT41" s="19"/>
      <c r="JOU41" s="19"/>
      <c r="JOV41" s="19"/>
      <c r="JOW41" s="19"/>
      <c r="JOX41" s="19"/>
      <c r="JOY41" s="19"/>
      <c r="JOZ41" s="19"/>
      <c r="JPA41" s="19"/>
      <c r="JPB41" s="19"/>
      <c r="JPC41" s="19"/>
      <c r="JPD41" s="19"/>
      <c r="JPE41" s="19"/>
      <c r="JPF41" s="19"/>
      <c r="JPG41" s="19"/>
      <c r="JPH41" s="19"/>
      <c r="JPI41" s="19"/>
      <c r="JPJ41" s="19"/>
      <c r="JPK41" s="19"/>
      <c r="JPL41" s="19"/>
      <c r="JPM41" s="19"/>
      <c r="JPN41" s="19"/>
      <c r="JPO41" s="19"/>
      <c r="JPP41" s="19"/>
      <c r="JPQ41" s="19"/>
      <c r="JPR41" s="19"/>
      <c r="JPS41" s="19"/>
      <c r="JPT41" s="19"/>
      <c r="JPU41" s="19"/>
      <c r="JPV41" s="19"/>
      <c r="JPW41" s="19"/>
      <c r="JPX41" s="19"/>
      <c r="JPY41" s="19"/>
      <c r="JPZ41" s="19"/>
      <c r="JQA41" s="19"/>
      <c r="JQB41" s="19"/>
      <c r="JQC41" s="19"/>
      <c r="JQD41" s="19"/>
      <c r="JQE41" s="19"/>
      <c r="JQF41" s="19"/>
      <c r="JQG41" s="19"/>
      <c r="JQH41" s="19"/>
      <c r="JQI41" s="19"/>
      <c r="JQJ41" s="19"/>
      <c r="JQK41" s="19"/>
      <c r="JQL41" s="19"/>
      <c r="JQM41" s="19"/>
      <c r="JQN41" s="19"/>
      <c r="JQO41" s="19"/>
      <c r="JQP41" s="19"/>
      <c r="JQQ41" s="19"/>
      <c r="JQR41" s="19"/>
      <c r="JQS41" s="19"/>
      <c r="JQT41" s="19"/>
      <c r="JQU41" s="19"/>
      <c r="JQV41" s="19"/>
      <c r="JQW41" s="19"/>
      <c r="JQX41" s="19"/>
      <c r="JQY41" s="19"/>
      <c r="JQZ41" s="19"/>
      <c r="JRA41" s="19"/>
      <c r="JRB41" s="19"/>
      <c r="JRC41" s="19"/>
      <c r="JRD41" s="19"/>
      <c r="JRE41" s="19"/>
      <c r="JRF41" s="19"/>
      <c r="JRG41" s="19"/>
      <c r="JRH41" s="19"/>
      <c r="JRI41" s="19"/>
      <c r="JRJ41" s="19"/>
      <c r="JRK41" s="19"/>
      <c r="JRL41" s="19"/>
      <c r="JRM41" s="19"/>
      <c r="JRN41" s="19"/>
      <c r="JRO41" s="19"/>
      <c r="JRP41" s="19"/>
      <c r="JRQ41" s="19"/>
      <c r="JRR41" s="19"/>
      <c r="JRS41" s="19"/>
      <c r="JRT41" s="19"/>
      <c r="JRU41" s="19"/>
      <c r="JRV41" s="19"/>
      <c r="JRW41" s="19"/>
      <c r="JRX41" s="19"/>
      <c r="JRY41" s="19"/>
      <c r="JRZ41" s="19"/>
      <c r="JSA41" s="19"/>
      <c r="JSB41" s="19"/>
      <c r="JSC41" s="19"/>
      <c r="JSD41" s="19"/>
      <c r="JSE41" s="19"/>
      <c r="JSF41" s="19"/>
      <c r="JSG41" s="19"/>
      <c r="JSH41" s="19"/>
      <c r="JSI41" s="19"/>
      <c r="JSJ41" s="19"/>
      <c r="JSK41" s="19"/>
      <c r="JSL41" s="19"/>
      <c r="JSM41" s="19"/>
      <c r="JSN41" s="19"/>
      <c r="JSO41" s="19"/>
      <c r="JSP41" s="19"/>
      <c r="JSQ41" s="19"/>
      <c r="JSR41" s="19"/>
      <c r="JSS41" s="19"/>
      <c r="JST41" s="19"/>
      <c r="JSU41" s="19"/>
      <c r="JSV41" s="19"/>
      <c r="JSW41" s="19"/>
      <c r="JSX41" s="19"/>
      <c r="JSY41" s="19"/>
      <c r="JSZ41" s="19"/>
      <c r="JTA41" s="19"/>
      <c r="JTB41" s="19"/>
      <c r="JTC41" s="19"/>
      <c r="JTD41" s="19"/>
      <c r="JTE41" s="19"/>
      <c r="JTF41" s="19"/>
      <c r="JTG41" s="19"/>
      <c r="JTH41" s="19"/>
      <c r="JTI41" s="19"/>
      <c r="JTJ41" s="19"/>
      <c r="JTK41" s="19"/>
      <c r="JTL41" s="19"/>
      <c r="JTM41" s="19"/>
      <c r="JTN41" s="19"/>
      <c r="JTO41" s="19"/>
      <c r="JTP41" s="19"/>
      <c r="JTQ41" s="19"/>
      <c r="JTR41" s="19"/>
      <c r="JTS41" s="19"/>
      <c r="JTT41" s="19"/>
      <c r="JTU41" s="19"/>
      <c r="JTV41" s="19"/>
      <c r="JTW41" s="19"/>
      <c r="JTX41" s="19"/>
      <c r="JTY41" s="19"/>
      <c r="JTZ41" s="19"/>
      <c r="JUA41" s="19"/>
      <c r="JUB41" s="19"/>
      <c r="JUC41" s="19"/>
      <c r="JUD41" s="19"/>
      <c r="JUE41" s="19"/>
      <c r="JUF41" s="19"/>
      <c r="JUG41" s="19"/>
      <c r="JUH41" s="19"/>
      <c r="JUI41" s="19"/>
      <c r="JUJ41" s="19"/>
      <c r="JUK41" s="19"/>
      <c r="JUL41" s="19"/>
      <c r="JUM41" s="19"/>
      <c r="JUN41" s="19"/>
      <c r="JUO41" s="19"/>
      <c r="JUP41" s="19"/>
      <c r="JUQ41" s="19"/>
      <c r="JUR41" s="19"/>
      <c r="JUS41" s="19"/>
      <c r="JUT41" s="19"/>
      <c r="JUU41" s="19"/>
      <c r="JUV41" s="19"/>
      <c r="JUW41" s="19"/>
      <c r="JUX41" s="19"/>
      <c r="JUY41" s="19"/>
      <c r="JUZ41" s="19"/>
      <c r="JVA41" s="19"/>
      <c r="JVB41" s="19"/>
      <c r="JVC41" s="19"/>
      <c r="JVD41" s="19"/>
      <c r="JVE41" s="19"/>
      <c r="JVF41" s="19"/>
      <c r="JVG41" s="19"/>
      <c r="JVH41" s="19"/>
      <c r="JVI41" s="19"/>
      <c r="JVJ41" s="19"/>
      <c r="JVK41" s="19"/>
      <c r="JVL41" s="19"/>
      <c r="JVM41" s="19"/>
      <c r="JVN41" s="19"/>
      <c r="JVO41" s="19"/>
      <c r="JVP41" s="19"/>
      <c r="JVQ41" s="19"/>
      <c r="JVR41" s="19"/>
      <c r="JVS41" s="19"/>
      <c r="JVT41" s="19"/>
      <c r="JVU41" s="19"/>
      <c r="JVV41" s="19"/>
      <c r="JVW41" s="19"/>
      <c r="JVX41" s="19"/>
      <c r="JVY41" s="19"/>
      <c r="JVZ41" s="19"/>
      <c r="JWA41" s="19"/>
      <c r="JWB41" s="19"/>
      <c r="JWC41" s="19"/>
      <c r="JWD41" s="19"/>
      <c r="JWE41" s="19"/>
      <c r="JWF41" s="19"/>
      <c r="JWG41" s="19"/>
      <c r="JWH41" s="19"/>
      <c r="JWI41" s="19"/>
      <c r="JWJ41" s="19"/>
      <c r="JWK41" s="19"/>
      <c r="JWL41" s="19"/>
      <c r="JWM41" s="19"/>
      <c r="JWN41" s="19"/>
      <c r="JWO41" s="19"/>
      <c r="JWP41" s="19"/>
      <c r="JWQ41" s="19"/>
      <c r="JWR41" s="19"/>
      <c r="JWS41" s="19"/>
      <c r="JWT41" s="19"/>
      <c r="JWU41" s="19"/>
      <c r="JWV41" s="19"/>
      <c r="JWW41" s="19"/>
      <c r="JWX41" s="19"/>
      <c r="JWY41" s="19"/>
      <c r="JWZ41" s="19"/>
      <c r="JXA41" s="19"/>
      <c r="JXB41" s="19"/>
      <c r="JXC41" s="19"/>
      <c r="JXD41" s="19"/>
      <c r="JXE41" s="19"/>
      <c r="JXF41" s="19"/>
      <c r="JXG41" s="19"/>
      <c r="JXH41" s="19"/>
      <c r="JXI41" s="19"/>
      <c r="JXJ41" s="19"/>
      <c r="JXK41" s="19"/>
      <c r="JXL41" s="19"/>
      <c r="JXM41" s="19"/>
      <c r="JXN41" s="19"/>
      <c r="JXO41" s="19"/>
      <c r="JXP41" s="19"/>
      <c r="JXQ41" s="19"/>
      <c r="JXR41" s="19"/>
      <c r="JXS41" s="19"/>
      <c r="JXT41" s="19"/>
      <c r="JXU41" s="19"/>
      <c r="JXV41" s="19"/>
      <c r="JXW41" s="19"/>
      <c r="JXX41" s="19"/>
      <c r="JXY41" s="19"/>
      <c r="JXZ41" s="19"/>
      <c r="JYA41" s="19"/>
      <c r="JYB41" s="19"/>
      <c r="JYC41" s="19"/>
      <c r="JYD41" s="19"/>
      <c r="JYE41" s="19"/>
      <c r="JYF41" s="19"/>
      <c r="JYG41" s="19"/>
      <c r="JYH41" s="19"/>
      <c r="JYI41" s="19"/>
      <c r="JYJ41" s="19"/>
      <c r="JYK41" s="19"/>
      <c r="JYL41" s="19"/>
      <c r="JYM41" s="19"/>
      <c r="JYN41" s="19"/>
      <c r="JYO41" s="19"/>
      <c r="JYP41" s="19"/>
      <c r="JYQ41" s="19"/>
      <c r="JYR41" s="19"/>
      <c r="JYS41" s="19"/>
      <c r="JYT41" s="19"/>
      <c r="JYU41" s="19"/>
      <c r="JYV41" s="19"/>
      <c r="JYW41" s="19"/>
      <c r="JYX41" s="19"/>
      <c r="JYY41" s="19"/>
      <c r="JYZ41" s="19"/>
      <c r="JZA41" s="19"/>
      <c r="JZB41" s="19"/>
      <c r="JZC41" s="19"/>
      <c r="JZD41" s="19"/>
      <c r="JZE41" s="19"/>
      <c r="JZF41" s="19"/>
      <c r="JZG41" s="19"/>
      <c r="JZH41" s="19"/>
      <c r="JZI41" s="19"/>
      <c r="JZJ41" s="19"/>
      <c r="JZK41" s="19"/>
      <c r="JZL41" s="19"/>
      <c r="JZM41" s="19"/>
      <c r="JZN41" s="19"/>
      <c r="JZO41" s="19"/>
      <c r="JZP41" s="19"/>
      <c r="JZQ41" s="19"/>
      <c r="JZR41" s="19"/>
      <c r="JZS41" s="19"/>
      <c r="JZT41" s="19"/>
      <c r="JZU41" s="19"/>
      <c r="JZV41" s="19"/>
      <c r="JZW41" s="19"/>
      <c r="JZX41" s="19"/>
      <c r="JZY41" s="19"/>
      <c r="JZZ41" s="19"/>
      <c r="KAA41" s="19"/>
      <c r="KAB41" s="19"/>
      <c r="KAC41" s="19"/>
      <c r="KAD41" s="19"/>
      <c r="KAE41" s="19"/>
      <c r="KAF41" s="19"/>
      <c r="KAG41" s="19"/>
      <c r="KAH41" s="19"/>
      <c r="KAI41" s="19"/>
      <c r="KAJ41" s="19"/>
      <c r="KAK41" s="19"/>
      <c r="KAL41" s="19"/>
      <c r="KAM41" s="19"/>
      <c r="KAN41" s="19"/>
      <c r="KAO41" s="19"/>
      <c r="KAP41" s="19"/>
      <c r="KAQ41" s="19"/>
      <c r="KAR41" s="19"/>
      <c r="KAS41" s="19"/>
      <c r="KAT41" s="19"/>
      <c r="KAU41" s="19"/>
      <c r="KAV41" s="19"/>
      <c r="KAW41" s="19"/>
      <c r="KAX41" s="19"/>
      <c r="KAY41" s="19"/>
      <c r="KAZ41" s="19"/>
      <c r="KBA41" s="19"/>
      <c r="KBB41" s="19"/>
      <c r="KBC41" s="19"/>
      <c r="KBD41" s="19"/>
      <c r="KBE41" s="19"/>
      <c r="KBF41" s="19"/>
      <c r="KBG41" s="19"/>
      <c r="KBH41" s="19"/>
      <c r="KBI41" s="19"/>
      <c r="KBJ41" s="19"/>
      <c r="KBK41" s="19"/>
      <c r="KBL41" s="19"/>
      <c r="KBM41" s="19"/>
      <c r="KBN41" s="19"/>
      <c r="KBO41" s="19"/>
      <c r="KBP41" s="19"/>
      <c r="KBQ41" s="19"/>
      <c r="KBR41" s="19"/>
      <c r="KBS41" s="19"/>
      <c r="KBT41" s="19"/>
      <c r="KBU41" s="19"/>
      <c r="KBV41" s="19"/>
      <c r="KBW41" s="19"/>
      <c r="KBX41" s="19"/>
      <c r="KBY41" s="19"/>
      <c r="KBZ41" s="19"/>
      <c r="KCA41" s="19"/>
      <c r="KCB41" s="19"/>
      <c r="KCC41" s="19"/>
      <c r="KCD41" s="19"/>
      <c r="KCE41" s="19"/>
      <c r="KCF41" s="19"/>
      <c r="KCG41" s="19"/>
      <c r="KCH41" s="19"/>
      <c r="KCI41" s="19"/>
      <c r="KCJ41" s="19"/>
      <c r="KCK41" s="19"/>
      <c r="KCL41" s="19"/>
      <c r="KCM41" s="19"/>
      <c r="KCN41" s="19"/>
      <c r="KCO41" s="19"/>
      <c r="KCP41" s="19"/>
      <c r="KCQ41" s="19"/>
      <c r="KCR41" s="19"/>
      <c r="KCS41" s="19"/>
      <c r="KCT41" s="19"/>
      <c r="KCU41" s="19"/>
      <c r="KCV41" s="19"/>
      <c r="KCW41" s="19"/>
      <c r="KCX41" s="19"/>
      <c r="KCY41" s="19"/>
      <c r="KCZ41" s="19"/>
      <c r="KDA41" s="19"/>
      <c r="KDB41" s="19"/>
      <c r="KDC41" s="19"/>
      <c r="KDD41" s="19"/>
      <c r="KDE41" s="19"/>
      <c r="KDF41" s="19"/>
      <c r="KDG41" s="19"/>
      <c r="KDH41" s="19"/>
      <c r="KDI41" s="19"/>
      <c r="KDJ41" s="19"/>
      <c r="KDK41" s="19"/>
      <c r="KDL41" s="19"/>
      <c r="KDM41" s="19"/>
      <c r="KDN41" s="19"/>
      <c r="KDO41" s="19"/>
      <c r="KDP41" s="19"/>
      <c r="KDQ41" s="19"/>
      <c r="KDR41" s="19"/>
      <c r="KDS41" s="19"/>
      <c r="KDT41" s="19"/>
      <c r="KDU41" s="19"/>
      <c r="KDV41" s="19"/>
      <c r="KDW41" s="19"/>
      <c r="KDX41" s="19"/>
      <c r="KDY41" s="19"/>
      <c r="KDZ41" s="19"/>
      <c r="KEA41" s="19"/>
      <c r="KEB41" s="19"/>
      <c r="KEC41" s="19"/>
      <c r="KED41" s="19"/>
      <c r="KEE41" s="19"/>
      <c r="KEF41" s="19"/>
      <c r="KEG41" s="19"/>
      <c r="KEH41" s="19"/>
      <c r="KEI41" s="19"/>
      <c r="KEJ41" s="19"/>
      <c r="KEK41" s="19"/>
      <c r="KEL41" s="19"/>
      <c r="KEM41" s="19"/>
      <c r="KEN41" s="19"/>
      <c r="KEO41" s="19"/>
      <c r="KEP41" s="19"/>
      <c r="KEQ41" s="19"/>
      <c r="KER41" s="19"/>
      <c r="KES41" s="19"/>
      <c r="KET41" s="19"/>
      <c r="KEU41" s="19"/>
      <c r="KEV41" s="19"/>
      <c r="KEW41" s="19"/>
      <c r="KEX41" s="19"/>
      <c r="KEY41" s="19"/>
      <c r="KEZ41" s="19"/>
      <c r="KFA41" s="19"/>
      <c r="KFB41" s="19"/>
      <c r="KFC41" s="19"/>
      <c r="KFD41" s="19"/>
      <c r="KFE41" s="19"/>
      <c r="KFF41" s="19"/>
      <c r="KFG41" s="19"/>
      <c r="KFH41" s="19"/>
      <c r="KFI41" s="19"/>
      <c r="KFJ41" s="19"/>
      <c r="KFK41" s="19"/>
      <c r="KFL41" s="19"/>
      <c r="KFM41" s="19"/>
      <c r="KFN41" s="19"/>
      <c r="KFO41" s="19"/>
      <c r="KFP41" s="19"/>
      <c r="KFQ41" s="19"/>
      <c r="KFR41" s="19"/>
      <c r="KFS41" s="19"/>
      <c r="KFT41" s="19"/>
      <c r="KFU41" s="19"/>
      <c r="KFV41" s="19"/>
      <c r="KFW41" s="19"/>
      <c r="KFX41" s="19"/>
      <c r="KFY41" s="19"/>
      <c r="KFZ41" s="19"/>
      <c r="KGA41" s="19"/>
      <c r="KGB41" s="19"/>
      <c r="KGC41" s="19"/>
      <c r="KGD41" s="19"/>
      <c r="KGE41" s="19"/>
      <c r="KGF41" s="19"/>
      <c r="KGG41" s="19"/>
      <c r="KGH41" s="19"/>
      <c r="KGI41" s="19"/>
      <c r="KGJ41" s="19"/>
      <c r="KGK41" s="19"/>
      <c r="KGL41" s="19"/>
      <c r="KGM41" s="19"/>
      <c r="KGN41" s="19"/>
      <c r="KGO41" s="19"/>
      <c r="KGP41" s="19"/>
      <c r="KGQ41" s="19"/>
      <c r="KGR41" s="19"/>
      <c r="KGS41" s="19"/>
      <c r="KGT41" s="19"/>
      <c r="KGU41" s="19"/>
      <c r="KGV41" s="19"/>
      <c r="KGW41" s="19"/>
      <c r="KGX41" s="19"/>
      <c r="KGY41" s="19"/>
      <c r="KGZ41" s="19"/>
      <c r="KHA41" s="19"/>
      <c r="KHB41" s="19"/>
      <c r="KHC41" s="19"/>
      <c r="KHD41" s="19"/>
      <c r="KHE41" s="19"/>
      <c r="KHF41" s="19"/>
      <c r="KHG41" s="19"/>
      <c r="KHH41" s="19"/>
      <c r="KHI41" s="19"/>
      <c r="KHJ41" s="19"/>
      <c r="KHK41" s="19"/>
      <c r="KHL41" s="19"/>
      <c r="KHM41" s="19"/>
      <c r="KHN41" s="19"/>
      <c r="KHO41" s="19"/>
      <c r="KHP41" s="19"/>
      <c r="KHQ41" s="19"/>
      <c r="KHR41" s="19"/>
      <c r="KHS41" s="19"/>
      <c r="KHT41" s="19"/>
      <c r="KHU41" s="19"/>
      <c r="KHV41" s="19"/>
      <c r="KHW41" s="19"/>
      <c r="KHX41" s="19"/>
      <c r="KHY41" s="19"/>
      <c r="KHZ41" s="19"/>
      <c r="KIA41" s="19"/>
      <c r="KIB41" s="19"/>
      <c r="KIC41" s="19"/>
      <c r="KID41" s="19"/>
      <c r="KIE41" s="19"/>
      <c r="KIF41" s="19"/>
      <c r="KIG41" s="19"/>
      <c r="KIH41" s="19"/>
      <c r="KII41" s="19"/>
      <c r="KIJ41" s="19"/>
      <c r="KIK41" s="19"/>
      <c r="KIL41" s="19"/>
      <c r="KIM41" s="19"/>
      <c r="KIN41" s="19"/>
      <c r="KIO41" s="19"/>
      <c r="KIP41" s="19"/>
      <c r="KIQ41" s="19"/>
      <c r="KIR41" s="19"/>
      <c r="KIS41" s="19"/>
      <c r="KIT41" s="19"/>
      <c r="KIU41" s="19"/>
      <c r="KIV41" s="19"/>
      <c r="KIW41" s="19"/>
      <c r="KIX41" s="19"/>
      <c r="KIY41" s="19"/>
      <c r="KIZ41" s="19"/>
      <c r="KJA41" s="19"/>
      <c r="KJB41" s="19"/>
      <c r="KJC41" s="19"/>
      <c r="KJD41" s="19"/>
      <c r="KJE41" s="19"/>
      <c r="KJF41" s="19"/>
      <c r="KJG41" s="19"/>
      <c r="KJH41" s="19"/>
      <c r="KJI41" s="19"/>
      <c r="KJJ41" s="19"/>
      <c r="KJK41" s="19"/>
      <c r="KJL41" s="19"/>
      <c r="KJM41" s="19"/>
      <c r="KJN41" s="19"/>
      <c r="KJO41" s="19"/>
      <c r="KJP41" s="19"/>
      <c r="KJQ41" s="19"/>
      <c r="KJR41" s="19"/>
      <c r="KJS41" s="19"/>
      <c r="KJT41" s="19"/>
      <c r="KJU41" s="19"/>
      <c r="KJV41" s="19"/>
      <c r="KJW41" s="19"/>
      <c r="KJX41" s="19"/>
      <c r="KJY41" s="19"/>
      <c r="KJZ41" s="19"/>
      <c r="KKA41" s="19"/>
      <c r="KKB41" s="19"/>
      <c r="KKC41" s="19"/>
      <c r="KKD41" s="19"/>
      <c r="KKE41" s="19"/>
      <c r="KKF41" s="19"/>
      <c r="KKG41" s="19"/>
      <c r="KKH41" s="19"/>
      <c r="KKI41" s="19"/>
      <c r="KKJ41" s="19"/>
      <c r="KKK41" s="19"/>
      <c r="KKL41" s="19"/>
      <c r="KKM41" s="19"/>
      <c r="KKN41" s="19"/>
      <c r="KKO41" s="19"/>
      <c r="KKP41" s="19"/>
      <c r="KKQ41" s="19"/>
      <c r="KKR41" s="19"/>
      <c r="KKS41" s="19"/>
      <c r="KKT41" s="19"/>
      <c r="KKU41" s="19"/>
      <c r="KKV41" s="19"/>
      <c r="KKW41" s="19"/>
      <c r="KKX41" s="19"/>
      <c r="KKY41" s="19"/>
      <c r="KKZ41" s="19"/>
      <c r="KLA41" s="19"/>
      <c r="KLB41" s="19"/>
      <c r="KLC41" s="19"/>
      <c r="KLD41" s="19"/>
      <c r="KLE41" s="19"/>
      <c r="KLF41" s="19"/>
      <c r="KLG41" s="19"/>
      <c r="KLH41" s="19"/>
      <c r="KLI41" s="19"/>
      <c r="KLJ41" s="19"/>
      <c r="KLK41" s="19"/>
      <c r="KLL41" s="19"/>
      <c r="KLM41" s="19"/>
      <c r="KLN41" s="19"/>
      <c r="KLO41" s="19"/>
      <c r="KLP41" s="19"/>
      <c r="KLQ41" s="19"/>
      <c r="KLR41" s="19"/>
      <c r="KLS41" s="19"/>
      <c r="KLT41" s="19"/>
      <c r="KLU41" s="19"/>
      <c r="KLV41" s="19"/>
      <c r="KLW41" s="19"/>
      <c r="KLX41" s="19"/>
      <c r="KLY41" s="19"/>
      <c r="KLZ41" s="19"/>
      <c r="KMA41" s="19"/>
      <c r="KMB41" s="19"/>
      <c r="KMC41" s="19"/>
      <c r="KMD41" s="19"/>
      <c r="KME41" s="19"/>
      <c r="KMF41" s="19"/>
      <c r="KMG41" s="19"/>
      <c r="KMH41" s="19"/>
      <c r="KMI41" s="19"/>
      <c r="KMJ41" s="19"/>
      <c r="KMK41" s="19"/>
      <c r="KML41" s="19"/>
      <c r="KMM41" s="19"/>
      <c r="KMN41" s="19"/>
      <c r="KMO41" s="19"/>
      <c r="KMP41" s="19"/>
      <c r="KMQ41" s="19"/>
      <c r="KMR41" s="19"/>
      <c r="KMS41" s="19"/>
      <c r="KMT41" s="19"/>
      <c r="KMU41" s="19"/>
      <c r="KMV41" s="19"/>
      <c r="KMW41" s="19"/>
      <c r="KMX41" s="19"/>
      <c r="KMY41" s="19"/>
      <c r="KMZ41" s="19"/>
      <c r="KNA41" s="19"/>
      <c r="KNB41" s="19"/>
      <c r="KNC41" s="19"/>
      <c r="KND41" s="19"/>
      <c r="KNE41" s="19"/>
      <c r="KNF41" s="19"/>
      <c r="KNG41" s="19"/>
      <c r="KNH41" s="19"/>
      <c r="KNI41" s="19"/>
      <c r="KNJ41" s="19"/>
      <c r="KNK41" s="19"/>
      <c r="KNL41" s="19"/>
      <c r="KNM41" s="19"/>
      <c r="KNN41" s="19"/>
      <c r="KNO41" s="19"/>
      <c r="KNP41" s="19"/>
      <c r="KNQ41" s="19"/>
      <c r="KNR41" s="19"/>
      <c r="KNS41" s="19"/>
      <c r="KNT41" s="19"/>
      <c r="KNU41" s="19"/>
      <c r="KNV41" s="19"/>
      <c r="KNW41" s="19"/>
      <c r="KNX41" s="19"/>
      <c r="KNY41" s="19"/>
      <c r="KNZ41" s="19"/>
      <c r="KOA41" s="19"/>
      <c r="KOB41" s="19"/>
      <c r="KOC41" s="19"/>
      <c r="KOD41" s="19"/>
      <c r="KOE41" s="19"/>
      <c r="KOF41" s="19"/>
      <c r="KOG41" s="19"/>
      <c r="KOH41" s="19"/>
      <c r="KOI41" s="19"/>
      <c r="KOJ41" s="19"/>
      <c r="KOK41" s="19"/>
      <c r="KOL41" s="19"/>
      <c r="KOM41" s="19"/>
      <c r="KON41" s="19"/>
      <c r="KOO41" s="19"/>
      <c r="KOP41" s="19"/>
      <c r="KOQ41" s="19"/>
      <c r="KOR41" s="19"/>
      <c r="KOS41" s="19"/>
      <c r="KOT41" s="19"/>
      <c r="KOU41" s="19"/>
      <c r="KOV41" s="19"/>
      <c r="KOW41" s="19"/>
      <c r="KOX41" s="19"/>
      <c r="KOY41" s="19"/>
      <c r="KOZ41" s="19"/>
      <c r="KPA41" s="19"/>
      <c r="KPB41" s="19"/>
      <c r="KPC41" s="19"/>
      <c r="KPD41" s="19"/>
      <c r="KPE41" s="19"/>
      <c r="KPF41" s="19"/>
      <c r="KPG41" s="19"/>
      <c r="KPH41" s="19"/>
      <c r="KPI41" s="19"/>
      <c r="KPJ41" s="19"/>
      <c r="KPK41" s="19"/>
      <c r="KPL41" s="19"/>
      <c r="KPM41" s="19"/>
      <c r="KPN41" s="19"/>
      <c r="KPO41" s="19"/>
      <c r="KPP41" s="19"/>
      <c r="KPQ41" s="19"/>
      <c r="KPR41" s="19"/>
      <c r="KPS41" s="19"/>
      <c r="KPT41" s="19"/>
      <c r="KPU41" s="19"/>
      <c r="KPV41" s="19"/>
      <c r="KPW41" s="19"/>
      <c r="KPX41" s="19"/>
      <c r="KPY41" s="19"/>
      <c r="KPZ41" s="19"/>
      <c r="KQA41" s="19"/>
      <c r="KQB41" s="19"/>
      <c r="KQC41" s="19"/>
      <c r="KQD41" s="19"/>
      <c r="KQE41" s="19"/>
      <c r="KQF41" s="19"/>
      <c r="KQG41" s="19"/>
      <c r="KQH41" s="19"/>
      <c r="KQI41" s="19"/>
      <c r="KQJ41" s="19"/>
      <c r="KQK41" s="19"/>
      <c r="KQL41" s="19"/>
      <c r="KQM41" s="19"/>
      <c r="KQN41" s="19"/>
      <c r="KQO41" s="19"/>
      <c r="KQP41" s="19"/>
      <c r="KQQ41" s="19"/>
      <c r="KQR41" s="19"/>
      <c r="KQS41" s="19"/>
      <c r="KQT41" s="19"/>
      <c r="KQU41" s="19"/>
      <c r="KQV41" s="19"/>
      <c r="KQW41" s="19"/>
      <c r="KQX41" s="19"/>
      <c r="KQY41" s="19"/>
      <c r="KQZ41" s="19"/>
      <c r="KRA41" s="19"/>
      <c r="KRB41" s="19"/>
      <c r="KRC41" s="19"/>
      <c r="KRD41" s="19"/>
      <c r="KRE41" s="19"/>
      <c r="KRF41" s="19"/>
      <c r="KRG41" s="19"/>
      <c r="KRH41" s="19"/>
      <c r="KRI41" s="19"/>
      <c r="KRJ41" s="19"/>
      <c r="KRK41" s="19"/>
      <c r="KRL41" s="19"/>
      <c r="KRM41" s="19"/>
      <c r="KRN41" s="19"/>
      <c r="KRO41" s="19"/>
      <c r="KRP41" s="19"/>
      <c r="KRQ41" s="19"/>
      <c r="KRR41" s="19"/>
      <c r="KRS41" s="19"/>
      <c r="KRT41" s="19"/>
      <c r="KRU41" s="19"/>
      <c r="KRV41" s="19"/>
      <c r="KRW41" s="19"/>
      <c r="KRX41" s="19"/>
      <c r="KRY41" s="19"/>
      <c r="KRZ41" s="19"/>
      <c r="KSA41" s="19"/>
      <c r="KSB41" s="19"/>
      <c r="KSC41" s="19"/>
      <c r="KSD41" s="19"/>
      <c r="KSE41" s="19"/>
      <c r="KSF41" s="19"/>
      <c r="KSG41" s="19"/>
      <c r="KSH41" s="19"/>
      <c r="KSI41" s="19"/>
      <c r="KSJ41" s="19"/>
      <c r="KSK41" s="19"/>
      <c r="KSL41" s="19"/>
      <c r="KSM41" s="19"/>
      <c r="KSN41" s="19"/>
      <c r="KSO41" s="19"/>
      <c r="KSP41" s="19"/>
      <c r="KSQ41" s="19"/>
      <c r="KSR41" s="19"/>
      <c r="KSS41" s="19"/>
      <c r="KST41" s="19"/>
      <c r="KSU41" s="19"/>
      <c r="KSV41" s="19"/>
      <c r="KSW41" s="19"/>
      <c r="KSX41" s="19"/>
      <c r="KSY41" s="19"/>
      <c r="KSZ41" s="19"/>
      <c r="KTA41" s="19"/>
      <c r="KTB41" s="19"/>
      <c r="KTC41" s="19"/>
      <c r="KTD41" s="19"/>
      <c r="KTE41" s="19"/>
      <c r="KTF41" s="19"/>
      <c r="KTG41" s="19"/>
      <c r="KTH41" s="19"/>
      <c r="KTI41" s="19"/>
      <c r="KTJ41" s="19"/>
      <c r="KTK41" s="19"/>
      <c r="KTL41" s="19"/>
      <c r="KTM41" s="19"/>
      <c r="KTN41" s="19"/>
      <c r="KTO41" s="19"/>
      <c r="KTP41" s="19"/>
      <c r="KTQ41" s="19"/>
      <c r="KTR41" s="19"/>
      <c r="KTS41" s="19"/>
      <c r="KTT41" s="19"/>
      <c r="KTU41" s="19"/>
      <c r="KTV41" s="19"/>
      <c r="KTW41" s="19"/>
      <c r="KTX41" s="19"/>
      <c r="KTY41" s="19"/>
      <c r="KTZ41" s="19"/>
      <c r="KUA41" s="19"/>
      <c r="KUB41" s="19"/>
      <c r="KUC41" s="19"/>
      <c r="KUD41" s="19"/>
      <c r="KUE41" s="19"/>
      <c r="KUF41" s="19"/>
      <c r="KUG41" s="19"/>
      <c r="KUH41" s="19"/>
      <c r="KUI41" s="19"/>
      <c r="KUJ41" s="19"/>
      <c r="KUK41" s="19"/>
      <c r="KUL41" s="19"/>
      <c r="KUM41" s="19"/>
      <c r="KUN41" s="19"/>
      <c r="KUO41" s="19"/>
      <c r="KUP41" s="19"/>
      <c r="KUQ41" s="19"/>
      <c r="KUR41" s="19"/>
      <c r="KUS41" s="19"/>
      <c r="KUT41" s="19"/>
      <c r="KUU41" s="19"/>
      <c r="KUV41" s="19"/>
      <c r="KUW41" s="19"/>
      <c r="KUX41" s="19"/>
      <c r="KUY41" s="19"/>
      <c r="KUZ41" s="19"/>
      <c r="KVA41" s="19"/>
      <c r="KVB41" s="19"/>
      <c r="KVC41" s="19"/>
      <c r="KVD41" s="19"/>
      <c r="KVE41" s="19"/>
      <c r="KVF41" s="19"/>
      <c r="KVG41" s="19"/>
      <c r="KVH41" s="19"/>
      <c r="KVI41" s="19"/>
      <c r="KVJ41" s="19"/>
      <c r="KVK41" s="19"/>
      <c r="KVL41" s="19"/>
      <c r="KVM41" s="19"/>
      <c r="KVN41" s="19"/>
      <c r="KVO41" s="19"/>
      <c r="KVP41" s="19"/>
      <c r="KVQ41" s="19"/>
      <c r="KVR41" s="19"/>
      <c r="KVS41" s="19"/>
      <c r="KVT41" s="19"/>
      <c r="KVU41" s="19"/>
      <c r="KVV41" s="19"/>
      <c r="KVW41" s="19"/>
      <c r="KVX41" s="19"/>
      <c r="KVY41" s="19"/>
      <c r="KVZ41" s="19"/>
      <c r="KWA41" s="19"/>
      <c r="KWB41" s="19"/>
      <c r="KWC41" s="19"/>
      <c r="KWD41" s="19"/>
      <c r="KWE41" s="19"/>
      <c r="KWF41" s="19"/>
      <c r="KWG41" s="19"/>
      <c r="KWH41" s="19"/>
      <c r="KWI41" s="19"/>
      <c r="KWJ41" s="19"/>
      <c r="KWK41" s="19"/>
      <c r="KWL41" s="19"/>
      <c r="KWM41" s="19"/>
      <c r="KWN41" s="19"/>
      <c r="KWO41" s="19"/>
      <c r="KWP41" s="19"/>
      <c r="KWQ41" s="19"/>
      <c r="KWR41" s="19"/>
      <c r="KWS41" s="19"/>
      <c r="KWT41" s="19"/>
      <c r="KWU41" s="19"/>
      <c r="KWV41" s="19"/>
      <c r="KWW41" s="19"/>
      <c r="KWX41" s="19"/>
      <c r="KWY41" s="19"/>
      <c r="KWZ41" s="19"/>
      <c r="KXA41" s="19"/>
      <c r="KXB41" s="19"/>
      <c r="KXC41" s="19"/>
      <c r="KXD41" s="19"/>
      <c r="KXE41" s="19"/>
      <c r="KXF41" s="19"/>
      <c r="KXG41" s="19"/>
      <c r="KXH41" s="19"/>
      <c r="KXI41" s="19"/>
      <c r="KXJ41" s="19"/>
      <c r="KXK41" s="19"/>
      <c r="KXL41" s="19"/>
      <c r="KXM41" s="19"/>
      <c r="KXN41" s="19"/>
      <c r="KXO41" s="19"/>
      <c r="KXP41" s="19"/>
      <c r="KXQ41" s="19"/>
      <c r="KXR41" s="19"/>
      <c r="KXS41" s="19"/>
      <c r="KXT41" s="19"/>
      <c r="KXU41" s="19"/>
      <c r="KXV41" s="19"/>
      <c r="KXW41" s="19"/>
      <c r="KXX41" s="19"/>
      <c r="KXY41" s="19"/>
      <c r="KXZ41" s="19"/>
      <c r="KYA41" s="19"/>
      <c r="KYB41" s="19"/>
      <c r="KYC41" s="19"/>
      <c r="KYD41" s="19"/>
      <c r="KYE41" s="19"/>
      <c r="KYF41" s="19"/>
      <c r="KYG41" s="19"/>
      <c r="KYH41" s="19"/>
      <c r="KYI41" s="19"/>
      <c r="KYJ41" s="19"/>
      <c r="KYK41" s="19"/>
      <c r="KYL41" s="19"/>
      <c r="KYM41" s="19"/>
      <c r="KYN41" s="19"/>
      <c r="KYO41" s="19"/>
      <c r="KYP41" s="19"/>
      <c r="KYQ41" s="19"/>
      <c r="KYR41" s="19"/>
      <c r="KYS41" s="19"/>
      <c r="KYT41" s="19"/>
      <c r="KYU41" s="19"/>
      <c r="KYV41" s="19"/>
      <c r="KYW41" s="19"/>
      <c r="KYX41" s="19"/>
      <c r="KYY41" s="19"/>
      <c r="KYZ41" s="19"/>
      <c r="KZA41" s="19"/>
      <c r="KZB41" s="19"/>
      <c r="KZC41" s="19"/>
      <c r="KZD41" s="19"/>
      <c r="KZE41" s="19"/>
      <c r="KZF41" s="19"/>
      <c r="KZG41" s="19"/>
      <c r="KZH41" s="19"/>
      <c r="KZI41" s="19"/>
      <c r="KZJ41" s="19"/>
      <c r="KZK41" s="19"/>
      <c r="KZL41" s="19"/>
      <c r="KZM41" s="19"/>
      <c r="KZN41" s="19"/>
      <c r="KZO41" s="19"/>
      <c r="KZP41" s="19"/>
      <c r="KZQ41" s="19"/>
      <c r="KZR41" s="19"/>
      <c r="KZS41" s="19"/>
      <c r="KZT41" s="19"/>
      <c r="KZU41" s="19"/>
      <c r="KZV41" s="19"/>
      <c r="KZW41" s="19"/>
      <c r="KZX41" s="19"/>
      <c r="KZY41" s="19"/>
      <c r="KZZ41" s="19"/>
      <c r="LAA41" s="19"/>
      <c r="LAB41" s="19"/>
      <c r="LAC41" s="19"/>
      <c r="LAD41" s="19"/>
      <c r="LAE41" s="19"/>
      <c r="LAF41" s="19"/>
      <c r="LAG41" s="19"/>
      <c r="LAH41" s="19"/>
      <c r="LAI41" s="19"/>
      <c r="LAJ41" s="19"/>
      <c r="LAK41" s="19"/>
      <c r="LAL41" s="19"/>
      <c r="LAM41" s="19"/>
      <c r="LAN41" s="19"/>
      <c r="LAO41" s="19"/>
      <c r="LAP41" s="19"/>
      <c r="LAQ41" s="19"/>
      <c r="LAR41" s="19"/>
      <c r="LAS41" s="19"/>
      <c r="LAT41" s="19"/>
      <c r="LAU41" s="19"/>
      <c r="LAV41" s="19"/>
      <c r="LAW41" s="19"/>
      <c r="LAX41" s="19"/>
      <c r="LAY41" s="19"/>
      <c r="LAZ41" s="19"/>
      <c r="LBA41" s="19"/>
      <c r="LBB41" s="19"/>
      <c r="LBC41" s="19"/>
      <c r="LBD41" s="19"/>
      <c r="LBE41" s="19"/>
      <c r="LBF41" s="19"/>
      <c r="LBG41" s="19"/>
      <c r="LBH41" s="19"/>
      <c r="LBI41" s="19"/>
      <c r="LBJ41" s="19"/>
      <c r="LBK41" s="19"/>
      <c r="LBL41" s="19"/>
      <c r="LBM41" s="19"/>
      <c r="LBN41" s="19"/>
      <c r="LBO41" s="19"/>
      <c r="LBP41" s="19"/>
      <c r="LBQ41" s="19"/>
      <c r="LBR41" s="19"/>
      <c r="LBS41" s="19"/>
      <c r="LBT41" s="19"/>
      <c r="LBU41" s="19"/>
      <c r="LBV41" s="19"/>
      <c r="LBW41" s="19"/>
      <c r="LBX41" s="19"/>
      <c r="LBY41" s="19"/>
      <c r="LBZ41" s="19"/>
      <c r="LCA41" s="19"/>
      <c r="LCB41" s="19"/>
      <c r="LCC41" s="19"/>
      <c r="LCD41" s="19"/>
      <c r="LCE41" s="19"/>
      <c r="LCF41" s="19"/>
      <c r="LCG41" s="19"/>
      <c r="LCH41" s="19"/>
      <c r="LCI41" s="19"/>
      <c r="LCJ41" s="19"/>
      <c r="LCK41" s="19"/>
      <c r="LCL41" s="19"/>
      <c r="LCM41" s="19"/>
      <c r="LCN41" s="19"/>
      <c r="LCO41" s="19"/>
      <c r="LCP41" s="19"/>
      <c r="LCQ41" s="19"/>
      <c r="LCR41" s="19"/>
      <c r="LCS41" s="19"/>
      <c r="LCT41" s="19"/>
      <c r="LCU41" s="19"/>
      <c r="LCV41" s="19"/>
      <c r="LCW41" s="19"/>
      <c r="LCX41" s="19"/>
      <c r="LCY41" s="19"/>
      <c r="LCZ41" s="19"/>
      <c r="LDA41" s="19"/>
      <c r="LDB41" s="19"/>
      <c r="LDC41" s="19"/>
      <c r="LDD41" s="19"/>
      <c r="LDE41" s="19"/>
      <c r="LDF41" s="19"/>
      <c r="LDG41" s="19"/>
      <c r="LDH41" s="19"/>
      <c r="LDI41" s="19"/>
      <c r="LDJ41" s="19"/>
      <c r="LDK41" s="19"/>
      <c r="LDL41" s="19"/>
      <c r="LDM41" s="19"/>
      <c r="LDN41" s="19"/>
      <c r="LDO41" s="19"/>
      <c r="LDP41" s="19"/>
      <c r="LDQ41" s="19"/>
      <c r="LDR41" s="19"/>
      <c r="LDS41" s="19"/>
      <c r="LDT41" s="19"/>
      <c r="LDU41" s="19"/>
      <c r="LDV41" s="19"/>
      <c r="LDW41" s="19"/>
      <c r="LDX41" s="19"/>
      <c r="LDY41" s="19"/>
      <c r="LDZ41" s="19"/>
      <c r="LEA41" s="19"/>
      <c r="LEB41" s="19"/>
      <c r="LEC41" s="19"/>
      <c r="LED41" s="19"/>
      <c r="LEE41" s="19"/>
      <c r="LEF41" s="19"/>
      <c r="LEG41" s="19"/>
      <c r="LEH41" s="19"/>
      <c r="LEI41" s="19"/>
      <c r="LEJ41" s="19"/>
      <c r="LEK41" s="19"/>
      <c r="LEL41" s="19"/>
      <c r="LEM41" s="19"/>
      <c r="LEN41" s="19"/>
      <c r="LEO41" s="19"/>
      <c r="LEP41" s="19"/>
      <c r="LEQ41" s="19"/>
      <c r="LER41" s="19"/>
      <c r="LES41" s="19"/>
      <c r="LET41" s="19"/>
      <c r="LEU41" s="19"/>
      <c r="LEV41" s="19"/>
      <c r="LEW41" s="19"/>
      <c r="LEX41" s="19"/>
      <c r="LEY41" s="19"/>
      <c r="LEZ41" s="19"/>
      <c r="LFA41" s="19"/>
      <c r="LFB41" s="19"/>
      <c r="LFC41" s="19"/>
      <c r="LFD41" s="19"/>
      <c r="LFE41" s="19"/>
      <c r="LFF41" s="19"/>
      <c r="LFG41" s="19"/>
      <c r="LFH41" s="19"/>
      <c r="LFI41" s="19"/>
      <c r="LFJ41" s="19"/>
      <c r="LFK41" s="19"/>
      <c r="LFL41" s="19"/>
      <c r="LFM41" s="19"/>
      <c r="LFN41" s="19"/>
      <c r="LFO41" s="19"/>
      <c r="LFP41" s="19"/>
      <c r="LFQ41" s="19"/>
      <c r="LFR41" s="19"/>
      <c r="LFS41" s="19"/>
      <c r="LFT41" s="19"/>
      <c r="LFU41" s="19"/>
      <c r="LFV41" s="19"/>
      <c r="LFW41" s="19"/>
      <c r="LFX41" s="19"/>
      <c r="LFY41" s="19"/>
      <c r="LFZ41" s="19"/>
      <c r="LGA41" s="19"/>
      <c r="LGB41" s="19"/>
      <c r="LGC41" s="19"/>
      <c r="LGD41" s="19"/>
      <c r="LGE41" s="19"/>
      <c r="LGF41" s="19"/>
      <c r="LGG41" s="19"/>
      <c r="LGH41" s="19"/>
      <c r="LGI41" s="19"/>
      <c r="LGJ41" s="19"/>
      <c r="LGK41" s="19"/>
      <c r="LGL41" s="19"/>
      <c r="LGM41" s="19"/>
      <c r="LGN41" s="19"/>
      <c r="LGO41" s="19"/>
      <c r="LGP41" s="19"/>
      <c r="LGQ41" s="19"/>
      <c r="LGR41" s="19"/>
      <c r="LGS41" s="19"/>
      <c r="LGT41" s="19"/>
      <c r="LGU41" s="19"/>
      <c r="LGV41" s="19"/>
      <c r="LGW41" s="19"/>
      <c r="LGX41" s="19"/>
      <c r="LGY41" s="19"/>
      <c r="LGZ41" s="19"/>
      <c r="LHA41" s="19"/>
      <c r="LHB41" s="19"/>
      <c r="LHC41" s="19"/>
      <c r="LHD41" s="19"/>
      <c r="LHE41" s="19"/>
      <c r="LHF41" s="19"/>
      <c r="LHG41" s="19"/>
      <c r="LHH41" s="19"/>
      <c r="LHI41" s="19"/>
      <c r="LHJ41" s="19"/>
      <c r="LHK41" s="19"/>
      <c r="LHL41" s="19"/>
      <c r="LHM41" s="19"/>
      <c r="LHN41" s="19"/>
      <c r="LHO41" s="19"/>
      <c r="LHP41" s="19"/>
      <c r="LHQ41" s="19"/>
      <c r="LHR41" s="19"/>
      <c r="LHS41" s="19"/>
      <c r="LHT41" s="19"/>
      <c r="LHU41" s="19"/>
      <c r="LHV41" s="19"/>
      <c r="LHW41" s="19"/>
      <c r="LHX41" s="19"/>
      <c r="LHY41" s="19"/>
      <c r="LHZ41" s="19"/>
      <c r="LIA41" s="19"/>
      <c r="LIB41" s="19"/>
      <c r="LIC41" s="19"/>
      <c r="LID41" s="19"/>
      <c r="LIE41" s="19"/>
      <c r="LIF41" s="19"/>
      <c r="LIG41" s="19"/>
      <c r="LIH41" s="19"/>
      <c r="LII41" s="19"/>
      <c r="LIJ41" s="19"/>
      <c r="LIK41" s="19"/>
      <c r="LIL41" s="19"/>
      <c r="LIM41" s="19"/>
      <c r="LIN41" s="19"/>
      <c r="LIO41" s="19"/>
      <c r="LIP41" s="19"/>
      <c r="LIQ41" s="19"/>
      <c r="LIR41" s="19"/>
      <c r="LIS41" s="19"/>
      <c r="LIT41" s="19"/>
      <c r="LIU41" s="19"/>
      <c r="LIV41" s="19"/>
      <c r="LIW41" s="19"/>
      <c r="LIX41" s="19"/>
      <c r="LIY41" s="19"/>
      <c r="LIZ41" s="19"/>
      <c r="LJA41" s="19"/>
      <c r="LJB41" s="19"/>
      <c r="LJC41" s="19"/>
      <c r="LJD41" s="19"/>
      <c r="LJE41" s="19"/>
      <c r="LJF41" s="19"/>
      <c r="LJG41" s="19"/>
      <c r="LJH41" s="19"/>
      <c r="LJI41" s="19"/>
      <c r="LJJ41" s="19"/>
      <c r="LJK41" s="19"/>
      <c r="LJL41" s="19"/>
      <c r="LJM41" s="19"/>
      <c r="LJN41" s="19"/>
      <c r="LJO41" s="19"/>
      <c r="LJP41" s="19"/>
      <c r="LJQ41" s="19"/>
      <c r="LJR41" s="19"/>
      <c r="LJS41" s="19"/>
      <c r="LJT41" s="19"/>
      <c r="LJU41" s="19"/>
      <c r="LJV41" s="19"/>
      <c r="LJW41" s="19"/>
      <c r="LJX41" s="19"/>
      <c r="LJY41" s="19"/>
      <c r="LJZ41" s="19"/>
      <c r="LKA41" s="19"/>
      <c r="LKB41" s="19"/>
      <c r="LKC41" s="19"/>
      <c r="LKD41" s="19"/>
      <c r="LKE41" s="19"/>
      <c r="LKF41" s="19"/>
      <c r="LKG41" s="19"/>
      <c r="LKH41" s="19"/>
      <c r="LKI41" s="19"/>
      <c r="LKJ41" s="19"/>
      <c r="LKK41" s="19"/>
      <c r="LKL41" s="19"/>
      <c r="LKM41" s="19"/>
      <c r="LKN41" s="19"/>
      <c r="LKO41" s="19"/>
      <c r="LKP41" s="19"/>
      <c r="LKQ41" s="19"/>
      <c r="LKR41" s="19"/>
      <c r="LKS41" s="19"/>
      <c r="LKT41" s="19"/>
      <c r="LKU41" s="19"/>
      <c r="LKV41" s="19"/>
      <c r="LKW41" s="19"/>
      <c r="LKX41" s="19"/>
      <c r="LKY41" s="19"/>
      <c r="LKZ41" s="19"/>
      <c r="LLA41" s="19"/>
      <c r="LLB41" s="19"/>
      <c r="LLC41" s="19"/>
      <c r="LLD41" s="19"/>
      <c r="LLE41" s="19"/>
      <c r="LLF41" s="19"/>
      <c r="LLG41" s="19"/>
      <c r="LLH41" s="19"/>
      <c r="LLI41" s="19"/>
      <c r="LLJ41" s="19"/>
      <c r="LLK41" s="19"/>
      <c r="LLL41" s="19"/>
      <c r="LLM41" s="19"/>
      <c r="LLN41" s="19"/>
      <c r="LLO41" s="19"/>
      <c r="LLP41" s="19"/>
      <c r="LLQ41" s="19"/>
      <c r="LLR41" s="19"/>
      <c r="LLS41" s="19"/>
      <c r="LLT41" s="19"/>
      <c r="LLU41" s="19"/>
      <c r="LLV41" s="19"/>
      <c r="LLW41" s="19"/>
      <c r="LLX41" s="19"/>
      <c r="LLY41" s="19"/>
      <c r="LLZ41" s="19"/>
      <c r="LMA41" s="19"/>
      <c r="LMB41" s="19"/>
      <c r="LMC41" s="19"/>
      <c r="LMD41" s="19"/>
      <c r="LME41" s="19"/>
      <c r="LMF41" s="19"/>
      <c r="LMG41" s="19"/>
      <c r="LMH41" s="19"/>
      <c r="LMI41" s="19"/>
      <c r="LMJ41" s="19"/>
      <c r="LMK41" s="19"/>
      <c r="LML41" s="19"/>
      <c r="LMM41" s="19"/>
      <c r="LMN41" s="19"/>
      <c r="LMO41" s="19"/>
      <c r="LMP41" s="19"/>
      <c r="LMQ41" s="19"/>
      <c r="LMR41" s="19"/>
      <c r="LMS41" s="19"/>
      <c r="LMT41" s="19"/>
      <c r="LMU41" s="19"/>
      <c r="LMV41" s="19"/>
      <c r="LMW41" s="19"/>
      <c r="LMX41" s="19"/>
      <c r="LMY41" s="19"/>
      <c r="LMZ41" s="19"/>
      <c r="LNA41" s="19"/>
      <c r="LNB41" s="19"/>
      <c r="LNC41" s="19"/>
      <c r="LND41" s="19"/>
      <c r="LNE41" s="19"/>
      <c r="LNF41" s="19"/>
      <c r="LNG41" s="19"/>
      <c r="LNH41" s="19"/>
      <c r="LNI41" s="19"/>
      <c r="LNJ41" s="19"/>
      <c r="LNK41" s="19"/>
      <c r="LNL41" s="19"/>
      <c r="LNM41" s="19"/>
      <c r="LNN41" s="19"/>
      <c r="LNO41" s="19"/>
      <c r="LNP41" s="19"/>
      <c r="LNQ41" s="19"/>
      <c r="LNR41" s="19"/>
      <c r="LNS41" s="19"/>
      <c r="LNT41" s="19"/>
      <c r="LNU41" s="19"/>
      <c r="LNV41" s="19"/>
      <c r="LNW41" s="19"/>
      <c r="LNX41" s="19"/>
      <c r="LNY41" s="19"/>
      <c r="LNZ41" s="19"/>
      <c r="LOA41" s="19"/>
      <c r="LOB41" s="19"/>
      <c r="LOC41" s="19"/>
      <c r="LOD41" s="19"/>
      <c r="LOE41" s="19"/>
      <c r="LOF41" s="19"/>
      <c r="LOG41" s="19"/>
      <c r="LOH41" s="19"/>
      <c r="LOI41" s="19"/>
      <c r="LOJ41" s="19"/>
      <c r="LOK41" s="19"/>
      <c r="LOL41" s="19"/>
      <c r="LOM41" s="19"/>
      <c r="LON41" s="19"/>
      <c r="LOO41" s="19"/>
      <c r="LOP41" s="19"/>
      <c r="LOQ41" s="19"/>
      <c r="LOR41" s="19"/>
      <c r="LOS41" s="19"/>
      <c r="LOT41" s="19"/>
      <c r="LOU41" s="19"/>
      <c r="LOV41" s="19"/>
      <c r="LOW41" s="19"/>
      <c r="LOX41" s="19"/>
      <c r="LOY41" s="19"/>
      <c r="LOZ41" s="19"/>
      <c r="LPA41" s="19"/>
      <c r="LPB41" s="19"/>
      <c r="LPC41" s="19"/>
      <c r="LPD41" s="19"/>
      <c r="LPE41" s="19"/>
      <c r="LPF41" s="19"/>
      <c r="LPG41" s="19"/>
      <c r="LPH41" s="19"/>
      <c r="LPI41" s="19"/>
      <c r="LPJ41" s="19"/>
      <c r="LPK41" s="19"/>
      <c r="LPL41" s="19"/>
      <c r="LPM41" s="19"/>
      <c r="LPN41" s="19"/>
      <c r="LPO41" s="19"/>
      <c r="LPP41" s="19"/>
      <c r="LPQ41" s="19"/>
      <c r="LPR41" s="19"/>
      <c r="LPS41" s="19"/>
      <c r="LPT41" s="19"/>
      <c r="LPU41" s="19"/>
      <c r="LPV41" s="19"/>
      <c r="LPW41" s="19"/>
      <c r="LPX41" s="19"/>
      <c r="LPY41" s="19"/>
      <c r="LPZ41" s="19"/>
      <c r="LQA41" s="19"/>
      <c r="LQB41" s="19"/>
      <c r="LQC41" s="19"/>
      <c r="LQD41" s="19"/>
      <c r="LQE41" s="19"/>
      <c r="LQF41" s="19"/>
      <c r="LQG41" s="19"/>
      <c r="LQH41" s="19"/>
      <c r="LQI41" s="19"/>
      <c r="LQJ41" s="19"/>
      <c r="LQK41" s="19"/>
      <c r="LQL41" s="19"/>
      <c r="LQM41" s="19"/>
      <c r="LQN41" s="19"/>
      <c r="LQO41" s="19"/>
      <c r="LQP41" s="19"/>
      <c r="LQQ41" s="19"/>
      <c r="LQR41" s="19"/>
      <c r="LQS41" s="19"/>
      <c r="LQT41" s="19"/>
      <c r="LQU41" s="19"/>
      <c r="LQV41" s="19"/>
      <c r="LQW41" s="19"/>
      <c r="LQX41" s="19"/>
      <c r="LQY41" s="19"/>
      <c r="LQZ41" s="19"/>
      <c r="LRA41" s="19"/>
      <c r="LRB41" s="19"/>
      <c r="LRC41" s="19"/>
      <c r="LRD41" s="19"/>
      <c r="LRE41" s="19"/>
      <c r="LRF41" s="19"/>
      <c r="LRG41" s="19"/>
      <c r="LRH41" s="19"/>
      <c r="LRI41" s="19"/>
      <c r="LRJ41" s="19"/>
      <c r="LRK41" s="19"/>
      <c r="LRL41" s="19"/>
      <c r="LRM41" s="19"/>
      <c r="LRN41" s="19"/>
      <c r="LRO41" s="19"/>
      <c r="LRP41" s="19"/>
      <c r="LRQ41" s="19"/>
      <c r="LRR41" s="19"/>
      <c r="LRS41" s="19"/>
      <c r="LRT41" s="19"/>
      <c r="LRU41" s="19"/>
      <c r="LRV41" s="19"/>
      <c r="LRW41" s="19"/>
      <c r="LRX41" s="19"/>
      <c r="LRY41" s="19"/>
      <c r="LRZ41" s="19"/>
      <c r="LSA41" s="19"/>
      <c r="LSB41" s="19"/>
      <c r="LSC41" s="19"/>
      <c r="LSD41" s="19"/>
      <c r="LSE41" s="19"/>
      <c r="LSF41" s="19"/>
      <c r="LSG41" s="19"/>
      <c r="LSH41" s="19"/>
      <c r="LSI41" s="19"/>
      <c r="LSJ41" s="19"/>
      <c r="LSK41" s="19"/>
      <c r="LSL41" s="19"/>
      <c r="LSM41" s="19"/>
      <c r="LSN41" s="19"/>
      <c r="LSO41" s="19"/>
      <c r="LSP41" s="19"/>
      <c r="LSQ41" s="19"/>
      <c r="LSR41" s="19"/>
      <c r="LSS41" s="19"/>
      <c r="LST41" s="19"/>
      <c r="LSU41" s="19"/>
      <c r="LSV41" s="19"/>
      <c r="LSW41" s="19"/>
      <c r="LSX41" s="19"/>
      <c r="LSY41" s="19"/>
      <c r="LSZ41" s="19"/>
      <c r="LTA41" s="19"/>
      <c r="LTB41" s="19"/>
      <c r="LTC41" s="19"/>
      <c r="LTD41" s="19"/>
      <c r="LTE41" s="19"/>
      <c r="LTF41" s="19"/>
      <c r="LTG41" s="19"/>
      <c r="LTH41" s="19"/>
      <c r="LTI41" s="19"/>
      <c r="LTJ41" s="19"/>
      <c r="LTK41" s="19"/>
      <c r="LTL41" s="19"/>
      <c r="LTM41" s="19"/>
      <c r="LTN41" s="19"/>
      <c r="LTO41" s="19"/>
      <c r="LTP41" s="19"/>
      <c r="LTQ41" s="19"/>
      <c r="LTR41" s="19"/>
      <c r="LTS41" s="19"/>
      <c r="LTT41" s="19"/>
      <c r="LTU41" s="19"/>
      <c r="LTV41" s="19"/>
      <c r="LTW41" s="19"/>
      <c r="LTX41" s="19"/>
      <c r="LTY41" s="19"/>
      <c r="LTZ41" s="19"/>
      <c r="LUA41" s="19"/>
      <c r="LUB41" s="19"/>
      <c r="LUC41" s="19"/>
      <c r="LUD41" s="19"/>
      <c r="LUE41" s="19"/>
      <c r="LUF41" s="19"/>
      <c r="LUG41" s="19"/>
      <c r="LUH41" s="19"/>
      <c r="LUI41" s="19"/>
      <c r="LUJ41" s="19"/>
      <c r="LUK41" s="19"/>
      <c r="LUL41" s="19"/>
      <c r="LUM41" s="19"/>
      <c r="LUN41" s="19"/>
      <c r="LUO41" s="19"/>
      <c r="LUP41" s="19"/>
      <c r="LUQ41" s="19"/>
      <c r="LUR41" s="19"/>
      <c r="LUS41" s="19"/>
      <c r="LUT41" s="19"/>
      <c r="LUU41" s="19"/>
      <c r="LUV41" s="19"/>
      <c r="LUW41" s="19"/>
      <c r="LUX41" s="19"/>
      <c r="LUY41" s="19"/>
      <c r="LUZ41" s="19"/>
      <c r="LVA41" s="19"/>
      <c r="LVB41" s="19"/>
      <c r="LVC41" s="19"/>
      <c r="LVD41" s="19"/>
      <c r="LVE41" s="19"/>
      <c r="LVF41" s="19"/>
      <c r="LVG41" s="19"/>
      <c r="LVH41" s="19"/>
      <c r="LVI41" s="19"/>
      <c r="LVJ41" s="19"/>
      <c r="LVK41" s="19"/>
      <c r="LVL41" s="19"/>
      <c r="LVM41" s="19"/>
      <c r="LVN41" s="19"/>
      <c r="LVO41" s="19"/>
      <c r="LVP41" s="19"/>
      <c r="LVQ41" s="19"/>
      <c r="LVR41" s="19"/>
      <c r="LVS41" s="19"/>
      <c r="LVT41" s="19"/>
      <c r="LVU41" s="19"/>
      <c r="LVV41" s="19"/>
      <c r="LVW41" s="19"/>
      <c r="LVX41" s="19"/>
      <c r="LVY41" s="19"/>
      <c r="LVZ41" s="19"/>
      <c r="LWA41" s="19"/>
      <c r="LWB41" s="19"/>
      <c r="LWC41" s="19"/>
      <c r="LWD41" s="19"/>
      <c r="LWE41" s="19"/>
      <c r="LWF41" s="19"/>
      <c r="LWG41" s="19"/>
      <c r="LWH41" s="19"/>
      <c r="LWI41" s="19"/>
      <c r="LWJ41" s="19"/>
      <c r="LWK41" s="19"/>
      <c r="LWL41" s="19"/>
      <c r="LWM41" s="19"/>
      <c r="LWN41" s="19"/>
      <c r="LWO41" s="19"/>
      <c r="LWP41" s="19"/>
      <c r="LWQ41" s="19"/>
      <c r="LWR41" s="19"/>
      <c r="LWS41" s="19"/>
      <c r="LWT41" s="19"/>
      <c r="LWU41" s="19"/>
      <c r="LWV41" s="19"/>
      <c r="LWW41" s="19"/>
      <c r="LWX41" s="19"/>
      <c r="LWY41" s="19"/>
      <c r="LWZ41" s="19"/>
      <c r="LXA41" s="19"/>
      <c r="LXB41" s="19"/>
      <c r="LXC41" s="19"/>
      <c r="LXD41" s="19"/>
      <c r="LXE41" s="19"/>
      <c r="LXF41" s="19"/>
      <c r="LXG41" s="19"/>
      <c r="LXH41" s="19"/>
      <c r="LXI41" s="19"/>
      <c r="LXJ41" s="19"/>
      <c r="LXK41" s="19"/>
      <c r="LXL41" s="19"/>
      <c r="LXM41" s="19"/>
      <c r="LXN41" s="19"/>
      <c r="LXO41" s="19"/>
      <c r="LXP41" s="19"/>
      <c r="LXQ41" s="19"/>
      <c r="LXR41" s="19"/>
      <c r="LXS41" s="19"/>
      <c r="LXT41" s="19"/>
      <c r="LXU41" s="19"/>
      <c r="LXV41" s="19"/>
      <c r="LXW41" s="19"/>
      <c r="LXX41" s="19"/>
      <c r="LXY41" s="19"/>
      <c r="LXZ41" s="19"/>
      <c r="LYA41" s="19"/>
      <c r="LYB41" s="19"/>
      <c r="LYC41" s="19"/>
      <c r="LYD41" s="19"/>
      <c r="LYE41" s="19"/>
      <c r="LYF41" s="19"/>
      <c r="LYG41" s="19"/>
      <c r="LYH41" s="19"/>
      <c r="LYI41" s="19"/>
      <c r="LYJ41" s="19"/>
      <c r="LYK41" s="19"/>
      <c r="LYL41" s="19"/>
      <c r="LYM41" s="19"/>
      <c r="LYN41" s="19"/>
      <c r="LYO41" s="19"/>
      <c r="LYP41" s="19"/>
      <c r="LYQ41" s="19"/>
      <c r="LYR41" s="19"/>
      <c r="LYS41" s="19"/>
      <c r="LYT41" s="19"/>
      <c r="LYU41" s="19"/>
      <c r="LYV41" s="19"/>
      <c r="LYW41" s="19"/>
      <c r="LYX41" s="19"/>
      <c r="LYY41" s="19"/>
      <c r="LYZ41" s="19"/>
      <c r="LZA41" s="19"/>
      <c r="LZB41" s="19"/>
      <c r="LZC41" s="19"/>
      <c r="LZD41" s="19"/>
      <c r="LZE41" s="19"/>
      <c r="LZF41" s="19"/>
      <c r="LZG41" s="19"/>
      <c r="LZH41" s="19"/>
      <c r="LZI41" s="19"/>
      <c r="LZJ41" s="19"/>
      <c r="LZK41" s="19"/>
      <c r="LZL41" s="19"/>
      <c r="LZM41" s="19"/>
      <c r="LZN41" s="19"/>
      <c r="LZO41" s="19"/>
      <c r="LZP41" s="19"/>
      <c r="LZQ41" s="19"/>
      <c r="LZR41" s="19"/>
      <c r="LZS41" s="19"/>
      <c r="LZT41" s="19"/>
      <c r="LZU41" s="19"/>
      <c r="LZV41" s="19"/>
      <c r="LZW41" s="19"/>
      <c r="LZX41" s="19"/>
      <c r="LZY41" s="19"/>
      <c r="LZZ41" s="19"/>
      <c r="MAA41" s="19"/>
      <c r="MAB41" s="19"/>
      <c r="MAC41" s="19"/>
      <c r="MAD41" s="19"/>
      <c r="MAE41" s="19"/>
      <c r="MAF41" s="19"/>
      <c r="MAG41" s="19"/>
      <c r="MAH41" s="19"/>
      <c r="MAI41" s="19"/>
      <c r="MAJ41" s="19"/>
      <c r="MAK41" s="19"/>
      <c r="MAL41" s="19"/>
      <c r="MAM41" s="19"/>
      <c r="MAN41" s="19"/>
      <c r="MAO41" s="19"/>
      <c r="MAP41" s="19"/>
      <c r="MAQ41" s="19"/>
      <c r="MAR41" s="19"/>
      <c r="MAS41" s="19"/>
      <c r="MAT41" s="19"/>
      <c r="MAU41" s="19"/>
      <c r="MAV41" s="19"/>
      <c r="MAW41" s="19"/>
      <c r="MAX41" s="19"/>
      <c r="MAY41" s="19"/>
      <c r="MAZ41" s="19"/>
      <c r="MBA41" s="19"/>
      <c r="MBB41" s="19"/>
      <c r="MBC41" s="19"/>
      <c r="MBD41" s="19"/>
      <c r="MBE41" s="19"/>
      <c r="MBF41" s="19"/>
      <c r="MBG41" s="19"/>
      <c r="MBH41" s="19"/>
      <c r="MBI41" s="19"/>
      <c r="MBJ41" s="19"/>
      <c r="MBK41" s="19"/>
      <c r="MBL41" s="19"/>
      <c r="MBM41" s="19"/>
      <c r="MBN41" s="19"/>
      <c r="MBO41" s="19"/>
      <c r="MBP41" s="19"/>
      <c r="MBQ41" s="19"/>
      <c r="MBR41" s="19"/>
      <c r="MBS41" s="19"/>
      <c r="MBT41" s="19"/>
      <c r="MBU41" s="19"/>
      <c r="MBV41" s="19"/>
      <c r="MBW41" s="19"/>
      <c r="MBX41" s="19"/>
      <c r="MBY41" s="19"/>
      <c r="MBZ41" s="19"/>
      <c r="MCA41" s="19"/>
      <c r="MCB41" s="19"/>
      <c r="MCC41" s="19"/>
      <c r="MCD41" s="19"/>
      <c r="MCE41" s="19"/>
      <c r="MCF41" s="19"/>
      <c r="MCG41" s="19"/>
      <c r="MCH41" s="19"/>
      <c r="MCI41" s="19"/>
      <c r="MCJ41" s="19"/>
      <c r="MCK41" s="19"/>
      <c r="MCL41" s="19"/>
      <c r="MCM41" s="19"/>
      <c r="MCN41" s="19"/>
      <c r="MCO41" s="19"/>
      <c r="MCP41" s="19"/>
      <c r="MCQ41" s="19"/>
      <c r="MCR41" s="19"/>
      <c r="MCS41" s="19"/>
      <c r="MCT41" s="19"/>
      <c r="MCU41" s="19"/>
      <c r="MCV41" s="19"/>
      <c r="MCW41" s="19"/>
      <c r="MCX41" s="19"/>
      <c r="MCY41" s="19"/>
      <c r="MCZ41" s="19"/>
      <c r="MDA41" s="19"/>
      <c r="MDB41" s="19"/>
      <c r="MDC41" s="19"/>
      <c r="MDD41" s="19"/>
      <c r="MDE41" s="19"/>
      <c r="MDF41" s="19"/>
      <c r="MDG41" s="19"/>
      <c r="MDH41" s="19"/>
      <c r="MDI41" s="19"/>
      <c r="MDJ41" s="19"/>
      <c r="MDK41" s="19"/>
      <c r="MDL41" s="19"/>
      <c r="MDM41" s="19"/>
      <c r="MDN41" s="19"/>
      <c r="MDO41" s="19"/>
      <c r="MDP41" s="19"/>
      <c r="MDQ41" s="19"/>
      <c r="MDR41" s="19"/>
      <c r="MDS41" s="19"/>
      <c r="MDT41" s="19"/>
      <c r="MDU41" s="19"/>
      <c r="MDV41" s="19"/>
      <c r="MDW41" s="19"/>
      <c r="MDX41" s="19"/>
      <c r="MDY41" s="19"/>
      <c r="MDZ41" s="19"/>
      <c r="MEA41" s="19"/>
      <c r="MEB41" s="19"/>
      <c r="MEC41" s="19"/>
      <c r="MED41" s="19"/>
      <c r="MEE41" s="19"/>
      <c r="MEF41" s="19"/>
      <c r="MEG41" s="19"/>
      <c r="MEH41" s="19"/>
      <c r="MEI41" s="19"/>
      <c r="MEJ41" s="19"/>
      <c r="MEK41" s="19"/>
      <c r="MEL41" s="19"/>
      <c r="MEM41" s="19"/>
      <c r="MEN41" s="19"/>
      <c r="MEO41" s="19"/>
      <c r="MEP41" s="19"/>
      <c r="MEQ41" s="19"/>
      <c r="MER41" s="19"/>
      <c r="MES41" s="19"/>
      <c r="MET41" s="19"/>
      <c r="MEU41" s="19"/>
      <c r="MEV41" s="19"/>
      <c r="MEW41" s="19"/>
      <c r="MEX41" s="19"/>
      <c r="MEY41" s="19"/>
      <c r="MEZ41" s="19"/>
      <c r="MFA41" s="19"/>
      <c r="MFB41" s="19"/>
      <c r="MFC41" s="19"/>
      <c r="MFD41" s="19"/>
      <c r="MFE41" s="19"/>
      <c r="MFF41" s="19"/>
      <c r="MFG41" s="19"/>
      <c r="MFH41" s="19"/>
      <c r="MFI41" s="19"/>
      <c r="MFJ41" s="19"/>
      <c r="MFK41" s="19"/>
      <c r="MFL41" s="19"/>
      <c r="MFM41" s="19"/>
      <c r="MFN41" s="19"/>
      <c r="MFO41" s="19"/>
      <c r="MFP41" s="19"/>
      <c r="MFQ41" s="19"/>
      <c r="MFR41" s="19"/>
      <c r="MFS41" s="19"/>
      <c r="MFT41" s="19"/>
      <c r="MFU41" s="19"/>
      <c r="MFV41" s="19"/>
      <c r="MFW41" s="19"/>
      <c r="MFX41" s="19"/>
      <c r="MFY41" s="19"/>
      <c r="MFZ41" s="19"/>
      <c r="MGA41" s="19"/>
      <c r="MGB41" s="19"/>
      <c r="MGC41" s="19"/>
      <c r="MGD41" s="19"/>
      <c r="MGE41" s="19"/>
      <c r="MGF41" s="19"/>
      <c r="MGG41" s="19"/>
      <c r="MGH41" s="19"/>
      <c r="MGI41" s="19"/>
      <c r="MGJ41" s="19"/>
      <c r="MGK41" s="19"/>
      <c r="MGL41" s="19"/>
      <c r="MGM41" s="19"/>
      <c r="MGN41" s="19"/>
      <c r="MGO41" s="19"/>
      <c r="MGP41" s="19"/>
      <c r="MGQ41" s="19"/>
      <c r="MGR41" s="19"/>
      <c r="MGS41" s="19"/>
      <c r="MGT41" s="19"/>
      <c r="MGU41" s="19"/>
      <c r="MGV41" s="19"/>
      <c r="MGW41" s="19"/>
      <c r="MGX41" s="19"/>
      <c r="MGY41" s="19"/>
      <c r="MGZ41" s="19"/>
      <c r="MHA41" s="19"/>
      <c r="MHB41" s="19"/>
      <c r="MHC41" s="19"/>
      <c r="MHD41" s="19"/>
      <c r="MHE41" s="19"/>
      <c r="MHF41" s="19"/>
      <c r="MHG41" s="19"/>
      <c r="MHH41" s="19"/>
      <c r="MHI41" s="19"/>
      <c r="MHJ41" s="19"/>
      <c r="MHK41" s="19"/>
      <c r="MHL41" s="19"/>
      <c r="MHM41" s="19"/>
      <c r="MHN41" s="19"/>
      <c r="MHO41" s="19"/>
      <c r="MHP41" s="19"/>
      <c r="MHQ41" s="19"/>
      <c r="MHR41" s="19"/>
      <c r="MHS41" s="19"/>
      <c r="MHT41" s="19"/>
      <c r="MHU41" s="19"/>
      <c r="MHV41" s="19"/>
      <c r="MHW41" s="19"/>
      <c r="MHX41" s="19"/>
      <c r="MHY41" s="19"/>
      <c r="MHZ41" s="19"/>
      <c r="MIA41" s="19"/>
      <c r="MIB41" s="19"/>
      <c r="MIC41" s="19"/>
      <c r="MID41" s="19"/>
      <c r="MIE41" s="19"/>
      <c r="MIF41" s="19"/>
      <c r="MIG41" s="19"/>
      <c r="MIH41" s="19"/>
      <c r="MII41" s="19"/>
      <c r="MIJ41" s="19"/>
      <c r="MIK41" s="19"/>
      <c r="MIL41" s="19"/>
      <c r="MIM41" s="19"/>
      <c r="MIN41" s="19"/>
      <c r="MIO41" s="19"/>
      <c r="MIP41" s="19"/>
      <c r="MIQ41" s="19"/>
      <c r="MIR41" s="19"/>
      <c r="MIS41" s="19"/>
      <c r="MIT41" s="19"/>
      <c r="MIU41" s="19"/>
      <c r="MIV41" s="19"/>
      <c r="MIW41" s="19"/>
      <c r="MIX41" s="19"/>
      <c r="MIY41" s="19"/>
      <c r="MIZ41" s="19"/>
      <c r="MJA41" s="19"/>
      <c r="MJB41" s="19"/>
      <c r="MJC41" s="19"/>
      <c r="MJD41" s="19"/>
      <c r="MJE41" s="19"/>
      <c r="MJF41" s="19"/>
      <c r="MJG41" s="19"/>
      <c r="MJH41" s="19"/>
      <c r="MJI41" s="19"/>
      <c r="MJJ41" s="19"/>
      <c r="MJK41" s="19"/>
      <c r="MJL41" s="19"/>
      <c r="MJM41" s="19"/>
      <c r="MJN41" s="19"/>
      <c r="MJO41" s="19"/>
      <c r="MJP41" s="19"/>
      <c r="MJQ41" s="19"/>
      <c r="MJR41" s="19"/>
      <c r="MJS41" s="19"/>
      <c r="MJT41" s="19"/>
      <c r="MJU41" s="19"/>
      <c r="MJV41" s="19"/>
      <c r="MJW41" s="19"/>
      <c r="MJX41" s="19"/>
      <c r="MJY41" s="19"/>
      <c r="MJZ41" s="19"/>
      <c r="MKA41" s="19"/>
      <c r="MKB41" s="19"/>
      <c r="MKC41" s="19"/>
      <c r="MKD41" s="19"/>
      <c r="MKE41" s="19"/>
      <c r="MKF41" s="19"/>
      <c r="MKG41" s="19"/>
      <c r="MKH41" s="19"/>
      <c r="MKI41" s="19"/>
      <c r="MKJ41" s="19"/>
      <c r="MKK41" s="19"/>
      <c r="MKL41" s="19"/>
      <c r="MKM41" s="19"/>
      <c r="MKN41" s="19"/>
      <c r="MKO41" s="19"/>
      <c r="MKP41" s="19"/>
      <c r="MKQ41" s="19"/>
      <c r="MKR41" s="19"/>
      <c r="MKS41" s="19"/>
      <c r="MKT41" s="19"/>
      <c r="MKU41" s="19"/>
      <c r="MKV41" s="19"/>
      <c r="MKW41" s="19"/>
      <c r="MKX41" s="19"/>
      <c r="MKY41" s="19"/>
      <c r="MKZ41" s="19"/>
      <c r="MLA41" s="19"/>
      <c r="MLB41" s="19"/>
      <c r="MLC41" s="19"/>
      <c r="MLD41" s="19"/>
      <c r="MLE41" s="19"/>
      <c r="MLF41" s="19"/>
      <c r="MLG41" s="19"/>
      <c r="MLH41" s="19"/>
      <c r="MLI41" s="19"/>
      <c r="MLJ41" s="19"/>
      <c r="MLK41" s="19"/>
      <c r="MLL41" s="19"/>
      <c r="MLM41" s="19"/>
      <c r="MLN41" s="19"/>
      <c r="MLO41" s="19"/>
      <c r="MLP41" s="19"/>
      <c r="MLQ41" s="19"/>
      <c r="MLR41" s="19"/>
      <c r="MLS41" s="19"/>
      <c r="MLT41" s="19"/>
      <c r="MLU41" s="19"/>
      <c r="MLV41" s="19"/>
      <c r="MLW41" s="19"/>
      <c r="MLX41" s="19"/>
      <c r="MLY41" s="19"/>
      <c r="MLZ41" s="19"/>
      <c r="MMA41" s="19"/>
      <c r="MMB41" s="19"/>
      <c r="MMC41" s="19"/>
      <c r="MMD41" s="19"/>
      <c r="MME41" s="19"/>
      <c r="MMF41" s="19"/>
      <c r="MMG41" s="19"/>
      <c r="MMH41" s="19"/>
      <c r="MMI41" s="19"/>
      <c r="MMJ41" s="19"/>
      <c r="MMK41" s="19"/>
      <c r="MML41" s="19"/>
      <c r="MMM41" s="19"/>
      <c r="MMN41" s="19"/>
      <c r="MMO41" s="19"/>
      <c r="MMP41" s="19"/>
      <c r="MMQ41" s="19"/>
      <c r="MMR41" s="19"/>
      <c r="MMS41" s="19"/>
      <c r="MMT41" s="19"/>
      <c r="MMU41" s="19"/>
      <c r="MMV41" s="19"/>
      <c r="MMW41" s="19"/>
      <c r="MMX41" s="19"/>
      <c r="MMY41" s="19"/>
      <c r="MMZ41" s="19"/>
      <c r="MNA41" s="19"/>
      <c r="MNB41" s="19"/>
      <c r="MNC41" s="19"/>
      <c r="MND41" s="19"/>
      <c r="MNE41" s="19"/>
      <c r="MNF41" s="19"/>
      <c r="MNG41" s="19"/>
      <c r="MNH41" s="19"/>
      <c r="MNI41" s="19"/>
      <c r="MNJ41" s="19"/>
      <c r="MNK41" s="19"/>
      <c r="MNL41" s="19"/>
      <c r="MNM41" s="19"/>
      <c r="MNN41" s="19"/>
      <c r="MNO41" s="19"/>
      <c r="MNP41" s="19"/>
      <c r="MNQ41" s="19"/>
      <c r="MNR41" s="19"/>
      <c r="MNS41" s="19"/>
      <c r="MNT41" s="19"/>
      <c r="MNU41" s="19"/>
      <c r="MNV41" s="19"/>
      <c r="MNW41" s="19"/>
      <c r="MNX41" s="19"/>
      <c r="MNY41" s="19"/>
      <c r="MNZ41" s="19"/>
      <c r="MOA41" s="19"/>
      <c r="MOB41" s="19"/>
      <c r="MOC41" s="19"/>
      <c r="MOD41" s="19"/>
      <c r="MOE41" s="19"/>
      <c r="MOF41" s="19"/>
      <c r="MOG41" s="19"/>
      <c r="MOH41" s="19"/>
      <c r="MOI41" s="19"/>
      <c r="MOJ41" s="19"/>
      <c r="MOK41" s="19"/>
      <c r="MOL41" s="19"/>
      <c r="MOM41" s="19"/>
      <c r="MON41" s="19"/>
      <c r="MOO41" s="19"/>
      <c r="MOP41" s="19"/>
      <c r="MOQ41" s="19"/>
      <c r="MOR41" s="19"/>
      <c r="MOS41" s="19"/>
      <c r="MOT41" s="19"/>
      <c r="MOU41" s="19"/>
      <c r="MOV41" s="19"/>
      <c r="MOW41" s="19"/>
      <c r="MOX41" s="19"/>
      <c r="MOY41" s="19"/>
      <c r="MOZ41" s="19"/>
      <c r="MPA41" s="19"/>
      <c r="MPB41" s="19"/>
      <c r="MPC41" s="19"/>
      <c r="MPD41" s="19"/>
      <c r="MPE41" s="19"/>
      <c r="MPF41" s="19"/>
      <c r="MPG41" s="19"/>
      <c r="MPH41" s="19"/>
      <c r="MPI41" s="19"/>
      <c r="MPJ41" s="19"/>
      <c r="MPK41" s="19"/>
      <c r="MPL41" s="19"/>
      <c r="MPM41" s="19"/>
      <c r="MPN41" s="19"/>
      <c r="MPO41" s="19"/>
      <c r="MPP41" s="19"/>
      <c r="MPQ41" s="19"/>
      <c r="MPR41" s="19"/>
      <c r="MPS41" s="19"/>
      <c r="MPT41" s="19"/>
      <c r="MPU41" s="19"/>
      <c r="MPV41" s="19"/>
      <c r="MPW41" s="19"/>
      <c r="MPX41" s="19"/>
      <c r="MPY41" s="19"/>
      <c r="MPZ41" s="19"/>
      <c r="MQA41" s="19"/>
      <c r="MQB41" s="19"/>
      <c r="MQC41" s="19"/>
      <c r="MQD41" s="19"/>
      <c r="MQE41" s="19"/>
      <c r="MQF41" s="19"/>
      <c r="MQG41" s="19"/>
      <c r="MQH41" s="19"/>
      <c r="MQI41" s="19"/>
      <c r="MQJ41" s="19"/>
      <c r="MQK41" s="19"/>
      <c r="MQL41" s="19"/>
      <c r="MQM41" s="19"/>
      <c r="MQN41" s="19"/>
      <c r="MQO41" s="19"/>
      <c r="MQP41" s="19"/>
      <c r="MQQ41" s="19"/>
      <c r="MQR41" s="19"/>
      <c r="MQS41" s="19"/>
      <c r="MQT41" s="19"/>
      <c r="MQU41" s="19"/>
      <c r="MQV41" s="19"/>
      <c r="MQW41" s="19"/>
      <c r="MQX41" s="19"/>
      <c r="MQY41" s="19"/>
      <c r="MQZ41" s="19"/>
      <c r="MRA41" s="19"/>
      <c r="MRB41" s="19"/>
      <c r="MRC41" s="19"/>
      <c r="MRD41" s="19"/>
      <c r="MRE41" s="19"/>
      <c r="MRF41" s="19"/>
      <c r="MRG41" s="19"/>
      <c r="MRH41" s="19"/>
      <c r="MRI41" s="19"/>
      <c r="MRJ41" s="19"/>
      <c r="MRK41" s="19"/>
      <c r="MRL41" s="19"/>
      <c r="MRM41" s="19"/>
      <c r="MRN41" s="19"/>
      <c r="MRO41" s="19"/>
      <c r="MRP41" s="19"/>
      <c r="MRQ41" s="19"/>
      <c r="MRR41" s="19"/>
      <c r="MRS41" s="19"/>
      <c r="MRT41" s="19"/>
      <c r="MRU41" s="19"/>
      <c r="MRV41" s="19"/>
      <c r="MRW41" s="19"/>
      <c r="MRX41" s="19"/>
      <c r="MRY41" s="19"/>
      <c r="MRZ41" s="19"/>
      <c r="MSA41" s="19"/>
      <c r="MSB41" s="19"/>
      <c r="MSC41" s="19"/>
      <c r="MSD41" s="19"/>
      <c r="MSE41" s="19"/>
      <c r="MSF41" s="19"/>
      <c r="MSG41" s="19"/>
      <c r="MSH41" s="19"/>
      <c r="MSI41" s="19"/>
      <c r="MSJ41" s="19"/>
      <c r="MSK41" s="19"/>
      <c r="MSL41" s="19"/>
      <c r="MSM41" s="19"/>
      <c r="MSN41" s="19"/>
      <c r="MSO41" s="19"/>
      <c r="MSP41" s="19"/>
      <c r="MSQ41" s="19"/>
      <c r="MSR41" s="19"/>
      <c r="MSS41" s="19"/>
      <c r="MST41" s="19"/>
      <c r="MSU41" s="19"/>
      <c r="MSV41" s="19"/>
      <c r="MSW41" s="19"/>
      <c r="MSX41" s="19"/>
      <c r="MSY41" s="19"/>
      <c r="MSZ41" s="19"/>
      <c r="MTA41" s="19"/>
      <c r="MTB41" s="19"/>
      <c r="MTC41" s="19"/>
      <c r="MTD41" s="19"/>
      <c r="MTE41" s="19"/>
      <c r="MTF41" s="19"/>
      <c r="MTG41" s="19"/>
      <c r="MTH41" s="19"/>
      <c r="MTI41" s="19"/>
      <c r="MTJ41" s="19"/>
      <c r="MTK41" s="19"/>
      <c r="MTL41" s="19"/>
      <c r="MTM41" s="19"/>
      <c r="MTN41" s="19"/>
      <c r="MTO41" s="19"/>
      <c r="MTP41" s="19"/>
      <c r="MTQ41" s="19"/>
      <c r="MTR41" s="19"/>
      <c r="MTS41" s="19"/>
      <c r="MTT41" s="19"/>
      <c r="MTU41" s="19"/>
      <c r="MTV41" s="19"/>
      <c r="MTW41" s="19"/>
      <c r="MTX41" s="19"/>
      <c r="MTY41" s="19"/>
      <c r="MTZ41" s="19"/>
      <c r="MUA41" s="19"/>
      <c r="MUB41" s="19"/>
      <c r="MUC41" s="19"/>
      <c r="MUD41" s="19"/>
      <c r="MUE41" s="19"/>
      <c r="MUF41" s="19"/>
      <c r="MUG41" s="19"/>
      <c r="MUH41" s="19"/>
      <c r="MUI41" s="19"/>
      <c r="MUJ41" s="19"/>
      <c r="MUK41" s="19"/>
      <c r="MUL41" s="19"/>
      <c r="MUM41" s="19"/>
      <c r="MUN41" s="19"/>
      <c r="MUO41" s="19"/>
      <c r="MUP41" s="19"/>
      <c r="MUQ41" s="19"/>
      <c r="MUR41" s="19"/>
      <c r="MUS41" s="19"/>
      <c r="MUT41" s="19"/>
      <c r="MUU41" s="19"/>
      <c r="MUV41" s="19"/>
      <c r="MUW41" s="19"/>
      <c r="MUX41" s="19"/>
      <c r="MUY41" s="19"/>
      <c r="MUZ41" s="19"/>
      <c r="MVA41" s="19"/>
      <c r="MVB41" s="19"/>
      <c r="MVC41" s="19"/>
      <c r="MVD41" s="19"/>
      <c r="MVE41" s="19"/>
      <c r="MVF41" s="19"/>
      <c r="MVG41" s="19"/>
      <c r="MVH41" s="19"/>
      <c r="MVI41" s="19"/>
      <c r="MVJ41" s="19"/>
      <c r="MVK41" s="19"/>
      <c r="MVL41" s="19"/>
      <c r="MVM41" s="19"/>
      <c r="MVN41" s="19"/>
      <c r="MVO41" s="19"/>
      <c r="MVP41" s="19"/>
      <c r="MVQ41" s="19"/>
      <c r="MVR41" s="19"/>
      <c r="MVS41" s="19"/>
      <c r="MVT41" s="19"/>
      <c r="MVU41" s="19"/>
      <c r="MVV41" s="19"/>
      <c r="MVW41" s="19"/>
      <c r="MVX41" s="19"/>
      <c r="MVY41" s="19"/>
      <c r="MVZ41" s="19"/>
      <c r="MWA41" s="19"/>
      <c r="MWB41" s="19"/>
      <c r="MWC41" s="19"/>
      <c r="MWD41" s="19"/>
      <c r="MWE41" s="19"/>
      <c r="MWF41" s="19"/>
      <c r="MWG41" s="19"/>
      <c r="MWH41" s="19"/>
      <c r="MWI41" s="19"/>
      <c r="MWJ41" s="19"/>
      <c r="MWK41" s="19"/>
      <c r="MWL41" s="19"/>
      <c r="MWM41" s="19"/>
      <c r="MWN41" s="19"/>
      <c r="MWO41" s="19"/>
      <c r="MWP41" s="19"/>
      <c r="MWQ41" s="19"/>
      <c r="MWR41" s="19"/>
      <c r="MWS41" s="19"/>
      <c r="MWT41" s="19"/>
      <c r="MWU41" s="19"/>
      <c r="MWV41" s="19"/>
      <c r="MWW41" s="19"/>
      <c r="MWX41" s="19"/>
      <c r="MWY41" s="19"/>
      <c r="MWZ41" s="19"/>
      <c r="MXA41" s="19"/>
      <c r="MXB41" s="19"/>
      <c r="MXC41" s="19"/>
      <c r="MXD41" s="19"/>
      <c r="MXE41" s="19"/>
      <c r="MXF41" s="19"/>
      <c r="MXG41" s="19"/>
      <c r="MXH41" s="19"/>
      <c r="MXI41" s="19"/>
      <c r="MXJ41" s="19"/>
      <c r="MXK41" s="19"/>
      <c r="MXL41" s="19"/>
      <c r="MXM41" s="19"/>
      <c r="MXN41" s="19"/>
      <c r="MXO41" s="19"/>
      <c r="MXP41" s="19"/>
      <c r="MXQ41" s="19"/>
      <c r="MXR41" s="19"/>
      <c r="MXS41" s="19"/>
      <c r="MXT41" s="19"/>
      <c r="MXU41" s="19"/>
      <c r="MXV41" s="19"/>
      <c r="MXW41" s="19"/>
      <c r="MXX41" s="19"/>
      <c r="MXY41" s="19"/>
      <c r="MXZ41" s="19"/>
      <c r="MYA41" s="19"/>
      <c r="MYB41" s="19"/>
      <c r="MYC41" s="19"/>
      <c r="MYD41" s="19"/>
      <c r="MYE41" s="19"/>
      <c r="MYF41" s="19"/>
      <c r="MYG41" s="19"/>
      <c r="MYH41" s="19"/>
      <c r="MYI41" s="19"/>
      <c r="MYJ41" s="19"/>
      <c r="MYK41" s="19"/>
      <c r="MYL41" s="19"/>
      <c r="MYM41" s="19"/>
      <c r="MYN41" s="19"/>
      <c r="MYO41" s="19"/>
      <c r="MYP41" s="19"/>
      <c r="MYQ41" s="19"/>
      <c r="MYR41" s="19"/>
      <c r="MYS41" s="19"/>
      <c r="MYT41" s="19"/>
      <c r="MYU41" s="19"/>
      <c r="MYV41" s="19"/>
      <c r="MYW41" s="19"/>
      <c r="MYX41" s="19"/>
      <c r="MYY41" s="19"/>
      <c r="MYZ41" s="19"/>
      <c r="MZA41" s="19"/>
      <c r="MZB41" s="19"/>
      <c r="MZC41" s="19"/>
      <c r="MZD41" s="19"/>
      <c r="MZE41" s="19"/>
      <c r="MZF41" s="19"/>
      <c r="MZG41" s="19"/>
      <c r="MZH41" s="19"/>
      <c r="MZI41" s="19"/>
      <c r="MZJ41" s="19"/>
      <c r="MZK41" s="19"/>
      <c r="MZL41" s="19"/>
      <c r="MZM41" s="19"/>
      <c r="MZN41" s="19"/>
      <c r="MZO41" s="19"/>
      <c r="MZP41" s="19"/>
      <c r="MZQ41" s="19"/>
      <c r="MZR41" s="19"/>
      <c r="MZS41" s="19"/>
      <c r="MZT41" s="19"/>
      <c r="MZU41" s="19"/>
      <c r="MZV41" s="19"/>
      <c r="MZW41" s="19"/>
      <c r="MZX41" s="19"/>
      <c r="MZY41" s="19"/>
      <c r="MZZ41" s="19"/>
      <c r="NAA41" s="19"/>
      <c r="NAB41" s="19"/>
      <c r="NAC41" s="19"/>
      <c r="NAD41" s="19"/>
      <c r="NAE41" s="19"/>
      <c r="NAF41" s="19"/>
      <c r="NAG41" s="19"/>
      <c r="NAH41" s="19"/>
      <c r="NAI41" s="19"/>
      <c r="NAJ41" s="19"/>
      <c r="NAK41" s="19"/>
      <c r="NAL41" s="19"/>
      <c r="NAM41" s="19"/>
      <c r="NAN41" s="19"/>
      <c r="NAO41" s="19"/>
      <c r="NAP41" s="19"/>
      <c r="NAQ41" s="19"/>
      <c r="NAR41" s="19"/>
      <c r="NAS41" s="19"/>
      <c r="NAT41" s="19"/>
      <c r="NAU41" s="19"/>
      <c r="NAV41" s="19"/>
      <c r="NAW41" s="19"/>
      <c r="NAX41" s="19"/>
      <c r="NAY41" s="19"/>
      <c r="NAZ41" s="19"/>
      <c r="NBA41" s="19"/>
      <c r="NBB41" s="19"/>
      <c r="NBC41" s="19"/>
      <c r="NBD41" s="19"/>
      <c r="NBE41" s="19"/>
      <c r="NBF41" s="19"/>
      <c r="NBG41" s="19"/>
      <c r="NBH41" s="19"/>
      <c r="NBI41" s="19"/>
      <c r="NBJ41" s="19"/>
      <c r="NBK41" s="19"/>
      <c r="NBL41" s="19"/>
      <c r="NBM41" s="19"/>
      <c r="NBN41" s="19"/>
      <c r="NBO41" s="19"/>
      <c r="NBP41" s="19"/>
      <c r="NBQ41" s="19"/>
      <c r="NBR41" s="19"/>
      <c r="NBS41" s="19"/>
      <c r="NBT41" s="19"/>
      <c r="NBU41" s="19"/>
      <c r="NBV41" s="19"/>
      <c r="NBW41" s="19"/>
      <c r="NBX41" s="19"/>
      <c r="NBY41" s="19"/>
      <c r="NBZ41" s="19"/>
      <c r="NCA41" s="19"/>
      <c r="NCB41" s="19"/>
      <c r="NCC41" s="19"/>
      <c r="NCD41" s="19"/>
      <c r="NCE41" s="19"/>
      <c r="NCF41" s="19"/>
      <c r="NCG41" s="19"/>
      <c r="NCH41" s="19"/>
      <c r="NCI41" s="19"/>
      <c r="NCJ41" s="19"/>
      <c r="NCK41" s="19"/>
      <c r="NCL41" s="19"/>
      <c r="NCM41" s="19"/>
      <c r="NCN41" s="19"/>
      <c r="NCO41" s="19"/>
      <c r="NCP41" s="19"/>
      <c r="NCQ41" s="19"/>
      <c r="NCR41" s="19"/>
      <c r="NCS41" s="19"/>
      <c r="NCT41" s="19"/>
      <c r="NCU41" s="19"/>
      <c r="NCV41" s="19"/>
      <c r="NCW41" s="19"/>
      <c r="NCX41" s="19"/>
      <c r="NCY41" s="19"/>
      <c r="NCZ41" s="19"/>
      <c r="NDA41" s="19"/>
      <c r="NDB41" s="19"/>
      <c r="NDC41" s="19"/>
      <c r="NDD41" s="19"/>
      <c r="NDE41" s="19"/>
      <c r="NDF41" s="19"/>
      <c r="NDG41" s="19"/>
      <c r="NDH41" s="19"/>
      <c r="NDI41" s="19"/>
      <c r="NDJ41" s="19"/>
      <c r="NDK41" s="19"/>
      <c r="NDL41" s="19"/>
      <c r="NDM41" s="19"/>
      <c r="NDN41" s="19"/>
      <c r="NDO41" s="19"/>
      <c r="NDP41" s="19"/>
      <c r="NDQ41" s="19"/>
      <c r="NDR41" s="19"/>
      <c r="NDS41" s="19"/>
      <c r="NDT41" s="19"/>
      <c r="NDU41" s="19"/>
      <c r="NDV41" s="19"/>
      <c r="NDW41" s="19"/>
      <c r="NDX41" s="19"/>
      <c r="NDY41" s="19"/>
      <c r="NDZ41" s="19"/>
      <c r="NEA41" s="19"/>
      <c r="NEB41" s="19"/>
      <c r="NEC41" s="19"/>
      <c r="NED41" s="19"/>
      <c r="NEE41" s="19"/>
      <c r="NEF41" s="19"/>
      <c r="NEG41" s="19"/>
      <c r="NEH41" s="19"/>
      <c r="NEI41" s="19"/>
      <c r="NEJ41" s="19"/>
      <c r="NEK41" s="19"/>
      <c r="NEL41" s="19"/>
      <c r="NEM41" s="19"/>
      <c r="NEN41" s="19"/>
      <c r="NEO41" s="19"/>
      <c r="NEP41" s="19"/>
      <c r="NEQ41" s="19"/>
      <c r="NER41" s="19"/>
      <c r="NES41" s="19"/>
      <c r="NET41" s="19"/>
      <c r="NEU41" s="19"/>
      <c r="NEV41" s="19"/>
      <c r="NEW41" s="19"/>
      <c r="NEX41" s="19"/>
      <c r="NEY41" s="19"/>
      <c r="NEZ41" s="19"/>
      <c r="NFA41" s="19"/>
      <c r="NFB41" s="19"/>
      <c r="NFC41" s="19"/>
      <c r="NFD41" s="19"/>
      <c r="NFE41" s="19"/>
      <c r="NFF41" s="19"/>
      <c r="NFG41" s="19"/>
      <c r="NFH41" s="19"/>
      <c r="NFI41" s="19"/>
      <c r="NFJ41" s="19"/>
      <c r="NFK41" s="19"/>
      <c r="NFL41" s="19"/>
      <c r="NFM41" s="19"/>
      <c r="NFN41" s="19"/>
      <c r="NFO41" s="19"/>
      <c r="NFP41" s="19"/>
      <c r="NFQ41" s="19"/>
      <c r="NFR41" s="19"/>
      <c r="NFS41" s="19"/>
      <c r="NFT41" s="19"/>
      <c r="NFU41" s="19"/>
      <c r="NFV41" s="19"/>
      <c r="NFW41" s="19"/>
      <c r="NFX41" s="19"/>
      <c r="NFY41" s="19"/>
      <c r="NFZ41" s="19"/>
      <c r="NGA41" s="19"/>
      <c r="NGB41" s="19"/>
      <c r="NGC41" s="19"/>
      <c r="NGD41" s="19"/>
      <c r="NGE41" s="19"/>
      <c r="NGF41" s="19"/>
      <c r="NGG41" s="19"/>
      <c r="NGH41" s="19"/>
      <c r="NGI41" s="19"/>
      <c r="NGJ41" s="19"/>
      <c r="NGK41" s="19"/>
      <c r="NGL41" s="19"/>
      <c r="NGM41" s="19"/>
      <c r="NGN41" s="19"/>
      <c r="NGO41" s="19"/>
      <c r="NGP41" s="19"/>
      <c r="NGQ41" s="19"/>
      <c r="NGR41" s="19"/>
      <c r="NGS41" s="19"/>
      <c r="NGT41" s="19"/>
      <c r="NGU41" s="19"/>
      <c r="NGV41" s="19"/>
      <c r="NGW41" s="19"/>
      <c r="NGX41" s="19"/>
      <c r="NGY41" s="19"/>
      <c r="NGZ41" s="19"/>
      <c r="NHA41" s="19"/>
      <c r="NHB41" s="19"/>
      <c r="NHC41" s="19"/>
      <c r="NHD41" s="19"/>
      <c r="NHE41" s="19"/>
      <c r="NHF41" s="19"/>
      <c r="NHG41" s="19"/>
      <c r="NHH41" s="19"/>
      <c r="NHI41" s="19"/>
      <c r="NHJ41" s="19"/>
      <c r="NHK41" s="19"/>
      <c r="NHL41" s="19"/>
      <c r="NHM41" s="19"/>
      <c r="NHN41" s="19"/>
      <c r="NHO41" s="19"/>
      <c r="NHP41" s="19"/>
      <c r="NHQ41" s="19"/>
      <c r="NHR41" s="19"/>
      <c r="NHS41" s="19"/>
      <c r="NHT41" s="19"/>
      <c r="NHU41" s="19"/>
      <c r="NHV41" s="19"/>
      <c r="NHW41" s="19"/>
      <c r="NHX41" s="19"/>
      <c r="NHY41" s="19"/>
      <c r="NHZ41" s="19"/>
      <c r="NIA41" s="19"/>
      <c r="NIB41" s="19"/>
      <c r="NIC41" s="19"/>
      <c r="NID41" s="19"/>
      <c r="NIE41" s="19"/>
      <c r="NIF41" s="19"/>
      <c r="NIG41" s="19"/>
      <c r="NIH41" s="19"/>
      <c r="NII41" s="19"/>
      <c r="NIJ41" s="19"/>
      <c r="NIK41" s="19"/>
      <c r="NIL41" s="19"/>
      <c r="NIM41" s="19"/>
      <c r="NIN41" s="19"/>
      <c r="NIO41" s="19"/>
      <c r="NIP41" s="19"/>
      <c r="NIQ41" s="19"/>
      <c r="NIR41" s="19"/>
      <c r="NIS41" s="19"/>
      <c r="NIT41" s="19"/>
      <c r="NIU41" s="19"/>
      <c r="NIV41" s="19"/>
      <c r="NIW41" s="19"/>
      <c r="NIX41" s="19"/>
      <c r="NIY41" s="19"/>
      <c r="NIZ41" s="19"/>
      <c r="NJA41" s="19"/>
      <c r="NJB41" s="19"/>
      <c r="NJC41" s="19"/>
      <c r="NJD41" s="19"/>
      <c r="NJE41" s="19"/>
      <c r="NJF41" s="19"/>
      <c r="NJG41" s="19"/>
      <c r="NJH41" s="19"/>
      <c r="NJI41" s="19"/>
      <c r="NJJ41" s="19"/>
      <c r="NJK41" s="19"/>
      <c r="NJL41" s="19"/>
      <c r="NJM41" s="19"/>
      <c r="NJN41" s="19"/>
      <c r="NJO41" s="19"/>
      <c r="NJP41" s="19"/>
      <c r="NJQ41" s="19"/>
      <c r="NJR41" s="19"/>
      <c r="NJS41" s="19"/>
      <c r="NJT41" s="19"/>
      <c r="NJU41" s="19"/>
      <c r="NJV41" s="19"/>
      <c r="NJW41" s="19"/>
      <c r="NJX41" s="19"/>
      <c r="NJY41" s="19"/>
      <c r="NJZ41" s="19"/>
      <c r="NKA41" s="19"/>
      <c r="NKB41" s="19"/>
      <c r="NKC41" s="19"/>
      <c r="NKD41" s="19"/>
      <c r="NKE41" s="19"/>
      <c r="NKF41" s="19"/>
      <c r="NKG41" s="19"/>
      <c r="NKH41" s="19"/>
      <c r="NKI41" s="19"/>
      <c r="NKJ41" s="19"/>
      <c r="NKK41" s="19"/>
      <c r="NKL41" s="19"/>
      <c r="NKM41" s="19"/>
      <c r="NKN41" s="19"/>
      <c r="NKO41" s="19"/>
      <c r="NKP41" s="19"/>
      <c r="NKQ41" s="19"/>
      <c r="NKR41" s="19"/>
      <c r="NKS41" s="19"/>
      <c r="NKT41" s="19"/>
      <c r="NKU41" s="19"/>
      <c r="NKV41" s="19"/>
      <c r="NKW41" s="19"/>
      <c r="NKX41" s="19"/>
      <c r="NKY41" s="19"/>
      <c r="NKZ41" s="19"/>
      <c r="NLA41" s="19"/>
      <c r="NLB41" s="19"/>
      <c r="NLC41" s="19"/>
      <c r="NLD41" s="19"/>
      <c r="NLE41" s="19"/>
      <c r="NLF41" s="19"/>
      <c r="NLG41" s="19"/>
      <c r="NLH41" s="19"/>
      <c r="NLI41" s="19"/>
      <c r="NLJ41" s="19"/>
      <c r="NLK41" s="19"/>
      <c r="NLL41" s="19"/>
      <c r="NLM41" s="19"/>
      <c r="NLN41" s="19"/>
      <c r="NLO41" s="19"/>
      <c r="NLP41" s="19"/>
      <c r="NLQ41" s="19"/>
      <c r="NLR41" s="19"/>
      <c r="NLS41" s="19"/>
      <c r="NLT41" s="19"/>
      <c r="NLU41" s="19"/>
      <c r="NLV41" s="19"/>
      <c r="NLW41" s="19"/>
      <c r="NLX41" s="19"/>
      <c r="NLY41" s="19"/>
      <c r="NLZ41" s="19"/>
      <c r="NMA41" s="19"/>
      <c r="NMB41" s="19"/>
      <c r="NMC41" s="19"/>
      <c r="NMD41" s="19"/>
      <c r="NME41" s="19"/>
      <c r="NMF41" s="19"/>
      <c r="NMG41" s="19"/>
      <c r="NMH41" s="19"/>
      <c r="NMI41" s="19"/>
      <c r="NMJ41" s="19"/>
      <c r="NMK41" s="19"/>
      <c r="NML41" s="19"/>
      <c r="NMM41" s="19"/>
      <c r="NMN41" s="19"/>
      <c r="NMO41" s="19"/>
      <c r="NMP41" s="19"/>
      <c r="NMQ41" s="19"/>
      <c r="NMR41" s="19"/>
      <c r="NMS41" s="19"/>
      <c r="NMT41" s="19"/>
      <c r="NMU41" s="19"/>
      <c r="NMV41" s="19"/>
      <c r="NMW41" s="19"/>
      <c r="NMX41" s="19"/>
      <c r="NMY41" s="19"/>
      <c r="NMZ41" s="19"/>
      <c r="NNA41" s="19"/>
      <c r="NNB41" s="19"/>
      <c r="NNC41" s="19"/>
      <c r="NND41" s="19"/>
      <c r="NNE41" s="19"/>
      <c r="NNF41" s="19"/>
      <c r="NNG41" s="19"/>
      <c r="NNH41" s="19"/>
      <c r="NNI41" s="19"/>
      <c r="NNJ41" s="19"/>
      <c r="NNK41" s="19"/>
      <c r="NNL41" s="19"/>
      <c r="NNM41" s="19"/>
      <c r="NNN41" s="19"/>
      <c r="NNO41" s="19"/>
      <c r="NNP41" s="19"/>
      <c r="NNQ41" s="19"/>
      <c r="NNR41" s="19"/>
      <c r="NNS41" s="19"/>
      <c r="NNT41" s="19"/>
      <c r="NNU41" s="19"/>
      <c r="NNV41" s="19"/>
      <c r="NNW41" s="19"/>
      <c r="NNX41" s="19"/>
      <c r="NNY41" s="19"/>
      <c r="NNZ41" s="19"/>
      <c r="NOA41" s="19"/>
      <c r="NOB41" s="19"/>
      <c r="NOC41" s="19"/>
      <c r="NOD41" s="19"/>
      <c r="NOE41" s="19"/>
      <c r="NOF41" s="19"/>
      <c r="NOG41" s="19"/>
      <c r="NOH41" s="19"/>
      <c r="NOI41" s="19"/>
      <c r="NOJ41" s="19"/>
      <c r="NOK41" s="19"/>
      <c r="NOL41" s="19"/>
      <c r="NOM41" s="19"/>
      <c r="NON41" s="19"/>
      <c r="NOO41" s="19"/>
      <c r="NOP41" s="19"/>
      <c r="NOQ41" s="19"/>
      <c r="NOR41" s="19"/>
      <c r="NOS41" s="19"/>
      <c r="NOT41" s="19"/>
      <c r="NOU41" s="19"/>
      <c r="NOV41" s="19"/>
      <c r="NOW41" s="19"/>
      <c r="NOX41" s="19"/>
      <c r="NOY41" s="19"/>
      <c r="NOZ41" s="19"/>
      <c r="NPA41" s="19"/>
      <c r="NPB41" s="19"/>
      <c r="NPC41" s="19"/>
      <c r="NPD41" s="19"/>
      <c r="NPE41" s="19"/>
      <c r="NPF41" s="19"/>
      <c r="NPG41" s="19"/>
      <c r="NPH41" s="19"/>
      <c r="NPI41" s="19"/>
      <c r="NPJ41" s="19"/>
      <c r="NPK41" s="19"/>
      <c r="NPL41" s="19"/>
      <c r="NPM41" s="19"/>
      <c r="NPN41" s="19"/>
      <c r="NPO41" s="19"/>
      <c r="NPP41" s="19"/>
      <c r="NPQ41" s="19"/>
      <c r="NPR41" s="19"/>
      <c r="NPS41" s="19"/>
      <c r="NPT41" s="19"/>
      <c r="NPU41" s="19"/>
      <c r="NPV41" s="19"/>
      <c r="NPW41" s="19"/>
      <c r="NPX41" s="19"/>
      <c r="NPY41" s="19"/>
      <c r="NPZ41" s="19"/>
      <c r="NQA41" s="19"/>
      <c r="NQB41" s="19"/>
      <c r="NQC41" s="19"/>
      <c r="NQD41" s="19"/>
      <c r="NQE41" s="19"/>
      <c r="NQF41" s="19"/>
      <c r="NQG41" s="19"/>
      <c r="NQH41" s="19"/>
      <c r="NQI41" s="19"/>
      <c r="NQJ41" s="19"/>
      <c r="NQK41" s="19"/>
      <c r="NQL41" s="19"/>
      <c r="NQM41" s="19"/>
      <c r="NQN41" s="19"/>
      <c r="NQO41" s="19"/>
      <c r="NQP41" s="19"/>
      <c r="NQQ41" s="19"/>
      <c r="NQR41" s="19"/>
      <c r="NQS41" s="19"/>
      <c r="NQT41" s="19"/>
      <c r="NQU41" s="19"/>
      <c r="NQV41" s="19"/>
      <c r="NQW41" s="19"/>
      <c r="NQX41" s="19"/>
      <c r="NQY41" s="19"/>
      <c r="NQZ41" s="19"/>
      <c r="NRA41" s="19"/>
      <c r="NRB41" s="19"/>
      <c r="NRC41" s="19"/>
      <c r="NRD41" s="19"/>
      <c r="NRE41" s="19"/>
      <c r="NRF41" s="19"/>
      <c r="NRG41" s="19"/>
      <c r="NRH41" s="19"/>
      <c r="NRI41" s="19"/>
      <c r="NRJ41" s="19"/>
      <c r="NRK41" s="19"/>
      <c r="NRL41" s="19"/>
      <c r="NRM41" s="19"/>
      <c r="NRN41" s="19"/>
      <c r="NRO41" s="19"/>
      <c r="NRP41" s="19"/>
      <c r="NRQ41" s="19"/>
      <c r="NRR41" s="19"/>
      <c r="NRS41" s="19"/>
      <c r="NRT41" s="19"/>
      <c r="NRU41" s="19"/>
      <c r="NRV41" s="19"/>
      <c r="NRW41" s="19"/>
      <c r="NRX41" s="19"/>
      <c r="NRY41" s="19"/>
      <c r="NRZ41" s="19"/>
      <c r="NSA41" s="19"/>
      <c r="NSB41" s="19"/>
      <c r="NSC41" s="19"/>
      <c r="NSD41" s="19"/>
      <c r="NSE41" s="19"/>
      <c r="NSF41" s="19"/>
      <c r="NSG41" s="19"/>
      <c r="NSH41" s="19"/>
      <c r="NSI41" s="19"/>
      <c r="NSJ41" s="19"/>
      <c r="NSK41" s="19"/>
      <c r="NSL41" s="19"/>
      <c r="NSM41" s="19"/>
      <c r="NSN41" s="19"/>
      <c r="NSO41" s="19"/>
      <c r="NSP41" s="19"/>
      <c r="NSQ41" s="19"/>
      <c r="NSR41" s="19"/>
      <c r="NSS41" s="19"/>
      <c r="NST41" s="19"/>
      <c r="NSU41" s="19"/>
      <c r="NSV41" s="19"/>
      <c r="NSW41" s="19"/>
      <c r="NSX41" s="19"/>
      <c r="NSY41" s="19"/>
      <c r="NSZ41" s="19"/>
      <c r="NTA41" s="19"/>
      <c r="NTB41" s="19"/>
      <c r="NTC41" s="19"/>
      <c r="NTD41" s="19"/>
      <c r="NTE41" s="19"/>
      <c r="NTF41" s="19"/>
      <c r="NTG41" s="19"/>
      <c r="NTH41" s="19"/>
      <c r="NTI41" s="19"/>
      <c r="NTJ41" s="19"/>
      <c r="NTK41" s="19"/>
      <c r="NTL41" s="19"/>
      <c r="NTM41" s="19"/>
      <c r="NTN41" s="19"/>
      <c r="NTO41" s="19"/>
      <c r="NTP41" s="19"/>
      <c r="NTQ41" s="19"/>
      <c r="NTR41" s="19"/>
      <c r="NTS41" s="19"/>
      <c r="NTT41" s="19"/>
      <c r="NTU41" s="19"/>
      <c r="NTV41" s="19"/>
      <c r="NTW41" s="19"/>
      <c r="NTX41" s="19"/>
      <c r="NTY41" s="19"/>
      <c r="NTZ41" s="19"/>
      <c r="NUA41" s="19"/>
      <c r="NUB41" s="19"/>
      <c r="NUC41" s="19"/>
      <c r="NUD41" s="19"/>
      <c r="NUE41" s="19"/>
      <c r="NUF41" s="19"/>
      <c r="NUG41" s="19"/>
      <c r="NUH41" s="19"/>
      <c r="NUI41" s="19"/>
      <c r="NUJ41" s="19"/>
      <c r="NUK41" s="19"/>
      <c r="NUL41" s="19"/>
      <c r="NUM41" s="19"/>
      <c r="NUN41" s="19"/>
      <c r="NUO41" s="19"/>
      <c r="NUP41" s="19"/>
      <c r="NUQ41" s="19"/>
      <c r="NUR41" s="19"/>
      <c r="NUS41" s="19"/>
      <c r="NUT41" s="19"/>
      <c r="NUU41" s="19"/>
      <c r="NUV41" s="19"/>
      <c r="NUW41" s="19"/>
      <c r="NUX41" s="19"/>
      <c r="NUY41" s="19"/>
      <c r="NUZ41" s="19"/>
      <c r="NVA41" s="19"/>
      <c r="NVB41" s="19"/>
      <c r="NVC41" s="19"/>
      <c r="NVD41" s="19"/>
      <c r="NVE41" s="19"/>
      <c r="NVF41" s="19"/>
      <c r="NVG41" s="19"/>
      <c r="NVH41" s="19"/>
      <c r="NVI41" s="19"/>
      <c r="NVJ41" s="19"/>
      <c r="NVK41" s="19"/>
      <c r="NVL41" s="19"/>
      <c r="NVM41" s="19"/>
      <c r="NVN41" s="19"/>
      <c r="NVO41" s="19"/>
      <c r="NVP41" s="19"/>
      <c r="NVQ41" s="19"/>
      <c r="NVR41" s="19"/>
      <c r="NVS41" s="19"/>
      <c r="NVT41" s="19"/>
      <c r="NVU41" s="19"/>
      <c r="NVV41" s="19"/>
      <c r="NVW41" s="19"/>
      <c r="NVX41" s="19"/>
      <c r="NVY41" s="19"/>
      <c r="NVZ41" s="19"/>
      <c r="NWA41" s="19"/>
      <c r="NWB41" s="19"/>
      <c r="NWC41" s="19"/>
      <c r="NWD41" s="19"/>
      <c r="NWE41" s="19"/>
      <c r="NWF41" s="19"/>
      <c r="NWG41" s="19"/>
      <c r="NWH41" s="19"/>
      <c r="NWI41" s="19"/>
      <c r="NWJ41" s="19"/>
      <c r="NWK41" s="19"/>
      <c r="NWL41" s="19"/>
      <c r="NWM41" s="19"/>
      <c r="NWN41" s="19"/>
      <c r="NWO41" s="19"/>
      <c r="NWP41" s="19"/>
      <c r="NWQ41" s="19"/>
      <c r="NWR41" s="19"/>
      <c r="NWS41" s="19"/>
      <c r="NWT41" s="19"/>
      <c r="NWU41" s="19"/>
      <c r="NWV41" s="19"/>
      <c r="NWW41" s="19"/>
      <c r="NWX41" s="19"/>
      <c r="NWY41" s="19"/>
      <c r="NWZ41" s="19"/>
      <c r="NXA41" s="19"/>
      <c r="NXB41" s="19"/>
      <c r="NXC41" s="19"/>
      <c r="NXD41" s="19"/>
      <c r="NXE41" s="19"/>
      <c r="NXF41" s="19"/>
      <c r="NXG41" s="19"/>
      <c r="NXH41" s="19"/>
      <c r="NXI41" s="19"/>
      <c r="NXJ41" s="19"/>
      <c r="NXK41" s="19"/>
      <c r="NXL41" s="19"/>
      <c r="NXM41" s="19"/>
      <c r="NXN41" s="19"/>
      <c r="NXO41" s="19"/>
      <c r="NXP41" s="19"/>
      <c r="NXQ41" s="19"/>
      <c r="NXR41" s="19"/>
      <c r="NXS41" s="19"/>
      <c r="NXT41" s="19"/>
      <c r="NXU41" s="19"/>
      <c r="NXV41" s="19"/>
      <c r="NXW41" s="19"/>
      <c r="NXX41" s="19"/>
      <c r="NXY41" s="19"/>
      <c r="NXZ41" s="19"/>
      <c r="NYA41" s="19"/>
      <c r="NYB41" s="19"/>
      <c r="NYC41" s="19"/>
      <c r="NYD41" s="19"/>
      <c r="NYE41" s="19"/>
      <c r="NYF41" s="19"/>
      <c r="NYG41" s="19"/>
      <c r="NYH41" s="19"/>
      <c r="NYI41" s="19"/>
      <c r="NYJ41" s="19"/>
      <c r="NYK41" s="19"/>
      <c r="NYL41" s="19"/>
      <c r="NYM41" s="19"/>
      <c r="NYN41" s="19"/>
      <c r="NYO41" s="19"/>
      <c r="NYP41" s="19"/>
      <c r="NYQ41" s="19"/>
      <c r="NYR41" s="19"/>
      <c r="NYS41" s="19"/>
      <c r="NYT41" s="19"/>
      <c r="NYU41" s="19"/>
      <c r="NYV41" s="19"/>
      <c r="NYW41" s="19"/>
      <c r="NYX41" s="19"/>
      <c r="NYY41" s="19"/>
      <c r="NYZ41" s="19"/>
      <c r="NZA41" s="19"/>
      <c r="NZB41" s="19"/>
      <c r="NZC41" s="19"/>
      <c r="NZD41" s="19"/>
      <c r="NZE41" s="19"/>
      <c r="NZF41" s="19"/>
      <c r="NZG41" s="19"/>
      <c r="NZH41" s="19"/>
      <c r="NZI41" s="19"/>
      <c r="NZJ41" s="19"/>
      <c r="NZK41" s="19"/>
      <c r="NZL41" s="19"/>
      <c r="NZM41" s="19"/>
      <c r="NZN41" s="19"/>
      <c r="NZO41" s="19"/>
      <c r="NZP41" s="19"/>
      <c r="NZQ41" s="19"/>
      <c r="NZR41" s="19"/>
      <c r="NZS41" s="19"/>
      <c r="NZT41" s="19"/>
      <c r="NZU41" s="19"/>
      <c r="NZV41" s="19"/>
      <c r="NZW41" s="19"/>
      <c r="NZX41" s="19"/>
      <c r="NZY41" s="19"/>
      <c r="NZZ41" s="19"/>
      <c r="OAA41" s="19"/>
      <c r="OAB41" s="19"/>
      <c r="OAC41" s="19"/>
      <c r="OAD41" s="19"/>
      <c r="OAE41" s="19"/>
      <c r="OAF41" s="19"/>
      <c r="OAG41" s="19"/>
      <c r="OAH41" s="19"/>
      <c r="OAI41" s="19"/>
      <c r="OAJ41" s="19"/>
      <c r="OAK41" s="19"/>
      <c r="OAL41" s="19"/>
      <c r="OAM41" s="19"/>
      <c r="OAN41" s="19"/>
      <c r="OAO41" s="19"/>
      <c r="OAP41" s="19"/>
      <c r="OAQ41" s="19"/>
      <c r="OAR41" s="19"/>
      <c r="OAS41" s="19"/>
      <c r="OAT41" s="19"/>
      <c r="OAU41" s="19"/>
      <c r="OAV41" s="19"/>
      <c r="OAW41" s="19"/>
      <c r="OAX41" s="19"/>
      <c r="OAY41" s="19"/>
      <c r="OAZ41" s="19"/>
      <c r="OBA41" s="19"/>
      <c r="OBB41" s="19"/>
      <c r="OBC41" s="19"/>
      <c r="OBD41" s="19"/>
      <c r="OBE41" s="19"/>
      <c r="OBF41" s="19"/>
      <c r="OBG41" s="19"/>
      <c r="OBH41" s="19"/>
      <c r="OBI41" s="19"/>
      <c r="OBJ41" s="19"/>
      <c r="OBK41" s="19"/>
      <c r="OBL41" s="19"/>
      <c r="OBM41" s="19"/>
      <c r="OBN41" s="19"/>
      <c r="OBO41" s="19"/>
      <c r="OBP41" s="19"/>
      <c r="OBQ41" s="19"/>
      <c r="OBR41" s="19"/>
      <c r="OBS41" s="19"/>
      <c r="OBT41" s="19"/>
      <c r="OBU41" s="19"/>
      <c r="OBV41" s="19"/>
      <c r="OBW41" s="19"/>
      <c r="OBX41" s="19"/>
      <c r="OBY41" s="19"/>
      <c r="OBZ41" s="19"/>
      <c r="OCA41" s="19"/>
      <c r="OCB41" s="19"/>
      <c r="OCC41" s="19"/>
      <c r="OCD41" s="19"/>
      <c r="OCE41" s="19"/>
      <c r="OCF41" s="19"/>
      <c r="OCG41" s="19"/>
      <c r="OCH41" s="19"/>
      <c r="OCI41" s="19"/>
      <c r="OCJ41" s="19"/>
      <c r="OCK41" s="19"/>
      <c r="OCL41" s="19"/>
      <c r="OCM41" s="19"/>
      <c r="OCN41" s="19"/>
      <c r="OCO41" s="19"/>
      <c r="OCP41" s="19"/>
      <c r="OCQ41" s="19"/>
      <c r="OCR41" s="19"/>
      <c r="OCS41" s="19"/>
      <c r="OCT41" s="19"/>
      <c r="OCU41" s="19"/>
      <c r="OCV41" s="19"/>
      <c r="OCW41" s="19"/>
      <c r="OCX41" s="19"/>
      <c r="OCY41" s="19"/>
      <c r="OCZ41" s="19"/>
      <c r="ODA41" s="19"/>
      <c r="ODB41" s="19"/>
      <c r="ODC41" s="19"/>
      <c r="ODD41" s="19"/>
      <c r="ODE41" s="19"/>
      <c r="ODF41" s="19"/>
      <c r="ODG41" s="19"/>
      <c r="ODH41" s="19"/>
      <c r="ODI41" s="19"/>
      <c r="ODJ41" s="19"/>
      <c r="ODK41" s="19"/>
      <c r="ODL41" s="19"/>
      <c r="ODM41" s="19"/>
      <c r="ODN41" s="19"/>
      <c r="ODO41" s="19"/>
      <c r="ODP41" s="19"/>
      <c r="ODQ41" s="19"/>
      <c r="ODR41" s="19"/>
      <c r="ODS41" s="19"/>
      <c r="ODT41" s="19"/>
      <c r="ODU41" s="19"/>
      <c r="ODV41" s="19"/>
      <c r="ODW41" s="19"/>
      <c r="ODX41" s="19"/>
      <c r="ODY41" s="19"/>
      <c r="ODZ41" s="19"/>
      <c r="OEA41" s="19"/>
      <c r="OEB41" s="19"/>
      <c r="OEC41" s="19"/>
      <c r="OED41" s="19"/>
      <c r="OEE41" s="19"/>
      <c r="OEF41" s="19"/>
      <c r="OEG41" s="19"/>
      <c r="OEH41" s="19"/>
      <c r="OEI41" s="19"/>
      <c r="OEJ41" s="19"/>
      <c r="OEK41" s="19"/>
      <c r="OEL41" s="19"/>
      <c r="OEM41" s="19"/>
      <c r="OEN41" s="19"/>
      <c r="OEO41" s="19"/>
      <c r="OEP41" s="19"/>
      <c r="OEQ41" s="19"/>
      <c r="OER41" s="19"/>
      <c r="OES41" s="19"/>
      <c r="OET41" s="19"/>
      <c r="OEU41" s="19"/>
      <c r="OEV41" s="19"/>
      <c r="OEW41" s="19"/>
      <c r="OEX41" s="19"/>
      <c r="OEY41" s="19"/>
      <c r="OEZ41" s="19"/>
      <c r="OFA41" s="19"/>
      <c r="OFB41" s="19"/>
      <c r="OFC41" s="19"/>
      <c r="OFD41" s="19"/>
      <c r="OFE41" s="19"/>
      <c r="OFF41" s="19"/>
      <c r="OFG41" s="19"/>
      <c r="OFH41" s="19"/>
      <c r="OFI41" s="19"/>
      <c r="OFJ41" s="19"/>
      <c r="OFK41" s="19"/>
      <c r="OFL41" s="19"/>
      <c r="OFM41" s="19"/>
      <c r="OFN41" s="19"/>
      <c r="OFO41" s="19"/>
      <c r="OFP41" s="19"/>
      <c r="OFQ41" s="19"/>
      <c r="OFR41" s="19"/>
      <c r="OFS41" s="19"/>
      <c r="OFT41" s="19"/>
      <c r="OFU41" s="19"/>
      <c r="OFV41" s="19"/>
      <c r="OFW41" s="19"/>
      <c r="OFX41" s="19"/>
      <c r="OFY41" s="19"/>
      <c r="OFZ41" s="19"/>
      <c r="OGA41" s="19"/>
      <c r="OGB41" s="19"/>
      <c r="OGC41" s="19"/>
      <c r="OGD41" s="19"/>
      <c r="OGE41" s="19"/>
      <c r="OGF41" s="19"/>
      <c r="OGG41" s="19"/>
      <c r="OGH41" s="19"/>
      <c r="OGI41" s="19"/>
      <c r="OGJ41" s="19"/>
      <c r="OGK41" s="19"/>
      <c r="OGL41" s="19"/>
      <c r="OGM41" s="19"/>
      <c r="OGN41" s="19"/>
      <c r="OGO41" s="19"/>
      <c r="OGP41" s="19"/>
      <c r="OGQ41" s="19"/>
      <c r="OGR41" s="19"/>
      <c r="OGS41" s="19"/>
      <c r="OGT41" s="19"/>
      <c r="OGU41" s="19"/>
      <c r="OGV41" s="19"/>
      <c r="OGW41" s="19"/>
      <c r="OGX41" s="19"/>
      <c r="OGY41" s="19"/>
      <c r="OGZ41" s="19"/>
      <c r="OHA41" s="19"/>
      <c r="OHB41" s="19"/>
      <c r="OHC41" s="19"/>
      <c r="OHD41" s="19"/>
      <c r="OHE41" s="19"/>
      <c r="OHF41" s="19"/>
      <c r="OHG41" s="19"/>
      <c r="OHH41" s="19"/>
      <c r="OHI41" s="19"/>
      <c r="OHJ41" s="19"/>
      <c r="OHK41" s="19"/>
      <c r="OHL41" s="19"/>
      <c r="OHM41" s="19"/>
      <c r="OHN41" s="19"/>
      <c r="OHO41" s="19"/>
      <c r="OHP41" s="19"/>
      <c r="OHQ41" s="19"/>
      <c r="OHR41" s="19"/>
      <c r="OHS41" s="19"/>
      <c r="OHT41" s="19"/>
      <c r="OHU41" s="19"/>
      <c r="OHV41" s="19"/>
      <c r="OHW41" s="19"/>
      <c r="OHX41" s="19"/>
      <c r="OHY41" s="19"/>
      <c r="OHZ41" s="19"/>
      <c r="OIA41" s="19"/>
      <c r="OIB41" s="19"/>
      <c r="OIC41" s="19"/>
      <c r="OID41" s="19"/>
      <c r="OIE41" s="19"/>
      <c r="OIF41" s="19"/>
      <c r="OIG41" s="19"/>
      <c r="OIH41" s="19"/>
      <c r="OII41" s="19"/>
      <c r="OIJ41" s="19"/>
      <c r="OIK41" s="19"/>
      <c r="OIL41" s="19"/>
      <c r="OIM41" s="19"/>
      <c r="OIN41" s="19"/>
      <c r="OIO41" s="19"/>
      <c r="OIP41" s="19"/>
      <c r="OIQ41" s="19"/>
      <c r="OIR41" s="19"/>
      <c r="OIS41" s="19"/>
      <c r="OIT41" s="19"/>
      <c r="OIU41" s="19"/>
      <c r="OIV41" s="19"/>
      <c r="OIW41" s="19"/>
      <c r="OIX41" s="19"/>
      <c r="OIY41" s="19"/>
      <c r="OIZ41" s="19"/>
      <c r="OJA41" s="19"/>
      <c r="OJB41" s="19"/>
      <c r="OJC41" s="19"/>
      <c r="OJD41" s="19"/>
      <c r="OJE41" s="19"/>
      <c r="OJF41" s="19"/>
      <c r="OJG41" s="19"/>
      <c r="OJH41" s="19"/>
      <c r="OJI41" s="19"/>
      <c r="OJJ41" s="19"/>
      <c r="OJK41" s="19"/>
      <c r="OJL41" s="19"/>
      <c r="OJM41" s="19"/>
      <c r="OJN41" s="19"/>
      <c r="OJO41" s="19"/>
      <c r="OJP41" s="19"/>
      <c r="OJQ41" s="19"/>
      <c r="OJR41" s="19"/>
      <c r="OJS41" s="19"/>
      <c r="OJT41" s="19"/>
      <c r="OJU41" s="19"/>
      <c r="OJV41" s="19"/>
      <c r="OJW41" s="19"/>
      <c r="OJX41" s="19"/>
      <c r="OJY41" s="19"/>
      <c r="OJZ41" s="19"/>
      <c r="OKA41" s="19"/>
      <c r="OKB41" s="19"/>
      <c r="OKC41" s="19"/>
      <c r="OKD41" s="19"/>
      <c r="OKE41" s="19"/>
      <c r="OKF41" s="19"/>
      <c r="OKG41" s="19"/>
      <c r="OKH41" s="19"/>
      <c r="OKI41" s="19"/>
      <c r="OKJ41" s="19"/>
      <c r="OKK41" s="19"/>
      <c r="OKL41" s="19"/>
      <c r="OKM41" s="19"/>
      <c r="OKN41" s="19"/>
      <c r="OKO41" s="19"/>
      <c r="OKP41" s="19"/>
      <c r="OKQ41" s="19"/>
      <c r="OKR41" s="19"/>
      <c r="OKS41" s="19"/>
      <c r="OKT41" s="19"/>
      <c r="OKU41" s="19"/>
      <c r="OKV41" s="19"/>
      <c r="OKW41" s="19"/>
      <c r="OKX41" s="19"/>
      <c r="OKY41" s="19"/>
      <c r="OKZ41" s="19"/>
      <c r="OLA41" s="19"/>
      <c r="OLB41" s="19"/>
      <c r="OLC41" s="19"/>
      <c r="OLD41" s="19"/>
      <c r="OLE41" s="19"/>
      <c r="OLF41" s="19"/>
      <c r="OLG41" s="19"/>
      <c r="OLH41" s="19"/>
      <c r="OLI41" s="19"/>
      <c r="OLJ41" s="19"/>
      <c r="OLK41" s="19"/>
      <c r="OLL41" s="19"/>
      <c r="OLM41" s="19"/>
      <c r="OLN41" s="19"/>
      <c r="OLO41" s="19"/>
      <c r="OLP41" s="19"/>
      <c r="OLQ41" s="19"/>
      <c r="OLR41" s="19"/>
      <c r="OLS41" s="19"/>
      <c r="OLT41" s="19"/>
      <c r="OLU41" s="19"/>
      <c r="OLV41" s="19"/>
      <c r="OLW41" s="19"/>
      <c r="OLX41" s="19"/>
      <c r="OLY41" s="19"/>
      <c r="OLZ41" s="19"/>
      <c r="OMA41" s="19"/>
      <c r="OMB41" s="19"/>
      <c r="OMC41" s="19"/>
      <c r="OMD41" s="19"/>
      <c r="OME41" s="19"/>
      <c r="OMF41" s="19"/>
      <c r="OMG41" s="19"/>
      <c r="OMH41" s="19"/>
      <c r="OMI41" s="19"/>
      <c r="OMJ41" s="19"/>
      <c r="OMK41" s="19"/>
      <c r="OML41" s="19"/>
      <c r="OMM41" s="19"/>
      <c r="OMN41" s="19"/>
      <c r="OMO41" s="19"/>
      <c r="OMP41" s="19"/>
      <c r="OMQ41" s="19"/>
      <c r="OMR41" s="19"/>
      <c r="OMS41" s="19"/>
      <c r="OMT41" s="19"/>
      <c r="OMU41" s="19"/>
      <c r="OMV41" s="19"/>
      <c r="OMW41" s="19"/>
      <c r="OMX41" s="19"/>
      <c r="OMY41" s="19"/>
      <c r="OMZ41" s="19"/>
      <c r="ONA41" s="19"/>
      <c r="ONB41" s="19"/>
      <c r="ONC41" s="19"/>
      <c r="OND41" s="19"/>
      <c r="ONE41" s="19"/>
      <c r="ONF41" s="19"/>
      <c r="ONG41" s="19"/>
      <c r="ONH41" s="19"/>
      <c r="ONI41" s="19"/>
      <c r="ONJ41" s="19"/>
      <c r="ONK41" s="19"/>
      <c r="ONL41" s="19"/>
      <c r="ONM41" s="19"/>
      <c r="ONN41" s="19"/>
      <c r="ONO41" s="19"/>
      <c r="ONP41" s="19"/>
      <c r="ONQ41" s="19"/>
      <c r="ONR41" s="19"/>
      <c r="ONS41" s="19"/>
      <c r="ONT41" s="19"/>
      <c r="ONU41" s="19"/>
      <c r="ONV41" s="19"/>
      <c r="ONW41" s="19"/>
      <c r="ONX41" s="19"/>
      <c r="ONY41" s="19"/>
      <c r="ONZ41" s="19"/>
      <c r="OOA41" s="19"/>
      <c r="OOB41" s="19"/>
      <c r="OOC41" s="19"/>
      <c r="OOD41" s="19"/>
      <c r="OOE41" s="19"/>
      <c r="OOF41" s="19"/>
      <c r="OOG41" s="19"/>
      <c r="OOH41" s="19"/>
      <c r="OOI41" s="19"/>
      <c r="OOJ41" s="19"/>
      <c r="OOK41" s="19"/>
      <c r="OOL41" s="19"/>
      <c r="OOM41" s="19"/>
      <c r="OON41" s="19"/>
      <c r="OOO41" s="19"/>
      <c r="OOP41" s="19"/>
      <c r="OOQ41" s="19"/>
      <c r="OOR41" s="19"/>
      <c r="OOS41" s="19"/>
      <c r="OOT41" s="19"/>
      <c r="OOU41" s="19"/>
      <c r="OOV41" s="19"/>
      <c r="OOW41" s="19"/>
      <c r="OOX41" s="19"/>
      <c r="OOY41" s="19"/>
      <c r="OOZ41" s="19"/>
      <c r="OPA41" s="19"/>
      <c r="OPB41" s="19"/>
      <c r="OPC41" s="19"/>
      <c r="OPD41" s="19"/>
      <c r="OPE41" s="19"/>
      <c r="OPF41" s="19"/>
      <c r="OPG41" s="19"/>
      <c r="OPH41" s="19"/>
      <c r="OPI41" s="19"/>
      <c r="OPJ41" s="19"/>
      <c r="OPK41" s="19"/>
      <c r="OPL41" s="19"/>
      <c r="OPM41" s="19"/>
      <c r="OPN41" s="19"/>
      <c r="OPO41" s="19"/>
      <c r="OPP41" s="19"/>
      <c r="OPQ41" s="19"/>
      <c r="OPR41" s="19"/>
      <c r="OPS41" s="19"/>
      <c r="OPT41" s="19"/>
      <c r="OPU41" s="19"/>
      <c r="OPV41" s="19"/>
      <c r="OPW41" s="19"/>
      <c r="OPX41" s="19"/>
      <c r="OPY41" s="19"/>
      <c r="OPZ41" s="19"/>
      <c r="OQA41" s="19"/>
      <c r="OQB41" s="19"/>
      <c r="OQC41" s="19"/>
      <c r="OQD41" s="19"/>
      <c r="OQE41" s="19"/>
      <c r="OQF41" s="19"/>
      <c r="OQG41" s="19"/>
      <c r="OQH41" s="19"/>
      <c r="OQI41" s="19"/>
      <c r="OQJ41" s="19"/>
      <c r="OQK41" s="19"/>
      <c r="OQL41" s="19"/>
      <c r="OQM41" s="19"/>
      <c r="OQN41" s="19"/>
      <c r="OQO41" s="19"/>
      <c r="OQP41" s="19"/>
      <c r="OQQ41" s="19"/>
      <c r="OQR41" s="19"/>
      <c r="OQS41" s="19"/>
      <c r="OQT41" s="19"/>
      <c r="OQU41" s="19"/>
      <c r="OQV41" s="19"/>
      <c r="OQW41" s="19"/>
      <c r="OQX41" s="19"/>
      <c r="OQY41" s="19"/>
      <c r="OQZ41" s="19"/>
      <c r="ORA41" s="19"/>
      <c r="ORB41" s="19"/>
      <c r="ORC41" s="19"/>
      <c r="ORD41" s="19"/>
      <c r="ORE41" s="19"/>
      <c r="ORF41" s="19"/>
      <c r="ORG41" s="19"/>
      <c r="ORH41" s="19"/>
      <c r="ORI41" s="19"/>
      <c r="ORJ41" s="19"/>
      <c r="ORK41" s="19"/>
      <c r="ORL41" s="19"/>
      <c r="ORM41" s="19"/>
      <c r="ORN41" s="19"/>
      <c r="ORO41" s="19"/>
      <c r="ORP41" s="19"/>
      <c r="ORQ41" s="19"/>
      <c r="ORR41" s="19"/>
      <c r="ORS41" s="19"/>
      <c r="ORT41" s="19"/>
      <c r="ORU41" s="19"/>
      <c r="ORV41" s="19"/>
      <c r="ORW41" s="19"/>
      <c r="ORX41" s="19"/>
      <c r="ORY41" s="19"/>
      <c r="ORZ41" s="19"/>
      <c r="OSA41" s="19"/>
      <c r="OSB41" s="19"/>
      <c r="OSC41" s="19"/>
      <c r="OSD41" s="19"/>
      <c r="OSE41" s="19"/>
      <c r="OSF41" s="19"/>
      <c r="OSG41" s="19"/>
      <c r="OSH41" s="19"/>
      <c r="OSI41" s="19"/>
      <c r="OSJ41" s="19"/>
      <c r="OSK41" s="19"/>
      <c r="OSL41" s="19"/>
      <c r="OSM41" s="19"/>
      <c r="OSN41" s="19"/>
      <c r="OSO41" s="19"/>
      <c r="OSP41" s="19"/>
      <c r="OSQ41" s="19"/>
      <c r="OSR41" s="19"/>
      <c r="OSS41" s="19"/>
      <c r="OST41" s="19"/>
      <c r="OSU41" s="19"/>
      <c r="OSV41" s="19"/>
      <c r="OSW41" s="19"/>
      <c r="OSX41" s="19"/>
      <c r="OSY41" s="19"/>
      <c r="OSZ41" s="19"/>
      <c r="OTA41" s="19"/>
      <c r="OTB41" s="19"/>
      <c r="OTC41" s="19"/>
      <c r="OTD41" s="19"/>
      <c r="OTE41" s="19"/>
      <c r="OTF41" s="19"/>
      <c r="OTG41" s="19"/>
      <c r="OTH41" s="19"/>
      <c r="OTI41" s="19"/>
      <c r="OTJ41" s="19"/>
      <c r="OTK41" s="19"/>
      <c r="OTL41" s="19"/>
      <c r="OTM41" s="19"/>
      <c r="OTN41" s="19"/>
      <c r="OTO41" s="19"/>
      <c r="OTP41" s="19"/>
      <c r="OTQ41" s="19"/>
      <c r="OTR41" s="19"/>
      <c r="OTS41" s="19"/>
      <c r="OTT41" s="19"/>
      <c r="OTU41" s="19"/>
      <c r="OTV41" s="19"/>
      <c r="OTW41" s="19"/>
      <c r="OTX41" s="19"/>
      <c r="OTY41" s="19"/>
      <c r="OTZ41" s="19"/>
      <c r="OUA41" s="19"/>
      <c r="OUB41" s="19"/>
      <c r="OUC41" s="19"/>
      <c r="OUD41" s="19"/>
      <c r="OUE41" s="19"/>
      <c r="OUF41" s="19"/>
      <c r="OUG41" s="19"/>
      <c r="OUH41" s="19"/>
      <c r="OUI41" s="19"/>
      <c r="OUJ41" s="19"/>
      <c r="OUK41" s="19"/>
      <c r="OUL41" s="19"/>
      <c r="OUM41" s="19"/>
      <c r="OUN41" s="19"/>
      <c r="OUO41" s="19"/>
      <c r="OUP41" s="19"/>
      <c r="OUQ41" s="19"/>
      <c r="OUR41" s="19"/>
      <c r="OUS41" s="19"/>
      <c r="OUT41" s="19"/>
      <c r="OUU41" s="19"/>
      <c r="OUV41" s="19"/>
      <c r="OUW41" s="19"/>
      <c r="OUX41" s="19"/>
      <c r="OUY41" s="19"/>
      <c r="OUZ41" s="19"/>
      <c r="OVA41" s="19"/>
      <c r="OVB41" s="19"/>
      <c r="OVC41" s="19"/>
      <c r="OVD41" s="19"/>
      <c r="OVE41" s="19"/>
      <c r="OVF41" s="19"/>
      <c r="OVG41" s="19"/>
      <c r="OVH41" s="19"/>
      <c r="OVI41" s="19"/>
      <c r="OVJ41" s="19"/>
      <c r="OVK41" s="19"/>
      <c r="OVL41" s="19"/>
      <c r="OVM41" s="19"/>
      <c r="OVN41" s="19"/>
      <c r="OVO41" s="19"/>
      <c r="OVP41" s="19"/>
      <c r="OVQ41" s="19"/>
      <c r="OVR41" s="19"/>
      <c r="OVS41" s="19"/>
      <c r="OVT41" s="19"/>
      <c r="OVU41" s="19"/>
      <c r="OVV41" s="19"/>
      <c r="OVW41" s="19"/>
      <c r="OVX41" s="19"/>
      <c r="OVY41" s="19"/>
      <c r="OVZ41" s="19"/>
      <c r="OWA41" s="19"/>
      <c r="OWB41" s="19"/>
      <c r="OWC41" s="19"/>
      <c r="OWD41" s="19"/>
      <c r="OWE41" s="19"/>
      <c r="OWF41" s="19"/>
      <c r="OWG41" s="19"/>
      <c r="OWH41" s="19"/>
      <c r="OWI41" s="19"/>
      <c r="OWJ41" s="19"/>
      <c r="OWK41" s="19"/>
      <c r="OWL41" s="19"/>
      <c r="OWM41" s="19"/>
      <c r="OWN41" s="19"/>
      <c r="OWO41" s="19"/>
      <c r="OWP41" s="19"/>
      <c r="OWQ41" s="19"/>
      <c r="OWR41" s="19"/>
      <c r="OWS41" s="19"/>
      <c r="OWT41" s="19"/>
      <c r="OWU41" s="19"/>
      <c r="OWV41" s="19"/>
      <c r="OWW41" s="19"/>
      <c r="OWX41" s="19"/>
      <c r="OWY41" s="19"/>
      <c r="OWZ41" s="19"/>
      <c r="OXA41" s="19"/>
      <c r="OXB41" s="19"/>
      <c r="OXC41" s="19"/>
      <c r="OXD41" s="19"/>
      <c r="OXE41" s="19"/>
      <c r="OXF41" s="19"/>
      <c r="OXG41" s="19"/>
      <c r="OXH41" s="19"/>
      <c r="OXI41" s="19"/>
      <c r="OXJ41" s="19"/>
      <c r="OXK41" s="19"/>
      <c r="OXL41" s="19"/>
      <c r="OXM41" s="19"/>
      <c r="OXN41" s="19"/>
      <c r="OXO41" s="19"/>
      <c r="OXP41" s="19"/>
      <c r="OXQ41" s="19"/>
      <c r="OXR41" s="19"/>
      <c r="OXS41" s="19"/>
      <c r="OXT41" s="19"/>
      <c r="OXU41" s="19"/>
      <c r="OXV41" s="19"/>
      <c r="OXW41" s="19"/>
      <c r="OXX41" s="19"/>
      <c r="OXY41" s="19"/>
      <c r="OXZ41" s="19"/>
      <c r="OYA41" s="19"/>
      <c r="OYB41" s="19"/>
      <c r="OYC41" s="19"/>
      <c r="OYD41" s="19"/>
      <c r="OYE41" s="19"/>
      <c r="OYF41" s="19"/>
      <c r="OYG41" s="19"/>
      <c r="OYH41" s="19"/>
      <c r="OYI41" s="19"/>
      <c r="OYJ41" s="19"/>
      <c r="OYK41" s="19"/>
      <c r="OYL41" s="19"/>
      <c r="OYM41" s="19"/>
      <c r="OYN41" s="19"/>
      <c r="OYO41" s="19"/>
      <c r="OYP41" s="19"/>
      <c r="OYQ41" s="19"/>
      <c r="OYR41" s="19"/>
      <c r="OYS41" s="19"/>
      <c r="OYT41" s="19"/>
      <c r="OYU41" s="19"/>
      <c r="OYV41" s="19"/>
      <c r="OYW41" s="19"/>
      <c r="OYX41" s="19"/>
      <c r="OYY41" s="19"/>
      <c r="OYZ41" s="19"/>
      <c r="OZA41" s="19"/>
      <c r="OZB41" s="19"/>
      <c r="OZC41" s="19"/>
      <c r="OZD41" s="19"/>
      <c r="OZE41" s="19"/>
      <c r="OZF41" s="19"/>
      <c r="OZG41" s="19"/>
      <c r="OZH41" s="19"/>
      <c r="OZI41" s="19"/>
      <c r="OZJ41" s="19"/>
      <c r="OZK41" s="19"/>
      <c r="OZL41" s="19"/>
      <c r="OZM41" s="19"/>
      <c r="OZN41" s="19"/>
      <c r="OZO41" s="19"/>
      <c r="OZP41" s="19"/>
      <c r="OZQ41" s="19"/>
      <c r="OZR41" s="19"/>
      <c r="OZS41" s="19"/>
      <c r="OZT41" s="19"/>
      <c r="OZU41" s="19"/>
      <c r="OZV41" s="19"/>
      <c r="OZW41" s="19"/>
      <c r="OZX41" s="19"/>
      <c r="OZY41" s="19"/>
      <c r="OZZ41" s="19"/>
      <c r="PAA41" s="19"/>
      <c r="PAB41" s="19"/>
      <c r="PAC41" s="19"/>
      <c r="PAD41" s="19"/>
      <c r="PAE41" s="19"/>
      <c r="PAF41" s="19"/>
      <c r="PAG41" s="19"/>
      <c r="PAH41" s="19"/>
      <c r="PAI41" s="19"/>
      <c r="PAJ41" s="19"/>
      <c r="PAK41" s="19"/>
      <c r="PAL41" s="19"/>
      <c r="PAM41" s="19"/>
      <c r="PAN41" s="19"/>
      <c r="PAO41" s="19"/>
      <c r="PAP41" s="19"/>
      <c r="PAQ41" s="19"/>
      <c r="PAR41" s="19"/>
      <c r="PAS41" s="19"/>
      <c r="PAT41" s="19"/>
      <c r="PAU41" s="19"/>
      <c r="PAV41" s="19"/>
      <c r="PAW41" s="19"/>
      <c r="PAX41" s="19"/>
      <c r="PAY41" s="19"/>
      <c r="PAZ41" s="19"/>
      <c r="PBA41" s="19"/>
      <c r="PBB41" s="19"/>
      <c r="PBC41" s="19"/>
      <c r="PBD41" s="19"/>
      <c r="PBE41" s="19"/>
      <c r="PBF41" s="19"/>
      <c r="PBG41" s="19"/>
      <c r="PBH41" s="19"/>
      <c r="PBI41" s="19"/>
      <c r="PBJ41" s="19"/>
      <c r="PBK41" s="19"/>
      <c r="PBL41" s="19"/>
      <c r="PBM41" s="19"/>
      <c r="PBN41" s="19"/>
      <c r="PBO41" s="19"/>
      <c r="PBP41" s="19"/>
      <c r="PBQ41" s="19"/>
      <c r="PBR41" s="19"/>
      <c r="PBS41" s="19"/>
      <c r="PBT41" s="19"/>
      <c r="PBU41" s="19"/>
      <c r="PBV41" s="19"/>
      <c r="PBW41" s="19"/>
      <c r="PBX41" s="19"/>
      <c r="PBY41" s="19"/>
      <c r="PBZ41" s="19"/>
      <c r="PCA41" s="19"/>
      <c r="PCB41" s="19"/>
      <c r="PCC41" s="19"/>
      <c r="PCD41" s="19"/>
      <c r="PCE41" s="19"/>
      <c r="PCF41" s="19"/>
      <c r="PCG41" s="19"/>
      <c r="PCH41" s="19"/>
      <c r="PCI41" s="19"/>
      <c r="PCJ41" s="19"/>
      <c r="PCK41" s="19"/>
      <c r="PCL41" s="19"/>
      <c r="PCM41" s="19"/>
      <c r="PCN41" s="19"/>
      <c r="PCO41" s="19"/>
      <c r="PCP41" s="19"/>
      <c r="PCQ41" s="19"/>
      <c r="PCR41" s="19"/>
      <c r="PCS41" s="19"/>
      <c r="PCT41" s="19"/>
      <c r="PCU41" s="19"/>
      <c r="PCV41" s="19"/>
      <c r="PCW41" s="19"/>
      <c r="PCX41" s="19"/>
      <c r="PCY41" s="19"/>
      <c r="PCZ41" s="19"/>
      <c r="PDA41" s="19"/>
      <c r="PDB41" s="19"/>
      <c r="PDC41" s="19"/>
      <c r="PDD41" s="19"/>
      <c r="PDE41" s="19"/>
      <c r="PDF41" s="19"/>
      <c r="PDG41" s="19"/>
      <c r="PDH41" s="19"/>
      <c r="PDI41" s="19"/>
      <c r="PDJ41" s="19"/>
      <c r="PDK41" s="19"/>
      <c r="PDL41" s="19"/>
      <c r="PDM41" s="19"/>
      <c r="PDN41" s="19"/>
      <c r="PDO41" s="19"/>
      <c r="PDP41" s="19"/>
      <c r="PDQ41" s="19"/>
      <c r="PDR41" s="19"/>
      <c r="PDS41" s="19"/>
      <c r="PDT41" s="19"/>
      <c r="PDU41" s="19"/>
      <c r="PDV41" s="19"/>
      <c r="PDW41" s="19"/>
      <c r="PDX41" s="19"/>
      <c r="PDY41" s="19"/>
      <c r="PDZ41" s="19"/>
      <c r="PEA41" s="19"/>
      <c r="PEB41" s="19"/>
      <c r="PEC41" s="19"/>
      <c r="PED41" s="19"/>
      <c r="PEE41" s="19"/>
      <c r="PEF41" s="19"/>
      <c r="PEG41" s="19"/>
      <c r="PEH41" s="19"/>
      <c r="PEI41" s="19"/>
      <c r="PEJ41" s="19"/>
      <c r="PEK41" s="19"/>
      <c r="PEL41" s="19"/>
      <c r="PEM41" s="19"/>
      <c r="PEN41" s="19"/>
      <c r="PEO41" s="19"/>
      <c r="PEP41" s="19"/>
      <c r="PEQ41" s="19"/>
      <c r="PER41" s="19"/>
      <c r="PES41" s="19"/>
      <c r="PET41" s="19"/>
      <c r="PEU41" s="19"/>
      <c r="PEV41" s="19"/>
      <c r="PEW41" s="19"/>
      <c r="PEX41" s="19"/>
      <c r="PEY41" s="19"/>
      <c r="PEZ41" s="19"/>
      <c r="PFA41" s="19"/>
      <c r="PFB41" s="19"/>
      <c r="PFC41" s="19"/>
      <c r="PFD41" s="19"/>
      <c r="PFE41" s="19"/>
      <c r="PFF41" s="19"/>
      <c r="PFG41" s="19"/>
      <c r="PFH41" s="19"/>
      <c r="PFI41" s="19"/>
      <c r="PFJ41" s="19"/>
      <c r="PFK41" s="19"/>
      <c r="PFL41" s="19"/>
      <c r="PFM41" s="19"/>
      <c r="PFN41" s="19"/>
      <c r="PFO41" s="19"/>
      <c r="PFP41" s="19"/>
      <c r="PFQ41" s="19"/>
      <c r="PFR41" s="19"/>
      <c r="PFS41" s="19"/>
      <c r="PFT41" s="19"/>
      <c r="PFU41" s="19"/>
      <c r="PFV41" s="19"/>
      <c r="PFW41" s="19"/>
      <c r="PFX41" s="19"/>
      <c r="PFY41" s="19"/>
      <c r="PFZ41" s="19"/>
      <c r="PGA41" s="19"/>
      <c r="PGB41" s="19"/>
      <c r="PGC41" s="19"/>
      <c r="PGD41" s="19"/>
      <c r="PGE41" s="19"/>
      <c r="PGF41" s="19"/>
      <c r="PGG41" s="19"/>
      <c r="PGH41" s="19"/>
      <c r="PGI41" s="19"/>
      <c r="PGJ41" s="19"/>
      <c r="PGK41" s="19"/>
      <c r="PGL41" s="19"/>
      <c r="PGM41" s="19"/>
      <c r="PGN41" s="19"/>
      <c r="PGO41" s="19"/>
      <c r="PGP41" s="19"/>
      <c r="PGQ41" s="19"/>
      <c r="PGR41" s="19"/>
      <c r="PGS41" s="19"/>
      <c r="PGT41" s="19"/>
      <c r="PGU41" s="19"/>
      <c r="PGV41" s="19"/>
      <c r="PGW41" s="19"/>
      <c r="PGX41" s="19"/>
      <c r="PGY41" s="19"/>
      <c r="PGZ41" s="19"/>
      <c r="PHA41" s="19"/>
      <c r="PHB41" s="19"/>
      <c r="PHC41" s="19"/>
      <c r="PHD41" s="19"/>
      <c r="PHE41" s="19"/>
      <c r="PHF41" s="19"/>
      <c r="PHG41" s="19"/>
      <c r="PHH41" s="19"/>
      <c r="PHI41" s="19"/>
      <c r="PHJ41" s="19"/>
      <c r="PHK41" s="19"/>
      <c r="PHL41" s="19"/>
      <c r="PHM41" s="19"/>
      <c r="PHN41" s="19"/>
      <c r="PHO41" s="19"/>
      <c r="PHP41" s="19"/>
      <c r="PHQ41" s="19"/>
      <c r="PHR41" s="19"/>
      <c r="PHS41" s="19"/>
      <c r="PHT41" s="19"/>
      <c r="PHU41" s="19"/>
      <c r="PHV41" s="19"/>
      <c r="PHW41" s="19"/>
      <c r="PHX41" s="19"/>
      <c r="PHY41" s="19"/>
      <c r="PHZ41" s="19"/>
      <c r="PIA41" s="19"/>
      <c r="PIB41" s="19"/>
      <c r="PIC41" s="19"/>
      <c r="PID41" s="19"/>
      <c r="PIE41" s="19"/>
      <c r="PIF41" s="19"/>
      <c r="PIG41" s="19"/>
      <c r="PIH41" s="19"/>
      <c r="PII41" s="19"/>
      <c r="PIJ41" s="19"/>
      <c r="PIK41" s="19"/>
      <c r="PIL41" s="19"/>
      <c r="PIM41" s="19"/>
      <c r="PIN41" s="19"/>
      <c r="PIO41" s="19"/>
      <c r="PIP41" s="19"/>
      <c r="PIQ41" s="19"/>
      <c r="PIR41" s="19"/>
      <c r="PIS41" s="19"/>
      <c r="PIT41" s="19"/>
      <c r="PIU41" s="19"/>
      <c r="PIV41" s="19"/>
      <c r="PIW41" s="19"/>
      <c r="PIX41" s="19"/>
      <c r="PIY41" s="19"/>
      <c r="PIZ41" s="19"/>
      <c r="PJA41" s="19"/>
      <c r="PJB41" s="19"/>
      <c r="PJC41" s="19"/>
      <c r="PJD41" s="19"/>
      <c r="PJE41" s="19"/>
      <c r="PJF41" s="19"/>
      <c r="PJG41" s="19"/>
      <c r="PJH41" s="19"/>
      <c r="PJI41" s="19"/>
      <c r="PJJ41" s="19"/>
      <c r="PJK41" s="19"/>
      <c r="PJL41" s="19"/>
      <c r="PJM41" s="19"/>
      <c r="PJN41" s="19"/>
      <c r="PJO41" s="19"/>
      <c r="PJP41" s="19"/>
      <c r="PJQ41" s="19"/>
      <c r="PJR41" s="19"/>
      <c r="PJS41" s="19"/>
      <c r="PJT41" s="19"/>
      <c r="PJU41" s="19"/>
      <c r="PJV41" s="19"/>
      <c r="PJW41" s="19"/>
      <c r="PJX41" s="19"/>
      <c r="PJY41" s="19"/>
      <c r="PJZ41" s="19"/>
      <c r="PKA41" s="19"/>
      <c r="PKB41" s="19"/>
      <c r="PKC41" s="19"/>
      <c r="PKD41" s="19"/>
      <c r="PKE41" s="19"/>
      <c r="PKF41" s="19"/>
      <c r="PKG41" s="19"/>
      <c r="PKH41" s="19"/>
      <c r="PKI41" s="19"/>
      <c r="PKJ41" s="19"/>
      <c r="PKK41" s="19"/>
      <c r="PKL41" s="19"/>
      <c r="PKM41" s="19"/>
      <c r="PKN41" s="19"/>
      <c r="PKO41" s="19"/>
      <c r="PKP41" s="19"/>
      <c r="PKQ41" s="19"/>
      <c r="PKR41" s="19"/>
      <c r="PKS41" s="19"/>
      <c r="PKT41" s="19"/>
      <c r="PKU41" s="19"/>
      <c r="PKV41" s="19"/>
      <c r="PKW41" s="19"/>
      <c r="PKX41" s="19"/>
      <c r="PKY41" s="19"/>
      <c r="PKZ41" s="19"/>
      <c r="PLA41" s="19"/>
      <c r="PLB41" s="19"/>
      <c r="PLC41" s="19"/>
      <c r="PLD41" s="19"/>
      <c r="PLE41" s="19"/>
      <c r="PLF41" s="19"/>
      <c r="PLG41" s="19"/>
      <c r="PLH41" s="19"/>
      <c r="PLI41" s="19"/>
      <c r="PLJ41" s="19"/>
      <c r="PLK41" s="19"/>
      <c r="PLL41" s="19"/>
      <c r="PLM41" s="19"/>
      <c r="PLN41" s="19"/>
      <c r="PLO41" s="19"/>
      <c r="PLP41" s="19"/>
      <c r="PLQ41" s="19"/>
      <c r="PLR41" s="19"/>
      <c r="PLS41" s="19"/>
      <c r="PLT41" s="19"/>
      <c r="PLU41" s="19"/>
      <c r="PLV41" s="19"/>
      <c r="PLW41" s="19"/>
      <c r="PLX41" s="19"/>
      <c r="PLY41" s="19"/>
      <c r="PLZ41" s="19"/>
      <c r="PMA41" s="19"/>
      <c r="PMB41" s="19"/>
      <c r="PMC41" s="19"/>
      <c r="PMD41" s="19"/>
      <c r="PME41" s="19"/>
      <c r="PMF41" s="19"/>
      <c r="PMG41" s="19"/>
      <c r="PMH41" s="19"/>
      <c r="PMI41" s="19"/>
      <c r="PMJ41" s="19"/>
      <c r="PMK41" s="19"/>
      <c r="PML41" s="19"/>
      <c r="PMM41" s="19"/>
      <c r="PMN41" s="19"/>
      <c r="PMO41" s="19"/>
      <c r="PMP41" s="19"/>
      <c r="PMQ41" s="19"/>
      <c r="PMR41" s="19"/>
      <c r="PMS41" s="19"/>
      <c r="PMT41" s="19"/>
      <c r="PMU41" s="19"/>
      <c r="PMV41" s="19"/>
      <c r="PMW41" s="19"/>
      <c r="PMX41" s="19"/>
      <c r="PMY41" s="19"/>
      <c r="PMZ41" s="19"/>
      <c r="PNA41" s="19"/>
      <c r="PNB41" s="19"/>
      <c r="PNC41" s="19"/>
      <c r="PND41" s="19"/>
      <c r="PNE41" s="19"/>
      <c r="PNF41" s="19"/>
      <c r="PNG41" s="19"/>
      <c r="PNH41" s="19"/>
      <c r="PNI41" s="19"/>
      <c r="PNJ41" s="19"/>
      <c r="PNK41" s="19"/>
      <c r="PNL41" s="19"/>
      <c r="PNM41" s="19"/>
      <c r="PNN41" s="19"/>
      <c r="PNO41" s="19"/>
      <c r="PNP41" s="19"/>
      <c r="PNQ41" s="19"/>
      <c r="PNR41" s="19"/>
      <c r="PNS41" s="19"/>
      <c r="PNT41" s="19"/>
      <c r="PNU41" s="19"/>
      <c r="PNV41" s="19"/>
      <c r="PNW41" s="19"/>
      <c r="PNX41" s="19"/>
      <c r="PNY41" s="19"/>
      <c r="PNZ41" s="19"/>
      <c r="POA41" s="19"/>
      <c r="POB41" s="19"/>
      <c r="POC41" s="19"/>
      <c r="POD41" s="19"/>
      <c r="POE41" s="19"/>
      <c r="POF41" s="19"/>
      <c r="POG41" s="19"/>
      <c r="POH41" s="19"/>
      <c r="POI41" s="19"/>
      <c r="POJ41" s="19"/>
      <c r="POK41" s="19"/>
      <c r="POL41" s="19"/>
      <c r="POM41" s="19"/>
      <c r="PON41" s="19"/>
      <c r="POO41" s="19"/>
      <c r="POP41" s="19"/>
      <c r="POQ41" s="19"/>
      <c r="POR41" s="19"/>
      <c r="POS41" s="19"/>
      <c r="POT41" s="19"/>
      <c r="POU41" s="19"/>
      <c r="POV41" s="19"/>
      <c r="POW41" s="19"/>
      <c r="POX41" s="19"/>
      <c r="POY41" s="19"/>
      <c r="POZ41" s="19"/>
      <c r="PPA41" s="19"/>
      <c r="PPB41" s="19"/>
      <c r="PPC41" s="19"/>
      <c r="PPD41" s="19"/>
      <c r="PPE41" s="19"/>
      <c r="PPF41" s="19"/>
      <c r="PPG41" s="19"/>
      <c r="PPH41" s="19"/>
      <c r="PPI41" s="19"/>
      <c r="PPJ41" s="19"/>
      <c r="PPK41" s="19"/>
      <c r="PPL41" s="19"/>
      <c r="PPM41" s="19"/>
      <c r="PPN41" s="19"/>
      <c r="PPO41" s="19"/>
      <c r="PPP41" s="19"/>
      <c r="PPQ41" s="19"/>
      <c r="PPR41" s="19"/>
      <c r="PPS41" s="19"/>
      <c r="PPT41" s="19"/>
      <c r="PPU41" s="19"/>
      <c r="PPV41" s="19"/>
      <c r="PPW41" s="19"/>
      <c r="PPX41" s="19"/>
      <c r="PPY41" s="19"/>
      <c r="PPZ41" s="19"/>
      <c r="PQA41" s="19"/>
      <c r="PQB41" s="19"/>
      <c r="PQC41" s="19"/>
      <c r="PQD41" s="19"/>
      <c r="PQE41" s="19"/>
      <c r="PQF41" s="19"/>
      <c r="PQG41" s="19"/>
      <c r="PQH41" s="19"/>
      <c r="PQI41" s="19"/>
      <c r="PQJ41" s="19"/>
      <c r="PQK41" s="19"/>
      <c r="PQL41" s="19"/>
      <c r="PQM41" s="19"/>
      <c r="PQN41" s="19"/>
      <c r="PQO41" s="19"/>
      <c r="PQP41" s="19"/>
      <c r="PQQ41" s="19"/>
      <c r="PQR41" s="19"/>
      <c r="PQS41" s="19"/>
      <c r="PQT41" s="19"/>
      <c r="PQU41" s="19"/>
      <c r="PQV41" s="19"/>
      <c r="PQW41" s="19"/>
      <c r="PQX41" s="19"/>
      <c r="PQY41" s="19"/>
      <c r="PQZ41" s="19"/>
      <c r="PRA41" s="19"/>
      <c r="PRB41" s="19"/>
      <c r="PRC41" s="19"/>
      <c r="PRD41" s="19"/>
      <c r="PRE41" s="19"/>
      <c r="PRF41" s="19"/>
      <c r="PRG41" s="19"/>
      <c r="PRH41" s="19"/>
      <c r="PRI41" s="19"/>
      <c r="PRJ41" s="19"/>
      <c r="PRK41" s="19"/>
      <c r="PRL41" s="19"/>
      <c r="PRM41" s="19"/>
      <c r="PRN41" s="19"/>
      <c r="PRO41" s="19"/>
      <c r="PRP41" s="19"/>
      <c r="PRQ41" s="19"/>
      <c r="PRR41" s="19"/>
      <c r="PRS41" s="19"/>
      <c r="PRT41" s="19"/>
      <c r="PRU41" s="19"/>
      <c r="PRV41" s="19"/>
      <c r="PRW41" s="19"/>
      <c r="PRX41" s="19"/>
      <c r="PRY41" s="19"/>
      <c r="PRZ41" s="19"/>
      <c r="PSA41" s="19"/>
      <c r="PSB41" s="19"/>
      <c r="PSC41" s="19"/>
      <c r="PSD41" s="19"/>
      <c r="PSE41" s="19"/>
      <c r="PSF41" s="19"/>
      <c r="PSG41" s="19"/>
      <c r="PSH41" s="19"/>
      <c r="PSI41" s="19"/>
      <c r="PSJ41" s="19"/>
      <c r="PSK41" s="19"/>
      <c r="PSL41" s="19"/>
      <c r="PSM41" s="19"/>
      <c r="PSN41" s="19"/>
      <c r="PSO41" s="19"/>
      <c r="PSP41" s="19"/>
      <c r="PSQ41" s="19"/>
      <c r="PSR41" s="19"/>
      <c r="PSS41" s="19"/>
      <c r="PST41" s="19"/>
      <c r="PSU41" s="19"/>
      <c r="PSV41" s="19"/>
      <c r="PSW41" s="19"/>
      <c r="PSX41" s="19"/>
      <c r="PSY41" s="19"/>
      <c r="PSZ41" s="19"/>
      <c r="PTA41" s="19"/>
      <c r="PTB41" s="19"/>
      <c r="PTC41" s="19"/>
      <c r="PTD41" s="19"/>
      <c r="PTE41" s="19"/>
      <c r="PTF41" s="19"/>
      <c r="PTG41" s="19"/>
      <c r="PTH41" s="19"/>
      <c r="PTI41" s="19"/>
      <c r="PTJ41" s="19"/>
      <c r="PTK41" s="19"/>
      <c r="PTL41" s="19"/>
      <c r="PTM41" s="19"/>
      <c r="PTN41" s="19"/>
      <c r="PTO41" s="19"/>
      <c r="PTP41" s="19"/>
      <c r="PTQ41" s="19"/>
      <c r="PTR41" s="19"/>
      <c r="PTS41" s="19"/>
      <c r="PTT41" s="19"/>
      <c r="PTU41" s="19"/>
      <c r="PTV41" s="19"/>
      <c r="PTW41" s="19"/>
      <c r="PTX41" s="19"/>
      <c r="PTY41" s="19"/>
      <c r="PTZ41" s="19"/>
      <c r="PUA41" s="19"/>
      <c r="PUB41" s="19"/>
      <c r="PUC41" s="19"/>
      <c r="PUD41" s="19"/>
      <c r="PUE41" s="19"/>
      <c r="PUF41" s="19"/>
      <c r="PUG41" s="19"/>
      <c r="PUH41" s="19"/>
      <c r="PUI41" s="19"/>
      <c r="PUJ41" s="19"/>
      <c r="PUK41" s="19"/>
      <c r="PUL41" s="19"/>
      <c r="PUM41" s="19"/>
      <c r="PUN41" s="19"/>
      <c r="PUO41" s="19"/>
      <c r="PUP41" s="19"/>
      <c r="PUQ41" s="19"/>
      <c r="PUR41" s="19"/>
      <c r="PUS41" s="19"/>
      <c r="PUT41" s="19"/>
      <c r="PUU41" s="19"/>
      <c r="PUV41" s="19"/>
      <c r="PUW41" s="19"/>
      <c r="PUX41" s="19"/>
      <c r="PUY41" s="19"/>
      <c r="PUZ41" s="19"/>
      <c r="PVA41" s="19"/>
      <c r="PVB41" s="19"/>
      <c r="PVC41" s="19"/>
      <c r="PVD41" s="19"/>
      <c r="PVE41" s="19"/>
      <c r="PVF41" s="19"/>
      <c r="PVG41" s="19"/>
      <c r="PVH41" s="19"/>
      <c r="PVI41" s="19"/>
      <c r="PVJ41" s="19"/>
      <c r="PVK41" s="19"/>
      <c r="PVL41" s="19"/>
      <c r="PVM41" s="19"/>
      <c r="PVN41" s="19"/>
      <c r="PVO41" s="19"/>
      <c r="PVP41" s="19"/>
      <c r="PVQ41" s="19"/>
      <c r="PVR41" s="19"/>
      <c r="PVS41" s="19"/>
      <c r="PVT41" s="19"/>
      <c r="PVU41" s="19"/>
      <c r="PVV41" s="19"/>
      <c r="PVW41" s="19"/>
      <c r="PVX41" s="19"/>
      <c r="PVY41" s="19"/>
      <c r="PVZ41" s="19"/>
      <c r="PWA41" s="19"/>
      <c r="PWB41" s="19"/>
      <c r="PWC41" s="19"/>
      <c r="PWD41" s="19"/>
      <c r="PWE41" s="19"/>
      <c r="PWF41" s="19"/>
      <c r="PWG41" s="19"/>
      <c r="PWH41" s="19"/>
      <c r="PWI41" s="19"/>
      <c r="PWJ41" s="19"/>
      <c r="PWK41" s="19"/>
      <c r="PWL41" s="19"/>
      <c r="PWM41" s="19"/>
      <c r="PWN41" s="19"/>
      <c r="PWO41" s="19"/>
      <c r="PWP41" s="19"/>
      <c r="PWQ41" s="19"/>
      <c r="PWR41" s="19"/>
      <c r="PWS41" s="19"/>
      <c r="PWT41" s="19"/>
      <c r="PWU41" s="19"/>
      <c r="PWV41" s="19"/>
      <c r="PWW41" s="19"/>
      <c r="PWX41" s="19"/>
      <c r="PWY41" s="19"/>
      <c r="PWZ41" s="19"/>
      <c r="PXA41" s="19"/>
      <c r="PXB41" s="19"/>
      <c r="PXC41" s="19"/>
      <c r="PXD41" s="19"/>
      <c r="PXE41" s="19"/>
      <c r="PXF41" s="19"/>
      <c r="PXG41" s="19"/>
      <c r="PXH41" s="19"/>
      <c r="PXI41" s="19"/>
      <c r="PXJ41" s="19"/>
      <c r="PXK41" s="19"/>
      <c r="PXL41" s="19"/>
      <c r="PXM41" s="19"/>
      <c r="PXN41" s="19"/>
      <c r="PXO41" s="19"/>
      <c r="PXP41" s="19"/>
      <c r="PXQ41" s="19"/>
      <c r="PXR41" s="19"/>
      <c r="PXS41" s="19"/>
      <c r="PXT41" s="19"/>
      <c r="PXU41" s="19"/>
      <c r="PXV41" s="19"/>
      <c r="PXW41" s="19"/>
      <c r="PXX41" s="19"/>
      <c r="PXY41" s="19"/>
      <c r="PXZ41" s="19"/>
      <c r="PYA41" s="19"/>
      <c r="PYB41" s="19"/>
      <c r="PYC41" s="19"/>
      <c r="PYD41" s="19"/>
      <c r="PYE41" s="19"/>
      <c r="PYF41" s="19"/>
      <c r="PYG41" s="19"/>
      <c r="PYH41" s="19"/>
      <c r="PYI41" s="19"/>
      <c r="PYJ41" s="19"/>
      <c r="PYK41" s="19"/>
      <c r="PYL41" s="19"/>
      <c r="PYM41" s="19"/>
      <c r="PYN41" s="19"/>
      <c r="PYO41" s="19"/>
      <c r="PYP41" s="19"/>
      <c r="PYQ41" s="19"/>
      <c r="PYR41" s="19"/>
      <c r="PYS41" s="19"/>
      <c r="PYT41" s="19"/>
      <c r="PYU41" s="19"/>
      <c r="PYV41" s="19"/>
      <c r="PYW41" s="19"/>
      <c r="PYX41" s="19"/>
      <c r="PYY41" s="19"/>
      <c r="PYZ41" s="19"/>
      <c r="PZA41" s="19"/>
      <c r="PZB41" s="19"/>
      <c r="PZC41" s="19"/>
      <c r="PZD41" s="19"/>
      <c r="PZE41" s="19"/>
      <c r="PZF41" s="19"/>
      <c r="PZG41" s="19"/>
      <c r="PZH41" s="19"/>
      <c r="PZI41" s="19"/>
      <c r="PZJ41" s="19"/>
      <c r="PZK41" s="19"/>
      <c r="PZL41" s="19"/>
      <c r="PZM41" s="19"/>
      <c r="PZN41" s="19"/>
      <c r="PZO41" s="19"/>
      <c r="PZP41" s="19"/>
      <c r="PZQ41" s="19"/>
      <c r="PZR41" s="19"/>
      <c r="PZS41" s="19"/>
      <c r="PZT41" s="19"/>
      <c r="PZU41" s="19"/>
      <c r="PZV41" s="19"/>
      <c r="PZW41" s="19"/>
      <c r="PZX41" s="19"/>
      <c r="PZY41" s="19"/>
      <c r="PZZ41" s="19"/>
      <c r="QAA41" s="19"/>
      <c r="QAB41" s="19"/>
      <c r="QAC41" s="19"/>
      <c r="QAD41" s="19"/>
      <c r="QAE41" s="19"/>
      <c r="QAF41" s="19"/>
      <c r="QAG41" s="19"/>
      <c r="QAH41" s="19"/>
      <c r="QAI41" s="19"/>
      <c r="QAJ41" s="19"/>
      <c r="QAK41" s="19"/>
      <c r="QAL41" s="19"/>
      <c r="QAM41" s="19"/>
      <c r="QAN41" s="19"/>
      <c r="QAO41" s="19"/>
      <c r="QAP41" s="19"/>
      <c r="QAQ41" s="19"/>
      <c r="QAR41" s="19"/>
      <c r="QAS41" s="19"/>
      <c r="QAT41" s="19"/>
      <c r="QAU41" s="19"/>
      <c r="QAV41" s="19"/>
      <c r="QAW41" s="19"/>
      <c r="QAX41" s="19"/>
      <c r="QAY41" s="19"/>
      <c r="QAZ41" s="19"/>
      <c r="QBA41" s="19"/>
      <c r="QBB41" s="19"/>
      <c r="QBC41" s="19"/>
      <c r="QBD41" s="19"/>
      <c r="QBE41" s="19"/>
      <c r="QBF41" s="19"/>
      <c r="QBG41" s="19"/>
      <c r="QBH41" s="19"/>
      <c r="QBI41" s="19"/>
      <c r="QBJ41" s="19"/>
      <c r="QBK41" s="19"/>
      <c r="QBL41" s="19"/>
      <c r="QBM41" s="19"/>
      <c r="QBN41" s="19"/>
      <c r="QBO41" s="19"/>
      <c r="QBP41" s="19"/>
      <c r="QBQ41" s="19"/>
      <c r="QBR41" s="19"/>
      <c r="QBS41" s="19"/>
      <c r="QBT41" s="19"/>
      <c r="QBU41" s="19"/>
      <c r="QBV41" s="19"/>
      <c r="QBW41" s="19"/>
      <c r="QBX41" s="19"/>
      <c r="QBY41" s="19"/>
      <c r="QBZ41" s="19"/>
      <c r="QCA41" s="19"/>
      <c r="QCB41" s="19"/>
      <c r="QCC41" s="19"/>
      <c r="QCD41" s="19"/>
      <c r="QCE41" s="19"/>
      <c r="QCF41" s="19"/>
      <c r="QCG41" s="19"/>
      <c r="QCH41" s="19"/>
      <c r="QCI41" s="19"/>
      <c r="QCJ41" s="19"/>
      <c r="QCK41" s="19"/>
      <c r="QCL41" s="19"/>
      <c r="QCM41" s="19"/>
      <c r="QCN41" s="19"/>
      <c r="QCO41" s="19"/>
      <c r="QCP41" s="19"/>
      <c r="QCQ41" s="19"/>
      <c r="QCR41" s="19"/>
      <c r="QCS41" s="19"/>
      <c r="QCT41" s="19"/>
      <c r="QCU41" s="19"/>
      <c r="QCV41" s="19"/>
      <c r="QCW41" s="19"/>
      <c r="QCX41" s="19"/>
      <c r="QCY41" s="19"/>
      <c r="QCZ41" s="19"/>
      <c r="QDA41" s="19"/>
      <c r="QDB41" s="19"/>
      <c r="QDC41" s="19"/>
      <c r="QDD41" s="19"/>
      <c r="QDE41" s="19"/>
      <c r="QDF41" s="19"/>
      <c r="QDG41" s="19"/>
      <c r="QDH41" s="19"/>
      <c r="QDI41" s="19"/>
      <c r="QDJ41" s="19"/>
      <c r="QDK41" s="19"/>
      <c r="QDL41" s="19"/>
      <c r="QDM41" s="19"/>
      <c r="QDN41" s="19"/>
      <c r="QDO41" s="19"/>
      <c r="QDP41" s="19"/>
      <c r="QDQ41" s="19"/>
      <c r="QDR41" s="19"/>
      <c r="QDS41" s="19"/>
      <c r="QDT41" s="19"/>
      <c r="QDU41" s="19"/>
      <c r="QDV41" s="19"/>
      <c r="QDW41" s="19"/>
      <c r="QDX41" s="19"/>
      <c r="QDY41" s="19"/>
      <c r="QDZ41" s="19"/>
      <c r="QEA41" s="19"/>
      <c r="QEB41" s="19"/>
      <c r="QEC41" s="19"/>
      <c r="QED41" s="19"/>
      <c r="QEE41" s="19"/>
      <c r="QEF41" s="19"/>
      <c r="QEG41" s="19"/>
      <c r="QEH41" s="19"/>
      <c r="QEI41" s="19"/>
      <c r="QEJ41" s="19"/>
      <c r="QEK41" s="19"/>
      <c r="QEL41" s="19"/>
      <c r="QEM41" s="19"/>
      <c r="QEN41" s="19"/>
      <c r="QEO41" s="19"/>
      <c r="QEP41" s="19"/>
      <c r="QEQ41" s="19"/>
      <c r="QER41" s="19"/>
      <c r="QES41" s="19"/>
      <c r="QET41" s="19"/>
      <c r="QEU41" s="19"/>
      <c r="QEV41" s="19"/>
      <c r="QEW41" s="19"/>
      <c r="QEX41" s="19"/>
      <c r="QEY41" s="19"/>
      <c r="QEZ41" s="19"/>
      <c r="QFA41" s="19"/>
      <c r="QFB41" s="19"/>
      <c r="QFC41" s="19"/>
      <c r="QFD41" s="19"/>
      <c r="QFE41" s="19"/>
      <c r="QFF41" s="19"/>
      <c r="QFG41" s="19"/>
      <c r="QFH41" s="19"/>
      <c r="QFI41" s="19"/>
      <c r="QFJ41" s="19"/>
      <c r="QFK41" s="19"/>
      <c r="QFL41" s="19"/>
      <c r="QFM41" s="19"/>
      <c r="QFN41" s="19"/>
      <c r="QFO41" s="19"/>
      <c r="QFP41" s="19"/>
      <c r="QFQ41" s="19"/>
      <c r="QFR41" s="19"/>
      <c r="QFS41" s="19"/>
      <c r="QFT41" s="19"/>
      <c r="QFU41" s="19"/>
      <c r="QFV41" s="19"/>
      <c r="QFW41" s="19"/>
      <c r="QFX41" s="19"/>
      <c r="QFY41" s="19"/>
      <c r="QFZ41" s="19"/>
      <c r="QGA41" s="19"/>
      <c r="QGB41" s="19"/>
      <c r="QGC41" s="19"/>
      <c r="QGD41" s="19"/>
      <c r="QGE41" s="19"/>
      <c r="QGF41" s="19"/>
      <c r="QGG41" s="19"/>
      <c r="QGH41" s="19"/>
      <c r="QGI41" s="19"/>
      <c r="QGJ41" s="19"/>
      <c r="QGK41" s="19"/>
      <c r="QGL41" s="19"/>
      <c r="QGM41" s="19"/>
      <c r="QGN41" s="19"/>
      <c r="QGO41" s="19"/>
      <c r="QGP41" s="19"/>
      <c r="QGQ41" s="19"/>
      <c r="QGR41" s="19"/>
      <c r="QGS41" s="19"/>
      <c r="QGT41" s="19"/>
      <c r="QGU41" s="19"/>
      <c r="QGV41" s="19"/>
      <c r="QGW41" s="19"/>
      <c r="QGX41" s="19"/>
      <c r="QGY41" s="19"/>
      <c r="QGZ41" s="19"/>
      <c r="QHA41" s="19"/>
      <c r="QHB41" s="19"/>
      <c r="QHC41" s="19"/>
      <c r="QHD41" s="19"/>
      <c r="QHE41" s="19"/>
      <c r="QHF41" s="19"/>
      <c r="QHG41" s="19"/>
      <c r="QHH41" s="19"/>
      <c r="QHI41" s="19"/>
      <c r="QHJ41" s="19"/>
      <c r="QHK41" s="19"/>
      <c r="QHL41" s="19"/>
      <c r="QHM41" s="19"/>
      <c r="QHN41" s="19"/>
      <c r="QHO41" s="19"/>
      <c r="QHP41" s="19"/>
      <c r="QHQ41" s="19"/>
      <c r="QHR41" s="19"/>
      <c r="QHS41" s="19"/>
      <c r="QHT41" s="19"/>
      <c r="QHU41" s="19"/>
      <c r="QHV41" s="19"/>
      <c r="QHW41" s="19"/>
      <c r="QHX41" s="19"/>
      <c r="QHY41" s="19"/>
      <c r="QHZ41" s="19"/>
      <c r="QIA41" s="19"/>
      <c r="QIB41" s="19"/>
      <c r="QIC41" s="19"/>
      <c r="QID41" s="19"/>
      <c r="QIE41" s="19"/>
      <c r="QIF41" s="19"/>
      <c r="QIG41" s="19"/>
      <c r="QIH41" s="19"/>
      <c r="QII41" s="19"/>
      <c r="QIJ41" s="19"/>
      <c r="QIK41" s="19"/>
      <c r="QIL41" s="19"/>
      <c r="QIM41" s="19"/>
      <c r="QIN41" s="19"/>
      <c r="QIO41" s="19"/>
      <c r="QIP41" s="19"/>
      <c r="QIQ41" s="19"/>
      <c r="QIR41" s="19"/>
      <c r="QIS41" s="19"/>
      <c r="QIT41" s="19"/>
      <c r="QIU41" s="19"/>
      <c r="QIV41" s="19"/>
      <c r="QIW41" s="19"/>
      <c r="QIX41" s="19"/>
      <c r="QIY41" s="19"/>
      <c r="QIZ41" s="19"/>
      <c r="QJA41" s="19"/>
      <c r="QJB41" s="19"/>
      <c r="QJC41" s="19"/>
      <c r="QJD41" s="19"/>
      <c r="QJE41" s="19"/>
      <c r="QJF41" s="19"/>
      <c r="QJG41" s="19"/>
      <c r="QJH41" s="19"/>
      <c r="QJI41" s="19"/>
      <c r="QJJ41" s="19"/>
      <c r="QJK41" s="19"/>
      <c r="QJL41" s="19"/>
      <c r="QJM41" s="19"/>
      <c r="QJN41" s="19"/>
      <c r="QJO41" s="19"/>
      <c r="QJP41" s="19"/>
      <c r="QJQ41" s="19"/>
      <c r="QJR41" s="19"/>
      <c r="QJS41" s="19"/>
      <c r="QJT41" s="19"/>
      <c r="QJU41" s="19"/>
      <c r="QJV41" s="19"/>
      <c r="QJW41" s="19"/>
      <c r="QJX41" s="19"/>
      <c r="QJY41" s="19"/>
      <c r="QJZ41" s="19"/>
      <c r="QKA41" s="19"/>
      <c r="QKB41" s="19"/>
      <c r="QKC41" s="19"/>
      <c r="QKD41" s="19"/>
      <c r="QKE41" s="19"/>
      <c r="QKF41" s="19"/>
      <c r="QKG41" s="19"/>
      <c r="QKH41" s="19"/>
      <c r="QKI41" s="19"/>
      <c r="QKJ41" s="19"/>
      <c r="QKK41" s="19"/>
      <c r="QKL41" s="19"/>
      <c r="QKM41" s="19"/>
      <c r="QKN41" s="19"/>
      <c r="QKO41" s="19"/>
      <c r="QKP41" s="19"/>
      <c r="QKQ41" s="19"/>
      <c r="QKR41" s="19"/>
      <c r="QKS41" s="19"/>
      <c r="QKT41" s="19"/>
      <c r="QKU41" s="19"/>
      <c r="QKV41" s="19"/>
      <c r="QKW41" s="19"/>
      <c r="QKX41" s="19"/>
      <c r="QKY41" s="19"/>
      <c r="QKZ41" s="19"/>
      <c r="QLA41" s="19"/>
      <c r="QLB41" s="19"/>
      <c r="QLC41" s="19"/>
      <c r="QLD41" s="19"/>
      <c r="QLE41" s="19"/>
      <c r="QLF41" s="19"/>
      <c r="QLG41" s="19"/>
      <c r="QLH41" s="19"/>
      <c r="QLI41" s="19"/>
      <c r="QLJ41" s="19"/>
      <c r="QLK41" s="19"/>
      <c r="QLL41" s="19"/>
      <c r="QLM41" s="19"/>
      <c r="QLN41" s="19"/>
      <c r="QLO41" s="19"/>
      <c r="QLP41" s="19"/>
      <c r="QLQ41" s="19"/>
      <c r="QLR41" s="19"/>
      <c r="QLS41" s="19"/>
      <c r="QLT41" s="19"/>
      <c r="QLU41" s="19"/>
      <c r="QLV41" s="19"/>
      <c r="QLW41" s="19"/>
      <c r="QLX41" s="19"/>
      <c r="QLY41" s="19"/>
      <c r="QLZ41" s="19"/>
      <c r="QMA41" s="19"/>
      <c r="QMB41" s="19"/>
      <c r="QMC41" s="19"/>
      <c r="QMD41" s="19"/>
      <c r="QME41" s="19"/>
      <c r="QMF41" s="19"/>
      <c r="QMG41" s="19"/>
      <c r="QMH41" s="19"/>
      <c r="QMI41" s="19"/>
      <c r="QMJ41" s="19"/>
      <c r="QMK41" s="19"/>
      <c r="QML41" s="19"/>
      <c r="QMM41" s="19"/>
      <c r="QMN41" s="19"/>
      <c r="QMO41" s="19"/>
      <c r="QMP41" s="19"/>
      <c r="QMQ41" s="19"/>
      <c r="QMR41" s="19"/>
      <c r="QMS41" s="19"/>
      <c r="QMT41" s="19"/>
      <c r="QMU41" s="19"/>
      <c r="QMV41" s="19"/>
      <c r="QMW41" s="19"/>
      <c r="QMX41" s="19"/>
      <c r="QMY41" s="19"/>
      <c r="QMZ41" s="19"/>
      <c r="QNA41" s="19"/>
      <c r="QNB41" s="19"/>
      <c r="QNC41" s="19"/>
      <c r="QND41" s="19"/>
      <c r="QNE41" s="19"/>
      <c r="QNF41" s="19"/>
      <c r="QNG41" s="19"/>
      <c r="QNH41" s="19"/>
      <c r="QNI41" s="19"/>
      <c r="QNJ41" s="19"/>
      <c r="QNK41" s="19"/>
      <c r="QNL41" s="19"/>
      <c r="QNM41" s="19"/>
      <c r="QNN41" s="19"/>
      <c r="QNO41" s="19"/>
      <c r="QNP41" s="19"/>
      <c r="QNQ41" s="19"/>
      <c r="QNR41" s="19"/>
      <c r="QNS41" s="19"/>
      <c r="QNT41" s="19"/>
      <c r="QNU41" s="19"/>
      <c r="QNV41" s="19"/>
      <c r="QNW41" s="19"/>
      <c r="QNX41" s="19"/>
      <c r="QNY41" s="19"/>
      <c r="QNZ41" s="19"/>
      <c r="QOA41" s="19"/>
      <c r="QOB41" s="19"/>
      <c r="QOC41" s="19"/>
      <c r="QOD41" s="19"/>
      <c r="QOE41" s="19"/>
      <c r="QOF41" s="19"/>
      <c r="QOG41" s="19"/>
      <c r="QOH41" s="19"/>
      <c r="QOI41" s="19"/>
      <c r="QOJ41" s="19"/>
      <c r="QOK41" s="19"/>
      <c r="QOL41" s="19"/>
      <c r="QOM41" s="19"/>
      <c r="QON41" s="19"/>
      <c r="QOO41" s="19"/>
      <c r="QOP41" s="19"/>
      <c r="QOQ41" s="19"/>
      <c r="QOR41" s="19"/>
      <c r="QOS41" s="19"/>
      <c r="QOT41" s="19"/>
      <c r="QOU41" s="19"/>
      <c r="QOV41" s="19"/>
      <c r="QOW41" s="19"/>
      <c r="QOX41" s="19"/>
      <c r="QOY41" s="19"/>
      <c r="QOZ41" s="19"/>
      <c r="QPA41" s="19"/>
      <c r="QPB41" s="19"/>
      <c r="QPC41" s="19"/>
      <c r="QPD41" s="19"/>
      <c r="QPE41" s="19"/>
      <c r="QPF41" s="19"/>
      <c r="QPG41" s="19"/>
      <c r="QPH41" s="19"/>
      <c r="QPI41" s="19"/>
      <c r="QPJ41" s="19"/>
      <c r="QPK41" s="19"/>
      <c r="QPL41" s="19"/>
      <c r="QPM41" s="19"/>
      <c r="QPN41" s="19"/>
      <c r="QPO41" s="19"/>
      <c r="QPP41" s="19"/>
      <c r="QPQ41" s="19"/>
      <c r="QPR41" s="19"/>
      <c r="QPS41" s="19"/>
      <c r="QPT41" s="19"/>
      <c r="QPU41" s="19"/>
      <c r="QPV41" s="19"/>
      <c r="QPW41" s="19"/>
      <c r="QPX41" s="19"/>
      <c r="QPY41" s="19"/>
      <c r="QPZ41" s="19"/>
      <c r="QQA41" s="19"/>
      <c r="QQB41" s="19"/>
      <c r="QQC41" s="19"/>
      <c r="QQD41" s="19"/>
      <c r="QQE41" s="19"/>
      <c r="QQF41" s="19"/>
      <c r="QQG41" s="19"/>
      <c r="QQH41" s="19"/>
      <c r="QQI41" s="19"/>
      <c r="QQJ41" s="19"/>
      <c r="QQK41" s="19"/>
      <c r="QQL41" s="19"/>
      <c r="QQM41" s="19"/>
      <c r="QQN41" s="19"/>
      <c r="QQO41" s="19"/>
      <c r="QQP41" s="19"/>
      <c r="QQQ41" s="19"/>
      <c r="QQR41" s="19"/>
      <c r="QQS41" s="19"/>
      <c r="QQT41" s="19"/>
      <c r="QQU41" s="19"/>
      <c r="QQV41" s="19"/>
      <c r="QQW41" s="19"/>
      <c r="QQX41" s="19"/>
      <c r="QQY41" s="19"/>
      <c r="QQZ41" s="19"/>
      <c r="QRA41" s="19"/>
      <c r="QRB41" s="19"/>
      <c r="QRC41" s="19"/>
      <c r="QRD41" s="19"/>
      <c r="QRE41" s="19"/>
      <c r="QRF41" s="19"/>
      <c r="QRG41" s="19"/>
      <c r="QRH41" s="19"/>
      <c r="QRI41" s="19"/>
      <c r="QRJ41" s="19"/>
      <c r="QRK41" s="19"/>
      <c r="QRL41" s="19"/>
      <c r="QRM41" s="19"/>
      <c r="QRN41" s="19"/>
      <c r="QRO41" s="19"/>
      <c r="QRP41" s="19"/>
      <c r="QRQ41" s="19"/>
      <c r="QRR41" s="19"/>
      <c r="QRS41" s="19"/>
      <c r="QRT41" s="19"/>
      <c r="QRU41" s="19"/>
      <c r="QRV41" s="19"/>
      <c r="QRW41" s="19"/>
      <c r="QRX41" s="19"/>
      <c r="QRY41" s="19"/>
      <c r="QRZ41" s="19"/>
      <c r="QSA41" s="19"/>
      <c r="QSB41" s="19"/>
      <c r="QSC41" s="19"/>
      <c r="QSD41" s="19"/>
      <c r="QSE41" s="19"/>
      <c r="QSF41" s="19"/>
      <c r="QSG41" s="19"/>
      <c r="QSH41" s="19"/>
      <c r="QSI41" s="19"/>
      <c r="QSJ41" s="19"/>
      <c r="QSK41" s="19"/>
      <c r="QSL41" s="19"/>
      <c r="QSM41" s="19"/>
      <c r="QSN41" s="19"/>
      <c r="QSO41" s="19"/>
      <c r="QSP41" s="19"/>
      <c r="QSQ41" s="19"/>
      <c r="QSR41" s="19"/>
      <c r="QSS41" s="19"/>
      <c r="QST41" s="19"/>
      <c r="QSU41" s="19"/>
      <c r="QSV41" s="19"/>
      <c r="QSW41" s="19"/>
      <c r="QSX41" s="19"/>
      <c r="QSY41" s="19"/>
      <c r="QSZ41" s="19"/>
      <c r="QTA41" s="19"/>
      <c r="QTB41" s="19"/>
      <c r="QTC41" s="19"/>
      <c r="QTD41" s="19"/>
      <c r="QTE41" s="19"/>
      <c r="QTF41" s="19"/>
      <c r="QTG41" s="19"/>
      <c r="QTH41" s="19"/>
      <c r="QTI41" s="19"/>
      <c r="QTJ41" s="19"/>
      <c r="QTK41" s="19"/>
      <c r="QTL41" s="19"/>
      <c r="QTM41" s="19"/>
      <c r="QTN41" s="19"/>
      <c r="QTO41" s="19"/>
      <c r="QTP41" s="19"/>
      <c r="QTQ41" s="19"/>
      <c r="QTR41" s="19"/>
      <c r="QTS41" s="19"/>
      <c r="QTT41" s="19"/>
      <c r="QTU41" s="19"/>
      <c r="QTV41" s="19"/>
      <c r="QTW41" s="19"/>
      <c r="QTX41" s="19"/>
      <c r="QTY41" s="19"/>
      <c r="QTZ41" s="19"/>
      <c r="QUA41" s="19"/>
      <c r="QUB41" s="19"/>
      <c r="QUC41" s="19"/>
      <c r="QUD41" s="19"/>
      <c r="QUE41" s="19"/>
      <c r="QUF41" s="19"/>
      <c r="QUG41" s="19"/>
      <c r="QUH41" s="19"/>
      <c r="QUI41" s="19"/>
      <c r="QUJ41" s="19"/>
      <c r="QUK41" s="19"/>
      <c r="QUL41" s="19"/>
      <c r="QUM41" s="19"/>
      <c r="QUN41" s="19"/>
      <c r="QUO41" s="19"/>
      <c r="QUP41" s="19"/>
      <c r="QUQ41" s="19"/>
      <c r="QUR41" s="19"/>
      <c r="QUS41" s="19"/>
      <c r="QUT41" s="19"/>
      <c r="QUU41" s="19"/>
      <c r="QUV41" s="19"/>
      <c r="QUW41" s="19"/>
      <c r="QUX41" s="19"/>
      <c r="QUY41" s="19"/>
      <c r="QUZ41" s="19"/>
      <c r="QVA41" s="19"/>
      <c r="QVB41" s="19"/>
      <c r="QVC41" s="19"/>
      <c r="QVD41" s="19"/>
      <c r="QVE41" s="19"/>
      <c r="QVF41" s="19"/>
      <c r="QVG41" s="19"/>
      <c r="QVH41" s="19"/>
      <c r="QVI41" s="19"/>
      <c r="QVJ41" s="19"/>
      <c r="QVK41" s="19"/>
      <c r="QVL41" s="19"/>
      <c r="QVM41" s="19"/>
      <c r="QVN41" s="19"/>
      <c r="QVO41" s="19"/>
      <c r="QVP41" s="19"/>
      <c r="QVQ41" s="19"/>
      <c r="QVR41" s="19"/>
      <c r="QVS41" s="19"/>
      <c r="QVT41" s="19"/>
      <c r="QVU41" s="19"/>
      <c r="QVV41" s="19"/>
      <c r="QVW41" s="19"/>
      <c r="QVX41" s="19"/>
      <c r="QVY41" s="19"/>
      <c r="QVZ41" s="19"/>
      <c r="QWA41" s="19"/>
      <c r="QWB41" s="19"/>
      <c r="QWC41" s="19"/>
      <c r="QWD41" s="19"/>
      <c r="QWE41" s="19"/>
      <c r="QWF41" s="19"/>
      <c r="QWG41" s="19"/>
      <c r="QWH41" s="19"/>
      <c r="QWI41" s="19"/>
      <c r="QWJ41" s="19"/>
      <c r="QWK41" s="19"/>
      <c r="QWL41" s="19"/>
      <c r="QWM41" s="19"/>
      <c r="QWN41" s="19"/>
      <c r="QWO41" s="19"/>
      <c r="QWP41" s="19"/>
      <c r="QWQ41" s="19"/>
      <c r="QWR41" s="19"/>
      <c r="QWS41" s="19"/>
      <c r="QWT41" s="19"/>
      <c r="QWU41" s="19"/>
      <c r="QWV41" s="19"/>
      <c r="QWW41" s="19"/>
      <c r="QWX41" s="19"/>
      <c r="QWY41" s="19"/>
      <c r="QWZ41" s="19"/>
      <c r="QXA41" s="19"/>
      <c r="QXB41" s="19"/>
      <c r="QXC41" s="19"/>
      <c r="QXD41" s="19"/>
      <c r="QXE41" s="19"/>
      <c r="QXF41" s="19"/>
      <c r="QXG41" s="19"/>
      <c r="QXH41" s="19"/>
      <c r="QXI41" s="19"/>
      <c r="QXJ41" s="19"/>
      <c r="QXK41" s="19"/>
      <c r="QXL41" s="19"/>
      <c r="QXM41" s="19"/>
      <c r="QXN41" s="19"/>
      <c r="QXO41" s="19"/>
      <c r="QXP41" s="19"/>
      <c r="QXQ41" s="19"/>
      <c r="QXR41" s="19"/>
      <c r="QXS41" s="19"/>
      <c r="QXT41" s="19"/>
      <c r="QXU41" s="19"/>
      <c r="QXV41" s="19"/>
      <c r="QXW41" s="19"/>
      <c r="QXX41" s="19"/>
      <c r="QXY41" s="19"/>
      <c r="QXZ41" s="19"/>
      <c r="QYA41" s="19"/>
      <c r="QYB41" s="19"/>
      <c r="QYC41" s="19"/>
      <c r="QYD41" s="19"/>
      <c r="QYE41" s="19"/>
      <c r="QYF41" s="19"/>
      <c r="QYG41" s="19"/>
      <c r="QYH41" s="19"/>
      <c r="QYI41" s="19"/>
      <c r="QYJ41" s="19"/>
      <c r="QYK41" s="19"/>
      <c r="QYL41" s="19"/>
      <c r="QYM41" s="19"/>
      <c r="QYN41" s="19"/>
      <c r="QYO41" s="19"/>
      <c r="QYP41" s="19"/>
      <c r="QYQ41" s="19"/>
      <c r="QYR41" s="19"/>
      <c r="QYS41" s="19"/>
      <c r="QYT41" s="19"/>
      <c r="QYU41" s="19"/>
      <c r="QYV41" s="19"/>
      <c r="QYW41" s="19"/>
      <c r="QYX41" s="19"/>
      <c r="QYY41" s="19"/>
      <c r="QYZ41" s="19"/>
      <c r="QZA41" s="19"/>
      <c r="QZB41" s="19"/>
      <c r="QZC41" s="19"/>
      <c r="QZD41" s="19"/>
      <c r="QZE41" s="19"/>
      <c r="QZF41" s="19"/>
      <c r="QZG41" s="19"/>
      <c r="QZH41" s="19"/>
      <c r="QZI41" s="19"/>
      <c r="QZJ41" s="19"/>
      <c r="QZK41" s="19"/>
      <c r="QZL41" s="19"/>
      <c r="QZM41" s="19"/>
      <c r="QZN41" s="19"/>
      <c r="QZO41" s="19"/>
      <c r="QZP41" s="19"/>
      <c r="QZQ41" s="19"/>
      <c r="QZR41" s="19"/>
      <c r="QZS41" s="19"/>
      <c r="QZT41" s="19"/>
      <c r="QZU41" s="19"/>
      <c r="QZV41" s="19"/>
      <c r="QZW41" s="19"/>
      <c r="QZX41" s="19"/>
      <c r="QZY41" s="19"/>
      <c r="QZZ41" s="19"/>
      <c r="RAA41" s="19"/>
      <c r="RAB41" s="19"/>
      <c r="RAC41" s="19"/>
      <c r="RAD41" s="19"/>
      <c r="RAE41" s="19"/>
      <c r="RAF41" s="19"/>
      <c r="RAG41" s="19"/>
      <c r="RAH41" s="19"/>
      <c r="RAI41" s="19"/>
      <c r="RAJ41" s="19"/>
      <c r="RAK41" s="19"/>
      <c r="RAL41" s="19"/>
      <c r="RAM41" s="19"/>
      <c r="RAN41" s="19"/>
      <c r="RAO41" s="19"/>
      <c r="RAP41" s="19"/>
      <c r="RAQ41" s="19"/>
      <c r="RAR41" s="19"/>
      <c r="RAS41" s="19"/>
      <c r="RAT41" s="19"/>
      <c r="RAU41" s="19"/>
      <c r="RAV41" s="19"/>
      <c r="RAW41" s="19"/>
      <c r="RAX41" s="19"/>
      <c r="RAY41" s="19"/>
      <c r="RAZ41" s="19"/>
      <c r="RBA41" s="19"/>
      <c r="RBB41" s="19"/>
      <c r="RBC41" s="19"/>
      <c r="RBD41" s="19"/>
      <c r="RBE41" s="19"/>
      <c r="RBF41" s="19"/>
      <c r="RBG41" s="19"/>
      <c r="RBH41" s="19"/>
      <c r="RBI41" s="19"/>
      <c r="RBJ41" s="19"/>
      <c r="RBK41" s="19"/>
      <c r="RBL41" s="19"/>
      <c r="RBM41" s="19"/>
      <c r="RBN41" s="19"/>
      <c r="RBO41" s="19"/>
      <c r="RBP41" s="19"/>
      <c r="RBQ41" s="19"/>
      <c r="RBR41" s="19"/>
      <c r="RBS41" s="19"/>
      <c r="RBT41" s="19"/>
      <c r="RBU41" s="19"/>
      <c r="RBV41" s="19"/>
      <c r="RBW41" s="19"/>
      <c r="RBX41" s="19"/>
      <c r="RBY41" s="19"/>
      <c r="RBZ41" s="19"/>
      <c r="RCA41" s="19"/>
      <c r="RCB41" s="19"/>
      <c r="RCC41" s="19"/>
      <c r="RCD41" s="19"/>
      <c r="RCE41" s="19"/>
      <c r="RCF41" s="19"/>
      <c r="RCG41" s="19"/>
      <c r="RCH41" s="19"/>
      <c r="RCI41" s="19"/>
      <c r="RCJ41" s="19"/>
      <c r="RCK41" s="19"/>
      <c r="RCL41" s="19"/>
      <c r="RCM41" s="19"/>
      <c r="RCN41" s="19"/>
      <c r="RCO41" s="19"/>
      <c r="RCP41" s="19"/>
      <c r="RCQ41" s="19"/>
      <c r="RCR41" s="19"/>
      <c r="RCS41" s="19"/>
      <c r="RCT41" s="19"/>
      <c r="RCU41" s="19"/>
      <c r="RCV41" s="19"/>
      <c r="RCW41" s="19"/>
      <c r="RCX41" s="19"/>
      <c r="RCY41" s="19"/>
      <c r="RCZ41" s="19"/>
      <c r="RDA41" s="19"/>
      <c r="RDB41" s="19"/>
      <c r="RDC41" s="19"/>
      <c r="RDD41" s="19"/>
      <c r="RDE41" s="19"/>
      <c r="RDF41" s="19"/>
      <c r="RDG41" s="19"/>
      <c r="RDH41" s="19"/>
      <c r="RDI41" s="19"/>
      <c r="RDJ41" s="19"/>
      <c r="RDK41" s="19"/>
      <c r="RDL41" s="19"/>
      <c r="RDM41" s="19"/>
      <c r="RDN41" s="19"/>
      <c r="RDO41" s="19"/>
      <c r="RDP41" s="19"/>
      <c r="RDQ41" s="19"/>
      <c r="RDR41" s="19"/>
      <c r="RDS41" s="19"/>
      <c r="RDT41" s="19"/>
      <c r="RDU41" s="19"/>
      <c r="RDV41" s="19"/>
      <c r="RDW41" s="19"/>
      <c r="RDX41" s="19"/>
      <c r="RDY41" s="19"/>
      <c r="RDZ41" s="19"/>
      <c r="REA41" s="19"/>
      <c r="REB41" s="19"/>
      <c r="REC41" s="19"/>
      <c r="RED41" s="19"/>
      <c r="REE41" s="19"/>
      <c r="REF41" s="19"/>
      <c r="REG41" s="19"/>
      <c r="REH41" s="19"/>
      <c r="REI41" s="19"/>
      <c r="REJ41" s="19"/>
      <c r="REK41" s="19"/>
      <c r="REL41" s="19"/>
      <c r="REM41" s="19"/>
      <c r="REN41" s="19"/>
      <c r="REO41" s="19"/>
      <c r="REP41" s="19"/>
      <c r="REQ41" s="19"/>
      <c r="RER41" s="19"/>
      <c r="RES41" s="19"/>
      <c r="RET41" s="19"/>
      <c r="REU41" s="19"/>
      <c r="REV41" s="19"/>
      <c r="REW41" s="19"/>
      <c r="REX41" s="19"/>
      <c r="REY41" s="19"/>
      <c r="REZ41" s="19"/>
      <c r="RFA41" s="19"/>
      <c r="RFB41" s="19"/>
      <c r="RFC41" s="19"/>
      <c r="RFD41" s="19"/>
      <c r="RFE41" s="19"/>
      <c r="RFF41" s="19"/>
      <c r="RFG41" s="19"/>
      <c r="RFH41" s="19"/>
      <c r="RFI41" s="19"/>
      <c r="RFJ41" s="19"/>
      <c r="RFK41" s="19"/>
      <c r="RFL41" s="19"/>
      <c r="RFM41" s="19"/>
      <c r="RFN41" s="19"/>
      <c r="RFO41" s="19"/>
      <c r="RFP41" s="19"/>
      <c r="RFQ41" s="19"/>
      <c r="RFR41" s="19"/>
      <c r="RFS41" s="19"/>
      <c r="RFT41" s="19"/>
      <c r="RFU41" s="19"/>
      <c r="RFV41" s="19"/>
      <c r="RFW41" s="19"/>
      <c r="RFX41" s="19"/>
      <c r="RFY41" s="19"/>
      <c r="RFZ41" s="19"/>
      <c r="RGA41" s="19"/>
      <c r="RGB41" s="19"/>
      <c r="RGC41" s="19"/>
      <c r="RGD41" s="19"/>
      <c r="RGE41" s="19"/>
      <c r="RGF41" s="19"/>
      <c r="RGG41" s="19"/>
      <c r="RGH41" s="19"/>
      <c r="RGI41" s="19"/>
      <c r="RGJ41" s="19"/>
      <c r="RGK41" s="19"/>
      <c r="RGL41" s="19"/>
      <c r="RGM41" s="19"/>
      <c r="RGN41" s="19"/>
      <c r="RGO41" s="19"/>
      <c r="RGP41" s="19"/>
      <c r="RGQ41" s="19"/>
      <c r="RGR41" s="19"/>
      <c r="RGS41" s="19"/>
      <c r="RGT41" s="19"/>
      <c r="RGU41" s="19"/>
      <c r="RGV41" s="19"/>
      <c r="RGW41" s="19"/>
      <c r="RGX41" s="19"/>
      <c r="RGY41" s="19"/>
      <c r="RGZ41" s="19"/>
      <c r="RHA41" s="19"/>
      <c r="RHB41" s="19"/>
      <c r="RHC41" s="19"/>
      <c r="RHD41" s="19"/>
      <c r="RHE41" s="19"/>
      <c r="RHF41" s="19"/>
      <c r="RHG41" s="19"/>
      <c r="RHH41" s="19"/>
      <c r="RHI41" s="19"/>
      <c r="RHJ41" s="19"/>
      <c r="RHK41" s="19"/>
      <c r="RHL41" s="19"/>
      <c r="RHM41" s="19"/>
      <c r="RHN41" s="19"/>
      <c r="RHO41" s="19"/>
      <c r="RHP41" s="19"/>
      <c r="RHQ41" s="19"/>
      <c r="RHR41" s="19"/>
      <c r="RHS41" s="19"/>
      <c r="RHT41" s="19"/>
      <c r="RHU41" s="19"/>
      <c r="RHV41" s="19"/>
      <c r="RHW41" s="19"/>
      <c r="RHX41" s="19"/>
      <c r="RHY41" s="19"/>
      <c r="RHZ41" s="19"/>
      <c r="RIA41" s="19"/>
      <c r="RIB41" s="19"/>
      <c r="RIC41" s="19"/>
      <c r="RID41" s="19"/>
      <c r="RIE41" s="19"/>
      <c r="RIF41" s="19"/>
      <c r="RIG41" s="19"/>
      <c r="RIH41" s="19"/>
      <c r="RII41" s="19"/>
      <c r="RIJ41" s="19"/>
      <c r="RIK41" s="19"/>
      <c r="RIL41" s="19"/>
      <c r="RIM41" s="19"/>
      <c r="RIN41" s="19"/>
      <c r="RIO41" s="19"/>
      <c r="RIP41" s="19"/>
      <c r="RIQ41" s="19"/>
      <c r="RIR41" s="19"/>
      <c r="RIS41" s="19"/>
      <c r="RIT41" s="19"/>
      <c r="RIU41" s="19"/>
      <c r="RIV41" s="19"/>
      <c r="RIW41" s="19"/>
      <c r="RIX41" s="19"/>
      <c r="RIY41" s="19"/>
      <c r="RIZ41" s="19"/>
      <c r="RJA41" s="19"/>
      <c r="RJB41" s="19"/>
      <c r="RJC41" s="19"/>
      <c r="RJD41" s="19"/>
      <c r="RJE41" s="19"/>
      <c r="RJF41" s="19"/>
      <c r="RJG41" s="19"/>
      <c r="RJH41" s="19"/>
      <c r="RJI41" s="19"/>
      <c r="RJJ41" s="19"/>
      <c r="RJK41" s="19"/>
      <c r="RJL41" s="19"/>
      <c r="RJM41" s="19"/>
      <c r="RJN41" s="19"/>
      <c r="RJO41" s="19"/>
      <c r="RJP41" s="19"/>
      <c r="RJQ41" s="19"/>
      <c r="RJR41" s="19"/>
      <c r="RJS41" s="19"/>
      <c r="RJT41" s="19"/>
      <c r="RJU41" s="19"/>
      <c r="RJV41" s="19"/>
      <c r="RJW41" s="19"/>
      <c r="RJX41" s="19"/>
      <c r="RJY41" s="19"/>
      <c r="RJZ41" s="19"/>
      <c r="RKA41" s="19"/>
      <c r="RKB41" s="19"/>
      <c r="RKC41" s="19"/>
      <c r="RKD41" s="19"/>
      <c r="RKE41" s="19"/>
      <c r="RKF41" s="19"/>
      <c r="RKG41" s="19"/>
      <c r="RKH41" s="19"/>
      <c r="RKI41" s="19"/>
      <c r="RKJ41" s="19"/>
      <c r="RKK41" s="19"/>
      <c r="RKL41" s="19"/>
      <c r="RKM41" s="19"/>
      <c r="RKN41" s="19"/>
      <c r="RKO41" s="19"/>
      <c r="RKP41" s="19"/>
      <c r="RKQ41" s="19"/>
      <c r="RKR41" s="19"/>
      <c r="RKS41" s="19"/>
      <c r="RKT41" s="19"/>
      <c r="RKU41" s="19"/>
      <c r="RKV41" s="19"/>
      <c r="RKW41" s="19"/>
      <c r="RKX41" s="19"/>
      <c r="RKY41" s="19"/>
      <c r="RKZ41" s="19"/>
      <c r="RLA41" s="19"/>
      <c r="RLB41" s="19"/>
      <c r="RLC41" s="19"/>
      <c r="RLD41" s="19"/>
      <c r="RLE41" s="19"/>
      <c r="RLF41" s="19"/>
      <c r="RLG41" s="19"/>
      <c r="RLH41" s="19"/>
      <c r="RLI41" s="19"/>
      <c r="RLJ41" s="19"/>
      <c r="RLK41" s="19"/>
      <c r="RLL41" s="19"/>
      <c r="RLM41" s="19"/>
      <c r="RLN41" s="19"/>
      <c r="RLO41" s="19"/>
      <c r="RLP41" s="19"/>
      <c r="RLQ41" s="19"/>
      <c r="RLR41" s="19"/>
      <c r="RLS41" s="19"/>
      <c r="RLT41" s="19"/>
      <c r="RLU41" s="19"/>
      <c r="RLV41" s="19"/>
      <c r="RLW41" s="19"/>
      <c r="RLX41" s="19"/>
      <c r="RLY41" s="19"/>
      <c r="RLZ41" s="19"/>
      <c r="RMA41" s="19"/>
      <c r="RMB41" s="19"/>
      <c r="RMC41" s="19"/>
      <c r="RMD41" s="19"/>
      <c r="RME41" s="19"/>
      <c r="RMF41" s="19"/>
      <c r="RMG41" s="19"/>
      <c r="RMH41" s="19"/>
      <c r="RMI41" s="19"/>
      <c r="RMJ41" s="19"/>
      <c r="RMK41" s="19"/>
      <c r="RML41" s="19"/>
      <c r="RMM41" s="19"/>
      <c r="RMN41" s="19"/>
      <c r="RMO41" s="19"/>
      <c r="RMP41" s="19"/>
      <c r="RMQ41" s="19"/>
      <c r="RMR41" s="19"/>
      <c r="RMS41" s="19"/>
      <c r="RMT41" s="19"/>
      <c r="RMU41" s="19"/>
      <c r="RMV41" s="19"/>
      <c r="RMW41" s="19"/>
      <c r="RMX41" s="19"/>
      <c r="RMY41" s="19"/>
      <c r="RMZ41" s="19"/>
      <c r="RNA41" s="19"/>
      <c r="RNB41" s="19"/>
      <c r="RNC41" s="19"/>
      <c r="RND41" s="19"/>
      <c r="RNE41" s="19"/>
      <c r="RNF41" s="19"/>
      <c r="RNG41" s="19"/>
      <c r="RNH41" s="19"/>
      <c r="RNI41" s="19"/>
      <c r="RNJ41" s="19"/>
      <c r="RNK41" s="19"/>
      <c r="RNL41" s="19"/>
      <c r="RNM41" s="19"/>
      <c r="RNN41" s="19"/>
      <c r="RNO41" s="19"/>
      <c r="RNP41" s="19"/>
      <c r="RNQ41" s="19"/>
      <c r="RNR41" s="19"/>
      <c r="RNS41" s="19"/>
      <c r="RNT41" s="19"/>
      <c r="RNU41" s="19"/>
      <c r="RNV41" s="19"/>
      <c r="RNW41" s="19"/>
      <c r="RNX41" s="19"/>
      <c r="RNY41" s="19"/>
      <c r="RNZ41" s="19"/>
      <c r="ROA41" s="19"/>
      <c r="ROB41" s="19"/>
      <c r="ROC41" s="19"/>
      <c r="ROD41" s="19"/>
      <c r="ROE41" s="19"/>
      <c r="ROF41" s="19"/>
      <c r="ROG41" s="19"/>
      <c r="ROH41" s="19"/>
      <c r="ROI41" s="19"/>
      <c r="ROJ41" s="19"/>
      <c r="ROK41" s="19"/>
      <c r="ROL41" s="19"/>
      <c r="ROM41" s="19"/>
      <c r="RON41" s="19"/>
      <c r="ROO41" s="19"/>
      <c r="ROP41" s="19"/>
      <c r="ROQ41" s="19"/>
      <c r="ROR41" s="19"/>
      <c r="ROS41" s="19"/>
      <c r="ROT41" s="19"/>
      <c r="ROU41" s="19"/>
      <c r="ROV41" s="19"/>
      <c r="ROW41" s="19"/>
      <c r="ROX41" s="19"/>
      <c r="ROY41" s="19"/>
      <c r="ROZ41" s="19"/>
      <c r="RPA41" s="19"/>
      <c r="RPB41" s="19"/>
      <c r="RPC41" s="19"/>
      <c r="RPD41" s="19"/>
      <c r="RPE41" s="19"/>
      <c r="RPF41" s="19"/>
      <c r="RPG41" s="19"/>
      <c r="RPH41" s="19"/>
      <c r="RPI41" s="19"/>
      <c r="RPJ41" s="19"/>
      <c r="RPK41" s="19"/>
      <c r="RPL41" s="19"/>
      <c r="RPM41" s="19"/>
      <c r="RPN41" s="19"/>
      <c r="RPO41" s="19"/>
      <c r="RPP41" s="19"/>
      <c r="RPQ41" s="19"/>
      <c r="RPR41" s="19"/>
      <c r="RPS41" s="19"/>
      <c r="RPT41" s="19"/>
      <c r="RPU41" s="19"/>
      <c r="RPV41" s="19"/>
      <c r="RPW41" s="19"/>
      <c r="RPX41" s="19"/>
      <c r="RPY41" s="19"/>
      <c r="RPZ41" s="19"/>
      <c r="RQA41" s="19"/>
      <c r="RQB41" s="19"/>
      <c r="RQC41" s="19"/>
      <c r="RQD41" s="19"/>
      <c r="RQE41" s="19"/>
      <c r="RQF41" s="19"/>
      <c r="RQG41" s="19"/>
      <c r="RQH41" s="19"/>
      <c r="RQI41" s="19"/>
      <c r="RQJ41" s="19"/>
      <c r="RQK41" s="19"/>
      <c r="RQL41" s="19"/>
      <c r="RQM41" s="19"/>
      <c r="RQN41" s="19"/>
      <c r="RQO41" s="19"/>
      <c r="RQP41" s="19"/>
      <c r="RQQ41" s="19"/>
      <c r="RQR41" s="19"/>
      <c r="RQS41" s="19"/>
      <c r="RQT41" s="19"/>
      <c r="RQU41" s="19"/>
      <c r="RQV41" s="19"/>
      <c r="RQW41" s="19"/>
      <c r="RQX41" s="19"/>
      <c r="RQY41" s="19"/>
      <c r="RQZ41" s="19"/>
      <c r="RRA41" s="19"/>
      <c r="RRB41" s="19"/>
      <c r="RRC41" s="19"/>
      <c r="RRD41" s="19"/>
      <c r="RRE41" s="19"/>
      <c r="RRF41" s="19"/>
      <c r="RRG41" s="19"/>
      <c r="RRH41" s="19"/>
      <c r="RRI41" s="19"/>
      <c r="RRJ41" s="19"/>
      <c r="RRK41" s="19"/>
      <c r="RRL41" s="19"/>
      <c r="RRM41" s="19"/>
      <c r="RRN41" s="19"/>
      <c r="RRO41" s="19"/>
      <c r="RRP41" s="19"/>
      <c r="RRQ41" s="19"/>
      <c r="RRR41" s="19"/>
      <c r="RRS41" s="19"/>
      <c r="RRT41" s="19"/>
      <c r="RRU41" s="19"/>
      <c r="RRV41" s="19"/>
      <c r="RRW41" s="19"/>
      <c r="RRX41" s="19"/>
      <c r="RRY41" s="19"/>
      <c r="RRZ41" s="19"/>
      <c r="RSA41" s="19"/>
      <c r="RSB41" s="19"/>
      <c r="RSC41" s="19"/>
      <c r="RSD41" s="19"/>
      <c r="RSE41" s="19"/>
      <c r="RSF41" s="19"/>
      <c r="RSG41" s="19"/>
      <c r="RSH41" s="19"/>
      <c r="RSI41" s="19"/>
      <c r="RSJ41" s="19"/>
      <c r="RSK41" s="19"/>
      <c r="RSL41" s="19"/>
      <c r="RSM41" s="19"/>
      <c r="RSN41" s="19"/>
      <c r="RSO41" s="19"/>
      <c r="RSP41" s="19"/>
      <c r="RSQ41" s="19"/>
      <c r="RSR41" s="19"/>
      <c r="RSS41" s="19"/>
      <c r="RST41" s="19"/>
      <c r="RSU41" s="19"/>
      <c r="RSV41" s="19"/>
      <c r="RSW41" s="19"/>
      <c r="RSX41" s="19"/>
      <c r="RSY41" s="19"/>
      <c r="RSZ41" s="19"/>
      <c r="RTA41" s="19"/>
      <c r="RTB41" s="19"/>
      <c r="RTC41" s="19"/>
      <c r="RTD41" s="19"/>
      <c r="RTE41" s="19"/>
      <c r="RTF41" s="19"/>
      <c r="RTG41" s="19"/>
      <c r="RTH41" s="19"/>
      <c r="RTI41" s="19"/>
      <c r="RTJ41" s="19"/>
      <c r="RTK41" s="19"/>
      <c r="RTL41" s="19"/>
      <c r="RTM41" s="19"/>
      <c r="RTN41" s="19"/>
      <c r="RTO41" s="19"/>
      <c r="RTP41" s="19"/>
      <c r="RTQ41" s="19"/>
      <c r="RTR41" s="19"/>
      <c r="RTS41" s="19"/>
      <c r="RTT41" s="19"/>
      <c r="RTU41" s="19"/>
      <c r="RTV41" s="19"/>
      <c r="RTW41" s="19"/>
      <c r="RTX41" s="19"/>
      <c r="RTY41" s="19"/>
      <c r="RTZ41" s="19"/>
      <c r="RUA41" s="19"/>
      <c r="RUB41" s="19"/>
      <c r="RUC41" s="19"/>
      <c r="RUD41" s="19"/>
      <c r="RUE41" s="19"/>
      <c r="RUF41" s="19"/>
      <c r="RUG41" s="19"/>
      <c r="RUH41" s="19"/>
      <c r="RUI41" s="19"/>
      <c r="RUJ41" s="19"/>
      <c r="RUK41" s="19"/>
      <c r="RUL41" s="19"/>
      <c r="RUM41" s="19"/>
      <c r="RUN41" s="19"/>
      <c r="RUO41" s="19"/>
      <c r="RUP41" s="19"/>
      <c r="RUQ41" s="19"/>
      <c r="RUR41" s="19"/>
      <c r="RUS41" s="19"/>
      <c r="RUT41" s="19"/>
      <c r="RUU41" s="19"/>
      <c r="RUV41" s="19"/>
      <c r="RUW41" s="19"/>
      <c r="RUX41" s="19"/>
      <c r="RUY41" s="19"/>
      <c r="RUZ41" s="19"/>
      <c r="RVA41" s="19"/>
      <c r="RVB41" s="19"/>
      <c r="RVC41" s="19"/>
      <c r="RVD41" s="19"/>
      <c r="RVE41" s="19"/>
      <c r="RVF41" s="19"/>
      <c r="RVG41" s="19"/>
      <c r="RVH41" s="19"/>
      <c r="RVI41" s="19"/>
      <c r="RVJ41" s="19"/>
      <c r="RVK41" s="19"/>
      <c r="RVL41" s="19"/>
      <c r="RVM41" s="19"/>
      <c r="RVN41" s="19"/>
      <c r="RVO41" s="19"/>
      <c r="RVP41" s="19"/>
      <c r="RVQ41" s="19"/>
      <c r="RVR41" s="19"/>
      <c r="RVS41" s="19"/>
      <c r="RVT41" s="19"/>
      <c r="RVU41" s="19"/>
      <c r="RVV41" s="19"/>
      <c r="RVW41" s="19"/>
      <c r="RVX41" s="19"/>
      <c r="RVY41" s="19"/>
      <c r="RVZ41" s="19"/>
      <c r="RWA41" s="19"/>
      <c r="RWB41" s="19"/>
      <c r="RWC41" s="19"/>
      <c r="RWD41" s="19"/>
      <c r="RWE41" s="19"/>
      <c r="RWF41" s="19"/>
      <c r="RWG41" s="19"/>
      <c r="RWH41" s="19"/>
      <c r="RWI41" s="19"/>
      <c r="RWJ41" s="19"/>
      <c r="RWK41" s="19"/>
      <c r="RWL41" s="19"/>
      <c r="RWM41" s="19"/>
      <c r="RWN41" s="19"/>
      <c r="RWO41" s="19"/>
      <c r="RWP41" s="19"/>
      <c r="RWQ41" s="19"/>
      <c r="RWR41" s="19"/>
      <c r="RWS41" s="19"/>
      <c r="RWT41" s="19"/>
      <c r="RWU41" s="19"/>
      <c r="RWV41" s="19"/>
      <c r="RWW41" s="19"/>
      <c r="RWX41" s="19"/>
      <c r="RWY41" s="19"/>
      <c r="RWZ41" s="19"/>
      <c r="RXA41" s="19"/>
      <c r="RXB41" s="19"/>
      <c r="RXC41" s="19"/>
      <c r="RXD41" s="19"/>
      <c r="RXE41" s="19"/>
      <c r="RXF41" s="19"/>
      <c r="RXG41" s="19"/>
      <c r="RXH41" s="19"/>
      <c r="RXI41" s="19"/>
      <c r="RXJ41" s="19"/>
      <c r="RXK41" s="19"/>
      <c r="RXL41" s="19"/>
      <c r="RXM41" s="19"/>
      <c r="RXN41" s="19"/>
      <c r="RXO41" s="19"/>
      <c r="RXP41" s="19"/>
      <c r="RXQ41" s="19"/>
      <c r="RXR41" s="19"/>
      <c r="RXS41" s="19"/>
      <c r="RXT41" s="19"/>
      <c r="RXU41" s="19"/>
      <c r="RXV41" s="19"/>
      <c r="RXW41" s="19"/>
      <c r="RXX41" s="19"/>
      <c r="RXY41" s="19"/>
      <c r="RXZ41" s="19"/>
      <c r="RYA41" s="19"/>
      <c r="RYB41" s="19"/>
      <c r="RYC41" s="19"/>
      <c r="RYD41" s="19"/>
      <c r="RYE41" s="19"/>
      <c r="RYF41" s="19"/>
      <c r="RYG41" s="19"/>
      <c r="RYH41" s="19"/>
      <c r="RYI41" s="19"/>
      <c r="RYJ41" s="19"/>
      <c r="RYK41" s="19"/>
      <c r="RYL41" s="19"/>
      <c r="RYM41" s="19"/>
      <c r="RYN41" s="19"/>
      <c r="RYO41" s="19"/>
      <c r="RYP41" s="19"/>
      <c r="RYQ41" s="19"/>
      <c r="RYR41" s="19"/>
      <c r="RYS41" s="19"/>
      <c r="RYT41" s="19"/>
      <c r="RYU41" s="19"/>
      <c r="RYV41" s="19"/>
      <c r="RYW41" s="19"/>
      <c r="RYX41" s="19"/>
      <c r="RYY41" s="19"/>
      <c r="RYZ41" s="19"/>
      <c r="RZA41" s="19"/>
      <c r="RZB41" s="19"/>
      <c r="RZC41" s="19"/>
      <c r="RZD41" s="19"/>
      <c r="RZE41" s="19"/>
      <c r="RZF41" s="19"/>
      <c r="RZG41" s="19"/>
      <c r="RZH41" s="19"/>
      <c r="RZI41" s="19"/>
      <c r="RZJ41" s="19"/>
      <c r="RZK41" s="19"/>
      <c r="RZL41" s="19"/>
      <c r="RZM41" s="19"/>
      <c r="RZN41" s="19"/>
      <c r="RZO41" s="19"/>
      <c r="RZP41" s="19"/>
      <c r="RZQ41" s="19"/>
      <c r="RZR41" s="19"/>
      <c r="RZS41" s="19"/>
      <c r="RZT41" s="19"/>
      <c r="RZU41" s="19"/>
      <c r="RZV41" s="19"/>
      <c r="RZW41" s="19"/>
      <c r="RZX41" s="19"/>
      <c r="RZY41" s="19"/>
      <c r="RZZ41" s="19"/>
      <c r="SAA41" s="19"/>
      <c r="SAB41" s="19"/>
      <c r="SAC41" s="19"/>
      <c r="SAD41" s="19"/>
      <c r="SAE41" s="19"/>
      <c r="SAF41" s="19"/>
      <c r="SAG41" s="19"/>
      <c r="SAH41" s="19"/>
      <c r="SAI41" s="19"/>
      <c r="SAJ41" s="19"/>
      <c r="SAK41" s="19"/>
      <c r="SAL41" s="19"/>
      <c r="SAM41" s="19"/>
      <c r="SAN41" s="19"/>
      <c r="SAO41" s="19"/>
      <c r="SAP41" s="19"/>
      <c r="SAQ41" s="19"/>
      <c r="SAR41" s="19"/>
      <c r="SAS41" s="19"/>
      <c r="SAT41" s="19"/>
      <c r="SAU41" s="19"/>
      <c r="SAV41" s="19"/>
      <c r="SAW41" s="19"/>
      <c r="SAX41" s="19"/>
      <c r="SAY41" s="19"/>
      <c r="SAZ41" s="19"/>
      <c r="SBA41" s="19"/>
      <c r="SBB41" s="19"/>
      <c r="SBC41" s="19"/>
      <c r="SBD41" s="19"/>
      <c r="SBE41" s="19"/>
      <c r="SBF41" s="19"/>
      <c r="SBG41" s="19"/>
      <c r="SBH41" s="19"/>
      <c r="SBI41" s="19"/>
      <c r="SBJ41" s="19"/>
      <c r="SBK41" s="19"/>
      <c r="SBL41" s="19"/>
      <c r="SBM41" s="19"/>
      <c r="SBN41" s="19"/>
      <c r="SBO41" s="19"/>
      <c r="SBP41" s="19"/>
      <c r="SBQ41" s="19"/>
      <c r="SBR41" s="19"/>
      <c r="SBS41" s="19"/>
      <c r="SBT41" s="19"/>
      <c r="SBU41" s="19"/>
      <c r="SBV41" s="19"/>
      <c r="SBW41" s="19"/>
      <c r="SBX41" s="19"/>
      <c r="SBY41" s="19"/>
      <c r="SBZ41" s="19"/>
      <c r="SCA41" s="19"/>
      <c r="SCB41" s="19"/>
      <c r="SCC41" s="19"/>
      <c r="SCD41" s="19"/>
      <c r="SCE41" s="19"/>
      <c r="SCF41" s="19"/>
      <c r="SCG41" s="19"/>
      <c r="SCH41" s="19"/>
      <c r="SCI41" s="19"/>
      <c r="SCJ41" s="19"/>
      <c r="SCK41" s="19"/>
      <c r="SCL41" s="19"/>
      <c r="SCM41" s="19"/>
      <c r="SCN41" s="19"/>
      <c r="SCO41" s="19"/>
      <c r="SCP41" s="19"/>
      <c r="SCQ41" s="19"/>
      <c r="SCR41" s="19"/>
      <c r="SCS41" s="19"/>
      <c r="SCT41" s="19"/>
      <c r="SCU41" s="19"/>
      <c r="SCV41" s="19"/>
      <c r="SCW41" s="19"/>
      <c r="SCX41" s="19"/>
      <c r="SCY41" s="19"/>
      <c r="SCZ41" s="19"/>
      <c r="SDA41" s="19"/>
      <c r="SDB41" s="19"/>
      <c r="SDC41" s="19"/>
      <c r="SDD41" s="19"/>
      <c r="SDE41" s="19"/>
      <c r="SDF41" s="19"/>
      <c r="SDG41" s="19"/>
      <c r="SDH41" s="19"/>
      <c r="SDI41" s="19"/>
      <c r="SDJ41" s="19"/>
      <c r="SDK41" s="19"/>
      <c r="SDL41" s="19"/>
      <c r="SDM41" s="19"/>
      <c r="SDN41" s="19"/>
      <c r="SDO41" s="19"/>
      <c r="SDP41" s="19"/>
      <c r="SDQ41" s="19"/>
      <c r="SDR41" s="19"/>
      <c r="SDS41" s="19"/>
      <c r="SDT41" s="19"/>
      <c r="SDU41" s="19"/>
      <c r="SDV41" s="19"/>
      <c r="SDW41" s="19"/>
      <c r="SDX41" s="19"/>
      <c r="SDY41" s="19"/>
      <c r="SDZ41" s="19"/>
      <c r="SEA41" s="19"/>
      <c r="SEB41" s="19"/>
      <c r="SEC41" s="19"/>
      <c r="SED41" s="19"/>
      <c r="SEE41" s="19"/>
      <c r="SEF41" s="19"/>
      <c r="SEG41" s="19"/>
      <c r="SEH41" s="19"/>
      <c r="SEI41" s="19"/>
      <c r="SEJ41" s="19"/>
      <c r="SEK41" s="19"/>
      <c r="SEL41" s="19"/>
      <c r="SEM41" s="19"/>
      <c r="SEN41" s="19"/>
      <c r="SEO41" s="19"/>
      <c r="SEP41" s="19"/>
      <c r="SEQ41" s="19"/>
      <c r="SER41" s="19"/>
      <c r="SES41" s="19"/>
      <c r="SET41" s="19"/>
      <c r="SEU41" s="19"/>
      <c r="SEV41" s="19"/>
      <c r="SEW41" s="19"/>
      <c r="SEX41" s="19"/>
      <c r="SEY41" s="19"/>
      <c r="SEZ41" s="19"/>
      <c r="SFA41" s="19"/>
      <c r="SFB41" s="19"/>
      <c r="SFC41" s="19"/>
      <c r="SFD41" s="19"/>
      <c r="SFE41" s="19"/>
      <c r="SFF41" s="19"/>
      <c r="SFG41" s="19"/>
      <c r="SFH41" s="19"/>
      <c r="SFI41" s="19"/>
      <c r="SFJ41" s="19"/>
      <c r="SFK41" s="19"/>
      <c r="SFL41" s="19"/>
      <c r="SFM41" s="19"/>
      <c r="SFN41" s="19"/>
      <c r="SFO41" s="19"/>
      <c r="SFP41" s="19"/>
      <c r="SFQ41" s="19"/>
      <c r="SFR41" s="19"/>
      <c r="SFS41" s="19"/>
      <c r="SFT41" s="19"/>
      <c r="SFU41" s="19"/>
      <c r="SFV41" s="19"/>
      <c r="SFW41" s="19"/>
      <c r="SFX41" s="19"/>
      <c r="SFY41" s="19"/>
      <c r="SFZ41" s="19"/>
      <c r="SGA41" s="19"/>
      <c r="SGB41" s="19"/>
      <c r="SGC41" s="19"/>
      <c r="SGD41" s="19"/>
      <c r="SGE41" s="19"/>
      <c r="SGF41" s="19"/>
      <c r="SGG41" s="19"/>
      <c r="SGH41" s="19"/>
      <c r="SGI41" s="19"/>
      <c r="SGJ41" s="19"/>
      <c r="SGK41" s="19"/>
      <c r="SGL41" s="19"/>
      <c r="SGM41" s="19"/>
      <c r="SGN41" s="19"/>
      <c r="SGO41" s="19"/>
      <c r="SGP41" s="19"/>
      <c r="SGQ41" s="19"/>
      <c r="SGR41" s="19"/>
      <c r="SGS41" s="19"/>
      <c r="SGT41" s="19"/>
      <c r="SGU41" s="19"/>
      <c r="SGV41" s="19"/>
      <c r="SGW41" s="19"/>
      <c r="SGX41" s="19"/>
      <c r="SGY41" s="19"/>
      <c r="SGZ41" s="19"/>
      <c r="SHA41" s="19"/>
      <c r="SHB41" s="19"/>
      <c r="SHC41" s="19"/>
      <c r="SHD41" s="19"/>
      <c r="SHE41" s="19"/>
      <c r="SHF41" s="19"/>
      <c r="SHG41" s="19"/>
      <c r="SHH41" s="19"/>
      <c r="SHI41" s="19"/>
      <c r="SHJ41" s="19"/>
      <c r="SHK41" s="19"/>
      <c r="SHL41" s="19"/>
      <c r="SHM41" s="19"/>
      <c r="SHN41" s="19"/>
      <c r="SHO41" s="19"/>
      <c r="SHP41" s="19"/>
      <c r="SHQ41" s="19"/>
      <c r="SHR41" s="19"/>
      <c r="SHS41" s="19"/>
      <c r="SHT41" s="19"/>
      <c r="SHU41" s="19"/>
      <c r="SHV41" s="19"/>
      <c r="SHW41" s="19"/>
      <c r="SHX41" s="19"/>
      <c r="SHY41" s="19"/>
      <c r="SHZ41" s="19"/>
      <c r="SIA41" s="19"/>
      <c r="SIB41" s="19"/>
      <c r="SIC41" s="19"/>
      <c r="SID41" s="19"/>
      <c r="SIE41" s="19"/>
      <c r="SIF41" s="19"/>
      <c r="SIG41" s="19"/>
      <c r="SIH41" s="19"/>
      <c r="SII41" s="19"/>
      <c r="SIJ41" s="19"/>
      <c r="SIK41" s="19"/>
      <c r="SIL41" s="19"/>
      <c r="SIM41" s="19"/>
      <c r="SIN41" s="19"/>
      <c r="SIO41" s="19"/>
      <c r="SIP41" s="19"/>
      <c r="SIQ41" s="19"/>
      <c r="SIR41" s="19"/>
      <c r="SIS41" s="19"/>
      <c r="SIT41" s="19"/>
      <c r="SIU41" s="19"/>
      <c r="SIV41" s="19"/>
      <c r="SIW41" s="19"/>
      <c r="SIX41" s="19"/>
      <c r="SIY41" s="19"/>
      <c r="SIZ41" s="19"/>
      <c r="SJA41" s="19"/>
      <c r="SJB41" s="19"/>
      <c r="SJC41" s="19"/>
      <c r="SJD41" s="19"/>
      <c r="SJE41" s="19"/>
      <c r="SJF41" s="19"/>
      <c r="SJG41" s="19"/>
      <c r="SJH41" s="19"/>
      <c r="SJI41" s="19"/>
      <c r="SJJ41" s="19"/>
      <c r="SJK41" s="19"/>
      <c r="SJL41" s="19"/>
      <c r="SJM41" s="19"/>
      <c r="SJN41" s="19"/>
      <c r="SJO41" s="19"/>
      <c r="SJP41" s="19"/>
      <c r="SJQ41" s="19"/>
      <c r="SJR41" s="19"/>
      <c r="SJS41" s="19"/>
      <c r="SJT41" s="19"/>
      <c r="SJU41" s="19"/>
      <c r="SJV41" s="19"/>
      <c r="SJW41" s="19"/>
      <c r="SJX41" s="19"/>
      <c r="SJY41" s="19"/>
      <c r="SJZ41" s="19"/>
      <c r="SKA41" s="19"/>
      <c r="SKB41" s="19"/>
      <c r="SKC41" s="19"/>
      <c r="SKD41" s="19"/>
      <c r="SKE41" s="19"/>
      <c r="SKF41" s="19"/>
      <c r="SKG41" s="19"/>
      <c r="SKH41" s="19"/>
      <c r="SKI41" s="19"/>
      <c r="SKJ41" s="19"/>
      <c r="SKK41" s="19"/>
      <c r="SKL41" s="19"/>
      <c r="SKM41" s="19"/>
      <c r="SKN41" s="19"/>
      <c r="SKO41" s="19"/>
      <c r="SKP41" s="19"/>
      <c r="SKQ41" s="19"/>
      <c r="SKR41" s="19"/>
      <c r="SKS41" s="19"/>
      <c r="SKT41" s="19"/>
      <c r="SKU41" s="19"/>
      <c r="SKV41" s="19"/>
      <c r="SKW41" s="19"/>
      <c r="SKX41" s="19"/>
      <c r="SKY41" s="19"/>
      <c r="SKZ41" s="19"/>
      <c r="SLA41" s="19"/>
      <c r="SLB41" s="19"/>
      <c r="SLC41" s="19"/>
      <c r="SLD41" s="19"/>
      <c r="SLE41" s="19"/>
      <c r="SLF41" s="19"/>
      <c r="SLG41" s="19"/>
      <c r="SLH41" s="19"/>
      <c r="SLI41" s="19"/>
      <c r="SLJ41" s="19"/>
      <c r="SLK41" s="19"/>
      <c r="SLL41" s="19"/>
      <c r="SLM41" s="19"/>
      <c r="SLN41" s="19"/>
      <c r="SLO41" s="19"/>
      <c r="SLP41" s="19"/>
      <c r="SLQ41" s="19"/>
      <c r="SLR41" s="19"/>
      <c r="SLS41" s="19"/>
      <c r="SLT41" s="19"/>
      <c r="SLU41" s="19"/>
      <c r="SLV41" s="19"/>
      <c r="SLW41" s="19"/>
      <c r="SLX41" s="19"/>
      <c r="SLY41" s="19"/>
      <c r="SLZ41" s="19"/>
      <c r="SMA41" s="19"/>
      <c r="SMB41" s="19"/>
      <c r="SMC41" s="19"/>
      <c r="SMD41" s="19"/>
      <c r="SME41" s="19"/>
      <c r="SMF41" s="19"/>
      <c r="SMG41" s="19"/>
      <c r="SMH41" s="19"/>
      <c r="SMI41" s="19"/>
      <c r="SMJ41" s="19"/>
      <c r="SMK41" s="19"/>
      <c r="SML41" s="19"/>
      <c r="SMM41" s="19"/>
      <c r="SMN41" s="19"/>
      <c r="SMO41" s="19"/>
      <c r="SMP41" s="19"/>
      <c r="SMQ41" s="19"/>
      <c r="SMR41" s="19"/>
      <c r="SMS41" s="19"/>
      <c r="SMT41" s="19"/>
      <c r="SMU41" s="19"/>
      <c r="SMV41" s="19"/>
      <c r="SMW41" s="19"/>
      <c r="SMX41" s="19"/>
      <c r="SMY41" s="19"/>
      <c r="SMZ41" s="19"/>
      <c r="SNA41" s="19"/>
      <c r="SNB41" s="19"/>
      <c r="SNC41" s="19"/>
      <c r="SND41" s="19"/>
      <c r="SNE41" s="19"/>
      <c r="SNF41" s="19"/>
      <c r="SNG41" s="19"/>
      <c r="SNH41" s="19"/>
      <c r="SNI41" s="19"/>
      <c r="SNJ41" s="19"/>
      <c r="SNK41" s="19"/>
      <c r="SNL41" s="19"/>
      <c r="SNM41" s="19"/>
      <c r="SNN41" s="19"/>
      <c r="SNO41" s="19"/>
      <c r="SNP41" s="19"/>
      <c r="SNQ41" s="19"/>
      <c r="SNR41" s="19"/>
      <c r="SNS41" s="19"/>
      <c r="SNT41" s="19"/>
      <c r="SNU41" s="19"/>
      <c r="SNV41" s="19"/>
      <c r="SNW41" s="19"/>
      <c r="SNX41" s="19"/>
      <c r="SNY41" s="19"/>
      <c r="SNZ41" s="19"/>
      <c r="SOA41" s="19"/>
      <c r="SOB41" s="19"/>
      <c r="SOC41" s="19"/>
      <c r="SOD41" s="19"/>
      <c r="SOE41" s="19"/>
      <c r="SOF41" s="19"/>
      <c r="SOG41" s="19"/>
      <c r="SOH41" s="19"/>
      <c r="SOI41" s="19"/>
      <c r="SOJ41" s="19"/>
      <c r="SOK41" s="19"/>
      <c r="SOL41" s="19"/>
      <c r="SOM41" s="19"/>
      <c r="SON41" s="19"/>
      <c r="SOO41" s="19"/>
      <c r="SOP41" s="19"/>
      <c r="SOQ41" s="19"/>
      <c r="SOR41" s="19"/>
      <c r="SOS41" s="19"/>
      <c r="SOT41" s="19"/>
      <c r="SOU41" s="19"/>
      <c r="SOV41" s="19"/>
      <c r="SOW41" s="19"/>
      <c r="SOX41" s="19"/>
      <c r="SOY41" s="19"/>
      <c r="SOZ41" s="19"/>
      <c r="SPA41" s="19"/>
      <c r="SPB41" s="19"/>
      <c r="SPC41" s="19"/>
      <c r="SPD41" s="19"/>
      <c r="SPE41" s="19"/>
      <c r="SPF41" s="19"/>
      <c r="SPG41" s="19"/>
      <c r="SPH41" s="19"/>
      <c r="SPI41" s="19"/>
      <c r="SPJ41" s="19"/>
      <c r="SPK41" s="19"/>
      <c r="SPL41" s="19"/>
      <c r="SPM41" s="19"/>
      <c r="SPN41" s="19"/>
      <c r="SPO41" s="19"/>
      <c r="SPP41" s="19"/>
      <c r="SPQ41" s="19"/>
      <c r="SPR41" s="19"/>
      <c r="SPS41" s="19"/>
      <c r="SPT41" s="19"/>
      <c r="SPU41" s="19"/>
      <c r="SPV41" s="19"/>
      <c r="SPW41" s="19"/>
      <c r="SPX41" s="19"/>
      <c r="SPY41" s="19"/>
      <c r="SPZ41" s="19"/>
      <c r="SQA41" s="19"/>
      <c r="SQB41" s="19"/>
      <c r="SQC41" s="19"/>
      <c r="SQD41" s="19"/>
      <c r="SQE41" s="19"/>
      <c r="SQF41" s="19"/>
      <c r="SQG41" s="19"/>
      <c r="SQH41" s="19"/>
      <c r="SQI41" s="19"/>
      <c r="SQJ41" s="19"/>
      <c r="SQK41" s="19"/>
      <c r="SQL41" s="19"/>
      <c r="SQM41" s="19"/>
      <c r="SQN41" s="19"/>
      <c r="SQO41" s="19"/>
      <c r="SQP41" s="19"/>
      <c r="SQQ41" s="19"/>
      <c r="SQR41" s="19"/>
      <c r="SQS41" s="19"/>
      <c r="SQT41" s="19"/>
      <c r="SQU41" s="19"/>
      <c r="SQV41" s="19"/>
      <c r="SQW41" s="19"/>
      <c r="SQX41" s="19"/>
      <c r="SQY41" s="19"/>
      <c r="SQZ41" s="19"/>
      <c r="SRA41" s="19"/>
      <c r="SRB41" s="19"/>
      <c r="SRC41" s="19"/>
      <c r="SRD41" s="19"/>
      <c r="SRE41" s="19"/>
      <c r="SRF41" s="19"/>
      <c r="SRG41" s="19"/>
      <c r="SRH41" s="19"/>
      <c r="SRI41" s="19"/>
      <c r="SRJ41" s="19"/>
      <c r="SRK41" s="19"/>
      <c r="SRL41" s="19"/>
      <c r="SRM41" s="19"/>
      <c r="SRN41" s="19"/>
      <c r="SRO41" s="19"/>
      <c r="SRP41" s="19"/>
      <c r="SRQ41" s="19"/>
      <c r="SRR41" s="19"/>
      <c r="SRS41" s="19"/>
      <c r="SRT41" s="19"/>
      <c r="SRU41" s="19"/>
      <c r="SRV41" s="19"/>
      <c r="SRW41" s="19"/>
      <c r="SRX41" s="19"/>
      <c r="SRY41" s="19"/>
      <c r="SRZ41" s="19"/>
      <c r="SSA41" s="19"/>
      <c r="SSB41" s="19"/>
      <c r="SSC41" s="19"/>
      <c r="SSD41" s="19"/>
      <c r="SSE41" s="19"/>
      <c r="SSF41" s="19"/>
      <c r="SSG41" s="19"/>
      <c r="SSH41" s="19"/>
      <c r="SSI41" s="19"/>
      <c r="SSJ41" s="19"/>
      <c r="SSK41" s="19"/>
      <c r="SSL41" s="19"/>
      <c r="SSM41" s="19"/>
      <c r="SSN41" s="19"/>
      <c r="SSO41" s="19"/>
      <c r="SSP41" s="19"/>
      <c r="SSQ41" s="19"/>
      <c r="SSR41" s="19"/>
      <c r="SSS41" s="19"/>
      <c r="SST41" s="19"/>
      <c r="SSU41" s="19"/>
      <c r="SSV41" s="19"/>
      <c r="SSW41" s="19"/>
      <c r="SSX41" s="19"/>
      <c r="SSY41" s="19"/>
      <c r="SSZ41" s="19"/>
      <c r="STA41" s="19"/>
      <c r="STB41" s="19"/>
      <c r="STC41" s="19"/>
      <c r="STD41" s="19"/>
      <c r="STE41" s="19"/>
      <c r="STF41" s="19"/>
      <c r="STG41" s="19"/>
      <c r="STH41" s="19"/>
      <c r="STI41" s="19"/>
      <c r="STJ41" s="19"/>
      <c r="STK41" s="19"/>
      <c r="STL41" s="19"/>
      <c r="STM41" s="19"/>
      <c r="STN41" s="19"/>
      <c r="STO41" s="19"/>
      <c r="STP41" s="19"/>
      <c r="STQ41" s="19"/>
      <c r="STR41" s="19"/>
      <c r="STS41" s="19"/>
      <c r="STT41" s="19"/>
      <c r="STU41" s="19"/>
      <c r="STV41" s="19"/>
      <c r="STW41" s="19"/>
      <c r="STX41" s="19"/>
      <c r="STY41" s="19"/>
      <c r="STZ41" s="19"/>
      <c r="SUA41" s="19"/>
      <c r="SUB41" s="19"/>
      <c r="SUC41" s="19"/>
      <c r="SUD41" s="19"/>
      <c r="SUE41" s="19"/>
      <c r="SUF41" s="19"/>
      <c r="SUG41" s="19"/>
      <c r="SUH41" s="19"/>
      <c r="SUI41" s="19"/>
      <c r="SUJ41" s="19"/>
      <c r="SUK41" s="19"/>
      <c r="SUL41" s="19"/>
      <c r="SUM41" s="19"/>
      <c r="SUN41" s="19"/>
      <c r="SUO41" s="19"/>
      <c r="SUP41" s="19"/>
      <c r="SUQ41" s="19"/>
      <c r="SUR41" s="19"/>
      <c r="SUS41" s="19"/>
      <c r="SUT41" s="19"/>
      <c r="SUU41" s="19"/>
      <c r="SUV41" s="19"/>
      <c r="SUW41" s="19"/>
      <c r="SUX41" s="19"/>
      <c r="SUY41" s="19"/>
      <c r="SUZ41" s="19"/>
      <c r="SVA41" s="19"/>
      <c r="SVB41" s="19"/>
      <c r="SVC41" s="19"/>
      <c r="SVD41" s="19"/>
      <c r="SVE41" s="19"/>
      <c r="SVF41" s="19"/>
      <c r="SVG41" s="19"/>
      <c r="SVH41" s="19"/>
      <c r="SVI41" s="19"/>
      <c r="SVJ41" s="19"/>
      <c r="SVK41" s="19"/>
      <c r="SVL41" s="19"/>
      <c r="SVM41" s="19"/>
      <c r="SVN41" s="19"/>
      <c r="SVO41" s="19"/>
      <c r="SVP41" s="19"/>
      <c r="SVQ41" s="19"/>
      <c r="SVR41" s="19"/>
      <c r="SVS41" s="19"/>
      <c r="SVT41" s="19"/>
      <c r="SVU41" s="19"/>
      <c r="SVV41" s="19"/>
      <c r="SVW41" s="19"/>
      <c r="SVX41" s="19"/>
      <c r="SVY41" s="19"/>
      <c r="SVZ41" s="19"/>
      <c r="SWA41" s="19"/>
      <c r="SWB41" s="19"/>
      <c r="SWC41" s="19"/>
      <c r="SWD41" s="19"/>
      <c r="SWE41" s="19"/>
      <c r="SWF41" s="19"/>
      <c r="SWG41" s="19"/>
      <c r="SWH41" s="19"/>
      <c r="SWI41" s="19"/>
      <c r="SWJ41" s="19"/>
      <c r="SWK41" s="19"/>
      <c r="SWL41" s="19"/>
      <c r="SWM41" s="19"/>
      <c r="SWN41" s="19"/>
      <c r="SWO41" s="19"/>
      <c r="SWP41" s="19"/>
      <c r="SWQ41" s="19"/>
      <c r="SWR41" s="19"/>
      <c r="SWS41" s="19"/>
      <c r="SWT41" s="19"/>
      <c r="SWU41" s="19"/>
      <c r="SWV41" s="19"/>
      <c r="SWW41" s="19"/>
      <c r="SWX41" s="19"/>
      <c r="SWY41" s="19"/>
      <c r="SWZ41" s="19"/>
      <c r="SXA41" s="19"/>
      <c r="SXB41" s="19"/>
      <c r="SXC41" s="19"/>
      <c r="SXD41" s="19"/>
      <c r="SXE41" s="19"/>
      <c r="SXF41" s="19"/>
      <c r="SXG41" s="19"/>
      <c r="SXH41" s="19"/>
      <c r="SXI41" s="19"/>
      <c r="SXJ41" s="19"/>
      <c r="SXK41" s="19"/>
      <c r="SXL41" s="19"/>
      <c r="SXM41" s="19"/>
      <c r="SXN41" s="19"/>
      <c r="SXO41" s="19"/>
      <c r="SXP41" s="19"/>
      <c r="SXQ41" s="19"/>
      <c r="SXR41" s="19"/>
      <c r="SXS41" s="19"/>
      <c r="SXT41" s="19"/>
      <c r="SXU41" s="19"/>
      <c r="SXV41" s="19"/>
      <c r="SXW41" s="19"/>
      <c r="SXX41" s="19"/>
      <c r="SXY41" s="19"/>
      <c r="SXZ41" s="19"/>
      <c r="SYA41" s="19"/>
      <c r="SYB41" s="19"/>
      <c r="SYC41" s="19"/>
      <c r="SYD41" s="19"/>
      <c r="SYE41" s="19"/>
      <c r="SYF41" s="19"/>
      <c r="SYG41" s="19"/>
      <c r="SYH41" s="19"/>
      <c r="SYI41" s="19"/>
      <c r="SYJ41" s="19"/>
      <c r="SYK41" s="19"/>
      <c r="SYL41" s="19"/>
      <c r="SYM41" s="19"/>
      <c r="SYN41" s="19"/>
      <c r="SYO41" s="19"/>
      <c r="SYP41" s="19"/>
      <c r="SYQ41" s="19"/>
      <c r="SYR41" s="19"/>
      <c r="SYS41" s="19"/>
      <c r="SYT41" s="19"/>
      <c r="SYU41" s="19"/>
      <c r="SYV41" s="19"/>
      <c r="SYW41" s="19"/>
      <c r="SYX41" s="19"/>
      <c r="SYY41" s="19"/>
      <c r="SYZ41" s="19"/>
      <c r="SZA41" s="19"/>
      <c r="SZB41" s="19"/>
      <c r="SZC41" s="19"/>
      <c r="SZD41" s="19"/>
      <c r="SZE41" s="19"/>
      <c r="SZF41" s="19"/>
      <c r="SZG41" s="19"/>
      <c r="SZH41" s="19"/>
      <c r="SZI41" s="19"/>
      <c r="SZJ41" s="19"/>
      <c r="SZK41" s="19"/>
      <c r="SZL41" s="19"/>
      <c r="SZM41" s="19"/>
      <c r="SZN41" s="19"/>
      <c r="SZO41" s="19"/>
      <c r="SZP41" s="19"/>
      <c r="SZQ41" s="19"/>
      <c r="SZR41" s="19"/>
      <c r="SZS41" s="19"/>
      <c r="SZT41" s="19"/>
      <c r="SZU41" s="19"/>
      <c r="SZV41" s="19"/>
      <c r="SZW41" s="19"/>
      <c r="SZX41" s="19"/>
      <c r="SZY41" s="19"/>
      <c r="SZZ41" s="19"/>
      <c r="TAA41" s="19"/>
      <c r="TAB41" s="19"/>
      <c r="TAC41" s="19"/>
      <c r="TAD41" s="19"/>
      <c r="TAE41" s="19"/>
      <c r="TAF41" s="19"/>
      <c r="TAG41" s="19"/>
      <c r="TAH41" s="19"/>
      <c r="TAI41" s="19"/>
      <c r="TAJ41" s="19"/>
      <c r="TAK41" s="19"/>
      <c r="TAL41" s="19"/>
      <c r="TAM41" s="19"/>
      <c r="TAN41" s="19"/>
      <c r="TAO41" s="19"/>
      <c r="TAP41" s="19"/>
      <c r="TAQ41" s="19"/>
      <c r="TAR41" s="19"/>
      <c r="TAS41" s="19"/>
      <c r="TAT41" s="19"/>
      <c r="TAU41" s="19"/>
      <c r="TAV41" s="19"/>
      <c r="TAW41" s="19"/>
      <c r="TAX41" s="19"/>
      <c r="TAY41" s="19"/>
      <c r="TAZ41" s="19"/>
      <c r="TBA41" s="19"/>
      <c r="TBB41" s="19"/>
      <c r="TBC41" s="19"/>
      <c r="TBD41" s="19"/>
      <c r="TBE41" s="19"/>
      <c r="TBF41" s="19"/>
      <c r="TBG41" s="19"/>
      <c r="TBH41" s="19"/>
      <c r="TBI41" s="19"/>
      <c r="TBJ41" s="19"/>
      <c r="TBK41" s="19"/>
      <c r="TBL41" s="19"/>
      <c r="TBM41" s="19"/>
      <c r="TBN41" s="19"/>
      <c r="TBO41" s="19"/>
      <c r="TBP41" s="19"/>
      <c r="TBQ41" s="19"/>
      <c r="TBR41" s="19"/>
      <c r="TBS41" s="19"/>
      <c r="TBT41" s="19"/>
      <c r="TBU41" s="19"/>
      <c r="TBV41" s="19"/>
      <c r="TBW41" s="19"/>
      <c r="TBX41" s="19"/>
      <c r="TBY41" s="19"/>
      <c r="TBZ41" s="19"/>
      <c r="TCA41" s="19"/>
      <c r="TCB41" s="19"/>
      <c r="TCC41" s="19"/>
      <c r="TCD41" s="19"/>
      <c r="TCE41" s="19"/>
      <c r="TCF41" s="19"/>
      <c r="TCG41" s="19"/>
      <c r="TCH41" s="19"/>
      <c r="TCI41" s="19"/>
      <c r="TCJ41" s="19"/>
      <c r="TCK41" s="19"/>
      <c r="TCL41" s="19"/>
      <c r="TCM41" s="19"/>
      <c r="TCN41" s="19"/>
      <c r="TCO41" s="19"/>
      <c r="TCP41" s="19"/>
      <c r="TCQ41" s="19"/>
      <c r="TCR41" s="19"/>
      <c r="TCS41" s="19"/>
      <c r="TCT41" s="19"/>
      <c r="TCU41" s="19"/>
      <c r="TCV41" s="19"/>
      <c r="TCW41" s="19"/>
      <c r="TCX41" s="19"/>
      <c r="TCY41" s="19"/>
      <c r="TCZ41" s="19"/>
      <c r="TDA41" s="19"/>
      <c r="TDB41" s="19"/>
      <c r="TDC41" s="19"/>
      <c r="TDD41" s="19"/>
      <c r="TDE41" s="19"/>
      <c r="TDF41" s="19"/>
      <c r="TDG41" s="19"/>
      <c r="TDH41" s="19"/>
      <c r="TDI41" s="19"/>
      <c r="TDJ41" s="19"/>
      <c r="TDK41" s="19"/>
      <c r="TDL41" s="19"/>
      <c r="TDM41" s="19"/>
      <c r="TDN41" s="19"/>
      <c r="TDO41" s="19"/>
      <c r="TDP41" s="19"/>
      <c r="TDQ41" s="19"/>
      <c r="TDR41" s="19"/>
      <c r="TDS41" s="19"/>
      <c r="TDT41" s="19"/>
      <c r="TDU41" s="19"/>
      <c r="TDV41" s="19"/>
      <c r="TDW41" s="19"/>
      <c r="TDX41" s="19"/>
      <c r="TDY41" s="19"/>
      <c r="TDZ41" s="19"/>
      <c r="TEA41" s="19"/>
      <c r="TEB41" s="19"/>
      <c r="TEC41" s="19"/>
      <c r="TED41" s="19"/>
      <c r="TEE41" s="19"/>
      <c r="TEF41" s="19"/>
      <c r="TEG41" s="19"/>
      <c r="TEH41" s="19"/>
      <c r="TEI41" s="19"/>
      <c r="TEJ41" s="19"/>
      <c r="TEK41" s="19"/>
      <c r="TEL41" s="19"/>
      <c r="TEM41" s="19"/>
      <c r="TEN41" s="19"/>
      <c r="TEO41" s="19"/>
      <c r="TEP41" s="19"/>
      <c r="TEQ41" s="19"/>
      <c r="TER41" s="19"/>
      <c r="TES41" s="19"/>
      <c r="TET41" s="19"/>
      <c r="TEU41" s="19"/>
      <c r="TEV41" s="19"/>
      <c r="TEW41" s="19"/>
      <c r="TEX41" s="19"/>
      <c r="TEY41" s="19"/>
      <c r="TEZ41" s="19"/>
      <c r="TFA41" s="19"/>
      <c r="TFB41" s="19"/>
      <c r="TFC41" s="19"/>
      <c r="TFD41" s="19"/>
      <c r="TFE41" s="19"/>
      <c r="TFF41" s="19"/>
      <c r="TFG41" s="19"/>
      <c r="TFH41" s="19"/>
      <c r="TFI41" s="19"/>
      <c r="TFJ41" s="19"/>
      <c r="TFK41" s="19"/>
      <c r="TFL41" s="19"/>
      <c r="TFM41" s="19"/>
      <c r="TFN41" s="19"/>
      <c r="TFO41" s="19"/>
      <c r="TFP41" s="19"/>
      <c r="TFQ41" s="19"/>
      <c r="TFR41" s="19"/>
      <c r="TFS41" s="19"/>
      <c r="TFT41" s="19"/>
      <c r="TFU41" s="19"/>
      <c r="TFV41" s="19"/>
      <c r="TFW41" s="19"/>
      <c r="TFX41" s="19"/>
      <c r="TFY41" s="19"/>
      <c r="TFZ41" s="19"/>
      <c r="TGA41" s="19"/>
      <c r="TGB41" s="19"/>
      <c r="TGC41" s="19"/>
      <c r="TGD41" s="19"/>
      <c r="TGE41" s="19"/>
      <c r="TGF41" s="19"/>
      <c r="TGG41" s="19"/>
      <c r="TGH41" s="19"/>
      <c r="TGI41" s="19"/>
      <c r="TGJ41" s="19"/>
      <c r="TGK41" s="19"/>
      <c r="TGL41" s="19"/>
      <c r="TGM41" s="19"/>
      <c r="TGN41" s="19"/>
      <c r="TGO41" s="19"/>
      <c r="TGP41" s="19"/>
      <c r="TGQ41" s="19"/>
      <c r="TGR41" s="19"/>
      <c r="TGS41" s="19"/>
      <c r="TGT41" s="19"/>
      <c r="TGU41" s="19"/>
      <c r="TGV41" s="19"/>
      <c r="TGW41" s="19"/>
      <c r="TGX41" s="19"/>
      <c r="TGY41" s="19"/>
      <c r="TGZ41" s="19"/>
      <c r="THA41" s="19"/>
      <c r="THB41" s="19"/>
      <c r="THC41" s="19"/>
      <c r="THD41" s="19"/>
      <c r="THE41" s="19"/>
      <c r="THF41" s="19"/>
      <c r="THG41" s="19"/>
      <c r="THH41" s="19"/>
      <c r="THI41" s="19"/>
      <c r="THJ41" s="19"/>
      <c r="THK41" s="19"/>
      <c r="THL41" s="19"/>
      <c r="THM41" s="19"/>
      <c r="THN41" s="19"/>
      <c r="THO41" s="19"/>
      <c r="THP41" s="19"/>
      <c r="THQ41" s="19"/>
      <c r="THR41" s="19"/>
      <c r="THS41" s="19"/>
      <c r="THT41" s="19"/>
      <c r="THU41" s="19"/>
      <c r="THV41" s="19"/>
      <c r="THW41" s="19"/>
      <c r="THX41" s="19"/>
      <c r="THY41" s="19"/>
      <c r="THZ41" s="19"/>
      <c r="TIA41" s="19"/>
      <c r="TIB41" s="19"/>
      <c r="TIC41" s="19"/>
      <c r="TID41" s="19"/>
      <c r="TIE41" s="19"/>
      <c r="TIF41" s="19"/>
      <c r="TIG41" s="19"/>
      <c r="TIH41" s="19"/>
      <c r="TII41" s="19"/>
      <c r="TIJ41" s="19"/>
      <c r="TIK41" s="19"/>
      <c r="TIL41" s="19"/>
      <c r="TIM41" s="19"/>
      <c r="TIN41" s="19"/>
      <c r="TIO41" s="19"/>
      <c r="TIP41" s="19"/>
      <c r="TIQ41" s="19"/>
      <c r="TIR41" s="19"/>
      <c r="TIS41" s="19"/>
      <c r="TIT41" s="19"/>
      <c r="TIU41" s="19"/>
      <c r="TIV41" s="19"/>
      <c r="TIW41" s="19"/>
      <c r="TIX41" s="19"/>
      <c r="TIY41" s="19"/>
      <c r="TIZ41" s="19"/>
      <c r="TJA41" s="19"/>
      <c r="TJB41" s="19"/>
      <c r="TJC41" s="19"/>
      <c r="TJD41" s="19"/>
      <c r="TJE41" s="19"/>
      <c r="TJF41" s="19"/>
      <c r="TJG41" s="19"/>
      <c r="TJH41" s="19"/>
      <c r="TJI41" s="19"/>
      <c r="TJJ41" s="19"/>
      <c r="TJK41" s="19"/>
      <c r="TJL41" s="19"/>
      <c r="TJM41" s="19"/>
      <c r="TJN41" s="19"/>
      <c r="TJO41" s="19"/>
      <c r="TJP41" s="19"/>
      <c r="TJQ41" s="19"/>
      <c r="TJR41" s="19"/>
      <c r="TJS41" s="19"/>
      <c r="TJT41" s="19"/>
      <c r="TJU41" s="19"/>
      <c r="TJV41" s="19"/>
      <c r="TJW41" s="19"/>
      <c r="TJX41" s="19"/>
      <c r="TJY41" s="19"/>
      <c r="TJZ41" s="19"/>
      <c r="TKA41" s="19"/>
      <c r="TKB41" s="19"/>
      <c r="TKC41" s="19"/>
      <c r="TKD41" s="19"/>
      <c r="TKE41" s="19"/>
      <c r="TKF41" s="19"/>
      <c r="TKG41" s="19"/>
      <c r="TKH41" s="19"/>
      <c r="TKI41" s="19"/>
      <c r="TKJ41" s="19"/>
      <c r="TKK41" s="19"/>
      <c r="TKL41" s="19"/>
      <c r="TKM41" s="19"/>
      <c r="TKN41" s="19"/>
      <c r="TKO41" s="19"/>
      <c r="TKP41" s="19"/>
      <c r="TKQ41" s="19"/>
      <c r="TKR41" s="19"/>
      <c r="TKS41" s="19"/>
      <c r="TKT41" s="19"/>
      <c r="TKU41" s="19"/>
      <c r="TKV41" s="19"/>
      <c r="TKW41" s="19"/>
      <c r="TKX41" s="19"/>
      <c r="TKY41" s="19"/>
      <c r="TKZ41" s="19"/>
      <c r="TLA41" s="19"/>
      <c r="TLB41" s="19"/>
      <c r="TLC41" s="19"/>
      <c r="TLD41" s="19"/>
      <c r="TLE41" s="19"/>
      <c r="TLF41" s="19"/>
      <c r="TLG41" s="19"/>
      <c r="TLH41" s="19"/>
      <c r="TLI41" s="19"/>
      <c r="TLJ41" s="19"/>
      <c r="TLK41" s="19"/>
      <c r="TLL41" s="19"/>
      <c r="TLM41" s="19"/>
      <c r="TLN41" s="19"/>
      <c r="TLO41" s="19"/>
      <c r="TLP41" s="19"/>
      <c r="TLQ41" s="19"/>
      <c r="TLR41" s="19"/>
      <c r="TLS41" s="19"/>
      <c r="TLT41" s="19"/>
      <c r="TLU41" s="19"/>
      <c r="TLV41" s="19"/>
      <c r="TLW41" s="19"/>
      <c r="TLX41" s="19"/>
      <c r="TLY41" s="19"/>
      <c r="TLZ41" s="19"/>
      <c r="TMA41" s="19"/>
      <c r="TMB41" s="19"/>
      <c r="TMC41" s="19"/>
      <c r="TMD41" s="19"/>
      <c r="TME41" s="19"/>
      <c r="TMF41" s="19"/>
      <c r="TMG41" s="19"/>
      <c r="TMH41" s="19"/>
      <c r="TMI41" s="19"/>
      <c r="TMJ41" s="19"/>
      <c r="TMK41" s="19"/>
      <c r="TML41" s="19"/>
      <c r="TMM41" s="19"/>
      <c r="TMN41" s="19"/>
      <c r="TMO41" s="19"/>
      <c r="TMP41" s="19"/>
      <c r="TMQ41" s="19"/>
      <c r="TMR41" s="19"/>
      <c r="TMS41" s="19"/>
      <c r="TMT41" s="19"/>
      <c r="TMU41" s="19"/>
      <c r="TMV41" s="19"/>
      <c r="TMW41" s="19"/>
      <c r="TMX41" s="19"/>
      <c r="TMY41" s="19"/>
      <c r="TMZ41" s="19"/>
      <c r="TNA41" s="19"/>
      <c r="TNB41" s="19"/>
      <c r="TNC41" s="19"/>
      <c r="TND41" s="19"/>
      <c r="TNE41" s="19"/>
      <c r="TNF41" s="19"/>
      <c r="TNG41" s="19"/>
      <c r="TNH41" s="19"/>
      <c r="TNI41" s="19"/>
      <c r="TNJ41" s="19"/>
      <c r="TNK41" s="19"/>
      <c r="TNL41" s="19"/>
      <c r="TNM41" s="19"/>
      <c r="TNN41" s="19"/>
      <c r="TNO41" s="19"/>
      <c r="TNP41" s="19"/>
      <c r="TNQ41" s="19"/>
      <c r="TNR41" s="19"/>
      <c r="TNS41" s="19"/>
      <c r="TNT41" s="19"/>
      <c r="TNU41" s="19"/>
      <c r="TNV41" s="19"/>
      <c r="TNW41" s="19"/>
      <c r="TNX41" s="19"/>
      <c r="TNY41" s="19"/>
      <c r="TNZ41" s="19"/>
      <c r="TOA41" s="19"/>
      <c r="TOB41" s="19"/>
      <c r="TOC41" s="19"/>
      <c r="TOD41" s="19"/>
      <c r="TOE41" s="19"/>
      <c r="TOF41" s="19"/>
      <c r="TOG41" s="19"/>
      <c r="TOH41" s="19"/>
      <c r="TOI41" s="19"/>
      <c r="TOJ41" s="19"/>
      <c r="TOK41" s="19"/>
      <c r="TOL41" s="19"/>
      <c r="TOM41" s="19"/>
      <c r="TON41" s="19"/>
      <c r="TOO41" s="19"/>
      <c r="TOP41" s="19"/>
      <c r="TOQ41" s="19"/>
      <c r="TOR41" s="19"/>
      <c r="TOS41" s="19"/>
      <c r="TOT41" s="19"/>
      <c r="TOU41" s="19"/>
      <c r="TOV41" s="19"/>
      <c r="TOW41" s="19"/>
      <c r="TOX41" s="19"/>
      <c r="TOY41" s="19"/>
      <c r="TOZ41" s="19"/>
      <c r="TPA41" s="19"/>
      <c r="TPB41" s="19"/>
      <c r="TPC41" s="19"/>
      <c r="TPD41" s="19"/>
      <c r="TPE41" s="19"/>
      <c r="TPF41" s="19"/>
      <c r="TPG41" s="19"/>
      <c r="TPH41" s="19"/>
      <c r="TPI41" s="19"/>
      <c r="TPJ41" s="19"/>
      <c r="TPK41" s="19"/>
      <c r="TPL41" s="19"/>
      <c r="TPM41" s="19"/>
      <c r="TPN41" s="19"/>
      <c r="TPO41" s="19"/>
      <c r="TPP41" s="19"/>
      <c r="TPQ41" s="19"/>
      <c r="TPR41" s="19"/>
      <c r="TPS41" s="19"/>
      <c r="TPT41" s="19"/>
      <c r="TPU41" s="19"/>
      <c r="TPV41" s="19"/>
      <c r="TPW41" s="19"/>
      <c r="TPX41" s="19"/>
      <c r="TPY41" s="19"/>
      <c r="TPZ41" s="19"/>
      <c r="TQA41" s="19"/>
      <c r="TQB41" s="19"/>
      <c r="TQC41" s="19"/>
      <c r="TQD41" s="19"/>
      <c r="TQE41" s="19"/>
      <c r="TQF41" s="19"/>
      <c r="TQG41" s="19"/>
      <c r="TQH41" s="19"/>
      <c r="TQI41" s="19"/>
      <c r="TQJ41" s="19"/>
      <c r="TQK41" s="19"/>
      <c r="TQL41" s="19"/>
      <c r="TQM41" s="19"/>
      <c r="TQN41" s="19"/>
      <c r="TQO41" s="19"/>
      <c r="TQP41" s="19"/>
      <c r="TQQ41" s="19"/>
      <c r="TQR41" s="19"/>
      <c r="TQS41" s="19"/>
      <c r="TQT41" s="19"/>
      <c r="TQU41" s="19"/>
      <c r="TQV41" s="19"/>
      <c r="TQW41" s="19"/>
      <c r="TQX41" s="19"/>
      <c r="TQY41" s="19"/>
      <c r="TQZ41" s="19"/>
      <c r="TRA41" s="19"/>
      <c r="TRB41" s="19"/>
      <c r="TRC41" s="19"/>
      <c r="TRD41" s="19"/>
      <c r="TRE41" s="19"/>
      <c r="TRF41" s="19"/>
      <c r="TRG41" s="19"/>
      <c r="TRH41" s="19"/>
      <c r="TRI41" s="19"/>
      <c r="TRJ41" s="19"/>
      <c r="TRK41" s="19"/>
      <c r="TRL41" s="19"/>
      <c r="TRM41" s="19"/>
      <c r="TRN41" s="19"/>
      <c r="TRO41" s="19"/>
      <c r="TRP41" s="19"/>
      <c r="TRQ41" s="19"/>
      <c r="TRR41" s="19"/>
      <c r="TRS41" s="19"/>
      <c r="TRT41" s="19"/>
      <c r="TRU41" s="19"/>
      <c r="TRV41" s="19"/>
      <c r="TRW41" s="19"/>
      <c r="TRX41" s="19"/>
      <c r="TRY41" s="19"/>
      <c r="TRZ41" s="19"/>
      <c r="TSA41" s="19"/>
      <c r="TSB41" s="19"/>
      <c r="TSC41" s="19"/>
      <c r="TSD41" s="19"/>
      <c r="TSE41" s="19"/>
      <c r="TSF41" s="19"/>
      <c r="TSG41" s="19"/>
      <c r="TSH41" s="19"/>
      <c r="TSI41" s="19"/>
      <c r="TSJ41" s="19"/>
      <c r="TSK41" s="19"/>
      <c r="TSL41" s="19"/>
      <c r="TSM41" s="19"/>
      <c r="TSN41" s="19"/>
      <c r="TSO41" s="19"/>
      <c r="TSP41" s="19"/>
      <c r="TSQ41" s="19"/>
      <c r="TSR41" s="19"/>
      <c r="TSS41" s="19"/>
      <c r="TST41" s="19"/>
      <c r="TSU41" s="19"/>
      <c r="TSV41" s="19"/>
      <c r="TSW41" s="19"/>
      <c r="TSX41" s="19"/>
      <c r="TSY41" s="19"/>
      <c r="TSZ41" s="19"/>
      <c r="TTA41" s="19"/>
      <c r="TTB41" s="19"/>
      <c r="TTC41" s="19"/>
      <c r="TTD41" s="19"/>
      <c r="TTE41" s="19"/>
      <c r="TTF41" s="19"/>
      <c r="TTG41" s="19"/>
      <c r="TTH41" s="19"/>
      <c r="TTI41" s="19"/>
      <c r="TTJ41" s="19"/>
      <c r="TTK41" s="19"/>
      <c r="TTL41" s="19"/>
      <c r="TTM41" s="19"/>
      <c r="TTN41" s="19"/>
      <c r="TTO41" s="19"/>
      <c r="TTP41" s="19"/>
      <c r="TTQ41" s="19"/>
      <c r="TTR41" s="19"/>
      <c r="TTS41" s="19"/>
      <c r="TTT41" s="19"/>
      <c r="TTU41" s="19"/>
      <c r="TTV41" s="19"/>
      <c r="TTW41" s="19"/>
      <c r="TTX41" s="19"/>
      <c r="TTY41" s="19"/>
      <c r="TTZ41" s="19"/>
      <c r="TUA41" s="19"/>
      <c r="TUB41" s="19"/>
      <c r="TUC41" s="19"/>
      <c r="TUD41" s="19"/>
      <c r="TUE41" s="19"/>
      <c r="TUF41" s="19"/>
      <c r="TUG41" s="19"/>
      <c r="TUH41" s="19"/>
      <c r="TUI41" s="19"/>
      <c r="TUJ41" s="19"/>
      <c r="TUK41" s="19"/>
      <c r="TUL41" s="19"/>
      <c r="TUM41" s="19"/>
      <c r="TUN41" s="19"/>
      <c r="TUO41" s="19"/>
      <c r="TUP41" s="19"/>
      <c r="TUQ41" s="19"/>
      <c r="TUR41" s="19"/>
      <c r="TUS41" s="19"/>
      <c r="TUT41" s="19"/>
      <c r="TUU41" s="19"/>
      <c r="TUV41" s="19"/>
      <c r="TUW41" s="19"/>
      <c r="TUX41" s="19"/>
      <c r="TUY41" s="19"/>
      <c r="TUZ41" s="19"/>
      <c r="TVA41" s="19"/>
      <c r="TVB41" s="19"/>
      <c r="TVC41" s="19"/>
      <c r="TVD41" s="19"/>
      <c r="TVE41" s="19"/>
      <c r="TVF41" s="19"/>
      <c r="TVG41" s="19"/>
      <c r="TVH41" s="19"/>
      <c r="TVI41" s="19"/>
      <c r="TVJ41" s="19"/>
      <c r="TVK41" s="19"/>
      <c r="TVL41" s="19"/>
      <c r="TVM41" s="19"/>
      <c r="TVN41" s="19"/>
      <c r="TVO41" s="19"/>
      <c r="TVP41" s="19"/>
      <c r="TVQ41" s="19"/>
      <c r="TVR41" s="19"/>
      <c r="TVS41" s="19"/>
      <c r="TVT41" s="19"/>
      <c r="TVU41" s="19"/>
      <c r="TVV41" s="19"/>
      <c r="TVW41" s="19"/>
      <c r="TVX41" s="19"/>
      <c r="TVY41" s="19"/>
      <c r="TVZ41" s="19"/>
      <c r="TWA41" s="19"/>
      <c r="TWB41" s="19"/>
      <c r="TWC41" s="19"/>
      <c r="TWD41" s="19"/>
      <c r="TWE41" s="19"/>
      <c r="TWF41" s="19"/>
      <c r="TWG41" s="19"/>
      <c r="TWH41" s="19"/>
      <c r="TWI41" s="19"/>
      <c r="TWJ41" s="19"/>
      <c r="TWK41" s="19"/>
      <c r="TWL41" s="19"/>
      <c r="TWM41" s="19"/>
      <c r="TWN41" s="19"/>
      <c r="TWO41" s="19"/>
      <c r="TWP41" s="19"/>
      <c r="TWQ41" s="19"/>
      <c r="TWR41" s="19"/>
      <c r="TWS41" s="19"/>
      <c r="TWT41" s="19"/>
      <c r="TWU41" s="19"/>
      <c r="TWV41" s="19"/>
      <c r="TWW41" s="19"/>
      <c r="TWX41" s="19"/>
      <c r="TWY41" s="19"/>
      <c r="TWZ41" s="19"/>
      <c r="TXA41" s="19"/>
      <c r="TXB41" s="19"/>
      <c r="TXC41" s="19"/>
      <c r="TXD41" s="19"/>
      <c r="TXE41" s="19"/>
      <c r="TXF41" s="19"/>
      <c r="TXG41" s="19"/>
      <c r="TXH41" s="19"/>
      <c r="TXI41" s="19"/>
      <c r="TXJ41" s="19"/>
      <c r="TXK41" s="19"/>
      <c r="TXL41" s="19"/>
      <c r="TXM41" s="19"/>
      <c r="TXN41" s="19"/>
      <c r="TXO41" s="19"/>
      <c r="TXP41" s="19"/>
      <c r="TXQ41" s="19"/>
      <c r="TXR41" s="19"/>
      <c r="TXS41" s="19"/>
      <c r="TXT41" s="19"/>
      <c r="TXU41" s="19"/>
      <c r="TXV41" s="19"/>
      <c r="TXW41" s="19"/>
      <c r="TXX41" s="19"/>
      <c r="TXY41" s="19"/>
      <c r="TXZ41" s="19"/>
      <c r="TYA41" s="19"/>
      <c r="TYB41" s="19"/>
      <c r="TYC41" s="19"/>
      <c r="TYD41" s="19"/>
      <c r="TYE41" s="19"/>
      <c r="TYF41" s="19"/>
      <c r="TYG41" s="19"/>
      <c r="TYH41" s="19"/>
      <c r="TYI41" s="19"/>
      <c r="TYJ41" s="19"/>
      <c r="TYK41" s="19"/>
      <c r="TYL41" s="19"/>
      <c r="TYM41" s="19"/>
      <c r="TYN41" s="19"/>
      <c r="TYO41" s="19"/>
      <c r="TYP41" s="19"/>
      <c r="TYQ41" s="19"/>
      <c r="TYR41" s="19"/>
      <c r="TYS41" s="19"/>
      <c r="TYT41" s="19"/>
      <c r="TYU41" s="19"/>
      <c r="TYV41" s="19"/>
      <c r="TYW41" s="19"/>
      <c r="TYX41" s="19"/>
      <c r="TYY41" s="19"/>
      <c r="TYZ41" s="19"/>
      <c r="TZA41" s="19"/>
      <c r="TZB41" s="19"/>
      <c r="TZC41" s="19"/>
      <c r="TZD41" s="19"/>
      <c r="TZE41" s="19"/>
      <c r="TZF41" s="19"/>
      <c r="TZG41" s="19"/>
      <c r="TZH41" s="19"/>
      <c r="TZI41" s="19"/>
      <c r="TZJ41" s="19"/>
      <c r="TZK41" s="19"/>
      <c r="TZL41" s="19"/>
      <c r="TZM41" s="19"/>
      <c r="TZN41" s="19"/>
      <c r="TZO41" s="19"/>
      <c r="TZP41" s="19"/>
      <c r="TZQ41" s="19"/>
      <c r="TZR41" s="19"/>
      <c r="TZS41" s="19"/>
      <c r="TZT41" s="19"/>
      <c r="TZU41" s="19"/>
      <c r="TZV41" s="19"/>
      <c r="TZW41" s="19"/>
      <c r="TZX41" s="19"/>
      <c r="TZY41" s="19"/>
      <c r="TZZ41" s="19"/>
      <c r="UAA41" s="19"/>
      <c r="UAB41" s="19"/>
      <c r="UAC41" s="19"/>
      <c r="UAD41" s="19"/>
      <c r="UAE41" s="19"/>
      <c r="UAF41" s="19"/>
      <c r="UAG41" s="19"/>
      <c r="UAH41" s="19"/>
      <c r="UAI41" s="19"/>
      <c r="UAJ41" s="19"/>
      <c r="UAK41" s="19"/>
      <c r="UAL41" s="19"/>
      <c r="UAM41" s="19"/>
      <c r="UAN41" s="19"/>
      <c r="UAO41" s="19"/>
      <c r="UAP41" s="19"/>
      <c r="UAQ41" s="19"/>
      <c r="UAR41" s="19"/>
      <c r="UAS41" s="19"/>
      <c r="UAT41" s="19"/>
      <c r="UAU41" s="19"/>
      <c r="UAV41" s="19"/>
      <c r="UAW41" s="19"/>
      <c r="UAX41" s="19"/>
      <c r="UAY41" s="19"/>
      <c r="UAZ41" s="19"/>
      <c r="UBA41" s="19"/>
      <c r="UBB41" s="19"/>
      <c r="UBC41" s="19"/>
      <c r="UBD41" s="19"/>
      <c r="UBE41" s="19"/>
      <c r="UBF41" s="19"/>
      <c r="UBG41" s="19"/>
      <c r="UBH41" s="19"/>
      <c r="UBI41" s="19"/>
      <c r="UBJ41" s="19"/>
      <c r="UBK41" s="19"/>
      <c r="UBL41" s="19"/>
      <c r="UBM41" s="19"/>
      <c r="UBN41" s="19"/>
      <c r="UBO41" s="19"/>
      <c r="UBP41" s="19"/>
      <c r="UBQ41" s="19"/>
      <c r="UBR41" s="19"/>
      <c r="UBS41" s="19"/>
      <c r="UBT41" s="19"/>
      <c r="UBU41" s="19"/>
      <c r="UBV41" s="19"/>
      <c r="UBW41" s="19"/>
      <c r="UBX41" s="19"/>
      <c r="UBY41" s="19"/>
      <c r="UBZ41" s="19"/>
      <c r="UCA41" s="19"/>
      <c r="UCB41" s="19"/>
      <c r="UCC41" s="19"/>
      <c r="UCD41" s="19"/>
      <c r="UCE41" s="19"/>
      <c r="UCF41" s="19"/>
      <c r="UCG41" s="19"/>
      <c r="UCH41" s="19"/>
      <c r="UCI41" s="19"/>
      <c r="UCJ41" s="19"/>
      <c r="UCK41" s="19"/>
      <c r="UCL41" s="19"/>
      <c r="UCM41" s="19"/>
      <c r="UCN41" s="19"/>
      <c r="UCO41" s="19"/>
      <c r="UCP41" s="19"/>
      <c r="UCQ41" s="19"/>
      <c r="UCR41" s="19"/>
      <c r="UCS41" s="19"/>
      <c r="UCT41" s="19"/>
      <c r="UCU41" s="19"/>
      <c r="UCV41" s="19"/>
      <c r="UCW41" s="19"/>
      <c r="UCX41" s="19"/>
      <c r="UCY41" s="19"/>
      <c r="UCZ41" s="19"/>
      <c r="UDA41" s="19"/>
      <c r="UDB41" s="19"/>
      <c r="UDC41" s="19"/>
      <c r="UDD41" s="19"/>
      <c r="UDE41" s="19"/>
      <c r="UDF41" s="19"/>
      <c r="UDG41" s="19"/>
      <c r="UDH41" s="19"/>
      <c r="UDI41" s="19"/>
      <c r="UDJ41" s="19"/>
      <c r="UDK41" s="19"/>
      <c r="UDL41" s="19"/>
      <c r="UDM41" s="19"/>
      <c r="UDN41" s="19"/>
      <c r="UDO41" s="19"/>
      <c r="UDP41" s="19"/>
      <c r="UDQ41" s="19"/>
      <c r="UDR41" s="19"/>
      <c r="UDS41" s="19"/>
      <c r="UDT41" s="19"/>
      <c r="UDU41" s="19"/>
      <c r="UDV41" s="19"/>
      <c r="UDW41" s="19"/>
      <c r="UDX41" s="19"/>
      <c r="UDY41" s="19"/>
      <c r="UDZ41" s="19"/>
      <c r="UEA41" s="19"/>
      <c r="UEB41" s="19"/>
      <c r="UEC41" s="19"/>
      <c r="UED41" s="19"/>
      <c r="UEE41" s="19"/>
      <c r="UEF41" s="19"/>
      <c r="UEG41" s="19"/>
      <c r="UEH41" s="19"/>
      <c r="UEI41" s="19"/>
      <c r="UEJ41" s="19"/>
      <c r="UEK41" s="19"/>
      <c r="UEL41" s="19"/>
      <c r="UEM41" s="19"/>
      <c r="UEN41" s="19"/>
      <c r="UEO41" s="19"/>
      <c r="UEP41" s="19"/>
      <c r="UEQ41" s="19"/>
      <c r="UER41" s="19"/>
      <c r="UES41" s="19"/>
      <c r="UET41" s="19"/>
      <c r="UEU41" s="19"/>
      <c r="UEV41" s="19"/>
      <c r="UEW41" s="19"/>
      <c r="UEX41" s="19"/>
      <c r="UEY41" s="19"/>
      <c r="UEZ41" s="19"/>
      <c r="UFA41" s="19"/>
      <c r="UFB41" s="19"/>
      <c r="UFC41" s="19"/>
      <c r="UFD41" s="19"/>
      <c r="UFE41" s="19"/>
      <c r="UFF41" s="19"/>
      <c r="UFG41" s="19"/>
      <c r="UFH41" s="19"/>
      <c r="UFI41" s="19"/>
      <c r="UFJ41" s="19"/>
      <c r="UFK41" s="19"/>
      <c r="UFL41" s="19"/>
      <c r="UFM41" s="19"/>
      <c r="UFN41" s="19"/>
      <c r="UFO41" s="19"/>
      <c r="UFP41" s="19"/>
      <c r="UFQ41" s="19"/>
      <c r="UFR41" s="19"/>
      <c r="UFS41" s="19"/>
      <c r="UFT41" s="19"/>
      <c r="UFU41" s="19"/>
      <c r="UFV41" s="19"/>
      <c r="UFW41" s="19"/>
      <c r="UFX41" s="19"/>
      <c r="UFY41" s="19"/>
      <c r="UFZ41" s="19"/>
      <c r="UGA41" s="19"/>
      <c r="UGB41" s="19"/>
      <c r="UGC41" s="19"/>
      <c r="UGD41" s="19"/>
      <c r="UGE41" s="19"/>
      <c r="UGF41" s="19"/>
      <c r="UGG41" s="19"/>
      <c r="UGH41" s="19"/>
      <c r="UGI41" s="19"/>
      <c r="UGJ41" s="19"/>
      <c r="UGK41" s="19"/>
      <c r="UGL41" s="19"/>
      <c r="UGM41" s="19"/>
      <c r="UGN41" s="19"/>
      <c r="UGO41" s="19"/>
      <c r="UGP41" s="19"/>
      <c r="UGQ41" s="19"/>
      <c r="UGR41" s="19"/>
      <c r="UGS41" s="19"/>
      <c r="UGT41" s="19"/>
      <c r="UGU41" s="19"/>
      <c r="UGV41" s="19"/>
      <c r="UGW41" s="19"/>
      <c r="UGX41" s="19"/>
      <c r="UGY41" s="19"/>
      <c r="UGZ41" s="19"/>
      <c r="UHA41" s="19"/>
      <c r="UHB41" s="19"/>
      <c r="UHC41" s="19"/>
      <c r="UHD41" s="19"/>
      <c r="UHE41" s="19"/>
      <c r="UHF41" s="19"/>
      <c r="UHG41" s="19"/>
      <c r="UHH41" s="19"/>
      <c r="UHI41" s="19"/>
      <c r="UHJ41" s="19"/>
      <c r="UHK41" s="19"/>
      <c r="UHL41" s="19"/>
      <c r="UHM41" s="19"/>
      <c r="UHN41" s="19"/>
      <c r="UHO41" s="19"/>
      <c r="UHP41" s="19"/>
      <c r="UHQ41" s="19"/>
      <c r="UHR41" s="19"/>
      <c r="UHS41" s="19"/>
      <c r="UHT41" s="19"/>
      <c r="UHU41" s="19"/>
      <c r="UHV41" s="19"/>
      <c r="UHW41" s="19"/>
      <c r="UHX41" s="19"/>
      <c r="UHY41" s="19"/>
      <c r="UHZ41" s="19"/>
      <c r="UIA41" s="19"/>
      <c r="UIB41" s="19"/>
      <c r="UIC41" s="19"/>
      <c r="UID41" s="19"/>
      <c r="UIE41" s="19"/>
      <c r="UIF41" s="19"/>
      <c r="UIG41" s="19"/>
      <c r="UIH41" s="19"/>
      <c r="UII41" s="19"/>
      <c r="UIJ41" s="19"/>
      <c r="UIK41" s="19"/>
      <c r="UIL41" s="19"/>
      <c r="UIM41" s="19"/>
      <c r="UIN41" s="19"/>
      <c r="UIO41" s="19"/>
      <c r="UIP41" s="19"/>
      <c r="UIQ41" s="19"/>
      <c r="UIR41" s="19"/>
      <c r="UIS41" s="19"/>
      <c r="UIT41" s="19"/>
      <c r="UIU41" s="19"/>
      <c r="UIV41" s="19"/>
      <c r="UIW41" s="19"/>
      <c r="UIX41" s="19"/>
      <c r="UIY41" s="19"/>
      <c r="UIZ41" s="19"/>
      <c r="UJA41" s="19"/>
      <c r="UJB41" s="19"/>
      <c r="UJC41" s="19"/>
      <c r="UJD41" s="19"/>
      <c r="UJE41" s="19"/>
      <c r="UJF41" s="19"/>
      <c r="UJG41" s="19"/>
      <c r="UJH41" s="19"/>
      <c r="UJI41" s="19"/>
      <c r="UJJ41" s="19"/>
      <c r="UJK41" s="19"/>
      <c r="UJL41" s="19"/>
      <c r="UJM41" s="19"/>
      <c r="UJN41" s="19"/>
      <c r="UJO41" s="19"/>
      <c r="UJP41" s="19"/>
      <c r="UJQ41" s="19"/>
      <c r="UJR41" s="19"/>
      <c r="UJS41" s="19"/>
      <c r="UJT41" s="19"/>
      <c r="UJU41" s="19"/>
      <c r="UJV41" s="19"/>
      <c r="UJW41" s="19"/>
      <c r="UJX41" s="19"/>
      <c r="UJY41" s="19"/>
      <c r="UJZ41" s="19"/>
      <c r="UKA41" s="19"/>
      <c r="UKB41" s="19"/>
      <c r="UKC41" s="19"/>
      <c r="UKD41" s="19"/>
      <c r="UKE41" s="19"/>
      <c r="UKF41" s="19"/>
      <c r="UKG41" s="19"/>
      <c r="UKH41" s="19"/>
      <c r="UKI41" s="19"/>
      <c r="UKJ41" s="19"/>
      <c r="UKK41" s="19"/>
      <c r="UKL41" s="19"/>
      <c r="UKM41" s="19"/>
      <c r="UKN41" s="19"/>
      <c r="UKO41" s="19"/>
      <c r="UKP41" s="19"/>
      <c r="UKQ41" s="19"/>
      <c r="UKR41" s="19"/>
      <c r="UKS41" s="19"/>
      <c r="UKT41" s="19"/>
      <c r="UKU41" s="19"/>
      <c r="UKV41" s="19"/>
      <c r="UKW41" s="19"/>
      <c r="UKX41" s="19"/>
      <c r="UKY41" s="19"/>
      <c r="UKZ41" s="19"/>
      <c r="ULA41" s="19"/>
      <c r="ULB41" s="19"/>
      <c r="ULC41" s="19"/>
      <c r="ULD41" s="19"/>
      <c r="ULE41" s="19"/>
      <c r="ULF41" s="19"/>
      <c r="ULG41" s="19"/>
      <c r="ULH41" s="19"/>
      <c r="ULI41" s="19"/>
      <c r="ULJ41" s="19"/>
      <c r="ULK41" s="19"/>
      <c r="ULL41" s="19"/>
      <c r="ULM41" s="19"/>
      <c r="ULN41" s="19"/>
      <c r="ULO41" s="19"/>
      <c r="ULP41" s="19"/>
      <c r="ULQ41" s="19"/>
      <c r="ULR41" s="19"/>
      <c r="ULS41" s="19"/>
      <c r="ULT41" s="19"/>
      <c r="ULU41" s="19"/>
      <c r="ULV41" s="19"/>
      <c r="ULW41" s="19"/>
      <c r="ULX41" s="19"/>
      <c r="ULY41" s="19"/>
      <c r="ULZ41" s="19"/>
      <c r="UMA41" s="19"/>
      <c r="UMB41" s="19"/>
      <c r="UMC41" s="19"/>
      <c r="UMD41" s="19"/>
      <c r="UME41" s="19"/>
      <c r="UMF41" s="19"/>
      <c r="UMG41" s="19"/>
      <c r="UMH41" s="19"/>
      <c r="UMI41" s="19"/>
      <c r="UMJ41" s="19"/>
      <c r="UMK41" s="19"/>
      <c r="UML41" s="19"/>
      <c r="UMM41" s="19"/>
      <c r="UMN41" s="19"/>
      <c r="UMO41" s="19"/>
      <c r="UMP41" s="19"/>
      <c r="UMQ41" s="19"/>
      <c r="UMR41" s="19"/>
      <c r="UMS41" s="19"/>
      <c r="UMT41" s="19"/>
      <c r="UMU41" s="19"/>
      <c r="UMV41" s="19"/>
      <c r="UMW41" s="19"/>
      <c r="UMX41" s="19"/>
      <c r="UMY41" s="19"/>
      <c r="UMZ41" s="19"/>
      <c r="UNA41" s="19"/>
      <c r="UNB41" s="19"/>
      <c r="UNC41" s="19"/>
      <c r="UND41" s="19"/>
      <c r="UNE41" s="19"/>
      <c r="UNF41" s="19"/>
      <c r="UNG41" s="19"/>
      <c r="UNH41" s="19"/>
      <c r="UNI41" s="19"/>
      <c r="UNJ41" s="19"/>
      <c r="UNK41" s="19"/>
      <c r="UNL41" s="19"/>
      <c r="UNM41" s="19"/>
      <c r="UNN41" s="19"/>
      <c r="UNO41" s="19"/>
      <c r="UNP41" s="19"/>
      <c r="UNQ41" s="19"/>
      <c r="UNR41" s="19"/>
      <c r="UNS41" s="19"/>
      <c r="UNT41" s="19"/>
      <c r="UNU41" s="19"/>
      <c r="UNV41" s="19"/>
      <c r="UNW41" s="19"/>
      <c r="UNX41" s="19"/>
      <c r="UNY41" s="19"/>
      <c r="UNZ41" s="19"/>
      <c r="UOA41" s="19"/>
      <c r="UOB41" s="19"/>
      <c r="UOC41" s="19"/>
      <c r="UOD41" s="19"/>
      <c r="UOE41" s="19"/>
      <c r="UOF41" s="19"/>
      <c r="UOG41" s="19"/>
      <c r="UOH41" s="19"/>
      <c r="UOI41" s="19"/>
      <c r="UOJ41" s="19"/>
      <c r="UOK41" s="19"/>
      <c r="UOL41" s="19"/>
      <c r="UOM41" s="19"/>
      <c r="UON41" s="19"/>
      <c r="UOO41" s="19"/>
      <c r="UOP41" s="19"/>
      <c r="UOQ41" s="19"/>
      <c r="UOR41" s="19"/>
      <c r="UOS41" s="19"/>
      <c r="UOT41" s="19"/>
      <c r="UOU41" s="19"/>
      <c r="UOV41" s="19"/>
      <c r="UOW41" s="19"/>
      <c r="UOX41" s="19"/>
      <c r="UOY41" s="19"/>
      <c r="UOZ41" s="19"/>
      <c r="UPA41" s="19"/>
      <c r="UPB41" s="19"/>
      <c r="UPC41" s="19"/>
      <c r="UPD41" s="19"/>
      <c r="UPE41" s="19"/>
      <c r="UPF41" s="19"/>
      <c r="UPG41" s="19"/>
      <c r="UPH41" s="19"/>
      <c r="UPI41" s="19"/>
      <c r="UPJ41" s="19"/>
      <c r="UPK41" s="19"/>
      <c r="UPL41" s="19"/>
      <c r="UPM41" s="19"/>
      <c r="UPN41" s="19"/>
      <c r="UPO41" s="19"/>
      <c r="UPP41" s="19"/>
      <c r="UPQ41" s="19"/>
      <c r="UPR41" s="19"/>
      <c r="UPS41" s="19"/>
      <c r="UPT41" s="19"/>
      <c r="UPU41" s="19"/>
      <c r="UPV41" s="19"/>
      <c r="UPW41" s="19"/>
      <c r="UPX41" s="19"/>
      <c r="UPY41" s="19"/>
      <c r="UPZ41" s="19"/>
      <c r="UQA41" s="19"/>
      <c r="UQB41" s="19"/>
      <c r="UQC41" s="19"/>
      <c r="UQD41" s="19"/>
      <c r="UQE41" s="19"/>
      <c r="UQF41" s="19"/>
      <c r="UQG41" s="19"/>
      <c r="UQH41" s="19"/>
      <c r="UQI41" s="19"/>
      <c r="UQJ41" s="19"/>
      <c r="UQK41" s="19"/>
      <c r="UQL41" s="19"/>
      <c r="UQM41" s="19"/>
      <c r="UQN41" s="19"/>
      <c r="UQO41" s="19"/>
      <c r="UQP41" s="19"/>
      <c r="UQQ41" s="19"/>
      <c r="UQR41" s="19"/>
      <c r="UQS41" s="19"/>
      <c r="UQT41" s="19"/>
      <c r="UQU41" s="19"/>
      <c r="UQV41" s="19"/>
      <c r="UQW41" s="19"/>
      <c r="UQX41" s="19"/>
      <c r="UQY41" s="19"/>
      <c r="UQZ41" s="19"/>
      <c r="URA41" s="19"/>
      <c r="URB41" s="19"/>
      <c r="URC41" s="19"/>
      <c r="URD41" s="19"/>
      <c r="URE41" s="19"/>
      <c r="URF41" s="19"/>
      <c r="URG41" s="19"/>
      <c r="URH41" s="19"/>
      <c r="URI41" s="19"/>
      <c r="URJ41" s="19"/>
      <c r="URK41" s="19"/>
      <c r="URL41" s="19"/>
      <c r="URM41" s="19"/>
      <c r="URN41" s="19"/>
      <c r="URO41" s="19"/>
      <c r="URP41" s="19"/>
      <c r="URQ41" s="19"/>
      <c r="URR41" s="19"/>
      <c r="URS41" s="19"/>
      <c r="URT41" s="19"/>
      <c r="URU41" s="19"/>
      <c r="URV41" s="19"/>
      <c r="URW41" s="19"/>
      <c r="URX41" s="19"/>
      <c r="URY41" s="19"/>
      <c r="URZ41" s="19"/>
      <c r="USA41" s="19"/>
      <c r="USB41" s="19"/>
      <c r="USC41" s="19"/>
      <c r="USD41" s="19"/>
      <c r="USE41" s="19"/>
      <c r="USF41" s="19"/>
      <c r="USG41" s="19"/>
      <c r="USH41" s="19"/>
      <c r="USI41" s="19"/>
      <c r="USJ41" s="19"/>
      <c r="USK41" s="19"/>
      <c r="USL41" s="19"/>
      <c r="USM41" s="19"/>
      <c r="USN41" s="19"/>
      <c r="USO41" s="19"/>
      <c r="USP41" s="19"/>
      <c r="USQ41" s="19"/>
      <c r="USR41" s="19"/>
      <c r="USS41" s="19"/>
      <c r="UST41" s="19"/>
      <c r="USU41" s="19"/>
      <c r="USV41" s="19"/>
      <c r="USW41" s="19"/>
      <c r="USX41" s="19"/>
      <c r="USY41" s="19"/>
      <c r="USZ41" s="19"/>
      <c r="UTA41" s="19"/>
      <c r="UTB41" s="19"/>
      <c r="UTC41" s="19"/>
      <c r="UTD41" s="19"/>
      <c r="UTE41" s="19"/>
      <c r="UTF41" s="19"/>
      <c r="UTG41" s="19"/>
      <c r="UTH41" s="19"/>
      <c r="UTI41" s="19"/>
      <c r="UTJ41" s="19"/>
      <c r="UTK41" s="19"/>
      <c r="UTL41" s="19"/>
      <c r="UTM41" s="19"/>
      <c r="UTN41" s="19"/>
      <c r="UTO41" s="19"/>
      <c r="UTP41" s="19"/>
      <c r="UTQ41" s="19"/>
      <c r="UTR41" s="19"/>
      <c r="UTS41" s="19"/>
      <c r="UTT41" s="19"/>
      <c r="UTU41" s="19"/>
      <c r="UTV41" s="19"/>
      <c r="UTW41" s="19"/>
      <c r="UTX41" s="19"/>
      <c r="UTY41" s="19"/>
      <c r="UTZ41" s="19"/>
      <c r="UUA41" s="19"/>
      <c r="UUB41" s="19"/>
      <c r="UUC41" s="19"/>
      <c r="UUD41" s="19"/>
      <c r="UUE41" s="19"/>
      <c r="UUF41" s="19"/>
      <c r="UUG41" s="19"/>
      <c r="UUH41" s="19"/>
      <c r="UUI41" s="19"/>
      <c r="UUJ41" s="19"/>
      <c r="UUK41" s="19"/>
      <c r="UUL41" s="19"/>
      <c r="UUM41" s="19"/>
      <c r="UUN41" s="19"/>
      <c r="UUO41" s="19"/>
      <c r="UUP41" s="19"/>
      <c r="UUQ41" s="19"/>
      <c r="UUR41" s="19"/>
      <c r="UUS41" s="19"/>
      <c r="UUT41" s="19"/>
      <c r="UUU41" s="19"/>
      <c r="UUV41" s="19"/>
      <c r="UUW41" s="19"/>
      <c r="UUX41" s="19"/>
      <c r="UUY41" s="19"/>
      <c r="UUZ41" s="19"/>
      <c r="UVA41" s="19"/>
      <c r="UVB41" s="19"/>
      <c r="UVC41" s="19"/>
      <c r="UVD41" s="19"/>
      <c r="UVE41" s="19"/>
      <c r="UVF41" s="19"/>
      <c r="UVG41" s="19"/>
      <c r="UVH41" s="19"/>
      <c r="UVI41" s="19"/>
      <c r="UVJ41" s="19"/>
      <c r="UVK41" s="19"/>
      <c r="UVL41" s="19"/>
      <c r="UVM41" s="19"/>
      <c r="UVN41" s="19"/>
      <c r="UVO41" s="19"/>
      <c r="UVP41" s="19"/>
      <c r="UVQ41" s="19"/>
      <c r="UVR41" s="19"/>
      <c r="UVS41" s="19"/>
      <c r="UVT41" s="19"/>
      <c r="UVU41" s="19"/>
      <c r="UVV41" s="19"/>
      <c r="UVW41" s="19"/>
      <c r="UVX41" s="19"/>
      <c r="UVY41" s="19"/>
      <c r="UVZ41" s="19"/>
      <c r="UWA41" s="19"/>
      <c r="UWB41" s="19"/>
      <c r="UWC41" s="19"/>
      <c r="UWD41" s="19"/>
      <c r="UWE41" s="19"/>
      <c r="UWF41" s="19"/>
      <c r="UWG41" s="19"/>
      <c r="UWH41" s="19"/>
      <c r="UWI41" s="19"/>
      <c r="UWJ41" s="19"/>
      <c r="UWK41" s="19"/>
      <c r="UWL41" s="19"/>
      <c r="UWM41" s="19"/>
      <c r="UWN41" s="19"/>
      <c r="UWO41" s="19"/>
      <c r="UWP41" s="19"/>
      <c r="UWQ41" s="19"/>
      <c r="UWR41" s="19"/>
      <c r="UWS41" s="19"/>
      <c r="UWT41" s="19"/>
      <c r="UWU41" s="19"/>
      <c r="UWV41" s="19"/>
      <c r="UWW41" s="19"/>
      <c r="UWX41" s="19"/>
      <c r="UWY41" s="19"/>
      <c r="UWZ41" s="19"/>
      <c r="UXA41" s="19"/>
      <c r="UXB41" s="19"/>
      <c r="UXC41" s="19"/>
      <c r="UXD41" s="19"/>
      <c r="UXE41" s="19"/>
      <c r="UXF41" s="19"/>
      <c r="UXG41" s="19"/>
      <c r="UXH41" s="19"/>
      <c r="UXI41" s="19"/>
      <c r="UXJ41" s="19"/>
      <c r="UXK41" s="19"/>
      <c r="UXL41" s="19"/>
      <c r="UXM41" s="19"/>
      <c r="UXN41" s="19"/>
      <c r="UXO41" s="19"/>
      <c r="UXP41" s="19"/>
      <c r="UXQ41" s="19"/>
      <c r="UXR41" s="19"/>
      <c r="UXS41" s="19"/>
      <c r="UXT41" s="19"/>
      <c r="UXU41" s="19"/>
      <c r="UXV41" s="19"/>
      <c r="UXW41" s="19"/>
      <c r="UXX41" s="19"/>
      <c r="UXY41" s="19"/>
      <c r="UXZ41" s="19"/>
      <c r="UYA41" s="19"/>
      <c r="UYB41" s="19"/>
      <c r="UYC41" s="19"/>
      <c r="UYD41" s="19"/>
      <c r="UYE41" s="19"/>
      <c r="UYF41" s="19"/>
      <c r="UYG41" s="19"/>
      <c r="UYH41" s="19"/>
      <c r="UYI41" s="19"/>
      <c r="UYJ41" s="19"/>
      <c r="UYK41" s="19"/>
      <c r="UYL41" s="19"/>
      <c r="UYM41" s="19"/>
      <c r="UYN41" s="19"/>
      <c r="UYO41" s="19"/>
      <c r="UYP41" s="19"/>
      <c r="UYQ41" s="19"/>
      <c r="UYR41" s="19"/>
      <c r="UYS41" s="19"/>
      <c r="UYT41" s="19"/>
      <c r="UYU41" s="19"/>
      <c r="UYV41" s="19"/>
      <c r="UYW41" s="19"/>
      <c r="UYX41" s="19"/>
      <c r="UYY41" s="19"/>
      <c r="UYZ41" s="19"/>
      <c r="UZA41" s="19"/>
      <c r="UZB41" s="19"/>
      <c r="UZC41" s="19"/>
      <c r="UZD41" s="19"/>
      <c r="UZE41" s="19"/>
      <c r="UZF41" s="19"/>
      <c r="UZG41" s="19"/>
      <c r="UZH41" s="19"/>
      <c r="UZI41" s="19"/>
      <c r="UZJ41" s="19"/>
      <c r="UZK41" s="19"/>
      <c r="UZL41" s="19"/>
      <c r="UZM41" s="19"/>
      <c r="UZN41" s="19"/>
      <c r="UZO41" s="19"/>
      <c r="UZP41" s="19"/>
      <c r="UZQ41" s="19"/>
      <c r="UZR41" s="19"/>
      <c r="UZS41" s="19"/>
      <c r="UZT41" s="19"/>
      <c r="UZU41" s="19"/>
      <c r="UZV41" s="19"/>
      <c r="UZW41" s="19"/>
      <c r="UZX41" s="19"/>
      <c r="UZY41" s="19"/>
      <c r="UZZ41" s="19"/>
      <c r="VAA41" s="19"/>
      <c r="VAB41" s="19"/>
      <c r="VAC41" s="19"/>
      <c r="VAD41" s="19"/>
      <c r="VAE41" s="19"/>
      <c r="VAF41" s="19"/>
      <c r="VAG41" s="19"/>
      <c r="VAH41" s="19"/>
      <c r="VAI41" s="19"/>
      <c r="VAJ41" s="19"/>
      <c r="VAK41" s="19"/>
      <c r="VAL41" s="19"/>
      <c r="VAM41" s="19"/>
      <c r="VAN41" s="19"/>
      <c r="VAO41" s="19"/>
      <c r="VAP41" s="19"/>
      <c r="VAQ41" s="19"/>
      <c r="VAR41" s="19"/>
      <c r="VAS41" s="19"/>
      <c r="VAT41" s="19"/>
      <c r="VAU41" s="19"/>
      <c r="VAV41" s="19"/>
      <c r="VAW41" s="19"/>
      <c r="VAX41" s="19"/>
      <c r="VAY41" s="19"/>
      <c r="VAZ41" s="19"/>
      <c r="VBA41" s="19"/>
      <c r="VBB41" s="19"/>
      <c r="VBC41" s="19"/>
      <c r="VBD41" s="19"/>
      <c r="VBE41" s="19"/>
      <c r="VBF41" s="19"/>
      <c r="VBG41" s="19"/>
      <c r="VBH41" s="19"/>
      <c r="VBI41" s="19"/>
      <c r="VBJ41" s="19"/>
      <c r="VBK41" s="19"/>
      <c r="VBL41" s="19"/>
      <c r="VBM41" s="19"/>
      <c r="VBN41" s="19"/>
      <c r="VBO41" s="19"/>
      <c r="VBP41" s="19"/>
      <c r="VBQ41" s="19"/>
      <c r="VBR41" s="19"/>
      <c r="VBS41" s="19"/>
      <c r="VBT41" s="19"/>
      <c r="VBU41" s="19"/>
      <c r="VBV41" s="19"/>
      <c r="VBW41" s="19"/>
      <c r="VBX41" s="19"/>
      <c r="VBY41" s="19"/>
      <c r="VBZ41" s="19"/>
      <c r="VCA41" s="19"/>
      <c r="VCB41" s="19"/>
      <c r="VCC41" s="19"/>
      <c r="VCD41" s="19"/>
      <c r="VCE41" s="19"/>
      <c r="VCF41" s="19"/>
      <c r="VCG41" s="19"/>
      <c r="VCH41" s="19"/>
      <c r="VCI41" s="19"/>
      <c r="VCJ41" s="19"/>
      <c r="VCK41" s="19"/>
      <c r="VCL41" s="19"/>
      <c r="VCM41" s="19"/>
      <c r="VCN41" s="19"/>
      <c r="VCO41" s="19"/>
      <c r="VCP41" s="19"/>
      <c r="VCQ41" s="19"/>
      <c r="VCR41" s="19"/>
      <c r="VCS41" s="19"/>
      <c r="VCT41" s="19"/>
      <c r="VCU41" s="19"/>
      <c r="VCV41" s="19"/>
      <c r="VCW41" s="19"/>
      <c r="VCX41" s="19"/>
      <c r="VCY41" s="19"/>
      <c r="VCZ41" s="19"/>
      <c r="VDA41" s="19"/>
      <c r="VDB41" s="19"/>
      <c r="VDC41" s="19"/>
      <c r="VDD41" s="19"/>
      <c r="VDE41" s="19"/>
      <c r="VDF41" s="19"/>
      <c r="VDG41" s="19"/>
      <c r="VDH41" s="19"/>
      <c r="VDI41" s="19"/>
      <c r="VDJ41" s="19"/>
      <c r="VDK41" s="19"/>
      <c r="VDL41" s="19"/>
      <c r="VDM41" s="19"/>
      <c r="VDN41" s="19"/>
      <c r="VDO41" s="19"/>
      <c r="VDP41" s="19"/>
      <c r="VDQ41" s="19"/>
      <c r="VDR41" s="19"/>
      <c r="VDS41" s="19"/>
      <c r="VDT41" s="19"/>
      <c r="VDU41" s="19"/>
      <c r="VDV41" s="19"/>
      <c r="VDW41" s="19"/>
      <c r="VDX41" s="19"/>
      <c r="VDY41" s="19"/>
      <c r="VDZ41" s="19"/>
      <c r="VEA41" s="19"/>
      <c r="VEB41" s="19"/>
      <c r="VEC41" s="19"/>
      <c r="VED41" s="19"/>
      <c r="VEE41" s="19"/>
      <c r="VEF41" s="19"/>
      <c r="VEG41" s="19"/>
      <c r="VEH41" s="19"/>
      <c r="VEI41" s="19"/>
      <c r="VEJ41" s="19"/>
      <c r="VEK41" s="19"/>
      <c r="VEL41" s="19"/>
      <c r="VEM41" s="19"/>
      <c r="VEN41" s="19"/>
      <c r="VEO41" s="19"/>
      <c r="VEP41" s="19"/>
      <c r="VEQ41" s="19"/>
      <c r="VER41" s="19"/>
      <c r="VES41" s="19"/>
      <c r="VET41" s="19"/>
      <c r="VEU41" s="19"/>
      <c r="VEV41" s="19"/>
      <c r="VEW41" s="19"/>
      <c r="VEX41" s="19"/>
      <c r="VEY41" s="19"/>
      <c r="VEZ41" s="19"/>
      <c r="VFA41" s="19"/>
      <c r="VFB41" s="19"/>
      <c r="VFC41" s="19"/>
      <c r="VFD41" s="19"/>
      <c r="VFE41" s="19"/>
      <c r="VFF41" s="19"/>
      <c r="VFG41" s="19"/>
      <c r="VFH41" s="19"/>
      <c r="VFI41" s="19"/>
      <c r="VFJ41" s="19"/>
      <c r="VFK41" s="19"/>
      <c r="VFL41" s="19"/>
      <c r="VFM41" s="19"/>
      <c r="VFN41" s="19"/>
      <c r="VFO41" s="19"/>
      <c r="VFP41" s="19"/>
      <c r="VFQ41" s="19"/>
      <c r="VFR41" s="19"/>
      <c r="VFS41" s="19"/>
      <c r="VFT41" s="19"/>
      <c r="VFU41" s="19"/>
      <c r="VFV41" s="19"/>
      <c r="VFW41" s="19"/>
      <c r="VFX41" s="19"/>
      <c r="VFY41" s="19"/>
      <c r="VFZ41" s="19"/>
      <c r="VGA41" s="19"/>
      <c r="VGB41" s="19"/>
      <c r="VGC41" s="19"/>
      <c r="VGD41" s="19"/>
      <c r="VGE41" s="19"/>
      <c r="VGF41" s="19"/>
      <c r="VGG41" s="19"/>
      <c r="VGH41" s="19"/>
      <c r="VGI41" s="19"/>
      <c r="VGJ41" s="19"/>
      <c r="VGK41" s="19"/>
      <c r="VGL41" s="19"/>
      <c r="VGM41" s="19"/>
      <c r="VGN41" s="19"/>
      <c r="VGO41" s="19"/>
      <c r="VGP41" s="19"/>
      <c r="VGQ41" s="19"/>
      <c r="VGR41" s="19"/>
      <c r="VGS41" s="19"/>
      <c r="VGT41" s="19"/>
      <c r="VGU41" s="19"/>
      <c r="VGV41" s="19"/>
      <c r="VGW41" s="19"/>
      <c r="VGX41" s="19"/>
      <c r="VGY41" s="19"/>
      <c r="VGZ41" s="19"/>
      <c r="VHA41" s="19"/>
      <c r="VHB41" s="19"/>
      <c r="VHC41" s="19"/>
      <c r="VHD41" s="19"/>
      <c r="VHE41" s="19"/>
      <c r="VHF41" s="19"/>
      <c r="VHG41" s="19"/>
      <c r="VHH41" s="19"/>
      <c r="VHI41" s="19"/>
      <c r="VHJ41" s="19"/>
      <c r="VHK41" s="19"/>
      <c r="VHL41" s="19"/>
      <c r="VHM41" s="19"/>
      <c r="VHN41" s="19"/>
      <c r="VHO41" s="19"/>
      <c r="VHP41" s="19"/>
      <c r="VHQ41" s="19"/>
      <c r="VHR41" s="19"/>
      <c r="VHS41" s="19"/>
      <c r="VHT41" s="19"/>
      <c r="VHU41" s="19"/>
      <c r="VHV41" s="19"/>
      <c r="VHW41" s="19"/>
      <c r="VHX41" s="19"/>
      <c r="VHY41" s="19"/>
      <c r="VHZ41" s="19"/>
      <c r="VIA41" s="19"/>
      <c r="VIB41" s="19"/>
      <c r="VIC41" s="19"/>
      <c r="VID41" s="19"/>
      <c r="VIE41" s="19"/>
      <c r="VIF41" s="19"/>
      <c r="VIG41" s="19"/>
      <c r="VIH41" s="19"/>
      <c r="VII41" s="19"/>
      <c r="VIJ41" s="19"/>
      <c r="VIK41" s="19"/>
      <c r="VIL41" s="19"/>
      <c r="VIM41" s="19"/>
      <c r="VIN41" s="19"/>
      <c r="VIO41" s="19"/>
      <c r="VIP41" s="19"/>
      <c r="VIQ41" s="19"/>
      <c r="VIR41" s="19"/>
      <c r="VIS41" s="19"/>
      <c r="VIT41" s="19"/>
      <c r="VIU41" s="19"/>
      <c r="VIV41" s="19"/>
      <c r="VIW41" s="19"/>
      <c r="VIX41" s="19"/>
      <c r="VIY41" s="19"/>
      <c r="VIZ41" s="19"/>
      <c r="VJA41" s="19"/>
      <c r="VJB41" s="19"/>
      <c r="VJC41" s="19"/>
      <c r="VJD41" s="19"/>
      <c r="VJE41" s="19"/>
      <c r="VJF41" s="19"/>
      <c r="VJG41" s="19"/>
      <c r="VJH41" s="19"/>
      <c r="VJI41" s="19"/>
      <c r="VJJ41" s="19"/>
      <c r="VJK41" s="19"/>
      <c r="VJL41" s="19"/>
      <c r="VJM41" s="19"/>
      <c r="VJN41" s="19"/>
      <c r="VJO41" s="19"/>
      <c r="VJP41" s="19"/>
      <c r="VJQ41" s="19"/>
      <c r="VJR41" s="19"/>
      <c r="VJS41" s="19"/>
      <c r="VJT41" s="19"/>
      <c r="VJU41" s="19"/>
      <c r="VJV41" s="19"/>
      <c r="VJW41" s="19"/>
      <c r="VJX41" s="19"/>
      <c r="VJY41" s="19"/>
      <c r="VJZ41" s="19"/>
      <c r="VKA41" s="19"/>
      <c r="VKB41" s="19"/>
      <c r="VKC41" s="19"/>
      <c r="VKD41" s="19"/>
      <c r="VKE41" s="19"/>
      <c r="VKF41" s="19"/>
      <c r="VKG41" s="19"/>
      <c r="VKH41" s="19"/>
      <c r="VKI41" s="19"/>
      <c r="VKJ41" s="19"/>
      <c r="VKK41" s="19"/>
      <c r="VKL41" s="19"/>
      <c r="VKM41" s="19"/>
      <c r="VKN41" s="19"/>
      <c r="VKO41" s="19"/>
      <c r="VKP41" s="19"/>
      <c r="VKQ41" s="19"/>
      <c r="VKR41" s="19"/>
      <c r="VKS41" s="19"/>
      <c r="VKT41" s="19"/>
      <c r="VKU41" s="19"/>
      <c r="VKV41" s="19"/>
      <c r="VKW41" s="19"/>
      <c r="VKX41" s="19"/>
      <c r="VKY41" s="19"/>
      <c r="VKZ41" s="19"/>
      <c r="VLA41" s="19"/>
      <c r="VLB41" s="19"/>
      <c r="VLC41" s="19"/>
      <c r="VLD41" s="19"/>
      <c r="VLE41" s="19"/>
      <c r="VLF41" s="19"/>
      <c r="VLG41" s="19"/>
      <c r="VLH41" s="19"/>
      <c r="VLI41" s="19"/>
      <c r="VLJ41" s="19"/>
      <c r="VLK41" s="19"/>
      <c r="VLL41" s="19"/>
      <c r="VLM41" s="19"/>
      <c r="VLN41" s="19"/>
      <c r="VLO41" s="19"/>
      <c r="VLP41" s="19"/>
      <c r="VLQ41" s="19"/>
      <c r="VLR41" s="19"/>
      <c r="VLS41" s="19"/>
      <c r="VLT41" s="19"/>
      <c r="VLU41" s="19"/>
      <c r="VLV41" s="19"/>
      <c r="VLW41" s="19"/>
      <c r="VLX41" s="19"/>
      <c r="VLY41" s="19"/>
      <c r="VLZ41" s="19"/>
      <c r="VMA41" s="19"/>
      <c r="VMB41" s="19"/>
      <c r="VMC41" s="19"/>
      <c r="VMD41" s="19"/>
      <c r="VME41" s="19"/>
      <c r="VMF41" s="19"/>
      <c r="VMG41" s="19"/>
      <c r="VMH41" s="19"/>
      <c r="VMI41" s="19"/>
      <c r="VMJ41" s="19"/>
      <c r="VMK41" s="19"/>
      <c r="VML41" s="19"/>
      <c r="VMM41" s="19"/>
      <c r="VMN41" s="19"/>
      <c r="VMO41" s="19"/>
      <c r="VMP41" s="19"/>
      <c r="VMQ41" s="19"/>
      <c r="VMR41" s="19"/>
      <c r="VMS41" s="19"/>
      <c r="VMT41" s="19"/>
      <c r="VMU41" s="19"/>
      <c r="VMV41" s="19"/>
      <c r="VMW41" s="19"/>
      <c r="VMX41" s="19"/>
      <c r="VMY41" s="19"/>
      <c r="VMZ41" s="19"/>
      <c r="VNA41" s="19"/>
      <c r="VNB41" s="19"/>
      <c r="VNC41" s="19"/>
      <c r="VND41" s="19"/>
      <c r="VNE41" s="19"/>
      <c r="VNF41" s="19"/>
      <c r="VNG41" s="19"/>
      <c r="VNH41" s="19"/>
      <c r="VNI41" s="19"/>
      <c r="VNJ41" s="19"/>
      <c r="VNK41" s="19"/>
      <c r="VNL41" s="19"/>
      <c r="VNM41" s="19"/>
      <c r="VNN41" s="19"/>
      <c r="VNO41" s="19"/>
      <c r="VNP41" s="19"/>
      <c r="VNQ41" s="19"/>
      <c r="VNR41" s="19"/>
      <c r="VNS41" s="19"/>
      <c r="VNT41" s="19"/>
      <c r="VNU41" s="19"/>
      <c r="VNV41" s="19"/>
      <c r="VNW41" s="19"/>
      <c r="VNX41" s="19"/>
      <c r="VNY41" s="19"/>
      <c r="VNZ41" s="19"/>
      <c r="VOA41" s="19"/>
      <c r="VOB41" s="19"/>
      <c r="VOC41" s="19"/>
      <c r="VOD41" s="19"/>
      <c r="VOE41" s="19"/>
      <c r="VOF41" s="19"/>
      <c r="VOG41" s="19"/>
      <c r="VOH41" s="19"/>
      <c r="VOI41" s="19"/>
      <c r="VOJ41" s="19"/>
      <c r="VOK41" s="19"/>
      <c r="VOL41" s="19"/>
      <c r="VOM41" s="19"/>
      <c r="VON41" s="19"/>
      <c r="VOO41" s="19"/>
      <c r="VOP41" s="19"/>
      <c r="VOQ41" s="19"/>
      <c r="VOR41" s="19"/>
      <c r="VOS41" s="19"/>
      <c r="VOT41" s="19"/>
      <c r="VOU41" s="19"/>
      <c r="VOV41" s="19"/>
      <c r="VOW41" s="19"/>
      <c r="VOX41" s="19"/>
      <c r="VOY41" s="19"/>
      <c r="VOZ41" s="19"/>
      <c r="VPA41" s="19"/>
      <c r="VPB41" s="19"/>
      <c r="VPC41" s="19"/>
      <c r="VPD41" s="19"/>
      <c r="VPE41" s="19"/>
      <c r="VPF41" s="19"/>
      <c r="VPG41" s="19"/>
      <c r="VPH41" s="19"/>
      <c r="VPI41" s="19"/>
      <c r="VPJ41" s="19"/>
      <c r="VPK41" s="19"/>
      <c r="VPL41" s="19"/>
      <c r="VPM41" s="19"/>
      <c r="VPN41" s="19"/>
      <c r="VPO41" s="19"/>
      <c r="VPP41" s="19"/>
      <c r="VPQ41" s="19"/>
      <c r="VPR41" s="19"/>
      <c r="VPS41" s="19"/>
      <c r="VPT41" s="19"/>
      <c r="VPU41" s="19"/>
      <c r="VPV41" s="19"/>
      <c r="VPW41" s="19"/>
      <c r="VPX41" s="19"/>
      <c r="VPY41" s="19"/>
      <c r="VPZ41" s="19"/>
      <c r="VQA41" s="19"/>
      <c r="VQB41" s="19"/>
      <c r="VQC41" s="19"/>
      <c r="VQD41" s="19"/>
      <c r="VQE41" s="19"/>
      <c r="VQF41" s="19"/>
      <c r="VQG41" s="19"/>
      <c r="VQH41" s="19"/>
      <c r="VQI41" s="19"/>
      <c r="VQJ41" s="19"/>
      <c r="VQK41" s="19"/>
      <c r="VQL41" s="19"/>
      <c r="VQM41" s="19"/>
      <c r="VQN41" s="19"/>
      <c r="VQO41" s="19"/>
      <c r="VQP41" s="19"/>
      <c r="VQQ41" s="19"/>
      <c r="VQR41" s="19"/>
      <c r="VQS41" s="19"/>
      <c r="VQT41" s="19"/>
      <c r="VQU41" s="19"/>
      <c r="VQV41" s="19"/>
      <c r="VQW41" s="19"/>
      <c r="VQX41" s="19"/>
      <c r="VQY41" s="19"/>
      <c r="VQZ41" s="19"/>
      <c r="VRA41" s="19"/>
      <c r="VRB41" s="19"/>
      <c r="VRC41" s="19"/>
      <c r="VRD41" s="19"/>
      <c r="VRE41" s="19"/>
      <c r="VRF41" s="19"/>
      <c r="VRG41" s="19"/>
      <c r="VRH41" s="19"/>
      <c r="VRI41" s="19"/>
      <c r="VRJ41" s="19"/>
      <c r="VRK41" s="19"/>
      <c r="VRL41" s="19"/>
      <c r="VRM41" s="19"/>
      <c r="VRN41" s="19"/>
      <c r="VRO41" s="19"/>
      <c r="VRP41" s="19"/>
      <c r="VRQ41" s="19"/>
      <c r="VRR41" s="19"/>
      <c r="VRS41" s="19"/>
      <c r="VRT41" s="19"/>
      <c r="VRU41" s="19"/>
      <c r="VRV41" s="19"/>
      <c r="VRW41" s="19"/>
      <c r="VRX41" s="19"/>
      <c r="VRY41" s="19"/>
      <c r="VRZ41" s="19"/>
      <c r="VSA41" s="19"/>
      <c r="VSB41" s="19"/>
      <c r="VSC41" s="19"/>
      <c r="VSD41" s="19"/>
      <c r="VSE41" s="19"/>
      <c r="VSF41" s="19"/>
      <c r="VSG41" s="19"/>
      <c r="VSH41" s="19"/>
      <c r="VSI41" s="19"/>
      <c r="VSJ41" s="19"/>
      <c r="VSK41" s="19"/>
      <c r="VSL41" s="19"/>
      <c r="VSM41" s="19"/>
      <c r="VSN41" s="19"/>
      <c r="VSO41" s="19"/>
      <c r="VSP41" s="19"/>
      <c r="VSQ41" s="19"/>
      <c r="VSR41" s="19"/>
      <c r="VSS41" s="19"/>
      <c r="VST41" s="19"/>
      <c r="VSU41" s="19"/>
      <c r="VSV41" s="19"/>
      <c r="VSW41" s="19"/>
      <c r="VSX41" s="19"/>
      <c r="VSY41" s="19"/>
      <c r="VSZ41" s="19"/>
      <c r="VTA41" s="19"/>
      <c r="VTB41" s="19"/>
      <c r="VTC41" s="19"/>
      <c r="VTD41" s="19"/>
      <c r="VTE41" s="19"/>
      <c r="VTF41" s="19"/>
      <c r="VTG41" s="19"/>
      <c r="VTH41" s="19"/>
      <c r="VTI41" s="19"/>
      <c r="VTJ41" s="19"/>
      <c r="VTK41" s="19"/>
      <c r="VTL41" s="19"/>
      <c r="VTM41" s="19"/>
      <c r="VTN41" s="19"/>
      <c r="VTO41" s="19"/>
      <c r="VTP41" s="19"/>
      <c r="VTQ41" s="19"/>
      <c r="VTR41" s="19"/>
      <c r="VTS41" s="19"/>
      <c r="VTT41" s="19"/>
      <c r="VTU41" s="19"/>
      <c r="VTV41" s="19"/>
      <c r="VTW41" s="19"/>
      <c r="VTX41" s="19"/>
      <c r="VTY41" s="19"/>
      <c r="VTZ41" s="19"/>
      <c r="VUA41" s="19"/>
      <c r="VUB41" s="19"/>
      <c r="VUC41" s="19"/>
      <c r="VUD41" s="19"/>
      <c r="VUE41" s="19"/>
      <c r="VUF41" s="19"/>
      <c r="VUG41" s="19"/>
      <c r="VUH41" s="19"/>
      <c r="VUI41" s="19"/>
      <c r="VUJ41" s="19"/>
      <c r="VUK41" s="19"/>
      <c r="VUL41" s="19"/>
      <c r="VUM41" s="19"/>
      <c r="VUN41" s="19"/>
      <c r="VUO41" s="19"/>
      <c r="VUP41" s="19"/>
      <c r="VUQ41" s="19"/>
      <c r="VUR41" s="19"/>
      <c r="VUS41" s="19"/>
      <c r="VUT41" s="19"/>
      <c r="VUU41" s="19"/>
      <c r="VUV41" s="19"/>
      <c r="VUW41" s="19"/>
      <c r="VUX41" s="19"/>
      <c r="VUY41" s="19"/>
      <c r="VUZ41" s="19"/>
      <c r="VVA41" s="19"/>
      <c r="VVB41" s="19"/>
      <c r="VVC41" s="19"/>
      <c r="VVD41" s="19"/>
      <c r="VVE41" s="19"/>
      <c r="VVF41" s="19"/>
      <c r="VVG41" s="19"/>
      <c r="VVH41" s="19"/>
      <c r="VVI41" s="19"/>
      <c r="VVJ41" s="19"/>
      <c r="VVK41" s="19"/>
      <c r="VVL41" s="19"/>
      <c r="VVM41" s="19"/>
      <c r="VVN41" s="19"/>
      <c r="VVO41" s="19"/>
      <c r="VVP41" s="19"/>
      <c r="VVQ41" s="19"/>
      <c r="VVR41" s="19"/>
      <c r="VVS41" s="19"/>
      <c r="VVT41" s="19"/>
      <c r="VVU41" s="19"/>
      <c r="VVV41" s="19"/>
      <c r="VVW41" s="19"/>
      <c r="VVX41" s="19"/>
      <c r="VVY41" s="19"/>
      <c r="VVZ41" s="19"/>
      <c r="VWA41" s="19"/>
      <c r="VWB41" s="19"/>
      <c r="VWC41" s="19"/>
      <c r="VWD41" s="19"/>
      <c r="VWE41" s="19"/>
      <c r="VWF41" s="19"/>
      <c r="VWG41" s="19"/>
      <c r="VWH41" s="19"/>
      <c r="VWI41" s="19"/>
      <c r="VWJ41" s="19"/>
      <c r="VWK41" s="19"/>
      <c r="VWL41" s="19"/>
      <c r="VWM41" s="19"/>
      <c r="VWN41" s="19"/>
      <c r="VWO41" s="19"/>
      <c r="VWP41" s="19"/>
      <c r="VWQ41" s="19"/>
      <c r="VWR41" s="19"/>
      <c r="VWS41" s="19"/>
      <c r="VWT41" s="19"/>
      <c r="VWU41" s="19"/>
      <c r="VWV41" s="19"/>
      <c r="VWW41" s="19"/>
      <c r="VWX41" s="19"/>
      <c r="VWY41" s="19"/>
      <c r="VWZ41" s="19"/>
      <c r="VXA41" s="19"/>
      <c r="VXB41" s="19"/>
      <c r="VXC41" s="19"/>
      <c r="VXD41" s="19"/>
      <c r="VXE41" s="19"/>
      <c r="VXF41" s="19"/>
      <c r="VXG41" s="19"/>
      <c r="VXH41" s="19"/>
      <c r="VXI41" s="19"/>
      <c r="VXJ41" s="19"/>
      <c r="VXK41" s="19"/>
      <c r="VXL41" s="19"/>
      <c r="VXM41" s="19"/>
      <c r="VXN41" s="19"/>
      <c r="VXO41" s="19"/>
      <c r="VXP41" s="19"/>
      <c r="VXQ41" s="19"/>
      <c r="VXR41" s="19"/>
      <c r="VXS41" s="19"/>
      <c r="VXT41" s="19"/>
      <c r="VXU41" s="19"/>
      <c r="VXV41" s="19"/>
      <c r="VXW41" s="19"/>
      <c r="VXX41" s="19"/>
      <c r="VXY41" s="19"/>
      <c r="VXZ41" s="19"/>
      <c r="VYA41" s="19"/>
      <c r="VYB41" s="19"/>
      <c r="VYC41" s="19"/>
      <c r="VYD41" s="19"/>
      <c r="VYE41" s="19"/>
      <c r="VYF41" s="19"/>
      <c r="VYG41" s="19"/>
      <c r="VYH41" s="19"/>
      <c r="VYI41" s="19"/>
      <c r="VYJ41" s="19"/>
      <c r="VYK41" s="19"/>
      <c r="VYL41" s="19"/>
      <c r="VYM41" s="19"/>
      <c r="VYN41" s="19"/>
      <c r="VYO41" s="19"/>
      <c r="VYP41" s="19"/>
      <c r="VYQ41" s="19"/>
      <c r="VYR41" s="19"/>
      <c r="VYS41" s="19"/>
      <c r="VYT41" s="19"/>
      <c r="VYU41" s="19"/>
      <c r="VYV41" s="19"/>
      <c r="VYW41" s="19"/>
      <c r="VYX41" s="19"/>
      <c r="VYY41" s="19"/>
      <c r="VYZ41" s="19"/>
      <c r="VZA41" s="19"/>
      <c r="VZB41" s="19"/>
      <c r="VZC41" s="19"/>
      <c r="VZD41" s="19"/>
      <c r="VZE41" s="19"/>
      <c r="VZF41" s="19"/>
      <c r="VZG41" s="19"/>
      <c r="VZH41" s="19"/>
      <c r="VZI41" s="19"/>
      <c r="VZJ41" s="19"/>
      <c r="VZK41" s="19"/>
      <c r="VZL41" s="19"/>
      <c r="VZM41" s="19"/>
      <c r="VZN41" s="19"/>
      <c r="VZO41" s="19"/>
      <c r="VZP41" s="19"/>
      <c r="VZQ41" s="19"/>
      <c r="VZR41" s="19"/>
      <c r="VZS41" s="19"/>
      <c r="VZT41" s="19"/>
      <c r="VZU41" s="19"/>
      <c r="VZV41" s="19"/>
      <c r="VZW41" s="19"/>
      <c r="VZX41" s="19"/>
      <c r="VZY41" s="19"/>
      <c r="VZZ41" s="19"/>
      <c r="WAA41" s="19"/>
      <c r="WAB41" s="19"/>
      <c r="WAC41" s="19"/>
      <c r="WAD41" s="19"/>
      <c r="WAE41" s="19"/>
      <c r="WAF41" s="19"/>
      <c r="WAG41" s="19"/>
      <c r="WAH41" s="19"/>
      <c r="WAI41" s="19"/>
      <c r="WAJ41" s="19"/>
      <c r="WAK41" s="19"/>
      <c r="WAL41" s="19"/>
      <c r="WAM41" s="19"/>
      <c r="WAN41" s="19"/>
      <c r="WAO41" s="19"/>
      <c r="WAP41" s="19"/>
      <c r="WAQ41" s="19"/>
      <c r="WAR41" s="19"/>
      <c r="WAS41" s="19"/>
      <c r="WAT41" s="19"/>
      <c r="WAU41" s="19"/>
      <c r="WAV41" s="19"/>
      <c r="WAW41" s="19"/>
      <c r="WAX41" s="19"/>
      <c r="WAY41" s="19"/>
      <c r="WAZ41" s="19"/>
      <c r="WBA41" s="19"/>
      <c r="WBB41" s="19"/>
      <c r="WBC41" s="19"/>
      <c r="WBD41" s="19"/>
      <c r="WBE41" s="19"/>
      <c r="WBF41" s="19"/>
      <c r="WBG41" s="19"/>
      <c r="WBH41" s="19"/>
      <c r="WBI41" s="19"/>
      <c r="WBJ41" s="19"/>
      <c r="WBK41" s="19"/>
      <c r="WBL41" s="19"/>
      <c r="WBM41" s="19"/>
      <c r="WBN41" s="19"/>
      <c r="WBO41" s="19"/>
      <c r="WBP41" s="19"/>
      <c r="WBQ41" s="19"/>
      <c r="WBR41" s="19"/>
      <c r="WBS41" s="19"/>
      <c r="WBT41" s="19"/>
      <c r="WBU41" s="19"/>
      <c r="WBV41" s="19"/>
      <c r="WBW41" s="19"/>
      <c r="WBX41" s="19"/>
      <c r="WBY41" s="19"/>
      <c r="WBZ41" s="19"/>
      <c r="WCA41" s="19"/>
      <c r="WCB41" s="19"/>
      <c r="WCC41" s="19"/>
      <c r="WCD41" s="19"/>
      <c r="WCE41" s="19"/>
      <c r="WCF41" s="19"/>
      <c r="WCG41" s="19"/>
      <c r="WCH41" s="19"/>
      <c r="WCI41" s="19"/>
      <c r="WCJ41" s="19"/>
      <c r="WCK41" s="19"/>
      <c r="WCL41" s="19"/>
      <c r="WCM41" s="19"/>
      <c r="WCN41" s="19"/>
      <c r="WCO41" s="19"/>
      <c r="WCP41" s="19"/>
      <c r="WCQ41" s="19"/>
      <c r="WCR41" s="19"/>
      <c r="WCS41" s="19"/>
      <c r="WCT41" s="19"/>
      <c r="WCU41" s="19"/>
      <c r="WCV41" s="19"/>
      <c r="WCW41" s="19"/>
      <c r="WCX41" s="19"/>
      <c r="WCY41" s="19"/>
      <c r="WCZ41" s="19"/>
      <c r="WDA41" s="19"/>
      <c r="WDB41" s="19"/>
      <c r="WDC41" s="19"/>
      <c r="WDD41" s="19"/>
      <c r="WDE41" s="19"/>
      <c r="WDF41" s="19"/>
      <c r="WDG41" s="19"/>
      <c r="WDH41" s="19"/>
      <c r="WDI41" s="19"/>
      <c r="WDJ41" s="19"/>
      <c r="WDK41" s="19"/>
      <c r="WDL41" s="19"/>
      <c r="WDM41" s="19"/>
      <c r="WDN41" s="19"/>
      <c r="WDO41" s="19"/>
      <c r="WDP41" s="19"/>
      <c r="WDQ41" s="19"/>
      <c r="WDR41" s="19"/>
      <c r="WDS41" s="19"/>
      <c r="WDT41" s="19"/>
      <c r="WDU41" s="19"/>
      <c r="WDV41" s="19"/>
      <c r="WDW41" s="19"/>
      <c r="WDX41" s="19"/>
      <c r="WDY41" s="19"/>
      <c r="WDZ41" s="19"/>
      <c r="WEA41" s="19"/>
      <c r="WEB41" s="19"/>
      <c r="WEC41" s="19"/>
      <c r="WED41" s="19"/>
      <c r="WEE41" s="19"/>
      <c r="WEF41" s="19"/>
      <c r="WEG41" s="19"/>
      <c r="WEH41" s="19"/>
      <c r="WEI41" s="19"/>
      <c r="WEJ41" s="19"/>
      <c r="WEK41" s="19"/>
      <c r="WEL41" s="19"/>
      <c r="WEM41" s="19"/>
      <c r="WEN41" s="19"/>
      <c r="WEO41" s="19"/>
      <c r="WEP41" s="19"/>
      <c r="WEQ41" s="19"/>
      <c r="WER41" s="19"/>
      <c r="WES41" s="19"/>
      <c r="WET41" s="19"/>
      <c r="WEU41" s="19"/>
      <c r="WEV41" s="19"/>
      <c r="WEW41" s="19"/>
      <c r="WEX41" s="19"/>
      <c r="WEY41" s="19"/>
      <c r="WEZ41" s="19"/>
      <c r="WFA41" s="19"/>
      <c r="WFB41" s="19"/>
      <c r="WFC41" s="19"/>
      <c r="WFD41" s="19"/>
      <c r="WFE41" s="19"/>
      <c r="WFF41" s="19"/>
      <c r="WFG41" s="19"/>
      <c r="WFH41" s="19"/>
      <c r="WFI41" s="19"/>
      <c r="WFJ41" s="19"/>
      <c r="WFK41" s="19"/>
      <c r="WFL41" s="19"/>
      <c r="WFM41" s="19"/>
      <c r="WFN41" s="19"/>
      <c r="WFO41" s="19"/>
      <c r="WFP41" s="19"/>
      <c r="WFQ41" s="19"/>
      <c r="WFR41" s="19"/>
      <c r="WFS41" s="19"/>
      <c r="WFT41" s="19"/>
      <c r="WFU41" s="19"/>
      <c r="WFV41" s="19"/>
      <c r="WFW41" s="19"/>
      <c r="WFX41" s="19"/>
      <c r="WFY41" s="19"/>
      <c r="WFZ41" s="19"/>
      <c r="WGA41" s="19"/>
      <c r="WGB41" s="19"/>
      <c r="WGC41" s="19"/>
      <c r="WGD41" s="19"/>
      <c r="WGE41" s="19"/>
      <c r="WGF41" s="19"/>
      <c r="WGG41" s="19"/>
      <c r="WGH41" s="19"/>
      <c r="WGI41" s="19"/>
      <c r="WGJ41" s="19"/>
      <c r="WGK41" s="19"/>
      <c r="WGL41" s="19"/>
      <c r="WGM41" s="19"/>
      <c r="WGN41" s="19"/>
      <c r="WGO41" s="19"/>
      <c r="WGP41" s="19"/>
      <c r="WGQ41" s="19"/>
      <c r="WGR41" s="19"/>
      <c r="WGS41" s="19"/>
      <c r="WGT41" s="19"/>
      <c r="WGU41" s="19"/>
      <c r="WGV41" s="19"/>
      <c r="WGW41" s="19"/>
      <c r="WGX41" s="19"/>
      <c r="WGY41" s="19"/>
      <c r="WGZ41" s="19"/>
      <c r="WHA41" s="19"/>
      <c r="WHB41" s="19"/>
      <c r="WHC41" s="19"/>
      <c r="WHD41" s="19"/>
      <c r="WHE41" s="19"/>
      <c r="WHF41" s="19"/>
      <c r="WHG41" s="19"/>
      <c r="WHH41" s="19"/>
      <c r="WHI41" s="19"/>
      <c r="WHJ41" s="19"/>
      <c r="WHK41" s="19"/>
      <c r="WHL41" s="19"/>
      <c r="WHM41" s="19"/>
      <c r="WHN41" s="19"/>
      <c r="WHO41" s="19"/>
      <c r="WHP41" s="19"/>
      <c r="WHQ41" s="19"/>
      <c r="WHR41" s="19"/>
      <c r="WHS41" s="19"/>
      <c r="WHT41" s="19"/>
      <c r="WHU41" s="19"/>
      <c r="WHV41" s="19"/>
      <c r="WHW41" s="19"/>
      <c r="WHX41" s="19"/>
      <c r="WHY41" s="19"/>
      <c r="WHZ41" s="19"/>
      <c r="WIA41" s="19"/>
      <c r="WIB41" s="19"/>
      <c r="WIC41" s="19"/>
      <c r="WID41" s="19"/>
      <c r="WIE41" s="19"/>
      <c r="WIF41" s="19"/>
      <c r="WIG41" s="19"/>
      <c r="WIH41" s="19"/>
      <c r="WII41" s="19"/>
      <c r="WIJ41" s="19"/>
      <c r="WIK41" s="19"/>
      <c r="WIL41" s="19"/>
      <c r="WIM41" s="19"/>
      <c r="WIN41" s="19"/>
      <c r="WIO41" s="19"/>
      <c r="WIP41" s="19"/>
      <c r="WIQ41" s="19"/>
      <c r="WIR41" s="19"/>
      <c r="WIS41" s="19"/>
      <c r="WIT41" s="19"/>
      <c r="WIU41" s="19"/>
      <c r="WIV41" s="19"/>
      <c r="WIW41" s="19"/>
      <c r="WIX41" s="19"/>
      <c r="WIY41" s="19"/>
      <c r="WIZ41" s="19"/>
      <c r="WJA41" s="19"/>
      <c r="WJB41" s="19"/>
      <c r="WJC41" s="19"/>
      <c r="WJD41" s="19"/>
      <c r="WJE41" s="19"/>
      <c r="WJF41" s="19"/>
      <c r="WJG41" s="19"/>
      <c r="WJH41" s="19"/>
      <c r="WJI41" s="19"/>
      <c r="WJJ41" s="19"/>
      <c r="WJK41" s="19"/>
      <c r="WJL41" s="19"/>
      <c r="WJM41" s="19"/>
      <c r="WJN41" s="19"/>
      <c r="WJO41" s="19"/>
      <c r="WJP41" s="19"/>
      <c r="WJQ41" s="19"/>
      <c r="WJR41" s="19"/>
      <c r="WJS41" s="19"/>
      <c r="WJT41" s="19"/>
      <c r="WJU41" s="19"/>
      <c r="WJV41" s="19"/>
      <c r="WJW41" s="19"/>
      <c r="WJX41" s="19"/>
      <c r="WJY41" s="19"/>
      <c r="WJZ41" s="19"/>
      <c r="WKA41" s="19"/>
      <c r="WKB41" s="19"/>
      <c r="WKC41" s="19"/>
      <c r="WKD41" s="19"/>
      <c r="WKE41" s="19"/>
      <c r="WKF41" s="19"/>
      <c r="WKG41" s="19"/>
      <c r="WKH41" s="19"/>
      <c r="WKI41" s="19"/>
      <c r="WKJ41" s="19"/>
      <c r="WKK41" s="19"/>
      <c r="WKL41" s="19"/>
      <c r="WKM41" s="19"/>
      <c r="WKN41" s="19"/>
      <c r="WKO41" s="19"/>
      <c r="WKP41" s="19"/>
      <c r="WKQ41" s="19"/>
      <c r="WKR41" s="19"/>
      <c r="WKS41" s="19"/>
      <c r="WKT41" s="19"/>
      <c r="WKU41" s="19"/>
      <c r="WKV41" s="19"/>
      <c r="WKW41" s="19"/>
      <c r="WKX41" s="19"/>
      <c r="WKY41" s="19"/>
      <c r="WKZ41" s="19"/>
      <c r="WLA41" s="19"/>
      <c r="WLB41" s="19"/>
      <c r="WLC41" s="19"/>
      <c r="WLD41" s="19"/>
      <c r="WLE41" s="19"/>
      <c r="WLF41" s="19"/>
      <c r="WLG41" s="19"/>
      <c r="WLH41" s="19"/>
      <c r="WLI41" s="19"/>
      <c r="WLJ41" s="19"/>
      <c r="WLK41" s="19"/>
      <c r="WLL41" s="19"/>
      <c r="WLM41" s="19"/>
      <c r="WLN41" s="19"/>
      <c r="WLO41" s="19"/>
      <c r="WLP41" s="19"/>
      <c r="WLQ41" s="19"/>
      <c r="WLR41" s="19"/>
      <c r="WLS41" s="19"/>
      <c r="WLT41" s="19"/>
      <c r="WLU41" s="19"/>
      <c r="WLV41" s="19"/>
      <c r="WLW41" s="19"/>
      <c r="WLX41" s="19"/>
      <c r="WLY41" s="19"/>
      <c r="WLZ41" s="19"/>
      <c r="WMA41" s="19"/>
      <c r="WMB41" s="19"/>
      <c r="WMC41" s="19"/>
      <c r="WMD41" s="19"/>
      <c r="WME41" s="19"/>
      <c r="WMF41" s="19"/>
      <c r="WMG41" s="19"/>
      <c r="WMH41" s="19"/>
      <c r="WMI41" s="19"/>
      <c r="WMJ41" s="19"/>
      <c r="WMK41" s="19"/>
      <c r="WML41" s="19"/>
      <c r="WMM41" s="19"/>
      <c r="WMN41" s="19"/>
      <c r="WMO41" s="19"/>
      <c r="WMP41" s="19"/>
      <c r="WMQ41" s="19"/>
      <c r="WMR41" s="19"/>
      <c r="WMS41" s="19"/>
      <c r="WMT41" s="19"/>
      <c r="WMU41" s="19"/>
      <c r="WMV41" s="19"/>
      <c r="WMW41" s="19"/>
      <c r="WMX41" s="19"/>
      <c r="WMY41" s="19"/>
      <c r="WMZ41" s="19"/>
      <c r="WNA41" s="19"/>
      <c r="WNB41" s="19"/>
      <c r="WNC41" s="19"/>
      <c r="WND41" s="19"/>
      <c r="WNE41" s="19"/>
      <c r="WNF41" s="19"/>
      <c r="WNG41" s="19"/>
      <c r="WNH41" s="19"/>
      <c r="WNI41" s="19"/>
      <c r="WNJ41" s="19"/>
      <c r="WNK41" s="19"/>
      <c r="WNL41" s="19"/>
      <c r="WNM41" s="19"/>
      <c r="WNN41" s="19"/>
      <c r="WNO41" s="19"/>
      <c r="WNP41" s="19"/>
      <c r="WNQ41" s="19"/>
      <c r="WNR41" s="19"/>
      <c r="WNS41" s="19"/>
      <c r="WNT41" s="19"/>
      <c r="WNU41" s="19"/>
      <c r="WNV41" s="19"/>
      <c r="WNW41" s="19"/>
      <c r="WNX41" s="19"/>
      <c r="WNY41" s="19"/>
      <c r="WNZ41" s="19"/>
      <c r="WOA41" s="19"/>
      <c r="WOB41" s="19"/>
      <c r="WOC41" s="19"/>
      <c r="WOD41" s="19"/>
      <c r="WOE41" s="19"/>
      <c r="WOF41" s="19"/>
      <c r="WOG41" s="19"/>
      <c r="WOH41" s="19"/>
      <c r="WOI41" s="19"/>
      <c r="WOJ41" s="19"/>
      <c r="WOK41" s="19"/>
      <c r="WOL41" s="19"/>
      <c r="WOM41" s="19"/>
      <c r="WON41" s="19"/>
      <c r="WOO41" s="19"/>
      <c r="WOP41" s="19"/>
      <c r="WOQ41" s="19"/>
      <c r="WOR41" s="19"/>
      <c r="WOS41" s="19"/>
      <c r="WOT41" s="19"/>
      <c r="WOU41" s="19"/>
      <c r="WOV41" s="19"/>
      <c r="WOW41" s="19"/>
      <c r="WOX41" s="19"/>
      <c r="WOY41" s="19"/>
      <c r="WOZ41" s="19"/>
      <c r="WPA41" s="19"/>
      <c r="WPB41" s="19"/>
      <c r="WPC41" s="19"/>
      <c r="WPD41" s="19"/>
      <c r="WPE41" s="19"/>
      <c r="WPF41" s="19"/>
      <c r="WPG41" s="19"/>
      <c r="WPH41" s="19"/>
      <c r="WPI41" s="19"/>
      <c r="WPJ41" s="19"/>
      <c r="WPK41" s="19"/>
      <c r="WPL41" s="19"/>
      <c r="WPM41" s="19"/>
      <c r="WPN41" s="19"/>
      <c r="WPO41" s="19"/>
      <c r="WPP41" s="19"/>
      <c r="WPQ41" s="19"/>
      <c r="WPR41" s="19"/>
      <c r="WPS41" s="19"/>
      <c r="WPT41" s="19"/>
      <c r="WPU41" s="19"/>
      <c r="WPV41" s="19"/>
      <c r="WPW41" s="19"/>
      <c r="WPX41" s="19"/>
      <c r="WPY41" s="19"/>
      <c r="WPZ41" s="19"/>
      <c r="WQA41" s="19"/>
      <c r="WQB41" s="19"/>
      <c r="WQC41" s="19"/>
      <c r="WQD41" s="19"/>
      <c r="WQE41" s="19"/>
      <c r="WQF41" s="19"/>
      <c r="WQG41" s="19"/>
      <c r="WQH41" s="19"/>
      <c r="WQI41" s="19"/>
      <c r="WQJ41" s="19"/>
      <c r="WQK41" s="19"/>
      <c r="WQL41" s="19"/>
      <c r="WQM41" s="19"/>
      <c r="WQN41" s="19"/>
      <c r="WQO41" s="19"/>
      <c r="WQP41" s="19"/>
      <c r="WQQ41" s="19"/>
      <c r="WQR41" s="19"/>
      <c r="WQS41" s="19"/>
      <c r="WQT41" s="19"/>
      <c r="WQU41" s="19"/>
      <c r="WQV41" s="19"/>
      <c r="WQW41" s="19"/>
      <c r="WQX41" s="19"/>
      <c r="WQY41" s="19"/>
      <c r="WQZ41" s="19"/>
      <c r="WRA41" s="19"/>
      <c r="WRB41" s="19"/>
      <c r="WRC41" s="19"/>
      <c r="WRD41" s="19"/>
      <c r="WRE41" s="19"/>
      <c r="WRF41" s="19"/>
      <c r="WRG41" s="19"/>
      <c r="WRH41" s="19"/>
      <c r="WRI41" s="19"/>
      <c r="WRJ41" s="19"/>
      <c r="WRK41" s="19"/>
      <c r="WRL41" s="19"/>
      <c r="WRM41" s="19"/>
      <c r="WRN41" s="19"/>
      <c r="WRO41" s="19"/>
      <c r="WRP41" s="19"/>
      <c r="WRQ41" s="19"/>
      <c r="WRR41" s="19"/>
      <c r="WRS41" s="19"/>
      <c r="WRT41" s="19"/>
      <c r="WRU41" s="19"/>
      <c r="WRV41" s="19"/>
      <c r="WRW41" s="19"/>
      <c r="WRX41" s="19"/>
      <c r="WRY41" s="19"/>
      <c r="WRZ41" s="19"/>
      <c r="WSA41" s="19"/>
      <c r="WSB41" s="19"/>
      <c r="WSC41" s="19"/>
      <c r="WSD41" s="19"/>
      <c r="WSE41" s="19"/>
      <c r="WSF41" s="19"/>
      <c r="WSG41" s="19"/>
      <c r="WSH41" s="19"/>
      <c r="WSI41" s="19"/>
      <c r="WSJ41" s="19"/>
      <c r="WSK41" s="19"/>
      <c r="WSL41" s="19"/>
      <c r="WSM41" s="19"/>
      <c r="WSN41" s="19"/>
      <c r="WSO41" s="19"/>
      <c r="WSP41" s="19"/>
      <c r="WSQ41" s="19"/>
      <c r="WSR41" s="19"/>
      <c r="WSS41" s="19"/>
      <c r="WST41" s="19"/>
      <c r="WSU41" s="19"/>
      <c r="WSV41" s="19"/>
      <c r="WSW41" s="19"/>
      <c r="WSX41" s="19"/>
      <c r="WSY41" s="19"/>
      <c r="WSZ41" s="19"/>
      <c r="WTA41" s="19"/>
      <c r="WTB41" s="19"/>
      <c r="WTC41" s="19"/>
      <c r="WTD41" s="19"/>
      <c r="WTE41" s="19"/>
      <c r="WTF41" s="19"/>
      <c r="WTG41" s="19"/>
      <c r="WTH41" s="19"/>
      <c r="WTI41" s="19"/>
      <c r="WTJ41" s="19"/>
      <c r="WTK41" s="19"/>
      <c r="WTL41" s="19"/>
      <c r="WTM41" s="19"/>
      <c r="WTN41" s="19"/>
      <c r="WTO41" s="19"/>
      <c r="WTP41" s="19"/>
      <c r="WTQ41" s="19"/>
      <c r="WTR41" s="19"/>
      <c r="WTS41" s="19"/>
      <c r="WTT41" s="19"/>
      <c r="WTU41" s="19"/>
      <c r="WTV41" s="19"/>
      <c r="WTW41" s="19"/>
      <c r="WTX41" s="19"/>
      <c r="WTY41" s="19"/>
      <c r="WTZ41" s="19"/>
      <c r="WUA41" s="19"/>
      <c r="WUB41" s="19"/>
      <c r="WUC41" s="19"/>
      <c r="WUD41" s="19"/>
      <c r="WUE41" s="19"/>
      <c r="WUF41" s="19"/>
      <c r="WUG41" s="19"/>
      <c r="WUH41" s="19"/>
      <c r="WUI41" s="19"/>
      <c r="WUJ41" s="19"/>
      <c r="WUK41" s="19"/>
      <c r="WUL41" s="19"/>
      <c r="WUM41" s="19"/>
      <c r="WUN41" s="19"/>
      <c r="WUO41" s="19"/>
      <c r="WUP41" s="19"/>
      <c r="WUQ41" s="19"/>
      <c r="WUR41" s="19"/>
      <c r="WUS41" s="19"/>
      <c r="WUT41" s="19"/>
      <c r="WUU41" s="19"/>
      <c r="WUV41" s="19"/>
      <c r="WUW41" s="19"/>
      <c r="WUX41" s="19"/>
      <c r="WUY41" s="19"/>
      <c r="WUZ41" s="19"/>
      <c r="WVA41" s="19"/>
      <c r="WVB41" s="19"/>
      <c r="WVC41" s="19"/>
      <c r="WVD41" s="19"/>
      <c r="WVE41" s="19"/>
      <c r="WVF41" s="19"/>
      <c r="WVG41" s="19"/>
      <c r="WVH41" s="19"/>
      <c r="WVI41" s="19"/>
      <c r="WVJ41" s="19"/>
      <c r="WVK41" s="19"/>
      <c r="WVL41" s="19"/>
      <c r="WVM41" s="19"/>
      <c r="WVN41" s="19"/>
      <c r="WVO41" s="19"/>
      <c r="WVP41" s="19"/>
      <c r="WVQ41" s="19"/>
      <c r="WVR41" s="19"/>
      <c r="WVS41" s="19"/>
      <c r="WVT41" s="19"/>
      <c r="WVU41" s="19"/>
      <c r="WVV41" s="19"/>
      <c r="WVW41" s="19"/>
      <c r="WVX41" s="19"/>
      <c r="WVY41" s="19"/>
      <c r="WVZ41" s="19"/>
      <c r="WWA41" s="19"/>
      <c r="WWB41" s="19"/>
      <c r="WWC41" s="19"/>
      <c r="WWD41" s="19"/>
      <c r="WWE41" s="19"/>
      <c r="WWF41" s="19"/>
      <c r="WWG41" s="19"/>
      <c r="WWH41" s="19"/>
      <c r="WWI41" s="19"/>
      <c r="WWJ41" s="19"/>
      <c r="WWK41" s="19"/>
      <c r="WWL41" s="19"/>
      <c r="WWM41" s="19"/>
      <c r="WWN41" s="19"/>
      <c r="WWO41" s="19"/>
      <c r="WWP41" s="19"/>
      <c r="WWQ41" s="19"/>
      <c r="WWR41" s="19"/>
      <c r="WWS41" s="19"/>
      <c r="WWT41" s="19"/>
      <c r="WWU41" s="19"/>
      <c r="WWV41" s="19"/>
      <c r="WWW41" s="19"/>
      <c r="WWX41" s="19"/>
      <c r="WWY41" s="19"/>
      <c r="WWZ41" s="19"/>
      <c r="WXA41" s="19"/>
      <c r="WXB41" s="19"/>
      <c r="WXC41" s="19"/>
      <c r="WXD41" s="19"/>
      <c r="WXE41" s="19"/>
      <c r="WXF41" s="19"/>
      <c r="WXG41" s="19"/>
      <c r="WXH41" s="19"/>
      <c r="WXI41" s="19"/>
      <c r="WXJ41" s="19"/>
      <c r="WXK41" s="19"/>
      <c r="WXL41" s="19"/>
      <c r="WXM41" s="19"/>
      <c r="WXN41" s="19"/>
      <c r="WXO41" s="19"/>
      <c r="WXP41" s="19"/>
      <c r="WXQ41" s="19"/>
      <c r="WXR41" s="19"/>
      <c r="WXS41" s="19"/>
      <c r="WXT41" s="19"/>
      <c r="WXU41" s="19"/>
      <c r="WXV41" s="19"/>
      <c r="WXW41" s="19"/>
      <c r="WXX41" s="19"/>
      <c r="WXY41" s="19"/>
      <c r="WXZ41" s="19"/>
      <c r="WYA41" s="19"/>
      <c r="WYB41" s="19"/>
      <c r="WYC41" s="19"/>
      <c r="WYD41" s="19"/>
      <c r="WYE41" s="19"/>
      <c r="WYF41" s="19"/>
      <c r="WYG41" s="19"/>
      <c r="WYH41" s="19"/>
      <c r="WYI41" s="19"/>
      <c r="WYJ41" s="19"/>
      <c r="WYK41" s="19"/>
      <c r="WYL41" s="19"/>
      <c r="WYM41" s="19"/>
      <c r="WYN41" s="19"/>
      <c r="WYO41" s="19"/>
      <c r="WYP41" s="19"/>
      <c r="WYQ41" s="19"/>
      <c r="WYR41" s="19"/>
      <c r="WYS41" s="19"/>
      <c r="WYT41" s="19"/>
      <c r="WYU41" s="19"/>
      <c r="WYV41" s="19"/>
      <c r="WYW41" s="19"/>
      <c r="WYX41" s="19"/>
      <c r="WYY41" s="19"/>
      <c r="WYZ41" s="19"/>
      <c r="WZA41" s="19"/>
      <c r="WZB41" s="19"/>
      <c r="WZC41" s="19"/>
      <c r="WZD41" s="19"/>
      <c r="WZE41" s="19"/>
      <c r="WZF41" s="19"/>
      <c r="WZG41" s="19"/>
      <c r="WZH41" s="19"/>
      <c r="WZI41" s="19"/>
      <c r="WZJ41" s="19"/>
      <c r="WZK41" s="19"/>
      <c r="WZL41" s="19"/>
      <c r="WZM41" s="19"/>
      <c r="WZN41" s="19"/>
      <c r="WZO41" s="19"/>
      <c r="WZP41" s="19"/>
      <c r="WZQ41" s="19"/>
      <c r="WZR41" s="19"/>
      <c r="WZS41" s="19"/>
      <c r="WZT41" s="19"/>
      <c r="WZU41" s="19"/>
      <c r="WZV41" s="19"/>
      <c r="WZW41" s="19"/>
      <c r="WZX41" s="19"/>
      <c r="WZY41" s="19"/>
      <c r="WZZ41" s="19"/>
      <c r="XAA41" s="19"/>
      <c r="XAB41" s="19"/>
      <c r="XAC41" s="19"/>
      <c r="XAD41" s="19"/>
      <c r="XAE41" s="19"/>
      <c r="XAF41" s="19"/>
      <c r="XAG41" s="19"/>
      <c r="XAH41" s="19"/>
      <c r="XAI41" s="19"/>
      <c r="XAJ41" s="19"/>
      <c r="XAK41" s="19"/>
      <c r="XAL41" s="19"/>
      <c r="XAM41" s="19"/>
      <c r="XAN41" s="19"/>
      <c r="XAO41" s="19"/>
      <c r="XAP41" s="19"/>
      <c r="XAQ41" s="19"/>
      <c r="XAR41" s="19"/>
      <c r="XAS41" s="19"/>
      <c r="XAT41" s="19"/>
      <c r="XAU41" s="19"/>
      <c r="XAV41" s="19"/>
      <c r="XAW41" s="19"/>
      <c r="XAX41" s="19"/>
      <c r="XAY41" s="19"/>
      <c r="XAZ41" s="19"/>
      <c r="XBA41" s="19"/>
      <c r="XBB41" s="19"/>
      <c r="XBC41" s="19"/>
      <c r="XBD41" s="19"/>
      <c r="XBE41" s="19"/>
      <c r="XBF41" s="19"/>
      <c r="XBG41" s="19"/>
      <c r="XBH41" s="19"/>
      <c r="XBI41" s="19"/>
      <c r="XBJ41" s="19"/>
      <c r="XBK41" s="19"/>
      <c r="XBL41" s="19"/>
      <c r="XBM41" s="19"/>
      <c r="XBN41" s="19"/>
      <c r="XBO41" s="19"/>
      <c r="XBP41" s="19"/>
      <c r="XBQ41" s="19"/>
      <c r="XBR41" s="19"/>
      <c r="XBS41" s="19"/>
      <c r="XBT41" s="19"/>
      <c r="XBU41" s="19"/>
      <c r="XBV41" s="19"/>
      <c r="XBW41" s="19"/>
      <c r="XBX41" s="19"/>
      <c r="XBY41" s="19"/>
      <c r="XBZ41" s="19"/>
      <c r="XCA41" s="19"/>
      <c r="XCB41" s="19"/>
      <c r="XCC41" s="19"/>
      <c r="XCD41" s="19"/>
      <c r="XCE41" s="19"/>
      <c r="XCF41" s="19"/>
      <c r="XCG41" s="19"/>
      <c r="XCH41" s="19"/>
      <c r="XCI41" s="19"/>
      <c r="XCJ41" s="19"/>
      <c r="XCK41" s="19"/>
      <c r="XCL41" s="19"/>
      <c r="XCM41" s="19"/>
      <c r="XCN41" s="19"/>
      <c r="XCO41" s="19"/>
      <c r="XCP41" s="19"/>
      <c r="XCQ41" s="19"/>
      <c r="XCR41" s="19"/>
      <c r="XCS41" s="19"/>
      <c r="XCT41" s="19"/>
      <c r="XCU41" s="19"/>
      <c r="XCV41" s="19"/>
      <c r="XCW41" s="19"/>
      <c r="XCX41" s="19"/>
      <c r="XCY41" s="19"/>
      <c r="XCZ41" s="19"/>
      <c r="XDA41" s="19"/>
      <c r="XDB41" s="19"/>
      <c r="XDC41" s="19"/>
      <c r="XDD41" s="19"/>
      <c r="XDE41" s="19"/>
      <c r="XDF41" s="19"/>
      <c r="XDG41" s="19"/>
      <c r="XDH41" s="19"/>
      <c r="XDI41" s="19"/>
      <c r="XDJ41" s="19"/>
      <c r="XDK41" s="19"/>
      <c r="XDL41" s="19"/>
      <c r="XDM41" s="19"/>
      <c r="XDN41" s="19"/>
      <c r="XDO41" s="19"/>
      <c r="XDP41" s="19"/>
      <c r="XDQ41" s="19"/>
      <c r="XDR41" s="19"/>
      <c r="XDS41" s="19"/>
      <c r="XDT41" s="19"/>
      <c r="XDU41" s="19"/>
      <c r="XDV41" s="19"/>
      <c r="XDW41" s="19"/>
      <c r="XDX41" s="19"/>
      <c r="XDY41" s="19"/>
      <c r="XDZ41" s="19"/>
      <c r="XEA41" s="19"/>
      <c r="XEB41" s="19"/>
      <c r="XEC41" s="19"/>
      <c r="XED41" s="19"/>
      <c r="XEE41" s="19"/>
      <c r="XEF41" s="19"/>
      <c r="XEG41" s="19"/>
      <c r="XEH41" s="19"/>
      <c r="XEI41" s="19"/>
      <c r="XEJ41" s="19"/>
      <c r="XEK41" s="19"/>
      <c r="XEL41" s="19"/>
      <c r="XEM41" s="19"/>
      <c r="XEN41" s="19"/>
      <c r="XEO41" s="19"/>
      <c r="XEP41" s="19"/>
      <c r="XEQ41" s="19"/>
      <c r="XER41" s="19"/>
      <c r="XES41" s="19"/>
      <c r="XET41" s="19"/>
      <c r="XEU41" s="19"/>
      <c r="XEV41" s="19"/>
      <c r="XEW41" s="19"/>
      <c r="XEX41" s="19"/>
      <c r="XEY41" s="19"/>
      <c r="XEZ41" s="19"/>
      <c r="XFA41" s="19"/>
      <c r="XFB41" s="19"/>
    </row>
    <row r="42" spans="1:16382" s="18" customFormat="1" ht="16.5" thickBot="1" x14ac:dyDescent="0.3">
      <c r="B42" s="234"/>
      <c r="D42" s="176" t="s">
        <v>2</v>
      </c>
      <c r="E42" s="180"/>
      <c r="F42" s="180"/>
      <c r="G42" s="180"/>
      <c r="H42" s="180"/>
      <c r="I42" s="180" t="s">
        <v>41</v>
      </c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9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  <c r="LR42" s="19"/>
      <c r="LS42" s="19"/>
      <c r="LT42" s="19"/>
      <c r="LU42" s="19"/>
      <c r="LV42" s="19"/>
      <c r="LW42" s="19"/>
      <c r="LX42" s="19"/>
      <c r="LY42" s="19"/>
      <c r="LZ42" s="19"/>
      <c r="MA42" s="19"/>
      <c r="MB42" s="19"/>
      <c r="MC42" s="19"/>
      <c r="MD42" s="19"/>
      <c r="ME42" s="19"/>
      <c r="MF42" s="19"/>
      <c r="MG42" s="19"/>
      <c r="MH42" s="19"/>
      <c r="MI42" s="19"/>
      <c r="MJ42" s="19"/>
      <c r="MK42" s="19"/>
      <c r="ML42" s="19"/>
      <c r="MM42" s="19"/>
      <c r="MN42" s="19"/>
      <c r="MO42" s="19"/>
      <c r="MP42" s="19"/>
      <c r="MQ42" s="19"/>
      <c r="MR42" s="19"/>
      <c r="MS42" s="19"/>
      <c r="MT42" s="19"/>
      <c r="MU42" s="19"/>
      <c r="MV42" s="19"/>
      <c r="MW42" s="19"/>
      <c r="MX42" s="19"/>
      <c r="MY42" s="19"/>
      <c r="MZ42" s="19"/>
      <c r="NA42" s="19"/>
      <c r="NB42" s="19"/>
      <c r="NC42" s="19"/>
      <c r="ND42" s="19"/>
      <c r="NE42" s="19"/>
      <c r="NF42" s="19"/>
      <c r="NG42" s="19"/>
      <c r="NH42" s="19"/>
      <c r="NI42" s="19"/>
      <c r="NJ42" s="19"/>
      <c r="NK42" s="19"/>
      <c r="NL42" s="19"/>
      <c r="NM42" s="19"/>
      <c r="NN42" s="19"/>
      <c r="NO42" s="19"/>
      <c r="NP42" s="19"/>
      <c r="NQ42" s="19"/>
      <c r="NR42" s="19"/>
      <c r="NS42" s="19"/>
      <c r="NT42" s="19"/>
      <c r="NU42" s="19"/>
      <c r="NV42" s="19"/>
      <c r="NW42" s="19"/>
      <c r="NX42" s="19"/>
      <c r="NY42" s="19"/>
      <c r="NZ42" s="19"/>
      <c r="OA42" s="19"/>
      <c r="OB42" s="19"/>
      <c r="OC42" s="19"/>
      <c r="OD42" s="19"/>
      <c r="OE42" s="19"/>
      <c r="OF42" s="19"/>
      <c r="OG42" s="19"/>
      <c r="OH42" s="19"/>
      <c r="OI42" s="19"/>
      <c r="OJ42" s="19"/>
      <c r="OK42" s="19"/>
      <c r="OL42" s="19"/>
      <c r="OM42" s="19"/>
      <c r="ON42" s="19"/>
      <c r="OO42" s="19"/>
      <c r="OP42" s="19"/>
      <c r="OQ42" s="19"/>
      <c r="OR42" s="19"/>
      <c r="OS42" s="19"/>
      <c r="OT42" s="19"/>
      <c r="OU42" s="19"/>
      <c r="OV42" s="19"/>
      <c r="OW42" s="19"/>
      <c r="OX42" s="19"/>
      <c r="OY42" s="19"/>
      <c r="OZ42" s="19"/>
      <c r="PA42" s="19"/>
      <c r="PB42" s="19"/>
      <c r="PC42" s="19"/>
      <c r="PD42" s="19"/>
      <c r="PE42" s="19"/>
      <c r="PF42" s="19"/>
      <c r="PG42" s="19"/>
      <c r="PH42" s="19"/>
      <c r="PI42" s="19"/>
      <c r="PJ42" s="19"/>
      <c r="PK42" s="19"/>
      <c r="PL42" s="19"/>
      <c r="PM42" s="19"/>
      <c r="PN42" s="19"/>
      <c r="PO42" s="19"/>
      <c r="PP42" s="19"/>
      <c r="PQ42" s="19"/>
      <c r="PR42" s="19"/>
      <c r="PS42" s="19"/>
      <c r="PT42" s="19"/>
      <c r="PU42" s="19"/>
      <c r="PV42" s="19"/>
      <c r="PW42" s="19"/>
      <c r="PX42" s="19"/>
      <c r="PY42" s="19"/>
      <c r="PZ42" s="19"/>
      <c r="QA42" s="19"/>
      <c r="QB42" s="19"/>
      <c r="QC42" s="19"/>
      <c r="QD42" s="19"/>
      <c r="QE42" s="19"/>
      <c r="QF42" s="19"/>
      <c r="QG42" s="19"/>
      <c r="QH42" s="19"/>
      <c r="QI42" s="19"/>
      <c r="QJ42" s="19"/>
      <c r="QK42" s="19"/>
      <c r="QL42" s="19"/>
      <c r="QM42" s="19"/>
      <c r="QN42" s="19"/>
      <c r="QO42" s="19"/>
      <c r="QP42" s="19"/>
      <c r="QQ42" s="19"/>
      <c r="QR42" s="19"/>
      <c r="QS42" s="19"/>
      <c r="QT42" s="19"/>
      <c r="QU42" s="19"/>
      <c r="QV42" s="19"/>
      <c r="QW42" s="19"/>
      <c r="QX42" s="19"/>
      <c r="QY42" s="19"/>
      <c r="QZ42" s="19"/>
      <c r="RA42" s="19"/>
      <c r="RB42" s="19"/>
      <c r="RC42" s="19"/>
      <c r="RD42" s="19"/>
      <c r="RE42" s="19"/>
      <c r="RF42" s="19"/>
      <c r="RG42" s="19"/>
      <c r="RH42" s="19"/>
      <c r="RI42" s="19"/>
      <c r="RJ42" s="19"/>
      <c r="RK42" s="19"/>
      <c r="RL42" s="19"/>
      <c r="RM42" s="19"/>
      <c r="RN42" s="19"/>
      <c r="RO42" s="19"/>
      <c r="RP42" s="19"/>
      <c r="RQ42" s="19"/>
      <c r="RR42" s="19"/>
      <c r="RS42" s="19"/>
      <c r="RT42" s="19"/>
      <c r="RU42" s="19"/>
      <c r="RV42" s="19"/>
      <c r="RW42" s="19"/>
      <c r="RX42" s="19"/>
      <c r="RY42" s="19"/>
      <c r="RZ42" s="19"/>
      <c r="SA42" s="19"/>
      <c r="SB42" s="19"/>
      <c r="SC42" s="19"/>
      <c r="SD42" s="19"/>
      <c r="SE42" s="19"/>
      <c r="SF42" s="19"/>
      <c r="SG42" s="19"/>
      <c r="SH42" s="19"/>
      <c r="SI42" s="19"/>
      <c r="SJ42" s="19"/>
      <c r="SK42" s="19"/>
      <c r="SL42" s="19"/>
      <c r="SM42" s="19"/>
      <c r="SN42" s="19"/>
      <c r="SO42" s="19"/>
      <c r="SP42" s="19"/>
      <c r="SQ42" s="19"/>
      <c r="SR42" s="19"/>
      <c r="SS42" s="19"/>
      <c r="ST42" s="19"/>
      <c r="SU42" s="19"/>
      <c r="SV42" s="19"/>
      <c r="SW42" s="19"/>
      <c r="SX42" s="19"/>
      <c r="SY42" s="19"/>
      <c r="SZ42" s="19"/>
      <c r="TA42" s="19"/>
      <c r="TB42" s="19"/>
      <c r="TC42" s="19"/>
      <c r="TD42" s="19"/>
      <c r="TE42" s="19"/>
      <c r="TF42" s="19"/>
      <c r="TG42" s="19"/>
      <c r="TH42" s="19"/>
      <c r="TI42" s="19"/>
      <c r="TJ42" s="19"/>
      <c r="TK42" s="19"/>
      <c r="TL42" s="19"/>
      <c r="TM42" s="19"/>
      <c r="TN42" s="19"/>
      <c r="TO42" s="19"/>
      <c r="TP42" s="19"/>
      <c r="TQ42" s="19"/>
      <c r="TR42" s="19"/>
      <c r="TS42" s="19"/>
      <c r="TT42" s="19"/>
      <c r="TU42" s="19"/>
      <c r="TV42" s="19"/>
      <c r="TW42" s="19"/>
      <c r="TX42" s="19"/>
      <c r="TY42" s="19"/>
      <c r="TZ42" s="19"/>
      <c r="UA42" s="19"/>
      <c r="UB42" s="19"/>
      <c r="UC42" s="19"/>
      <c r="UD42" s="19"/>
      <c r="UE42" s="19"/>
      <c r="UF42" s="19"/>
      <c r="UG42" s="19"/>
      <c r="UH42" s="19"/>
      <c r="UI42" s="19"/>
      <c r="UJ42" s="19"/>
      <c r="UK42" s="19"/>
      <c r="UL42" s="19"/>
      <c r="UM42" s="19"/>
      <c r="UN42" s="19"/>
      <c r="UO42" s="19"/>
      <c r="UP42" s="19"/>
      <c r="UQ42" s="19"/>
      <c r="UR42" s="19"/>
      <c r="US42" s="19"/>
      <c r="UT42" s="19"/>
      <c r="UU42" s="19"/>
      <c r="UV42" s="19"/>
      <c r="UW42" s="19"/>
      <c r="UX42" s="19"/>
      <c r="UY42" s="19"/>
      <c r="UZ42" s="19"/>
      <c r="VA42" s="19"/>
      <c r="VB42" s="19"/>
      <c r="VC42" s="19"/>
      <c r="VD42" s="19"/>
      <c r="VE42" s="19"/>
      <c r="VF42" s="19"/>
      <c r="VG42" s="19"/>
      <c r="VH42" s="19"/>
      <c r="VI42" s="19"/>
      <c r="VJ42" s="19"/>
      <c r="VK42" s="19"/>
      <c r="VL42" s="19"/>
      <c r="VM42" s="19"/>
      <c r="VN42" s="19"/>
      <c r="VO42" s="19"/>
      <c r="VP42" s="19"/>
      <c r="VQ42" s="19"/>
      <c r="VR42" s="19"/>
      <c r="VS42" s="19"/>
      <c r="VT42" s="19"/>
      <c r="VU42" s="19"/>
      <c r="VV42" s="19"/>
      <c r="VW42" s="19"/>
      <c r="VX42" s="19"/>
      <c r="VY42" s="19"/>
      <c r="VZ42" s="19"/>
      <c r="WA42" s="19"/>
      <c r="WB42" s="19"/>
      <c r="WC42" s="19"/>
      <c r="WD42" s="19"/>
      <c r="WE42" s="19"/>
      <c r="WF42" s="19"/>
      <c r="WG42" s="19"/>
      <c r="WH42" s="19"/>
      <c r="WI42" s="19"/>
      <c r="WJ42" s="19"/>
      <c r="WK42" s="19"/>
      <c r="WL42" s="19"/>
      <c r="WM42" s="19"/>
      <c r="WN42" s="19"/>
      <c r="WO42" s="19"/>
      <c r="WP42" s="19"/>
      <c r="WQ42" s="19"/>
      <c r="WR42" s="19"/>
      <c r="WS42" s="19"/>
      <c r="WT42" s="19"/>
      <c r="WU42" s="19"/>
      <c r="WV42" s="19"/>
      <c r="WW42" s="19"/>
      <c r="WX42" s="19"/>
      <c r="WY42" s="19"/>
      <c r="WZ42" s="19"/>
      <c r="XA42" s="19"/>
      <c r="XB42" s="19"/>
      <c r="XC42" s="19"/>
      <c r="XD42" s="19"/>
      <c r="XE42" s="19"/>
      <c r="XF42" s="19"/>
      <c r="XG42" s="19"/>
      <c r="XH42" s="19"/>
      <c r="XI42" s="19"/>
      <c r="XJ42" s="19"/>
      <c r="XK42" s="19"/>
      <c r="XL42" s="19"/>
      <c r="XM42" s="19"/>
      <c r="XN42" s="19"/>
      <c r="XO42" s="19"/>
      <c r="XP42" s="19"/>
      <c r="XQ42" s="19"/>
      <c r="XR42" s="19"/>
      <c r="XS42" s="19"/>
      <c r="XT42" s="19"/>
      <c r="XU42" s="19"/>
      <c r="XV42" s="19"/>
      <c r="XW42" s="19"/>
      <c r="XX42" s="19"/>
      <c r="XY42" s="19"/>
      <c r="XZ42" s="19"/>
      <c r="YA42" s="19"/>
      <c r="YB42" s="19"/>
      <c r="YC42" s="19"/>
      <c r="YD42" s="19"/>
      <c r="YE42" s="19"/>
      <c r="YF42" s="19"/>
      <c r="YG42" s="19"/>
      <c r="YH42" s="19"/>
      <c r="YI42" s="19"/>
      <c r="YJ42" s="19"/>
      <c r="YK42" s="19"/>
      <c r="YL42" s="19"/>
      <c r="YM42" s="19"/>
      <c r="YN42" s="19"/>
      <c r="YO42" s="19"/>
      <c r="YP42" s="19"/>
      <c r="YQ42" s="19"/>
      <c r="YR42" s="19"/>
      <c r="YS42" s="19"/>
      <c r="YT42" s="19"/>
      <c r="YU42" s="19"/>
      <c r="YV42" s="19"/>
      <c r="YW42" s="19"/>
      <c r="YX42" s="19"/>
      <c r="YY42" s="19"/>
      <c r="YZ42" s="19"/>
      <c r="ZA42" s="19"/>
      <c r="ZB42" s="19"/>
      <c r="ZC42" s="19"/>
      <c r="ZD42" s="19"/>
      <c r="ZE42" s="19"/>
      <c r="ZF42" s="19"/>
      <c r="ZG42" s="19"/>
      <c r="ZH42" s="19"/>
      <c r="ZI42" s="19"/>
      <c r="ZJ42" s="19"/>
      <c r="ZK42" s="19"/>
      <c r="ZL42" s="19"/>
      <c r="ZM42" s="19"/>
      <c r="ZN42" s="19"/>
      <c r="ZO42" s="19"/>
      <c r="ZP42" s="19"/>
      <c r="ZQ42" s="19"/>
      <c r="ZR42" s="19"/>
      <c r="ZS42" s="19"/>
      <c r="ZT42" s="19"/>
      <c r="ZU42" s="19"/>
      <c r="ZV42" s="19"/>
      <c r="ZW42" s="19"/>
      <c r="ZX42" s="19"/>
      <c r="ZY42" s="19"/>
      <c r="ZZ42" s="19"/>
      <c r="AAA42" s="19"/>
      <c r="AAB42" s="19"/>
      <c r="AAC42" s="19"/>
      <c r="AAD42" s="19"/>
      <c r="AAE42" s="19"/>
      <c r="AAF42" s="19"/>
      <c r="AAG42" s="19"/>
      <c r="AAH42" s="19"/>
      <c r="AAI42" s="19"/>
      <c r="AAJ42" s="19"/>
      <c r="AAK42" s="19"/>
      <c r="AAL42" s="19"/>
      <c r="AAM42" s="19"/>
      <c r="AAN42" s="19"/>
      <c r="AAO42" s="19"/>
      <c r="AAP42" s="19"/>
      <c r="AAQ42" s="19"/>
      <c r="AAR42" s="19"/>
      <c r="AAS42" s="19"/>
      <c r="AAT42" s="19"/>
      <c r="AAU42" s="19"/>
      <c r="AAV42" s="19"/>
      <c r="AAW42" s="19"/>
      <c r="AAX42" s="19"/>
      <c r="AAY42" s="19"/>
      <c r="AAZ42" s="19"/>
      <c r="ABA42" s="19"/>
      <c r="ABB42" s="19"/>
      <c r="ABC42" s="19"/>
      <c r="ABD42" s="19"/>
      <c r="ABE42" s="19"/>
      <c r="ABF42" s="19"/>
      <c r="ABG42" s="19"/>
      <c r="ABH42" s="19"/>
      <c r="ABI42" s="19"/>
      <c r="ABJ42" s="19"/>
      <c r="ABK42" s="19"/>
      <c r="ABL42" s="19"/>
      <c r="ABM42" s="19"/>
      <c r="ABN42" s="19"/>
      <c r="ABO42" s="19"/>
      <c r="ABP42" s="19"/>
      <c r="ABQ42" s="19"/>
      <c r="ABR42" s="19"/>
      <c r="ABS42" s="19"/>
      <c r="ABT42" s="19"/>
      <c r="ABU42" s="19"/>
      <c r="ABV42" s="19"/>
      <c r="ABW42" s="19"/>
      <c r="ABX42" s="19"/>
      <c r="ABY42" s="19"/>
      <c r="ABZ42" s="19"/>
      <c r="ACA42" s="19"/>
      <c r="ACB42" s="19"/>
      <c r="ACC42" s="19"/>
      <c r="ACD42" s="19"/>
      <c r="ACE42" s="19"/>
      <c r="ACF42" s="19"/>
      <c r="ACG42" s="19"/>
      <c r="ACH42" s="19"/>
      <c r="ACI42" s="19"/>
      <c r="ACJ42" s="19"/>
      <c r="ACK42" s="19"/>
      <c r="ACL42" s="19"/>
      <c r="ACM42" s="19"/>
      <c r="ACN42" s="19"/>
      <c r="ACO42" s="19"/>
      <c r="ACP42" s="19"/>
      <c r="ACQ42" s="19"/>
      <c r="ACR42" s="19"/>
      <c r="ACS42" s="19"/>
      <c r="ACT42" s="19"/>
      <c r="ACU42" s="19"/>
      <c r="ACV42" s="19"/>
      <c r="ACW42" s="19"/>
      <c r="ACX42" s="19"/>
      <c r="ACY42" s="19"/>
      <c r="ACZ42" s="19"/>
      <c r="ADA42" s="19"/>
      <c r="ADB42" s="19"/>
      <c r="ADC42" s="19"/>
      <c r="ADD42" s="19"/>
      <c r="ADE42" s="19"/>
      <c r="ADF42" s="19"/>
      <c r="ADG42" s="19"/>
      <c r="ADH42" s="19"/>
      <c r="ADI42" s="19"/>
      <c r="ADJ42" s="19"/>
      <c r="ADK42" s="19"/>
      <c r="ADL42" s="19"/>
      <c r="ADM42" s="19"/>
      <c r="ADN42" s="19"/>
      <c r="ADO42" s="19"/>
      <c r="ADP42" s="19"/>
      <c r="ADQ42" s="19"/>
      <c r="ADR42" s="19"/>
      <c r="ADS42" s="19"/>
      <c r="ADT42" s="19"/>
      <c r="ADU42" s="19"/>
      <c r="ADV42" s="19"/>
      <c r="ADW42" s="19"/>
      <c r="ADX42" s="19"/>
      <c r="ADY42" s="19"/>
      <c r="ADZ42" s="19"/>
      <c r="AEA42" s="19"/>
      <c r="AEB42" s="19"/>
      <c r="AEC42" s="19"/>
      <c r="AED42" s="19"/>
      <c r="AEE42" s="19"/>
      <c r="AEF42" s="19"/>
      <c r="AEG42" s="19"/>
      <c r="AEH42" s="19"/>
      <c r="AEI42" s="19"/>
      <c r="AEJ42" s="19"/>
      <c r="AEK42" s="19"/>
      <c r="AEL42" s="19"/>
      <c r="AEM42" s="19"/>
      <c r="AEN42" s="19"/>
      <c r="AEO42" s="19"/>
      <c r="AEP42" s="19"/>
      <c r="AEQ42" s="19"/>
      <c r="AER42" s="19"/>
      <c r="AES42" s="19"/>
      <c r="AET42" s="19"/>
      <c r="AEU42" s="19"/>
      <c r="AEV42" s="19"/>
      <c r="AEW42" s="19"/>
      <c r="AEX42" s="19"/>
      <c r="AEY42" s="19"/>
      <c r="AEZ42" s="19"/>
      <c r="AFA42" s="19"/>
      <c r="AFB42" s="19"/>
      <c r="AFC42" s="19"/>
      <c r="AFD42" s="19"/>
      <c r="AFE42" s="19"/>
      <c r="AFF42" s="19"/>
      <c r="AFG42" s="19"/>
      <c r="AFH42" s="19"/>
      <c r="AFI42" s="19"/>
      <c r="AFJ42" s="19"/>
      <c r="AFK42" s="19"/>
      <c r="AFL42" s="19"/>
      <c r="AFM42" s="19"/>
      <c r="AFN42" s="19"/>
      <c r="AFO42" s="19"/>
      <c r="AFP42" s="19"/>
      <c r="AFQ42" s="19"/>
      <c r="AFR42" s="19"/>
      <c r="AFS42" s="19"/>
      <c r="AFT42" s="19"/>
      <c r="AFU42" s="19"/>
      <c r="AFV42" s="19"/>
      <c r="AFW42" s="19"/>
      <c r="AFX42" s="19"/>
      <c r="AFY42" s="19"/>
      <c r="AFZ42" s="19"/>
      <c r="AGA42" s="19"/>
      <c r="AGB42" s="19"/>
      <c r="AGC42" s="19"/>
      <c r="AGD42" s="19"/>
      <c r="AGE42" s="19"/>
      <c r="AGF42" s="19"/>
      <c r="AGG42" s="19"/>
      <c r="AGH42" s="19"/>
      <c r="AGI42" s="19"/>
      <c r="AGJ42" s="19"/>
      <c r="AGK42" s="19"/>
      <c r="AGL42" s="19"/>
      <c r="AGM42" s="19"/>
      <c r="AGN42" s="19"/>
      <c r="AGO42" s="19"/>
      <c r="AGP42" s="19"/>
      <c r="AGQ42" s="19"/>
      <c r="AGR42" s="19"/>
      <c r="AGS42" s="19"/>
      <c r="AGT42" s="19"/>
      <c r="AGU42" s="19"/>
      <c r="AGV42" s="19"/>
      <c r="AGW42" s="19"/>
      <c r="AGX42" s="19"/>
      <c r="AGY42" s="19"/>
      <c r="AGZ42" s="19"/>
      <c r="AHA42" s="19"/>
      <c r="AHB42" s="19"/>
      <c r="AHC42" s="19"/>
      <c r="AHD42" s="19"/>
      <c r="AHE42" s="19"/>
      <c r="AHF42" s="19"/>
      <c r="AHG42" s="19"/>
      <c r="AHH42" s="19"/>
      <c r="AHI42" s="19"/>
      <c r="AHJ42" s="19"/>
      <c r="AHK42" s="19"/>
      <c r="AHL42" s="19"/>
      <c r="AHM42" s="19"/>
      <c r="AHN42" s="19"/>
      <c r="AHO42" s="19"/>
      <c r="AHP42" s="19"/>
      <c r="AHQ42" s="19"/>
      <c r="AHR42" s="19"/>
      <c r="AHS42" s="19"/>
      <c r="AHT42" s="19"/>
      <c r="AHU42" s="19"/>
      <c r="AHV42" s="19"/>
      <c r="AHW42" s="19"/>
      <c r="AHX42" s="19"/>
      <c r="AHY42" s="19"/>
      <c r="AHZ42" s="19"/>
      <c r="AIA42" s="19"/>
      <c r="AIB42" s="19"/>
      <c r="AIC42" s="19"/>
      <c r="AID42" s="19"/>
      <c r="AIE42" s="19"/>
      <c r="AIF42" s="19"/>
      <c r="AIG42" s="19"/>
      <c r="AIH42" s="19"/>
      <c r="AII42" s="19"/>
      <c r="AIJ42" s="19"/>
      <c r="AIK42" s="19"/>
      <c r="AIL42" s="19"/>
      <c r="AIM42" s="19"/>
      <c r="AIN42" s="19"/>
      <c r="AIO42" s="19"/>
      <c r="AIP42" s="19"/>
      <c r="AIQ42" s="19"/>
      <c r="AIR42" s="19"/>
      <c r="AIS42" s="19"/>
      <c r="AIT42" s="19"/>
      <c r="AIU42" s="19"/>
      <c r="AIV42" s="19"/>
      <c r="AIW42" s="19"/>
      <c r="AIX42" s="19"/>
      <c r="AIY42" s="19"/>
      <c r="AIZ42" s="19"/>
      <c r="AJA42" s="19"/>
      <c r="AJB42" s="19"/>
      <c r="AJC42" s="19"/>
      <c r="AJD42" s="19"/>
      <c r="AJE42" s="19"/>
      <c r="AJF42" s="19"/>
      <c r="AJG42" s="19"/>
      <c r="AJH42" s="19"/>
      <c r="AJI42" s="19"/>
      <c r="AJJ42" s="19"/>
      <c r="AJK42" s="19"/>
      <c r="AJL42" s="19"/>
      <c r="AJM42" s="19"/>
      <c r="AJN42" s="19"/>
      <c r="AJO42" s="19"/>
      <c r="AJP42" s="19"/>
      <c r="AJQ42" s="19"/>
      <c r="AJR42" s="19"/>
      <c r="AJS42" s="19"/>
      <c r="AJT42" s="19"/>
      <c r="AJU42" s="19"/>
      <c r="AJV42" s="19"/>
      <c r="AJW42" s="19"/>
      <c r="AJX42" s="19"/>
      <c r="AJY42" s="19"/>
      <c r="AJZ42" s="19"/>
      <c r="AKA42" s="19"/>
      <c r="AKB42" s="19"/>
      <c r="AKC42" s="19"/>
      <c r="AKD42" s="19"/>
      <c r="AKE42" s="19"/>
      <c r="AKF42" s="19"/>
      <c r="AKG42" s="19"/>
      <c r="AKH42" s="19"/>
      <c r="AKI42" s="19"/>
      <c r="AKJ42" s="19"/>
      <c r="AKK42" s="19"/>
      <c r="AKL42" s="19"/>
      <c r="AKM42" s="19"/>
      <c r="AKN42" s="19"/>
      <c r="AKO42" s="19"/>
      <c r="AKP42" s="19"/>
      <c r="AKQ42" s="19"/>
      <c r="AKR42" s="19"/>
      <c r="AKS42" s="19"/>
      <c r="AKT42" s="19"/>
      <c r="AKU42" s="19"/>
      <c r="AKV42" s="19"/>
      <c r="AKW42" s="19"/>
      <c r="AKX42" s="19"/>
      <c r="AKY42" s="19"/>
      <c r="AKZ42" s="19"/>
      <c r="ALA42" s="19"/>
      <c r="ALB42" s="19"/>
      <c r="ALC42" s="19"/>
      <c r="ALD42" s="19"/>
      <c r="ALE42" s="19"/>
      <c r="ALF42" s="19"/>
      <c r="ALG42" s="19"/>
      <c r="ALH42" s="19"/>
      <c r="ALI42" s="19"/>
      <c r="ALJ42" s="19"/>
      <c r="ALK42" s="19"/>
      <c r="ALL42" s="19"/>
      <c r="ALM42" s="19"/>
      <c r="ALN42" s="19"/>
      <c r="ALO42" s="19"/>
      <c r="ALP42" s="19"/>
      <c r="ALQ42" s="19"/>
      <c r="ALR42" s="19"/>
      <c r="ALS42" s="19"/>
      <c r="ALT42" s="19"/>
      <c r="ALU42" s="19"/>
      <c r="ALV42" s="19"/>
      <c r="ALW42" s="19"/>
      <c r="ALX42" s="19"/>
      <c r="ALY42" s="19"/>
      <c r="ALZ42" s="19"/>
      <c r="AMA42" s="19"/>
      <c r="AMB42" s="19"/>
      <c r="AMC42" s="19"/>
      <c r="AMD42" s="19"/>
      <c r="AME42" s="19"/>
      <c r="AMF42" s="19"/>
      <c r="AMG42" s="19"/>
      <c r="AMH42" s="19"/>
      <c r="AMI42" s="19"/>
      <c r="AMJ42" s="19"/>
      <c r="AMK42" s="19"/>
      <c r="AML42" s="19"/>
      <c r="AMM42" s="19"/>
      <c r="AMN42" s="19"/>
      <c r="AMO42" s="19"/>
      <c r="AMP42" s="19"/>
      <c r="AMQ42" s="19"/>
      <c r="AMR42" s="19"/>
      <c r="AMS42" s="19"/>
      <c r="AMT42" s="19"/>
      <c r="AMU42" s="19"/>
      <c r="AMV42" s="19"/>
      <c r="AMW42" s="19"/>
      <c r="AMX42" s="19"/>
      <c r="AMY42" s="19"/>
      <c r="AMZ42" s="19"/>
      <c r="ANA42" s="19"/>
      <c r="ANB42" s="19"/>
      <c r="ANC42" s="19"/>
      <c r="AND42" s="19"/>
      <c r="ANE42" s="19"/>
      <c r="ANF42" s="19"/>
      <c r="ANG42" s="19"/>
      <c r="ANH42" s="19"/>
      <c r="ANI42" s="19"/>
      <c r="ANJ42" s="19"/>
      <c r="ANK42" s="19"/>
      <c r="ANL42" s="19"/>
      <c r="ANM42" s="19"/>
      <c r="ANN42" s="19"/>
      <c r="ANO42" s="19"/>
      <c r="ANP42" s="19"/>
      <c r="ANQ42" s="19"/>
      <c r="ANR42" s="19"/>
      <c r="ANS42" s="19"/>
      <c r="ANT42" s="19"/>
      <c r="ANU42" s="19"/>
      <c r="ANV42" s="19"/>
      <c r="ANW42" s="19"/>
      <c r="ANX42" s="19"/>
      <c r="ANY42" s="19"/>
      <c r="ANZ42" s="19"/>
      <c r="AOA42" s="19"/>
      <c r="AOB42" s="19"/>
      <c r="AOC42" s="19"/>
      <c r="AOD42" s="19"/>
      <c r="AOE42" s="19"/>
      <c r="AOF42" s="19"/>
      <c r="AOG42" s="19"/>
      <c r="AOH42" s="19"/>
      <c r="AOI42" s="19"/>
      <c r="AOJ42" s="19"/>
      <c r="AOK42" s="19"/>
      <c r="AOL42" s="19"/>
      <c r="AOM42" s="19"/>
      <c r="AON42" s="19"/>
      <c r="AOO42" s="19"/>
      <c r="AOP42" s="19"/>
      <c r="AOQ42" s="19"/>
      <c r="AOR42" s="19"/>
      <c r="AOS42" s="19"/>
      <c r="AOT42" s="19"/>
      <c r="AOU42" s="19"/>
      <c r="AOV42" s="19"/>
      <c r="AOW42" s="19"/>
      <c r="AOX42" s="19"/>
      <c r="AOY42" s="19"/>
      <c r="AOZ42" s="19"/>
      <c r="APA42" s="19"/>
      <c r="APB42" s="19"/>
      <c r="APC42" s="19"/>
      <c r="APD42" s="19"/>
      <c r="APE42" s="19"/>
      <c r="APF42" s="19"/>
      <c r="APG42" s="19"/>
      <c r="APH42" s="19"/>
      <c r="API42" s="19"/>
      <c r="APJ42" s="19"/>
      <c r="APK42" s="19"/>
      <c r="APL42" s="19"/>
      <c r="APM42" s="19"/>
      <c r="APN42" s="19"/>
      <c r="APO42" s="19"/>
      <c r="APP42" s="19"/>
      <c r="APQ42" s="19"/>
      <c r="APR42" s="19"/>
      <c r="APS42" s="19"/>
      <c r="APT42" s="19"/>
      <c r="APU42" s="19"/>
      <c r="APV42" s="19"/>
      <c r="APW42" s="19"/>
      <c r="APX42" s="19"/>
      <c r="APY42" s="19"/>
      <c r="APZ42" s="19"/>
      <c r="AQA42" s="19"/>
      <c r="AQB42" s="19"/>
      <c r="AQC42" s="19"/>
      <c r="AQD42" s="19"/>
      <c r="AQE42" s="19"/>
      <c r="AQF42" s="19"/>
      <c r="AQG42" s="19"/>
      <c r="AQH42" s="19"/>
      <c r="AQI42" s="19"/>
      <c r="AQJ42" s="19"/>
      <c r="AQK42" s="19"/>
      <c r="AQL42" s="19"/>
      <c r="AQM42" s="19"/>
      <c r="AQN42" s="19"/>
      <c r="AQO42" s="19"/>
      <c r="AQP42" s="19"/>
      <c r="AQQ42" s="19"/>
      <c r="AQR42" s="19"/>
      <c r="AQS42" s="19"/>
      <c r="AQT42" s="19"/>
      <c r="AQU42" s="19"/>
      <c r="AQV42" s="19"/>
      <c r="AQW42" s="19"/>
      <c r="AQX42" s="19"/>
      <c r="AQY42" s="19"/>
      <c r="AQZ42" s="19"/>
      <c r="ARA42" s="19"/>
      <c r="ARB42" s="19"/>
      <c r="ARC42" s="19"/>
      <c r="ARD42" s="19"/>
      <c r="ARE42" s="19"/>
      <c r="ARF42" s="19"/>
      <c r="ARG42" s="19"/>
      <c r="ARH42" s="19"/>
      <c r="ARI42" s="19"/>
      <c r="ARJ42" s="19"/>
      <c r="ARK42" s="19"/>
      <c r="ARL42" s="19"/>
      <c r="ARM42" s="19"/>
      <c r="ARN42" s="19"/>
      <c r="ARO42" s="19"/>
      <c r="ARP42" s="19"/>
      <c r="ARQ42" s="19"/>
      <c r="ARR42" s="19"/>
      <c r="ARS42" s="19"/>
      <c r="ART42" s="19"/>
      <c r="ARU42" s="19"/>
      <c r="ARV42" s="19"/>
      <c r="ARW42" s="19"/>
      <c r="ARX42" s="19"/>
      <c r="ARY42" s="19"/>
      <c r="ARZ42" s="19"/>
      <c r="ASA42" s="19"/>
      <c r="ASB42" s="19"/>
      <c r="ASC42" s="19"/>
      <c r="ASD42" s="19"/>
      <c r="ASE42" s="19"/>
      <c r="ASF42" s="19"/>
      <c r="ASG42" s="19"/>
      <c r="ASH42" s="19"/>
      <c r="ASI42" s="19"/>
      <c r="ASJ42" s="19"/>
      <c r="ASK42" s="19"/>
      <c r="ASL42" s="19"/>
      <c r="ASM42" s="19"/>
      <c r="ASN42" s="19"/>
      <c r="ASO42" s="19"/>
      <c r="ASP42" s="19"/>
      <c r="ASQ42" s="19"/>
      <c r="ASR42" s="19"/>
      <c r="ASS42" s="19"/>
      <c r="AST42" s="19"/>
      <c r="ASU42" s="19"/>
      <c r="ASV42" s="19"/>
      <c r="ASW42" s="19"/>
      <c r="ASX42" s="19"/>
      <c r="ASY42" s="19"/>
      <c r="ASZ42" s="19"/>
      <c r="ATA42" s="19"/>
      <c r="ATB42" s="19"/>
      <c r="ATC42" s="19"/>
      <c r="ATD42" s="19"/>
      <c r="ATE42" s="19"/>
      <c r="ATF42" s="19"/>
      <c r="ATG42" s="19"/>
      <c r="ATH42" s="19"/>
      <c r="ATI42" s="19"/>
      <c r="ATJ42" s="19"/>
      <c r="ATK42" s="19"/>
      <c r="ATL42" s="19"/>
      <c r="ATM42" s="19"/>
      <c r="ATN42" s="19"/>
      <c r="ATO42" s="19"/>
      <c r="ATP42" s="19"/>
      <c r="ATQ42" s="19"/>
      <c r="ATR42" s="19"/>
      <c r="ATS42" s="19"/>
      <c r="ATT42" s="19"/>
      <c r="ATU42" s="19"/>
      <c r="ATV42" s="19"/>
      <c r="ATW42" s="19"/>
      <c r="ATX42" s="19"/>
      <c r="ATY42" s="19"/>
      <c r="ATZ42" s="19"/>
      <c r="AUA42" s="19"/>
      <c r="AUB42" s="19"/>
      <c r="AUC42" s="19"/>
      <c r="AUD42" s="19"/>
      <c r="AUE42" s="19"/>
      <c r="AUF42" s="19"/>
      <c r="AUG42" s="19"/>
      <c r="AUH42" s="19"/>
      <c r="AUI42" s="19"/>
      <c r="AUJ42" s="19"/>
      <c r="AUK42" s="19"/>
      <c r="AUL42" s="19"/>
      <c r="AUM42" s="19"/>
      <c r="AUN42" s="19"/>
      <c r="AUO42" s="19"/>
      <c r="AUP42" s="19"/>
      <c r="AUQ42" s="19"/>
      <c r="AUR42" s="19"/>
      <c r="AUS42" s="19"/>
      <c r="AUT42" s="19"/>
      <c r="AUU42" s="19"/>
      <c r="AUV42" s="19"/>
      <c r="AUW42" s="19"/>
      <c r="AUX42" s="19"/>
      <c r="AUY42" s="19"/>
      <c r="AUZ42" s="19"/>
      <c r="AVA42" s="19"/>
      <c r="AVB42" s="19"/>
      <c r="AVC42" s="19"/>
      <c r="AVD42" s="19"/>
      <c r="AVE42" s="19"/>
      <c r="AVF42" s="19"/>
      <c r="AVG42" s="19"/>
      <c r="AVH42" s="19"/>
      <c r="AVI42" s="19"/>
      <c r="AVJ42" s="19"/>
      <c r="AVK42" s="19"/>
      <c r="AVL42" s="19"/>
      <c r="AVM42" s="19"/>
      <c r="AVN42" s="19"/>
      <c r="AVO42" s="19"/>
      <c r="AVP42" s="19"/>
      <c r="AVQ42" s="19"/>
      <c r="AVR42" s="19"/>
      <c r="AVS42" s="19"/>
      <c r="AVT42" s="19"/>
      <c r="AVU42" s="19"/>
      <c r="AVV42" s="19"/>
      <c r="AVW42" s="19"/>
      <c r="AVX42" s="19"/>
      <c r="AVY42" s="19"/>
      <c r="AVZ42" s="19"/>
      <c r="AWA42" s="19"/>
      <c r="AWB42" s="19"/>
      <c r="AWC42" s="19"/>
      <c r="AWD42" s="19"/>
      <c r="AWE42" s="19"/>
      <c r="AWF42" s="19"/>
      <c r="AWG42" s="19"/>
      <c r="AWH42" s="19"/>
      <c r="AWI42" s="19"/>
      <c r="AWJ42" s="19"/>
      <c r="AWK42" s="19"/>
      <c r="AWL42" s="19"/>
      <c r="AWM42" s="19"/>
      <c r="AWN42" s="19"/>
      <c r="AWO42" s="19"/>
      <c r="AWP42" s="19"/>
      <c r="AWQ42" s="19"/>
      <c r="AWR42" s="19"/>
      <c r="AWS42" s="19"/>
      <c r="AWT42" s="19"/>
      <c r="AWU42" s="19"/>
      <c r="AWV42" s="19"/>
      <c r="AWW42" s="19"/>
      <c r="AWX42" s="19"/>
      <c r="AWY42" s="19"/>
      <c r="AWZ42" s="19"/>
      <c r="AXA42" s="19"/>
      <c r="AXB42" s="19"/>
      <c r="AXC42" s="19"/>
      <c r="AXD42" s="19"/>
      <c r="AXE42" s="19"/>
      <c r="AXF42" s="19"/>
      <c r="AXG42" s="19"/>
      <c r="AXH42" s="19"/>
      <c r="AXI42" s="19"/>
      <c r="AXJ42" s="19"/>
      <c r="AXK42" s="19"/>
      <c r="AXL42" s="19"/>
      <c r="AXM42" s="19"/>
      <c r="AXN42" s="19"/>
      <c r="AXO42" s="19"/>
      <c r="AXP42" s="19"/>
      <c r="AXQ42" s="19"/>
      <c r="AXR42" s="19"/>
      <c r="AXS42" s="19"/>
      <c r="AXT42" s="19"/>
      <c r="AXU42" s="19"/>
      <c r="AXV42" s="19"/>
      <c r="AXW42" s="19"/>
      <c r="AXX42" s="19"/>
      <c r="AXY42" s="19"/>
      <c r="AXZ42" s="19"/>
      <c r="AYA42" s="19"/>
      <c r="AYB42" s="19"/>
      <c r="AYC42" s="19"/>
      <c r="AYD42" s="19"/>
      <c r="AYE42" s="19"/>
      <c r="AYF42" s="19"/>
      <c r="AYG42" s="19"/>
      <c r="AYH42" s="19"/>
      <c r="AYI42" s="19"/>
      <c r="AYJ42" s="19"/>
      <c r="AYK42" s="19"/>
      <c r="AYL42" s="19"/>
      <c r="AYM42" s="19"/>
      <c r="AYN42" s="19"/>
      <c r="AYO42" s="19"/>
      <c r="AYP42" s="19"/>
      <c r="AYQ42" s="19"/>
      <c r="AYR42" s="19"/>
      <c r="AYS42" s="19"/>
      <c r="AYT42" s="19"/>
      <c r="AYU42" s="19"/>
      <c r="AYV42" s="19"/>
      <c r="AYW42" s="19"/>
      <c r="AYX42" s="19"/>
      <c r="AYY42" s="19"/>
      <c r="AYZ42" s="19"/>
      <c r="AZA42" s="19"/>
      <c r="AZB42" s="19"/>
      <c r="AZC42" s="19"/>
      <c r="AZD42" s="19"/>
      <c r="AZE42" s="19"/>
      <c r="AZF42" s="19"/>
      <c r="AZG42" s="19"/>
      <c r="AZH42" s="19"/>
      <c r="AZI42" s="19"/>
      <c r="AZJ42" s="19"/>
      <c r="AZK42" s="19"/>
      <c r="AZL42" s="19"/>
      <c r="AZM42" s="19"/>
      <c r="AZN42" s="19"/>
      <c r="AZO42" s="19"/>
      <c r="AZP42" s="19"/>
      <c r="AZQ42" s="19"/>
      <c r="AZR42" s="19"/>
      <c r="AZS42" s="19"/>
      <c r="AZT42" s="19"/>
      <c r="AZU42" s="19"/>
      <c r="AZV42" s="19"/>
      <c r="AZW42" s="19"/>
      <c r="AZX42" s="19"/>
      <c r="AZY42" s="19"/>
      <c r="AZZ42" s="19"/>
      <c r="BAA42" s="19"/>
      <c r="BAB42" s="19"/>
      <c r="BAC42" s="19"/>
      <c r="BAD42" s="19"/>
      <c r="BAE42" s="19"/>
      <c r="BAF42" s="19"/>
      <c r="BAG42" s="19"/>
      <c r="BAH42" s="19"/>
      <c r="BAI42" s="19"/>
      <c r="BAJ42" s="19"/>
      <c r="BAK42" s="19"/>
      <c r="BAL42" s="19"/>
      <c r="BAM42" s="19"/>
      <c r="BAN42" s="19"/>
      <c r="BAO42" s="19"/>
      <c r="BAP42" s="19"/>
      <c r="BAQ42" s="19"/>
      <c r="BAR42" s="19"/>
      <c r="BAS42" s="19"/>
      <c r="BAT42" s="19"/>
      <c r="BAU42" s="19"/>
      <c r="BAV42" s="19"/>
      <c r="BAW42" s="19"/>
      <c r="BAX42" s="19"/>
      <c r="BAY42" s="19"/>
      <c r="BAZ42" s="19"/>
      <c r="BBA42" s="19"/>
      <c r="BBB42" s="19"/>
      <c r="BBC42" s="19"/>
      <c r="BBD42" s="19"/>
      <c r="BBE42" s="19"/>
      <c r="BBF42" s="19"/>
      <c r="BBG42" s="19"/>
      <c r="BBH42" s="19"/>
      <c r="BBI42" s="19"/>
      <c r="BBJ42" s="19"/>
      <c r="BBK42" s="19"/>
      <c r="BBL42" s="19"/>
      <c r="BBM42" s="19"/>
      <c r="BBN42" s="19"/>
      <c r="BBO42" s="19"/>
      <c r="BBP42" s="19"/>
      <c r="BBQ42" s="19"/>
      <c r="BBR42" s="19"/>
      <c r="BBS42" s="19"/>
      <c r="BBT42" s="19"/>
      <c r="BBU42" s="19"/>
      <c r="BBV42" s="19"/>
      <c r="BBW42" s="19"/>
      <c r="BBX42" s="19"/>
      <c r="BBY42" s="19"/>
      <c r="BBZ42" s="19"/>
      <c r="BCA42" s="19"/>
      <c r="BCB42" s="19"/>
      <c r="BCC42" s="19"/>
      <c r="BCD42" s="19"/>
      <c r="BCE42" s="19"/>
      <c r="BCF42" s="19"/>
      <c r="BCG42" s="19"/>
      <c r="BCH42" s="19"/>
      <c r="BCI42" s="19"/>
      <c r="BCJ42" s="19"/>
      <c r="BCK42" s="19"/>
      <c r="BCL42" s="19"/>
      <c r="BCM42" s="19"/>
      <c r="BCN42" s="19"/>
      <c r="BCO42" s="19"/>
      <c r="BCP42" s="19"/>
      <c r="BCQ42" s="19"/>
      <c r="BCR42" s="19"/>
      <c r="BCS42" s="19"/>
      <c r="BCT42" s="19"/>
      <c r="BCU42" s="19"/>
      <c r="BCV42" s="19"/>
      <c r="BCW42" s="19"/>
      <c r="BCX42" s="19"/>
      <c r="BCY42" s="19"/>
      <c r="BCZ42" s="19"/>
      <c r="BDA42" s="19"/>
      <c r="BDB42" s="19"/>
      <c r="BDC42" s="19"/>
      <c r="BDD42" s="19"/>
      <c r="BDE42" s="19"/>
      <c r="BDF42" s="19"/>
      <c r="BDG42" s="19"/>
      <c r="BDH42" s="19"/>
      <c r="BDI42" s="19"/>
      <c r="BDJ42" s="19"/>
      <c r="BDK42" s="19"/>
      <c r="BDL42" s="19"/>
      <c r="BDM42" s="19"/>
      <c r="BDN42" s="19"/>
      <c r="BDO42" s="19"/>
      <c r="BDP42" s="19"/>
      <c r="BDQ42" s="19"/>
      <c r="BDR42" s="19"/>
      <c r="BDS42" s="19"/>
      <c r="BDT42" s="19"/>
      <c r="BDU42" s="19"/>
      <c r="BDV42" s="19"/>
      <c r="BDW42" s="19"/>
      <c r="BDX42" s="19"/>
      <c r="BDY42" s="19"/>
      <c r="BDZ42" s="19"/>
      <c r="BEA42" s="19"/>
      <c r="BEB42" s="19"/>
      <c r="BEC42" s="19"/>
      <c r="BED42" s="19"/>
      <c r="BEE42" s="19"/>
      <c r="BEF42" s="19"/>
      <c r="BEG42" s="19"/>
      <c r="BEH42" s="19"/>
      <c r="BEI42" s="19"/>
      <c r="BEJ42" s="19"/>
      <c r="BEK42" s="19"/>
      <c r="BEL42" s="19"/>
      <c r="BEM42" s="19"/>
      <c r="BEN42" s="19"/>
      <c r="BEO42" s="19"/>
      <c r="BEP42" s="19"/>
      <c r="BEQ42" s="19"/>
      <c r="BER42" s="19"/>
      <c r="BES42" s="19"/>
      <c r="BET42" s="19"/>
      <c r="BEU42" s="19"/>
      <c r="BEV42" s="19"/>
      <c r="BEW42" s="19"/>
      <c r="BEX42" s="19"/>
      <c r="BEY42" s="19"/>
      <c r="BEZ42" s="19"/>
      <c r="BFA42" s="19"/>
      <c r="BFB42" s="19"/>
      <c r="BFC42" s="19"/>
      <c r="BFD42" s="19"/>
      <c r="BFE42" s="19"/>
      <c r="BFF42" s="19"/>
      <c r="BFG42" s="19"/>
      <c r="BFH42" s="19"/>
      <c r="BFI42" s="19"/>
      <c r="BFJ42" s="19"/>
      <c r="BFK42" s="19"/>
      <c r="BFL42" s="19"/>
      <c r="BFM42" s="19"/>
      <c r="BFN42" s="19"/>
      <c r="BFO42" s="19"/>
      <c r="BFP42" s="19"/>
      <c r="BFQ42" s="19"/>
      <c r="BFR42" s="19"/>
      <c r="BFS42" s="19"/>
      <c r="BFT42" s="19"/>
      <c r="BFU42" s="19"/>
      <c r="BFV42" s="19"/>
      <c r="BFW42" s="19"/>
      <c r="BFX42" s="19"/>
      <c r="BFY42" s="19"/>
      <c r="BFZ42" s="19"/>
      <c r="BGA42" s="19"/>
      <c r="BGB42" s="19"/>
      <c r="BGC42" s="19"/>
      <c r="BGD42" s="19"/>
      <c r="BGE42" s="19"/>
      <c r="BGF42" s="19"/>
      <c r="BGG42" s="19"/>
      <c r="BGH42" s="19"/>
      <c r="BGI42" s="19"/>
      <c r="BGJ42" s="19"/>
      <c r="BGK42" s="19"/>
      <c r="BGL42" s="19"/>
      <c r="BGM42" s="19"/>
      <c r="BGN42" s="19"/>
      <c r="BGO42" s="19"/>
      <c r="BGP42" s="19"/>
      <c r="BGQ42" s="19"/>
      <c r="BGR42" s="19"/>
      <c r="BGS42" s="19"/>
      <c r="BGT42" s="19"/>
      <c r="BGU42" s="19"/>
      <c r="BGV42" s="19"/>
      <c r="BGW42" s="19"/>
      <c r="BGX42" s="19"/>
      <c r="BGY42" s="19"/>
      <c r="BGZ42" s="19"/>
      <c r="BHA42" s="19"/>
      <c r="BHB42" s="19"/>
      <c r="BHC42" s="19"/>
      <c r="BHD42" s="19"/>
      <c r="BHE42" s="19"/>
      <c r="BHF42" s="19"/>
      <c r="BHG42" s="19"/>
      <c r="BHH42" s="19"/>
      <c r="BHI42" s="19"/>
      <c r="BHJ42" s="19"/>
      <c r="BHK42" s="19"/>
      <c r="BHL42" s="19"/>
      <c r="BHM42" s="19"/>
      <c r="BHN42" s="19"/>
      <c r="BHO42" s="19"/>
      <c r="BHP42" s="19"/>
      <c r="BHQ42" s="19"/>
      <c r="BHR42" s="19"/>
      <c r="BHS42" s="19"/>
      <c r="BHT42" s="19"/>
      <c r="BHU42" s="19"/>
      <c r="BHV42" s="19"/>
      <c r="BHW42" s="19"/>
      <c r="BHX42" s="19"/>
      <c r="BHY42" s="19"/>
      <c r="BHZ42" s="19"/>
      <c r="BIA42" s="19"/>
      <c r="BIB42" s="19"/>
      <c r="BIC42" s="19"/>
      <c r="BID42" s="19"/>
      <c r="BIE42" s="19"/>
      <c r="BIF42" s="19"/>
      <c r="BIG42" s="19"/>
      <c r="BIH42" s="19"/>
      <c r="BII42" s="19"/>
      <c r="BIJ42" s="19"/>
      <c r="BIK42" s="19"/>
      <c r="BIL42" s="19"/>
      <c r="BIM42" s="19"/>
      <c r="BIN42" s="19"/>
      <c r="BIO42" s="19"/>
      <c r="BIP42" s="19"/>
      <c r="BIQ42" s="19"/>
      <c r="BIR42" s="19"/>
      <c r="BIS42" s="19"/>
      <c r="BIT42" s="19"/>
      <c r="BIU42" s="19"/>
      <c r="BIV42" s="19"/>
      <c r="BIW42" s="19"/>
      <c r="BIX42" s="19"/>
      <c r="BIY42" s="19"/>
      <c r="BIZ42" s="19"/>
      <c r="BJA42" s="19"/>
      <c r="BJB42" s="19"/>
      <c r="BJC42" s="19"/>
      <c r="BJD42" s="19"/>
      <c r="BJE42" s="19"/>
      <c r="BJF42" s="19"/>
      <c r="BJG42" s="19"/>
      <c r="BJH42" s="19"/>
      <c r="BJI42" s="19"/>
      <c r="BJJ42" s="19"/>
      <c r="BJK42" s="19"/>
      <c r="BJL42" s="19"/>
      <c r="BJM42" s="19"/>
      <c r="BJN42" s="19"/>
      <c r="BJO42" s="19"/>
      <c r="BJP42" s="19"/>
      <c r="BJQ42" s="19"/>
      <c r="BJR42" s="19"/>
      <c r="BJS42" s="19"/>
      <c r="BJT42" s="19"/>
      <c r="BJU42" s="19"/>
      <c r="BJV42" s="19"/>
      <c r="BJW42" s="19"/>
      <c r="BJX42" s="19"/>
      <c r="BJY42" s="19"/>
      <c r="BJZ42" s="19"/>
      <c r="BKA42" s="19"/>
      <c r="BKB42" s="19"/>
      <c r="BKC42" s="19"/>
      <c r="BKD42" s="19"/>
      <c r="BKE42" s="19"/>
      <c r="BKF42" s="19"/>
      <c r="BKG42" s="19"/>
      <c r="BKH42" s="19"/>
      <c r="BKI42" s="19"/>
      <c r="BKJ42" s="19"/>
      <c r="BKK42" s="19"/>
      <c r="BKL42" s="19"/>
      <c r="BKM42" s="19"/>
      <c r="BKN42" s="19"/>
      <c r="BKO42" s="19"/>
      <c r="BKP42" s="19"/>
      <c r="BKQ42" s="19"/>
      <c r="BKR42" s="19"/>
      <c r="BKS42" s="19"/>
      <c r="BKT42" s="19"/>
      <c r="BKU42" s="19"/>
      <c r="BKV42" s="19"/>
      <c r="BKW42" s="19"/>
      <c r="BKX42" s="19"/>
      <c r="BKY42" s="19"/>
      <c r="BKZ42" s="19"/>
      <c r="BLA42" s="19"/>
      <c r="BLB42" s="19"/>
      <c r="BLC42" s="19"/>
      <c r="BLD42" s="19"/>
      <c r="BLE42" s="19"/>
      <c r="BLF42" s="19"/>
      <c r="BLG42" s="19"/>
      <c r="BLH42" s="19"/>
      <c r="BLI42" s="19"/>
      <c r="BLJ42" s="19"/>
      <c r="BLK42" s="19"/>
      <c r="BLL42" s="19"/>
      <c r="BLM42" s="19"/>
      <c r="BLN42" s="19"/>
      <c r="BLO42" s="19"/>
      <c r="BLP42" s="19"/>
      <c r="BLQ42" s="19"/>
      <c r="BLR42" s="19"/>
      <c r="BLS42" s="19"/>
      <c r="BLT42" s="19"/>
      <c r="BLU42" s="19"/>
      <c r="BLV42" s="19"/>
      <c r="BLW42" s="19"/>
      <c r="BLX42" s="19"/>
      <c r="BLY42" s="19"/>
      <c r="BLZ42" s="19"/>
      <c r="BMA42" s="19"/>
      <c r="BMB42" s="19"/>
      <c r="BMC42" s="19"/>
      <c r="BMD42" s="19"/>
      <c r="BME42" s="19"/>
      <c r="BMF42" s="19"/>
      <c r="BMG42" s="19"/>
      <c r="BMH42" s="19"/>
      <c r="BMI42" s="19"/>
      <c r="BMJ42" s="19"/>
      <c r="BMK42" s="19"/>
      <c r="BML42" s="19"/>
      <c r="BMM42" s="19"/>
      <c r="BMN42" s="19"/>
      <c r="BMO42" s="19"/>
      <c r="BMP42" s="19"/>
      <c r="BMQ42" s="19"/>
      <c r="BMR42" s="19"/>
      <c r="BMS42" s="19"/>
      <c r="BMT42" s="19"/>
      <c r="BMU42" s="19"/>
      <c r="BMV42" s="19"/>
      <c r="BMW42" s="19"/>
      <c r="BMX42" s="19"/>
      <c r="BMY42" s="19"/>
      <c r="BMZ42" s="19"/>
      <c r="BNA42" s="19"/>
      <c r="BNB42" s="19"/>
      <c r="BNC42" s="19"/>
      <c r="BND42" s="19"/>
      <c r="BNE42" s="19"/>
      <c r="BNF42" s="19"/>
      <c r="BNG42" s="19"/>
      <c r="BNH42" s="19"/>
      <c r="BNI42" s="19"/>
      <c r="BNJ42" s="19"/>
      <c r="BNK42" s="19"/>
      <c r="BNL42" s="19"/>
      <c r="BNM42" s="19"/>
      <c r="BNN42" s="19"/>
      <c r="BNO42" s="19"/>
      <c r="BNP42" s="19"/>
      <c r="BNQ42" s="19"/>
      <c r="BNR42" s="19"/>
      <c r="BNS42" s="19"/>
      <c r="BNT42" s="19"/>
      <c r="BNU42" s="19"/>
      <c r="BNV42" s="19"/>
      <c r="BNW42" s="19"/>
      <c r="BNX42" s="19"/>
      <c r="BNY42" s="19"/>
      <c r="BNZ42" s="19"/>
      <c r="BOA42" s="19"/>
      <c r="BOB42" s="19"/>
      <c r="BOC42" s="19"/>
      <c r="BOD42" s="19"/>
      <c r="BOE42" s="19"/>
      <c r="BOF42" s="19"/>
      <c r="BOG42" s="19"/>
      <c r="BOH42" s="19"/>
      <c r="BOI42" s="19"/>
      <c r="BOJ42" s="19"/>
      <c r="BOK42" s="19"/>
      <c r="BOL42" s="19"/>
      <c r="BOM42" s="19"/>
      <c r="BON42" s="19"/>
      <c r="BOO42" s="19"/>
      <c r="BOP42" s="19"/>
      <c r="BOQ42" s="19"/>
      <c r="BOR42" s="19"/>
      <c r="BOS42" s="19"/>
      <c r="BOT42" s="19"/>
      <c r="BOU42" s="19"/>
      <c r="BOV42" s="19"/>
      <c r="BOW42" s="19"/>
      <c r="BOX42" s="19"/>
      <c r="BOY42" s="19"/>
      <c r="BOZ42" s="19"/>
      <c r="BPA42" s="19"/>
      <c r="BPB42" s="19"/>
      <c r="BPC42" s="19"/>
      <c r="BPD42" s="19"/>
      <c r="BPE42" s="19"/>
      <c r="BPF42" s="19"/>
      <c r="BPG42" s="19"/>
      <c r="BPH42" s="19"/>
      <c r="BPI42" s="19"/>
      <c r="BPJ42" s="19"/>
      <c r="BPK42" s="19"/>
      <c r="BPL42" s="19"/>
      <c r="BPM42" s="19"/>
      <c r="BPN42" s="19"/>
      <c r="BPO42" s="19"/>
      <c r="BPP42" s="19"/>
      <c r="BPQ42" s="19"/>
      <c r="BPR42" s="19"/>
      <c r="BPS42" s="19"/>
      <c r="BPT42" s="19"/>
      <c r="BPU42" s="19"/>
      <c r="BPV42" s="19"/>
      <c r="BPW42" s="19"/>
      <c r="BPX42" s="19"/>
      <c r="BPY42" s="19"/>
      <c r="BPZ42" s="19"/>
      <c r="BQA42" s="19"/>
      <c r="BQB42" s="19"/>
      <c r="BQC42" s="19"/>
      <c r="BQD42" s="19"/>
      <c r="BQE42" s="19"/>
      <c r="BQF42" s="19"/>
      <c r="BQG42" s="19"/>
      <c r="BQH42" s="19"/>
      <c r="BQI42" s="19"/>
      <c r="BQJ42" s="19"/>
      <c r="BQK42" s="19"/>
      <c r="BQL42" s="19"/>
      <c r="BQM42" s="19"/>
      <c r="BQN42" s="19"/>
      <c r="BQO42" s="19"/>
      <c r="BQP42" s="19"/>
      <c r="BQQ42" s="19"/>
      <c r="BQR42" s="19"/>
      <c r="BQS42" s="19"/>
      <c r="BQT42" s="19"/>
      <c r="BQU42" s="19"/>
      <c r="BQV42" s="19"/>
      <c r="BQW42" s="19"/>
      <c r="BQX42" s="19"/>
      <c r="BQY42" s="19"/>
      <c r="BQZ42" s="19"/>
      <c r="BRA42" s="19"/>
      <c r="BRB42" s="19"/>
      <c r="BRC42" s="19"/>
      <c r="BRD42" s="19"/>
      <c r="BRE42" s="19"/>
      <c r="BRF42" s="19"/>
      <c r="BRG42" s="19"/>
      <c r="BRH42" s="19"/>
      <c r="BRI42" s="19"/>
      <c r="BRJ42" s="19"/>
      <c r="BRK42" s="19"/>
      <c r="BRL42" s="19"/>
      <c r="BRM42" s="19"/>
      <c r="BRN42" s="19"/>
      <c r="BRO42" s="19"/>
      <c r="BRP42" s="19"/>
      <c r="BRQ42" s="19"/>
      <c r="BRR42" s="19"/>
      <c r="BRS42" s="19"/>
      <c r="BRT42" s="19"/>
      <c r="BRU42" s="19"/>
      <c r="BRV42" s="19"/>
      <c r="BRW42" s="19"/>
      <c r="BRX42" s="19"/>
      <c r="BRY42" s="19"/>
      <c r="BRZ42" s="19"/>
      <c r="BSA42" s="19"/>
      <c r="BSB42" s="19"/>
      <c r="BSC42" s="19"/>
      <c r="BSD42" s="19"/>
      <c r="BSE42" s="19"/>
      <c r="BSF42" s="19"/>
      <c r="BSG42" s="19"/>
      <c r="BSH42" s="19"/>
      <c r="BSI42" s="19"/>
      <c r="BSJ42" s="19"/>
      <c r="BSK42" s="19"/>
      <c r="BSL42" s="19"/>
      <c r="BSM42" s="19"/>
      <c r="BSN42" s="19"/>
      <c r="BSO42" s="19"/>
      <c r="BSP42" s="19"/>
      <c r="BSQ42" s="19"/>
      <c r="BSR42" s="19"/>
      <c r="BSS42" s="19"/>
      <c r="BST42" s="19"/>
      <c r="BSU42" s="19"/>
      <c r="BSV42" s="19"/>
      <c r="BSW42" s="19"/>
      <c r="BSX42" s="19"/>
      <c r="BSY42" s="19"/>
      <c r="BSZ42" s="19"/>
      <c r="BTA42" s="19"/>
      <c r="BTB42" s="19"/>
      <c r="BTC42" s="19"/>
      <c r="BTD42" s="19"/>
      <c r="BTE42" s="19"/>
      <c r="BTF42" s="19"/>
      <c r="BTG42" s="19"/>
      <c r="BTH42" s="19"/>
      <c r="BTI42" s="19"/>
      <c r="BTJ42" s="19"/>
      <c r="BTK42" s="19"/>
      <c r="BTL42" s="19"/>
      <c r="BTM42" s="19"/>
      <c r="BTN42" s="19"/>
      <c r="BTO42" s="19"/>
      <c r="BTP42" s="19"/>
      <c r="BTQ42" s="19"/>
      <c r="BTR42" s="19"/>
      <c r="BTS42" s="19"/>
      <c r="BTT42" s="19"/>
      <c r="BTU42" s="19"/>
      <c r="BTV42" s="19"/>
      <c r="BTW42" s="19"/>
      <c r="BTX42" s="19"/>
      <c r="BTY42" s="19"/>
      <c r="BTZ42" s="19"/>
      <c r="BUA42" s="19"/>
      <c r="BUB42" s="19"/>
      <c r="BUC42" s="19"/>
      <c r="BUD42" s="19"/>
      <c r="BUE42" s="19"/>
      <c r="BUF42" s="19"/>
      <c r="BUG42" s="19"/>
      <c r="BUH42" s="19"/>
      <c r="BUI42" s="19"/>
      <c r="BUJ42" s="19"/>
      <c r="BUK42" s="19"/>
      <c r="BUL42" s="19"/>
      <c r="BUM42" s="19"/>
      <c r="BUN42" s="19"/>
      <c r="BUO42" s="19"/>
      <c r="BUP42" s="19"/>
      <c r="BUQ42" s="19"/>
      <c r="BUR42" s="19"/>
      <c r="BUS42" s="19"/>
      <c r="BUT42" s="19"/>
      <c r="BUU42" s="19"/>
      <c r="BUV42" s="19"/>
      <c r="BUW42" s="19"/>
      <c r="BUX42" s="19"/>
      <c r="BUY42" s="19"/>
      <c r="BUZ42" s="19"/>
      <c r="BVA42" s="19"/>
      <c r="BVB42" s="19"/>
      <c r="BVC42" s="19"/>
      <c r="BVD42" s="19"/>
      <c r="BVE42" s="19"/>
      <c r="BVF42" s="19"/>
      <c r="BVG42" s="19"/>
      <c r="BVH42" s="19"/>
      <c r="BVI42" s="19"/>
      <c r="BVJ42" s="19"/>
      <c r="BVK42" s="19"/>
      <c r="BVL42" s="19"/>
      <c r="BVM42" s="19"/>
      <c r="BVN42" s="19"/>
      <c r="BVO42" s="19"/>
      <c r="BVP42" s="19"/>
      <c r="BVQ42" s="19"/>
      <c r="BVR42" s="19"/>
      <c r="BVS42" s="19"/>
      <c r="BVT42" s="19"/>
      <c r="BVU42" s="19"/>
      <c r="BVV42" s="19"/>
      <c r="BVW42" s="19"/>
      <c r="BVX42" s="19"/>
      <c r="BVY42" s="19"/>
      <c r="BVZ42" s="19"/>
      <c r="BWA42" s="19"/>
      <c r="BWB42" s="19"/>
      <c r="BWC42" s="19"/>
      <c r="BWD42" s="19"/>
      <c r="BWE42" s="19"/>
      <c r="BWF42" s="19"/>
      <c r="BWG42" s="19"/>
      <c r="BWH42" s="19"/>
      <c r="BWI42" s="19"/>
      <c r="BWJ42" s="19"/>
      <c r="BWK42" s="19"/>
      <c r="BWL42" s="19"/>
      <c r="BWM42" s="19"/>
      <c r="BWN42" s="19"/>
      <c r="BWO42" s="19"/>
      <c r="BWP42" s="19"/>
      <c r="BWQ42" s="19"/>
      <c r="BWR42" s="19"/>
      <c r="BWS42" s="19"/>
      <c r="BWT42" s="19"/>
      <c r="BWU42" s="19"/>
      <c r="BWV42" s="19"/>
      <c r="BWW42" s="19"/>
      <c r="BWX42" s="19"/>
      <c r="BWY42" s="19"/>
      <c r="BWZ42" s="19"/>
      <c r="BXA42" s="19"/>
      <c r="BXB42" s="19"/>
      <c r="BXC42" s="19"/>
      <c r="BXD42" s="19"/>
      <c r="BXE42" s="19"/>
      <c r="BXF42" s="19"/>
      <c r="BXG42" s="19"/>
      <c r="BXH42" s="19"/>
      <c r="BXI42" s="19"/>
      <c r="BXJ42" s="19"/>
      <c r="BXK42" s="19"/>
      <c r="BXL42" s="19"/>
      <c r="BXM42" s="19"/>
      <c r="BXN42" s="19"/>
      <c r="BXO42" s="19"/>
      <c r="BXP42" s="19"/>
      <c r="BXQ42" s="19"/>
      <c r="BXR42" s="19"/>
      <c r="BXS42" s="19"/>
      <c r="BXT42" s="19"/>
      <c r="BXU42" s="19"/>
      <c r="BXV42" s="19"/>
      <c r="BXW42" s="19"/>
      <c r="BXX42" s="19"/>
      <c r="BXY42" s="19"/>
      <c r="BXZ42" s="19"/>
      <c r="BYA42" s="19"/>
      <c r="BYB42" s="19"/>
      <c r="BYC42" s="19"/>
      <c r="BYD42" s="19"/>
      <c r="BYE42" s="19"/>
      <c r="BYF42" s="19"/>
      <c r="BYG42" s="19"/>
      <c r="BYH42" s="19"/>
      <c r="BYI42" s="19"/>
      <c r="BYJ42" s="19"/>
      <c r="BYK42" s="19"/>
      <c r="BYL42" s="19"/>
      <c r="BYM42" s="19"/>
      <c r="BYN42" s="19"/>
      <c r="BYO42" s="19"/>
      <c r="BYP42" s="19"/>
      <c r="BYQ42" s="19"/>
      <c r="BYR42" s="19"/>
      <c r="BYS42" s="19"/>
      <c r="BYT42" s="19"/>
      <c r="BYU42" s="19"/>
      <c r="BYV42" s="19"/>
      <c r="BYW42" s="19"/>
      <c r="BYX42" s="19"/>
      <c r="BYY42" s="19"/>
      <c r="BYZ42" s="19"/>
      <c r="BZA42" s="19"/>
      <c r="BZB42" s="19"/>
      <c r="BZC42" s="19"/>
      <c r="BZD42" s="19"/>
      <c r="BZE42" s="19"/>
      <c r="BZF42" s="19"/>
      <c r="BZG42" s="19"/>
      <c r="BZH42" s="19"/>
      <c r="BZI42" s="19"/>
      <c r="BZJ42" s="19"/>
      <c r="BZK42" s="19"/>
      <c r="BZL42" s="19"/>
      <c r="BZM42" s="19"/>
      <c r="BZN42" s="19"/>
      <c r="BZO42" s="19"/>
      <c r="BZP42" s="19"/>
      <c r="BZQ42" s="19"/>
      <c r="BZR42" s="19"/>
      <c r="BZS42" s="19"/>
      <c r="BZT42" s="19"/>
      <c r="BZU42" s="19"/>
      <c r="BZV42" s="19"/>
      <c r="BZW42" s="19"/>
      <c r="BZX42" s="19"/>
      <c r="BZY42" s="19"/>
      <c r="BZZ42" s="19"/>
      <c r="CAA42" s="19"/>
      <c r="CAB42" s="19"/>
      <c r="CAC42" s="19"/>
      <c r="CAD42" s="19"/>
      <c r="CAE42" s="19"/>
      <c r="CAF42" s="19"/>
      <c r="CAG42" s="19"/>
      <c r="CAH42" s="19"/>
      <c r="CAI42" s="19"/>
      <c r="CAJ42" s="19"/>
      <c r="CAK42" s="19"/>
      <c r="CAL42" s="19"/>
      <c r="CAM42" s="19"/>
      <c r="CAN42" s="19"/>
      <c r="CAO42" s="19"/>
      <c r="CAP42" s="19"/>
      <c r="CAQ42" s="19"/>
      <c r="CAR42" s="19"/>
      <c r="CAS42" s="19"/>
      <c r="CAT42" s="19"/>
      <c r="CAU42" s="19"/>
      <c r="CAV42" s="19"/>
      <c r="CAW42" s="19"/>
      <c r="CAX42" s="19"/>
      <c r="CAY42" s="19"/>
      <c r="CAZ42" s="19"/>
      <c r="CBA42" s="19"/>
      <c r="CBB42" s="19"/>
      <c r="CBC42" s="19"/>
      <c r="CBD42" s="19"/>
      <c r="CBE42" s="19"/>
      <c r="CBF42" s="19"/>
      <c r="CBG42" s="19"/>
      <c r="CBH42" s="19"/>
      <c r="CBI42" s="19"/>
      <c r="CBJ42" s="19"/>
      <c r="CBK42" s="19"/>
      <c r="CBL42" s="19"/>
      <c r="CBM42" s="19"/>
      <c r="CBN42" s="19"/>
      <c r="CBO42" s="19"/>
      <c r="CBP42" s="19"/>
      <c r="CBQ42" s="19"/>
      <c r="CBR42" s="19"/>
      <c r="CBS42" s="19"/>
      <c r="CBT42" s="19"/>
      <c r="CBU42" s="19"/>
      <c r="CBV42" s="19"/>
      <c r="CBW42" s="19"/>
      <c r="CBX42" s="19"/>
      <c r="CBY42" s="19"/>
      <c r="CBZ42" s="19"/>
      <c r="CCA42" s="19"/>
      <c r="CCB42" s="19"/>
      <c r="CCC42" s="19"/>
      <c r="CCD42" s="19"/>
      <c r="CCE42" s="19"/>
      <c r="CCF42" s="19"/>
      <c r="CCG42" s="19"/>
      <c r="CCH42" s="19"/>
      <c r="CCI42" s="19"/>
      <c r="CCJ42" s="19"/>
      <c r="CCK42" s="19"/>
      <c r="CCL42" s="19"/>
      <c r="CCM42" s="19"/>
      <c r="CCN42" s="19"/>
      <c r="CCO42" s="19"/>
      <c r="CCP42" s="19"/>
      <c r="CCQ42" s="19"/>
      <c r="CCR42" s="19"/>
      <c r="CCS42" s="19"/>
      <c r="CCT42" s="19"/>
      <c r="CCU42" s="19"/>
      <c r="CCV42" s="19"/>
      <c r="CCW42" s="19"/>
      <c r="CCX42" s="19"/>
      <c r="CCY42" s="19"/>
      <c r="CCZ42" s="19"/>
      <c r="CDA42" s="19"/>
      <c r="CDB42" s="19"/>
      <c r="CDC42" s="19"/>
      <c r="CDD42" s="19"/>
      <c r="CDE42" s="19"/>
      <c r="CDF42" s="19"/>
      <c r="CDG42" s="19"/>
      <c r="CDH42" s="19"/>
      <c r="CDI42" s="19"/>
      <c r="CDJ42" s="19"/>
      <c r="CDK42" s="19"/>
      <c r="CDL42" s="19"/>
      <c r="CDM42" s="19"/>
      <c r="CDN42" s="19"/>
      <c r="CDO42" s="19"/>
      <c r="CDP42" s="19"/>
      <c r="CDQ42" s="19"/>
      <c r="CDR42" s="19"/>
      <c r="CDS42" s="19"/>
      <c r="CDT42" s="19"/>
      <c r="CDU42" s="19"/>
      <c r="CDV42" s="19"/>
      <c r="CDW42" s="19"/>
      <c r="CDX42" s="19"/>
      <c r="CDY42" s="19"/>
      <c r="CDZ42" s="19"/>
      <c r="CEA42" s="19"/>
      <c r="CEB42" s="19"/>
      <c r="CEC42" s="19"/>
      <c r="CED42" s="19"/>
      <c r="CEE42" s="19"/>
      <c r="CEF42" s="19"/>
      <c r="CEG42" s="19"/>
      <c r="CEH42" s="19"/>
      <c r="CEI42" s="19"/>
      <c r="CEJ42" s="19"/>
      <c r="CEK42" s="19"/>
      <c r="CEL42" s="19"/>
      <c r="CEM42" s="19"/>
      <c r="CEN42" s="19"/>
      <c r="CEO42" s="19"/>
      <c r="CEP42" s="19"/>
      <c r="CEQ42" s="19"/>
      <c r="CER42" s="19"/>
      <c r="CES42" s="19"/>
      <c r="CET42" s="19"/>
      <c r="CEU42" s="19"/>
      <c r="CEV42" s="19"/>
      <c r="CEW42" s="19"/>
      <c r="CEX42" s="19"/>
      <c r="CEY42" s="19"/>
      <c r="CEZ42" s="19"/>
      <c r="CFA42" s="19"/>
      <c r="CFB42" s="19"/>
      <c r="CFC42" s="19"/>
      <c r="CFD42" s="19"/>
      <c r="CFE42" s="19"/>
      <c r="CFF42" s="19"/>
      <c r="CFG42" s="19"/>
      <c r="CFH42" s="19"/>
      <c r="CFI42" s="19"/>
      <c r="CFJ42" s="19"/>
      <c r="CFK42" s="19"/>
      <c r="CFL42" s="19"/>
      <c r="CFM42" s="19"/>
      <c r="CFN42" s="19"/>
      <c r="CFO42" s="19"/>
      <c r="CFP42" s="19"/>
      <c r="CFQ42" s="19"/>
      <c r="CFR42" s="19"/>
      <c r="CFS42" s="19"/>
      <c r="CFT42" s="19"/>
      <c r="CFU42" s="19"/>
      <c r="CFV42" s="19"/>
      <c r="CFW42" s="19"/>
      <c r="CFX42" s="19"/>
      <c r="CFY42" s="19"/>
      <c r="CFZ42" s="19"/>
      <c r="CGA42" s="19"/>
      <c r="CGB42" s="19"/>
      <c r="CGC42" s="19"/>
      <c r="CGD42" s="19"/>
      <c r="CGE42" s="19"/>
      <c r="CGF42" s="19"/>
      <c r="CGG42" s="19"/>
      <c r="CGH42" s="19"/>
      <c r="CGI42" s="19"/>
      <c r="CGJ42" s="19"/>
      <c r="CGK42" s="19"/>
      <c r="CGL42" s="19"/>
      <c r="CGM42" s="19"/>
      <c r="CGN42" s="19"/>
      <c r="CGO42" s="19"/>
      <c r="CGP42" s="19"/>
      <c r="CGQ42" s="19"/>
      <c r="CGR42" s="19"/>
      <c r="CGS42" s="19"/>
      <c r="CGT42" s="19"/>
      <c r="CGU42" s="19"/>
      <c r="CGV42" s="19"/>
      <c r="CGW42" s="19"/>
      <c r="CGX42" s="19"/>
      <c r="CGY42" s="19"/>
      <c r="CGZ42" s="19"/>
      <c r="CHA42" s="19"/>
      <c r="CHB42" s="19"/>
      <c r="CHC42" s="19"/>
      <c r="CHD42" s="19"/>
      <c r="CHE42" s="19"/>
      <c r="CHF42" s="19"/>
      <c r="CHG42" s="19"/>
      <c r="CHH42" s="19"/>
      <c r="CHI42" s="19"/>
      <c r="CHJ42" s="19"/>
      <c r="CHK42" s="19"/>
      <c r="CHL42" s="19"/>
      <c r="CHM42" s="19"/>
      <c r="CHN42" s="19"/>
      <c r="CHO42" s="19"/>
      <c r="CHP42" s="19"/>
      <c r="CHQ42" s="19"/>
      <c r="CHR42" s="19"/>
      <c r="CHS42" s="19"/>
      <c r="CHT42" s="19"/>
      <c r="CHU42" s="19"/>
      <c r="CHV42" s="19"/>
      <c r="CHW42" s="19"/>
      <c r="CHX42" s="19"/>
      <c r="CHY42" s="19"/>
      <c r="CHZ42" s="19"/>
      <c r="CIA42" s="19"/>
      <c r="CIB42" s="19"/>
      <c r="CIC42" s="19"/>
      <c r="CID42" s="19"/>
      <c r="CIE42" s="19"/>
      <c r="CIF42" s="19"/>
      <c r="CIG42" s="19"/>
      <c r="CIH42" s="19"/>
      <c r="CII42" s="19"/>
      <c r="CIJ42" s="19"/>
      <c r="CIK42" s="19"/>
      <c r="CIL42" s="19"/>
      <c r="CIM42" s="19"/>
      <c r="CIN42" s="19"/>
      <c r="CIO42" s="19"/>
      <c r="CIP42" s="19"/>
      <c r="CIQ42" s="19"/>
      <c r="CIR42" s="19"/>
      <c r="CIS42" s="19"/>
      <c r="CIT42" s="19"/>
      <c r="CIU42" s="19"/>
      <c r="CIV42" s="19"/>
      <c r="CIW42" s="19"/>
      <c r="CIX42" s="19"/>
      <c r="CIY42" s="19"/>
      <c r="CIZ42" s="19"/>
      <c r="CJA42" s="19"/>
      <c r="CJB42" s="19"/>
      <c r="CJC42" s="19"/>
      <c r="CJD42" s="19"/>
      <c r="CJE42" s="19"/>
      <c r="CJF42" s="19"/>
      <c r="CJG42" s="19"/>
      <c r="CJH42" s="19"/>
      <c r="CJI42" s="19"/>
      <c r="CJJ42" s="19"/>
      <c r="CJK42" s="19"/>
      <c r="CJL42" s="19"/>
      <c r="CJM42" s="19"/>
      <c r="CJN42" s="19"/>
      <c r="CJO42" s="19"/>
      <c r="CJP42" s="19"/>
      <c r="CJQ42" s="19"/>
      <c r="CJR42" s="19"/>
      <c r="CJS42" s="19"/>
      <c r="CJT42" s="19"/>
      <c r="CJU42" s="19"/>
      <c r="CJV42" s="19"/>
      <c r="CJW42" s="19"/>
      <c r="CJX42" s="19"/>
      <c r="CJY42" s="19"/>
      <c r="CJZ42" s="19"/>
      <c r="CKA42" s="19"/>
      <c r="CKB42" s="19"/>
      <c r="CKC42" s="19"/>
      <c r="CKD42" s="19"/>
      <c r="CKE42" s="19"/>
      <c r="CKF42" s="19"/>
      <c r="CKG42" s="19"/>
      <c r="CKH42" s="19"/>
      <c r="CKI42" s="19"/>
      <c r="CKJ42" s="19"/>
      <c r="CKK42" s="19"/>
      <c r="CKL42" s="19"/>
      <c r="CKM42" s="19"/>
      <c r="CKN42" s="19"/>
      <c r="CKO42" s="19"/>
      <c r="CKP42" s="19"/>
      <c r="CKQ42" s="19"/>
      <c r="CKR42" s="19"/>
      <c r="CKS42" s="19"/>
      <c r="CKT42" s="19"/>
      <c r="CKU42" s="19"/>
      <c r="CKV42" s="19"/>
      <c r="CKW42" s="19"/>
      <c r="CKX42" s="19"/>
      <c r="CKY42" s="19"/>
      <c r="CKZ42" s="19"/>
      <c r="CLA42" s="19"/>
      <c r="CLB42" s="19"/>
      <c r="CLC42" s="19"/>
      <c r="CLD42" s="19"/>
      <c r="CLE42" s="19"/>
      <c r="CLF42" s="19"/>
      <c r="CLG42" s="19"/>
      <c r="CLH42" s="19"/>
      <c r="CLI42" s="19"/>
      <c r="CLJ42" s="19"/>
      <c r="CLK42" s="19"/>
      <c r="CLL42" s="19"/>
      <c r="CLM42" s="19"/>
      <c r="CLN42" s="19"/>
      <c r="CLO42" s="19"/>
      <c r="CLP42" s="19"/>
      <c r="CLQ42" s="19"/>
      <c r="CLR42" s="19"/>
      <c r="CLS42" s="19"/>
      <c r="CLT42" s="19"/>
      <c r="CLU42" s="19"/>
      <c r="CLV42" s="19"/>
      <c r="CLW42" s="19"/>
      <c r="CLX42" s="19"/>
      <c r="CLY42" s="19"/>
      <c r="CLZ42" s="19"/>
      <c r="CMA42" s="19"/>
      <c r="CMB42" s="19"/>
      <c r="CMC42" s="19"/>
      <c r="CMD42" s="19"/>
      <c r="CME42" s="19"/>
      <c r="CMF42" s="19"/>
      <c r="CMG42" s="19"/>
      <c r="CMH42" s="19"/>
      <c r="CMI42" s="19"/>
      <c r="CMJ42" s="19"/>
      <c r="CMK42" s="19"/>
      <c r="CML42" s="19"/>
      <c r="CMM42" s="19"/>
      <c r="CMN42" s="19"/>
      <c r="CMO42" s="19"/>
      <c r="CMP42" s="19"/>
      <c r="CMQ42" s="19"/>
      <c r="CMR42" s="19"/>
      <c r="CMS42" s="19"/>
      <c r="CMT42" s="19"/>
      <c r="CMU42" s="19"/>
      <c r="CMV42" s="19"/>
      <c r="CMW42" s="19"/>
      <c r="CMX42" s="19"/>
      <c r="CMY42" s="19"/>
      <c r="CMZ42" s="19"/>
      <c r="CNA42" s="19"/>
      <c r="CNB42" s="19"/>
      <c r="CNC42" s="19"/>
      <c r="CND42" s="19"/>
      <c r="CNE42" s="19"/>
      <c r="CNF42" s="19"/>
      <c r="CNG42" s="19"/>
      <c r="CNH42" s="19"/>
      <c r="CNI42" s="19"/>
      <c r="CNJ42" s="19"/>
      <c r="CNK42" s="19"/>
      <c r="CNL42" s="19"/>
      <c r="CNM42" s="19"/>
      <c r="CNN42" s="19"/>
      <c r="CNO42" s="19"/>
      <c r="CNP42" s="19"/>
      <c r="CNQ42" s="19"/>
      <c r="CNR42" s="19"/>
      <c r="CNS42" s="19"/>
      <c r="CNT42" s="19"/>
      <c r="CNU42" s="19"/>
      <c r="CNV42" s="19"/>
      <c r="CNW42" s="19"/>
      <c r="CNX42" s="19"/>
      <c r="CNY42" s="19"/>
      <c r="CNZ42" s="19"/>
      <c r="COA42" s="19"/>
      <c r="COB42" s="19"/>
      <c r="COC42" s="19"/>
      <c r="COD42" s="19"/>
      <c r="COE42" s="19"/>
      <c r="COF42" s="19"/>
      <c r="COG42" s="19"/>
      <c r="COH42" s="19"/>
      <c r="COI42" s="19"/>
      <c r="COJ42" s="19"/>
      <c r="COK42" s="19"/>
      <c r="COL42" s="19"/>
      <c r="COM42" s="19"/>
      <c r="CON42" s="19"/>
      <c r="COO42" s="19"/>
      <c r="COP42" s="19"/>
      <c r="COQ42" s="19"/>
      <c r="COR42" s="19"/>
      <c r="COS42" s="19"/>
      <c r="COT42" s="19"/>
      <c r="COU42" s="19"/>
      <c r="COV42" s="19"/>
      <c r="COW42" s="19"/>
      <c r="COX42" s="19"/>
      <c r="COY42" s="19"/>
      <c r="COZ42" s="19"/>
      <c r="CPA42" s="19"/>
      <c r="CPB42" s="19"/>
      <c r="CPC42" s="19"/>
      <c r="CPD42" s="19"/>
      <c r="CPE42" s="19"/>
      <c r="CPF42" s="19"/>
      <c r="CPG42" s="19"/>
      <c r="CPH42" s="19"/>
      <c r="CPI42" s="19"/>
      <c r="CPJ42" s="19"/>
      <c r="CPK42" s="19"/>
      <c r="CPL42" s="19"/>
      <c r="CPM42" s="19"/>
      <c r="CPN42" s="19"/>
      <c r="CPO42" s="19"/>
      <c r="CPP42" s="19"/>
      <c r="CPQ42" s="19"/>
      <c r="CPR42" s="19"/>
      <c r="CPS42" s="19"/>
      <c r="CPT42" s="19"/>
      <c r="CPU42" s="19"/>
      <c r="CPV42" s="19"/>
      <c r="CPW42" s="19"/>
      <c r="CPX42" s="19"/>
      <c r="CPY42" s="19"/>
      <c r="CPZ42" s="19"/>
      <c r="CQA42" s="19"/>
      <c r="CQB42" s="19"/>
      <c r="CQC42" s="19"/>
      <c r="CQD42" s="19"/>
      <c r="CQE42" s="19"/>
      <c r="CQF42" s="19"/>
      <c r="CQG42" s="19"/>
      <c r="CQH42" s="19"/>
      <c r="CQI42" s="19"/>
      <c r="CQJ42" s="19"/>
      <c r="CQK42" s="19"/>
      <c r="CQL42" s="19"/>
      <c r="CQM42" s="19"/>
      <c r="CQN42" s="19"/>
      <c r="CQO42" s="19"/>
      <c r="CQP42" s="19"/>
      <c r="CQQ42" s="19"/>
      <c r="CQR42" s="19"/>
      <c r="CQS42" s="19"/>
      <c r="CQT42" s="19"/>
      <c r="CQU42" s="19"/>
      <c r="CQV42" s="19"/>
      <c r="CQW42" s="19"/>
      <c r="CQX42" s="19"/>
      <c r="CQY42" s="19"/>
      <c r="CQZ42" s="19"/>
      <c r="CRA42" s="19"/>
      <c r="CRB42" s="19"/>
      <c r="CRC42" s="19"/>
      <c r="CRD42" s="19"/>
      <c r="CRE42" s="19"/>
      <c r="CRF42" s="19"/>
      <c r="CRG42" s="19"/>
      <c r="CRH42" s="19"/>
      <c r="CRI42" s="19"/>
      <c r="CRJ42" s="19"/>
      <c r="CRK42" s="19"/>
      <c r="CRL42" s="19"/>
      <c r="CRM42" s="19"/>
      <c r="CRN42" s="19"/>
      <c r="CRO42" s="19"/>
      <c r="CRP42" s="19"/>
      <c r="CRQ42" s="19"/>
      <c r="CRR42" s="19"/>
      <c r="CRS42" s="19"/>
      <c r="CRT42" s="19"/>
      <c r="CRU42" s="19"/>
      <c r="CRV42" s="19"/>
      <c r="CRW42" s="19"/>
      <c r="CRX42" s="19"/>
      <c r="CRY42" s="19"/>
      <c r="CRZ42" s="19"/>
      <c r="CSA42" s="19"/>
      <c r="CSB42" s="19"/>
      <c r="CSC42" s="19"/>
      <c r="CSD42" s="19"/>
      <c r="CSE42" s="19"/>
      <c r="CSF42" s="19"/>
      <c r="CSG42" s="19"/>
      <c r="CSH42" s="19"/>
      <c r="CSI42" s="19"/>
      <c r="CSJ42" s="19"/>
      <c r="CSK42" s="19"/>
      <c r="CSL42" s="19"/>
      <c r="CSM42" s="19"/>
      <c r="CSN42" s="19"/>
      <c r="CSO42" s="19"/>
      <c r="CSP42" s="19"/>
      <c r="CSQ42" s="19"/>
      <c r="CSR42" s="19"/>
      <c r="CSS42" s="19"/>
      <c r="CST42" s="19"/>
      <c r="CSU42" s="19"/>
      <c r="CSV42" s="19"/>
      <c r="CSW42" s="19"/>
      <c r="CSX42" s="19"/>
      <c r="CSY42" s="19"/>
      <c r="CSZ42" s="19"/>
      <c r="CTA42" s="19"/>
      <c r="CTB42" s="19"/>
      <c r="CTC42" s="19"/>
      <c r="CTD42" s="19"/>
      <c r="CTE42" s="19"/>
      <c r="CTF42" s="19"/>
      <c r="CTG42" s="19"/>
      <c r="CTH42" s="19"/>
      <c r="CTI42" s="19"/>
      <c r="CTJ42" s="19"/>
      <c r="CTK42" s="19"/>
      <c r="CTL42" s="19"/>
      <c r="CTM42" s="19"/>
      <c r="CTN42" s="19"/>
      <c r="CTO42" s="19"/>
      <c r="CTP42" s="19"/>
      <c r="CTQ42" s="19"/>
      <c r="CTR42" s="19"/>
      <c r="CTS42" s="19"/>
      <c r="CTT42" s="19"/>
      <c r="CTU42" s="19"/>
      <c r="CTV42" s="19"/>
      <c r="CTW42" s="19"/>
      <c r="CTX42" s="19"/>
      <c r="CTY42" s="19"/>
      <c r="CTZ42" s="19"/>
      <c r="CUA42" s="19"/>
      <c r="CUB42" s="19"/>
      <c r="CUC42" s="19"/>
      <c r="CUD42" s="19"/>
      <c r="CUE42" s="19"/>
      <c r="CUF42" s="19"/>
      <c r="CUG42" s="19"/>
      <c r="CUH42" s="19"/>
      <c r="CUI42" s="19"/>
      <c r="CUJ42" s="19"/>
      <c r="CUK42" s="19"/>
      <c r="CUL42" s="19"/>
      <c r="CUM42" s="19"/>
      <c r="CUN42" s="19"/>
      <c r="CUO42" s="19"/>
      <c r="CUP42" s="19"/>
      <c r="CUQ42" s="19"/>
      <c r="CUR42" s="19"/>
      <c r="CUS42" s="19"/>
      <c r="CUT42" s="19"/>
      <c r="CUU42" s="19"/>
      <c r="CUV42" s="19"/>
      <c r="CUW42" s="19"/>
      <c r="CUX42" s="19"/>
      <c r="CUY42" s="19"/>
      <c r="CUZ42" s="19"/>
      <c r="CVA42" s="19"/>
      <c r="CVB42" s="19"/>
      <c r="CVC42" s="19"/>
      <c r="CVD42" s="19"/>
      <c r="CVE42" s="19"/>
      <c r="CVF42" s="19"/>
      <c r="CVG42" s="19"/>
      <c r="CVH42" s="19"/>
      <c r="CVI42" s="19"/>
      <c r="CVJ42" s="19"/>
      <c r="CVK42" s="19"/>
      <c r="CVL42" s="19"/>
      <c r="CVM42" s="19"/>
      <c r="CVN42" s="19"/>
      <c r="CVO42" s="19"/>
      <c r="CVP42" s="19"/>
      <c r="CVQ42" s="19"/>
      <c r="CVR42" s="19"/>
      <c r="CVS42" s="19"/>
      <c r="CVT42" s="19"/>
      <c r="CVU42" s="19"/>
      <c r="CVV42" s="19"/>
      <c r="CVW42" s="19"/>
      <c r="CVX42" s="19"/>
      <c r="CVY42" s="19"/>
      <c r="CVZ42" s="19"/>
      <c r="CWA42" s="19"/>
      <c r="CWB42" s="19"/>
      <c r="CWC42" s="19"/>
      <c r="CWD42" s="19"/>
      <c r="CWE42" s="19"/>
      <c r="CWF42" s="19"/>
      <c r="CWG42" s="19"/>
      <c r="CWH42" s="19"/>
      <c r="CWI42" s="19"/>
      <c r="CWJ42" s="19"/>
      <c r="CWK42" s="19"/>
      <c r="CWL42" s="19"/>
      <c r="CWM42" s="19"/>
      <c r="CWN42" s="19"/>
      <c r="CWO42" s="19"/>
      <c r="CWP42" s="19"/>
      <c r="CWQ42" s="19"/>
      <c r="CWR42" s="19"/>
      <c r="CWS42" s="19"/>
      <c r="CWT42" s="19"/>
      <c r="CWU42" s="19"/>
      <c r="CWV42" s="19"/>
      <c r="CWW42" s="19"/>
      <c r="CWX42" s="19"/>
      <c r="CWY42" s="19"/>
      <c r="CWZ42" s="19"/>
      <c r="CXA42" s="19"/>
      <c r="CXB42" s="19"/>
      <c r="CXC42" s="19"/>
      <c r="CXD42" s="19"/>
      <c r="CXE42" s="19"/>
      <c r="CXF42" s="19"/>
      <c r="CXG42" s="19"/>
      <c r="CXH42" s="19"/>
      <c r="CXI42" s="19"/>
      <c r="CXJ42" s="19"/>
      <c r="CXK42" s="19"/>
      <c r="CXL42" s="19"/>
      <c r="CXM42" s="19"/>
      <c r="CXN42" s="19"/>
      <c r="CXO42" s="19"/>
      <c r="CXP42" s="19"/>
      <c r="CXQ42" s="19"/>
      <c r="CXR42" s="19"/>
      <c r="CXS42" s="19"/>
      <c r="CXT42" s="19"/>
      <c r="CXU42" s="19"/>
      <c r="CXV42" s="19"/>
      <c r="CXW42" s="19"/>
      <c r="CXX42" s="19"/>
      <c r="CXY42" s="19"/>
      <c r="CXZ42" s="19"/>
      <c r="CYA42" s="19"/>
      <c r="CYB42" s="19"/>
      <c r="CYC42" s="19"/>
      <c r="CYD42" s="19"/>
      <c r="CYE42" s="19"/>
      <c r="CYF42" s="19"/>
      <c r="CYG42" s="19"/>
      <c r="CYH42" s="19"/>
      <c r="CYI42" s="19"/>
      <c r="CYJ42" s="19"/>
      <c r="CYK42" s="19"/>
      <c r="CYL42" s="19"/>
      <c r="CYM42" s="19"/>
      <c r="CYN42" s="19"/>
      <c r="CYO42" s="19"/>
      <c r="CYP42" s="19"/>
      <c r="CYQ42" s="19"/>
      <c r="CYR42" s="19"/>
      <c r="CYS42" s="19"/>
      <c r="CYT42" s="19"/>
      <c r="CYU42" s="19"/>
      <c r="CYV42" s="19"/>
      <c r="CYW42" s="19"/>
      <c r="CYX42" s="19"/>
      <c r="CYY42" s="19"/>
      <c r="CYZ42" s="19"/>
      <c r="CZA42" s="19"/>
      <c r="CZB42" s="19"/>
      <c r="CZC42" s="19"/>
      <c r="CZD42" s="19"/>
      <c r="CZE42" s="19"/>
      <c r="CZF42" s="19"/>
      <c r="CZG42" s="19"/>
      <c r="CZH42" s="19"/>
      <c r="CZI42" s="19"/>
      <c r="CZJ42" s="19"/>
      <c r="CZK42" s="19"/>
      <c r="CZL42" s="19"/>
      <c r="CZM42" s="19"/>
      <c r="CZN42" s="19"/>
      <c r="CZO42" s="19"/>
      <c r="CZP42" s="19"/>
      <c r="CZQ42" s="19"/>
      <c r="CZR42" s="19"/>
      <c r="CZS42" s="19"/>
      <c r="CZT42" s="19"/>
      <c r="CZU42" s="19"/>
      <c r="CZV42" s="19"/>
      <c r="CZW42" s="19"/>
      <c r="CZX42" s="19"/>
      <c r="CZY42" s="19"/>
      <c r="CZZ42" s="19"/>
      <c r="DAA42" s="19"/>
      <c r="DAB42" s="19"/>
      <c r="DAC42" s="19"/>
      <c r="DAD42" s="19"/>
      <c r="DAE42" s="19"/>
      <c r="DAF42" s="19"/>
      <c r="DAG42" s="19"/>
      <c r="DAH42" s="19"/>
      <c r="DAI42" s="19"/>
      <c r="DAJ42" s="19"/>
      <c r="DAK42" s="19"/>
      <c r="DAL42" s="19"/>
      <c r="DAM42" s="19"/>
      <c r="DAN42" s="19"/>
      <c r="DAO42" s="19"/>
      <c r="DAP42" s="19"/>
      <c r="DAQ42" s="19"/>
      <c r="DAR42" s="19"/>
      <c r="DAS42" s="19"/>
      <c r="DAT42" s="19"/>
      <c r="DAU42" s="19"/>
      <c r="DAV42" s="19"/>
      <c r="DAW42" s="19"/>
      <c r="DAX42" s="19"/>
      <c r="DAY42" s="19"/>
      <c r="DAZ42" s="19"/>
      <c r="DBA42" s="19"/>
      <c r="DBB42" s="19"/>
      <c r="DBC42" s="19"/>
      <c r="DBD42" s="19"/>
      <c r="DBE42" s="19"/>
      <c r="DBF42" s="19"/>
      <c r="DBG42" s="19"/>
      <c r="DBH42" s="19"/>
      <c r="DBI42" s="19"/>
      <c r="DBJ42" s="19"/>
      <c r="DBK42" s="19"/>
      <c r="DBL42" s="19"/>
      <c r="DBM42" s="19"/>
      <c r="DBN42" s="19"/>
      <c r="DBO42" s="19"/>
      <c r="DBP42" s="19"/>
      <c r="DBQ42" s="19"/>
      <c r="DBR42" s="19"/>
      <c r="DBS42" s="19"/>
      <c r="DBT42" s="19"/>
      <c r="DBU42" s="19"/>
      <c r="DBV42" s="19"/>
      <c r="DBW42" s="19"/>
      <c r="DBX42" s="19"/>
      <c r="DBY42" s="19"/>
      <c r="DBZ42" s="19"/>
      <c r="DCA42" s="19"/>
      <c r="DCB42" s="19"/>
      <c r="DCC42" s="19"/>
      <c r="DCD42" s="19"/>
      <c r="DCE42" s="19"/>
      <c r="DCF42" s="19"/>
      <c r="DCG42" s="19"/>
      <c r="DCH42" s="19"/>
      <c r="DCI42" s="19"/>
      <c r="DCJ42" s="19"/>
      <c r="DCK42" s="19"/>
      <c r="DCL42" s="19"/>
      <c r="DCM42" s="19"/>
      <c r="DCN42" s="19"/>
      <c r="DCO42" s="19"/>
      <c r="DCP42" s="19"/>
      <c r="DCQ42" s="19"/>
      <c r="DCR42" s="19"/>
      <c r="DCS42" s="19"/>
      <c r="DCT42" s="19"/>
      <c r="DCU42" s="19"/>
      <c r="DCV42" s="19"/>
      <c r="DCW42" s="19"/>
      <c r="DCX42" s="19"/>
      <c r="DCY42" s="19"/>
      <c r="DCZ42" s="19"/>
      <c r="DDA42" s="19"/>
      <c r="DDB42" s="19"/>
      <c r="DDC42" s="19"/>
      <c r="DDD42" s="19"/>
      <c r="DDE42" s="19"/>
      <c r="DDF42" s="19"/>
      <c r="DDG42" s="19"/>
      <c r="DDH42" s="19"/>
      <c r="DDI42" s="19"/>
      <c r="DDJ42" s="19"/>
      <c r="DDK42" s="19"/>
      <c r="DDL42" s="19"/>
      <c r="DDM42" s="19"/>
      <c r="DDN42" s="19"/>
      <c r="DDO42" s="19"/>
      <c r="DDP42" s="19"/>
      <c r="DDQ42" s="19"/>
      <c r="DDR42" s="19"/>
      <c r="DDS42" s="19"/>
      <c r="DDT42" s="19"/>
      <c r="DDU42" s="19"/>
      <c r="DDV42" s="19"/>
      <c r="DDW42" s="19"/>
      <c r="DDX42" s="19"/>
      <c r="DDY42" s="19"/>
      <c r="DDZ42" s="19"/>
      <c r="DEA42" s="19"/>
      <c r="DEB42" s="19"/>
      <c r="DEC42" s="19"/>
      <c r="DED42" s="19"/>
      <c r="DEE42" s="19"/>
      <c r="DEF42" s="19"/>
      <c r="DEG42" s="19"/>
      <c r="DEH42" s="19"/>
      <c r="DEI42" s="19"/>
      <c r="DEJ42" s="19"/>
      <c r="DEK42" s="19"/>
      <c r="DEL42" s="19"/>
      <c r="DEM42" s="19"/>
      <c r="DEN42" s="19"/>
      <c r="DEO42" s="19"/>
      <c r="DEP42" s="19"/>
      <c r="DEQ42" s="19"/>
      <c r="DER42" s="19"/>
      <c r="DES42" s="19"/>
      <c r="DET42" s="19"/>
      <c r="DEU42" s="19"/>
      <c r="DEV42" s="19"/>
      <c r="DEW42" s="19"/>
      <c r="DEX42" s="19"/>
      <c r="DEY42" s="19"/>
      <c r="DEZ42" s="19"/>
      <c r="DFA42" s="19"/>
      <c r="DFB42" s="19"/>
      <c r="DFC42" s="19"/>
      <c r="DFD42" s="19"/>
      <c r="DFE42" s="19"/>
      <c r="DFF42" s="19"/>
      <c r="DFG42" s="19"/>
      <c r="DFH42" s="19"/>
      <c r="DFI42" s="19"/>
      <c r="DFJ42" s="19"/>
      <c r="DFK42" s="19"/>
      <c r="DFL42" s="19"/>
      <c r="DFM42" s="19"/>
      <c r="DFN42" s="19"/>
      <c r="DFO42" s="19"/>
      <c r="DFP42" s="19"/>
      <c r="DFQ42" s="19"/>
      <c r="DFR42" s="19"/>
      <c r="DFS42" s="19"/>
      <c r="DFT42" s="19"/>
      <c r="DFU42" s="19"/>
      <c r="DFV42" s="19"/>
      <c r="DFW42" s="19"/>
      <c r="DFX42" s="19"/>
      <c r="DFY42" s="19"/>
      <c r="DFZ42" s="19"/>
      <c r="DGA42" s="19"/>
      <c r="DGB42" s="19"/>
      <c r="DGC42" s="19"/>
      <c r="DGD42" s="19"/>
      <c r="DGE42" s="19"/>
      <c r="DGF42" s="19"/>
      <c r="DGG42" s="19"/>
      <c r="DGH42" s="19"/>
      <c r="DGI42" s="19"/>
      <c r="DGJ42" s="19"/>
      <c r="DGK42" s="19"/>
      <c r="DGL42" s="19"/>
      <c r="DGM42" s="19"/>
      <c r="DGN42" s="19"/>
      <c r="DGO42" s="19"/>
      <c r="DGP42" s="19"/>
      <c r="DGQ42" s="19"/>
      <c r="DGR42" s="19"/>
      <c r="DGS42" s="19"/>
      <c r="DGT42" s="19"/>
      <c r="DGU42" s="19"/>
      <c r="DGV42" s="19"/>
      <c r="DGW42" s="19"/>
      <c r="DGX42" s="19"/>
      <c r="DGY42" s="19"/>
      <c r="DGZ42" s="19"/>
      <c r="DHA42" s="19"/>
      <c r="DHB42" s="19"/>
      <c r="DHC42" s="19"/>
      <c r="DHD42" s="19"/>
      <c r="DHE42" s="19"/>
      <c r="DHF42" s="19"/>
      <c r="DHG42" s="19"/>
      <c r="DHH42" s="19"/>
      <c r="DHI42" s="19"/>
      <c r="DHJ42" s="19"/>
      <c r="DHK42" s="19"/>
      <c r="DHL42" s="19"/>
      <c r="DHM42" s="19"/>
      <c r="DHN42" s="19"/>
      <c r="DHO42" s="19"/>
      <c r="DHP42" s="19"/>
      <c r="DHQ42" s="19"/>
      <c r="DHR42" s="19"/>
      <c r="DHS42" s="19"/>
      <c r="DHT42" s="19"/>
      <c r="DHU42" s="19"/>
      <c r="DHV42" s="19"/>
      <c r="DHW42" s="19"/>
      <c r="DHX42" s="19"/>
      <c r="DHY42" s="19"/>
      <c r="DHZ42" s="19"/>
      <c r="DIA42" s="19"/>
      <c r="DIB42" s="19"/>
      <c r="DIC42" s="19"/>
      <c r="DID42" s="19"/>
      <c r="DIE42" s="19"/>
      <c r="DIF42" s="19"/>
      <c r="DIG42" s="19"/>
      <c r="DIH42" s="19"/>
      <c r="DII42" s="19"/>
      <c r="DIJ42" s="19"/>
      <c r="DIK42" s="19"/>
      <c r="DIL42" s="19"/>
      <c r="DIM42" s="19"/>
      <c r="DIN42" s="19"/>
      <c r="DIO42" s="19"/>
      <c r="DIP42" s="19"/>
      <c r="DIQ42" s="19"/>
      <c r="DIR42" s="19"/>
      <c r="DIS42" s="19"/>
      <c r="DIT42" s="19"/>
      <c r="DIU42" s="19"/>
      <c r="DIV42" s="19"/>
      <c r="DIW42" s="19"/>
      <c r="DIX42" s="19"/>
      <c r="DIY42" s="19"/>
      <c r="DIZ42" s="19"/>
      <c r="DJA42" s="19"/>
      <c r="DJB42" s="19"/>
      <c r="DJC42" s="19"/>
      <c r="DJD42" s="19"/>
      <c r="DJE42" s="19"/>
      <c r="DJF42" s="19"/>
      <c r="DJG42" s="19"/>
      <c r="DJH42" s="19"/>
      <c r="DJI42" s="19"/>
      <c r="DJJ42" s="19"/>
      <c r="DJK42" s="19"/>
      <c r="DJL42" s="19"/>
      <c r="DJM42" s="19"/>
      <c r="DJN42" s="19"/>
      <c r="DJO42" s="19"/>
      <c r="DJP42" s="19"/>
      <c r="DJQ42" s="19"/>
      <c r="DJR42" s="19"/>
      <c r="DJS42" s="19"/>
      <c r="DJT42" s="19"/>
      <c r="DJU42" s="19"/>
      <c r="DJV42" s="19"/>
      <c r="DJW42" s="19"/>
      <c r="DJX42" s="19"/>
      <c r="DJY42" s="19"/>
      <c r="DJZ42" s="19"/>
      <c r="DKA42" s="19"/>
      <c r="DKB42" s="19"/>
      <c r="DKC42" s="19"/>
      <c r="DKD42" s="19"/>
      <c r="DKE42" s="19"/>
      <c r="DKF42" s="19"/>
      <c r="DKG42" s="19"/>
      <c r="DKH42" s="19"/>
      <c r="DKI42" s="19"/>
      <c r="DKJ42" s="19"/>
      <c r="DKK42" s="19"/>
      <c r="DKL42" s="19"/>
      <c r="DKM42" s="19"/>
      <c r="DKN42" s="19"/>
      <c r="DKO42" s="19"/>
      <c r="DKP42" s="19"/>
      <c r="DKQ42" s="19"/>
      <c r="DKR42" s="19"/>
      <c r="DKS42" s="19"/>
      <c r="DKT42" s="19"/>
      <c r="DKU42" s="19"/>
      <c r="DKV42" s="19"/>
      <c r="DKW42" s="19"/>
      <c r="DKX42" s="19"/>
      <c r="DKY42" s="19"/>
      <c r="DKZ42" s="19"/>
      <c r="DLA42" s="19"/>
      <c r="DLB42" s="19"/>
      <c r="DLC42" s="19"/>
      <c r="DLD42" s="19"/>
      <c r="DLE42" s="19"/>
      <c r="DLF42" s="19"/>
      <c r="DLG42" s="19"/>
      <c r="DLH42" s="19"/>
      <c r="DLI42" s="19"/>
      <c r="DLJ42" s="19"/>
      <c r="DLK42" s="19"/>
      <c r="DLL42" s="19"/>
      <c r="DLM42" s="19"/>
      <c r="DLN42" s="19"/>
      <c r="DLO42" s="19"/>
      <c r="DLP42" s="19"/>
      <c r="DLQ42" s="19"/>
      <c r="DLR42" s="19"/>
      <c r="DLS42" s="19"/>
      <c r="DLT42" s="19"/>
      <c r="DLU42" s="19"/>
      <c r="DLV42" s="19"/>
      <c r="DLW42" s="19"/>
      <c r="DLX42" s="19"/>
      <c r="DLY42" s="19"/>
      <c r="DLZ42" s="19"/>
      <c r="DMA42" s="19"/>
      <c r="DMB42" s="19"/>
      <c r="DMC42" s="19"/>
      <c r="DMD42" s="19"/>
      <c r="DME42" s="19"/>
      <c r="DMF42" s="19"/>
      <c r="DMG42" s="19"/>
      <c r="DMH42" s="19"/>
      <c r="DMI42" s="19"/>
      <c r="DMJ42" s="19"/>
      <c r="DMK42" s="19"/>
      <c r="DML42" s="19"/>
      <c r="DMM42" s="19"/>
      <c r="DMN42" s="19"/>
      <c r="DMO42" s="19"/>
      <c r="DMP42" s="19"/>
      <c r="DMQ42" s="19"/>
      <c r="DMR42" s="19"/>
      <c r="DMS42" s="19"/>
      <c r="DMT42" s="19"/>
      <c r="DMU42" s="19"/>
      <c r="DMV42" s="19"/>
      <c r="DMW42" s="19"/>
      <c r="DMX42" s="19"/>
      <c r="DMY42" s="19"/>
      <c r="DMZ42" s="19"/>
      <c r="DNA42" s="19"/>
      <c r="DNB42" s="19"/>
      <c r="DNC42" s="19"/>
      <c r="DND42" s="19"/>
      <c r="DNE42" s="19"/>
      <c r="DNF42" s="19"/>
      <c r="DNG42" s="19"/>
      <c r="DNH42" s="19"/>
      <c r="DNI42" s="19"/>
      <c r="DNJ42" s="19"/>
      <c r="DNK42" s="19"/>
      <c r="DNL42" s="19"/>
      <c r="DNM42" s="19"/>
      <c r="DNN42" s="19"/>
      <c r="DNO42" s="19"/>
      <c r="DNP42" s="19"/>
      <c r="DNQ42" s="19"/>
      <c r="DNR42" s="19"/>
      <c r="DNS42" s="19"/>
      <c r="DNT42" s="19"/>
      <c r="DNU42" s="19"/>
      <c r="DNV42" s="19"/>
      <c r="DNW42" s="19"/>
      <c r="DNX42" s="19"/>
      <c r="DNY42" s="19"/>
      <c r="DNZ42" s="19"/>
      <c r="DOA42" s="19"/>
      <c r="DOB42" s="19"/>
      <c r="DOC42" s="19"/>
      <c r="DOD42" s="19"/>
      <c r="DOE42" s="19"/>
      <c r="DOF42" s="19"/>
      <c r="DOG42" s="19"/>
      <c r="DOH42" s="19"/>
      <c r="DOI42" s="19"/>
      <c r="DOJ42" s="19"/>
      <c r="DOK42" s="19"/>
      <c r="DOL42" s="19"/>
      <c r="DOM42" s="19"/>
      <c r="DON42" s="19"/>
      <c r="DOO42" s="19"/>
      <c r="DOP42" s="19"/>
      <c r="DOQ42" s="19"/>
      <c r="DOR42" s="19"/>
      <c r="DOS42" s="19"/>
      <c r="DOT42" s="19"/>
      <c r="DOU42" s="19"/>
      <c r="DOV42" s="19"/>
      <c r="DOW42" s="19"/>
      <c r="DOX42" s="19"/>
      <c r="DOY42" s="19"/>
      <c r="DOZ42" s="19"/>
      <c r="DPA42" s="19"/>
      <c r="DPB42" s="19"/>
      <c r="DPC42" s="19"/>
      <c r="DPD42" s="19"/>
      <c r="DPE42" s="19"/>
      <c r="DPF42" s="19"/>
      <c r="DPG42" s="19"/>
      <c r="DPH42" s="19"/>
      <c r="DPI42" s="19"/>
      <c r="DPJ42" s="19"/>
      <c r="DPK42" s="19"/>
      <c r="DPL42" s="19"/>
      <c r="DPM42" s="19"/>
      <c r="DPN42" s="19"/>
      <c r="DPO42" s="19"/>
      <c r="DPP42" s="19"/>
      <c r="DPQ42" s="19"/>
      <c r="DPR42" s="19"/>
      <c r="DPS42" s="19"/>
      <c r="DPT42" s="19"/>
      <c r="DPU42" s="19"/>
      <c r="DPV42" s="19"/>
      <c r="DPW42" s="19"/>
      <c r="DPX42" s="19"/>
      <c r="DPY42" s="19"/>
      <c r="DPZ42" s="19"/>
      <c r="DQA42" s="19"/>
      <c r="DQB42" s="19"/>
      <c r="DQC42" s="19"/>
      <c r="DQD42" s="19"/>
      <c r="DQE42" s="19"/>
      <c r="DQF42" s="19"/>
      <c r="DQG42" s="19"/>
      <c r="DQH42" s="19"/>
      <c r="DQI42" s="19"/>
      <c r="DQJ42" s="19"/>
      <c r="DQK42" s="19"/>
      <c r="DQL42" s="19"/>
      <c r="DQM42" s="19"/>
      <c r="DQN42" s="19"/>
      <c r="DQO42" s="19"/>
      <c r="DQP42" s="19"/>
      <c r="DQQ42" s="19"/>
      <c r="DQR42" s="19"/>
      <c r="DQS42" s="19"/>
      <c r="DQT42" s="19"/>
      <c r="DQU42" s="19"/>
      <c r="DQV42" s="19"/>
      <c r="DQW42" s="19"/>
      <c r="DQX42" s="19"/>
      <c r="DQY42" s="19"/>
      <c r="DQZ42" s="19"/>
      <c r="DRA42" s="19"/>
      <c r="DRB42" s="19"/>
      <c r="DRC42" s="19"/>
      <c r="DRD42" s="19"/>
      <c r="DRE42" s="19"/>
      <c r="DRF42" s="19"/>
      <c r="DRG42" s="19"/>
      <c r="DRH42" s="19"/>
      <c r="DRI42" s="19"/>
      <c r="DRJ42" s="19"/>
      <c r="DRK42" s="19"/>
      <c r="DRL42" s="19"/>
      <c r="DRM42" s="19"/>
      <c r="DRN42" s="19"/>
      <c r="DRO42" s="19"/>
      <c r="DRP42" s="19"/>
      <c r="DRQ42" s="19"/>
      <c r="DRR42" s="19"/>
      <c r="DRS42" s="19"/>
      <c r="DRT42" s="19"/>
      <c r="DRU42" s="19"/>
      <c r="DRV42" s="19"/>
      <c r="DRW42" s="19"/>
      <c r="DRX42" s="19"/>
      <c r="DRY42" s="19"/>
      <c r="DRZ42" s="19"/>
      <c r="DSA42" s="19"/>
      <c r="DSB42" s="19"/>
      <c r="DSC42" s="19"/>
      <c r="DSD42" s="19"/>
      <c r="DSE42" s="19"/>
      <c r="DSF42" s="19"/>
      <c r="DSG42" s="19"/>
      <c r="DSH42" s="19"/>
      <c r="DSI42" s="19"/>
      <c r="DSJ42" s="19"/>
      <c r="DSK42" s="19"/>
      <c r="DSL42" s="19"/>
      <c r="DSM42" s="19"/>
      <c r="DSN42" s="19"/>
      <c r="DSO42" s="19"/>
      <c r="DSP42" s="19"/>
      <c r="DSQ42" s="19"/>
      <c r="DSR42" s="19"/>
      <c r="DSS42" s="19"/>
      <c r="DST42" s="19"/>
      <c r="DSU42" s="19"/>
      <c r="DSV42" s="19"/>
      <c r="DSW42" s="19"/>
      <c r="DSX42" s="19"/>
      <c r="DSY42" s="19"/>
      <c r="DSZ42" s="19"/>
      <c r="DTA42" s="19"/>
      <c r="DTB42" s="19"/>
      <c r="DTC42" s="19"/>
      <c r="DTD42" s="19"/>
      <c r="DTE42" s="19"/>
      <c r="DTF42" s="19"/>
      <c r="DTG42" s="19"/>
      <c r="DTH42" s="19"/>
      <c r="DTI42" s="19"/>
      <c r="DTJ42" s="19"/>
      <c r="DTK42" s="19"/>
      <c r="DTL42" s="19"/>
      <c r="DTM42" s="19"/>
      <c r="DTN42" s="19"/>
      <c r="DTO42" s="19"/>
      <c r="DTP42" s="19"/>
      <c r="DTQ42" s="19"/>
      <c r="DTR42" s="19"/>
      <c r="DTS42" s="19"/>
      <c r="DTT42" s="19"/>
      <c r="DTU42" s="19"/>
      <c r="DTV42" s="19"/>
      <c r="DTW42" s="19"/>
      <c r="DTX42" s="19"/>
      <c r="DTY42" s="19"/>
      <c r="DTZ42" s="19"/>
      <c r="DUA42" s="19"/>
      <c r="DUB42" s="19"/>
      <c r="DUC42" s="19"/>
      <c r="DUD42" s="19"/>
      <c r="DUE42" s="19"/>
      <c r="DUF42" s="19"/>
      <c r="DUG42" s="19"/>
      <c r="DUH42" s="19"/>
      <c r="DUI42" s="19"/>
      <c r="DUJ42" s="19"/>
      <c r="DUK42" s="19"/>
      <c r="DUL42" s="19"/>
      <c r="DUM42" s="19"/>
      <c r="DUN42" s="19"/>
      <c r="DUO42" s="19"/>
      <c r="DUP42" s="19"/>
      <c r="DUQ42" s="19"/>
      <c r="DUR42" s="19"/>
      <c r="DUS42" s="19"/>
      <c r="DUT42" s="19"/>
      <c r="DUU42" s="19"/>
      <c r="DUV42" s="19"/>
      <c r="DUW42" s="19"/>
      <c r="DUX42" s="19"/>
      <c r="DUY42" s="19"/>
      <c r="DUZ42" s="19"/>
      <c r="DVA42" s="19"/>
      <c r="DVB42" s="19"/>
      <c r="DVC42" s="19"/>
      <c r="DVD42" s="19"/>
      <c r="DVE42" s="19"/>
      <c r="DVF42" s="19"/>
      <c r="DVG42" s="19"/>
      <c r="DVH42" s="19"/>
      <c r="DVI42" s="19"/>
      <c r="DVJ42" s="19"/>
      <c r="DVK42" s="19"/>
      <c r="DVL42" s="19"/>
      <c r="DVM42" s="19"/>
      <c r="DVN42" s="19"/>
      <c r="DVO42" s="19"/>
      <c r="DVP42" s="19"/>
      <c r="DVQ42" s="19"/>
      <c r="DVR42" s="19"/>
      <c r="DVS42" s="19"/>
      <c r="DVT42" s="19"/>
      <c r="DVU42" s="19"/>
      <c r="DVV42" s="19"/>
      <c r="DVW42" s="19"/>
      <c r="DVX42" s="19"/>
      <c r="DVY42" s="19"/>
      <c r="DVZ42" s="19"/>
      <c r="DWA42" s="19"/>
      <c r="DWB42" s="19"/>
      <c r="DWC42" s="19"/>
      <c r="DWD42" s="19"/>
      <c r="DWE42" s="19"/>
      <c r="DWF42" s="19"/>
      <c r="DWG42" s="19"/>
      <c r="DWH42" s="19"/>
      <c r="DWI42" s="19"/>
      <c r="DWJ42" s="19"/>
      <c r="DWK42" s="19"/>
      <c r="DWL42" s="19"/>
      <c r="DWM42" s="19"/>
      <c r="DWN42" s="19"/>
      <c r="DWO42" s="19"/>
      <c r="DWP42" s="19"/>
      <c r="DWQ42" s="19"/>
      <c r="DWR42" s="19"/>
      <c r="DWS42" s="19"/>
      <c r="DWT42" s="19"/>
      <c r="DWU42" s="19"/>
      <c r="DWV42" s="19"/>
      <c r="DWW42" s="19"/>
      <c r="DWX42" s="19"/>
      <c r="DWY42" s="19"/>
      <c r="DWZ42" s="19"/>
      <c r="DXA42" s="19"/>
      <c r="DXB42" s="19"/>
      <c r="DXC42" s="19"/>
      <c r="DXD42" s="19"/>
      <c r="DXE42" s="19"/>
      <c r="DXF42" s="19"/>
      <c r="DXG42" s="19"/>
      <c r="DXH42" s="19"/>
      <c r="DXI42" s="19"/>
      <c r="DXJ42" s="19"/>
      <c r="DXK42" s="19"/>
      <c r="DXL42" s="19"/>
      <c r="DXM42" s="19"/>
      <c r="DXN42" s="19"/>
      <c r="DXO42" s="19"/>
      <c r="DXP42" s="19"/>
      <c r="DXQ42" s="19"/>
      <c r="DXR42" s="19"/>
      <c r="DXS42" s="19"/>
      <c r="DXT42" s="19"/>
      <c r="DXU42" s="19"/>
      <c r="DXV42" s="19"/>
      <c r="DXW42" s="19"/>
      <c r="DXX42" s="19"/>
      <c r="DXY42" s="19"/>
      <c r="DXZ42" s="19"/>
      <c r="DYA42" s="19"/>
      <c r="DYB42" s="19"/>
      <c r="DYC42" s="19"/>
      <c r="DYD42" s="19"/>
      <c r="DYE42" s="19"/>
      <c r="DYF42" s="19"/>
      <c r="DYG42" s="19"/>
      <c r="DYH42" s="19"/>
      <c r="DYI42" s="19"/>
      <c r="DYJ42" s="19"/>
      <c r="DYK42" s="19"/>
      <c r="DYL42" s="19"/>
      <c r="DYM42" s="19"/>
      <c r="DYN42" s="19"/>
      <c r="DYO42" s="19"/>
      <c r="DYP42" s="19"/>
      <c r="DYQ42" s="19"/>
      <c r="DYR42" s="19"/>
      <c r="DYS42" s="19"/>
      <c r="DYT42" s="19"/>
      <c r="DYU42" s="19"/>
      <c r="DYV42" s="19"/>
      <c r="DYW42" s="19"/>
      <c r="DYX42" s="19"/>
      <c r="DYY42" s="19"/>
      <c r="DYZ42" s="19"/>
      <c r="DZA42" s="19"/>
      <c r="DZB42" s="19"/>
      <c r="DZC42" s="19"/>
      <c r="DZD42" s="19"/>
      <c r="DZE42" s="19"/>
      <c r="DZF42" s="19"/>
      <c r="DZG42" s="19"/>
      <c r="DZH42" s="19"/>
      <c r="DZI42" s="19"/>
      <c r="DZJ42" s="19"/>
      <c r="DZK42" s="19"/>
      <c r="DZL42" s="19"/>
      <c r="DZM42" s="19"/>
      <c r="DZN42" s="19"/>
      <c r="DZO42" s="19"/>
      <c r="DZP42" s="19"/>
      <c r="DZQ42" s="19"/>
      <c r="DZR42" s="19"/>
      <c r="DZS42" s="19"/>
      <c r="DZT42" s="19"/>
      <c r="DZU42" s="19"/>
      <c r="DZV42" s="19"/>
      <c r="DZW42" s="19"/>
      <c r="DZX42" s="19"/>
      <c r="DZY42" s="19"/>
      <c r="DZZ42" s="19"/>
      <c r="EAA42" s="19"/>
      <c r="EAB42" s="19"/>
      <c r="EAC42" s="19"/>
      <c r="EAD42" s="19"/>
      <c r="EAE42" s="19"/>
      <c r="EAF42" s="19"/>
      <c r="EAG42" s="19"/>
      <c r="EAH42" s="19"/>
      <c r="EAI42" s="19"/>
      <c r="EAJ42" s="19"/>
      <c r="EAK42" s="19"/>
      <c r="EAL42" s="19"/>
      <c r="EAM42" s="19"/>
      <c r="EAN42" s="19"/>
      <c r="EAO42" s="19"/>
      <c r="EAP42" s="19"/>
      <c r="EAQ42" s="19"/>
      <c r="EAR42" s="19"/>
      <c r="EAS42" s="19"/>
      <c r="EAT42" s="19"/>
      <c r="EAU42" s="19"/>
      <c r="EAV42" s="19"/>
      <c r="EAW42" s="19"/>
      <c r="EAX42" s="19"/>
      <c r="EAY42" s="19"/>
      <c r="EAZ42" s="19"/>
      <c r="EBA42" s="19"/>
      <c r="EBB42" s="19"/>
      <c r="EBC42" s="19"/>
      <c r="EBD42" s="19"/>
      <c r="EBE42" s="19"/>
      <c r="EBF42" s="19"/>
      <c r="EBG42" s="19"/>
      <c r="EBH42" s="19"/>
      <c r="EBI42" s="19"/>
      <c r="EBJ42" s="19"/>
      <c r="EBK42" s="19"/>
      <c r="EBL42" s="19"/>
      <c r="EBM42" s="19"/>
      <c r="EBN42" s="19"/>
      <c r="EBO42" s="19"/>
      <c r="EBP42" s="19"/>
      <c r="EBQ42" s="19"/>
      <c r="EBR42" s="19"/>
      <c r="EBS42" s="19"/>
      <c r="EBT42" s="19"/>
      <c r="EBU42" s="19"/>
      <c r="EBV42" s="19"/>
      <c r="EBW42" s="19"/>
      <c r="EBX42" s="19"/>
      <c r="EBY42" s="19"/>
      <c r="EBZ42" s="19"/>
      <c r="ECA42" s="19"/>
      <c r="ECB42" s="19"/>
      <c r="ECC42" s="19"/>
      <c r="ECD42" s="19"/>
      <c r="ECE42" s="19"/>
      <c r="ECF42" s="19"/>
      <c r="ECG42" s="19"/>
      <c r="ECH42" s="19"/>
      <c r="ECI42" s="19"/>
      <c r="ECJ42" s="19"/>
      <c r="ECK42" s="19"/>
      <c r="ECL42" s="19"/>
      <c r="ECM42" s="19"/>
      <c r="ECN42" s="19"/>
      <c r="ECO42" s="19"/>
      <c r="ECP42" s="19"/>
      <c r="ECQ42" s="19"/>
      <c r="ECR42" s="19"/>
      <c r="ECS42" s="19"/>
      <c r="ECT42" s="19"/>
      <c r="ECU42" s="19"/>
      <c r="ECV42" s="19"/>
      <c r="ECW42" s="19"/>
      <c r="ECX42" s="19"/>
      <c r="ECY42" s="19"/>
      <c r="ECZ42" s="19"/>
      <c r="EDA42" s="19"/>
      <c r="EDB42" s="19"/>
      <c r="EDC42" s="19"/>
      <c r="EDD42" s="19"/>
      <c r="EDE42" s="19"/>
      <c r="EDF42" s="19"/>
      <c r="EDG42" s="19"/>
      <c r="EDH42" s="19"/>
      <c r="EDI42" s="19"/>
      <c r="EDJ42" s="19"/>
      <c r="EDK42" s="19"/>
      <c r="EDL42" s="19"/>
      <c r="EDM42" s="19"/>
      <c r="EDN42" s="19"/>
      <c r="EDO42" s="19"/>
      <c r="EDP42" s="19"/>
      <c r="EDQ42" s="19"/>
      <c r="EDR42" s="19"/>
      <c r="EDS42" s="19"/>
      <c r="EDT42" s="19"/>
      <c r="EDU42" s="19"/>
      <c r="EDV42" s="19"/>
      <c r="EDW42" s="19"/>
      <c r="EDX42" s="19"/>
      <c r="EDY42" s="19"/>
      <c r="EDZ42" s="19"/>
      <c r="EEA42" s="19"/>
      <c r="EEB42" s="19"/>
      <c r="EEC42" s="19"/>
      <c r="EED42" s="19"/>
      <c r="EEE42" s="19"/>
      <c r="EEF42" s="19"/>
      <c r="EEG42" s="19"/>
      <c r="EEH42" s="19"/>
      <c r="EEI42" s="19"/>
      <c r="EEJ42" s="19"/>
      <c r="EEK42" s="19"/>
      <c r="EEL42" s="19"/>
      <c r="EEM42" s="19"/>
      <c r="EEN42" s="19"/>
      <c r="EEO42" s="19"/>
      <c r="EEP42" s="19"/>
      <c r="EEQ42" s="19"/>
      <c r="EER42" s="19"/>
      <c r="EES42" s="19"/>
      <c r="EET42" s="19"/>
      <c r="EEU42" s="19"/>
      <c r="EEV42" s="19"/>
      <c r="EEW42" s="19"/>
      <c r="EEX42" s="19"/>
      <c r="EEY42" s="19"/>
      <c r="EEZ42" s="19"/>
      <c r="EFA42" s="19"/>
      <c r="EFB42" s="19"/>
      <c r="EFC42" s="19"/>
      <c r="EFD42" s="19"/>
      <c r="EFE42" s="19"/>
      <c r="EFF42" s="19"/>
      <c r="EFG42" s="19"/>
      <c r="EFH42" s="19"/>
      <c r="EFI42" s="19"/>
      <c r="EFJ42" s="19"/>
      <c r="EFK42" s="19"/>
      <c r="EFL42" s="19"/>
      <c r="EFM42" s="19"/>
      <c r="EFN42" s="19"/>
      <c r="EFO42" s="19"/>
      <c r="EFP42" s="19"/>
      <c r="EFQ42" s="19"/>
      <c r="EFR42" s="19"/>
      <c r="EFS42" s="19"/>
      <c r="EFT42" s="19"/>
      <c r="EFU42" s="19"/>
      <c r="EFV42" s="19"/>
      <c r="EFW42" s="19"/>
      <c r="EFX42" s="19"/>
      <c r="EFY42" s="19"/>
      <c r="EFZ42" s="19"/>
      <c r="EGA42" s="19"/>
      <c r="EGB42" s="19"/>
      <c r="EGC42" s="19"/>
      <c r="EGD42" s="19"/>
      <c r="EGE42" s="19"/>
      <c r="EGF42" s="19"/>
      <c r="EGG42" s="19"/>
      <c r="EGH42" s="19"/>
      <c r="EGI42" s="19"/>
      <c r="EGJ42" s="19"/>
      <c r="EGK42" s="19"/>
      <c r="EGL42" s="19"/>
      <c r="EGM42" s="19"/>
      <c r="EGN42" s="19"/>
      <c r="EGO42" s="19"/>
      <c r="EGP42" s="19"/>
      <c r="EGQ42" s="19"/>
      <c r="EGR42" s="19"/>
      <c r="EGS42" s="19"/>
      <c r="EGT42" s="19"/>
      <c r="EGU42" s="19"/>
      <c r="EGV42" s="19"/>
      <c r="EGW42" s="19"/>
      <c r="EGX42" s="19"/>
      <c r="EGY42" s="19"/>
      <c r="EGZ42" s="19"/>
      <c r="EHA42" s="19"/>
      <c r="EHB42" s="19"/>
      <c r="EHC42" s="19"/>
      <c r="EHD42" s="19"/>
      <c r="EHE42" s="19"/>
      <c r="EHF42" s="19"/>
      <c r="EHG42" s="19"/>
      <c r="EHH42" s="19"/>
      <c r="EHI42" s="19"/>
      <c r="EHJ42" s="19"/>
      <c r="EHK42" s="19"/>
      <c r="EHL42" s="19"/>
      <c r="EHM42" s="19"/>
      <c r="EHN42" s="19"/>
      <c r="EHO42" s="19"/>
      <c r="EHP42" s="19"/>
      <c r="EHQ42" s="19"/>
      <c r="EHR42" s="19"/>
      <c r="EHS42" s="19"/>
      <c r="EHT42" s="19"/>
      <c r="EHU42" s="19"/>
      <c r="EHV42" s="19"/>
      <c r="EHW42" s="19"/>
      <c r="EHX42" s="19"/>
      <c r="EHY42" s="19"/>
      <c r="EHZ42" s="19"/>
      <c r="EIA42" s="19"/>
      <c r="EIB42" s="19"/>
      <c r="EIC42" s="19"/>
      <c r="EID42" s="19"/>
      <c r="EIE42" s="19"/>
      <c r="EIF42" s="19"/>
      <c r="EIG42" s="19"/>
      <c r="EIH42" s="19"/>
      <c r="EII42" s="19"/>
      <c r="EIJ42" s="19"/>
      <c r="EIK42" s="19"/>
      <c r="EIL42" s="19"/>
      <c r="EIM42" s="19"/>
      <c r="EIN42" s="19"/>
      <c r="EIO42" s="19"/>
      <c r="EIP42" s="19"/>
      <c r="EIQ42" s="19"/>
      <c r="EIR42" s="19"/>
      <c r="EIS42" s="19"/>
      <c r="EIT42" s="19"/>
      <c r="EIU42" s="19"/>
      <c r="EIV42" s="19"/>
      <c r="EIW42" s="19"/>
      <c r="EIX42" s="19"/>
      <c r="EIY42" s="19"/>
      <c r="EIZ42" s="19"/>
      <c r="EJA42" s="19"/>
      <c r="EJB42" s="19"/>
      <c r="EJC42" s="19"/>
      <c r="EJD42" s="19"/>
      <c r="EJE42" s="19"/>
      <c r="EJF42" s="19"/>
      <c r="EJG42" s="19"/>
      <c r="EJH42" s="19"/>
      <c r="EJI42" s="19"/>
      <c r="EJJ42" s="19"/>
      <c r="EJK42" s="19"/>
      <c r="EJL42" s="19"/>
      <c r="EJM42" s="19"/>
      <c r="EJN42" s="19"/>
      <c r="EJO42" s="19"/>
      <c r="EJP42" s="19"/>
      <c r="EJQ42" s="19"/>
      <c r="EJR42" s="19"/>
      <c r="EJS42" s="19"/>
      <c r="EJT42" s="19"/>
      <c r="EJU42" s="19"/>
      <c r="EJV42" s="19"/>
      <c r="EJW42" s="19"/>
      <c r="EJX42" s="19"/>
      <c r="EJY42" s="19"/>
      <c r="EJZ42" s="19"/>
      <c r="EKA42" s="19"/>
      <c r="EKB42" s="19"/>
      <c r="EKC42" s="19"/>
      <c r="EKD42" s="19"/>
      <c r="EKE42" s="19"/>
      <c r="EKF42" s="19"/>
      <c r="EKG42" s="19"/>
      <c r="EKH42" s="19"/>
      <c r="EKI42" s="19"/>
      <c r="EKJ42" s="19"/>
      <c r="EKK42" s="19"/>
      <c r="EKL42" s="19"/>
      <c r="EKM42" s="19"/>
      <c r="EKN42" s="19"/>
      <c r="EKO42" s="19"/>
      <c r="EKP42" s="19"/>
      <c r="EKQ42" s="19"/>
      <c r="EKR42" s="19"/>
      <c r="EKS42" s="19"/>
      <c r="EKT42" s="19"/>
      <c r="EKU42" s="19"/>
      <c r="EKV42" s="19"/>
      <c r="EKW42" s="19"/>
      <c r="EKX42" s="19"/>
      <c r="EKY42" s="19"/>
      <c r="EKZ42" s="19"/>
      <c r="ELA42" s="19"/>
      <c r="ELB42" s="19"/>
      <c r="ELC42" s="19"/>
      <c r="ELD42" s="19"/>
      <c r="ELE42" s="19"/>
      <c r="ELF42" s="19"/>
      <c r="ELG42" s="19"/>
      <c r="ELH42" s="19"/>
      <c r="ELI42" s="19"/>
      <c r="ELJ42" s="19"/>
      <c r="ELK42" s="19"/>
      <c r="ELL42" s="19"/>
      <c r="ELM42" s="19"/>
      <c r="ELN42" s="19"/>
      <c r="ELO42" s="19"/>
      <c r="ELP42" s="19"/>
      <c r="ELQ42" s="19"/>
      <c r="ELR42" s="19"/>
      <c r="ELS42" s="19"/>
      <c r="ELT42" s="19"/>
      <c r="ELU42" s="19"/>
      <c r="ELV42" s="19"/>
      <c r="ELW42" s="19"/>
      <c r="ELX42" s="19"/>
      <c r="ELY42" s="19"/>
      <c r="ELZ42" s="19"/>
      <c r="EMA42" s="19"/>
      <c r="EMB42" s="19"/>
      <c r="EMC42" s="19"/>
      <c r="EMD42" s="19"/>
      <c r="EME42" s="19"/>
      <c r="EMF42" s="19"/>
      <c r="EMG42" s="19"/>
      <c r="EMH42" s="19"/>
      <c r="EMI42" s="19"/>
      <c r="EMJ42" s="19"/>
      <c r="EMK42" s="19"/>
      <c r="EML42" s="19"/>
      <c r="EMM42" s="19"/>
      <c r="EMN42" s="19"/>
      <c r="EMO42" s="19"/>
      <c r="EMP42" s="19"/>
      <c r="EMQ42" s="19"/>
      <c r="EMR42" s="19"/>
      <c r="EMS42" s="19"/>
      <c r="EMT42" s="19"/>
      <c r="EMU42" s="19"/>
      <c r="EMV42" s="19"/>
      <c r="EMW42" s="19"/>
      <c r="EMX42" s="19"/>
      <c r="EMY42" s="19"/>
      <c r="EMZ42" s="19"/>
      <c r="ENA42" s="19"/>
      <c r="ENB42" s="19"/>
      <c r="ENC42" s="19"/>
      <c r="END42" s="19"/>
      <c r="ENE42" s="19"/>
      <c r="ENF42" s="19"/>
      <c r="ENG42" s="19"/>
      <c r="ENH42" s="19"/>
      <c r="ENI42" s="19"/>
      <c r="ENJ42" s="19"/>
      <c r="ENK42" s="19"/>
      <c r="ENL42" s="19"/>
      <c r="ENM42" s="19"/>
      <c r="ENN42" s="19"/>
      <c r="ENO42" s="19"/>
      <c r="ENP42" s="19"/>
      <c r="ENQ42" s="19"/>
      <c r="ENR42" s="19"/>
      <c r="ENS42" s="19"/>
      <c r="ENT42" s="19"/>
      <c r="ENU42" s="19"/>
      <c r="ENV42" s="19"/>
      <c r="ENW42" s="19"/>
      <c r="ENX42" s="19"/>
      <c r="ENY42" s="19"/>
      <c r="ENZ42" s="19"/>
      <c r="EOA42" s="19"/>
      <c r="EOB42" s="19"/>
      <c r="EOC42" s="19"/>
      <c r="EOD42" s="19"/>
      <c r="EOE42" s="19"/>
      <c r="EOF42" s="19"/>
      <c r="EOG42" s="19"/>
      <c r="EOH42" s="19"/>
      <c r="EOI42" s="19"/>
      <c r="EOJ42" s="19"/>
      <c r="EOK42" s="19"/>
      <c r="EOL42" s="19"/>
      <c r="EOM42" s="19"/>
      <c r="EON42" s="19"/>
      <c r="EOO42" s="19"/>
      <c r="EOP42" s="19"/>
      <c r="EOQ42" s="19"/>
      <c r="EOR42" s="19"/>
      <c r="EOS42" s="19"/>
      <c r="EOT42" s="19"/>
      <c r="EOU42" s="19"/>
      <c r="EOV42" s="19"/>
      <c r="EOW42" s="19"/>
      <c r="EOX42" s="19"/>
      <c r="EOY42" s="19"/>
      <c r="EOZ42" s="19"/>
      <c r="EPA42" s="19"/>
      <c r="EPB42" s="19"/>
      <c r="EPC42" s="19"/>
      <c r="EPD42" s="19"/>
      <c r="EPE42" s="19"/>
      <c r="EPF42" s="19"/>
      <c r="EPG42" s="19"/>
      <c r="EPH42" s="19"/>
      <c r="EPI42" s="19"/>
      <c r="EPJ42" s="19"/>
      <c r="EPK42" s="19"/>
      <c r="EPL42" s="19"/>
      <c r="EPM42" s="19"/>
      <c r="EPN42" s="19"/>
      <c r="EPO42" s="19"/>
      <c r="EPP42" s="19"/>
      <c r="EPQ42" s="19"/>
      <c r="EPR42" s="19"/>
      <c r="EPS42" s="19"/>
      <c r="EPT42" s="19"/>
      <c r="EPU42" s="19"/>
      <c r="EPV42" s="19"/>
      <c r="EPW42" s="19"/>
      <c r="EPX42" s="19"/>
      <c r="EPY42" s="19"/>
      <c r="EPZ42" s="19"/>
      <c r="EQA42" s="19"/>
      <c r="EQB42" s="19"/>
      <c r="EQC42" s="19"/>
      <c r="EQD42" s="19"/>
      <c r="EQE42" s="19"/>
      <c r="EQF42" s="19"/>
      <c r="EQG42" s="19"/>
      <c r="EQH42" s="19"/>
      <c r="EQI42" s="19"/>
      <c r="EQJ42" s="19"/>
      <c r="EQK42" s="19"/>
      <c r="EQL42" s="19"/>
      <c r="EQM42" s="19"/>
      <c r="EQN42" s="19"/>
      <c r="EQO42" s="19"/>
      <c r="EQP42" s="19"/>
      <c r="EQQ42" s="19"/>
      <c r="EQR42" s="19"/>
      <c r="EQS42" s="19"/>
      <c r="EQT42" s="19"/>
      <c r="EQU42" s="19"/>
      <c r="EQV42" s="19"/>
      <c r="EQW42" s="19"/>
      <c r="EQX42" s="19"/>
      <c r="EQY42" s="19"/>
      <c r="EQZ42" s="19"/>
      <c r="ERA42" s="19"/>
      <c r="ERB42" s="19"/>
      <c r="ERC42" s="19"/>
      <c r="ERD42" s="19"/>
      <c r="ERE42" s="19"/>
      <c r="ERF42" s="19"/>
      <c r="ERG42" s="19"/>
      <c r="ERH42" s="19"/>
      <c r="ERI42" s="19"/>
      <c r="ERJ42" s="19"/>
      <c r="ERK42" s="19"/>
      <c r="ERL42" s="19"/>
      <c r="ERM42" s="19"/>
      <c r="ERN42" s="19"/>
      <c r="ERO42" s="19"/>
      <c r="ERP42" s="19"/>
      <c r="ERQ42" s="19"/>
      <c r="ERR42" s="19"/>
      <c r="ERS42" s="19"/>
      <c r="ERT42" s="19"/>
      <c r="ERU42" s="19"/>
      <c r="ERV42" s="19"/>
      <c r="ERW42" s="19"/>
      <c r="ERX42" s="19"/>
      <c r="ERY42" s="19"/>
      <c r="ERZ42" s="19"/>
      <c r="ESA42" s="19"/>
      <c r="ESB42" s="19"/>
      <c r="ESC42" s="19"/>
      <c r="ESD42" s="19"/>
      <c r="ESE42" s="19"/>
      <c r="ESF42" s="19"/>
      <c r="ESG42" s="19"/>
      <c r="ESH42" s="19"/>
      <c r="ESI42" s="19"/>
      <c r="ESJ42" s="19"/>
      <c r="ESK42" s="19"/>
      <c r="ESL42" s="19"/>
      <c r="ESM42" s="19"/>
      <c r="ESN42" s="19"/>
      <c r="ESO42" s="19"/>
      <c r="ESP42" s="19"/>
      <c r="ESQ42" s="19"/>
      <c r="ESR42" s="19"/>
      <c r="ESS42" s="19"/>
      <c r="EST42" s="19"/>
      <c r="ESU42" s="19"/>
      <c r="ESV42" s="19"/>
      <c r="ESW42" s="19"/>
      <c r="ESX42" s="19"/>
      <c r="ESY42" s="19"/>
      <c r="ESZ42" s="19"/>
      <c r="ETA42" s="19"/>
      <c r="ETB42" s="19"/>
      <c r="ETC42" s="19"/>
      <c r="ETD42" s="19"/>
      <c r="ETE42" s="19"/>
      <c r="ETF42" s="19"/>
      <c r="ETG42" s="19"/>
      <c r="ETH42" s="19"/>
      <c r="ETI42" s="19"/>
      <c r="ETJ42" s="19"/>
      <c r="ETK42" s="19"/>
      <c r="ETL42" s="19"/>
      <c r="ETM42" s="19"/>
      <c r="ETN42" s="19"/>
      <c r="ETO42" s="19"/>
      <c r="ETP42" s="19"/>
      <c r="ETQ42" s="19"/>
      <c r="ETR42" s="19"/>
      <c r="ETS42" s="19"/>
      <c r="ETT42" s="19"/>
      <c r="ETU42" s="19"/>
      <c r="ETV42" s="19"/>
      <c r="ETW42" s="19"/>
      <c r="ETX42" s="19"/>
      <c r="ETY42" s="19"/>
      <c r="ETZ42" s="19"/>
      <c r="EUA42" s="19"/>
      <c r="EUB42" s="19"/>
      <c r="EUC42" s="19"/>
      <c r="EUD42" s="19"/>
      <c r="EUE42" s="19"/>
      <c r="EUF42" s="19"/>
      <c r="EUG42" s="19"/>
      <c r="EUH42" s="19"/>
      <c r="EUI42" s="19"/>
      <c r="EUJ42" s="19"/>
      <c r="EUK42" s="19"/>
      <c r="EUL42" s="19"/>
      <c r="EUM42" s="19"/>
      <c r="EUN42" s="19"/>
      <c r="EUO42" s="19"/>
      <c r="EUP42" s="19"/>
      <c r="EUQ42" s="19"/>
      <c r="EUR42" s="19"/>
      <c r="EUS42" s="19"/>
      <c r="EUT42" s="19"/>
      <c r="EUU42" s="19"/>
      <c r="EUV42" s="19"/>
      <c r="EUW42" s="19"/>
      <c r="EUX42" s="19"/>
      <c r="EUY42" s="19"/>
      <c r="EUZ42" s="19"/>
      <c r="EVA42" s="19"/>
      <c r="EVB42" s="19"/>
      <c r="EVC42" s="19"/>
      <c r="EVD42" s="19"/>
      <c r="EVE42" s="19"/>
      <c r="EVF42" s="19"/>
      <c r="EVG42" s="19"/>
      <c r="EVH42" s="19"/>
      <c r="EVI42" s="19"/>
      <c r="EVJ42" s="19"/>
      <c r="EVK42" s="19"/>
      <c r="EVL42" s="19"/>
      <c r="EVM42" s="19"/>
      <c r="EVN42" s="19"/>
      <c r="EVO42" s="19"/>
      <c r="EVP42" s="19"/>
      <c r="EVQ42" s="19"/>
      <c r="EVR42" s="19"/>
      <c r="EVS42" s="19"/>
      <c r="EVT42" s="19"/>
      <c r="EVU42" s="19"/>
      <c r="EVV42" s="19"/>
      <c r="EVW42" s="19"/>
      <c r="EVX42" s="19"/>
      <c r="EVY42" s="19"/>
      <c r="EVZ42" s="19"/>
      <c r="EWA42" s="19"/>
      <c r="EWB42" s="19"/>
      <c r="EWC42" s="19"/>
      <c r="EWD42" s="19"/>
      <c r="EWE42" s="19"/>
      <c r="EWF42" s="19"/>
      <c r="EWG42" s="19"/>
      <c r="EWH42" s="19"/>
      <c r="EWI42" s="19"/>
      <c r="EWJ42" s="19"/>
      <c r="EWK42" s="19"/>
      <c r="EWL42" s="19"/>
      <c r="EWM42" s="19"/>
      <c r="EWN42" s="19"/>
      <c r="EWO42" s="19"/>
      <c r="EWP42" s="19"/>
      <c r="EWQ42" s="19"/>
      <c r="EWR42" s="19"/>
      <c r="EWS42" s="19"/>
      <c r="EWT42" s="19"/>
      <c r="EWU42" s="19"/>
      <c r="EWV42" s="19"/>
      <c r="EWW42" s="19"/>
      <c r="EWX42" s="19"/>
      <c r="EWY42" s="19"/>
      <c r="EWZ42" s="19"/>
      <c r="EXA42" s="19"/>
      <c r="EXB42" s="19"/>
      <c r="EXC42" s="19"/>
      <c r="EXD42" s="19"/>
      <c r="EXE42" s="19"/>
      <c r="EXF42" s="19"/>
      <c r="EXG42" s="19"/>
      <c r="EXH42" s="19"/>
      <c r="EXI42" s="19"/>
      <c r="EXJ42" s="19"/>
      <c r="EXK42" s="19"/>
      <c r="EXL42" s="19"/>
      <c r="EXM42" s="19"/>
      <c r="EXN42" s="19"/>
      <c r="EXO42" s="19"/>
      <c r="EXP42" s="19"/>
      <c r="EXQ42" s="19"/>
      <c r="EXR42" s="19"/>
      <c r="EXS42" s="19"/>
      <c r="EXT42" s="19"/>
      <c r="EXU42" s="19"/>
      <c r="EXV42" s="19"/>
      <c r="EXW42" s="19"/>
      <c r="EXX42" s="19"/>
      <c r="EXY42" s="19"/>
      <c r="EXZ42" s="19"/>
      <c r="EYA42" s="19"/>
      <c r="EYB42" s="19"/>
      <c r="EYC42" s="19"/>
      <c r="EYD42" s="19"/>
      <c r="EYE42" s="19"/>
      <c r="EYF42" s="19"/>
      <c r="EYG42" s="19"/>
      <c r="EYH42" s="19"/>
      <c r="EYI42" s="19"/>
      <c r="EYJ42" s="19"/>
      <c r="EYK42" s="19"/>
      <c r="EYL42" s="19"/>
      <c r="EYM42" s="19"/>
      <c r="EYN42" s="19"/>
      <c r="EYO42" s="19"/>
      <c r="EYP42" s="19"/>
      <c r="EYQ42" s="19"/>
      <c r="EYR42" s="19"/>
      <c r="EYS42" s="19"/>
      <c r="EYT42" s="19"/>
      <c r="EYU42" s="19"/>
      <c r="EYV42" s="19"/>
      <c r="EYW42" s="19"/>
      <c r="EYX42" s="19"/>
      <c r="EYY42" s="19"/>
      <c r="EYZ42" s="19"/>
      <c r="EZA42" s="19"/>
      <c r="EZB42" s="19"/>
      <c r="EZC42" s="19"/>
      <c r="EZD42" s="19"/>
      <c r="EZE42" s="19"/>
      <c r="EZF42" s="19"/>
      <c r="EZG42" s="19"/>
      <c r="EZH42" s="19"/>
      <c r="EZI42" s="19"/>
      <c r="EZJ42" s="19"/>
      <c r="EZK42" s="19"/>
      <c r="EZL42" s="19"/>
      <c r="EZM42" s="19"/>
      <c r="EZN42" s="19"/>
      <c r="EZO42" s="19"/>
      <c r="EZP42" s="19"/>
      <c r="EZQ42" s="19"/>
      <c r="EZR42" s="19"/>
      <c r="EZS42" s="19"/>
      <c r="EZT42" s="19"/>
      <c r="EZU42" s="19"/>
      <c r="EZV42" s="19"/>
      <c r="EZW42" s="19"/>
      <c r="EZX42" s="19"/>
      <c r="EZY42" s="19"/>
      <c r="EZZ42" s="19"/>
      <c r="FAA42" s="19"/>
      <c r="FAB42" s="19"/>
      <c r="FAC42" s="19"/>
      <c r="FAD42" s="19"/>
      <c r="FAE42" s="19"/>
      <c r="FAF42" s="19"/>
      <c r="FAG42" s="19"/>
      <c r="FAH42" s="19"/>
      <c r="FAI42" s="19"/>
      <c r="FAJ42" s="19"/>
      <c r="FAK42" s="19"/>
      <c r="FAL42" s="19"/>
      <c r="FAM42" s="19"/>
      <c r="FAN42" s="19"/>
      <c r="FAO42" s="19"/>
      <c r="FAP42" s="19"/>
      <c r="FAQ42" s="19"/>
      <c r="FAR42" s="19"/>
      <c r="FAS42" s="19"/>
      <c r="FAT42" s="19"/>
      <c r="FAU42" s="19"/>
      <c r="FAV42" s="19"/>
      <c r="FAW42" s="19"/>
      <c r="FAX42" s="19"/>
      <c r="FAY42" s="19"/>
      <c r="FAZ42" s="19"/>
      <c r="FBA42" s="19"/>
      <c r="FBB42" s="19"/>
      <c r="FBC42" s="19"/>
      <c r="FBD42" s="19"/>
      <c r="FBE42" s="19"/>
      <c r="FBF42" s="19"/>
      <c r="FBG42" s="19"/>
      <c r="FBH42" s="19"/>
      <c r="FBI42" s="19"/>
      <c r="FBJ42" s="19"/>
      <c r="FBK42" s="19"/>
      <c r="FBL42" s="19"/>
      <c r="FBM42" s="19"/>
      <c r="FBN42" s="19"/>
      <c r="FBO42" s="19"/>
      <c r="FBP42" s="19"/>
      <c r="FBQ42" s="19"/>
      <c r="FBR42" s="19"/>
      <c r="FBS42" s="19"/>
      <c r="FBT42" s="19"/>
      <c r="FBU42" s="19"/>
      <c r="FBV42" s="19"/>
      <c r="FBW42" s="19"/>
      <c r="FBX42" s="19"/>
      <c r="FBY42" s="19"/>
      <c r="FBZ42" s="19"/>
      <c r="FCA42" s="19"/>
      <c r="FCB42" s="19"/>
      <c r="FCC42" s="19"/>
      <c r="FCD42" s="19"/>
      <c r="FCE42" s="19"/>
      <c r="FCF42" s="19"/>
      <c r="FCG42" s="19"/>
      <c r="FCH42" s="19"/>
      <c r="FCI42" s="19"/>
      <c r="FCJ42" s="19"/>
      <c r="FCK42" s="19"/>
      <c r="FCL42" s="19"/>
      <c r="FCM42" s="19"/>
      <c r="FCN42" s="19"/>
      <c r="FCO42" s="19"/>
      <c r="FCP42" s="19"/>
      <c r="FCQ42" s="19"/>
      <c r="FCR42" s="19"/>
      <c r="FCS42" s="19"/>
      <c r="FCT42" s="19"/>
      <c r="FCU42" s="19"/>
      <c r="FCV42" s="19"/>
      <c r="FCW42" s="19"/>
      <c r="FCX42" s="19"/>
      <c r="FCY42" s="19"/>
      <c r="FCZ42" s="19"/>
      <c r="FDA42" s="19"/>
      <c r="FDB42" s="19"/>
      <c r="FDC42" s="19"/>
      <c r="FDD42" s="19"/>
      <c r="FDE42" s="19"/>
      <c r="FDF42" s="19"/>
      <c r="FDG42" s="19"/>
      <c r="FDH42" s="19"/>
      <c r="FDI42" s="19"/>
      <c r="FDJ42" s="19"/>
      <c r="FDK42" s="19"/>
      <c r="FDL42" s="19"/>
      <c r="FDM42" s="19"/>
      <c r="FDN42" s="19"/>
      <c r="FDO42" s="19"/>
      <c r="FDP42" s="19"/>
      <c r="FDQ42" s="19"/>
      <c r="FDR42" s="19"/>
      <c r="FDS42" s="19"/>
      <c r="FDT42" s="19"/>
      <c r="FDU42" s="19"/>
      <c r="FDV42" s="19"/>
      <c r="FDW42" s="19"/>
      <c r="FDX42" s="19"/>
      <c r="FDY42" s="19"/>
      <c r="FDZ42" s="19"/>
      <c r="FEA42" s="19"/>
      <c r="FEB42" s="19"/>
      <c r="FEC42" s="19"/>
      <c r="FED42" s="19"/>
      <c r="FEE42" s="19"/>
      <c r="FEF42" s="19"/>
      <c r="FEG42" s="19"/>
      <c r="FEH42" s="19"/>
      <c r="FEI42" s="19"/>
      <c r="FEJ42" s="19"/>
      <c r="FEK42" s="19"/>
      <c r="FEL42" s="19"/>
      <c r="FEM42" s="19"/>
      <c r="FEN42" s="19"/>
      <c r="FEO42" s="19"/>
      <c r="FEP42" s="19"/>
      <c r="FEQ42" s="19"/>
      <c r="FER42" s="19"/>
      <c r="FES42" s="19"/>
      <c r="FET42" s="19"/>
      <c r="FEU42" s="19"/>
      <c r="FEV42" s="19"/>
      <c r="FEW42" s="19"/>
      <c r="FEX42" s="19"/>
      <c r="FEY42" s="19"/>
      <c r="FEZ42" s="19"/>
      <c r="FFA42" s="19"/>
      <c r="FFB42" s="19"/>
      <c r="FFC42" s="19"/>
      <c r="FFD42" s="19"/>
      <c r="FFE42" s="19"/>
      <c r="FFF42" s="19"/>
      <c r="FFG42" s="19"/>
      <c r="FFH42" s="19"/>
      <c r="FFI42" s="19"/>
      <c r="FFJ42" s="19"/>
      <c r="FFK42" s="19"/>
      <c r="FFL42" s="19"/>
      <c r="FFM42" s="19"/>
      <c r="FFN42" s="19"/>
      <c r="FFO42" s="19"/>
      <c r="FFP42" s="19"/>
      <c r="FFQ42" s="19"/>
      <c r="FFR42" s="19"/>
      <c r="FFS42" s="19"/>
      <c r="FFT42" s="19"/>
      <c r="FFU42" s="19"/>
      <c r="FFV42" s="19"/>
      <c r="FFW42" s="19"/>
      <c r="FFX42" s="19"/>
      <c r="FFY42" s="19"/>
      <c r="FFZ42" s="19"/>
      <c r="FGA42" s="19"/>
      <c r="FGB42" s="19"/>
      <c r="FGC42" s="19"/>
      <c r="FGD42" s="19"/>
      <c r="FGE42" s="19"/>
      <c r="FGF42" s="19"/>
      <c r="FGG42" s="19"/>
      <c r="FGH42" s="19"/>
      <c r="FGI42" s="19"/>
      <c r="FGJ42" s="19"/>
      <c r="FGK42" s="19"/>
      <c r="FGL42" s="19"/>
      <c r="FGM42" s="19"/>
      <c r="FGN42" s="19"/>
      <c r="FGO42" s="19"/>
      <c r="FGP42" s="19"/>
      <c r="FGQ42" s="19"/>
      <c r="FGR42" s="19"/>
      <c r="FGS42" s="19"/>
      <c r="FGT42" s="19"/>
      <c r="FGU42" s="19"/>
      <c r="FGV42" s="19"/>
      <c r="FGW42" s="19"/>
      <c r="FGX42" s="19"/>
      <c r="FGY42" s="19"/>
      <c r="FGZ42" s="19"/>
      <c r="FHA42" s="19"/>
      <c r="FHB42" s="19"/>
      <c r="FHC42" s="19"/>
      <c r="FHD42" s="19"/>
      <c r="FHE42" s="19"/>
      <c r="FHF42" s="19"/>
      <c r="FHG42" s="19"/>
      <c r="FHH42" s="19"/>
      <c r="FHI42" s="19"/>
      <c r="FHJ42" s="19"/>
      <c r="FHK42" s="19"/>
      <c r="FHL42" s="19"/>
      <c r="FHM42" s="19"/>
      <c r="FHN42" s="19"/>
      <c r="FHO42" s="19"/>
      <c r="FHP42" s="19"/>
      <c r="FHQ42" s="19"/>
      <c r="FHR42" s="19"/>
      <c r="FHS42" s="19"/>
      <c r="FHT42" s="19"/>
      <c r="FHU42" s="19"/>
      <c r="FHV42" s="19"/>
      <c r="FHW42" s="19"/>
      <c r="FHX42" s="19"/>
      <c r="FHY42" s="19"/>
      <c r="FHZ42" s="19"/>
      <c r="FIA42" s="19"/>
      <c r="FIB42" s="19"/>
      <c r="FIC42" s="19"/>
      <c r="FID42" s="19"/>
      <c r="FIE42" s="19"/>
      <c r="FIF42" s="19"/>
      <c r="FIG42" s="19"/>
      <c r="FIH42" s="19"/>
      <c r="FII42" s="19"/>
      <c r="FIJ42" s="19"/>
      <c r="FIK42" s="19"/>
      <c r="FIL42" s="19"/>
      <c r="FIM42" s="19"/>
      <c r="FIN42" s="19"/>
      <c r="FIO42" s="19"/>
      <c r="FIP42" s="19"/>
      <c r="FIQ42" s="19"/>
      <c r="FIR42" s="19"/>
      <c r="FIS42" s="19"/>
      <c r="FIT42" s="19"/>
      <c r="FIU42" s="19"/>
      <c r="FIV42" s="19"/>
      <c r="FIW42" s="19"/>
      <c r="FIX42" s="19"/>
      <c r="FIY42" s="19"/>
      <c r="FIZ42" s="19"/>
      <c r="FJA42" s="19"/>
      <c r="FJB42" s="19"/>
      <c r="FJC42" s="19"/>
      <c r="FJD42" s="19"/>
      <c r="FJE42" s="19"/>
      <c r="FJF42" s="19"/>
      <c r="FJG42" s="19"/>
      <c r="FJH42" s="19"/>
      <c r="FJI42" s="19"/>
      <c r="FJJ42" s="19"/>
      <c r="FJK42" s="19"/>
      <c r="FJL42" s="19"/>
      <c r="FJM42" s="19"/>
      <c r="FJN42" s="19"/>
      <c r="FJO42" s="19"/>
      <c r="FJP42" s="19"/>
      <c r="FJQ42" s="19"/>
      <c r="FJR42" s="19"/>
      <c r="FJS42" s="19"/>
      <c r="FJT42" s="19"/>
      <c r="FJU42" s="19"/>
      <c r="FJV42" s="19"/>
      <c r="FJW42" s="19"/>
      <c r="FJX42" s="19"/>
      <c r="FJY42" s="19"/>
      <c r="FJZ42" s="19"/>
      <c r="FKA42" s="19"/>
      <c r="FKB42" s="19"/>
      <c r="FKC42" s="19"/>
      <c r="FKD42" s="19"/>
      <c r="FKE42" s="19"/>
      <c r="FKF42" s="19"/>
      <c r="FKG42" s="19"/>
      <c r="FKH42" s="19"/>
      <c r="FKI42" s="19"/>
      <c r="FKJ42" s="19"/>
      <c r="FKK42" s="19"/>
      <c r="FKL42" s="19"/>
      <c r="FKM42" s="19"/>
      <c r="FKN42" s="19"/>
      <c r="FKO42" s="19"/>
      <c r="FKP42" s="19"/>
      <c r="FKQ42" s="19"/>
      <c r="FKR42" s="19"/>
      <c r="FKS42" s="19"/>
      <c r="FKT42" s="19"/>
      <c r="FKU42" s="19"/>
      <c r="FKV42" s="19"/>
      <c r="FKW42" s="19"/>
      <c r="FKX42" s="19"/>
      <c r="FKY42" s="19"/>
      <c r="FKZ42" s="19"/>
      <c r="FLA42" s="19"/>
      <c r="FLB42" s="19"/>
      <c r="FLC42" s="19"/>
      <c r="FLD42" s="19"/>
      <c r="FLE42" s="19"/>
      <c r="FLF42" s="19"/>
      <c r="FLG42" s="19"/>
      <c r="FLH42" s="19"/>
      <c r="FLI42" s="19"/>
      <c r="FLJ42" s="19"/>
      <c r="FLK42" s="19"/>
      <c r="FLL42" s="19"/>
      <c r="FLM42" s="19"/>
      <c r="FLN42" s="19"/>
      <c r="FLO42" s="19"/>
      <c r="FLP42" s="19"/>
      <c r="FLQ42" s="19"/>
      <c r="FLR42" s="19"/>
      <c r="FLS42" s="19"/>
      <c r="FLT42" s="19"/>
      <c r="FLU42" s="19"/>
      <c r="FLV42" s="19"/>
      <c r="FLW42" s="19"/>
      <c r="FLX42" s="19"/>
      <c r="FLY42" s="19"/>
      <c r="FLZ42" s="19"/>
      <c r="FMA42" s="19"/>
      <c r="FMB42" s="19"/>
      <c r="FMC42" s="19"/>
      <c r="FMD42" s="19"/>
      <c r="FME42" s="19"/>
      <c r="FMF42" s="19"/>
      <c r="FMG42" s="19"/>
      <c r="FMH42" s="19"/>
      <c r="FMI42" s="19"/>
      <c r="FMJ42" s="19"/>
      <c r="FMK42" s="19"/>
      <c r="FML42" s="19"/>
      <c r="FMM42" s="19"/>
      <c r="FMN42" s="19"/>
      <c r="FMO42" s="19"/>
      <c r="FMP42" s="19"/>
      <c r="FMQ42" s="19"/>
      <c r="FMR42" s="19"/>
      <c r="FMS42" s="19"/>
      <c r="FMT42" s="19"/>
      <c r="FMU42" s="19"/>
      <c r="FMV42" s="19"/>
      <c r="FMW42" s="19"/>
      <c r="FMX42" s="19"/>
      <c r="FMY42" s="19"/>
      <c r="FMZ42" s="19"/>
      <c r="FNA42" s="19"/>
      <c r="FNB42" s="19"/>
      <c r="FNC42" s="19"/>
      <c r="FND42" s="19"/>
      <c r="FNE42" s="19"/>
      <c r="FNF42" s="19"/>
      <c r="FNG42" s="19"/>
      <c r="FNH42" s="19"/>
      <c r="FNI42" s="19"/>
      <c r="FNJ42" s="19"/>
      <c r="FNK42" s="19"/>
      <c r="FNL42" s="19"/>
      <c r="FNM42" s="19"/>
      <c r="FNN42" s="19"/>
      <c r="FNO42" s="19"/>
      <c r="FNP42" s="19"/>
      <c r="FNQ42" s="19"/>
      <c r="FNR42" s="19"/>
      <c r="FNS42" s="19"/>
      <c r="FNT42" s="19"/>
      <c r="FNU42" s="19"/>
      <c r="FNV42" s="19"/>
      <c r="FNW42" s="19"/>
      <c r="FNX42" s="19"/>
      <c r="FNY42" s="19"/>
      <c r="FNZ42" s="19"/>
      <c r="FOA42" s="19"/>
      <c r="FOB42" s="19"/>
      <c r="FOC42" s="19"/>
      <c r="FOD42" s="19"/>
      <c r="FOE42" s="19"/>
      <c r="FOF42" s="19"/>
      <c r="FOG42" s="19"/>
      <c r="FOH42" s="19"/>
      <c r="FOI42" s="19"/>
      <c r="FOJ42" s="19"/>
      <c r="FOK42" s="19"/>
      <c r="FOL42" s="19"/>
      <c r="FOM42" s="19"/>
      <c r="FON42" s="19"/>
      <c r="FOO42" s="19"/>
      <c r="FOP42" s="19"/>
      <c r="FOQ42" s="19"/>
      <c r="FOR42" s="19"/>
      <c r="FOS42" s="19"/>
      <c r="FOT42" s="19"/>
      <c r="FOU42" s="19"/>
      <c r="FOV42" s="19"/>
      <c r="FOW42" s="19"/>
      <c r="FOX42" s="19"/>
      <c r="FOY42" s="19"/>
      <c r="FOZ42" s="19"/>
      <c r="FPA42" s="19"/>
      <c r="FPB42" s="19"/>
      <c r="FPC42" s="19"/>
      <c r="FPD42" s="19"/>
      <c r="FPE42" s="19"/>
      <c r="FPF42" s="19"/>
      <c r="FPG42" s="19"/>
      <c r="FPH42" s="19"/>
      <c r="FPI42" s="19"/>
      <c r="FPJ42" s="19"/>
      <c r="FPK42" s="19"/>
      <c r="FPL42" s="19"/>
      <c r="FPM42" s="19"/>
      <c r="FPN42" s="19"/>
      <c r="FPO42" s="19"/>
      <c r="FPP42" s="19"/>
      <c r="FPQ42" s="19"/>
      <c r="FPR42" s="19"/>
      <c r="FPS42" s="19"/>
      <c r="FPT42" s="19"/>
      <c r="FPU42" s="19"/>
      <c r="FPV42" s="19"/>
      <c r="FPW42" s="19"/>
      <c r="FPX42" s="19"/>
      <c r="FPY42" s="19"/>
      <c r="FPZ42" s="19"/>
      <c r="FQA42" s="19"/>
      <c r="FQB42" s="19"/>
      <c r="FQC42" s="19"/>
      <c r="FQD42" s="19"/>
      <c r="FQE42" s="19"/>
      <c r="FQF42" s="19"/>
      <c r="FQG42" s="19"/>
      <c r="FQH42" s="19"/>
      <c r="FQI42" s="19"/>
      <c r="FQJ42" s="19"/>
      <c r="FQK42" s="19"/>
      <c r="FQL42" s="19"/>
      <c r="FQM42" s="19"/>
      <c r="FQN42" s="19"/>
      <c r="FQO42" s="19"/>
      <c r="FQP42" s="19"/>
      <c r="FQQ42" s="19"/>
      <c r="FQR42" s="19"/>
      <c r="FQS42" s="19"/>
      <c r="FQT42" s="19"/>
      <c r="FQU42" s="19"/>
      <c r="FQV42" s="19"/>
      <c r="FQW42" s="19"/>
      <c r="FQX42" s="19"/>
      <c r="FQY42" s="19"/>
      <c r="FQZ42" s="19"/>
      <c r="FRA42" s="19"/>
      <c r="FRB42" s="19"/>
      <c r="FRC42" s="19"/>
      <c r="FRD42" s="19"/>
      <c r="FRE42" s="19"/>
      <c r="FRF42" s="19"/>
      <c r="FRG42" s="19"/>
      <c r="FRH42" s="19"/>
      <c r="FRI42" s="19"/>
      <c r="FRJ42" s="19"/>
      <c r="FRK42" s="19"/>
      <c r="FRL42" s="19"/>
      <c r="FRM42" s="19"/>
      <c r="FRN42" s="19"/>
      <c r="FRO42" s="19"/>
      <c r="FRP42" s="19"/>
      <c r="FRQ42" s="19"/>
      <c r="FRR42" s="19"/>
      <c r="FRS42" s="19"/>
      <c r="FRT42" s="19"/>
      <c r="FRU42" s="19"/>
      <c r="FRV42" s="19"/>
      <c r="FRW42" s="19"/>
      <c r="FRX42" s="19"/>
      <c r="FRY42" s="19"/>
      <c r="FRZ42" s="19"/>
      <c r="FSA42" s="19"/>
      <c r="FSB42" s="19"/>
      <c r="FSC42" s="19"/>
      <c r="FSD42" s="19"/>
      <c r="FSE42" s="19"/>
      <c r="FSF42" s="19"/>
      <c r="FSG42" s="19"/>
      <c r="FSH42" s="19"/>
      <c r="FSI42" s="19"/>
      <c r="FSJ42" s="19"/>
      <c r="FSK42" s="19"/>
      <c r="FSL42" s="19"/>
      <c r="FSM42" s="19"/>
      <c r="FSN42" s="19"/>
      <c r="FSO42" s="19"/>
      <c r="FSP42" s="19"/>
      <c r="FSQ42" s="19"/>
      <c r="FSR42" s="19"/>
      <c r="FSS42" s="19"/>
      <c r="FST42" s="19"/>
      <c r="FSU42" s="19"/>
      <c r="FSV42" s="19"/>
      <c r="FSW42" s="19"/>
      <c r="FSX42" s="19"/>
      <c r="FSY42" s="19"/>
      <c r="FSZ42" s="19"/>
      <c r="FTA42" s="19"/>
      <c r="FTB42" s="19"/>
      <c r="FTC42" s="19"/>
      <c r="FTD42" s="19"/>
      <c r="FTE42" s="19"/>
      <c r="FTF42" s="19"/>
      <c r="FTG42" s="19"/>
      <c r="FTH42" s="19"/>
      <c r="FTI42" s="19"/>
      <c r="FTJ42" s="19"/>
      <c r="FTK42" s="19"/>
      <c r="FTL42" s="19"/>
      <c r="FTM42" s="19"/>
      <c r="FTN42" s="19"/>
      <c r="FTO42" s="19"/>
      <c r="FTP42" s="19"/>
      <c r="FTQ42" s="19"/>
      <c r="FTR42" s="19"/>
      <c r="FTS42" s="19"/>
      <c r="FTT42" s="19"/>
      <c r="FTU42" s="19"/>
      <c r="FTV42" s="19"/>
      <c r="FTW42" s="19"/>
      <c r="FTX42" s="19"/>
      <c r="FTY42" s="19"/>
      <c r="FTZ42" s="19"/>
      <c r="FUA42" s="19"/>
      <c r="FUB42" s="19"/>
      <c r="FUC42" s="19"/>
      <c r="FUD42" s="19"/>
      <c r="FUE42" s="19"/>
      <c r="FUF42" s="19"/>
      <c r="FUG42" s="19"/>
      <c r="FUH42" s="19"/>
      <c r="FUI42" s="19"/>
      <c r="FUJ42" s="19"/>
      <c r="FUK42" s="19"/>
      <c r="FUL42" s="19"/>
      <c r="FUM42" s="19"/>
      <c r="FUN42" s="19"/>
      <c r="FUO42" s="19"/>
      <c r="FUP42" s="19"/>
      <c r="FUQ42" s="19"/>
      <c r="FUR42" s="19"/>
      <c r="FUS42" s="19"/>
      <c r="FUT42" s="19"/>
      <c r="FUU42" s="19"/>
      <c r="FUV42" s="19"/>
      <c r="FUW42" s="19"/>
      <c r="FUX42" s="19"/>
      <c r="FUY42" s="19"/>
      <c r="FUZ42" s="19"/>
      <c r="FVA42" s="19"/>
      <c r="FVB42" s="19"/>
      <c r="FVC42" s="19"/>
      <c r="FVD42" s="19"/>
      <c r="FVE42" s="19"/>
      <c r="FVF42" s="19"/>
      <c r="FVG42" s="19"/>
      <c r="FVH42" s="19"/>
      <c r="FVI42" s="19"/>
      <c r="FVJ42" s="19"/>
      <c r="FVK42" s="19"/>
      <c r="FVL42" s="19"/>
      <c r="FVM42" s="19"/>
      <c r="FVN42" s="19"/>
      <c r="FVO42" s="19"/>
      <c r="FVP42" s="19"/>
      <c r="FVQ42" s="19"/>
      <c r="FVR42" s="19"/>
      <c r="FVS42" s="19"/>
      <c r="FVT42" s="19"/>
      <c r="FVU42" s="19"/>
      <c r="FVV42" s="19"/>
      <c r="FVW42" s="19"/>
      <c r="FVX42" s="19"/>
      <c r="FVY42" s="19"/>
      <c r="FVZ42" s="19"/>
      <c r="FWA42" s="19"/>
      <c r="FWB42" s="19"/>
      <c r="FWC42" s="19"/>
      <c r="FWD42" s="19"/>
      <c r="FWE42" s="19"/>
      <c r="FWF42" s="19"/>
      <c r="FWG42" s="19"/>
      <c r="FWH42" s="19"/>
      <c r="FWI42" s="19"/>
      <c r="FWJ42" s="19"/>
      <c r="FWK42" s="19"/>
      <c r="FWL42" s="19"/>
      <c r="FWM42" s="19"/>
      <c r="FWN42" s="19"/>
      <c r="FWO42" s="19"/>
      <c r="FWP42" s="19"/>
      <c r="FWQ42" s="19"/>
      <c r="FWR42" s="19"/>
      <c r="FWS42" s="19"/>
      <c r="FWT42" s="19"/>
      <c r="FWU42" s="19"/>
      <c r="FWV42" s="19"/>
      <c r="FWW42" s="19"/>
      <c r="FWX42" s="19"/>
      <c r="FWY42" s="19"/>
      <c r="FWZ42" s="19"/>
      <c r="FXA42" s="19"/>
      <c r="FXB42" s="19"/>
      <c r="FXC42" s="19"/>
      <c r="FXD42" s="19"/>
      <c r="FXE42" s="19"/>
      <c r="FXF42" s="19"/>
      <c r="FXG42" s="19"/>
      <c r="FXH42" s="19"/>
      <c r="FXI42" s="19"/>
      <c r="FXJ42" s="19"/>
      <c r="FXK42" s="19"/>
      <c r="FXL42" s="19"/>
      <c r="FXM42" s="19"/>
      <c r="FXN42" s="19"/>
      <c r="FXO42" s="19"/>
      <c r="FXP42" s="19"/>
      <c r="FXQ42" s="19"/>
      <c r="FXR42" s="19"/>
      <c r="FXS42" s="19"/>
      <c r="FXT42" s="19"/>
      <c r="FXU42" s="19"/>
      <c r="FXV42" s="19"/>
      <c r="FXW42" s="19"/>
      <c r="FXX42" s="19"/>
      <c r="FXY42" s="19"/>
      <c r="FXZ42" s="19"/>
      <c r="FYA42" s="19"/>
      <c r="FYB42" s="19"/>
      <c r="FYC42" s="19"/>
      <c r="FYD42" s="19"/>
      <c r="FYE42" s="19"/>
      <c r="FYF42" s="19"/>
      <c r="FYG42" s="19"/>
      <c r="FYH42" s="19"/>
      <c r="FYI42" s="19"/>
      <c r="FYJ42" s="19"/>
      <c r="FYK42" s="19"/>
      <c r="FYL42" s="19"/>
      <c r="FYM42" s="19"/>
      <c r="FYN42" s="19"/>
      <c r="FYO42" s="19"/>
      <c r="FYP42" s="19"/>
      <c r="FYQ42" s="19"/>
      <c r="FYR42" s="19"/>
      <c r="FYS42" s="19"/>
      <c r="FYT42" s="19"/>
      <c r="FYU42" s="19"/>
      <c r="FYV42" s="19"/>
      <c r="FYW42" s="19"/>
      <c r="FYX42" s="19"/>
      <c r="FYY42" s="19"/>
      <c r="FYZ42" s="19"/>
      <c r="FZA42" s="19"/>
      <c r="FZB42" s="19"/>
      <c r="FZC42" s="19"/>
      <c r="FZD42" s="19"/>
      <c r="FZE42" s="19"/>
      <c r="FZF42" s="19"/>
      <c r="FZG42" s="19"/>
      <c r="FZH42" s="19"/>
      <c r="FZI42" s="19"/>
      <c r="FZJ42" s="19"/>
      <c r="FZK42" s="19"/>
      <c r="FZL42" s="19"/>
      <c r="FZM42" s="19"/>
      <c r="FZN42" s="19"/>
      <c r="FZO42" s="19"/>
      <c r="FZP42" s="19"/>
      <c r="FZQ42" s="19"/>
      <c r="FZR42" s="19"/>
      <c r="FZS42" s="19"/>
      <c r="FZT42" s="19"/>
      <c r="FZU42" s="19"/>
      <c r="FZV42" s="19"/>
      <c r="FZW42" s="19"/>
      <c r="FZX42" s="19"/>
      <c r="FZY42" s="19"/>
      <c r="FZZ42" s="19"/>
      <c r="GAA42" s="19"/>
      <c r="GAB42" s="19"/>
      <c r="GAC42" s="19"/>
      <c r="GAD42" s="19"/>
      <c r="GAE42" s="19"/>
      <c r="GAF42" s="19"/>
      <c r="GAG42" s="19"/>
      <c r="GAH42" s="19"/>
      <c r="GAI42" s="19"/>
      <c r="GAJ42" s="19"/>
      <c r="GAK42" s="19"/>
      <c r="GAL42" s="19"/>
      <c r="GAM42" s="19"/>
      <c r="GAN42" s="19"/>
      <c r="GAO42" s="19"/>
      <c r="GAP42" s="19"/>
      <c r="GAQ42" s="19"/>
      <c r="GAR42" s="19"/>
      <c r="GAS42" s="19"/>
      <c r="GAT42" s="19"/>
      <c r="GAU42" s="19"/>
      <c r="GAV42" s="19"/>
      <c r="GAW42" s="19"/>
      <c r="GAX42" s="19"/>
      <c r="GAY42" s="19"/>
      <c r="GAZ42" s="19"/>
      <c r="GBA42" s="19"/>
      <c r="GBB42" s="19"/>
      <c r="GBC42" s="19"/>
      <c r="GBD42" s="19"/>
      <c r="GBE42" s="19"/>
      <c r="GBF42" s="19"/>
      <c r="GBG42" s="19"/>
      <c r="GBH42" s="19"/>
      <c r="GBI42" s="19"/>
      <c r="GBJ42" s="19"/>
      <c r="GBK42" s="19"/>
      <c r="GBL42" s="19"/>
      <c r="GBM42" s="19"/>
      <c r="GBN42" s="19"/>
      <c r="GBO42" s="19"/>
      <c r="GBP42" s="19"/>
      <c r="GBQ42" s="19"/>
      <c r="GBR42" s="19"/>
      <c r="GBS42" s="19"/>
      <c r="GBT42" s="19"/>
      <c r="GBU42" s="19"/>
      <c r="GBV42" s="19"/>
      <c r="GBW42" s="19"/>
      <c r="GBX42" s="19"/>
      <c r="GBY42" s="19"/>
      <c r="GBZ42" s="19"/>
      <c r="GCA42" s="19"/>
      <c r="GCB42" s="19"/>
      <c r="GCC42" s="19"/>
      <c r="GCD42" s="19"/>
      <c r="GCE42" s="19"/>
      <c r="GCF42" s="19"/>
      <c r="GCG42" s="19"/>
      <c r="GCH42" s="19"/>
      <c r="GCI42" s="19"/>
      <c r="GCJ42" s="19"/>
      <c r="GCK42" s="19"/>
      <c r="GCL42" s="19"/>
      <c r="GCM42" s="19"/>
      <c r="GCN42" s="19"/>
      <c r="GCO42" s="19"/>
      <c r="GCP42" s="19"/>
      <c r="GCQ42" s="19"/>
      <c r="GCR42" s="19"/>
      <c r="GCS42" s="19"/>
      <c r="GCT42" s="19"/>
      <c r="GCU42" s="19"/>
      <c r="GCV42" s="19"/>
      <c r="GCW42" s="19"/>
      <c r="GCX42" s="19"/>
      <c r="GCY42" s="19"/>
      <c r="GCZ42" s="19"/>
      <c r="GDA42" s="19"/>
      <c r="GDB42" s="19"/>
      <c r="GDC42" s="19"/>
      <c r="GDD42" s="19"/>
      <c r="GDE42" s="19"/>
      <c r="GDF42" s="19"/>
      <c r="GDG42" s="19"/>
      <c r="GDH42" s="19"/>
      <c r="GDI42" s="19"/>
      <c r="GDJ42" s="19"/>
      <c r="GDK42" s="19"/>
      <c r="GDL42" s="19"/>
      <c r="GDM42" s="19"/>
      <c r="GDN42" s="19"/>
      <c r="GDO42" s="19"/>
      <c r="GDP42" s="19"/>
      <c r="GDQ42" s="19"/>
      <c r="GDR42" s="19"/>
      <c r="GDS42" s="19"/>
      <c r="GDT42" s="19"/>
      <c r="GDU42" s="19"/>
      <c r="GDV42" s="19"/>
      <c r="GDW42" s="19"/>
      <c r="GDX42" s="19"/>
      <c r="GDY42" s="19"/>
      <c r="GDZ42" s="19"/>
      <c r="GEA42" s="19"/>
      <c r="GEB42" s="19"/>
      <c r="GEC42" s="19"/>
      <c r="GED42" s="19"/>
      <c r="GEE42" s="19"/>
      <c r="GEF42" s="19"/>
      <c r="GEG42" s="19"/>
      <c r="GEH42" s="19"/>
      <c r="GEI42" s="19"/>
      <c r="GEJ42" s="19"/>
      <c r="GEK42" s="19"/>
      <c r="GEL42" s="19"/>
      <c r="GEM42" s="19"/>
      <c r="GEN42" s="19"/>
      <c r="GEO42" s="19"/>
      <c r="GEP42" s="19"/>
      <c r="GEQ42" s="19"/>
      <c r="GER42" s="19"/>
      <c r="GES42" s="19"/>
      <c r="GET42" s="19"/>
      <c r="GEU42" s="19"/>
      <c r="GEV42" s="19"/>
      <c r="GEW42" s="19"/>
      <c r="GEX42" s="19"/>
      <c r="GEY42" s="19"/>
      <c r="GEZ42" s="19"/>
      <c r="GFA42" s="19"/>
      <c r="GFB42" s="19"/>
      <c r="GFC42" s="19"/>
      <c r="GFD42" s="19"/>
      <c r="GFE42" s="19"/>
      <c r="GFF42" s="19"/>
      <c r="GFG42" s="19"/>
      <c r="GFH42" s="19"/>
      <c r="GFI42" s="19"/>
      <c r="GFJ42" s="19"/>
      <c r="GFK42" s="19"/>
      <c r="GFL42" s="19"/>
      <c r="GFM42" s="19"/>
      <c r="GFN42" s="19"/>
      <c r="GFO42" s="19"/>
      <c r="GFP42" s="19"/>
      <c r="GFQ42" s="19"/>
      <c r="GFR42" s="19"/>
      <c r="GFS42" s="19"/>
      <c r="GFT42" s="19"/>
      <c r="GFU42" s="19"/>
      <c r="GFV42" s="19"/>
      <c r="GFW42" s="19"/>
      <c r="GFX42" s="19"/>
      <c r="GFY42" s="19"/>
      <c r="GFZ42" s="19"/>
      <c r="GGA42" s="19"/>
      <c r="GGB42" s="19"/>
      <c r="GGC42" s="19"/>
      <c r="GGD42" s="19"/>
      <c r="GGE42" s="19"/>
      <c r="GGF42" s="19"/>
      <c r="GGG42" s="19"/>
      <c r="GGH42" s="19"/>
      <c r="GGI42" s="19"/>
      <c r="GGJ42" s="19"/>
      <c r="GGK42" s="19"/>
      <c r="GGL42" s="19"/>
      <c r="GGM42" s="19"/>
      <c r="GGN42" s="19"/>
      <c r="GGO42" s="19"/>
      <c r="GGP42" s="19"/>
      <c r="GGQ42" s="19"/>
      <c r="GGR42" s="19"/>
      <c r="GGS42" s="19"/>
      <c r="GGT42" s="19"/>
      <c r="GGU42" s="19"/>
      <c r="GGV42" s="19"/>
      <c r="GGW42" s="19"/>
      <c r="GGX42" s="19"/>
      <c r="GGY42" s="19"/>
      <c r="GGZ42" s="19"/>
      <c r="GHA42" s="19"/>
      <c r="GHB42" s="19"/>
      <c r="GHC42" s="19"/>
      <c r="GHD42" s="19"/>
      <c r="GHE42" s="19"/>
      <c r="GHF42" s="19"/>
      <c r="GHG42" s="19"/>
      <c r="GHH42" s="19"/>
      <c r="GHI42" s="19"/>
      <c r="GHJ42" s="19"/>
      <c r="GHK42" s="19"/>
      <c r="GHL42" s="19"/>
      <c r="GHM42" s="19"/>
      <c r="GHN42" s="19"/>
      <c r="GHO42" s="19"/>
      <c r="GHP42" s="19"/>
      <c r="GHQ42" s="19"/>
      <c r="GHR42" s="19"/>
      <c r="GHS42" s="19"/>
      <c r="GHT42" s="19"/>
      <c r="GHU42" s="19"/>
      <c r="GHV42" s="19"/>
      <c r="GHW42" s="19"/>
      <c r="GHX42" s="19"/>
      <c r="GHY42" s="19"/>
      <c r="GHZ42" s="19"/>
      <c r="GIA42" s="19"/>
      <c r="GIB42" s="19"/>
      <c r="GIC42" s="19"/>
      <c r="GID42" s="19"/>
      <c r="GIE42" s="19"/>
      <c r="GIF42" s="19"/>
      <c r="GIG42" s="19"/>
      <c r="GIH42" s="19"/>
      <c r="GII42" s="19"/>
      <c r="GIJ42" s="19"/>
      <c r="GIK42" s="19"/>
      <c r="GIL42" s="19"/>
      <c r="GIM42" s="19"/>
      <c r="GIN42" s="19"/>
      <c r="GIO42" s="19"/>
      <c r="GIP42" s="19"/>
      <c r="GIQ42" s="19"/>
      <c r="GIR42" s="19"/>
      <c r="GIS42" s="19"/>
      <c r="GIT42" s="19"/>
      <c r="GIU42" s="19"/>
      <c r="GIV42" s="19"/>
      <c r="GIW42" s="19"/>
      <c r="GIX42" s="19"/>
      <c r="GIY42" s="19"/>
      <c r="GIZ42" s="19"/>
      <c r="GJA42" s="19"/>
      <c r="GJB42" s="19"/>
      <c r="GJC42" s="19"/>
      <c r="GJD42" s="19"/>
      <c r="GJE42" s="19"/>
      <c r="GJF42" s="19"/>
      <c r="GJG42" s="19"/>
      <c r="GJH42" s="19"/>
      <c r="GJI42" s="19"/>
      <c r="GJJ42" s="19"/>
      <c r="GJK42" s="19"/>
      <c r="GJL42" s="19"/>
      <c r="GJM42" s="19"/>
      <c r="GJN42" s="19"/>
      <c r="GJO42" s="19"/>
      <c r="GJP42" s="19"/>
      <c r="GJQ42" s="19"/>
      <c r="GJR42" s="19"/>
      <c r="GJS42" s="19"/>
      <c r="GJT42" s="19"/>
      <c r="GJU42" s="19"/>
      <c r="GJV42" s="19"/>
      <c r="GJW42" s="19"/>
      <c r="GJX42" s="19"/>
      <c r="GJY42" s="19"/>
      <c r="GJZ42" s="19"/>
      <c r="GKA42" s="19"/>
      <c r="GKB42" s="19"/>
      <c r="GKC42" s="19"/>
      <c r="GKD42" s="19"/>
      <c r="GKE42" s="19"/>
      <c r="GKF42" s="19"/>
      <c r="GKG42" s="19"/>
      <c r="GKH42" s="19"/>
      <c r="GKI42" s="19"/>
      <c r="GKJ42" s="19"/>
      <c r="GKK42" s="19"/>
      <c r="GKL42" s="19"/>
      <c r="GKM42" s="19"/>
      <c r="GKN42" s="19"/>
      <c r="GKO42" s="19"/>
      <c r="GKP42" s="19"/>
      <c r="GKQ42" s="19"/>
      <c r="GKR42" s="19"/>
      <c r="GKS42" s="19"/>
      <c r="GKT42" s="19"/>
      <c r="GKU42" s="19"/>
      <c r="GKV42" s="19"/>
      <c r="GKW42" s="19"/>
      <c r="GKX42" s="19"/>
      <c r="GKY42" s="19"/>
      <c r="GKZ42" s="19"/>
      <c r="GLA42" s="19"/>
      <c r="GLB42" s="19"/>
      <c r="GLC42" s="19"/>
      <c r="GLD42" s="19"/>
      <c r="GLE42" s="19"/>
      <c r="GLF42" s="19"/>
      <c r="GLG42" s="19"/>
      <c r="GLH42" s="19"/>
      <c r="GLI42" s="19"/>
      <c r="GLJ42" s="19"/>
      <c r="GLK42" s="19"/>
      <c r="GLL42" s="19"/>
      <c r="GLM42" s="19"/>
      <c r="GLN42" s="19"/>
      <c r="GLO42" s="19"/>
      <c r="GLP42" s="19"/>
      <c r="GLQ42" s="19"/>
      <c r="GLR42" s="19"/>
      <c r="GLS42" s="19"/>
      <c r="GLT42" s="19"/>
      <c r="GLU42" s="19"/>
      <c r="GLV42" s="19"/>
      <c r="GLW42" s="19"/>
      <c r="GLX42" s="19"/>
      <c r="GLY42" s="19"/>
      <c r="GLZ42" s="19"/>
      <c r="GMA42" s="19"/>
      <c r="GMB42" s="19"/>
      <c r="GMC42" s="19"/>
      <c r="GMD42" s="19"/>
      <c r="GME42" s="19"/>
      <c r="GMF42" s="19"/>
      <c r="GMG42" s="19"/>
      <c r="GMH42" s="19"/>
      <c r="GMI42" s="19"/>
      <c r="GMJ42" s="19"/>
      <c r="GMK42" s="19"/>
      <c r="GML42" s="19"/>
      <c r="GMM42" s="19"/>
      <c r="GMN42" s="19"/>
      <c r="GMO42" s="19"/>
      <c r="GMP42" s="19"/>
      <c r="GMQ42" s="19"/>
      <c r="GMR42" s="19"/>
      <c r="GMS42" s="19"/>
      <c r="GMT42" s="19"/>
      <c r="GMU42" s="19"/>
      <c r="GMV42" s="19"/>
      <c r="GMW42" s="19"/>
      <c r="GMX42" s="19"/>
      <c r="GMY42" s="19"/>
      <c r="GMZ42" s="19"/>
      <c r="GNA42" s="19"/>
      <c r="GNB42" s="19"/>
      <c r="GNC42" s="19"/>
      <c r="GND42" s="19"/>
      <c r="GNE42" s="19"/>
      <c r="GNF42" s="19"/>
      <c r="GNG42" s="19"/>
      <c r="GNH42" s="19"/>
      <c r="GNI42" s="19"/>
      <c r="GNJ42" s="19"/>
      <c r="GNK42" s="19"/>
      <c r="GNL42" s="19"/>
      <c r="GNM42" s="19"/>
      <c r="GNN42" s="19"/>
      <c r="GNO42" s="19"/>
      <c r="GNP42" s="19"/>
      <c r="GNQ42" s="19"/>
      <c r="GNR42" s="19"/>
      <c r="GNS42" s="19"/>
      <c r="GNT42" s="19"/>
      <c r="GNU42" s="19"/>
      <c r="GNV42" s="19"/>
      <c r="GNW42" s="19"/>
      <c r="GNX42" s="19"/>
      <c r="GNY42" s="19"/>
      <c r="GNZ42" s="19"/>
      <c r="GOA42" s="19"/>
      <c r="GOB42" s="19"/>
      <c r="GOC42" s="19"/>
      <c r="GOD42" s="19"/>
      <c r="GOE42" s="19"/>
      <c r="GOF42" s="19"/>
      <c r="GOG42" s="19"/>
      <c r="GOH42" s="19"/>
      <c r="GOI42" s="19"/>
      <c r="GOJ42" s="19"/>
      <c r="GOK42" s="19"/>
      <c r="GOL42" s="19"/>
      <c r="GOM42" s="19"/>
      <c r="GON42" s="19"/>
      <c r="GOO42" s="19"/>
      <c r="GOP42" s="19"/>
      <c r="GOQ42" s="19"/>
      <c r="GOR42" s="19"/>
      <c r="GOS42" s="19"/>
      <c r="GOT42" s="19"/>
      <c r="GOU42" s="19"/>
      <c r="GOV42" s="19"/>
      <c r="GOW42" s="19"/>
      <c r="GOX42" s="19"/>
      <c r="GOY42" s="19"/>
      <c r="GOZ42" s="19"/>
      <c r="GPA42" s="19"/>
      <c r="GPB42" s="19"/>
      <c r="GPC42" s="19"/>
      <c r="GPD42" s="19"/>
      <c r="GPE42" s="19"/>
      <c r="GPF42" s="19"/>
      <c r="GPG42" s="19"/>
      <c r="GPH42" s="19"/>
      <c r="GPI42" s="19"/>
      <c r="GPJ42" s="19"/>
      <c r="GPK42" s="19"/>
      <c r="GPL42" s="19"/>
      <c r="GPM42" s="19"/>
      <c r="GPN42" s="19"/>
      <c r="GPO42" s="19"/>
      <c r="GPP42" s="19"/>
      <c r="GPQ42" s="19"/>
      <c r="GPR42" s="19"/>
      <c r="GPS42" s="19"/>
      <c r="GPT42" s="19"/>
      <c r="GPU42" s="19"/>
      <c r="GPV42" s="19"/>
      <c r="GPW42" s="19"/>
      <c r="GPX42" s="19"/>
      <c r="GPY42" s="19"/>
      <c r="GPZ42" s="19"/>
      <c r="GQA42" s="19"/>
      <c r="GQB42" s="19"/>
      <c r="GQC42" s="19"/>
      <c r="GQD42" s="19"/>
      <c r="GQE42" s="19"/>
      <c r="GQF42" s="19"/>
      <c r="GQG42" s="19"/>
      <c r="GQH42" s="19"/>
      <c r="GQI42" s="19"/>
      <c r="GQJ42" s="19"/>
      <c r="GQK42" s="19"/>
      <c r="GQL42" s="19"/>
      <c r="GQM42" s="19"/>
      <c r="GQN42" s="19"/>
      <c r="GQO42" s="19"/>
      <c r="GQP42" s="19"/>
      <c r="GQQ42" s="19"/>
      <c r="GQR42" s="19"/>
      <c r="GQS42" s="19"/>
      <c r="GQT42" s="19"/>
      <c r="GQU42" s="19"/>
      <c r="GQV42" s="19"/>
      <c r="GQW42" s="19"/>
      <c r="GQX42" s="19"/>
      <c r="GQY42" s="19"/>
      <c r="GQZ42" s="19"/>
      <c r="GRA42" s="19"/>
      <c r="GRB42" s="19"/>
      <c r="GRC42" s="19"/>
      <c r="GRD42" s="19"/>
      <c r="GRE42" s="19"/>
      <c r="GRF42" s="19"/>
      <c r="GRG42" s="19"/>
      <c r="GRH42" s="19"/>
      <c r="GRI42" s="19"/>
      <c r="GRJ42" s="19"/>
      <c r="GRK42" s="19"/>
      <c r="GRL42" s="19"/>
      <c r="GRM42" s="19"/>
      <c r="GRN42" s="19"/>
      <c r="GRO42" s="19"/>
      <c r="GRP42" s="19"/>
      <c r="GRQ42" s="19"/>
      <c r="GRR42" s="19"/>
      <c r="GRS42" s="19"/>
      <c r="GRT42" s="19"/>
      <c r="GRU42" s="19"/>
      <c r="GRV42" s="19"/>
      <c r="GRW42" s="19"/>
      <c r="GRX42" s="19"/>
      <c r="GRY42" s="19"/>
      <c r="GRZ42" s="19"/>
      <c r="GSA42" s="19"/>
      <c r="GSB42" s="19"/>
      <c r="GSC42" s="19"/>
      <c r="GSD42" s="19"/>
      <c r="GSE42" s="19"/>
      <c r="GSF42" s="19"/>
      <c r="GSG42" s="19"/>
      <c r="GSH42" s="19"/>
      <c r="GSI42" s="19"/>
      <c r="GSJ42" s="19"/>
      <c r="GSK42" s="19"/>
      <c r="GSL42" s="19"/>
      <c r="GSM42" s="19"/>
      <c r="GSN42" s="19"/>
      <c r="GSO42" s="19"/>
      <c r="GSP42" s="19"/>
      <c r="GSQ42" s="19"/>
      <c r="GSR42" s="19"/>
      <c r="GSS42" s="19"/>
      <c r="GST42" s="19"/>
      <c r="GSU42" s="19"/>
      <c r="GSV42" s="19"/>
      <c r="GSW42" s="19"/>
      <c r="GSX42" s="19"/>
      <c r="GSY42" s="19"/>
      <c r="GSZ42" s="19"/>
      <c r="GTA42" s="19"/>
      <c r="GTB42" s="19"/>
      <c r="GTC42" s="19"/>
      <c r="GTD42" s="19"/>
      <c r="GTE42" s="19"/>
      <c r="GTF42" s="19"/>
      <c r="GTG42" s="19"/>
      <c r="GTH42" s="19"/>
      <c r="GTI42" s="19"/>
      <c r="GTJ42" s="19"/>
      <c r="GTK42" s="19"/>
      <c r="GTL42" s="19"/>
      <c r="GTM42" s="19"/>
      <c r="GTN42" s="19"/>
      <c r="GTO42" s="19"/>
      <c r="GTP42" s="19"/>
      <c r="GTQ42" s="19"/>
      <c r="GTR42" s="19"/>
      <c r="GTS42" s="19"/>
      <c r="GTT42" s="19"/>
      <c r="GTU42" s="19"/>
      <c r="GTV42" s="19"/>
      <c r="GTW42" s="19"/>
      <c r="GTX42" s="19"/>
      <c r="GTY42" s="19"/>
      <c r="GTZ42" s="19"/>
      <c r="GUA42" s="19"/>
      <c r="GUB42" s="19"/>
      <c r="GUC42" s="19"/>
      <c r="GUD42" s="19"/>
      <c r="GUE42" s="19"/>
      <c r="GUF42" s="19"/>
      <c r="GUG42" s="19"/>
      <c r="GUH42" s="19"/>
      <c r="GUI42" s="19"/>
      <c r="GUJ42" s="19"/>
      <c r="GUK42" s="19"/>
      <c r="GUL42" s="19"/>
      <c r="GUM42" s="19"/>
      <c r="GUN42" s="19"/>
      <c r="GUO42" s="19"/>
      <c r="GUP42" s="19"/>
      <c r="GUQ42" s="19"/>
      <c r="GUR42" s="19"/>
      <c r="GUS42" s="19"/>
      <c r="GUT42" s="19"/>
      <c r="GUU42" s="19"/>
      <c r="GUV42" s="19"/>
      <c r="GUW42" s="19"/>
      <c r="GUX42" s="19"/>
      <c r="GUY42" s="19"/>
      <c r="GUZ42" s="19"/>
      <c r="GVA42" s="19"/>
      <c r="GVB42" s="19"/>
      <c r="GVC42" s="19"/>
      <c r="GVD42" s="19"/>
      <c r="GVE42" s="19"/>
      <c r="GVF42" s="19"/>
      <c r="GVG42" s="19"/>
      <c r="GVH42" s="19"/>
      <c r="GVI42" s="19"/>
      <c r="GVJ42" s="19"/>
      <c r="GVK42" s="19"/>
      <c r="GVL42" s="19"/>
      <c r="GVM42" s="19"/>
      <c r="GVN42" s="19"/>
      <c r="GVO42" s="19"/>
      <c r="GVP42" s="19"/>
      <c r="GVQ42" s="19"/>
      <c r="GVR42" s="19"/>
      <c r="GVS42" s="19"/>
      <c r="GVT42" s="19"/>
      <c r="GVU42" s="19"/>
      <c r="GVV42" s="19"/>
      <c r="GVW42" s="19"/>
      <c r="GVX42" s="19"/>
      <c r="GVY42" s="19"/>
      <c r="GVZ42" s="19"/>
      <c r="GWA42" s="19"/>
      <c r="GWB42" s="19"/>
      <c r="GWC42" s="19"/>
      <c r="GWD42" s="19"/>
      <c r="GWE42" s="19"/>
      <c r="GWF42" s="19"/>
      <c r="GWG42" s="19"/>
      <c r="GWH42" s="19"/>
      <c r="GWI42" s="19"/>
      <c r="GWJ42" s="19"/>
      <c r="GWK42" s="19"/>
      <c r="GWL42" s="19"/>
      <c r="GWM42" s="19"/>
      <c r="GWN42" s="19"/>
      <c r="GWO42" s="19"/>
      <c r="GWP42" s="19"/>
      <c r="GWQ42" s="19"/>
      <c r="GWR42" s="19"/>
      <c r="GWS42" s="19"/>
      <c r="GWT42" s="19"/>
      <c r="GWU42" s="19"/>
      <c r="GWV42" s="19"/>
      <c r="GWW42" s="19"/>
      <c r="GWX42" s="19"/>
      <c r="GWY42" s="19"/>
      <c r="GWZ42" s="19"/>
      <c r="GXA42" s="19"/>
      <c r="GXB42" s="19"/>
      <c r="GXC42" s="19"/>
      <c r="GXD42" s="19"/>
      <c r="GXE42" s="19"/>
      <c r="GXF42" s="19"/>
      <c r="GXG42" s="19"/>
      <c r="GXH42" s="19"/>
      <c r="GXI42" s="19"/>
      <c r="GXJ42" s="19"/>
      <c r="GXK42" s="19"/>
      <c r="GXL42" s="19"/>
      <c r="GXM42" s="19"/>
      <c r="GXN42" s="19"/>
      <c r="GXO42" s="19"/>
      <c r="GXP42" s="19"/>
      <c r="GXQ42" s="19"/>
      <c r="GXR42" s="19"/>
      <c r="GXS42" s="19"/>
      <c r="GXT42" s="19"/>
      <c r="GXU42" s="19"/>
      <c r="GXV42" s="19"/>
      <c r="GXW42" s="19"/>
      <c r="GXX42" s="19"/>
      <c r="GXY42" s="19"/>
      <c r="GXZ42" s="19"/>
      <c r="GYA42" s="19"/>
      <c r="GYB42" s="19"/>
      <c r="GYC42" s="19"/>
      <c r="GYD42" s="19"/>
      <c r="GYE42" s="19"/>
      <c r="GYF42" s="19"/>
      <c r="GYG42" s="19"/>
      <c r="GYH42" s="19"/>
      <c r="GYI42" s="19"/>
      <c r="GYJ42" s="19"/>
      <c r="GYK42" s="19"/>
      <c r="GYL42" s="19"/>
      <c r="GYM42" s="19"/>
      <c r="GYN42" s="19"/>
      <c r="GYO42" s="19"/>
      <c r="GYP42" s="19"/>
      <c r="GYQ42" s="19"/>
      <c r="GYR42" s="19"/>
      <c r="GYS42" s="19"/>
      <c r="GYT42" s="19"/>
      <c r="GYU42" s="19"/>
      <c r="GYV42" s="19"/>
      <c r="GYW42" s="19"/>
      <c r="GYX42" s="19"/>
      <c r="GYY42" s="19"/>
      <c r="GYZ42" s="19"/>
      <c r="GZA42" s="19"/>
      <c r="GZB42" s="19"/>
      <c r="GZC42" s="19"/>
      <c r="GZD42" s="19"/>
      <c r="GZE42" s="19"/>
      <c r="GZF42" s="19"/>
      <c r="GZG42" s="19"/>
      <c r="GZH42" s="19"/>
      <c r="GZI42" s="19"/>
      <c r="GZJ42" s="19"/>
      <c r="GZK42" s="19"/>
      <c r="GZL42" s="19"/>
      <c r="GZM42" s="19"/>
      <c r="GZN42" s="19"/>
      <c r="GZO42" s="19"/>
      <c r="GZP42" s="19"/>
      <c r="GZQ42" s="19"/>
      <c r="GZR42" s="19"/>
      <c r="GZS42" s="19"/>
      <c r="GZT42" s="19"/>
      <c r="GZU42" s="19"/>
      <c r="GZV42" s="19"/>
      <c r="GZW42" s="19"/>
      <c r="GZX42" s="19"/>
      <c r="GZY42" s="19"/>
      <c r="GZZ42" s="19"/>
      <c r="HAA42" s="19"/>
      <c r="HAB42" s="19"/>
      <c r="HAC42" s="19"/>
      <c r="HAD42" s="19"/>
      <c r="HAE42" s="19"/>
      <c r="HAF42" s="19"/>
      <c r="HAG42" s="19"/>
      <c r="HAH42" s="19"/>
      <c r="HAI42" s="19"/>
      <c r="HAJ42" s="19"/>
      <c r="HAK42" s="19"/>
      <c r="HAL42" s="19"/>
      <c r="HAM42" s="19"/>
      <c r="HAN42" s="19"/>
      <c r="HAO42" s="19"/>
      <c r="HAP42" s="19"/>
      <c r="HAQ42" s="19"/>
      <c r="HAR42" s="19"/>
      <c r="HAS42" s="19"/>
      <c r="HAT42" s="19"/>
      <c r="HAU42" s="19"/>
      <c r="HAV42" s="19"/>
      <c r="HAW42" s="19"/>
      <c r="HAX42" s="19"/>
      <c r="HAY42" s="19"/>
      <c r="HAZ42" s="19"/>
      <c r="HBA42" s="19"/>
      <c r="HBB42" s="19"/>
      <c r="HBC42" s="19"/>
      <c r="HBD42" s="19"/>
      <c r="HBE42" s="19"/>
      <c r="HBF42" s="19"/>
      <c r="HBG42" s="19"/>
      <c r="HBH42" s="19"/>
      <c r="HBI42" s="19"/>
      <c r="HBJ42" s="19"/>
      <c r="HBK42" s="19"/>
      <c r="HBL42" s="19"/>
      <c r="HBM42" s="19"/>
      <c r="HBN42" s="19"/>
      <c r="HBO42" s="19"/>
      <c r="HBP42" s="19"/>
      <c r="HBQ42" s="19"/>
      <c r="HBR42" s="19"/>
      <c r="HBS42" s="19"/>
      <c r="HBT42" s="19"/>
      <c r="HBU42" s="19"/>
      <c r="HBV42" s="19"/>
      <c r="HBW42" s="19"/>
      <c r="HBX42" s="19"/>
      <c r="HBY42" s="19"/>
      <c r="HBZ42" s="19"/>
      <c r="HCA42" s="19"/>
      <c r="HCB42" s="19"/>
      <c r="HCC42" s="19"/>
      <c r="HCD42" s="19"/>
      <c r="HCE42" s="19"/>
      <c r="HCF42" s="19"/>
      <c r="HCG42" s="19"/>
      <c r="HCH42" s="19"/>
      <c r="HCI42" s="19"/>
      <c r="HCJ42" s="19"/>
      <c r="HCK42" s="19"/>
      <c r="HCL42" s="19"/>
      <c r="HCM42" s="19"/>
      <c r="HCN42" s="19"/>
      <c r="HCO42" s="19"/>
      <c r="HCP42" s="19"/>
      <c r="HCQ42" s="19"/>
      <c r="HCR42" s="19"/>
      <c r="HCS42" s="19"/>
      <c r="HCT42" s="19"/>
      <c r="HCU42" s="19"/>
      <c r="HCV42" s="19"/>
      <c r="HCW42" s="19"/>
      <c r="HCX42" s="19"/>
      <c r="HCY42" s="19"/>
      <c r="HCZ42" s="19"/>
      <c r="HDA42" s="19"/>
      <c r="HDB42" s="19"/>
      <c r="HDC42" s="19"/>
      <c r="HDD42" s="19"/>
      <c r="HDE42" s="19"/>
      <c r="HDF42" s="19"/>
      <c r="HDG42" s="19"/>
      <c r="HDH42" s="19"/>
      <c r="HDI42" s="19"/>
      <c r="HDJ42" s="19"/>
      <c r="HDK42" s="19"/>
      <c r="HDL42" s="19"/>
      <c r="HDM42" s="19"/>
      <c r="HDN42" s="19"/>
      <c r="HDO42" s="19"/>
      <c r="HDP42" s="19"/>
      <c r="HDQ42" s="19"/>
      <c r="HDR42" s="19"/>
      <c r="HDS42" s="19"/>
      <c r="HDT42" s="19"/>
      <c r="HDU42" s="19"/>
      <c r="HDV42" s="19"/>
      <c r="HDW42" s="19"/>
      <c r="HDX42" s="19"/>
      <c r="HDY42" s="19"/>
      <c r="HDZ42" s="19"/>
      <c r="HEA42" s="19"/>
      <c r="HEB42" s="19"/>
      <c r="HEC42" s="19"/>
      <c r="HED42" s="19"/>
      <c r="HEE42" s="19"/>
      <c r="HEF42" s="19"/>
      <c r="HEG42" s="19"/>
      <c r="HEH42" s="19"/>
      <c r="HEI42" s="19"/>
      <c r="HEJ42" s="19"/>
      <c r="HEK42" s="19"/>
      <c r="HEL42" s="19"/>
      <c r="HEM42" s="19"/>
      <c r="HEN42" s="19"/>
      <c r="HEO42" s="19"/>
      <c r="HEP42" s="19"/>
      <c r="HEQ42" s="19"/>
      <c r="HER42" s="19"/>
      <c r="HES42" s="19"/>
      <c r="HET42" s="19"/>
      <c r="HEU42" s="19"/>
      <c r="HEV42" s="19"/>
      <c r="HEW42" s="19"/>
      <c r="HEX42" s="19"/>
      <c r="HEY42" s="19"/>
      <c r="HEZ42" s="19"/>
      <c r="HFA42" s="19"/>
      <c r="HFB42" s="19"/>
      <c r="HFC42" s="19"/>
      <c r="HFD42" s="19"/>
      <c r="HFE42" s="19"/>
      <c r="HFF42" s="19"/>
      <c r="HFG42" s="19"/>
      <c r="HFH42" s="19"/>
      <c r="HFI42" s="19"/>
      <c r="HFJ42" s="19"/>
      <c r="HFK42" s="19"/>
      <c r="HFL42" s="19"/>
      <c r="HFM42" s="19"/>
      <c r="HFN42" s="19"/>
      <c r="HFO42" s="19"/>
      <c r="HFP42" s="19"/>
      <c r="HFQ42" s="19"/>
      <c r="HFR42" s="19"/>
      <c r="HFS42" s="19"/>
      <c r="HFT42" s="19"/>
      <c r="HFU42" s="19"/>
      <c r="HFV42" s="19"/>
      <c r="HFW42" s="19"/>
      <c r="HFX42" s="19"/>
      <c r="HFY42" s="19"/>
      <c r="HFZ42" s="19"/>
      <c r="HGA42" s="19"/>
      <c r="HGB42" s="19"/>
      <c r="HGC42" s="19"/>
      <c r="HGD42" s="19"/>
      <c r="HGE42" s="19"/>
      <c r="HGF42" s="19"/>
      <c r="HGG42" s="19"/>
      <c r="HGH42" s="19"/>
      <c r="HGI42" s="19"/>
      <c r="HGJ42" s="19"/>
      <c r="HGK42" s="19"/>
      <c r="HGL42" s="19"/>
      <c r="HGM42" s="19"/>
      <c r="HGN42" s="19"/>
      <c r="HGO42" s="19"/>
      <c r="HGP42" s="19"/>
      <c r="HGQ42" s="19"/>
      <c r="HGR42" s="19"/>
      <c r="HGS42" s="19"/>
      <c r="HGT42" s="19"/>
      <c r="HGU42" s="19"/>
      <c r="HGV42" s="19"/>
      <c r="HGW42" s="19"/>
      <c r="HGX42" s="19"/>
      <c r="HGY42" s="19"/>
      <c r="HGZ42" s="19"/>
      <c r="HHA42" s="19"/>
      <c r="HHB42" s="19"/>
      <c r="HHC42" s="19"/>
      <c r="HHD42" s="19"/>
      <c r="HHE42" s="19"/>
      <c r="HHF42" s="19"/>
      <c r="HHG42" s="19"/>
      <c r="HHH42" s="19"/>
      <c r="HHI42" s="19"/>
      <c r="HHJ42" s="19"/>
      <c r="HHK42" s="19"/>
      <c r="HHL42" s="19"/>
      <c r="HHM42" s="19"/>
      <c r="HHN42" s="19"/>
      <c r="HHO42" s="19"/>
      <c r="HHP42" s="19"/>
      <c r="HHQ42" s="19"/>
      <c r="HHR42" s="19"/>
      <c r="HHS42" s="19"/>
      <c r="HHT42" s="19"/>
      <c r="HHU42" s="19"/>
      <c r="HHV42" s="19"/>
      <c r="HHW42" s="19"/>
      <c r="HHX42" s="19"/>
      <c r="HHY42" s="19"/>
      <c r="HHZ42" s="19"/>
      <c r="HIA42" s="19"/>
      <c r="HIB42" s="19"/>
      <c r="HIC42" s="19"/>
      <c r="HID42" s="19"/>
      <c r="HIE42" s="19"/>
      <c r="HIF42" s="19"/>
      <c r="HIG42" s="19"/>
      <c r="HIH42" s="19"/>
      <c r="HII42" s="19"/>
      <c r="HIJ42" s="19"/>
      <c r="HIK42" s="19"/>
      <c r="HIL42" s="19"/>
      <c r="HIM42" s="19"/>
      <c r="HIN42" s="19"/>
      <c r="HIO42" s="19"/>
      <c r="HIP42" s="19"/>
      <c r="HIQ42" s="19"/>
      <c r="HIR42" s="19"/>
      <c r="HIS42" s="19"/>
      <c r="HIT42" s="19"/>
      <c r="HIU42" s="19"/>
      <c r="HIV42" s="19"/>
      <c r="HIW42" s="19"/>
      <c r="HIX42" s="19"/>
      <c r="HIY42" s="19"/>
      <c r="HIZ42" s="19"/>
      <c r="HJA42" s="19"/>
      <c r="HJB42" s="19"/>
      <c r="HJC42" s="19"/>
      <c r="HJD42" s="19"/>
      <c r="HJE42" s="19"/>
      <c r="HJF42" s="19"/>
      <c r="HJG42" s="19"/>
      <c r="HJH42" s="19"/>
      <c r="HJI42" s="19"/>
      <c r="HJJ42" s="19"/>
      <c r="HJK42" s="19"/>
      <c r="HJL42" s="19"/>
      <c r="HJM42" s="19"/>
      <c r="HJN42" s="19"/>
      <c r="HJO42" s="19"/>
      <c r="HJP42" s="19"/>
      <c r="HJQ42" s="19"/>
      <c r="HJR42" s="19"/>
      <c r="HJS42" s="19"/>
      <c r="HJT42" s="19"/>
      <c r="HJU42" s="19"/>
      <c r="HJV42" s="19"/>
      <c r="HJW42" s="19"/>
      <c r="HJX42" s="19"/>
      <c r="HJY42" s="19"/>
      <c r="HJZ42" s="19"/>
      <c r="HKA42" s="19"/>
      <c r="HKB42" s="19"/>
      <c r="HKC42" s="19"/>
      <c r="HKD42" s="19"/>
      <c r="HKE42" s="19"/>
      <c r="HKF42" s="19"/>
      <c r="HKG42" s="19"/>
      <c r="HKH42" s="19"/>
      <c r="HKI42" s="19"/>
      <c r="HKJ42" s="19"/>
      <c r="HKK42" s="19"/>
      <c r="HKL42" s="19"/>
      <c r="HKM42" s="19"/>
      <c r="HKN42" s="19"/>
      <c r="HKO42" s="19"/>
      <c r="HKP42" s="19"/>
      <c r="HKQ42" s="19"/>
      <c r="HKR42" s="19"/>
      <c r="HKS42" s="19"/>
      <c r="HKT42" s="19"/>
      <c r="HKU42" s="19"/>
      <c r="HKV42" s="19"/>
      <c r="HKW42" s="19"/>
      <c r="HKX42" s="19"/>
      <c r="HKY42" s="19"/>
      <c r="HKZ42" s="19"/>
      <c r="HLA42" s="19"/>
      <c r="HLB42" s="19"/>
      <c r="HLC42" s="19"/>
      <c r="HLD42" s="19"/>
      <c r="HLE42" s="19"/>
      <c r="HLF42" s="19"/>
      <c r="HLG42" s="19"/>
      <c r="HLH42" s="19"/>
      <c r="HLI42" s="19"/>
      <c r="HLJ42" s="19"/>
      <c r="HLK42" s="19"/>
      <c r="HLL42" s="19"/>
      <c r="HLM42" s="19"/>
      <c r="HLN42" s="19"/>
      <c r="HLO42" s="19"/>
      <c r="HLP42" s="19"/>
      <c r="HLQ42" s="19"/>
      <c r="HLR42" s="19"/>
      <c r="HLS42" s="19"/>
      <c r="HLT42" s="19"/>
      <c r="HLU42" s="19"/>
      <c r="HLV42" s="19"/>
      <c r="HLW42" s="19"/>
      <c r="HLX42" s="19"/>
      <c r="HLY42" s="19"/>
      <c r="HLZ42" s="19"/>
      <c r="HMA42" s="19"/>
      <c r="HMB42" s="19"/>
      <c r="HMC42" s="19"/>
      <c r="HMD42" s="19"/>
      <c r="HME42" s="19"/>
      <c r="HMF42" s="19"/>
      <c r="HMG42" s="19"/>
      <c r="HMH42" s="19"/>
      <c r="HMI42" s="19"/>
      <c r="HMJ42" s="19"/>
      <c r="HMK42" s="19"/>
      <c r="HML42" s="19"/>
      <c r="HMM42" s="19"/>
      <c r="HMN42" s="19"/>
      <c r="HMO42" s="19"/>
      <c r="HMP42" s="19"/>
      <c r="HMQ42" s="19"/>
      <c r="HMR42" s="19"/>
      <c r="HMS42" s="19"/>
      <c r="HMT42" s="19"/>
      <c r="HMU42" s="19"/>
      <c r="HMV42" s="19"/>
      <c r="HMW42" s="19"/>
      <c r="HMX42" s="19"/>
      <c r="HMY42" s="19"/>
      <c r="HMZ42" s="19"/>
      <c r="HNA42" s="19"/>
      <c r="HNB42" s="19"/>
      <c r="HNC42" s="19"/>
      <c r="HND42" s="19"/>
      <c r="HNE42" s="19"/>
      <c r="HNF42" s="19"/>
      <c r="HNG42" s="19"/>
      <c r="HNH42" s="19"/>
      <c r="HNI42" s="19"/>
      <c r="HNJ42" s="19"/>
      <c r="HNK42" s="19"/>
      <c r="HNL42" s="19"/>
      <c r="HNM42" s="19"/>
      <c r="HNN42" s="19"/>
      <c r="HNO42" s="19"/>
      <c r="HNP42" s="19"/>
      <c r="HNQ42" s="19"/>
      <c r="HNR42" s="19"/>
      <c r="HNS42" s="19"/>
      <c r="HNT42" s="19"/>
      <c r="HNU42" s="19"/>
      <c r="HNV42" s="19"/>
      <c r="HNW42" s="19"/>
      <c r="HNX42" s="19"/>
      <c r="HNY42" s="19"/>
      <c r="HNZ42" s="19"/>
      <c r="HOA42" s="19"/>
      <c r="HOB42" s="19"/>
      <c r="HOC42" s="19"/>
      <c r="HOD42" s="19"/>
      <c r="HOE42" s="19"/>
      <c r="HOF42" s="19"/>
      <c r="HOG42" s="19"/>
      <c r="HOH42" s="19"/>
      <c r="HOI42" s="19"/>
      <c r="HOJ42" s="19"/>
      <c r="HOK42" s="19"/>
      <c r="HOL42" s="19"/>
      <c r="HOM42" s="19"/>
      <c r="HON42" s="19"/>
      <c r="HOO42" s="19"/>
      <c r="HOP42" s="19"/>
      <c r="HOQ42" s="19"/>
      <c r="HOR42" s="19"/>
      <c r="HOS42" s="19"/>
      <c r="HOT42" s="19"/>
      <c r="HOU42" s="19"/>
      <c r="HOV42" s="19"/>
      <c r="HOW42" s="19"/>
      <c r="HOX42" s="19"/>
      <c r="HOY42" s="19"/>
      <c r="HOZ42" s="19"/>
      <c r="HPA42" s="19"/>
      <c r="HPB42" s="19"/>
      <c r="HPC42" s="19"/>
      <c r="HPD42" s="19"/>
      <c r="HPE42" s="19"/>
      <c r="HPF42" s="19"/>
      <c r="HPG42" s="19"/>
      <c r="HPH42" s="19"/>
      <c r="HPI42" s="19"/>
      <c r="HPJ42" s="19"/>
      <c r="HPK42" s="19"/>
      <c r="HPL42" s="19"/>
      <c r="HPM42" s="19"/>
      <c r="HPN42" s="19"/>
      <c r="HPO42" s="19"/>
      <c r="HPP42" s="19"/>
      <c r="HPQ42" s="19"/>
      <c r="HPR42" s="19"/>
      <c r="HPS42" s="19"/>
      <c r="HPT42" s="19"/>
      <c r="HPU42" s="19"/>
      <c r="HPV42" s="19"/>
      <c r="HPW42" s="19"/>
      <c r="HPX42" s="19"/>
      <c r="HPY42" s="19"/>
      <c r="HPZ42" s="19"/>
      <c r="HQA42" s="19"/>
      <c r="HQB42" s="19"/>
      <c r="HQC42" s="19"/>
      <c r="HQD42" s="19"/>
      <c r="HQE42" s="19"/>
      <c r="HQF42" s="19"/>
      <c r="HQG42" s="19"/>
      <c r="HQH42" s="19"/>
      <c r="HQI42" s="19"/>
      <c r="HQJ42" s="19"/>
      <c r="HQK42" s="19"/>
      <c r="HQL42" s="19"/>
      <c r="HQM42" s="19"/>
      <c r="HQN42" s="19"/>
      <c r="HQO42" s="19"/>
      <c r="HQP42" s="19"/>
      <c r="HQQ42" s="19"/>
      <c r="HQR42" s="19"/>
      <c r="HQS42" s="19"/>
      <c r="HQT42" s="19"/>
      <c r="HQU42" s="19"/>
      <c r="HQV42" s="19"/>
      <c r="HQW42" s="19"/>
      <c r="HQX42" s="19"/>
      <c r="HQY42" s="19"/>
      <c r="HQZ42" s="19"/>
      <c r="HRA42" s="19"/>
      <c r="HRB42" s="19"/>
      <c r="HRC42" s="19"/>
      <c r="HRD42" s="19"/>
      <c r="HRE42" s="19"/>
      <c r="HRF42" s="19"/>
      <c r="HRG42" s="19"/>
      <c r="HRH42" s="19"/>
      <c r="HRI42" s="19"/>
      <c r="HRJ42" s="19"/>
      <c r="HRK42" s="19"/>
      <c r="HRL42" s="19"/>
      <c r="HRM42" s="19"/>
      <c r="HRN42" s="19"/>
      <c r="HRO42" s="19"/>
      <c r="HRP42" s="19"/>
      <c r="HRQ42" s="19"/>
      <c r="HRR42" s="19"/>
      <c r="HRS42" s="19"/>
      <c r="HRT42" s="19"/>
      <c r="HRU42" s="19"/>
      <c r="HRV42" s="19"/>
      <c r="HRW42" s="19"/>
      <c r="HRX42" s="19"/>
      <c r="HRY42" s="19"/>
      <c r="HRZ42" s="19"/>
      <c r="HSA42" s="19"/>
      <c r="HSB42" s="19"/>
      <c r="HSC42" s="19"/>
      <c r="HSD42" s="19"/>
      <c r="HSE42" s="19"/>
      <c r="HSF42" s="19"/>
      <c r="HSG42" s="19"/>
      <c r="HSH42" s="19"/>
      <c r="HSI42" s="19"/>
      <c r="HSJ42" s="19"/>
      <c r="HSK42" s="19"/>
      <c r="HSL42" s="19"/>
      <c r="HSM42" s="19"/>
      <c r="HSN42" s="19"/>
      <c r="HSO42" s="19"/>
      <c r="HSP42" s="19"/>
      <c r="HSQ42" s="19"/>
      <c r="HSR42" s="19"/>
      <c r="HSS42" s="19"/>
      <c r="HST42" s="19"/>
      <c r="HSU42" s="19"/>
      <c r="HSV42" s="19"/>
      <c r="HSW42" s="19"/>
      <c r="HSX42" s="19"/>
      <c r="HSY42" s="19"/>
      <c r="HSZ42" s="19"/>
      <c r="HTA42" s="19"/>
      <c r="HTB42" s="19"/>
      <c r="HTC42" s="19"/>
      <c r="HTD42" s="19"/>
      <c r="HTE42" s="19"/>
      <c r="HTF42" s="19"/>
      <c r="HTG42" s="19"/>
      <c r="HTH42" s="19"/>
      <c r="HTI42" s="19"/>
      <c r="HTJ42" s="19"/>
      <c r="HTK42" s="19"/>
      <c r="HTL42" s="19"/>
      <c r="HTM42" s="19"/>
      <c r="HTN42" s="19"/>
      <c r="HTO42" s="19"/>
      <c r="HTP42" s="19"/>
      <c r="HTQ42" s="19"/>
      <c r="HTR42" s="19"/>
      <c r="HTS42" s="19"/>
      <c r="HTT42" s="19"/>
      <c r="HTU42" s="19"/>
      <c r="HTV42" s="19"/>
      <c r="HTW42" s="19"/>
      <c r="HTX42" s="19"/>
      <c r="HTY42" s="19"/>
      <c r="HTZ42" s="19"/>
      <c r="HUA42" s="19"/>
      <c r="HUB42" s="19"/>
      <c r="HUC42" s="19"/>
      <c r="HUD42" s="19"/>
      <c r="HUE42" s="19"/>
      <c r="HUF42" s="19"/>
      <c r="HUG42" s="19"/>
      <c r="HUH42" s="19"/>
      <c r="HUI42" s="19"/>
      <c r="HUJ42" s="19"/>
      <c r="HUK42" s="19"/>
      <c r="HUL42" s="19"/>
      <c r="HUM42" s="19"/>
      <c r="HUN42" s="19"/>
      <c r="HUO42" s="19"/>
      <c r="HUP42" s="19"/>
      <c r="HUQ42" s="19"/>
      <c r="HUR42" s="19"/>
      <c r="HUS42" s="19"/>
      <c r="HUT42" s="19"/>
      <c r="HUU42" s="19"/>
      <c r="HUV42" s="19"/>
      <c r="HUW42" s="19"/>
      <c r="HUX42" s="19"/>
      <c r="HUY42" s="19"/>
      <c r="HUZ42" s="19"/>
      <c r="HVA42" s="19"/>
      <c r="HVB42" s="19"/>
      <c r="HVC42" s="19"/>
      <c r="HVD42" s="19"/>
      <c r="HVE42" s="19"/>
      <c r="HVF42" s="19"/>
      <c r="HVG42" s="19"/>
      <c r="HVH42" s="19"/>
      <c r="HVI42" s="19"/>
      <c r="HVJ42" s="19"/>
      <c r="HVK42" s="19"/>
      <c r="HVL42" s="19"/>
      <c r="HVM42" s="19"/>
      <c r="HVN42" s="19"/>
      <c r="HVO42" s="19"/>
      <c r="HVP42" s="19"/>
      <c r="HVQ42" s="19"/>
      <c r="HVR42" s="19"/>
      <c r="HVS42" s="19"/>
      <c r="HVT42" s="19"/>
      <c r="HVU42" s="19"/>
      <c r="HVV42" s="19"/>
      <c r="HVW42" s="19"/>
      <c r="HVX42" s="19"/>
      <c r="HVY42" s="19"/>
      <c r="HVZ42" s="19"/>
      <c r="HWA42" s="19"/>
      <c r="HWB42" s="19"/>
      <c r="HWC42" s="19"/>
      <c r="HWD42" s="19"/>
      <c r="HWE42" s="19"/>
      <c r="HWF42" s="19"/>
      <c r="HWG42" s="19"/>
      <c r="HWH42" s="19"/>
      <c r="HWI42" s="19"/>
      <c r="HWJ42" s="19"/>
      <c r="HWK42" s="19"/>
      <c r="HWL42" s="19"/>
      <c r="HWM42" s="19"/>
      <c r="HWN42" s="19"/>
      <c r="HWO42" s="19"/>
      <c r="HWP42" s="19"/>
      <c r="HWQ42" s="19"/>
      <c r="HWR42" s="19"/>
      <c r="HWS42" s="19"/>
      <c r="HWT42" s="19"/>
      <c r="HWU42" s="19"/>
      <c r="HWV42" s="19"/>
      <c r="HWW42" s="19"/>
      <c r="HWX42" s="19"/>
      <c r="HWY42" s="19"/>
      <c r="HWZ42" s="19"/>
      <c r="HXA42" s="19"/>
      <c r="HXB42" s="19"/>
      <c r="HXC42" s="19"/>
      <c r="HXD42" s="19"/>
      <c r="HXE42" s="19"/>
      <c r="HXF42" s="19"/>
      <c r="HXG42" s="19"/>
      <c r="HXH42" s="19"/>
      <c r="HXI42" s="19"/>
      <c r="HXJ42" s="19"/>
      <c r="HXK42" s="19"/>
      <c r="HXL42" s="19"/>
      <c r="HXM42" s="19"/>
      <c r="HXN42" s="19"/>
      <c r="HXO42" s="19"/>
      <c r="HXP42" s="19"/>
      <c r="HXQ42" s="19"/>
      <c r="HXR42" s="19"/>
      <c r="HXS42" s="19"/>
      <c r="HXT42" s="19"/>
      <c r="HXU42" s="19"/>
      <c r="HXV42" s="19"/>
      <c r="HXW42" s="19"/>
      <c r="HXX42" s="19"/>
      <c r="HXY42" s="19"/>
      <c r="HXZ42" s="19"/>
      <c r="HYA42" s="19"/>
      <c r="HYB42" s="19"/>
      <c r="HYC42" s="19"/>
      <c r="HYD42" s="19"/>
      <c r="HYE42" s="19"/>
      <c r="HYF42" s="19"/>
      <c r="HYG42" s="19"/>
      <c r="HYH42" s="19"/>
      <c r="HYI42" s="19"/>
      <c r="HYJ42" s="19"/>
      <c r="HYK42" s="19"/>
      <c r="HYL42" s="19"/>
      <c r="HYM42" s="19"/>
      <c r="HYN42" s="19"/>
      <c r="HYO42" s="19"/>
      <c r="HYP42" s="19"/>
      <c r="HYQ42" s="19"/>
      <c r="HYR42" s="19"/>
      <c r="HYS42" s="19"/>
      <c r="HYT42" s="19"/>
      <c r="HYU42" s="19"/>
      <c r="HYV42" s="19"/>
      <c r="HYW42" s="19"/>
      <c r="HYX42" s="19"/>
      <c r="HYY42" s="19"/>
      <c r="HYZ42" s="19"/>
      <c r="HZA42" s="19"/>
      <c r="HZB42" s="19"/>
      <c r="HZC42" s="19"/>
      <c r="HZD42" s="19"/>
      <c r="HZE42" s="19"/>
      <c r="HZF42" s="19"/>
      <c r="HZG42" s="19"/>
      <c r="HZH42" s="19"/>
      <c r="HZI42" s="19"/>
      <c r="HZJ42" s="19"/>
      <c r="HZK42" s="19"/>
      <c r="HZL42" s="19"/>
      <c r="HZM42" s="19"/>
      <c r="HZN42" s="19"/>
      <c r="HZO42" s="19"/>
      <c r="HZP42" s="19"/>
      <c r="HZQ42" s="19"/>
      <c r="HZR42" s="19"/>
      <c r="HZS42" s="19"/>
      <c r="HZT42" s="19"/>
      <c r="HZU42" s="19"/>
      <c r="HZV42" s="19"/>
      <c r="HZW42" s="19"/>
      <c r="HZX42" s="19"/>
      <c r="HZY42" s="19"/>
      <c r="HZZ42" s="19"/>
      <c r="IAA42" s="19"/>
      <c r="IAB42" s="19"/>
      <c r="IAC42" s="19"/>
      <c r="IAD42" s="19"/>
      <c r="IAE42" s="19"/>
      <c r="IAF42" s="19"/>
      <c r="IAG42" s="19"/>
      <c r="IAH42" s="19"/>
      <c r="IAI42" s="19"/>
      <c r="IAJ42" s="19"/>
      <c r="IAK42" s="19"/>
      <c r="IAL42" s="19"/>
      <c r="IAM42" s="19"/>
      <c r="IAN42" s="19"/>
      <c r="IAO42" s="19"/>
      <c r="IAP42" s="19"/>
      <c r="IAQ42" s="19"/>
      <c r="IAR42" s="19"/>
      <c r="IAS42" s="19"/>
      <c r="IAT42" s="19"/>
      <c r="IAU42" s="19"/>
      <c r="IAV42" s="19"/>
      <c r="IAW42" s="19"/>
      <c r="IAX42" s="19"/>
      <c r="IAY42" s="19"/>
      <c r="IAZ42" s="19"/>
      <c r="IBA42" s="19"/>
      <c r="IBB42" s="19"/>
      <c r="IBC42" s="19"/>
      <c r="IBD42" s="19"/>
      <c r="IBE42" s="19"/>
      <c r="IBF42" s="19"/>
      <c r="IBG42" s="19"/>
      <c r="IBH42" s="19"/>
      <c r="IBI42" s="19"/>
      <c r="IBJ42" s="19"/>
      <c r="IBK42" s="19"/>
      <c r="IBL42" s="19"/>
      <c r="IBM42" s="19"/>
      <c r="IBN42" s="19"/>
      <c r="IBO42" s="19"/>
      <c r="IBP42" s="19"/>
      <c r="IBQ42" s="19"/>
      <c r="IBR42" s="19"/>
      <c r="IBS42" s="19"/>
      <c r="IBT42" s="19"/>
      <c r="IBU42" s="19"/>
      <c r="IBV42" s="19"/>
      <c r="IBW42" s="19"/>
      <c r="IBX42" s="19"/>
      <c r="IBY42" s="19"/>
      <c r="IBZ42" s="19"/>
      <c r="ICA42" s="19"/>
      <c r="ICB42" s="19"/>
      <c r="ICC42" s="19"/>
      <c r="ICD42" s="19"/>
      <c r="ICE42" s="19"/>
      <c r="ICF42" s="19"/>
      <c r="ICG42" s="19"/>
      <c r="ICH42" s="19"/>
      <c r="ICI42" s="19"/>
      <c r="ICJ42" s="19"/>
      <c r="ICK42" s="19"/>
      <c r="ICL42" s="19"/>
      <c r="ICM42" s="19"/>
      <c r="ICN42" s="19"/>
      <c r="ICO42" s="19"/>
      <c r="ICP42" s="19"/>
      <c r="ICQ42" s="19"/>
      <c r="ICR42" s="19"/>
      <c r="ICS42" s="19"/>
      <c r="ICT42" s="19"/>
      <c r="ICU42" s="19"/>
      <c r="ICV42" s="19"/>
      <c r="ICW42" s="19"/>
      <c r="ICX42" s="19"/>
      <c r="ICY42" s="19"/>
      <c r="ICZ42" s="19"/>
      <c r="IDA42" s="19"/>
      <c r="IDB42" s="19"/>
      <c r="IDC42" s="19"/>
      <c r="IDD42" s="19"/>
      <c r="IDE42" s="19"/>
      <c r="IDF42" s="19"/>
      <c r="IDG42" s="19"/>
      <c r="IDH42" s="19"/>
      <c r="IDI42" s="19"/>
      <c r="IDJ42" s="19"/>
      <c r="IDK42" s="19"/>
      <c r="IDL42" s="19"/>
      <c r="IDM42" s="19"/>
      <c r="IDN42" s="19"/>
      <c r="IDO42" s="19"/>
      <c r="IDP42" s="19"/>
      <c r="IDQ42" s="19"/>
      <c r="IDR42" s="19"/>
      <c r="IDS42" s="19"/>
      <c r="IDT42" s="19"/>
      <c r="IDU42" s="19"/>
      <c r="IDV42" s="19"/>
      <c r="IDW42" s="19"/>
      <c r="IDX42" s="19"/>
      <c r="IDY42" s="19"/>
      <c r="IDZ42" s="19"/>
      <c r="IEA42" s="19"/>
      <c r="IEB42" s="19"/>
      <c r="IEC42" s="19"/>
      <c r="IED42" s="19"/>
      <c r="IEE42" s="19"/>
      <c r="IEF42" s="19"/>
      <c r="IEG42" s="19"/>
      <c r="IEH42" s="19"/>
      <c r="IEI42" s="19"/>
      <c r="IEJ42" s="19"/>
      <c r="IEK42" s="19"/>
      <c r="IEL42" s="19"/>
      <c r="IEM42" s="19"/>
      <c r="IEN42" s="19"/>
      <c r="IEO42" s="19"/>
      <c r="IEP42" s="19"/>
      <c r="IEQ42" s="19"/>
      <c r="IER42" s="19"/>
      <c r="IES42" s="19"/>
      <c r="IET42" s="19"/>
      <c r="IEU42" s="19"/>
      <c r="IEV42" s="19"/>
      <c r="IEW42" s="19"/>
      <c r="IEX42" s="19"/>
      <c r="IEY42" s="19"/>
      <c r="IEZ42" s="19"/>
      <c r="IFA42" s="19"/>
      <c r="IFB42" s="19"/>
      <c r="IFC42" s="19"/>
      <c r="IFD42" s="19"/>
      <c r="IFE42" s="19"/>
      <c r="IFF42" s="19"/>
      <c r="IFG42" s="19"/>
      <c r="IFH42" s="19"/>
      <c r="IFI42" s="19"/>
      <c r="IFJ42" s="19"/>
      <c r="IFK42" s="19"/>
      <c r="IFL42" s="19"/>
      <c r="IFM42" s="19"/>
      <c r="IFN42" s="19"/>
      <c r="IFO42" s="19"/>
      <c r="IFP42" s="19"/>
      <c r="IFQ42" s="19"/>
      <c r="IFR42" s="19"/>
      <c r="IFS42" s="19"/>
      <c r="IFT42" s="19"/>
      <c r="IFU42" s="19"/>
      <c r="IFV42" s="19"/>
      <c r="IFW42" s="19"/>
      <c r="IFX42" s="19"/>
      <c r="IFY42" s="19"/>
      <c r="IFZ42" s="19"/>
      <c r="IGA42" s="19"/>
      <c r="IGB42" s="19"/>
      <c r="IGC42" s="19"/>
      <c r="IGD42" s="19"/>
      <c r="IGE42" s="19"/>
      <c r="IGF42" s="19"/>
      <c r="IGG42" s="19"/>
      <c r="IGH42" s="19"/>
      <c r="IGI42" s="19"/>
      <c r="IGJ42" s="19"/>
      <c r="IGK42" s="19"/>
      <c r="IGL42" s="19"/>
      <c r="IGM42" s="19"/>
      <c r="IGN42" s="19"/>
      <c r="IGO42" s="19"/>
      <c r="IGP42" s="19"/>
      <c r="IGQ42" s="19"/>
      <c r="IGR42" s="19"/>
      <c r="IGS42" s="19"/>
      <c r="IGT42" s="19"/>
      <c r="IGU42" s="19"/>
      <c r="IGV42" s="19"/>
      <c r="IGW42" s="19"/>
      <c r="IGX42" s="19"/>
      <c r="IGY42" s="19"/>
      <c r="IGZ42" s="19"/>
      <c r="IHA42" s="19"/>
      <c r="IHB42" s="19"/>
      <c r="IHC42" s="19"/>
      <c r="IHD42" s="19"/>
      <c r="IHE42" s="19"/>
      <c r="IHF42" s="19"/>
      <c r="IHG42" s="19"/>
      <c r="IHH42" s="19"/>
      <c r="IHI42" s="19"/>
      <c r="IHJ42" s="19"/>
      <c r="IHK42" s="19"/>
      <c r="IHL42" s="19"/>
      <c r="IHM42" s="19"/>
      <c r="IHN42" s="19"/>
      <c r="IHO42" s="19"/>
      <c r="IHP42" s="19"/>
      <c r="IHQ42" s="19"/>
      <c r="IHR42" s="19"/>
      <c r="IHS42" s="19"/>
      <c r="IHT42" s="19"/>
      <c r="IHU42" s="19"/>
      <c r="IHV42" s="19"/>
      <c r="IHW42" s="19"/>
      <c r="IHX42" s="19"/>
      <c r="IHY42" s="19"/>
      <c r="IHZ42" s="19"/>
      <c r="IIA42" s="19"/>
      <c r="IIB42" s="19"/>
      <c r="IIC42" s="19"/>
      <c r="IID42" s="19"/>
      <c r="IIE42" s="19"/>
      <c r="IIF42" s="19"/>
      <c r="IIG42" s="19"/>
      <c r="IIH42" s="19"/>
      <c r="III42" s="19"/>
      <c r="IIJ42" s="19"/>
      <c r="IIK42" s="19"/>
      <c r="IIL42" s="19"/>
      <c r="IIM42" s="19"/>
      <c r="IIN42" s="19"/>
      <c r="IIO42" s="19"/>
      <c r="IIP42" s="19"/>
      <c r="IIQ42" s="19"/>
      <c r="IIR42" s="19"/>
      <c r="IIS42" s="19"/>
      <c r="IIT42" s="19"/>
      <c r="IIU42" s="19"/>
      <c r="IIV42" s="19"/>
      <c r="IIW42" s="19"/>
      <c r="IIX42" s="19"/>
      <c r="IIY42" s="19"/>
      <c r="IIZ42" s="19"/>
      <c r="IJA42" s="19"/>
      <c r="IJB42" s="19"/>
      <c r="IJC42" s="19"/>
      <c r="IJD42" s="19"/>
      <c r="IJE42" s="19"/>
      <c r="IJF42" s="19"/>
      <c r="IJG42" s="19"/>
      <c r="IJH42" s="19"/>
      <c r="IJI42" s="19"/>
      <c r="IJJ42" s="19"/>
      <c r="IJK42" s="19"/>
      <c r="IJL42" s="19"/>
      <c r="IJM42" s="19"/>
      <c r="IJN42" s="19"/>
      <c r="IJO42" s="19"/>
      <c r="IJP42" s="19"/>
      <c r="IJQ42" s="19"/>
      <c r="IJR42" s="19"/>
      <c r="IJS42" s="19"/>
      <c r="IJT42" s="19"/>
      <c r="IJU42" s="19"/>
      <c r="IJV42" s="19"/>
      <c r="IJW42" s="19"/>
      <c r="IJX42" s="19"/>
      <c r="IJY42" s="19"/>
      <c r="IJZ42" s="19"/>
      <c r="IKA42" s="19"/>
      <c r="IKB42" s="19"/>
      <c r="IKC42" s="19"/>
      <c r="IKD42" s="19"/>
      <c r="IKE42" s="19"/>
      <c r="IKF42" s="19"/>
      <c r="IKG42" s="19"/>
      <c r="IKH42" s="19"/>
      <c r="IKI42" s="19"/>
      <c r="IKJ42" s="19"/>
      <c r="IKK42" s="19"/>
      <c r="IKL42" s="19"/>
      <c r="IKM42" s="19"/>
      <c r="IKN42" s="19"/>
      <c r="IKO42" s="19"/>
      <c r="IKP42" s="19"/>
      <c r="IKQ42" s="19"/>
      <c r="IKR42" s="19"/>
      <c r="IKS42" s="19"/>
      <c r="IKT42" s="19"/>
      <c r="IKU42" s="19"/>
      <c r="IKV42" s="19"/>
      <c r="IKW42" s="19"/>
      <c r="IKX42" s="19"/>
      <c r="IKY42" s="19"/>
      <c r="IKZ42" s="19"/>
      <c r="ILA42" s="19"/>
      <c r="ILB42" s="19"/>
      <c r="ILC42" s="19"/>
      <c r="ILD42" s="19"/>
      <c r="ILE42" s="19"/>
      <c r="ILF42" s="19"/>
      <c r="ILG42" s="19"/>
      <c r="ILH42" s="19"/>
      <c r="ILI42" s="19"/>
      <c r="ILJ42" s="19"/>
      <c r="ILK42" s="19"/>
      <c r="ILL42" s="19"/>
      <c r="ILM42" s="19"/>
      <c r="ILN42" s="19"/>
      <c r="ILO42" s="19"/>
      <c r="ILP42" s="19"/>
      <c r="ILQ42" s="19"/>
      <c r="ILR42" s="19"/>
      <c r="ILS42" s="19"/>
      <c r="ILT42" s="19"/>
      <c r="ILU42" s="19"/>
      <c r="ILV42" s="19"/>
      <c r="ILW42" s="19"/>
      <c r="ILX42" s="19"/>
      <c r="ILY42" s="19"/>
      <c r="ILZ42" s="19"/>
      <c r="IMA42" s="19"/>
      <c r="IMB42" s="19"/>
      <c r="IMC42" s="19"/>
      <c r="IMD42" s="19"/>
      <c r="IME42" s="19"/>
      <c r="IMF42" s="19"/>
      <c r="IMG42" s="19"/>
      <c r="IMH42" s="19"/>
      <c r="IMI42" s="19"/>
      <c r="IMJ42" s="19"/>
      <c r="IMK42" s="19"/>
      <c r="IML42" s="19"/>
      <c r="IMM42" s="19"/>
      <c r="IMN42" s="19"/>
      <c r="IMO42" s="19"/>
      <c r="IMP42" s="19"/>
      <c r="IMQ42" s="19"/>
      <c r="IMR42" s="19"/>
      <c r="IMS42" s="19"/>
      <c r="IMT42" s="19"/>
      <c r="IMU42" s="19"/>
      <c r="IMV42" s="19"/>
      <c r="IMW42" s="19"/>
      <c r="IMX42" s="19"/>
      <c r="IMY42" s="19"/>
      <c r="IMZ42" s="19"/>
      <c r="INA42" s="19"/>
      <c r="INB42" s="19"/>
      <c r="INC42" s="19"/>
      <c r="IND42" s="19"/>
      <c r="INE42" s="19"/>
      <c r="INF42" s="19"/>
      <c r="ING42" s="19"/>
      <c r="INH42" s="19"/>
      <c r="INI42" s="19"/>
      <c r="INJ42" s="19"/>
      <c r="INK42" s="19"/>
      <c r="INL42" s="19"/>
      <c r="INM42" s="19"/>
      <c r="INN42" s="19"/>
      <c r="INO42" s="19"/>
      <c r="INP42" s="19"/>
      <c r="INQ42" s="19"/>
      <c r="INR42" s="19"/>
      <c r="INS42" s="19"/>
      <c r="INT42" s="19"/>
      <c r="INU42" s="19"/>
      <c r="INV42" s="19"/>
      <c r="INW42" s="19"/>
      <c r="INX42" s="19"/>
      <c r="INY42" s="19"/>
      <c r="INZ42" s="19"/>
      <c r="IOA42" s="19"/>
      <c r="IOB42" s="19"/>
      <c r="IOC42" s="19"/>
      <c r="IOD42" s="19"/>
      <c r="IOE42" s="19"/>
      <c r="IOF42" s="19"/>
      <c r="IOG42" s="19"/>
      <c r="IOH42" s="19"/>
      <c r="IOI42" s="19"/>
      <c r="IOJ42" s="19"/>
      <c r="IOK42" s="19"/>
      <c r="IOL42" s="19"/>
      <c r="IOM42" s="19"/>
      <c r="ION42" s="19"/>
      <c r="IOO42" s="19"/>
      <c r="IOP42" s="19"/>
      <c r="IOQ42" s="19"/>
      <c r="IOR42" s="19"/>
      <c r="IOS42" s="19"/>
      <c r="IOT42" s="19"/>
      <c r="IOU42" s="19"/>
      <c r="IOV42" s="19"/>
      <c r="IOW42" s="19"/>
      <c r="IOX42" s="19"/>
      <c r="IOY42" s="19"/>
      <c r="IOZ42" s="19"/>
      <c r="IPA42" s="19"/>
      <c r="IPB42" s="19"/>
      <c r="IPC42" s="19"/>
      <c r="IPD42" s="19"/>
      <c r="IPE42" s="19"/>
      <c r="IPF42" s="19"/>
      <c r="IPG42" s="19"/>
      <c r="IPH42" s="19"/>
      <c r="IPI42" s="19"/>
      <c r="IPJ42" s="19"/>
      <c r="IPK42" s="19"/>
      <c r="IPL42" s="19"/>
      <c r="IPM42" s="19"/>
      <c r="IPN42" s="19"/>
      <c r="IPO42" s="19"/>
      <c r="IPP42" s="19"/>
      <c r="IPQ42" s="19"/>
      <c r="IPR42" s="19"/>
      <c r="IPS42" s="19"/>
      <c r="IPT42" s="19"/>
      <c r="IPU42" s="19"/>
      <c r="IPV42" s="19"/>
      <c r="IPW42" s="19"/>
      <c r="IPX42" s="19"/>
      <c r="IPY42" s="19"/>
      <c r="IPZ42" s="19"/>
      <c r="IQA42" s="19"/>
      <c r="IQB42" s="19"/>
      <c r="IQC42" s="19"/>
      <c r="IQD42" s="19"/>
      <c r="IQE42" s="19"/>
      <c r="IQF42" s="19"/>
      <c r="IQG42" s="19"/>
      <c r="IQH42" s="19"/>
      <c r="IQI42" s="19"/>
      <c r="IQJ42" s="19"/>
      <c r="IQK42" s="19"/>
      <c r="IQL42" s="19"/>
      <c r="IQM42" s="19"/>
      <c r="IQN42" s="19"/>
      <c r="IQO42" s="19"/>
      <c r="IQP42" s="19"/>
      <c r="IQQ42" s="19"/>
      <c r="IQR42" s="19"/>
      <c r="IQS42" s="19"/>
      <c r="IQT42" s="19"/>
      <c r="IQU42" s="19"/>
      <c r="IQV42" s="19"/>
      <c r="IQW42" s="19"/>
      <c r="IQX42" s="19"/>
      <c r="IQY42" s="19"/>
      <c r="IQZ42" s="19"/>
      <c r="IRA42" s="19"/>
      <c r="IRB42" s="19"/>
      <c r="IRC42" s="19"/>
      <c r="IRD42" s="19"/>
      <c r="IRE42" s="19"/>
      <c r="IRF42" s="19"/>
      <c r="IRG42" s="19"/>
      <c r="IRH42" s="19"/>
      <c r="IRI42" s="19"/>
      <c r="IRJ42" s="19"/>
      <c r="IRK42" s="19"/>
      <c r="IRL42" s="19"/>
      <c r="IRM42" s="19"/>
      <c r="IRN42" s="19"/>
      <c r="IRO42" s="19"/>
      <c r="IRP42" s="19"/>
      <c r="IRQ42" s="19"/>
      <c r="IRR42" s="19"/>
      <c r="IRS42" s="19"/>
      <c r="IRT42" s="19"/>
      <c r="IRU42" s="19"/>
      <c r="IRV42" s="19"/>
      <c r="IRW42" s="19"/>
      <c r="IRX42" s="19"/>
      <c r="IRY42" s="19"/>
      <c r="IRZ42" s="19"/>
      <c r="ISA42" s="19"/>
      <c r="ISB42" s="19"/>
      <c r="ISC42" s="19"/>
      <c r="ISD42" s="19"/>
      <c r="ISE42" s="19"/>
      <c r="ISF42" s="19"/>
      <c r="ISG42" s="19"/>
      <c r="ISH42" s="19"/>
      <c r="ISI42" s="19"/>
      <c r="ISJ42" s="19"/>
      <c r="ISK42" s="19"/>
      <c r="ISL42" s="19"/>
      <c r="ISM42" s="19"/>
      <c r="ISN42" s="19"/>
      <c r="ISO42" s="19"/>
      <c r="ISP42" s="19"/>
      <c r="ISQ42" s="19"/>
      <c r="ISR42" s="19"/>
      <c r="ISS42" s="19"/>
      <c r="IST42" s="19"/>
      <c r="ISU42" s="19"/>
      <c r="ISV42" s="19"/>
      <c r="ISW42" s="19"/>
      <c r="ISX42" s="19"/>
      <c r="ISY42" s="19"/>
      <c r="ISZ42" s="19"/>
      <c r="ITA42" s="19"/>
      <c r="ITB42" s="19"/>
      <c r="ITC42" s="19"/>
      <c r="ITD42" s="19"/>
      <c r="ITE42" s="19"/>
      <c r="ITF42" s="19"/>
      <c r="ITG42" s="19"/>
      <c r="ITH42" s="19"/>
      <c r="ITI42" s="19"/>
      <c r="ITJ42" s="19"/>
      <c r="ITK42" s="19"/>
      <c r="ITL42" s="19"/>
      <c r="ITM42" s="19"/>
      <c r="ITN42" s="19"/>
      <c r="ITO42" s="19"/>
      <c r="ITP42" s="19"/>
      <c r="ITQ42" s="19"/>
      <c r="ITR42" s="19"/>
      <c r="ITS42" s="19"/>
      <c r="ITT42" s="19"/>
      <c r="ITU42" s="19"/>
      <c r="ITV42" s="19"/>
      <c r="ITW42" s="19"/>
      <c r="ITX42" s="19"/>
      <c r="ITY42" s="19"/>
      <c r="ITZ42" s="19"/>
      <c r="IUA42" s="19"/>
      <c r="IUB42" s="19"/>
      <c r="IUC42" s="19"/>
      <c r="IUD42" s="19"/>
      <c r="IUE42" s="19"/>
      <c r="IUF42" s="19"/>
      <c r="IUG42" s="19"/>
      <c r="IUH42" s="19"/>
      <c r="IUI42" s="19"/>
      <c r="IUJ42" s="19"/>
      <c r="IUK42" s="19"/>
      <c r="IUL42" s="19"/>
      <c r="IUM42" s="19"/>
      <c r="IUN42" s="19"/>
      <c r="IUO42" s="19"/>
      <c r="IUP42" s="19"/>
      <c r="IUQ42" s="19"/>
      <c r="IUR42" s="19"/>
      <c r="IUS42" s="19"/>
      <c r="IUT42" s="19"/>
      <c r="IUU42" s="19"/>
      <c r="IUV42" s="19"/>
      <c r="IUW42" s="19"/>
      <c r="IUX42" s="19"/>
      <c r="IUY42" s="19"/>
      <c r="IUZ42" s="19"/>
      <c r="IVA42" s="19"/>
      <c r="IVB42" s="19"/>
      <c r="IVC42" s="19"/>
      <c r="IVD42" s="19"/>
      <c r="IVE42" s="19"/>
      <c r="IVF42" s="19"/>
      <c r="IVG42" s="19"/>
      <c r="IVH42" s="19"/>
      <c r="IVI42" s="19"/>
      <c r="IVJ42" s="19"/>
      <c r="IVK42" s="19"/>
      <c r="IVL42" s="19"/>
      <c r="IVM42" s="19"/>
      <c r="IVN42" s="19"/>
      <c r="IVO42" s="19"/>
      <c r="IVP42" s="19"/>
      <c r="IVQ42" s="19"/>
      <c r="IVR42" s="19"/>
      <c r="IVS42" s="19"/>
      <c r="IVT42" s="19"/>
      <c r="IVU42" s="19"/>
      <c r="IVV42" s="19"/>
      <c r="IVW42" s="19"/>
      <c r="IVX42" s="19"/>
      <c r="IVY42" s="19"/>
      <c r="IVZ42" s="19"/>
      <c r="IWA42" s="19"/>
      <c r="IWB42" s="19"/>
      <c r="IWC42" s="19"/>
      <c r="IWD42" s="19"/>
      <c r="IWE42" s="19"/>
      <c r="IWF42" s="19"/>
      <c r="IWG42" s="19"/>
      <c r="IWH42" s="19"/>
      <c r="IWI42" s="19"/>
      <c r="IWJ42" s="19"/>
      <c r="IWK42" s="19"/>
      <c r="IWL42" s="19"/>
      <c r="IWM42" s="19"/>
      <c r="IWN42" s="19"/>
      <c r="IWO42" s="19"/>
      <c r="IWP42" s="19"/>
      <c r="IWQ42" s="19"/>
      <c r="IWR42" s="19"/>
      <c r="IWS42" s="19"/>
      <c r="IWT42" s="19"/>
      <c r="IWU42" s="19"/>
      <c r="IWV42" s="19"/>
      <c r="IWW42" s="19"/>
      <c r="IWX42" s="19"/>
      <c r="IWY42" s="19"/>
      <c r="IWZ42" s="19"/>
      <c r="IXA42" s="19"/>
      <c r="IXB42" s="19"/>
      <c r="IXC42" s="19"/>
      <c r="IXD42" s="19"/>
      <c r="IXE42" s="19"/>
      <c r="IXF42" s="19"/>
      <c r="IXG42" s="19"/>
      <c r="IXH42" s="19"/>
      <c r="IXI42" s="19"/>
      <c r="IXJ42" s="19"/>
      <c r="IXK42" s="19"/>
      <c r="IXL42" s="19"/>
      <c r="IXM42" s="19"/>
      <c r="IXN42" s="19"/>
      <c r="IXO42" s="19"/>
      <c r="IXP42" s="19"/>
      <c r="IXQ42" s="19"/>
      <c r="IXR42" s="19"/>
      <c r="IXS42" s="19"/>
      <c r="IXT42" s="19"/>
      <c r="IXU42" s="19"/>
      <c r="IXV42" s="19"/>
      <c r="IXW42" s="19"/>
      <c r="IXX42" s="19"/>
      <c r="IXY42" s="19"/>
      <c r="IXZ42" s="19"/>
      <c r="IYA42" s="19"/>
      <c r="IYB42" s="19"/>
      <c r="IYC42" s="19"/>
      <c r="IYD42" s="19"/>
      <c r="IYE42" s="19"/>
      <c r="IYF42" s="19"/>
      <c r="IYG42" s="19"/>
      <c r="IYH42" s="19"/>
      <c r="IYI42" s="19"/>
      <c r="IYJ42" s="19"/>
      <c r="IYK42" s="19"/>
      <c r="IYL42" s="19"/>
      <c r="IYM42" s="19"/>
      <c r="IYN42" s="19"/>
      <c r="IYO42" s="19"/>
      <c r="IYP42" s="19"/>
      <c r="IYQ42" s="19"/>
      <c r="IYR42" s="19"/>
      <c r="IYS42" s="19"/>
      <c r="IYT42" s="19"/>
      <c r="IYU42" s="19"/>
      <c r="IYV42" s="19"/>
      <c r="IYW42" s="19"/>
      <c r="IYX42" s="19"/>
      <c r="IYY42" s="19"/>
      <c r="IYZ42" s="19"/>
      <c r="IZA42" s="19"/>
      <c r="IZB42" s="19"/>
      <c r="IZC42" s="19"/>
      <c r="IZD42" s="19"/>
      <c r="IZE42" s="19"/>
      <c r="IZF42" s="19"/>
      <c r="IZG42" s="19"/>
      <c r="IZH42" s="19"/>
      <c r="IZI42" s="19"/>
      <c r="IZJ42" s="19"/>
      <c r="IZK42" s="19"/>
      <c r="IZL42" s="19"/>
      <c r="IZM42" s="19"/>
      <c r="IZN42" s="19"/>
      <c r="IZO42" s="19"/>
      <c r="IZP42" s="19"/>
      <c r="IZQ42" s="19"/>
      <c r="IZR42" s="19"/>
      <c r="IZS42" s="19"/>
      <c r="IZT42" s="19"/>
      <c r="IZU42" s="19"/>
      <c r="IZV42" s="19"/>
      <c r="IZW42" s="19"/>
      <c r="IZX42" s="19"/>
      <c r="IZY42" s="19"/>
      <c r="IZZ42" s="19"/>
      <c r="JAA42" s="19"/>
      <c r="JAB42" s="19"/>
      <c r="JAC42" s="19"/>
      <c r="JAD42" s="19"/>
      <c r="JAE42" s="19"/>
      <c r="JAF42" s="19"/>
      <c r="JAG42" s="19"/>
      <c r="JAH42" s="19"/>
      <c r="JAI42" s="19"/>
      <c r="JAJ42" s="19"/>
      <c r="JAK42" s="19"/>
      <c r="JAL42" s="19"/>
      <c r="JAM42" s="19"/>
      <c r="JAN42" s="19"/>
      <c r="JAO42" s="19"/>
      <c r="JAP42" s="19"/>
      <c r="JAQ42" s="19"/>
      <c r="JAR42" s="19"/>
      <c r="JAS42" s="19"/>
      <c r="JAT42" s="19"/>
      <c r="JAU42" s="19"/>
      <c r="JAV42" s="19"/>
      <c r="JAW42" s="19"/>
      <c r="JAX42" s="19"/>
      <c r="JAY42" s="19"/>
      <c r="JAZ42" s="19"/>
      <c r="JBA42" s="19"/>
      <c r="JBB42" s="19"/>
      <c r="JBC42" s="19"/>
      <c r="JBD42" s="19"/>
      <c r="JBE42" s="19"/>
      <c r="JBF42" s="19"/>
      <c r="JBG42" s="19"/>
      <c r="JBH42" s="19"/>
      <c r="JBI42" s="19"/>
      <c r="JBJ42" s="19"/>
      <c r="JBK42" s="19"/>
      <c r="JBL42" s="19"/>
      <c r="JBM42" s="19"/>
      <c r="JBN42" s="19"/>
      <c r="JBO42" s="19"/>
      <c r="JBP42" s="19"/>
      <c r="JBQ42" s="19"/>
      <c r="JBR42" s="19"/>
      <c r="JBS42" s="19"/>
      <c r="JBT42" s="19"/>
      <c r="JBU42" s="19"/>
      <c r="JBV42" s="19"/>
      <c r="JBW42" s="19"/>
      <c r="JBX42" s="19"/>
      <c r="JBY42" s="19"/>
      <c r="JBZ42" s="19"/>
      <c r="JCA42" s="19"/>
      <c r="JCB42" s="19"/>
      <c r="JCC42" s="19"/>
      <c r="JCD42" s="19"/>
      <c r="JCE42" s="19"/>
      <c r="JCF42" s="19"/>
      <c r="JCG42" s="19"/>
      <c r="JCH42" s="19"/>
      <c r="JCI42" s="19"/>
      <c r="JCJ42" s="19"/>
      <c r="JCK42" s="19"/>
      <c r="JCL42" s="19"/>
      <c r="JCM42" s="19"/>
      <c r="JCN42" s="19"/>
      <c r="JCO42" s="19"/>
      <c r="JCP42" s="19"/>
      <c r="JCQ42" s="19"/>
      <c r="JCR42" s="19"/>
      <c r="JCS42" s="19"/>
      <c r="JCT42" s="19"/>
      <c r="JCU42" s="19"/>
      <c r="JCV42" s="19"/>
      <c r="JCW42" s="19"/>
      <c r="JCX42" s="19"/>
      <c r="JCY42" s="19"/>
      <c r="JCZ42" s="19"/>
      <c r="JDA42" s="19"/>
      <c r="JDB42" s="19"/>
      <c r="JDC42" s="19"/>
      <c r="JDD42" s="19"/>
      <c r="JDE42" s="19"/>
      <c r="JDF42" s="19"/>
      <c r="JDG42" s="19"/>
      <c r="JDH42" s="19"/>
      <c r="JDI42" s="19"/>
      <c r="JDJ42" s="19"/>
      <c r="JDK42" s="19"/>
      <c r="JDL42" s="19"/>
      <c r="JDM42" s="19"/>
      <c r="JDN42" s="19"/>
      <c r="JDO42" s="19"/>
      <c r="JDP42" s="19"/>
      <c r="JDQ42" s="19"/>
      <c r="JDR42" s="19"/>
      <c r="JDS42" s="19"/>
      <c r="JDT42" s="19"/>
      <c r="JDU42" s="19"/>
      <c r="JDV42" s="19"/>
      <c r="JDW42" s="19"/>
      <c r="JDX42" s="19"/>
      <c r="JDY42" s="19"/>
      <c r="JDZ42" s="19"/>
      <c r="JEA42" s="19"/>
      <c r="JEB42" s="19"/>
      <c r="JEC42" s="19"/>
      <c r="JED42" s="19"/>
      <c r="JEE42" s="19"/>
      <c r="JEF42" s="19"/>
      <c r="JEG42" s="19"/>
      <c r="JEH42" s="19"/>
      <c r="JEI42" s="19"/>
      <c r="JEJ42" s="19"/>
      <c r="JEK42" s="19"/>
      <c r="JEL42" s="19"/>
      <c r="JEM42" s="19"/>
      <c r="JEN42" s="19"/>
      <c r="JEO42" s="19"/>
      <c r="JEP42" s="19"/>
      <c r="JEQ42" s="19"/>
      <c r="JER42" s="19"/>
      <c r="JES42" s="19"/>
      <c r="JET42" s="19"/>
      <c r="JEU42" s="19"/>
      <c r="JEV42" s="19"/>
      <c r="JEW42" s="19"/>
      <c r="JEX42" s="19"/>
      <c r="JEY42" s="19"/>
      <c r="JEZ42" s="19"/>
      <c r="JFA42" s="19"/>
      <c r="JFB42" s="19"/>
      <c r="JFC42" s="19"/>
      <c r="JFD42" s="19"/>
      <c r="JFE42" s="19"/>
      <c r="JFF42" s="19"/>
      <c r="JFG42" s="19"/>
      <c r="JFH42" s="19"/>
      <c r="JFI42" s="19"/>
      <c r="JFJ42" s="19"/>
      <c r="JFK42" s="19"/>
      <c r="JFL42" s="19"/>
      <c r="JFM42" s="19"/>
      <c r="JFN42" s="19"/>
      <c r="JFO42" s="19"/>
      <c r="JFP42" s="19"/>
      <c r="JFQ42" s="19"/>
      <c r="JFR42" s="19"/>
      <c r="JFS42" s="19"/>
      <c r="JFT42" s="19"/>
      <c r="JFU42" s="19"/>
      <c r="JFV42" s="19"/>
      <c r="JFW42" s="19"/>
      <c r="JFX42" s="19"/>
      <c r="JFY42" s="19"/>
      <c r="JFZ42" s="19"/>
      <c r="JGA42" s="19"/>
      <c r="JGB42" s="19"/>
      <c r="JGC42" s="19"/>
      <c r="JGD42" s="19"/>
      <c r="JGE42" s="19"/>
      <c r="JGF42" s="19"/>
      <c r="JGG42" s="19"/>
      <c r="JGH42" s="19"/>
      <c r="JGI42" s="19"/>
      <c r="JGJ42" s="19"/>
      <c r="JGK42" s="19"/>
      <c r="JGL42" s="19"/>
      <c r="JGM42" s="19"/>
      <c r="JGN42" s="19"/>
      <c r="JGO42" s="19"/>
      <c r="JGP42" s="19"/>
      <c r="JGQ42" s="19"/>
      <c r="JGR42" s="19"/>
      <c r="JGS42" s="19"/>
      <c r="JGT42" s="19"/>
      <c r="JGU42" s="19"/>
      <c r="JGV42" s="19"/>
      <c r="JGW42" s="19"/>
      <c r="JGX42" s="19"/>
      <c r="JGY42" s="19"/>
      <c r="JGZ42" s="19"/>
      <c r="JHA42" s="19"/>
      <c r="JHB42" s="19"/>
      <c r="JHC42" s="19"/>
      <c r="JHD42" s="19"/>
      <c r="JHE42" s="19"/>
      <c r="JHF42" s="19"/>
      <c r="JHG42" s="19"/>
      <c r="JHH42" s="19"/>
      <c r="JHI42" s="19"/>
      <c r="JHJ42" s="19"/>
      <c r="JHK42" s="19"/>
      <c r="JHL42" s="19"/>
      <c r="JHM42" s="19"/>
      <c r="JHN42" s="19"/>
      <c r="JHO42" s="19"/>
      <c r="JHP42" s="19"/>
      <c r="JHQ42" s="19"/>
      <c r="JHR42" s="19"/>
      <c r="JHS42" s="19"/>
      <c r="JHT42" s="19"/>
      <c r="JHU42" s="19"/>
      <c r="JHV42" s="19"/>
      <c r="JHW42" s="19"/>
      <c r="JHX42" s="19"/>
      <c r="JHY42" s="19"/>
      <c r="JHZ42" s="19"/>
      <c r="JIA42" s="19"/>
      <c r="JIB42" s="19"/>
      <c r="JIC42" s="19"/>
      <c r="JID42" s="19"/>
      <c r="JIE42" s="19"/>
      <c r="JIF42" s="19"/>
      <c r="JIG42" s="19"/>
      <c r="JIH42" s="19"/>
      <c r="JII42" s="19"/>
      <c r="JIJ42" s="19"/>
      <c r="JIK42" s="19"/>
      <c r="JIL42" s="19"/>
      <c r="JIM42" s="19"/>
      <c r="JIN42" s="19"/>
      <c r="JIO42" s="19"/>
      <c r="JIP42" s="19"/>
      <c r="JIQ42" s="19"/>
      <c r="JIR42" s="19"/>
      <c r="JIS42" s="19"/>
      <c r="JIT42" s="19"/>
      <c r="JIU42" s="19"/>
      <c r="JIV42" s="19"/>
      <c r="JIW42" s="19"/>
      <c r="JIX42" s="19"/>
      <c r="JIY42" s="19"/>
      <c r="JIZ42" s="19"/>
      <c r="JJA42" s="19"/>
      <c r="JJB42" s="19"/>
      <c r="JJC42" s="19"/>
      <c r="JJD42" s="19"/>
      <c r="JJE42" s="19"/>
      <c r="JJF42" s="19"/>
      <c r="JJG42" s="19"/>
      <c r="JJH42" s="19"/>
      <c r="JJI42" s="19"/>
      <c r="JJJ42" s="19"/>
      <c r="JJK42" s="19"/>
      <c r="JJL42" s="19"/>
      <c r="JJM42" s="19"/>
      <c r="JJN42" s="19"/>
      <c r="JJO42" s="19"/>
      <c r="JJP42" s="19"/>
      <c r="JJQ42" s="19"/>
      <c r="JJR42" s="19"/>
      <c r="JJS42" s="19"/>
      <c r="JJT42" s="19"/>
      <c r="JJU42" s="19"/>
      <c r="JJV42" s="19"/>
      <c r="JJW42" s="19"/>
      <c r="JJX42" s="19"/>
      <c r="JJY42" s="19"/>
      <c r="JJZ42" s="19"/>
      <c r="JKA42" s="19"/>
      <c r="JKB42" s="19"/>
      <c r="JKC42" s="19"/>
      <c r="JKD42" s="19"/>
      <c r="JKE42" s="19"/>
      <c r="JKF42" s="19"/>
      <c r="JKG42" s="19"/>
      <c r="JKH42" s="19"/>
      <c r="JKI42" s="19"/>
      <c r="JKJ42" s="19"/>
      <c r="JKK42" s="19"/>
      <c r="JKL42" s="19"/>
      <c r="JKM42" s="19"/>
      <c r="JKN42" s="19"/>
      <c r="JKO42" s="19"/>
      <c r="JKP42" s="19"/>
      <c r="JKQ42" s="19"/>
      <c r="JKR42" s="19"/>
      <c r="JKS42" s="19"/>
      <c r="JKT42" s="19"/>
      <c r="JKU42" s="19"/>
      <c r="JKV42" s="19"/>
      <c r="JKW42" s="19"/>
      <c r="JKX42" s="19"/>
      <c r="JKY42" s="19"/>
      <c r="JKZ42" s="19"/>
      <c r="JLA42" s="19"/>
      <c r="JLB42" s="19"/>
      <c r="JLC42" s="19"/>
      <c r="JLD42" s="19"/>
      <c r="JLE42" s="19"/>
      <c r="JLF42" s="19"/>
      <c r="JLG42" s="19"/>
      <c r="JLH42" s="19"/>
      <c r="JLI42" s="19"/>
      <c r="JLJ42" s="19"/>
      <c r="JLK42" s="19"/>
      <c r="JLL42" s="19"/>
      <c r="JLM42" s="19"/>
      <c r="JLN42" s="19"/>
      <c r="JLO42" s="19"/>
      <c r="JLP42" s="19"/>
      <c r="JLQ42" s="19"/>
      <c r="JLR42" s="19"/>
      <c r="JLS42" s="19"/>
      <c r="JLT42" s="19"/>
      <c r="JLU42" s="19"/>
      <c r="JLV42" s="19"/>
      <c r="JLW42" s="19"/>
      <c r="JLX42" s="19"/>
      <c r="JLY42" s="19"/>
      <c r="JLZ42" s="19"/>
      <c r="JMA42" s="19"/>
      <c r="JMB42" s="19"/>
      <c r="JMC42" s="19"/>
      <c r="JMD42" s="19"/>
      <c r="JME42" s="19"/>
      <c r="JMF42" s="19"/>
      <c r="JMG42" s="19"/>
      <c r="JMH42" s="19"/>
      <c r="JMI42" s="19"/>
      <c r="JMJ42" s="19"/>
      <c r="JMK42" s="19"/>
      <c r="JML42" s="19"/>
      <c r="JMM42" s="19"/>
      <c r="JMN42" s="19"/>
      <c r="JMO42" s="19"/>
      <c r="JMP42" s="19"/>
      <c r="JMQ42" s="19"/>
      <c r="JMR42" s="19"/>
      <c r="JMS42" s="19"/>
      <c r="JMT42" s="19"/>
      <c r="JMU42" s="19"/>
      <c r="JMV42" s="19"/>
      <c r="JMW42" s="19"/>
      <c r="JMX42" s="19"/>
      <c r="JMY42" s="19"/>
      <c r="JMZ42" s="19"/>
      <c r="JNA42" s="19"/>
      <c r="JNB42" s="19"/>
      <c r="JNC42" s="19"/>
      <c r="JND42" s="19"/>
      <c r="JNE42" s="19"/>
      <c r="JNF42" s="19"/>
      <c r="JNG42" s="19"/>
      <c r="JNH42" s="19"/>
      <c r="JNI42" s="19"/>
      <c r="JNJ42" s="19"/>
      <c r="JNK42" s="19"/>
      <c r="JNL42" s="19"/>
      <c r="JNM42" s="19"/>
      <c r="JNN42" s="19"/>
      <c r="JNO42" s="19"/>
      <c r="JNP42" s="19"/>
      <c r="JNQ42" s="19"/>
      <c r="JNR42" s="19"/>
      <c r="JNS42" s="19"/>
      <c r="JNT42" s="19"/>
      <c r="JNU42" s="19"/>
      <c r="JNV42" s="19"/>
      <c r="JNW42" s="19"/>
      <c r="JNX42" s="19"/>
      <c r="JNY42" s="19"/>
      <c r="JNZ42" s="19"/>
      <c r="JOA42" s="19"/>
      <c r="JOB42" s="19"/>
      <c r="JOC42" s="19"/>
      <c r="JOD42" s="19"/>
      <c r="JOE42" s="19"/>
      <c r="JOF42" s="19"/>
      <c r="JOG42" s="19"/>
      <c r="JOH42" s="19"/>
      <c r="JOI42" s="19"/>
      <c r="JOJ42" s="19"/>
      <c r="JOK42" s="19"/>
      <c r="JOL42" s="19"/>
      <c r="JOM42" s="19"/>
      <c r="JON42" s="19"/>
      <c r="JOO42" s="19"/>
      <c r="JOP42" s="19"/>
      <c r="JOQ42" s="19"/>
      <c r="JOR42" s="19"/>
      <c r="JOS42" s="19"/>
      <c r="JOT42" s="19"/>
      <c r="JOU42" s="19"/>
      <c r="JOV42" s="19"/>
      <c r="JOW42" s="19"/>
      <c r="JOX42" s="19"/>
      <c r="JOY42" s="19"/>
      <c r="JOZ42" s="19"/>
      <c r="JPA42" s="19"/>
      <c r="JPB42" s="19"/>
      <c r="JPC42" s="19"/>
      <c r="JPD42" s="19"/>
      <c r="JPE42" s="19"/>
      <c r="JPF42" s="19"/>
      <c r="JPG42" s="19"/>
      <c r="JPH42" s="19"/>
      <c r="JPI42" s="19"/>
      <c r="JPJ42" s="19"/>
      <c r="JPK42" s="19"/>
      <c r="JPL42" s="19"/>
      <c r="JPM42" s="19"/>
      <c r="JPN42" s="19"/>
      <c r="JPO42" s="19"/>
      <c r="JPP42" s="19"/>
      <c r="JPQ42" s="19"/>
      <c r="JPR42" s="19"/>
      <c r="JPS42" s="19"/>
      <c r="JPT42" s="19"/>
      <c r="JPU42" s="19"/>
      <c r="JPV42" s="19"/>
      <c r="JPW42" s="19"/>
      <c r="JPX42" s="19"/>
      <c r="JPY42" s="19"/>
      <c r="JPZ42" s="19"/>
      <c r="JQA42" s="19"/>
      <c r="JQB42" s="19"/>
      <c r="JQC42" s="19"/>
      <c r="JQD42" s="19"/>
      <c r="JQE42" s="19"/>
      <c r="JQF42" s="19"/>
      <c r="JQG42" s="19"/>
      <c r="JQH42" s="19"/>
      <c r="JQI42" s="19"/>
      <c r="JQJ42" s="19"/>
      <c r="JQK42" s="19"/>
      <c r="JQL42" s="19"/>
      <c r="JQM42" s="19"/>
      <c r="JQN42" s="19"/>
      <c r="JQO42" s="19"/>
      <c r="JQP42" s="19"/>
      <c r="JQQ42" s="19"/>
      <c r="JQR42" s="19"/>
      <c r="JQS42" s="19"/>
      <c r="JQT42" s="19"/>
      <c r="JQU42" s="19"/>
      <c r="JQV42" s="19"/>
      <c r="JQW42" s="19"/>
      <c r="JQX42" s="19"/>
      <c r="JQY42" s="19"/>
      <c r="JQZ42" s="19"/>
      <c r="JRA42" s="19"/>
      <c r="JRB42" s="19"/>
      <c r="JRC42" s="19"/>
      <c r="JRD42" s="19"/>
      <c r="JRE42" s="19"/>
      <c r="JRF42" s="19"/>
      <c r="JRG42" s="19"/>
      <c r="JRH42" s="19"/>
      <c r="JRI42" s="19"/>
      <c r="JRJ42" s="19"/>
      <c r="JRK42" s="19"/>
      <c r="JRL42" s="19"/>
      <c r="JRM42" s="19"/>
      <c r="JRN42" s="19"/>
      <c r="JRO42" s="19"/>
      <c r="JRP42" s="19"/>
      <c r="JRQ42" s="19"/>
      <c r="JRR42" s="19"/>
      <c r="JRS42" s="19"/>
      <c r="JRT42" s="19"/>
      <c r="JRU42" s="19"/>
      <c r="JRV42" s="19"/>
      <c r="JRW42" s="19"/>
      <c r="JRX42" s="19"/>
      <c r="JRY42" s="19"/>
      <c r="JRZ42" s="19"/>
      <c r="JSA42" s="19"/>
      <c r="JSB42" s="19"/>
      <c r="JSC42" s="19"/>
      <c r="JSD42" s="19"/>
      <c r="JSE42" s="19"/>
      <c r="JSF42" s="19"/>
      <c r="JSG42" s="19"/>
      <c r="JSH42" s="19"/>
      <c r="JSI42" s="19"/>
      <c r="JSJ42" s="19"/>
      <c r="JSK42" s="19"/>
      <c r="JSL42" s="19"/>
      <c r="JSM42" s="19"/>
      <c r="JSN42" s="19"/>
      <c r="JSO42" s="19"/>
      <c r="JSP42" s="19"/>
      <c r="JSQ42" s="19"/>
      <c r="JSR42" s="19"/>
      <c r="JSS42" s="19"/>
      <c r="JST42" s="19"/>
      <c r="JSU42" s="19"/>
      <c r="JSV42" s="19"/>
      <c r="JSW42" s="19"/>
      <c r="JSX42" s="19"/>
      <c r="JSY42" s="19"/>
      <c r="JSZ42" s="19"/>
      <c r="JTA42" s="19"/>
      <c r="JTB42" s="19"/>
      <c r="JTC42" s="19"/>
      <c r="JTD42" s="19"/>
      <c r="JTE42" s="19"/>
      <c r="JTF42" s="19"/>
      <c r="JTG42" s="19"/>
      <c r="JTH42" s="19"/>
      <c r="JTI42" s="19"/>
      <c r="JTJ42" s="19"/>
      <c r="JTK42" s="19"/>
      <c r="JTL42" s="19"/>
      <c r="JTM42" s="19"/>
      <c r="JTN42" s="19"/>
      <c r="JTO42" s="19"/>
      <c r="JTP42" s="19"/>
      <c r="JTQ42" s="19"/>
      <c r="JTR42" s="19"/>
      <c r="JTS42" s="19"/>
      <c r="JTT42" s="19"/>
      <c r="JTU42" s="19"/>
      <c r="JTV42" s="19"/>
      <c r="JTW42" s="19"/>
      <c r="JTX42" s="19"/>
      <c r="JTY42" s="19"/>
      <c r="JTZ42" s="19"/>
      <c r="JUA42" s="19"/>
      <c r="JUB42" s="19"/>
      <c r="JUC42" s="19"/>
      <c r="JUD42" s="19"/>
      <c r="JUE42" s="19"/>
      <c r="JUF42" s="19"/>
      <c r="JUG42" s="19"/>
      <c r="JUH42" s="19"/>
      <c r="JUI42" s="19"/>
      <c r="JUJ42" s="19"/>
      <c r="JUK42" s="19"/>
      <c r="JUL42" s="19"/>
      <c r="JUM42" s="19"/>
      <c r="JUN42" s="19"/>
      <c r="JUO42" s="19"/>
      <c r="JUP42" s="19"/>
      <c r="JUQ42" s="19"/>
      <c r="JUR42" s="19"/>
      <c r="JUS42" s="19"/>
      <c r="JUT42" s="19"/>
      <c r="JUU42" s="19"/>
      <c r="JUV42" s="19"/>
      <c r="JUW42" s="19"/>
      <c r="JUX42" s="19"/>
      <c r="JUY42" s="19"/>
      <c r="JUZ42" s="19"/>
      <c r="JVA42" s="19"/>
      <c r="JVB42" s="19"/>
      <c r="JVC42" s="19"/>
      <c r="JVD42" s="19"/>
      <c r="JVE42" s="19"/>
      <c r="JVF42" s="19"/>
      <c r="JVG42" s="19"/>
      <c r="JVH42" s="19"/>
      <c r="JVI42" s="19"/>
      <c r="JVJ42" s="19"/>
      <c r="JVK42" s="19"/>
      <c r="JVL42" s="19"/>
      <c r="JVM42" s="19"/>
      <c r="JVN42" s="19"/>
      <c r="JVO42" s="19"/>
      <c r="JVP42" s="19"/>
      <c r="JVQ42" s="19"/>
      <c r="JVR42" s="19"/>
      <c r="JVS42" s="19"/>
      <c r="JVT42" s="19"/>
      <c r="JVU42" s="19"/>
      <c r="JVV42" s="19"/>
      <c r="JVW42" s="19"/>
      <c r="JVX42" s="19"/>
      <c r="JVY42" s="19"/>
      <c r="JVZ42" s="19"/>
      <c r="JWA42" s="19"/>
      <c r="JWB42" s="19"/>
      <c r="JWC42" s="19"/>
      <c r="JWD42" s="19"/>
      <c r="JWE42" s="19"/>
      <c r="JWF42" s="19"/>
      <c r="JWG42" s="19"/>
      <c r="JWH42" s="19"/>
      <c r="JWI42" s="19"/>
      <c r="JWJ42" s="19"/>
      <c r="JWK42" s="19"/>
      <c r="JWL42" s="19"/>
      <c r="JWM42" s="19"/>
      <c r="JWN42" s="19"/>
      <c r="JWO42" s="19"/>
      <c r="JWP42" s="19"/>
      <c r="JWQ42" s="19"/>
      <c r="JWR42" s="19"/>
      <c r="JWS42" s="19"/>
      <c r="JWT42" s="19"/>
      <c r="JWU42" s="19"/>
      <c r="JWV42" s="19"/>
      <c r="JWW42" s="19"/>
      <c r="JWX42" s="19"/>
      <c r="JWY42" s="19"/>
      <c r="JWZ42" s="19"/>
      <c r="JXA42" s="19"/>
      <c r="JXB42" s="19"/>
      <c r="JXC42" s="19"/>
      <c r="JXD42" s="19"/>
      <c r="JXE42" s="19"/>
      <c r="JXF42" s="19"/>
      <c r="JXG42" s="19"/>
      <c r="JXH42" s="19"/>
      <c r="JXI42" s="19"/>
      <c r="JXJ42" s="19"/>
      <c r="JXK42" s="19"/>
      <c r="JXL42" s="19"/>
      <c r="JXM42" s="19"/>
      <c r="JXN42" s="19"/>
      <c r="JXO42" s="19"/>
      <c r="JXP42" s="19"/>
      <c r="JXQ42" s="19"/>
      <c r="JXR42" s="19"/>
      <c r="JXS42" s="19"/>
      <c r="JXT42" s="19"/>
      <c r="JXU42" s="19"/>
      <c r="JXV42" s="19"/>
      <c r="JXW42" s="19"/>
      <c r="JXX42" s="19"/>
      <c r="JXY42" s="19"/>
      <c r="JXZ42" s="19"/>
      <c r="JYA42" s="19"/>
      <c r="JYB42" s="19"/>
      <c r="JYC42" s="19"/>
      <c r="JYD42" s="19"/>
      <c r="JYE42" s="19"/>
      <c r="JYF42" s="19"/>
      <c r="JYG42" s="19"/>
      <c r="JYH42" s="19"/>
      <c r="JYI42" s="19"/>
      <c r="JYJ42" s="19"/>
      <c r="JYK42" s="19"/>
      <c r="JYL42" s="19"/>
      <c r="JYM42" s="19"/>
      <c r="JYN42" s="19"/>
      <c r="JYO42" s="19"/>
      <c r="JYP42" s="19"/>
      <c r="JYQ42" s="19"/>
      <c r="JYR42" s="19"/>
      <c r="JYS42" s="19"/>
      <c r="JYT42" s="19"/>
      <c r="JYU42" s="19"/>
      <c r="JYV42" s="19"/>
      <c r="JYW42" s="19"/>
      <c r="JYX42" s="19"/>
      <c r="JYY42" s="19"/>
      <c r="JYZ42" s="19"/>
      <c r="JZA42" s="19"/>
      <c r="JZB42" s="19"/>
      <c r="JZC42" s="19"/>
      <c r="JZD42" s="19"/>
      <c r="JZE42" s="19"/>
      <c r="JZF42" s="19"/>
      <c r="JZG42" s="19"/>
      <c r="JZH42" s="19"/>
      <c r="JZI42" s="19"/>
      <c r="JZJ42" s="19"/>
      <c r="JZK42" s="19"/>
      <c r="JZL42" s="19"/>
      <c r="JZM42" s="19"/>
      <c r="JZN42" s="19"/>
      <c r="JZO42" s="19"/>
      <c r="JZP42" s="19"/>
      <c r="JZQ42" s="19"/>
      <c r="JZR42" s="19"/>
      <c r="JZS42" s="19"/>
      <c r="JZT42" s="19"/>
      <c r="JZU42" s="19"/>
      <c r="JZV42" s="19"/>
      <c r="JZW42" s="19"/>
      <c r="JZX42" s="19"/>
      <c r="JZY42" s="19"/>
      <c r="JZZ42" s="19"/>
      <c r="KAA42" s="19"/>
      <c r="KAB42" s="19"/>
      <c r="KAC42" s="19"/>
      <c r="KAD42" s="19"/>
      <c r="KAE42" s="19"/>
      <c r="KAF42" s="19"/>
      <c r="KAG42" s="19"/>
      <c r="KAH42" s="19"/>
      <c r="KAI42" s="19"/>
      <c r="KAJ42" s="19"/>
      <c r="KAK42" s="19"/>
      <c r="KAL42" s="19"/>
      <c r="KAM42" s="19"/>
      <c r="KAN42" s="19"/>
      <c r="KAO42" s="19"/>
      <c r="KAP42" s="19"/>
      <c r="KAQ42" s="19"/>
      <c r="KAR42" s="19"/>
      <c r="KAS42" s="19"/>
      <c r="KAT42" s="19"/>
      <c r="KAU42" s="19"/>
      <c r="KAV42" s="19"/>
      <c r="KAW42" s="19"/>
      <c r="KAX42" s="19"/>
      <c r="KAY42" s="19"/>
      <c r="KAZ42" s="19"/>
      <c r="KBA42" s="19"/>
      <c r="KBB42" s="19"/>
      <c r="KBC42" s="19"/>
      <c r="KBD42" s="19"/>
      <c r="KBE42" s="19"/>
      <c r="KBF42" s="19"/>
      <c r="KBG42" s="19"/>
      <c r="KBH42" s="19"/>
      <c r="KBI42" s="19"/>
      <c r="KBJ42" s="19"/>
      <c r="KBK42" s="19"/>
      <c r="KBL42" s="19"/>
      <c r="KBM42" s="19"/>
      <c r="KBN42" s="19"/>
      <c r="KBO42" s="19"/>
      <c r="KBP42" s="19"/>
      <c r="KBQ42" s="19"/>
      <c r="KBR42" s="19"/>
      <c r="KBS42" s="19"/>
      <c r="KBT42" s="19"/>
      <c r="KBU42" s="19"/>
      <c r="KBV42" s="19"/>
      <c r="KBW42" s="19"/>
      <c r="KBX42" s="19"/>
      <c r="KBY42" s="19"/>
      <c r="KBZ42" s="19"/>
      <c r="KCA42" s="19"/>
      <c r="KCB42" s="19"/>
      <c r="KCC42" s="19"/>
      <c r="KCD42" s="19"/>
      <c r="KCE42" s="19"/>
      <c r="KCF42" s="19"/>
      <c r="KCG42" s="19"/>
      <c r="KCH42" s="19"/>
      <c r="KCI42" s="19"/>
      <c r="KCJ42" s="19"/>
      <c r="KCK42" s="19"/>
      <c r="KCL42" s="19"/>
      <c r="KCM42" s="19"/>
      <c r="KCN42" s="19"/>
      <c r="KCO42" s="19"/>
      <c r="KCP42" s="19"/>
      <c r="KCQ42" s="19"/>
      <c r="KCR42" s="19"/>
      <c r="KCS42" s="19"/>
      <c r="KCT42" s="19"/>
      <c r="KCU42" s="19"/>
      <c r="KCV42" s="19"/>
      <c r="KCW42" s="19"/>
      <c r="KCX42" s="19"/>
      <c r="KCY42" s="19"/>
      <c r="KCZ42" s="19"/>
      <c r="KDA42" s="19"/>
      <c r="KDB42" s="19"/>
      <c r="KDC42" s="19"/>
      <c r="KDD42" s="19"/>
      <c r="KDE42" s="19"/>
      <c r="KDF42" s="19"/>
      <c r="KDG42" s="19"/>
      <c r="KDH42" s="19"/>
      <c r="KDI42" s="19"/>
      <c r="KDJ42" s="19"/>
      <c r="KDK42" s="19"/>
      <c r="KDL42" s="19"/>
      <c r="KDM42" s="19"/>
      <c r="KDN42" s="19"/>
      <c r="KDO42" s="19"/>
      <c r="KDP42" s="19"/>
      <c r="KDQ42" s="19"/>
      <c r="KDR42" s="19"/>
      <c r="KDS42" s="19"/>
      <c r="KDT42" s="19"/>
      <c r="KDU42" s="19"/>
      <c r="KDV42" s="19"/>
      <c r="KDW42" s="19"/>
      <c r="KDX42" s="19"/>
      <c r="KDY42" s="19"/>
      <c r="KDZ42" s="19"/>
      <c r="KEA42" s="19"/>
      <c r="KEB42" s="19"/>
      <c r="KEC42" s="19"/>
      <c r="KED42" s="19"/>
      <c r="KEE42" s="19"/>
      <c r="KEF42" s="19"/>
      <c r="KEG42" s="19"/>
      <c r="KEH42" s="19"/>
      <c r="KEI42" s="19"/>
      <c r="KEJ42" s="19"/>
      <c r="KEK42" s="19"/>
      <c r="KEL42" s="19"/>
      <c r="KEM42" s="19"/>
      <c r="KEN42" s="19"/>
      <c r="KEO42" s="19"/>
      <c r="KEP42" s="19"/>
      <c r="KEQ42" s="19"/>
      <c r="KER42" s="19"/>
      <c r="KES42" s="19"/>
      <c r="KET42" s="19"/>
      <c r="KEU42" s="19"/>
      <c r="KEV42" s="19"/>
      <c r="KEW42" s="19"/>
      <c r="KEX42" s="19"/>
      <c r="KEY42" s="19"/>
      <c r="KEZ42" s="19"/>
      <c r="KFA42" s="19"/>
      <c r="KFB42" s="19"/>
      <c r="KFC42" s="19"/>
      <c r="KFD42" s="19"/>
      <c r="KFE42" s="19"/>
      <c r="KFF42" s="19"/>
      <c r="KFG42" s="19"/>
      <c r="KFH42" s="19"/>
      <c r="KFI42" s="19"/>
      <c r="KFJ42" s="19"/>
      <c r="KFK42" s="19"/>
      <c r="KFL42" s="19"/>
      <c r="KFM42" s="19"/>
      <c r="KFN42" s="19"/>
      <c r="KFO42" s="19"/>
      <c r="KFP42" s="19"/>
      <c r="KFQ42" s="19"/>
      <c r="KFR42" s="19"/>
      <c r="KFS42" s="19"/>
      <c r="KFT42" s="19"/>
      <c r="KFU42" s="19"/>
      <c r="KFV42" s="19"/>
      <c r="KFW42" s="19"/>
      <c r="KFX42" s="19"/>
      <c r="KFY42" s="19"/>
      <c r="KFZ42" s="19"/>
      <c r="KGA42" s="19"/>
      <c r="KGB42" s="19"/>
      <c r="KGC42" s="19"/>
      <c r="KGD42" s="19"/>
      <c r="KGE42" s="19"/>
      <c r="KGF42" s="19"/>
      <c r="KGG42" s="19"/>
      <c r="KGH42" s="19"/>
      <c r="KGI42" s="19"/>
      <c r="KGJ42" s="19"/>
      <c r="KGK42" s="19"/>
      <c r="KGL42" s="19"/>
      <c r="KGM42" s="19"/>
      <c r="KGN42" s="19"/>
      <c r="KGO42" s="19"/>
      <c r="KGP42" s="19"/>
      <c r="KGQ42" s="19"/>
      <c r="KGR42" s="19"/>
      <c r="KGS42" s="19"/>
      <c r="KGT42" s="19"/>
      <c r="KGU42" s="19"/>
      <c r="KGV42" s="19"/>
      <c r="KGW42" s="19"/>
      <c r="KGX42" s="19"/>
      <c r="KGY42" s="19"/>
      <c r="KGZ42" s="19"/>
      <c r="KHA42" s="19"/>
      <c r="KHB42" s="19"/>
      <c r="KHC42" s="19"/>
      <c r="KHD42" s="19"/>
      <c r="KHE42" s="19"/>
      <c r="KHF42" s="19"/>
      <c r="KHG42" s="19"/>
      <c r="KHH42" s="19"/>
      <c r="KHI42" s="19"/>
      <c r="KHJ42" s="19"/>
      <c r="KHK42" s="19"/>
      <c r="KHL42" s="19"/>
      <c r="KHM42" s="19"/>
      <c r="KHN42" s="19"/>
      <c r="KHO42" s="19"/>
      <c r="KHP42" s="19"/>
      <c r="KHQ42" s="19"/>
      <c r="KHR42" s="19"/>
      <c r="KHS42" s="19"/>
      <c r="KHT42" s="19"/>
      <c r="KHU42" s="19"/>
      <c r="KHV42" s="19"/>
      <c r="KHW42" s="19"/>
      <c r="KHX42" s="19"/>
      <c r="KHY42" s="19"/>
      <c r="KHZ42" s="19"/>
      <c r="KIA42" s="19"/>
      <c r="KIB42" s="19"/>
      <c r="KIC42" s="19"/>
      <c r="KID42" s="19"/>
      <c r="KIE42" s="19"/>
      <c r="KIF42" s="19"/>
      <c r="KIG42" s="19"/>
      <c r="KIH42" s="19"/>
      <c r="KII42" s="19"/>
      <c r="KIJ42" s="19"/>
      <c r="KIK42" s="19"/>
      <c r="KIL42" s="19"/>
      <c r="KIM42" s="19"/>
      <c r="KIN42" s="19"/>
      <c r="KIO42" s="19"/>
      <c r="KIP42" s="19"/>
      <c r="KIQ42" s="19"/>
      <c r="KIR42" s="19"/>
      <c r="KIS42" s="19"/>
      <c r="KIT42" s="19"/>
      <c r="KIU42" s="19"/>
      <c r="KIV42" s="19"/>
      <c r="KIW42" s="19"/>
      <c r="KIX42" s="19"/>
      <c r="KIY42" s="19"/>
      <c r="KIZ42" s="19"/>
      <c r="KJA42" s="19"/>
      <c r="KJB42" s="19"/>
      <c r="KJC42" s="19"/>
      <c r="KJD42" s="19"/>
      <c r="KJE42" s="19"/>
      <c r="KJF42" s="19"/>
      <c r="KJG42" s="19"/>
      <c r="KJH42" s="19"/>
      <c r="KJI42" s="19"/>
      <c r="KJJ42" s="19"/>
      <c r="KJK42" s="19"/>
      <c r="KJL42" s="19"/>
      <c r="KJM42" s="19"/>
      <c r="KJN42" s="19"/>
      <c r="KJO42" s="19"/>
      <c r="KJP42" s="19"/>
      <c r="KJQ42" s="19"/>
      <c r="KJR42" s="19"/>
      <c r="KJS42" s="19"/>
      <c r="KJT42" s="19"/>
      <c r="KJU42" s="19"/>
      <c r="KJV42" s="19"/>
      <c r="KJW42" s="19"/>
      <c r="KJX42" s="19"/>
      <c r="KJY42" s="19"/>
      <c r="KJZ42" s="19"/>
      <c r="KKA42" s="19"/>
      <c r="KKB42" s="19"/>
      <c r="KKC42" s="19"/>
      <c r="KKD42" s="19"/>
      <c r="KKE42" s="19"/>
      <c r="KKF42" s="19"/>
      <c r="KKG42" s="19"/>
      <c r="KKH42" s="19"/>
      <c r="KKI42" s="19"/>
      <c r="KKJ42" s="19"/>
      <c r="KKK42" s="19"/>
      <c r="KKL42" s="19"/>
      <c r="KKM42" s="19"/>
      <c r="KKN42" s="19"/>
      <c r="KKO42" s="19"/>
      <c r="KKP42" s="19"/>
      <c r="KKQ42" s="19"/>
      <c r="KKR42" s="19"/>
      <c r="KKS42" s="19"/>
      <c r="KKT42" s="19"/>
      <c r="KKU42" s="19"/>
      <c r="KKV42" s="19"/>
      <c r="KKW42" s="19"/>
      <c r="KKX42" s="19"/>
      <c r="KKY42" s="19"/>
      <c r="KKZ42" s="19"/>
      <c r="KLA42" s="19"/>
      <c r="KLB42" s="19"/>
      <c r="KLC42" s="19"/>
      <c r="KLD42" s="19"/>
      <c r="KLE42" s="19"/>
      <c r="KLF42" s="19"/>
      <c r="KLG42" s="19"/>
      <c r="KLH42" s="19"/>
      <c r="KLI42" s="19"/>
      <c r="KLJ42" s="19"/>
      <c r="KLK42" s="19"/>
      <c r="KLL42" s="19"/>
      <c r="KLM42" s="19"/>
      <c r="KLN42" s="19"/>
      <c r="KLO42" s="19"/>
      <c r="KLP42" s="19"/>
      <c r="KLQ42" s="19"/>
      <c r="KLR42" s="19"/>
      <c r="KLS42" s="19"/>
      <c r="KLT42" s="19"/>
      <c r="KLU42" s="19"/>
      <c r="KLV42" s="19"/>
      <c r="KLW42" s="19"/>
      <c r="KLX42" s="19"/>
      <c r="KLY42" s="19"/>
      <c r="KLZ42" s="19"/>
      <c r="KMA42" s="19"/>
      <c r="KMB42" s="19"/>
      <c r="KMC42" s="19"/>
      <c r="KMD42" s="19"/>
      <c r="KME42" s="19"/>
      <c r="KMF42" s="19"/>
      <c r="KMG42" s="19"/>
      <c r="KMH42" s="19"/>
      <c r="KMI42" s="19"/>
      <c r="KMJ42" s="19"/>
      <c r="KMK42" s="19"/>
      <c r="KML42" s="19"/>
      <c r="KMM42" s="19"/>
      <c r="KMN42" s="19"/>
      <c r="KMO42" s="19"/>
      <c r="KMP42" s="19"/>
      <c r="KMQ42" s="19"/>
      <c r="KMR42" s="19"/>
      <c r="KMS42" s="19"/>
      <c r="KMT42" s="19"/>
      <c r="KMU42" s="19"/>
      <c r="KMV42" s="19"/>
      <c r="KMW42" s="19"/>
      <c r="KMX42" s="19"/>
      <c r="KMY42" s="19"/>
      <c r="KMZ42" s="19"/>
      <c r="KNA42" s="19"/>
      <c r="KNB42" s="19"/>
      <c r="KNC42" s="19"/>
      <c r="KND42" s="19"/>
      <c r="KNE42" s="19"/>
      <c r="KNF42" s="19"/>
      <c r="KNG42" s="19"/>
      <c r="KNH42" s="19"/>
      <c r="KNI42" s="19"/>
      <c r="KNJ42" s="19"/>
      <c r="KNK42" s="19"/>
      <c r="KNL42" s="19"/>
      <c r="KNM42" s="19"/>
      <c r="KNN42" s="19"/>
      <c r="KNO42" s="19"/>
      <c r="KNP42" s="19"/>
      <c r="KNQ42" s="19"/>
      <c r="KNR42" s="19"/>
      <c r="KNS42" s="19"/>
      <c r="KNT42" s="19"/>
      <c r="KNU42" s="19"/>
      <c r="KNV42" s="19"/>
      <c r="KNW42" s="19"/>
      <c r="KNX42" s="19"/>
      <c r="KNY42" s="19"/>
      <c r="KNZ42" s="19"/>
      <c r="KOA42" s="19"/>
      <c r="KOB42" s="19"/>
      <c r="KOC42" s="19"/>
      <c r="KOD42" s="19"/>
      <c r="KOE42" s="19"/>
      <c r="KOF42" s="19"/>
      <c r="KOG42" s="19"/>
      <c r="KOH42" s="19"/>
      <c r="KOI42" s="19"/>
      <c r="KOJ42" s="19"/>
      <c r="KOK42" s="19"/>
      <c r="KOL42" s="19"/>
      <c r="KOM42" s="19"/>
      <c r="KON42" s="19"/>
      <c r="KOO42" s="19"/>
      <c r="KOP42" s="19"/>
      <c r="KOQ42" s="19"/>
      <c r="KOR42" s="19"/>
      <c r="KOS42" s="19"/>
      <c r="KOT42" s="19"/>
      <c r="KOU42" s="19"/>
      <c r="KOV42" s="19"/>
      <c r="KOW42" s="19"/>
      <c r="KOX42" s="19"/>
      <c r="KOY42" s="19"/>
      <c r="KOZ42" s="19"/>
      <c r="KPA42" s="19"/>
      <c r="KPB42" s="19"/>
      <c r="KPC42" s="19"/>
      <c r="KPD42" s="19"/>
      <c r="KPE42" s="19"/>
      <c r="KPF42" s="19"/>
      <c r="KPG42" s="19"/>
      <c r="KPH42" s="19"/>
      <c r="KPI42" s="19"/>
      <c r="KPJ42" s="19"/>
      <c r="KPK42" s="19"/>
      <c r="KPL42" s="19"/>
      <c r="KPM42" s="19"/>
      <c r="KPN42" s="19"/>
      <c r="KPO42" s="19"/>
      <c r="KPP42" s="19"/>
      <c r="KPQ42" s="19"/>
      <c r="KPR42" s="19"/>
      <c r="KPS42" s="19"/>
      <c r="KPT42" s="19"/>
      <c r="KPU42" s="19"/>
      <c r="KPV42" s="19"/>
      <c r="KPW42" s="19"/>
      <c r="KPX42" s="19"/>
      <c r="KPY42" s="19"/>
      <c r="KPZ42" s="19"/>
      <c r="KQA42" s="19"/>
      <c r="KQB42" s="19"/>
      <c r="KQC42" s="19"/>
      <c r="KQD42" s="19"/>
      <c r="KQE42" s="19"/>
      <c r="KQF42" s="19"/>
      <c r="KQG42" s="19"/>
      <c r="KQH42" s="19"/>
      <c r="KQI42" s="19"/>
      <c r="KQJ42" s="19"/>
      <c r="KQK42" s="19"/>
      <c r="KQL42" s="19"/>
      <c r="KQM42" s="19"/>
      <c r="KQN42" s="19"/>
      <c r="KQO42" s="19"/>
      <c r="KQP42" s="19"/>
      <c r="KQQ42" s="19"/>
      <c r="KQR42" s="19"/>
      <c r="KQS42" s="19"/>
      <c r="KQT42" s="19"/>
      <c r="KQU42" s="19"/>
      <c r="KQV42" s="19"/>
      <c r="KQW42" s="19"/>
      <c r="KQX42" s="19"/>
      <c r="KQY42" s="19"/>
      <c r="KQZ42" s="19"/>
      <c r="KRA42" s="19"/>
      <c r="KRB42" s="19"/>
      <c r="KRC42" s="19"/>
      <c r="KRD42" s="19"/>
      <c r="KRE42" s="19"/>
      <c r="KRF42" s="19"/>
      <c r="KRG42" s="19"/>
      <c r="KRH42" s="19"/>
      <c r="KRI42" s="19"/>
      <c r="KRJ42" s="19"/>
      <c r="KRK42" s="19"/>
      <c r="KRL42" s="19"/>
      <c r="KRM42" s="19"/>
      <c r="KRN42" s="19"/>
      <c r="KRO42" s="19"/>
      <c r="KRP42" s="19"/>
      <c r="KRQ42" s="19"/>
      <c r="KRR42" s="19"/>
      <c r="KRS42" s="19"/>
      <c r="KRT42" s="19"/>
      <c r="KRU42" s="19"/>
      <c r="KRV42" s="19"/>
      <c r="KRW42" s="19"/>
      <c r="KRX42" s="19"/>
      <c r="KRY42" s="19"/>
      <c r="KRZ42" s="19"/>
      <c r="KSA42" s="19"/>
      <c r="KSB42" s="19"/>
      <c r="KSC42" s="19"/>
      <c r="KSD42" s="19"/>
      <c r="KSE42" s="19"/>
      <c r="KSF42" s="19"/>
      <c r="KSG42" s="19"/>
      <c r="KSH42" s="19"/>
      <c r="KSI42" s="19"/>
      <c r="KSJ42" s="19"/>
      <c r="KSK42" s="19"/>
      <c r="KSL42" s="19"/>
      <c r="KSM42" s="19"/>
      <c r="KSN42" s="19"/>
      <c r="KSO42" s="19"/>
      <c r="KSP42" s="19"/>
      <c r="KSQ42" s="19"/>
      <c r="KSR42" s="19"/>
      <c r="KSS42" s="19"/>
      <c r="KST42" s="19"/>
      <c r="KSU42" s="19"/>
      <c r="KSV42" s="19"/>
      <c r="KSW42" s="19"/>
      <c r="KSX42" s="19"/>
      <c r="KSY42" s="19"/>
      <c r="KSZ42" s="19"/>
      <c r="KTA42" s="19"/>
      <c r="KTB42" s="19"/>
      <c r="KTC42" s="19"/>
      <c r="KTD42" s="19"/>
      <c r="KTE42" s="19"/>
      <c r="KTF42" s="19"/>
      <c r="KTG42" s="19"/>
      <c r="KTH42" s="19"/>
      <c r="KTI42" s="19"/>
      <c r="KTJ42" s="19"/>
      <c r="KTK42" s="19"/>
      <c r="KTL42" s="19"/>
      <c r="KTM42" s="19"/>
      <c r="KTN42" s="19"/>
      <c r="KTO42" s="19"/>
      <c r="KTP42" s="19"/>
      <c r="KTQ42" s="19"/>
      <c r="KTR42" s="19"/>
      <c r="KTS42" s="19"/>
      <c r="KTT42" s="19"/>
      <c r="KTU42" s="19"/>
      <c r="KTV42" s="19"/>
      <c r="KTW42" s="19"/>
      <c r="KTX42" s="19"/>
      <c r="KTY42" s="19"/>
      <c r="KTZ42" s="19"/>
      <c r="KUA42" s="19"/>
      <c r="KUB42" s="19"/>
      <c r="KUC42" s="19"/>
      <c r="KUD42" s="19"/>
      <c r="KUE42" s="19"/>
      <c r="KUF42" s="19"/>
      <c r="KUG42" s="19"/>
      <c r="KUH42" s="19"/>
      <c r="KUI42" s="19"/>
      <c r="KUJ42" s="19"/>
      <c r="KUK42" s="19"/>
      <c r="KUL42" s="19"/>
      <c r="KUM42" s="19"/>
      <c r="KUN42" s="19"/>
      <c r="KUO42" s="19"/>
      <c r="KUP42" s="19"/>
      <c r="KUQ42" s="19"/>
      <c r="KUR42" s="19"/>
      <c r="KUS42" s="19"/>
      <c r="KUT42" s="19"/>
      <c r="KUU42" s="19"/>
      <c r="KUV42" s="19"/>
      <c r="KUW42" s="19"/>
      <c r="KUX42" s="19"/>
      <c r="KUY42" s="19"/>
      <c r="KUZ42" s="19"/>
      <c r="KVA42" s="19"/>
      <c r="KVB42" s="19"/>
      <c r="KVC42" s="19"/>
      <c r="KVD42" s="19"/>
      <c r="KVE42" s="19"/>
      <c r="KVF42" s="19"/>
      <c r="KVG42" s="19"/>
      <c r="KVH42" s="19"/>
      <c r="KVI42" s="19"/>
      <c r="KVJ42" s="19"/>
      <c r="KVK42" s="19"/>
      <c r="KVL42" s="19"/>
      <c r="KVM42" s="19"/>
      <c r="KVN42" s="19"/>
      <c r="KVO42" s="19"/>
      <c r="KVP42" s="19"/>
      <c r="KVQ42" s="19"/>
      <c r="KVR42" s="19"/>
      <c r="KVS42" s="19"/>
      <c r="KVT42" s="19"/>
      <c r="KVU42" s="19"/>
      <c r="KVV42" s="19"/>
      <c r="KVW42" s="19"/>
      <c r="KVX42" s="19"/>
      <c r="KVY42" s="19"/>
      <c r="KVZ42" s="19"/>
      <c r="KWA42" s="19"/>
      <c r="KWB42" s="19"/>
      <c r="KWC42" s="19"/>
      <c r="KWD42" s="19"/>
      <c r="KWE42" s="19"/>
      <c r="KWF42" s="19"/>
      <c r="KWG42" s="19"/>
      <c r="KWH42" s="19"/>
      <c r="KWI42" s="19"/>
      <c r="KWJ42" s="19"/>
      <c r="KWK42" s="19"/>
      <c r="KWL42" s="19"/>
      <c r="KWM42" s="19"/>
      <c r="KWN42" s="19"/>
      <c r="KWO42" s="19"/>
      <c r="KWP42" s="19"/>
      <c r="KWQ42" s="19"/>
      <c r="KWR42" s="19"/>
      <c r="KWS42" s="19"/>
      <c r="KWT42" s="19"/>
      <c r="KWU42" s="19"/>
      <c r="KWV42" s="19"/>
      <c r="KWW42" s="19"/>
      <c r="KWX42" s="19"/>
      <c r="KWY42" s="19"/>
      <c r="KWZ42" s="19"/>
      <c r="KXA42" s="19"/>
      <c r="KXB42" s="19"/>
      <c r="KXC42" s="19"/>
      <c r="KXD42" s="19"/>
      <c r="KXE42" s="19"/>
      <c r="KXF42" s="19"/>
      <c r="KXG42" s="19"/>
      <c r="KXH42" s="19"/>
      <c r="KXI42" s="19"/>
      <c r="KXJ42" s="19"/>
      <c r="KXK42" s="19"/>
      <c r="KXL42" s="19"/>
      <c r="KXM42" s="19"/>
      <c r="KXN42" s="19"/>
      <c r="KXO42" s="19"/>
      <c r="KXP42" s="19"/>
      <c r="KXQ42" s="19"/>
      <c r="KXR42" s="19"/>
      <c r="KXS42" s="19"/>
      <c r="KXT42" s="19"/>
      <c r="KXU42" s="19"/>
      <c r="KXV42" s="19"/>
      <c r="KXW42" s="19"/>
      <c r="KXX42" s="19"/>
      <c r="KXY42" s="19"/>
      <c r="KXZ42" s="19"/>
      <c r="KYA42" s="19"/>
      <c r="KYB42" s="19"/>
      <c r="KYC42" s="19"/>
      <c r="KYD42" s="19"/>
      <c r="KYE42" s="19"/>
      <c r="KYF42" s="19"/>
      <c r="KYG42" s="19"/>
      <c r="KYH42" s="19"/>
      <c r="KYI42" s="19"/>
      <c r="KYJ42" s="19"/>
      <c r="KYK42" s="19"/>
      <c r="KYL42" s="19"/>
      <c r="KYM42" s="19"/>
      <c r="KYN42" s="19"/>
      <c r="KYO42" s="19"/>
      <c r="KYP42" s="19"/>
      <c r="KYQ42" s="19"/>
      <c r="KYR42" s="19"/>
      <c r="KYS42" s="19"/>
      <c r="KYT42" s="19"/>
      <c r="KYU42" s="19"/>
      <c r="KYV42" s="19"/>
      <c r="KYW42" s="19"/>
      <c r="KYX42" s="19"/>
      <c r="KYY42" s="19"/>
      <c r="KYZ42" s="19"/>
      <c r="KZA42" s="19"/>
      <c r="KZB42" s="19"/>
      <c r="KZC42" s="19"/>
      <c r="KZD42" s="19"/>
      <c r="KZE42" s="19"/>
      <c r="KZF42" s="19"/>
      <c r="KZG42" s="19"/>
      <c r="KZH42" s="19"/>
      <c r="KZI42" s="19"/>
      <c r="KZJ42" s="19"/>
      <c r="KZK42" s="19"/>
      <c r="KZL42" s="19"/>
      <c r="KZM42" s="19"/>
      <c r="KZN42" s="19"/>
      <c r="KZO42" s="19"/>
      <c r="KZP42" s="19"/>
      <c r="KZQ42" s="19"/>
      <c r="KZR42" s="19"/>
      <c r="KZS42" s="19"/>
      <c r="KZT42" s="19"/>
      <c r="KZU42" s="19"/>
      <c r="KZV42" s="19"/>
      <c r="KZW42" s="19"/>
      <c r="KZX42" s="19"/>
      <c r="KZY42" s="19"/>
      <c r="KZZ42" s="19"/>
      <c r="LAA42" s="19"/>
      <c r="LAB42" s="19"/>
      <c r="LAC42" s="19"/>
      <c r="LAD42" s="19"/>
      <c r="LAE42" s="19"/>
      <c r="LAF42" s="19"/>
      <c r="LAG42" s="19"/>
      <c r="LAH42" s="19"/>
      <c r="LAI42" s="19"/>
      <c r="LAJ42" s="19"/>
      <c r="LAK42" s="19"/>
      <c r="LAL42" s="19"/>
      <c r="LAM42" s="19"/>
      <c r="LAN42" s="19"/>
      <c r="LAO42" s="19"/>
      <c r="LAP42" s="19"/>
      <c r="LAQ42" s="19"/>
      <c r="LAR42" s="19"/>
      <c r="LAS42" s="19"/>
      <c r="LAT42" s="19"/>
      <c r="LAU42" s="19"/>
      <c r="LAV42" s="19"/>
      <c r="LAW42" s="19"/>
      <c r="LAX42" s="19"/>
      <c r="LAY42" s="19"/>
      <c r="LAZ42" s="19"/>
      <c r="LBA42" s="19"/>
      <c r="LBB42" s="19"/>
      <c r="LBC42" s="19"/>
      <c r="LBD42" s="19"/>
      <c r="LBE42" s="19"/>
      <c r="LBF42" s="19"/>
      <c r="LBG42" s="19"/>
      <c r="LBH42" s="19"/>
      <c r="LBI42" s="19"/>
      <c r="LBJ42" s="19"/>
      <c r="LBK42" s="19"/>
      <c r="LBL42" s="19"/>
      <c r="LBM42" s="19"/>
      <c r="LBN42" s="19"/>
      <c r="LBO42" s="19"/>
      <c r="LBP42" s="19"/>
      <c r="LBQ42" s="19"/>
      <c r="LBR42" s="19"/>
      <c r="LBS42" s="19"/>
      <c r="LBT42" s="19"/>
      <c r="LBU42" s="19"/>
      <c r="LBV42" s="19"/>
      <c r="LBW42" s="19"/>
      <c r="LBX42" s="19"/>
      <c r="LBY42" s="19"/>
      <c r="LBZ42" s="19"/>
      <c r="LCA42" s="19"/>
      <c r="LCB42" s="19"/>
      <c r="LCC42" s="19"/>
      <c r="LCD42" s="19"/>
      <c r="LCE42" s="19"/>
      <c r="LCF42" s="19"/>
      <c r="LCG42" s="19"/>
      <c r="LCH42" s="19"/>
      <c r="LCI42" s="19"/>
      <c r="LCJ42" s="19"/>
      <c r="LCK42" s="19"/>
      <c r="LCL42" s="19"/>
      <c r="LCM42" s="19"/>
      <c r="LCN42" s="19"/>
      <c r="LCO42" s="19"/>
      <c r="LCP42" s="19"/>
      <c r="LCQ42" s="19"/>
      <c r="LCR42" s="19"/>
      <c r="LCS42" s="19"/>
      <c r="LCT42" s="19"/>
      <c r="LCU42" s="19"/>
      <c r="LCV42" s="19"/>
      <c r="LCW42" s="19"/>
      <c r="LCX42" s="19"/>
      <c r="LCY42" s="19"/>
      <c r="LCZ42" s="19"/>
      <c r="LDA42" s="19"/>
      <c r="LDB42" s="19"/>
      <c r="LDC42" s="19"/>
      <c r="LDD42" s="19"/>
      <c r="LDE42" s="19"/>
      <c r="LDF42" s="19"/>
      <c r="LDG42" s="19"/>
      <c r="LDH42" s="19"/>
      <c r="LDI42" s="19"/>
      <c r="LDJ42" s="19"/>
      <c r="LDK42" s="19"/>
      <c r="LDL42" s="19"/>
      <c r="LDM42" s="19"/>
      <c r="LDN42" s="19"/>
      <c r="LDO42" s="19"/>
      <c r="LDP42" s="19"/>
      <c r="LDQ42" s="19"/>
      <c r="LDR42" s="19"/>
      <c r="LDS42" s="19"/>
      <c r="LDT42" s="19"/>
      <c r="LDU42" s="19"/>
      <c r="LDV42" s="19"/>
      <c r="LDW42" s="19"/>
      <c r="LDX42" s="19"/>
      <c r="LDY42" s="19"/>
      <c r="LDZ42" s="19"/>
      <c r="LEA42" s="19"/>
      <c r="LEB42" s="19"/>
      <c r="LEC42" s="19"/>
      <c r="LED42" s="19"/>
      <c r="LEE42" s="19"/>
      <c r="LEF42" s="19"/>
      <c r="LEG42" s="19"/>
      <c r="LEH42" s="19"/>
      <c r="LEI42" s="19"/>
      <c r="LEJ42" s="19"/>
      <c r="LEK42" s="19"/>
      <c r="LEL42" s="19"/>
      <c r="LEM42" s="19"/>
      <c r="LEN42" s="19"/>
      <c r="LEO42" s="19"/>
      <c r="LEP42" s="19"/>
      <c r="LEQ42" s="19"/>
      <c r="LER42" s="19"/>
      <c r="LES42" s="19"/>
      <c r="LET42" s="19"/>
      <c r="LEU42" s="19"/>
      <c r="LEV42" s="19"/>
      <c r="LEW42" s="19"/>
      <c r="LEX42" s="19"/>
      <c r="LEY42" s="19"/>
      <c r="LEZ42" s="19"/>
      <c r="LFA42" s="19"/>
      <c r="LFB42" s="19"/>
      <c r="LFC42" s="19"/>
      <c r="LFD42" s="19"/>
      <c r="LFE42" s="19"/>
      <c r="LFF42" s="19"/>
      <c r="LFG42" s="19"/>
      <c r="LFH42" s="19"/>
      <c r="LFI42" s="19"/>
      <c r="LFJ42" s="19"/>
      <c r="LFK42" s="19"/>
      <c r="LFL42" s="19"/>
      <c r="LFM42" s="19"/>
      <c r="LFN42" s="19"/>
      <c r="LFO42" s="19"/>
      <c r="LFP42" s="19"/>
      <c r="LFQ42" s="19"/>
      <c r="LFR42" s="19"/>
      <c r="LFS42" s="19"/>
      <c r="LFT42" s="19"/>
      <c r="LFU42" s="19"/>
      <c r="LFV42" s="19"/>
      <c r="LFW42" s="19"/>
      <c r="LFX42" s="19"/>
      <c r="LFY42" s="19"/>
      <c r="LFZ42" s="19"/>
      <c r="LGA42" s="19"/>
      <c r="LGB42" s="19"/>
      <c r="LGC42" s="19"/>
      <c r="LGD42" s="19"/>
      <c r="LGE42" s="19"/>
      <c r="LGF42" s="19"/>
      <c r="LGG42" s="19"/>
      <c r="LGH42" s="19"/>
      <c r="LGI42" s="19"/>
      <c r="LGJ42" s="19"/>
      <c r="LGK42" s="19"/>
      <c r="LGL42" s="19"/>
      <c r="LGM42" s="19"/>
      <c r="LGN42" s="19"/>
      <c r="LGO42" s="19"/>
      <c r="LGP42" s="19"/>
      <c r="LGQ42" s="19"/>
      <c r="LGR42" s="19"/>
      <c r="LGS42" s="19"/>
      <c r="LGT42" s="19"/>
      <c r="LGU42" s="19"/>
      <c r="LGV42" s="19"/>
      <c r="LGW42" s="19"/>
      <c r="LGX42" s="19"/>
      <c r="LGY42" s="19"/>
      <c r="LGZ42" s="19"/>
      <c r="LHA42" s="19"/>
      <c r="LHB42" s="19"/>
      <c r="LHC42" s="19"/>
      <c r="LHD42" s="19"/>
      <c r="LHE42" s="19"/>
      <c r="LHF42" s="19"/>
      <c r="LHG42" s="19"/>
      <c r="LHH42" s="19"/>
      <c r="LHI42" s="19"/>
      <c r="LHJ42" s="19"/>
      <c r="LHK42" s="19"/>
      <c r="LHL42" s="19"/>
      <c r="LHM42" s="19"/>
      <c r="LHN42" s="19"/>
      <c r="LHO42" s="19"/>
      <c r="LHP42" s="19"/>
      <c r="LHQ42" s="19"/>
      <c r="LHR42" s="19"/>
      <c r="LHS42" s="19"/>
      <c r="LHT42" s="19"/>
      <c r="LHU42" s="19"/>
      <c r="LHV42" s="19"/>
      <c r="LHW42" s="19"/>
      <c r="LHX42" s="19"/>
      <c r="LHY42" s="19"/>
      <c r="LHZ42" s="19"/>
      <c r="LIA42" s="19"/>
      <c r="LIB42" s="19"/>
      <c r="LIC42" s="19"/>
      <c r="LID42" s="19"/>
      <c r="LIE42" s="19"/>
      <c r="LIF42" s="19"/>
      <c r="LIG42" s="19"/>
      <c r="LIH42" s="19"/>
      <c r="LII42" s="19"/>
      <c r="LIJ42" s="19"/>
      <c r="LIK42" s="19"/>
      <c r="LIL42" s="19"/>
      <c r="LIM42" s="19"/>
      <c r="LIN42" s="19"/>
      <c r="LIO42" s="19"/>
      <c r="LIP42" s="19"/>
      <c r="LIQ42" s="19"/>
      <c r="LIR42" s="19"/>
      <c r="LIS42" s="19"/>
      <c r="LIT42" s="19"/>
      <c r="LIU42" s="19"/>
      <c r="LIV42" s="19"/>
      <c r="LIW42" s="19"/>
      <c r="LIX42" s="19"/>
      <c r="LIY42" s="19"/>
      <c r="LIZ42" s="19"/>
      <c r="LJA42" s="19"/>
      <c r="LJB42" s="19"/>
      <c r="LJC42" s="19"/>
      <c r="LJD42" s="19"/>
      <c r="LJE42" s="19"/>
      <c r="LJF42" s="19"/>
      <c r="LJG42" s="19"/>
      <c r="LJH42" s="19"/>
      <c r="LJI42" s="19"/>
      <c r="LJJ42" s="19"/>
      <c r="LJK42" s="19"/>
      <c r="LJL42" s="19"/>
      <c r="LJM42" s="19"/>
      <c r="LJN42" s="19"/>
      <c r="LJO42" s="19"/>
      <c r="LJP42" s="19"/>
      <c r="LJQ42" s="19"/>
      <c r="LJR42" s="19"/>
      <c r="LJS42" s="19"/>
      <c r="LJT42" s="19"/>
      <c r="LJU42" s="19"/>
      <c r="LJV42" s="19"/>
      <c r="LJW42" s="19"/>
      <c r="LJX42" s="19"/>
      <c r="LJY42" s="19"/>
      <c r="LJZ42" s="19"/>
      <c r="LKA42" s="19"/>
      <c r="LKB42" s="19"/>
      <c r="LKC42" s="19"/>
      <c r="LKD42" s="19"/>
      <c r="LKE42" s="19"/>
      <c r="LKF42" s="19"/>
      <c r="LKG42" s="19"/>
      <c r="LKH42" s="19"/>
      <c r="LKI42" s="19"/>
      <c r="LKJ42" s="19"/>
      <c r="LKK42" s="19"/>
      <c r="LKL42" s="19"/>
      <c r="LKM42" s="19"/>
      <c r="LKN42" s="19"/>
      <c r="LKO42" s="19"/>
      <c r="LKP42" s="19"/>
      <c r="LKQ42" s="19"/>
      <c r="LKR42" s="19"/>
      <c r="LKS42" s="19"/>
      <c r="LKT42" s="19"/>
      <c r="LKU42" s="19"/>
      <c r="LKV42" s="19"/>
      <c r="LKW42" s="19"/>
      <c r="LKX42" s="19"/>
      <c r="LKY42" s="19"/>
      <c r="LKZ42" s="19"/>
      <c r="LLA42" s="19"/>
      <c r="LLB42" s="19"/>
      <c r="LLC42" s="19"/>
      <c r="LLD42" s="19"/>
      <c r="LLE42" s="19"/>
      <c r="LLF42" s="19"/>
      <c r="LLG42" s="19"/>
      <c r="LLH42" s="19"/>
      <c r="LLI42" s="19"/>
      <c r="LLJ42" s="19"/>
      <c r="LLK42" s="19"/>
      <c r="LLL42" s="19"/>
      <c r="LLM42" s="19"/>
      <c r="LLN42" s="19"/>
      <c r="LLO42" s="19"/>
      <c r="LLP42" s="19"/>
      <c r="LLQ42" s="19"/>
      <c r="LLR42" s="19"/>
      <c r="LLS42" s="19"/>
      <c r="LLT42" s="19"/>
      <c r="LLU42" s="19"/>
      <c r="LLV42" s="19"/>
      <c r="LLW42" s="19"/>
      <c r="LLX42" s="19"/>
      <c r="LLY42" s="19"/>
      <c r="LLZ42" s="19"/>
      <c r="LMA42" s="19"/>
      <c r="LMB42" s="19"/>
      <c r="LMC42" s="19"/>
      <c r="LMD42" s="19"/>
      <c r="LME42" s="19"/>
      <c r="LMF42" s="19"/>
      <c r="LMG42" s="19"/>
      <c r="LMH42" s="19"/>
      <c r="LMI42" s="19"/>
      <c r="LMJ42" s="19"/>
      <c r="LMK42" s="19"/>
      <c r="LML42" s="19"/>
      <c r="LMM42" s="19"/>
      <c r="LMN42" s="19"/>
      <c r="LMO42" s="19"/>
      <c r="LMP42" s="19"/>
      <c r="LMQ42" s="19"/>
      <c r="LMR42" s="19"/>
      <c r="LMS42" s="19"/>
      <c r="LMT42" s="19"/>
      <c r="LMU42" s="19"/>
      <c r="LMV42" s="19"/>
      <c r="LMW42" s="19"/>
      <c r="LMX42" s="19"/>
      <c r="LMY42" s="19"/>
      <c r="LMZ42" s="19"/>
      <c r="LNA42" s="19"/>
      <c r="LNB42" s="19"/>
      <c r="LNC42" s="19"/>
      <c r="LND42" s="19"/>
      <c r="LNE42" s="19"/>
      <c r="LNF42" s="19"/>
      <c r="LNG42" s="19"/>
      <c r="LNH42" s="19"/>
      <c r="LNI42" s="19"/>
      <c r="LNJ42" s="19"/>
      <c r="LNK42" s="19"/>
      <c r="LNL42" s="19"/>
      <c r="LNM42" s="19"/>
      <c r="LNN42" s="19"/>
      <c r="LNO42" s="19"/>
      <c r="LNP42" s="19"/>
      <c r="LNQ42" s="19"/>
      <c r="LNR42" s="19"/>
      <c r="LNS42" s="19"/>
      <c r="LNT42" s="19"/>
      <c r="LNU42" s="19"/>
      <c r="LNV42" s="19"/>
      <c r="LNW42" s="19"/>
      <c r="LNX42" s="19"/>
      <c r="LNY42" s="19"/>
      <c r="LNZ42" s="19"/>
      <c r="LOA42" s="19"/>
      <c r="LOB42" s="19"/>
      <c r="LOC42" s="19"/>
      <c r="LOD42" s="19"/>
      <c r="LOE42" s="19"/>
      <c r="LOF42" s="19"/>
      <c r="LOG42" s="19"/>
      <c r="LOH42" s="19"/>
      <c r="LOI42" s="19"/>
      <c r="LOJ42" s="19"/>
      <c r="LOK42" s="19"/>
      <c r="LOL42" s="19"/>
      <c r="LOM42" s="19"/>
      <c r="LON42" s="19"/>
      <c r="LOO42" s="19"/>
      <c r="LOP42" s="19"/>
      <c r="LOQ42" s="19"/>
      <c r="LOR42" s="19"/>
      <c r="LOS42" s="19"/>
      <c r="LOT42" s="19"/>
      <c r="LOU42" s="19"/>
      <c r="LOV42" s="19"/>
      <c r="LOW42" s="19"/>
      <c r="LOX42" s="19"/>
      <c r="LOY42" s="19"/>
      <c r="LOZ42" s="19"/>
      <c r="LPA42" s="19"/>
      <c r="LPB42" s="19"/>
      <c r="LPC42" s="19"/>
      <c r="LPD42" s="19"/>
      <c r="LPE42" s="19"/>
      <c r="LPF42" s="19"/>
      <c r="LPG42" s="19"/>
      <c r="LPH42" s="19"/>
      <c r="LPI42" s="19"/>
      <c r="LPJ42" s="19"/>
      <c r="LPK42" s="19"/>
      <c r="LPL42" s="19"/>
      <c r="LPM42" s="19"/>
      <c r="LPN42" s="19"/>
      <c r="LPO42" s="19"/>
      <c r="LPP42" s="19"/>
      <c r="LPQ42" s="19"/>
      <c r="LPR42" s="19"/>
      <c r="LPS42" s="19"/>
      <c r="LPT42" s="19"/>
      <c r="LPU42" s="19"/>
      <c r="LPV42" s="19"/>
      <c r="LPW42" s="19"/>
      <c r="LPX42" s="19"/>
      <c r="LPY42" s="19"/>
      <c r="LPZ42" s="19"/>
      <c r="LQA42" s="19"/>
      <c r="LQB42" s="19"/>
      <c r="LQC42" s="19"/>
      <c r="LQD42" s="19"/>
      <c r="LQE42" s="19"/>
      <c r="LQF42" s="19"/>
      <c r="LQG42" s="19"/>
      <c r="LQH42" s="19"/>
      <c r="LQI42" s="19"/>
      <c r="LQJ42" s="19"/>
      <c r="LQK42" s="19"/>
      <c r="LQL42" s="19"/>
      <c r="LQM42" s="19"/>
      <c r="LQN42" s="19"/>
      <c r="LQO42" s="19"/>
      <c r="LQP42" s="19"/>
      <c r="LQQ42" s="19"/>
      <c r="LQR42" s="19"/>
      <c r="LQS42" s="19"/>
      <c r="LQT42" s="19"/>
      <c r="LQU42" s="19"/>
      <c r="LQV42" s="19"/>
      <c r="LQW42" s="19"/>
      <c r="LQX42" s="19"/>
      <c r="LQY42" s="19"/>
      <c r="LQZ42" s="19"/>
      <c r="LRA42" s="19"/>
      <c r="LRB42" s="19"/>
      <c r="LRC42" s="19"/>
      <c r="LRD42" s="19"/>
      <c r="LRE42" s="19"/>
      <c r="LRF42" s="19"/>
      <c r="LRG42" s="19"/>
      <c r="LRH42" s="19"/>
      <c r="LRI42" s="19"/>
      <c r="LRJ42" s="19"/>
      <c r="LRK42" s="19"/>
      <c r="LRL42" s="19"/>
      <c r="LRM42" s="19"/>
      <c r="LRN42" s="19"/>
      <c r="LRO42" s="19"/>
      <c r="LRP42" s="19"/>
      <c r="LRQ42" s="19"/>
      <c r="LRR42" s="19"/>
      <c r="LRS42" s="19"/>
      <c r="LRT42" s="19"/>
      <c r="LRU42" s="19"/>
      <c r="LRV42" s="19"/>
      <c r="LRW42" s="19"/>
      <c r="LRX42" s="19"/>
      <c r="LRY42" s="19"/>
      <c r="LRZ42" s="19"/>
      <c r="LSA42" s="19"/>
      <c r="LSB42" s="19"/>
      <c r="LSC42" s="19"/>
      <c r="LSD42" s="19"/>
      <c r="LSE42" s="19"/>
      <c r="LSF42" s="19"/>
      <c r="LSG42" s="19"/>
      <c r="LSH42" s="19"/>
      <c r="LSI42" s="19"/>
      <c r="LSJ42" s="19"/>
      <c r="LSK42" s="19"/>
      <c r="LSL42" s="19"/>
      <c r="LSM42" s="19"/>
      <c r="LSN42" s="19"/>
      <c r="LSO42" s="19"/>
      <c r="LSP42" s="19"/>
      <c r="LSQ42" s="19"/>
      <c r="LSR42" s="19"/>
      <c r="LSS42" s="19"/>
      <c r="LST42" s="19"/>
      <c r="LSU42" s="19"/>
      <c r="LSV42" s="19"/>
      <c r="LSW42" s="19"/>
      <c r="LSX42" s="19"/>
      <c r="LSY42" s="19"/>
      <c r="LSZ42" s="19"/>
      <c r="LTA42" s="19"/>
      <c r="LTB42" s="19"/>
      <c r="LTC42" s="19"/>
      <c r="LTD42" s="19"/>
      <c r="LTE42" s="19"/>
      <c r="LTF42" s="19"/>
      <c r="LTG42" s="19"/>
      <c r="LTH42" s="19"/>
      <c r="LTI42" s="19"/>
      <c r="LTJ42" s="19"/>
      <c r="LTK42" s="19"/>
      <c r="LTL42" s="19"/>
      <c r="LTM42" s="19"/>
      <c r="LTN42" s="19"/>
      <c r="LTO42" s="19"/>
      <c r="LTP42" s="19"/>
      <c r="LTQ42" s="19"/>
      <c r="LTR42" s="19"/>
      <c r="LTS42" s="19"/>
      <c r="LTT42" s="19"/>
      <c r="LTU42" s="19"/>
      <c r="LTV42" s="19"/>
      <c r="LTW42" s="19"/>
      <c r="LTX42" s="19"/>
      <c r="LTY42" s="19"/>
      <c r="LTZ42" s="19"/>
      <c r="LUA42" s="19"/>
      <c r="LUB42" s="19"/>
      <c r="LUC42" s="19"/>
      <c r="LUD42" s="19"/>
      <c r="LUE42" s="19"/>
      <c r="LUF42" s="19"/>
      <c r="LUG42" s="19"/>
      <c r="LUH42" s="19"/>
      <c r="LUI42" s="19"/>
      <c r="LUJ42" s="19"/>
      <c r="LUK42" s="19"/>
      <c r="LUL42" s="19"/>
      <c r="LUM42" s="19"/>
      <c r="LUN42" s="19"/>
      <c r="LUO42" s="19"/>
      <c r="LUP42" s="19"/>
      <c r="LUQ42" s="19"/>
      <c r="LUR42" s="19"/>
      <c r="LUS42" s="19"/>
      <c r="LUT42" s="19"/>
      <c r="LUU42" s="19"/>
      <c r="LUV42" s="19"/>
      <c r="LUW42" s="19"/>
      <c r="LUX42" s="19"/>
      <c r="LUY42" s="19"/>
      <c r="LUZ42" s="19"/>
      <c r="LVA42" s="19"/>
      <c r="LVB42" s="19"/>
      <c r="LVC42" s="19"/>
      <c r="LVD42" s="19"/>
      <c r="LVE42" s="19"/>
      <c r="LVF42" s="19"/>
      <c r="LVG42" s="19"/>
      <c r="LVH42" s="19"/>
      <c r="LVI42" s="19"/>
      <c r="LVJ42" s="19"/>
      <c r="LVK42" s="19"/>
      <c r="LVL42" s="19"/>
      <c r="LVM42" s="19"/>
      <c r="LVN42" s="19"/>
      <c r="LVO42" s="19"/>
      <c r="LVP42" s="19"/>
      <c r="LVQ42" s="19"/>
      <c r="LVR42" s="19"/>
      <c r="LVS42" s="19"/>
      <c r="LVT42" s="19"/>
      <c r="LVU42" s="19"/>
      <c r="LVV42" s="19"/>
      <c r="LVW42" s="19"/>
      <c r="LVX42" s="19"/>
      <c r="LVY42" s="19"/>
      <c r="LVZ42" s="19"/>
      <c r="LWA42" s="19"/>
      <c r="LWB42" s="19"/>
      <c r="LWC42" s="19"/>
      <c r="LWD42" s="19"/>
      <c r="LWE42" s="19"/>
      <c r="LWF42" s="19"/>
      <c r="LWG42" s="19"/>
      <c r="LWH42" s="19"/>
      <c r="LWI42" s="19"/>
      <c r="LWJ42" s="19"/>
      <c r="LWK42" s="19"/>
      <c r="LWL42" s="19"/>
      <c r="LWM42" s="19"/>
      <c r="LWN42" s="19"/>
      <c r="LWO42" s="19"/>
      <c r="LWP42" s="19"/>
      <c r="LWQ42" s="19"/>
      <c r="LWR42" s="19"/>
      <c r="LWS42" s="19"/>
      <c r="LWT42" s="19"/>
      <c r="LWU42" s="19"/>
      <c r="LWV42" s="19"/>
      <c r="LWW42" s="19"/>
      <c r="LWX42" s="19"/>
      <c r="LWY42" s="19"/>
      <c r="LWZ42" s="19"/>
      <c r="LXA42" s="19"/>
      <c r="LXB42" s="19"/>
      <c r="LXC42" s="19"/>
      <c r="LXD42" s="19"/>
      <c r="LXE42" s="19"/>
      <c r="LXF42" s="19"/>
      <c r="LXG42" s="19"/>
      <c r="LXH42" s="19"/>
      <c r="LXI42" s="19"/>
      <c r="LXJ42" s="19"/>
      <c r="LXK42" s="19"/>
      <c r="LXL42" s="19"/>
      <c r="LXM42" s="19"/>
      <c r="LXN42" s="19"/>
      <c r="LXO42" s="19"/>
      <c r="LXP42" s="19"/>
      <c r="LXQ42" s="19"/>
      <c r="LXR42" s="19"/>
      <c r="LXS42" s="19"/>
      <c r="LXT42" s="19"/>
      <c r="LXU42" s="19"/>
      <c r="LXV42" s="19"/>
      <c r="LXW42" s="19"/>
      <c r="LXX42" s="19"/>
      <c r="LXY42" s="19"/>
      <c r="LXZ42" s="19"/>
      <c r="LYA42" s="19"/>
      <c r="LYB42" s="19"/>
      <c r="LYC42" s="19"/>
      <c r="LYD42" s="19"/>
      <c r="LYE42" s="19"/>
      <c r="LYF42" s="19"/>
      <c r="LYG42" s="19"/>
      <c r="LYH42" s="19"/>
      <c r="LYI42" s="19"/>
      <c r="LYJ42" s="19"/>
      <c r="LYK42" s="19"/>
      <c r="LYL42" s="19"/>
      <c r="LYM42" s="19"/>
      <c r="LYN42" s="19"/>
      <c r="LYO42" s="19"/>
      <c r="LYP42" s="19"/>
      <c r="LYQ42" s="19"/>
      <c r="LYR42" s="19"/>
      <c r="LYS42" s="19"/>
      <c r="LYT42" s="19"/>
      <c r="LYU42" s="19"/>
      <c r="LYV42" s="19"/>
      <c r="LYW42" s="19"/>
      <c r="LYX42" s="19"/>
      <c r="LYY42" s="19"/>
      <c r="LYZ42" s="19"/>
      <c r="LZA42" s="19"/>
      <c r="LZB42" s="19"/>
      <c r="LZC42" s="19"/>
      <c r="LZD42" s="19"/>
      <c r="LZE42" s="19"/>
      <c r="LZF42" s="19"/>
      <c r="LZG42" s="19"/>
      <c r="LZH42" s="19"/>
      <c r="LZI42" s="19"/>
      <c r="LZJ42" s="19"/>
      <c r="LZK42" s="19"/>
      <c r="LZL42" s="19"/>
      <c r="LZM42" s="19"/>
      <c r="LZN42" s="19"/>
      <c r="LZO42" s="19"/>
      <c r="LZP42" s="19"/>
      <c r="LZQ42" s="19"/>
      <c r="LZR42" s="19"/>
      <c r="LZS42" s="19"/>
      <c r="LZT42" s="19"/>
      <c r="LZU42" s="19"/>
      <c r="LZV42" s="19"/>
      <c r="LZW42" s="19"/>
      <c r="LZX42" s="19"/>
      <c r="LZY42" s="19"/>
      <c r="LZZ42" s="19"/>
      <c r="MAA42" s="19"/>
      <c r="MAB42" s="19"/>
      <c r="MAC42" s="19"/>
      <c r="MAD42" s="19"/>
      <c r="MAE42" s="19"/>
      <c r="MAF42" s="19"/>
      <c r="MAG42" s="19"/>
      <c r="MAH42" s="19"/>
      <c r="MAI42" s="19"/>
      <c r="MAJ42" s="19"/>
      <c r="MAK42" s="19"/>
      <c r="MAL42" s="19"/>
      <c r="MAM42" s="19"/>
      <c r="MAN42" s="19"/>
      <c r="MAO42" s="19"/>
      <c r="MAP42" s="19"/>
      <c r="MAQ42" s="19"/>
      <c r="MAR42" s="19"/>
      <c r="MAS42" s="19"/>
      <c r="MAT42" s="19"/>
      <c r="MAU42" s="19"/>
      <c r="MAV42" s="19"/>
      <c r="MAW42" s="19"/>
      <c r="MAX42" s="19"/>
      <c r="MAY42" s="19"/>
      <c r="MAZ42" s="19"/>
      <c r="MBA42" s="19"/>
      <c r="MBB42" s="19"/>
      <c r="MBC42" s="19"/>
      <c r="MBD42" s="19"/>
      <c r="MBE42" s="19"/>
      <c r="MBF42" s="19"/>
      <c r="MBG42" s="19"/>
      <c r="MBH42" s="19"/>
      <c r="MBI42" s="19"/>
      <c r="MBJ42" s="19"/>
      <c r="MBK42" s="19"/>
      <c r="MBL42" s="19"/>
      <c r="MBM42" s="19"/>
      <c r="MBN42" s="19"/>
      <c r="MBO42" s="19"/>
      <c r="MBP42" s="19"/>
      <c r="MBQ42" s="19"/>
      <c r="MBR42" s="19"/>
      <c r="MBS42" s="19"/>
      <c r="MBT42" s="19"/>
      <c r="MBU42" s="19"/>
      <c r="MBV42" s="19"/>
      <c r="MBW42" s="19"/>
      <c r="MBX42" s="19"/>
      <c r="MBY42" s="19"/>
      <c r="MBZ42" s="19"/>
      <c r="MCA42" s="19"/>
      <c r="MCB42" s="19"/>
      <c r="MCC42" s="19"/>
      <c r="MCD42" s="19"/>
      <c r="MCE42" s="19"/>
      <c r="MCF42" s="19"/>
      <c r="MCG42" s="19"/>
      <c r="MCH42" s="19"/>
      <c r="MCI42" s="19"/>
      <c r="MCJ42" s="19"/>
      <c r="MCK42" s="19"/>
      <c r="MCL42" s="19"/>
      <c r="MCM42" s="19"/>
      <c r="MCN42" s="19"/>
      <c r="MCO42" s="19"/>
      <c r="MCP42" s="19"/>
      <c r="MCQ42" s="19"/>
      <c r="MCR42" s="19"/>
      <c r="MCS42" s="19"/>
      <c r="MCT42" s="19"/>
      <c r="MCU42" s="19"/>
      <c r="MCV42" s="19"/>
      <c r="MCW42" s="19"/>
      <c r="MCX42" s="19"/>
      <c r="MCY42" s="19"/>
      <c r="MCZ42" s="19"/>
      <c r="MDA42" s="19"/>
      <c r="MDB42" s="19"/>
      <c r="MDC42" s="19"/>
      <c r="MDD42" s="19"/>
      <c r="MDE42" s="19"/>
      <c r="MDF42" s="19"/>
      <c r="MDG42" s="19"/>
      <c r="MDH42" s="19"/>
      <c r="MDI42" s="19"/>
      <c r="MDJ42" s="19"/>
      <c r="MDK42" s="19"/>
      <c r="MDL42" s="19"/>
      <c r="MDM42" s="19"/>
      <c r="MDN42" s="19"/>
      <c r="MDO42" s="19"/>
      <c r="MDP42" s="19"/>
      <c r="MDQ42" s="19"/>
      <c r="MDR42" s="19"/>
      <c r="MDS42" s="19"/>
      <c r="MDT42" s="19"/>
      <c r="MDU42" s="19"/>
      <c r="MDV42" s="19"/>
      <c r="MDW42" s="19"/>
      <c r="MDX42" s="19"/>
      <c r="MDY42" s="19"/>
      <c r="MDZ42" s="19"/>
      <c r="MEA42" s="19"/>
      <c r="MEB42" s="19"/>
      <c r="MEC42" s="19"/>
      <c r="MED42" s="19"/>
      <c r="MEE42" s="19"/>
      <c r="MEF42" s="19"/>
      <c r="MEG42" s="19"/>
      <c r="MEH42" s="19"/>
      <c r="MEI42" s="19"/>
      <c r="MEJ42" s="19"/>
      <c r="MEK42" s="19"/>
      <c r="MEL42" s="19"/>
      <c r="MEM42" s="19"/>
      <c r="MEN42" s="19"/>
      <c r="MEO42" s="19"/>
      <c r="MEP42" s="19"/>
      <c r="MEQ42" s="19"/>
      <c r="MER42" s="19"/>
      <c r="MES42" s="19"/>
      <c r="MET42" s="19"/>
      <c r="MEU42" s="19"/>
      <c r="MEV42" s="19"/>
      <c r="MEW42" s="19"/>
      <c r="MEX42" s="19"/>
      <c r="MEY42" s="19"/>
      <c r="MEZ42" s="19"/>
      <c r="MFA42" s="19"/>
      <c r="MFB42" s="19"/>
      <c r="MFC42" s="19"/>
      <c r="MFD42" s="19"/>
      <c r="MFE42" s="19"/>
      <c r="MFF42" s="19"/>
      <c r="MFG42" s="19"/>
      <c r="MFH42" s="19"/>
      <c r="MFI42" s="19"/>
      <c r="MFJ42" s="19"/>
      <c r="MFK42" s="19"/>
      <c r="MFL42" s="19"/>
      <c r="MFM42" s="19"/>
      <c r="MFN42" s="19"/>
      <c r="MFO42" s="19"/>
      <c r="MFP42" s="19"/>
      <c r="MFQ42" s="19"/>
      <c r="MFR42" s="19"/>
      <c r="MFS42" s="19"/>
      <c r="MFT42" s="19"/>
      <c r="MFU42" s="19"/>
      <c r="MFV42" s="19"/>
      <c r="MFW42" s="19"/>
      <c r="MFX42" s="19"/>
      <c r="MFY42" s="19"/>
      <c r="MFZ42" s="19"/>
      <c r="MGA42" s="19"/>
      <c r="MGB42" s="19"/>
      <c r="MGC42" s="19"/>
      <c r="MGD42" s="19"/>
      <c r="MGE42" s="19"/>
      <c r="MGF42" s="19"/>
      <c r="MGG42" s="19"/>
      <c r="MGH42" s="19"/>
      <c r="MGI42" s="19"/>
      <c r="MGJ42" s="19"/>
      <c r="MGK42" s="19"/>
      <c r="MGL42" s="19"/>
      <c r="MGM42" s="19"/>
      <c r="MGN42" s="19"/>
      <c r="MGO42" s="19"/>
      <c r="MGP42" s="19"/>
      <c r="MGQ42" s="19"/>
      <c r="MGR42" s="19"/>
      <c r="MGS42" s="19"/>
      <c r="MGT42" s="19"/>
      <c r="MGU42" s="19"/>
      <c r="MGV42" s="19"/>
      <c r="MGW42" s="19"/>
      <c r="MGX42" s="19"/>
      <c r="MGY42" s="19"/>
      <c r="MGZ42" s="19"/>
      <c r="MHA42" s="19"/>
      <c r="MHB42" s="19"/>
      <c r="MHC42" s="19"/>
      <c r="MHD42" s="19"/>
      <c r="MHE42" s="19"/>
      <c r="MHF42" s="19"/>
      <c r="MHG42" s="19"/>
      <c r="MHH42" s="19"/>
      <c r="MHI42" s="19"/>
      <c r="MHJ42" s="19"/>
      <c r="MHK42" s="19"/>
      <c r="MHL42" s="19"/>
      <c r="MHM42" s="19"/>
      <c r="MHN42" s="19"/>
      <c r="MHO42" s="19"/>
      <c r="MHP42" s="19"/>
      <c r="MHQ42" s="19"/>
      <c r="MHR42" s="19"/>
      <c r="MHS42" s="19"/>
      <c r="MHT42" s="19"/>
      <c r="MHU42" s="19"/>
      <c r="MHV42" s="19"/>
      <c r="MHW42" s="19"/>
      <c r="MHX42" s="19"/>
      <c r="MHY42" s="19"/>
      <c r="MHZ42" s="19"/>
      <c r="MIA42" s="19"/>
      <c r="MIB42" s="19"/>
      <c r="MIC42" s="19"/>
      <c r="MID42" s="19"/>
      <c r="MIE42" s="19"/>
      <c r="MIF42" s="19"/>
      <c r="MIG42" s="19"/>
      <c r="MIH42" s="19"/>
      <c r="MII42" s="19"/>
      <c r="MIJ42" s="19"/>
      <c r="MIK42" s="19"/>
      <c r="MIL42" s="19"/>
      <c r="MIM42" s="19"/>
      <c r="MIN42" s="19"/>
      <c r="MIO42" s="19"/>
      <c r="MIP42" s="19"/>
      <c r="MIQ42" s="19"/>
      <c r="MIR42" s="19"/>
      <c r="MIS42" s="19"/>
      <c r="MIT42" s="19"/>
      <c r="MIU42" s="19"/>
      <c r="MIV42" s="19"/>
      <c r="MIW42" s="19"/>
      <c r="MIX42" s="19"/>
      <c r="MIY42" s="19"/>
      <c r="MIZ42" s="19"/>
      <c r="MJA42" s="19"/>
      <c r="MJB42" s="19"/>
      <c r="MJC42" s="19"/>
      <c r="MJD42" s="19"/>
      <c r="MJE42" s="19"/>
      <c r="MJF42" s="19"/>
      <c r="MJG42" s="19"/>
      <c r="MJH42" s="19"/>
      <c r="MJI42" s="19"/>
      <c r="MJJ42" s="19"/>
      <c r="MJK42" s="19"/>
      <c r="MJL42" s="19"/>
      <c r="MJM42" s="19"/>
      <c r="MJN42" s="19"/>
      <c r="MJO42" s="19"/>
      <c r="MJP42" s="19"/>
      <c r="MJQ42" s="19"/>
      <c r="MJR42" s="19"/>
      <c r="MJS42" s="19"/>
      <c r="MJT42" s="19"/>
      <c r="MJU42" s="19"/>
      <c r="MJV42" s="19"/>
      <c r="MJW42" s="19"/>
      <c r="MJX42" s="19"/>
      <c r="MJY42" s="19"/>
      <c r="MJZ42" s="19"/>
      <c r="MKA42" s="19"/>
      <c r="MKB42" s="19"/>
      <c r="MKC42" s="19"/>
      <c r="MKD42" s="19"/>
      <c r="MKE42" s="19"/>
      <c r="MKF42" s="19"/>
      <c r="MKG42" s="19"/>
      <c r="MKH42" s="19"/>
      <c r="MKI42" s="19"/>
      <c r="MKJ42" s="19"/>
      <c r="MKK42" s="19"/>
      <c r="MKL42" s="19"/>
      <c r="MKM42" s="19"/>
      <c r="MKN42" s="19"/>
      <c r="MKO42" s="19"/>
      <c r="MKP42" s="19"/>
      <c r="MKQ42" s="19"/>
      <c r="MKR42" s="19"/>
      <c r="MKS42" s="19"/>
      <c r="MKT42" s="19"/>
      <c r="MKU42" s="19"/>
      <c r="MKV42" s="19"/>
      <c r="MKW42" s="19"/>
      <c r="MKX42" s="19"/>
      <c r="MKY42" s="19"/>
      <c r="MKZ42" s="19"/>
      <c r="MLA42" s="19"/>
      <c r="MLB42" s="19"/>
      <c r="MLC42" s="19"/>
      <c r="MLD42" s="19"/>
      <c r="MLE42" s="19"/>
      <c r="MLF42" s="19"/>
      <c r="MLG42" s="19"/>
      <c r="MLH42" s="19"/>
      <c r="MLI42" s="19"/>
      <c r="MLJ42" s="19"/>
      <c r="MLK42" s="19"/>
      <c r="MLL42" s="19"/>
      <c r="MLM42" s="19"/>
      <c r="MLN42" s="19"/>
      <c r="MLO42" s="19"/>
      <c r="MLP42" s="19"/>
      <c r="MLQ42" s="19"/>
      <c r="MLR42" s="19"/>
      <c r="MLS42" s="19"/>
      <c r="MLT42" s="19"/>
      <c r="MLU42" s="19"/>
      <c r="MLV42" s="19"/>
      <c r="MLW42" s="19"/>
      <c r="MLX42" s="19"/>
      <c r="MLY42" s="19"/>
      <c r="MLZ42" s="19"/>
      <c r="MMA42" s="19"/>
      <c r="MMB42" s="19"/>
      <c r="MMC42" s="19"/>
      <c r="MMD42" s="19"/>
      <c r="MME42" s="19"/>
      <c r="MMF42" s="19"/>
      <c r="MMG42" s="19"/>
      <c r="MMH42" s="19"/>
      <c r="MMI42" s="19"/>
      <c r="MMJ42" s="19"/>
      <c r="MMK42" s="19"/>
      <c r="MML42" s="19"/>
      <c r="MMM42" s="19"/>
      <c r="MMN42" s="19"/>
      <c r="MMO42" s="19"/>
      <c r="MMP42" s="19"/>
      <c r="MMQ42" s="19"/>
      <c r="MMR42" s="19"/>
      <c r="MMS42" s="19"/>
      <c r="MMT42" s="19"/>
      <c r="MMU42" s="19"/>
      <c r="MMV42" s="19"/>
      <c r="MMW42" s="19"/>
      <c r="MMX42" s="19"/>
      <c r="MMY42" s="19"/>
      <c r="MMZ42" s="19"/>
      <c r="MNA42" s="19"/>
      <c r="MNB42" s="19"/>
      <c r="MNC42" s="19"/>
      <c r="MND42" s="19"/>
      <c r="MNE42" s="19"/>
      <c r="MNF42" s="19"/>
      <c r="MNG42" s="19"/>
      <c r="MNH42" s="19"/>
      <c r="MNI42" s="19"/>
      <c r="MNJ42" s="19"/>
      <c r="MNK42" s="19"/>
      <c r="MNL42" s="19"/>
      <c r="MNM42" s="19"/>
      <c r="MNN42" s="19"/>
      <c r="MNO42" s="19"/>
      <c r="MNP42" s="19"/>
      <c r="MNQ42" s="19"/>
      <c r="MNR42" s="19"/>
      <c r="MNS42" s="19"/>
      <c r="MNT42" s="19"/>
      <c r="MNU42" s="19"/>
      <c r="MNV42" s="19"/>
      <c r="MNW42" s="19"/>
      <c r="MNX42" s="19"/>
      <c r="MNY42" s="19"/>
      <c r="MNZ42" s="19"/>
      <c r="MOA42" s="19"/>
      <c r="MOB42" s="19"/>
      <c r="MOC42" s="19"/>
      <c r="MOD42" s="19"/>
      <c r="MOE42" s="19"/>
      <c r="MOF42" s="19"/>
      <c r="MOG42" s="19"/>
      <c r="MOH42" s="19"/>
      <c r="MOI42" s="19"/>
      <c r="MOJ42" s="19"/>
      <c r="MOK42" s="19"/>
      <c r="MOL42" s="19"/>
      <c r="MOM42" s="19"/>
      <c r="MON42" s="19"/>
      <c r="MOO42" s="19"/>
      <c r="MOP42" s="19"/>
      <c r="MOQ42" s="19"/>
      <c r="MOR42" s="19"/>
      <c r="MOS42" s="19"/>
      <c r="MOT42" s="19"/>
      <c r="MOU42" s="19"/>
      <c r="MOV42" s="19"/>
      <c r="MOW42" s="19"/>
      <c r="MOX42" s="19"/>
      <c r="MOY42" s="19"/>
      <c r="MOZ42" s="19"/>
      <c r="MPA42" s="19"/>
      <c r="MPB42" s="19"/>
      <c r="MPC42" s="19"/>
      <c r="MPD42" s="19"/>
      <c r="MPE42" s="19"/>
      <c r="MPF42" s="19"/>
      <c r="MPG42" s="19"/>
      <c r="MPH42" s="19"/>
      <c r="MPI42" s="19"/>
      <c r="MPJ42" s="19"/>
      <c r="MPK42" s="19"/>
      <c r="MPL42" s="19"/>
      <c r="MPM42" s="19"/>
      <c r="MPN42" s="19"/>
      <c r="MPO42" s="19"/>
      <c r="MPP42" s="19"/>
      <c r="MPQ42" s="19"/>
      <c r="MPR42" s="19"/>
      <c r="MPS42" s="19"/>
      <c r="MPT42" s="19"/>
      <c r="MPU42" s="19"/>
      <c r="MPV42" s="19"/>
      <c r="MPW42" s="19"/>
      <c r="MPX42" s="19"/>
      <c r="MPY42" s="19"/>
      <c r="MPZ42" s="19"/>
      <c r="MQA42" s="19"/>
      <c r="MQB42" s="19"/>
      <c r="MQC42" s="19"/>
      <c r="MQD42" s="19"/>
      <c r="MQE42" s="19"/>
      <c r="MQF42" s="19"/>
      <c r="MQG42" s="19"/>
      <c r="MQH42" s="19"/>
      <c r="MQI42" s="19"/>
      <c r="MQJ42" s="19"/>
      <c r="MQK42" s="19"/>
      <c r="MQL42" s="19"/>
      <c r="MQM42" s="19"/>
      <c r="MQN42" s="19"/>
      <c r="MQO42" s="19"/>
      <c r="MQP42" s="19"/>
      <c r="MQQ42" s="19"/>
      <c r="MQR42" s="19"/>
      <c r="MQS42" s="19"/>
      <c r="MQT42" s="19"/>
      <c r="MQU42" s="19"/>
      <c r="MQV42" s="19"/>
      <c r="MQW42" s="19"/>
      <c r="MQX42" s="19"/>
      <c r="MQY42" s="19"/>
      <c r="MQZ42" s="19"/>
      <c r="MRA42" s="19"/>
      <c r="MRB42" s="19"/>
      <c r="MRC42" s="19"/>
      <c r="MRD42" s="19"/>
      <c r="MRE42" s="19"/>
      <c r="MRF42" s="19"/>
      <c r="MRG42" s="19"/>
      <c r="MRH42" s="19"/>
      <c r="MRI42" s="19"/>
      <c r="MRJ42" s="19"/>
      <c r="MRK42" s="19"/>
      <c r="MRL42" s="19"/>
      <c r="MRM42" s="19"/>
      <c r="MRN42" s="19"/>
      <c r="MRO42" s="19"/>
      <c r="MRP42" s="19"/>
      <c r="MRQ42" s="19"/>
      <c r="MRR42" s="19"/>
      <c r="MRS42" s="19"/>
      <c r="MRT42" s="19"/>
      <c r="MRU42" s="19"/>
      <c r="MRV42" s="19"/>
      <c r="MRW42" s="19"/>
      <c r="MRX42" s="19"/>
      <c r="MRY42" s="19"/>
      <c r="MRZ42" s="19"/>
      <c r="MSA42" s="19"/>
      <c r="MSB42" s="19"/>
      <c r="MSC42" s="19"/>
      <c r="MSD42" s="19"/>
      <c r="MSE42" s="19"/>
      <c r="MSF42" s="19"/>
      <c r="MSG42" s="19"/>
      <c r="MSH42" s="19"/>
      <c r="MSI42" s="19"/>
      <c r="MSJ42" s="19"/>
      <c r="MSK42" s="19"/>
      <c r="MSL42" s="19"/>
      <c r="MSM42" s="19"/>
      <c r="MSN42" s="19"/>
      <c r="MSO42" s="19"/>
      <c r="MSP42" s="19"/>
      <c r="MSQ42" s="19"/>
      <c r="MSR42" s="19"/>
      <c r="MSS42" s="19"/>
      <c r="MST42" s="19"/>
      <c r="MSU42" s="19"/>
      <c r="MSV42" s="19"/>
      <c r="MSW42" s="19"/>
      <c r="MSX42" s="19"/>
      <c r="MSY42" s="19"/>
      <c r="MSZ42" s="19"/>
      <c r="MTA42" s="19"/>
      <c r="MTB42" s="19"/>
      <c r="MTC42" s="19"/>
      <c r="MTD42" s="19"/>
      <c r="MTE42" s="19"/>
      <c r="MTF42" s="19"/>
      <c r="MTG42" s="19"/>
      <c r="MTH42" s="19"/>
      <c r="MTI42" s="19"/>
      <c r="MTJ42" s="19"/>
      <c r="MTK42" s="19"/>
      <c r="MTL42" s="19"/>
      <c r="MTM42" s="19"/>
      <c r="MTN42" s="19"/>
      <c r="MTO42" s="19"/>
      <c r="MTP42" s="19"/>
      <c r="MTQ42" s="19"/>
      <c r="MTR42" s="19"/>
      <c r="MTS42" s="19"/>
      <c r="MTT42" s="19"/>
      <c r="MTU42" s="19"/>
      <c r="MTV42" s="19"/>
      <c r="MTW42" s="19"/>
      <c r="MTX42" s="19"/>
      <c r="MTY42" s="19"/>
      <c r="MTZ42" s="19"/>
      <c r="MUA42" s="19"/>
      <c r="MUB42" s="19"/>
      <c r="MUC42" s="19"/>
      <c r="MUD42" s="19"/>
      <c r="MUE42" s="19"/>
      <c r="MUF42" s="19"/>
      <c r="MUG42" s="19"/>
      <c r="MUH42" s="19"/>
      <c r="MUI42" s="19"/>
      <c r="MUJ42" s="19"/>
      <c r="MUK42" s="19"/>
      <c r="MUL42" s="19"/>
      <c r="MUM42" s="19"/>
      <c r="MUN42" s="19"/>
      <c r="MUO42" s="19"/>
      <c r="MUP42" s="19"/>
      <c r="MUQ42" s="19"/>
      <c r="MUR42" s="19"/>
      <c r="MUS42" s="19"/>
      <c r="MUT42" s="19"/>
      <c r="MUU42" s="19"/>
      <c r="MUV42" s="19"/>
      <c r="MUW42" s="19"/>
      <c r="MUX42" s="19"/>
      <c r="MUY42" s="19"/>
      <c r="MUZ42" s="19"/>
      <c r="MVA42" s="19"/>
      <c r="MVB42" s="19"/>
      <c r="MVC42" s="19"/>
      <c r="MVD42" s="19"/>
      <c r="MVE42" s="19"/>
      <c r="MVF42" s="19"/>
      <c r="MVG42" s="19"/>
      <c r="MVH42" s="19"/>
      <c r="MVI42" s="19"/>
      <c r="MVJ42" s="19"/>
      <c r="MVK42" s="19"/>
      <c r="MVL42" s="19"/>
      <c r="MVM42" s="19"/>
      <c r="MVN42" s="19"/>
      <c r="MVO42" s="19"/>
      <c r="MVP42" s="19"/>
      <c r="MVQ42" s="19"/>
      <c r="MVR42" s="19"/>
      <c r="MVS42" s="19"/>
      <c r="MVT42" s="19"/>
      <c r="MVU42" s="19"/>
      <c r="MVV42" s="19"/>
      <c r="MVW42" s="19"/>
      <c r="MVX42" s="19"/>
      <c r="MVY42" s="19"/>
      <c r="MVZ42" s="19"/>
      <c r="MWA42" s="19"/>
      <c r="MWB42" s="19"/>
      <c r="MWC42" s="19"/>
      <c r="MWD42" s="19"/>
      <c r="MWE42" s="19"/>
      <c r="MWF42" s="19"/>
      <c r="MWG42" s="19"/>
      <c r="MWH42" s="19"/>
      <c r="MWI42" s="19"/>
      <c r="MWJ42" s="19"/>
      <c r="MWK42" s="19"/>
      <c r="MWL42" s="19"/>
      <c r="MWM42" s="19"/>
      <c r="MWN42" s="19"/>
      <c r="MWO42" s="19"/>
      <c r="MWP42" s="19"/>
      <c r="MWQ42" s="19"/>
      <c r="MWR42" s="19"/>
      <c r="MWS42" s="19"/>
      <c r="MWT42" s="19"/>
      <c r="MWU42" s="19"/>
      <c r="MWV42" s="19"/>
      <c r="MWW42" s="19"/>
      <c r="MWX42" s="19"/>
      <c r="MWY42" s="19"/>
      <c r="MWZ42" s="19"/>
      <c r="MXA42" s="19"/>
      <c r="MXB42" s="19"/>
      <c r="MXC42" s="19"/>
      <c r="MXD42" s="19"/>
      <c r="MXE42" s="19"/>
      <c r="MXF42" s="19"/>
      <c r="MXG42" s="19"/>
      <c r="MXH42" s="19"/>
      <c r="MXI42" s="19"/>
      <c r="MXJ42" s="19"/>
      <c r="MXK42" s="19"/>
      <c r="MXL42" s="19"/>
      <c r="MXM42" s="19"/>
      <c r="MXN42" s="19"/>
      <c r="MXO42" s="19"/>
      <c r="MXP42" s="19"/>
      <c r="MXQ42" s="19"/>
      <c r="MXR42" s="19"/>
      <c r="MXS42" s="19"/>
      <c r="MXT42" s="19"/>
      <c r="MXU42" s="19"/>
      <c r="MXV42" s="19"/>
      <c r="MXW42" s="19"/>
      <c r="MXX42" s="19"/>
      <c r="MXY42" s="19"/>
      <c r="MXZ42" s="19"/>
      <c r="MYA42" s="19"/>
      <c r="MYB42" s="19"/>
      <c r="MYC42" s="19"/>
      <c r="MYD42" s="19"/>
      <c r="MYE42" s="19"/>
      <c r="MYF42" s="19"/>
      <c r="MYG42" s="19"/>
      <c r="MYH42" s="19"/>
      <c r="MYI42" s="19"/>
      <c r="MYJ42" s="19"/>
      <c r="MYK42" s="19"/>
      <c r="MYL42" s="19"/>
      <c r="MYM42" s="19"/>
      <c r="MYN42" s="19"/>
      <c r="MYO42" s="19"/>
      <c r="MYP42" s="19"/>
      <c r="MYQ42" s="19"/>
      <c r="MYR42" s="19"/>
      <c r="MYS42" s="19"/>
      <c r="MYT42" s="19"/>
      <c r="MYU42" s="19"/>
      <c r="MYV42" s="19"/>
      <c r="MYW42" s="19"/>
      <c r="MYX42" s="19"/>
      <c r="MYY42" s="19"/>
      <c r="MYZ42" s="19"/>
      <c r="MZA42" s="19"/>
      <c r="MZB42" s="19"/>
      <c r="MZC42" s="19"/>
      <c r="MZD42" s="19"/>
      <c r="MZE42" s="19"/>
      <c r="MZF42" s="19"/>
      <c r="MZG42" s="19"/>
      <c r="MZH42" s="19"/>
      <c r="MZI42" s="19"/>
      <c r="MZJ42" s="19"/>
      <c r="MZK42" s="19"/>
      <c r="MZL42" s="19"/>
      <c r="MZM42" s="19"/>
      <c r="MZN42" s="19"/>
      <c r="MZO42" s="19"/>
      <c r="MZP42" s="19"/>
      <c r="MZQ42" s="19"/>
      <c r="MZR42" s="19"/>
      <c r="MZS42" s="19"/>
      <c r="MZT42" s="19"/>
      <c r="MZU42" s="19"/>
      <c r="MZV42" s="19"/>
      <c r="MZW42" s="19"/>
      <c r="MZX42" s="19"/>
      <c r="MZY42" s="19"/>
      <c r="MZZ42" s="19"/>
      <c r="NAA42" s="19"/>
      <c r="NAB42" s="19"/>
      <c r="NAC42" s="19"/>
      <c r="NAD42" s="19"/>
      <c r="NAE42" s="19"/>
      <c r="NAF42" s="19"/>
      <c r="NAG42" s="19"/>
      <c r="NAH42" s="19"/>
      <c r="NAI42" s="19"/>
      <c r="NAJ42" s="19"/>
      <c r="NAK42" s="19"/>
      <c r="NAL42" s="19"/>
      <c r="NAM42" s="19"/>
      <c r="NAN42" s="19"/>
      <c r="NAO42" s="19"/>
      <c r="NAP42" s="19"/>
      <c r="NAQ42" s="19"/>
      <c r="NAR42" s="19"/>
      <c r="NAS42" s="19"/>
      <c r="NAT42" s="19"/>
      <c r="NAU42" s="19"/>
      <c r="NAV42" s="19"/>
      <c r="NAW42" s="19"/>
      <c r="NAX42" s="19"/>
      <c r="NAY42" s="19"/>
      <c r="NAZ42" s="19"/>
      <c r="NBA42" s="19"/>
      <c r="NBB42" s="19"/>
      <c r="NBC42" s="19"/>
      <c r="NBD42" s="19"/>
      <c r="NBE42" s="19"/>
      <c r="NBF42" s="19"/>
      <c r="NBG42" s="19"/>
      <c r="NBH42" s="19"/>
      <c r="NBI42" s="19"/>
      <c r="NBJ42" s="19"/>
      <c r="NBK42" s="19"/>
      <c r="NBL42" s="19"/>
      <c r="NBM42" s="19"/>
      <c r="NBN42" s="19"/>
      <c r="NBO42" s="19"/>
      <c r="NBP42" s="19"/>
      <c r="NBQ42" s="19"/>
      <c r="NBR42" s="19"/>
      <c r="NBS42" s="19"/>
      <c r="NBT42" s="19"/>
      <c r="NBU42" s="19"/>
      <c r="NBV42" s="19"/>
      <c r="NBW42" s="19"/>
      <c r="NBX42" s="19"/>
      <c r="NBY42" s="19"/>
      <c r="NBZ42" s="19"/>
      <c r="NCA42" s="19"/>
      <c r="NCB42" s="19"/>
      <c r="NCC42" s="19"/>
      <c r="NCD42" s="19"/>
      <c r="NCE42" s="19"/>
      <c r="NCF42" s="19"/>
      <c r="NCG42" s="19"/>
      <c r="NCH42" s="19"/>
      <c r="NCI42" s="19"/>
      <c r="NCJ42" s="19"/>
      <c r="NCK42" s="19"/>
      <c r="NCL42" s="19"/>
      <c r="NCM42" s="19"/>
      <c r="NCN42" s="19"/>
      <c r="NCO42" s="19"/>
      <c r="NCP42" s="19"/>
      <c r="NCQ42" s="19"/>
      <c r="NCR42" s="19"/>
      <c r="NCS42" s="19"/>
      <c r="NCT42" s="19"/>
      <c r="NCU42" s="19"/>
      <c r="NCV42" s="19"/>
      <c r="NCW42" s="19"/>
      <c r="NCX42" s="19"/>
      <c r="NCY42" s="19"/>
      <c r="NCZ42" s="19"/>
      <c r="NDA42" s="19"/>
      <c r="NDB42" s="19"/>
      <c r="NDC42" s="19"/>
      <c r="NDD42" s="19"/>
      <c r="NDE42" s="19"/>
      <c r="NDF42" s="19"/>
      <c r="NDG42" s="19"/>
      <c r="NDH42" s="19"/>
      <c r="NDI42" s="19"/>
      <c r="NDJ42" s="19"/>
      <c r="NDK42" s="19"/>
      <c r="NDL42" s="19"/>
      <c r="NDM42" s="19"/>
      <c r="NDN42" s="19"/>
      <c r="NDO42" s="19"/>
      <c r="NDP42" s="19"/>
      <c r="NDQ42" s="19"/>
      <c r="NDR42" s="19"/>
      <c r="NDS42" s="19"/>
      <c r="NDT42" s="19"/>
      <c r="NDU42" s="19"/>
      <c r="NDV42" s="19"/>
      <c r="NDW42" s="19"/>
      <c r="NDX42" s="19"/>
      <c r="NDY42" s="19"/>
      <c r="NDZ42" s="19"/>
      <c r="NEA42" s="19"/>
      <c r="NEB42" s="19"/>
      <c r="NEC42" s="19"/>
      <c r="NED42" s="19"/>
      <c r="NEE42" s="19"/>
      <c r="NEF42" s="19"/>
      <c r="NEG42" s="19"/>
      <c r="NEH42" s="19"/>
      <c r="NEI42" s="19"/>
      <c r="NEJ42" s="19"/>
      <c r="NEK42" s="19"/>
      <c r="NEL42" s="19"/>
      <c r="NEM42" s="19"/>
      <c r="NEN42" s="19"/>
      <c r="NEO42" s="19"/>
      <c r="NEP42" s="19"/>
      <c r="NEQ42" s="19"/>
      <c r="NER42" s="19"/>
      <c r="NES42" s="19"/>
      <c r="NET42" s="19"/>
      <c r="NEU42" s="19"/>
      <c r="NEV42" s="19"/>
      <c r="NEW42" s="19"/>
      <c r="NEX42" s="19"/>
      <c r="NEY42" s="19"/>
      <c r="NEZ42" s="19"/>
      <c r="NFA42" s="19"/>
      <c r="NFB42" s="19"/>
      <c r="NFC42" s="19"/>
      <c r="NFD42" s="19"/>
      <c r="NFE42" s="19"/>
      <c r="NFF42" s="19"/>
      <c r="NFG42" s="19"/>
      <c r="NFH42" s="19"/>
      <c r="NFI42" s="19"/>
      <c r="NFJ42" s="19"/>
      <c r="NFK42" s="19"/>
      <c r="NFL42" s="19"/>
      <c r="NFM42" s="19"/>
      <c r="NFN42" s="19"/>
      <c r="NFO42" s="19"/>
      <c r="NFP42" s="19"/>
      <c r="NFQ42" s="19"/>
      <c r="NFR42" s="19"/>
      <c r="NFS42" s="19"/>
      <c r="NFT42" s="19"/>
      <c r="NFU42" s="19"/>
      <c r="NFV42" s="19"/>
      <c r="NFW42" s="19"/>
      <c r="NFX42" s="19"/>
      <c r="NFY42" s="19"/>
      <c r="NFZ42" s="19"/>
      <c r="NGA42" s="19"/>
      <c r="NGB42" s="19"/>
      <c r="NGC42" s="19"/>
      <c r="NGD42" s="19"/>
      <c r="NGE42" s="19"/>
      <c r="NGF42" s="19"/>
      <c r="NGG42" s="19"/>
      <c r="NGH42" s="19"/>
      <c r="NGI42" s="19"/>
      <c r="NGJ42" s="19"/>
      <c r="NGK42" s="19"/>
      <c r="NGL42" s="19"/>
      <c r="NGM42" s="19"/>
      <c r="NGN42" s="19"/>
      <c r="NGO42" s="19"/>
      <c r="NGP42" s="19"/>
      <c r="NGQ42" s="19"/>
      <c r="NGR42" s="19"/>
      <c r="NGS42" s="19"/>
      <c r="NGT42" s="19"/>
      <c r="NGU42" s="19"/>
      <c r="NGV42" s="19"/>
      <c r="NGW42" s="19"/>
      <c r="NGX42" s="19"/>
      <c r="NGY42" s="19"/>
      <c r="NGZ42" s="19"/>
      <c r="NHA42" s="19"/>
      <c r="NHB42" s="19"/>
      <c r="NHC42" s="19"/>
      <c r="NHD42" s="19"/>
      <c r="NHE42" s="19"/>
      <c r="NHF42" s="19"/>
      <c r="NHG42" s="19"/>
      <c r="NHH42" s="19"/>
      <c r="NHI42" s="19"/>
      <c r="NHJ42" s="19"/>
      <c r="NHK42" s="19"/>
      <c r="NHL42" s="19"/>
      <c r="NHM42" s="19"/>
      <c r="NHN42" s="19"/>
      <c r="NHO42" s="19"/>
      <c r="NHP42" s="19"/>
      <c r="NHQ42" s="19"/>
      <c r="NHR42" s="19"/>
      <c r="NHS42" s="19"/>
      <c r="NHT42" s="19"/>
      <c r="NHU42" s="19"/>
      <c r="NHV42" s="19"/>
      <c r="NHW42" s="19"/>
      <c r="NHX42" s="19"/>
      <c r="NHY42" s="19"/>
      <c r="NHZ42" s="19"/>
      <c r="NIA42" s="19"/>
      <c r="NIB42" s="19"/>
      <c r="NIC42" s="19"/>
      <c r="NID42" s="19"/>
      <c r="NIE42" s="19"/>
      <c r="NIF42" s="19"/>
      <c r="NIG42" s="19"/>
      <c r="NIH42" s="19"/>
      <c r="NII42" s="19"/>
      <c r="NIJ42" s="19"/>
      <c r="NIK42" s="19"/>
      <c r="NIL42" s="19"/>
      <c r="NIM42" s="19"/>
      <c r="NIN42" s="19"/>
      <c r="NIO42" s="19"/>
      <c r="NIP42" s="19"/>
      <c r="NIQ42" s="19"/>
      <c r="NIR42" s="19"/>
      <c r="NIS42" s="19"/>
      <c r="NIT42" s="19"/>
      <c r="NIU42" s="19"/>
      <c r="NIV42" s="19"/>
      <c r="NIW42" s="19"/>
      <c r="NIX42" s="19"/>
      <c r="NIY42" s="19"/>
      <c r="NIZ42" s="19"/>
      <c r="NJA42" s="19"/>
      <c r="NJB42" s="19"/>
      <c r="NJC42" s="19"/>
      <c r="NJD42" s="19"/>
      <c r="NJE42" s="19"/>
      <c r="NJF42" s="19"/>
      <c r="NJG42" s="19"/>
      <c r="NJH42" s="19"/>
      <c r="NJI42" s="19"/>
      <c r="NJJ42" s="19"/>
      <c r="NJK42" s="19"/>
      <c r="NJL42" s="19"/>
      <c r="NJM42" s="19"/>
      <c r="NJN42" s="19"/>
      <c r="NJO42" s="19"/>
      <c r="NJP42" s="19"/>
      <c r="NJQ42" s="19"/>
      <c r="NJR42" s="19"/>
      <c r="NJS42" s="19"/>
      <c r="NJT42" s="19"/>
      <c r="NJU42" s="19"/>
      <c r="NJV42" s="19"/>
      <c r="NJW42" s="19"/>
      <c r="NJX42" s="19"/>
      <c r="NJY42" s="19"/>
      <c r="NJZ42" s="19"/>
      <c r="NKA42" s="19"/>
      <c r="NKB42" s="19"/>
      <c r="NKC42" s="19"/>
      <c r="NKD42" s="19"/>
      <c r="NKE42" s="19"/>
      <c r="NKF42" s="19"/>
      <c r="NKG42" s="19"/>
      <c r="NKH42" s="19"/>
      <c r="NKI42" s="19"/>
      <c r="NKJ42" s="19"/>
      <c r="NKK42" s="19"/>
      <c r="NKL42" s="19"/>
      <c r="NKM42" s="19"/>
      <c r="NKN42" s="19"/>
      <c r="NKO42" s="19"/>
      <c r="NKP42" s="19"/>
      <c r="NKQ42" s="19"/>
      <c r="NKR42" s="19"/>
      <c r="NKS42" s="19"/>
      <c r="NKT42" s="19"/>
      <c r="NKU42" s="19"/>
      <c r="NKV42" s="19"/>
      <c r="NKW42" s="19"/>
      <c r="NKX42" s="19"/>
      <c r="NKY42" s="19"/>
      <c r="NKZ42" s="19"/>
      <c r="NLA42" s="19"/>
      <c r="NLB42" s="19"/>
      <c r="NLC42" s="19"/>
      <c r="NLD42" s="19"/>
      <c r="NLE42" s="19"/>
      <c r="NLF42" s="19"/>
      <c r="NLG42" s="19"/>
      <c r="NLH42" s="19"/>
      <c r="NLI42" s="19"/>
      <c r="NLJ42" s="19"/>
      <c r="NLK42" s="19"/>
      <c r="NLL42" s="19"/>
      <c r="NLM42" s="19"/>
      <c r="NLN42" s="19"/>
      <c r="NLO42" s="19"/>
      <c r="NLP42" s="19"/>
      <c r="NLQ42" s="19"/>
      <c r="NLR42" s="19"/>
      <c r="NLS42" s="19"/>
      <c r="NLT42" s="19"/>
      <c r="NLU42" s="19"/>
      <c r="NLV42" s="19"/>
      <c r="NLW42" s="19"/>
      <c r="NLX42" s="19"/>
      <c r="NLY42" s="19"/>
      <c r="NLZ42" s="19"/>
      <c r="NMA42" s="19"/>
      <c r="NMB42" s="19"/>
      <c r="NMC42" s="19"/>
      <c r="NMD42" s="19"/>
      <c r="NME42" s="19"/>
      <c r="NMF42" s="19"/>
      <c r="NMG42" s="19"/>
      <c r="NMH42" s="19"/>
      <c r="NMI42" s="19"/>
      <c r="NMJ42" s="19"/>
      <c r="NMK42" s="19"/>
      <c r="NML42" s="19"/>
      <c r="NMM42" s="19"/>
      <c r="NMN42" s="19"/>
      <c r="NMO42" s="19"/>
      <c r="NMP42" s="19"/>
      <c r="NMQ42" s="19"/>
      <c r="NMR42" s="19"/>
      <c r="NMS42" s="19"/>
      <c r="NMT42" s="19"/>
      <c r="NMU42" s="19"/>
      <c r="NMV42" s="19"/>
      <c r="NMW42" s="19"/>
      <c r="NMX42" s="19"/>
      <c r="NMY42" s="19"/>
      <c r="NMZ42" s="19"/>
      <c r="NNA42" s="19"/>
      <c r="NNB42" s="19"/>
      <c r="NNC42" s="19"/>
      <c r="NND42" s="19"/>
      <c r="NNE42" s="19"/>
      <c r="NNF42" s="19"/>
      <c r="NNG42" s="19"/>
      <c r="NNH42" s="19"/>
      <c r="NNI42" s="19"/>
      <c r="NNJ42" s="19"/>
      <c r="NNK42" s="19"/>
      <c r="NNL42" s="19"/>
      <c r="NNM42" s="19"/>
      <c r="NNN42" s="19"/>
      <c r="NNO42" s="19"/>
      <c r="NNP42" s="19"/>
      <c r="NNQ42" s="19"/>
      <c r="NNR42" s="19"/>
      <c r="NNS42" s="19"/>
      <c r="NNT42" s="19"/>
      <c r="NNU42" s="19"/>
      <c r="NNV42" s="19"/>
      <c r="NNW42" s="19"/>
      <c r="NNX42" s="19"/>
      <c r="NNY42" s="19"/>
      <c r="NNZ42" s="19"/>
      <c r="NOA42" s="19"/>
      <c r="NOB42" s="19"/>
      <c r="NOC42" s="19"/>
      <c r="NOD42" s="19"/>
      <c r="NOE42" s="19"/>
      <c r="NOF42" s="19"/>
      <c r="NOG42" s="19"/>
      <c r="NOH42" s="19"/>
      <c r="NOI42" s="19"/>
      <c r="NOJ42" s="19"/>
      <c r="NOK42" s="19"/>
      <c r="NOL42" s="19"/>
      <c r="NOM42" s="19"/>
      <c r="NON42" s="19"/>
      <c r="NOO42" s="19"/>
      <c r="NOP42" s="19"/>
      <c r="NOQ42" s="19"/>
      <c r="NOR42" s="19"/>
      <c r="NOS42" s="19"/>
      <c r="NOT42" s="19"/>
      <c r="NOU42" s="19"/>
      <c r="NOV42" s="19"/>
      <c r="NOW42" s="19"/>
      <c r="NOX42" s="19"/>
      <c r="NOY42" s="19"/>
      <c r="NOZ42" s="19"/>
      <c r="NPA42" s="19"/>
      <c r="NPB42" s="19"/>
      <c r="NPC42" s="19"/>
      <c r="NPD42" s="19"/>
      <c r="NPE42" s="19"/>
      <c r="NPF42" s="19"/>
      <c r="NPG42" s="19"/>
      <c r="NPH42" s="19"/>
      <c r="NPI42" s="19"/>
      <c r="NPJ42" s="19"/>
      <c r="NPK42" s="19"/>
      <c r="NPL42" s="19"/>
      <c r="NPM42" s="19"/>
      <c r="NPN42" s="19"/>
      <c r="NPO42" s="19"/>
      <c r="NPP42" s="19"/>
      <c r="NPQ42" s="19"/>
      <c r="NPR42" s="19"/>
      <c r="NPS42" s="19"/>
      <c r="NPT42" s="19"/>
      <c r="NPU42" s="19"/>
      <c r="NPV42" s="19"/>
      <c r="NPW42" s="19"/>
      <c r="NPX42" s="19"/>
      <c r="NPY42" s="19"/>
      <c r="NPZ42" s="19"/>
      <c r="NQA42" s="19"/>
      <c r="NQB42" s="19"/>
      <c r="NQC42" s="19"/>
      <c r="NQD42" s="19"/>
      <c r="NQE42" s="19"/>
      <c r="NQF42" s="19"/>
      <c r="NQG42" s="19"/>
      <c r="NQH42" s="19"/>
      <c r="NQI42" s="19"/>
      <c r="NQJ42" s="19"/>
      <c r="NQK42" s="19"/>
      <c r="NQL42" s="19"/>
      <c r="NQM42" s="19"/>
      <c r="NQN42" s="19"/>
      <c r="NQO42" s="19"/>
      <c r="NQP42" s="19"/>
      <c r="NQQ42" s="19"/>
      <c r="NQR42" s="19"/>
      <c r="NQS42" s="19"/>
      <c r="NQT42" s="19"/>
      <c r="NQU42" s="19"/>
      <c r="NQV42" s="19"/>
      <c r="NQW42" s="19"/>
      <c r="NQX42" s="19"/>
      <c r="NQY42" s="19"/>
      <c r="NQZ42" s="19"/>
      <c r="NRA42" s="19"/>
      <c r="NRB42" s="19"/>
      <c r="NRC42" s="19"/>
      <c r="NRD42" s="19"/>
      <c r="NRE42" s="19"/>
      <c r="NRF42" s="19"/>
      <c r="NRG42" s="19"/>
      <c r="NRH42" s="19"/>
      <c r="NRI42" s="19"/>
      <c r="NRJ42" s="19"/>
      <c r="NRK42" s="19"/>
      <c r="NRL42" s="19"/>
      <c r="NRM42" s="19"/>
      <c r="NRN42" s="19"/>
      <c r="NRO42" s="19"/>
      <c r="NRP42" s="19"/>
      <c r="NRQ42" s="19"/>
      <c r="NRR42" s="19"/>
      <c r="NRS42" s="19"/>
      <c r="NRT42" s="19"/>
      <c r="NRU42" s="19"/>
      <c r="NRV42" s="19"/>
      <c r="NRW42" s="19"/>
      <c r="NRX42" s="19"/>
      <c r="NRY42" s="19"/>
      <c r="NRZ42" s="19"/>
      <c r="NSA42" s="19"/>
      <c r="NSB42" s="19"/>
      <c r="NSC42" s="19"/>
      <c r="NSD42" s="19"/>
      <c r="NSE42" s="19"/>
      <c r="NSF42" s="19"/>
      <c r="NSG42" s="19"/>
      <c r="NSH42" s="19"/>
      <c r="NSI42" s="19"/>
      <c r="NSJ42" s="19"/>
      <c r="NSK42" s="19"/>
      <c r="NSL42" s="19"/>
      <c r="NSM42" s="19"/>
      <c r="NSN42" s="19"/>
      <c r="NSO42" s="19"/>
      <c r="NSP42" s="19"/>
      <c r="NSQ42" s="19"/>
      <c r="NSR42" s="19"/>
      <c r="NSS42" s="19"/>
      <c r="NST42" s="19"/>
      <c r="NSU42" s="19"/>
      <c r="NSV42" s="19"/>
      <c r="NSW42" s="19"/>
      <c r="NSX42" s="19"/>
      <c r="NSY42" s="19"/>
      <c r="NSZ42" s="19"/>
      <c r="NTA42" s="19"/>
      <c r="NTB42" s="19"/>
      <c r="NTC42" s="19"/>
      <c r="NTD42" s="19"/>
      <c r="NTE42" s="19"/>
      <c r="NTF42" s="19"/>
      <c r="NTG42" s="19"/>
      <c r="NTH42" s="19"/>
      <c r="NTI42" s="19"/>
      <c r="NTJ42" s="19"/>
      <c r="NTK42" s="19"/>
      <c r="NTL42" s="19"/>
      <c r="NTM42" s="19"/>
      <c r="NTN42" s="19"/>
      <c r="NTO42" s="19"/>
      <c r="NTP42" s="19"/>
      <c r="NTQ42" s="19"/>
      <c r="NTR42" s="19"/>
      <c r="NTS42" s="19"/>
      <c r="NTT42" s="19"/>
      <c r="NTU42" s="19"/>
      <c r="NTV42" s="19"/>
      <c r="NTW42" s="19"/>
      <c r="NTX42" s="19"/>
      <c r="NTY42" s="19"/>
      <c r="NTZ42" s="19"/>
      <c r="NUA42" s="19"/>
      <c r="NUB42" s="19"/>
      <c r="NUC42" s="19"/>
      <c r="NUD42" s="19"/>
      <c r="NUE42" s="19"/>
      <c r="NUF42" s="19"/>
      <c r="NUG42" s="19"/>
      <c r="NUH42" s="19"/>
      <c r="NUI42" s="19"/>
      <c r="NUJ42" s="19"/>
      <c r="NUK42" s="19"/>
      <c r="NUL42" s="19"/>
      <c r="NUM42" s="19"/>
      <c r="NUN42" s="19"/>
      <c r="NUO42" s="19"/>
      <c r="NUP42" s="19"/>
      <c r="NUQ42" s="19"/>
      <c r="NUR42" s="19"/>
      <c r="NUS42" s="19"/>
      <c r="NUT42" s="19"/>
      <c r="NUU42" s="19"/>
      <c r="NUV42" s="19"/>
      <c r="NUW42" s="19"/>
      <c r="NUX42" s="19"/>
      <c r="NUY42" s="19"/>
      <c r="NUZ42" s="19"/>
      <c r="NVA42" s="19"/>
      <c r="NVB42" s="19"/>
      <c r="NVC42" s="19"/>
      <c r="NVD42" s="19"/>
      <c r="NVE42" s="19"/>
      <c r="NVF42" s="19"/>
      <c r="NVG42" s="19"/>
      <c r="NVH42" s="19"/>
      <c r="NVI42" s="19"/>
      <c r="NVJ42" s="19"/>
      <c r="NVK42" s="19"/>
      <c r="NVL42" s="19"/>
      <c r="NVM42" s="19"/>
      <c r="NVN42" s="19"/>
      <c r="NVO42" s="19"/>
      <c r="NVP42" s="19"/>
      <c r="NVQ42" s="19"/>
      <c r="NVR42" s="19"/>
      <c r="NVS42" s="19"/>
      <c r="NVT42" s="19"/>
      <c r="NVU42" s="19"/>
      <c r="NVV42" s="19"/>
      <c r="NVW42" s="19"/>
      <c r="NVX42" s="19"/>
      <c r="NVY42" s="19"/>
      <c r="NVZ42" s="19"/>
      <c r="NWA42" s="19"/>
      <c r="NWB42" s="19"/>
      <c r="NWC42" s="19"/>
      <c r="NWD42" s="19"/>
      <c r="NWE42" s="19"/>
      <c r="NWF42" s="19"/>
      <c r="NWG42" s="19"/>
      <c r="NWH42" s="19"/>
      <c r="NWI42" s="19"/>
      <c r="NWJ42" s="19"/>
      <c r="NWK42" s="19"/>
      <c r="NWL42" s="19"/>
      <c r="NWM42" s="19"/>
      <c r="NWN42" s="19"/>
      <c r="NWO42" s="19"/>
      <c r="NWP42" s="19"/>
      <c r="NWQ42" s="19"/>
      <c r="NWR42" s="19"/>
      <c r="NWS42" s="19"/>
      <c r="NWT42" s="19"/>
      <c r="NWU42" s="19"/>
      <c r="NWV42" s="19"/>
      <c r="NWW42" s="19"/>
      <c r="NWX42" s="19"/>
      <c r="NWY42" s="19"/>
      <c r="NWZ42" s="19"/>
      <c r="NXA42" s="19"/>
      <c r="NXB42" s="19"/>
      <c r="NXC42" s="19"/>
      <c r="NXD42" s="19"/>
      <c r="NXE42" s="19"/>
      <c r="NXF42" s="19"/>
      <c r="NXG42" s="19"/>
      <c r="NXH42" s="19"/>
      <c r="NXI42" s="19"/>
      <c r="NXJ42" s="19"/>
      <c r="NXK42" s="19"/>
      <c r="NXL42" s="19"/>
      <c r="NXM42" s="19"/>
      <c r="NXN42" s="19"/>
      <c r="NXO42" s="19"/>
      <c r="NXP42" s="19"/>
      <c r="NXQ42" s="19"/>
      <c r="NXR42" s="19"/>
      <c r="NXS42" s="19"/>
      <c r="NXT42" s="19"/>
      <c r="NXU42" s="19"/>
      <c r="NXV42" s="19"/>
      <c r="NXW42" s="19"/>
      <c r="NXX42" s="19"/>
      <c r="NXY42" s="19"/>
      <c r="NXZ42" s="19"/>
      <c r="NYA42" s="19"/>
      <c r="NYB42" s="19"/>
      <c r="NYC42" s="19"/>
      <c r="NYD42" s="19"/>
      <c r="NYE42" s="19"/>
      <c r="NYF42" s="19"/>
      <c r="NYG42" s="19"/>
      <c r="NYH42" s="19"/>
      <c r="NYI42" s="19"/>
      <c r="NYJ42" s="19"/>
      <c r="NYK42" s="19"/>
      <c r="NYL42" s="19"/>
      <c r="NYM42" s="19"/>
      <c r="NYN42" s="19"/>
      <c r="NYO42" s="19"/>
      <c r="NYP42" s="19"/>
      <c r="NYQ42" s="19"/>
      <c r="NYR42" s="19"/>
      <c r="NYS42" s="19"/>
      <c r="NYT42" s="19"/>
      <c r="NYU42" s="19"/>
      <c r="NYV42" s="19"/>
      <c r="NYW42" s="19"/>
      <c r="NYX42" s="19"/>
      <c r="NYY42" s="19"/>
      <c r="NYZ42" s="19"/>
      <c r="NZA42" s="19"/>
      <c r="NZB42" s="19"/>
      <c r="NZC42" s="19"/>
      <c r="NZD42" s="19"/>
      <c r="NZE42" s="19"/>
      <c r="NZF42" s="19"/>
      <c r="NZG42" s="19"/>
      <c r="NZH42" s="19"/>
      <c r="NZI42" s="19"/>
      <c r="NZJ42" s="19"/>
      <c r="NZK42" s="19"/>
      <c r="NZL42" s="19"/>
      <c r="NZM42" s="19"/>
      <c r="NZN42" s="19"/>
      <c r="NZO42" s="19"/>
      <c r="NZP42" s="19"/>
      <c r="NZQ42" s="19"/>
      <c r="NZR42" s="19"/>
      <c r="NZS42" s="19"/>
      <c r="NZT42" s="19"/>
      <c r="NZU42" s="19"/>
      <c r="NZV42" s="19"/>
      <c r="NZW42" s="19"/>
      <c r="NZX42" s="19"/>
      <c r="NZY42" s="19"/>
      <c r="NZZ42" s="19"/>
      <c r="OAA42" s="19"/>
      <c r="OAB42" s="19"/>
      <c r="OAC42" s="19"/>
      <c r="OAD42" s="19"/>
      <c r="OAE42" s="19"/>
      <c r="OAF42" s="19"/>
      <c r="OAG42" s="19"/>
      <c r="OAH42" s="19"/>
      <c r="OAI42" s="19"/>
      <c r="OAJ42" s="19"/>
      <c r="OAK42" s="19"/>
      <c r="OAL42" s="19"/>
      <c r="OAM42" s="19"/>
      <c r="OAN42" s="19"/>
      <c r="OAO42" s="19"/>
      <c r="OAP42" s="19"/>
      <c r="OAQ42" s="19"/>
      <c r="OAR42" s="19"/>
      <c r="OAS42" s="19"/>
      <c r="OAT42" s="19"/>
      <c r="OAU42" s="19"/>
      <c r="OAV42" s="19"/>
      <c r="OAW42" s="19"/>
      <c r="OAX42" s="19"/>
      <c r="OAY42" s="19"/>
      <c r="OAZ42" s="19"/>
      <c r="OBA42" s="19"/>
      <c r="OBB42" s="19"/>
      <c r="OBC42" s="19"/>
      <c r="OBD42" s="19"/>
      <c r="OBE42" s="19"/>
      <c r="OBF42" s="19"/>
      <c r="OBG42" s="19"/>
      <c r="OBH42" s="19"/>
      <c r="OBI42" s="19"/>
      <c r="OBJ42" s="19"/>
      <c r="OBK42" s="19"/>
      <c r="OBL42" s="19"/>
      <c r="OBM42" s="19"/>
      <c r="OBN42" s="19"/>
      <c r="OBO42" s="19"/>
      <c r="OBP42" s="19"/>
      <c r="OBQ42" s="19"/>
      <c r="OBR42" s="19"/>
      <c r="OBS42" s="19"/>
      <c r="OBT42" s="19"/>
      <c r="OBU42" s="19"/>
      <c r="OBV42" s="19"/>
      <c r="OBW42" s="19"/>
      <c r="OBX42" s="19"/>
      <c r="OBY42" s="19"/>
      <c r="OBZ42" s="19"/>
      <c r="OCA42" s="19"/>
      <c r="OCB42" s="19"/>
      <c r="OCC42" s="19"/>
      <c r="OCD42" s="19"/>
      <c r="OCE42" s="19"/>
      <c r="OCF42" s="19"/>
      <c r="OCG42" s="19"/>
      <c r="OCH42" s="19"/>
      <c r="OCI42" s="19"/>
      <c r="OCJ42" s="19"/>
      <c r="OCK42" s="19"/>
      <c r="OCL42" s="19"/>
      <c r="OCM42" s="19"/>
      <c r="OCN42" s="19"/>
      <c r="OCO42" s="19"/>
      <c r="OCP42" s="19"/>
      <c r="OCQ42" s="19"/>
      <c r="OCR42" s="19"/>
      <c r="OCS42" s="19"/>
      <c r="OCT42" s="19"/>
      <c r="OCU42" s="19"/>
      <c r="OCV42" s="19"/>
      <c r="OCW42" s="19"/>
      <c r="OCX42" s="19"/>
      <c r="OCY42" s="19"/>
      <c r="OCZ42" s="19"/>
      <c r="ODA42" s="19"/>
      <c r="ODB42" s="19"/>
      <c r="ODC42" s="19"/>
      <c r="ODD42" s="19"/>
      <c r="ODE42" s="19"/>
      <c r="ODF42" s="19"/>
      <c r="ODG42" s="19"/>
      <c r="ODH42" s="19"/>
      <c r="ODI42" s="19"/>
      <c r="ODJ42" s="19"/>
      <c r="ODK42" s="19"/>
      <c r="ODL42" s="19"/>
      <c r="ODM42" s="19"/>
      <c r="ODN42" s="19"/>
      <c r="ODO42" s="19"/>
      <c r="ODP42" s="19"/>
      <c r="ODQ42" s="19"/>
      <c r="ODR42" s="19"/>
      <c r="ODS42" s="19"/>
      <c r="ODT42" s="19"/>
      <c r="ODU42" s="19"/>
      <c r="ODV42" s="19"/>
      <c r="ODW42" s="19"/>
      <c r="ODX42" s="19"/>
      <c r="ODY42" s="19"/>
      <c r="ODZ42" s="19"/>
      <c r="OEA42" s="19"/>
      <c r="OEB42" s="19"/>
      <c r="OEC42" s="19"/>
      <c r="OED42" s="19"/>
      <c r="OEE42" s="19"/>
      <c r="OEF42" s="19"/>
      <c r="OEG42" s="19"/>
      <c r="OEH42" s="19"/>
      <c r="OEI42" s="19"/>
      <c r="OEJ42" s="19"/>
      <c r="OEK42" s="19"/>
      <c r="OEL42" s="19"/>
      <c r="OEM42" s="19"/>
      <c r="OEN42" s="19"/>
      <c r="OEO42" s="19"/>
      <c r="OEP42" s="19"/>
      <c r="OEQ42" s="19"/>
      <c r="OER42" s="19"/>
      <c r="OES42" s="19"/>
      <c r="OET42" s="19"/>
      <c r="OEU42" s="19"/>
      <c r="OEV42" s="19"/>
      <c r="OEW42" s="19"/>
      <c r="OEX42" s="19"/>
      <c r="OEY42" s="19"/>
      <c r="OEZ42" s="19"/>
      <c r="OFA42" s="19"/>
      <c r="OFB42" s="19"/>
      <c r="OFC42" s="19"/>
      <c r="OFD42" s="19"/>
      <c r="OFE42" s="19"/>
      <c r="OFF42" s="19"/>
      <c r="OFG42" s="19"/>
      <c r="OFH42" s="19"/>
      <c r="OFI42" s="19"/>
      <c r="OFJ42" s="19"/>
      <c r="OFK42" s="19"/>
      <c r="OFL42" s="19"/>
      <c r="OFM42" s="19"/>
      <c r="OFN42" s="19"/>
      <c r="OFO42" s="19"/>
      <c r="OFP42" s="19"/>
      <c r="OFQ42" s="19"/>
      <c r="OFR42" s="19"/>
      <c r="OFS42" s="19"/>
      <c r="OFT42" s="19"/>
      <c r="OFU42" s="19"/>
      <c r="OFV42" s="19"/>
      <c r="OFW42" s="19"/>
      <c r="OFX42" s="19"/>
      <c r="OFY42" s="19"/>
      <c r="OFZ42" s="19"/>
      <c r="OGA42" s="19"/>
      <c r="OGB42" s="19"/>
      <c r="OGC42" s="19"/>
      <c r="OGD42" s="19"/>
      <c r="OGE42" s="19"/>
      <c r="OGF42" s="19"/>
      <c r="OGG42" s="19"/>
      <c r="OGH42" s="19"/>
      <c r="OGI42" s="19"/>
      <c r="OGJ42" s="19"/>
      <c r="OGK42" s="19"/>
      <c r="OGL42" s="19"/>
      <c r="OGM42" s="19"/>
      <c r="OGN42" s="19"/>
      <c r="OGO42" s="19"/>
      <c r="OGP42" s="19"/>
      <c r="OGQ42" s="19"/>
      <c r="OGR42" s="19"/>
      <c r="OGS42" s="19"/>
      <c r="OGT42" s="19"/>
      <c r="OGU42" s="19"/>
      <c r="OGV42" s="19"/>
      <c r="OGW42" s="19"/>
      <c r="OGX42" s="19"/>
      <c r="OGY42" s="19"/>
      <c r="OGZ42" s="19"/>
      <c r="OHA42" s="19"/>
      <c r="OHB42" s="19"/>
      <c r="OHC42" s="19"/>
      <c r="OHD42" s="19"/>
      <c r="OHE42" s="19"/>
      <c r="OHF42" s="19"/>
      <c r="OHG42" s="19"/>
      <c r="OHH42" s="19"/>
      <c r="OHI42" s="19"/>
      <c r="OHJ42" s="19"/>
      <c r="OHK42" s="19"/>
      <c r="OHL42" s="19"/>
      <c r="OHM42" s="19"/>
      <c r="OHN42" s="19"/>
      <c r="OHO42" s="19"/>
      <c r="OHP42" s="19"/>
      <c r="OHQ42" s="19"/>
      <c r="OHR42" s="19"/>
      <c r="OHS42" s="19"/>
      <c r="OHT42" s="19"/>
      <c r="OHU42" s="19"/>
      <c r="OHV42" s="19"/>
      <c r="OHW42" s="19"/>
      <c r="OHX42" s="19"/>
      <c r="OHY42" s="19"/>
      <c r="OHZ42" s="19"/>
      <c r="OIA42" s="19"/>
      <c r="OIB42" s="19"/>
      <c r="OIC42" s="19"/>
      <c r="OID42" s="19"/>
      <c r="OIE42" s="19"/>
      <c r="OIF42" s="19"/>
      <c r="OIG42" s="19"/>
      <c r="OIH42" s="19"/>
      <c r="OII42" s="19"/>
      <c r="OIJ42" s="19"/>
      <c r="OIK42" s="19"/>
      <c r="OIL42" s="19"/>
      <c r="OIM42" s="19"/>
      <c r="OIN42" s="19"/>
      <c r="OIO42" s="19"/>
      <c r="OIP42" s="19"/>
      <c r="OIQ42" s="19"/>
      <c r="OIR42" s="19"/>
      <c r="OIS42" s="19"/>
      <c r="OIT42" s="19"/>
      <c r="OIU42" s="19"/>
      <c r="OIV42" s="19"/>
      <c r="OIW42" s="19"/>
      <c r="OIX42" s="19"/>
      <c r="OIY42" s="19"/>
      <c r="OIZ42" s="19"/>
      <c r="OJA42" s="19"/>
      <c r="OJB42" s="19"/>
      <c r="OJC42" s="19"/>
      <c r="OJD42" s="19"/>
      <c r="OJE42" s="19"/>
      <c r="OJF42" s="19"/>
      <c r="OJG42" s="19"/>
      <c r="OJH42" s="19"/>
      <c r="OJI42" s="19"/>
      <c r="OJJ42" s="19"/>
      <c r="OJK42" s="19"/>
      <c r="OJL42" s="19"/>
      <c r="OJM42" s="19"/>
      <c r="OJN42" s="19"/>
      <c r="OJO42" s="19"/>
      <c r="OJP42" s="19"/>
      <c r="OJQ42" s="19"/>
      <c r="OJR42" s="19"/>
      <c r="OJS42" s="19"/>
      <c r="OJT42" s="19"/>
      <c r="OJU42" s="19"/>
      <c r="OJV42" s="19"/>
      <c r="OJW42" s="19"/>
      <c r="OJX42" s="19"/>
      <c r="OJY42" s="19"/>
      <c r="OJZ42" s="19"/>
      <c r="OKA42" s="19"/>
      <c r="OKB42" s="19"/>
      <c r="OKC42" s="19"/>
      <c r="OKD42" s="19"/>
      <c r="OKE42" s="19"/>
      <c r="OKF42" s="19"/>
      <c r="OKG42" s="19"/>
      <c r="OKH42" s="19"/>
      <c r="OKI42" s="19"/>
      <c r="OKJ42" s="19"/>
      <c r="OKK42" s="19"/>
      <c r="OKL42" s="19"/>
      <c r="OKM42" s="19"/>
      <c r="OKN42" s="19"/>
      <c r="OKO42" s="19"/>
      <c r="OKP42" s="19"/>
      <c r="OKQ42" s="19"/>
      <c r="OKR42" s="19"/>
      <c r="OKS42" s="19"/>
      <c r="OKT42" s="19"/>
      <c r="OKU42" s="19"/>
      <c r="OKV42" s="19"/>
      <c r="OKW42" s="19"/>
      <c r="OKX42" s="19"/>
      <c r="OKY42" s="19"/>
      <c r="OKZ42" s="19"/>
      <c r="OLA42" s="19"/>
      <c r="OLB42" s="19"/>
      <c r="OLC42" s="19"/>
      <c r="OLD42" s="19"/>
      <c r="OLE42" s="19"/>
      <c r="OLF42" s="19"/>
      <c r="OLG42" s="19"/>
      <c r="OLH42" s="19"/>
      <c r="OLI42" s="19"/>
      <c r="OLJ42" s="19"/>
      <c r="OLK42" s="19"/>
      <c r="OLL42" s="19"/>
      <c r="OLM42" s="19"/>
      <c r="OLN42" s="19"/>
      <c r="OLO42" s="19"/>
      <c r="OLP42" s="19"/>
      <c r="OLQ42" s="19"/>
      <c r="OLR42" s="19"/>
      <c r="OLS42" s="19"/>
      <c r="OLT42" s="19"/>
      <c r="OLU42" s="19"/>
      <c r="OLV42" s="19"/>
      <c r="OLW42" s="19"/>
      <c r="OLX42" s="19"/>
      <c r="OLY42" s="19"/>
      <c r="OLZ42" s="19"/>
      <c r="OMA42" s="19"/>
      <c r="OMB42" s="19"/>
      <c r="OMC42" s="19"/>
      <c r="OMD42" s="19"/>
      <c r="OME42" s="19"/>
      <c r="OMF42" s="19"/>
      <c r="OMG42" s="19"/>
      <c r="OMH42" s="19"/>
      <c r="OMI42" s="19"/>
      <c r="OMJ42" s="19"/>
      <c r="OMK42" s="19"/>
      <c r="OML42" s="19"/>
      <c r="OMM42" s="19"/>
      <c r="OMN42" s="19"/>
      <c r="OMO42" s="19"/>
      <c r="OMP42" s="19"/>
      <c r="OMQ42" s="19"/>
      <c r="OMR42" s="19"/>
      <c r="OMS42" s="19"/>
      <c r="OMT42" s="19"/>
      <c r="OMU42" s="19"/>
      <c r="OMV42" s="19"/>
      <c r="OMW42" s="19"/>
      <c r="OMX42" s="19"/>
      <c r="OMY42" s="19"/>
      <c r="OMZ42" s="19"/>
      <c r="ONA42" s="19"/>
      <c r="ONB42" s="19"/>
      <c r="ONC42" s="19"/>
      <c r="OND42" s="19"/>
      <c r="ONE42" s="19"/>
      <c r="ONF42" s="19"/>
      <c r="ONG42" s="19"/>
      <c r="ONH42" s="19"/>
      <c r="ONI42" s="19"/>
      <c r="ONJ42" s="19"/>
      <c r="ONK42" s="19"/>
      <c r="ONL42" s="19"/>
      <c r="ONM42" s="19"/>
      <c r="ONN42" s="19"/>
      <c r="ONO42" s="19"/>
      <c r="ONP42" s="19"/>
      <c r="ONQ42" s="19"/>
      <c r="ONR42" s="19"/>
      <c r="ONS42" s="19"/>
      <c r="ONT42" s="19"/>
      <c r="ONU42" s="19"/>
      <c r="ONV42" s="19"/>
      <c r="ONW42" s="19"/>
      <c r="ONX42" s="19"/>
      <c r="ONY42" s="19"/>
      <c r="ONZ42" s="19"/>
      <c r="OOA42" s="19"/>
      <c r="OOB42" s="19"/>
      <c r="OOC42" s="19"/>
      <c r="OOD42" s="19"/>
      <c r="OOE42" s="19"/>
      <c r="OOF42" s="19"/>
      <c r="OOG42" s="19"/>
      <c r="OOH42" s="19"/>
      <c r="OOI42" s="19"/>
      <c r="OOJ42" s="19"/>
      <c r="OOK42" s="19"/>
      <c r="OOL42" s="19"/>
      <c r="OOM42" s="19"/>
      <c r="OON42" s="19"/>
      <c r="OOO42" s="19"/>
      <c r="OOP42" s="19"/>
      <c r="OOQ42" s="19"/>
      <c r="OOR42" s="19"/>
      <c r="OOS42" s="19"/>
      <c r="OOT42" s="19"/>
      <c r="OOU42" s="19"/>
      <c r="OOV42" s="19"/>
      <c r="OOW42" s="19"/>
      <c r="OOX42" s="19"/>
      <c r="OOY42" s="19"/>
      <c r="OOZ42" s="19"/>
      <c r="OPA42" s="19"/>
      <c r="OPB42" s="19"/>
      <c r="OPC42" s="19"/>
      <c r="OPD42" s="19"/>
      <c r="OPE42" s="19"/>
      <c r="OPF42" s="19"/>
      <c r="OPG42" s="19"/>
      <c r="OPH42" s="19"/>
      <c r="OPI42" s="19"/>
      <c r="OPJ42" s="19"/>
      <c r="OPK42" s="19"/>
      <c r="OPL42" s="19"/>
      <c r="OPM42" s="19"/>
      <c r="OPN42" s="19"/>
      <c r="OPO42" s="19"/>
      <c r="OPP42" s="19"/>
      <c r="OPQ42" s="19"/>
      <c r="OPR42" s="19"/>
      <c r="OPS42" s="19"/>
      <c r="OPT42" s="19"/>
      <c r="OPU42" s="19"/>
      <c r="OPV42" s="19"/>
      <c r="OPW42" s="19"/>
      <c r="OPX42" s="19"/>
      <c r="OPY42" s="19"/>
      <c r="OPZ42" s="19"/>
      <c r="OQA42" s="19"/>
      <c r="OQB42" s="19"/>
      <c r="OQC42" s="19"/>
      <c r="OQD42" s="19"/>
      <c r="OQE42" s="19"/>
      <c r="OQF42" s="19"/>
      <c r="OQG42" s="19"/>
      <c r="OQH42" s="19"/>
      <c r="OQI42" s="19"/>
      <c r="OQJ42" s="19"/>
      <c r="OQK42" s="19"/>
      <c r="OQL42" s="19"/>
      <c r="OQM42" s="19"/>
      <c r="OQN42" s="19"/>
      <c r="OQO42" s="19"/>
      <c r="OQP42" s="19"/>
      <c r="OQQ42" s="19"/>
      <c r="OQR42" s="19"/>
      <c r="OQS42" s="19"/>
      <c r="OQT42" s="19"/>
      <c r="OQU42" s="19"/>
      <c r="OQV42" s="19"/>
      <c r="OQW42" s="19"/>
      <c r="OQX42" s="19"/>
      <c r="OQY42" s="19"/>
      <c r="OQZ42" s="19"/>
      <c r="ORA42" s="19"/>
      <c r="ORB42" s="19"/>
      <c r="ORC42" s="19"/>
      <c r="ORD42" s="19"/>
      <c r="ORE42" s="19"/>
      <c r="ORF42" s="19"/>
      <c r="ORG42" s="19"/>
      <c r="ORH42" s="19"/>
      <c r="ORI42" s="19"/>
      <c r="ORJ42" s="19"/>
      <c r="ORK42" s="19"/>
      <c r="ORL42" s="19"/>
      <c r="ORM42" s="19"/>
      <c r="ORN42" s="19"/>
      <c r="ORO42" s="19"/>
      <c r="ORP42" s="19"/>
      <c r="ORQ42" s="19"/>
      <c r="ORR42" s="19"/>
      <c r="ORS42" s="19"/>
      <c r="ORT42" s="19"/>
      <c r="ORU42" s="19"/>
      <c r="ORV42" s="19"/>
      <c r="ORW42" s="19"/>
      <c r="ORX42" s="19"/>
      <c r="ORY42" s="19"/>
      <c r="ORZ42" s="19"/>
      <c r="OSA42" s="19"/>
      <c r="OSB42" s="19"/>
      <c r="OSC42" s="19"/>
      <c r="OSD42" s="19"/>
      <c r="OSE42" s="19"/>
      <c r="OSF42" s="19"/>
      <c r="OSG42" s="19"/>
      <c r="OSH42" s="19"/>
      <c r="OSI42" s="19"/>
      <c r="OSJ42" s="19"/>
      <c r="OSK42" s="19"/>
      <c r="OSL42" s="19"/>
      <c r="OSM42" s="19"/>
      <c r="OSN42" s="19"/>
      <c r="OSO42" s="19"/>
      <c r="OSP42" s="19"/>
      <c r="OSQ42" s="19"/>
      <c r="OSR42" s="19"/>
      <c r="OSS42" s="19"/>
      <c r="OST42" s="19"/>
      <c r="OSU42" s="19"/>
      <c r="OSV42" s="19"/>
      <c r="OSW42" s="19"/>
      <c r="OSX42" s="19"/>
      <c r="OSY42" s="19"/>
      <c r="OSZ42" s="19"/>
      <c r="OTA42" s="19"/>
      <c r="OTB42" s="19"/>
      <c r="OTC42" s="19"/>
      <c r="OTD42" s="19"/>
      <c r="OTE42" s="19"/>
      <c r="OTF42" s="19"/>
      <c r="OTG42" s="19"/>
      <c r="OTH42" s="19"/>
      <c r="OTI42" s="19"/>
      <c r="OTJ42" s="19"/>
      <c r="OTK42" s="19"/>
      <c r="OTL42" s="19"/>
      <c r="OTM42" s="19"/>
      <c r="OTN42" s="19"/>
      <c r="OTO42" s="19"/>
      <c r="OTP42" s="19"/>
      <c r="OTQ42" s="19"/>
      <c r="OTR42" s="19"/>
      <c r="OTS42" s="19"/>
      <c r="OTT42" s="19"/>
      <c r="OTU42" s="19"/>
      <c r="OTV42" s="19"/>
      <c r="OTW42" s="19"/>
      <c r="OTX42" s="19"/>
      <c r="OTY42" s="19"/>
      <c r="OTZ42" s="19"/>
      <c r="OUA42" s="19"/>
      <c r="OUB42" s="19"/>
      <c r="OUC42" s="19"/>
      <c r="OUD42" s="19"/>
      <c r="OUE42" s="19"/>
      <c r="OUF42" s="19"/>
      <c r="OUG42" s="19"/>
      <c r="OUH42" s="19"/>
      <c r="OUI42" s="19"/>
      <c r="OUJ42" s="19"/>
      <c r="OUK42" s="19"/>
      <c r="OUL42" s="19"/>
      <c r="OUM42" s="19"/>
      <c r="OUN42" s="19"/>
      <c r="OUO42" s="19"/>
      <c r="OUP42" s="19"/>
      <c r="OUQ42" s="19"/>
      <c r="OUR42" s="19"/>
      <c r="OUS42" s="19"/>
      <c r="OUT42" s="19"/>
      <c r="OUU42" s="19"/>
      <c r="OUV42" s="19"/>
      <c r="OUW42" s="19"/>
      <c r="OUX42" s="19"/>
      <c r="OUY42" s="19"/>
      <c r="OUZ42" s="19"/>
      <c r="OVA42" s="19"/>
      <c r="OVB42" s="19"/>
      <c r="OVC42" s="19"/>
      <c r="OVD42" s="19"/>
      <c r="OVE42" s="19"/>
      <c r="OVF42" s="19"/>
      <c r="OVG42" s="19"/>
      <c r="OVH42" s="19"/>
      <c r="OVI42" s="19"/>
      <c r="OVJ42" s="19"/>
      <c r="OVK42" s="19"/>
      <c r="OVL42" s="19"/>
      <c r="OVM42" s="19"/>
      <c r="OVN42" s="19"/>
      <c r="OVO42" s="19"/>
      <c r="OVP42" s="19"/>
      <c r="OVQ42" s="19"/>
      <c r="OVR42" s="19"/>
      <c r="OVS42" s="19"/>
      <c r="OVT42" s="19"/>
      <c r="OVU42" s="19"/>
      <c r="OVV42" s="19"/>
      <c r="OVW42" s="19"/>
      <c r="OVX42" s="19"/>
      <c r="OVY42" s="19"/>
      <c r="OVZ42" s="19"/>
      <c r="OWA42" s="19"/>
      <c r="OWB42" s="19"/>
      <c r="OWC42" s="19"/>
      <c r="OWD42" s="19"/>
      <c r="OWE42" s="19"/>
      <c r="OWF42" s="19"/>
      <c r="OWG42" s="19"/>
      <c r="OWH42" s="19"/>
      <c r="OWI42" s="19"/>
      <c r="OWJ42" s="19"/>
      <c r="OWK42" s="19"/>
      <c r="OWL42" s="19"/>
      <c r="OWM42" s="19"/>
      <c r="OWN42" s="19"/>
      <c r="OWO42" s="19"/>
      <c r="OWP42" s="19"/>
      <c r="OWQ42" s="19"/>
      <c r="OWR42" s="19"/>
      <c r="OWS42" s="19"/>
      <c r="OWT42" s="19"/>
      <c r="OWU42" s="19"/>
      <c r="OWV42" s="19"/>
      <c r="OWW42" s="19"/>
      <c r="OWX42" s="19"/>
      <c r="OWY42" s="19"/>
      <c r="OWZ42" s="19"/>
      <c r="OXA42" s="19"/>
      <c r="OXB42" s="19"/>
      <c r="OXC42" s="19"/>
      <c r="OXD42" s="19"/>
      <c r="OXE42" s="19"/>
      <c r="OXF42" s="19"/>
      <c r="OXG42" s="19"/>
      <c r="OXH42" s="19"/>
      <c r="OXI42" s="19"/>
      <c r="OXJ42" s="19"/>
      <c r="OXK42" s="19"/>
      <c r="OXL42" s="19"/>
      <c r="OXM42" s="19"/>
      <c r="OXN42" s="19"/>
      <c r="OXO42" s="19"/>
      <c r="OXP42" s="19"/>
      <c r="OXQ42" s="19"/>
      <c r="OXR42" s="19"/>
      <c r="OXS42" s="19"/>
      <c r="OXT42" s="19"/>
      <c r="OXU42" s="19"/>
      <c r="OXV42" s="19"/>
      <c r="OXW42" s="19"/>
      <c r="OXX42" s="19"/>
      <c r="OXY42" s="19"/>
      <c r="OXZ42" s="19"/>
      <c r="OYA42" s="19"/>
      <c r="OYB42" s="19"/>
      <c r="OYC42" s="19"/>
      <c r="OYD42" s="19"/>
      <c r="OYE42" s="19"/>
      <c r="OYF42" s="19"/>
      <c r="OYG42" s="19"/>
      <c r="OYH42" s="19"/>
      <c r="OYI42" s="19"/>
      <c r="OYJ42" s="19"/>
      <c r="OYK42" s="19"/>
      <c r="OYL42" s="19"/>
      <c r="OYM42" s="19"/>
      <c r="OYN42" s="19"/>
      <c r="OYO42" s="19"/>
      <c r="OYP42" s="19"/>
      <c r="OYQ42" s="19"/>
      <c r="OYR42" s="19"/>
      <c r="OYS42" s="19"/>
      <c r="OYT42" s="19"/>
      <c r="OYU42" s="19"/>
      <c r="OYV42" s="19"/>
      <c r="OYW42" s="19"/>
      <c r="OYX42" s="19"/>
      <c r="OYY42" s="19"/>
      <c r="OYZ42" s="19"/>
      <c r="OZA42" s="19"/>
      <c r="OZB42" s="19"/>
      <c r="OZC42" s="19"/>
      <c r="OZD42" s="19"/>
      <c r="OZE42" s="19"/>
      <c r="OZF42" s="19"/>
      <c r="OZG42" s="19"/>
      <c r="OZH42" s="19"/>
      <c r="OZI42" s="19"/>
      <c r="OZJ42" s="19"/>
      <c r="OZK42" s="19"/>
      <c r="OZL42" s="19"/>
      <c r="OZM42" s="19"/>
      <c r="OZN42" s="19"/>
      <c r="OZO42" s="19"/>
      <c r="OZP42" s="19"/>
      <c r="OZQ42" s="19"/>
      <c r="OZR42" s="19"/>
      <c r="OZS42" s="19"/>
      <c r="OZT42" s="19"/>
      <c r="OZU42" s="19"/>
      <c r="OZV42" s="19"/>
      <c r="OZW42" s="19"/>
      <c r="OZX42" s="19"/>
      <c r="OZY42" s="19"/>
      <c r="OZZ42" s="19"/>
      <c r="PAA42" s="19"/>
      <c r="PAB42" s="19"/>
      <c r="PAC42" s="19"/>
      <c r="PAD42" s="19"/>
      <c r="PAE42" s="19"/>
      <c r="PAF42" s="19"/>
      <c r="PAG42" s="19"/>
      <c r="PAH42" s="19"/>
      <c r="PAI42" s="19"/>
      <c r="PAJ42" s="19"/>
      <c r="PAK42" s="19"/>
      <c r="PAL42" s="19"/>
      <c r="PAM42" s="19"/>
      <c r="PAN42" s="19"/>
      <c r="PAO42" s="19"/>
      <c r="PAP42" s="19"/>
      <c r="PAQ42" s="19"/>
      <c r="PAR42" s="19"/>
      <c r="PAS42" s="19"/>
      <c r="PAT42" s="19"/>
      <c r="PAU42" s="19"/>
      <c r="PAV42" s="19"/>
      <c r="PAW42" s="19"/>
      <c r="PAX42" s="19"/>
      <c r="PAY42" s="19"/>
      <c r="PAZ42" s="19"/>
      <c r="PBA42" s="19"/>
      <c r="PBB42" s="19"/>
      <c r="PBC42" s="19"/>
      <c r="PBD42" s="19"/>
      <c r="PBE42" s="19"/>
      <c r="PBF42" s="19"/>
      <c r="PBG42" s="19"/>
      <c r="PBH42" s="19"/>
      <c r="PBI42" s="19"/>
      <c r="PBJ42" s="19"/>
      <c r="PBK42" s="19"/>
      <c r="PBL42" s="19"/>
      <c r="PBM42" s="19"/>
      <c r="PBN42" s="19"/>
      <c r="PBO42" s="19"/>
      <c r="PBP42" s="19"/>
      <c r="PBQ42" s="19"/>
      <c r="PBR42" s="19"/>
      <c r="PBS42" s="19"/>
      <c r="PBT42" s="19"/>
      <c r="PBU42" s="19"/>
      <c r="PBV42" s="19"/>
      <c r="PBW42" s="19"/>
      <c r="PBX42" s="19"/>
      <c r="PBY42" s="19"/>
      <c r="PBZ42" s="19"/>
      <c r="PCA42" s="19"/>
      <c r="PCB42" s="19"/>
      <c r="PCC42" s="19"/>
      <c r="PCD42" s="19"/>
      <c r="PCE42" s="19"/>
      <c r="PCF42" s="19"/>
      <c r="PCG42" s="19"/>
      <c r="PCH42" s="19"/>
      <c r="PCI42" s="19"/>
      <c r="PCJ42" s="19"/>
      <c r="PCK42" s="19"/>
      <c r="PCL42" s="19"/>
      <c r="PCM42" s="19"/>
      <c r="PCN42" s="19"/>
      <c r="PCO42" s="19"/>
      <c r="PCP42" s="19"/>
      <c r="PCQ42" s="19"/>
      <c r="PCR42" s="19"/>
      <c r="PCS42" s="19"/>
      <c r="PCT42" s="19"/>
      <c r="PCU42" s="19"/>
      <c r="PCV42" s="19"/>
      <c r="PCW42" s="19"/>
      <c r="PCX42" s="19"/>
      <c r="PCY42" s="19"/>
      <c r="PCZ42" s="19"/>
      <c r="PDA42" s="19"/>
      <c r="PDB42" s="19"/>
      <c r="PDC42" s="19"/>
      <c r="PDD42" s="19"/>
      <c r="PDE42" s="19"/>
      <c r="PDF42" s="19"/>
      <c r="PDG42" s="19"/>
      <c r="PDH42" s="19"/>
      <c r="PDI42" s="19"/>
      <c r="PDJ42" s="19"/>
      <c r="PDK42" s="19"/>
      <c r="PDL42" s="19"/>
      <c r="PDM42" s="19"/>
      <c r="PDN42" s="19"/>
      <c r="PDO42" s="19"/>
      <c r="PDP42" s="19"/>
      <c r="PDQ42" s="19"/>
      <c r="PDR42" s="19"/>
      <c r="PDS42" s="19"/>
      <c r="PDT42" s="19"/>
      <c r="PDU42" s="19"/>
      <c r="PDV42" s="19"/>
      <c r="PDW42" s="19"/>
      <c r="PDX42" s="19"/>
      <c r="PDY42" s="19"/>
      <c r="PDZ42" s="19"/>
      <c r="PEA42" s="19"/>
      <c r="PEB42" s="19"/>
      <c r="PEC42" s="19"/>
      <c r="PED42" s="19"/>
      <c r="PEE42" s="19"/>
      <c r="PEF42" s="19"/>
      <c r="PEG42" s="19"/>
      <c r="PEH42" s="19"/>
      <c r="PEI42" s="19"/>
      <c r="PEJ42" s="19"/>
      <c r="PEK42" s="19"/>
      <c r="PEL42" s="19"/>
      <c r="PEM42" s="19"/>
      <c r="PEN42" s="19"/>
      <c r="PEO42" s="19"/>
      <c r="PEP42" s="19"/>
      <c r="PEQ42" s="19"/>
      <c r="PER42" s="19"/>
      <c r="PES42" s="19"/>
      <c r="PET42" s="19"/>
      <c r="PEU42" s="19"/>
      <c r="PEV42" s="19"/>
      <c r="PEW42" s="19"/>
      <c r="PEX42" s="19"/>
      <c r="PEY42" s="19"/>
      <c r="PEZ42" s="19"/>
      <c r="PFA42" s="19"/>
      <c r="PFB42" s="19"/>
      <c r="PFC42" s="19"/>
      <c r="PFD42" s="19"/>
      <c r="PFE42" s="19"/>
      <c r="PFF42" s="19"/>
      <c r="PFG42" s="19"/>
      <c r="PFH42" s="19"/>
      <c r="PFI42" s="19"/>
      <c r="PFJ42" s="19"/>
      <c r="PFK42" s="19"/>
      <c r="PFL42" s="19"/>
      <c r="PFM42" s="19"/>
      <c r="PFN42" s="19"/>
      <c r="PFO42" s="19"/>
      <c r="PFP42" s="19"/>
      <c r="PFQ42" s="19"/>
      <c r="PFR42" s="19"/>
      <c r="PFS42" s="19"/>
      <c r="PFT42" s="19"/>
      <c r="PFU42" s="19"/>
      <c r="PFV42" s="19"/>
      <c r="PFW42" s="19"/>
      <c r="PFX42" s="19"/>
      <c r="PFY42" s="19"/>
      <c r="PFZ42" s="19"/>
      <c r="PGA42" s="19"/>
      <c r="PGB42" s="19"/>
      <c r="PGC42" s="19"/>
      <c r="PGD42" s="19"/>
      <c r="PGE42" s="19"/>
      <c r="PGF42" s="19"/>
      <c r="PGG42" s="19"/>
      <c r="PGH42" s="19"/>
      <c r="PGI42" s="19"/>
      <c r="PGJ42" s="19"/>
      <c r="PGK42" s="19"/>
      <c r="PGL42" s="19"/>
      <c r="PGM42" s="19"/>
      <c r="PGN42" s="19"/>
      <c r="PGO42" s="19"/>
      <c r="PGP42" s="19"/>
      <c r="PGQ42" s="19"/>
      <c r="PGR42" s="19"/>
      <c r="PGS42" s="19"/>
      <c r="PGT42" s="19"/>
      <c r="PGU42" s="19"/>
      <c r="PGV42" s="19"/>
      <c r="PGW42" s="19"/>
      <c r="PGX42" s="19"/>
      <c r="PGY42" s="19"/>
      <c r="PGZ42" s="19"/>
      <c r="PHA42" s="19"/>
      <c r="PHB42" s="19"/>
      <c r="PHC42" s="19"/>
      <c r="PHD42" s="19"/>
      <c r="PHE42" s="19"/>
      <c r="PHF42" s="19"/>
      <c r="PHG42" s="19"/>
      <c r="PHH42" s="19"/>
      <c r="PHI42" s="19"/>
      <c r="PHJ42" s="19"/>
      <c r="PHK42" s="19"/>
      <c r="PHL42" s="19"/>
      <c r="PHM42" s="19"/>
      <c r="PHN42" s="19"/>
      <c r="PHO42" s="19"/>
      <c r="PHP42" s="19"/>
      <c r="PHQ42" s="19"/>
      <c r="PHR42" s="19"/>
      <c r="PHS42" s="19"/>
      <c r="PHT42" s="19"/>
      <c r="PHU42" s="19"/>
      <c r="PHV42" s="19"/>
      <c r="PHW42" s="19"/>
      <c r="PHX42" s="19"/>
      <c r="PHY42" s="19"/>
      <c r="PHZ42" s="19"/>
      <c r="PIA42" s="19"/>
      <c r="PIB42" s="19"/>
      <c r="PIC42" s="19"/>
      <c r="PID42" s="19"/>
      <c r="PIE42" s="19"/>
      <c r="PIF42" s="19"/>
      <c r="PIG42" s="19"/>
      <c r="PIH42" s="19"/>
      <c r="PII42" s="19"/>
      <c r="PIJ42" s="19"/>
      <c r="PIK42" s="19"/>
      <c r="PIL42" s="19"/>
      <c r="PIM42" s="19"/>
      <c r="PIN42" s="19"/>
      <c r="PIO42" s="19"/>
      <c r="PIP42" s="19"/>
      <c r="PIQ42" s="19"/>
      <c r="PIR42" s="19"/>
      <c r="PIS42" s="19"/>
      <c r="PIT42" s="19"/>
      <c r="PIU42" s="19"/>
      <c r="PIV42" s="19"/>
      <c r="PIW42" s="19"/>
      <c r="PIX42" s="19"/>
      <c r="PIY42" s="19"/>
      <c r="PIZ42" s="19"/>
      <c r="PJA42" s="19"/>
      <c r="PJB42" s="19"/>
      <c r="PJC42" s="19"/>
      <c r="PJD42" s="19"/>
      <c r="PJE42" s="19"/>
      <c r="PJF42" s="19"/>
      <c r="PJG42" s="19"/>
      <c r="PJH42" s="19"/>
      <c r="PJI42" s="19"/>
      <c r="PJJ42" s="19"/>
      <c r="PJK42" s="19"/>
      <c r="PJL42" s="19"/>
      <c r="PJM42" s="19"/>
      <c r="PJN42" s="19"/>
      <c r="PJO42" s="19"/>
      <c r="PJP42" s="19"/>
      <c r="PJQ42" s="19"/>
      <c r="PJR42" s="19"/>
      <c r="PJS42" s="19"/>
      <c r="PJT42" s="19"/>
      <c r="PJU42" s="19"/>
      <c r="PJV42" s="19"/>
      <c r="PJW42" s="19"/>
      <c r="PJX42" s="19"/>
      <c r="PJY42" s="19"/>
      <c r="PJZ42" s="19"/>
      <c r="PKA42" s="19"/>
      <c r="PKB42" s="19"/>
      <c r="PKC42" s="19"/>
      <c r="PKD42" s="19"/>
      <c r="PKE42" s="19"/>
      <c r="PKF42" s="19"/>
      <c r="PKG42" s="19"/>
      <c r="PKH42" s="19"/>
      <c r="PKI42" s="19"/>
      <c r="PKJ42" s="19"/>
      <c r="PKK42" s="19"/>
      <c r="PKL42" s="19"/>
      <c r="PKM42" s="19"/>
      <c r="PKN42" s="19"/>
      <c r="PKO42" s="19"/>
      <c r="PKP42" s="19"/>
      <c r="PKQ42" s="19"/>
      <c r="PKR42" s="19"/>
      <c r="PKS42" s="19"/>
      <c r="PKT42" s="19"/>
      <c r="PKU42" s="19"/>
      <c r="PKV42" s="19"/>
      <c r="PKW42" s="19"/>
      <c r="PKX42" s="19"/>
      <c r="PKY42" s="19"/>
      <c r="PKZ42" s="19"/>
      <c r="PLA42" s="19"/>
      <c r="PLB42" s="19"/>
      <c r="PLC42" s="19"/>
      <c r="PLD42" s="19"/>
      <c r="PLE42" s="19"/>
      <c r="PLF42" s="19"/>
      <c r="PLG42" s="19"/>
      <c r="PLH42" s="19"/>
      <c r="PLI42" s="19"/>
      <c r="PLJ42" s="19"/>
      <c r="PLK42" s="19"/>
      <c r="PLL42" s="19"/>
      <c r="PLM42" s="19"/>
      <c r="PLN42" s="19"/>
      <c r="PLO42" s="19"/>
      <c r="PLP42" s="19"/>
      <c r="PLQ42" s="19"/>
      <c r="PLR42" s="19"/>
      <c r="PLS42" s="19"/>
      <c r="PLT42" s="19"/>
      <c r="PLU42" s="19"/>
      <c r="PLV42" s="19"/>
      <c r="PLW42" s="19"/>
      <c r="PLX42" s="19"/>
      <c r="PLY42" s="19"/>
      <c r="PLZ42" s="19"/>
      <c r="PMA42" s="19"/>
      <c r="PMB42" s="19"/>
      <c r="PMC42" s="19"/>
      <c r="PMD42" s="19"/>
      <c r="PME42" s="19"/>
      <c r="PMF42" s="19"/>
      <c r="PMG42" s="19"/>
      <c r="PMH42" s="19"/>
      <c r="PMI42" s="19"/>
      <c r="PMJ42" s="19"/>
      <c r="PMK42" s="19"/>
      <c r="PML42" s="19"/>
      <c r="PMM42" s="19"/>
      <c r="PMN42" s="19"/>
      <c r="PMO42" s="19"/>
      <c r="PMP42" s="19"/>
      <c r="PMQ42" s="19"/>
      <c r="PMR42" s="19"/>
      <c r="PMS42" s="19"/>
      <c r="PMT42" s="19"/>
      <c r="PMU42" s="19"/>
      <c r="PMV42" s="19"/>
      <c r="PMW42" s="19"/>
      <c r="PMX42" s="19"/>
      <c r="PMY42" s="19"/>
      <c r="PMZ42" s="19"/>
      <c r="PNA42" s="19"/>
      <c r="PNB42" s="19"/>
      <c r="PNC42" s="19"/>
      <c r="PND42" s="19"/>
      <c r="PNE42" s="19"/>
      <c r="PNF42" s="19"/>
      <c r="PNG42" s="19"/>
      <c r="PNH42" s="19"/>
      <c r="PNI42" s="19"/>
      <c r="PNJ42" s="19"/>
      <c r="PNK42" s="19"/>
      <c r="PNL42" s="19"/>
      <c r="PNM42" s="19"/>
      <c r="PNN42" s="19"/>
      <c r="PNO42" s="19"/>
      <c r="PNP42" s="19"/>
      <c r="PNQ42" s="19"/>
      <c r="PNR42" s="19"/>
      <c r="PNS42" s="19"/>
      <c r="PNT42" s="19"/>
      <c r="PNU42" s="19"/>
      <c r="PNV42" s="19"/>
      <c r="PNW42" s="19"/>
      <c r="PNX42" s="19"/>
      <c r="PNY42" s="19"/>
      <c r="PNZ42" s="19"/>
      <c r="POA42" s="19"/>
      <c r="POB42" s="19"/>
      <c r="POC42" s="19"/>
      <c r="POD42" s="19"/>
      <c r="POE42" s="19"/>
      <c r="POF42" s="19"/>
      <c r="POG42" s="19"/>
      <c r="POH42" s="19"/>
      <c r="POI42" s="19"/>
      <c r="POJ42" s="19"/>
      <c r="POK42" s="19"/>
      <c r="POL42" s="19"/>
      <c r="POM42" s="19"/>
      <c r="PON42" s="19"/>
      <c r="POO42" s="19"/>
      <c r="POP42" s="19"/>
      <c r="POQ42" s="19"/>
      <c r="POR42" s="19"/>
      <c r="POS42" s="19"/>
      <c r="POT42" s="19"/>
      <c r="POU42" s="19"/>
      <c r="POV42" s="19"/>
      <c r="POW42" s="19"/>
      <c r="POX42" s="19"/>
      <c r="POY42" s="19"/>
      <c r="POZ42" s="19"/>
      <c r="PPA42" s="19"/>
      <c r="PPB42" s="19"/>
      <c r="PPC42" s="19"/>
      <c r="PPD42" s="19"/>
      <c r="PPE42" s="19"/>
      <c r="PPF42" s="19"/>
      <c r="PPG42" s="19"/>
      <c r="PPH42" s="19"/>
      <c r="PPI42" s="19"/>
      <c r="PPJ42" s="19"/>
      <c r="PPK42" s="19"/>
      <c r="PPL42" s="19"/>
      <c r="PPM42" s="19"/>
      <c r="PPN42" s="19"/>
      <c r="PPO42" s="19"/>
      <c r="PPP42" s="19"/>
      <c r="PPQ42" s="19"/>
      <c r="PPR42" s="19"/>
      <c r="PPS42" s="19"/>
      <c r="PPT42" s="19"/>
      <c r="PPU42" s="19"/>
      <c r="PPV42" s="19"/>
      <c r="PPW42" s="19"/>
      <c r="PPX42" s="19"/>
      <c r="PPY42" s="19"/>
      <c r="PPZ42" s="19"/>
      <c r="PQA42" s="19"/>
      <c r="PQB42" s="19"/>
      <c r="PQC42" s="19"/>
      <c r="PQD42" s="19"/>
      <c r="PQE42" s="19"/>
      <c r="PQF42" s="19"/>
      <c r="PQG42" s="19"/>
      <c r="PQH42" s="19"/>
      <c r="PQI42" s="19"/>
      <c r="PQJ42" s="19"/>
      <c r="PQK42" s="19"/>
      <c r="PQL42" s="19"/>
      <c r="PQM42" s="19"/>
      <c r="PQN42" s="19"/>
      <c r="PQO42" s="19"/>
      <c r="PQP42" s="19"/>
      <c r="PQQ42" s="19"/>
      <c r="PQR42" s="19"/>
      <c r="PQS42" s="19"/>
      <c r="PQT42" s="19"/>
      <c r="PQU42" s="19"/>
      <c r="PQV42" s="19"/>
      <c r="PQW42" s="19"/>
      <c r="PQX42" s="19"/>
      <c r="PQY42" s="19"/>
      <c r="PQZ42" s="19"/>
      <c r="PRA42" s="19"/>
      <c r="PRB42" s="19"/>
      <c r="PRC42" s="19"/>
      <c r="PRD42" s="19"/>
      <c r="PRE42" s="19"/>
      <c r="PRF42" s="19"/>
      <c r="PRG42" s="19"/>
      <c r="PRH42" s="19"/>
      <c r="PRI42" s="19"/>
      <c r="PRJ42" s="19"/>
      <c r="PRK42" s="19"/>
      <c r="PRL42" s="19"/>
      <c r="PRM42" s="19"/>
      <c r="PRN42" s="19"/>
      <c r="PRO42" s="19"/>
      <c r="PRP42" s="19"/>
      <c r="PRQ42" s="19"/>
      <c r="PRR42" s="19"/>
      <c r="PRS42" s="19"/>
      <c r="PRT42" s="19"/>
      <c r="PRU42" s="19"/>
      <c r="PRV42" s="19"/>
      <c r="PRW42" s="19"/>
      <c r="PRX42" s="19"/>
      <c r="PRY42" s="19"/>
      <c r="PRZ42" s="19"/>
      <c r="PSA42" s="19"/>
      <c r="PSB42" s="19"/>
      <c r="PSC42" s="19"/>
      <c r="PSD42" s="19"/>
      <c r="PSE42" s="19"/>
      <c r="PSF42" s="19"/>
      <c r="PSG42" s="19"/>
      <c r="PSH42" s="19"/>
      <c r="PSI42" s="19"/>
      <c r="PSJ42" s="19"/>
      <c r="PSK42" s="19"/>
      <c r="PSL42" s="19"/>
      <c r="PSM42" s="19"/>
      <c r="PSN42" s="19"/>
      <c r="PSO42" s="19"/>
      <c r="PSP42" s="19"/>
      <c r="PSQ42" s="19"/>
      <c r="PSR42" s="19"/>
      <c r="PSS42" s="19"/>
      <c r="PST42" s="19"/>
      <c r="PSU42" s="19"/>
      <c r="PSV42" s="19"/>
      <c r="PSW42" s="19"/>
      <c r="PSX42" s="19"/>
      <c r="PSY42" s="19"/>
      <c r="PSZ42" s="19"/>
      <c r="PTA42" s="19"/>
      <c r="PTB42" s="19"/>
      <c r="PTC42" s="19"/>
      <c r="PTD42" s="19"/>
      <c r="PTE42" s="19"/>
      <c r="PTF42" s="19"/>
      <c r="PTG42" s="19"/>
      <c r="PTH42" s="19"/>
      <c r="PTI42" s="19"/>
      <c r="PTJ42" s="19"/>
      <c r="PTK42" s="19"/>
      <c r="PTL42" s="19"/>
      <c r="PTM42" s="19"/>
      <c r="PTN42" s="19"/>
      <c r="PTO42" s="19"/>
      <c r="PTP42" s="19"/>
      <c r="PTQ42" s="19"/>
      <c r="PTR42" s="19"/>
      <c r="PTS42" s="19"/>
      <c r="PTT42" s="19"/>
      <c r="PTU42" s="19"/>
      <c r="PTV42" s="19"/>
      <c r="PTW42" s="19"/>
      <c r="PTX42" s="19"/>
      <c r="PTY42" s="19"/>
      <c r="PTZ42" s="19"/>
      <c r="PUA42" s="19"/>
      <c r="PUB42" s="19"/>
      <c r="PUC42" s="19"/>
      <c r="PUD42" s="19"/>
      <c r="PUE42" s="19"/>
      <c r="PUF42" s="19"/>
      <c r="PUG42" s="19"/>
      <c r="PUH42" s="19"/>
      <c r="PUI42" s="19"/>
      <c r="PUJ42" s="19"/>
      <c r="PUK42" s="19"/>
      <c r="PUL42" s="19"/>
      <c r="PUM42" s="19"/>
      <c r="PUN42" s="19"/>
      <c r="PUO42" s="19"/>
      <c r="PUP42" s="19"/>
      <c r="PUQ42" s="19"/>
      <c r="PUR42" s="19"/>
      <c r="PUS42" s="19"/>
      <c r="PUT42" s="19"/>
      <c r="PUU42" s="19"/>
      <c r="PUV42" s="19"/>
      <c r="PUW42" s="19"/>
      <c r="PUX42" s="19"/>
      <c r="PUY42" s="19"/>
      <c r="PUZ42" s="19"/>
      <c r="PVA42" s="19"/>
      <c r="PVB42" s="19"/>
      <c r="PVC42" s="19"/>
      <c r="PVD42" s="19"/>
      <c r="PVE42" s="19"/>
      <c r="PVF42" s="19"/>
      <c r="PVG42" s="19"/>
      <c r="PVH42" s="19"/>
      <c r="PVI42" s="19"/>
      <c r="PVJ42" s="19"/>
      <c r="PVK42" s="19"/>
      <c r="PVL42" s="19"/>
      <c r="PVM42" s="19"/>
      <c r="PVN42" s="19"/>
      <c r="PVO42" s="19"/>
      <c r="PVP42" s="19"/>
      <c r="PVQ42" s="19"/>
      <c r="PVR42" s="19"/>
      <c r="PVS42" s="19"/>
      <c r="PVT42" s="19"/>
      <c r="PVU42" s="19"/>
      <c r="PVV42" s="19"/>
      <c r="PVW42" s="19"/>
      <c r="PVX42" s="19"/>
      <c r="PVY42" s="19"/>
      <c r="PVZ42" s="19"/>
      <c r="PWA42" s="19"/>
      <c r="PWB42" s="19"/>
      <c r="PWC42" s="19"/>
      <c r="PWD42" s="19"/>
      <c r="PWE42" s="19"/>
      <c r="PWF42" s="19"/>
      <c r="PWG42" s="19"/>
      <c r="PWH42" s="19"/>
      <c r="PWI42" s="19"/>
      <c r="PWJ42" s="19"/>
      <c r="PWK42" s="19"/>
      <c r="PWL42" s="19"/>
      <c r="PWM42" s="19"/>
      <c r="PWN42" s="19"/>
      <c r="PWO42" s="19"/>
      <c r="PWP42" s="19"/>
      <c r="PWQ42" s="19"/>
      <c r="PWR42" s="19"/>
      <c r="PWS42" s="19"/>
      <c r="PWT42" s="19"/>
      <c r="PWU42" s="19"/>
      <c r="PWV42" s="19"/>
      <c r="PWW42" s="19"/>
      <c r="PWX42" s="19"/>
      <c r="PWY42" s="19"/>
      <c r="PWZ42" s="19"/>
      <c r="PXA42" s="19"/>
      <c r="PXB42" s="19"/>
      <c r="PXC42" s="19"/>
      <c r="PXD42" s="19"/>
      <c r="PXE42" s="19"/>
      <c r="PXF42" s="19"/>
      <c r="PXG42" s="19"/>
      <c r="PXH42" s="19"/>
      <c r="PXI42" s="19"/>
      <c r="PXJ42" s="19"/>
      <c r="PXK42" s="19"/>
      <c r="PXL42" s="19"/>
      <c r="PXM42" s="19"/>
      <c r="PXN42" s="19"/>
      <c r="PXO42" s="19"/>
      <c r="PXP42" s="19"/>
      <c r="PXQ42" s="19"/>
      <c r="PXR42" s="19"/>
      <c r="PXS42" s="19"/>
      <c r="PXT42" s="19"/>
      <c r="PXU42" s="19"/>
      <c r="PXV42" s="19"/>
      <c r="PXW42" s="19"/>
      <c r="PXX42" s="19"/>
      <c r="PXY42" s="19"/>
      <c r="PXZ42" s="19"/>
      <c r="PYA42" s="19"/>
      <c r="PYB42" s="19"/>
      <c r="PYC42" s="19"/>
      <c r="PYD42" s="19"/>
      <c r="PYE42" s="19"/>
      <c r="PYF42" s="19"/>
      <c r="PYG42" s="19"/>
      <c r="PYH42" s="19"/>
      <c r="PYI42" s="19"/>
      <c r="PYJ42" s="19"/>
      <c r="PYK42" s="19"/>
      <c r="PYL42" s="19"/>
      <c r="PYM42" s="19"/>
      <c r="PYN42" s="19"/>
      <c r="PYO42" s="19"/>
      <c r="PYP42" s="19"/>
      <c r="PYQ42" s="19"/>
      <c r="PYR42" s="19"/>
      <c r="PYS42" s="19"/>
      <c r="PYT42" s="19"/>
      <c r="PYU42" s="19"/>
      <c r="PYV42" s="19"/>
      <c r="PYW42" s="19"/>
      <c r="PYX42" s="19"/>
      <c r="PYY42" s="19"/>
      <c r="PYZ42" s="19"/>
      <c r="PZA42" s="19"/>
      <c r="PZB42" s="19"/>
      <c r="PZC42" s="19"/>
      <c r="PZD42" s="19"/>
      <c r="PZE42" s="19"/>
      <c r="PZF42" s="19"/>
      <c r="PZG42" s="19"/>
      <c r="PZH42" s="19"/>
      <c r="PZI42" s="19"/>
      <c r="PZJ42" s="19"/>
      <c r="PZK42" s="19"/>
      <c r="PZL42" s="19"/>
      <c r="PZM42" s="19"/>
      <c r="PZN42" s="19"/>
      <c r="PZO42" s="19"/>
      <c r="PZP42" s="19"/>
      <c r="PZQ42" s="19"/>
      <c r="PZR42" s="19"/>
      <c r="PZS42" s="19"/>
      <c r="PZT42" s="19"/>
      <c r="PZU42" s="19"/>
      <c r="PZV42" s="19"/>
      <c r="PZW42" s="19"/>
      <c r="PZX42" s="19"/>
      <c r="PZY42" s="19"/>
      <c r="PZZ42" s="19"/>
      <c r="QAA42" s="19"/>
      <c r="QAB42" s="19"/>
      <c r="QAC42" s="19"/>
      <c r="QAD42" s="19"/>
      <c r="QAE42" s="19"/>
      <c r="QAF42" s="19"/>
      <c r="QAG42" s="19"/>
      <c r="QAH42" s="19"/>
      <c r="QAI42" s="19"/>
      <c r="QAJ42" s="19"/>
      <c r="QAK42" s="19"/>
      <c r="QAL42" s="19"/>
      <c r="QAM42" s="19"/>
      <c r="QAN42" s="19"/>
      <c r="QAO42" s="19"/>
      <c r="QAP42" s="19"/>
      <c r="QAQ42" s="19"/>
      <c r="QAR42" s="19"/>
      <c r="QAS42" s="19"/>
      <c r="QAT42" s="19"/>
      <c r="QAU42" s="19"/>
      <c r="QAV42" s="19"/>
      <c r="QAW42" s="19"/>
      <c r="QAX42" s="19"/>
      <c r="QAY42" s="19"/>
      <c r="QAZ42" s="19"/>
      <c r="QBA42" s="19"/>
      <c r="QBB42" s="19"/>
      <c r="QBC42" s="19"/>
      <c r="QBD42" s="19"/>
      <c r="QBE42" s="19"/>
      <c r="QBF42" s="19"/>
      <c r="QBG42" s="19"/>
      <c r="QBH42" s="19"/>
      <c r="QBI42" s="19"/>
      <c r="QBJ42" s="19"/>
      <c r="QBK42" s="19"/>
      <c r="QBL42" s="19"/>
      <c r="QBM42" s="19"/>
      <c r="QBN42" s="19"/>
      <c r="QBO42" s="19"/>
      <c r="QBP42" s="19"/>
      <c r="QBQ42" s="19"/>
      <c r="QBR42" s="19"/>
      <c r="QBS42" s="19"/>
      <c r="QBT42" s="19"/>
      <c r="QBU42" s="19"/>
      <c r="QBV42" s="19"/>
      <c r="QBW42" s="19"/>
      <c r="QBX42" s="19"/>
      <c r="QBY42" s="19"/>
      <c r="QBZ42" s="19"/>
      <c r="QCA42" s="19"/>
      <c r="QCB42" s="19"/>
      <c r="QCC42" s="19"/>
      <c r="QCD42" s="19"/>
      <c r="QCE42" s="19"/>
      <c r="QCF42" s="19"/>
      <c r="QCG42" s="19"/>
      <c r="QCH42" s="19"/>
      <c r="QCI42" s="19"/>
      <c r="QCJ42" s="19"/>
      <c r="QCK42" s="19"/>
      <c r="QCL42" s="19"/>
      <c r="QCM42" s="19"/>
      <c r="QCN42" s="19"/>
      <c r="QCO42" s="19"/>
      <c r="QCP42" s="19"/>
      <c r="QCQ42" s="19"/>
      <c r="QCR42" s="19"/>
      <c r="QCS42" s="19"/>
      <c r="QCT42" s="19"/>
      <c r="QCU42" s="19"/>
      <c r="QCV42" s="19"/>
      <c r="QCW42" s="19"/>
      <c r="QCX42" s="19"/>
      <c r="QCY42" s="19"/>
      <c r="QCZ42" s="19"/>
      <c r="QDA42" s="19"/>
      <c r="QDB42" s="19"/>
      <c r="QDC42" s="19"/>
      <c r="QDD42" s="19"/>
      <c r="QDE42" s="19"/>
      <c r="QDF42" s="19"/>
      <c r="QDG42" s="19"/>
      <c r="QDH42" s="19"/>
      <c r="QDI42" s="19"/>
      <c r="QDJ42" s="19"/>
      <c r="QDK42" s="19"/>
      <c r="QDL42" s="19"/>
      <c r="QDM42" s="19"/>
      <c r="QDN42" s="19"/>
      <c r="QDO42" s="19"/>
      <c r="QDP42" s="19"/>
      <c r="QDQ42" s="19"/>
      <c r="QDR42" s="19"/>
      <c r="QDS42" s="19"/>
      <c r="QDT42" s="19"/>
      <c r="QDU42" s="19"/>
      <c r="QDV42" s="19"/>
      <c r="QDW42" s="19"/>
      <c r="QDX42" s="19"/>
      <c r="QDY42" s="19"/>
      <c r="QDZ42" s="19"/>
      <c r="QEA42" s="19"/>
      <c r="QEB42" s="19"/>
      <c r="QEC42" s="19"/>
      <c r="QED42" s="19"/>
      <c r="QEE42" s="19"/>
      <c r="QEF42" s="19"/>
      <c r="QEG42" s="19"/>
      <c r="QEH42" s="19"/>
      <c r="QEI42" s="19"/>
      <c r="QEJ42" s="19"/>
      <c r="QEK42" s="19"/>
      <c r="QEL42" s="19"/>
      <c r="QEM42" s="19"/>
      <c r="QEN42" s="19"/>
      <c r="QEO42" s="19"/>
      <c r="QEP42" s="19"/>
      <c r="QEQ42" s="19"/>
      <c r="QER42" s="19"/>
      <c r="QES42" s="19"/>
      <c r="QET42" s="19"/>
      <c r="QEU42" s="19"/>
      <c r="QEV42" s="19"/>
      <c r="QEW42" s="19"/>
      <c r="QEX42" s="19"/>
      <c r="QEY42" s="19"/>
      <c r="QEZ42" s="19"/>
      <c r="QFA42" s="19"/>
      <c r="QFB42" s="19"/>
      <c r="QFC42" s="19"/>
      <c r="QFD42" s="19"/>
      <c r="QFE42" s="19"/>
      <c r="QFF42" s="19"/>
      <c r="QFG42" s="19"/>
      <c r="QFH42" s="19"/>
      <c r="QFI42" s="19"/>
      <c r="QFJ42" s="19"/>
      <c r="QFK42" s="19"/>
      <c r="QFL42" s="19"/>
      <c r="QFM42" s="19"/>
      <c r="QFN42" s="19"/>
      <c r="QFO42" s="19"/>
      <c r="QFP42" s="19"/>
      <c r="QFQ42" s="19"/>
      <c r="QFR42" s="19"/>
      <c r="QFS42" s="19"/>
      <c r="QFT42" s="19"/>
      <c r="QFU42" s="19"/>
      <c r="QFV42" s="19"/>
      <c r="QFW42" s="19"/>
      <c r="QFX42" s="19"/>
      <c r="QFY42" s="19"/>
      <c r="QFZ42" s="19"/>
      <c r="QGA42" s="19"/>
      <c r="QGB42" s="19"/>
      <c r="QGC42" s="19"/>
      <c r="QGD42" s="19"/>
      <c r="QGE42" s="19"/>
      <c r="QGF42" s="19"/>
      <c r="QGG42" s="19"/>
      <c r="QGH42" s="19"/>
      <c r="QGI42" s="19"/>
      <c r="QGJ42" s="19"/>
      <c r="QGK42" s="19"/>
      <c r="QGL42" s="19"/>
      <c r="QGM42" s="19"/>
      <c r="QGN42" s="19"/>
      <c r="QGO42" s="19"/>
      <c r="QGP42" s="19"/>
      <c r="QGQ42" s="19"/>
      <c r="QGR42" s="19"/>
      <c r="QGS42" s="19"/>
      <c r="QGT42" s="19"/>
      <c r="QGU42" s="19"/>
      <c r="QGV42" s="19"/>
      <c r="QGW42" s="19"/>
      <c r="QGX42" s="19"/>
      <c r="QGY42" s="19"/>
      <c r="QGZ42" s="19"/>
      <c r="QHA42" s="19"/>
      <c r="QHB42" s="19"/>
      <c r="QHC42" s="19"/>
      <c r="QHD42" s="19"/>
      <c r="QHE42" s="19"/>
      <c r="QHF42" s="19"/>
      <c r="QHG42" s="19"/>
      <c r="QHH42" s="19"/>
      <c r="QHI42" s="19"/>
      <c r="QHJ42" s="19"/>
      <c r="QHK42" s="19"/>
      <c r="QHL42" s="19"/>
      <c r="QHM42" s="19"/>
      <c r="QHN42" s="19"/>
      <c r="QHO42" s="19"/>
      <c r="QHP42" s="19"/>
      <c r="QHQ42" s="19"/>
      <c r="QHR42" s="19"/>
      <c r="QHS42" s="19"/>
      <c r="QHT42" s="19"/>
      <c r="QHU42" s="19"/>
      <c r="QHV42" s="19"/>
      <c r="QHW42" s="19"/>
      <c r="QHX42" s="19"/>
      <c r="QHY42" s="19"/>
      <c r="QHZ42" s="19"/>
      <c r="QIA42" s="19"/>
      <c r="QIB42" s="19"/>
      <c r="QIC42" s="19"/>
      <c r="QID42" s="19"/>
      <c r="QIE42" s="19"/>
      <c r="QIF42" s="19"/>
      <c r="QIG42" s="19"/>
      <c r="QIH42" s="19"/>
      <c r="QII42" s="19"/>
      <c r="QIJ42" s="19"/>
      <c r="QIK42" s="19"/>
      <c r="QIL42" s="19"/>
      <c r="QIM42" s="19"/>
      <c r="QIN42" s="19"/>
      <c r="QIO42" s="19"/>
      <c r="QIP42" s="19"/>
      <c r="QIQ42" s="19"/>
      <c r="QIR42" s="19"/>
      <c r="QIS42" s="19"/>
      <c r="QIT42" s="19"/>
      <c r="QIU42" s="19"/>
      <c r="QIV42" s="19"/>
      <c r="QIW42" s="19"/>
      <c r="QIX42" s="19"/>
      <c r="QIY42" s="19"/>
      <c r="QIZ42" s="19"/>
      <c r="QJA42" s="19"/>
      <c r="QJB42" s="19"/>
      <c r="QJC42" s="19"/>
      <c r="QJD42" s="19"/>
      <c r="QJE42" s="19"/>
      <c r="QJF42" s="19"/>
      <c r="QJG42" s="19"/>
      <c r="QJH42" s="19"/>
      <c r="QJI42" s="19"/>
      <c r="QJJ42" s="19"/>
      <c r="QJK42" s="19"/>
      <c r="QJL42" s="19"/>
      <c r="QJM42" s="19"/>
      <c r="QJN42" s="19"/>
      <c r="QJO42" s="19"/>
      <c r="QJP42" s="19"/>
      <c r="QJQ42" s="19"/>
      <c r="QJR42" s="19"/>
      <c r="QJS42" s="19"/>
      <c r="QJT42" s="19"/>
      <c r="QJU42" s="19"/>
      <c r="QJV42" s="19"/>
      <c r="QJW42" s="19"/>
      <c r="QJX42" s="19"/>
      <c r="QJY42" s="19"/>
      <c r="QJZ42" s="19"/>
      <c r="QKA42" s="19"/>
      <c r="QKB42" s="19"/>
      <c r="QKC42" s="19"/>
      <c r="QKD42" s="19"/>
      <c r="QKE42" s="19"/>
      <c r="QKF42" s="19"/>
      <c r="QKG42" s="19"/>
      <c r="QKH42" s="19"/>
      <c r="QKI42" s="19"/>
      <c r="QKJ42" s="19"/>
      <c r="QKK42" s="19"/>
      <c r="QKL42" s="19"/>
      <c r="QKM42" s="19"/>
      <c r="QKN42" s="19"/>
      <c r="QKO42" s="19"/>
      <c r="QKP42" s="19"/>
      <c r="QKQ42" s="19"/>
      <c r="QKR42" s="19"/>
      <c r="QKS42" s="19"/>
      <c r="QKT42" s="19"/>
      <c r="QKU42" s="19"/>
      <c r="QKV42" s="19"/>
      <c r="QKW42" s="19"/>
      <c r="QKX42" s="19"/>
      <c r="QKY42" s="19"/>
      <c r="QKZ42" s="19"/>
      <c r="QLA42" s="19"/>
      <c r="QLB42" s="19"/>
      <c r="QLC42" s="19"/>
      <c r="QLD42" s="19"/>
      <c r="QLE42" s="19"/>
      <c r="QLF42" s="19"/>
      <c r="QLG42" s="19"/>
      <c r="QLH42" s="19"/>
      <c r="QLI42" s="19"/>
      <c r="QLJ42" s="19"/>
      <c r="QLK42" s="19"/>
      <c r="QLL42" s="19"/>
      <c r="QLM42" s="19"/>
      <c r="QLN42" s="19"/>
      <c r="QLO42" s="19"/>
      <c r="QLP42" s="19"/>
      <c r="QLQ42" s="19"/>
      <c r="QLR42" s="19"/>
      <c r="QLS42" s="19"/>
      <c r="QLT42" s="19"/>
      <c r="QLU42" s="19"/>
      <c r="QLV42" s="19"/>
      <c r="QLW42" s="19"/>
      <c r="QLX42" s="19"/>
      <c r="QLY42" s="19"/>
      <c r="QLZ42" s="19"/>
      <c r="QMA42" s="19"/>
      <c r="QMB42" s="19"/>
      <c r="QMC42" s="19"/>
      <c r="QMD42" s="19"/>
      <c r="QME42" s="19"/>
      <c r="QMF42" s="19"/>
      <c r="QMG42" s="19"/>
      <c r="QMH42" s="19"/>
      <c r="QMI42" s="19"/>
      <c r="QMJ42" s="19"/>
      <c r="QMK42" s="19"/>
      <c r="QML42" s="19"/>
      <c r="QMM42" s="19"/>
      <c r="QMN42" s="19"/>
      <c r="QMO42" s="19"/>
      <c r="QMP42" s="19"/>
      <c r="QMQ42" s="19"/>
      <c r="QMR42" s="19"/>
      <c r="QMS42" s="19"/>
      <c r="QMT42" s="19"/>
      <c r="QMU42" s="19"/>
      <c r="QMV42" s="19"/>
      <c r="QMW42" s="19"/>
      <c r="QMX42" s="19"/>
      <c r="QMY42" s="19"/>
      <c r="QMZ42" s="19"/>
      <c r="QNA42" s="19"/>
      <c r="QNB42" s="19"/>
      <c r="QNC42" s="19"/>
      <c r="QND42" s="19"/>
      <c r="QNE42" s="19"/>
      <c r="QNF42" s="19"/>
      <c r="QNG42" s="19"/>
      <c r="QNH42" s="19"/>
      <c r="QNI42" s="19"/>
      <c r="QNJ42" s="19"/>
      <c r="QNK42" s="19"/>
      <c r="QNL42" s="19"/>
      <c r="QNM42" s="19"/>
      <c r="QNN42" s="19"/>
      <c r="QNO42" s="19"/>
      <c r="QNP42" s="19"/>
      <c r="QNQ42" s="19"/>
      <c r="QNR42" s="19"/>
      <c r="QNS42" s="19"/>
      <c r="QNT42" s="19"/>
      <c r="QNU42" s="19"/>
      <c r="QNV42" s="19"/>
      <c r="QNW42" s="19"/>
      <c r="QNX42" s="19"/>
      <c r="QNY42" s="19"/>
      <c r="QNZ42" s="19"/>
      <c r="QOA42" s="19"/>
      <c r="QOB42" s="19"/>
      <c r="QOC42" s="19"/>
      <c r="QOD42" s="19"/>
      <c r="QOE42" s="19"/>
      <c r="QOF42" s="19"/>
      <c r="QOG42" s="19"/>
      <c r="QOH42" s="19"/>
      <c r="QOI42" s="19"/>
      <c r="QOJ42" s="19"/>
      <c r="QOK42" s="19"/>
      <c r="QOL42" s="19"/>
      <c r="QOM42" s="19"/>
      <c r="QON42" s="19"/>
      <c r="QOO42" s="19"/>
      <c r="QOP42" s="19"/>
      <c r="QOQ42" s="19"/>
      <c r="QOR42" s="19"/>
      <c r="QOS42" s="19"/>
      <c r="QOT42" s="19"/>
      <c r="QOU42" s="19"/>
      <c r="QOV42" s="19"/>
      <c r="QOW42" s="19"/>
      <c r="QOX42" s="19"/>
      <c r="QOY42" s="19"/>
      <c r="QOZ42" s="19"/>
      <c r="QPA42" s="19"/>
      <c r="QPB42" s="19"/>
      <c r="QPC42" s="19"/>
      <c r="QPD42" s="19"/>
      <c r="QPE42" s="19"/>
      <c r="QPF42" s="19"/>
      <c r="QPG42" s="19"/>
      <c r="QPH42" s="19"/>
      <c r="QPI42" s="19"/>
      <c r="QPJ42" s="19"/>
      <c r="QPK42" s="19"/>
      <c r="QPL42" s="19"/>
      <c r="QPM42" s="19"/>
      <c r="QPN42" s="19"/>
      <c r="QPO42" s="19"/>
      <c r="QPP42" s="19"/>
      <c r="QPQ42" s="19"/>
      <c r="QPR42" s="19"/>
      <c r="QPS42" s="19"/>
      <c r="QPT42" s="19"/>
      <c r="QPU42" s="19"/>
      <c r="QPV42" s="19"/>
      <c r="QPW42" s="19"/>
      <c r="QPX42" s="19"/>
      <c r="QPY42" s="19"/>
      <c r="QPZ42" s="19"/>
      <c r="QQA42" s="19"/>
      <c r="QQB42" s="19"/>
      <c r="QQC42" s="19"/>
      <c r="QQD42" s="19"/>
      <c r="QQE42" s="19"/>
      <c r="QQF42" s="19"/>
      <c r="QQG42" s="19"/>
      <c r="QQH42" s="19"/>
      <c r="QQI42" s="19"/>
      <c r="QQJ42" s="19"/>
      <c r="QQK42" s="19"/>
      <c r="QQL42" s="19"/>
      <c r="QQM42" s="19"/>
      <c r="QQN42" s="19"/>
      <c r="QQO42" s="19"/>
      <c r="QQP42" s="19"/>
      <c r="QQQ42" s="19"/>
      <c r="QQR42" s="19"/>
      <c r="QQS42" s="19"/>
      <c r="QQT42" s="19"/>
      <c r="QQU42" s="19"/>
      <c r="QQV42" s="19"/>
      <c r="QQW42" s="19"/>
      <c r="QQX42" s="19"/>
      <c r="QQY42" s="19"/>
      <c r="QQZ42" s="19"/>
      <c r="QRA42" s="19"/>
      <c r="QRB42" s="19"/>
      <c r="QRC42" s="19"/>
      <c r="QRD42" s="19"/>
      <c r="QRE42" s="19"/>
      <c r="QRF42" s="19"/>
      <c r="QRG42" s="19"/>
      <c r="QRH42" s="19"/>
      <c r="QRI42" s="19"/>
      <c r="QRJ42" s="19"/>
      <c r="QRK42" s="19"/>
      <c r="QRL42" s="19"/>
      <c r="QRM42" s="19"/>
      <c r="QRN42" s="19"/>
      <c r="QRO42" s="19"/>
      <c r="QRP42" s="19"/>
      <c r="QRQ42" s="19"/>
      <c r="QRR42" s="19"/>
      <c r="QRS42" s="19"/>
      <c r="QRT42" s="19"/>
      <c r="QRU42" s="19"/>
      <c r="QRV42" s="19"/>
      <c r="QRW42" s="19"/>
      <c r="QRX42" s="19"/>
      <c r="QRY42" s="19"/>
      <c r="QRZ42" s="19"/>
      <c r="QSA42" s="19"/>
      <c r="QSB42" s="19"/>
      <c r="QSC42" s="19"/>
      <c r="QSD42" s="19"/>
      <c r="QSE42" s="19"/>
      <c r="QSF42" s="19"/>
      <c r="QSG42" s="19"/>
      <c r="QSH42" s="19"/>
      <c r="QSI42" s="19"/>
      <c r="QSJ42" s="19"/>
      <c r="QSK42" s="19"/>
      <c r="QSL42" s="19"/>
      <c r="QSM42" s="19"/>
      <c r="QSN42" s="19"/>
      <c r="QSO42" s="19"/>
      <c r="QSP42" s="19"/>
      <c r="QSQ42" s="19"/>
      <c r="QSR42" s="19"/>
      <c r="QSS42" s="19"/>
      <c r="QST42" s="19"/>
      <c r="QSU42" s="19"/>
      <c r="QSV42" s="19"/>
      <c r="QSW42" s="19"/>
      <c r="QSX42" s="19"/>
      <c r="QSY42" s="19"/>
      <c r="QSZ42" s="19"/>
      <c r="QTA42" s="19"/>
      <c r="QTB42" s="19"/>
      <c r="QTC42" s="19"/>
      <c r="QTD42" s="19"/>
      <c r="QTE42" s="19"/>
      <c r="QTF42" s="19"/>
      <c r="QTG42" s="19"/>
      <c r="QTH42" s="19"/>
      <c r="QTI42" s="19"/>
      <c r="QTJ42" s="19"/>
      <c r="QTK42" s="19"/>
      <c r="QTL42" s="19"/>
      <c r="QTM42" s="19"/>
      <c r="QTN42" s="19"/>
      <c r="QTO42" s="19"/>
      <c r="QTP42" s="19"/>
      <c r="QTQ42" s="19"/>
      <c r="QTR42" s="19"/>
      <c r="QTS42" s="19"/>
      <c r="QTT42" s="19"/>
      <c r="QTU42" s="19"/>
      <c r="QTV42" s="19"/>
      <c r="QTW42" s="19"/>
      <c r="QTX42" s="19"/>
      <c r="QTY42" s="19"/>
      <c r="QTZ42" s="19"/>
      <c r="QUA42" s="19"/>
      <c r="QUB42" s="19"/>
      <c r="QUC42" s="19"/>
      <c r="QUD42" s="19"/>
      <c r="QUE42" s="19"/>
      <c r="QUF42" s="19"/>
      <c r="QUG42" s="19"/>
      <c r="QUH42" s="19"/>
      <c r="QUI42" s="19"/>
      <c r="QUJ42" s="19"/>
      <c r="QUK42" s="19"/>
      <c r="QUL42" s="19"/>
      <c r="QUM42" s="19"/>
      <c r="QUN42" s="19"/>
      <c r="QUO42" s="19"/>
      <c r="QUP42" s="19"/>
      <c r="QUQ42" s="19"/>
      <c r="QUR42" s="19"/>
      <c r="QUS42" s="19"/>
      <c r="QUT42" s="19"/>
      <c r="QUU42" s="19"/>
      <c r="QUV42" s="19"/>
      <c r="QUW42" s="19"/>
      <c r="QUX42" s="19"/>
      <c r="QUY42" s="19"/>
      <c r="QUZ42" s="19"/>
      <c r="QVA42" s="19"/>
      <c r="QVB42" s="19"/>
      <c r="QVC42" s="19"/>
      <c r="QVD42" s="19"/>
      <c r="QVE42" s="19"/>
      <c r="QVF42" s="19"/>
      <c r="QVG42" s="19"/>
      <c r="QVH42" s="19"/>
      <c r="QVI42" s="19"/>
      <c r="QVJ42" s="19"/>
      <c r="QVK42" s="19"/>
      <c r="QVL42" s="19"/>
      <c r="QVM42" s="19"/>
      <c r="QVN42" s="19"/>
      <c r="QVO42" s="19"/>
      <c r="QVP42" s="19"/>
      <c r="QVQ42" s="19"/>
      <c r="QVR42" s="19"/>
      <c r="QVS42" s="19"/>
      <c r="QVT42" s="19"/>
      <c r="QVU42" s="19"/>
      <c r="QVV42" s="19"/>
      <c r="QVW42" s="19"/>
      <c r="QVX42" s="19"/>
      <c r="QVY42" s="19"/>
      <c r="QVZ42" s="19"/>
      <c r="QWA42" s="19"/>
      <c r="QWB42" s="19"/>
      <c r="QWC42" s="19"/>
      <c r="QWD42" s="19"/>
      <c r="QWE42" s="19"/>
      <c r="QWF42" s="19"/>
      <c r="QWG42" s="19"/>
      <c r="QWH42" s="19"/>
      <c r="QWI42" s="19"/>
      <c r="QWJ42" s="19"/>
      <c r="QWK42" s="19"/>
      <c r="QWL42" s="19"/>
      <c r="QWM42" s="19"/>
      <c r="QWN42" s="19"/>
      <c r="QWO42" s="19"/>
      <c r="QWP42" s="19"/>
      <c r="QWQ42" s="19"/>
      <c r="QWR42" s="19"/>
      <c r="QWS42" s="19"/>
      <c r="QWT42" s="19"/>
      <c r="QWU42" s="19"/>
      <c r="QWV42" s="19"/>
      <c r="QWW42" s="19"/>
      <c r="QWX42" s="19"/>
      <c r="QWY42" s="19"/>
      <c r="QWZ42" s="19"/>
      <c r="QXA42" s="19"/>
      <c r="QXB42" s="19"/>
      <c r="QXC42" s="19"/>
      <c r="QXD42" s="19"/>
      <c r="QXE42" s="19"/>
      <c r="QXF42" s="19"/>
      <c r="QXG42" s="19"/>
      <c r="QXH42" s="19"/>
      <c r="QXI42" s="19"/>
      <c r="QXJ42" s="19"/>
      <c r="QXK42" s="19"/>
      <c r="QXL42" s="19"/>
      <c r="QXM42" s="19"/>
      <c r="QXN42" s="19"/>
      <c r="QXO42" s="19"/>
      <c r="QXP42" s="19"/>
      <c r="QXQ42" s="19"/>
      <c r="QXR42" s="19"/>
      <c r="QXS42" s="19"/>
      <c r="QXT42" s="19"/>
      <c r="QXU42" s="19"/>
      <c r="QXV42" s="19"/>
      <c r="QXW42" s="19"/>
      <c r="QXX42" s="19"/>
      <c r="QXY42" s="19"/>
      <c r="QXZ42" s="19"/>
      <c r="QYA42" s="19"/>
      <c r="QYB42" s="19"/>
      <c r="QYC42" s="19"/>
      <c r="QYD42" s="19"/>
      <c r="QYE42" s="19"/>
      <c r="QYF42" s="19"/>
      <c r="QYG42" s="19"/>
      <c r="QYH42" s="19"/>
      <c r="QYI42" s="19"/>
      <c r="QYJ42" s="19"/>
      <c r="QYK42" s="19"/>
      <c r="QYL42" s="19"/>
      <c r="QYM42" s="19"/>
      <c r="QYN42" s="19"/>
      <c r="QYO42" s="19"/>
      <c r="QYP42" s="19"/>
      <c r="QYQ42" s="19"/>
      <c r="QYR42" s="19"/>
      <c r="QYS42" s="19"/>
      <c r="QYT42" s="19"/>
      <c r="QYU42" s="19"/>
      <c r="QYV42" s="19"/>
      <c r="QYW42" s="19"/>
      <c r="QYX42" s="19"/>
      <c r="QYY42" s="19"/>
      <c r="QYZ42" s="19"/>
      <c r="QZA42" s="19"/>
      <c r="QZB42" s="19"/>
      <c r="QZC42" s="19"/>
      <c r="QZD42" s="19"/>
      <c r="QZE42" s="19"/>
      <c r="QZF42" s="19"/>
      <c r="QZG42" s="19"/>
      <c r="QZH42" s="19"/>
      <c r="QZI42" s="19"/>
      <c r="QZJ42" s="19"/>
      <c r="QZK42" s="19"/>
      <c r="QZL42" s="19"/>
      <c r="QZM42" s="19"/>
      <c r="QZN42" s="19"/>
      <c r="QZO42" s="19"/>
      <c r="QZP42" s="19"/>
      <c r="QZQ42" s="19"/>
      <c r="QZR42" s="19"/>
      <c r="QZS42" s="19"/>
      <c r="QZT42" s="19"/>
      <c r="QZU42" s="19"/>
      <c r="QZV42" s="19"/>
      <c r="QZW42" s="19"/>
      <c r="QZX42" s="19"/>
      <c r="QZY42" s="19"/>
      <c r="QZZ42" s="19"/>
      <c r="RAA42" s="19"/>
      <c r="RAB42" s="19"/>
      <c r="RAC42" s="19"/>
      <c r="RAD42" s="19"/>
      <c r="RAE42" s="19"/>
      <c r="RAF42" s="19"/>
      <c r="RAG42" s="19"/>
      <c r="RAH42" s="19"/>
      <c r="RAI42" s="19"/>
      <c r="RAJ42" s="19"/>
      <c r="RAK42" s="19"/>
      <c r="RAL42" s="19"/>
      <c r="RAM42" s="19"/>
      <c r="RAN42" s="19"/>
      <c r="RAO42" s="19"/>
      <c r="RAP42" s="19"/>
      <c r="RAQ42" s="19"/>
      <c r="RAR42" s="19"/>
      <c r="RAS42" s="19"/>
      <c r="RAT42" s="19"/>
      <c r="RAU42" s="19"/>
      <c r="RAV42" s="19"/>
      <c r="RAW42" s="19"/>
      <c r="RAX42" s="19"/>
      <c r="RAY42" s="19"/>
      <c r="RAZ42" s="19"/>
      <c r="RBA42" s="19"/>
      <c r="RBB42" s="19"/>
      <c r="RBC42" s="19"/>
      <c r="RBD42" s="19"/>
      <c r="RBE42" s="19"/>
      <c r="RBF42" s="19"/>
      <c r="RBG42" s="19"/>
      <c r="RBH42" s="19"/>
      <c r="RBI42" s="19"/>
      <c r="RBJ42" s="19"/>
      <c r="RBK42" s="19"/>
      <c r="RBL42" s="19"/>
      <c r="RBM42" s="19"/>
      <c r="RBN42" s="19"/>
      <c r="RBO42" s="19"/>
      <c r="RBP42" s="19"/>
      <c r="RBQ42" s="19"/>
      <c r="RBR42" s="19"/>
      <c r="RBS42" s="19"/>
      <c r="RBT42" s="19"/>
      <c r="RBU42" s="19"/>
      <c r="RBV42" s="19"/>
      <c r="RBW42" s="19"/>
      <c r="RBX42" s="19"/>
      <c r="RBY42" s="19"/>
      <c r="RBZ42" s="19"/>
      <c r="RCA42" s="19"/>
      <c r="RCB42" s="19"/>
      <c r="RCC42" s="19"/>
      <c r="RCD42" s="19"/>
      <c r="RCE42" s="19"/>
      <c r="RCF42" s="19"/>
      <c r="RCG42" s="19"/>
      <c r="RCH42" s="19"/>
      <c r="RCI42" s="19"/>
      <c r="RCJ42" s="19"/>
      <c r="RCK42" s="19"/>
      <c r="RCL42" s="19"/>
      <c r="RCM42" s="19"/>
      <c r="RCN42" s="19"/>
      <c r="RCO42" s="19"/>
      <c r="RCP42" s="19"/>
      <c r="RCQ42" s="19"/>
      <c r="RCR42" s="19"/>
      <c r="RCS42" s="19"/>
      <c r="RCT42" s="19"/>
      <c r="RCU42" s="19"/>
      <c r="RCV42" s="19"/>
      <c r="RCW42" s="19"/>
      <c r="RCX42" s="19"/>
      <c r="RCY42" s="19"/>
      <c r="RCZ42" s="19"/>
      <c r="RDA42" s="19"/>
      <c r="RDB42" s="19"/>
      <c r="RDC42" s="19"/>
      <c r="RDD42" s="19"/>
      <c r="RDE42" s="19"/>
      <c r="RDF42" s="19"/>
      <c r="RDG42" s="19"/>
      <c r="RDH42" s="19"/>
      <c r="RDI42" s="19"/>
      <c r="RDJ42" s="19"/>
      <c r="RDK42" s="19"/>
      <c r="RDL42" s="19"/>
      <c r="RDM42" s="19"/>
      <c r="RDN42" s="19"/>
      <c r="RDO42" s="19"/>
      <c r="RDP42" s="19"/>
      <c r="RDQ42" s="19"/>
      <c r="RDR42" s="19"/>
      <c r="RDS42" s="19"/>
      <c r="RDT42" s="19"/>
      <c r="RDU42" s="19"/>
      <c r="RDV42" s="19"/>
      <c r="RDW42" s="19"/>
      <c r="RDX42" s="19"/>
      <c r="RDY42" s="19"/>
      <c r="RDZ42" s="19"/>
      <c r="REA42" s="19"/>
      <c r="REB42" s="19"/>
      <c r="REC42" s="19"/>
      <c r="RED42" s="19"/>
      <c r="REE42" s="19"/>
      <c r="REF42" s="19"/>
      <c r="REG42" s="19"/>
      <c r="REH42" s="19"/>
      <c r="REI42" s="19"/>
      <c r="REJ42" s="19"/>
      <c r="REK42" s="19"/>
      <c r="REL42" s="19"/>
      <c r="REM42" s="19"/>
      <c r="REN42" s="19"/>
      <c r="REO42" s="19"/>
      <c r="REP42" s="19"/>
      <c r="REQ42" s="19"/>
      <c r="RER42" s="19"/>
      <c r="RES42" s="19"/>
      <c r="RET42" s="19"/>
      <c r="REU42" s="19"/>
      <c r="REV42" s="19"/>
      <c r="REW42" s="19"/>
      <c r="REX42" s="19"/>
      <c r="REY42" s="19"/>
      <c r="REZ42" s="19"/>
      <c r="RFA42" s="19"/>
      <c r="RFB42" s="19"/>
      <c r="RFC42" s="19"/>
      <c r="RFD42" s="19"/>
      <c r="RFE42" s="19"/>
      <c r="RFF42" s="19"/>
      <c r="RFG42" s="19"/>
      <c r="RFH42" s="19"/>
      <c r="RFI42" s="19"/>
      <c r="RFJ42" s="19"/>
      <c r="RFK42" s="19"/>
      <c r="RFL42" s="19"/>
      <c r="RFM42" s="19"/>
      <c r="RFN42" s="19"/>
      <c r="RFO42" s="19"/>
      <c r="RFP42" s="19"/>
      <c r="RFQ42" s="19"/>
      <c r="RFR42" s="19"/>
      <c r="RFS42" s="19"/>
      <c r="RFT42" s="19"/>
      <c r="RFU42" s="19"/>
      <c r="RFV42" s="19"/>
      <c r="RFW42" s="19"/>
      <c r="RFX42" s="19"/>
      <c r="RFY42" s="19"/>
      <c r="RFZ42" s="19"/>
      <c r="RGA42" s="19"/>
      <c r="RGB42" s="19"/>
      <c r="RGC42" s="19"/>
      <c r="RGD42" s="19"/>
      <c r="RGE42" s="19"/>
      <c r="RGF42" s="19"/>
      <c r="RGG42" s="19"/>
      <c r="RGH42" s="19"/>
      <c r="RGI42" s="19"/>
      <c r="RGJ42" s="19"/>
      <c r="RGK42" s="19"/>
      <c r="RGL42" s="19"/>
      <c r="RGM42" s="19"/>
      <c r="RGN42" s="19"/>
      <c r="RGO42" s="19"/>
      <c r="RGP42" s="19"/>
      <c r="RGQ42" s="19"/>
      <c r="RGR42" s="19"/>
      <c r="RGS42" s="19"/>
      <c r="RGT42" s="19"/>
      <c r="RGU42" s="19"/>
      <c r="RGV42" s="19"/>
      <c r="RGW42" s="19"/>
      <c r="RGX42" s="19"/>
      <c r="RGY42" s="19"/>
      <c r="RGZ42" s="19"/>
      <c r="RHA42" s="19"/>
      <c r="RHB42" s="19"/>
      <c r="RHC42" s="19"/>
      <c r="RHD42" s="19"/>
      <c r="RHE42" s="19"/>
      <c r="RHF42" s="19"/>
      <c r="RHG42" s="19"/>
      <c r="RHH42" s="19"/>
      <c r="RHI42" s="19"/>
      <c r="RHJ42" s="19"/>
      <c r="RHK42" s="19"/>
      <c r="RHL42" s="19"/>
      <c r="RHM42" s="19"/>
      <c r="RHN42" s="19"/>
      <c r="RHO42" s="19"/>
      <c r="RHP42" s="19"/>
      <c r="RHQ42" s="19"/>
      <c r="RHR42" s="19"/>
      <c r="RHS42" s="19"/>
      <c r="RHT42" s="19"/>
      <c r="RHU42" s="19"/>
      <c r="RHV42" s="19"/>
      <c r="RHW42" s="19"/>
      <c r="RHX42" s="19"/>
      <c r="RHY42" s="19"/>
      <c r="RHZ42" s="19"/>
      <c r="RIA42" s="19"/>
      <c r="RIB42" s="19"/>
      <c r="RIC42" s="19"/>
      <c r="RID42" s="19"/>
      <c r="RIE42" s="19"/>
      <c r="RIF42" s="19"/>
      <c r="RIG42" s="19"/>
      <c r="RIH42" s="19"/>
      <c r="RII42" s="19"/>
      <c r="RIJ42" s="19"/>
      <c r="RIK42" s="19"/>
      <c r="RIL42" s="19"/>
      <c r="RIM42" s="19"/>
      <c r="RIN42" s="19"/>
      <c r="RIO42" s="19"/>
      <c r="RIP42" s="19"/>
      <c r="RIQ42" s="19"/>
      <c r="RIR42" s="19"/>
      <c r="RIS42" s="19"/>
      <c r="RIT42" s="19"/>
      <c r="RIU42" s="19"/>
      <c r="RIV42" s="19"/>
      <c r="RIW42" s="19"/>
      <c r="RIX42" s="19"/>
      <c r="RIY42" s="19"/>
      <c r="RIZ42" s="19"/>
      <c r="RJA42" s="19"/>
      <c r="RJB42" s="19"/>
      <c r="RJC42" s="19"/>
      <c r="RJD42" s="19"/>
      <c r="RJE42" s="19"/>
      <c r="RJF42" s="19"/>
      <c r="RJG42" s="19"/>
      <c r="RJH42" s="19"/>
      <c r="RJI42" s="19"/>
      <c r="RJJ42" s="19"/>
      <c r="RJK42" s="19"/>
      <c r="RJL42" s="19"/>
      <c r="RJM42" s="19"/>
      <c r="RJN42" s="19"/>
      <c r="RJO42" s="19"/>
      <c r="RJP42" s="19"/>
      <c r="RJQ42" s="19"/>
      <c r="RJR42" s="19"/>
      <c r="RJS42" s="19"/>
      <c r="RJT42" s="19"/>
      <c r="RJU42" s="19"/>
      <c r="RJV42" s="19"/>
      <c r="RJW42" s="19"/>
      <c r="RJX42" s="19"/>
      <c r="RJY42" s="19"/>
      <c r="RJZ42" s="19"/>
      <c r="RKA42" s="19"/>
      <c r="RKB42" s="19"/>
      <c r="RKC42" s="19"/>
      <c r="RKD42" s="19"/>
      <c r="RKE42" s="19"/>
      <c r="RKF42" s="19"/>
      <c r="RKG42" s="19"/>
      <c r="RKH42" s="19"/>
      <c r="RKI42" s="19"/>
      <c r="RKJ42" s="19"/>
      <c r="RKK42" s="19"/>
      <c r="RKL42" s="19"/>
      <c r="RKM42" s="19"/>
      <c r="RKN42" s="19"/>
      <c r="RKO42" s="19"/>
      <c r="RKP42" s="19"/>
      <c r="RKQ42" s="19"/>
      <c r="RKR42" s="19"/>
      <c r="RKS42" s="19"/>
      <c r="RKT42" s="19"/>
      <c r="RKU42" s="19"/>
      <c r="RKV42" s="19"/>
      <c r="RKW42" s="19"/>
      <c r="RKX42" s="19"/>
      <c r="RKY42" s="19"/>
      <c r="RKZ42" s="19"/>
      <c r="RLA42" s="19"/>
      <c r="RLB42" s="19"/>
      <c r="RLC42" s="19"/>
      <c r="RLD42" s="19"/>
      <c r="RLE42" s="19"/>
      <c r="RLF42" s="19"/>
      <c r="RLG42" s="19"/>
      <c r="RLH42" s="19"/>
      <c r="RLI42" s="19"/>
      <c r="RLJ42" s="19"/>
      <c r="RLK42" s="19"/>
      <c r="RLL42" s="19"/>
      <c r="RLM42" s="19"/>
      <c r="RLN42" s="19"/>
      <c r="RLO42" s="19"/>
      <c r="RLP42" s="19"/>
      <c r="RLQ42" s="19"/>
      <c r="RLR42" s="19"/>
      <c r="RLS42" s="19"/>
      <c r="RLT42" s="19"/>
      <c r="RLU42" s="19"/>
      <c r="RLV42" s="19"/>
      <c r="RLW42" s="19"/>
      <c r="RLX42" s="19"/>
      <c r="RLY42" s="19"/>
      <c r="RLZ42" s="19"/>
      <c r="RMA42" s="19"/>
      <c r="RMB42" s="19"/>
      <c r="RMC42" s="19"/>
      <c r="RMD42" s="19"/>
      <c r="RME42" s="19"/>
      <c r="RMF42" s="19"/>
      <c r="RMG42" s="19"/>
      <c r="RMH42" s="19"/>
      <c r="RMI42" s="19"/>
      <c r="RMJ42" s="19"/>
      <c r="RMK42" s="19"/>
      <c r="RML42" s="19"/>
      <c r="RMM42" s="19"/>
      <c r="RMN42" s="19"/>
      <c r="RMO42" s="19"/>
      <c r="RMP42" s="19"/>
      <c r="RMQ42" s="19"/>
      <c r="RMR42" s="19"/>
      <c r="RMS42" s="19"/>
      <c r="RMT42" s="19"/>
      <c r="RMU42" s="19"/>
      <c r="RMV42" s="19"/>
      <c r="RMW42" s="19"/>
      <c r="RMX42" s="19"/>
      <c r="RMY42" s="19"/>
      <c r="RMZ42" s="19"/>
      <c r="RNA42" s="19"/>
      <c r="RNB42" s="19"/>
      <c r="RNC42" s="19"/>
      <c r="RND42" s="19"/>
      <c r="RNE42" s="19"/>
      <c r="RNF42" s="19"/>
      <c r="RNG42" s="19"/>
      <c r="RNH42" s="19"/>
      <c r="RNI42" s="19"/>
      <c r="RNJ42" s="19"/>
      <c r="RNK42" s="19"/>
      <c r="RNL42" s="19"/>
      <c r="RNM42" s="19"/>
      <c r="RNN42" s="19"/>
      <c r="RNO42" s="19"/>
      <c r="RNP42" s="19"/>
      <c r="RNQ42" s="19"/>
      <c r="RNR42" s="19"/>
      <c r="RNS42" s="19"/>
      <c r="RNT42" s="19"/>
      <c r="RNU42" s="19"/>
      <c r="RNV42" s="19"/>
      <c r="RNW42" s="19"/>
      <c r="RNX42" s="19"/>
      <c r="RNY42" s="19"/>
      <c r="RNZ42" s="19"/>
      <c r="ROA42" s="19"/>
      <c r="ROB42" s="19"/>
      <c r="ROC42" s="19"/>
      <c r="ROD42" s="19"/>
      <c r="ROE42" s="19"/>
      <c r="ROF42" s="19"/>
      <c r="ROG42" s="19"/>
      <c r="ROH42" s="19"/>
      <c r="ROI42" s="19"/>
      <c r="ROJ42" s="19"/>
      <c r="ROK42" s="19"/>
      <c r="ROL42" s="19"/>
      <c r="ROM42" s="19"/>
      <c r="RON42" s="19"/>
      <c r="ROO42" s="19"/>
      <c r="ROP42" s="19"/>
      <c r="ROQ42" s="19"/>
      <c r="ROR42" s="19"/>
      <c r="ROS42" s="19"/>
      <c r="ROT42" s="19"/>
      <c r="ROU42" s="19"/>
      <c r="ROV42" s="19"/>
      <c r="ROW42" s="19"/>
      <c r="ROX42" s="19"/>
      <c r="ROY42" s="19"/>
      <c r="ROZ42" s="19"/>
      <c r="RPA42" s="19"/>
      <c r="RPB42" s="19"/>
      <c r="RPC42" s="19"/>
      <c r="RPD42" s="19"/>
      <c r="RPE42" s="19"/>
      <c r="RPF42" s="19"/>
      <c r="RPG42" s="19"/>
      <c r="RPH42" s="19"/>
      <c r="RPI42" s="19"/>
      <c r="RPJ42" s="19"/>
      <c r="RPK42" s="19"/>
      <c r="RPL42" s="19"/>
      <c r="RPM42" s="19"/>
      <c r="RPN42" s="19"/>
      <c r="RPO42" s="19"/>
      <c r="RPP42" s="19"/>
      <c r="RPQ42" s="19"/>
      <c r="RPR42" s="19"/>
      <c r="RPS42" s="19"/>
      <c r="RPT42" s="19"/>
      <c r="RPU42" s="19"/>
      <c r="RPV42" s="19"/>
      <c r="RPW42" s="19"/>
      <c r="RPX42" s="19"/>
      <c r="RPY42" s="19"/>
      <c r="RPZ42" s="19"/>
      <c r="RQA42" s="19"/>
      <c r="RQB42" s="19"/>
      <c r="RQC42" s="19"/>
      <c r="RQD42" s="19"/>
      <c r="RQE42" s="19"/>
      <c r="RQF42" s="19"/>
      <c r="RQG42" s="19"/>
      <c r="RQH42" s="19"/>
      <c r="RQI42" s="19"/>
      <c r="RQJ42" s="19"/>
      <c r="RQK42" s="19"/>
      <c r="RQL42" s="19"/>
      <c r="RQM42" s="19"/>
      <c r="RQN42" s="19"/>
      <c r="RQO42" s="19"/>
      <c r="RQP42" s="19"/>
      <c r="RQQ42" s="19"/>
      <c r="RQR42" s="19"/>
      <c r="RQS42" s="19"/>
      <c r="RQT42" s="19"/>
      <c r="RQU42" s="19"/>
      <c r="RQV42" s="19"/>
      <c r="RQW42" s="19"/>
      <c r="RQX42" s="19"/>
      <c r="RQY42" s="19"/>
      <c r="RQZ42" s="19"/>
      <c r="RRA42" s="19"/>
      <c r="RRB42" s="19"/>
      <c r="RRC42" s="19"/>
      <c r="RRD42" s="19"/>
      <c r="RRE42" s="19"/>
      <c r="RRF42" s="19"/>
      <c r="RRG42" s="19"/>
      <c r="RRH42" s="19"/>
      <c r="RRI42" s="19"/>
      <c r="RRJ42" s="19"/>
      <c r="RRK42" s="19"/>
      <c r="RRL42" s="19"/>
      <c r="RRM42" s="19"/>
      <c r="RRN42" s="19"/>
      <c r="RRO42" s="19"/>
      <c r="RRP42" s="19"/>
      <c r="RRQ42" s="19"/>
      <c r="RRR42" s="19"/>
      <c r="RRS42" s="19"/>
      <c r="RRT42" s="19"/>
      <c r="RRU42" s="19"/>
      <c r="RRV42" s="19"/>
      <c r="RRW42" s="19"/>
      <c r="RRX42" s="19"/>
      <c r="RRY42" s="19"/>
      <c r="RRZ42" s="19"/>
      <c r="RSA42" s="19"/>
      <c r="RSB42" s="19"/>
      <c r="RSC42" s="19"/>
      <c r="RSD42" s="19"/>
      <c r="RSE42" s="19"/>
      <c r="RSF42" s="19"/>
      <c r="RSG42" s="19"/>
      <c r="RSH42" s="19"/>
      <c r="RSI42" s="19"/>
      <c r="RSJ42" s="19"/>
      <c r="RSK42" s="19"/>
      <c r="RSL42" s="19"/>
      <c r="RSM42" s="19"/>
      <c r="RSN42" s="19"/>
      <c r="RSO42" s="19"/>
      <c r="RSP42" s="19"/>
      <c r="RSQ42" s="19"/>
      <c r="RSR42" s="19"/>
      <c r="RSS42" s="19"/>
      <c r="RST42" s="19"/>
      <c r="RSU42" s="19"/>
      <c r="RSV42" s="19"/>
      <c r="RSW42" s="19"/>
      <c r="RSX42" s="19"/>
      <c r="RSY42" s="19"/>
      <c r="RSZ42" s="19"/>
      <c r="RTA42" s="19"/>
      <c r="RTB42" s="19"/>
      <c r="RTC42" s="19"/>
      <c r="RTD42" s="19"/>
      <c r="RTE42" s="19"/>
      <c r="RTF42" s="19"/>
      <c r="RTG42" s="19"/>
      <c r="RTH42" s="19"/>
      <c r="RTI42" s="19"/>
      <c r="RTJ42" s="19"/>
      <c r="RTK42" s="19"/>
      <c r="RTL42" s="19"/>
      <c r="RTM42" s="19"/>
      <c r="RTN42" s="19"/>
      <c r="RTO42" s="19"/>
      <c r="RTP42" s="19"/>
      <c r="RTQ42" s="19"/>
      <c r="RTR42" s="19"/>
      <c r="RTS42" s="19"/>
      <c r="RTT42" s="19"/>
      <c r="RTU42" s="19"/>
      <c r="RTV42" s="19"/>
      <c r="RTW42" s="19"/>
      <c r="RTX42" s="19"/>
      <c r="RTY42" s="19"/>
      <c r="RTZ42" s="19"/>
      <c r="RUA42" s="19"/>
      <c r="RUB42" s="19"/>
      <c r="RUC42" s="19"/>
      <c r="RUD42" s="19"/>
      <c r="RUE42" s="19"/>
      <c r="RUF42" s="19"/>
      <c r="RUG42" s="19"/>
      <c r="RUH42" s="19"/>
      <c r="RUI42" s="19"/>
      <c r="RUJ42" s="19"/>
      <c r="RUK42" s="19"/>
      <c r="RUL42" s="19"/>
      <c r="RUM42" s="19"/>
      <c r="RUN42" s="19"/>
      <c r="RUO42" s="19"/>
      <c r="RUP42" s="19"/>
      <c r="RUQ42" s="19"/>
      <c r="RUR42" s="19"/>
      <c r="RUS42" s="19"/>
      <c r="RUT42" s="19"/>
      <c r="RUU42" s="19"/>
      <c r="RUV42" s="19"/>
      <c r="RUW42" s="19"/>
      <c r="RUX42" s="19"/>
      <c r="RUY42" s="19"/>
      <c r="RUZ42" s="19"/>
      <c r="RVA42" s="19"/>
      <c r="RVB42" s="19"/>
      <c r="RVC42" s="19"/>
      <c r="RVD42" s="19"/>
      <c r="RVE42" s="19"/>
      <c r="RVF42" s="19"/>
      <c r="RVG42" s="19"/>
      <c r="RVH42" s="19"/>
      <c r="RVI42" s="19"/>
      <c r="RVJ42" s="19"/>
      <c r="RVK42" s="19"/>
      <c r="RVL42" s="19"/>
      <c r="RVM42" s="19"/>
      <c r="RVN42" s="19"/>
      <c r="RVO42" s="19"/>
      <c r="RVP42" s="19"/>
      <c r="RVQ42" s="19"/>
      <c r="RVR42" s="19"/>
      <c r="RVS42" s="19"/>
      <c r="RVT42" s="19"/>
      <c r="RVU42" s="19"/>
      <c r="RVV42" s="19"/>
      <c r="RVW42" s="19"/>
      <c r="RVX42" s="19"/>
      <c r="RVY42" s="19"/>
      <c r="RVZ42" s="19"/>
      <c r="RWA42" s="19"/>
      <c r="RWB42" s="19"/>
      <c r="RWC42" s="19"/>
      <c r="RWD42" s="19"/>
      <c r="RWE42" s="19"/>
      <c r="RWF42" s="19"/>
      <c r="RWG42" s="19"/>
      <c r="RWH42" s="19"/>
      <c r="RWI42" s="19"/>
      <c r="RWJ42" s="19"/>
      <c r="RWK42" s="19"/>
      <c r="RWL42" s="19"/>
      <c r="RWM42" s="19"/>
      <c r="RWN42" s="19"/>
      <c r="RWO42" s="19"/>
      <c r="RWP42" s="19"/>
      <c r="RWQ42" s="19"/>
      <c r="RWR42" s="19"/>
      <c r="RWS42" s="19"/>
      <c r="RWT42" s="19"/>
      <c r="RWU42" s="19"/>
      <c r="RWV42" s="19"/>
      <c r="RWW42" s="19"/>
      <c r="RWX42" s="19"/>
      <c r="RWY42" s="19"/>
      <c r="RWZ42" s="19"/>
      <c r="RXA42" s="19"/>
      <c r="RXB42" s="19"/>
      <c r="RXC42" s="19"/>
      <c r="RXD42" s="19"/>
      <c r="RXE42" s="19"/>
      <c r="RXF42" s="19"/>
      <c r="RXG42" s="19"/>
      <c r="RXH42" s="19"/>
      <c r="RXI42" s="19"/>
      <c r="RXJ42" s="19"/>
      <c r="RXK42" s="19"/>
      <c r="RXL42" s="19"/>
      <c r="RXM42" s="19"/>
      <c r="RXN42" s="19"/>
      <c r="RXO42" s="19"/>
      <c r="RXP42" s="19"/>
      <c r="RXQ42" s="19"/>
      <c r="RXR42" s="19"/>
      <c r="RXS42" s="19"/>
      <c r="RXT42" s="19"/>
      <c r="RXU42" s="19"/>
      <c r="RXV42" s="19"/>
      <c r="RXW42" s="19"/>
      <c r="RXX42" s="19"/>
      <c r="RXY42" s="19"/>
      <c r="RXZ42" s="19"/>
      <c r="RYA42" s="19"/>
      <c r="RYB42" s="19"/>
      <c r="RYC42" s="19"/>
      <c r="RYD42" s="19"/>
      <c r="RYE42" s="19"/>
      <c r="RYF42" s="19"/>
      <c r="RYG42" s="19"/>
      <c r="RYH42" s="19"/>
      <c r="RYI42" s="19"/>
      <c r="RYJ42" s="19"/>
      <c r="RYK42" s="19"/>
      <c r="RYL42" s="19"/>
      <c r="RYM42" s="19"/>
      <c r="RYN42" s="19"/>
      <c r="RYO42" s="19"/>
      <c r="RYP42" s="19"/>
      <c r="RYQ42" s="19"/>
      <c r="RYR42" s="19"/>
      <c r="RYS42" s="19"/>
      <c r="RYT42" s="19"/>
      <c r="RYU42" s="19"/>
      <c r="RYV42" s="19"/>
      <c r="RYW42" s="19"/>
      <c r="RYX42" s="19"/>
      <c r="RYY42" s="19"/>
      <c r="RYZ42" s="19"/>
      <c r="RZA42" s="19"/>
      <c r="RZB42" s="19"/>
      <c r="RZC42" s="19"/>
      <c r="RZD42" s="19"/>
      <c r="RZE42" s="19"/>
      <c r="RZF42" s="19"/>
      <c r="RZG42" s="19"/>
      <c r="RZH42" s="19"/>
      <c r="RZI42" s="19"/>
      <c r="RZJ42" s="19"/>
      <c r="RZK42" s="19"/>
      <c r="RZL42" s="19"/>
      <c r="RZM42" s="19"/>
      <c r="RZN42" s="19"/>
      <c r="RZO42" s="19"/>
      <c r="RZP42" s="19"/>
      <c r="RZQ42" s="19"/>
      <c r="RZR42" s="19"/>
      <c r="RZS42" s="19"/>
      <c r="RZT42" s="19"/>
      <c r="RZU42" s="19"/>
      <c r="RZV42" s="19"/>
      <c r="RZW42" s="19"/>
      <c r="RZX42" s="19"/>
      <c r="RZY42" s="19"/>
      <c r="RZZ42" s="19"/>
      <c r="SAA42" s="19"/>
      <c r="SAB42" s="19"/>
      <c r="SAC42" s="19"/>
      <c r="SAD42" s="19"/>
      <c r="SAE42" s="19"/>
      <c r="SAF42" s="19"/>
      <c r="SAG42" s="19"/>
      <c r="SAH42" s="19"/>
      <c r="SAI42" s="19"/>
      <c r="SAJ42" s="19"/>
      <c r="SAK42" s="19"/>
      <c r="SAL42" s="19"/>
      <c r="SAM42" s="19"/>
      <c r="SAN42" s="19"/>
      <c r="SAO42" s="19"/>
      <c r="SAP42" s="19"/>
      <c r="SAQ42" s="19"/>
      <c r="SAR42" s="19"/>
      <c r="SAS42" s="19"/>
      <c r="SAT42" s="19"/>
      <c r="SAU42" s="19"/>
      <c r="SAV42" s="19"/>
      <c r="SAW42" s="19"/>
      <c r="SAX42" s="19"/>
      <c r="SAY42" s="19"/>
      <c r="SAZ42" s="19"/>
      <c r="SBA42" s="19"/>
      <c r="SBB42" s="19"/>
      <c r="SBC42" s="19"/>
      <c r="SBD42" s="19"/>
      <c r="SBE42" s="19"/>
      <c r="SBF42" s="19"/>
      <c r="SBG42" s="19"/>
      <c r="SBH42" s="19"/>
      <c r="SBI42" s="19"/>
      <c r="SBJ42" s="19"/>
      <c r="SBK42" s="19"/>
      <c r="SBL42" s="19"/>
      <c r="SBM42" s="19"/>
      <c r="SBN42" s="19"/>
      <c r="SBO42" s="19"/>
      <c r="SBP42" s="19"/>
      <c r="SBQ42" s="19"/>
      <c r="SBR42" s="19"/>
      <c r="SBS42" s="19"/>
      <c r="SBT42" s="19"/>
      <c r="SBU42" s="19"/>
      <c r="SBV42" s="19"/>
      <c r="SBW42" s="19"/>
      <c r="SBX42" s="19"/>
      <c r="SBY42" s="19"/>
      <c r="SBZ42" s="19"/>
      <c r="SCA42" s="19"/>
      <c r="SCB42" s="19"/>
      <c r="SCC42" s="19"/>
      <c r="SCD42" s="19"/>
      <c r="SCE42" s="19"/>
      <c r="SCF42" s="19"/>
      <c r="SCG42" s="19"/>
      <c r="SCH42" s="19"/>
      <c r="SCI42" s="19"/>
      <c r="SCJ42" s="19"/>
      <c r="SCK42" s="19"/>
      <c r="SCL42" s="19"/>
      <c r="SCM42" s="19"/>
      <c r="SCN42" s="19"/>
      <c r="SCO42" s="19"/>
      <c r="SCP42" s="19"/>
      <c r="SCQ42" s="19"/>
      <c r="SCR42" s="19"/>
      <c r="SCS42" s="19"/>
      <c r="SCT42" s="19"/>
      <c r="SCU42" s="19"/>
      <c r="SCV42" s="19"/>
      <c r="SCW42" s="19"/>
      <c r="SCX42" s="19"/>
      <c r="SCY42" s="19"/>
      <c r="SCZ42" s="19"/>
      <c r="SDA42" s="19"/>
      <c r="SDB42" s="19"/>
      <c r="SDC42" s="19"/>
      <c r="SDD42" s="19"/>
      <c r="SDE42" s="19"/>
      <c r="SDF42" s="19"/>
      <c r="SDG42" s="19"/>
      <c r="SDH42" s="19"/>
      <c r="SDI42" s="19"/>
      <c r="SDJ42" s="19"/>
      <c r="SDK42" s="19"/>
      <c r="SDL42" s="19"/>
      <c r="SDM42" s="19"/>
      <c r="SDN42" s="19"/>
      <c r="SDO42" s="19"/>
      <c r="SDP42" s="19"/>
      <c r="SDQ42" s="19"/>
      <c r="SDR42" s="19"/>
      <c r="SDS42" s="19"/>
      <c r="SDT42" s="19"/>
      <c r="SDU42" s="19"/>
      <c r="SDV42" s="19"/>
      <c r="SDW42" s="19"/>
      <c r="SDX42" s="19"/>
      <c r="SDY42" s="19"/>
      <c r="SDZ42" s="19"/>
      <c r="SEA42" s="19"/>
      <c r="SEB42" s="19"/>
      <c r="SEC42" s="19"/>
      <c r="SED42" s="19"/>
      <c r="SEE42" s="19"/>
      <c r="SEF42" s="19"/>
      <c r="SEG42" s="19"/>
      <c r="SEH42" s="19"/>
      <c r="SEI42" s="19"/>
      <c r="SEJ42" s="19"/>
      <c r="SEK42" s="19"/>
      <c r="SEL42" s="19"/>
      <c r="SEM42" s="19"/>
      <c r="SEN42" s="19"/>
      <c r="SEO42" s="19"/>
      <c r="SEP42" s="19"/>
      <c r="SEQ42" s="19"/>
      <c r="SER42" s="19"/>
      <c r="SES42" s="19"/>
      <c r="SET42" s="19"/>
      <c r="SEU42" s="19"/>
      <c r="SEV42" s="19"/>
      <c r="SEW42" s="19"/>
      <c r="SEX42" s="19"/>
      <c r="SEY42" s="19"/>
      <c r="SEZ42" s="19"/>
      <c r="SFA42" s="19"/>
      <c r="SFB42" s="19"/>
      <c r="SFC42" s="19"/>
      <c r="SFD42" s="19"/>
      <c r="SFE42" s="19"/>
      <c r="SFF42" s="19"/>
      <c r="SFG42" s="19"/>
      <c r="SFH42" s="19"/>
      <c r="SFI42" s="19"/>
      <c r="SFJ42" s="19"/>
      <c r="SFK42" s="19"/>
      <c r="SFL42" s="19"/>
      <c r="SFM42" s="19"/>
      <c r="SFN42" s="19"/>
      <c r="SFO42" s="19"/>
      <c r="SFP42" s="19"/>
      <c r="SFQ42" s="19"/>
      <c r="SFR42" s="19"/>
      <c r="SFS42" s="19"/>
      <c r="SFT42" s="19"/>
      <c r="SFU42" s="19"/>
      <c r="SFV42" s="19"/>
      <c r="SFW42" s="19"/>
      <c r="SFX42" s="19"/>
      <c r="SFY42" s="19"/>
      <c r="SFZ42" s="19"/>
      <c r="SGA42" s="19"/>
      <c r="SGB42" s="19"/>
      <c r="SGC42" s="19"/>
      <c r="SGD42" s="19"/>
      <c r="SGE42" s="19"/>
      <c r="SGF42" s="19"/>
      <c r="SGG42" s="19"/>
      <c r="SGH42" s="19"/>
      <c r="SGI42" s="19"/>
      <c r="SGJ42" s="19"/>
      <c r="SGK42" s="19"/>
      <c r="SGL42" s="19"/>
      <c r="SGM42" s="19"/>
      <c r="SGN42" s="19"/>
      <c r="SGO42" s="19"/>
      <c r="SGP42" s="19"/>
      <c r="SGQ42" s="19"/>
      <c r="SGR42" s="19"/>
      <c r="SGS42" s="19"/>
      <c r="SGT42" s="19"/>
      <c r="SGU42" s="19"/>
      <c r="SGV42" s="19"/>
      <c r="SGW42" s="19"/>
      <c r="SGX42" s="19"/>
      <c r="SGY42" s="19"/>
      <c r="SGZ42" s="19"/>
      <c r="SHA42" s="19"/>
      <c r="SHB42" s="19"/>
      <c r="SHC42" s="19"/>
      <c r="SHD42" s="19"/>
      <c r="SHE42" s="19"/>
      <c r="SHF42" s="19"/>
      <c r="SHG42" s="19"/>
      <c r="SHH42" s="19"/>
      <c r="SHI42" s="19"/>
      <c r="SHJ42" s="19"/>
      <c r="SHK42" s="19"/>
      <c r="SHL42" s="19"/>
      <c r="SHM42" s="19"/>
      <c r="SHN42" s="19"/>
      <c r="SHO42" s="19"/>
      <c r="SHP42" s="19"/>
      <c r="SHQ42" s="19"/>
      <c r="SHR42" s="19"/>
      <c r="SHS42" s="19"/>
      <c r="SHT42" s="19"/>
      <c r="SHU42" s="19"/>
      <c r="SHV42" s="19"/>
      <c r="SHW42" s="19"/>
      <c r="SHX42" s="19"/>
      <c r="SHY42" s="19"/>
      <c r="SHZ42" s="19"/>
      <c r="SIA42" s="19"/>
      <c r="SIB42" s="19"/>
      <c r="SIC42" s="19"/>
      <c r="SID42" s="19"/>
      <c r="SIE42" s="19"/>
      <c r="SIF42" s="19"/>
      <c r="SIG42" s="19"/>
      <c r="SIH42" s="19"/>
      <c r="SII42" s="19"/>
      <c r="SIJ42" s="19"/>
      <c r="SIK42" s="19"/>
      <c r="SIL42" s="19"/>
      <c r="SIM42" s="19"/>
      <c r="SIN42" s="19"/>
      <c r="SIO42" s="19"/>
      <c r="SIP42" s="19"/>
      <c r="SIQ42" s="19"/>
      <c r="SIR42" s="19"/>
      <c r="SIS42" s="19"/>
      <c r="SIT42" s="19"/>
      <c r="SIU42" s="19"/>
      <c r="SIV42" s="19"/>
      <c r="SIW42" s="19"/>
      <c r="SIX42" s="19"/>
      <c r="SIY42" s="19"/>
      <c r="SIZ42" s="19"/>
      <c r="SJA42" s="19"/>
      <c r="SJB42" s="19"/>
      <c r="SJC42" s="19"/>
      <c r="SJD42" s="19"/>
      <c r="SJE42" s="19"/>
      <c r="SJF42" s="19"/>
      <c r="SJG42" s="19"/>
      <c r="SJH42" s="19"/>
      <c r="SJI42" s="19"/>
      <c r="SJJ42" s="19"/>
      <c r="SJK42" s="19"/>
      <c r="SJL42" s="19"/>
      <c r="SJM42" s="19"/>
      <c r="SJN42" s="19"/>
      <c r="SJO42" s="19"/>
      <c r="SJP42" s="19"/>
      <c r="SJQ42" s="19"/>
      <c r="SJR42" s="19"/>
      <c r="SJS42" s="19"/>
      <c r="SJT42" s="19"/>
      <c r="SJU42" s="19"/>
      <c r="SJV42" s="19"/>
      <c r="SJW42" s="19"/>
      <c r="SJX42" s="19"/>
      <c r="SJY42" s="19"/>
      <c r="SJZ42" s="19"/>
      <c r="SKA42" s="19"/>
      <c r="SKB42" s="19"/>
      <c r="SKC42" s="19"/>
      <c r="SKD42" s="19"/>
      <c r="SKE42" s="19"/>
      <c r="SKF42" s="19"/>
      <c r="SKG42" s="19"/>
      <c r="SKH42" s="19"/>
      <c r="SKI42" s="19"/>
      <c r="SKJ42" s="19"/>
      <c r="SKK42" s="19"/>
      <c r="SKL42" s="19"/>
      <c r="SKM42" s="19"/>
      <c r="SKN42" s="19"/>
      <c r="SKO42" s="19"/>
      <c r="SKP42" s="19"/>
      <c r="SKQ42" s="19"/>
      <c r="SKR42" s="19"/>
      <c r="SKS42" s="19"/>
      <c r="SKT42" s="19"/>
      <c r="SKU42" s="19"/>
      <c r="SKV42" s="19"/>
      <c r="SKW42" s="19"/>
      <c r="SKX42" s="19"/>
      <c r="SKY42" s="19"/>
      <c r="SKZ42" s="19"/>
      <c r="SLA42" s="19"/>
      <c r="SLB42" s="19"/>
      <c r="SLC42" s="19"/>
      <c r="SLD42" s="19"/>
      <c r="SLE42" s="19"/>
      <c r="SLF42" s="19"/>
      <c r="SLG42" s="19"/>
      <c r="SLH42" s="19"/>
      <c r="SLI42" s="19"/>
      <c r="SLJ42" s="19"/>
      <c r="SLK42" s="19"/>
      <c r="SLL42" s="19"/>
      <c r="SLM42" s="19"/>
      <c r="SLN42" s="19"/>
      <c r="SLO42" s="19"/>
      <c r="SLP42" s="19"/>
      <c r="SLQ42" s="19"/>
      <c r="SLR42" s="19"/>
      <c r="SLS42" s="19"/>
      <c r="SLT42" s="19"/>
      <c r="SLU42" s="19"/>
      <c r="SLV42" s="19"/>
      <c r="SLW42" s="19"/>
      <c r="SLX42" s="19"/>
      <c r="SLY42" s="19"/>
      <c r="SLZ42" s="19"/>
      <c r="SMA42" s="19"/>
      <c r="SMB42" s="19"/>
      <c r="SMC42" s="19"/>
      <c r="SMD42" s="19"/>
      <c r="SME42" s="19"/>
      <c r="SMF42" s="19"/>
      <c r="SMG42" s="19"/>
      <c r="SMH42" s="19"/>
      <c r="SMI42" s="19"/>
      <c r="SMJ42" s="19"/>
      <c r="SMK42" s="19"/>
      <c r="SML42" s="19"/>
      <c r="SMM42" s="19"/>
      <c r="SMN42" s="19"/>
      <c r="SMO42" s="19"/>
      <c r="SMP42" s="19"/>
      <c r="SMQ42" s="19"/>
      <c r="SMR42" s="19"/>
      <c r="SMS42" s="19"/>
      <c r="SMT42" s="19"/>
      <c r="SMU42" s="19"/>
      <c r="SMV42" s="19"/>
      <c r="SMW42" s="19"/>
      <c r="SMX42" s="19"/>
      <c r="SMY42" s="19"/>
      <c r="SMZ42" s="19"/>
      <c r="SNA42" s="19"/>
      <c r="SNB42" s="19"/>
      <c r="SNC42" s="19"/>
      <c r="SND42" s="19"/>
      <c r="SNE42" s="19"/>
      <c r="SNF42" s="19"/>
      <c r="SNG42" s="19"/>
      <c r="SNH42" s="19"/>
      <c r="SNI42" s="19"/>
      <c r="SNJ42" s="19"/>
      <c r="SNK42" s="19"/>
      <c r="SNL42" s="19"/>
      <c r="SNM42" s="19"/>
      <c r="SNN42" s="19"/>
      <c r="SNO42" s="19"/>
      <c r="SNP42" s="19"/>
      <c r="SNQ42" s="19"/>
      <c r="SNR42" s="19"/>
      <c r="SNS42" s="19"/>
      <c r="SNT42" s="19"/>
      <c r="SNU42" s="19"/>
      <c r="SNV42" s="19"/>
      <c r="SNW42" s="19"/>
      <c r="SNX42" s="19"/>
      <c r="SNY42" s="19"/>
      <c r="SNZ42" s="19"/>
      <c r="SOA42" s="19"/>
      <c r="SOB42" s="19"/>
      <c r="SOC42" s="19"/>
      <c r="SOD42" s="19"/>
      <c r="SOE42" s="19"/>
      <c r="SOF42" s="19"/>
      <c r="SOG42" s="19"/>
      <c r="SOH42" s="19"/>
      <c r="SOI42" s="19"/>
      <c r="SOJ42" s="19"/>
      <c r="SOK42" s="19"/>
      <c r="SOL42" s="19"/>
      <c r="SOM42" s="19"/>
      <c r="SON42" s="19"/>
      <c r="SOO42" s="19"/>
      <c r="SOP42" s="19"/>
      <c r="SOQ42" s="19"/>
      <c r="SOR42" s="19"/>
      <c r="SOS42" s="19"/>
      <c r="SOT42" s="19"/>
      <c r="SOU42" s="19"/>
      <c r="SOV42" s="19"/>
      <c r="SOW42" s="19"/>
      <c r="SOX42" s="19"/>
      <c r="SOY42" s="19"/>
      <c r="SOZ42" s="19"/>
      <c r="SPA42" s="19"/>
      <c r="SPB42" s="19"/>
      <c r="SPC42" s="19"/>
      <c r="SPD42" s="19"/>
      <c r="SPE42" s="19"/>
      <c r="SPF42" s="19"/>
      <c r="SPG42" s="19"/>
      <c r="SPH42" s="19"/>
      <c r="SPI42" s="19"/>
      <c r="SPJ42" s="19"/>
      <c r="SPK42" s="19"/>
      <c r="SPL42" s="19"/>
      <c r="SPM42" s="19"/>
      <c r="SPN42" s="19"/>
      <c r="SPO42" s="19"/>
      <c r="SPP42" s="19"/>
      <c r="SPQ42" s="19"/>
      <c r="SPR42" s="19"/>
      <c r="SPS42" s="19"/>
      <c r="SPT42" s="19"/>
      <c r="SPU42" s="19"/>
      <c r="SPV42" s="19"/>
      <c r="SPW42" s="19"/>
      <c r="SPX42" s="19"/>
      <c r="SPY42" s="19"/>
      <c r="SPZ42" s="19"/>
      <c r="SQA42" s="19"/>
      <c r="SQB42" s="19"/>
      <c r="SQC42" s="19"/>
      <c r="SQD42" s="19"/>
      <c r="SQE42" s="19"/>
      <c r="SQF42" s="19"/>
      <c r="SQG42" s="19"/>
      <c r="SQH42" s="19"/>
      <c r="SQI42" s="19"/>
      <c r="SQJ42" s="19"/>
      <c r="SQK42" s="19"/>
      <c r="SQL42" s="19"/>
      <c r="SQM42" s="19"/>
      <c r="SQN42" s="19"/>
      <c r="SQO42" s="19"/>
      <c r="SQP42" s="19"/>
      <c r="SQQ42" s="19"/>
      <c r="SQR42" s="19"/>
      <c r="SQS42" s="19"/>
      <c r="SQT42" s="19"/>
      <c r="SQU42" s="19"/>
      <c r="SQV42" s="19"/>
      <c r="SQW42" s="19"/>
      <c r="SQX42" s="19"/>
      <c r="SQY42" s="19"/>
      <c r="SQZ42" s="19"/>
      <c r="SRA42" s="19"/>
      <c r="SRB42" s="19"/>
      <c r="SRC42" s="19"/>
      <c r="SRD42" s="19"/>
      <c r="SRE42" s="19"/>
      <c r="SRF42" s="19"/>
      <c r="SRG42" s="19"/>
      <c r="SRH42" s="19"/>
      <c r="SRI42" s="19"/>
      <c r="SRJ42" s="19"/>
      <c r="SRK42" s="19"/>
      <c r="SRL42" s="19"/>
      <c r="SRM42" s="19"/>
      <c r="SRN42" s="19"/>
      <c r="SRO42" s="19"/>
      <c r="SRP42" s="19"/>
      <c r="SRQ42" s="19"/>
      <c r="SRR42" s="19"/>
      <c r="SRS42" s="19"/>
      <c r="SRT42" s="19"/>
      <c r="SRU42" s="19"/>
      <c r="SRV42" s="19"/>
      <c r="SRW42" s="19"/>
      <c r="SRX42" s="19"/>
      <c r="SRY42" s="19"/>
      <c r="SRZ42" s="19"/>
      <c r="SSA42" s="19"/>
      <c r="SSB42" s="19"/>
      <c r="SSC42" s="19"/>
      <c r="SSD42" s="19"/>
      <c r="SSE42" s="19"/>
      <c r="SSF42" s="19"/>
      <c r="SSG42" s="19"/>
      <c r="SSH42" s="19"/>
      <c r="SSI42" s="19"/>
      <c r="SSJ42" s="19"/>
      <c r="SSK42" s="19"/>
      <c r="SSL42" s="19"/>
      <c r="SSM42" s="19"/>
      <c r="SSN42" s="19"/>
      <c r="SSO42" s="19"/>
      <c r="SSP42" s="19"/>
      <c r="SSQ42" s="19"/>
      <c r="SSR42" s="19"/>
      <c r="SSS42" s="19"/>
      <c r="SST42" s="19"/>
      <c r="SSU42" s="19"/>
      <c r="SSV42" s="19"/>
      <c r="SSW42" s="19"/>
      <c r="SSX42" s="19"/>
      <c r="SSY42" s="19"/>
      <c r="SSZ42" s="19"/>
      <c r="STA42" s="19"/>
      <c r="STB42" s="19"/>
      <c r="STC42" s="19"/>
      <c r="STD42" s="19"/>
      <c r="STE42" s="19"/>
      <c r="STF42" s="19"/>
      <c r="STG42" s="19"/>
      <c r="STH42" s="19"/>
      <c r="STI42" s="19"/>
      <c r="STJ42" s="19"/>
      <c r="STK42" s="19"/>
      <c r="STL42" s="19"/>
      <c r="STM42" s="19"/>
      <c r="STN42" s="19"/>
      <c r="STO42" s="19"/>
      <c r="STP42" s="19"/>
      <c r="STQ42" s="19"/>
      <c r="STR42" s="19"/>
      <c r="STS42" s="19"/>
      <c r="STT42" s="19"/>
      <c r="STU42" s="19"/>
      <c r="STV42" s="19"/>
      <c r="STW42" s="19"/>
      <c r="STX42" s="19"/>
      <c r="STY42" s="19"/>
      <c r="STZ42" s="19"/>
      <c r="SUA42" s="19"/>
      <c r="SUB42" s="19"/>
      <c r="SUC42" s="19"/>
      <c r="SUD42" s="19"/>
      <c r="SUE42" s="19"/>
      <c r="SUF42" s="19"/>
      <c r="SUG42" s="19"/>
      <c r="SUH42" s="19"/>
      <c r="SUI42" s="19"/>
      <c r="SUJ42" s="19"/>
      <c r="SUK42" s="19"/>
      <c r="SUL42" s="19"/>
      <c r="SUM42" s="19"/>
      <c r="SUN42" s="19"/>
      <c r="SUO42" s="19"/>
      <c r="SUP42" s="19"/>
      <c r="SUQ42" s="19"/>
      <c r="SUR42" s="19"/>
      <c r="SUS42" s="19"/>
      <c r="SUT42" s="19"/>
      <c r="SUU42" s="19"/>
      <c r="SUV42" s="19"/>
      <c r="SUW42" s="19"/>
      <c r="SUX42" s="19"/>
      <c r="SUY42" s="19"/>
      <c r="SUZ42" s="19"/>
      <c r="SVA42" s="19"/>
      <c r="SVB42" s="19"/>
      <c r="SVC42" s="19"/>
      <c r="SVD42" s="19"/>
      <c r="SVE42" s="19"/>
      <c r="SVF42" s="19"/>
      <c r="SVG42" s="19"/>
      <c r="SVH42" s="19"/>
      <c r="SVI42" s="19"/>
      <c r="SVJ42" s="19"/>
      <c r="SVK42" s="19"/>
      <c r="SVL42" s="19"/>
      <c r="SVM42" s="19"/>
      <c r="SVN42" s="19"/>
      <c r="SVO42" s="19"/>
      <c r="SVP42" s="19"/>
      <c r="SVQ42" s="19"/>
      <c r="SVR42" s="19"/>
      <c r="SVS42" s="19"/>
      <c r="SVT42" s="19"/>
      <c r="SVU42" s="19"/>
      <c r="SVV42" s="19"/>
      <c r="SVW42" s="19"/>
      <c r="SVX42" s="19"/>
      <c r="SVY42" s="19"/>
      <c r="SVZ42" s="19"/>
      <c r="SWA42" s="19"/>
      <c r="SWB42" s="19"/>
      <c r="SWC42" s="19"/>
      <c r="SWD42" s="19"/>
      <c r="SWE42" s="19"/>
      <c r="SWF42" s="19"/>
      <c r="SWG42" s="19"/>
      <c r="SWH42" s="19"/>
      <c r="SWI42" s="19"/>
      <c r="SWJ42" s="19"/>
      <c r="SWK42" s="19"/>
      <c r="SWL42" s="19"/>
      <c r="SWM42" s="19"/>
      <c r="SWN42" s="19"/>
      <c r="SWO42" s="19"/>
      <c r="SWP42" s="19"/>
      <c r="SWQ42" s="19"/>
      <c r="SWR42" s="19"/>
      <c r="SWS42" s="19"/>
      <c r="SWT42" s="19"/>
      <c r="SWU42" s="19"/>
      <c r="SWV42" s="19"/>
      <c r="SWW42" s="19"/>
      <c r="SWX42" s="19"/>
      <c r="SWY42" s="19"/>
      <c r="SWZ42" s="19"/>
      <c r="SXA42" s="19"/>
      <c r="SXB42" s="19"/>
      <c r="SXC42" s="19"/>
      <c r="SXD42" s="19"/>
      <c r="SXE42" s="19"/>
      <c r="SXF42" s="19"/>
      <c r="SXG42" s="19"/>
      <c r="SXH42" s="19"/>
      <c r="SXI42" s="19"/>
      <c r="SXJ42" s="19"/>
      <c r="SXK42" s="19"/>
      <c r="SXL42" s="19"/>
      <c r="SXM42" s="19"/>
      <c r="SXN42" s="19"/>
      <c r="SXO42" s="19"/>
      <c r="SXP42" s="19"/>
      <c r="SXQ42" s="19"/>
      <c r="SXR42" s="19"/>
      <c r="SXS42" s="19"/>
      <c r="SXT42" s="19"/>
      <c r="SXU42" s="19"/>
      <c r="SXV42" s="19"/>
      <c r="SXW42" s="19"/>
      <c r="SXX42" s="19"/>
      <c r="SXY42" s="19"/>
      <c r="SXZ42" s="19"/>
      <c r="SYA42" s="19"/>
      <c r="SYB42" s="19"/>
      <c r="SYC42" s="19"/>
      <c r="SYD42" s="19"/>
      <c r="SYE42" s="19"/>
      <c r="SYF42" s="19"/>
      <c r="SYG42" s="19"/>
      <c r="SYH42" s="19"/>
      <c r="SYI42" s="19"/>
      <c r="SYJ42" s="19"/>
      <c r="SYK42" s="19"/>
      <c r="SYL42" s="19"/>
      <c r="SYM42" s="19"/>
      <c r="SYN42" s="19"/>
      <c r="SYO42" s="19"/>
      <c r="SYP42" s="19"/>
      <c r="SYQ42" s="19"/>
      <c r="SYR42" s="19"/>
      <c r="SYS42" s="19"/>
      <c r="SYT42" s="19"/>
      <c r="SYU42" s="19"/>
      <c r="SYV42" s="19"/>
      <c r="SYW42" s="19"/>
      <c r="SYX42" s="19"/>
      <c r="SYY42" s="19"/>
      <c r="SYZ42" s="19"/>
      <c r="SZA42" s="19"/>
      <c r="SZB42" s="19"/>
      <c r="SZC42" s="19"/>
      <c r="SZD42" s="19"/>
      <c r="SZE42" s="19"/>
      <c r="SZF42" s="19"/>
      <c r="SZG42" s="19"/>
      <c r="SZH42" s="19"/>
      <c r="SZI42" s="19"/>
      <c r="SZJ42" s="19"/>
      <c r="SZK42" s="19"/>
      <c r="SZL42" s="19"/>
      <c r="SZM42" s="19"/>
      <c r="SZN42" s="19"/>
      <c r="SZO42" s="19"/>
      <c r="SZP42" s="19"/>
      <c r="SZQ42" s="19"/>
      <c r="SZR42" s="19"/>
      <c r="SZS42" s="19"/>
      <c r="SZT42" s="19"/>
      <c r="SZU42" s="19"/>
      <c r="SZV42" s="19"/>
      <c r="SZW42" s="19"/>
      <c r="SZX42" s="19"/>
      <c r="SZY42" s="19"/>
      <c r="SZZ42" s="19"/>
      <c r="TAA42" s="19"/>
      <c r="TAB42" s="19"/>
      <c r="TAC42" s="19"/>
      <c r="TAD42" s="19"/>
      <c r="TAE42" s="19"/>
      <c r="TAF42" s="19"/>
      <c r="TAG42" s="19"/>
      <c r="TAH42" s="19"/>
      <c r="TAI42" s="19"/>
      <c r="TAJ42" s="19"/>
      <c r="TAK42" s="19"/>
      <c r="TAL42" s="19"/>
      <c r="TAM42" s="19"/>
      <c r="TAN42" s="19"/>
      <c r="TAO42" s="19"/>
      <c r="TAP42" s="19"/>
      <c r="TAQ42" s="19"/>
      <c r="TAR42" s="19"/>
      <c r="TAS42" s="19"/>
      <c r="TAT42" s="19"/>
      <c r="TAU42" s="19"/>
      <c r="TAV42" s="19"/>
      <c r="TAW42" s="19"/>
      <c r="TAX42" s="19"/>
      <c r="TAY42" s="19"/>
      <c r="TAZ42" s="19"/>
      <c r="TBA42" s="19"/>
      <c r="TBB42" s="19"/>
      <c r="TBC42" s="19"/>
      <c r="TBD42" s="19"/>
      <c r="TBE42" s="19"/>
      <c r="TBF42" s="19"/>
      <c r="TBG42" s="19"/>
      <c r="TBH42" s="19"/>
      <c r="TBI42" s="19"/>
      <c r="TBJ42" s="19"/>
      <c r="TBK42" s="19"/>
      <c r="TBL42" s="19"/>
      <c r="TBM42" s="19"/>
      <c r="TBN42" s="19"/>
      <c r="TBO42" s="19"/>
      <c r="TBP42" s="19"/>
      <c r="TBQ42" s="19"/>
      <c r="TBR42" s="19"/>
      <c r="TBS42" s="19"/>
      <c r="TBT42" s="19"/>
      <c r="TBU42" s="19"/>
      <c r="TBV42" s="19"/>
      <c r="TBW42" s="19"/>
      <c r="TBX42" s="19"/>
      <c r="TBY42" s="19"/>
      <c r="TBZ42" s="19"/>
      <c r="TCA42" s="19"/>
      <c r="TCB42" s="19"/>
      <c r="TCC42" s="19"/>
      <c r="TCD42" s="19"/>
      <c r="TCE42" s="19"/>
      <c r="TCF42" s="19"/>
      <c r="TCG42" s="19"/>
      <c r="TCH42" s="19"/>
      <c r="TCI42" s="19"/>
      <c r="TCJ42" s="19"/>
      <c r="TCK42" s="19"/>
      <c r="TCL42" s="19"/>
      <c r="TCM42" s="19"/>
      <c r="TCN42" s="19"/>
      <c r="TCO42" s="19"/>
      <c r="TCP42" s="19"/>
      <c r="TCQ42" s="19"/>
      <c r="TCR42" s="19"/>
      <c r="TCS42" s="19"/>
      <c r="TCT42" s="19"/>
      <c r="TCU42" s="19"/>
      <c r="TCV42" s="19"/>
      <c r="TCW42" s="19"/>
      <c r="TCX42" s="19"/>
      <c r="TCY42" s="19"/>
      <c r="TCZ42" s="19"/>
      <c r="TDA42" s="19"/>
      <c r="TDB42" s="19"/>
      <c r="TDC42" s="19"/>
      <c r="TDD42" s="19"/>
      <c r="TDE42" s="19"/>
      <c r="TDF42" s="19"/>
      <c r="TDG42" s="19"/>
      <c r="TDH42" s="19"/>
      <c r="TDI42" s="19"/>
      <c r="TDJ42" s="19"/>
      <c r="TDK42" s="19"/>
      <c r="TDL42" s="19"/>
      <c r="TDM42" s="19"/>
      <c r="TDN42" s="19"/>
      <c r="TDO42" s="19"/>
      <c r="TDP42" s="19"/>
      <c r="TDQ42" s="19"/>
      <c r="TDR42" s="19"/>
      <c r="TDS42" s="19"/>
      <c r="TDT42" s="19"/>
      <c r="TDU42" s="19"/>
      <c r="TDV42" s="19"/>
      <c r="TDW42" s="19"/>
      <c r="TDX42" s="19"/>
      <c r="TDY42" s="19"/>
      <c r="TDZ42" s="19"/>
      <c r="TEA42" s="19"/>
      <c r="TEB42" s="19"/>
      <c r="TEC42" s="19"/>
      <c r="TED42" s="19"/>
      <c r="TEE42" s="19"/>
      <c r="TEF42" s="19"/>
      <c r="TEG42" s="19"/>
      <c r="TEH42" s="19"/>
      <c r="TEI42" s="19"/>
      <c r="TEJ42" s="19"/>
      <c r="TEK42" s="19"/>
      <c r="TEL42" s="19"/>
      <c r="TEM42" s="19"/>
      <c r="TEN42" s="19"/>
      <c r="TEO42" s="19"/>
      <c r="TEP42" s="19"/>
      <c r="TEQ42" s="19"/>
      <c r="TER42" s="19"/>
      <c r="TES42" s="19"/>
      <c r="TET42" s="19"/>
      <c r="TEU42" s="19"/>
      <c r="TEV42" s="19"/>
      <c r="TEW42" s="19"/>
      <c r="TEX42" s="19"/>
      <c r="TEY42" s="19"/>
      <c r="TEZ42" s="19"/>
      <c r="TFA42" s="19"/>
      <c r="TFB42" s="19"/>
      <c r="TFC42" s="19"/>
      <c r="TFD42" s="19"/>
      <c r="TFE42" s="19"/>
      <c r="TFF42" s="19"/>
      <c r="TFG42" s="19"/>
      <c r="TFH42" s="19"/>
      <c r="TFI42" s="19"/>
      <c r="TFJ42" s="19"/>
      <c r="TFK42" s="19"/>
      <c r="TFL42" s="19"/>
      <c r="TFM42" s="19"/>
      <c r="TFN42" s="19"/>
      <c r="TFO42" s="19"/>
      <c r="TFP42" s="19"/>
      <c r="TFQ42" s="19"/>
      <c r="TFR42" s="19"/>
      <c r="TFS42" s="19"/>
      <c r="TFT42" s="19"/>
      <c r="TFU42" s="19"/>
      <c r="TFV42" s="19"/>
      <c r="TFW42" s="19"/>
      <c r="TFX42" s="19"/>
      <c r="TFY42" s="19"/>
      <c r="TFZ42" s="19"/>
      <c r="TGA42" s="19"/>
      <c r="TGB42" s="19"/>
      <c r="TGC42" s="19"/>
      <c r="TGD42" s="19"/>
      <c r="TGE42" s="19"/>
      <c r="TGF42" s="19"/>
      <c r="TGG42" s="19"/>
      <c r="TGH42" s="19"/>
      <c r="TGI42" s="19"/>
      <c r="TGJ42" s="19"/>
      <c r="TGK42" s="19"/>
      <c r="TGL42" s="19"/>
      <c r="TGM42" s="19"/>
      <c r="TGN42" s="19"/>
      <c r="TGO42" s="19"/>
      <c r="TGP42" s="19"/>
      <c r="TGQ42" s="19"/>
      <c r="TGR42" s="19"/>
      <c r="TGS42" s="19"/>
      <c r="TGT42" s="19"/>
      <c r="TGU42" s="19"/>
      <c r="TGV42" s="19"/>
      <c r="TGW42" s="19"/>
      <c r="TGX42" s="19"/>
      <c r="TGY42" s="19"/>
      <c r="TGZ42" s="19"/>
      <c r="THA42" s="19"/>
      <c r="THB42" s="19"/>
      <c r="THC42" s="19"/>
      <c r="THD42" s="19"/>
      <c r="THE42" s="19"/>
      <c r="THF42" s="19"/>
      <c r="THG42" s="19"/>
      <c r="THH42" s="19"/>
      <c r="THI42" s="19"/>
      <c r="THJ42" s="19"/>
      <c r="THK42" s="19"/>
      <c r="THL42" s="19"/>
      <c r="THM42" s="19"/>
      <c r="THN42" s="19"/>
      <c r="THO42" s="19"/>
      <c r="THP42" s="19"/>
      <c r="THQ42" s="19"/>
      <c r="THR42" s="19"/>
      <c r="THS42" s="19"/>
      <c r="THT42" s="19"/>
      <c r="THU42" s="19"/>
      <c r="THV42" s="19"/>
      <c r="THW42" s="19"/>
      <c r="THX42" s="19"/>
      <c r="THY42" s="19"/>
      <c r="THZ42" s="19"/>
      <c r="TIA42" s="19"/>
      <c r="TIB42" s="19"/>
      <c r="TIC42" s="19"/>
      <c r="TID42" s="19"/>
      <c r="TIE42" s="19"/>
      <c r="TIF42" s="19"/>
      <c r="TIG42" s="19"/>
      <c r="TIH42" s="19"/>
      <c r="TII42" s="19"/>
      <c r="TIJ42" s="19"/>
      <c r="TIK42" s="19"/>
      <c r="TIL42" s="19"/>
      <c r="TIM42" s="19"/>
      <c r="TIN42" s="19"/>
      <c r="TIO42" s="19"/>
      <c r="TIP42" s="19"/>
      <c r="TIQ42" s="19"/>
      <c r="TIR42" s="19"/>
      <c r="TIS42" s="19"/>
      <c r="TIT42" s="19"/>
      <c r="TIU42" s="19"/>
      <c r="TIV42" s="19"/>
      <c r="TIW42" s="19"/>
      <c r="TIX42" s="19"/>
      <c r="TIY42" s="19"/>
      <c r="TIZ42" s="19"/>
      <c r="TJA42" s="19"/>
      <c r="TJB42" s="19"/>
      <c r="TJC42" s="19"/>
      <c r="TJD42" s="19"/>
      <c r="TJE42" s="19"/>
      <c r="TJF42" s="19"/>
      <c r="TJG42" s="19"/>
      <c r="TJH42" s="19"/>
      <c r="TJI42" s="19"/>
      <c r="TJJ42" s="19"/>
      <c r="TJK42" s="19"/>
      <c r="TJL42" s="19"/>
      <c r="TJM42" s="19"/>
      <c r="TJN42" s="19"/>
      <c r="TJO42" s="19"/>
      <c r="TJP42" s="19"/>
      <c r="TJQ42" s="19"/>
      <c r="TJR42" s="19"/>
      <c r="TJS42" s="19"/>
      <c r="TJT42" s="19"/>
      <c r="TJU42" s="19"/>
      <c r="TJV42" s="19"/>
      <c r="TJW42" s="19"/>
      <c r="TJX42" s="19"/>
      <c r="TJY42" s="19"/>
      <c r="TJZ42" s="19"/>
      <c r="TKA42" s="19"/>
      <c r="TKB42" s="19"/>
      <c r="TKC42" s="19"/>
      <c r="TKD42" s="19"/>
      <c r="TKE42" s="19"/>
      <c r="TKF42" s="19"/>
      <c r="TKG42" s="19"/>
      <c r="TKH42" s="19"/>
      <c r="TKI42" s="19"/>
      <c r="TKJ42" s="19"/>
      <c r="TKK42" s="19"/>
      <c r="TKL42" s="19"/>
      <c r="TKM42" s="19"/>
      <c r="TKN42" s="19"/>
      <c r="TKO42" s="19"/>
      <c r="TKP42" s="19"/>
      <c r="TKQ42" s="19"/>
      <c r="TKR42" s="19"/>
      <c r="TKS42" s="19"/>
      <c r="TKT42" s="19"/>
      <c r="TKU42" s="19"/>
      <c r="TKV42" s="19"/>
      <c r="TKW42" s="19"/>
      <c r="TKX42" s="19"/>
      <c r="TKY42" s="19"/>
      <c r="TKZ42" s="19"/>
      <c r="TLA42" s="19"/>
      <c r="TLB42" s="19"/>
      <c r="TLC42" s="19"/>
      <c r="TLD42" s="19"/>
      <c r="TLE42" s="19"/>
      <c r="TLF42" s="19"/>
      <c r="TLG42" s="19"/>
      <c r="TLH42" s="19"/>
      <c r="TLI42" s="19"/>
      <c r="TLJ42" s="19"/>
      <c r="TLK42" s="19"/>
      <c r="TLL42" s="19"/>
      <c r="TLM42" s="19"/>
      <c r="TLN42" s="19"/>
      <c r="TLO42" s="19"/>
      <c r="TLP42" s="19"/>
      <c r="TLQ42" s="19"/>
      <c r="TLR42" s="19"/>
      <c r="TLS42" s="19"/>
      <c r="TLT42" s="19"/>
      <c r="TLU42" s="19"/>
      <c r="TLV42" s="19"/>
      <c r="TLW42" s="19"/>
      <c r="TLX42" s="19"/>
      <c r="TLY42" s="19"/>
      <c r="TLZ42" s="19"/>
      <c r="TMA42" s="19"/>
      <c r="TMB42" s="19"/>
      <c r="TMC42" s="19"/>
      <c r="TMD42" s="19"/>
      <c r="TME42" s="19"/>
      <c r="TMF42" s="19"/>
      <c r="TMG42" s="19"/>
      <c r="TMH42" s="19"/>
      <c r="TMI42" s="19"/>
      <c r="TMJ42" s="19"/>
      <c r="TMK42" s="19"/>
      <c r="TML42" s="19"/>
      <c r="TMM42" s="19"/>
      <c r="TMN42" s="19"/>
      <c r="TMO42" s="19"/>
      <c r="TMP42" s="19"/>
      <c r="TMQ42" s="19"/>
      <c r="TMR42" s="19"/>
      <c r="TMS42" s="19"/>
      <c r="TMT42" s="19"/>
      <c r="TMU42" s="19"/>
      <c r="TMV42" s="19"/>
      <c r="TMW42" s="19"/>
      <c r="TMX42" s="19"/>
      <c r="TMY42" s="19"/>
      <c r="TMZ42" s="19"/>
      <c r="TNA42" s="19"/>
      <c r="TNB42" s="19"/>
      <c r="TNC42" s="19"/>
      <c r="TND42" s="19"/>
      <c r="TNE42" s="19"/>
      <c r="TNF42" s="19"/>
      <c r="TNG42" s="19"/>
      <c r="TNH42" s="19"/>
      <c r="TNI42" s="19"/>
      <c r="TNJ42" s="19"/>
      <c r="TNK42" s="19"/>
      <c r="TNL42" s="19"/>
      <c r="TNM42" s="19"/>
      <c r="TNN42" s="19"/>
      <c r="TNO42" s="19"/>
      <c r="TNP42" s="19"/>
      <c r="TNQ42" s="19"/>
      <c r="TNR42" s="19"/>
      <c r="TNS42" s="19"/>
      <c r="TNT42" s="19"/>
      <c r="TNU42" s="19"/>
      <c r="TNV42" s="19"/>
      <c r="TNW42" s="19"/>
      <c r="TNX42" s="19"/>
      <c r="TNY42" s="19"/>
      <c r="TNZ42" s="19"/>
      <c r="TOA42" s="19"/>
      <c r="TOB42" s="19"/>
      <c r="TOC42" s="19"/>
      <c r="TOD42" s="19"/>
      <c r="TOE42" s="19"/>
      <c r="TOF42" s="19"/>
      <c r="TOG42" s="19"/>
      <c r="TOH42" s="19"/>
      <c r="TOI42" s="19"/>
      <c r="TOJ42" s="19"/>
      <c r="TOK42" s="19"/>
      <c r="TOL42" s="19"/>
      <c r="TOM42" s="19"/>
      <c r="TON42" s="19"/>
      <c r="TOO42" s="19"/>
      <c r="TOP42" s="19"/>
      <c r="TOQ42" s="19"/>
      <c r="TOR42" s="19"/>
      <c r="TOS42" s="19"/>
      <c r="TOT42" s="19"/>
      <c r="TOU42" s="19"/>
      <c r="TOV42" s="19"/>
      <c r="TOW42" s="19"/>
      <c r="TOX42" s="19"/>
      <c r="TOY42" s="19"/>
      <c r="TOZ42" s="19"/>
      <c r="TPA42" s="19"/>
      <c r="TPB42" s="19"/>
      <c r="TPC42" s="19"/>
      <c r="TPD42" s="19"/>
      <c r="TPE42" s="19"/>
      <c r="TPF42" s="19"/>
      <c r="TPG42" s="19"/>
      <c r="TPH42" s="19"/>
      <c r="TPI42" s="19"/>
      <c r="TPJ42" s="19"/>
      <c r="TPK42" s="19"/>
      <c r="TPL42" s="19"/>
      <c r="TPM42" s="19"/>
      <c r="TPN42" s="19"/>
      <c r="TPO42" s="19"/>
      <c r="TPP42" s="19"/>
      <c r="TPQ42" s="19"/>
      <c r="TPR42" s="19"/>
      <c r="TPS42" s="19"/>
      <c r="TPT42" s="19"/>
      <c r="TPU42" s="19"/>
      <c r="TPV42" s="19"/>
      <c r="TPW42" s="19"/>
      <c r="TPX42" s="19"/>
      <c r="TPY42" s="19"/>
      <c r="TPZ42" s="19"/>
      <c r="TQA42" s="19"/>
      <c r="TQB42" s="19"/>
      <c r="TQC42" s="19"/>
      <c r="TQD42" s="19"/>
      <c r="TQE42" s="19"/>
      <c r="TQF42" s="19"/>
      <c r="TQG42" s="19"/>
      <c r="TQH42" s="19"/>
      <c r="TQI42" s="19"/>
      <c r="TQJ42" s="19"/>
      <c r="TQK42" s="19"/>
      <c r="TQL42" s="19"/>
      <c r="TQM42" s="19"/>
      <c r="TQN42" s="19"/>
      <c r="TQO42" s="19"/>
      <c r="TQP42" s="19"/>
      <c r="TQQ42" s="19"/>
      <c r="TQR42" s="19"/>
      <c r="TQS42" s="19"/>
      <c r="TQT42" s="19"/>
      <c r="TQU42" s="19"/>
      <c r="TQV42" s="19"/>
      <c r="TQW42" s="19"/>
      <c r="TQX42" s="19"/>
      <c r="TQY42" s="19"/>
      <c r="TQZ42" s="19"/>
      <c r="TRA42" s="19"/>
      <c r="TRB42" s="19"/>
      <c r="TRC42" s="19"/>
      <c r="TRD42" s="19"/>
      <c r="TRE42" s="19"/>
      <c r="TRF42" s="19"/>
      <c r="TRG42" s="19"/>
      <c r="TRH42" s="19"/>
      <c r="TRI42" s="19"/>
      <c r="TRJ42" s="19"/>
      <c r="TRK42" s="19"/>
      <c r="TRL42" s="19"/>
      <c r="TRM42" s="19"/>
      <c r="TRN42" s="19"/>
      <c r="TRO42" s="19"/>
      <c r="TRP42" s="19"/>
      <c r="TRQ42" s="19"/>
      <c r="TRR42" s="19"/>
      <c r="TRS42" s="19"/>
      <c r="TRT42" s="19"/>
      <c r="TRU42" s="19"/>
      <c r="TRV42" s="19"/>
      <c r="TRW42" s="19"/>
      <c r="TRX42" s="19"/>
      <c r="TRY42" s="19"/>
      <c r="TRZ42" s="19"/>
      <c r="TSA42" s="19"/>
      <c r="TSB42" s="19"/>
      <c r="TSC42" s="19"/>
      <c r="TSD42" s="19"/>
      <c r="TSE42" s="19"/>
      <c r="TSF42" s="19"/>
      <c r="TSG42" s="19"/>
      <c r="TSH42" s="19"/>
      <c r="TSI42" s="19"/>
      <c r="TSJ42" s="19"/>
      <c r="TSK42" s="19"/>
      <c r="TSL42" s="19"/>
      <c r="TSM42" s="19"/>
      <c r="TSN42" s="19"/>
      <c r="TSO42" s="19"/>
      <c r="TSP42" s="19"/>
      <c r="TSQ42" s="19"/>
      <c r="TSR42" s="19"/>
      <c r="TSS42" s="19"/>
      <c r="TST42" s="19"/>
      <c r="TSU42" s="19"/>
      <c r="TSV42" s="19"/>
      <c r="TSW42" s="19"/>
      <c r="TSX42" s="19"/>
      <c r="TSY42" s="19"/>
      <c r="TSZ42" s="19"/>
      <c r="TTA42" s="19"/>
      <c r="TTB42" s="19"/>
      <c r="TTC42" s="19"/>
      <c r="TTD42" s="19"/>
      <c r="TTE42" s="19"/>
      <c r="TTF42" s="19"/>
      <c r="TTG42" s="19"/>
      <c r="TTH42" s="19"/>
      <c r="TTI42" s="19"/>
      <c r="TTJ42" s="19"/>
      <c r="TTK42" s="19"/>
      <c r="TTL42" s="19"/>
      <c r="TTM42" s="19"/>
      <c r="TTN42" s="19"/>
      <c r="TTO42" s="19"/>
      <c r="TTP42" s="19"/>
      <c r="TTQ42" s="19"/>
      <c r="TTR42" s="19"/>
      <c r="TTS42" s="19"/>
      <c r="TTT42" s="19"/>
      <c r="TTU42" s="19"/>
      <c r="TTV42" s="19"/>
      <c r="TTW42" s="19"/>
      <c r="TTX42" s="19"/>
      <c r="TTY42" s="19"/>
      <c r="TTZ42" s="19"/>
      <c r="TUA42" s="19"/>
      <c r="TUB42" s="19"/>
      <c r="TUC42" s="19"/>
      <c r="TUD42" s="19"/>
      <c r="TUE42" s="19"/>
      <c r="TUF42" s="19"/>
      <c r="TUG42" s="19"/>
      <c r="TUH42" s="19"/>
      <c r="TUI42" s="19"/>
      <c r="TUJ42" s="19"/>
      <c r="TUK42" s="19"/>
      <c r="TUL42" s="19"/>
      <c r="TUM42" s="19"/>
      <c r="TUN42" s="19"/>
      <c r="TUO42" s="19"/>
      <c r="TUP42" s="19"/>
      <c r="TUQ42" s="19"/>
      <c r="TUR42" s="19"/>
      <c r="TUS42" s="19"/>
      <c r="TUT42" s="19"/>
      <c r="TUU42" s="19"/>
      <c r="TUV42" s="19"/>
      <c r="TUW42" s="19"/>
      <c r="TUX42" s="19"/>
      <c r="TUY42" s="19"/>
      <c r="TUZ42" s="19"/>
      <c r="TVA42" s="19"/>
      <c r="TVB42" s="19"/>
      <c r="TVC42" s="19"/>
      <c r="TVD42" s="19"/>
      <c r="TVE42" s="19"/>
      <c r="TVF42" s="19"/>
      <c r="TVG42" s="19"/>
      <c r="TVH42" s="19"/>
      <c r="TVI42" s="19"/>
      <c r="TVJ42" s="19"/>
      <c r="TVK42" s="19"/>
      <c r="TVL42" s="19"/>
      <c r="TVM42" s="19"/>
      <c r="TVN42" s="19"/>
      <c r="TVO42" s="19"/>
      <c r="TVP42" s="19"/>
      <c r="TVQ42" s="19"/>
      <c r="TVR42" s="19"/>
      <c r="TVS42" s="19"/>
      <c r="TVT42" s="19"/>
      <c r="TVU42" s="19"/>
      <c r="TVV42" s="19"/>
      <c r="TVW42" s="19"/>
      <c r="TVX42" s="19"/>
      <c r="TVY42" s="19"/>
      <c r="TVZ42" s="19"/>
      <c r="TWA42" s="19"/>
      <c r="TWB42" s="19"/>
      <c r="TWC42" s="19"/>
      <c r="TWD42" s="19"/>
      <c r="TWE42" s="19"/>
      <c r="TWF42" s="19"/>
      <c r="TWG42" s="19"/>
      <c r="TWH42" s="19"/>
      <c r="TWI42" s="19"/>
      <c r="TWJ42" s="19"/>
      <c r="TWK42" s="19"/>
      <c r="TWL42" s="19"/>
      <c r="TWM42" s="19"/>
      <c r="TWN42" s="19"/>
      <c r="TWO42" s="19"/>
      <c r="TWP42" s="19"/>
      <c r="TWQ42" s="19"/>
      <c r="TWR42" s="19"/>
      <c r="TWS42" s="19"/>
      <c r="TWT42" s="19"/>
      <c r="TWU42" s="19"/>
      <c r="TWV42" s="19"/>
      <c r="TWW42" s="19"/>
      <c r="TWX42" s="19"/>
      <c r="TWY42" s="19"/>
      <c r="TWZ42" s="19"/>
      <c r="TXA42" s="19"/>
      <c r="TXB42" s="19"/>
      <c r="TXC42" s="19"/>
      <c r="TXD42" s="19"/>
      <c r="TXE42" s="19"/>
      <c r="TXF42" s="19"/>
      <c r="TXG42" s="19"/>
      <c r="TXH42" s="19"/>
      <c r="TXI42" s="19"/>
      <c r="TXJ42" s="19"/>
      <c r="TXK42" s="19"/>
      <c r="TXL42" s="19"/>
      <c r="TXM42" s="19"/>
      <c r="TXN42" s="19"/>
      <c r="TXO42" s="19"/>
      <c r="TXP42" s="19"/>
      <c r="TXQ42" s="19"/>
      <c r="TXR42" s="19"/>
      <c r="TXS42" s="19"/>
      <c r="TXT42" s="19"/>
      <c r="TXU42" s="19"/>
      <c r="TXV42" s="19"/>
      <c r="TXW42" s="19"/>
      <c r="TXX42" s="19"/>
      <c r="TXY42" s="19"/>
      <c r="TXZ42" s="19"/>
      <c r="TYA42" s="19"/>
      <c r="TYB42" s="19"/>
      <c r="TYC42" s="19"/>
      <c r="TYD42" s="19"/>
      <c r="TYE42" s="19"/>
      <c r="TYF42" s="19"/>
      <c r="TYG42" s="19"/>
      <c r="TYH42" s="19"/>
      <c r="TYI42" s="19"/>
      <c r="TYJ42" s="19"/>
      <c r="TYK42" s="19"/>
      <c r="TYL42" s="19"/>
      <c r="TYM42" s="19"/>
      <c r="TYN42" s="19"/>
      <c r="TYO42" s="19"/>
      <c r="TYP42" s="19"/>
      <c r="TYQ42" s="19"/>
      <c r="TYR42" s="19"/>
      <c r="TYS42" s="19"/>
      <c r="TYT42" s="19"/>
      <c r="TYU42" s="19"/>
      <c r="TYV42" s="19"/>
      <c r="TYW42" s="19"/>
      <c r="TYX42" s="19"/>
      <c r="TYY42" s="19"/>
      <c r="TYZ42" s="19"/>
      <c r="TZA42" s="19"/>
      <c r="TZB42" s="19"/>
      <c r="TZC42" s="19"/>
      <c r="TZD42" s="19"/>
      <c r="TZE42" s="19"/>
      <c r="TZF42" s="19"/>
      <c r="TZG42" s="19"/>
      <c r="TZH42" s="19"/>
      <c r="TZI42" s="19"/>
      <c r="TZJ42" s="19"/>
      <c r="TZK42" s="19"/>
      <c r="TZL42" s="19"/>
      <c r="TZM42" s="19"/>
      <c r="TZN42" s="19"/>
      <c r="TZO42" s="19"/>
      <c r="TZP42" s="19"/>
      <c r="TZQ42" s="19"/>
      <c r="TZR42" s="19"/>
      <c r="TZS42" s="19"/>
      <c r="TZT42" s="19"/>
      <c r="TZU42" s="19"/>
      <c r="TZV42" s="19"/>
      <c r="TZW42" s="19"/>
      <c r="TZX42" s="19"/>
      <c r="TZY42" s="19"/>
      <c r="TZZ42" s="19"/>
      <c r="UAA42" s="19"/>
      <c r="UAB42" s="19"/>
      <c r="UAC42" s="19"/>
      <c r="UAD42" s="19"/>
      <c r="UAE42" s="19"/>
      <c r="UAF42" s="19"/>
      <c r="UAG42" s="19"/>
      <c r="UAH42" s="19"/>
      <c r="UAI42" s="19"/>
      <c r="UAJ42" s="19"/>
      <c r="UAK42" s="19"/>
      <c r="UAL42" s="19"/>
      <c r="UAM42" s="19"/>
      <c r="UAN42" s="19"/>
      <c r="UAO42" s="19"/>
      <c r="UAP42" s="19"/>
      <c r="UAQ42" s="19"/>
      <c r="UAR42" s="19"/>
      <c r="UAS42" s="19"/>
      <c r="UAT42" s="19"/>
      <c r="UAU42" s="19"/>
      <c r="UAV42" s="19"/>
      <c r="UAW42" s="19"/>
      <c r="UAX42" s="19"/>
      <c r="UAY42" s="19"/>
      <c r="UAZ42" s="19"/>
      <c r="UBA42" s="19"/>
      <c r="UBB42" s="19"/>
      <c r="UBC42" s="19"/>
      <c r="UBD42" s="19"/>
      <c r="UBE42" s="19"/>
      <c r="UBF42" s="19"/>
      <c r="UBG42" s="19"/>
      <c r="UBH42" s="19"/>
      <c r="UBI42" s="19"/>
      <c r="UBJ42" s="19"/>
      <c r="UBK42" s="19"/>
      <c r="UBL42" s="19"/>
      <c r="UBM42" s="19"/>
      <c r="UBN42" s="19"/>
      <c r="UBO42" s="19"/>
      <c r="UBP42" s="19"/>
      <c r="UBQ42" s="19"/>
      <c r="UBR42" s="19"/>
      <c r="UBS42" s="19"/>
      <c r="UBT42" s="19"/>
      <c r="UBU42" s="19"/>
      <c r="UBV42" s="19"/>
      <c r="UBW42" s="19"/>
      <c r="UBX42" s="19"/>
      <c r="UBY42" s="19"/>
      <c r="UBZ42" s="19"/>
      <c r="UCA42" s="19"/>
      <c r="UCB42" s="19"/>
      <c r="UCC42" s="19"/>
      <c r="UCD42" s="19"/>
      <c r="UCE42" s="19"/>
      <c r="UCF42" s="19"/>
      <c r="UCG42" s="19"/>
      <c r="UCH42" s="19"/>
      <c r="UCI42" s="19"/>
      <c r="UCJ42" s="19"/>
      <c r="UCK42" s="19"/>
      <c r="UCL42" s="19"/>
      <c r="UCM42" s="19"/>
      <c r="UCN42" s="19"/>
      <c r="UCO42" s="19"/>
      <c r="UCP42" s="19"/>
      <c r="UCQ42" s="19"/>
      <c r="UCR42" s="19"/>
      <c r="UCS42" s="19"/>
      <c r="UCT42" s="19"/>
      <c r="UCU42" s="19"/>
      <c r="UCV42" s="19"/>
      <c r="UCW42" s="19"/>
      <c r="UCX42" s="19"/>
      <c r="UCY42" s="19"/>
      <c r="UCZ42" s="19"/>
      <c r="UDA42" s="19"/>
      <c r="UDB42" s="19"/>
      <c r="UDC42" s="19"/>
      <c r="UDD42" s="19"/>
      <c r="UDE42" s="19"/>
      <c r="UDF42" s="19"/>
      <c r="UDG42" s="19"/>
      <c r="UDH42" s="19"/>
      <c r="UDI42" s="19"/>
      <c r="UDJ42" s="19"/>
      <c r="UDK42" s="19"/>
      <c r="UDL42" s="19"/>
      <c r="UDM42" s="19"/>
      <c r="UDN42" s="19"/>
      <c r="UDO42" s="19"/>
      <c r="UDP42" s="19"/>
      <c r="UDQ42" s="19"/>
      <c r="UDR42" s="19"/>
      <c r="UDS42" s="19"/>
      <c r="UDT42" s="19"/>
      <c r="UDU42" s="19"/>
      <c r="UDV42" s="19"/>
      <c r="UDW42" s="19"/>
      <c r="UDX42" s="19"/>
      <c r="UDY42" s="19"/>
      <c r="UDZ42" s="19"/>
      <c r="UEA42" s="19"/>
      <c r="UEB42" s="19"/>
      <c r="UEC42" s="19"/>
      <c r="UED42" s="19"/>
      <c r="UEE42" s="19"/>
      <c r="UEF42" s="19"/>
      <c r="UEG42" s="19"/>
      <c r="UEH42" s="19"/>
      <c r="UEI42" s="19"/>
      <c r="UEJ42" s="19"/>
      <c r="UEK42" s="19"/>
      <c r="UEL42" s="19"/>
      <c r="UEM42" s="19"/>
      <c r="UEN42" s="19"/>
      <c r="UEO42" s="19"/>
      <c r="UEP42" s="19"/>
      <c r="UEQ42" s="19"/>
      <c r="UER42" s="19"/>
      <c r="UES42" s="19"/>
      <c r="UET42" s="19"/>
      <c r="UEU42" s="19"/>
      <c r="UEV42" s="19"/>
      <c r="UEW42" s="19"/>
      <c r="UEX42" s="19"/>
      <c r="UEY42" s="19"/>
      <c r="UEZ42" s="19"/>
      <c r="UFA42" s="19"/>
      <c r="UFB42" s="19"/>
      <c r="UFC42" s="19"/>
      <c r="UFD42" s="19"/>
      <c r="UFE42" s="19"/>
      <c r="UFF42" s="19"/>
      <c r="UFG42" s="19"/>
      <c r="UFH42" s="19"/>
      <c r="UFI42" s="19"/>
      <c r="UFJ42" s="19"/>
      <c r="UFK42" s="19"/>
      <c r="UFL42" s="19"/>
      <c r="UFM42" s="19"/>
      <c r="UFN42" s="19"/>
      <c r="UFO42" s="19"/>
      <c r="UFP42" s="19"/>
      <c r="UFQ42" s="19"/>
      <c r="UFR42" s="19"/>
      <c r="UFS42" s="19"/>
      <c r="UFT42" s="19"/>
      <c r="UFU42" s="19"/>
      <c r="UFV42" s="19"/>
      <c r="UFW42" s="19"/>
      <c r="UFX42" s="19"/>
      <c r="UFY42" s="19"/>
      <c r="UFZ42" s="19"/>
      <c r="UGA42" s="19"/>
      <c r="UGB42" s="19"/>
      <c r="UGC42" s="19"/>
      <c r="UGD42" s="19"/>
      <c r="UGE42" s="19"/>
      <c r="UGF42" s="19"/>
      <c r="UGG42" s="19"/>
      <c r="UGH42" s="19"/>
      <c r="UGI42" s="19"/>
      <c r="UGJ42" s="19"/>
      <c r="UGK42" s="19"/>
      <c r="UGL42" s="19"/>
      <c r="UGM42" s="19"/>
      <c r="UGN42" s="19"/>
      <c r="UGO42" s="19"/>
      <c r="UGP42" s="19"/>
      <c r="UGQ42" s="19"/>
      <c r="UGR42" s="19"/>
      <c r="UGS42" s="19"/>
      <c r="UGT42" s="19"/>
      <c r="UGU42" s="19"/>
      <c r="UGV42" s="19"/>
      <c r="UGW42" s="19"/>
      <c r="UGX42" s="19"/>
      <c r="UGY42" s="19"/>
      <c r="UGZ42" s="19"/>
      <c r="UHA42" s="19"/>
      <c r="UHB42" s="19"/>
      <c r="UHC42" s="19"/>
      <c r="UHD42" s="19"/>
      <c r="UHE42" s="19"/>
      <c r="UHF42" s="19"/>
      <c r="UHG42" s="19"/>
      <c r="UHH42" s="19"/>
      <c r="UHI42" s="19"/>
      <c r="UHJ42" s="19"/>
      <c r="UHK42" s="19"/>
      <c r="UHL42" s="19"/>
      <c r="UHM42" s="19"/>
      <c r="UHN42" s="19"/>
      <c r="UHO42" s="19"/>
      <c r="UHP42" s="19"/>
      <c r="UHQ42" s="19"/>
      <c r="UHR42" s="19"/>
      <c r="UHS42" s="19"/>
      <c r="UHT42" s="19"/>
      <c r="UHU42" s="19"/>
      <c r="UHV42" s="19"/>
      <c r="UHW42" s="19"/>
      <c r="UHX42" s="19"/>
      <c r="UHY42" s="19"/>
      <c r="UHZ42" s="19"/>
      <c r="UIA42" s="19"/>
      <c r="UIB42" s="19"/>
      <c r="UIC42" s="19"/>
      <c r="UID42" s="19"/>
      <c r="UIE42" s="19"/>
      <c r="UIF42" s="19"/>
      <c r="UIG42" s="19"/>
      <c r="UIH42" s="19"/>
      <c r="UII42" s="19"/>
      <c r="UIJ42" s="19"/>
      <c r="UIK42" s="19"/>
      <c r="UIL42" s="19"/>
      <c r="UIM42" s="19"/>
      <c r="UIN42" s="19"/>
      <c r="UIO42" s="19"/>
      <c r="UIP42" s="19"/>
      <c r="UIQ42" s="19"/>
      <c r="UIR42" s="19"/>
      <c r="UIS42" s="19"/>
      <c r="UIT42" s="19"/>
      <c r="UIU42" s="19"/>
      <c r="UIV42" s="19"/>
      <c r="UIW42" s="19"/>
      <c r="UIX42" s="19"/>
      <c r="UIY42" s="19"/>
      <c r="UIZ42" s="19"/>
      <c r="UJA42" s="19"/>
      <c r="UJB42" s="19"/>
      <c r="UJC42" s="19"/>
      <c r="UJD42" s="19"/>
      <c r="UJE42" s="19"/>
      <c r="UJF42" s="19"/>
      <c r="UJG42" s="19"/>
      <c r="UJH42" s="19"/>
      <c r="UJI42" s="19"/>
      <c r="UJJ42" s="19"/>
      <c r="UJK42" s="19"/>
      <c r="UJL42" s="19"/>
      <c r="UJM42" s="19"/>
      <c r="UJN42" s="19"/>
      <c r="UJO42" s="19"/>
      <c r="UJP42" s="19"/>
      <c r="UJQ42" s="19"/>
      <c r="UJR42" s="19"/>
      <c r="UJS42" s="19"/>
      <c r="UJT42" s="19"/>
      <c r="UJU42" s="19"/>
      <c r="UJV42" s="19"/>
      <c r="UJW42" s="19"/>
      <c r="UJX42" s="19"/>
      <c r="UJY42" s="19"/>
      <c r="UJZ42" s="19"/>
      <c r="UKA42" s="19"/>
      <c r="UKB42" s="19"/>
      <c r="UKC42" s="19"/>
      <c r="UKD42" s="19"/>
      <c r="UKE42" s="19"/>
      <c r="UKF42" s="19"/>
      <c r="UKG42" s="19"/>
      <c r="UKH42" s="19"/>
      <c r="UKI42" s="19"/>
      <c r="UKJ42" s="19"/>
      <c r="UKK42" s="19"/>
      <c r="UKL42" s="19"/>
      <c r="UKM42" s="19"/>
      <c r="UKN42" s="19"/>
      <c r="UKO42" s="19"/>
      <c r="UKP42" s="19"/>
      <c r="UKQ42" s="19"/>
      <c r="UKR42" s="19"/>
      <c r="UKS42" s="19"/>
      <c r="UKT42" s="19"/>
      <c r="UKU42" s="19"/>
      <c r="UKV42" s="19"/>
      <c r="UKW42" s="19"/>
      <c r="UKX42" s="19"/>
      <c r="UKY42" s="19"/>
      <c r="UKZ42" s="19"/>
      <c r="ULA42" s="19"/>
      <c r="ULB42" s="19"/>
      <c r="ULC42" s="19"/>
      <c r="ULD42" s="19"/>
      <c r="ULE42" s="19"/>
      <c r="ULF42" s="19"/>
      <c r="ULG42" s="19"/>
      <c r="ULH42" s="19"/>
      <c r="ULI42" s="19"/>
      <c r="ULJ42" s="19"/>
      <c r="ULK42" s="19"/>
      <c r="ULL42" s="19"/>
      <c r="ULM42" s="19"/>
      <c r="ULN42" s="19"/>
      <c r="ULO42" s="19"/>
      <c r="ULP42" s="19"/>
      <c r="ULQ42" s="19"/>
      <c r="ULR42" s="19"/>
      <c r="ULS42" s="19"/>
      <c r="ULT42" s="19"/>
      <c r="ULU42" s="19"/>
      <c r="ULV42" s="19"/>
      <c r="ULW42" s="19"/>
      <c r="ULX42" s="19"/>
      <c r="ULY42" s="19"/>
      <c r="ULZ42" s="19"/>
      <c r="UMA42" s="19"/>
      <c r="UMB42" s="19"/>
      <c r="UMC42" s="19"/>
      <c r="UMD42" s="19"/>
      <c r="UME42" s="19"/>
      <c r="UMF42" s="19"/>
      <c r="UMG42" s="19"/>
      <c r="UMH42" s="19"/>
      <c r="UMI42" s="19"/>
      <c r="UMJ42" s="19"/>
      <c r="UMK42" s="19"/>
      <c r="UML42" s="19"/>
      <c r="UMM42" s="19"/>
      <c r="UMN42" s="19"/>
      <c r="UMO42" s="19"/>
      <c r="UMP42" s="19"/>
      <c r="UMQ42" s="19"/>
      <c r="UMR42" s="19"/>
      <c r="UMS42" s="19"/>
      <c r="UMT42" s="19"/>
      <c r="UMU42" s="19"/>
      <c r="UMV42" s="19"/>
      <c r="UMW42" s="19"/>
      <c r="UMX42" s="19"/>
      <c r="UMY42" s="19"/>
      <c r="UMZ42" s="19"/>
      <c r="UNA42" s="19"/>
      <c r="UNB42" s="19"/>
      <c r="UNC42" s="19"/>
      <c r="UND42" s="19"/>
      <c r="UNE42" s="19"/>
      <c r="UNF42" s="19"/>
      <c r="UNG42" s="19"/>
      <c r="UNH42" s="19"/>
      <c r="UNI42" s="19"/>
      <c r="UNJ42" s="19"/>
      <c r="UNK42" s="19"/>
      <c r="UNL42" s="19"/>
      <c r="UNM42" s="19"/>
      <c r="UNN42" s="19"/>
      <c r="UNO42" s="19"/>
      <c r="UNP42" s="19"/>
      <c r="UNQ42" s="19"/>
      <c r="UNR42" s="19"/>
      <c r="UNS42" s="19"/>
      <c r="UNT42" s="19"/>
      <c r="UNU42" s="19"/>
      <c r="UNV42" s="19"/>
      <c r="UNW42" s="19"/>
      <c r="UNX42" s="19"/>
      <c r="UNY42" s="19"/>
      <c r="UNZ42" s="19"/>
      <c r="UOA42" s="19"/>
      <c r="UOB42" s="19"/>
      <c r="UOC42" s="19"/>
      <c r="UOD42" s="19"/>
      <c r="UOE42" s="19"/>
      <c r="UOF42" s="19"/>
      <c r="UOG42" s="19"/>
      <c r="UOH42" s="19"/>
      <c r="UOI42" s="19"/>
      <c r="UOJ42" s="19"/>
      <c r="UOK42" s="19"/>
      <c r="UOL42" s="19"/>
      <c r="UOM42" s="19"/>
      <c r="UON42" s="19"/>
      <c r="UOO42" s="19"/>
      <c r="UOP42" s="19"/>
      <c r="UOQ42" s="19"/>
      <c r="UOR42" s="19"/>
      <c r="UOS42" s="19"/>
      <c r="UOT42" s="19"/>
      <c r="UOU42" s="19"/>
      <c r="UOV42" s="19"/>
      <c r="UOW42" s="19"/>
      <c r="UOX42" s="19"/>
      <c r="UOY42" s="19"/>
      <c r="UOZ42" s="19"/>
      <c r="UPA42" s="19"/>
      <c r="UPB42" s="19"/>
      <c r="UPC42" s="19"/>
      <c r="UPD42" s="19"/>
      <c r="UPE42" s="19"/>
      <c r="UPF42" s="19"/>
      <c r="UPG42" s="19"/>
      <c r="UPH42" s="19"/>
      <c r="UPI42" s="19"/>
      <c r="UPJ42" s="19"/>
      <c r="UPK42" s="19"/>
      <c r="UPL42" s="19"/>
      <c r="UPM42" s="19"/>
      <c r="UPN42" s="19"/>
      <c r="UPO42" s="19"/>
      <c r="UPP42" s="19"/>
      <c r="UPQ42" s="19"/>
      <c r="UPR42" s="19"/>
      <c r="UPS42" s="19"/>
      <c r="UPT42" s="19"/>
      <c r="UPU42" s="19"/>
      <c r="UPV42" s="19"/>
      <c r="UPW42" s="19"/>
      <c r="UPX42" s="19"/>
      <c r="UPY42" s="19"/>
      <c r="UPZ42" s="19"/>
      <c r="UQA42" s="19"/>
      <c r="UQB42" s="19"/>
      <c r="UQC42" s="19"/>
      <c r="UQD42" s="19"/>
      <c r="UQE42" s="19"/>
      <c r="UQF42" s="19"/>
      <c r="UQG42" s="19"/>
      <c r="UQH42" s="19"/>
      <c r="UQI42" s="19"/>
      <c r="UQJ42" s="19"/>
      <c r="UQK42" s="19"/>
      <c r="UQL42" s="19"/>
      <c r="UQM42" s="19"/>
      <c r="UQN42" s="19"/>
      <c r="UQO42" s="19"/>
      <c r="UQP42" s="19"/>
      <c r="UQQ42" s="19"/>
      <c r="UQR42" s="19"/>
      <c r="UQS42" s="19"/>
      <c r="UQT42" s="19"/>
      <c r="UQU42" s="19"/>
      <c r="UQV42" s="19"/>
      <c r="UQW42" s="19"/>
      <c r="UQX42" s="19"/>
      <c r="UQY42" s="19"/>
      <c r="UQZ42" s="19"/>
      <c r="URA42" s="19"/>
      <c r="URB42" s="19"/>
      <c r="URC42" s="19"/>
      <c r="URD42" s="19"/>
      <c r="URE42" s="19"/>
      <c r="URF42" s="19"/>
      <c r="URG42" s="19"/>
      <c r="URH42" s="19"/>
      <c r="URI42" s="19"/>
      <c r="URJ42" s="19"/>
      <c r="URK42" s="19"/>
      <c r="URL42" s="19"/>
      <c r="URM42" s="19"/>
      <c r="URN42" s="19"/>
      <c r="URO42" s="19"/>
      <c r="URP42" s="19"/>
      <c r="URQ42" s="19"/>
      <c r="URR42" s="19"/>
      <c r="URS42" s="19"/>
      <c r="URT42" s="19"/>
      <c r="URU42" s="19"/>
      <c r="URV42" s="19"/>
      <c r="URW42" s="19"/>
      <c r="URX42" s="19"/>
      <c r="URY42" s="19"/>
      <c r="URZ42" s="19"/>
      <c r="USA42" s="19"/>
      <c r="USB42" s="19"/>
      <c r="USC42" s="19"/>
      <c r="USD42" s="19"/>
      <c r="USE42" s="19"/>
      <c r="USF42" s="19"/>
      <c r="USG42" s="19"/>
      <c r="USH42" s="19"/>
      <c r="USI42" s="19"/>
      <c r="USJ42" s="19"/>
      <c r="USK42" s="19"/>
      <c r="USL42" s="19"/>
      <c r="USM42" s="19"/>
      <c r="USN42" s="19"/>
      <c r="USO42" s="19"/>
      <c r="USP42" s="19"/>
      <c r="USQ42" s="19"/>
      <c r="USR42" s="19"/>
      <c r="USS42" s="19"/>
      <c r="UST42" s="19"/>
      <c r="USU42" s="19"/>
      <c r="USV42" s="19"/>
      <c r="USW42" s="19"/>
      <c r="USX42" s="19"/>
      <c r="USY42" s="19"/>
      <c r="USZ42" s="19"/>
      <c r="UTA42" s="19"/>
      <c r="UTB42" s="19"/>
      <c r="UTC42" s="19"/>
      <c r="UTD42" s="19"/>
      <c r="UTE42" s="19"/>
      <c r="UTF42" s="19"/>
      <c r="UTG42" s="19"/>
      <c r="UTH42" s="19"/>
      <c r="UTI42" s="19"/>
      <c r="UTJ42" s="19"/>
      <c r="UTK42" s="19"/>
      <c r="UTL42" s="19"/>
      <c r="UTM42" s="19"/>
      <c r="UTN42" s="19"/>
      <c r="UTO42" s="19"/>
      <c r="UTP42" s="19"/>
      <c r="UTQ42" s="19"/>
      <c r="UTR42" s="19"/>
      <c r="UTS42" s="19"/>
      <c r="UTT42" s="19"/>
      <c r="UTU42" s="19"/>
      <c r="UTV42" s="19"/>
      <c r="UTW42" s="19"/>
      <c r="UTX42" s="19"/>
      <c r="UTY42" s="19"/>
      <c r="UTZ42" s="19"/>
      <c r="UUA42" s="19"/>
      <c r="UUB42" s="19"/>
      <c r="UUC42" s="19"/>
      <c r="UUD42" s="19"/>
      <c r="UUE42" s="19"/>
      <c r="UUF42" s="19"/>
      <c r="UUG42" s="19"/>
      <c r="UUH42" s="19"/>
      <c r="UUI42" s="19"/>
      <c r="UUJ42" s="19"/>
      <c r="UUK42" s="19"/>
      <c r="UUL42" s="19"/>
      <c r="UUM42" s="19"/>
      <c r="UUN42" s="19"/>
      <c r="UUO42" s="19"/>
      <c r="UUP42" s="19"/>
      <c r="UUQ42" s="19"/>
      <c r="UUR42" s="19"/>
      <c r="UUS42" s="19"/>
      <c r="UUT42" s="19"/>
      <c r="UUU42" s="19"/>
      <c r="UUV42" s="19"/>
      <c r="UUW42" s="19"/>
      <c r="UUX42" s="19"/>
      <c r="UUY42" s="19"/>
      <c r="UUZ42" s="19"/>
      <c r="UVA42" s="19"/>
      <c r="UVB42" s="19"/>
      <c r="UVC42" s="19"/>
      <c r="UVD42" s="19"/>
      <c r="UVE42" s="19"/>
      <c r="UVF42" s="19"/>
      <c r="UVG42" s="19"/>
      <c r="UVH42" s="19"/>
      <c r="UVI42" s="19"/>
      <c r="UVJ42" s="19"/>
      <c r="UVK42" s="19"/>
      <c r="UVL42" s="19"/>
      <c r="UVM42" s="19"/>
      <c r="UVN42" s="19"/>
      <c r="UVO42" s="19"/>
      <c r="UVP42" s="19"/>
      <c r="UVQ42" s="19"/>
      <c r="UVR42" s="19"/>
      <c r="UVS42" s="19"/>
      <c r="UVT42" s="19"/>
      <c r="UVU42" s="19"/>
      <c r="UVV42" s="19"/>
      <c r="UVW42" s="19"/>
      <c r="UVX42" s="19"/>
      <c r="UVY42" s="19"/>
      <c r="UVZ42" s="19"/>
      <c r="UWA42" s="19"/>
      <c r="UWB42" s="19"/>
      <c r="UWC42" s="19"/>
      <c r="UWD42" s="19"/>
      <c r="UWE42" s="19"/>
      <c r="UWF42" s="19"/>
      <c r="UWG42" s="19"/>
      <c r="UWH42" s="19"/>
      <c r="UWI42" s="19"/>
      <c r="UWJ42" s="19"/>
      <c r="UWK42" s="19"/>
      <c r="UWL42" s="19"/>
      <c r="UWM42" s="19"/>
      <c r="UWN42" s="19"/>
      <c r="UWO42" s="19"/>
      <c r="UWP42" s="19"/>
      <c r="UWQ42" s="19"/>
      <c r="UWR42" s="19"/>
      <c r="UWS42" s="19"/>
      <c r="UWT42" s="19"/>
      <c r="UWU42" s="19"/>
      <c r="UWV42" s="19"/>
      <c r="UWW42" s="19"/>
      <c r="UWX42" s="19"/>
      <c r="UWY42" s="19"/>
      <c r="UWZ42" s="19"/>
      <c r="UXA42" s="19"/>
      <c r="UXB42" s="19"/>
      <c r="UXC42" s="19"/>
      <c r="UXD42" s="19"/>
      <c r="UXE42" s="19"/>
      <c r="UXF42" s="19"/>
      <c r="UXG42" s="19"/>
      <c r="UXH42" s="19"/>
      <c r="UXI42" s="19"/>
      <c r="UXJ42" s="19"/>
      <c r="UXK42" s="19"/>
      <c r="UXL42" s="19"/>
      <c r="UXM42" s="19"/>
      <c r="UXN42" s="19"/>
      <c r="UXO42" s="19"/>
      <c r="UXP42" s="19"/>
      <c r="UXQ42" s="19"/>
      <c r="UXR42" s="19"/>
      <c r="UXS42" s="19"/>
      <c r="UXT42" s="19"/>
      <c r="UXU42" s="19"/>
      <c r="UXV42" s="19"/>
      <c r="UXW42" s="19"/>
      <c r="UXX42" s="19"/>
      <c r="UXY42" s="19"/>
      <c r="UXZ42" s="19"/>
      <c r="UYA42" s="19"/>
      <c r="UYB42" s="19"/>
      <c r="UYC42" s="19"/>
      <c r="UYD42" s="19"/>
      <c r="UYE42" s="19"/>
      <c r="UYF42" s="19"/>
      <c r="UYG42" s="19"/>
      <c r="UYH42" s="19"/>
      <c r="UYI42" s="19"/>
      <c r="UYJ42" s="19"/>
      <c r="UYK42" s="19"/>
      <c r="UYL42" s="19"/>
      <c r="UYM42" s="19"/>
      <c r="UYN42" s="19"/>
      <c r="UYO42" s="19"/>
      <c r="UYP42" s="19"/>
      <c r="UYQ42" s="19"/>
      <c r="UYR42" s="19"/>
      <c r="UYS42" s="19"/>
      <c r="UYT42" s="19"/>
      <c r="UYU42" s="19"/>
      <c r="UYV42" s="19"/>
      <c r="UYW42" s="19"/>
      <c r="UYX42" s="19"/>
      <c r="UYY42" s="19"/>
      <c r="UYZ42" s="19"/>
      <c r="UZA42" s="19"/>
      <c r="UZB42" s="19"/>
      <c r="UZC42" s="19"/>
      <c r="UZD42" s="19"/>
      <c r="UZE42" s="19"/>
      <c r="UZF42" s="19"/>
      <c r="UZG42" s="19"/>
      <c r="UZH42" s="19"/>
      <c r="UZI42" s="19"/>
      <c r="UZJ42" s="19"/>
      <c r="UZK42" s="19"/>
      <c r="UZL42" s="19"/>
      <c r="UZM42" s="19"/>
      <c r="UZN42" s="19"/>
      <c r="UZO42" s="19"/>
      <c r="UZP42" s="19"/>
      <c r="UZQ42" s="19"/>
      <c r="UZR42" s="19"/>
      <c r="UZS42" s="19"/>
      <c r="UZT42" s="19"/>
      <c r="UZU42" s="19"/>
      <c r="UZV42" s="19"/>
      <c r="UZW42" s="19"/>
      <c r="UZX42" s="19"/>
      <c r="UZY42" s="19"/>
      <c r="UZZ42" s="19"/>
      <c r="VAA42" s="19"/>
      <c r="VAB42" s="19"/>
      <c r="VAC42" s="19"/>
      <c r="VAD42" s="19"/>
      <c r="VAE42" s="19"/>
      <c r="VAF42" s="19"/>
      <c r="VAG42" s="19"/>
      <c r="VAH42" s="19"/>
      <c r="VAI42" s="19"/>
      <c r="VAJ42" s="19"/>
      <c r="VAK42" s="19"/>
      <c r="VAL42" s="19"/>
      <c r="VAM42" s="19"/>
      <c r="VAN42" s="19"/>
      <c r="VAO42" s="19"/>
      <c r="VAP42" s="19"/>
      <c r="VAQ42" s="19"/>
      <c r="VAR42" s="19"/>
      <c r="VAS42" s="19"/>
      <c r="VAT42" s="19"/>
      <c r="VAU42" s="19"/>
      <c r="VAV42" s="19"/>
      <c r="VAW42" s="19"/>
      <c r="VAX42" s="19"/>
      <c r="VAY42" s="19"/>
      <c r="VAZ42" s="19"/>
      <c r="VBA42" s="19"/>
      <c r="VBB42" s="19"/>
      <c r="VBC42" s="19"/>
      <c r="VBD42" s="19"/>
      <c r="VBE42" s="19"/>
      <c r="VBF42" s="19"/>
      <c r="VBG42" s="19"/>
      <c r="VBH42" s="19"/>
      <c r="VBI42" s="19"/>
      <c r="VBJ42" s="19"/>
      <c r="VBK42" s="19"/>
      <c r="VBL42" s="19"/>
      <c r="VBM42" s="19"/>
      <c r="VBN42" s="19"/>
      <c r="VBO42" s="19"/>
      <c r="VBP42" s="19"/>
      <c r="VBQ42" s="19"/>
      <c r="VBR42" s="19"/>
      <c r="VBS42" s="19"/>
      <c r="VBT42" s="19"/>
      <c r="VBU42" s="19"/>
      <c r="VBV42" s="19"/>
      <c r="VBW42" s="19"/>
      <c r="VBX42" s="19"/>
      <c r="VBY42" s="19"/>
      <c r="VBZ42" s="19"/>
      <c r="VCA42" s="19"/>
      <c r="VCB42" s="19"/>
      <c r="VCC42" s="19"/>
      <c r="VCD42" s="19"/>
      <c r="VCE42" s="19"/>
      <c r="VCF42" s="19"/>
      <c r="VCG42" s="19"/>
      <c r="VCH42" s="19"/>
      <c r="VCI42" s="19"/>
      <c r="VCJ42" s="19"/>
      <c r="VCK42" s="19"/>
      <c r="VCL42" s="19"/>
      <c r="VCM42" s="19"/>
      <c r="VCN42" s="19"/>
      <c r="VCO42" s="19"/>
      <c r="VCP42" s="19"/>
      <c r="VCQ42" s="19"/>
      <c r="VCR42" s="19"/>
      <c r="VCS42" s="19"/>
      <c r="VCT42" s="19"/>
      <c r="VCU42" s="19"/>
      <c r="VCV42" s="19"/>
      <c r="VCW42" s="19"/>
      <c r="VCX42" s="19"/>
      <c r="VCY42" s="19"/>
      <c r="VCZ42" s="19"/>
      <c r="VDA42" s="19"/>
      <c r="VDB42" s="19"/>
      <c r="VDC42" s="19"/>
      <c r="VDD42" s="19"/>
      <c r="VDE42" s="19"/>
      <c r="VDF42" s="19"/>
      <c r="VDG42" s="19"/>
      <c r="VDH42" s="19"/>
      <c r="VDI42" s="19"/>
      <c r="VDJ42" s="19"/>
      <c r="VDK42" s="19"/>
      <c r="VDL42" s="19"/>
      <c r="VDM42" s="19"/>
      <c r="VDN42" s="19"/>
      <c r="VDO42" s="19"/>
      <c r="VDP42" s="19"/>
      <c r="VDQ42" s="19"/>
      <c r="VDR42" s="19"/>
      <c r="VDS42" s="19"/>
      <c r="VDT42" s="19"/>
      <c r="VDU42" s="19"/>
      <c r="VDV42" s="19"/>
      <c r="VDW42" s="19"/>
      <c r="VDX42" s="19"/>
      <c r="VDY42" s="19"/>
      <c r="VDZ42" s="19"/>
      <c r="VEA42" s="19"/>
      <c r="VEB42" s="19"/>
      <c r="VEC42" s="19"/>
      <c r="VED42" s="19"/>
      <c r="VEE42" s="19"/>
      <c r="VEF42" s="19"/>
      <c r="VEG42" s="19"/>
      <c r="VEH42" s="19"/>
      <c r="VEI42" s="19"/>
      <c r="VEJ42" s="19"/>
      <c r="VEK42" s="19"/>
      <c r="VEL42" s="19"/>
      <c r="VEM42" s="19"/>
      <c r="VEN42" s="19"/>
      <c r="VEO42" s="19"/>
      <c r="VEP42" s="19"/>
      <c r="VEQ42" s="19"/>
      <c r="VER42" s="19"/>
      <c r="VES42" s="19"/>
      <c r="VET42" s="19"/>
      <c r="VEU42" s="19"/>
      <c r="VEV42" s="19"/>
      <c r="VEW42" s="19"/>
      <c r="VEX42" s="19"/>
      <c r="VEY42" s="19"/>
      <c r="VEZ42" s="19"/>
      <c r="VFA42" s="19"/>
      <c r="VFB42" s="19"/>
      <c r="VFC42" s="19"/>
      <c r="VFD42" s="19"/>
      <c r="VFE42" s="19"/>
      <c r="VFF42" s="19"/>
      <c r="VFG42" s="19"/>
      <c r="VFH42" s="19"/>
      <c r="VFI42" s="19"/>
      <c r="VFJ42" s="19"/>
      <c r="VFK42" s="19"/>
      <c r="VFL42" s="19"/>
      <c r="VFM42" s="19"/>
      <c r="VFN42" s="19"/>
      <c r="VFO42" s="19"/>
      <c r="VFP42" s="19"/>
      <c r="VFQ42" s="19"/>
      <c r="VFR42" s="19"/>
      <c r="VFS42" s="19"/>
      <c r="VFT42" s="19"/>
      <c r="VFU42" s="19"/>
      <c r="VFV42" s="19"/>
      <c r="VFW42" s="19"/>
      <c r="VFX42" s="19"/>
      <c r="VFY42" s="19"/>
      <c r="VFZ42" s="19"/>
      <c r="VGA42" s="19"/>
      <c r="VGB42" s="19"/>
      <c r="VGC42" s="19"/>
      <c r="VGD42" s="19"/>
      <c r="VGE42" s="19"/>
      <c r="VGF42" s="19"/>
      <c r="VGG42" s="19"/>
      <c r="VGH42" s="19"/>
      <c r="VGI42" s="19"/>
      <c r="VGJ42" s="19"/>
      <c r="VGK42" s="19"/>
      <c r="VGL42" s="19"/>
      <c r="VGM42" s="19"/>
      <c r="VGN42" s="19"/>
      <c r="VGO42" s="19"/>
      <c r="VGP42" s="19"/>
      <c r="VGQ42" s="19"/>
      <c r="VGR42" s="19"/>
      <c r="VGS42" s="19"/>
      <c r="VGT42" s="19"/>
      <c r="VGU42" s="19"/>
      <c r="VGV42" s="19"/>
      <c r="VGW42" s="19"/>
      <c r="VGX42" s="19"/>
      <c r="VGY42" s="19"/>
      <c r="VGZ42" s="19"/>
      <c r="VHA42" s="19"/>
      <c r="VHB42" s="19"/>
      <c r="VHC42" s="19"/>
      <c r="VHD42" s="19"/>
      <c r="VHE42" s="19"/>
      <c r="VHF42" s="19"/>
      <c r="VHG42" s="19"/>
      <c r="VHH42" s="19"/>
      <c r="VHI42" s="19"/>
      <c r="VHJ42" s="19"/>
      <c r="VHK42" s="19"/>
      <c r="VHL42" s="19"/>
      <c r="VHM42" s="19"/>
      <c r="VHN42" s="19"/>
      <c r="VHO42" s="19"/>
      <c r="VHP42" s="19"/>
      <c r="VHQ42" s="19"/>
      <c r="VHR42" s="19"/>
      <c r="VHS42" s="19"/>
      <c r="VHT42" s="19"/>
      <c r="VHU42" s="19"/>
      <c r="VHV42" s="19"/>
      <c r="VHW42" s="19"/>
      <c r="VHX42" s="19"/>
      <c r="VHY42" s="19"/>
      <c r="VHZ42" s="19"/>
      <c r="VIA42" s="19"/>
      <c r="VIB42" s="19"/>
      <c r="VIC42" s="19"/>
      <c r="VID42" s="19"/>
      <c r="VIE42" s="19"/>
      <c r="VIF42" s="19"/>
      <c r="VIG42" s="19"/>
      <c r="VIH42" s="19"/>
      <c r="VII42" s="19"/>
      <c r="VIJ42" s="19"/>
      <c r="VIK42" s="19"/>
      <c r="VIL42" s="19"/>
      <c r="VIM42" s="19"/>
      <c r="VIN42" s="19"/>
      <c r="VIO42" s="19"/>
      <c r="VIP42" s="19"/>
      <c r="VIQ42" s="19"/>
      <c r="VIR42" s="19"/>
      <c r="VIS42" s="19"/>
      <c r="VIT42" s="19"/>
      <c r="VIU42" s="19"/>
      <c r="VIV42" s="19"/>
      <c r="VIW42" s="19"/>
      <c r="VIX42" s="19"/>
      <c r="VIY42" s="19"/>
      <c r="VIZ42" s="19"/>
      <c r="VJA42" s="19"/>
      <c r="VJB42" s="19"/>
      <c r="VJC42" s="19"/>
      <c r="VJD42" s="19"/>
      <c r="VJE42" s="19"/>
      <c r="VJF42" s="19"/>
      <c r="VJG42" s="19"/>
      <c r="VJH42" s="19"/>
      <c r="VJI42" s="19"/>
      <c r="VJJ42" s="19"/>
      <c r="VJK42" s="19"/>
      <c r="VJL42" s="19"/>
      <c r="VJM42" s="19"/>
      <c r="VJN42" s="19"/>
      <c r="VJO42" s="19"/>
      <c r="VJP42" s="19"/>
      <c r="VJQ42" s="19"/>
      <c r="VJR42" s="19"/>
      <c r="VJS42" s="19"/>
      <c r="VJT42" s="19"/>
      <c r="VJU42" s="19"/>
      <c r="VJV42" s="19"/>
      <c r="VJW42" s="19"/>
      <c r="VJX42" s="19"/>
      <c r="VJY42" s="19"/>
      <c r="VJZ42" s="19"/>
      <c r="VKA42" s="19"/>
      <c r="VKB42" s="19"/>
      <c r="VKC42" s="19"/>
      <c r="VKD42" s="19"/>
      <c r="VKE42" s="19"/>
      <c r="VKF42" s="19"/>
      <c r="VKG42" s="19"/>
      <c r="VKH42" s="19"/>
      <c r="VKI42" s="19"/>
      <c r="VKJ42" s="19"/>
      <c r="VKK42" s="19"/>
      <c r="VKL42" s="19"/>
      <c r="VKM42" s="19"/>
      <c r="VKN42" s="19"/>
      <c r="VKO42" s="19"/>
      <c r="VKP42" s="19"/>
      <c r="VKQ42" s="19"/>
      <c r="VKR42" s="19"/>
      <c r="VKS42" s="19"/>
      <c r="VKT42" s="19"/>
      <c r="VKU42" s="19"/>
      <c r="VKV42" s="19"/>
      <c r="VKW42" s="19"/>
      <c r="VKX42" s="19"/>
      <c r="VKY42" s="19"/>
      <c r="VKZ42" s="19"/>
      <c r="VLA42" s="19"/>
      <c r="VLB42" s="19"/>
      <c r="VLC42" s="19"/>
      <c r="VLD42" s="19"/>
      <c r="VLE42" s="19"/>
      <c r="VLF42" s="19"/>
      <c r="VLG42" s="19"/>
      <c r="VLH42" s="19"/>
      <c r="VLI42" s="19"/>
      <c r="VLJ42" s="19"/>
      <c r="VLK42" s="19"/>
      <c r="VLL42" s="19"/>
      <c r="VLM42" s="19"/>
      <c r="VLN42" s="19"/>
      <c r="VLO42" s="19"/>
      <c r="VLP42" s="19"/>
      <c r="VLQ42" s="19"/>
      <c r="VLR42" s="19"/>
      <c r="VLS42" s="19"/>
      <c r="VLT42" s="19"/>
      <c r="VLU42" s="19"/>
      <c r="VLV42" s="19"/>
      <c r="VLW42" s="19"/>
      <c r="VLX42" s="19"/>
      <c r="VLY42" s="19"/>
      <c r="VLZ42" s="19"/>
      <c r="VMA42" s="19"/>
      <c r="VMB42" s="19"/>
      <c r="VMC42" s="19"/>
      <c r="VMD42" s="19"/>
      <c r="VME42" s="19"/>
      <c r="VMF42" s="19"/>
      <c r="VMG42" s="19"/>
      <c r="VMH42" s="19"/>
      <c r="VMI42" s="19"/>
      <c r="VMJ42" s="19"/>
      <c r="VMK42" s="19"/>
      <c r="VML42" s="19"/>
      <c r="VMM42" s="19"/>
      <c r="VMN42" s="19"/>
      <c r="VMO42" s="19"/>
      <c r="VMP42" s="19"/>
      <c r="VMQ42" s="19"/>
      <c r="VMR42" s="19"/>
      <c r="VMS42" s="19"/>
      <c r="VMT42" s="19"/>
      <c r="VMU42" s="19"/>
      <c r="VMV42" s="19"/>
      <c r="VMW42" s="19"/>
      <c r="VMX42" s="19"/>
      <c r="VMY42" s="19"/>
      <c r="VMZ42" s="19"/>
      <c r="VNA42" s="19"/>
      <c r="VNB42" s="19"/>
      <c r="VNC42" s="19"/>
      <c r="VND42" s="19"/>
      <c r="VNE42" s="19"/>
      <c r="VNF42" s="19"/>
      <c r="VNG42" s="19"/>
      <c r="VNH42" s="19"/>
      <c r="VNI42" s="19"/>
      <c r="VNJ42" s="19"/>
      <c r="VNK42" s="19"/>
      <c r="VNL42" s="19"/>
      <c r="VNM42" s="19"/>
      <c r="VNN42" s="19"/>
      <c r="VNO42" s="19"/>
      <c r="VNP42" s="19"/>
      <c r="VNQ42" s="19"/>
      <c r="VNR42" s="19"/>
      <c r="VNS42" s="19"/>
      <c r="VNT42" s="19"/>
      <c r="VNU42" s="19"/>
      <c r="VNV42" s="19"/>
      <c r="VNW42" s="19"/>
      <c r="VNX42" s="19"/>
      <c r="VNY42" s="19"/>
      <c r="VNZ42" s="19"/>
      <c r="VOA42" s="19"/>
      <c r="VOB42" s="19"/>
      <c r="VOC42" s="19"/>
      <c r="VOD42" s="19"/>
      <c r="VOE42" s="19"/>
      <c r="VOF42" s="19"/>
      <c r="VOG42" s="19"/>
      <c r="VOH42" s="19"/>
      <c r="VOI42" s="19"/>
      <c r="VOJ42" s="19"/>
      <c r="VOK42" s="19"/>
      <c r="VOL42" s="19"/>
      <c r="VOM42" s="19"/>
      <c r="VON42" s="19"/>
      <c r="VOO42" s="19"/>
      <c r="VOP42" s="19"/>
      <c r="VOQ42" s="19"/>
      <c r="VOR42" s="19"/>
      <c r="VOS42" s="19"/>
      <c r="VOT42" s="19"/>
      <c r="VOU42" s="19"/>
      <c r="VOV42" s="19"/>
      <c r="VOW42" s="19"/>
      <c r="VOX42" s="19"/>
      <c r="VOY42" s="19"/>
      <c r="VOZ42" s="19"/>
      <c r="VPA42" s="19"/>
      <c r="VPB42" s="19"/>
      <c r="VPC42" s="19"/>
      <c r="VPD42" s="19"/>
      <c r="VPE42" s="19"/>
      <c r="VPF42" s="19"/>
      <c r="VPG42" s="19"/>
      <c r="VPH42" s="19"/>
      <c r="VPI42" s="19"/>
      <c r="VPJ42" s="19"/>
      <c r="VPK42" s="19"/>
      <c r="VPL42" s="19"/>
      <c r="VPM42" s="19"/>
      <c r="VPN42" s="19"/>
      <c r="VPO42" s="19"/>
      <c r="VPP42" s="19"/>
      <c r="VPQ42" s="19"/>
      <c r="VPR42" s="19"/>
      <c r="VPS42" s="19"/>
      <c r="VPT42" s="19"/>
      <c r="VPU42" s="19"/>
      <c r="VPV42" s="19"/>
      <c r="VPW42" s="19"/>
      <c r="VPX42" s="19"/>
      <c r="VPY42" s="19"/>
      <c r="VPZ42" s="19"/>
      <c r="VQA42" s="19"/>
      <c r="VQB42" s="19"/>
      <c r="VQC42" s="19"/>
      <c r="VQD42" s="19"/>
      <c r="VQE42" s="19"/>
      <c r="VQF42" s="19"/>
      <c r="VQG42" s="19"/>
      <c r="VQH42" s="19"/>
      <c r="VQI42" s="19"/>
      <c r="VQJ42" s="19"/>
      <c r="VQK42" s="19"/>
      <c r="VQL42" s="19"/>
      <c r="VQM42" s="19"/>
      <c r="VQN42" s="19"/>
      <c r="VQO42" s="19"/>
      <c r="VQP42" s="19"/>
      <c r="VQQ42" s="19"/>
      <c r="VQR42" s="19"/>
      <c r="VQS42" s="19"/>
      <c r="VQT42" s="19"/>
      <c r="VQU42" s="19"/>
      <c r="VQV42" s="19"/>
      <c r="VQW42" s="19"/>
      <c r="VQX42" s="19"/>
      <c r="VQY42" s="19"/>
      <c r="VQZ42" s="19"/>
      <c r="VRA42" s="19"/>
      <c r="VRB42" s="19"/>
      <c r="VRC42" s="19"/>
      <c r="VRD42" s="19"/>
      <c r="VRE42" s="19"/>
      <c r="VRF42" s="19"/>
      <c r="VRG42" s="19"/>
      <c r="VRH42" s="19"/>
      <c r="VRI42" s="19"/>
      <c r="VRJ42" s="19"/>
      <c r="VRK42" s="19"/>
      <c r="VRL42" s="19"/>
      <c r="VRM42" s="19"/>
      <c r="VRN42" s="19"/>
      <c r="VRO42" s="19"/>
      <c r="VRP42" s="19"/>
      <c r="VRQ42" s="19"/>
      <c r="VRR42" s="19"/>
      <c r="VRS42" s="19"/>
      <c r="VRT42" s="19"/>
      <c r="VRU42" s="19"/>
      <c r="VRV42" s="19"/>
      <c r="VRW42" s="19"/>
      <c r="VRX42" s="19"/>
      <c r="VRY42" s="19"/>
      <c r="VRZ42" s="19"/>
      <c r="VSA42" s="19"/>
      <c r="VSB42" s="19"/>
      <c r="VSC42" s="19"/>
      <c r="VSD42" s="19"/>
      <c r="VSE42" s="19"/>
      <c r="VSF42" s="19"/>
      <c r="VSG42" s="19"/>
      <c r="VSH42" s="19"/>
      <c r="VSI42" s="19"/>
      <c r="VSJ42" s="19"/>
      <c r="VSK42" s="19"/>
      <c r="VSL42" s="19"/>
      <c r="VSM42" s="19"/>
      <c r="VSN42" s="19"/>
      <c r="VSO42" s="19"/>
      <c r="VSP42" s="19"/>
      <c r="VSQ42" s="19"/>
      <c r="VSR42" s="19"/>
      <c r="VSS42" s="19"/>
      <c r="VST42" s="19"/>
      <c r="VSU42" s="19"/>
      <c r="VSV42" s="19"/>
      <c r="VSW42" s="19"/>
      <c r="VSX42" s="19"/>
      <c r="VSY42" s="19"/>
      <c r="VSZ42" s="19"/>
      <c r="VTA42" s="19"/>
      <c r="VTB42" s="19"/>
      <c r="VTC42" s="19"/>
      <c r="VTD42" s="19"/>
      <c r="VTE42" s="19"/>
      <c r="VTF42" s="19"/>
      <c r="VTG42" s="19"/>
      <c r="VTH42" s="19"/>
      <c r="VTI42" s="19"/>
      <c r="VTJ42" s="19"/>
      <c r="VTK42" s="19"/>
      <c r="VTL42" s="19"/>
      <c r="VTM42" s="19"/>
      <c r="VTN42" s="19"/>
      <c r="VTO42" s="19"/>
      <c r="VTP42" s="19"/>
      <c r="VTQ42" s="19"/>
      <c r="VTR42" s="19"/>
      <c r="VTS42" s="19"/>
      <c r="VTT42" s="19"/>
      <c r="VTU42" s="19"/>
      <c r="VTV42" s="19"/>
      <c r="VTW42" s="19"/>
      <c r="VTX42" s="19"/>
      <c r="VTY42" s="19"/>
      <c r="VTZ42" s="19"/>
      <c r="VUA42" s="19"/>
      <c r="VUB42" s="19"/>
      <c r="VUC42" s="19"/>
      <c r="VUD42" s="19"/>
      <c r="VUE42" s="19"/>
      <c r="VUF42" s="19"/>
      <c r="VUG42" s="19"/>
      <c r="VUH42" s="19"/>
      <c r="VUI42" s="19"/>
      <c r="VUJ42" s="19"/>
      <c r="VUK42" s="19"/>
      <c r="VUL42" s="19"/>
      <c r="VUM42" s="19"/>
      <c r="VUN42" s="19"/>
      <c r="VUO42" s="19"/>
      <c r="VUP42" s="19"/>
      <c r="VUQ42" s="19"/>
      <c r="VUR42" s="19"/>
      <c r="VUS42" s="19"/>
      <c r="VUT42" s="19"/>
      <c r="VUU42" s="19"/>
      <c r="VUV42" s="19"/>
      <c r="VUW42" s="19"/>
      <c r="VUX42" s="19"/>
      <c r="VUY42" s="19"/>
      <c r="VUZ42" s="19"/>
      <c r="VVA42" s="19"/>
      <c r="VVB42" s="19"/>
      <c r="VVC42" s="19"/>
      <c r="VVD42" s="19"/>
      <c r="VVE42" s="19"/>
      <c r="VVF42" s="19"/>
      <c r="VVG42" s="19"/>
      <c r="VVH42" s="19"/>
      <c r="VVI42" s="19"/>
      <c r="VVJ42" s="19"/>
      <c r="VVK42" s="19"/>
      <c r="VVL42" s="19"/>
      <c r="VVM42" s="19"/>
      <c r="VVN42" s="19"/>
      <c r="VVO42" s="19"/>
      <c r="VVP42" s="19"/>
      <c r="VVQ42" s="19"/>
      <c r="VVR42" s="19"/>
      <c r="VVS42" s="19"/>
      <c r="VVT42" s="19"/>
      <c r="VVU42" s="19"/>
      <c r="VVV42" s="19"/>
      <c r="VVW42" s="19"/>
      <c r="VVX42" s="19"/>
      <c r="VVY42" s="19"/>
      <c r="VVZ42" s="19"/>
      <c r="VWA42" s="19"/>
      <c r="VWB42" s="19"/>
      <c r="VWC42" s="19"/>
      <c r="VWD42" s="19"/>
      <c r="VWE42" s="19"/>
      <c r="VWF42" s="19"/>
      <c r="VWG42" s="19"/>
      <c r="VWH42" s="19"/>
      <c r="VWI42" s="19"/>
      <c r="VWJ42" s="19"/>
      <c r="VWK42" s="19"/>
      <c r="VWL42" s="19"/>
      <c r="VWM42" s="19"/>
      <c r="VWN42" s="19"/>
      <c r="VWO42" s="19"/>
      <c r="VWP42" s="19"/>
      <c r="VWQ42" s="19"/>
      <c r="VWR42" s="19"/>
      <c r="VWS42" s="19"/>
      <c r="VWT42" s="19"/>
      <c r="VWU42" s="19"/>
      <c r="VWV42" s="19"/>
      <c r="VWW42" s="19"/>
      <c r="VWX42" s="19"/>
      <c r="VWY42" s="19"/>
      <c r="VWZ42" s="19"/>
      <c r="VXA42" s="19"/>
      <c r="VXB42" s="19"/>
      <c r="VXC42" s="19"/>
      <c r="VXD42" s="19"/>
      <c r="VXE42" s="19"/>
      <c r="VXF42" s="19"/>
      <c r="VXG42" s="19"/>
      <c r="VXH42" s="19"/>
      <c r="VXI42" s="19"/>
      <c r="VXJ42" s="19"/>
      <c r="VXK42" s="19"/>
      <c r="VXL42" s="19"/>
      <c r="VXM42" s="19"/>
      <c r="VXN42" s="19"/>
      <c r="VXO42" s="19"/>
      <c r="VXP42" s="19"/>
      <c r="VXQ42" s="19"/>
      <c r="VXR42" s="19"/>
      <c r="VXS42" s="19"/>
      <c r="VXT42" s="19"/>
      <c r="VXU42" s="19"/>
      <c r="VXV42" s="19"/>
      <c r="VXW42" s="19"/>
      <c r="VXX42" s="19"/>
      <c r="VXY42" s="19"/>
      <c r="VXZ42" s="19"/>
      <c r="VYA42" s="19"/>
      <c r="VYB42" s="19"/>
      <c r="VYC42" s="19"/>
      <c r="VYD42" s="19"/>
      <c r="VYE42" s="19"/>
      <c r="VYF42" s="19"/>
      <c r="VYG42" s="19"/>
      <c r="VYH42" s="19"/>
      <c r="VYI42" s="19"/>
      <c r="VYJ42" s="19"/>
      <c r="VYK42" s="19"/>
      <c r="VYL42" s="19"/>
      <c r="VYM42" s="19"/>
      <c r="VYN42" s="19"/>
      <c r="VYO42" s="19"/>
      <c r="VYP42" s="19"/>
      <c r="VYQ42" s="19"/>
      <c r="VYR42" s="19"/>
      <c r="VYS42" s="19"/>
      <c r="VYT42" s="19"/>
      <c r="VYU42" s="19"/>
      <c r="VYV42" s="19"/>
      <c r="VYW42" s="19"/>
      <c r="VYX42" s="19"/>
      <c r="VYY42" s="19"/>
      <c r="VYZ42" s="19"/>
      <c r="VZA42" s="19"/>
      <c r="VZB42" s="19"/>
      <c r="VZC42" s="19"/>
      <c r="VZD42" s="19"/>
      <c r="VZE42" s="19"/>
      <c r="VZF42" s="19"/>
      <c r="VZG42" s="19"/>
      <c r="VZH42" s="19"/>
      <c r="VZI42" s="19"/>
      <c r="VZJ42" s="19"/>
      <c r="VZK42" s="19"/>
      <c r="VZL42" s="19"/>
      <c r="VZM42" s="19"/>
      <c r="VZN42" s="19"/>
      <c r="VZO42" s="19"/>
      <c r="VZP42" s="19"/>
      <c r="VZQ42" s="19"/>
      <c r="VZR42" s="19"/>
      <c r="VZS42" s="19"/>
      <c r="VZT42" s="19"/>
      <c r="VZU42" s="19"/>
      <c r="VZV42" s="19"/>
      <c r="VZW42" s="19"/>
      <c r="VZX42" s="19"/>
      <c r="VZY42" s="19"/>
      <c r="VZZ42" s="19"/>
      <c r="WAA42" s="19"/>
      <c r="WAB42" s="19"/>
      <c r="WAC42" s="19"/>
      <c r="WAD42" s="19"/>
      <c r="WAE42" s="19"/>
      <c r="WAF42" s="19"/>
      <c r="WAG42" s="19"/>
      <c r="WAH42" s="19"/>
      <c r="WAI42" s="19"/>
      <c r="WAJ42" s="19"/>
      <c r="WAK42" s="19"/>
      <c r="WAL42" s="19"/>
      <c r="WAM42" s="19"/>
      <c r="WAN42" s="19"/>
      <c r="WAO42" s="19"/>
      <c r="WAP42" s="19"/>
      <c r="WAQ42" s="19"/>
      <c r="WAR42" s="19"/>
      <c r="WAS42" s="19"/>
      <c r="WAT42" s="19"/>
      <c r="WAU42" s="19"/>
      <c r="WAV42" s="19"/>
      <c r="WAW42" s="19"/>
      <c r="WAX42" s="19"/>
      <c r="WAY42" s="19"/>
      <c r="WAZ42" s="19"/>
      <c r="WBA42" s="19"/>
      <c r="WBB42" s="19"/>
      <c r="WBC42" s="19"/>
      <c r="WBD42" s="19"/>
      <c r="WBE42" s="19"/>
      <c r="WBF42" s="19"/>
      <c r="WBG42" s="19"/>
      <c r="WBH42" s="19"/>
      <c r="WBI42" s="19"/>
      <c r="WBJ42" s="19"/>
      <c r="WBK42" s="19"/>
      <c r="WBL42" s="19"/>
      <c r="WBM42" s="19"/>
      <c r="WBN42" s="19"/>
      <c r="WBO42" s="19"/>
      <c r="WBP42" s="19"/>
      <c r="WBQ42" s="19"/>
      <c r="WBR42" s="19"/>
      <c r="WBS42" s="19"/>
      <c r="WBT42" s="19"/>
      <c r="WBU42" s="19"/>
      <c r="WBV42" s="19"/>
      <c r="WBW42" s="19"/>
      <c r="WBX42" s="19"/>
      <c r="WBY42" s="19"/>
      <c r="WBZ42" s="19"/>
      <c r="WCA42" s="19"/>
      <c r="WCB42" s="19"/>
      <c r="WCC42" s="19"/>
      <c r="WCD42" s="19"/>
      <c r="WCE42" s="19"/>
      <c r="WCF42" s="19"/>
      <c r="WCG42" s="19"/>
      <c r="WCH42" s="19"/>
      <c r="WCI42" s="19"/>
      <c r="WCJ42" s="19"/>
      <c r="WCK42" s="19"/>
      <c r="WCL42" s="19"/>
      <c r="WCM42" s="19"/>
      <c r="WCN42" s="19"/>
      <c r="WCO42" s="19"/>
      <c r="WCP42" s="19"/>
      <c r="WCQ42" s="19"/>
      <c r="WCR42" s="19"/>
      <c r="WCS42" s="19"/>
      <c r="WCT42" s="19"/>
      <c r="WCU42" s="19"/>
      <c r="WCV42" s="19"/>
      <c r="WCW42" s="19"/>
      <c r="WCX42" s="19"/>
      <c r="WCY42" s="19"/>
      <c r="WCZ42" s="19"/>
      <c r="WDA42" s="19"/>
      <c r="WDB42" s="19"/>
      <c r="WDC42" s="19"/>
      <c r="WDD42" s="19"/>
      <c r="WDE42" s="19"/>
      <c r="WDF42" s="19"/>
      <c r="WDG42" s="19"/>
      <c r="WDH42" s="19"/>
      <c r="WDI42" s="19"/>
      <c r="WDJ42" s="19"/>
      <c r="WDK42" s="19"/>
      <c r="WDL42" s="19"/>
      <c r="WDM42" s="19"/>
      <c r="WDN42" s="19"/>
      <c r="WDO42" s="19"/>
      <c r="WDP42" s="19"/>
      <c r="WDQ42" s="19"/>
      <c r="WDR42" s="19"/>
      <c r="WDS42" s="19"/>
      <c r="WDT42" s="19"/>
      <c r="WDU42" s="19"/>
      <c r="WDV42" s="19"/>
      <c r="WDW42" s="19"/>
      <c r="WDX42" s="19"/>
      <c r="WDY42" s="19"/>
      <c r="WDZ42" s="19"/>
      <c r="WEA42" s="19"/>
      <c r="WEB42" s="19"/>
      <c r="WEC42" s="19"/>
      <c r="WED42" s="19"/>
      <c r="WEE42" s="19"/>
      <c r="WEF42" s="19"/>
      <c r="WEG42" s="19"/>
      <c r="WEH42" s="19"/>
      <c r="WEI42" s="19"/>
      <c r="WEJ42" s="19"/>
      <c r="WEK42" s="19"/>
      <c r="WEL42" s="19"/>
      <c r="WEM42" s="19"/>
      <c r="WEN42" s="19"/>
      <c r="WEO42" s="19"/>
      <c r="WEP42" s="19"/>
      <c r="WEQ42" s="19"/>
      <c r="WER42" s="19"/>
      <c r="WES42" s="19"/>
      <c r="WET42" s="19"/>
      <c r="WEU42" s="19"/>
      <c r="WEV42" s="19"/>
      <c r="WEW42" s="19"/>
      <c r="WEX42" s="19"/>
      <c r="WEY42" s="19"/>
      <c r="WEZ42" s="19"/>
      <c r="WFA42" s="19"/>
      <c r="WFB42" s="19"/>
      <c r="WFC42" s="19"/>
      <c r="WFD42" s="19"/>
      <c r="WFE42" s="19"/>
      <c r="WFF42" s="19"/>
      <c r="WFG42" s="19"/>
      <c r="WFH42" s="19"/>
      <c r="WFI42" s="19"/>
      <c r="WFJ42" s="19"/>
      <c r="WFK42" s="19"/>
      <c r="WFL42" s="19"/>
      <c r="WFM42" s="19"/>
      <c r="WFN42" s="19"/>
      <c r="WFO42" s="19"/>
      <c r="WFP42" s="19"/>
      <c r="WFQ42" s="19"/>
      <c r="WFR42" s="19"/>
      <c r="WFS42" s="19"/>
      <c r="WFT42" s="19"/>
      <c r="WFU42" s="19"/>
      <c r="WFV42" s="19"/>
      <c r="WFW42" s="19"/>
      <c r="WFX42" s="19"/>
      <c r="WFY42" s="19"/>
      <c r="WFZ42" s="19"/>
      <c r="WGA42" s="19"/>
      <c r="WGB42" s="19"/>
      <c r="WGC42" s="19"/>
      <c r="WGD42" s="19"/>
      <c r="WGE42" s="19"/>
      <c r="WGF42" s="19"/>
      <c r="WGG42" s="19"/>
      <c r="WGH42" s="19"/>
      <c r="WGI42" s="19"/>
      <c r="WGJ42" s="19"/>
      <c r="WGK42" s="19"/>
      <c r="WGL42" s="19"/>
      <c r="WGM42" s="19"/>
      <c r="WGN42" s="19"/>
      <c r="WGO42" s="19"/>
      <c r="WGP42" s="19"/>
      <c r="WGQ42" s="19"/>
      <c r="WGR42" s="19"/>
      <c r="WGS42" s="19"/>
      <c r="WGT42" s="19"/>
      <c r="WGU42" s="19"/>
      <c r="WGV42" s="19"/>
      <c r="WGW42" s="19"/>
      <c r="WGX42" s="19"/>
      <c r="WGY42" s="19"/>
      <c r="WGZ42" s="19"/>
      <c r="WHA42" s="19"/>
      <c r="WHB42" s="19"/>
      <c r="WHC42" s="19"/>
      <c r="WHD42" s="19"/>
      <c r="WHE42" s="19"/>
      <c r="WHF42" s="19"/>
      <c r="WHG42" s="19"/>
      <c r="WHH42" s="19"/>
      <c r="WHI42" s="19"/>
      <c r="WHJ42" s="19"/>
      <c r="WHK42" s="19"/>
      <c r="WHL42" s="19"/>
      <c r="WHM42" s="19"/>
      <c r="WHN42" s="19"/>
      <c r="WHO42" s="19"/>
      <c r="WHP42" s="19"/>
      <c r="WHQ42" s="19"/>
      <c r="WHR42" s="19"/>
      <c r="WHS42" s="19"/>
      <c r="WHT42" s="19"/>
      <c r="WHU42" s="19"/>
      <c r="WHV42" s="19"/>
      <c r="WHW42" s="19"/>
      <c r="WHX42" s="19"/>
      <c r="WHY42" s="19"/>
      <c r="WHZ42" s="19"/>
      <c r="WIA42" s="19"/>
      <c r="WIB42" s="19"/>
      <c r="WIC42" s="19"/>
      <c r="WID42" s="19"/>
      <c r="WIE42" s="19"/>
      <c r="WIF42" s="19"/>
      <c r="WIG42" s="19"/>
      <c r="WIH42" s="19"/>
      <c r="WII42" s="19"/>
      <c r="WIJ42" s="19"/>
      <c r="WIK42" s="19"/>
      <c r="WIL42" s="19"/>
      <c r="WIM42" s="19"/>
      <c r="WIN42" s="19"/>
      <c r="WIO42" s="19"/>
      <c r="WIP42" s="19"/>
      <c r="WIQ42" s="19"/>
      <c r="WIR42" s="19"/>
      <c r="WIS42" s="19"/>
      <c r="WIT42" s="19"/>
      <c r="WIU42" s="19"/>
      <c r="WIV42" s="19"/>
      <c r="WIW42" s="19"/>
      <c r="WIX42" s="19"/>
      <c r="WIY42" s="19"/>
      <c r="WIZ42" s="19"/>
      <c r="WJA42" s="19"/>
      <c r="WJB42" s="19"/>
      <c r="WJC42" s="19"/>
      <c r="WJD42" s="19"/>
      <c r="WJE42" s="19"/>
      <c r="WJF42" s="19"/>
      <c r="WJG42" s="19"/>
      <c r="WJH42" s="19"/>
      <c r="WJI42" s="19"/>
      <c r="WJJ42" s="19"/>
      <c r="WJK42" s="19"/>
      <c r="WJL42" s="19"/>
      <c r="WJM42" s="19"/>
      <c r="WJN42" s="19"/>
      <c r="WJO42" s="19"/>
      <c r="WJP42" s="19"/>
      <c r="WJQ42" s="19"/>
      <c r="WJR42" s="19"/>
      <c r="WJS42" s="19"/>
      <c r="WJT42" s="19"/>
      <c r="WJU42" s="19"/>
      <c r="WJV42" s="19"/>
      <c r="WJW42" s="19"/>
      <c r="WJX42" s="19"/>
      <c r="WJY42" s="19"/>
      <c r="WJZ42" s="19"/>
      <c r="WKA42" s="19"/>
      <c r="WKB42" s="19"/>
      <c r="WKC42" s="19"/>
      <c r="WKD42" s="19"/>
      <c r="WKE42" s="19"/>
      <c r="WKF42" s="19"/>
      <c r="WKG42" s="19"/>
      <c r="WKH42" s="19"/>
      <c r="WKI42" s="19"/>
      <c r="WKJ42" s="19"/>
      <c r="WKK42" s="19"/>
      <c r="WKL42" s="19"/>
      <c r="WKM42" s="19"/>
      <c r="WKN42" s="19"/>
      <c r="WKO42" s="19"/>
      <c r="WKP42" s="19"/>
      <c r="WKQ42" s="19"/>
      <c r="WKR42" s="19"/>
      <c r="WKS42" s="19"/>
      <c r="WKT42" s="19"/>
      <c r="WKU42" s="19"/>
      <c r="WKV42" s="19"/>
      <c r="WKW42" s="19"/>
      <c r="WKX42" s="19"/>
      <c r="WKY42" s="19"/>
      <c r="WKZ42" s="19"/>
      <c r="WLA42" s="19"/>
      <c r="WLB42" s="19"/>
      <c r="WLC42" s="19"/>
      <c r="WLD42" s="19"/>
      <c r="WLE42" s="19"/>
      <c r="WLF42" s="19"/>
      <c r="WLG42" s="19"/>
      <c r="WLH42" s="19"/>
      <c r="WLI42" s="19"/>
      <c r="WLJ42" s="19"/>
      <c r="WLK42" s="19"/>
      <c r="WLL42" s="19"/>
      <c r="WLM42" s="19"/>
      <c r="WLN42" s="19"/>
      <c r="WLO42" s="19"/>
      <c r="WLP42" s="19"/>
      <c r="WLQ42" s="19"/>
      <c r="WLR42" s="19"/>
      <c r="WLS42" s="19"/>
      <c r="WLT42" s="19"/>
      <c r="WLU42" s="19"/>
      <c r="WLV42" s="19"/>
      <c r="WLW42" s="19"/>
      <c r="WLX42" s="19"/>
      <c r="WLY42" s="19"/>
      <c r="WLZ42" s="19"/>
      <c r="WMA42" s="19"/>
      <c r="WMB42" s="19"/>
      <c r="WMC42" s="19"/>
      <c r="WMD42" s="19"/>
      <c r="WME42" s="19"/>
      <c r="WMF42" s="19"/>
      <c r="WMG42" s="19"/>
      <c r="WMH42" s="19"/>
      <c r="WMI42" s="19"/>
      <c r="WMJ42" s="19"/>
      <c r="WMK42" s="19"/>
      <c r="WML42" s="19"/>
      <c r="WMM42" s="19"/>
      <c r="WMN42" s="19"/>
      <c r="WMO42" s="19"/>
      <c r="WMP42" s="19"/>
      <c r="WMQ42" s="19"/>
      <c r="WMR42" s="19"/>
      <c r="WMS42" s="19"/>
      <c r="WMT42" s="19"/>
      <c r="WMU42" s="19"/>
      <c r="WMV42" s="19"/>
      <c r="WMW42" s="19"/>
      <c r="WMX42" s="19"/>
      <c r="WMY42" s="19"/>
      <c r="WMZ42" s="19"/>
      <c r="WNA42" s="19"/>
      <c r="WNB42" s="19"/>
      <c r="WNC42" s="19"/>
      <c r="WND42" s="19"/>
      <c r="WNE42" s="19"/>
      <c r="WNF42" s="19"/>
      <c r="WNG42" s="19"/>
      <c r="WNH42" s="19"/>
      <c r="WNI42" s="19"/>
      <c r="WNJ42" s="19"/>
      <c r="WNK42" s="19"/>
      <c r="WNL42" s="19"/>
      <c r="WNM42" s="19"/>
      <c r="WNN42" s="19"/>
      <c r="WNO42" s="19"/>
      <c r="WNP42" s="19"/>
      <c r="WNQ42" s="19"/>
      <c r="WNR42" s="19"/>
      <c r="WNS42" s="19"/>
      <c r="WNT42" s="19"/>
      <c r="WNU42" s="19"/>
      <c r="WNV42" s="19"/>
      <c r="WNW42" s="19"/>
      <c r="WNX42" s="19"/>
      <c r="WNY42" s="19"/>
      <c r="WNZ42" s="19"/>
      <c r="WOA42" s="19"/>
      <c r="WOB42" s="19"/>
      <c r="WOC42" s="19"/>
      <c r="WOD42" s="19"/>
      <c r="WOE42" s="19"/>
      <c r="WOF42" s="19"/>
      <c r="WOG42" s="19"/>
      <c r="WOH42" s="19"/>
      <c r="WOI42" s="19"/>
      <c r="WOJ42" s="19"/>
      <c r="WOK42" s="19"/>
      <c r="WOL42" s="19"/>
      <c r="WOM42" s="19"/>
      <c r="WON42" s="19"/>
      <c r="WOO42" s="19"/>
      <c r="WOP42" s="19"/>
      <c r="WOQ42" s="19"/>
      <c r="WOR42" s="19"/>
      <c r="WOS42" s="19"/>
      <c r="WOT42" s="19"/>
      <c r="WOU42" s="19"/>
      <c r="WOV42" s="19"/>
      <c r="WOW42" s="19"/>
      <c r="WOX42" s="19"/>
      <c r="WOY42" s="19"/>
      <c r="WOZ42" s="19"/>
      <c r="WPA42" s="19"/>
      <c r="WPB42" s="19"/>
      <c r="WPC42" s="19"/>
      <c r="WPD42" s="19"/>
      <c r="WPE42" s="19"/>
      <c r="WPF42" s="19"/>
      <c r="WPG42" s="19"/>
      <c r="WPH42" s="19"/>
      <c r="WPI42" s="19"/>
      <c r="WPJ42" s="19"/>
      <c r="WPK42" s="19"/>
      <c r="WPL42" s="19"/>
      <c r="WPM42" s="19"/>
      <c r="WPN42" s="19"/>
      <c r="WPO42" s="19"/>
      <c r="WPP42" s="19"/>
      <c r="WPQ42" s="19"/>
      <c r="WPR42" s="19"/>
      <c r="WPS42" s="19"/>
      <c r="WPT42" s="19"/>
      <c r="WPU42" s="19"/>
      <c r="WPV42" s="19"/>
      <c r="WPW42" s="19"/>
      <c r="WPX42" s="19"/>
      <c r="WPY42" s="19"/>
      <c r="WPZ42" s="19"/>
      <c r="WQA42" s="19"/>
      <c r="WQB42" s="19"/>
      <c r="WQC42" s="19"/>
      <c r="WQD42" s="19"/>
      <c r="WQE42" s="19"/>
      <c r="WQF42" s="19"/>
      <c r="WQG42" s="19"/>
      <c r="WQH42" s="19"/>
      <c r="WQI42" s="19"/>
      <c r="WQJ42" s="19"/>
      <c r="WQK42" s="19"/>
      <c r="WQL42" s="19"/>
      <c r="WQM42" s="19"/>
      <c r="WQN42" s="19"/>
      <c r="WQO42" s="19"/>
      <c r="WQP42" s="19"/>
      <c r="WQQ42" s="19"/>
      <c r="WQR42" s="19"/>
      <c r="WQS42" s="19"/>
      <c r="WQT42" s="19"/>
      <c r="WQU42" s="19"/>
      <c r="WQV42" s="19"/>
      <c r="WQW42" s="19"/>
      <c r="WQX42" s="19"/>
      <c r="WQY42" s="19"/>
      <c r="WQZ42" s="19"/>
      <c r="WRA42" s="19"/>
      <c r="WRB42" s="19"/>
      <c r="WRC42" s="19"/>
      <c r="WRD42" s="19"/>
      <c r="WRE42" s="19"/>
      <c r="WRF42" s="19"/>
      <c r="WRG42" s="19"/>
      <c r="WRH42" s="19"/>
      <c r="WRI42" s="19"/>
      <c r="WRJ42" s="19"/>
      <c r="WRK42" s="19"/>
      <c r="WRL42" s="19"/>
      <c r="WRM42" s="19"/>
      <c r="WRN42" s="19"/>
      <c r="WRO42" s="19"/>
      <c r="WRP42" s="19"/>
      <c r="WRQ42" s="19"/>
      <c r="WRR42" s="19"/>
      <c r="WRS42" s="19"/>
      <c r="WRT42" s="19"/>
      <c r="WRU42" s="19"/>
      <c r="WRV42" s="19"/>
      <c r="WRW42" s="19"/>
      <c r="WRX42" s="19"/>
      <c r="WRY42" s="19"/>
      <c r="WRZ42" s="19"/>
      <c r="WSA42" s="19"/>
      <c r="WSB42" s="19"/>
      <c r="WSC42" s="19"/>
      <c r="WSD42" s="19"/>
      <c r="WSE42" s="19"/>
      <c r="WSF42" s="19"/>
      <c r="WSG42" s="19"/>
      <c r="WSH42" s="19"/>
      <c r="WSI42" s="19"/>
      <c r="WSJ42" s="19"/>
      <c r="WSK42" s="19"/>
      <c r="WSL42" s="19"/>
      <c r="WSM42" s="19"/>
      <c r="WSN42" s="19"/>
      <c r="WSO42" s="19"/>
      <c r="WSP42" s="19"/>
      <c r="WSQ42" s="19"/>
      <c r="WSR42" s="19"/>
      <c r="WSS42" s="19"/>
      <c r="WST42" s="19"/>
      <c r="WSU42" s="19"/>
      <c r="WSV42" s="19"/>
      <c r="WSW42" s="19"/>
      <c r="WSX42" s="19"/>
      <c r="WSY42" s="19"/>
      <c r="WSZ42" s="19"/>
      <c r="WTA42" s="19"/>
      <c r="WTB42" s="19"/>
      <c r="WTC42" s="19"/>
      <c r="WTD42" s="19"/>
      <c r="WTE42" s="19"/>
      <c r="WTF42" s="19"/>
      <c r="WTG42" s="19"/>
      <c r="WTH42" s="19"/>
      <c r="WTI42" s="19"/>
      <c r="WTJ42" s="19"/>
      <c r="WTK42" s="19"/>
      <c r="WTL42" s="19"/>
      <c r="WTM42" s="19"/>
      <c r="WTN42" s="19"/>
      <c r="WTO42" s="19"/>
      <c r="WTP42" s="19"/>
      <c r="WTQ42" s="19"/>
      <c r="WTR42" s="19"/>
      <c r="WTS42" s="19"/>
      <c r="WTT42" s="19"/>
      <c r="WTU42" s="19"/>
      <c r="WTV42" s="19"/>
      <c r="WTW42" s="19"/>
      <c r="WTX42" s="19"/>
      <c r="WTY42" s="19"/>
      <c r="WTZ42" s="19"/>
      <c r="WUA42" s="19"/>
      <c r="WUB42" s="19"/>
      <c r="WUC42" s="19"/>
      <c r="WUD42" s="19"/>
      <c r="WUE42" s="19"/>
      <c r="WUF42" s="19"/>
      <c r="WUG42" s="19"/>
      <c r="WUH42" s="19"/>
      <c r="WUI42" s="19"/>
      <c r="WUJ42" s="19"/>
      <c r="WUK42" s="19"/>
      <c r="WUL42" s="19"/>
      <c r="WUM42" s="19"/>
      <c r="WUN42" s="19"/>
      <c r="WUO42" s="19"/>
      <c r="WUP42" s="19"/>
      <c r="WUQ42" s="19"/>
      <c r="WUR42" s="19"/>
      <c r="WUS42" s="19"/>
      <c r="WUT42" s="19"/>
      <c r="WUU42" s="19"/>
      <c r="WUV42" s="19"/>
      <c r="WUW42" s="19"/>
      <c r="WUX42" s="19"/>
      <c r="WUY42" s="19"/>
      <c r="WUZ42" s="19"/>
      <c r="WVA42" s="19"/>
      <c r="WVB42" s="19"/>
      <c r="WVC42" s="19"/>
      <c r="WVD42" s="19"/>
      <c r="WVE42" s="19"/>
      <c r="WVF42" s="19"/>
      <c r="WVG42" s="19"/>
      <c r="WVH42" s="19"/>
      <c r="WVI42" s="19"/>
      <c r="WVJ42" s="19"/>
      <c r="WVK42" s="19"/>
      <c r="WVL42" s="19"/>
      <c r="WVM42" s="19"/>
      <c r="WVN42" s="19"/>
      <c r="WVO42" s="19"/>
      <c r="WVP42" s="19"/>
      <c r="WVQ42" s="19"/>
      <c r="WVR42" s="19"/>
      <c r="WVS42" s="19"/>
      <c r="WVT42" s="19"/>
      <c r="WVU42" s="19"/>
      <c r="WVV42" s="19"/>
      <c r="WVW42" s="19"/>
      <c r="WVX42" s="19"/>
      <c r="WVY42" s="19"/>
      <c r="WVZ42" s="19"/>
      <c r="WWA42" s="19"/>
      <c r="WWB42" s="19"/>
      <c r="WWC42" s="19"/>
      <c r="WWD42" s="19"/>
      <c r="WWE42" s="19"/>
      <c r="WWF42" s="19"/>
      <c r="WWG42" s="19"/>
      <c r="WWH42" s="19"/>
      <c r="WWI42" s="19"/>
      <c r="WWJ42" s="19"/>
      <c r="WWK42" s="19"/>
      <c r="WWL42" s="19"/>
      <c r="WWM42" s="19"/>
      <c r="WWN42" s="19"/>
      <c r="WWO42" s="19"/>
      <c r="WWP42" s="19"/>
      <c r="WWQ42" s="19"/>
      <c r="WWR42" s="19"/>
      <c r="WWS42" s="19"/>
      <c r="WWT42" s="19"/>
      <c r="WWU42" s="19"/>
      <c r="WWV42" s="19"/>
      <c r="WWW42" s="19"/>
      <c r="WWX42" s="19"/>
      <c r="WWY42" s="19"/>
      <c r="WWZ42" s="19"/>
      <c r="WXA42" s="19"/>
      <c r="WXB42" s="19"/>
      <c r="WXC42" s="19"/>
      <c r="WXD42" s="19"/>
      <c r="WXE42" s="19"/>
      <c r="WXF42" s="19"/>
      <c r="WXG42" s="19"/>
      <c r="WXH42" s="19"/>
      <c r="WXI42" s="19"/>
      <c r="WXJ42" s="19"/>
      <c r="WXK42" s="19"/>
      <c r="WXL42" s="19"/>
      <c r="WXM42" s="19"/>
      <c r="WXN42" s="19"/>
      <c r="WXO42" s="19"/>
      <c r="WXP42" s="19"/>
      <c r="WXQ42" s="19"/>
      <c r="WXR42" s="19"/>
      <c r="WXS42" s="19"/>
      <c r="WXT42" s="19"/>
      <c r="WXU42" s="19"/>
      <c r="WXV42" s="19"/>
      <c r="WXW42" s="19"/>
      <c r="WXX42" s="19"/>
      <c r="WXY42" s="19"/>
      <c r="WXZ42" s="19"/>
      <c r="WYA42" s="19"/>
      <c r="WYB42" s="19"/>
      <c r="WYC42" s="19"/>
      <c r="WYD42" s="19"/>
      <c r="WYE42" s="19"/>
      <c r="WYF42" s="19"/>
      <c r="WYG42" s="19"/>
      <c r="WYH42" s="19"/>
      <c r="WYI42" s="19"/>
      <c r="WYJ42" s="19"/>
      <c r="WYK42" s="19"/>
      <c r="WYL42" s="19"/>
      <c r="WYM42" s="19"/>
      <c r="WYN42" s="19"/>
      <c r="WYO42" s="19"/>
      <c r="WYP42" s="19"/>
      <c r="WYQ42" s="19"/>
      <c r="WYR42" s="19"/>
      <c r="WYS42" s="19"/>
      <c r="WYT42" s="19"/>
      <c r="WYU42" s="19"/>
      <c r="WYV42" s="19"/>
      <c r="WYW42" s="19"/>
      <c r="WYX42" s="19"/>
      <c r="WYY42" s="19"/>
      <c r="WYZ42" s="19"/>
      <c r="WZA42" s="19"/>
      <c r="WZB42" s="19"/>
      <c r="WZC42" s="19"/>
      <c r="WZD42" s="19"/>
      <c r="WZE42" s="19"/>
      <c r="WZF42" s="19"/>
      <c r="WZG42" s="19"/>
      <c r="WZH42" s="19"/>
      <c r="WZI42" s="19"/>
      <c r="WZJ42" s="19"/>
      <c r="WZK42" s="19"/>
      <c r="WZL42" s="19"/>
      <c r="WZM42" s="19"/>
      <c r="WZN42" s="19"/>
      <c r="WZO42" s="19"/>
      <c r="WZP42" s="19"/>
      <c r="WZQ42" s="19"/>
      <c r="WZR42" s="19"/>
      <c r="WZS42" s="19"/>
      <c r="WZT42" s="19"/>
      <c r="WZU42" s="19"/>
      <c r="WZV42" s="19"/>
      <c r="WZW42" s="19"/>
      <c r="WZX42" s="19"/>
      <c r="WZY42" s="19"/>
      <c r="WZZ42" s="19"/>
      <c r="XAA42" s="19"/>
      <c r="XAB42" s="19"/>
      <c r="XAC42" s="19"/>
      <c r="XAD42" s="19"/>
      <c r="XAE42" s="19"/>
      <c r="XAF42" s="19"/>
      <c r="XAG42" s="19"/>
      <c r="XAH42" s="19"/>
      <c r="XAI42" s="19"/>
      <c r="XAJ42" s="19"/>
      <c r="XAK42" s="19"/>
      <c r="XAL42" s="19"/>
      <c r="XAM42" s="19"/>
      <c r="XAN42" s="19"/>
      <c r="XAO42" s="19"/>
      <c r="XAP42" s="19"/>
      <c r="XAQ42" s="19"/>
      <c r="XAR42" s="19"/>
      <c r="XAS42" s="19"/>
      <c r="XAT42" s="19"/>
      <c r="XAU42" s="19"/>
      <c r="XAV42" s="19"/>
      <c r="XAW42" s="19"/>
      <c r="XAX42" s="19"/>
      <c r="XAY42" s="19"/>
      <c r="XAZ42" s="19"/>
      <c r="XBA42" s="19"/>
      <c r="XBB42" s="19"/>
      <c r="XBC42" s="19"/>
      <c r="XBD42" s="19"/>
      <c r="XBE42" s="19"/>
      <c r="XBF42" s="19"/>
      <c r="XBG42" s="19"/>
      <c r="XBH42" s="19"/>
      <c r="XBI42" s="19"/>
      <c r="XBJ42" s="19"/>
      <c r="XBK42" s="19"/>
      <c r="XBL42" s="19"/>
      <c r="XBM42" s="19"/>
      <c r="XBN42" s="19"/>
      <c r="XBO42" s="19"/>
      <c r="XBP42" s="19"/>
      <c r="XBQ42" s="19"/>
      <c r="XBR42" s="19"/>
      <c r="XBS42" s="19"/>
      <c r="XBT42" s="19"/>
      <c r="XBU42" s="19"/>
      <c r="XBV42" s="19"/>
      <c r="XBW42" s="19"/>
      <c r="XBX42" s="19"/>
      <c r="XBY42" s="19"/>
      <c r="XBZ42" s="19"/>
      <c r="XCA42" s="19"/>
      <c r="XCB42" s="19"/>
      <c r="XCC42" s="19"/>
      <c r="XCD42" s="19"/>
      <c r="XCE42" s="19"/>
      <c r="XCF42" s="19"/>
      <c r="XCG42" s="19"/>
      <c r="XCH42" s="19"/>
      <c r="XCI42" s="19"/>
      <c r="XCJ42" s="19"/>
      <c r="XCK42" s="19"/>
      <c r="XCL42" s="19"/>
      <c r="XCM42" s="19"/>
      <c r="XCN42" s="19"/>
      <c r="XCO42" s="19"/>
      <c r="XCP42" s="19"/>
      <c r="XCQ42" s="19"/>
      <c r="XCR42" s="19"/>
      <c r="XCS42" s="19"/>
      <c r="XCT42" s="19"/>
      <c r="XCU42" s="19"/>
      <c r="XCV42" s="19"/>
      <c r="XCW42" s="19"/>
      <c r="XCX42" s="19"/>
      <c r="XCY42" s="19"/>
      <c r="XCZ42" s="19"/>
      <c r="XDA42" s="19"/>
      <c r="XDB42" s="19"/>
      <c r="XDC42" s="19"/>
      <c r="XDD42" s="19"/>
      <c r="XDE42" s="19"/>
      <c r="XDF42" s="19"/>
      <c r="XDG42" s="19"/>
      <c r="XDH42" s="19"/>
      <c r="XDI42" s="19"/>
      <c r="XDJ42" s="19"/>
      <c r="XDK42" s="19"/>
      <c r="XDL42" s="19"/>
      <c r="XDM42" s="19"/>
      <c r="XDN42" s="19"/>
      <c r="XDO42" s="19"/>
      <c r="XDP42" s="19"/>
      <c r="XDQ42" s="19"/>
      <c r="XDR42" s="19"/>
      <c r="XDS42" s="19"/>
      <c r="XDT42" s="19"/>
      <c r="XDU42" s="19"/>
      <c r="XDV42" s="19"/>
      <c r="XDW42" s="19"/>
      <c r="XDX42" s="19"/>
      <c r="XDY42" s="19"/>
      <c r="XDZ42" s="19"/>
      <c r="XEA42" s="19"/>
      <c r="XEB42" s="19"/>
      <c r="XEC42" s="19"/>
      <c r="XED42" s="19"/>
      <c r="XEE42" s="19"/>
      <c r="XEF42" s="19"/>
      <c r="XEG42" s="19"/>
      <c r="XEH42" s="19"/>
      <c r="XEI42" s="19"/>
      <c r="XEJ42" s="19"/>
      <c r="XEK42" s="19"/>
      <c r="XEL42" s="19"/>
      <c r="XEM42" s="19"/>
      <c r="XEN42" s="19"/>
      <c r="XEO42" s="19"/>
      <c r="XEP42" s="19"/>
      <c r="XEQ42" s="19"/>
      <c r="XER42" s="19"/>
      <c r="XES42" s="19"/>
      <c r="XET42" s="19"/>
      <c r="XEU42" s="19"/>
      <c r="XEV42" s="19"/>
      <c r="XEW42" s="19"/>
      <c r="XEX42" s="19"/>
      <c r="XEY42" s="19"/>
      <c r="XEZ42" s="19"/>
      <c r="XFA42" s="19"/>
      <c r="XFB42" s="19"/>
    </row>
    <row r="43" spans="1:16382" s="18" customFormat="1" ht="15" customHeight="1" thickBot="1" x14ac:dyDescent="0.3"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9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  <c r="LR43" s="19"/>
      <c r="LS43" s="19"/>
      <c r="LT43" s="19"/>
      <c r="LU43" s="19"/>
      <c r="LV43" s="19"/>
      <c r="LW43" s="19"/>
      <c r="LX43" s="19"/>
      <c r="LY43" s="19"/>
      <c r="LZ43" s="19"/>
      <c r="MA43" s="19"/>
      <c r="MB43" s="19"/>
      <c r="MC43" s="19"/>
      <c r="MD43" s="19"/>
      <c r="ME43" s="19"/>
      <c r="MF43" s="19"/>
      <c r="MG43" s="19"/>
      <c r="MH43" s="19"/>
      <c r="MI43" s="19"/>
      <c r="MJ43" s="19"/>
      <c r="MK43" s="19"/>
      <c r="ML43" s="19"/>
      <c r="MM43" s="19"/>
      <c r="MN43" s="19"/>
      <c r="MO43" s="19"/>
      <c r="MP43" s="19"/>
      <c r="MQ43" s="19"/>
      <c r="MR43" s="19"/>
      <c r="MS43" s="19"/>
      <c r="MT43" s="19"/>
      <c r="MU43" s="19"/>
      <c r="MV43" s="19"/>
      <c r="MW43" s="19"/>
      <c r="MX43" s="19"/>
      <c r="MY43" s="19"/>
      <c r="MZ43" s="19"/>
      <c r="NA43" s="19"/>
      <c r="NB43" s="19"/>
      <c r="NC43" s="19"/>
      <c r="ND43" s="19"/>
      <c r="NE43" s="19"/>
      <c r="NF43" s="19"/>
      <c r="NG43" s="19"/>
      <c r="NH43" s="19"/>
      <c r="NI43" s="19"/>
      <c r="NJ43" s="19"/>
      <c r="NK43" s="19"/>
      <c r="NL43" s="19"/>
      <c r="NM43" s="19"/>
      <c r="NN43" s="19"/>
      <c r="NO43" s="19"/>
      <c r="NP43" s="19"/>
      <c r="NQ43" s="19"/>
      <c r="NR43" s="19"/>
      <c r="NS43" s="19"/>
      <c r="NT43" s="19"/>
      <c r="NU43" s="19"/>
      <c r="NV43" s="19"/>
      <c r="NW43" s="19"/>
      <c r="NX43" s="19"/>
      <c r="NY43" s="19"/>
      <c r="NZ43" s="19"/>
      <c r="OA43" s="19"/>
      <c r="OB43" s="19"/>
      <c r="OC43" s="19"/>
      <c r="OD43" s="19"/>
      <c r="OE43" s="19"/>
      <c r="OF43" s="19"/>
      <c r="OG43" s="19"/>
      <c r="OH43" s="19"/>
      <c r="OI43" s="19"/>
      <c r="OJ43" s="19"/>
      <c r="OK43" s="19"/>
      <c r="OL43" s="19"/>
      <c r="OM43" s="19"/>
      <c r="ON43" s="19"/>
      <c r="OO43" s="19"/>
      <c r="OP43" s="19"/>
      <c r="OQ43" s="19"/>
      <c r="OR43" s="19"/>
      <c r="OS43" s="19"/>
      <c r="OT43" s="19"/>
      <c r="OU43" s="19"/>
      <c r="OV43" s="19"/>
      <c r="OW43" s="19"/>
      <c r="OX43" s="19"/>
      <c r="OY43" s="19"/>
      <c r="OZ43" s="19"/>
      <c r="PA43" s="19"/>
      <c r="PB43" s="19"/>
      <c r="PC43" s="19"/>
      <c r="PD43" s="19"/>
      <c r="PE43" s="19"/>
      <c r="PF43" s="19"/>
      <c r="PG43" s="19"/>
      <c r="PH43" s="19"/>
      <c r="PI43" s="19"/>
      <c r="PJ43" s="19"/>
      <c r="PK43" s="19"/>
      <c r="PL43" s="19"/>
      <c r="PM43" s="19"/>
      <c r="PN43" s="19"/>
      <c r="PO43" s="19"/>
      <c r="PP43" s="19"/>
      <c r="PQ43" s="19"/>
      <c r="PR43" s="19"/>
      <c r="PS43" s="19"/>
      <c r="PT43" s="19"/>
      <c r="PU43" s="19"/>
      <c r="PV43" s="19"/>
      <c r="PW43" s="19"/>
      <c r="PX43" s="19"/>
      <c r="PY43" s="19"/>
      <c r="PZ43" s="19"/>
      <c r="QA43" s="19"/>
      <c r="QB43" s="19"/>
      <c r="QC43" s="19"/>
      <c r="QD43" s="19"/>
      <c r="QE43" s="19"/>
      <c r="QF43" s="19"/>
      <c r="QG43" s="19"/>
      <c r="QH43" s="19"/>
      <c r="QI43" s="19"/>
      <c r="QJ43" s="19"/>
      <c r="QK43" s="19"/>
      <c r="QL43" s="19"/>
      <c r="QM43" s="19"/>
      <c r="QN43" s="19"/>
      <c r="QO43" s="19"/>
      <c r="QP43" s="19"/>
      <c r="QQ43" s="19"/>
      <c r="QR43" s="19"/>
      <c r="QS43" s="19"/>
      <c r="QT43" s="19"/>
      <c r="QU43" s="19"/>
      <c r="QV43" s="19"/>
      <c r="QW43" s="19"/>
      <c r="QX43" s="19"/>
      <c r="QY43" s="19"/>
      <c r="QZ43" s="19"/>
      <c r="RA43" s="19"/>
      <c r="RB43" s="19"/>
      <c r="RC43" s="19"/>
      <c r="RD43" s="19"/>
      <c r="RE43" s="19"/>
      <c r="RF43" s="19"/>
      <c r="RG43" s="19"/>
      <c r="RH43" s="19"/>
      <c r="RI43" s="19"/>
      <c r="RJ43" s="19"/>
      <c r="RK43" s="19"/>
      <c r="RL43" s="19"/>
      <c r="RM43" s="19"/>
      <c r="RN43" s="19"/>
      <c r="RO43" s="19"/>
      <c r="RP43" s="19"/>
      <c r="RQ43" s="19"/>
      <c r="RR43" s="19"/>
      <c r="RS43" s="19"/>
      <c r="RT43" s="19"/>
      <c r="RU43" s="19"/>
      <c r="RV43" s="19"/>
      <c r="RW43" s="19"/>
      <c r="RX43" s="19"/>
      <c r="RY43" s="19"/>
      <c r="RZ43" s="19"/>
      <c r="SA43" s="19"/>
      <c r="SB43" s="19"/>
      <c r="SC43" s="19"/>
      <c r="SD43" s="19"/>
      <c r="SE43" s="19"/>
      <c r="SF43" s="19"/>
      <c r="SG43" s="19"/>
      <c r="SH43" s="19"/>
      <c r="SI43" s="19"/>
      <c r="SJ43" s="19"/>
      <c r="SK43" s="19"/>
      <c r="SL43" s="19"/>
      <c r="SM43" s="19"/>
      <c r="SN43" s="19"/>
      <c r="SO43" s="19"/>
      <c r="SP43" s="19"/>
      <c r="SQ43" s="19"/>
      <c r="SR43" s="19"/>
      <c r="SS43" s="19"/>
      <c r="ST43" s="19"/>
      <c r="SU43" s="19"/>
      <c r="SV43" s="19"/>
      <c r="SW43" s="19"/>
      <c r="SX43" s="19"/>
      <c r="SY43" s="19"/>
      <c r="SZ43" s="19"/>
      <c r="TA43" s="19"/>
      <c r="TB43" s="19"/>
      <c r="TC43" s="19"/>
      <c r="TD43" s="19"/>
      <c r="TE43" s="19"/>
      <c r="TF43" s="19"/>
      <c r="TG43" s="19"/>
      <c r="TH43" s="19"/>
      <c r="TI43" s="19"/>
      <c r="TJ43" s="19"/>
      <c r="TK43" s="19"/>
      <c r="TL43" s="19"/>
      <c r="TM43" s="19"/>
      <c r="TN43" s="19"/>
      <c r="TO43" s="19"/>
      <c r="TP43" s="19"/>
      <c r="TQ43" s="19"/>
      <c r="TR43" s="19"/>
      <c r="TS43" s="19"/>
      <c r="TT43" s="19"/>
      <c r="TU43" s="19"/>
      <c r="TV43" s="19"/>
      <c r="TW43" s="19"/>
      <c r="TX43" s="19"/>
      <c r="TY43" s="19"/>
      <c r="TZ43" s="19"/>
      <c r="UA43" s="19"/>
      <c r="UB43" s="19"/>
      <c r="UC43" s="19"/>
      <c r="UD43" s="19"/>
      <c r="UE43" s="19"/>
      <c r="UF43" s="19"/>
      <c r="UG43" s="19"/>
      <c r="UH43" s="19"/>
      <c r="UI43" s="19"/>
      <c r="UJ43" s="19"/>
      <c r="UK43" s="19"/>
      <c r="UL43" s="19"/>
      <c r="UM43" s="19"/>
      <c r="UN43" s="19"/>
      <c r="UO43" s="19"/>
      <c r="UP43" s="19"/>
      <c r="UQ43" s="19"/>
      <c r="UR43" s="19"/>
      <c r="US43" s="19"/>
      <c r="UT43" s="19"/>
      <c r="UU43" s="19"/>
      <c r="UV43" s="19"/>
      <c r="UW43" s="19"/>
      <c r="UX43" s="19"/>
      <c r="UY43" s="19"/>
      <c r="UZ43" s="19"/>
      <c r="VA43" s="19"/>
      <c r="VB43" s="19"/>
      <c r="VC43" s="19"/>
      <c r="VD43" s="19"/>
      <c r="VE43" s="19"/>
      <c r="VF43" s="19"/>
      <c r="VG43" s="19"/>
      <c r="VH43" s="19"/>
      <c r="VI43" s="19"/>
      <c r="VJ43" s="19"/>
      <c r="VK43" s="19"/>
      <c r="VL43" s="19"/>
      <c r="VM43" s="19"/>
      <c r="VN43" s="19"/>
      <c r="VO43" s="19"/>
      <c r="VP43" s="19"/>
      <c r="VQ43" s="19"/>
      <c r="VR43" s="19"/>
      <c r="VS43" s="19"/>
      <c r="VT43" s="19"/>
      <c r="VU43" s="19"/>
      <c r="VV43" s="19"/>
      <c r="VW43" s="19"/>
      <c r="VX43" s="19"/>
      <c r="VY43" s="19"/>
      <c r="VZ43" s="19"/>
      <c r="WA43" s="19"/>
      <c r="WB43" s="19"/>
      <c r="WC43" s="19"/>
      <c r="WD43" s="19"/>
      <c r="WE43" s="19"/>
      <c r="WF43" s="19"/>
      <c r="WG43" s="19"/>
      <c r="WH43" s="19"/>
      <c r="WI43" s="19"/>
      <c r="WJ43" s="19"/>
      <c r="WK43" s="19"/>
      <c r="WL43" s="19"/>
      <c r="WM43" s="19"/>
      <c r="WN43" s="19"/>
      <c r="WO43" s="19"/>
      <c r="WP43" s="19"/>
      <c r="WQ43" s="19"/>
      <c r="WR43" s="19"/>
      <c r="WS43" s="19"/>
      <c r="WT43" s="19"/>
      <c r="WU43" s="19"/>
      <c r="WV43" s="19"/>
      <c r="WW43" s="19"/>
      <c r="WX43" s="19"/>
      <c r="WY43" s="19"/>
      <c r="WZ43" s="19"/>
      <c r="XA43" s="19"/>
      <c r="XB43" s="19"/>
      <c r="XC43" s="19"/>
      <c r="XD43" s="19"/>
      <c r="XE43" s="19"/>
      <c r="XF43" s="19"/>
      <c r="XG43" s="19"/>
      <c r="XH43" s="19"/>
      <c r="XI43" s="19"/>
      <c r="XJ43" s="19"/>
      <c r="XK43" s="19"/>
      <c r="XL43" s="19"/>
      <c r="XM43" s="19"/>
      <c r="XN43" s="19"/>
      <c r="XO43" s="19"/>
      <c r="XP43" s="19"/>
      <c r="XQ43" s="19"/>
      <c r="XR43" s="19"/>
      <c r="XS43" s="19"/>
      <c r="XT43" s="19"/>
      <c r="XU43" s="19"/>
      <c r="XV43" s="19"/>
      <c r="XW43" s="19"/>
      <c r="XX43" s="19"/>
      <c r="XY43" s="19"/>
      <c r="XZ43" s="19"/>
      <c r="YA43" s="19"/>
      <c r="YB43" s="19"/>
      <c r="YC43" s="19"/>
      <c r="YD43" s="19"/>
      <c r="YE43" s="19"/>
      <c r="YF43" s="19"/>
      <c r="YG43" s="19"/>
      <c r="YH43" s="19"/>
      <c r="YI43" s="19"/>
      <c r="YJ43" s="19"/>
      <c r="YK43" s="19"/>
      <c r="YL43" s="19"/>
      <c r="YM43" s="19"/>
      <c r="YN43" s="19"/>
      <c r="YO43" s="19"/>
      <c r="YP43" s="19"/>
      <c r="YQ43" s="19"/>
      <c r="YR43" s="19"/>
      <c r="YS43" s="19"/>
      <c r="YT43" s="19"/>
      <c r="YU43" s="19"/>
      <c r="YV43" s="19"/>
      <c r="YW43" s="19"/>
      <c r="YX43" s="19"/>
      <c r="YY43" s="19"/>
      <c r="YZ43" s="19"/>
      <c r="ZA43" s="19"/>
      <c r="ZB43" s="19"/>
      <c r="ZC43" s="19"/>
      <c r="ZD43" s="19"/>
      <c r="ZE43" s="19"/>
      <c r="ZF43" s="19"/>
      <c r="ZG43" s="19"/>
      <c r="ZH43" s="19"/>
      <c r="ZI43" s="19"/>
      <c r="ZJ43" s="19"/>
      <c r="ZK43" s="19"/>
      <c r="ZL43" s="19"/>
      <c r="ZM43" s="19"/>
      <c r="ZN43" s="19"/>
      <c r="ZO43" s="19"/>
      <c r="ZP43" s="19"/>
      <c r="ZQ43" s="19"/>
      <c r="ZR43" s="19"/>
      <c r="ZS43" s="19"/>
      <c r="ZT43" s="19"/>
      <c r="ZU43" s="19"/>
      <c r="ZV43" s="19"/>
      <c r="ZW43" s="19"/>
      <c r="ZX43" s="19"/>
      <c r="ZY43" s="19"/>
      <c r="ZZ43" s="19"/>
      <c r="AAA43" s="19"/>
      <c r="AAB43" s="19"/>
      <c r="AAC43" s="19"/>
      <c r="AAD43" s="19"/>
      <c r="AAE43" s="19"/>
      <c r="AAF43" s="19"/>
      <c r="AAG43" s="19"/>
      <c r="AAH43" s="19"/>
      <c r="AAI43" s="19"/>
      <c r="AAJ43" s="19"/>
      <c r="AAK43" s="19"/>
      <c r="AAL43" s="19"/>
      <c r="AAM43" s="19"/>
      <c r="AAN43" s="19"/>
      <c r="AAO43" s="19"/>
      <c r="AAP43" s="19"/>
      <c r="AAQ43" s="19"/>
      <c r="AAR43" s="19"/>
      <c r="AAS43" s="19"/>
      <c r="AAT43" s="19"/>
      <c r="AAU43" s="19"/>
      <c r="AAV43" s="19"/>
      <c r="AAW43" s="19"/>
      <c r="AAX43" s="19"/>
      <c r="AAY43" s="19"/>
      <c r="AAZ43" s="19"/>
      <c r="ABA43" s="19"/>
      <c r="ABB43" s="19"/>
      <c r="ABC43" s="19"/>
      <c r="ABD43" s="19"/>
      <c r="ABE43" s="19"/>
      <c r="ABF43" s="19"/>
      <c r="ABG43" s="19"/>
      <c r="ABH43" s="19"/>
      <c r="ABI43" s="19"/>
      <c r="ABJ43" s="19"/>
      <c r="ABK43" s="19"/>
      <c r="ABL43" s="19"/>
      <c r="ABM43" s="19"/>
      <c r="ABN43" s="19"/>
      <c r="ABO43" s="19"/>
      <c r="ABP43" s="19"/>
      <c r="ABQ43" s="19"/>
      <c r="ABR43" s="19"/>
      <c r="ABS43" s="19"/>
      <c r="ABT43" s="19"/>
      <c r="ABU43" s="19"/>
      <c r="ABV43" s="19"/>
      <c r="ABW43" s="19"/>
      <c r="ABX43" s="19"/>
      <c r="ABY43" s="19"/>
      <c r="ABZ43" s="19"/>
      <c r="ACA43" s="19"/>
      <c r="ACB43" s="19"/>
      <c r="ACC43" s="19"/>
      <c r="ACD43" s="19"/>
      <c r="ACE43" s="19"/>
      <c r="ACF43" s="19"/>
      <c r="ACG43" s="19"/>
      <c r="ACH43" s="19"/>
      <c r="ACI43" s="19"/>
      <c r="ACJ43" s="19"/>
      <c r="ACK43" s="19"/>
      <c r="ACL43" s="19"/>
      <c r="ACM43" s="19"/>
      <c r="ACN43" s="19"/>
      <c r="ACO43" s="19"/>
      <c r="ACP43" s="19"/>
      <c r="ACQ43" s="19"/>
      <c r="ACR43" s="19"/>
      <c r="ACS43" s="19"/>
      <c r="ACT43" s="19"/>
      <c r="ACU43" s="19"/>
      <c r="ACV43" s="19"/>
      <c r="ACW43" s="19"/>
      <c r="ACX43" s="19"/>
      <c r="ACY43" s="19"/>
      <c r="ACZ43" s="19"/>
      <c r="ADA43" s="19"/>
      <c r="ADB43" s="19"/>
      <c r="ADC43" s="19"/>
      <c r="ADD43" s="19"/>
      <c r="ADE43" s="19"/>
      <c r="ADF43" s="19"/>
      <c r="ADG43" s="19"/>
      <c r="ADH43" s="19"/>
      <c r="ADI43" s="19"/>
      <c r="ADJ43" s="19"/>
      <c r="ADK43" s="19"/>
      <c r="ADL43" s="19"/>
      <c r="ADM43" s="19"/>
      <c r="ADN43" s="19"/>
      <c r="ADO43" s="19"/>
      <c r="ADP43" s="19"/>
      <c r="ADQ43" s="19"/>
      <c r="ADR43" s="19"/>
      <c r="ADS43" s="19"/>
      <c r="ADT43" s="19"/>
      <c r="ADU43" s="19"/>
      <c r="ADV43" s="19"/>
      <c r="ADW43" s="19"/>
      <c r="ADX43" s="19"/>
      <c r="ADY43" s="19"/>
      <c r="ADZ43" s="19"/>
      <c r="AEA43" s="19"/>
      <c r="AEB43" s="19"/>
      <c r="AEC43" s="19"/>
      <c r="AED43" s="19"/>
      <c r="AEE43" s="19"/>
      <c r="AEF43" s="19"/>
      <c r="AEG43" s="19"/>
      <c r="AEH43" s="19"/>
      <c r="AEI43" s="19"/>
      <c r="AEJ43" s="19"/>
      <c r="AEK43" s="19"/>
      <c r="AEL43" s="19"/>
      <c r="AEM43" s="19"/>
      <c r="AEN43" s="19"/>
      <c r="AEO43" s="19"/>
      <c r="AEP43" s="19"/>
      <c r="AEQ43" s="19"/>
      <c r="AER43" s="19"/>
      <c r="AES43" s="19"/>
      <c r="AET43" s="19"/>
      <c r="AEU43" s="19"/>
      <c r="AEV43" s="19"/>
      <c r="AEW43" s="19"/>
      <c r="AEX43" s="19"/>
      <c r="AEY43" s="19"/>
      <c r="AEZ43" s="19"/>
      <c r="AFA43" s="19"/>
      <c r="AFB43" s="19"/>
      <c r="AFC43" s="19"/>
      <c r="AFD43" s="19"/>
      <c r="AFE43" s="19"/>
      <c r="AFF43" s="19"/>
      <c r="AFG43" s="19"/>
      <c r="AFH43" s="19"/>
      <c r="AFI43" s="19"/>
      <c r="AFJ43" s="19"/>
      <c r="AFK43" s="19"/>
      <c r="AFL43" s="19"/>
      <c r="AFM43" s="19"/>
      <c r="AFN43" s="19"/>
      <c r="AFO43" s="19"/>
      <c r="AFP43" s="19"/>
      <c r="AFQ43" s="19"/>
      <c r="AFR43" s="19"/>
      <c r="AFS43" s="19"/>
      <c r="AFT43" s="19"/>
      <c r="AFU43" s="19"/>
      <c r="AFV43" s="19"/>
      <c r="AFW43" s="19"/>
      <c r="AFX43" s="19"/>
      <c r="AFY43" s="19"/>
      <c r="AFZ43" s="19"/>
      <c r="AGA43" s="19"/>
      <c r="AGB43" s="19"/>
      <c r="AGC43" s="19"/>
      <c r="AGD43" s="19"/>
      <c r="AGE43" s="19"/>
      <c r="AGF43" s="19"/>
      <c r="AGG43" s="19"/>
      <c r="AGH43" s="19"/>
      <c r="AGI43" s="19"/>
      <c r="AGJ43" s="19"/>
      <c r="AGK43" s="19"/>
      <c r="AGL43" s="19"/>
      <c r="AGM43" s="19"/>
      <c r="AGN43" s="19"/>
      <c r="AGO43" s="19"/>
      <c r="AGP43" s="19"/>
      <c r="AGQ43" s="19"/>
      <c r="AGR43" s="19"/>
      <c r="AGS43" s="19"/>
      <c r="AGT43" s="19"/>
      <c r="AGU43" s="19"/>
      <c r="AGV43" s="19"/>
      <c r="AGW43" s="19"/>
      <c r="AGX43" s="19"/>
      <c r="AGY43" s="19"/>
      <c r="AGZ43" s="19"/>
      <c r="AHA43" s="19"/>
      <c r="AHB43" s="19"/>
      <c r="AHC43" s="19"/>
      <c r="AHD43" s="19"/>
      <c r="AHE43" s="19"/>
      <c r="AHF43" s="19"/>
      <c r="AHG43" s="19"/>
      <c r="AHH43" s="19"/>
      <c r="AHI43" s="19"/>
      <c r="AHJ43" s="19"/>
      <c r="AHK43" s="19"/>
      <c r="AHL43" s="19"/>
      <c r="AHM43" s="19"/>
      <c r="AHN43" s="19"/>
      <c r="AHO43" s="19"/>
      <c r="AHP43" s="19"/>
      <c r="AHQ43" s="19"/>
      <c r="AHR43" s="19"/>
      <c r="AHS43" s="19"/>
      <c r="AHT43" s="19"/>
      <c r="AHU43" s="19"/>
      <c r="AHV43" s="19"/>
      <c r="AHW43" s="19"/>
      <c r="AHX43" s="19"/>
      <c r="AHY43" s="19"/>
      <c r="AHZ43" s="19"/>
      <c r="AIA43" s="19"/>
      <c r="AIB43" s="19"/>
      <c r="AIC43" s="19"/>
      <c r="AID43" s="19"/>
      <c r="AIE43" s="19"/>
      <c r="AIF43" s="19"/>
      <c r="AIG43" s="19"/>
      <c r="AIH43" s="19"/>
      <c r="AII43" s="19"/>
      <c r="AIJ43" s="19"/>
      <c r="AIK43" s="19"/>
      <c r="AIL43" s="19"/>
      <c r="AIM43" s="19"/>
      <c r="AIN43" s="19"/>
      <c r="AIO43" s="19"/>
      <c r="AIP43" s="19"/>
      <c r="AIQ43" s="19"/>
      <c r="AIR43" s="19"/>
      <c r="AIS43" s="19"/>
      <c r="AIT43" s="19"/>
      <c r="AIU43" s="19"/>
      <c r="AIV43" s="19"/>
      <c r="AIW43" s="19"/>
      <c r="AIX43" s="19"/>
      <c r="AIY43" s="19"/>
      <c r="AIZ43" s="19"/>
      <c r="AJA43" s="19"/>
      <c r="AJB43" s="19"/>
      <c r="AJC43" s="19"/>
      <c r="AJD43" s="19"/>
      <c r="AJE43" s="19"/>
      <c r="AJF43" s="19"/>
      <c r="AJG43" s="19"/>
      <c r="AJH43" s="19"/>
      <c r="AJI43" s="19"/>
      <c r="AJJ43" s="19"/>
      <c r="AJK43" s="19"/>
      <c r="AJL43" s="19"/>
      <c r="AJM43" s="19"/>
      <c r="AJN43" s="19"/>
      <c r="AJO43" s="19"/>
      <c r="AJP43" s="19"/>
      <c r="AJQ43" s="19"/>
      <c r="AJR43" s="19"/>
      <c r="AJS43" s="19"/>
      <c r="AJT43" s="19"/>
      <c r="AJU43" s="19"/>
      <c r="AJV43" s="19"/>
      <c r="AJW43" s="19"/>
      <c r="AJX43" s="19"/>
      <c r="AJY43" s="19"/>
      <c r="AJZ43" s="19"/>
      <c r="AKA43" s="19"/>
      <c r="AKB43" s="19"/>
      <c r="AKC43" s="19"/>
      <c r="AKD43" s="19"/>
      <c r="AKE43" s="19"/>
      <c r="AKF43" s="19"/>
      <c r="AKG43" s="19"/>
      <c r="AKH43" s="19"/>
      <c r="AKI43" s="19"/>
      <c r="AKJ43" s="19"/>
      <c r="AKK43" s="19"/>
      <c r="AKL43" s="19"/>
      <c r="AKM43" s="19"/>
      <c r="AKN43" s="19"/>
      <c r="AKO43" s="19"/>
      <c r="AKP43" s="19"/>
      <c r="AKQ43" s="19"/>
      <c r="AKR43" s="19"/>
      <c r="AKS43" s="19"/>
      <c r="AKT43" s="19"/>
      <c r="AKU43" s="19"/>
      <c r="AKV43" s="19"/>
      <c r="AKW43" s="19"/>
      <c r="AKX43" s="19"/>
      <c r="AKY43" s="19"/>
      <c r="AKZ43" s="19"/>
      <c r="ALA43" s="19"/>
      <c r="ALB43" s="19"/>
      <c r="ALC43" s="19"/>
      <c r="ALD43" s="19"/>
      <c r="ALE43" s="19"/>
      <c r="ALF43" s="19"/>
      <c r="ALG43" s="19"/>
      <c r="ALH43" s="19"/>
      <c r="ALI43" s="19"/>
      <c r="ALJ43" s="19"/>
      <c r="ALK43" s="19"/>
      <c r="ALL43" s="19"/>
      <c r="ALM43" s="19"/>
      <c r="ALN43" s="19"/>
      <c r="ALO43" s="19"/>
      <c r="ALP43" s="19"/>
      <c r="ALQ43" s="19"/>
      <c r="ALR43" s="19"/>
      <c r="ALS43" s="19"/>
      <c r="ALT43" s="19"/>
      <c r="ALU43" s="19"/>
      <c r="ALV43" s="19"/>
      <c r="ALW43" s="19"/>
      <c r="ALX43" s="19"/>
      <c r="ALY43" s="19"/>
      <c r="ALZ43" s="19"/>
      <c r="AMA43" s="19"/>
      <c r="AMB43" s="19"/>
      <c r="AMC43" s="19"/>
      <c r="AMD43" s="19"/>
      <c r="AME43" s="19"/>
      <c r="AMF43" s="19"/>
      <c r="AMG43" s="19"/>
      <c r="AMH43" s="19"/>
      <c r="AMI43" s="19"/>
      <c r="AMJ43" s="19"/>
      <c r="AMK43" s="19"/>
      <c r="AML43" s="19"/>
      <c r="AMM43" s="19"/>
      <c r="AMN43" s="19"/>
      <c r="AMO43" s="19"/>
      <c r="AMP43" s="19"/>
      <c r="AMQ43" s="19"/>
      <c r="AMR43" s="19"/>
      <c r="AMS43" s="19"/>
      <c r="AMT43" s="19"/>
      <c r="AMU43" s="19"/>
      <c r="AMV43" s="19"/>
      <c r="AMW43" s="19"/>
      <c r="AMX43" s="19"/>
      <c r="AMY43" s="19"/>
      <c r="AMZ43" s="19"/>
      <c r="ANA43" s="19"/>
      <c r="ANB43" s="19"/>
      <c r="ANC43" s="19"/>
      <c r="AND43" s="19"/>
      <c r="ANE43" s="19"/>
      <c r="ANF43" s="19"/>
      <c r="ANG43" s="19"/>
      <c r="ANH43" s="19"/>
      <c r="ANI43" s="19"/>
      <c r="ANJ43" s="19"/>
      <c r="ANK43" s="19"/>
      <c r="ANL43" s="19"/>
      <c r="ANM43" s="19"/>
      <c r="ANN43" s="19"/>
      <c r="ANO43" s="19"/>
      <c r="ANP43" s="19"/>
      <c r="ANQ43" s="19"/>
      <c r="ANR43" s="19"/>
      <c r="ANS43" s="19"/>
      <c r="ANT43" s="19"/>
      <c r="ANU43" s="19"/>
      <c r="ANV43" s="19"/>
      <c r="ANW43" s="19"/>
      <c r="ANX43" s="19"/>
      <c r="ANY43" s="19"/>
      <c r="ANZ43" s="19"/>
      <c r="AOA43" s="19"/>
      <c r="AOB43" s="19"/>
      <c r="AOC43" s="19"/>
      <c r="AOD43" s="19"/>
      <c r="AOE43" s="19"/>
      <c r="AOF43" s="19"/>
      <c r="AOG43" s="19"/>
      <c r="AOH43" s="19"/>
      <c r="AOI43" s="19"/>
      <c r="AOJ43" s="19"/>
      <c r="AOK43" s="19"/>
      <c r="AOL43" s="19"/>
      <c r="AOM43" s="19"/>
      <c r="AON43" s="19"/>
      <c r="AOO43" s="19"/>
      <c r="AOP43" s="19"/>
      <c r="AOQ43" s="19"/>
      <c r="AOR43" s="19"/>
      <c r="AOS43" s="19"/>
      <c r="AOT43" s="19"/>
      <c r="AOU43" s="19"/>
      <c r="AOV43" s="19"/>
      <c r="AOW43" s="19"/>
      <c r="AOX43" s="19"/>
      <c r="AOY43" s="19"/>
      <c r="AOZ43" s="19"/>
      <c r="APA43" s="19"/>
      <c r="APB43" s="19"/>
      <c r="APC43" s="19"/>
      <c r="APD43" s="19"/>
      <c r="APE43" s="19"/>
      <c r="APF43" s="19"/>
      <c r="APG43" s="19"/>
      <c r="APH43" s="19"/>
      <c r="API43" s="19"/>
      <c r="APJ43" s="19"/>
      <c r="APK43" s="19"/>
      <c r="APL43" s="19"/>
      <c r="APM43" s="19"/>
      <c r="APN43" s="19"/>
      <c r="APO43" s="19"/>
      <c r="APP43" s="19"/>
      <c r="APQ43" s="19"/>
      <c r="APR43" s="19"/>
      <c r="APS43" s="19"/>
      <c r="APT43" s="19"/>
      <c r="APU43" s="19"/>
      <c r="APV43" s="19"/>
      <c r="APW43" s="19"/>
      <c r="APX43" s="19"/>
      <c r="APY43" s="19"/>
      <c r="APZ43" s="19"/>
      <c r="AQA43" s="19"/>
      <c r="AQB43" s="19"/>
      <c r="AQC43" s="19"/>
      <c r="AQD43" s="19"/>
      <c r="AQE43" s="19"/>
      <c r="AQF43" s="19"/>
      <c r="AQG43" s="19"/>
      <c r="AQH43" s="19"/>
      <c r="AQI43" s="19"/>
      <c r="AQJ43" s="19"/>
      <c r="AQK43" s="19"/>
      <c r="AQL43" s="19"/>
      <c r="AQM43" s="19"/>
      <c r="AQN43" s="19"/>
      <c r="AQO43" s="19"/>
      <c r="AQP43" s="19"/>
      <c r="AQQ43" s="19"/>
      <c r="AQR43" s="19"/>
      <c r="AQS43" s="19"/>
      <c r="AQT43" s="19"/>
      <c r="AQU43" s="19"/>
      <c r="AQV43" s="19"/>
      <c r="AQW43" s="19"/>
      <c r="AQX43" s="19"/>
      <c r="AQY43" s="19"/>
      <c r="AQZ43" s="19"/>
      <c r="ARA43" s="19"/>
      <c r="ARB43" s="19"/>
      <c r="ARC43" s="19"/>
      <c r="ARD43" s="19"/>
      <c r="ARE43" s="19"/>
      <c r="ARF43" s="19"/>
      <c r="ARG43" s="19"/>
      <c r="ARH43" s="19"/>
      <c r="ARI43" s="19"/>
      <c r="ARJ43" s="19"/>
      <c r="ARK43" s="19"/>
      <c r="ARL43" s="19"/>
      <c r="ARM43" s="19"/>
      <c r="ARN43" s="19"/>
      <c r="ARO43" s="19"/>
      <c r="ARP43" s="19"/>
      <c r="ARQ43" s="19"/>
      <c r="ARR43" s="19"/>
      <c r="ARS43" s="19"/>
      <c r="ART43" s="19"/>
      <c r="ARU43" s="19"/>
      <c r="ARV43" s="19"/>
      <c r="ARW43" s="19"/>
      <c r="ARX43" s="19"/>
      <c r="ARY43" s="19"/>
      <c r="ARZ43" s="19"/>
      <c r="ASA43" s="19"/>
      <c r="ASB43" s="19"/>
      <c r="ASC43" s="19"/>
      <c r="ASD43" s="19"/>
      <c r="ASE43" s="19"/>
      <c r="ASF43" s="19"/>
      <c r="ASG43" s="19"/>
      <c r="ASH43" s="19"/>
      <c r="ASI43" s="19"/>
      <c r="ASJ43" s="19"/>
      <c r="ASK43" s="19"/>
      <c r="ASL43" s="19"/>
      <c r="ASM43" s="19"/>
      <c r="ASN43" s="19"/>
      <c r="ASO43" s="19"/>
      <c r="ASP43" s="19"/>
      <c r="ASQ43" s="19"/>
      <c r="ASR43" s="19"/>
      <c r="ASS43" s="19"/>
      <c r="AST43" s="19"/>
      <c r="ASU43" s="19"/>
      <c r="ASV43" s="19"/>
      <c r="ASW43" s="19"/>
      <c r="ASX43" s="19"/>
      <c r="ASY43" s="19"/>
      <c r="ASZ43" s="19"/>
      <c r="ATA43" s="19"/>
      <c r="ATB43" s="19"/>
      <c r="ATC43" s="19"/>
      <c r="ATD43" s="19"/>
      <c r="ATE43" s="19"/>
      <c r="ATF43" s="19"/>
      <c r="ATG43" s="19"/>
      <c r="ATH43" s="19"/>
      <c r="ATI43" s="19"/>
      <c r="ATJ43" s="19"/>
      <c r="ATK43" s="19"/>
      <c r="ATL43" s="19"/>
      <c r="ATM43" s="19"/>
      <c r="ATN43" s="19"/>
      <c r="ATO43" s="19"/>
      <c r="ATP43" s="19"/>
      <c r="ATQ43" s="19"/>
      <c r="ATR43" s="19"/>
      <c r="ATS43" s="19"/>
      <c r="ATT43" s="19"/>
      <c r="ATU43" s="19"/>
      <c r="ATV43" s="19"/>
      <c r="ATW43" s="19"/>
      <c r="ATX43" s="19"/>
      <c r="ATY43" s="19"/>
      <c r="ATZ43" s="19"/>
      <c r="AUA43" s="19"/>
      <c r="AUB43" s="19"/>
      <c r="AUC43" s="19"/>
      <c r="AUD43" s="19"/>
      <c r="AUE43" s="19"/>
      <c r="AUF43" s="19"/>
      <c r="AUG43" s="19"/>
      <c r="AUH43" s="19"/>
      <c r="AUI43" s="19"/>
      <c r="AUJ43" s="19"/>
      <c r="AUK43" s="19"/>
      <c r="AUL43" s="19"/>
      <c r="AUM43" s="19"/>
      <c r="AUN43" s="19"/>
      <c r="AUO43" s="19"/>
      <c r="AUP43" s="19"/>
      <c r="AUQ43" s="19"/>
      <c r="AUR43" s="19"/>
      <c r="AUS43" s="19"/>
      <c r="AUT43" s="19"/>
      <c r="AUU43" s="19"/>
      <c r="AUV43" s="19"/>
      <c r="AUW43" s="19"/>
      <c r="AUX43" s="19"/>
      <c r="AUY43" s="19"/>
      <c r="AUZ43" s="19"/>
      <c r="AVA43" s="19"/>
      <c r="AVB43" s="19"/>
      <c r="AVC43" s="19"/>
      <c r="AVD43" s="19"/>
      <c r="AVE43" s="19"/>
      <c r="AVF43" s="19"/>
      <c r="AVG43" s="19"/>
      <c r="AVH43" s="19"/>
      <c r="AVI43" s="19"/>
      <c r="AVJ43" s="19"/>
      <c r="AVK43" s="19"/>
      <c r="AVL43" s="19"/>
      <c r="AVM43" s="19"/>
      <c r="AVN43" s="19"/>
      <c r="AVO43" s="19"/>
      <c r="AVP43" s="19"/>
      <c r="AVQ43" s="19"/>
      <c r="AVR43" s="19"/>
      <c r="AVS43" s="19"/>
      <c r="AVT43" s="19"/>
      <c r="AVU43" s="19"/>
      <c r="AVV43" s="19"/>
      <c r="AVW43" s="19"/>
      <c r="AVX43" s="19"/>
      <c r="AVY43" s="19"/>
      <c r="AVZ43" s="19"/>
      <c r="AWA43" s="19"/>
      <c r="AWB43" s="19"/>
      <c r="AWC43" s="19"/>
      <c r="AWD43" s="19"/>
      <c r="AWE43" s="19"/>
      <c r="AWF43" s="19"/>
      <c r="AWG43" s="19"/>
      <c r="AWH43" s="19"/>
      <c r="AWI43" s="19"/>
      <c r="AWJ43" s="19"/>
      <c r="AWK43" s="19"/>
      <c r="AWL43" s="19"/>
      <c r="AWM43" s="19"/>
      <c r="AWN43" s="19"/>
      <c r="AWO43" s="19"/>
      <c r="AWP43" s="19"/>
      <c r="AWQ43" s="19"/>
      <c r="AWR43" s="19"/>
      <c r="AWS43" s="19"/>
      <c r="AWT43" s="19"/>
      <c r="AWU43" s="19"/>
      <c r="AWV43" s="19"/>
      <c r="AWW43" s="19"/>
      <c r="AWX43" s="19"/>
      <c r="AWY43" s="19"/>
      <c r="AWZ43" s="19"/>
      <c r="AXA43" s="19"/>
      <c r="AXB43" s="19"/>
      <c r="AXC43" s="19"/>
      <c r="AXD43" s="19"/>
      <c r="AXE43" s="19"/>
      <c r="AXF43" s="19"/>
      <c r="AXG43" s="19"/>
      <c r="AXH43" s="19"/>
      <c r="AXI43" s="19"/>
      <c r="AXJ43" s="19"/>
      <c r="AXK43" s="19"/>
      <c r="AXL43" s="19"/>
      <c r="AXM43" s="19"/>
      <c r="AXN43" s="19"/>
      <c r="AXO43" s="19"/>
      <c r="AXP43" s="19"/>
      <c r="AXQ43" s="19"/>
      <c r="AXR43" s="19"/>
      <c r="AXS43" s="19"/>
      <c r="AXT43" s="19"/>
      <c r="AXU43" s="19"/>
      <c r="AXV43" s="19"/>
      <c r="AXW43" s="19"/>
      <c r="AXX43" s="19"/>
      <c r="AXY43" s="19"/>
      <c r="AXZ43" s="19"/>
      <c r="AYA43" s="19"/>
      <c r="AYB43" s="19"/>
      <c r="AYC43" s="19"/>
      <c r="AYD43" s="19"/>
      <c r="AYE43" s="19"/>
      <c r="AYF43" s="19"/>
      <c r="AYG43" s="19"/>
      <c r="AYH43" s="19"/>
      <c r="AYI43" s="19"/>
      <c r="AYJ43" s="19"/>
      <c r="AYK43" s="19"/>
      <c r="AYL43" s="19"/>
      <c r="AYM43" s="19"/>
      <c r="AYN43" s="19"/>
      <c r="AYO43" s="19"/>
      <c r="AYP43" s="19"/>
      <c r="AYQ43" s="19"/>
      <c r="AYR43" s="19"/>
      <c r="AYS43" s="19"/>
      <c r="AYT43" s="19"/>
      <c r="AYU43" s="19"/>
      <c r="AYV43" s="19"/>
      <c r="AYW43" s="19"/>
      <c r="AYX43" s="19"/>
      <c r="AYY43" s="19"/>
      <c r="AYZ43" s="19"/>
      <c r="AZA43" s="19"/>
      <c r="AZB43" s="19"/>
      <c r="AZC43" s="19"/>
      <c r="AZD43" s="19"/>
      <c r="AZE43" s="19"/>
      <c r="AZF43" s="19"/>
      <c r="AZG43" s="19"/>
      <c r="AZH43" s="19"/>
      <c r="AZI43" s="19"/>
      <c r="AZJ43" s="19"/>
      <c r="AZK43" s="19"/>
      <c r="AZL43" s="19"/>
      <c r="AZM43" s="19"/>
      <c r="AZN43" s="19"/>
      <c r="AZO43" s="19"/>
      <c r="AZP43" s="19"/>
      <c r="AZQ43" s="19"/>
      <c r="AZR43" s="19"/>
      <c r="AZS43" s="19"/>
      <c r="AZT43" s="19"/>
      <c r="AZU43" s="19"/>
      <c r="AZV43" s="19"/>
      <c r="AZW43" s="19"/>
      <c r="AZX43" s="19"/>
      <c r="AZY43" s="19"/>
      <c r="AZZ43" s="19"/>
      <c r="BAA43" s="19"/>
      <c r="BAB43" s="19"/>
      <c r="BAC43" s="19"/>
      <c r="BAD43" s="19"/>
      <c r="BAE43" s="19"/>
      <c r="BAF43" s="19"/>
      <c r="BAG43" s="19"/>
      <c r="BAH43" s="19"/>
      <c r="BAI43" s="19"/>
      <c r="BAJ43" s="19"/>
      <c r="BAK43" s="19"/>
      <c r="BAL43" s="19"/>
      <c r="BAM43" s="19"/>
      <c r="BAN43" s="19"/>
      <c r="BAO43" s="19"/>
      <c r="BAP43" s="19"/>
      <c r="BAQ43" s="19"/>
      <c r="BAR43" s="19"/>
      <c r="BAS43" s="19"/>
      <c r="BAT43" s="19"/>
      <c r="BAU43" s="19"/>
      <c r="BAV43" s="19"/>
      <c r="BAW43" s="19"/>
      <c r="BAX43" s="19"/>
      <c r="BAY43" s="19"/>
      <c r="BAZ43" s="19"/>
      <c r="BBA43" s="19"/>
      <c r="BBB43" s="19"/>
      <c r="BBC43" s="19"/>
      <c r="BBD43" s="19"/>
      <c r="BBE43" s="19"/>
      <c r="BBF43" s="19"/>
      <c r="BBG43" s="19"/>
      <c r="BBH43" s="19"/>
      <c r="BBI43" s="19"/>
      <c r="BBJ43" s="19"/>
      <c r="BBK43" s="19"/>
      <c r="BBL43" s="19"/>
      <c r="BBM43" s="19"/>
      <c r="BBN43" s="19"/>
      <c r="BBO43" s="19"/>
      <c r="BBP43" s="19"/>
      <c r="BBQ43" s="19"/>
      <c r="BBR43" s="19"/>
      <c r="BBS43" s="19"/>
      <c r="BBT43" s="19"/>
      <c r="BBU43" s="19"/>
      <c r="BBV43" s="19"/>
      <c r="BBW43" s="19"/>
      <c r="BBX43" s="19"/>
      <c r="BBY43" s="19"/>
      <c r="BBZ43" s="19"/>
      <c r="BCA43" s="19"/>
      <c r="BCB43" s="19"/>
      <c r="BCC43" s="19"/>
      <c r="BCD43" s="19"/>
      <c r="BCE43" s="19"/>
      <c r="BCF43" s="19"/>
      <c r="BCG43" s="19"/>
      <c r="BCH43" s="19"/>
      <c r="BCI43" s="19"/>
      <c r="BCJ43" s="19"/>
      <c r="BCK43" s="19"/>
      <c r="BCL43" s="19"/>
      <c r="BCM43" s="19"/>
      <c r="BCN43" s="19"/>
      <c r="BCO43" s="19"/>
      <c r="BCP43" s="19"/>
      <c r="BCQ43" s="19"/>
      <c r="BCR43" s="19"/>
      <c r="BCS43" s="19"/>
      <c r="BCT43" s="19"/>
      <c r="BCU43" s="19"/>
      <c r="BCV43" s="19"/>
      <c r="BCW43" s="19"/>
      <c r="BCX43" s="19"/>
      <c r="BCY43" s="19"/>
      <c r="BCZ43" s="19"/>
      <c r="BDA43" s="19"/>
      <c r="BDB43" s="19"/>
      <c r="BDC43" s="19"/>
      <c r="BDD43" s="19"/>
      <c r="BDE43" s="19"/>
      <c r="BDF43" s="19"/>
      <c r="BDG43" s="19"/>
      <c r="BDH43" s="19"/>
      <c r="BDI43" s="19"/>
      <c r="BDJ43" s="19"/>
      <c r="BDK43" s="19"/>
      <c r="BDL43" s="19"/>
      <c r="BDM43" s="19"/>
      <c r="BDN43" s="19"/>
      <c r="BDO43" s="19"/>
      <c r="BDP43" s="19"/>
      <c r="BDQ43" s="19"/>
      <c r="BDR43" s="19"/>
      <c r="BDS43" s="19"/>
      <c r="BDT43" s="19"/>
      <c r="BDU43" s="19"/>
      <c r="BDV43" s="19"/>
      <c r="BDW43" s="19"/>
      <c r="BDX43" s="19"/>
      <c r="BDY43" s="19"/>
      <c r="BDZ43" s="19"/>
      <c r="BEA43" s="19"/>
      <c r="BEB43" s="19"/>
      <c r="BEC43" s="19"/>
      <c r="BED43" s="19"/>
      <c r="BEE43" s="19"/>
      <c r="BEF43" s="19"/>
      <c r="BEG43" s="19"/>
      <c r="BEH43" s="19"/>
      <c r="BEI43" s="19"/>
      <c r="BEJ43" s="19"/>
      <c r="BEK43" s="19"/>
      <c r="BEL43" s="19"/>
      <c r="BEM43" s="19"/>
      <c r="BEN43" s="19"/>
      <c r="BEO43" s="19"/>
      <c r="BEP43" s="19"/>
      <c r="BEQ43" s="19"/>
      <c r="BER43" s="19"/>
      <c r="BES43" s="19"/>
      <c r="BET43" s="19"/>
      <c r="BEU43" s="19"/>
      <c r="BEV43" s="19"/>
      <c r="BEW43" s="19"/>
      <c r="BEX43" s="19"/>
      <c r="BEY43" s="19"/>
      <c r="BEZ43" s="19"/>
      <c r="BFA43" s="19"/>
      <c r="BFB43" s="19"/>
      <c r="BFC43" s="19"/>
      <c r="BFD43" s="19"/>
      <c r="BFE43" s="19"/>
      <c r="BFF43" s="19"/>
      <c r="BFG43" s="19"/>
      <c r="BFH43" s="19"/>
      <c r="BFI43" s="19"/>
      <c r="BFJ43" s="19"/>
      <c r="BFK43" s="19"/>
      <c r="BFL43" s="19"/>
      <c r="BFM43" s="19"/>
      <c r="BFN43" s="19"/>
      <c r="BFO43" s="19"/>
      <c r="BFP43" s="19"/>
      <c r="BFQ43" s="19"/>
      <c r="BFR43" s="19"/>
      <c r="BFS43" s="19"/>
      <c r="BFT43" s="19"/>
      <c r="BFU43" s="19"/>
      <c r="BFV43" s="19"/>
      <c r="BFW43" s="19"/>
      <c r="BFX43" s="19"/>
      <c r="BFY43" s="19"/>
      <c r="BFZ43" s="19"/>
      <c r="BGA43" s="19"/>
      <c r="BGB43" s="19"/>
      <c r="BGC43" s="19"/>
      <c r="BGD43" s="19"/>
      <c r="BGE43" s="19"/>
      <c r="BGF43" s="19"/>
      <c r="BGG43" s="19"/>
      <c r="BGH43" s="19"/>
      <c r="BGI43" s="19"/>
      <c r="BGJ43" s="19"/>
      <c r="BGK43" s="19"/>
      <c r="BGL43" s="19"/>
      <c r="BGM43" s="19"/>
      <c r="BGN43" s="19"/>
      <c r="BGO43" s="19"/>
      <c r="BGP43" s="19"/>
      <c r="BGQ43" s="19"/>
      <c r="BGR43" s="19"/>
      <c r="BGS43" s="19"/>
      <c r="BGT43" s="19"/>
      <c r="BGU43" s="19"/>
      <c r="BGV43" s="19"/>
      <c r="BGW43" s="19"/>
      <c r="BGX43" s="19"/>
      <c r="BGY43" s="19"/>
      <c r="BGZ43" s="19"/>
      <c r="BHA43" s="19"/>
      <c r="BHB43" s="19"/>
      <c r="BHC43" s="19"/>
      <c r="BHD43" s="19"/>
      <c r="BHE43" s="19"/>
      <c r="BHF43" s="19"/>
      <c r="BHG43" s="19"/>
      <c r="BHH43" s="19"/>
      <c r="BHI43" s="19"/>
      <c r="BHJ43" s="19"/>
      <c r="BHK43" s="19"/>
      <c r="BHL43" s="19"/>
      <c r="BHM43" s="19"/>
      <c r="BHN43" s="19"/>
      <c r="BHO43" s="19"/>
      <c r="BHP43" s="19"/>
      <c r="BHQ43" s="19"/>
      <c r="BHR43" s="19"/>
      <c r="BHS43" s="19"/>
      <c r="BHT43" s="19"/>
      <c r="BHU43" s="19"/>
      <c r="BHV43" s="19"/>
      <c r="BHW43" s="19"/>
      <c r="BHX43" s="19"/>
      <c r="BHY43" s="19"/>
      <c r="BHZ43" s="19"/>
      <c r="BIA43" s="19"/>
      <c r="BIB43" s="19"/>
      <c r="BIC43" s="19"/>
      <c r="BID43" s="19"/>
      <c r="BIE43" s="19"/>
      <c r="BIF43" s="19"/>
      <c r="BIG43" s="19"/>
      <c r="BIH43" s="19"/>
      <c r="BII43" s="19"/>
      <c r="BIJ43" s="19"/>
      <c r="BIK43" s="19"/>
      <c r="BIL43" s="19"/>
      <c r="BIM43" s="19"/>
      <c r="BIN43" s="19"/>
      <c r="BIO43" s="19"/>
      <c r="BIP43" s="19"/>
      <c r="BIQ43" s="19"/>
      <c r="BIR43" s="19"/>
      <c r="BIS43" s="19"/>
      <c r="BIT43" s="19"/>
      <c r="BIU43" s="19"/>
      <c r="BIV43" s="19"/>
      <c r="BIW43" s="19"/>
      <c r="BIX43" s="19"/>
      <c r="BIY43" s="19"/>
      <c r="BIZ43" s="19"/>
      <c r="BJA43" s="19"/>
      <c r="BJB43" s="19"/>
      <c r="BJC43" s="19"/>
      <c r="BJD43" s="19"/>
      <c r="BJE43" s="19"/>
      <c r="BJF43" s="19"/>
      <c r="BJG43" s="19"/>
      <c r="BJH43" s="19"/>
      <c r="BJI43" s="19"/>
      <c r="BJJ43" s="19"/>
      <c r="BJK43" s="19"/>
      <c r="BJL43" s="19"/>
      <c r="BJM43" s="19"/>
      <c r="BJN43" s="19"/>
      <c r="BJO43" s="19"/>
      <c r="BJP43" s="19"/>
      <c r="BJQ43" s="19"/>
      <c r="BJR43" s="19"/>
      <c r="BJS43" s="19"/>
      <c r="BJT43" s="19"/>
      <c r="BJU43" s="19"/>
      <c r="BJV43" s="19"/>
      <c r="BJW43" s="19"/>
      <c r="BJX43" s="19"/>
      <c r="BJY43" s="19"/>
      <c r="BJZ43" s="19"/>
      <c r="BKA43" s="19"/>
      <c r="BKB43" s="19"/>
      <c r="BKC43" s="19"/>
      <c r="BKD43" s="19"/>
      <c r="BKE43" s="19"/>
      <c r="BKF43" s="19"/>
      <c r="BKG43" s="19"/>
      <c r="BKH43" s="19"/>
      <c r="BKI43" s="19"/>
      <c r="BKJ43" s="19"/>
      <c r="BKK43" s="19"/>
      <c r="BKL43" s="19"/>
      <c r="BKM43" s="19"/>
      <c r="BKN43" s="19"/>
      <c r="BKO43" s="19"/>
      <c r="BKP43" s="19"/>
      <c r="BKQ43" s="19"/>
      <c r="BKR43" s="19"/>
      <c r="BKS43" s="19"/>
      <c r="BKT43" s="19"/>
      <c r="BKU43" s="19"/>
      <c r="BKV43" s="19"/>
      <c r="BKW43" s="19"/>
      <c r="BKX43" s="19"/>
      <c r="BKY43" s="19"/>
      <c r="BKZ43" s="19"/>
      <c r="BLA43" s="19"/>
      <c r="BLB43" s="19"/>
      <c r="BLC43" s="19"/>
      <c r="BLD43" s="19"/>
      <c r="BLE43" s="19"/>
      <c r="BLF43" s="19"/>
      <c r="BLG43" s="19"/>
      <c r="BLH43" s="19"/>
      <c r="BLI43" s="19"/>
      <c r="BLJ43" s="19"/>
      <c r="BLK43" s="19"/>
      <c r="BLL43" s="19"/>
      <c r="BLM43" s="19"/>
      <c r="BLN43" s="19"/>
      <c r="BLO43" s="19"/>
      <c r="BLP43" s="19"/>
      <c r="BLQ43" s="19"/>
      <c r="BLR43" s="19"/>
      <c r="BLS43" s="19"/>
      <c r="BLT43" s="19"/>
      <c r="BLU43" s="19"/>
      <c r="BLV43" s="19"/>
      <c r="BLW43" s="19"/>
      <c r="BLX43" s="19"/>
      <c r="BLY43" s="19"/>
      <c r="BLZ43" s="19"/>
      <c r="BMA43" s="19"/>
      <c r="BMB43" s="19"/>
      <c r="BMC43" s="19"/>
      <c r="BMD43" s="19"/>
      <c r="BME43" s="19"/>
      <c r="BMF43" s="19"/>
      <c r="BMG43" s="19"/>
      <c r="BMH43" s="19"/>
      <c r="BMI43" s="19"/>
      <c r="BMJ43" s="19"/>
      <c r="BMK43" s="19"/>
      <c r="BML43" s="19"/>
      <c r="BMM43" s="19"/>
      <c r="BMN43" s="19"/>
      <c r="BMO43" s="19"/>
      <c r="BMP43" s="19"/>
      <c r="BMQ43" s="19"/>
      <c r="BMR43" s="19"/>
      <c r="BMS43" s="19"/>
      <c r="BMT43" s="19"/>
      <c r="BMU43" s="19"/>
      <c r="BMV43" s="19"/>
      <c r="BMW43" s="19"/>
      <c r="BMX43" s="19"/>
      <c r="BMY43" s="19"/>
      <c r="BMZ43" s="19"/>
      <c r="BNA43" s="19"/>
      <c r="BNB43" s="19"/>
      <c r="BNC43" s="19"/>
      <c r="BND43" s="19"/>
      <c r="BNE43" s="19"/>
      <c r="BNF43" s="19"/>
      <c r="BNG43" s="19"/>
      <c r="BNH43" s="19"/>
      <c r="BNI43" s="19"/>
      <c r="BNJ43" s="19"/>
      <c r="BNK43" s="19"/>
      <c r="BNL43" s="19"/>
      <c r="BNM43" s="19"/>
      <c r="BNN43" s="19"/>
      <c r="BNO43" s="19"/>
      <c r="BNP43" s="19"/>
      <c r="BNQ43" s="19"/>
      <c r="BNR43" s="19"/>
      <c r="BNS43" s="19"/>
      <c r="BNT43" s="19"/>
      <c r="BNU43" s="19"/>
      <c r="BNV43" s="19"/>
      <c r="BNW43" s="19"/>
      <c r="BNX43" s="19"/>
      <c r="BNY43" s="19"/>
      <c r="BNZ43" s="19"/>
      <c r="BOA43" s="19"/>
      <c r="BOB43" s="19"/>
      <c r="BOC43" s="19"/>
      <c r="BOD43" s="19"/>
      <c r="BOE43" s="19"/>
      <c r="BOF43" s="19"/>
      <c r="BOG43" s="19"/>
      <c r="BOH43" s="19"/>
      <c r="BOI43" s="19"/>
      <c r="BOJ43" s="19"/>
      <c r="BOK43" s="19"/>
      <c r="BOL43" s="19"/>
      <c r="BOM43" s="19"/>
      <c r="BON43" s="19"/>
      <c r="BOO43" s="19"/>
      <c r="BOP43" s="19"/>
      <c r="BOQ43" s="19"/>
      <c r="BOR43" s="19"/>
      <c r="BOS43" s="19"/>
      <c r="BOT43" s="19"/>
      <c r="BOU43" s="19"/>
      <c r="BOV43" s="19"/>
      <c r="BOW43" s="19"/>
      <c r="BOX43" s="19"/>
      <c r="BOY43" s="19"/>
      <c r="BOZ43" s="19"/>
      <c r="BPA43" s="19"/>
      <c r="BPB43" s="19"/>
      <c r="BPC43" s="19"/>
      <c r="BPD43" s="19"/>
      <c r="BPE43" s="19"/>
      <c r="BPF43" s="19"/>
      <c r="BPG43" s="19"/>
      <c r="BPH43" s="19"/>
      <c r="BPI43" s="19"/>
      <c r="BPJ43" s="19"/>
      <c r="BPK43" s="19"/>
      <c r="BPL43" s="19"/>
      <c r="BPM43" s="19"/>
      <c r="BPN43" s="19"/>
      <c r="BPO43" s="19"/>
      <c r="BPP43" s="19"/>
      <c r="BPQ43" s="19"/>
      <c r="BPR43" s="19"/>
      <c r="BPS43" s="19"/>
      <c r="BPT43" s="19"/>
      <c r="BPU43" s="19"/>
      <c r="BPV43" s="19"/>
      <c r="BPW43" s="19"/>
      <c r="BPX43" s="19"/>
      <c r="BPY43" s="19"/>
      <c r="BPZ43" s="19"/>
      <c r="BQA43" s="19"/>
      <c r="BQB43" s="19"/>
      <c r="BQC43" s="19"/>
      <c r="BQD43" s="19"/>
      <c r="BQE43" s="19"/>
      <c r="BQF43" s="19"/>
      <c r="BQG43" s="19"/>
      <c r="BQH43" s="19"/>
      <c r="BQI43" s="19"/>
      <c r="BQJ43" s="19"/>
      <c r="BQK43" s="19"/>
      <c r="BQL43" s="19"/>
      <c r="BQM43" s="19"/>
      <c r="BQN43" s="19"/>
      <c r="BQO43" s="19"/>
      <c r="BQP43" s="19"/>
      <c r="BQQ43" s="19"/>
      <c r="BQR43" s="19"/>
      <c r="BQS43" s="19"/>
      <c r="BQT43" s="19"/>
      <c r="BQU43" s="19"/>
      <c r="BQV43" s="19"/>
      <c r="BQW43" s="19"/>
      <c r="BQX43" s="19"/>
      <c r="BQY43" s="19"/>
      <c r="BQZ43" s="19"/>
      <c r="BRA43" s="19"/>
      <c r="BRB43" s="19"/>
      <c r="BRC43" s="19"/>
      <c r="BRD43" s="19"/>
      <c r="BRE43" s="19"/>
      <c r="BRF43" s="19"/>
      <c r="BRG43" s="19"/>
      <c r="BRH43" s="19"/>
      <c r="BRI43" s="19"/>
      <c r="BRJ43" s="19"/>
      <c r="BRK43" s="19"/>
      <c r="BRL43" s="19"/>
      <c r="BRM43" s="19"/>
      <c r="BRN43" s="19"/>
      <c r="BRO43" s="19"/>
      <c r="BRP43" s="19"/>
      <c r="BRQ43" s="19"/>
      <c r="BRR43" s="19"/>
      <c r="BRS43" s="19"/>
      <c r="BRT43" s="19"/>
      <c r="BRU43" s="19"/>
      <c r="BRV43" s="19"/>
      <c r="BRW43" s="19"/>
      <c r="BRX43" s="19"/>
      <c r="BRY43" s="19"/>
      <c r="BRZ43" s="19"/>
      <c r="BSA43" s="19"/>
      <c r="BSB43" s="19"/>
      <c r="BSC43" s="19"/>
      <c r="BSD43" s="19"/>
      <c r="BSE43" s="19"/>
      <c r="BSF43" s="19"/>
      <c r="BSG43" s="19"/>
      <c r="BSH43" s="19"/>
      <c r="BSI43" s="19"/>
      <c r="BSJ43" s="19"/>
      <c r="BSK43" s="19"/>
      <c r="BSL43" s="19"/>
      <c r="BSM43" s="19"/>
      <c r="BSN43" s="19"/>
      <c r="BSO43" s="19"/>
      <c r="BSP43" s="19"/>
      <c r="BSQ43" s="19"/>
      <c r="BSR43" s="19"/>
      <c r="BSS43" s="19"/>
      <c r="BST43" s="19"/>
      <c r="BSU43" s="19"/>
      <c r="BSV43" s="19"/>
      <c r="BSW43" s="19"/>
      <c r="BSX43" s="19"/>
      <c r="BSY43" s="19"/>
      <c r="BSZ43" s="19"/>
      <c r="BTA43" s="19"/>
      <c r="BTB43" s="19"/>
      <c r="BTC43" s="19"/>
      <c r="BTD43" s="19"/>
      <c r="BTE43" s="19"/>
      <c r="BTF43" s="19"/>
      <c r="BTG43" s="19"/>
      <c r="BTH43" s="19"/>
      <c r="BTI43" s="19"/>
      <c r="BTJ43" s="19"/>
      <c r="BTK43" s="19"/>
      <c r="BTL43" s="19"/>
      <c r="BTM43" s="19"/>
      <c r="BTN43" s="19"/>
      <c r="BTO43" s="19"/>
      <c r="BTP43" s="19"/>
      <c r="BTQ43" s="19"/>
      <c r="BTR43" s="19"/>
      <c r="BTS43" s="19"/>
      <c r="BTT43" s="19"/>
      <c r="BTU43" s="19"/>
      <c r="BTV43" s="19"/>
      <c r="BTW43" s="19"/>
      <c r="BTX43" s="19"/>
      <c r="BTY43" s="19"/>
      <c r="BTZ43" s="19"/>
      <c r="BUA43" s="19"/>
      <c r="BUB43" s="19"/>
      <c r="BUC43" s="19"/>
      <c r="BUD43" s="19"/>
      <c r="BUE43" s="19"/>
      <c r="BUF43" s="19"/>
      <c r="BUG43" s="19"/>
      <c r="BUH43" s="19"/>
      <c r="BUI43" s="19"/>
      <c r="BUJ43" s="19"/>
      <c r="BUK43" s="19"/>
      <c r="BUL43" s="19"/>
      <c r="BUM43" s="19"/>
      <c r="BUN43" s="19"/>
      <c r="BUO43" s="19"/>
      <c r="BUP43" s="19"/>
      <c r="BUQ43" s="19"/>
      <c r="BUR43" s="19"/>
      <c r="BUS43" s="19"/>
      <c r="BUT43" s="19"/>
      <c r="BUU43" s="19"/>
      <c r="BUV43" s="19"/>
      <c r="BUW43" s="19"/>
      <c r="BUX43" s="19"/>
      <c r="BUY43" s="19"/>
      <c r="BUZ43" s="19"/>
      <c r="BVA43" s="19"/>
      <c r="BVB43" s="19"/>
      <c r="BVC43" s="19"/>
      <c r="BVD43" s="19"/>
      <c r="BVE43" s="19"/>
      <c r="BVF43" s="19"/>
      <c r="BVG43" s="19"/>
      <c r="BVH43" s="19"/>
      <c r="BVI43" s="19"/>
      <c r="BVJ43" s="19"/>
      <c r="BVK43" s="19"/>
      <c r="BVL43" s="19"/>
      <c r="BVM43" s="19"/>
      <c r="BVN43" s="19"/>
      <c r="BVO43" s="19"/>
      <c r="BVP43" s="19"/>
      <c r="BVQ43" s="19"/>
      <c r="BVR43" s="19"/>
      <c r="BVS43" s="19"/>
      <c r="BVT43" s="19"/>
      <c r="BVU43" s="19"/>
      <c r="BVV43" s="19"/>
      <c r="BVW43" s="19"/>
      <c r="BVX43" s="19"/>
      <c r="BVY43" s="19"/>
      <c r="BVZ43" s="19"/>
      <c r="BWA43" s="19"/>
      <c r="BWB43" s="19"/>
      <c r="BWC43" s="19"/>
      <c r="BWD43" s="19"/>
      <c r="BWE43" s="19"/>
      <c r="BWF43" s="19"/>
      <c r="BWG43" s="19"/>
      <c r="BWH43" s="19"/>
      <c r="BWI43" s="19"/>
      <c r="BWJ43" s="19"/>
      <c r="BWK43" s="19"/>
      <c r="BWL43" s="19"/>
      <c r="BWM43" s="19"/>
      <c r="BWN43" s="19"/>
      <c r="BWO43" s="19"/>
      <c r="BWP43" s="19"/>
      <c r="BWQ43" s="19"/>
      <c r="BWR43" s="19"/>
      <c r="BWS43" s="19"/>
      <c r="BWT43" s="19"/>
      <c r="BWU43" s="19"/>
      <c r="BWV43" s="19"/>
      <c r="BWW43" s="19"/>
      <c r="BWX43" s="19"/>
      <c r="BWY43" s="19"/>
      <c r="BWZ43" s="19"/>
      <c r="BXA43" s="19"/>
      <c r="BXB43" s="19"/>
      <c r="BXC43" s="19"/>
      <c r="BXD43" s="19"/>
      <c r="BXE43" s="19"/>
      <c r="BXF43" s="19"/>
      <c r="BXG43" s="19"/>
      <c r="BXH43" s="19"/>
      <c r="BXI43" s="19"/>
      <c r="BXJ43" s="19"/>
      <c r="BXK43" s="19"/>
      <c r="BXL43" s="19"/>
      <c r="BXM43" s="19"/>
      <c r="BXN43" s="19"/>
      <c r="BXO43" s="19"/>
      <c r="BXP43" s="19"/>
      <c r="BXQ43" s="19"/>
      <c r="BXR43" s="19"/>
      <c r="BXS43" s="19"/>
      <c r="BXT43" s="19"/>
      <c r="BXU43" s="19"/>
      <c r="BXV43" s="19"/>
      <c r="BXW43" s="19"/>
      <c r="BXX43" s="19"/>
      <c r="BXY43" s="19"/>
      <c r="BXZ43" s="19"/>
      <c r="BYA43" s="19"/>
      <c r="BYB43" s="19"/>
      <c r="BYC43" s="19"/>
      <c r="BYD43" s="19"/>
      <c r="BYE43" s="19"/>
      <c r="BYF43" s="19"/>
      <c r="BYG43" s="19"/>
      <c r="BYH43" s="19"/>
      <c r="BYI43" s="19"/>
      <c r="BYJ43" s="19"/>
      <c r="BYK43" s="19"/>
      <c r="BYL43" s="19"/>
      <c r="BYM43" s="19"/>
      <c r="BYN43" s="19"/>
      <c r="BYO43" s="19"/>
      <c r="BYP43" s="19"/>
      <c r="BYQ43" s="19"/>
      <c r="BYR43" s="19"/>
      <c r="BYS43" s="19"/>
      <c r="BYT43" s="19"/>
      <c r="BYU43" s="19"/>
      <c r="BYV43" s="19"/>
      <c r="BYW43" s="19"/>
      <c r="BYX43" s="19"/>
      <c r="BYY43" s="19"/>
      <c r="BYZ43" s="19"/>
      <c r="BZA43" s="19"/>
      <c r="BZB43" s="19"/>
      <c r="BZC43" s="19"/>
      <c r="BZD43" s="19"/>
      <c r="BZE43" s="19"/>
      <c r="BZF43" s="19"/>
      <c r="BZG43" s="19"/>
      <c r="BZH43" s="19"/>
      <c r="BZI43" s="19"/>
      <c r="BZJ43" s="19"/>
      <c r="BZK43" s="19"/>
      <c r="BZL43" s="19"/>
      <c r="BZM43" s="19"/>
      <c r="BZN43" s="19"/>
      <c r="BZO43" s="19"/>
      <c r="BZP43" s="19"/>
      <c r="BZQ43" s="19"/>
      <c r="BZR43" s="19"/>
      <c r="BZS43" s="19"/>
      <c r="BZT43" s="19"/>
      <c r="BZU43" s="19"/>
      <c r="BZV43" s="19"/>
      <c r="BZW43" s="19"/>
      <c r="BZX43" s="19"/>
      <c r="BZY43" s="19"/>
      <c r="BZZ43" s="19"/>
      <c r="CAA43" s="19"/>
      <c r="CAB43" s="19"/>
      <c r="CAC43" s="19"/>
      <c r="CAD43" s="19"/>
      <c r="CAE43" s="19"/>
      <c r="CAF43" s="19"/>
      <c r="CAG43" s="19"/>
      <c r="CAH43" s="19"/>
      <c r="CAI43" s="19"/>
      <c r="CAJ43" s="19"/>
      <c r="CAK43" s="19"/>
      <c r="CAL43" s="19"/>
      <c r="CAM43" s="19"/>
      <c r="CAN43" s="19"/>
      <c r="CAO43" s="19"/>
      <c r="CAP43" s="19"/>
      <c r="CAQ43" s="19"/>
      <c r="CAR43" s="19"/>
      <c r="CAS43" s="19"/>
      <c r="CAT43" s="19"/>
      <c r="CAU43" s="19"/>
      <c r="CAV43" s="19"/>
      <c r="CAW43" s="19"/>
      <c r="CAX43" s="19"/>
      <c r="CAY43" s="19"/>
      <c r="CAZ43" s="19"/>
      <c r="CBA43" s="19"/>
      <c r="CBB43" s="19"/>
      <c r="CBC43" s="19"/>
      <c r="CBD43" s="19"/>
      <c r="CBE43" s="19"/>
      <c r="CBF43" s="19"/>
      <c r="CBG43" s="19"/>
      <c r="CBH43" s="19"/>
      <c r="CBI43" s="19"/>
      <c r="CBJ43" s="19"/>
      <c r="CBK43" s="19"/>
      <c r="CBL43" s="19"/>
      <c r="CBM43" s="19"/>
      <c r="CBN43" s="19"/>
      <c r="CBO43" s="19"/>
      <c r="CBP43" s="19"/>
      <c r="CBQ43" s="19"/>
      <c r="CBR43" s="19"/>
      <c r="CBS43" s="19"/>
      <c r="CBT43" s="19"/>
      <c r="CBU43" s="19"/>
      <c r="CBV43" s="19"/>
      <c r="CBW43" s="19"/>
      <c r="CBX43" s="19"/>
      <c r="CBY43" s="19"/>
      <c r="CBZ43" s="19"/>
      <c r="CCA43" s="19"/>
      <c r="CCB43" s="19"/>
      <c r="CCC43" s="19"/>
      <c r="CCD43" s="19"/>
      <c r="CCE43" s="19"/>
      <c r="CCF43" s="19"/>
      <c r="CCG43" s="19"/>
      <c r="CCH43" s="19"/>
      <c r="CCI43" s="19"/>
      <c r="CCJ43" s="19"/>
      <c r="CCK43" s="19"/>
      <c r="CCL43" s="19"/>
      <c r="CCM43" s="19"/>
      <c r="CCN43" s="19"/>
      <c r="CCO43" s="19"/>
      <c r="CCP43" s="19"/>
      <c r="CCQ43" s="19"/>
      <c r="CCR43" s="19"/>
      <c r="CCS43" s="19"/>
      <c r="CCT43" s="19"/>
      <c r="CCU43" s="19"/>
      <c r="CCV43" s="19"/>
      <c r="CCW43" s="19"/>
      <c r="CCX43" s="19"/>
      <c r="CCY43" s="19"/>
      <c r="CCZ43" s="19"/>
      <c r="CDA43" s="19"/>
      <c r="CDB43" s="19"/>
      <c r="CDC43" s="19"/>
      <c r="CDD43" s="19"/>
      <c r="CDE43" s="19"/>
      <c r="CDF43" s="19"/>
      <c r="CDG43" s="19"/>
      <c r="CDH43" s="19"/>
      <c r="CDI43" s="19"/>
      <c r="CDJ43" s="19"/>
      <c r="CDK43" s="19"/>
      <c r="CDL43" s="19"/>
      <c r="CDM43" s="19"/>
      <c r="CDN43" s="19"/>
      <c r="CDO43" s="19"/>
      <c r="CDP43" s="19"/>
      <c r="CDQ43" s="19"/>
      <c r="CDR43" s="19"/>
      <c r="CDS43" s="19"/>
      <c r="CDT43" s="19"/>
      <c r="CDU43" s="19"/>
      <c r="CDV43" s="19"/>
      <c r="CDW43" s="19"/>
      <c r="CDX43" s="19"/>
      <c r="CDY43" s="19"/>
      <c r="CDZ43" s="19"/>
      <c r="CEA43" s="19"/>
      <c r="CEB43" s="19"/>
      <c r="CEC43" s="19"/>
      <c r="CED43" s="19"/>
      <c r="CEE43" s="19"/>
      <c r="CEF43" s="19"/>
      <c r="CEG43" s="19"/>
      <c r="CEH43" s="19"/>
      <c r="CEI43" s="19"/>
      <c r="CEJ43" s="19"/>
      <c r="CEK43" s="19"/>
      <c r="CEL43" s="19"/>
      <c r="CEM43" s="19"/>
      <c r="CEN43" s="19"/>
      <c r="CEO43" s="19"/>
      <c r="CEP43" s="19"/>
      <c r="CEQ43" s="19"/>
      <c r="CER43" s="19"/>
      <c r="CES43" s="19"/>
      <c r="CET43" s="19"/>
      <c r="CEU43" s="19"/>
      <c r="CEV43" s="19"/>
      <c r="CEW43" s="19"/>
      <c r="CEX43" s="19"/>
      <c r="CEY43" s="19"/>
      <c r="CEZ43" s="19"/>
      <c r="CFA43" s="19"/>
      <c r="CFB43" s="19"/>
      <c r="CFC43" s="19"/>
      <c r="CFD43" s="19"/>
      <c r="CFE43" s="19"/>
      <c r="CFF43" s="19"/>
      <c r="CFG43" s="19"/>
      <c r="CFH43" s="19"/>
      <c r="CFI43" s="19"/>
      <c r="CFJ43" s="19"/>
      <c r="CFK43" s="19"/>
      <c r="CFL43" s="19"/>
      <c r="CFM43" s="19"/>
      <c r="CFN43" s="19"/>
      <c r="CFO43" s="19"/>
      <c r="CFP43" s="19"/>
      <c r="CFQ43" s="19"/>
      <c r="CFR43" s="19"/>
      <c r="CFS43" s="19"/>
      <c r="CFT43" s="19"/>
      <c r="CFU43" s="19"/>
      <c r="CFV43" s="19"/>
      <c r="CFW43" s="19"/>
      <c r="CFX43" s="19"/>
      <c r="CFY43" s="19"/>
      <c r="CFZ43" s="19"/>
      <c r="CGA43" s="19"/>
      <c r="CGB43" s="19"/>
      <c r="CGC43" s="19"/>
      <c r="CGD43" s="19"/>
      <c r="CGE43" s="19"/>
      <c r="CGF43" s="19"/>
      <c r="CGG43" s="19"/>
      <c r="CGH43" s="19"/>
      <c r="CGI43" s="19"/>
      <c r="CGJ43" s="19"/>
      <c r="CGK43" s="19"/>
      <c r="CGL43" s="19"/>
      <c r="CGM43" s="19"/>
      <c r="CGN43" s="19"/>
      <c r="CGO43" s="19"/>
      <c r="CGP43" s="19"/>
      <c r="CGQ43" s="19"/>
      <c r="CGR43" s="19"/>
      <c r="CGS43" s="19"/>
      <c r="CGT43" s="19"/>
      <c r="CGU43" s="19"/>
      <c r="CGV43" s="19"/>
      <c r="CGW43" s="19"/>
      <c r="CGX43" s="19"/>
      <c r="CGY43" s="19"/>
      <c r="CGZ43" s="19"/>
      <c r="CHA43" s="19"/>
      <c r="CHB43" s="19"/>
      <c r="CHC43" s="19"/>
      <c r="CHD43" s="19"/>
      <c r="CHE43" s="19"/>
      <c r="CHF43" s="19"/>
      <c r="CHG43" s="19"/>
      <c r="CHH43" s="19"/>
      <c r="CHI43" s="19"/>
      <c r="CHJ43" s="19"/>
      <c r="CHK43" s="19"/>
      <c r="CHL43" s="19"/>
      <c r="CHM43" s="19"/>
      <c r="CHN43" s="19"/>
      <c r="CHO43" s="19"/>
      <c r="CHP43" s="19"/>
      <c r="CHQ43" s="19"/>
      <c r="CHR43" s="19"/>
      <c r="CHS43" s="19"/>
      <c r="CHT43" s="19"/>
      <c r="CHU43" s="19"/>
      <c r="CHV43" s="19"/>
      <c r="CHW43" s="19"/>
      <c r="CHX43" s="19"/>
      <c r="CHY43" s="19"/>
      <c r="CHZ43" s="19"/>
      <c r="CIA43" s="19"/>
      <c r="CIB43" s="19"/>
      <c r="CIC43" s="19"/>
      <c r="CID43" s="19"/>
      <c r="CIE43" s="19"/>
      <c r="CIF43" s="19"/>
      <c r="CIG43" s="19"/>
      <c r="CIH43" s="19"/>
      <c r="CII43" s="19"/>
      <c r="CIJ43" s="19"/>
      <c r="CIK43" s="19"/>
      <c r="CIL43" s="19"/>
      <c r="CIM43" s="19"/>
      <c r="CIN43" s="19"/>
      <c r="CIO43" s="19"/>
      <c r="CIP43" s="19"/>
      <c r="CIQ43" s="19"/>
      <c r="CIR43" s="19"/>
      <c r="CIS43" s="19"/>
      <c r="CIT43" s="19"/>
      <c r="CIU43" s="19"/>
      <c r="CIV43" s="19"/>
      <c r="CIW43" s="19"/>
      <c r="CIX43" s="19"/>
      <c r="CIY43" s="19"/>
      <c r="CIZ43" s="19"/>
      <c r="CJA43" s="19"/>
      <c r="CJB43" s="19"/>
      <c r="CJC43" s="19"/>
      <c r="CJD43" s="19"/>
      <c r="CJE43" s="19"/>
      <c r="CJF43" s="19"/>
      <c r="CJG43" s="19"/>
      <c r="CJH43" s="19"/>
      <c r="CJI43" s="19"/>
      <c r="CJJ43" s="19"/>
      <c r="CJK43" s="19"/>
      <c r="CJL43" s="19"/>
      <c r="CJM43" s="19"/>
      <c r="CJN43" s="19"/>
      <c r="CJO43" s="19"/>
      <c r="CJP43" s="19"/>
      <c r="CJQ43" s="19"/>
      <c r="CJR43" s="19"/>
      <c r="CJS43" s="19"/>
      <c r="CJT43" s="19"/>
      <c r="CJU43" s="19"/>
      <c r="CJV43" s="19"/>
      <c r="CJW43" s="19"/>
      <c r="CJX43" s="19"/>
      <c r="CJY43" s="19"/>
      <c r="CJZ43" s="19"/>
      <c r="CKA43" s="19"/>
      <c r="CKB43" s="19"/>
      <c r="CKC43" s="19"/>
      <c r="CKD43" s="19"/>
      <c r="CKE43" s="19"/>
      <c r="CKF43" s="19"/>
      <c r="CKG43" s="19"/>
      <c r="CKH43" s="19"/>
      <c r="CKI43" s="19"/>
      <c r="CKJ43" s="19"/>
      <c r="CKK43" s="19"/>
      <c r="CKL43" s="19"/>
      <c r="CKM43" s="19"/>
      <c r="CKN43" s="19"/>
      <c r="CKO43" s="19"/>
      <c r="CKP43" s="19"/>
      <c r="CKQ43" s="19"/>
      <c r="CKR43" s="19"/>
      <c r="CKS43" s="19"/>
      <c r="CKT43" s="19"/>
      <c r="CKU43" s="19"/>
      <c r="CKV43" s="19"/>
      <c r="CKW43" s="19"/>
      <c r="CKX43" s="19"/>
      <c r="CKY43" s="19"/>
      <c r="CKZ43" s="19"/>
      <c r="CLA43" s="19"/>
      <c r="CLB43" s="19"/>
      <c r="CLC43" s="19"/>
      <c r="CLD43" s="19"/>
      <c r="CLE43" s="19"/>
      <c r="CLF43" s="19"/>
      <c r="CLG43" s="19"/>
      <c r="CLH43" s="19"/>
      <c r="CLI43" s="19"/>
      <c r="CLJ43" s="19"/>
      <c r="CLK43" s="19"/>
      <c r="CLL43" s="19"/>
      <c r="CLM43" s="19"/>
      <c r="CLN43" s="19"/>
      <c r="CLO43" s="19"/>
      <c r="CLP43" s="19"/>
      <c r="CLQ43" s="19"/>
      <c r="CLR43" s="19"/>
      <c r="CLS43" s="19"/>
      <c r="CLT43" s="19"/>
      <c r="CLU43" s="19"/>
      <c r="CLV43" s="19"/>
      <c r="CLW43" s="19"/>
      <c r="CLX43" s="19"/>
      <c r="CLY43" s="19"/>
      <c r="CLZ43" s="19"/>
      <c r="CMA43" s="19"/>
      <c r="CMB43" s="19"/>
      <c r="CMC43" s="19"/>
      <c r="CMD43" s="19"/>
      <c r="CME43" s="19"/>
      <c r="CMF43" s="19"/>
      <c r="CMG43" s="19"/>
      <c r="CMH43" s="19"/>
      <c r="CMI43" s="19"/>
      <c r="CMJ43" s="19"/>
      <c r="CMK43" s="19"/>
      <c r="CML43" s="19"/>
      <c r="CMM43" s="19"/>
      <c r="CMN43" s="19"/>
      <c r="CMO43" s="19"/>
      <c r="CMP43" s="19"/>
      <c r="CMQ43" s="19"/>
      <c r="CMR43" s="19"/>
      <c r="CMS43" s="19"/>
      <c r="CMT43" s="19"/>
      <c r="CMU43" s="19"/>
      <c r="CMV43" s="19"/>
      <c r="CMW43" s="19"/>
      <c r="CMX43" s="19"/>
      <c r="CMY43" s="19"/>
      <c r="CMZ43" s="19"/>
      <c r="CNA43" s="19"/>
      <c r="CNB43" s="19"/>
      <c r="CNC43" s="19"/>
      <c r="CND43" s="19"/>
      <c r="CNE43" s="19"/>
      <c r="CNF43" s="19"/>
      <c r="CNG43" s="19"/>
      <c r="CNH43" s="19"/>
      <c r="CNI43" s="19"/>
      <c r="CNJ43" s="19"/>
      <c r="CNK43" s="19"/>
      <c r="CNL43" s="19"/>
      <c r="CNM43" s="19"/>
      <c r="CNN43" s="19"/>
      <c r="CNO43" s="19"/>
      <c r="CNP43" s="19"/>
      <c r="CNQ43" s="19"/>
      <c r="CNR43" s="19"/>
      <c r="CNS43" s="19"/>
      <c r="CNT43" s="19"/>
      <c r="CNU43" s="19"/>
      <c r="CNV43" s="19"/>
      <c r="CNW43" s="19"/>
      <c r="CNX43" s="19"/>
      <c r="CNY43" s="19"/>
      <c r="CNZ43" s="19"/>
      <c r="COA43" s="19"/>
      <c r="COB43" s="19"/>
      <c r="COC43" s="19"/>
      <c r="COD43" s="19"/>
      <c r="COE43" s="19"/>
      <c r="COF43" s="19"/>
      <c r="COG43" s="19"/>
      <c r="COH43" s="19"/>
      <c r="COI43" s="19"/>
      <c r="COJ43" s="19"/>
      <c r="COK43" s="19"/>
      <c r="COL43" s="19"/>
      <c r="COM43" s="19"/>
      <c r="CON43" s="19"/>
      <c r="COO43" s="19"/>
      <c r="COP43" s="19"/>
      <c r="COQ43" s="19"/>
      <c r="COR43" s="19"/>
      <c r="COS43" s="19"/>
      <c r="COT43" s="19"/>
      <c r="COU43" s="19"/>
      <c r="COV43" s="19"/>
      <c r="COW43" s="19"/>
      <c r="COX43" s="19"/>
      <c r="COY43" s="19"/>
      <c r="COZ43" s="19"/>
      <c r="CPA43" s="19"/>
      <c r="CPB43" s="19"/>
      <c r="CPC43" s="19"/>
      <c r="CPD43" s="19"/>
      <c r="CPE43" s="19"/>
      <c r="CPF43" s="19"/>
      <c r="CPG43" s="19"/>
      <c r="CPH43" s="19"/>
      <c r="CPI43" s="19"/>
      <c r="CPJ43" s="19"/>
      <c r="CPK43" s="19"/>
      <c r="CPL43" s="19"/>
      <c r="CPM43" s="19"/>
      <c r="CPN43" s="19"/>
      <c r="CPO43" s="19"/>
      <c r="CPP43" s="19"/>
      <c r="CPQ43" s="19"/>
      <c r="CPR43" s="19"/>
      <c r="CPS43" s="19"/>
      <c r="CPT43" s="19"/>
      <c r="CPU43" s="19"/>
      <c r="CPV43" s="19"/>
      <c r="CPW43" s="19"/>
      <c r="CPX43" s="19"/>
      <c r="CPY43" s="19"/>
      <c r="CPZ43" s="19"/>
      <c r="CQA43" s="19"/>
      <c r="CQB43" s="19"/>
      <c r="CQC43" s="19"/>
      <c r="CQD43" s="19"/>
      <c r="CQE43" s="19"/>
      <c r="CQF43" s="19"/>
      <c r="CQG43" s="19"/>
      <c r="CQH43" s="19"/>
      <c r="CQI43" s="19"/>
      <c r="CQJ43" s="19"/>
      <c r="CQK43" s="19"/>
      <c r="CQL43" s="19"/>
      <c r="CQM43" s="19"/>
      <c r="CQN43" s="19"/>
      <c r="CQO43" s="19"/>
      <c r="CQP43" s="19"/>
      <c r="CQQ43" s="19"/>
      <c r="CQR43" s="19"/>
      <c r="CQS43" s="19"/>
      <c r="CQT43" s="19"/>
      <c r="CQU43" s="19"/>
      <c r="CQV43" s="19"/>
      <c r="CQW43" s="19"/>
      <c r="CQX43" s="19"/>
      <c r="CQY43" s="19"/>
      <c r="CQZ43" s="19"/>
      <c r="CRA43" s="19"/>
      <c r="CRB43" s="19"/>
      <c r="CRC43" s="19"/>
      <c r="CRD43" s="19"/>
      <c r="CRE43" s="19"/>
      <c r="CRF43" s="19"/>
      <c r="CRG43" s="19"/>
      <c r="CRH43" s="19"/>
      <c r="CRI43" s="19"/>
      <c r="CRJ43" s="19"/>
      <c r="CRK43" s="19"/>
      <c r="CRL43" s="19"/>
      <c r="CRM43" s="19"/>
      <c r="CRN43" s="19"/>
      <c r="CRO43" s="19"/>
      <c r="CRP43" s="19"/>
      <c r="CRQ43" s="19"/>
      <c r="CRR43" s="19"/>
      <c r="CRS43" s="19"/>
      <c r="CRT43" s="19"/>
      <c r="CRU43" s="19"/>
      <c r="CRV43" s="19"/>
      <c r="CRW43" s="19"/>
      <c r="CRX43" s="19"/>
      <c r="CRY43" s="19"/>
      <c r="CRZ43" s="19"/>
      <c r="CSA43" s="19"/>
      <c r="CSB43" s="19"/>
      <c r="CSC43" s="19"/>
      <c r="CSD43" s="19"/>
      <c r="CSE43" s="19"/>
      <c r="CSF43" s="19"/>
      <c r="CSG43" s="19"/>
      <c r="CSH43" s="19"/>
      <c r="CSI43" s="19"/>
      <c r="CSJ43" s="19"/>
      <c r="CSK43" s="19"/>
      <c r="CSL43" s="19"/>
      <c r="CSM43" s="19"/>
      <c r="CSN43" s="19"/>
      <c r="CSO43" s="19"/>
      <c r="CSP43" s="19"/>
      <c r="CSQ43" s="19"/>
      <c r="CSR43" s="19"/>
      <c r="CSS43" s="19"/>
      <c r="CST43" s="19"/>
      <c r="CSU43" s="19"/>
      <c r="CSV43" s="19"/>
      <c r="CSW43" s="19"/>
      <c r="CSX43" s="19"/>
      <c r="CSY43" s="19"/>
      <c r="CSZ43" s="19"/>
      <c r="CTA43" s="19"/>
      <c r="CTB43" s="19"/>
      <c r="CTC43" s="19"/>
      <c r="CTD43" s="19"/>
      <c r="CTE43" s="19"/>
      <c r="CTF43" s="19"/>
      <c r="CTG43" s="19"/>
      <c r="CTH43" s="19"/>
      <c r="CTI43" s="19"/>
      <c r="CTJ43" s="19"/>
      <c r="CTK43" s="19"/>
      <c r="CTL43" s="19"/>
      <c r="CTM43" s="19"/>
      <c r="CTN43" s="19"/>
      <c r="CTO43" s="19"/>
      <c r="CTP43" s="19"/>
      <c r="CTQ43" s="19"/>
      <c r="CTR43" s="19"/>
      <c r="CTS43" s="19"/>
      <c r="CTT43" s="19"/>
      <c r="CTU43" s="19"/>
      <c r="CTV43" s="19"/>
      <c r="CTW43" s="19"/>
      <c r="CTX43" s="19"/>
      <c r="CTY43" s="19"/>
      <c r="CTZ43" s="19"/>
      <c r="CUA43" s="19"/>
      <c r="CUB43" s="19"/>
      <c r="CUC43" s="19"/>
      <c r="CUD43" s="19"/>
      <c r="CUE43" s="19"/>
      <c r="CUF43" s="19"/>
      <c r="CUG43" s="19"/>
      <c r="CUH43" s="19"/>
      <c r="CUI43" s="19"/>
      <c r="CUJ43" s="19"/>
      <c r="CUK43" s="19"/>
      <c r="CUL43" s="19"/>
      <c r="CUM43" s="19"/>
      <c r="CUN43" s="19"/>
      <c r="CUO43" s="19"/>
      <c r="CUP43" s="19"/>
      <c r="CUQ43" s="19"/>
      <c r="CUR43" s="19"/>
      <c r="CUS43" s="19"/>
      <c r="CUT43" s="19"/>
      <c r="CUU43" s="19"/>
      <c r="CUV43" s="19"/>
      <c r="CUW43" s="19"/>
      <c r="CUX43" s="19"/>
      <c r="CUY43" s="19"/>
      <c r="CUZ43" s="19"/>
      <c r="CVA43" s="19"/>
      <c r="CVB43" s="19"/>
      <c r="CVC43" s="19"/>
      <c r="CVD43" s="19"/>
      <c r="CVE43" s="19"/>
      <c r="CVF43" s="19"/>
      <c r="CVG43" s="19"/>
      <c r="CVH43" s="19"/>
      <c r="CVI43" s="19"/>
      <c r="CVJ43" s="19"/>
      <c r="CVK43" s="19"/>
      <c r="CVL43" s="19"/>
      <c r="CVM43" s="19"/>
      <c r="CVN43" s="19"/>
      <c r="CVO43" s="19"/>
      <c r="CVP43" s="19"/>
      <c r="CVQ43" s="19"/>
      <c r="CVR43" s="19"/>
      <c r="CVS43" s="19"/>
      <c r="CVT43" s="19"/>
      <c r="CVU43" s="19"/>
      <c r="CVV43" s="19"/>
      <c r="CVW43" s="19"/>
      <c r="CVX43" s="19"/>
      <c r="CVY43" s="19"/>
      <c r="CVZ43" s="19"/>
      <c r="CWA43" s="19"/>
      <c r="CWB43" s="19"/>
      <c r="CWC43" s="19"/>
      <c r="CWD43" s="19"/>
      <c r="CWE43" s="19"/>
      <c r="CWF43" s="19"/>
      <c r="CWG43" s="19"/>
      <c r="CWH43" s="19"/>
      <c r="CWI43" s="19"/>
      <c r="CWJ43" s="19"/>
      <c r="CWK43" s="19"/>
      <c r="CWL43" s="19"/>
      <c r="CWM43" s="19"/>
      <c r="CWN43" s="19"/>
      <c r="CWO43" s="19"/>
      <c r="CWP43" s="19"/>
      <c r="CWQ43" s="19"/>
      <c r="CWR43" s="19"/>
      <c r="CWS43" s="19"/>
      <c r="CWT43" s="19"/>
      <c r="CWU43" s="19"/>
      <c r="CWV43" s="19"/>
      <c r="CWW43" s="19"/>
      <c r="CWX43" s="19"/>
      <c r="CWY43" s="19"/>
      <c r="CWZ43" s="19"/>
      <c r="CXA43" s="19"/>
      <c r="CXB43" s="19"/>
      <c r="CXC43" s="19"/>
      <c r="CXD43" s="19"/>
      <c r="CXE43" s="19"/>
      <c r="CXF43" s="19"/>
      <c r="CXG43" s="19"/>
      <c r="CXH43" s="19"/>
      <c r="CXI43" s="19"/>
      <c r="CXJ43" s="19"/>
      <c r="CXK43" s="19"/>
      <c r="CXL43" s="19"/>
      <c r="CXM43" s="19"/>
      <c r="CXN43" s="19"/>
      <c r="CXO43" s="19"/>
      <c r="CXP43" s="19"/>
      <c r="CXQ43" s="19"/>
      <c r="CXR43" s="19"/>
      <c r="CXS43" s="19"/>
      <c r="CXT43" s="19"/>
      <c r="CXU43" s="19"/>
      <c r="CXV43" s="19"/>
      <c r="CXW43" s="19"/>
      <c r="CXX43" s="19"/>
      <c r="CXY43" s="19"/>
      <c r="CXZ43" s="19"/>
      <c r="CYA43" s="19"/>
      <c r="CYB43" s="19"/>
      <c r="CYC43" s="19"/>
      <c r="CYD43" s="19"/>
      <c r="CYE43" s="19"/>
      <c r="CYF43" s="19"/>
      <c r="CYG43" s="19"/>
      <c r="CYH43" s="19"/>
      <c r="CYI43" s="19"/>
      <c r="CYJ43" s="19"/>
      <c r="CYK43" s="19"/>
      <c r="CYL43" s="19"/>
      <c r="CYM43" s="19"/>
      <c r="CYN43" s="19"/>
      <c r="CYO43" s="19"/>
      <c r="CYP43" s="19"/>
      <c r="CYQ43" s="19"/>
      <c r="CYR43" s="19"/>
      <c r="CYS43" s="19"/>
      <c r="CYT43" s="19"/>
      <c r="CYU43" s="19"/>
      <c r="CYV43" s="19"/>
      <c r="CYW43" s="19"/>
      <c r="CYX43" s="19"/>
      <c r="CYY43" s="19"/>
      <c r="CYZ43" s="19"/>
      <c r="CZA43" s="19"/>
      <c r="CZB43" s="19"/>
      <c r="CZC43" s="19"/>
      <c r="CZD43" s="19"/>
      <c r="CZE43" s="19"/>
      <c r="CZF43" s="19"/>
      <c r="CZG43" s="19"/>
      <c r="CZH43" s="19"/>
      <c r="CZI43" s="19"/>
      <c r="CZJ43" s="19"/>
      <c r="CZK43" s="19"/>
      <c r="CZL43" s="19"/>
      <c r="CZM43" s="19"/>
      <c r="CZN43" s="19"/>
      <c r="CZO43" s="19"/>
      <c r="CZP43" s="19"/>
      <c r="CZQ43" s="19"/>
      <c r="CZR43" s="19"/>
      <c r="CZS43" s="19"/>
      <c r="CZT43" s="19"/>
      <c r="CZU43" s="19"/>
      <c r="CZV43" s="19"/>
      <c r="CZW43" s="19"/>
      <c r="CZX43" s="19"/>
      <c r="CZY43" s="19"/>
      <c r="CZZ43" s="19"/>
      <c r="DAA43" s="19"/>
      <c r="DAB43" s="19"/>
      <c r="DAC43" s="19"/>
      <c r="DAD43" s="19"/>
      <c r="DAE43" s="19"/>
      <c r="DAF43" s="19"/>
      <c r="DAG43" s="19"/>
      <c r="DAH43" s="19"/>
      <c r="DAI43" s="19"/>
      <c r="DAJ43" s="19"/>
      <c r="DAK43" s="19"/>
      <c r="DAL43" s="19"/>
      <c r="DAM43" s="19"/>
      <c r="DAN43" s="19"/>
      <c r="DAO43" s="19"/>
      <c r="DAP43" s="19"/>
      <c r="DAQ43" s="19"/>
      <c r="DAR43" s="19"/>
      <c r="DAS43" s="19"/>
      <c r="DAT43" s="19"/>
      <c r="DAU43" s="19"/>
      <c r="DAV43" s="19"/>
      <c r="DAW43" s="19"/>
      <c r="DAX43" s="19"/>
      <c r="DAY43" s="19"/>
      <c r="DAZ43" s="19"/>
      <c r="DBA43" s="19"/>
      <c r="DBB43" s="19"/>
      <c r="DBC43" s="19"/>
      <c r="DBD43" s="19"/>
      <c r="DBE43" s="19"/>
      <c r="DBF43" s="19"/>
      <c r="DBG43" s="19"/>
      <c r="DBH43" s="19"/>
      <c r="DBI43" s="19"/>
      <c r="DBJ43" s="19"/>
      <c r="DBK43" s="19"/>
      <c r="DBL43" s="19"/>
      <c r="DBM43" s="19"/>
      <c r="DBN43" s="19"/>
      <c r="DBO43" s="19"/>
      <c r="DBP43" s="19"/>
      <c r="DBQ43" s="19"/>
      <c r="DBR43" s="19"/>
      <c r="DBS43" s="19"/>
      <c r="DBT43" s="19"/>
      <c r="DBU43" s="19"/>
      <c r="DBV43" s="19"/>
      <c r="DBW43" s="19"/>
      <c r="DBX43" s="19"/>
      <c r="DBY43" s="19"/>
      <c r="DBZ43" s="19"/>
      <c r="DCA43" s="19"/>
      <c r="DCB43" s="19"/>
      <c r="DCC43" s="19"/>
      <c r="DCD43" s="19"/>
      <c r="DCE43" s="19"/>
      <c r="DCF43" s="19"/>
      <c r="DCG43" s="19"/>
      <c r="DCH43" s="19"/>
      <c r="DCI43" s="19"/>
      <c r="DCJ43" s="19"/>
      <c r="DCK43" s="19"/>
      <c r="DCL43" s="19"/>
      <c r="DCM43" s="19"/>
      <c r="DCN43" s="19"/>
      <c r="DCO43" s="19"/>
      <c r="DCP43" s="19"/>
      <c r="DCQ43" s="19"/>
      <c r="DCR43" s="19"/>
      <c r="DCS43" s="19"/>
      <c r="DCT43" s="19"/>
      <c r="DCU43" s="19"/>
      <c r="DCV43" s="19"/>
      <c r="DCW43" s="19"/>
      <c r="DCX43" s="19"/>
      <c r="DCY43" s="19"/>
      <c r="DCZ43" s="19"/>
      <c r="DDA43" s="19"/>
      <c r="DDB43" s="19"/>
      <c r="DDC43" s="19"/>
      <c r="DDD43" s="19"/>
      <c r="DDE43" s="19"/>
      <c r="DDF43" s="19"/>
      <c r="DDG43" s="19"/>
      <c r="DDH43" s="19"/>
      <c r="DDI43" s="19"/>
      <c r="DDJ43" s="19"/>
      <c r="DDK43" s="19"/>
      <c r="DDL43" s="19"/>
      <c r="DDM43" s="19"/>
      <c r="DDN43" s="19"/>
      <c r="DDO43" s="19"/>
      <c r="DDP43" s="19"/>
      <c r="DDQ43" s="19"/>
      <c r="DDR43" s="19"/>
      <c r="DDS43" s="19"/>
      <c r="DDT43" s="19"/>
      <c r="DDU43" s="19"/>
      <c r="DDV43" s="19"/>
      <c r="DDW43" s="19"/>
      <c r="DDX43" s="19"/>
      <c r="DDY43" s="19"/>
      <c r="DDZ43" s="19"/>
      <c r="DEA43" s="19"/>
      <c r="DEB43" s="19"/>
      <c r="DEC43" s="19"/>
      <c r="DED43" s="19"/>
      <c r="DEE43" s="19"/>
      <c r="DEF43" s="19"/>
      <c r="DEG43" s="19"/>
      <c r="DEH43" s="19"/>
      <c r="DEI43" s="19"/>
      <c r="DEJ43" s="19"/>
      <c r="DEK43" s="19"/>
      <c r="DEL43" s="19"/>
      <c r="DEM43" s="19"/>
      <c r="DEN43" s="19"/>
      <c r="DEO43" s="19"/>
      <c r="DEP43" s="19"/>
      <c r="DEQ43" s="19"/>
      <c r="DER43" s="19"/>
      <c r="DES43" s="19"/>
      <c r="DET43" s="19"/>
      <c r="DEU43" s="19"/>
      <c r="DEV43" s="19"/>
      <c r="DEW43" s="19"/>
      <c r="DEX43" s="19"/>
      <c r="DEY43" s="19"/>
      <c r="DEZ43" s="19"/>
      <c r="DFA43" s="19"/>
      <c r="DFB43" s="19"/>
      <c r="DFC43" s="19"/>
      <c r="DFD43" s="19"/>
      <c r="DFE43" s="19"/>
      <c r="DFF43" s="19"/>
      <c r="DFG43" s="19"/>
      <c r="DFH43" s="19"/>
      <c r="DFI43" s="19"/>
      <c r="DFJ43" s="19"/>
      <c r="DFK43" s="19"/>
      <c r="DFL43" s="19"/>
      <c r="DFM43" s="19"/>
      <c r="DFN43" s="19"/>
      <c r="DFO43" s="19"/>
      <c r="DFP43" s="19"/>
      <c r="DFQ43" s="19"/>
      <c r="DFR43" s="19"/>
      <c r="DFS43" s="19"/>
      <c r="DFT43" s="19"/>
      <c r="DFU43" s="19"/>
      <c r="DFV43" s="19"/>
      <c r="DFW43" s="19"/>
      <c r="DFX43" s="19"/>
      <c r="DFY43" s="19"/>
      <c r="DFZ43" s="19"/>
      <c r="DGA43" s="19"/>
      <c r="DGB43" s="19"/>
      <c r="DGC43" s="19"/>
      <c r="DGD43" s="19"/>
      <c r="DGE43" s="19"/>
      <c r="DGF43" s="19"/>
      <c r="DGG43" s="19"/>
      <c r="DGH43" s="19"/>
      <c r="DGI43" s="19"/>
      <c r="DGJ43" s="19"/>
      <c r="DGK43" s="19"/>
      <c r="DGL43" s="19"/>
      <c r="DGM43" s="19"/>
      <c r="DGN43" s="19"/>
      <c r="DGO43" s="19"/>
      <c r="DGP43" s="19"/>
      <c r="DGQ43" s="19"/>
      <c r="DGR43" s="19"/>
      <c r="DGS43" s="19"/>
      <c r="DGT43" s="19"/>
      <c r="DGU43" s="19"/>
      <c r="DGV43" s="19"/>
      <c r="DGW43" s="19"/>
      <c r="DGX43" s="19"/>
      <c r="DGY43" s="19"/>
      <c r="DGZ43" s="19"/>
      <c r="DHA43" s="19"/>
      <c r="DHB43" s="19"/>
      <c r="DHC43" s="19"/>
      <c r="DHD43" s="19"/>
      <c r="DHE43" s="19"/>
      <c r="DHF43" s="19"/>
      <c r="DHG43" s="19"/>
      <c r="DHH43" s="19"/>
      <c r="DHI43" s="19"/>
      <c r="DHJ43" s="19"/>
      <c r="DHK43" s="19"/>
      <c r="DHL43" s="19"/>
      <c r="DHM43" s="19"/>
      <c r="DHN43" s="19"/>
      <c r="DHO43" s="19"/>
      <c r="DHP43" s="19"/>
      <c r="DHQ43" s="19"/>
      <c r="DHR43" s="19"/>
      <c r="DHS43" s="19"/>
      <c r="DHT43" s="19"/>
      <c r="DHU43" s="19"/>
      <c r="DHV43" s="19"/>
      <c r="DHW43" s="19"/>
      <c r="DHX43" s="19"/>
      <c r="DHY43" s="19"/>
      <c r="DHZ43" s="19"/>
      <c r="DIA43" s="19"/>
      <c r="DIB43" s="19"/>
      <c r="DIC43" s="19"/>
      <c r="DID43" s="19"/>
      <c r="DIE43" s="19"/>
      <c r="DIF43" s="19"/>
      <c r="DIG43" s="19"/>
      <c r="DIH43" s="19"/>
      <c r="DII43" s="19"/>
      <c r="DIJ43" s="19"/>
      <c r="DIK43" s="19"/>
      <c r="DIL43" s="19"/>
      <c r="DIM43" s="19"/>
      <c r="DIN43" s="19"/>
      <c r="DIO43" s="19"/>
      <c r="DIP43" s="19"/>
      <c r="DIQ43" s="19"/>
      <c r="DIR43" s="19"/>
      <c r="DIS43" s="19"/>
      <c r="DIT43" s="19"/>
      <c r="DIU43" s="19"/>
      <c r="DIV43" s="19"/>
      <c r="DIW43" s="19"/>
      <c r="DIX43" s="19"/>
      <c r="DIY43" s="19"/>
      <c r="DIZ43" s="19"/>
      <c r="DJA43" s="19"/>
      <c r="DJB43" s="19"/>
      <c r="DJC43" s="19"/>
      <c r="DJD43" s="19"/>
      <c r="DJE43" s="19"/>
      <c r="DJF43" s="19"/>
      <c r="DJG43" s="19"/>
      <c r="DJH43" s="19"/>
      <c r="DJI43" s="19"/>
      <c r="DJJ43" s="19"/>
      <c r="DJK43" s="19"/>
      <c r="DJL43" s="19"/>
      <c r="DJM43" s="19"/>
      <c r="DJN43" s="19"/>
      <c r="DJO43" s="19"/>
      <c r="DJP43" s="19"/>
      <c r="DJQ43" s="19"/>
      <c r="DJR43" s="19"/>
      <c r="DJS43" s="19"/>
      <c r="DJT43" s="19"/>
      <c r="DJU43" s="19"/>
      <c r="DJV43" s="19"/>
      <c r="DJW43" s="19"/>
      <c r="DJX43" s="19"/>
      <c r="DJY43" s="19"/>
      <c r="DJZ43" s="19"/>
      <c r="DKA43" s="19"/>
      <c r="DKB43" s="19"/>
      <c r="DKC43" s="19"/>
      <c r="DKD43" s="19"/>
      <c r="DKE43" s="19"/>
      <c r="DKF43" s="19"/>
      <c r="DKG43" s="19"/>
      <c r="DKH43" s="19"/>
      <c r="DKI43" s="19"/>
      <c r="DKJ43" s="19"/>
      <c r="DKK43" s="19"/>
      <c r="DKL43" s="19"/>
      <c r="DKM43" s="19"/>
      <c r="DKN43" s="19"/>
      <c r="DKO43" s="19"/>
      <c r="DKP43" s="19"/>
      <c r="DKQ43" s="19"/>
      <c r="DKR43" s="19"/>
      <c r="DKS43" s="19"/>
      <c r="DKT43" s="19"/>
      <c r="DKU43" s="19"/>
      <c r="DKV43" s="19"/>
      <c r="DKW43" s="19"/>
      <c r="DKX43" s="19"/>
      <c r="DKY43" s="19"/>
      <c r="DKZ43" s="19"/>
      <c r="DLA43" s="19"/>
      <c r="DLB43" s="19"/>
      <c r="DLC43" s="19"/>
      <c r="DLD43" s="19"/>
      <c r="DLE43" s="19"/>
      <c r="DLF43" s="19"/>
      <c r="DLG43" s="19"/>
      <c r="DLH43" s="19"/>
      <c r="DLI43" s="19"/>
      <c r="DLJ43" s="19"/>
      <c r="DLK43" s="19"/>
      <c r="DLL43" s="19"/>
      <c r="DLM43" s="19"/>
      <c r="DLN43" s="19"/>
      <c r="DLO43" s="19"/>
      <c r="DLP43" s="19"/>
      <c r="DLQ43" s="19"/>
      <c r="DLR43" s="19"/>
      <c r="DLS43" s="19"/>
      <c r="DLT43" s="19"/>
      <c r="DLU43" s="19"/>
      <c r="DLV43" s="19"/>
      <c r="DLW43" s="19"/>
      <c r="DLX43" s="19"/>
      <c r="DLY43" s="19"/>
      <c r="DLZ43" s="19"/>
      <c r="DMA43" s="19"/>
      <c r="DMB43" s="19"/>
      <c r="DMC43" s="19"/>
      <c r="DMD43" s="19"/>
      <c r="DME43" s="19"/>
      <c r="DMF43" s="19"/>
      <c r="DMG43" s="19"/>
      <c r="DMH43" s="19"/>
      <c r="DMI43" s="19"/>
      <c r="DMJ43" s="19"/>
      <c r="DMK43" s="19"/>
      <c r="DML43" s="19"/>
      <c r="DMM43" s="19"/>
      <c r="DMN43" s="19"/>
      <c r="DMO43" s="19"/>
      <c r="DMP43" s="19"/>
      <c r="DMQ43" s="19"/>
      <c r="DMR43" s="19"/>
      <c r="DMS43" s="19"/>
      <c r="DMT43" s="19"/>
      <c r="DMU43" s="19"/>
      <c r="DMV43" s="19"/>
      <c r="DMW43" s="19"/>
      <c r="DMX43" s="19"/>
      <c r="DMY43" s="19"/>
      <c r="DMZ43" s="19"/>
      <c r="DNA43" s="19"/>
      <c r="DNB43" s="19"/>
      <c r="DNC43" s="19"/>
      <c r="DND43" s="19"/>
      <c r="DNE43" s="19"/>
      <c r="DNF43" s="19"/>
      <c r="DNG43" s="19"/>
      <c r="DNH43" s="19"/>
      <c r="DNI43" s="19"/>
      <c r="DNJ43" s="19"/>
      <c r="DNK43" s="19"/>
      <c r="DNL43" s="19"/>
      <c r="DNM43" s="19"/>
      <c r="DNN43" s="19"/>
      <c r="DNO43" s="19"/>
      <c r="DNP43" s="19"/>
      <c r="DNQ43" s="19"/>
      <c r="DNR43" s="19"/>
      <c r="DNS43" s="19"/>
      <c r="DNT43" s="19"/>
      <c r="DNU43" s="19"/>
      <c r="DNV43" s="19"/>
      <c r="DNW43" s="19"/>
      <c r="DNX43" s="19"/>
      <c r="DNY43" s="19"/>
      <c r="DNZ43" s="19"/>
      <c r="DOA43" s="19"/>
      <c r="DOB43" s="19"/>
      <c r="DOC43" s="19"/>
      <c r="DOD43" s="19"/>
      <c r="DOE43" s="19"/>
      <c r="DOF43" s="19"/>
      <c r="DOG43" s="19"/>
      <c r="DOH43" s="19"/>
      <c r="DOI43" s="19"/>
      <c r="DOJ43" s="19"/>
      <c r="DOK43" s="19"/>
      <c r="DOL43" s="19"/>
      <c r="DOM43" s="19"/>
      <c r="DON43" s="19"/>
      <c r="DOO43" s="19"/>
      <c r="DOP43" s="19"/>
      <c r="DOQ43" s="19"/>
      <c r="DOR43" s="19"/>
      <c r="DOS43" s="19"/>
      <c r="DOT43" s="19"/>
      <c r="DOU43" s="19"/>
      <c r="DOV43" s="19"/>
      <c r="DOW43" s="19"/>
      <c r="DOX43" s="19"/>
      <c r="DOY43" s="19"/>
      <c r="DOZ43" s="19"/>
      <c r="DPA43" s="19"/>
      <c r="DPB43" s="19"/>
      <c r="DPC43" s="19"/>
      <c r="DPD43" s="19"/>
      <c r="DPE43" s="19"/>
      <c r="DPF43" s="19"/>
      <c r="DPG43" s="19"/>
      <c r="DPH43" s="19"/>
      <c r="DPI43" s="19"/>
      <c r="DPJ43" s="19"/>
      <c r="DPK43" s="19"/>
      <c r="DPL43" s="19"/>
      <c r="DPM43" s="19"/>
      <c r="DPN43" s="19"/>
      <c r="DPO43" s="19"/>
      <c r="DPP43" s="19"/>
      <c r="DPQ43" s="19"/>
      <c r="DPR43" s="19"/>
      <c r="DPS43" s="19"/>
      <c r="DPT43" s="19"/>
      <c r="DPU43" s="19"/>
      <c r="DPV43" s="19"/>
      <c r="DPW43" s="19"/>
      <c r="DPX43" s="19"/>
      <c r="DPY43" s="19"/>
      <c r="DPZ43" s="19"/>
      <c r="DQA43" s="19"/>
      <c r="DQB43" s="19"/>
      <c r="DQC43" s="19"/>
      <c r="DQD43" s="19"/>
      <c r="DQE43" s="19"/>
      <c r="DQF43" s="19"/>
      <c r="DQG43" s="19"/>
      <c r="DQH43" s="19"/>
      <c r="DQI43" s="19"/>
      <c r="DQJ43" s="19"/>
      <c r="DQK43" s="19"/>
      <c r="DQL43" s="19"/>
      <c r="DQM43" s="19"/>
      <c r="DQN43" s="19"/>
      <c r="DQO43" s="19"/>
      <c r="DQP43" s="19"/>
      <c r="DQQ43" s="19"/>
      <c r="DQR43" s="19"/>
      <c r="DQS43" s="19"/>
      <c r="DQT43" s="19"/>
      <c r="DQU43" s="19"/>
      <c r="DQV43" s="19"/>
      <c r="DQW43" s="19"/>
      <c r="DQX43" s="19"/>
      <c r="DQY43" s="19"/>
      <c r="DQZ43" s="19"/>
      <c r="DRA43" s="19"/>
      <c r="DRB43" s="19"/>
      <c r="DRC43" s="19"/>
      <c r="DRD43" s="19"/>
      <c r="DRE43" s="19"/>
      <c r="DRF43" s="19"/>
      <c r="DRG43" s="19"/>
      <c r="DRH43" s="19"/>
      <c r="DRI43" s="19"/>
      <c r="DRJ43" s="19"/>
      <c r="DRK43" s="19"/>
      <c r="DRL43" s="19"/>
      <c r="DRM43" s="19"/>
      <c r="DRN43" s="19"/>
      <c r="DRO43" s="19"/>
      <c r="DRP43" s="19"/>
      <c r="DRQ43" s="19"/>
      <c r="DRR43" s="19"/>
      <c r="DRS43" s="19"/>
      <c r="DRT43" s="19"/>
      <c r="DRU43" s="19"/>
      <c r="DRV43" s="19"/>
      <c r="DRW43" s="19"/>
      <c r="DRX43" s="19"/>
      <c r="DRY43" s="19"/>
      <c r="DRZ43" s="19"/>
      <c r="DSA43" s="19"/>
      <c r="DSB43" s="19"/>
      <c r="DSC43" s="19"/>
      <c r="DSD43" s="19"/>
      <c r="DSE43" s="19"/>
      <c r="DSF43" s="19"/>
      <c r="DSG43" s="19"/>
      <c r="DSH43" s="19"/>
      <c r="DSI43" s="19"/>
      <c r="DSJ43" s="19"/>
      <c r="DSK43" s="19"/>
      <c r="DSL43" s="19"/>
      <c r="DSM43" s="19"/>
      <c r="DSN43" s="19"/>
      <c r="DSO43" s="19"/>
      <c r="DSP43" s="19"/>
      <c r="DSQ43" s="19"/>
      <c r="DSR43" s="19"/>
      <c r="DSS43" s="19"/>
      <c r="DST43" s="19"/>
      <c r="DSU43" s="19"/>
      <c r="DSV43" s="19"/>
      <c r="DSW43" s="19"/>
      <c r="DSX43" s="19"/>
      <c r="DSY43" s="19"/>
      <c r="DSZ43" s="19"/>
      <c r="DTA43" s="19"/>
      <c r="DTB43" s="19"/>
      <c r="DTC43" s="19"/>
      <c r="DTD43" s="19"/>
      <c r="DTE43" s="19"/>
      <c r="DTF43" s="19"/>
      <c r="DTG43" s="19"/>
      <c r="DTH43" s="19"/>
      <c r="DTI43" s="19"/>
      <c r="DTJ43" s="19"/>
      <c r="DTK43" s="19"/>
      <c r="DTL43" s="19"/>
      <c r="DTM43" s="19"/>
      <c r="DTN43" s="19"/>
      <c r="DTO43" s="19"/>
      <c r="DTP43" s="19"/>
      <c r="DTQ43" s="19"/>
      <c r="DTR43" s="19"/>
      <c r="DTS43" s="19"/>
      <c r="DTT43" s="19"/>
      <c r="DTU43" s="19"/>
      <c r="DTV43" s="19"/>
      <c r="DTW43" s="19"/>
      <c r="DTX43" s="19"/>
      <c r="DTY43" s="19"/>
      <c r="DTZ43" s="19"/>
      <c r="DUA43" s="19"/>
      <c r="DUB43" s="19"/>
      <c r="DUC43" s="19"/>
      <c r="DUD43" s="19"/>
      <c r="DUE43" s="19"/>
      <c r="DUF43" s="19"/>
      <c r="DUG43" s="19"/>
      <c r="DUH43" s="19"/>
      <c r="DUI43" s="19"/>
      <c r="DUJ43" s="19"/>
      <c r="DUK43" s="19"/>
      <c r="DUL43" s="19"/>
      <c r="DUM43" s="19"/>
      <c r="DUN43" s="19"/>
      <c r="DUO43" s="19"/>
      <c r="DUP43" s="19"/>
      <c r="DUQ43" s="19"/>
      <c r="DUR43" s="19"/>
      <c r="DUS43" s="19"/>
      <c r="DUT43" s="19"/>
      <c r="DUU43" s="19"/>
      <c r="DUV43" s="19"/>
      <c r="DUW43" s="19"/>
      <c r="DUX43" s="19"/>
      <c r="DUY43" s="19"/>
      <c r="DUZ43" s="19"/>
      <c r="DVA43" s="19"/>
      <c r="DVB43" s="19"/>
      <c r="DVC43" s="19"/>
      <c r="DVD43" s="19"/>
      <c r="DVE43" s="19"/>
      <c r="DVF43" s="19"/>
      <c r="DVG43" s="19"/>
      <c r="DVH43" s="19"/>
      <c r="DVI43" s="19"/>
      <c r="DVJ43" s="19"/>
      <c r="DVK43" s="19"/>
      <c r="DVL43" s="19"/>
      <c r="DVM43" s="19"/>
      <c r="DVN43" s="19"/>
      <c r="DVO43" s="19"/>
      <c r="DVP43" s="19"/>
      <c r="DVQ43" s="19"/>
      <c r="DVR43" s="19"/>
      <c r="DVS43" s="19"/>
      <c r="DVT43" s="19"/>
      <c r="DVU43" s="19"/>
      <c r="DVV43" s="19"/>
      <c r="DVW43" s="19"/>
      <c r="DVX43" s="19"/>
      <c r="DVY43" s="19"/>
      <c r="DVZ43" s="19"/>
      <c r="DWA43" s="19"/>
      <c r="DWB43" s="19"/>
      <c r="DWC43" s="19"/>
      <c r="DWD43" s="19"/>
      <c r="DWE43" s="19"/>
      <c r="DWF43" s="19"/>
      <c r="DWG43" s="19"/>
      <c r="DWH43" s="19"/>
      <c r="DWI43" s="19"/>
      <c r="DWJ43" s="19"/>
      <c r="DWK43" s="19"/>
      <c r="DWL43" s="19"/>
      <c r="DWM43" s="19"/>
      <c r="DWN43" s="19"/>
      <c r="DWO43" s="19"/>
      <c r="DWP43" s="19"/>
      <c r="DWQ43" s="19"/>
      <c r="DWR43" s="19"/>
      <c r="DWS43" s="19"/>
      <c r="DWT43" s="19"/>
      <c r="DWU43" s="19"/>
      <c r="DWV43" s="19"/>
      <c r="DWW43" s="19"/>
      <c r="DWX43" s="19"/>
      <c r="DWY43" s="19"/>
      <c r="DWZ43" s="19"/>
      <c r="DXA43" s="19"/>
      <c r="DXB43" s="19"/>
      <c r="DXC43" s="19"/>
      <c r="DXD43" s="19"/>
      <c r="DXE43" s="19"/>
      <c r="DXF43" s="19"/>
      <c r="DXG43" s="19"/>
      <c r="DXH43" s="19"/>
      <c r="DXI43" s="19"/>
      <c r="DXJ43" s="19"/>
      <c r="DXK43" s="19"/>
      <c r="DXL43" s="19"/>
      <c r="DXM43" s="19"/>
      <c r="DXN43" s="19"/>
      <c r="DXO43" s="19"/>
      <c r="DXP43" s="19"/>
      <c r="DXQ43" s="19"/>
      <c r="DXR43" s="19"/>
      <c r="DXS43" s="19"/>
      <c r="DXT43" s="19"/>
      <c r="DXU43" s="19"/>
      <c r="DXV43" s="19"/>
      <c r="DXW43" s="19"/>
      <c r="DXX43" s="19"/>
      <c r="DXY43" s="19"/>
      <c r="DXZ43" s="19"/>
      <c r="DYA43" s="19"/>
      <c r="DYB43" s="19"/>
      <c r="DYC43" s="19"/>
      <c r="DYD43" s="19"/>
      <c r="DYE43" s="19"/>
      <c r="DYF43" s="19"/>
      <c r="DYG43" s="19"/>
      <c r="DYH43" s="19"/>
      <c r="DYI43" s="19"/>
      <c r="DYJ43" s="19"/>
      <c r="DYK43" s="19"/>
      <c r="DYL43" s="19"/>
      <c r="DYM43" s="19"/>
      <c r="DYN43" s="19"/>
      <c r="DYO43" s="19"/>
      <c r="DYP43" s="19"/>
      <c r="DYQ43" s="19"/>
      <c r="DYR43" s="19"/>
      <c r="DYS43" s="19"/>
      <c r="DYT43" s="19"/>
      <c r="DYU43" s="19"/>
      <c r="DYV43" s="19"/>
      <c r="DYW43" s="19"/>
      <c r="DYX43" s="19"/>
      <c r="DYY43" s="19"/>
      <c r="DYZ43" s="19"/>
      <c r="DZA43" s="19"/>
      <c r="DZB43" s="19"/>
      <c r="DZC43" s="19"/>
      <c r="DZD43" s="19"/>
      <c r="DZE43" s="19"/>
      <c r="DZF43" s="19"/>
      <c r="DZG43" s="19"/>
      <c r="DZH43" s="19"/>
      <c r="DZI43" s="19"/>
      <c r="DZJ43" s="19"/>
      <c r="DZK43" s="19"/>
      <c r="DZL43" s="19"/>
      <c r="DZM43" s="19"/>
      <c r="DZN43" s="19"/>
      <c r="DZO43" s="19"/>
      <c r="DZP43" s="19"/>
      <c r="DZQ43" s="19"/>
      <c r="DZR43" s="19"/>
      <c r="DZS43" s="19"/>
      <c r="DZT43" s="19"/>
      <c r="DZU43" s="19"/>
      <c r="DZV43" s="19"/>
      <c r="DZW43" s="19"/>
      <c r="DZX43" s="19"/>
      <c r="DZY43" s="19"/>
      <c r="DZZ43" s="19"/>
      <c r="EAA43" s="19"/>
      <c r="EAB43" s="19"/>
      <c r="EAC43" s="19"/>
      <c r="EAD43" s="19"/>
      <c r="EAE43" s="19"/>
      <c r="EAF43" s="19"/>
      <c r="EAG43" s="19"/>
      <c r="EAH43" s="19"/>
      <c r="EAI43" s="19"/>
      <c r="EAJ43" s="19"/>
      <c r="EAK43" s="19"/>
      <c r="EAL43" s="19"/>
      <c r="EAM43" s="19"/>
      <c r="EAN43" s="19"/>
      <c r="EAO43" s="19"/>
      <c r="EAP43" s="19"/>
      <c r="EAQ43" s="19"/>
      <c r="EAR43" s="19"/>
      <c r="EAS43" s="19"/>
      <c r="EAT43" s="19"/>
      <c r="EAU43" s="19"/>
      <c r="EAV43" s="19"/>
      <c r="EAW43" s="19"/>
      <c r="EAX43" s="19"/>
      <c r="EAY43" s="19"/>
      <c r="EAZ43" s="19"/>
      <c r="EBA43" s="19"/>
      <c r="EBB43" s="19"/>
      <c r="EBC43" s="19"/>
      <c r="EBD43" s="19"/>
      <c r="EBE43" s="19"/>
      <c r="EBF43" s="19"/>
      <c r="EBG43" s="19"/>
      <c r="EBH43" s="19"/>
      <c r="EBI43" s="19"/>
      <c r="EBJ43" s="19"/>
      <c r="EBK43" s="19"/>
      <c r="EBL43" s="19"/>
      <c r="EBM43" s="19"/>
      <c r="EBN43" s="19"/>
      <c r="EBO43" s="19"/>
      <c r="EBP43" s="19"/>
      <c r="EBQ43" s="19"/>
      <c r="EBR43" s="19"/>
      <c r="EBS43" s="19"/>
      <c r="EBT43" s="19"/>
      <c r="EBU43" s="19"/>
      <c r="EBV43" s="19"/>
      <c r="EBW43" s="19"/>
      <c r="EBX43" s="19"/>
      <c r="EBY43" s="19"/>
      <c r="EBZ43" s="19"/>
      <c r="ECA43" s="19"/>
      <c r="ECB43" s="19"/>
      <c r="ECC43" s="19"/>
      <c r="ECD43" s="19"/>
      <c r="ECE43" s="19"/>
      <c r="ECF43" s="19"/>
      <c r="ECG43" s="19"/>
      <c r="ECH43" s="19"/>
      <c r="ECI43" s="19"/>
      <c r="ECJ43" s="19"/>
      <c r="ECK43" s="19"/>
      <c r="ECL43" s="19"/>
      <c r="ECM43" s="19"/>
      <c r="ECN43" s="19"/>
      <c r="ECO43" s="19"/>
      <c r="ECP43" s="19"/>
      <c r="ECQ43" s="19"/>
      <c r="ECR43" s="19"/>
      <c r="ECS43" s="19"/>
      <c r="ECT43" s="19"/>
      <c r="ECU43" s="19"/>
      <c r="ECV43" s="19"/>
      <c r="ECW43" s="19"/>
      <c r="ECX43" s="19"/>
      <c r="ECY43" s="19"/>
      <c r="ECZ43" s="19"/>
      <c r="EDA43" s="19"/>
      <c r="EDB43" s="19"/>
      <c r="EDC43" s="19"/>
      <c r="EDD43" s="19"/>
      <c r="EDE43" s="19"/>
      <c r="EDF43" s="19"/>
      <c r="EDG43" s="19"/>
      <c r="EDH43" s="19"/>
      <c r="EDI43" s="19"/>
      <c r="EDJ43" s="19"/>
      <c r="EDK43" s="19"/>
      <c r="EDL43" s="19"/>
      <c r="EDM43" s="19"/>
      <c r="EDN43" s="19"/>
      <c r="EDO43" s="19"/>
      <c r="EDP43" s="19"/>
      <c r="EDQ43" s="19"/>
      <c r="EDR43" s="19"/>
      <c r="EDS43" s="19"/>
      <c r="EDT43" s="19"/>
      <c r="EDU43" s="19"/>
      <c r="EDV43" s="19"/>
      <c r="EDW43" s="19"/>
      <c r="EDX43" s="19"/>
      <c r="EDY43" s="19"/>
      <c r="EDZ43" s="19"/>
      <c r="EEA43" s="19"/>
      <c r="EEB43" s="19"/>
      <c r="EEC43" s="19"/>
      <c r="EED43" s="19"/>
      <c r="EEE43" s="19"/>
      <c r="EEF43" s="19"/>
      <c r="EEG43" s="19"/>
      <c r="EEH43" s="19"/>
      <c r="EEI43" s="19"/>
      <c r="EEJ43" s="19"/>
      <c r="EEK43" s="19"/>
      <c r="EEL43" s="19"/>
      <c r="EEM43" s="19"/>
      <c r="EEN43" s="19"/>
      <c r="EEO43" s="19"/>
      <c r="EEP43" s="19"/>
      <c r="EEQ43" s="19"/>
      <c r="EER43" s="19"/>
      <c r="EES43" s="19"/>
      <c r="EET43" s="19"/>
      <c r="EEU43" s="19"/>
      <c r="EEV43" s="19"/>
      <c r="EEW43" s="19"/>
      <c r="EEX43" s="19"/>
      <c r="EEY43" s="19"/>
      <c r="EEZ43" s="19"/>
      <c r="EFA43" s="19"/>
      <c r="EFB43" s="19"/>
      <c r="EFC43" s="19"/>
      <c r="EFD43" s="19"/>
      <c r="EFE43" s="19"/>
      <c r="EFF43" s="19"/>
      <c r="EFG43" s="19"/>
      <c r="EFH43" s="19"/>
      <c r="EFI43" s="19"/>
      <c r="EFJ43" s="19"/>
      <c r="EFK43" s="19"/>
      <c r="EFL43" s="19"/>
      <c r="EFM43" s="19"/>
      <c r="EFN43" s="19"/>
      <c r="EFO43" s="19"/>
      <c r="EFP43" s="19"/>
      <c r="EFQ43" s="19"/>
      <c r="EFR43" s="19"/>
      <c r="EFS43" s="19"/>
      <c r="EFT43" s="19"/>
      <c r="EFU43" s="19"/>
      <c r="EFV43" s="19"/>
      <c r="EFW43" s="19"/>
      <c r="EFX43" s="19"/>
      <c r="EFY43" s="19"/>
      <c r="EFZ43" s="19"/>
      <c r="EGA43" s="19"/>
      <c r="EGB43" s="19"/>
      <c r="EGC43" s="19"/>
      <c r="EGD43" s="19"/>
      <c r="EGE43" s="19"/>
      <c r="EGF43" s="19"/>
      <c r="EGG43" s="19"/>
      <c r="EGH43" s="19"/>
      <c r="EGI43" s="19"/>
      <c r="EGJ43" s="19"/>
      <c r="EGK43" s="19"/>
      <c r="EGL43" s="19"/>
      <c r="EGM43" s="19"/>
      <c r="EGN43" s="19"/>
      <c r="EGO43" s="19"/>
      <c r="EGP43" s="19"/>
      <c r="EGQ43" s="19"/>
      <c r="EGR43" s="19"/>
      <c r="EGS43" s="19"/>
      <c r="EGT43" s="19"/>
      <c r="EGU43" s="19"/>
      <c r="EGV43" s="19"/>
      <c r="EGW43" s="19"/>
      <c r="EGX43" s="19"/>
      <c r="EGY43" s="19"/>
      <c r="EGZ43" s="19"/>
      <c r="EHA43" s="19"/>
      <c r="EHB43" s="19"/>
      <c r="EHC43" s="19"/>
      <c r="EHD43" s="19"/>
      <c r="EHE43" s="19"/>
      <c r="EHF43" s="19"/>
      <c r="EHG43" s="19"/>
      <c r="EHH43" s="19"/>
      <c r="EHI43" s="19"/>
      <c r="EHJ43" s="19"/>
      <c r="EHK43" s="19"/>
      <c r="EHL43" s="19"/>
      <c r="EHM43" s="19"/>
      <c r="EHN43" s="19"/>
      <c r="EHO43" s="19"/>
      <c r="EHP43" s="19"/>
      <c r="EHQ43" s="19"/>
      <c r="EHR43" s="19"/>
      <c r="EHS43" s="19"/>
      <c r="EHT43" s="19"/>
      <c r="EHU43" s="19"/>
      <c r="EHV43" s="19"/>
      <c r="EHW43" s="19"/>
      <c r="EHX43" s="19"/>
      <c r="EHY43" s="19"/>
      <c r="EHZ43" s="19"/>
      <c r="EIA43" s="19"/>
      <c r="EIB43" s="19"/>
      <c r="EIC43" s="19"/>
      <c r="EID43" s="19"/>
      <c r="EIE43" s="19"/>
      <c r="EIF43" s="19"/>
      <c r="EIG43" s="19"/>
      <c r="EIH43" s="19"/>
      <c r="EII43" s="19"/>
      <c r="EIJ43" s="19"/>
      <c r="EIK43" s="19"/>
      <c r="EIL43" s="19"/>
      <c r="EIM43" s="19"/>
      <c r="EIN43" s="19"/>
      <c r="EIO43" s="19"/>
      <c r="EIP43" s="19"/>
      <c r="EIQ43" s="19"/>
      <c r="EIR43" s="19"/>
      <c r="EIS43" s="19"/>
      <c r="EIT43" s="19"/>
      <c r="EIU43" s="19"/>
      <c r="EIV43" s="19"/>
      <c r="EIW43" s="19"/>
      <c r="EIX43" s="19"/>
      <c r="EIY43" s="19"/>
      <c r="EIZ43" s="19"/>
      <c r="EJA43" s="19"/>
      <c r="EJB43" s="19"/>
      <c r="EJC43" s="19"/>
      <c r="EJD43" s="19"/>
      <c r="EJE43" s="19"/>
      <c r="EJF43" s="19"/>
      <c r="EJG43" s="19"/>
      <c r="EJH43" s="19"/>
      <c r="EJI43" s="19"/>
      <c r="EJJ43" s="19"/>
      <c r="EJK43" s="19"/>
      <c r="EJL43" s="19"/>
      <c r="EJM43" s="19"/>
      <c r="EJN43" s="19"/>
      <c r="EJO43" s="19"/>
      <c r="EJP43" s="19"/>
      <c r="EJQ43" s="19"/>
      <c r="EJR43" s="19"/>
      <c r="EJS43" s="19"/>
      <c r="EJT43" s="19"/>
      <c r="EJU43" s="19"/>
      <c r="EJV43" s="19"/>
      <c r="EJW43" s="19"/>
      <c r="EJX43" s="19"/>
      <c r="EJY43" s="19"/>
      <c r="EJZ43" s="19"/>
      <c r="EKA43" s="19"/>
      <c r="EKB43" s="19"/>
      <c r="EKC43" s="19"/>
      <c r="EKD43" s="19"/>
      <c r="EKE43" s="19"/>
      <c r="EKF43" s="19"/>
      <c r="EKG43" s="19"/>
      <c r="EKH43" s="19"/>
      <c r="EKI43" s="19"/>
      <c r="EKJ43" s="19"/>
      <c r="EKK43" s="19"/>
      <c r="EKL43" s="19"/>
      <c r="EKM43" s="19"/>
      <c r="EKN43" s="19"/>
      <c r="EKO43" s="19"/>
      <c r="EKP43" s="19"/>
      <c r="EKQ43" s="19"/>
      <c r="EKR43" s="19"/>
      <c r="EKS43" s="19"/>
      <c r="EKT43" s="19"/>
      <c r="EKU43" s="19"/>
      <c r="EKV43" s="19"/>
      <c r="EKW43" s="19"/>
      <c r="EKX43" s="19"/>
      <c r="EKY43" s="19"/>
      <c r="EKZ43" s="19"/>
      <c r="ELA43" s="19"/>
      <c r="ELB43" s="19"/>
      <c r="ELC43" s="19"/>
      <c r="ELD43" s="19"/>
      <c r="ELE43" s="19"/>
      <c r="ELF43" s="19"/>
      <c r="ELG43" s="19"/>
      <c r="ELH43" s="19"/>
      <c r="ELI43" s="19"/>
      <c r="ELJ43" s="19"/>
      <c r="ELK43" s="19"/>
      <c r="ELL43" s="19"/>
      <c r="ELM43" s="19"/>
      <c r="ELN43" s="19"/>
      <c r="ELO43" s="19"/>
      <c r="ELP43" s="19"/>
      <c r="ELQ43" s="19"/>
      <c r="ELR43" s="19"/>
      <c r="ELS43" s="19"/>
      <c r="ELT43" s="19"/>
      <c r="ELU43" s="19"/>
      <c r="ELV43" s="19"/>
      <c r="ELW43" s="19"/>
      <c r="ELX43" s="19"/>
      <c r="ELY43" s="19"/>
      <c r="ELZ43" s="19"/>
      <c r="EMA43" s="19"/>
      <c r="EMB43" s="19"/>
      <c r="EMC43" s="19"/>
      <c r="EMD43" s="19"/>
      <c r="EME43" s="19"/>
      <c r="EMF43" s="19"/>
      <c r="EMG43" s="19"/>
      <c r="EMH43" s="19"/>
      <c r="EMI43" s="19"/>
      <c r="EMJ43" s="19"/>
      <c r="EMK43" s="19"/>
      <c r="EML43" s="19"/>
      <c r="EMM43" s="19"/>
      <c r="EMN43" s="19"/>
      <c r="EMO43" s="19"/>
      <c r="EMP43" s="19"/>
      <c r="EMQ43" s="19"/>
      <c r="EMR43" s="19"/>
      <c r="EMS43" s="19"/>
      <c r="EMT43" s="19"/>
      <c r="EMU43" s="19"/>
      <c r="EMV43" s="19"/>
      <c r="EMW43" s="19"/>
      <c r="EMX43" s="19"/>
      <c r="EMY43" s="19"/>
      <c r="EMZ43" s="19"/>
      <c r="ENA43" s="19"/>
      <c r="ENB43" s="19"/>
      <c r="ENC43" s="19"/>
      <c r="END43" s="19"/>
      <c r="ENE43" s="19"/>
      <c r="ENF43" s="19"/>
      <c r="ENG43" s="19"/>
      <c r="ENH43" s="19"/>
      <c r="ENI43" s="19"/>
      <c r="ENJ43" s="19"/>
      <c r="ENK43" s="19"/>
      <c r="ENL43" s="19"/>
      <c r="ENM43" s="19"/>
      <c r="ENN43" s="19"/>
      <c r="ENO43" s="19"/>
      <c r="ENP43" s="19"/>
      <c r="ENQ43" s="19"/>
      <c r="ENR43" s="19"/>
      <c r="ENS43" s="19"/>
      <c r="ENT43" s="19"/>
      <c r="ENU43" s="19"/>
      <c r="ENV43" s="19"/>
      <c r="ENW43" s="19"/>
      <c r="ENX43" s="19"/>
      <c r="ENY43" s="19"/>
      <c r="ENZ43" s="19"/>
      <c r="EOA43" s="19"/>
      <c r="EOB43" s="19"/>
      <c r="EOC43" s="19"/>
      <c r="EOD43" s="19"/>
      <c r="EOE43" s="19"/>
      <c r="EOF43" s="19"/>
      <c r="EOG43" s="19"/>
      <c r="EOH43" s="19"/>
      <c r="EOI43" s="19"/>
      <c r="EOJ43" s="19"/>
      <c r="EOK43" s="19"/>
      <c r="EOL43" s="19"/>
      <c r="EOM43" s="19"/>
      <c r="EON43" s="19"/>
      <c r="EOO43" s="19"/>
      <c r="EOP43" s="19"/>
      <c r="EOQ43" s="19"/>
      <c r="EOR43" s="19"/>
      <c r="EOS43" s="19"/>
      <c r="EOT43" s="19"/>
      <c r="EOU43" s="19"/>
      <c r="EOV43" s="19"/>
      <c r="EOW43" s="19"/>
      <c r="EOX43" s="19"/>
      <c r="EOY43" s="19"/>
      <c r="EOZ43" s="19"/>
      <c r="EPA43" s="19"/>
      <c r="EPB43" s="19"/>
      <c r="EPC43" s="19"/>
      <c r="EPD43" s="19"/>
      <c r="EPE43" s="19"/>
      <c r="EPF43" s="19"/>
      <c r="EPG43" s="19"/>
      <c r="EPH43" s="19"/>
      <c r="EPI43" s="19"/>
      <c r="EPJ43" s="19"/>
      <c r="EPK43" s="19"/>
      <c r="EPL43" s="19"/>
      <c r="EPM43" s="19"/>
      <c r="EPN43" s="19"/>
      <c r="EPO43" s="19"/>
      <c r="EPP43" s="19"/>
      <c r="EPQ43" s="19"/>
      <c r="EPR43" s="19"/>
      <c r="EPS43" s="19"/>
      <c r="EPT43" s="19"/>
      <c r="EPU43" s="19"/>
      <c r="EPV43" s="19"/>
      <c r="EPW43" s="19"/>
      <c r="EPX43" s="19"/>
      <c r="EPY43" s="19"/>
      <c r="EPZ43" s="19"/>
      <c r="EQA43" s="19"/>
      <c r="EQB43" s="19"/>
      <c r="EQC43" s="19"/>
      <c r="EQD43" s="19"/>
      <c r="EQE43" s="19"/>
      <c r="EQF43" s="19"/>
      <c r="EQG43" s="19"/>
      <c r="EQH43" s="19"/>
      <c r="EQI43" s="19"/>
      <c r="EQJ43" s="19"/>
      <c r="EQK43" s="19"/>
      <c r="EQL43" s="19"/>
      <c r="EQM43" s="19"/>
      <c r="EQN43" s="19"/>
      <c r="EQO43" s="19"/>
      <c r="EQP43" s="19"/>
      <c r="EQQ43" s="19"/>
      <c r="EQR43" s="19"/>
      <c r="EQS43" s="19"/>
      <c r="EQT43" s="19"/>
      <c r="EQU43" s="19"/>
      <c r="EQV43" s="19"/>
      <c r="EQW43" s="19"/>
      <c r="EQX43" s="19"/>
      <c r="EQY43" s="19"/>
      <c r="EQZ43" s="19"/>
      <c r="ERA43" s="19"/>
      <c r="ERB43" s="19"/>
      <c r="ERC43" s="19"/>
      <c r="ERD43" s="19"/>
      <c r="ERE43" s="19"/>
      <c r="ERF43" s="19"/>
      <c r="ERG43" s="19"/>
      <c r="ERH43" s="19"/>
      <c r="ERI43" s="19"/>
      <c r="ERJ43" s="19"/>
      <c r="ERK43" s="19"/>
      <c r="ERL43" s="19"/>
      <c r="ERM43" s="19"/>
      <c r="ERN43" s="19"/>
      <c r="ERO43" s="19"/>
      <c r="ERP43" s="19"/>
      <c r="ERQ43" s="19"/>
      <c r="ERR43" s="19"/>
      <c r="ERS43" s="19"/>
      <c r="ERT43" s="19"/>
      <c r="ERU43" s="19"/>
      <c r="ERV43" s="19"/>
      <c r="ERW43" s="19"/>
      <c r="ERX43" s="19"/>
      <c r="ERY43" s="19"/>
      <c r="ERZ43" s="19"/>
      <c r="ESA43" s="19"/>
      <c r="ESB43" s="19"/>
      <c r="ESC43" s="19"/>
      <c r="ESD43" s="19"/>
      <c r="ESE43" s="19"/>
      <c r="ESF43" s="19"/>
      <c r="ESG43" s="19"/>
      <c r="ESH43" s="19"/>
      <c r="ESI43" s="19"/>
      <c r="ESJ43" s="19"/>
      <c r="ESK43" s="19"/>
      <c r="ESL43" s="19"/>
      <c r="ESM43" s="19"/>
      <c r="ESN43" s="19"/>
      <c r="ESO43" s="19"/>
      <c r="ESP43" s="19"/>
      <c r="ESQ43" s="19"/>
      <c r="ESR43" s="19"/>
      <c r="ESS43" s="19"/>
      <c r="EST43" s="19"/>
      <c r="ESU43" s="19"/>
      <c r="ESV43" s="19"/>
      <c r="ESW43" s="19"/>
      <c r="ESX43" s="19"/>
      <c r="ESY43" s="19"/>
      <c r="ESZ43" s="19"/>
      <c r="ETA43" s="19"/>
      <c r="ETB43" s="19"/>
      <c r="ETC43" s="19"/>
      <c r="ETD43" s="19"/>
      <c r="ETE43" s="19"/>
      <c r="ETF43" s="19"/>
      <c r="ETG43" s="19"/>
      <c r="ETH43" s="19"/>
      <c r="ETI43" s="19"/>
      <c r="ETJ43" s="19"/>
      <c r="ETK43" s="19"/>
      <c r="ETL43" s="19"/>
      <c r="ETM43" s="19"/>
      <c r="ETN43" s="19"/>
      <c r="ETO43" s="19"/>
      <c r="ETP43" s="19"/>
      <c r="ETQ43" s="19"/>
      <c r="ETR43" s="19"/>
      <c r="ETS43" s="19"/>
      <c r="ETT43" s="19"/>
      <c r="ETU43" s="19"/>
      <c r="ETV43" s="19"/>
      <c r="ETW43" s="19"/>
      <c r="ETX43" s="19"/>
      <c r="ETY43" s="19"/>
      <c r="ETZ43" s="19"/>
      <c r="EUA43" s="19"/>
      <c r="EUB43" s="19"/>
      <c r="EUC43" s="19"/>
      <c r="EUD43" s="19"/>
      <c r="EUE43" s="19"/>
      <c r="EUF43" s="19"/>
      <c r="EUG43" s="19"/>
      <c r="EUH43" s="19"/>
      <c r="EUI43" s="19"/>
      <c r="EUJ43" s="19"/>
      <c r="EUK43" s="19"/>
      <c r="EUL43" s="19"/>
      <c r="EUM43" s="19"/>
      <c r="EUN43" s="19"/>
      <c r="EUO43" s="19"/>
      <c r="EUP43" s="19"/>
      <c r="EUQ43" s="19"/>
      <c r="EUR43" s="19"/>
      <c r="EUS43" s="19"/>
      <c r="EUT43" s="19"/>
      <c r="EUU43" s="19"/>
      <c r="EUV43" s="19"/>
      <c r="EUW43" s="19"/>
      <c r="EUX43" s="19"/>
      <c r="EUY43" s="19"/>
      <c r="EUZ43" s="19"/>
      <c r="EVA43" s="19"/>
      <c r="EVB43" s="19"/>
      <c r="EVC43" s="19"/>
      <c r="EVD43" s="19"/>
      <c r="EVE43" s="19"/>
      <c r="EVF43" s="19"/>
      <c r="EVG43" s="19"/>
      <c r="EVH43" s="19"/>
      <c r="EVI43" s="19"/>
      <c r="EVJ43" s="19"/>
      <c r="EVK43" s="19"/>
      <c r="EVL43" s="19"/>
      <c r="EVM43" s="19"/>
      <c r="EVN43" s="19"/>
      <c r="EVO43" s="19"/>
      <c r="EVP43" s="19"/>
      <c r="EVQ43" s="19"/>
      <c r="EVR43" s="19"/>
      <c r="EVS43" s="19"/>
      <c r="EVT43" s="19"/>
      <c r="EVU43" s="19"/>
      <c r="EVV43" s="19"/>
      <c r="EVW43" s="19"/>
      <c r="EVX43" s="19"/>
      <c r="EVY43" s="19"/>
      <c r="EVZ43" s="19"/>
      <c r="EWA43" s="19"/>
      <c r="EWB43" s="19"/>
      <c r="EWC43" s="19"/>
      <c r="EWD43" s="19"/>
      <c r="EWE43" s="19"/>
      <c r="EWF43" s="19"/>
      <c r="EWG43" s="19"/>
      <c r="EWH43" s="19"/>
      <c r="EWI43" s="19"/>
      <c r="EWJ43" s="19"/>
      <c r="EWK43" s="19"/>
      <c r="EWL43" s="19"/>
      <c r="EWM43" s="19"/>
      <c r="EWN43" s="19"/>
      <c r="EWO43" s="19"/>
      <c r="EWP43" s="19"/>
      <c r="EWQ43" s="19"/>
      <c r="EWR43" s="19"/>
      <c r="EWS43" s="19"/>
      <c r="EWT43" s="19"/>
      <c r="EWU43" s="19"/>
      <c r="EWV43" s="19"/>
      <c r="EWW43" s="19"/>
      <c r="EWX43" s="19"/>
      <c r="EWY43" s="19"/>
      <c r="EWZ43" s="19"/>
      <c r="EXA43" s="19"/>
      <c r="EXB43" s="19"/>
      <c r="EXC43" s="19"/>
      <c r="EXD43" s="19"/>
      <c r="EXE43" s="19"/>
      <c r="EXF43" s="19"/>
      <c r="EXG43" s="19"/>
      <c r="EXH43" s="19"/>
      <c r="EXI43" s="19"/>
      <c r="EXJ43" s="19"/>
      <c r="EXK43" s="19"/>
      <c r="EXL43" s="19"/>
      <c r="EXM43" s="19"/>
      <c r="EXN43" s="19"/>
      <c r="EXO43" s="19"/>
      <c r="EXP43" s="19"/>
      <c r="EXQ43" s="19"/>
      <c r="EXR43" s="19"/>
      <c r="EXS43" s="19"/>
      <c r="EXT43" s="19"/>
      <c r="EXU43" s="19"/>
      <c r="EXV43" s="19"/>
      <c r="EXW43" s="19"/>
      <c r="EXX43" s="19"/>
      <c r="EXY43" s="19"/>
      <c r="EXZ43" s="19"/>
      <c r="EYA43" s="19"/>
      <c r="EYB43" s="19"/>
      <c r="EYC43" s="19"/>
      <c r="EYD43" s="19"/>
      <c r="EYE43" s="19"/>
      <c r="EYF43" s="19"/>
      <c r="EYG43" s="19"/>
      <c r="EYH43" s="19"/>
      <c r="EYI43" s="19"/>
      <c r="EYJ43" s="19"/>
      <c r="EYK43" s="19"/>
      <c r="EYL43" s="19"/>
      <c r="EYM43" s="19"/>
      <c r="EYN43" s="19"/>
      <c r="EYO43" s="19"/>
      <c r="EYP43" s="19"/>
      <c r="EYQ43" s="19"/>
      <c r="EYR43" s="19"/>
      <c r="EYS43" s="19"/>
      <c r="EYT43" s="19"/>
      <c r="EYU43" s="19"/>
      <c r="EYV43" s="19"/>
      <c r="EYW43" s="19"/>
      <c r="EYX43" s="19"/>
      <c r="EYY43" s="19"/>
      <c r="EYZ43" s="19"/>
      <c r="EZA43" s="19"/>
      <c r="EZB43" s="19"/>
      <c r="EZC43" s="19"/>
      <c r="EZD43" s="19"/>
      <c r="EZE43" s="19"/>
      <c r="EZF43" s="19"/>
      <c r="EZG43" s="19"/>
      <c r="EZH43" s="19"/>
      <c r="EZI43" s="19"/>
      <c r="EZJ43" s="19"/>
      <c r="EZK43" s="19"/>
      <c r="EZL43" s="19"/>
      <c r="EZM43" s="19"/>
      <c r="EZN43" s="19"/>
      <c r="EZO43" s="19"/>
      <c r="EZP43" s="19"/>
      <c r="EZQ43" s="19"/>
      <c r="EZR43" s="19"/>
      <c r="EZS43" s="19"/>
      <c r="EZT43" s="19"/>
      <c r="EZU43" s="19"/>
      <c r="EZV43" s="19"/>
      <c r="EZW43" s="19"/>
      <c r="EZX43" s="19"/>
      <c r="EZY43" s="19"/>
      <c r="EZZ43" s="19"/>
      <c r="FAA43" s="19"/>
      <c r="FAB43" s="19"/>
      <c r="FAC43" s="19"/>
      <c r="FAD43" s="19"/>
      <c r="FAE43" s="19"/>
      <c r="FAF43" s="19"/>
      <c r="FAG43" s="19"/>
      <c r="FAH43" s="19"/>
      <c r="FAI43" s="19"/>
      <c r="FAJ43" s="19"/>
      <c r="FAK43" s="19"/>
      <c r="FAL43" s="19"/>
      <c r="FAM43" s="19"/>
      <c r="FAN43" s="19"/>
      <c r="FAO43" s="19"/>
      <c r="FAP43" s="19"/>
      <c r="FAQ43" s="19"/>
      <c r="FAR43" s="19"/>
      <c r="FAS43" s="19"/>
      <c r="FAT43" s="19"/>
      <c r="FAU43" s="19"/>
      <c r="FAV43" s="19"/>
      <c r="FAW43" s="19"/>
      <c r="FAX43" s="19"/>
      <c r="FAY43" s="19"/>
      <c r="FAZ43" s="19"/>
      <c r="FBA43" s="19"/>
      <c r="FBB43" s="19"/>
      <c r="FBC43" s="19"/>
      <c r="FBD43" s="19"/>
      <c r="FBE43" s="19"/>
      <c r="FBF43" s="19"/>
      <c r="FBG43" s="19"/>
      <c r="FBH43" s="19"/>
      <c r="FBI43" s="19"/>
      <c r="FBJ43" s="19"/>
      <c r="FBK43" s="19"/>
      <c r="FBL43" s="19"/>
      <c r="FBM43" s="19"/>
      <c r="FBN43" s="19"/>
      <c r="FBO43" s="19"/>
      <c r="FBP43" s="19"/>
      <c r="FBQ43" s="19"/>
      <c r="FBR43" s="19"/>
      <c r="FBS43" s="19"/>
      <c r="FBT43" s="19"/>
      <c r="FBU43" s="19"/>
      <c r="FBV43" s="19"/>
      <c r="FBW43" s="19"/>
      <c r="FBX43" s="19"/>
      <c r="FBY43" s="19"/>
      <c r="FBZ43" s="19"/>
      <c r="FCA43" s="19"/>
      <c r="FCB43" s="19"/>
      <c r="FCC43" s="19"/>
      <c r="FCD43" s="19"/>
      <c r="FCE43" s="19"/>
      <c r="FCF43" s="19"/>
      <c r="FCG43" s="19"/>
      <c r="FCH43" s="19"/>
      <c r="FCI43" s="19"/>
      <c r="FCJ43" s="19"/>
      <c r="FCK43" s="19"/>
      <c r="FCL43" s="19"/>
      <c r="FCM43" s="19"/>
      <c r="FCN43" s="19"/>
      <c r="FCO43" s="19"/>
      <c r="FCP43" s="19"/>
      <c r="FCQ43" s="19"/>
      <c r="FCR43" s="19"/>
      <c r="FCS43" s="19"/>
      <c r="FCT43" s="19"/>
      <c r="FCU43" s="19"/>
      <c r="FCV43" s="19"/>
      <c r="FCW43" s="19"/>
      <c r="FCX43" s="19"/>
      <c r="FCY43" s="19"/>
      <c r="FCZ43" s="19"/>
      <c r="FDA43" s="19"/>
      <c r="FDB43" s="19"/>
      <c r="FDC43" s="19"/>
      <c r="FDD43" s="19"/>
      <c r="FDE43" s="19"/>
      <c r="FDF43" s="19"/>
      <c r="FDG43" s="19"/>
      <c r="FDH43" s="19"/>
      <c r="FDI43" s="19"/>
      <c r="FDJ43" s="19"/>
      <c r="FDK43" s="19"/>
      <c r="FDL43" s="19"/>
      <c r="FDM43" s="19"/>
      <c r="FDN43" s="19"/>
      <c r="FDO43" s="19"/>
      <c r="FDP43" s="19"/>
      <c r="FDQ43" s="19"/>
      <c r="FDR43" s="19"/>
      <c r="FDS43" s="19"/>
      <c r="FDT43" s="19"/>
      <c r="FDU43" s="19"/>
      <c r="FDV43" s="19"/>
      <c r="FDW43" s="19"/>
      <c r="FDX43" s="19"/>
      <c r="FDY43" s="19"/>
      <c r="FDZ43" s="19"/>
      <c r="FEA43" s="19"/>
      <c r="FEB43" s="19"/>
      <c r="FEC43" s="19"/>
      <c r="FED43" s="19"/>
      <c r="FEE43" s="19"/>
      <c r="FEF43" s="19"/>
      <c r="FEG43" s="19"/>
      <c r="FEH43" s="19"/>
      <c r="FEI43" s="19"/>
      <c r="FEJ43" s="19"/>
      <c r="FEK43" s="19"/>
      <c r="FEL43" s="19"/>
      <c r="FEM43" s="19"/>
      <c r="FEN43" s="19"/>
      <c r="FEO43" s="19"/>
      <c r="FEP43" s="19"/>
      <c r="FEQ43" s="19"/>
      <c r="FER43" s="19"/>
      <c r="FES43" s="19"/>
      <c r="FET43" s="19"/>
      <c r="FEU43" s="19"/>
      <c r="FEV43" s="19"/>
      <c r="FEW43" s="19"/>
      <c r="FEX43" s="19"/>
      <c r="FEY43" s="19"/>
      <c r="FEZ43" s="19"/>
      <c r="FFA43" s="19"/>
      <c r="FFB43" s="19"/>
      <c r="FFC43" s="19"/>
      <c r="FFD43" s="19"/>
      <c r="FFE43" s="19"/>
      <c r="FFF43" s="19"/>
      <c r="FFG43" s="19"/>
      <c r="FFH43" s="19"/>
      <c r="FFI43" s="19"/>
      <c r="FFJ43" s="19"/>
      <c r="FFK43" s="19"/>
      <c r="FFL43" s="19"/>
      <c r="FFM43" s="19"/>
      <c r="FFN43" s="19"/>
      <c r="FFO43" s="19"/>
      <c r="FFP43" s="19"/>
      <c r="FFQ43" s="19"/>
      <c r="FFR43" s="19"/>
      <c r="FFS43" s="19"/>
      <c r="FFT43" s="19"/>
      <c r="FFU43" s="19"/>
      <c r="FFV43" s="19"/>
      <c r="FFW43" s="19"/>
      <c r="FFX43" s="19"/>
      <c r="FFY43" s="19"/>
      <c r="FFZ43" s="19"/>
      <c r="FGA43" s="19"/>
      <c r="FGB43" s="19"/>
      <c r="FGC43" s="19"/>
      <c r="FGD43" s="19"/>
      <c r="FGE43" s="19"/>
      <c r="FGF43" s="19"/>
      <c r="FGG43" s="19"/>
      <c r="FGH43" s="19"/>
      <c r="FGI43" s="19"/>
      <c r="FGJ43" s="19"/>
      <c r="FGK43" s="19"/>
      <c r="FGL43" s="19"/>
      <c r="FGM43" s="19"/>
      <c r="FGN43" s="19"/>
      <c r="FGO43" s="19"/>
      <c r="FGP43" s="19"/>
      <c r="FGQ43" s="19"/>
      <c r="FGR43" s="19"/>
      <c r="FGS43" s="19"/>
      <c r="FGT43" s="19"/>
      <c r="FGU43" s="19"/>
      <c r="FGV43" s="19"/>
      <c r="FGW43" s="19"/>
      <c r="FGX43" s="19"/>
      <c r="FGY43" s="19"/>
      <c r="FGZ43" s="19"/>
      <c r="FHA43" s="19"/>
      <c r="FHB43" s="19"/>
      <c r="FHC43" s="19"/>
      <c r="FHD43" s="19"/>
      <c r="FHE43" s="19"/>
      <c r="FHF43" s="19"/>
      <c r="FHG43" s="19"/>
      <c r="FHH43" s="19"/>
      <c r="FHI43" s="19"/>
      <c r="FHJ43" s="19"/>
      <c r="FHK43" s="19"/>
      <c r="FHL43" s="19"/>
      <c r="FHM43" s="19"/>
      <c r="FHN43" s="19"/>
      <c r="FHO43" s="19"/>
      <c r="FHP43" s="19"/>
      <c r="FHQ43" s="19"/>
      <c r="FHR43" s="19"/>
      <c r="FHS43" s="19"/>
      <c r="FHT43" s="19"/>
      <c r="FHU43" s="19"/>
      <c r="FHV43" s="19"/>
      <c r="FHW43" s="19"/>
      <c r="FHX43" s="19"/>
      <c r="FHY43" s="19"/>
      <c r="FHZ43" s="19"/>
      <c r="FIA43" s="19"/>
      <c r="FIB43" s="19"/>
      <c r="FIC43" s="19"/>
      <c r="FID43" s="19"/>
      <c r="FIE43" s="19"/>
      <c r="FIF43" s="19"/>
      <c r="FIG43" s="19"/>
      <c r="FIH43" s="19"/>
      <c r="FII43" s="19"/>
      <c r="FIJ43" s="19"/>
      <c r="FIK43" s="19"/>
      <c r="FIL43" s="19"/>
      <c r="FIM43" s="19"/>
      <c r="FIN43" s="19"/>
      <c r="FIO43" s="19"/>
      <c r="FIP43" s="19"/>
      <c r="FIQ43" s="19"/>
      <c r="FIR43" s="19"/>
      <c r="FIS43" s="19"/>
      <c r="FIT43" s="19"/>
      <c r="FIU43" s="19"/>
      <c r="FIV43" s="19"/>
      <c r="FIW43" s="19"/>
      <c r="FIX43" s="19"/>
      <c r="FIY43" s="19"/>
      <c r="FIZ43" s="19"/>
      <c r="FJA43" s="19"/>
      <c r="FJB43" s="19"/>
      <c r="FJC43" s="19"/>
      <c r="FJD43" s="19"/>
      <c r="FJE43" s="19"/>
      <c r="FJF43" s="19"/>
      <c r="FJG43" s="19"/>
      <c r="FJH43" s="19"/>
      <c r="FJI43" s="19"/>
      <c r="FJJ43" s="19"/>
      <c r="FJK43" s="19"/>
      <c r="FJL43" s="19"/>
      <c r="FJM43" s="19"/>
      <c r="FJN43" s="19"/>
      <c r="FJO43" s="19"/>
      <c r="FJP43" s="19"/>
      <c r="FJQ43" s="19"/>
      <c r="FJR43" s="19"/>
      <c r="FJS43" s="19"/>
      <c r="FJT43" s="19"/>
      <c r="FJU43" s="19"/>
      <c r="FJV43" s="19"/>
      <c r="FJW43" s="19"/>
      <c r="FJX43" s="19"/>
      <c r="FJY43" s="19"/>
      <c r="FJZ43" s="19"/>
      <c r="FKA43" s="19"/>
      <c r="FKB43" s="19"/>
      <c r="FKC43" s="19"/>
      <c r="FKD43" s="19"/>
      <c r="FKE43" s="19"/>
      <c r="FKF43" s="19"/>
      <c r="FKG43" s="19"/>
      <c r="FKH43" s="19"/>
      <c r="FKI43" s="19"/>
      <c r="FKJ43" s="19"/>
      <c r="FKK43" s="19"/>
      <c r="FKL43" s="19"/>
      <c r="FKM43" s="19"/>
      <c r="FKN43" s="19"/>
      <c r="FKO43" s="19"/>
      <c r="FKP43" s="19"/>
      <c r="FKQ43" s="19"/>
      <c r="FKR43" s="19"/>
      <c r="FKS43" s="19"/>
      <c r="FKT43" s="19"/>
      <c r="FKU43" s="19"/>
      <c r="FKV43" s="19"/>
      <c r="FKW43" s="19"/>
      <c r="FKX43" s="19"/>
      <c r="FKY43" s="19"/>
      <c r="FKZ43" s="19"/>
      <c r="FLA43" s="19"/>
      <c r="FLB43" s="19"/>
      <c r="FLC43" s="19"/>
      <c r="FLD43" s="19"/>
      <c r="FLE43" s="19"/>
      <c r="FLF43" s="19"/>
      <c r="FLG43" s="19"/>
      <c r="FLH43" s="19"/>
      <c r="FLI43" s="19"/>
      <c r="FLJ43" s="19"/>
      <c r="FLK43" s="19"/>
      <c r="FLL43" s="19"/>
      <c r="FLM43" s="19"/>
      <c r="FLN43" s="19"/>
      <c r="FLO43" s="19"/>
      <c r="FLP43" s="19"/>
      <c r="FLQ43" s="19"/>
      <c r="FLR43" s="19"/>
      <c r="FLS43" s="19"/>
      <c r="FLT43" s="19"/>
      <c r="FLU43" s="19"/>
      <c r="FLV43" s="19"/>
      <c r="FLW43" s="19"/>
      <c r="FLX43" s="19"/>
      <c r="FLY43" s="19"/>
      <c r="FLZ43" s="19"/>
      <c r="FMA43" s="19"/>
      <c r="FMB43" s="19"/>
      <c r="FMC43" s="19"/>
      <c r="FMD43" s="19"/>
      <c r="FME43" s="19"/>
      <c r="FMF43" s="19"/>
      <c r="FMG43" s="19"/>
      <c r="FMH43" s="19"/>
      <c r="FMI43" s="19"/>
      <c r="FMJ43" s="19"/>
      <c r="FMK43" s="19"/>
      <c r="FML43" s="19"/>
      <c r="FMM43" s="19"/>
      <c r="FMN43" s="19"/>
      <c r="FMO43" s="19"/>
      <c r="FMP43" s="19"/>
      <c r="FMQ43" s="19"/>
      <c r="FMR43" s="19"/>
      <c r="FMS43" s="19"/>
      <c r="FMT43" s="19"/>
      <c r="FMU43" s="19"/>
      <c r="FMV43" s="19"/>
      <c r="FMW43" s="19"/>
      <c r="FMX43" s="19"/>
      <c r="FMY43" s="19"/>
      <c r="FMZ43" s="19"/>
      <c r="FNA43" s="19"/>
      <c r="FNB43" s="19"/>
      <c r="FNC43" s="19"/>
      <c r="FND43" s="19"/>
      <c r="FNE43" s="19"/>
      <c r="FNF43" s="19"/>
      <c r="FNG43" s="19"/>
      <c r="FNH43" s="19"/>
      <c r="FNI43" s="19"/>
      <c r="FNJ43" s="19"/>
      <c r="FNK43" s="19"/>
      <c r="FNL43" s="19"/>
      <c r="FNM43" s="19"/>
      <c r="FNN43" s="19"/>
      <c r="FNO43" s="19"/>
      <c r="FNP43" s="19"/>
      <c r="FNQ43" s="19"/>
      <c r="FNR43" s="19"/>
      <c r="FNS43" s="19"/>
      <c r="FNT43" s="19"/>
      <c r="FNU43" s="19"/>
      <c r="FNV43" s="19"/>
      <c r="FNW43" s="19"/>
      <c r="FNX43" s="19"/>
      <c r="FNY43" s="19"/>
      <c r="FNZ43" s="19"/>
      <c r="FOA43" s="19"/>
      <c r="FOB43" s="19"/>
      <c r="FOC43" s="19"/>
      <c r="FOD43" s="19"/>
      <c r="FOE43" s="19"/>
      <c r="FOF43" s="19"/>
      <c r="FOG43" s="19"/>
      <c r="FOH43" s="19"/>
      <c r="FOI43" s="19"/>
      <c r="FOJ43" s="19"/>
      <c r="FOK43" s="19"/>
      <c r="FOL43" s="19"/>
      <c r="FOM43" s="19"/>
      <c r="FON43" s="19"/>
      <c r="FOO43" s="19"/>
      <c r="FOP43" s="19"/>
      <c r="FOQ43" s="19"/>
      <c r="FOR43" s="19"/>
      <c r="FOS43" s="19"/>
      <c r="FOT43" s="19"/>
      <c r="FOU43" s="19"/>
      <c r="FOV43" s="19"/>
      <c r="FOW43" s="19"/>
      <c r="FOX43" s="19"/>
      <c r="FOY43" s="19"/>
      <c r="FOZ43" s="19"/>
      <c r="FPA43" s="19"/>
      <c r="FPB43" s="19"/>
      <c r="FPC43" s="19"/>
      <c r="FPD43" s="19"/>
      <c r="FPE43" s="19"/>
      <c r="FPF43" s="19"/>
      <c r="FPG43" s="19"/>
      <c r="FPH43" s="19"/>
      <c r="FPI43" s="19"/>
      <c r="FPJ43" s="19"/>
      <c r="FPK43" s="19"/>
      <c r="FPL43" s="19"/>
      <c r="FPM43" s="19"/>
      <c r="FPN43" s="19"/>
      <c r="FPO43" s="19"/>
      <c r="FPP43" s="19"/>
      <c r="FPQ43" s="19"/>
      <c r="FPR43" s="19"/>
      <c r="FPS43" s="19"/>
      <c r="FPT43" s="19"/>
      <c r="FPU43" s="19"/>
      <c r="FPV43" s="19"/>
      <c r="FPW43" s="19"/>
      <c r="FPX43" s="19"/>
      <c r="FPY43" s="19"/>
      <c r="FPZ43" s="19"/>
      <c r="FQA43" s="19"/>
      <c r="FQB43" s="19"/>
      <c r="FQC43" s="19"/>
      <c r="FQD43" s="19"/>
      <c r="FQE43" s="19"/>
      <c r="FQF43" s="19"/>
      <c r="FQG43" s="19"/>
      <c r="FQH43" s="19"/>
      <c r="FQI43" s="19"/>
      <c r="FQJ43" s="19"/>
      <c r="FQK43" s="19"/>
      <c r="FQL43" s="19"/>
      <c r="FQM43" s="19"/>
      <c r="FQN43" s="19"/>
      <c r="FQO43" s="19"/>
      <c r="FQP43" s="19"/>
      <c r="FQQ43" s="19"/>
      <c r="FQR43" s="19"/>
      <c r="FQS43" s="19"/>
      <c r="FQT43" s="19"/>
      <c r="FQU43" s="19"/>
      <c r="FQV43" s="19"/>
      <c r="FQW43" s="19"/>
      <c r="FQX43" s="19"/>
      <c r="FQY43" s="19"/>
      <c r="FQZ43" s="19"/>
      <c r="FRA43" s="19"/>
      <c r="FRB43" s="19"/>
      <c r="FRC43" s="19"/>
      <c r="FRD43" s="19"/>
      <c r="FRE43" s="19"/>
      <c r="FRF43" s="19"/>
      <c r="FRG43" s="19"/>
      <c r="FRH43" s="19"/>
      <c r="FRI43" s="19"/>
      <c r="FRJ43" s="19"/>
      <c r="FRK43" s="19"/>
      <c r="FRL43" s="19"/>
      <c r="FRM43" s="19"/>
      <c r="FRN43" s="19"/>
      <c r="FRO43" s="19"/>
      <c r="FRP43" s="19"/>
      <c r="FRQ43" s="19"/>
      <c r="FRR43" s="19"/>
      <c r="FRS43" s="19"/>
      <c r="FRT43" s="19"/>
      <c r="FRU43" s="19"/>
      <c r="FRV43" s="19"/>
      <c r="FRW43" s="19"/>
      <c r="FRX43" s="19"/>
      <c r="FRY43" s="19"/>
      <c r="FRZ43" s="19"/>
      <c r="FSA43" s="19"/>
      <c r="FSB43" s="19"/>
      <c r="FSC43" s="19"/>
      <c r="FSD43" s="19"/>
      <c r="FSE43" s="19"/>
      <c r="FSF43" s="19"/>
      <c r="FSG43" s="19"/>
      <c r="FSH43" s="19"/>
      <c r="FSI43" s="19"/>
      <c r="FSJ43" s="19"/>
      <c r="FSK43" s="19"/>
      <c r="FSL43" s="19"/>
      <c r="FSM43" s="19"/>
      <c r="FSN43" s="19"/>
      <c r="FSO43" s="19"/>
      <c r="FSP43" s="19"/>
      <c r="FSQ43" s="19"/>
      <c r="FSR43" s="19"/>
      <c r="FSS43" s="19"/>
      <c r="FST43" s="19"/>
      <c r="FSU43" s="19"/>
      <c r="FSV43" s="19"/>
      <c r="FSW43" s="19"/>
      <c r="FSX43" s="19"/>
      <c r="FSY43" s="19"/>
      <c r="FSZ43" s="19"/>
      <c r="FTA43" s="19"/>
      <c r="FTB43" s="19"/>
      <c r="FTC43" s="19"/>
      <c r="FTD43" s="19"/>
      <c r="FTE43" s="19"/>
      <c r="FTF43" s="19"/>
      <c r="FTG43" s="19"/>
      <c r="FTH43" s="19"/>
      <c r="FTI43" s="19"/>
      <c r="FTJ43" s="19"/>
      <c r="FTK43" s="19"/>
      <c r="FTL43" s="19"/>
      <c r="FTM43" s="19"/>
      <c r="FTN43" s="19"/>
      <c r="FTO43" s="19"/>
      <c r="FTP43" s="19"/>
      <c r="FTQ43" s="19"/>
      <c r="FTR43" s="19"/>
      <c r="FTS43" s="19"/>
      <c r="FTT43" s="19"/>
      <c r="FTU43" s="19"/>
      <c r="FTV43" s="19"/>
      <c r="FTW43" s="19"/>
      <c r="FTX43" s="19"/>
      <c r="FTY43" s="19"/>
      <c r="FTZ43" s="19"/>
      <c r="FUA43" s="19"/>
      <c r="FUB43" s="19"/>
      <c r="FUC43" s="19"/>
      <c r="FUD43" s="19"/>
      <c r="FUE43" s="19"/>
      <c r="FUF43" s="19"/>
      <c r="FUG43" s="19"/>
      <c r="FUH43" s="19"/>
      <c r="FUI43" s="19"/>
      <c r="FUJ43" s="19"/>
      <c r="FUK43" s="19"/>
      <c r="FUL43" s="19"/>
      <c r="FUM43" s="19"/>
      <c r="FUN43" s="19"/>
      <c r="FUO43" s="19"/>
      <c r="FUP43" s="19"/>
      <c r="FUQ43" s="19"/>
      <c r="FUR43" s="19"/>
      <c r="FUS43" s="19"/>
      <c r="FUT43" s="19"/>
      <c r="FUU43" s="19"/>
      <c r="FUV43" s="19"/>
      <c r="FUW43" s="19"/>
      <c r="FUX43" s="19"/>
      <c r="FUY43" s="19"/>
      <c r="FUZ43" s="19"/>
      <c r="FVA43" s="19"/>
      <c r="FVB43" s="19"/>
      <c r="FVC43" s="19"/>
      <c r="FVD43" s="19"/>
      <c r="FVE43" s="19"/>
      <c r="FVF43" s="19"/>
      <c r="FVG43" s="19"/>
      <c r="FVH43" s="19"/>
      <c r="FVI43" s="19"/>
      <c r="FVJ43" s="19"/>
      <c r="FVK43" s="19"/>
      <c r="FVL43" s="19"/>
      <c r="FVM43" s="19"/>
      <c r="FVN43" s="19"/>
      <c r="FVO43" s="19"/>
      <c r="FVP43" s="19"/>
      <c r="FVQ43" s="19"/>
      <c r="FVR43" s="19"/>
      <c r="FVS43" s="19"/>
      <c r="FVT43" s="19"/>
      <c r="FVU43" s="19"/>
      <c r="FVV43" s="19"/>
      <c r="FVW43" s="19"/>
      <c r="FVX43" s="19"/>
      <c r="FVY43" s="19"/>
      <c r="FVZ43" s="19"/>
      <c r="FWA43" s="19"/>
      <c r="FWB43" s="19"/>
      <c r="FWC43" s="19"/>
      <c r="FWD43" s="19"/>
      <c r="FWE43" s="19"/>
      <c r="FWF43" s="19"/>
      <c r="FWG43" s="19"/>
      <c r="FWH43" s="19"/>
      <c r="FWI43" s="19"/>
      <c r="FWJ43" s="19"/>
      <c r="FWK43" s="19"/>
      <c r="FWL43" s="19"/>
      <c r="FWM43" s="19"/>
      <c r="FWN43" s="19"/>
      <c r="FWO43" s="19"/>
      <c r="FWP43" s="19"/>
      <c r="FWQ43" s="19"/>
      <c r="FWR43" s="19"/>
      <c r="FWS43" s="19"/>
      <c r="FWT43" s="19"/>
      <c r="FWU43" s="19"/>
      <c r="FWV43" s="19"/>
      <c r="FWW43" s="19"/>
      <c r="FWX43" s="19"/>
      <c r="FWY43" s="19"/>
      <c r="FWZ43" s="19"/>
      <c r="FXA43" s="19"/>
      <c r="FXB43" s="19"/>
      <c r="FXC43" s="19"/>
      <c r="FXD43" s="19"/>
      <c r="FXE43" s="19"/>
      <c r="FXF43" s="19"/>
      <c r="FXG43" s="19"/>
      <c r="FXH43" s="19"/>
      <c r="FXI43" s="19"/>
      <c r="FXJ43" s="19"/>
      <c r="FXK43" s="19"/>
      <c r="FXL43" s="19"/>
      <c r="FXM43" s="19"/>
      <c r="FXN43" s="19"/>
      <c r="FXO43" s="19"/>
      <c r="FXP43" s="19"/>
      <c r="FXQ43" s="19"/>
      <c r="FXR43" s="19"/>
      <c r="FXS43" s="19"/>
      <c r="FXT43" s="19"/>
      <c r="FXU43" s="19"/>
      <c r="FXV43" s="19"/>
      <c r="FXW43" s="19"/>
      <c r="FXX43" s="19"/>
      <c r="FXY43" s="19"/>
      <c r="FXZ43" s="19"/>
      <c r="FYA43" s="19"/>
      <c r="FYB43" s="19"/>
      <c r="FYC43" s="19"/>
      <c r="FYD43" s="19"/>
      <c r="FYE43" s="19"/>
      <c r="FYF43" s="19"/>
      <c r="FYG43" s="19"/>
      <c r="FYH43" s="19"/>
      <c r="FYI43" s="19"/>
      <c r="FYJ43" s="19"/>
      <c r="FYK43" s="19"/>
      <c r="FYL43" s="19"/>
      <c r="FYM43" s="19"/>
      <c r="FYN43" s="19"/>
      <c r="FYO43" s="19"/>
      <c r="FYP43" s="19"/>
      <c r="FYQ43" s="19"/>
      <c r="FYR43" s="19"/>
      <c r="FYS43" s="19"/>
      <c r="FYT43" s="19"/>
      <c r="FYU43" s="19"/>
      <c r="FYV43" s="19"/>
      <c r="FYW43" s="19"/>
      <c r="FYX43" s="19"/>
      <c r="FYY43" s="19"/>
      <c r="FYZ43" s="19"/>
      <c r="FZA43" s="19"/>
      <c r="FZB43" s="19"/>
      <c r="FZC43" s="19"/>
      <c r="FZD43" s="19"/>
      <c r="FZE43" s="19"/>
      <c r="FZF43" s="19"/>
      <c r="FZG43" s="19"/>
      <c r="FZH43" s="19"/>
      <c r="FZI43" s="19"/>
      <c r="FZJ43" s="19"/>
      <c r="FZK43" s="19"/>
      <c r="FZL43" s="19"/>
      <c r="FZM43" s="19"/>
      <c r="FZN43" s="19"/>
      <c r="FZO43" s="19"/>
      <c r="FZP43" s="19"/>
      <c r="FZQ43" s="19"/>
      <c r="FZR43" s="19"/>
      <c r="FZS43" s="19"/>
      <c r="FZT43" s="19"/>
      <c r="FZU43" s="19"/>
      <c r="FZV43" s="19"/>
      <c r="FZW43" s="19"/>
      <c r="FZX43" s="19"/>
      <c r="FZY43" s="19"/>
      <c r="FZZ43" s="19"/>
      <c r="GAA43" s="19"/>
      <c r="GAB43" s="19"/>
      <c r="GAC43" s="19"/>
      <c r="GAD43" s="19"/>
      <c r="GAE43" s="19"/>
      <c r="GAF43" s="19"/>
      <c r="GAG43" s="19"/>
      <c r="GAH43" s="19"/>
      <c r="GAI43" s="19"/>
      <c r="GAJ43" s="19"/>
      <c r="GAK43" s="19"/>
      <c r="GAL43" s="19"/>
      <c r="GAM43" s="19"/>
      <c r="GAN43" s="19"/>
      <c r="GAO43" s="19"/>
      <c r="GAP43" s="19"/>
      <c r="GAQ43" s="19"/>
      <c r="GAR43" s="19"/>
      <c r="GAS43" s="19"/>
      <c r="GAT43" s="19"/>
      <c r="GAU43" s="19"/>
      <c r="GAV43" s="19"/>
      <c r="GAW43" s="19"/>
      <c r="GAX43" s="19"/>
      <c r="GAY43" s="19"/>
      <c r="GAZ43" s="19"/>
      <c r="GBA43" s="19"/>
      <c r="GBB43" s="19"/>
      <c r="GBC43" s="19"/>
      <c r="GBD43" s="19"/>
      <c r="GBE43" s="19"/>
      <c r="GBF43" s="19"/>
      <c r="GBG43" s="19"/>
      <c r="GBH43" s="19"/>
      <c r="GBI43" s="19"/>
      <c r="GBJ43" s="19"/>
      <c r="GBK43" s="19"/>
      <c r="GBL43" s="19"/>
      <c r="GBM43" s="19"/>
      <c r="GBN43" s="19"/>
      <c r="GBO43" s="19"/>
      <c r="GBP43" s="19"/>
      <c r="GBQ43" s="19"/>
      <c r="GBR43" s="19"/>
      <c r="GBS43" s="19"/>
      <c r="GBT43" s="19"/>
      <c r="GBU43" s="19"/>
      <c r="GBV43" s="19"/>
      <c r="GBW43" s="19"/>
      <c r="GBX43" s="19"/>
      <c r="GBY43" s="19"/>
      <c r="GBZ43" s="19"/>
      <c r="GCA43" s="19"/>
      <c r="GCB43" s="19"/>
      <c r="GCC43" s="19"/>
      <c r="GCD43" s="19"/>
      <c r="GCE43" s="19"/>
      <c r="GCF43" s="19"/>
      <c r="GCG43" s="19"/>
      <c r="GCH43" s="19"/>
      <c r="GCI43" s="19"/>
      <c r="GCJ43" s="19"/>
      <c r="GCK43" s="19"/>
      <c r="GCL43" s="19"/>
      <c r="GCM43" s="19"/>
      <c r="GCN43" s="19"/>
      <c r="GCO43" s="19"/>
      <c r="GCP43" s="19"/>
      <c r="GCQ43" s="19"/>
      <c r="GCR43" s="19"/>
      <c r="GCS43" s="19"/>
      <c r="GCT43" s="19"/>
      <c r="GCU43" s="19"/>
      <c r="GCV43" s="19"/>
      <c r="GCW43" s="19"/>
      <c r="GCX43" s="19"/>
      <c r="GCY43" s="19"/>
      <c r="GCZ43" s="19"/>
      <c r="GDA43" s="19"/>
      <c r="GDB43" s="19"/>
      <c r="GDC43" s="19"/>
      <c r="GDD43" s="19"/>
      <c r="GDE43" s="19"/>
      <c r="GDF43" s="19"/>
      <c r="GDG43" s="19"/>
      <c r="GDH43" s="19"/>
      <c r="GDI43" s="19"/>
      <c r="GDJ43" s="19"/>
      <c r="GDK43" s="19"/>
      <c r="GDL43" s="19"/>
      <c r="GDM43" s="19"/>
      <c r="GDN43" s="19"/>
      <c r="GDO43" s="19"/>
      <c r="GDP43" s="19"/>
      <c r="GDQ43" s="19"/>
      <c r="GDR43" s="19"/>
      <c r="GDS43" s="19"/>
      <c r="GDT43" s="19"/>
      <c r="GDU43" s="19"/>
      <c r="GDV43" s="19"/>
      <c r="GDW43" s="19"/>
      <c r="GDX43" s="19"/>
      <c r="GDY43" s="19"/>
      <c r="GDZ43" s="19"/>
      <c r="GEA43" s="19"/>
      <c r="GEB43" s="19"/>
      <c r="GEC43" s="19"/>
      <c r="GED43" s="19"/>
      <c r="GEE43" s="19"/>
      <c r="GEF43" s="19"/>
      <c r="GEG43" s="19"/>
      <c r="GEH43" s="19"/>
      <c r="GEI43" s="19"/>
      <c r="GEJ43" s="19"/>
      <c r="GEK43" s="19"/>
      <c r="GEL43" s="19"/>
      <c r="GEM43" s="19"/>
      <c r="GEN43" s="19"/>
      <c r="GEO43" s="19"/>
      <c r="GEP43" s="19"/>
      <c r="GEQ43" s="19"/>
      <c r="GER43" s="19"/>
      <c r="GES43" s="19"/>
      <c r="GET43" s="19"/>
      <c r="GEU43" s="19"/>
      <c r="GEV43" s="19"/>
      <c r="GEW43" s="19"/>
      <c r="GEX43" s="19"/>
      <c r="GEY43" s="19"/>
      <c r="GEZ43" s="19"/>
      <c r="GFA43" s="19"/>
      <c r="GFB43" s="19"/>
      <c r="GFC43" s="19"/>
      <c r="GFD43" s="19"/>
      <c r="GFE43" s="19"/>
      <c r="GFF43" s="19"/>
      <c r="GFG43" s="19"/>
      <c r="GFH43" s="19"/>
      <c r="GFI43" s="19"/>
      <c r="GFJ43" s="19"/>
      <c r="GFK43" s="19"/>
      <c r="GFL43" s="19"/>
      <c r="GFM43" s="19"/>
      <c r="GFN43" s="19"/>
      <c r="GFO43" s="19"/>
      <c r="GFP43" s="19"/>
      <c r="GFQ43" s="19"/>
      <c r="GFR43" s="19"/>
      <c r="GFS43" s="19"/>
      <c r="GFT43" s="19"/>
      <c r="GFU43" s="19"/>
      <c r="GFV43" s="19"/>
      <c r="GFW43" s="19"/>
      <c r="GFX43" s="19"/>
      <c r="GFY43" s="19"/>
      <c r="GFZ43" s="19"/>
      <c r="GGA43" s="19"/>
      <c r="GGB43" s="19"/>
      <c r="GGC43" s="19"/>
      <c r="GGD43" s="19"/>
      <c r="GGE43" s="19"/>
      <c r="GGF43" s="19"/>
      <c r="GGG43" s="19"/>
      <c r="GGH43" s="19"/>
      <c r="GGI43" s="19"/>
      <c r="GGJ43" s="19"/>
      <c r="GGK43" s="19"/>
      <c r="GGL43" s="19"/>
      <c r="GGM43" s="19"/>
      <c r="GGN43" s="19"/>
      <c r="GGO43" s="19"/>
      <c r="GGP43" s="19"/>
      <c r="GGQ43" s="19"/>
      <c r="GGR43" s="19"/>
      <c r="GGS43" s="19"/>
      <c r="GGT43" s="19"/>
      <c r="GGU43" s="19"/>
      <c r="GGV43" s="19"/>
      <c r="GGW43" s="19"/>
      <c r="GGX43" s="19"/>
      <c r="GGY43" s="19"/>
      <c r="GGZ43" s="19"/>
      <c r="GHA43" s="19"/>
      <c r="GHB43" s="19"/>
      <c r="GHC43" s="19"/>
      <c r="GHD43" s="19"/>
      <c r="GHE43" s="19"/>
      <c r="GHF43" s="19"/>
      <c r="GHG43" s="19"/>
      <c r="GHH43" s="19"/>
      <c r="GHI43" s="19"/>
      <c r="GHJ43" s="19"/>
      <c r="GHK43" s="19"/>
      <c r="GHL43" s="19"/>
      <c r="GHM43" s="19"/>
      <c r="GHN43" s="19"/>
      <c r="GHO43" s="19"/>
      <c r="GHP43" s="19"/>
      <c r="GHQ43" s="19"/>
      <c r="GHR43" s="19"/>
      <c r="GHS43" s="19"/>
      <c r="GHT43" s="19"/>
      <c r="GHU43" s="19"/>
      <c r="GHV43" s="19"/>
      <c r="GHW43" s="19"/>
      <c r="GHX43" s="19"/>
      <c r="GHY43" s="19"/>
      <c r="GHZ43" s="19"/>
      <c r="GIA43" s="19"/>
      <c r="GIB43" s="19"/>
      <c r="GIC43" s="19"/>
      <c r="GID43" s="19"/>
      <c r="GIE43" s="19"/>
      <c r="GIF43" s="19"/>
      <c r="GIG43" s="19"/>
      <c r="GIH43" s="19"/>
      <c r="GII43" s="19"/>
      <c r="GIJ43" s="19"/>
      <c r="GIK43" s="19"/>
      <c r="GIL43" s="19"/>
      <c r="GIM43" s="19"/>
      <c r="GIN43" s="19"/>
      <c r="GIO43" s="19"/>
      <c r="GIP43" s="19"/>
      <c r="GIQ43" s="19"/>
      <c r="GIR43" s="19"/>
      <c r="GIS43" s="19"/>
      <c r="GIT43" s="19"/>
      <c r="GIU43" s="19"/>
      <c r="GIV43" s="19"/>
      <c r="GIW43" s="19"/>
      <c r="GIX43" s="19"/>
      <c r="GIY43" s="19"/>
      <c r="GIZ43" s="19"/>
      <c r="GJA43" s="19"/>
      <c r="GJB43" s="19"/>
      <c r="GJC43" s="19"/>
      <c r="GJD43" s="19"/>
      <c r="GJE43" s="19"/>
      <c r="GJF43" s="19"/>
      <c r="GJG43" s="19"/>
      <c r="GJH43" s="19"/>
      <c r="GJI43" s="19"/>
      <c r="GJJ43" s="19"/>
      <c r="GJK43" s="19"/>
      <c r="GJL43" s="19"/>
      <c r="GJM43" s="19"/>
      <c r="GJN43" s="19"/>
      <c r="GJO43" s="19"/>
      <c r="GJP43" s="19"/>
      <c r="GJQ43" s="19"/>
      <c r="GJR43" s="19"/>
      <c r="GJS43" s="19"/>
      <c r="GJT43" s="19"/>
      <c r="GJU43" s="19"/>
      <c r="GJV43" s="19"/>
      <c r="GJW43" s="19"/>
      <c r="GJX43" s="19"/>
      <c r="GJY43" s="19"/>
      <c r="GJZ43" s="19"/>
      <c r="GKA43" s="19"/>
      <c r="GKB43" s="19"/>
      <c r="GKC43" s="19"/>
      <c r="GKD43" s="19"/>
      <c r="GKE43" s="19"/>
      <c r="GKF43" s="19"/>
      <c r="GKG43" s="19"/>
      <c r="GKH43" s="19"/>
      <c r="GKI43" s="19"/>
      <c r="GKJ43" s="19"/>
      <c r="GKK43" s="19"/>
      <c r="GKL43" s="19"/>
      <c r="GKM43" s="19"/>
      <c r="GKN43" s="19"/>
      <c r="GKO43" s="19"/>
      <c r="GKP43" s="19"/>
      <c r="GKQ43" s="19"/>
      <c r="GKR43" s="19"/>
      <c r="GKS43" s="19"/>
      <c r="GKT43" s="19"/>
      <c r="GKU43" s="19"/>
      <c r="GKV43" s="19"/>
      <c r="GKW43" s="19"/>
      <c r="GKX43" s="19"/>
      <c r="GKY43" s="19"/>
      <c r="GKZ43" s="19"/>
      <c r="GLA43" s="19"/>
      <c r="GLB43" s="19"/>
      <c r="GLC43" s="19"/>
      <c r="GLD43" s="19"/>
      <c r="GLE43" s="19"/>
      <c r="GLF43" s="19"/>
      <c r="GLG43" s="19"/>
      <c r="GLH43" s="19"/>
      <c r="GLI43" s="19"/>
      <c r="GLJ43" s="19"/>
      <c r="GLK43" s="19"/>
      <c r="GLL43" s="19"/>
      <c r="GLM43" s="19"/>
      <c r="GLN43" s="19"/>
      <c r="GLO43" s="19"/>
      <c r="GLP43" s="19"/>
      <c r="GLQ43" s="19"/>
      <c r="GLR43" s="19"/>
      <c r="GLS43" s="19"/>
      <c r="GLT43" s="19"/>
      <c r="GLU43" s="19"/>
      <c r="GLV43" s="19"/>
      <c r="GLW43" s="19"/>
      <c r="GLX43" s="19"/>
      <c r="GLY43" s="19"/>
      <c r="GLZ43" s="19"/>
      <c r="GMA43" s="19"/>
      <c r="GMB43" s="19"/>
      <c r="GMC43" s="19"/>
      <c r="GMD43" s="19"/>
      <c r="GME43" s="19"/>
      <c r="GMF43" s="19"/>
      <c r="GMG43" s="19"/>
      <c r="GMH43" s="19"/>
      <c r="GMI43" s="19"/>
      <c r="GMJ43" s="19"/>
      <c r="GMK43" s="19"/>
      <c r="GML43" s="19"/>
      <c r="GMM43" s="19"/>
      <c r="GMN43" s="19"/>
      <c r="GMO43" s="19"/>
      <c r="GMP43" s="19"/>
      <c r="GMQ43" s="19"/>
      <c r="GMR43" s="19"/>
      <c r="GMS43" s="19"/>
      <c r="GMT43" s="19"/>
      <c r="GMU43" s="19"/>
      <c r="GMV43" s="19"/>
      <c r="GMW43" s="19"/>
      <c r="GMX43" s="19"/>
      <c r="GMY43" s="19"/>
      <c r="GMZ43" s="19"/>
      <c r="GNA43" s="19"/>
      <c r="GNB43" s="19"/>
      <c r="GNC43" s="19"/>
      <c r="GND43" s="19"/>
      <c r="GNE43" s="19"/>
      <c r="GNF43" s="19"/>
      <c r="GNG43" s="19"/>
      <c r="GNH43" s="19"/>
      <c r="GNI43" s="19"/>
      <c r="GNJ43" s="19"/>
      <c r="GNK43" s="19"/>
      <c r="GNL43" s="19"/>
      <c r="GNM43" s="19"/>
      <c r="GNN43" s="19"/>
      <c r="GNO43" s="19"/>
      <c r="GNP43" s="19"/>
      <c r="GNQ43" s="19"/>
      <c r="GNR43" s="19"/>
      <c r="GNS43" s="19"/>
      <c r="GNT43" s="19"/>
      <c r="GNU43" s="19"/>
      <c r="GNV43" s="19"/>
      <c r="GNW43" s="19"/>
      <c r="GNX43" s="19"/>
      <c r="GNY43" s="19"/>
      <c r="GNZ43" s="19"/>
      <c r="GOA43" s="19"/>
      <c r="GOB43" s="19"/>
      <c r="GOC43" s="19"/>
      <c r="GOD43" s="19"/>
      <c r="GOE43" s="19"/>
      <c r="GOF43" s="19"/>
      <c r="GOG43" s="19"/>
      <c r="GOH43" s="19"/>
      <c r="GOI43" s="19"/>
      <c r="GOJ43" s="19"/>
      <c r="GOK43" s="19"/>
      <c r="GOL43" s="19"/>
      <c r="GOM43" s="19"/>
      <c r="GON43" s="19"/>
      <c r="GOO43" s="19"/>
      <c r="GOP43" s="19"/>
      <c r="GOQ43" s="19"/>
      <c r="GOR43" s="19"/>
      <c r="GOS43" s="19"/>
      <c r="GOT43" s="19"/>
      <c r="GOU43" s="19"/>
      <c r="GOV43" s="19"/>
      <c r="GOW43" s="19"/>
      <c r="GOX43" s="19"/>
      <c r="GOY43" s="19"/>
      <c r="GOZ43" s="19"/>
      <c r="GPA43" s="19"/>
      <c r="GPB43" s="19"/>
      <c r="GPC43" s="19"/>
      <c r="GPD43" s="19"/>
      <c r="GPE43" s="19"/>
      <c r="GPF43" s="19"/>
      <c r="GPG43" s="19"/>
      <c r="GPH43" s="19"/>
      <c r="GPI43" s="19"/>
      <c r="GPJ43" s="19"/>
      <c r="GPK43" s="19"/>
      <c r="GPL43" s="19"/>
      <c r="GPM43" s="19"/>
      <c r="GPN43" s="19"/>
      <c r="GPO43" s="19"/>
      <c r="GPP43" s="19"/>
      <c r="GPQ43" s="19"/>
      <c r="GPR43" s="19"/>
      <c r="GPS43" s="19"/>
      <c r="GPT43" s="19"/>
      <c r="GPU43" s="19"/>
      <c r="GPV43" s="19"/>
      <c r="GPW43" s="19"/>
      <c r="GPX43" s="19"/>
      <c r="GPY43" s="19"/>
      <c r="GPZ43" s="19"/>
      <c r="GQA43" s="19"/>
      <c r="GQB43" s="19"/>
      <c r="GQC43" s="19"/>
      <c r="GQD43" s="19"/>
      <c r="GQE43" s="19"/>
      <c r="GQF43" s="19"/>
      <c r="GQG43" s="19"/>
      <c r="GQH43" s="19"/>
      <c r="GQI43" s="19"/>
      <c r="GQJ43" s="19"/>
      <c r="GQK43" s="19"/>
      <c r="GQL43" s="19"/>
      <c r="GQM43" s="19"/>
      <c r="GQN43" s="19"/>
      <c r="GQO43" s="19"/>
      <c r="GQP43" s="19"/>
      <c r="GQQ43" s="19"/>
      <c r="GQR43" s="19"/>
      <c r="GQS43" s="19"/>
      <c r="GQT43" s="19"/>
      <c r="GQU43" s="19"/>
      <c r="GQV43" s="19"/>
      <c r="GQW43" s="19"/>
      <c r="GQX43" s="19"/>
      <c r="GQY43" s="19"/>
      <c r="GQZ43" s="19"/>
      <c r="GRA43" s="19"/>
      <c r="GRB43" s="19"/>
      <c r="GRC43" s="19"/>
      <c r="GRD43" s="19"/>
      <c r="GRE43" s="19"/>
      <c r="GRF43" s="19"/>
      <c r="GRG43" s="19"/>
      <c r="GRH43" s="19"/>
      <c r="GRI43" s="19"/>
      <c r="GRJ43" s="19"/>
      <c r="GRK43" s="19"/>
      <c r="GRL43" s="19"/>
      <c r="GRM43" s="19"/>
      <c r="GRN43" s="19"/>
      <c r="GRO43" s="19"/>
      <c r="GRP43" s="19"/>
      <c r="GRQ43" s="19"/>
      <c r="GRR43" s="19"/>
      <c r="GRS43" s="19"/>
      <c r="GRT43" s="19"/>
      <c r="GRU43" s="19"/>
      <c r="GRV43" s="19"/>
      <c r="GRW43" s="19"/>
      <c r="GRX43" s="19"/>
      <c r="GRY43" s="19"/>
      <c r="GRZ43" s="19"/>
      <c r="GSA43" s="19"/>
      <c r="GSB43" s="19"/>
      <c r="GSC43" s="19"/>
      <c r="GSD43" s="19"/>
      <c r="GSE43" s="19"/>
      <c r="GSF43" s="19"/>
      <c r="GSG43" s="19"/>
      <c r="GSH43" s="19"/>
      <c r="GSI43" s="19"/>
      <c r="GSJ43" s="19"/>
      <c r="GSK43" s="19"/>
      <c r="GSL43" s="19"/>
      <c r="GSM43" s="19"/>
      <c r="GSN43" s="19"/>
      <c r="GSO43" s="19"/>
      <c r="GSP43" s="19"/>
      <c r="GSQ43" s="19"/>
      <c r="GSR43" s="19"/>
      <c r="GSS43" s="19"/>
      <c r="GST43" s="19"/>
      <c r="GSU43" s="19"/>
      <c r="GSV43" s="19"/>
      <c r="GSW43" s="19"/>
      <c r="GSX43" s="19"/>
      <c r="GSY43" s="19"/>
      <c r="GSZ43" s="19"/>
      <c r="GTA43" s="19"/>
      <c r="GTB43" s="19"/>
      <c r="GTC43" s="19"/>
      <c r="GTD43" s="19"/>
      <c r="GTE43" s="19"/>
      <c r="GTF43" s="19"/>
      <c r="GTG43" s="19"/>
      <c r="GTH43" s="19"/>
      <c r="GTI43" s="19"/>
      <c r="GTJ43" s="19"/>
      <c r="GTK43" s="19"/>
      <c r="GTL43" s="19"/>
      <c r="GTM43" s="19"/>
      <c r="GTN43" s="19"/>
      <c r="GTO43" s="19"/>
      <c r="GTP43" s="19"/>
      <c r="GTQ43" s="19"/>
      <c r="GTR43" s="19"/>
      <c r="GTS43" s="19"/>
      <c r="GTT43" s="19"/>
      <c r="GTU43" s="19"/>
      <c r="GTV43" s="19"/>
      <c r="GTW43" s="19"/>
      <c r="GTX43" s="19"/>
      <c r="GTY43" s="19"/>
      <c r="GTZ43" s="19"/>
      <c r="GUA43" s="19"/>
      <c r="GUB43" s="19"/>
      <c r="GUC43" s="19"/>
      <c r="GUD43" s="19"/>
      <c r="GUE43" s="19"/>
      <c r="GUF43" s="19"/>
      <c r="GUG43" s="19"/>
      <c r="GUH43" s="19"/>
      <c r="GUI43" s="19"/>
      <c r="GUJ43" s="19"/>
      <c r="GUK43" s="19"/>
      <c r="GUL43" s="19"/>
      <c r="GUM43" s="19"/>
      <c r="GUN43" s="19"/>
      <c r="GUO43" s="19"/>
      <c r="GUP43" s="19"/>
      <c r="GUQ43" s="19"/>
      <c r="GUR43" s="19"/>
      <c r="GUS43" s="19"/>
      <c r="GUT43" s="19"/>
      <c r="GUU43" s="19"/>
      <c r="GUV43" s="19"/>
      <c r="GUW43" s="19"/>
      <c r="GUX43" s="19"/>
      <c r="GUY43" s="19"/>
      <c r="GUZ43" s="19"/>
      <c r="GVA43" s="19"/>
      <c r="GVB43" s="19"/>
      <c r="GVC43" s="19"/>
      <c r="GVD43" s="19"/>
      <c r="GVE43" s="19"/>
      <c r="GVF43" s="19"/>
      <c r="GVG43" s="19"/>
      <c r="GVH43" s="19"/>
      <c r="GVI43" s="19"/>
      <c r="GVJ43" s="19"/>
      <c r="GVK43" s="19"/>
      <c r="GVL43" s="19"/>
      <c r="GVM43" s="19"/>
      <c r="GVN43" s="19"/>
      <c r="GVO43" s="19"/>
      <c r="GVP43" s="19"/>
      <c r="GVQ43" s="19"/>
      <c r="GVR43" s="19"/>
      <c r="GVS43" s="19"/>
      <c r="GVT43" s="19"/>
      <c r="GVU43" s="19"/>
      <c r="GVV43" s="19"/>
      <c r="GVW43" s="19"/>
      <c r="GVX43" s="19"/>
      <c r="GVY43" s="19"/>
      <c r="GVZ43" s="19"/>
      <c r="GWA43" s="19"/>
      <c r="GWB43" s="19"/>
      <c r="GWC43" s="19"/>
      <c r="GWD43" s="19"/>
      <c r="GWE43" s="19"/>
      <c r="GWF43" s="19"/>
      <c r="GWG43" s="19"/>
      <c r="GWH43" s="19"/>
      <c r="GWI43" s="19"/>
      <c r="GWJ43" s="19"/>
      <c r="GWK43" s="19"/>
      <c r="GWL43" s="19"/>
      <c r="GWM43" s="19"/>
      <c r="GWN43" s="19"/>
      <c r="GWO43" s="19"/>
      <c r="GWP43" s="19"/>
      <c r="GWQ43" s="19"/>
      <c r="GWR43" s="19"/>
      <c r="GWS43" s="19"/>
      <c r="GWT43" s="19"/>
      <c r="GWU43" s="19"/>
      <c r="GWV43" s="19"/>
      <c r="GWW43" s="19"/>
      <c r="GWX43" s="19"/>
      <c r="GWY43" s="19"/>
      <c r="GWZ43" s="19"/>
      <c r="GXA43" s="19"/>
      <c r="GXB43" s="19"/>
      <c r="GXC43" s="19"/>
      <c r="GXD43" s="19"/>
      <c r="GXE43" s="19"/>
      <c r="GXF43" s="19"/>
      <c r="GXG43" s="19"/>
      <c r="GXH43" s="19"/>
      <c r="GXI43" s="19"/>
      <c r="GXJ43" s="19"/>
      <c r="GXK43" s="19"/>
      <c r="GXL43" s="19"/>
      <c r="GXM43" s="19"/>
      <c r="GXN43" s="19"/>
      <c r="GXO43" s="19"/>
      <c r="GXP43" s="19"/>
      <c r="GXQ43" s="19"/>
      <c r="GXR43" s="19"/>
      <c r="GXS43" s="19"/>
      <c r="GXT43" s="19"/>
      <c r="GXU43" s="19"/>
      <c r="GXV43" s="19"/>
      <c r="GXW43" s="19"/>
      <c r="GXX43" s="19"/>
      <c r="GXY43" s="19"/>
      <c r="GXZ43" s="19"/>
      <c r="GYA43" s="19"/>
      <c r="GYB43" s="19"/>
      <c r="GYC43" s="19"/>
      <c r="GYD43" s="19"/>
      <c r="GYE43" s="19"/>
      <c r="GYF43" s="19"/>
      <c r="GYG43" s="19"/>
      <c r="GYH43" s="19"/>
      <c r="GYI43" s="19"/>
      <c r="GYJ43" s="19"/>
      <c r="GYK43" s="19"/>
      <c r="GYL43" s="19"/>
      <c r="GYM43" s="19"/>
      <c r="GYN43" s="19"/>
      <c r="GYO43" s="19"/>
      <c r="GYP43" s="19"/>
      <c r="GYQ43" s="19"/>
      <c r="GYR43" s="19"/>
      <c r="GYS43" s="19"/>
      <c r="GYT43" s="19"/>
      <c r="GYU43" s="19"/>
      <c r="GYV43" s="19"/>
      <c r="GYW43" s="19"/>
      <c r="GYX43" s="19"/>
      <c r="GYY43" s="19"/>
      <c r="GYZ43" s="19"/>
      <c r="GZA43" s="19"/>
      <c r="GZB43" s="19"/>
      <c r="GZC43" s="19"/>
      <c r="GZD43" s="19"/>
      <c r="GZE43" s="19"/>
      <c r="GZF43" s="19"/>
      <c r="GZG43" s="19"/>
      <c r="GZH43" s="19"/>
      <c r="GZI43" s="19"/>
      <c r="GZJ43" s="19"/>
      <c r="GZK43" s="19"/>
      <c r="GZL43" s="19"/>
      <c r="GZM43" s="19"/>
      <c r="GZN43" s="19"/>
      <c r="GZO43" s="19"/>
      <c r="GZP43" s="19"/>
      <c r="GZQ43" s="19"/>
      <c r="GZR43" s="19"/>
      <c r="GZS43" s="19"/>
      <c r="GZT43" s="19"/>
      <c r="GZU43" s="19"/>
      <c r="GZV43" s="19"/>
      <c r="GZW43" s="19"/>
      <c r="GZX43" s="19"/>
      <c r="GZY43" s="19"/>
      <c r="GZZ43" s="19"/>
      <c r="HAA43" s="19"/>
      <c r="HAB43" s="19"/>
      <c r="HAC43" s="19"/>
      <c r="HAD43" s="19"/>
      <c r="HAE43" s="19"/>
      <c r="HAF43" s="19"/>
      <c r="HAG43" s="19"/>
      <c r="HAH43" s="19"/>
      <c r="HAI43" s="19"/>
      <c r="HAJ43" s="19"/>
      <c r="HAK43" s="19"/>
      <c r="HAL43" s="19"/>
      <c r="HAM43" s="19"/>
      <c r="HAN43" s="19"/>
      <c r="HAO43" s="19"/>
      <c r="HAP43" s="19"/>
      <c r="HAQ43" s="19"/>
      <c r="HAR43" s="19"/>
      <c r="HAS43" s="19"/>
      <c r="HAT43" s="19"/>
      <c r="HAU43" s="19"/>
      <c r="HAV43" s="19"/>
      <c r="HAW43" s="19"/>
      <c r="HAX43" s="19"/>
      <c r="HAY43" s="19"/>
      <c r="HAZ43" s="19"/>
      <c r="HBA43" s="19"/>
      <c r="HBB43" s="19"/>
      <c r="HBC43" s="19"/>
      <c r="HBD43" s="19"/>
      <c r="HBE43" s="19"/>
      <c r="HBF43" s="19"/>
      <c r="HBG43" s="19"/>
      <c r="HBH43" s="19"/>
      <c r="HBI43" s="19"/>
      <c r="HBJ43" s="19"/>
      <c r="HBK43" s="19"/>
      <c r="HBL43" s="19"/>
      <c r="HBM43" s="19"/>
      <c r="HBN43" s="19"/>
      <c r="HBO43" s="19"/>
      <c r="HBP43" s="19"/>
      <c r="HBQ43" s="19"/>
      <c r="HBR43" s="19"/>
      <c r="HBS43" s="19"/>
      <c r="HBT43" s="19"/>
      <c r="HBU43" s="19"/>
      <c r="HBV43" s="19"/>
      <c r="HBW43" s="19"/>
      <c r="HBX43" s="19"/>
      <c r="HBY43" s="19"/>
      <c r="HBZ43" s="19"/>
      <c r="HCA43" s="19"/>
      <c r="HCB43" s="19"/>
      <c r="HCC43" s="19"/>
      <c r="HCD43" s="19"/>
      <c r="HCE43" s="19"/>
      <c r="HCF43" s="19"/>
      <c r="HCG43" s="19"/>
      <c r="HCH43" s="19"/>
      <c r="HCI43" s="19"/>
      <c r="HCJ43" s="19"/>
      <c r="HCK43" s="19"/>
      <c r="HCL43" s="19"/>
      <c r="HCM43" s="19"/>
      <c r="HCN43" s="19"/>
      <c r="HCO43" s="19"/>
      <c r="HCP43" s="19"/>
      <c r="HCQ43" s="19"/>
      <c r="HCR43" s="19"/>
      <c r="HCS43" s="19"/>
      <c r="HCT43" s="19"/>
      <c r="HCU43" s="19"/>
      <c r="HCV43" s="19"/>
      <c r="HCW43" s="19"/>
      <c r="HCX43" s="19"/>
      <c r="HCY43" s="19"/>
      <c r="HCZ43" s="19"/>
      <c r="HDA43" s="19"/>
      <c r="HDB43" s="19"/>
      <c r="HDC43" s="19"/>
      <c r="HDD43" s="19"/>
      <c r="HDE43" s="19"/>
      <c r="HDF43" s="19"/>
      <c r="HDG43" s="19"/>
      <c r="HDH43" s="19"/>
      <c r="HDI43" s="19"/>
      <c r="HDJ43" s="19"/>
      <c r="HDK43" s="19"/>
      <c r="HDL43" s="19"/>
      <c r="HDM43" s="19"/>
      <c r="HDN43" s="19"/>
      <c r="HDO43" s="19"/>
      <c r="HDP43" s="19"/>
      <c r="HDQ43" s="19"/>
      <c r="HDR43" s="19"/>
      <c r="HDS43" s="19"/>
      <c r="HDT43" s="19"/>
      <c r="HDU43" s="19"/>
      <c r="HDV43" s="19"/>
      <c r="HDW43" s="19"/>
      <c r="HDX43" s="19"/>
      <c r="HDY43" s="19"/>
      <c r="HDZ43" s="19"/>
      <c r="HEA43" s="19"/>
      <c r="HEB43" s="19"/>
      <c r="HEC43" s="19"/>
      <c r="HED43" s="19"/>
      <c r="HEE43" s="19"/>
      <c r="HEF43" s="19"/>
      <c r="HEG43" s="19"/>
      <c r="HEH43" s="19"/>
      <c r="HEI43" s="19"/>
      <c r="HEJ43" s="19"/>
      <c r="HEK43" s="19"/>
      <c r="HEL43" s="19"/>
      <c r="HEM43" s="19"/>
      <c r="HEN43" s="19"/>
      <c r="HEO43" s="19"/>
      <c r="HEP43" s="19"/>
      <c r="HEQ43" s="19"/>
      <c r="HER43" s="19"/>
      <c r="HES43" s="19"/>
      <c r="HET43" s="19"/>
      <c r="HEU43" s="19"/>
      <c r="HEV43" s="19"/>
      <c r="HEW43" s="19"/>
      <c r="HEX43" s="19"/>
      <c r="HEY43" s="19"/>
      <c r="HEZ43" s="19"/>
      <c r="HFA43" s="19"/>
      <c r="HFB43" s="19"/>
      <c r="HFC43" s="19"/>
      <c r="HFD43" s="19"/>
      <c r="HFE43" s="19"/>
      <c r="HFF43" s="19"/>
      <c r="HFG43" s="19"/>
      <c r="HFH43" s="19"/>
      <c r="HFI43" s="19"/>
      <c r="HFJ43" s="19"/>
      <c r="HFK43" s="19"/>
      <c r="HFL43" s="19"/>
      <c r="HFM43" s="19"/>
      <c r="HFN43" s="19"/>
      <c r="HFO43" s="19"/>
      <c r="HFP43" s="19"/>
      <c r="HFQ43" s="19"/>
      <c r="HFR43" s="19"/>
      <c r="HFS43" s="19"/>
      <c r="HFT43" s="19"/>
      <c r="HFU43" s="19"/>
      <c r="HFV43" s="19"/>
      <c r="HFW43" s="19"/>
      <c r="HFX43" s="19"/>
      <c r="HFY43" s="19"/>
      <c r="HFZ43" s="19"/>
      <c r="HGA43" s="19"/>
      <c r="HGB43" s="19"/>
      <c r="HGC43" s="19"/>
      <c r="HGD43" s="19"/>
      <c r="HGE43" s="19"/>
      <c r="HGF43" s="19"/>
      <c r="HGG43" s="19"/>
      <c r="HGH43" s="19"/>
      <c r="HGI43" s="19"/>
      <c r="HGJ43" s="19"/>
      <c r="HGK43" s="19"/>
      <c r="HGL43" s="19"/>
      <c r="HGM43" s="19"/>
      <c r="HGN43" s="19"/>
      <c r="HGO43" s="19"/>
      <c r="HGP43" s="19"/>
      <c r="HGQ43" s="19"/>
      <c r="HGR43" s="19"/>
      <c r="HGS43" s="19"/>
      <c r="HGT43" s="19"/>
      <c r="HGU43" s="19"/>
      <c r="HGV43" s="19"/>
      <c r="HGW43" s="19"/>
      <c r="HGX43" s="19"/>
      <c r="HGY43" s="19"/>
      <c r="HGZ43" s="19"/>
      <c r="HHA43" s="19"/>
      <c r="HHB43" s="19"/>
      <c r="HHC43" s="19"/>
      <c r="HHD43" s="19"/>
      <c r="HHE43" s="19"/>
      <c r="HHF43" s="19"/>
      <c r="HHG43" s="19"/>
      <c r="HHH43" s="19"/>
      <c r="HHI43" s="19"/>
      <c r="HHJ43" s="19"/>
      <c r="HHK43" s="19"/>
      <c r="HHL43" s="19"/>
      <c r="HHM43" s="19"/>
      <c r="HHN43" s="19"/>
      <c r="HHO43" s="19"/>
      <c r="HHP43" s="19"/>
      <c r="HHQ43" s="19"/>
      <c r="HHR43" s="19"/>
      <c r="HHS43" s="19"/>
      <c r="HHT43" s="19"/>
      <c r="HHU43" s="19"/>
      <c r="HHV43" s="19"/>
      <c r="HHW43" s="19"/>
      <c r="HHX43" s="19"/>
      <c r="HHY43" s="19"/>
      <c r="HHZ43" s="19"/>
      <c r="HIA43" s="19"/>
      <c r="HIB43" s="19"/>
      <c r="HIC43" s="19"/>
      <c r="HID43" s="19"/>
      <c r="HIE43" s="19"/>
      <c r="HIF43" s="19"/>
      <c r="HIG43" s="19"/>
      <c r="HIH43" s="19"/>
      <c r="HII43" s="19"/>
      <c r="HIJ43" s="19"/>
      <c r="HIK43" s="19"/>
      <c r="HIL43" s="19"/>
      <c r="HIM43" s="19"/>
      <c r="HIN43" s="19"/>
      <c r="HIO43" s="19"/>
      <c r="HIP43" s="19"/>
      <c r="HIQ43" s="19"/>
      <c r="HIR43" s="19"/>
      <c r="HIS43" s="19"/>
      <c r="HIT43" s="19"/>
      <c r="HIU43" s="19"/>
      <c r="HIV43" s="19"/>
      <c r="HIW43" s="19"/>
      <c r="HIX43" s="19"/>
      <c r="HIY43" s="19"/>
      <c r="HIZ43" s="19"/>
      <c r="HJA43" s="19"/>
      <c r="HJB43" s="19"/>
      <c r="HJC43" s="19"/>
      <c r="HJD43" s="19"/>
      <c r="HJE43" s="19"/>
      <c r="HJF43" s="19"/>
      <c r="HJG43" s="19"/>
      <c r="HJH43" s="19"/>
      <c r="HJI43" s="19"/>
      <c r="HJJ43" s="19"/>
      <c r="HJK43" s="19"/>
      <c r="HJL43" s="19"/>
      <c r="HJM43" s="19"/>
      <c r="HJN43" s="19"/>
      <c r="HJO43" s="19"/>
      <c r="HJP43" s="19"/>
      <c r="HJQ43" s="19"/>
      <c r="HJR43" s="19"/>
      <c r="HJS43" s="19"/>
      <c r="HJT43" s="19"/>
      <c r="HJU43" s="19"/>
      <c r="HJV43" s="19"/>
      <c r="HJW43" s="19"/>
      <c r="HJX43" s="19"/>
      <c r="HJY43" s="19"/>
      <c r="HJZ43" s="19"/>
      <c r="HKA43" s="19"/>
      <c r="HKB43" s="19"/>
      <c r="HKC43" s="19"/>
      <c r="HKD43" s="19"/>
      <c r="HKE43" s="19"/>
      <c r="HKF43" s="19"/>
      <c r="HKG43" s="19"/>
      <c r="HKH43" s="19"/>
      <c r="HKI43" s="19"/>
      <c r="HKJ43" s="19"/>
      <c r="HKK43" s="19"/>
      <c r="HKL43" s="19"/>
      <c r="HKM43" s="19"/>
      <c r="HKN43" s="19"/>
      <c r="HKO43" s="19"/>
      <c r="HKP43" s="19"/>
      <c r="HKQ43" s="19"/>
      <c r="HKR43" s="19"/>
      <c r="HKS43" s="19"/>
      <c r="HKT43" s="19"/>
      <c r="HKU43" s="19"/>
      <c r="HKV43" s="19"/>
      <c r="HKW43" s="19"/>
      <c r="HKX43" s="19"/>
      <c r="HKY43" s="19"/>
      <c r="HKZ43" s="19"/>
      <c r="HLA43" s="19"/>
      <c r="HLB43" s="19"/>
      <c r="HLC43" s="19"/>
      <c r="HLD43" s="19"/>
      <c r="HLE43" s="19"/>
      <c r="HLF43" s="19"/>
      <c r="HLG43" s="19"/>
      <c r="HLH43" s="19"/>
      <c r="HLI43" s="19"/>
      <c r="HLJ43" s="19"/>
      <c r="HLK43" s="19"/>
      <c r="HLL43" s="19"/>
      <c r="HLM43" s="19"/>
      <c r="HLN43" s="19"/>
      <c r="HLO43" s="19"/>
      <c r="HLP43" s="19"/>
      <c r="HLQ43" s="19"/>
      <c r="HLR43" s="19"/>
      <c r="HLS43" s="19"/>
      <c r="HLT43" s="19"/>
      <c r="HLU43" s="19"/>
      <c r="HLV43" s="19"/>
      <c r="HLW43" s="19"/>
      <c r="HLX43" s="19"/>
      <c r="HLY43" s="19"/>
      <c r="HLZ43" s="19"/>
      <c r="HMA43" s="19"/>
      <c r="HMB43" s="19"/>
      <c r="HMC43" s="19"/>
      <c r="HMD43" s="19"/>
      <c r="HME43" s="19"/>
      <c r="HMF43" s="19"/>
      <c r="HMG43" s="19"/>
      <c r="HMH43" s="19"/>
      <c r="HMI43" s="19"/>
      <c r="HMJ43" s="19"/>
      <c r="HMK43" s="19"/>
      <c r="HML43" s="19"/>
      <c r="HMM43" s="19"/>
      <c r="HMN43" s="19"/>
      <c r="HMO43" s="19"/>
      <c r="HMP43" s="19"/>
      <c r="HMQ43" s="19"/>
      <c r="HMR43" s="19"/>
      <c r="HMS43" s="19"/>
      <c r="HMT43" s="19"/>
      <c r="HMU43" s="19"/>
      <c r="HMV43" s="19"/>
      <c r="HMW43" s="19"/>
      <c r="HMX43" s="19"/>
      <c r="HMY43" s="19"/>
      <c r="HMZ43" s="19"/>
      <c r="HNA43" s="19"/>
      <c r="HNB43" s="19"/>
      <c r="HNC43" s="19"/>
      <c r="HND43" s="19"/>
      <c r="HNE43" s="19"/>
      <c r="HNF43" s="19"/>
      <c r="HNG43" s="19"/>
      <c r="HNH43" s="19"/>
      <c r="HNI43" s="19"/>
      <c r="HNJ43" s="19"/>
      <c r="HNK43" s="19"/>
      <c r="HNL43" s="19"/>
      <c r="HNM43" s="19"/>
      <c r="HNN43" s="19"/>
      <c r="HNO43" s="19"/>
      <c r="HNP43" s="19"/>
      <c r="HNQ43" s="19"/>
      <c r="HNR43" s="19"/>
      <c r="HNS43" s="19"/>
      <c r="HNT43" s="19"/>
      <c r="HNU43" s="19"/>
      <c r="HNV43" s="19"/>
      <c r="HNW43" s="19"/>
      <c r="HNX43" s="19"/>
      <c r="HNY43" s="19"/>
      <c r="HNZ43" s="19"/>
      <c r="HOA43" s="19"/>
      <c r="HOB43" s="19"/>
      <c r="HOC43" s="19"/>
      <c r="HOD43" s="19"/>
      <c r="HOE43" s="19"/>
      <c r="HOF43" s="19"/>
      <c r="HOG43" s="19"/>
      <c r="HOH43" s="19"/>
      <c r="HOI43" s="19"/>
      <c r="HOJ43" s="19"/>
      <c r="HOK43" s="19"/>
      <c r="HOL43" s="19"/>
      <c r="HOM43" s="19"/>
      <c r="HON43" s="19"/>
      <c r="HOO43" s="19"/>
      <c r="HOP43" s="19"/>
      <c r="HOQ43" s="19"/>
      <c r="HOR43" s="19"/>
      <c r="HOS43" s="19"/>
      <c r="HOT43" s="19"/>
      <c r="HOU43" s="19"/>
      <c r="HOV43" s="19"/>
      <c r="HOW43" s="19"/>
      <c r="HOX43" s="19"/>
      <c r="HOY43" s="19"/>
      <c r="HOZ43" s="19"/>
      <c r="HPA43" s="19"/>
      <c r="HPB43" s="19"/>
      <c r="HPC43" s="19"/>
      <c r="HPD43" s="19"/>
      <c r="HPE43" s="19"/>
      <c r="HPF43" s="19"/>
      <c r="HPG43" s="19"/>
      <c r="HPH43" s="19"/>
      <c r="HPI43" s="19"/>
      <c r="HPJ43" s="19"/>
      <c r="HPK43" s="19"/>
      <c r="HPL43" s="19"/>
      <c r="HPM43" s="19"/>
      <c r="HPN43" s="19"/>
      <c r="HPO43" s="19"/>
      <c r="HPP43" s="19"/>
      <c r="HPQ43" s="19"/>
      <c r="HPR43" s="19"/>
      <c r="HPS43" s="19"/>
      <c r="HPT43" s="19"/>
      <c r="HPU43" s="19"/>
      <c r="HPV43" s="19"/>
      <c r="HPW43" s="19"/>
      <c r="HPX43" s="19"/>
      <c r="HPY43" s="19"/>
      <c r="HPZ43" s="19"/>
      <c r="HQA43" s="19"/>
      <c r="HQB43" s="19"/>
      <c r="HQC43" s="19"/>
      <c r="HQD43" s="19"/>
      <c r="HQE43" s="19"/>
      <c r="HQF43" s="19"/>
      <c r="HQG43" s="19"/>
      <c r="HQH43" s="19"/>
      <c r="HQI43" s="19"/>
      <c r="HQJ43" s="19"/>
      <c r="HQK43" s="19"/>
      <c r="HQL43" s="19"/>
      <c r="HQM43" s="19"/>
      <c r="HQN43" s="19"/>
      <c r="HQO43" s="19"/>
      <c r="HQP43" s="19"/>
      <c r="HQQ43" s="19"/>
      <c r="HQR43" s="19"/>
      <c r="HQS43" s="19"/>
      <c r="HQT43" s="19"/>
      <c r="HQU43" s="19"/>
      <c r="HQV43" s="19"/>
      <c r="HQW43" s="19"/>
      <c r="HQX43" s="19"/>
      <c r="HQY43" s="19"/>
      <c r="HQZ43" s="19"/>
      <c r="HRA43" s="19"/>
      <c r="HRB43" s="19"/>
      <c r="HRC43" s="19"/>
      <c r="HRD43" s="19"/>
      <c r="HRE43" s="19"/>
      <c r="HRF43" s="19"/>
      <c r="HRG43" s="19"/>
      <c r="HRH43" s="19"/>
      <c r="HRI43" s="19"/>
      <c r="HRJ43" s="19"/>
      <c r="HRK43" s="19"/>
      <c r="HRL43" s="19"/>
      <c r="HRM43" s="19"/>
      <c r="HRN43" s="19"/>
      <c r="HRO43" s="19"/>
      <c r="HRP43" s="19"/>
      <c r="HRQ43" s="19"/>
      <c r="HRR43" s="19"/>
      <c r="HRS43" s="19"/>
      <c r="HRT43" s="19"/>
      <c r="HRU43" s="19"/>
      <c r="HRV43" s="19"/>
      <c r="HRW43" s="19"/>
      <c r="HRX43" s="19"/>
      <c r="HRY43" s="19"/>
      <c r="HRZ43" s="19"/>
      <c r="HSA43" s="19"/>
      <c r="HSB43" s="19"/>
      <c r="HSC43" s="19"/>
      <c r="HSD43" s="19"/>
      <c r="HSE43" s="19"/>
      <c r="HSF43" s="19"/>
      <c r="HSG43" s="19"/>
      <c r="HSH43" s="19"/>
      <c r="HSI43" s="19"/>
      <c r="HSJ43" s="19"/>
      <c r="HSK43" s="19"/>
      <c r="HSL43" s="19"/>
      <c r="HSM43" s="19"/>
      <c r="HSN43" s="19"/>
      <c r="HSO43" s="19"/>
      <c r="HSP43" s="19"/>
      <c r="HSQ43" s="19"/>
      <c r="HSR43" s="19"/>
      <c r="HSS43" s="19"/>
      <c r="HST43" s="19"/>
      <c r="HSU43" s="19"/>
      <c r="HSV43" s="19"/>
      <c r="HSW43" s="19"/>
      <c r="HSX43" s="19"/>
      <c r="HSY43" s="19"/>
      <c r="HSZ43" s="19"/>
      <c r="HTA43" s="19"/>
      <c r="HTB43" s="19"/>
      <c r="HTC43" s="19"/>
      <c r="HTD43" s="19"/>
      <c r="HTE43" s="19"/>
      <c r="HTF43" s="19"/>
      <c r="HTG43" s="19"/>
      <c r="HTH43" s="19"/>
      <c r="HTI43" s="19"/>
      <c r="HTJ43" s="19"/>
      <c r="HTK43" s="19"/>
      <c r="HTL43" s="19"/>
      <c r="HTM43" s="19"/>
      <c r="HTN43" s="19"/>
      <c r="HTO43" s="19"/>
      <c r="HTP43" s="19"/>
      <c r="HTQ43" s="19"/>
      <c r="HTR43" s="19"/>
      <c r="HTS43" s="19"/>
      <c r="HTT43" s="19"/>
      <c r="HTU43" s="19"/>
      <c r="HTV43" s="19"/>
      <c r="HTW43" s="19"/>
      <c r="HTX43" s="19"/>
      <c r="HTY43" s="19"/>
      <c r="HTZ43" s="19"/>
      <c r="HUA43" s="19"/>
      <c r="HUB43" s="19"/>
      <c r="HUC43" s="19"/>
      <c r="HUD43" s="19"/>
      <c r="HUE43" s="19"/>
      <c r="HUF43" s="19"/>
      <c r="HUG43" s="19"/>
      <c r="HUH43" s="19"/>
      <c r="HUI43" s="19"/>
      <c r="HUJ43" s="19"/>
      <c r="HUK43" s="19"/>
      <c r="HUL43" s="19"/>
      <c r="HUM43" s="19"/>
      <c r="HUN43" s="19"/>
      <c r="HUO43" s="19"/>
      <c r="HUP43" s="19"/>
      <c r="HUQ43" s="19"/>
      <c r="HUR43" s="19"/>
      <c r="HUS43" s="19"/>
      <c r="HUT43" s="19"/>
      <c r="HUU43" s="19"/>
      <c r="HUV43" s="19"/>
      <c r="HUW43" s="19"/>
      <c r="HUX43" s="19"/>
      <c r="HUY43" s="19"/>
      <c r="HUZ43" s="19"/>
      <c r="HVA43" s="19"/>
      <c r="HVB43" s="19"/>
      <c r="HVC43" s="19"/>
      <c r="HVD43" s="19"/>
      <c r="HVE43" s="19"/>
      <c r="HVF43" s="19"/>
      <c r="HVG43" s="19"/>
      <c r="HVH43" s="19"/>
      <c r="HVI43" s="19"/>
      <c r="HVJ43" s="19"/>
      <c r="HVK43" s="19"/>
      <c r="HVL43" s="19"/>
      <c r="HVM43" s="19"/>
      <c r="HVN43" s="19"/>
      <c r="HVO43" s="19"/>
      <c r="HVP43" s="19"/>
      <c r="HVQ43" s="19"/>
      <c r="HVR43" s="19"/>
      <c r="HVS43" s="19"/>
      <c r="HVT43" s="19"/>
      <c r="HVU43" s="19"/>
      <c r="HVV43" s="19"/>
      <c r="HVW43" s="19"/>
      <c r="HVX43" s="19"/>
      <c r="HVY43" s="19"/>
      <c r="HVZ43" s="19"/>
      <c r="HWA43" s="19"/>
      <c r="HWB43" s="19"/>
      <c r="HWC43" s="19"/>
      <c r="HWD43" s="19"/>
      <c r="HWE43" s="19"/>
      <c r="HWF43" s="19"/>
      <c r="HWG43" s="19"/>
      <c r="HWH43" s="19"/>
      <c r="HWI43" s="19"/>
      <c r="HWJ43" s="19"/>
      <c r="HWK43" s="19"/>
      <c r="HWL43" s="19"/>
      <c r="HWM43" s="19"/>
      <c r="HWN43" s="19"/>
      <c r="HWO43" s="19"/>
      <c r="HWP43" s="19"/>
      <c r="HWQ43" s="19"/>
      <c r="HWR43" s="19"/>
      <c r="HWS43" s="19"/>
      <c r="HWT43" s="19"/>
      <c r="HWU43" s="19"/>
      <c r="HWV43" s="19"/>
      <c r="HWW43" s="19"/>
      <c r="HWX43" s="19"/>
      <c r="HWY43" s="19"/>
      <c r="HWZ43" s="19"/>
      <c r="HXA43" s="19"/>
      <c r="HXB43" s="19"/>
      <c r="HXC43" s="19"/>
      <c r="HXD43" s="19"/>
      <c r="HXE43" s="19"/>
      <c r="HXF43" s="19"/>
      <c r="HXG43" s="19"/>
      <c r="HXH43" s="19"/>
      <c r="HXI43" s="19"/>
      <c r="HXJ43" s="19"/>
      <c r="HXK43" s="19"/>
      <c r="HXL43" s="19"/>
      <c r="HXM43" s="19"/>
      <c r="HXN43" s="19"/>
      <c r="HXO43" s="19"/>
      <c r="HXP43" s="19"/>
      <c r="HXQ43" s="19"/>
      <c r="HXR43" s="19"/>
      <c r="HXS43" s="19"/>
      <c r="HXT43" s="19"/>
      <c r="HXU43" s="19"/>
      <c r="HXV43" s="19"/>
      <c r="HXW43" s="19"/>
      <c r="HXX43" s="19"/>
      <c r="HXY43" s="19"/>
      <c r="HXZ43" s="19"/>
      <c r="HYA43" s="19"/>
      <c r="HYB43" s="19"/>
      <c r="HYC43" s="19"/>
      <c r="HYD43" s="19"/>
      <c r="HYE43" s="19"/>
      <c r="HYF43" s="19"/>
      <c r="HYG43" s="19"/>
      <c r="HYH43" s="19"/>
      <c r="HYI43" s="19"/>
      <c r="HYJ43" s="19"/>
      <c r="HYK43" s="19"/>
      <c r="HYL43" s="19"/>
      <c r="HYM43" s="19"/>
      <c r="HYN43" s="19"/>
      <c r="HYO43" s="19"/>
      <c r="HYP43" s="19"/>
      <c r="HYQ43" s="19"/>
      <c r="HYR43" s="19"/>
      <c r="HYS43" s="19"/>
      <c r="HYT43" s="19"/>
      <c r="HYU43" s="19"/>
      <c r="HYV43" s="19"/>
      <c r="HYW43" s="19"/>
      <c r="HYX43" s="19"/>
      <c r="HYY43" s="19"/>
      <c r="HYZ43" s="19"/>
      <c r="HZA43" s="19"/>
      <c r="HZB43" s="19"/>
      <c r="HZC43" s="19"/>
      <c r="HZD43" s="19"/>
      <c r="HZE43" s="19"/>
      <c r="HZF43" s="19"/>
      <c r="HZG43" s="19"/>
      <c r="HZH43" s="19"/>
      <c r="HZI43" s="19"/>
      <c r="HZJ43" s="19"/>
      <c r="HZK43" s="19"/>
      <c r="HZL43" s="19"/>
      <c r="HZM43" s="19"/>
      <c r="HZN43" s="19"/>
      <c r="HZO43" s="19"/>
      <c r="HZP43" s="19"/>
      <c r="HZQ43" s="19"/>
      <c r="HZR43" s="19"/>
      <c r="HZS43" s="19"/>
      <c r="HZT43" s="19"/>
      <c r="HZU43" s="19"/>
      <c r="HZV43" s="19"/>
      <c r="HZW43" s="19"/>
      <c r="HZX43" s="19"/>
      <c r="HZY43" s="19"/>
      <c r="HZZ43" s="19"/>
      <c r="IAA43" s="19"/>
      <c r="IAB43" s="19"/>
      <c r="IAC43" s="19"/>
      <c r="IAD43" s="19"/>
      <c r="IAE43" s="19"/>
      <c r="IAF43" s="19"/>
      <c r="IAG43" s="19"/>
      <c r="IAH43" s="19"/>
      <c r="IAI43" s="19"/>
      <c r="IAJ43" s="19"/>
      <c r="IAK43" s="19"/>
      <c r="IAL43" s="19"/>
      <c r="IAM43" s="19"/>
      <c r="IAN43" s="19"/>
      <c r="IAO43" s="19"/>
      <c r="IAP43" s="19"/>
      <c r="IAQ43" s="19"/>
      <c r="IAR43" s="19"/>
      <c r="IAS43" s="19"/>
      <c r="IAT43" s="19"/>
      <c r="IAU43" s="19"/>
      <c r="IAV43" s="19"/>
      <c r="IAW43" s="19"/>
      <c r="IAX43" s="19"/>
      <c r="IAY43" s="19"/>
      <c r="IAZ43" s="19"/>
      <c r="IBA43" s="19"/>
      <c r="IBB43" s="19"/>
      <c r="IBC43" s="19"/>
      <c r="IBD43" s="19"/>
      <c r="IBE43" s="19"/>
      <c r="IBF43" s="19"/>
      <c r="IBG43" s="19"/>
      <c r="IBH43" s="19"/>
      <c r="IBI43" s="19"/>
      <c r="IBJ43" s="19"/>
      <c r="IBK43" s="19"/>
      <c r="IBL43" s="19"/>
      <c r="IBM43" s="19"/>
      <c r="IBN43" s="19"/>
      <c r="IBO43" s="19"/>
      <c r="IBP43" s="19"/>
      <c r="IBQ43" s="19"/>
      <c r="IBR43" s="19"/>
      <c r="IBS43" s="19"/>
      <c r="IBT43" s="19"/>
      <c r="IBU43" s="19"/>
      <c r="IBV43" s="19"/>
      <c r="IBW43" s="19"/>
      <c r="IBX43" s="19"/>
      <c r="IBY43" s="19"/>
      <c r="IBZ43" s="19"/>
      <c r="ICA43" s="19"/>
      <c r="ICB43" s="19"/>
      <c r="ICC43" s="19"/>
      <c r="ICD43" s="19"/>
      <c r="ICE43" s="19"/>
      <c r="ICF43" s="19"/>
      <c r="ICG43" s="19"/>
      <c r="ICH43" s="19"/>
      <c r="ICI43" s="19"/>
      <c r="ICJ43" s="19"/>
      <c r="ICK43" s="19"/>
      <c r="ICL43" s="19"/>
      <c r="ICM43" s="19"/>
      <c r="ICN43" s="19"/>
      <c r="ICO43" s="19"/>
      <c r="ICP43" s="19"/>
      <c r="ICQ43" s="19"/>
      <c r="ICR43" s="19"/>
      <c r="ICS43" s="19"/>
      <c r="ICT43" s="19"/>
      <c r="ICU43" s="19"/>
      <c r="ICV43" s="19"/>
      <c r="ICW43" s="19"/>
      <c r="ICX43" s="19"/>
      <c r="ICY43" s="19"/>
      <c r="ICZ43" s="19"/>
      <c r="IDA43" s="19"/>
      <c r="IDB43" s="19"/>
      <c r="IDC43" s="19"/>
      <c r="IDD43" s="19"/>
      <c r="IDE43" s="19"/>
      <c r="IDF43" s="19"/>
      <c r="IDG43" s="19"/>
      <c r="IDH43" s="19"/>
      <c r="IDI43" s="19"/>
      <c r="IDJ43" s="19"/>
      <c r="IDK43" s="19"/>
      <c r="IDL43" s="19"/>
      <c r="IDM43" s="19"/>
      <c r="IDN43" s="19"/>
      <c r="IDO43" s="19"/>
      <c r="IDP43" s="19"/>
      <c r="IDQ43" s="19"/>
      <c r="IDR43" s="19"/>
      <c r="IDS43" s="19"/>
      <c r="IDT43" s="19"/>
      <c r="IDU43" s="19"/>
      <c r="IDV43" s="19"/>
      <c r="IDW43" s="19"/>
      <c r="IDX43" s="19"/>
      <c r="IDY43" s="19"/>
      <c r="IDZ43" s="19"/>
      <c r="IEA43" s="19"/>
      <c r="IEB43" s="19"/>
      <c r="IEC43" s="19"/>
      <c r="IED43" s="19"/>
      <c r="IEE43" s="19"/>
      <c r="IEF43" s="19"/>
      <c r="IEG43" s="19"/>
      <c r="IEH43" s="19"/>
      <c r="IEI43" s="19"/>
      <c r="IEJ43" s="19"/>
      <c r="IEK43" s="19"/>
      <c r="IEL43" s="19"/>
      <c r="IEM43" s="19"/>
      <c r="IEN43" s="19"/>
      <c r="IEO43" s="19"/>
      <c r="IEP43" s="19"/>
      <c r="IEQ43" s="19"/>
      <c r="IER43" s="19"/>
      <c r="IES43" s="19"/>
      <c r="IET43" s="19"/>
      <c r="IEU43" s="19"/>
      <c r="IEV43" s="19"/>
      <c r="IEW43" s="19"/>
      <c r="IEX43" s="19"/>
      <c r="IEY43" s="19"/>
      <c r="IEZ43" s="19"/>
      <c r="IFA43" s="19"/>
      <c r="IFB43" s="19"/>
      <c r="IFC43" s="19"/>
      <c r="IFD43" s="19"/>
      <c r="IFE43" s="19"/>
      <c r="IFF43" s="19"/>
      <c r="IFG43" s="19"/>
      <c r="IFH43" s="19"/>
      <c r="IFI43" s="19"/>
      <c r="IFJ43" s="19"/>
      <c r="IFK43" s="19"/>
      <c r="IFL43" s="19"/>
      <c r="IFM43" s="19"/>
      <c r="IFN43" s="19"/>
      <c r="IFO43" s="19"/>
      <c r="IFP43" s="19"/>
      <c r="IFQ43" s="19"/>
      <c r="IFR43" s="19"/>
      <c r="IFS43" s="19"/>
      <c r="IFT43" s="19"/>
      <c r="IFU43" s="19"/>
      <c r="IFV43" s="19"/>
      <c r="IFW43" s="19"/>
      <c r="IFX43" s="19"/>
      <c r="IFY43" s="19"/>
      <c r="IFZ43" s="19"/>
      <c r="IGA43" s="19"/>
      <c r="IGB43" s="19"/>
      <c r="IGC43" s="19"/>
      <c r="IGD43" s="19"/>
      <c r="IGE43" s="19"/>
      <c r="IGF43" s="19"/>
      <c r="IGG43" s="19"/>
      <c r="IGH43" s="19"/>
      <c r="IGI43" s="19"/>
      <c r="IGJ43" s="19"/>
      <c r="IGK43" s="19"/>
      <c r="IGL43" s="19"/>
      <c r="IGM43" s="19"/>
      <c r="IGN43" s="19"/>
      <c r="IGO43" s="19"/>
      <c r="IGP43" s="19"/>
      <c r="IGQ43" s="19"/>
      <c r="IGR43" s="19"/>
      <c r="IGS43" s="19"/>
      <c r="IGT43" s="19"/>
      <c r="IGU43" s="19"/>
      <c r="IGV43" s="19"/>
      <c r="IGW43" s="19"/>
      <c r="IGX43" s="19"/>
      <c r="IGY43" s="19"/>
      <c r="IGZ43" s="19"/>
      <c r="IHA43" s="19"/>
      <c r="IHB43" s="19"/>
      <c r="IHC43" s="19"/>
      <c r="IHD43" s="19"/>
      <c r="IHE43" s="19"/>
      <c r="IHF43" s="19"/>
      <c r="IHG43" s="19"/>
      <c r="IHH43" s="19"/>
      <c r="IHI43" s="19"/>
      <c r="IHJ43" s="19"/>
      <c r="IHK43" s="19"/>
      <c r="IHL43" s="19"/>
      <c r="IHM43" s="19"/>
      <c r="IHN43" s="19"/>
      <c r="IHO43" s="19"/>
      <c r="IHP43" s="19"/>
      <c r="IHQ43" s="19"/>
      <c r="IHR43" s="19"/>
      <c r="IHS43" s="19"/>
      <c r="IHT43" s="19"/>
      <c r="IHU43" s="19"/>
      <c r="IHV43" s="19"/>
      <c r="IHW43" s="19"/>
      <c r="IHX43" s="19"/>
      <c r="IHY43" s="19"/>
      <c r="IHZ43" s="19"/>
      <c r="IIA43" s="19"/>
      <c r="IIB43" s="19"/>
      <c r="IIC43" s="19"/>
      <c r="IID43" s="19"/>
      <c r="IIE43" s="19"/>
      <c r="IIF43" s="19"/>
      <c r="IIG43" s="19"/>
      <c r="IIH43" s="19"/>
      <c r="III43" s="19"/>
      <c r="IIJ43" s="19"/>
      <c r="IIK43" s="19"/>
      <c r="IIL43" s="19"/>
      <c r="IIM43" s="19"/>
      <c r="IIN43" s="19"/>
      <c r="IIO43" s="19"/>
      <c r="IIP43" s="19"/>
      <c r="IIQ43" s="19"/>
      <c r="IIR43" s="19"/>
      <c r="IIS43" s="19"/>
      <c r="IIT43" s="19"/>
      <c r="IIU43" s="19"/>
      <c r="IIV43" s="19"/>
      <c r="IIW43" s="19"/>
      <c r="IIX43" s="19"/>
      <c r="IIY43" s="19"/>
      <c r="IIZ43" s="19"/>
      <c r="IJA43" s="19"/>
      <c r="IJB43" s="19"/>
      <c r="IJC43" s="19"/>
      <c r="IJD43" s="19"/>
      <c r="IJE43" s="19"/>
      <c r="IJF43" s="19"/>
      <c r="IJG43" s="19"/>
      <c r="IJH43" s="19"/>
      <c r="IJI43" s="19"/>
      <c r="IJJ43" s="19"/>
      <c r="IJK43" s="19"/>
      <c r="IJL43" s="19"/>
      <c r="IJM43" s="19"/>
      <c r="IJN43" s="19"/>
      <c r="IJO43" s="19"/>
      <c r="IJP43" s="19"/>
      <c r="IJQ43" s="19"/>
      <c r="IJR43" s="19"/>
      <c r="IJS43" s="19"/>
      <c r="IJT43" s="19"/>
      <c r="IJU43" s="19"/>
      <c r="IJV43" s="19"/>
      <c r="IJW43" s="19"/>
      <c r="IJX43" s="19"/>
      <c r="IJY43" s="19"/>
      <c r="IJZ43" s="19"/>
      <c r="IKA43" s="19"/>
      <c r="IKB43" s="19"/>
      <c r="IKC43" s="19"/>
      <c r="IKD43" s="19"/>
      <c r="IKE43" s="19"/>
      <c r="IKF43" s="19"/>
      <c r="IKG43" s="19"/>
      <c r="IKH43" s="19"/>
      <c r="IKI43" s="19"/>
      <c r="IKJ43" s="19"/>
      <c r="IKK43" s="19"/>
      <c r="IKL43" s="19"/>
      <c r="IKM43" s="19"/>
      <c r="IKN43" s="19"/>
      <c r="IKO43" s="19"/>
      <c r="IKP43" s="19"/>
      <c r="IKQ43" s="19"/>
      <c r="IKR43" s="19"/>
      <c r="IKS43" s="19"/>
      <c r="IKT43" s="19"/>
      <c r="IKU43" s="19"/>
      <c r="IKV43" s="19"/>
      <c r="IKW43" s="19"/>
      <c r="IKX43" s="19"/>
      <c r="IKY43" s="19"/>
      <c r="IKZ43" s="19"/>
      <c r="ILA43" s="19"/>
      <c r="ILB43" s="19"/>
      <c r="ILC43" s="19"/>
      <c r="ILD43" s="19"/>
      <c r="ILE43" s="19"/>
      <c r="ILF43" s="19"/>
      <c r="ILG43" s="19"/>
      <c r="ILH43" s="19"/>
      <c r="ILI43" s="19"/>
      <c r="ILJ43" s="19"/>
      <c r="ILK43" s="19"/>
      <c r="ILL43" s="19"/>
      <c r="ILM43" s="19"/>
      <c r="ILN43" s="19"/>
      <c r="ILO43" s="19"/>
      <c r="ILP43" s="19"/>
      <c r="ILQ43" s="19"/>
      <c r="ILR43" s="19"/>
      <c r="ILS43" s="19"/>
      <c r="ILT43" s="19"/>
      <c r="ILU43" s="19"/>
      <c r="ILV43" s="19"/>
      <c r="ILW43" s="19"/>
      <c r="ILX43" s="19"/>
      <c r="ILY43" s="19"/>
      <c r="ILZ43" s="19"/>
      <c r="IMA43" s="19"/>
      <c r="IMB43" s="19"/>
      <c r="IMC43" s="19"/>
      <c r="IMD43" s="19"/>
      <c r="IME43" s="19"/>
      <c r="IMF43" s="19"/>
      <c r="IMG43" s="19"/>
      <c r="IMH43" s="19"/>
      <c r="IMI43" s="19"/>
      <c r="IMJ43" s="19"/>
      <c r="IMK43" s="19"/>
      <c r="IML43" s="19"/>
      <c r="IMM43" s="19"/>
      <c r="IMN43" s="19"/>
      <c r="IMO43" s="19"/>
      <c r="IMP43" s="19"/>
      <c r="IMQ43" s="19"/>
      <c r="IMR43" s="19"/>
      <c r="IMS43" s="19"/>
      <c r="IMT43" s="19"/>
      <c r="IMU43" s="19"/>
      <c r="IMV43" s="19"/>
      <c r="IMW43" s="19"/>
      <c r="IMX43" s="19"/>
      <c r="IMY43" s="19"/>
      <c r="IMZ43" s="19"/>
      <c r="INA43" s="19"/>
      <c r="INB43" s="19"/>
      <c r="INC43" s="19"/>
      <c r="IND43" s="19"/>
      <c r="INE43" s="19"/>
      <c r="INF43" s="19"/>
      <c r="ING43" s="19"/>
      <c r="INH43" s="19"/>
      <c r="INI43" s="19"/>
      <c r="INJ43" s="19"/>
      <c r="INK43" s="19"/>
      <c r="INL43" s="19"/>
      <c r="INM43" s="19"/>
      <c r="INN43" s="19"/>
      <c r="INO43" s="19"/>
      <c r="INP43" s="19"/>
      <c r="INQ43" s="19"/>
      <c r="INR43" s="19"/>
      <c r="INS43" s="19"/>
      <c r="INT43" s="19"/>
      <c r="INU43" s="19"/>
      <c r="INV43" s="19"/>
      <c r="INW43" s="19"/>
      <c r="INX43" s="19"/>
      <c r="INY43" s="19"/>
      <c r="INZ43" s="19"/>
      <c r="IOA43" s="19"/>
      <c r="IOB43" s="19"/>
      <c r="IOC43" s="19"/>
      <c r="IOD43" s="19"/>
      <c r="IOE43" s="19"/>
      <c r="IOF43" s="19"/>
      <c r="IOG43" s="19"/>
      <c r="IOH43" s="19"/>
      <c r="IOI43" s="19"/>
      <c r="IOJ43" s="19"/>
      <c r="IOK43" s="19"/>
      <c r="IOL43" s="19"/>
      <c r="IOM43" s="19"/>
      <c r="ION43" s="19"/>
      <c r="IOO43" s="19"/>
      <c r="IOP43" s="19"/>
      <c r="IOQ43" s="19"/>
      <c r="IOR43" s="19"/>
      <c r="IOS43" s="19"/>
      <c r="IOT43" s="19"/>
      <c r="IOU43" s="19"/>
      <c r="IOV43" s="19"/>
      <c r="IOW43" s="19"/>
      <c r="IOX43" s="19"/>
      <c r="IOY43" s="19"/>
      <c r="IOZ43" s="19"/>
      <c r="IPA43" s="19"/>
      <c r="IPB43" s="19"/>
      <c r="IPC43" s="19"/>
      <c r="IPD43" s="19"/>
      <c r="IPE43" s="19"/>
      <c r="IPF43" s="19"/>
      <c r="IPG43" s="19"/>
      <c r="IPH43" s="19"/>
      <c r="IPI43" s="19"/>
      <c r="IPJ43" s="19"/>
      <c r="IPK43" s="19"/>
      <c r="IPL43" s="19"/>
      <c r="IPM43" s="19"/>
      <c r="IPN43" s="19"/>
      <c r="IPO43" s="19"/>
      <c r="IPP43" s="19"/>
      <c r="IPQ43" s="19"/>
      <c r="IPR43" s="19"/>
      <c r="IPS43" s="19"/>
      <c r="IPT43" s="19"/>
      <c r="IPU43" s="19"/>
      <c r="IPV43" s="19"/>
      <c r="IPW43" s="19"/>
      <c r="IPX43" s="19"/>
      <c r="IPY43" s="19"/>
      <c r="IPZ43" s="19"/>
      <c r="IQA43" s="19"/>
      <c r="IQB43" s="19"/>
      <c r="IQC43" s="19"/>
      <c r="IQD43" s="19"/>
      <c r="IQE43" s="19"/>
      <c r="IQF43" s="19"/>
      <c r="IQG43" s="19"/>
      <c r="IQH43" s="19"/>
      <c r="IQI43" s="19"/>
      <c r="IQJ43" s="19"/>
      <c r="IQK43" s="19"/>
      <c r="IQL43" s="19"/>
      <c r="IQM43" s="19"/>
      <c r="IQN43" s="19"/>
      <c r="IQO43" s="19"/>
      <c r="IQP43" s="19"/>
      <c r="IQQ43" s="19"/>
      <c r="IQR43" s="19"/>
      <c r="IQS43" s="19"/>
      <c r="IQT43" s="19"/>
      <c r="IQU43" s="19"/>
      <c r="IQV43" s="19"/>
      <c r="IQW43" s="19"/>
      <c r="IQX43" s="19"/>
      <c r="IQY43" s="19"/>
      <c r="IQZ43" s="19"/>
      <c r="IRA43" s="19"/>
      <c r="IRB43" s="19"/>
      <c r="IRC43" s="19"/>
      <c r="IRD43" s="19"/>
      <c r="IRE43" s="19"/>
      <c r="IRF43" s="19"/>
      <c r="IRG43" s="19"/>
      <c r="IRH43" s="19"/>
      <c r="IRI43" s="19"/>
      <c r="IRJ43" s="19"/>
      <c r="IRK43" s="19"/>
      <c r="IRL43" s="19"/>
      <c r="IRM43" s="19"/>
      <c r="IRN43" s="19"/>
      <c r="IRO43" s="19"/>
      <c r="IRP43" s="19"/>
      <c r="IRQ43" s="19"/>
      <c r="IRR43" s="19"/>
      <c r="IRS43" s="19"/>
      <c r="IRT43" s="19"/>
      <c r="IRU43" s="19"/>
      <c r="IRV43" s="19"/>
      <c r="IRW43" s="19"/>
      <c r="IRX43" s="19"/>
      <c r="IRY43" s="19"/>
      <c r="IRZ43" s="19"/>
      <c r="ISA43" s="19"/>
      <c r="ISB43" s="19"/>
      <c r="ISC43" s="19"/>
      <c r="ISD43" s="19"/>
      <c r="ISE43" s="19"/>
      <c r="ISF43" s="19"/>
      <c r="ISG43" s="19"/>
      <c r="ISH43" s="19"/>
      <c r="ISI43" s="19"/>
      <c r="ISJ43" s="19"/>
      <c r="ISK43" s="19"/>
      <c r="ISL43" s="19"/>
      <c r="ISM43" s="19"/>
      <c r="ISN43" s="19"/>
      <c r="ISO43" s="19"/>
      <c r="ISP43" s="19"/>
      <c r="ISQ43" s="19"/>
      <c r="ISR43" s="19"/>
      <c r="ISS43" s="19"/>
      <c r="IST43" s="19"/>
      <c r="ISU43" s="19"/>
      <c r="ISV43" s="19"/>
      <c r="ISW43" s="19"/>
      <c r="ISX43" s="19"/>
      <c r="ISY43" s="19"/>
      <c r="ISZ43" s="19"/>
      <c r="ITA43" s="19"/>
      <c r="ITB43" s="19"/>
      <c r="ITC43" s="19"/>
      <c r="ITD43" s="19"/>
      <c r="ITE43" s="19"/>
      <c r="ITF43" s="19"/>
      <c r="ITG43" s="19"/>
      <c r="ITH43" s="19"/>
      <c r="ITI43" s="19"/>
      <c r="ITJ43" s="19"/>
      <c r="ITK43" s="19"/>
      <c r="ITL43" s="19"/>
      <c r="ITM43" s="19"/>
      <c r="ITN43" s="19"/>
      <c r="ITO43" s="19"/>
      <c r="ITP43" s="19"/>
      <c r="ITQ43" s="19"/>
      <c r="ITR43" s="19"/>
      <c r="ITS43" s="19"/>
      <c r="ITT43" s="19"/>
      <c r="ITU43" s="19"/>
      <c r="ITV43" s="19"/>
      <c r="ITW43" s="19"/>
      <c r="ITX43" s="19"/>
      <c r="ITY43" s="19"/>
      <c r="ITZ43" s="19"/>
      <c r="IUA43" s="19"/>
      <c r="IUB43" s="19"/>
      <c r="IUC43" s="19"/>
      <c r="IUD43" s="19"/>
      <c r="IUE43" s="19"/>
      <c r="IUF43" s="19"/>
      <c r="IUG43" s="19"/>
      <c r="IUH43" s="19"/>
      <c r="IUI43" s="19"/>
      <c r="IUJ43" s="19"/>
      <c r="IUK43" s="19"/>
      <c r="IUL43" s="19"/>
      <c r="IUM43" s="19"/>
      <c r="IUN43" s="19"/>
      <c r="IUO43" s="19"/>
      <c r="IUP43" s="19"/>
      <c r="IUQ43" s="19"/>
      <c r="IUR43" s="19"/>
      <c r="IUS43" s="19"/>
      <c r="IUT43" s="19"/>
      <c r="IUU43" s="19"/>
      <c r="IUV43" s="19"/>
      <c r="IUW43" s="19"/>
      <c r="IUX43" s="19"/>
      <c r="IUY43" s="19"/>
      <c r="IUZ43" s="19"/>
      <c r="IVA43" s="19"/>
      <c r="IVB43" s="19"/>
      <c r="IVC43" s="19"/>
      <c r="IVD43" s="19"/>
      <c r="IVE43" s="19"/>
      <c r="IVF43" s="19"/>
      <c r="IVG43" s="19"/>
      <c r="IVH43" s="19"/>
      <c r="IVI43" s="19"/>
      <c r="IVJ43" s="19"/>
      <c r="IVK43" s="19"/>
      <c r="IVL43" s="19"/>
      <c r="IVM43" s="19"/>
      <c r="IVN43" s="19"/>
      <c r="IVO43" s="19"/>
      <c r="IVP43" s="19"/>
      <c r="IVQ43" s="19"/>
      <c r="IVR43" s="19"/>
      <c r="IVS43" s="19"/>
      <c r="IVT43" s="19"/>
      <c r="IVU43" s="19"/>
      <c r="IVV43" s="19"/>
      <c r="IVW43" s="19"/>
      <c r="IVX43" s="19"/>
      <c r="IVY43" s="19"/>
      <c r="IVZ43" s="19"/>
      <c r="IWA43" s="19"/>
      <c r="IWB43" s="19"/>
      <c r="IWC43" s="19"/>
      <c r="IWD43" s="19"/>
      <c r="IWE43" s="19"/>
      <c r="IWF43" s="19"/>
      <c r="IWG43" s="19"/>
      <c r="IWH43" s="19"/>
      <c r="IWI43" s="19"/>
      <c r="IWJ43" s="19"/>
      <c r="IWK43" s="19"/>
      <c r="IWL43" s="19"/>
      <c r="IWM43" s="19"/>
      <c r="IWN43" s="19"/>
      <c r="IWO43" s="19"/>
      <c r="IWP43" s="19"/>
      <c r="IWQ43" s="19"/>
      <c r="IWR43" s="19"/>
      <c r="IWS43" s="19"/>
      <c r="IWT43" s="19"/>
      <c r="IWU43" s="19"/>
      <c r="IWV43" s="19"/>
      <c r="IWW43" s="19"/>
      <c r="IWX43" s="19"/>
      <c r="IWY43" s="19"/>
      <c r="IWZ43" s="19"/>
      <c r="IXA43" s="19"/>
      <c r="IXB43" s="19"/>
      <c r="IXC43" s="19"/>
      <c r="IXD43" s="19"/>
      <c r="IXE43" s="19"/>
      <c r="IXF43" s="19"/>
      <c r="IXG43" s="19"/>
      <c r="IXH43" s="19"/>
      <c r="IXI43" s="19"/>
      <c r="IXJ43" s="19"/>
      <c r="IXK43" s="19"/>
      <c r="IXL43" s="19"/>
      <c r="IXM43" s="19"/>
      <c r="IXN43" s="19"/>
      <c r="IXO43" s="19"/>
      <c r="IXP43" s="19"/>
      <c r="IXQ43" s="19"/>
      <c r="IXR43" s="19"/>
      <c r="IXS43" s="19"/>
      <c r="IXT43" s="19"/>
      <c r="IXU43" s="19"/>
      <c r="IXV43" s="19"/>
      <c r="IXW43" s="19"/>
      <c r="IXX43" s="19"/>
      <c r="IXY43" s="19"/>
      <c r="IXZ43" s="19"/>
      <c r="IYA43" s="19"/>
      <c r="IYB43" s="19"/>
      <c r="IYC43" s="19"/>
      <c r="IYD43" s="19"/>
      <c r="IYE43" s="19"/>
      <c r="IYF43" s="19"/>
      <c r="IYG43" s="19"/>
      <c r="IYH43" s="19"/>
      <c r="IYI43" s="19"/>
      <c r="IYJ43" s="19"/>
      <c r="IYK43" s="19"/>
      <c r="IYL43" s="19"/>
      <c r="IYM43" s="19"/>
      <c r="IYN43" s="19"/>
      <c r="IYO43" s="19"/>
      <c r="IYP43" s="19"/>
      <c r="IYQ43" s="19"/>
      <c r="IYR43" s="19"/>
      <c r="IYS43" s="19"/>
      <c r="IYT43" s="19"/>
      <c r="IYU43" s="19"/>
      <c r="IYV43" s="19"/>
      <c r="IYW43" s="19"/>
      <c r="IYX43" s="19"/>
      <c r="IYY43" s="19"/>
      <c r="IYZ43" s="19"/>
      <c r="IZA43" s="19"/>
      <c r="IZB43" s="19"/>
      <c r="IZC43" s="19"/>
      <c r="IZD43" s="19"/>
      <c r="IZE43" s="19"/>
      <c r="IZF43" s="19"/>
      <c r="IZG43" s="19"/>
      <c r="IZH43" s="19"/>
      <c r="IZI43" s="19"/>
      <c r="IZJ43" s="19"/>
      <c r="IZK43" s="19"/>
      <c r="IZL43" s="19"/>
      <c r="IZM43" s="19"/>
      <c r="IZN43" s="19"/>
      <c r="IZO43" s="19"/>
      <c r="IZP43" s="19"/>
      <c r="IZQ43" s="19"/>
      <c r="IZR43" s="19"/>
      <c r="IZS43" s="19"/>
      <c r="IZT43" s="19"/>
      <c r="IZU43" s="19"/>
      <c r="IZV43" s="19"/>
      <c r="IZW43" s="19"/>
      <c r="IZX43" s="19"/>
      <c r="IZY43" s="19"/>
      <c r="IZZ43" s="19"/>
      <c r="JAA43" s="19"/>
      <c r="JAB43" s="19"/>
      <c r="JAC43" s="19"/>
      <c r="JAD43" s="19"/>
      <c r="JAE43" s="19"/>
      <c r="JAF43" s="19"/>
      <c r="JAG43" s="19"/>
      <c r="JAH43" s="19"/>
      <c r="JAI43" s="19"/>
      <c r="JAJ43" s="19"/>
      <c r="JAK43" s="19"/>
      <c r="JAL43" s="19"/>
      <c r="JAM43" s="19"/>
      <c r="JAN43" s="19"/>
      <c r="JAO43" s="19"/>
      <c r="JAP43" s="19"/>
      <c r="JAQ43" s="19"/>
      <c r="JAR43" s="19"/>
      <c r="JAS43" s="19"/>
      <c r="JAT43" s="19"/>
      <c r="JAU43" s="19"/>
      <c r="JAV43" s="19"/>
      <c r="JAW43" s="19"/>
      <c r="JAX43" s="19"/>
      <c r="JAY43" s="19"/>
      <c r="JAZ43" s="19"/>
      <c r="JBA43" s="19"/>
      <c r="JBB43" s="19"/>
      <c r="JBC43" s="19"/>
      <c r="JBD43" s="19"/>
      <c r="JBE43" s="19"/>
      <c r="JBF43" s="19"/>
      <c r="JBG43" s="19"/>
      <c r="JBH43" s="19"/>
      <c r="JBI43" s="19"/>
      <c r="JBJ43" s="19"/>
      <c r="JBK43" s="19"/>
      <c r="JBL43" s="19"/>
      <c r="JBM43" s="19"/>
      <c r="JBN43" s="19"/>
      <c r="JBO43" s="19"/>
      <c r="JBP43" s="19"/>
      <c r="JBQ43" s="19"/>
      <c r="JBR43" s="19"/>
      <c r="JBS43" s="19"/>
      <c r="JBT43" s="19"/>
      <c r="JBU43" s="19"/>
      <c r="JBV43" s="19"/>
      <c r="JBW43" s="19"/>
      <c r="JBX43" s="19"/>
      <c r="JBY43" s="19"/>
      <c r="JBZ43" s="19"/>
      <c r="JCA43" s="19"/>
      <c r="JCB43" s="19"/>
      <c r="JCC43" s="19"/>
      <c r="JCD43" s="19"/>
      <c r="JCE43" s="19"/>
      <c r="JCF43" s="19"/>
      <c r="JCG43" s="19"/>
      <c r="JCH43" s="19"/>
      <c r="JCI43" s="19"/>
      <c r="JCJ43" s="19"/>
      <c r="JCK43" s="19"/>
      <c r="JCL43" s="19"/>
      <c r="JCM43" s="19"/>
      <c r="JCN43" s="19"/>
      <c r="JCO43" s="19"/>
      <c r="JCP43" s="19"/>
      <c r="JCQ43" s="19"/>
      <c r="JCR43" s="19"/>
      <c r="JCS43" s="19"/>
      <c r="JCT43" s="19"/>
      <c r="JCU43" s="19"/>
      <c r="JCV43" s="19"/>
      <c r="JCW43" s="19"/>
      <c r="JCX43" s="19"/>
      <c r="JCY43" s="19"/>
      <c r="JCZ43" s="19"/>
      <c r="JDA43" s="19"/>
      <c r="JDB43" s="19"/>
      <c r="JDC43" s="19"/>
      <c r="JDD43" s="19"/>
      <c r="JDE43" s="19"/>
      <c r="JDF43" s="19"/>
      <c r="JDG43" s="19"/>
      <c r="JDH43" s="19"/>
      <c r="JDI43" s="19"/>
      <c r="JDJ43" s="19"/>
      <c r="JDK43" s="19"/>
      <c r="JDL43" s="19"/>
      <c r="JDM43" s="19"/>
      <c r="JDN43" s="19"/>
      <c r="JDO43" s="19"/>
      <c r="JDP43" s="19"/>
      <c r="JDQ43" s="19"/>
      <c r="JDR43" s="19"/>
      <c r="JDS43" s="19"/>
      <c r="JDT43" s="19"/>
      <c r="JDU43" s="19"/>
      <c r="JDV43" s="19"/>
      <c r="JDW43" s="19"/>
      <c r="JDX43" s="19"/>
      <c r="JDY43" s="19"/>
      <c r="JDZ43" s="19"/>
      <c r="JEA43" s="19"/>
      <c r="JEB43" s="19"/>
      <c r="JEC43" s="19"/>
      <c r="JED43" s="19"/>
      <c r="JEE43" s="19"/>
      <c r="JEF43" s="19"/>
      <c r="JEG43" s="19"/>
      <c r="JEH43" s="19"/>
      <c r="JEI43" s="19"/>
      <c r="JEJ43" s="19"/>
      <c r="JEK43" s="19"/>
      <c r="JEL43" s="19"/>
      <c r="JEM43" s="19"/>
      <c r="JEN43" s="19"/>
      <c r="JEO43" s="19"/>
      <c r="JEP43" s="19"/>
      <c r="JEQ43" s="19"/>
      <c r="JER43" s="19"/>
      <c r="JES43" s="19"/>
      <c r="JET43" s="19"/>
      <c r="JEU43" s="19"/>
      <c r="JEV43" s="19"/>
      <c r="JEW43" s="19"/>
      <c r="JEX43" s="19"/>
      <c r="JEY43" s="19"/>
      <c r="JEZ43" s="19"/>
      <c r="JFA43" s="19"/>
      <c r="JFB43" s="19"/>
      <c r="JFC43" s="19"/>
      <c r="JFD43" s="19"/>
      <c r="JFE43" s="19"/>
      <c r="JFF43" s="19"/>
      <c r="JFG43" s="19"/>
      <c r="JFH43" s="19"/>
      <c r="JFI43" s="19"/>
      <c r="JFJ43" s="19"/>
      <c r="JFK43" s="19"/>
      <c r="JFL43" s="19"/>
      <c r="JFM43" s="19"/>
      <c r="JFN43" s="19"/>
      <c r="JFO43" s="19"/>
      <c r="JFP43" s="19"/>
      <c r="JFQ43" s="19"/>
      <c r="JFR43" s="19"/>
      <c r="JFS43" s="19"/>
      <c r="JFT43" s="19"/>
      <c r="JFU43" s="19"/>
      <c r="JFV43" s="19"/>
      <c r="JFW43" s="19"/>
      <c r="JFX43" s="19"/>
      <c r="JFY43" s="19"/>
      <c r="JFZ43" s="19"/>
      <c r="JGA43" s="19"/>
      <c r="JGB43" s="19"/>
      <c r="JGC43" s="19"/>
      <c r="JGD43" s="19"/>
      <c r="JGE43" s="19"/>
      <c r="JGF43" s="19"/>
      <c r="JGG43" s="19"/>
      <c r="JGH43" s="19"/>
      <c r="JGI43" s="19"/>
      <c r="JGJ43" s="19"/>
      <c r="JGK43" s="19"/>
      <c r="JGL43" s="19"/>
      <c r="JGM43" s="19"/>
      <c r="JGN43" s="19"/>
      <c r="JGO43" s="19"/>
      <c r="JGP43" s="19"/>
      <c r="JGQ43" s="19"/>
      <c r="JGR43" s="19"/>
      <c r="JGS43" s="19"/>
      <c r="JGT43" s="19"/>
      <c r="JGU43" s="19"/>
      <c r="JGV43" s="19"/>
      <c r="JGW43" s="19"/>
      <c r="JGX43" s="19"/>
      <c r="JGY43" s="19"/>
      <c r="JGZ43" s="19"/>
      <c r="JHA43" s="19"/>
      <c r="JHB43" s="19"/>
      <c r="JHC43" s="19"/>
      <c r="JHD43" s="19"/>
      <c r="JHE43" s="19"/>
      <c r="JHF43" s="19"/>
      <c r="JHG43" s="19"/>
      <c r="JHH43" s="19"/>
      <c r="JHI43" s="19"/>
      <c r="JHJ43" s="19"/>
      <c r="JHK43" s="19"/>
      <c r="JHL43" s="19"/>
      <c r="JHM43" s="19"/>
      <c r="JHN43" s="19"/>
      <c r="JHO43" s="19"/>
      <c r="JHP43" s="19"/>
      <c r="JHQ43" s="19"/>
      <c r="JHR43" s="19"/>
      <c r="JHS43" s="19"/>
      <c r="JHT43" s="19"/>
      <c r="JHU43" s="19"/>
      <c r="JHV43" s="19"/>
      <c r="JHW43" s="19"/>
      <c r="JHX43" s="19"/>
      <c r="JHY43" s="19"/>
      <c r="JHZ43" s="19"/>
      <c r="JIA43" s="19"/>
      <c r="JIB43" s="19"/>
      <c r="JIC43" s="19"/>
      <c r="JID43" s="19"/>
      <c r="JIE43" s="19"/>
      <c r="JIF43" s="19"/>
      <c r="JIG43" s="19"/>
      <c r="JIH43" s="19"/>
      <c r="JII43" s="19"/>
      <c r="JIJ43" s="19"/>
      <c r="JIK43" s="19"/>
      <c r="JIL43" s="19"/>
      <c r="JIM43" s="19"/>
      <c r="JIN43" s="19"/>
      <c r="JIO43" s="19"/>
      <c r="JIP43" s="19"/>
      <c r="JIQ43" s="19"/>
      <c r="JIR43" s="19"/>
      <c r="JIS43" s="19"/>
      <c r="JIT43" s="19"/>
      <c r="JIU43" s="19"/>
      <c r="JIV43" s="19"/>
      <c r="JIW43" s="19"/>
      <c r="JIX43" s="19"/>
      <c r="JIY43" s="19"/>
      <c r="JIZ43" s="19"/>
      <c r="JJA43" s="19"/>
      <c r="JJB43" s="19"/>
      <c r="JJC43" s="19"/>
      <c r="JJD43" s="19"/>
      <c r="JJE43" s="19"/>
      <c r="JJF43" s="19"/>
      <c r="JJG43" s="19"/>
      <c r="JJH43" s="19"/>
      <c r="JJI43" s="19"/>
      <c r="JJJ43" s="19"/>
      <c r="JJK43" s="19"/>
      <c r="JJL43" s="19"/>
      <c r="JJM43" s="19"/>
      <c r="JJN43" s="19"/>
      <c r="JJO43" s="19"/>
      <c r="JJP43" s="19"/>
      <c r="JJQ43" s="19"/>
      <c r="JJR43" s="19"/>
      <c r="JJS43" s="19"/>
      <c r="JJT43" s="19"/>
      <c r="JJU43" s="19"/>
      <c r="JJV43" s="19"/>
      <c r="JJW43" s="19"/>
      <c r="JJX43" s="19"/>
      <c r="JJY43" s="19"/>
      <c r="JJZ43" s="19"/>
      <c r="JKA43" s="19"/>
      <c r="JKB43" s="19"/>
      <c r="JKC43" s="19"/>
      <c r="JKD43" s="19"/>
      <c r="JKE43" s="19"/>
      <c r="JKF43" s="19"/>
      <c r="JKG43" s="19"/>
      <c r="JKH43" s="19"/>
      <c r="JKI43" s="19"/>
      <c r="JKJ43" s="19"/>
      <c r="JKK43" s="19"/>
      <c r="JKL43" s="19"/>
      <c r="JKM43" s="19"/>
      <c r="JKN43" s="19"/>
      <c r="JKO43" s="19"/>
      <c r="JKP43" s="19"/>
      <c r="JKQ43" s="19"/>
      <c r="JKR43" s="19"/>
      <c r="JKS43" s="19"/>
      <c r="JKT43" s="19"/>
      <c r="JKU43" s="19"/>
      <c r="JKV43" s="19"/>
      <c r="JKW43" s="19"/>
      <c r="JKX43" s="19"/>
      <c r="JKY43" s="19"/>
      <c r="JKZ43" s="19"/>
      <c r="JLA43" s="19"/>
      <c r="JLB43" s="19"/>
      <c r="JLC43" s="19"/>
      <c r="JLD43" s="19"/>
      <c r="JLE43" s="19"/>
      <c r="JLF43" s="19"/>
      <c r="JLG43" s="19"/>
      <c r="JLH43" s="19"/>
      <c r="JLI43" s="19"/>
      <c r="JLJ43" s="19"/>
      <c r="JLK43" s="19"/>
      <c r="JLL43" s="19"/>
      <c r="JLM43" s="19"/>
      <c r="JLN43" s="19"/>
      <c r="JLO43" s="19"/>
      <c r="JLP43" s="19"/>
      <c r="JLQ43" s="19"/>
      <c r="JLR43" s="19"/>
      <c r="JLS43" s="19"/>
      <c r="JLT43" s="19"/>
      <c r="JLU43" s="19"/>
      <c r="JLV43" s="19"/>
      <c r="JLW43" s="19"/>
      <c r="JLX43" s="19"/>
      <c r="JLY43" s="19"/>
      <c r="JLZ43" s="19"/>
      <c r="JMA43" s="19"/>
      <c r="JMB43" s="19"/>
      <c r="JMC43" s="19"/>
      <c r="JMD43" s="19"/>
      <c r="JME43" s="19"/>
      <c r="JMF43" s="19"/>
      <c r="JMG43" s="19"/>
      <c r="JMH43" s="19"/>
      <c r="JMI43" s="19"/>
      <c r="JMJ43" s="19"/>
      <c r="JMK43" s="19"/>
      <c r="JML43" s="19"/>
      <c r="JMM43" s="19"/>
      <c r="JMN43" s="19"/>
      <c r="JMO43" s="19"/>
      <c r="JMP43" s="19"/>
      <c r="JMQ43" s="19"/>
      <c r="JMR43" s="19"/>
      <c r="JMS43" s="19"/>
      <c r="JMT43" s="19"/>
      <c r="JMU43" s="19"/>
      <c r="JMV43" s="19"/>
      <c r="JMW43" s="19"/>
      <c r="JMX43" s="19"/>
      <c r="JMY43" s="19"/>
      <c r="JMZ43" s="19"/>
      <c r="JNA43" s="19"/>
      <c r="JNB43" s="19"/>
      <c r="JNC43" s="19"/>
      <c r="JND43" s="19"/>
      <c r="JNE43" s="19"/>
      <c r="JNF43" s="19"/>
      <c r="JNG43" s="19"/>
      <c r="JNH43" s="19"/>
      <c r="JNI43" s="19"/>
      <c r="JNJ43" s="19"/>
      <c r="JNK43" s="19"/>
      <c r="JNL43" s="19"/>
      <c r="JNM43" s="19"/>
      <c r="JNN43" s="19"/>
      <c r="JNO43" s="19"/>
      <c r="JNP43" s="19"/>
      <c r="JNQ43" s="19"/>
      <c r="JNR43" s="19"/>
      <c r="JNS43" s="19"/>
      <c r="JNT43" s="19"/>
      <c r="JNU43" s="19"/>
      <c r="JNV43" s="19"/>
      <c r="JNW43" s="19"/>
      <c r="JNX43" s="19"/>
      <c r="JNY43" s="19"/>
      <c r="JNZ43" s="19"/>
      <c r="JOA43" s="19"/>
      <c r="JOB43" s="19"/>
      <c r="JOC43" s="19"/>
      <c r="JOD43" s="19"/>
      <c r="JOE43" s="19"/>
      <c r="JOF43" s="19"/>
      <c r="JOG43" s="19"/>
      <c r="JOH43" s="19"/>
      <c r="JOI43" s="19"/>
      <c r="JOJ43" s="19"/>
      <c r="JOK43" s="19"/>
      <c r="JOL43" s="19"/>
      <c r="JOM43" s="19"/>
      <c r="JON43" s="19"/>
      <c r="JOO43" s="19"/>
      <c r="JOP43" s="19"/>
      <c r="JOQ43" s="19"/>
      <c r="JOR43" s="19"/>
      <c r="JOS43" s="19"/>
      <c r="JOT43" s="19"/>
      <c r="JOU43" s="19"/>
      <c r="JOV43" s="19"/>
      <c r="JOW43" s="19"/>
      <c r="JOX43" s="19"/>
      <c r="JOY43" s="19"/>
      <c r="JOZ43" s="19"/>
      <c r="JPA43" s="19"/>
      <c r="JPB43" s="19"/>
      <c r="JPC43" s="19"/>
      <c r="JPD43" s="19"/>
      <c r="JPE43" s="19"/>
      <c r="JPF43" s="19"/>
      <c r="JPG43" s="19"/>
      <c r="JPH43" s="19"/>
      <c r="JPI43" s="19"/>
      <c r="JPJ43" s="19"/>
      <c r="JPK43" s="19"/>
      <c r="JPL43" s="19"/>
      <c r="JPM43" s="19"/>
      <c r="JPN43" s="19"/>
      <c r="JPO43" s="19"/>
      <c r="JPP43" s="19"/>
      <c r="JPQ43" s="19"/>
      <c r="JPR43" s="19"/>
      <c r="JPS43" s="19"/>
      <c r="JPT43" s="19"/>
      <c r="JPU43" s="19"/>
      <c r="JPV43" s="19"/>
      <c r="JPW43" s="19"/>
      <c r="JPX43" s="19"/>
      <c r="JPY43" s="19"/>
      <c r="JPZ43" s="19"/>
      <c r="JQA43" s="19"/>
      <c r="JQB43" s="19"/>
      <c r="JQC43" s="19"/>
      <c r="JQD43" s="19"/>
      <c r="JQE43" s="19"/>
      <c r="JQF43" s="19"/>
      <c r="JQG43" s="19"/>
      <c r="JQH43" s="19"/>
      <c r="JQI43" s="19"/>
      <c r="JQJ43" s="19"/>
      <c r="JQK43" s="19"/>
      <c r="JQL43" s="19"/>
      <c r="JQM43" s="19"/>
      <c r="JQN43" s="19"/>
      <c r="JQO43" s="19"/>
      <c r="JQP43" s="19"/>
      <c r="JQQ43" s="19"/>
      <c r="JQR43" s="19"/>
      <c r="JQS43" s="19"/>
      <c r="JQT43" s="19"/>
      <c r="JQU43" s="19"/>
      <c r="JQV43" s="19"/>
      <c r="JQW43" s="19"/>
      <c r="JQX43" s="19"/>
      <c r="JQY43" s="19"/>
      <c r="JQZ43" s="19"/>
      <c r="JRA43" s="19"/>
      <c r="JRB43" s="19"/>
      <c r="JRC43" s="19"/>
      <c r="JRD43" s="19"/>
      <c r="JRE43" s="19"/>
      <c r="JRF43" s="19"/>
      <c r="JRG43" s="19"/>
      <c r="JRH43" s="19"/>
      <c r="JRI43" s="19"/>
      <c r="JRJ43" s="19"/>
      <c r="JRK43" s="19"/>
      <c r="JRL43" s="19"/>
      <c r="JRM43" s="19"/>
      <c r="JRN43" s="19"/>
      <c r="JRO43" s="19"/>
      <c r="JRP43" s="19"/>
      <c r="JRQ43" s="19"/>
      <c r="JRR43" s="19"/>
      <c r="JRS43" s="19"/>
      <c r="JRT43" s="19"/>
      <c r="JRU43" s="19"/>
      <c r="JRV43" s="19"/>
      <c r="JRW43" s="19"/>
      <c r="JRX43" s="19"/>
      <c r="JRY43" s="19"/>
      <c r="JRZ43" s="19"/>
      <c r="JSA43" s="19"/>
      <c r="JSB43" s="19"/>
      <c r="JSC43" s="19"/>
      <c r="JSD43" s="19"/>
      <c r="JSE43" s="19"/>
      <c r="JSF43" s="19"/>
      <c r="JSG43" s="19"/>
      <c r="JSH43" s="19"/>
      <c r="JSI43" s="19"/>
      <c r="JSJ43" s="19"/>
      <c r="JSK43" s="19"/>
      <c r="JSL43" s="19"/>
      <c r="JSM43" s="19"/>
      <c r="JSN43" s="19"/>
      <c r="JSO43" s="19"/>
      <c r="JSP43" s="19"/>
      <c r="JSQ43" s="19"/>
      <c r="JSR43" s="19"/>
      <c r="JSS43" s="19"/>
      <c r="JST43" s="19"/>
      <c r="JSU43" s="19"/>
      <c r="JSV43" s="19"/>
      <c r="JSW43" s="19"/>
      <c r="JSX43" s="19"/>
      <c r="JSY43" s="19"/>
      <c r="JSZ43" s="19"/>
      <c r="JTA43" s="19"/>
      <c r="JTB43" s="19"/>
      <c r="JTC43" s="19"/>
      <c r="JTD43" s="19"/>
      <c r="JTE43" s="19"/>
      <c r="JTF43" s="19"/>
      <c r="JTG43" s="19"/>
      <c r="JTH43" s="19"/>
      <c r="JTI43" s="19"/>
      <c r="JTJ43" s="19"/>
      <c r="JTK43" s="19"/>
      <c r="JTL43" s="19"/>
      <c r="JTM43" s="19"/>
      <c r="JTN43" s="19"/>
      <c r="JTO43" s="19"/>
      <c r="JTP43" s="19"/>
      <c r="JTQ43" s="19"/>
      <c r="JTR43" s="19"/>
      <c r="JTS43" s="19"/>
      <c r="JTT43" s="19"/>
      <c r="JTU43" s="19"/>
      <c r="JTV43" s="19"/>
      <c r="JTW43" s="19"/>
      <c r="JTX43" s="19"/>
      <c r="JTY43" s="19"/>
      <c r="JTZ43" s="19"/>
      <c r="JUA43" s="19"/>
      <c r="JUB43" s="19"/>
      <c r="JUC43" s="19"/>
      <c r="JUD43" s="19"/>
      <c r="JUE43" s="19"/>
      <c r="JUF43" s="19"/>
      <c r="JUG43" s="19"/>
      <c r="JUH43" s="19"/>
      <c r="JUI43" s="19"/>
      <c r="JUJ43" s="19"/>
      <c r="JUK43" s="19"/>
      <c r="JUL43" s="19"/>
      <c r="JUM43" s="19"/>
      <c r="JUN43" s="19"/>
      <c r="JUO43" s="19"/>
      <c r="JUP43" s="19"/>
      <c r="JUQ43" s="19"/>
      <c r="JUR43" s="19"/>
      <c r="JUS43" s="19"/>
      <c r="JUT43" s="19"/>
      <c r="JUU43" s="19"/>
      <c r="JUV43" s="19"/>
      <c r="JUW43" s="19"/>
      <c r="JUX43" s="19"/>
      <c r="JUY43" s="19"/>
      <c r="JUZ43" s="19"/>
      <c r="JVA43" s="19"/>
      <c r="JVB43" s="19"/>
      <c r="JVC43" s="19"/>
      <c r="JVD43" s="19"/>
      <c r="JVE43" s="19"/>
      <c r="JVF43" s="19"/>
      <c r="JVG43" s="19"/>
      <c r="JVH43" s="19"/>
      <c r="JVI43" s="19"/>
      <c r="JVJ43" s="19"/>
      <c r="JVK43" s="19"/>
      <c r="JVL43" s="19"/>
      <c r="JVM43" s="19"/>
      <c r="JVN43" s="19"/>
      <c r="JVO43" s="19"/>
      <c r="JVP43" s="19"/>
      <c r="JVQ43" s="19"/>
      <c r="JVR43" s="19"/>
      <c r="JVS43" s="19"/>
      <c r="JVT43" s="19"/>
      <c r="JVU43" s="19"/>
      <c r="JVV43" s="19"/>
      <c r="JVW43" s="19"/>
      <c r="JVX43" s="19"/>
      <c r="JVY43" s="19"/>
      <c r="JVZ43" s="19"/>
      <c r="JWA43" s="19"/>
      <c r="JWB43" s="19"/>
      <c r="JWC43" s="19"/>
      <c r="JWD43" s="19"/>
      <c r="JWE43" s="19"/>
      <c r="JWF43" s="19"/>
      <c r="JWG43" s="19"/>
      <c r="JWH43" s="19"/>
      <c r="JWI43" s="19"/>
      <c r="JWJ43" s="19"/>
      <c r="JWK43" s="19"/>
      <c r="JWL43" s="19"/>
      <c r="JWM43" s="19"/>
      <c r="JWN43" s="19"/>
      <c r="JWO43" s="19"/>
      <c r="JWP43" s="19"/>
      <c r="JWQ43" s="19"/>
      <c r="JWR43" s="19"/>
      <c r="JWS43" s="19"/>
      <c r="JWT43" s="19"/>
      <c r="JWU43" s="19"/>
      <c r="JWV43" s="19"/>
      <c r="JWW43" s="19"/>
      <c r="JWX43" s="19"/>
      <c r="JWY43" s="19"/>
      <c r="JWZ43" s="19"/>
      <c r="JXA43" s="19"/>
      <c r="JXB43" s="19"/>
      <c r="JXC43" s="19"/>
      <c r="JXD43" s="19"/>
      <c r="JXE43" s="19"/>
      <c r="JXF43" s="19"/>
      <c r="JXG43" s="19"/>
      <c r="JXH43" s="19"/>
      <c r="JXI43" s="19"/>
      <c r="JXJ43" s="19"/>
      <c r="JXK43" s="19"/>
      <c r="JXL43" s="19"/>
      <c r="JXM43" s="19"/>
      <c r="JXN43" s="19"/>
      <c r="JXO43" s="19"/>
      <c r="JXP43" s="19"/>
      <c r="JXQ43" s="19"/>
      <c r="JXR43" s="19"/>
      <c r="JXS43" s="19"/>
      <c r="JXT43" s="19"/>
      <c r="JXU43" s="19"/>
      <c r="JXV43" s="19"/>
      <c r="JXW43" s="19"/>
      <c r="JXX43" s="19"/>
      <c r="JXY43" s="19"/>
      <c r="JXZ43" s="19"/>
      <c r="JYA43" s="19"/>
      <c r="JYB43" s="19"/>
      <c r="JYC43" s="19"/>
      <c r="JYD43" s="19"/>
      <c r="JYE43" s="19"/>
      <c r="JYF43" s="19"/>
      <c r="JYG43" s="19"/>
      <c r="JYH43" s="19"/>
      <c r="JYI43" s="19"/>
      <c r="JYJ43" s="19"/>
      <c r="JYK43" s="19"/>
      <c r="JYL43" s="19"/>
      <c r="JYM43" s="19"/>
      <c r="JYN43" s="19"/>
      <c r="JYO43" s="19"/>
      <c r="JYP43" s="19"/>
      <c r="JYQ43" s="19"/>
      <c r="JYR43" s="19"/>
      <c r="JYS43" s="19"/>
      <c r="JYT43" s="19"/>
      <c r="JYU43" s="19"/>
      <c r="JYV43" s="19"/>
      <c r="JYW43" s="19"/>
      <c r="JYX43" s="19"/>
      <c r="JYY43" s="19"/>
      <c r="JYZ43" s="19"/>
      <c r="JZA43" s="19"/>
      <c r="JZB43" s="19"/>
      <c r="JZC43" s="19"/>
      <c r="JZD43" s="19"/>
      <c r="JZE43" s="19"/>
      <c r="JZF43" s="19"/>
      <c r="JZG43" s="19"/>
      <c r="JZH43" s="19"/>
      <c r="JZI43" s="19"/>
      <c r="JZJ43" s="19"/>
      <c r="JZK43" s="19"/>
      <c r="JZL43" s="19"/>
      <c r="JZM43" s="19"/>
      <c r="JZN43" s="19"/>
      <c r="JZO43" s="19"/>
      <c r="JZP43" s="19"/>
      <c r="JZQ43" s="19"/>
      <c r="JZR43" s="19"/>
      <c r="JZS43" s="19"/>
      <c r="JZT43" s="19"/>
      <c r="JZU43" s="19"/>
      <c r="JZV43" s="19"/>
      <c r="JZW43" s="19"/>
      <c r="JZX43" s="19"/>
      <c r="JZY43" s="19"/>
      <c r="JZZ43" s="19"/>
      <c r="KAA43" s="19"/>
      <c r="KAB43" s="19"/>
      <c r="KAC43" s="19"/>
      <c r="KAD43" s="19"/>
      <c r="KAE43" s="19"/>
      <c r="KAF43" s="19"/>
      <c r="KAG43" s="19"/>
      <c r="KAH43" s="19"/>
      <c r="KAI43" s="19"/>
      <c r="KAJ43" s="19"/>
      <c r="KAK43" s="19"/>
      <c r="KAL43" s="19"/>
      <c r="KAM43" s="19"/>
      <c r="KAN43" s="19"/>
      <c r="KAO43" s="19"/>
      <c r="KAP43" s="19"/>
      <c r="KAQ43" s="19"/>
      <c r="KAR43" s="19"/>
      <c r="KAS43" s="19"/>
      <c r="KAT43" s="19"/>
      <c r="KAU43" s="19"/>
      <c r="KAV43" s="19"/>
      <c r="KAW43" s="19"/>
      <c r="KAX43" s="19"/>
      <c r="KAY43" s="19"/>
      <c r="KAZ43" s="19"/>
      <c r="KBA43" s="19"/>
      <c r="KBB43" s="19"/>
      <c r="KBC43" s="19"/>
      <c r="KBD43" s="19"/>
      <c r="KBE43" s="19"/>
      <c r="KBF43" s="19"/>
      <c r="KBG43" s="19"/>
      <c r="KBH43" s="19"/>
      <c r="KBI43" s="19"/>
      <c r="KBJ43" s="19"/>
      <c r="KBK43" s="19"/>
      <c r="KBL43" s="19"/>
      <c r="KBM43" s="19"/>
      <c r="KBN43" s="19"/>
      <c r="KBO43" s="19"/>
      <c r="KBP43" s="19"/>
      <c r="KBQ43" s="19"/>
      <c r="KBR43" s="19"/>
      <c r="KBS43" s="19"/>
      <c r="KBT43" s="19"/>
      <c r="KBU43" s="19"/>
      <c r="KBV43" s="19"/>
      <c r="KBW43" s="19"/>
      <c r="KBX43" s="19"/>
      <c r="KBY43" s="19"/>
      <c r="KBZ43" s="19"/>
      <c r="KCA43" s="19"/>
      <c r="KCB43" s="19"/>
      <c r="KCC43" s="19"/>
      <c r="KCD43" s="19"/>
      <c r="KCE43" s="19"/>
      <c r="KCF43" s="19"/>
      <c r="KCG43" s="19"/>
      <c r="KCH43" s="19"/>
      <c r="KCI43" s="19"/>
      <c r="KCJ43" s="19"/>
      <c r="KCK43" s="19"/>
      <c r="KCL43" s="19"/>
      <c r="KCM43" s="19"/>
      <c r="KCN43" s="19"/>
      <c r="KCO43" s="19"/>
      <c r="KCP43" s="19"/>
      <c r="KCQ43" s="19"/>
      <c r="KCR43" s="19"/>
      <c r="KCS43" s="19"/>
      <c r="KCT43" s="19"/>
      <c r="KCU43" s="19"/>
      <c r="KCV43" s="19"/>
      <c r="KCW43" s="19"/>
      <c r="KCX43" s="19"/>
      <c r="KCY43" s="19"/>
      <c r="KCZ43" s="19"/>
      <c r="KDA43" s="19"/>
      <c r="KDB43" s="19"/>
      <c r="KDC43" s="19"/>
      <c r="KDD43" s="19"/>
      <c r="KDE43" s="19"/>
      <c r="KDF43" s="19"/>
      <c r="KDG43" s="19"/>
      <c r="KDH43" s="19"/>
      <c r="KDI43" s="19"/>
      <c r="KDJ43" s="19"/>
      <c r="KDK43" s="19"/>
      <c r="KDL43" s="19"/>
      <c r="KDM43" s="19"/>
      <c r="KDN43" s="19"/>
      <c r="KDO43" s="19"/>
      <c r="KDP43" s="19"/>
      <c r="KDQ43" s="19"/>
      <c r="KDR43" s="19"/>
      <c r="KDS43" s="19"/>
      <c r="KDT43" s="19"/>
      <c r="KDU43" s="19"/>
      <c r="KDV43" s="19"/>
      <c r="KDW43" s="19"/>
      <c r="KDX43" s="19"/>
      <c r="KDY43" s="19"/>
      <c r="KDZ43" s="19"/>
      <c r="KEA43" s="19"/>
      <c r="KEB43" s="19"/>
      <c r="KEC43" s="19"/>
      <c r="KED43" s="19"/>
      <c r="KEE43" s="19"/>
      <c r="KEF43" s="19"/>
      <c r="KEG43" s="19"/>
      <c r="KEH43" s="19"/>
      <c r="KEI43" s="19"/>
      <c r="KEJ43" s="19"/>
      <c r="KEK43" s="19"/>
      <c r="KEL43" s="19"/>
      <c r="KEM43" s="19"/>
      <c r="KEN43" s="19"/>
      <c r="KEO43" s="19"/>
      <c r="KEP43" s="19"/>
      <c r="KEQ43" s="19"/>
      <c r="KER43" s="19"/>
      <c r="KES43" s="19"/>
      <c r="KET43" s="19"/>
      <c r="KEU43" s="19"/>
      <c r="KEV43" s="19"/>
      <c r="KEW43" s="19"/>
      <c r="KEX43" s="19"/>
      <c r="KEY43" s="19"/>
      <c r="KEZ43" s="19"/>
      <c r="KFA43" s="19"/>
      <c r="KFB43" s="19"/>
      <c r="KFC43" s="19"/>
      <c r="KFD43" s="19"/>
      <c r="KFE43" s="19"/>
      <c r="KFF43" s="19"/>
      <c r="KFG43" s="19"/>
      <c r="KFH43" s="19"/>
      <c r="KFI43" s="19"/>
      <c r="KFJ43" s="19"/>
      <c r="KFK43" s="19"/>
      <c r="KFL43" s="19"/>
      <c r="KFM43" s="19"/>
      <c r="KFN43" s="19"/>
      <c r="KFO43" s="19"/>
      <c r="KFP43" s="19"/>
      <c r="KFQ43" s="19"/>
      <c r="KFR43" s="19"/>
      <c r="KFS43" s="19"/>
      <c r="KFT43" s="19"/>
      <c r="KFU43" s="19"/>
      <c r="KFV43" s="19"/>
      <c r="KFW43" s="19"/>
      <c r="KFX43" s="19"/>
      <c r="KFY43" s="19"/>
      <c r="KFZ43" s="19"/>
      <c r="KGA43" s="19"/>
      <c r="KGB43" s="19"/>
      <c r="KGC43" s="19"/>
      <c r="KGD43" s="19"/>
      <c r="KGE43" s="19"/>
      <c r="KGF43" s="19"/>
      <c r="KGG43" s="19"/>
      <c r="KGH43" s="19"/>
      <c r="KGI43" s="19"/>
      <c r="KGJ43" s="19"/>
      <c r="KGK43" s="19"/>
      <c r="KGL43" s="19"/>
      <c r="KGM43" s="19"/>
      <c r="KGN43" s="19"/>
      <c r="KGO43" s="19"/>
      <c r="KGP43" s="19"/>
      <c r="KGQ43" s="19"/>
      <c r="KGR43" s="19"/>
      <c r="KGS43" s="19"/>
      <c r="KGT43" s="19"/>
      <c r="KGU43" s="19"/>
      <c r="KGV43" s="19"/>
      <c r="KGW43" s="19"/>
      <c r="KGX43" s="19"/>
      <c r="KGY43" s="19"/>
      <c r="KGZ43" s="19"/>
      <c r="KHA43" s="19"/>
      <c r="KHB43" s="19"/>
      <c r="KHC43" s="19"/>
      <c r="KHD43" s="19"/>
      <c r="KHE43" s="19"/>
      <c r="KHF43" s="19"/>
      <c r="KHG43" s="19"/>
      <c r="KHH43" s="19"/>
      <c r="KHI43" s="19"/>
      <c r="KHJ43" s="19"/>
      <c r="KHK43" s="19"/>
      <c r="KHL43" s="19"/>
      <c r="KHM43" s="19"/>
      <c r="KHN43" s="19"/>
      <c r="KHO43" s="19"/>
      <c r="KHP43" s="19"/>
      <c r="KHQ43" s="19"/>
      <c r="KHR43" s="19"/>
      <c r="KHS43" s="19"/>
      <c r="KHT43" s="19"/>
      <c r="KHU43" s="19"/>
      <c r="KHV43" s="19"/>
      <c r="KHW43" s="19"/>
      <c r="KHX43" s="19"/>
      <c r="KHY43" s="19"/>
      <c r="KHZ43" s="19"/>
      <c r="KIA43" s="19"/>
      <c r="KIB43" s="19"/>
      <c r="KIC43" s="19"/>
      <c r="KID43" s="19"/>
      <c r="KIE43" s="19"/>
      <c r="KIF43" s="19"/>
      <c r="KIG43" s="19"/>
      <c r="KIH43" s="19"/>
      <c r="KII43" s="19"/>
      <c r="KIJ43" s="19"/>
      <c r="KIK43" s="19"/>
      <c r="KIL43" s="19"/>
      <c r="KIM43" s="19"/>
      <c r="KIN43" s="19"/>
      <c r="KIO43" s="19"/>
      <c r="KIP43" s="19"/>
      <c r="KIQ43" s="19"/>
      <c r="KIR43" s="19"/>
      <c r="KIS43" s="19"/>
      <c r="KIT43" s="19"/>
      <c r="KIU43" s="19"/>
      <c r="KIV43" s="19"/>
      <c r="KIW43" s="19"/>
      <c r="KIX43" s="19"/>
      <c r="KIY43" s="19"/>
      <c r="KIZ43" s="19"/>
      <c r="KJA43" s="19"/>
      <c r="KJB43" s="19"/>
      <c r="KJC43" s="19"/>
      <c r="KJD43" s="19"/>
      <c r="KJE43" s="19"/>
      <c r="KJF43" s="19"/>
      <c r="KJG43" s="19"/>
      <c r="KJH43" s="19"/>
      <c r="KJI43" s="19"/>
      <c r="KJJ43" s="19"/>
      <c r="KJK43" s="19"/>
      <c r="KJL43" s="19"/>
      <c r="KJM43" s="19"/>
      <c r="KJN43" s="19"/>
      <c r="KJO43" s="19"/>
      <c r="KJP43" s="19"/>
      <c r="KJQ43" s="19"/>
      <c r="KJR43" s="19"/>
      <c r="KJS43" s="19"/>
      <c r="KJT43" s="19"/>
      <c r="KJU43" s="19"/>
      <c r="KJV43" s="19"/>
      <c r="KJW43" s="19"/>
      <c r="KJX43" s="19"/>
      <c r="KJY43" s="19"/>
      <c r="KJZ43" s="19"/>
      <c r="KKA43" s="19"/>
      <c r="KKB43" s="19"/>
      <c r="KKC43" s="19"/>
      <c r="KKD43" s="19"/>
      <c r="KKE43" s="19"/>
      <c r="KKF43" s="19"/>
      <c r="KKG43" s="19"/>
      <c r="KKH43" s="19"/>
      <c r="KKI43" s="19"/>
      <c r="KKJ43" s="19"/>
      <c r="KKK43" s="19"/>
      <c r="KKL43" s="19"/>
      <c r="KKM43" s="19"/>
      <c r="KKN43" s="19"/>
      <c r="KKO43" s="19"/>
      <c r="KKP43" s="19"/>
      <c r="KKQ43" s="19"/>
      <c r="KKR43" s="19"/>
      <c r="KKS43" s="19"/>
      <c r="KKT43" s="19"/>
      <c r="KKU43" s="19"/>
      <c r="KKV43" s="19"/>
      <c r="KKW43" s="19"/>
      <c r="KKX43" s="19"/>
      <c r="KKY43" s="19"/>
      <c r="KKZ43" s="19"/>
      <c r="KLA43" s="19"/>
      <c r="KLB43" s="19"/>
      <c r="KLC43" s="19"/>
      <c r="KLD43" s="19"/>
      <c r="KLE43" s="19"/>
      <c r="KLF43" s="19"/>
      <c r="KLG43" s="19"/>
      <c r="KLH43" s="19"/>
      <c r="KLI43" s="19"/>
      <c r="KLJ43" s="19"/>
      <c r="KLK43" s="19"/>
      <c r="KLL43" s="19"/>
      <c r="KLM43" s="19"/>
      <c r="KLN43" s="19"/>
      <c r="KLO43" s="19"/>
      <c r="KLP43" s="19"/>
      <c r="KLQ43" s="19"/>
      <c r="KLR43" s="19"/>
      <c r="KLS43" s="19"/>
      <c r="KLT43" s="19"/>
      <c r="KLU43" s="19"/>
      <c r="KLV43" s="19"/>
      <c r="KLW43" s="19"/>
      <c r="KLX43" s="19"/>
      <c r="KLY43" s="19"/>
      <c r="KLZ43" s="19"/>
      <c r="KMA43" s="19"/>
      <c r="KMB43" s="19"/>
      <c r="KMC43" s="19"/>
      <c r="KMD43" s="19"/>
      <c r="KME43" s="19"/>
      <c r="KMF43" s="19"/>
      <c r="KMG43" s="19"/>
      <c r="KMH43" s="19"/>
      <c r="KMI43" s="19"/>
      <c r="KMJ43" s="19"/>
      <c r="KMK43" s="19"/>
      <c r="KML43" s="19"/>
      <c r="KMM43" s="19"/>
      <c r="KMN43" s="19"/>
      <c r="KMO43" s="19"/>
      <c r="KMP43" s="19"/>
      <c r="KMQ43" s="19"/>
      <c r="KMR43" s="19"/>
      <c r="KMS43" s="19"/>
      <c r="KMT43" s="19"/>
      <c r="KMU43" s="19"/>
      <c r="KMV43" s="19"/>
      <c r="KMW43" s="19"/>
      <c r="KMX43" s="19"/>
      <c r="KMY43" s="19"/>
      <c r="KMZ43" s="19"/>
      <c r="KNA43" s="19"/>
      <c r="KNB43" s="19"/>
      <c r="KNC43" s="19"/>
      <c r="KND43" s="19"/>
      <c r="KNE43" s="19"/>
      <c r="KNF43" s="19"/>
      <c r="KNG43" s="19"/>
      <c r="KNH43" s="19"/>
      <c r="KNI43" s="19"/>
      <c r="KNJ43" s="19"/>
      <c r="KNK43" s="19"/>
      <c r="KNL43" s="19"/>
      <c r="KNM43" s="19"/>
      <c r="KNN43" s="19"/>
      <c r="KNO43" s="19"/>
      <c r="KNP43" s="19"/>
      <c r="KNQ43" s="19"/>
      <c r="KNR43" s="19"/>
      <c r="KNS43" s="19"/>
      <c r="KNT43" s="19"/>
      <c r="KNU43" s="19"/>
      <c r="KNV43" s="19"/>
      <c r="KNW43" s="19"/>
      <c r="KNX43" s="19"/>
      <c r="KNY43" s="19"/>
      <c r="KNZ43" s="19"/>
      <c r="KOA43" s="19"/>
      <c r="KOB43" s="19"/>
      <c r="KOC43" s="19"/>
      <c r="KOD43" s="19"/>
      <c r="KOE43" s="19"/>
      <c r="KOF43" s="19"/>
      <c r="KOG43" s="19"/>
      <c r="KOH43" s="19"/>
      <c r="KOI43" s="19"/>
      <c r="KOJ43" s="19"/>
      <c r="KOK43" s="19"/>
      <c r="KOL43" s="19"/>
      <c r="KOM43" s="19"/>
      <c r="KON43" s="19"/>
      <c r="KOO43" s="19"/>
      <c r="KOP43" s="19"/>
      <c r="KOQ43" s="19"/>
      <c r="KOR43" s="19"/>
      <c r="KOS43" s="19"/>
      <c r="KOT43" s="19"/>
      <c r="KOU43" s="19"/>
      <c r="KOV43" s="19"/>
      <c r="KOW43" s="19"/>
      <c r="KOX43" s="19"/>
      <c r="KOY43" s="19"/>
      <c r="KOZ43" s="19"/>
      <c r="KPA43" s="19"/>
      <c r="KPB43" s="19"/>
      <c r="KPC43" s="19"/>
      <c r="KPD43" s="19"/>
      <c r="KPE43" s="19"/>
      <c r="KPF43" s="19"/>
      <c r="KPG43" s="19"/>
      <c r="KPH43" s="19"/>
      <c r="KPI43" s="19"/>
      <c r="KPJ43" s="19"/>
      <c r="KPK43" s="19"/>
      <c r="KPL43" s="19"/>
      <c r="KPM43" s="19"/>
      <c r="KPN43" s="19"/>
      <c r="KPO43" s="19"/>
      <c r="KPP43" s="19"/>
      <c r="KPQ43" s="19"/>
      <c r="KPR43" s="19"/>
      <c r="KPS43" s="19"/>
      <c r="KPT43" s="19"/>
      <c r="KPU43" s="19"/>
      <c r="KPV43" s="19"/>
      <c r="KPW43" s="19"/>
      <c r="KPX43" s="19"/>
      <c r="KPY43" s="19"/>
      <c r="KPZ43" s="19"/>
      <c r="KQA43" s="19"/>
      <c r="KQB43" s="19"/>
      <c r="KQC43" s="19"/>
      <c r="KQD43" s="19"/>
      <c r="KQE43" s="19"/>
      <c r="KQF43" s="19"/>
      <c r="KQG43" s="19"/>
      <c r="KQH43" s="19"/>
      <c r="KQI43" s="19"/>
      <c r="KQJ43" s="19"/>
      <c r="KQK43" s="19"/>
      <c r="KQL43" s="19"/>
      <c r="KQM43" s="19"/>
      <c r="KQN43" s="19"/>
      <c r="KQO43" s="19"/>
      <c r="KQP43" s="19"/>
      <c r="KQQ43" s="19"/>
      <c r="KQR43" s="19"/>
      <c r="KQS43" s="19"/>
      <c r="KQT43" s="19"/>
      <c r="KQU43" s="19"/>
      <c r="KQV43" s="19"/>
      <c r="KQW43" s="19"/>
      <c r="KQX43" s="19"/>
      <c r="KQY43" s="19"/>
      <c r="KQZ43" s="19"/>
      <c r="KRA43" s="19"/>
      <c r="KRB43" s="19"/>
      <c r="KRC43" s="19"/>
      <c r="KRD43" s="19"/>
      <c r="KRE43" s="19"/>
      <c r="KRF43" s="19"/>
      <c r="KRG43" s="19"/>
      <c r="KRH43" s="19"/>
      <c r="KRI43" s="19"/>
      <c r="KRJ43" s="19"/>
      <c r="KRK43" s="19"/>
      <c r="KRL43" s="19"/>
      <c r="KRM43" s="19"/>
      <c r="KRN43" s="19"/>
      <c r="KRO43" s="19"/>
      <c r="KRP43" s="19"/>
      <c r="KRQ43" s="19"/>
      <c r="KRR43" s="19"/>
      <c r="KRS43" s="19"/>
      <c r="KRT43" s="19"/>
      <c r="KRU43" s="19"/>
      <c r="KRV43" s="19"/>
      <c r="KRW43" s="19"/>
      <c r="KRX43" s="19"/>
      <c r="KRY43" s="19"/>
      <c r="KRZ43" s="19"/>
      <c r="KSA43" s="19"/>
      <c r="KSB43" s="19"/>
      <c r="KSC43" s="19"/>
      <c r="KSD43" s="19"/>
      <c r="KSE43" s="19"/>
      <c r="KSF43" s="19"/>
      <c r="KSG43" s="19"/>
      <c r="KSH43" s="19"/>
      <c r="KSI43" s="19"/>
      <c r="KSJ43" s="19"/>
      <c r="KSK43" s="19"/>
      <c r="KSL43" s="19"/>
      <c r="KSM43" s="19"/>
      <c r="KSN43" s="19"/>
      <c r="KSO43" s="19"/>
      <c r="KSP43" s="19"/>
      <c r="KSQ43" s="19"/>
      <c r="KSR43" s="19"/>
      <c r="KSS43" s="19"/>
      <c r="KST43" s="19"/>
      <c r="KSU43" s="19"/>
      <c r="KSV43" s="19"/>
      <c r="KSW43" s="19"/>
      <c r="KSX43" s="19"/>
      <c r="KSY43" s="19"/>
      <c r="KSZ43" s="19"/>
      <c r="KTA43" s="19"/>
      <c r="KTB43" s="19"/>
      <c r="KTC43" s="19"/>
      <c r="KTD43" s="19"/>
      <c r="KTE43" s="19"/>
      <c r="KTF43" s="19"/>
      <c r="KTG43" s="19"/>
      <c r="KTH43" s="19"/>
      <c r="KTI43" s="19"/>
      <c r="KTJ43" s="19"/>
      <c r="KTK43" s="19"/>
      <c r="KTL43" s="19"/>
      <c r="KTM43" s="19"/>
      <c r="KTN43" s="19"/>
      <c r="KTO43" s="19"/>
      <c r="KTP43" s="19"/>
      <c r="KTQ43" s="19"/>
      <c r="KTR43" s="19"/>
      <c r="KTS43" s="19"/>
      <c r="KTT43" s="19"/>
      <c r="KTU43" s="19"/>
      <c r="KTV43" s="19"/>
      <c r="KTW43" s="19"/>
      <c r="KTX43" s="19"/>
      <c r="KTY43" s="19"/>
      <c r="KTZ43" s="19"/>
      <c r="KUA43" s="19"/>
      <c r="KUB43" s="19"/>
      <c r="KUC43" s="19"/>
      <c r="KUD43" s="19"/>
      <c r="KUE43" s="19"/>
      <c r="KUF43" s="19"/>
      <c r="KUG43" s="19"/>
      <c r="KUH43" s="19"/>
      <c r="KUI43" s="19"/>
      <c r="KUJ43" s="19"/>
      <c r="KUK43" s="19"/>
      <c r="KUL43" s="19"/>
      <c r="KUM43" s="19"/>
      <c r="KUN43" s="19"/>
      <c r="KUO43" s="19"/>
      <c r="KUP43" s="19"/>
      <c r="KUQ43" s="19"/>
      <c r="KUR43" s="19"/>
      <c r="KUS43" s="19"/>
      <c r="KUT43" s="19"/>
      <c r="KUU43" s="19"/>
      <c r="KUV43" s="19"/>
      <c r="KUW43" s="19"/>
      <c r="KUX43" s="19"/>
      <c r="KUY43" s="19"/>
      <c r="KUZ43" s="19"/>
      <c r="KVA43" s="19"/>
      <c r="KVB43" s="19"/>
      <c r="KVC43" s="19"/>
      <c r="KVD43" s="19"/>
      <c r="KVE43" s="19"/>
      <c r="KVF43" s="19"/>
      <c r="KVG43" s="19"/>
      <c r="KVH43" s="19"/>
      <c r="KVI43" s="19"/>
      <c r="KVJ43" s="19"/>
      <c r="KVK43" s="19"/>
      <c r="KVL43" s="19"/>
      <c r="KVM43" s="19"/>
      <c r="KVN43" s="19"/>
      <c r="KVO43" s="19"/>
      <c r="KVP43" s="19"/>
      <c r="KVQ43" s="19"/>
      <c r="KVR43" s="19"/>
      <c r="KVS43" s="19"/>
      <c r="KVT43" s="19"/>
      <c r="KVU43" s="19"/>
      <c r="KVV43" s="19"/>
      <c r="KVW43" s="19"/>
      <c r="KVX43" s="19"/>
      <c r="KVY43" s="19"/>
      <c r="KVZ43" s="19"/>
      <c r="KWA43" s="19"/>
      <c r="KWB43" s="19"/>
      <c r="KWC43" s="19"/>
      <c r="KWD43" s="19"/>
      <c r="KWE43" s="19"/>
      <c r="KWF43" s="19"/>
      <c r="KWG43" s="19"/>
      <c r="KWH43" s="19"/>
      <c r="KWI43" s="19"/>
      <c r="KWJ43" s="19"/>
      <c r="KWK43" s="19"/>
      <c r="KWL43" s="19"/>
      <c r="KWM43" s="19"/>
      <c r="KWN43" s="19"/>
      <c r="KWO43" s="19"/>
      <c r="KWP43" s="19"/>
      <c r="KWQ43" s="19"/>
      <c r="KWR43" s="19"/>
      <c r="KWS43" s="19"/>
      <c r="KWT43" s="19"/>
      <c r="KWU43" s="19"/>
      <c r="KWV43" s="19"/>
      <c r="KWW43" s="19"/>
      <c r="KWX43" s="19"/>
      <c r="KWY43" s="19"/>
      <c r="KWZ43" s="19"/>
      <c r="KXA43" s="19"/>
      <c r="KXB43" s="19"/>
      <c r="KXC43" s="19"/>
      <c r="KXD43" s="19"/>
      <c r="KXE43" s="19"/>
      <c r="KXF43" s="19"/>
      <c r="KXG43" s="19"/>
      <c r="KXH43" s="19"/>
      <c r="KXI43" s="19"/>
      <c r="KXJ43" s="19"/>
      <c r="KXK43" s="19"/>
      <c r="KXL43" s="19"/>
      <c r="KXM43" s="19"/>
      <c r="KXN43" s="19"/>
      <c r="KXO43" s="19"/>
      <c r="KXP43" s="19"/>
      <c r="KXQ43" s="19"/>
      <c r="KXR43" s="19"/>
      <c r="KXS43" s="19"/>
      <c r="KXT43" s="19"/>
      <c r="KXU43" s="19"/>
      <c r="KXV43" s="19"/>
      <c r="KXW43" s="19"/>
      <c r="KXX43" s="19"/>
      <c r="KXY43" s="19"/>
      <c r="KXZ43" s="19"/>
      <c r="KYA43" s="19"/>
      <c r="KYB43" s="19"/>
      <c r="KYC43" s="19"/>
      <c r="KYD43" s="19"/>
      <c r="KYE43" s="19"/>
      <c r="KYF43" s="19"/>
      <c r="KYG43" s="19"/>
      <c r="KYH43" s="19"/>
      <c r="KYI43" s="19"/>
      <c r="KYJ43" s="19"/>
      <c r="KYK43" s="19"/>
      <c r="KYL43" s="19"/>
      <c r="KYM43" s="19"/>
      <c r="KYN43" s="19"/>
      <c r="KYO43" s="19"/>
      <c r="KYP43" s="19"/>
      <c r="KYQ43" s="19"/>
      <c r="KYR43" s="19"/>
      <c r="KYS43" s="19"/>
      <c r="KYT43" s="19"/>
      <c r="KYU43" s="19"/>
      <c r="KYV43" s="19"/>
      <c r="KYW43" s="19"/>
      <c r="KYX43" s="19"/>
      <c r="KYY43" s="19"/>
      <c r="KYZ43" s="19"/>
      <c r="KZA43" s="19"/>
      <c r="KZB43" s="19"/>
      <c r="KZC43" s="19"/>
      <c r="KZD43" s="19"/>
      <c r="KZE43" s="19"/>
      <c r="KZF43" s="19"/>
      <c r="KZG43" s="19"/>
      <c r="KZH43" s="19"/>
      <c r="KZI43" s="19"/>
      <c r="KZJ43" s="19"/>
      <c r="KZK43" s="19"/>
      <c r="KZL43" s="19"/>
      <c r="KZM43" s="19"/>
      <c r="KZN43" s="19"/>
      <c r="KZO43" s="19"/>
      <c r="KZP43" s="19"/>
      <c r="KZQ43" s="19"/>
      <c r="KZR43" s="19"/>
      <c r="KZS43" s="19"/>
      <c r="KZT43" s="19"/>
      <c r="KZU43" s="19"/>
      <c r="KZV43" s="19"/>
      <c r="KZW43" s="19"/>
      <c r="KZX43" s="19"/>
      <c r="KZY43" s="19"/>
      <c r="KZZ43" s="19"/>
      <c r="LAA43" s="19"/>
      <c r="LAB43" s="19"/>
      <c r="LAC43" s="19"/>
      <c r="LAD43" s="19"/>
      <c r="LAE43" s="19"/>
      <c r="LAF43" s="19"/>
      <c r="LAG43" s="19"/>
      <c r="LAH43" s="19"/>
      <c r="LAI43" s="19"/>
      <c r="LAJ43" s="19"/>
      <c r="LAK43" s="19"/>
      <c r="LAL43" s="19"/>
      <c r="LAM43" s="19"/>
      <c r="LAN43" s="19"/>
      <c r="LAO43" s="19"/>
      <c r="LAP43" s="19"/>
      <c r="LAQ43" s="19"/>
      <c r="LAR43" s="19"/>
      <c r="LAS43" s="19"/>
      <c r="LAT43" s="19"/>
      <c r="LAU43" s="19"/>
      <c r="LAV43" s="19"/>
      <c r="LAW43" s="19"/>
      <c r="LAX43" s="19"/>
      <c r="LAY43" s="19"/>
      <c r="LAZ43" s="19"/>
      <c r="LBA43" s="19"/>
      <c r="LBB43" s="19"/>
      <c r="LBC43" s="19"/>
      <c r="LBD43" s="19"/>
      <c r="LBE43" s="19"/>
      <c r="LBF43" s="19"/>
      <c r="LBG43" s="19"/>
      <c r="LBH43" s="19"/>
      <c r="LBI43" s="19"/>
      <c r="LBJ43" s="19"/>
      <c r="LBK43" s="19"/>
      <c r="LBL43" s="19"/>
      <c r="LBM43" s="19"/>
      <c r="LBN43" s="19"/>
      <c r="LBO43" s="19"/>
      <c r="LBP43" s="19"/>
      <c r="LBQ43" s="19"/>
      <c r="LBR43" s="19"/>
      <c r="LBS43" s="19"/>
      <c r="LBT43" s="19"/>
      <c r="LBU43" s="19"/>
      <c r="LBV43" s="19"/>
      <c r="LBW43" s="19"/>
      <c r="LBX43" s="19"/>
      <c r="LBY43" s="19"/>
      <c r="LBZ43" s="19"/>
      <c r="LCA43" s="19"/>
      <c r="LCB43" s="19"/>
      <c r="LCC43" s="19"/>
      <c r="LCD43" s="19"/>
      <c r="LCE43" s="19"/>
      <c r="LCF43" s="19"/>
      <c r="LCG43" s="19"/>
      <c r="LCH43" s="19"/>
      <c r="LCI43" s="19"/>
      <c r="LCJ43" s="19"/>
      <c r="LCK43" s="19"/>
      <c r="LCL43" s="19"/>
      <c r="LCM43" s="19"/>
      <c r="LCN43" s="19"/>
      <c r="LCO43" s="19"/>
      <c r="LCP43" s="19"/>
      <c r="LCQ43" s="19"/>
      <c r="LCR43" s="19"/>
      <c r="LCS43" s="19"/>
      <c r="LCT43" s="19"/>
      <c r="LCU43" s="19"/>
      <c r="LCV43" s="19"/>
      <c r="LCW43" s="19"/>
      <c r="LCX43" s="19"/>
      <c r="LCY43" s="19"/>
      <c r="LCZ43" s="19"/>
      <c r="LDA43" s="19"/>
      <c r="LDB43" s="19"/>
      <c r="LDC43" s="19"/>
      <c r="LDD43" s="19"/>
      <c r="LDE43" s="19"/>
      <c r="LDF43" s="19"/>
      <c r="LDG43" s="19"/>
      <c r="LDH43" s="19"/>
      <c r="LDI43" s="19"/>
      <c r="LDJ43" s="19"/>
      <c r="LDK43" s="19"/>
      <c r="LDL43" s="19"/>
      <c r="LDM43" s="19"/>
      <c r="LDN43" s="19"/>
      <c r="LDO43" s="19"/>
      <c r="LDP43" s="19"/>
      <c r="LDQ43" s="19"/>
      <c r="LDR43" s="19"/>
      <c r="LDS43" s="19"/>
      <c r="LDT43" s="19"/>
      <c r="LDU43" s="19"/>
      <c r="LDV43" s="19"/>
      <c r="LDW43" s="19"/>
      <c r="LDX43" s="19"/>
      <c r="LDY43" s="19"/>
      <c r="LDZ43" s="19"/>
      <c r="LEA43" s="19"/>
      <c r="LEB43" s="19"/>
      <c r="LEC43" s="19"/>
      <c r="LED43" s="19"/>
      <c r="LEE43" s="19"/>
      <c r="LEF43" s="19"/>
      <c r="LEG43" s="19"/>
      <c r="LEH43" s="19"/>
      <c r="LEI43" s="19"/>
      <c r="LEJ43" s="19"/>
      <c r="LEK43" s="19"/>
      <c r="LEL43" s="19"/>
      <c r="LEM43" s="19"/>
      <c r="LEN43" s="19"/>
      <c r="LEO43" s="19"/>
      <c r="LEP43" s="19"/>
      <c r="LEQ43" s="19"/>
      <c r="LER43" s="19"/>
      <c r="LES43" s="19"/>
      <c r="LET43" s="19"/>
      <c r="LEU43" s="19"/>
      <c r="LEV43" s="19"/>
      <c r="LEW43" s="19"/>
      <c r="LEX43" s="19"/>
      <c r="LEY43" s="19"/>
      <c r="LEZ43" s="19"/>
      <c r="LFA43" s="19"/>
      <c r="LFB43" s="19"/>
      <c r="LFC43" s="19"/>
      <c r="LFD43" s="19"/>
      <c r="LFE43" s="19"/>
      <c r="LFF43" s="19"/>
      <c r="LFG43" s="19"/>
      <c r="LFH43" s="19"/>
      <c r="LFI43" s="19"/>
      <c r="LFJ43" s="19"/>
      <c r="LFK43" s="19"/>
      <c r="LFL43" s="19"/>
      <c r="LFM43" s="19"/>
      <c r="LFN43" s="19"/>
      <c r="LFO43" s="19"/>
      <c r="LFP43" s="19"/>
      <c r="LFQ43" s="19"/>
      <c r="LFR43" s="19"/>
      <c r="LFS43" s="19"/>
      <c r="LFT43" s="19"/>
      <c r="LFU43" s="19"/>
      <c r="LFV43" s="19"/>
      <c r="LFW43" s="19"/>
      <c r="LFX43" s="19"/>
      <c r="LFY43" s="19"/>
      <c r="LFZ43" s="19"/>
      <c r="LGA43" s="19"/>
      <c r="LGB43" s="19"/>
      <c r="LGC43" s="19"/>
      <c r="LGD43" s="19"/>
      <c r="LGE43" s="19"/>
      <c r="LGF43" s="19"/>
      <c r="LGG43" s="19"/>
      <c r="LGH43" s="19"/>
      <c r="LGI43" s="19"/>
      <c r="LGJ43" s="19"/>
      <c r="LGK43" s="19"/>
      <c r="LGL43" s="19"/>
      <c r="LGM43" s="19"/>
      <c r="LGN43" s="19"/>
      <c r="LGO43" s="19"/>
      <c r="LGP43" s="19"/>
      <c r="LGQ43" s="19"/>
      <c r="LGR43" s="19"/>
      <c r="LGS43" s="19"/>
      <c r="LGT43" s="19"/>
      <c r="LGU43" s="19"/>
      <c r="LGV43" s="19"/>
      <c r="LGW43" s="19"/>
      <c r="LGX43" s="19"/>
      <c r="LGY43" s="19"/>
      <c r="LGZ43" s="19"/>
      <c r="LHA43" s="19"/>
      <c r="LHB43" s="19"/>
      <c r="LHC43" s="19"/>
      <c r="LHD43" s="19"/>
      <c r="LHE43" s="19"/>
      <c r="LHF43" s="19"/>
      <c r="LHG43" s="19"/>
      <c r="LHH43" s="19"/>
      <c r="LHI43" s="19"/>
      <c r="LHJ43" s="19"/>
      <c r="LHK43" s="19"/>
      <c r="LHL43" s="19"/>
      <c r="LHM43" s="19"/>
      <c r="LHN43" s="19"/>
      <c r="LHO43" s="19"/>
      <c r="LHP43" s="19"/>
      <c r="LHQ43" s="19"/>
      <c r="LHR43" s="19"/>
      <c r="LHS43" s="19"/>
      <c r="LHT43" s="19"/>
      <c r="LHU43" s="19"/>
      <c r="LHV43" s="19"/>
      <c r="LHW43" s="19"/>
      <c r="LHX43" s="19"/>
      <c r="LHY43" s="19"/>
      <c r="LHZ43" s="19"/>
      <c r="LIA43" s="19"/>
      <c r="LIB43" s="19"/>
      <c r="LIC43" s="19"/>
      <c r="LID43" s="19"/>
      <c r="LIE43" s="19"/>
      <c r="LIF43" s="19"/>
      <c r="LIG43" s="19"/>
      <c r="LIH43" s="19"/>
      <c r="LII43" s="19"/>
      <c r="LIJ43" s="19"/>
      <c r="LIK43" s="19"/>
      <c r="LIL43" s="19"/>
      <c r="LIM43" s="19"/>
      <c r="LIN43" s="19"/>
      <c r="LIO43" s="19"/>
      <c r="LIP43" s="19"/>
      <c r="LIQ43" s="19"/>
      <c r="LIR43" s="19"/>
      <c r="LIS43" s="19"/>
      <c r="LIT43" s="19"/>
      <c r="LIU43" s="19"/>
      <c r="LIV43" s="19"/>
      <c r="LIW43" s="19"/>
      <c r="LIX43" s="19"/>
      <c r="LIY43" s="19"/>
      <c r="LIZ43" s="19"/>
      <c r="LJA43" s="19"/>
      <c r="LJB43" s="19"/>
      <c r="LJC43" s="19"/>
      <c r="LJD43" s="19"/>
      <c r="LJE43" s="19"/>
      <c r="LJF43" s="19"/>
      <c r="LJG43" s="19"/>
      <c r="LJH43" s="19"/>
      <c r="LJI43" s="19"/>
      <c r="LJJ43" s="19"/>
      <c r="LJK43" s="19"/>
      <c r="LJL43" s="19"/>
      <c r="LJM43" s="19"/>
      <c r="LJN43" s="19"/>
      <c r="LJO43" s="19"/>
      <c r="LJP43" s="19"/>
      <c r="LJQ43" s="19"/>
      <c r="LJR43" s="19"/>
      <c r="LJS43" s="19"/>
      <c r="LJT43" s="19"/>
      <c r="LJU43" s="19"/>
      <c r="LJV43" s="19"/>
      <c r="LJW43" s="19"/>
      <c r="LJX43" s="19"/>
      <c r="LJY43" s="19"/>
      <c r="LJZ43" s="19"/>
      <c r="LKA43" s="19"/>
      <c r="LKB43" s="19"/>
      <c r="LKC43" s="19"/>
      <c r="LKD43" s="19"/>
      <c r="LKE43" s="19"/>
      <c r="LKF43" s="19"/>
      <c r="LKG43" s="19"/>
      <c r="LKH43" s="19"/>
      <c r="LKI43" s="19"/>
      <c r="LKJ43" s="19"/>
      <c r="LKK43" s="19"/>
      <c r="LKL43" s="19"/>
      <c r="LKM43" s="19"/>
      <c r="LKN43" s="19"/>
      <c r="LKO43" s="19"/>
      <c r="LKP43" s="19"/>
      <c r="LKQ43" s="19"/>
      <c r="LKR43" s="19"/>
      <c r="LKS43" s="19"/>
      <c r="LKT43" s="19"/>
      <c r="LKU43" s="19"/>
      <c r="LKV43" s="19"/>
      <c r="LKW43" s="19"/>
      <c r="LKX43" s="19"/>
      <c r="LKY43" s="19"/>
      <c r="LKZ43" s="19"/>
      <c r="LLA43" s="19"/>
      <c r="LLB43" s="19"/>
      <c r="LLC43" s="19"/>
      <c r="LLD43" s="19"/>
      <c r="LLE43" s="19"/>
      <c r="LLF43" s="19"/>
      <c r="LLG43" s="19"/>
      <c r="LLH43" s="19"/>
      <c r="LLI43" s="19"/>
      <c r="LLJ43" s="19"/>
      <c r="LLK43" s="19"/>
      <c r="LLL43" s="19"/>
      <c r="LLM43" s="19"/>
      <c r="LLN43" s="19"/>
      <c r="LLO43" s="19"/>
      <c r="LLP43" s="19"/>
      <c r="LLQ43" s="19"/>
      <c r="LLR43" s="19"/>
      <c r="LLS43" s="19"/>
      <c r="LLT43" s="19"/>
      <c r="LLU43" s="19"/>
      <c r="LLV43" s="19"/>
      <c r="LLW43" s="19"/>
      <c r="LLX43" s="19"/>
      <c r="LLY43" s="19"/>
      <c r="LLZ43" s="19"/>
      <c r="LMA43" s="19"/>
      <c r="LMB43" s="19"/>
      <c r="LMC43" s="19"/>
      <c r="LMD43" s="19"/>
      <c r="LME43" s="19"/>
      <c r="LMF43" s="19"/>
      <c r="LMG43" s="19"/>
      <c r="LMH43" s="19"/>
      <c r="LMI43" s="19"/>
      <c r="LMJ43" s="19"/>
      <c r="LMK43" s="19"/>
      <c r="LML43" s="19"/>
      <c r="LMM43" s="19"/>
      <c r="LMN43" s="19"/>
      <c r="LMO43" s="19"/>
      <c r="LMP43" s="19"/>
      <c r="LMQ43" s="19"/>
      <c r="LMR43" s="19"/>
      <c r="LMS43" s="19"/>
      <c r="LMT43" s="19"/>
      <c r="LMU43" s="19"/>
      <c r="LMV43" s="19"/>
      <c r="LMW43" s="19"/>
      <c r="LMX43" s="19"/>
      <c r="LMY43" s="19"/>
      <c r="LMZ43" s="19"/>
      <c r="LNA43" s="19"/>
      <c r="LNB43" s="19"/>
      <c r="LNC43" s="19"/>
      <c r="LND43" s="19"/>
      <c r="LNE43" s="19"/>
      <c r="LNF43" s="19"/>
      <c r="LNG43" s="19"/>
      <c r="LNH43" s="19"/>
      <c r="LNI43" s="19"/>
      <c r="LNJ43" s="19"/>
      <c r="LNK43" s="19"/>
      <c r="LNL43" s="19"/>
      <c r="LNM43" s="19"/>
      <c r="LNN43" s="19"/>
      <c r="LNO43" s="19"/>
      <c r="LNP43" s="19"/>
      <c r="LNQ43" s="19"/>
      <c r="LNR43" s="19"/>
      <c r="LNS43" s="19"/>
      <c r="LNT43" s="19"/>
      <c r="LNU43" s="19"/>
      <c r="LNV43" s="19"/>
      <c r="LNW43" s="19"/>
      <c r="LNX43" s="19"/>
      <c r="LNY43" s="19"/>
      <c r="LNZ43" s="19"/>
      <c r="LOA43" s="19"/>
      <c r="LOB43" s="19"/>
      <c r="LOC43" s="19"/>
      <c r="LOD43" s="19"/>
      <c r="LOE43" s="19"/>
      <c r="LOF43" s="19"/>
      <c r="LOG43" s="19"/>
      <c r="LOH43" s="19"/>
      <c r="LOI43" s="19"/>
      <c r="LOJ43" s="19"/>
      <c r="LOK43" s="19"/>
      <c r="LOL43" s="19"/>
      <c r="LOM43" s="19"/>
      <c r="LON43" s="19"/>
      <c r="LOO43" s="19"/>
      <c r="LOP43" s="19"/>
      <c r="LOQ43" s="19"/>
      <c r="LOR43" s="19"/>
      <c r="LOS43" s="19"/>
      <c r="LOT43" s="19"/>
      <c r="LOU43" s="19"/>
      <c r="LOV43" s="19"/>
      <c r="LOW43" s="19"/>
      <c r="LOX43" s="19"/>
      <c r="LOY43" s="19"/>
      <c r="LOZ43" s="19"/>
      <c r="LPA43" s="19"/>
      <c r="LPB43" s="19"/>
      <c r="LPC43" s="19"/>
      <c r="LPD43" s="19"/>
      <c r="LPE43" s="19"/>
      <c r="LPF43" s="19"/>
      <c r="LPG43" s="19"/>
      <c r="LPH43" s="19"/>
      <c r="LPI43" s="19"/>
      <c r="LPJ43" s="19"/>
      <c r="LPK43" s="19"/>
      <c r="LPL43" s="19"/>
      <c r="LPM43" s="19"/>
      <c r="LPN43" s="19"/>
      <c r="LPO43" s="19"/>
      <c r="LPP43" s="19"/>
      <c r="LPQ43" s="19"/>
      <c r="LPR43" s="19"/>
      <c r="LPS43" s="19"/>
      <c r="LPT43" s="19"/>
      <c r="LPU43" s="19"/>
      <c r="LPV43" s="19"/>
      <c r="LPW43" s="19"/>
      <c r="LPX43" s="19"/>
      <c r="LPY43" s="19"/>
      <c r="LPZ43" s="19"/>
      <c r="LQA43" s="19"/>
      <c r="LQB43" s="19"/>
      <c r="LQC43" s="19"/>
      <c r="LQD43" s="19"/>
      <c r="LQE43" s="19"/>
      <c r="LQF43" s="19"/>
      <c r="LQG43" s="19"/>
      <c r="LQH43" s="19"/>
      <c r="LQI43" s="19"/>
      <c r="LQJ43" s="19"/>
      <c r="LQK43" s="19"/>
      <c r="LQL43" s="19"/>
      <c r="LQM43" s="19"/>
      <c r="LQN43" s="19"/>
      <c r="LQO43" s="19"/>
      <c r="LQP43" s="19"/>
      <c r="LQQ43" s="19"/>
      <c r="LQR43" s="19"/>
      <c r="LQS43" s="19"/>
      <c r="LQT43" s="19"/>
      <c r="LQU43" s="19"/>
      <c r="LQV43" s="19"/>
      <c r="LQW43" s="19"/>
      <c r="LQX43" s="19"/>
      <c r="LQY43" s="19"/>
      <c r="LQZ43" s="19"/>
      <c r="LRA43" s="19"/>
      <c r="LRB43" s="19"/>
      <c r="LRC43" s="19"/>
      <c r="LRD43" s="19"/>
      <c r="LRE43" s="19"/>
      <c r="LRF43" s="19"/>
      <c r="LRG43" s="19"/>
      <c r="LRH43" s="19"/>
      <c r="LRI43" s="19"/>
      <c r="LRJ43" s="19"/>
      <c r="LRK43" s="19"/>
      <c r="LRL43" s="19"/>
      <c r="LRM43" s="19"/>
      <c r="LRN43" s="19"/>
      <c r="LRO43" s="19"/>
      <c r="LRP43" s="19"/>
      <c r="LRQ43" s="19"/>
      <c r="LRR43" s="19"/>
      <c r="LRS43" s="19"/>
      <c r="LRT43" s="19"/>
      <c r="LRU43" s="19"/>
      <c r="LRV43" s="19"/>
      <c r="LRW43" s="19"/>
      <c r="LRX43" s="19"/>
      <c r="LRY43" s="19"/>
      <c r="LRZ43" s="19"/>
      <c r="LSA43" s="19"/>
      <c r="LSB43" s="19"/>
      <c r="LSC43" s="19"/>
      <c r="LSD43" s="19"/>
      <c r="LSE43" s="19"/>
      <c r="LSF43" s="19"/>
      <c r="LSG43" s="19"/>
      <c r="LSH43" s="19"/>
      <c r="LSI43" s="19"/>
      <c r="LSJ43" s="19"/>
      <c r="LSK43" s="19"/>
      <c r="LSL43" s="19"/>
      <c r="LSM43" s="19"/>
      <c r="LSN43" s="19"/>
      <c r="LSO43" s="19"/>
      <c r="LSP43" s="19"/>
      <c r="LSQ43" s="19"/>
      <c r="LSR43" s="19"/>
      <c r="LSS43" s="19"/>
      <c r="LST43" s="19"/>
      <c r="LSU43" s="19"/>
      <c r="LSV43" s="19"/>
      <c r="LSW43" s="19"/>
      <c r="LSX43" s="19"/>
      <c r="LSY43" s="19"/>
      <c r="LSZ43" s="19"/>
      <c r="LTA43" s="19"/>
      <c r="LTB43" s="19"/>
      <c r="LTC43" s="19"/>
      <c r="LTD43" s="19"/>
      <c r="LTE43" s="19"/>
      <c r="LTF43" s="19"/>
      <c r="LTG43" s="19"/>
      <c r="LTH43" s="19"/>
      <c r="LTI43" s="19"/>
      <c r="LTJ43" s="19"/>
      <c r="LTK43" s="19"/>
      <c r="LTL43" s="19"/>
      <c r="LTM43" s="19"/>
      <c r="LTN43" s="19"/>
      <c r="LTO43" s="19"/>
      <c r="LTP43" s="19"/>
      <c r="LTQ43" s="19"/>
      <c r="LTR43" s="19"/>
      <c r="LTS43" s="19"/>
      <c r="LTT43" s="19"/>
      <c r="LTU43" s="19"/>
      <c r="LTV43" s="19"/>
      <c r="LTW43" s="19"/>
      <c r="LTX43" s="19"/>
      <c r="LTY43" s="19"/>
      <c r="LTZ43" s="19"/>
      <c r="LUA43" s="19"/>
      <c r="LUB43" s="19"/>
      <c r="LUC43" s="19"/>
      <c r="LUD43" s="19"/>
      <c r="LUE43" s="19"/>
      <c r="LUF43" s="19"/>
      <c r="LUG43" s="19"/>
      <c r="LUH43" s="19"/>
      <c r="LUI43" s="19"/>
      <c r="LUJ43" s="19"/>
      <c r="LUK43" s="19"/>
      <c r="LUL43" s="19"/>
      <c r="LUM43" s="19"/>
      <c r="LUN43" s="19"/>
      <c r="LUO43" s="19"/>
      <c r="LUP43" s="19"/>
      <c r="LUQ43" s="19"/>
      <c r="LUR43" s="19"/>
      <c r="LUS43" s="19"/>
      <c r="LUT43" s="19"/>
      <c r="LUU43" s="19"/>
      <c r="LUV43" s="19"/>
      <c r="LUW43" s="19"/>
      <c r="LUX43" s="19"/>
      <c r="LUY43" s="19"/>
      <c r="LUZ43" s="19"/>
      <c r="LVA43" s="19"/>
      <c r="LVB43" s="19"/>
      <c r="LVC43" s="19"/>
      <c r="LVD43" s="19"/>
      <c r="LVE43" s="19"/>
      <c r="LVF43" s="19"/>
      <c r="LVG43" s="19"/>
      <c r="LVH43" s="19"/>
      <c r="LVI43" s="19"/>
      <c r="LVJ43" s="19"/>
      <c r="LVK43" s="19"/>
      <c r="LVL43" s="19"/>
      <c r="LVM43" s="19"/>
      <c r="LVN43" s="19"/>
      <c r="LVO43" s="19"/>
      <c r="LVP43" s="19"/>
      <c r="LVQ43" s="19"/>
      <c r="LVR43" s="19"/>
      <c r="LVS43" s="19"/>
      <c r="LVT43" s="19"/>
      <c r="LVU43" s="19"/>
      <c r="LVV43" s="19"/>
      <c r="LVW43" s="19"/>
      <c r="LVX43" s="19"/>
      <c r="LVY43" s="19"/>
      <c r="LVZ43" s="19"/>
      <c r="LWA43" s="19"/>
      <c r="LWB43" s="19"/>
      <c r="LWC43" s="19"/>
      <c r="LWD43" s="19"/>
      <c r="LWE43" s="19"/>
      <c r="LWF43" s="19"/>
      <c r="LWG43" s="19"/>
      <c r="LWH43" s="19"/>
      <c r="LWI43" s="19"/>
      <c r="LWJ43" s="19"/>
      <c r="LWK43" s="19"/>
      <c r="LWL43" s="19"/>
      <c r="LWM43" s="19"/>
      <c r="LWN43" s="19"/>
      <c r="LWO43" s="19"/>
      <c r="LWP43" s="19"/>
      <c r="LWQ43" s="19"/>
      <c r="LWR43" s="19"/>
      <c r="LWS43" s="19"/>
      <c r="LWT43" s="19"/>
      <c r="LWU43" s="19"/>
      <c r="LWV43" s="19"/>
      <c r="LWW43" s="19"/>
      <c r="LWX43" s="19"/>
      <c r="LWY43" s="19"/>
      <c r="LWZ43" s="19"/>
      <c r="LXA43" s="19"/>
      <c r="LXB43" s="19"/>
      <c r="LXC43" s="19"/>
      <c r="LXD43" s="19"/>
      <c r="LXE43" s="19"/>
      <c r="LXF43" s="19"/>
      <c r="LXG43" s="19"/>
      <c r="LXH43" s="19"/>
      <c r="LXI43" s="19"/>
      <c r="LXJ43" s="19"/>
      <c r="LXK43" s="19"/>
      <c r="LXL43" s="19"/>
      <c r="LXM43" s="19"/>
      <c r="LXN43" s="19"/>
      <c r="LXO43" s="19"/>
      <c r="LXP43" s="19"/>
      <c r="LXQ43" s="19"/>
      <c r="LXR43" s="19"/>
      <c r="LXS43" s="19"/>
      <c r="LXT43" s="19"/>
      <c r="LXU43" s="19"/>
      <c r="LXV43" s="19"/>
      <c r="LXW43" s="19"/>
      <c r="LXX43" s="19"/>
      <c r="LXY43" s="19"/>
      <c r="LXZ43" s="19"/>
      <c r="LYA43" s="19"/>
      <c r="LYB43" s="19"/>
      <c r="LYC43" s="19"/>
      <c r="LYD43" s="19"/>
      <c r="LYE43" s="19"/>
      <c r="LYF43" s="19"/>
      <c r="LYG43" s="19"/>
      <c r="LYH43" s="19"/>
      <c r="LYI43" s="19"/>
      <c r="LYJ43" s="19"/>
      <c r="LYK43" s="19"/>
      <c r="LYL43" s="19"/>
      <c r="LYM43" s="19"/>
      <c r="LYN43" s="19"/>
      <c r="LYO43" s="19"/>
      <c r="LYP43" s="19"/>
      <c r="LYQ43" s="19"/>
      <c r="LYR43" s="19"/>
      <c r="LYS43" s="19"/>
      <c r="LYT43" s="19"/>
      <c r="LYU43" s="19"/>
      <c r="LYV43" s="19"/>
      <c r="LYW43" s="19"/>
      <c r="LYX43" s="19"/>
      <c r="LYY43" s="19"/>
      <c r="LYZ43" s="19"/>
      <c r="LZA43" s="19"/>
      <c r="LZB43" s="19"/>
      <c r="LZC43" s="19"/>
      <c r="LZD43" s="19"/>
      <c r="LZE43" s="19"/>
      <c r="LZF43" s="19"/>
      <c r="LZG43" s="19"/>
      <c r="LZH43" s="19"/>
      <c r="LZI43" s="19"/>
      <c r="LZJ43" s="19"/>
      <c r="LZK43" s="19"/>
      <c r="LZL43" s="19"/>
      <c r="LZM43" s="19"/>
      <c r="LZN43" s="19"/>
      <c r="LZO43" s="19"/>
      <c r="LZP43" s="19"/>
      <c r="LZQ43" s="19"/>
      <c r="LZR43" s="19"/>
      <c r="LZS43" s="19"/>
      <c r="LZT43" s="19"/>
      <c r="LZU43" s="19"/>
      <c r="LZV43" s="19"/>
      <c r="LZW43" s="19"/>
      <c r="LZX43" s="19"/>
      <c r="LZY43" s="19"/>
      <c r="LZZ43" s="19"/>
      <c r="MAA43" s="19"/>
      <c r="MAB43" s="19"/>
      <c r="MAC43" s="19"/>
      <c r="MAD43" s="19"/>
      <c r="MAE43" s="19"/>
      <c r="MAF43" s="19"/>
      <c r="MAG43" s="19"/>
      <c r="MAH43" s="19"/>
      <c r="MAI43" s="19"/>
      <c r="MAJ43" s="19"/>
      <c r="MAK43" s="19"/>
      <c r="MAL43" s="19"/>
      <c r="MAM43" s="19"/>
      <c r="MAN43" s="19"/>
      <c r="MAO43" s="19"/>
      <c r="MAP43" s="19"/>
      <c r="MAQ43" s="19"/>
      <c r="MAR43" s="19"/>
      <c r="MAS43" s="19"/>
      <c r="MAT43" s="19"/>
      <c r="MAU43" s="19"/>
      <c r="MAV43" s="19"/>
      <c r="MAW43" s="19"/>
      <c r="MAX43" s="19"/>
      <c r="MAY43" s="19"/>
      <c r="MAZ43" s="19"/>
      <c r="MBA43" s="19"/>
      <c r="MBB43" s="19"/>
      <c r="MBC43" s="19"/>
      <c r="MBD43" s="19"/>
      <c r="MBE43" s="19"/>
      <c r="MBF43" s="19"/>
      <c r="MBG43" s="19"/>
      <c r="MBH43" s="19"/>
      <c r="MBI43" s="19"/>
      <c r="MBJ43" s="19"/>
      <c r="MBK43" s="19"/>
      <c r="MBL43" s="19"/>
      <c r="MBM43" s="19"/>
      <c r="MBN43" s="19"/>
      <c r="MBO43" s="19"/>
      <c r="MBP43" s="19"/>
      <c r="MBQ43" s="19"/>
      <c r="MBR43" s="19"/>
      <c r="MBS43" s="19"/>
      <c r="MBT43" s="19"/>
      <c r="MBU43" s="19"/>
      <c r="MBV43" s="19"/>
      <c r="MBW43" s="19"/>
      <c r="MBX43" s="19"/>
      <c r="MBY43" s="19"/>
      <c r="MBZ43" s="19"/>
      <c r="MCA43" s="19"/>
      <c r="MCB43" s="19"/>
      <c r="MCC43" s="19"/>
      <c r="MCD43" s="19"/>
      <c r="MCE43" s="19"/>
      <c r="MCF43" s="19"/>
      <c r="MCG43" s="19"/>
      <c r="MCH43" s="19"/>
      <c r="MCI43" s="19"/>
      <c r="MCJ43" s="19"/>
      <c r="MCK43" s="19"/>
      <c r="MCL43" s="19"/>
      <c r="MCM43" s="19"/>
      <c r="MCN43" s="19"/>
      <c r="MCO43" s="19"/>
      <c r="MCP43" s="19"/>
      <c r="MCQ43" s="19"/>
      <c r="MCR43" s="19"/>
      <c r="MCS43" s="19"/>
      <c r="MCT43" s="19"/>
      <c r="MCU43" s="19"/>
      <c r="MCV43" s="19"/>
      <c r="MCW43" s="19"/>
      <c r="MCX43" s="19"/>
      <c r="MCY43" s="19"/>
      <c r="MCZ43" s="19"/>
      <c r="MDA43" s="19"/>
      <c r="MDB43" s="19"/>
      <c r="MDC43" s="19"/>
      <c r="MDD43" s="19"/>
      <c r="MDE43" s="19"/>
      <c r="MDF43" s="19"/>
      <c r="MDG43" s="19"/>
      <c r="MDH43" s="19"/>
      <c r="MDI43" s="19"/>
      <c r="MDJ43" s="19"/>
      <c r="MDK43" s="19"/>
      <c r="MDL43" s="19"/>
      <c r="MDM43" s="19"/>
      <c r="MDN43" s="19"/>
      <c r="MDO43" s="19"/>
      <c r="MDP43" s="19"/>
      <c r="MDQ43" s="19"/>
      <c r="MDR43" s="19"/>
      <c r="MDS43" s="19"/>
      <c r="MDT43" s="19"/>
      <c r="MDU43" s="19"/>
      <c r="MDV43" s="19"/>
      <c r="MDW43" s="19"/>
      <c r="MDX43" s="19"/>
      <c r="MDY43" s="19"/>
      <c r="MDZ43" s="19"/>
      <c r="MEA43" s="19"/>
      <c r="MEB43" s="19"/>
      <c r="MEC43" s="19"/>
      <c r="MED43" s="19"/>
      <c r="MEE43" s="19"/>
      <c r="MEF43" s="19"/>
      <c r="MEG43" s="19"/>
      <c r="MEH43" s="19"/>
      <c r="MEI43" s="19"/>
      <c r="MEJ43" s="19"/>
      <c r="MEK43" s="19"/>
      <c r="MEL43" s="19"/>
      <c r="MEM43" s="19"/>
      <c r="MEN43" s="19"/>
      <c r="MEO43" s="19"/>
      <c r="MEP43" s="19"/>
      <c r="MEQ43" s="19"/>
      <c r="MER43" s="19"/>
      <c r="MES43" s="19"/>
      <c r="MET43" s="19"/>
      <c r="MEU43" s="19"/>
      <c r="MEV43" s="19"/>
      <c r="MEW43" s="19"/>
      <c r="MEX43" s="19"/>
      <c r="MEY43" s="19"/>
      <c r="MEZ43" s="19"/>
      <c r="MFA43" s="19"/>
      <c r="MFB43" s="19"/>
      <c r="MFC43" s="19"/>
      <c r="MFD43" s="19"/>
      <c r="MFE43" s="19"/>
      <c r="MFF43" s="19"/>
      <c r="MFG43" s="19"/>
      <c r="MFH43" s="19"/>
      <c r="MFI43" s="19"/>
      <c r="MFJ43" s="19"/>
      <c r="MFK43" s="19"/>
      <c r="MFL43" s="19"/>
      <c r="MFM43" s="19"/>
      <c r="MFN43" s="19"/>
      <c r="MFO43" s="19"/>
      <c r="MFP43" s="19"/>
      <c r="MFQ43" s="19"/>
      <c r="MFR43" s="19"/>
      <c r="MFS43" s="19"/>
      <c r="MFT43" s="19"/>
      <c r="MFU43" s="19"/>
      <c r="MFV43" s="19"/>
      <c r="MFW43" s="19"/>
      <c r="MFX43" s="19"/>
      <c r="MFY43" s="19"/>
      <c r="MFZ43" s="19"/>
      <c r="MGA43" s="19"/>
      <c r="MGB43" s="19"/>
      <c r="MGC43" s="19"/>
      <c r="MGD43" s="19"/>
      <c r="MGE43" s="19"/>
      <c r="MGF43" s="19"/>
      <c r="MGG43" s="19"/>
      <c r="MGH43" s="19"/>
      <c r="MGI43" s="19"/>
      <c r="MGJ43" s="19"/>
      <c r="MGK43" s="19"/>
      <c r="MGL43" s="19"/>
      <c r="MGM43" s="19"/>
      <c r="MGN43" s="19"/>
      <c r="MGO43" s="19"/>
      <c r="MGP43" s="19"/>
      <c r="MGQ43" s="19"/>
      <c r="MGR43" s="19"/>
      <c r="MGS43" s="19"/>
      <c r="MGT43" s="19"/>
      <c r="MGU43" s="19"/>
      <c r="MGV43" s="19"/>
      <c r="MGW43" s="19"/>
      <c r="MGX43" s="19"/>
      <c r="MGY43" s="19"/>
      <c r="MGZ43" s="19"/>
      <c r="MHA43" s="19"/>
      <c r="MHB43" s="19"/>
      <c r="MHC43" s="19"/>
      <c r="MHD43" s="19"/>
      <c r="MHE43" s="19"/>
      <c r="MHF43" s="19"/>
      <c r="MHG43" s="19"/>
      <c r="MHH43" s="19"/>
      <c r="MHI43" s="19"/>
      <c r="MHJ43" s="19"/>
      <c r="MHK43" s="19"/>
      <c r="MHL43" s="19"/>
      <c r="MHM43" s="19"/>
      <c r="MHN43" s="19"/>
      <c r="MHO43" s="19"/>
      <c r="MHP43" s="19"/>
      <c r="MHQ43" s="19"/>
      <c r="MHR43" s="19"/>
      <c r="MHS43" s="19"/>
      <c r="MHT43" s="19"/>
      <c r="MHU43" s="19"/>
      <c r="MHV43" s="19"/>
      <c r="MHW43" s="19"/>
      <c r="MHX43" s="19"/>
      <c r="MHY43" s="19"/>
      <c r="MHZ43" s="19"/>
      <c r="MIA43" s="19"/>
      <c r="MIB43" s="19"/>
      <c r="MIC43" s="19"/>
      <c r="MID43" s="19"/>
      <c r="MIE43" s="19"/>
      <c r="MIF43" s="19"/>
      <c r="MIG43" s="19"/>
      <c r="MIH43" s="19"/>
      <c r="MII43" s="19"/>
      <c r="MIJ43" s="19"/>
      <c r="MIK43" s="19"/>
      <c r="MIL43" s="19"/>
      <c r="MIM43" s="19"/>
      <c r="MIN43" s="19"/>
      <c r="MIO43" s="19"/>
      <c r="MIP43" s="19"/>
      <c r="MIQ43" s="19"/>
      <c r="MIR43" s="19"/>
      <c r="MIS43" s="19"/>
      <c r="MIT43" s="19"/>
      <c r="MIU43" s="19"/>
      <c r="MIV43" s="19"/>
      <c r="MIW43" s="19"/>
      <c r="MIX43" s="19"/>
      <c r="MIY43" s="19"/>
      <c r="MIZ43" s="19"/>
      <c r="MJA43" s="19"/>
      <c r="MJB43" s="19"/>
      <c r="MJC43" s="19"/>
      <c r="MJD43" s="19"/>
      <c r="MJE43" s="19"/>
      <c r="MJF43" s="19"/>
      <c r="MJG43" s="19"/>
      <c r="MJH43" s="19"/>
      <c r="MJI43" s="19"/>
      <c r="MJJ43" s="19"/>
      <c r="MJK43" s="19"/>
      <c r="MJL43" s="19"/>
      <c r="MJM43" s="19"/>
      <c r="MJN43" s="19"/>
      <c r="MJO43" s="19"/>
      <c r="MJP43" s="19"/>
      <c r="MJQ43" s="19"/>
      <c r="MJR43" s="19"/>
      <c r="MJS43" s="19"/>
      <c r="MJT43" s="19"/>
      <c r="MJU43" s="19"/>
      <c r="MJV43" s="19"/>
      <c r="MJW43" s="19"/>
      <c r="MJX43" s="19"/>
      <c r="MJY43" s="19"/>
      <c r="MJZ43" s="19"/>
      <c r="MKA43" s="19"/>
      <c r="MKB43" s="19"/>
      <c r="MKC43" s="19"/>
      <c r="MKD43" s="19"/>
      <c r="MKE43" s="19"/>
      <c r="MKF43" s="19"/>
      <c r="MKG43" s="19"/>
      <c r="MKH43" s="19"/>
      <c r="MKI43" s="19"/>
      <c r="MKJ43" s="19"/>
      <c r="MKK43" s="19"/>
      <c r="MKL43" s="19"/>
      <c r="MKM43" s="19"/>
      <c r="MKN43" s="19"/>
      <c r="MKO43" s="19"/>
      <c r="MKP43" s="19"/>
      <c r="MKQ43" s="19"/>
      <c r="MKR43" s="19"/>
      <c r="MKS43" s="19"/>
      <c r="MKT43" s="19"/>
      <c r="MKU43" s="19"/>
      <c r="MKV43" s="19"/>
      <c r="MKW43" s="19"/>
      <c r="MKX43" s="19"/>
      <c r="MKY43" s="19"/>
      <c r="MKZ43" s="19"/>
      <c r="MLA43" s="19"/>
      <c r="MLB43" s="19"/>
      <c r="MLC43" s="19"/>
      <c r="MLD43" s="19"/>
      <c r="MLE43" s="19"/>
      <c r="MLF43" s="19"/>
      <c r="MLG43" s="19"/>
      <c r="MLH43" s="19"/>
      <c r="MLI43" s="19"/>
      <c r="MLJ43" s="19"/>
      <c r="MLK43" s="19"/>
      <c r="MLL43" s="19"/>
      <c r="MLM43" s="19"/>
      <c r="MLN43" s="19"/>
      <c r="MLO43" s="19"/>
      <c r="MLP43" s="19"/>
      <c r="MLQ43" s="19"/>
      <c r="MLR43" s="19"/>
      <c r="MLS43" s="19"/>
      <c r="MLT43" s="19"/>
      <c r="MLU43" s="19"/>
      <c r="MLV43" s="19"/>
      <c r="MLW43" s="19"/>
      <c r="MLX43" s="19"/>
      <c r="MLY43" s="19"/>
      <c r="MLZ43" s="19"/>
      <c r="MMA43" s="19"/>
      <c r="MMB43" s="19"/>
      <c r="MMC43" s="19"/>
      <c r="MMD43" s="19"/>
      <c r="MME43" s="19"/>
      <c r="MMF43" s="19"/>
      <c r="MMG43" s="19"/>
      <c r="MMH43" s="19"/>
      <c r="MMI43" s="19"/>
      <c r="MMJ43" s="19"/>
      <c r="MMK43" s="19"/>
      <c r="MML43" s="19"/>
      <c r="MMM43" s="19"/>
      <c r="MMN43" s="19"/>
      <c r="MMO43" s="19"/>
      <c r="MMP43" s="19"/>
      <c r="MMQ43" s="19"/>
      <c r="MMR43" s="19"/>
      <c r="MMS43" s="19"/>
      <c r="MMT43" s="19"/>
      <c r="MMU43" s="19"/>
      <c r="MMV43" s="19"/>
      <c r="MMW43" s="19"/>
      <c r="MMX43" s="19"/>
      <c r="MMY43" s="19"/>
      <c r="MMZ43" s="19"/>
      <c r="MNA43" s="19"/>
      <c r="MNB43" s="19"/>
      <c r="MNC43" s="19"/>
      <c r="MND43" s="19"/>
      <c r="MNE43" s="19"/>
      <c r="MNF43" s="19"/>
      <c r="MNG43" s="19"/>
      <c r="MNH43" s="19"/>
      <c r="MNI43" s="19"/>
      <c r="MNJ43" s="19"/>
      <c r="MNK43" s="19"/>
      <c r="MNL43" s="19"/>
      <c r="MNM43" s="19"/>
      <c r="MNN43" s="19"/>
      <c r="MNO43" s="19"/>
      <c r="MNP43" s="19"/>
      <c r="MNQ43" s="19"/>
      <c r="MNR43" s="19"/>
      <c r="MNS43" s="19"/>
      <c r="MNT43" s="19"/>
      <c r="MNU43" s="19"/>
      <c r="MNV43" s="19"/>
      <c r="MNW43" s="19"/>
      <c r="MNX43" s="19"/>
      <c r="MNY43" s="19"/>
      <c r="MNZ43" s="19"/>
      <c r="MOA43" s="19"/>
      <c r="MOB43" s="19"/>
      <c r="MOC43" s="19"/>
      <c r="MOD43" s="19"/>
      <c r="MOE43" s="19"/>
      <c r="MOF43" s="19"/>
      <c r="MOG43" s="19"/>
      <c r="MOH43" s="19"/>
      <c r="MOI43" s="19"/>
      <c r="MOJ43" s="19"/>
      <c r="MOK43" s="19"/>
      <c r="MOL43" s="19"/>
      <c r="MOM43" s="19"/>
      <c r="MON43" s="19"/>
      <c r="MOO43" s="19"/>
      <c r="MOP43" s="19"/>
      <c r="MOQ43" s="19"/>
      <c r="MOR43" s="19"/>
      <c r="MOS43" s="19"/>
      <c r="MOT43" s="19"/>
      <c r="MOU43" s="19"/>
      <c r="MOV43" s="19"/>
      <c r="MOW43" s="19"/>
      <c r="MOX43" s="19"/>
      <c r="MOY43" s="19"/>
      <c r="MOZ43" s="19"/>
      <c r="MPA43" s="19"/>
      <c r="MPB43" s="19"/>
      <c r="MPC43" s="19"/>
      <c r="MPD43" s="19"/>
      <c r="MPE43" s="19"/>
      <c r="MPF43" s="19"/>
      <c r="MPG43" s="19"/>
      <c r="MPH43" s="19"/>
      <c r="MPI43" s="19"/>
      <c r="MPJ43" s="19"/>
      <c r="MPK43" s="19"/>
      <c r="MPL43" s="19"/>
      <c r="MPM43" s="19"/>
      <c r="MPN43" s="19"/>
      <c r="MPO43" s="19"/>
      <c r="MPP43" s="19"/>
      <c r="MPQ43" s="19"/>
      <c r="MPR43" s="19"/>
      <c r="MPS43" s="19"/>
      <c r="MPT43" s="19"/>
      <c r="MPU43" s="19"/>
      <c r="MPV43" s="19"/>
      <c r="MPW43" s="19"/>
      <c r="MPX43" s="19"/>
      <c r="MPY43" s="19"/>
      <c r="MPZ43" s="19"/>
      <c r="MQA43" s="19"/>
      <c r="MQB43" s="19"/>
      <c r="MQC43" s="19"/>
      <c r="MQD43" s="19"/>
      <c r="MQE43" s="19"/>
      <c r="MQF43" s="19"/>
      <c r="MQG43" s="19"/>
      <c r="MQH43" s="19"/>
      <c r="MQI43" s="19"/>
      <c r="MQJ43" s="19"/>
      <c r="MQK43" s="19"/>
      <c r="MQL43" s="19"/>
      <c r="MQM43" s="19"/>
      <c r="MQN43" s="19"/>
      <c r="MQO43" s="19"/>
      <c r="MQP43" s="19"/>
      <c r="MQQ43" s="19"/>
      <c r="MQR43" s="19"/>
      <c r="MQS43" s="19"/>
      <c r="MQT43" s="19"/>
      <c r="MQU43" s="19"/>
      <c r="MQV43" s="19"/>
      <c r="MQW43" s="19"/>
      <c r="MQX43" s="19"/>
      <c r="MQY43" s="19"/>
      <c r="MQZ43" s="19"/>
      <c r="MRA43" s="19"/>
      <c r="MRB43" s="19"/>
      <c r="MRC43" s="19"/>
      <c r="MRD43" s="19"/>
      <c r="MRE43" s="19"/>
      <c r="MRF43" s="19"/>
      <c r="MRG43" s="19"/>
      <c r="MRH43" s="19"/>
      <c r="MRI43" s="19"/>
      <c r="MRJ43" s="19"/>
      <c r="MRK43" s="19"/>
      <c r="MRL43" s="19"/>
      <c r="MRM43" s="19"/>
      <c r="MRN43" s="19"/>
      <c r="MRO43" s="19"/>
      <c r="MRP43" s="19"/>
      <c r="MRQ43" s="19"/>
      <c r="MRR43" s="19"/>
      <c r="MRS43" s="19"/>
      <c r="MRT43" s="19"/>
      <c r="MRU43" s="19"/>
      <c r="MRV43" s="19"/>
      <c r="MRW43" s="19"/>
      <c r="MRX43" s="19"/>
      <c r="MRY43" s="19"/>
      <c r="MRZ43" s="19"/>
      <c r="MSA43" s="19"/>
      <c r="MSB43" s="19"/>
      <c r="MSC43" s="19"/>
      <c r="MSD43" s="19"/>
      <c r="MSE43" s="19"/>
      <c r="MSF43" s="19"/>
      <c r="MSG43" s="19"/>
      <c r="MSH43" s="19"/>
      <c r="MSI43" s="19"/>
      <c r="MSJ43" s="19"/>
      <c r="MSK43" s="19"/>
      <c r="MSL43" s="19"/>
      <c r="MSM43" s="19"/>
      <c r="MSN43" s="19"/>
      <c r="MSO43" s="19"/>
      <c r="MSP43" s="19"/>
      <c r="MSQ43" s="19"/>
      <c r="MSR43" s="19"/>
      <c r="MSS43" s="19"/>
      <c r="MST43" s="19"/>
      <c r="MSU43" s="19"/>
      <c r="MSV43" s="19"/>
      <c r="MSW43" s="19"/>
      <c r="MSX43" s="19"/>
      <c r="MSY43" s="19"/>
      <c r="MSZ43" s="19"/>
      <c r="MTA43" s="19"/>
      <c r="MTB43" s="19"/>
      <c r="MTC43" s="19"/>
      <c r="MTD43" s="19"/>
      <c r="MTE43" s="19"/>
      <c r="MTF43" s="19"/>
      <c r="MTG43" s="19"/>
      <c r="MTH43" s="19"/>
      <c r="MTI43" s="19"/>
      <c r="MTJ43" s="19"/>
      <c r="MTK43" s="19"/>
      <c r="MTL43" s="19"/>
      <c r="MTM43" s="19"/>
      <c r="MTN43" s="19"/>
      <c r="MTO43" s="19"/>
      <c r="MTP43" s="19"/>
      <c r="MTQ43" s="19"/>
      <c r="MTR43" s="19"/>
      <c r="MTS43" s="19"/>
      <c r="MTT43" s="19"/>
      <c r="MTU43" s="19"/>
      <c r="MTV43" s="19"/>
      <c r="MTW43" s="19"/>
      <c r="MTX43" s="19"/>
      <c r="MTY43" s="19"/>
      <c r="MTZ43" s="19"/>
      <c r="MUA43" s="19"/>
      <c r="MUB43" s="19"/>
      <c r="MUC43" s="19"/>
      <c r="MUD43" s="19"/>
      <c r="MUE43" s="19"/>
      <c r="MUF43" s="19"/>
      <c r="MUG43" s="19"/>
      <c r="MUH43" s="19"/>
      <c r="MUI43" s="19"/>
      <c r="MUJ43" s="19"/>
      <c r="MUK43" s="19"/>
      <c r="MUL43" s="19"/>
      <c r="MUM43" s="19"/>
      <c r="MUN43" s="19"/>
      <c r="MUO43" s="19"/>
      <c r="MUP43" s="19"/>
      <c r="MUQ43" s="19"/>
      <c r="MUR43" s="19"/>
      <c r="MUS43" s="19"/>
      <c r="MUT43" s="19"/>
      <c r="MUU43" s="19"/>
      <c r="MUV43" s="19"/>
      <c r="MUW43" s="19"/>
      <c r="MUX43" s="19"/>
      <c r="MUY43" s="19"/>
      <c r="MUZ43" s="19"/>
      <c r="MVA43" s="19"/>
      <c r="MVB43" s="19"/>
      <c r="MVC43" s="19"/>
      <c r="MVD43" s="19"/>
      <c r="MVE43" s="19"/>
      <c r="MVF43" s="19"/>
      <c r="MVG43" s="19"/>
      <c r="MVH43" s="19"/>
      <c r="MVI43" s="19"/>
      <c r="MVJ43" s="19"/>
      <c r="MVK43" s="19"/>
      <c r="MVL43" s="19"/>
      <c r="MVM43" s="19"/>
      <c r="MVN43" s="19"/>
      <c r="MVO43" s="19"/>
      <c r="MVP43" s="19"/>
      <c r="MVQ43" s="19"/>
      <c r="MVR43" s="19"/>
      <c r="MVS43" s="19"/>
      <c r="MVT43" s="19"/>
      <c r="MVU43" s="19"/>
      <c r="MVV43" s="19"/>
      <c r="MVW43" s="19"/>
      <c r="MVX43" s="19"/>
      <c r="MVY43" s="19"/>
      <c r="MVZ43" s="19"/>
      <c r="MWA43" s="19"/>
      <c r="MWB43" s="19"/>
      <c r="MWC43" s="19"/>
      <c r="MWD43" s="19"/>
      <c r="MWE43" s="19"/>
      <c r="MWF43" s="19"/>
      <c r="MWG43" s="19"/>
      <c r="MWH43" s="19"/>
      <c r="MWI43" s="19"/>
      <c r="MWJ43" s="19"/>
      <c r="MWK43" s="19"/>
      <c r="MWL43" s="19"/>
      <c r="MWM43" s="19"/>
      <c r="MWN43" s="19"/>
      <c r="MWO43" s="19"/>
      <c r="MWP43" s="19"/>
      <c r="MWQ43" s="19"/>
      <c r="MWR43" s="19"/>
      <c r="MWS43" s="19"/>
      <c r="MWT43" s="19"/>
      <c r="MWU43" s="19"/>
      <c r="MWV43" s="19"/>
      <c r="MWW43" s="19"/>
      <c r="MWX43" s="19"/>
      <c r="MWY43" s="19"/>
      <c r="MWZ43" s="19"/>
      <c r="MXA43" s="19"/>
      <c r="MXB43" s="19"/>
      <c r="MXC43" s="19"/>
      <c r="MXD43" s="19"/>
      <c r="MXE43" s="19"/>
      <c r="MXF43" s="19"/>
      <c r="MXG43" s="19"/>
      <c r="MXH43" s="19"/>
      <c r="MXI43" s="19"/>
      <c r="MXJ43" s="19"/>
      <c r="MXK43" s="19"/>
      <c r="MXL43" s="19"/>
      <c r="MXM43" s="19"/>
      <c r="MXN43" s="19"/>
      <c r="MXO43" s="19"/>
      <c r="MXP43" s="19"/>
      <c r="MXQ43" s="19"/>
      <c r="MXR43" s="19"/>
      <c r="MXS43" s="19"/>
      <c r="MXT43" s="19"/>
      <c r="MXU43" s="19"/>
      <c r="MXV43" s="19"/>
      <c r="MXW43" s="19"/>
      <c r="MXX43" s="19"/>
      <c r="MXY43" s="19"/>
      <c r="MXZ43" s="19"/>
      <c r="MYA43" s="19"/>
      <c r="MYB43" s="19"/>
      <c r="MYC43" s="19"/>
      <c r="MYD43" s="19"/>
      <c r="MYE43" s="19"/>
      <c r="MYF43" s="19"/>
      <c r="MYG43" s="19"/>
      <c r="MYH43" s="19"/>
      <c r="MYI43" s="19"/>
      <c r="MYJ43" s="19"/>
      <c r="MYK43" s="19"/>
      <c r="MYL43" s="19"/>
      <c r="MYM43" s="19"/>
      <c r="MYN43" s="19"/>
      <c r="MYO43" s="19"/>
      <c r="MYP43" s="19"/>
      <c r="MYQ43" s="19"/>
      <c r="MYR43" s="19"/>
      <c r="MYS43" s="19"/>
      <c r="MYT43" s="19"/>
      <c r="MYU43" s="19"/>
      <c r="MYV43" s="19"/>
      <c r="MYW43" s="19"/>
      <c r="MYX43" s="19"/>
      <c r="MYY43" s="19"/>
      <c r="MYZ43" s="19"/>
      <c r="MZA43" s="19"/>
      <c r="MZB43" s="19"/>
      <c r="MZC43" s="19"/>
      <c r="MZD43" s="19"/>
      <c r="MZE43" s="19"/>
      <c r="MZF43" s="19"/>
      <c r="MZG43" s="19"/>
      <c r="MZH43" s="19"/>
      <c r="MZI43" s="19"/>
      <c r="MZJ43" s="19"/>
      <c r="MZK43" s="19"/>
      <c r="MZL43" s="19"/>
      <c r="MZM43" s="19"/>
      <c r="MZN43" s="19"/>
      <c r="MZO43" s="19"/>
      <c r="MZP43" s="19"/>
      <c r="MZQ43" s="19"/>
      <c r="MZR43" s="19"/>
      <c r="MZS43" s="19"/>
      <c r="MZT43" s="19"/>
      <c r="MZU43" s="19"/>
      <c r="MZV43" s="19"/>
      <c r="MZW43" s="19"/>
      <c r="MZX43" s="19"/>
      <c r="MZY43" s="19"/>
      <c r="MZZ43" s="19"/>
      <c r="NAA43" s="19"/>
      <c r="NAB43" s="19"/>
      <c r="NAC43" s="19"/>
      <c r="NAD43" s="19"/>
      <c r="NAE43" s="19"/>
      <c r="NAF43" s="19"/>
      <c r="NAG43" s="19"/>
      <c r="NAH43" s="19"/>
      <c r="NAI43" s="19"/>
      <c r="NAJ43" s="19"/>
      <c r="NAK43" s="19"/>
      <c r="NAL43" s="19"/>
      <c r="NAM43" s="19"/>
      <c r="NAN43" s="19"/>
      <c r="NAO43" s="19"/>
      <c r="NAP43" s="19"/>
      <c r="NAQ43" s="19"/>
      <c r="NAR43" s="19"/>
      <c r="NAS43" s="19"/>
      <c r="NAT43" s="19"/>
      <c r="NAU43" s="19"/>
      <c r="NAV43" s="19"/>
      <c r="NAW43" s="19"/>
      <c r="NAX43" s="19"/>
      <c r="NAY43" s="19"/>
      <c r="NAZ43" s="19"/>
      <c r="NBA43" s="19"/>
      <c r="NBB43" s="19"/>
      <c r="NBC43" s="19"/>
      <c r="NBD43" s="19"/>
      <c r="NBE43" s="19"/>
      <c r="NBF43" s="19"/>
      <c r="NBG43" s="19"/>
      <c r="NBH43" s="19"/>
      <c r="NBI43" s="19"/>
      <c r="NBJ43" s="19"/>
      <c r="NBK43" s="19"/>
      <c r="NBL43" s="19"/>
      <c r="NBM43" s="19"/>
      <c r="NBN43" s="19"/>
      <c r="NBO43" s="19"/>
      <c r="NBP43" s="19"/>
      <c r="NBQ43" s="19"/>
      <c r="NBR43" s="19"/>
      <c r="NBS43" s="19"/>
      <c r="NBT43" s="19"/>
      <c r="NBU43" s="19"/>
      <c r="NBV43" s="19"/>
      <c r="NBW43" s="19"/>
      <c r="NBX43" s="19"/>
      <c r="NBY43" s="19"/>
      <c r="NBZ43" s="19"/>
      <c r="NCA43" s="19"/>
      <c r="NCB43" s="19"/>
      <c r="NCC43" s="19"/>
      <c r="NCD43" s="19"/>
      <c r="NCE43" s="19"/>
      <c r="NCF43" s="19"/>
      <c r="NCG43" s="19"/>
      <c r="NCH43" s="19"/>
      <c r="NCI43" s="19"/>
      <c r="NCJ43" s="19"/>
      <c r="NCK43" s="19"/>
      <c r="NCL43" s="19"/>
      <c r="NCM43" s="19"/>
      <c r="NCN43" s="19"/>
      <c r="NCO43" s="19"/>
      <c r="NCP43" s="19"/>
      <c r="NCQ43" s="19"/>
      <c r="NCR43" s="19"/>
      <c r="NCS43" s="19"/>
      <c r="NCT43" s="19"/>
      <c r="NCU43" s="19"/>
      <c r="NCV43" s="19"/>
      <c r="NCW43" s="19"/>
      <c r="NCX43" s="19"/>
      <c r="NCY43" s="19"/>
      <c r="NCZ43" s="19"/>
      <c r="NDA43" s="19"/>
      <c r="NDB43" s="19"/>
      <c r="NDC43" s="19"/>
      <c r="NDD43" s="19"/>
      <c r="NDE43" s="19"/>
      <c r="NDF43" s="19"/>
      <c r="NDG43" s="19"/>
      <c r="NDH43" s="19"/>
      <c r="NDI43" s="19"/>
      <c r="NDJ43" s="19"/>
      <c r="NDK43" s="19"/>
      <c r="NDL43" s="19"/>
      <c r="NDM43" s="19"/>
      <c r="NDN43" s="19"/>
      <c r="NDO43" s="19"/>
      <c r="NDP43" s="19"/>
      <c r="NDQ43" s="19"/>
      <c r="NDR43" s="19"/>
      <c r="NDS43" s="19"/>
      <c r="NDT43" s="19"/>
      <c r="NDU43" s="19"/>
      <c r="NDV43" s="19"/>
      <c r="NDW43" s="19"/>
      <c r="NDX43" s="19"/>
      <c r="NDY43" s="19"/>
      <c r="NDZ43" s="19"/>
      <c r="NEA43" s="19"/>
      <c r="NEB43" s="19"/>
      <c r="NEC43" s="19"/>
      <c r="NED43" s="19"/>
      <c r="NEE43" s="19"/>
      <c r="NEF43" s="19"/>
      <c r="NEG43" s="19"/>
      <c r="NEH43" s="19"/>
      <c r="NEI43" s="19"/>
      <c r="NEJ43" s="19"/>
      <c r="NEK43" s="19"/>
      <c r="NEL43" s="19"/>
      <c r="NEM43" s="19"/>
      <c r="NEN43" s="19"/>
      <c r="NEO43" s="19"/>
      <c r="NEP43" s="19"/>
      <c r="NEQ43" s="19"/>
      <c r="NER43" s="19"/>
      <c r="NES43" s="19"/>
      <c r="NET43" s="19"/>
      <c r="NEU43" s="19"/>
      <c r="NEV43" s="19"/>
      <c r="NEW43" s="19"/>
      <c r="NEX43" s="19"/>
      <c r="NEY43" s="19"/>
      <c r="NEZ43" s="19"/>
      <c r="NFA43" s="19"/>
      <c r="NFB43" s="19"/>
      <c r="NFC43" s="19"/>
      <c r="NFD43" s="19"/>
      <c r="NFE43" s="19"/>
      <c r="NFF43" s="19"/>
      <c r="NFG43" s="19"/>
      <c r="NFH43" s="19"/>
      <c r="NFI43" s="19"/>
      <c r="NFJ43" s="19"/>
      <c r="NFK43" s="19"/>
      <c r="NFL43" s="19"/>
      <c r="NFM43" s="19"/>
      <c r="NFN43" s="19"/>
      <c r="NFO43" s="19"/>
      <c r="NFP43" s="19"/>
      <c r="NFQ43" s="19"/>
      <c r="NFR43" s="19"/>
      <c r="NFS43" s="19"/>
      <c r="NFT43" s="19"/>
      <c r="NFU43" s="19"/>
      <c r="NFV43" s="19"/>
      <c r="NFW43" s="19"/>
      <c r="NFX43" s="19"/>
      <c r="NFY43" s="19"/>
      <c r="NFZ43" s="19"/>
      <c r="NGA43" s="19"/>
      <c r="NGB43" s="19"/>
      <c r="NGC43" s="19"/>
      <c r="NGD43" s="19"/>
      <c r="NGE43" s="19"/>
      <c r="NGF43" s="19"/>
      <c r="NGG43" s="19"/>
      <c r="NGH43" s="19"/>
      <c r="NGI43" s="19"/>
      <c r="NGJ43" s="19"/>
      <c r="NGK43" s="19"/>
      <c r="NGL43" s="19"/>
      <c r="NGM43" s="19"/>
      <c r="NGN43" s="19"/>
      <c r="NGO43" s="19"/>
      <c r="NGP43" s="19"/>
      <c r="NGQ43" s="19"/>
      <c r="NGR43" s="19"/>
      <c r="NGS43" s="19"/>
      <c r="NGT43" s="19"/>
      <c r="NGU43" s="19"/>
      <c r="NGV43" s="19"/>
      <c r="NGW43" s="19"/>
      <c r="NGX43" s="19"/>
      <c r="NGY43" s="19"/>
      <c r="NGZ43" s="19"/>
      <c r="NHA43" s="19"/>
      <c r="NHB43" s="19"/>
      <c r="NHC43" s="19"/>
      <c r="NHD43" s="19"/>
      <c r="NHE43" s="19"/>
      <c r="NHF43" s="19"/>
      <c r="NHG43" s="19"/>
      <c r="NHH43" s="19"/>
      <c r="NHI43" s="19"/>
      <c r="NHJ43" s="19"/>
      <c r="NHK43" s="19"/>
      <c r="NHL43" s="19"/>
      <c r="NHM43" s="19"/>
      <c r="NHN43" s="19"/>
      <c r="NHO43" s="19"/>
      <c r="NHP43" s="19"/>
      <c r="NHQ43" s="19"/>
      <c r="NHR43" s="19"/>
      <c r="NHS43" s="19"/>
      <c r="NHT43" s="19"/>
      <c r="NHU43" s="19"/>
      <c r="NHV43" s="19"/>
      <c r="NHW43" s="19"/>
      <c r="NHX43" s="19"/>
      <c r="NHY43" s="19"/>
      <c r="NHZ43" s="19"/>
      <c r="NIA43" s="19"/>
      <c r="NIB43" s="19"/>
      <c r="NIC43" s="19"/>
      <c r="NID43" s="19"/>
      <c r="NIE43" s="19"/>
      <c r="NIF43" s="19"/>
      <c r="NIG43" s="19"/>
      <c r="NIH43" s="19"/>
      <c r="NII43" s="19"/>
      <c r="NIJ43" s="19"/>
      <c r="NIK43" s="19"/>
      <c r="NIL43" s="19"/>
      <c r="NIM43" s="19"/>
      <c r="NIN43" s="19"/>
      <c r="NIO43" s="19"/>
      <c r="NIP43" s="19"/>
      <c r="NIQ43" s="19"/>
      <c r="NIR43" s="19"/>
      <c r="NIS43" s="19"/>
      <c r="NIT43" s="19"/>
      <c r="NIU43" s="19"/>
      <c r="NIV43" s="19"/>
      <c r="NIW43" s="19"/>
      <c r="NIX43" s="19"/>
      <c r="NIY43" s="19"/>
      <c r="NIZ43" s="19"/>
      <c r="NJA43" s="19"/>
      <c r="NJB43" s="19"/>
      <c r="NJC43" s="19"/>
      <c r="NJD43" s="19"/>
      <c r="NJE43" s="19"/>
      <c r="NJF43" s="19"/>
      <c r="NJG43" s="19"/>
      <c r="NJH43" s="19"/>
      <c r="NJI43" s="19"/>
      <c r="NJJ43" s="19"/>
      <c r="NJK43" s="19"/>
      <c r="NJL43" s="19"/>
      <c r="NJM43" s="19"/>
      <c r="NJN43" s="19"/>
      <c r="NJO43" s="19"/>
      <c r="NJP43" s="19"/>
      <c r="NJQ43" s="19"/>
      <c r="NJR43" s="19"/>
      <c r="NJS43" s="19"/>
      <c r="NJT43" s="19"/>
      <c r="NJU43" s="19"/>
      <c r="NJV43" s="19"/>
      <c r="NJW43" s="19"/>
      <c r="NJX43" s="19"/>
      <c r="NJY43" s="19"/>
      <c r="NJZ43" s="19"/>
      <c r="NKA43" s="19"/>
      <c r="NKB43" s="19"/>
      <c r="NKC43" s="19"/>
      <c r="NKD43" s="19"/>
      <c r="NKE43" s="19"/>
      <c r="NKF43" s="19"/>
      <c r="NKG43" s="19"/>
      <c r="NKH43" s="19"/>
      <c r="NKI43" s="19"/>
      <c r="NKJ43" s="19"/>
      <c r="NKK43" s="19"/>
      <c r="NKL43" s="19"/>
      <c r="NKM43" s="19"/>
      <c r="NKN43" s="19"/>
      <c r="NKO43" s="19"/>
      <c r="NKP43" s="19"/>
      <c r="NKQ43" s="19"/>
      <c r="NKR43" s="19"/>
      <c r="NKS43" s="19"/>
      <c r="NKT43" s="19"/>
      <c r="NKU43" s="19"/>
      <c r="NKV43" s="19"/>
      <c r="NKW43" s="19"/>
      <c r="NKX43" s="19"/>
      <c r="NKY43" s="19"/>
      <c r="NKZ43" s="19"/>
      <c r="NLA43" s="19"/>
      <c r="NLB43" s="19"/>
      <c r="NLC43" s="19"/>
      <c r="NLD43" s="19"/>
      <c r="NLE43" s="19"/>
      <c r="NLF43" s="19"/>
      <c r="NLG43" s="19"/>
      <c r="NLH43" s="19"/>
      <c r="NLI43" s="19"/>
      <c r="NLJ43" s="19"/>
      <c r="NLK43" s="19"/>
      <c r="NLL43" s="19"/>
      <c r="NLM43" s="19"/>
      <c r="NLN43" s="19"/>
      <c r="NLO43" s="19"/>
      <c r="NLP43" s="19"/>
      <c r="NLQ43" s="19"/>
      <c r="NLR43" s="19"/>
      <c r="NLS43" s="19"/>
      <c r="NLT43" s="19"/>
      <c r="NLU43" s="19"/>
      <c r="NLV43" s="19"/>
      <c r="NLW43" s="19"/>
      <c r="NLX43" s="19"/>
      <c r="NLY43" s="19"/>
      <c r="NLZ43" s="19"/>
      <c r="NMA43" s="19"/>
      <c r="NMB43" s="19"/>
      <c r="NMC43" s="19"/>
      <c r="NMD43" s="19"/>
      <c r="NME43" s="19"/>
      <c r="NMF43" s="19"/>
      <c r="NMG43" s="19"/>
      <c r="NMH43" s="19"/>
      <c r="NMI43" s="19"/>
      <c r="NMJ43" s="19"/>
      <c r="NMK43" s="19"/>
      <c r="NML43" s="19"/>
      <c r="NMM43" s="19"/>
      <c r="NMN43" s="19"/>
      <c r="NMO43" s="19"/>
      <c r="NMP43" s="19"/>
      <c r="NMQ43" s="19"/>
      <c r="NMR43" s="19"/>
      <c r="NMS43" s="19"/>
      <c r="NMT43" s="19"/>
      <c r="NMU43" s="19"/>
      <c r="NMV43" s="19"/>
      <c r="NMW43" s="19"/>
      <c r="NMX43" s="19"/>
      <c r="NMY43" s="19"/>
      <c r="NMZ43" s="19"/>
      <c r="NNA43" s="19"/>
      <c r="NNB43" s="19"/>
      <c r="NNC43" s="19"/>
      <c r="NND43" s="19"/>
      <c r="NNE43" s="19"/>
      <c r="NNF43" s="19"/>
      <c r="NNG43" s="19"/>
      <c r="NNH43" s="19"/>
      <c r="NNI43" s="19"/>
      <c r="NNJ43" s="19"/>
      <c r="NNK43" s="19"/>
      <c r="NNL43" s="19"/>
      <c r="NNM43" s="19"/>
      <c r="NNN43" s="19"/>
      <c r="NNO43" s="19"/>
      <c r="NNP43" s="19"/>
      <c r="NNQ43" s="19"/>
      <c r="NNR43" s="19"/>
      <c r="NNS43" s="19"/>
      <c r="NNT43" s="19"/>
      <c r="NNU43" s="19"/>
      <c r="NNV43" s="19"/>
      <c r="NNW43" s="19"/>
      <c r="NNX43" s="19"/>
      <c r="NNY43" s="19"/>
      <c r="NNZ43" s="19"/>
      <c r="NOA43" s="19"/>
      <c r="NOB43" s="19"/>
      <c r="NOC43" s="19"/>
      <c r="NOD43" s="19"/>
      <c r="NOE43" s="19"/>
      <c r="NOF43" s="19"/>
      <c r="NOG43" s="19"/>
      <c r="NOH43" s="19"/>
      <c r="NOI43" s="19"/>
      <c r="NOJ43" s="19"/>
      <c r="NOK43" s="19"/>
      <c r="NOL43" s="19"/>
      <c r="NOM43" s="19"/>
      <c r="NON43" s="19"/>
      <c r="NOO43" s="19"/>
      <c r="NOP43" s="19"/>
      <c r="NOQ43" s="19"/>
      <c r="NOR43" s="19"/>
      <c r="NOS43" s="19"/>
      <c r="NOT43" s="19"/>
      <c r="NOU43" s="19"/>
      <c r="NOV43" s="19"/>
      <c r="NOW43" s="19"/>
      <c r="NOX43" s="19"/>
      <c r="NOY43" s="19"/>
      <c r="NOZ43" s="19"/>
      <c r="NPA43" s="19"/>
      <c r="NPB43" s="19"/>
      <c r="NPC43" s="19"/>
      <c r="NPD43" s="19"/>
      <c r="NPE43" s="19"/>
      <c r="NPF43" s="19"/>
      <c r="NPG43" s="19"/>
      <c r="NPH43" s="19"/>
      <c r="NPI43" s="19"/>
      <c r="NPJ43" s="19"/>
      <c r="NPK43" s="19"/>
      <c r="NPL43" s="19"/>
      <c r="NPM43" s="19"/>
      <c r="NPN43" s="19"/>
      <c r="NPO43" s="19"/>
      <c r="NPP43" s="19"/>
      <c r="NPQ43" s="19"/>
      <c r="NPR43" s="19"/>
      <c r="NPS43" s="19"/>
      <c r="NPT43" s="19"/>
      <c r="NPU43" s="19"/>
      <c r="NPV43" s="19"/>
      <c r="NPW43" s="19"/>
      <c r="NPX43" s="19"/>
      <c r="NPY43" s="19"/>
      <c r="NPZ43" s="19"/>
      <c r="NQA43" s="19"/>
      <c r="NQB43" s="19"/>
      <c r="NQC43" s="19"/>
      <c r="NQD43" s="19"/>
      <c r="NQE43" s="19"/>
      <c r="NQF43" s="19"/>
      <c r="NQG43" s="19"/>
      <c r="NQH43" s="19"/>
      <c r="NQI43" s="19"/>
      <c r="NQJ43" s="19"/>
      <c r="NQK43" s="19"/>
      <c r="NQL43" s="19"/>
      <c r="NQM43" s="19"/>
      <c r="NQN43" s="19"/>
      <c r="NQO43" s="19"/>
      <c r="NQP43" s="19"/>
      <c r="NQQ43" s="19"/>
      <c r="NQR43" s="19"/>
      <c r="NQS43" s="19"/>
      <c r="NQT43" s="19"/>
      <c r="NQU43" s="19"/>
      <c r="NQV43" s="19"/>
      <c r="NQW43" s="19"/>
      <c r="NQX43" s="19"/>
      <c r="NQY43" s="19"/>
      <c r="NQZ43" s="19"/>
      <c r="NRA43" s="19"/>
      <c r="NRB43" s="19"/>
      <c r="NRC43" s="19"/>
      <c r="NRD43" s="19"/>
      <c r="NRE43" s="19"/>
      <c r="NRF43" s="19"/>
      <c r="NRG43" s="19"/>
      <c r="NRH43" s="19"/>
      <c r="NRI43" s="19"/>
      <c r="NRJ43" s="19"/>
      <c r="NRK43" s="19"/>
      <c r="NRL43" s="19"/>
      <c r="NRM43" s="19"/>
      <c r="NRN43" s="19"/>
      <c r="NRO43" s="19"/>
      <c r="NRP43" s="19"/>
      <c r="NRQ43" s="19"/>
      <c r="NRR43" s="19"/>
      <c r="NRS43" s="19"/>
      <c r="NRT43" s="19"/>
      <c r="NRU43" s="19"/>
      <c r="NRV43" s="19"/>
      <c r="NRW43" s="19"/>
      <c r="NRX43" s="19"/>
      <c r="NRY43" s="19"/>
      <c r="NRZ43" s="19"/>
      <c r="NSA43" s="19"/>
      <c r="NSB43" s="19"/>
      <c r="NSC43" s="19"/>
      <c r="NSD43" s="19"/>
      <c r="NSE43" s="19"/>
      <c r="NSF43" s="19"/>
      <c r="NSG43" s="19"/>
      <c r="NSH43" s="19"/>
      <c r="NSI43" s="19"/>
      <c r="NSJ43" s="19"/>
      <c r="NSK43" s="19"/>
      <c r="NSL43" s="19"/>
      <c r="NSM43" s="19"/>
      <c r="NSN43" s="19"/>
      <c r="NSO43" s="19"/>
      <c r="NSP43" s="19"/>
      <c r="NSQ43" s="19"/>
      <c r="NSR43" s="19"/>
      <c r="NSS43" s="19"/>
      <c r="NST43" s="19"/>
      <c r="NSU43" s="19"/>
      <c r="NSV43" s="19"/>
      <c r="NSW43" s="19"/>
      <c r="NSX43" s="19"/>
      <c r="NSY43" s="19"/>
      <c r="NSZ43" s="19"/>
      <c r="NTA43" s="19"/>
      <c r="NTB43" s="19"/>
      <c r="NTC43" s="19"/>
      <c r="NTD43" s="19"/>
      <c r="NTE43" s="19"/>
      <c r="NTF43" s="19"/>
      <c r="NTG43" s="19"/>
      <c r="NTH43" s="19"/>
      <c r="NTI43" s="19"/>
      <c r="NTJ43" s="19"/>
      <c r="NTK43" s="19"/>
      <c r="NTL43" s="19"/>
      <c r="NTM43" s="19"/>
      <c r="NTN43" s="19"/>
      <c r="NTO43" s="19"/>
      <c r="NTP43" s="19"/>
      <c r="NTQ43" s="19"/>
      <c r="NTR43" s="19"/>
      <c r="NTS43" s="19"/>
      <c r="NTT43" s="19"/>
      <c r="NTU43" s="19"/>
      <c r="NTV43" s="19"/>
      <c r="NTW43" s="19"/>
      <c r="NTX43" s="19"/>
      <c r="NTY43" s="19"/>
      <c r="NTZ43" s="19"/>
      <c r="NUA43" s="19"/>
      <c r="NUB43" s="19"/>
      <c r="NUC43" s="19"/>
      <c r="NUD43" s="19"/>
      <c r="NUE43" s="19"/>
      <c r="NUF43" s="19"/>
      <c r="NUG43" s="19"/>
      <c r="NUH43" s="19"/>
      <c r="NUI43" s="19"/>
      <c r="NUJ43" s="19"/>
      <c r="NUK43" s="19"/>
      <c r="NUL43" s="19"/>
      <c r="NUM43" s="19"/>
      <c r="NUN43" s="19"/>
      <c r="NUO43" s="19"/>
      <c r="NUP43" s="19"/>
      <c r="NUQ43" s="19"/>
      <c r="NUR43" s="19"/>
      <c r="NUS43" s="19"/>
      <c r="NUT43" s="19"/>
      <c r="NUU43" s="19"/>
      <c r="NUV43" s="19"/>
      <c r="NUW43" s="19"/>
      <c r="NUX43" s="19"/>
      <c r="NUY43" s="19"/>
      <c r="NUZ43" s="19"/>
      <c r="NVA43" s="19"/>
      <c r="NVB43" s="19"/>
      <c r="NVC43" s="19"/>
      <c r="NVD43" s="19"/>
      <c r="NVE43" s="19"/>
      <c r="NVF43" s="19"/>
      <c r="NVG43" s="19"/>
      <c r="NVH43" s="19"/>
      <c r="NVI43" s="19"/>
      <c r="NVJ43" s="19"/>
      <c r="NVK43" s="19"/>
      <c r="NVL43" s="19"/>
      <c r="NVM43" s="19"/>
      <c r="NVN43" s="19"/>
      <c r="NVO43" s="19"/>
      <c r="NVP43" s="19"/>
      <c r="NVQ43" s="19"/>
      <c r="NVR43" s="19"/>
      <c r="NVS43" s="19"/>
      <c r="NVT43" s="19"/>
      <c r="NVU43" s="19"/>
      <c r="NVV43" s="19"/>
      <c r="NVW43" s="19"/>
      <c r="NVX43" s="19"/>
      <c r="NVY43" s="19"/>
      <c r="NVZ43" s="19"/>
      <c r="NWA43" s="19"/>
      <c r="NWB43" s="19"/>
      <c r="NWC43" s="19"/>
      <c r="NWD43" s="19"/>
      <c r="NWE43" s="19"/>
      <c r="NWF43" s="19"/>
      <c r="NWG43" s="19"/>
      <c r="NWH43" s="19"/>
      <c r="NWI43" s="19"/>
      <c r="NWJ43" s="19"/>
      <c r="NWK43" s="19"/>
      <c r="NWL43" s="19"/>
      <c r="NWM43" s="19"/>
      <c r="NWN43" s="19"/>
      <c r="NWO43" s="19"/>
      <c r="NWP43" s="19"/>
      <c r="NWQ43" s="19"/>
      <c r="NWR43" s="19"/>
      <c r="NWS43" s="19"/>
      <c r="NWT43" s="19"/>
      <c r="NWU43" s="19"/>
      <c r="NWV43" s="19"/>
      <c r="NWW43" s="19"/>
      <c r="NWX43" s="19"/>
      <c r="NWY43" s="19"/>
      <c r="NWZ43" s="19"/>
      <c r="NXA43" s="19"/>
      <c r="NXB43" s="19"/>
      <c r="NXC43" s="19"/>
      <c r="NXD43" s="19"/>
      <c r="NXE43" s="19"/>
      <c r="NXF43" s="19"/>
      <c r="NXG43" s="19"/>
      <c r="NXH43" s="19"/>
      <c r="NXI43" s="19"/>
      <c r="NXJ43" s="19"/>
      <c r="NXK43" s="19"/>
      <c r="NXL43" s="19"/>
      <c r="NXM43" s="19"/>
      <c r="NXN43" s="19"/>
      <c r="NXO43" s="19"/>
      <c r="NXP43" s="19"/>
      <c r="NXQ43" s="19"/>
      <c r="NXR43" s="19"/>
      <c r="NXS43" s="19"/>
      <c r="NXT43" s="19"/>
      <c r="NXU43" s="19"/>
      <c r="NXV43" s="19"/>
      <c r="NXW43" s="19"/>
      <c r="NXX43" s="19"/>
      <c r="NXY43" s="19"/>
      <c r="NXZ43" s="19"/>
      <c r="NYA43" s="19"/>
      <c r="NYB43" s="19"/>
      <c r="NYC43" s="19"/>
      <c r="NYD43" s="19"/>
      <c r="NYE43" s="19"/>
      <c r="NYF43" s="19"/>
      <c r="NYG43" s="19"/>
      <c r="NYH43" s="19"/>
      <c r="NYI43" s="19"/>
      <c r="NYJ43" s="19"/>
      <c r="NYK43" s="19"/>
      <c r="NYL43" s="19"/>
      <c r="NYM43" s="19"/>
      <c r="NYN43" s="19"/>
      <c r="NYO43" s="19"/>
      <c r="NYP43" s="19"/>
      <c r="NYQ43" s="19"/>
      <c r="NYR43" s="19"/>
      <c r="NYS43" s="19"/>
      <c r="NYT43" s="19"/>
      <c r="NYU43" s="19"/>
      <c r="NYV43" s="19"/>
      <c r="NYW43" s="19"/>
      <c r="NYX43" s="19"/>
      <c r="NYY43" s="19"/>
      <c r="NYZ43" s="19"/>
      <c r="NZA43" s="19"/>
      <c r="NZB43" s="19"/>
      <c r="NZC43" s="19"/>
      <c r="NZD43" s="19"/>
      <c r="NZE43" s="19"/>
      <c r="NZF43" s="19"/>
      <c r="NZG43" s="19"/>
      <c r="NZH43" s="19"/>
      <c r="NZI43" s="19"/>
      <c r="NZJ43" s="19"/>
      <c r="NZK43" s="19"/>
      <c r="NZL43" s="19"/>
      <c r="NZM43" s="19"/>
      <c r="NZN43" s="19"/>
      <c r="NZO43" s="19"/>
      <c r="NZP43" s="19"/>
      <c r="NZQ43" s="19"/>
      <c r="NZR43" s="19"/>
      <c r="NZS43" s="19"/>
      <c r="NZT43" s="19"/>
      <c r="NZU43" s="19"/>
      <c r="NZV43" s="19"/>
      <c r="NZW43" s="19"/>
      <c r="NZX43" s="19"/>
      <c r="NZY43" s="19"/>
      <c r="NZZ43" s="19"/>
      <c r="OAA43" s="19"/>
      <c r="OAB43" s="19"/>
      <c r="OAC43" s="19"/>
      <c r="OAD43" s="19"/>
      <c r="OAE43" s="19"/>
      <c r="OAF43" s="19"/>
      <c r="OAG43" s="19"/>
      <c r="OAH43" s="19"/>
      <c r="OAI43" s="19"/>
      <c r="OAJ43" s="19"/>
      <c r="OAK43" s="19"/>
      <c r="OAL43" s="19"/>
      <c r="OAM43" s="19"/>
      <c r="OAN43" s="19"/>
      <c r="OAO43" s="19"/>
      <c r="OAP43" s="19"/>
      <c r="OAQ43" s="19"/>
      <c r="OAR43" s="19"/>
      <c r="OAS43" s="19"/>
      <c r="OAT43" s="19"/>
      <c r="OAU43" s="19"/>
      <c r="OAV43" s="19"/>
      <c r="OAW43" s="19"/>
      <c r="OAX43" s="19"/>
      <c r="OAY43" s="19"/>
      <c r="OAZ43" s="19"/>
      <c r="OBA43" s="19"/>
      <c r="OBB43" s="19"/>
      <c r="OBC43" s="19"/>
      <c r="OBD43" s="19"/>
      <c r="OBE43" s="19"/>
      <c r="OBF43" s="19"/>
      <c r="OBG43" s="19"/>
      <c r="OBH43" s="19"/>
      <c r="OBI43" s="19"/>
      <c r="OBJ43" s="19"/>
      <c r="OBK43" s="19"/>
      <c r="OBL43" s="19"/>
      <c r="OBM43" s="19"/>
      <c r="OBN43" s="19"/>
      <c r="OBO43" s="19"/>
      <c r="OBP43" s="19"/>
      <c r="OBQ43" s="19"/>
      <c r="OBR43" s="19"/>
      <c r="OBS43" s="19"/>
      <c r="OBT43" s="19"/>
      <c r="OBU43" s="19"/>
      <c r="OBV43" s="19"/>
      <c r="OBW43" s="19"/>
      <c r="OBX43" s="19"/>
      <c r="OBY43" s="19"/>
      <c r="OBZ43" s="19"/>
      <c r="OCA43" s="19"/>
      <c r="OCB43" s="19"/>
      <c r="OCC43" s="19"/>
      <c r="OCD43" s="19"/>
      <c r="OCE43" s="19"/>
      <c r="OCF43" s="19"/>
      <c r="OCG43" s="19"/>
      <c r="OCH43" s="19"/>
      <c r="OCI43" s="19"/>
      <c r="OCJ43" s="19"/>
      <c r="OCK43" s="19"/>
      <c r="OCL43" s="19"/>
      <c r="OCM43" s="19"/>
      <c r="OCN43" s="19"/>
      <c r="OCO43" s="19"/>
      <c r="OCP43" s="19"/>
      <c r="OCQ43" s="19"/>
      <c r="OCR43" s="19"/>
      <c r="OCS43" s="19"/>
      <c r="OCT43" s="19"/>
      <c r="OCU43" s="19"/>
      <c r="OCV43" s="19"/>
      <c r="OCW43" s="19"/>
      <c r="OCX43" s="19"/>
      <c r="OCY43" s="19"/>
      <c r="OCZ43" s="19"/>
      <c r="ODA43" s="19"/>
      <c r="ODB43" s="19"/>
      <c r="ODC43" s="19"/>
      <c r="ODD43" s="19"/>
      <c r="ODE43" s="19"/>
      <c r="ODF43" s="19"/>
      <c r="ODG43" s="19"/>
      <c r="ODH43" s="19"/>
      <c r="ODI43" s="19"/>
      <c r="ODJ43" s="19"/>
      <c r="ODK43" s="19"/>
      <c r="ODL43" s="19"/>
      <c r="ODM43" s="19"/>
      <c r="ODN43" s="19"/>
      <c r="ODO43" s="19"/>
      <c r="ODP43" s="19"/>
      <c r="ODQ43" s="19"/>
      <c r="ODR43" s="19"/>
      <c r="ODS43" s="19"/>
      <c r="ODT43" s="19"/>
      <c r="ODU43" s="19"/>
      <c r="ODV43" s="19"/>
      <c r="ODW43" s="19"/>
      <c r="ODX43" s="19"/>
      <c r="ODY43" s="19"/>
      <c r="ODZ43" s="19"/>
      <c r="OEA43" s="19"/>
      <c r="OEB43" s="19"/>
      <c r="OEC43" s="19"/>
      <c r="OED43" s="19"/>
      <c r="OEE43" s="19"/>
      <c r="OEF43" s="19"/>
      <c r="OEG43" s="19"/>
      <c r="OEH43" s="19"/>
      <c r="OEI43" s="19"/>
      <c r="OEJ43" s="19"/>
      <c r="OEK43" s="19"/>
      <c r="OEL43" s="19"/>
      <c r="OEM43" s="19"/>
      <c r="OEN43" s="19"/>
      <c r="OEO43" s="19"/>
      <c r="OEP43" s="19"/>
      <c r="OEQ43" s="19"/>
      <c r="OER43" s="19"/>
      <c r="OES43" s="19"/>
      <c r="OET43" s="19"/>
      <c r="OEU43" s="19"/>
      <c r="OEV43" s="19"/>
      <c r="OEW43" s="19"/>
      <c r="OEX43" s="19"/>
      <c r="OEY43" s="19"/>
      <c r="OEZ43" s="19"/>
      <c r="OFA43" s="19"/>
      <c r="OFB43" s="19"/>
      <c r="OFC43" s="19"/>
      <c r="OFD43" s="19"/>
      <c r="OFE43" s="19"/>
      <c r="OFF43" s="19"/>
      <c r="OFG43" s="19"/>
      <c r="OFH43" s="19"/>
      <c r="OFI43" s="19"/>
      <c r="OFJ43" s="19"/>
      <c r="OFK43" s="19"/>
      <c r="OFL43" s="19"/>
      <c r="OFM43" s="19"/>
      <c r="OFN43" s="19"/>
      <c r="OFO43" s="19"/>
      <c r="OFP43" s="19"/>
      <c r="OFQ43" s="19"/>
      <c r="OFR43" s="19"/>
      <c r="OFS43" s="19"/>
      <c r="OFT43" s="19"/>
      <c r="OFU43" s="19"/>
      <c r="OFV43" s="19"/>
      <c r="OFW43" s="19"/>
      <c r="OFX43" s="19"/>
      <c r="OFY43" s="19"/>
      <c r="OFZ43" s="19"/>
      <c r="OGA43" s="19"/>
      <c r="OGB43" s="19"/>
      <c r="OGC43" s="19"/>
      <c r="OGD43" s="19"/>
      <c r="OGE43" s="19"/>
      <c r="OGF43" s="19"/>
      <c r="OGG43" s="19"/>
      <c r="OGH43" s="19"/>
      <c r="OGI43" s="19"/>
      <c r="OGJ43" s="19"/>
      <c r="OGK43" s="19"/>
      <c r="OGL43" s="19"/>
      <c r="OGM43" s="19"/>
      <c r="OGN43" s="19"/>
      <c r="OGO43" s="19"/>
      <c r="OGP43" s="19"/>
      <c r="OGQ43" s="19"/>
      <c r="OGR43" s="19"/>
      <c r="OGS43" s="19"/>
      <c r="OGT43" s="19"/>
      <c r="OGU43" s="19"/>
      <c r="OGV43" s="19"/>
      <c r="OGW43" s="19"/>
      <c r="OGX43" s="19"/>
      <c r="OGY43" s="19"/>
      <c r="OGZ43" s="19"/>
      <c r="OHA43" s="19"/>
      <c r="OHB43" s="19"/>
      <c r="OHC43" s="19"/>
      <c r="OHD43" s="19"/>
      <c r="OHE43" s="19"/>
      <c r="OHF43" s="19"/>
      <c r="OHG43" s="19"/>
      <c r="OHH43" s="19"/>
      <c r="OHI43" s="19"/>
      <c r="OHJ43" s="19"/>
      <c r="OHK43" s="19"/>
      <c r="OHL43" s="19"/>
      <c r="OHM43" s="19"/>
      <c r="OHN43" s="19"/>
      <c r="OHO43" s="19"/>
      <c r="OHP43" s="19"/>
      <c r="OHQ43" s="19"/>
      <c r="OHR43" s="19"/>
      <c r="OHS43" s="19"/>
      <c r="OHT43" s="19"/>
      <c r="OHU43" s="19"/>
      <c r="OHV43" s="19"/>
      <c r="OHW43" s="19"/>
      <c r="OHX43" s="19"/>
      <c r="OHY43" s="19"/>
      <c r="OHZ43" s="19"/>
      <c r="OIA43" s="19"/>
      <c r="OIB43" s="19"/>
      <c r="OIC43" s="19"/>
      <c r="OID43" s="19"/>
      <c r="OIE43" s="19"/>
      <c r="OIF43" s="19"/>
      <c r="OIG43" s="19"/>
      <c r="OIH43" s="19"/>
      <c r="OII43" s="19"/>
      <c r="OIJ43" s="19"/>
      <c r="OIK43" s="19"/>
      <c r="OIL43" s="19"/>
      <c r="OIM43" s="19"/>
      <c r="OIN43" s="19"/>
      <c r="OIO43" s="19"/>
      <c r="OIP43" s="19"/>
      <c r="OIQ43" s="19"/>
      <c r="OIR43" s="19"/>
      <c r="OIS43" s="19"/>
      <c r="OIT43" s="19"/>
      <c r="OIU43" s="19"/>
      <c r="OIV43" s="19"/>
      <c r="OIW43" s="19"/>
      <c r="OIX43" s="19"/>
      <c r="OIY43" s="19"/>
      <c r="OIZ43" s="19"/>
      <c r="OJA43" s="19"/>
      <c r="OJB43" s="19"/>
      <c r="OJC43" s="19"/>
      <c r="OJD43" s="19"/>
      <c r="OJE43" s="19"/>
      <c r="OJF43" s="19"/>
      <c r="OJG43" s="19"/>
      <c r="OJH43" s="19"/>
      <c r="OJI43" s="19"/>
      <c r="OJJ43" s="19"/>
      <c r="OJK43" s="19"/>
      <c r="OJL43" s="19"/>
      <c r="OJM43" s="19"/>
      <c r="OJN43" s="19"/>
      <c r="OJO43" s="19"/>
      <c r="OJP43" s="19"/>
      <c r="OJQ43" s="19"/>
      <c r="OJR43" s="19"/>
      <c r="OJS43" s="19"/>
      <c r="OJT43" s="19"/>
      <c r="OJU43" s="19"/>
      <c r="OJV43" s="19"/>
      <c r="OJW43" s="19"/>
      <c r="OJX43" s="19"/>
      <c r="OJY43" s="19"/>
      <c r="OJZ43" s="19"/>
      <c r="OKA43" s="19"/>
      <c r="OKB43" s="19"/>
      <c r="OKC43" s="19"/>
      <c r="OKD43" s="19"/>
      <c r="OKE43" s="19"/>
      <c r="OKF43" s="19"/>
      <c r="OKG43" s="19"/>
      <c r="OKH43" s="19"/>
      <c r="OKI43" s="19"/>
      <c r="OKJ43" s="19"/>
      <c r="OKK43" s="19"/>
      <c r="OKL43" s="19"/>
      <c r="OKM43" s="19"/>
      <c r="OKN43" s="19"/>
      <c r="OKO43" s="19"/>
      <c r="OKP43" s="19"/>
      <c r="OKQ43" s="19"/>
      <c r="OKR43" s="19"/>
      <c r="OKS43" s="19"/>
      <c r="OKT43" s="19"/>
      <c r="OKU43" s="19"/>
      <c r="OKV43" s="19"/>
      <c r="OKW43" s="19"/>
      <c r="OKX43" s="19"/>
      <c r="OKY43" s="19"/>
      <c r="OKZ43" s="19"/>
      <c r="OLA43" s="19"/>
      <c r="OLB43" s="19"/>
      <c r="OLC43" s="19"/>
      <c r="OLD43" s="19"/>
      <c r="OLE43" s="19"/>
      <c r="OLF43" s="19"/>
      <c r="OLG43" s="19"/>
      <c r="OLH43" s="19"/>
      <c r="OLI43" s="19"/>
      <c r="OLJ43" s="19"/>
      <c r="OLK43" s="19"/>
      <c r="OLL43" s="19"/>
      <c r="OLM43" s="19"/>
      <c r="OLN43" s="19"/>
      <c r="OLO43" s="19"/>
      <c r="OLP43" s="19"/>
      <c r="OLQ43" s="19"/>
      <c r="OLR43" s="19"/>
      <c r="OLS43" s="19"/>
      <c r="OLT43" s="19"/>
      <c r="OLU43" s="19"/>
      <c r="OLV43" s="19"/>
      <c r="OLW43" s="19"/>
      <c r="OLX43" s="19"/>
      <c r="OLY43" s="19"/>
      <c r="OLZ43" s="19"/>
      <c r="OMA43" s="19"/>
      <c r="OMB43" s="19"/>
      <c r="OMC43" s="19"/>
      <c r="OMD43" s="19"/>
      <c r="OME43" s="19"/>
      <c r="OMF43" s="19"/>
      <c r="OMG43" s="19"/>
      <c r="OMH43" s="19"/>
      <c r="OMI43" s="19"/>
      <c r="OMJ43" s="19"/>
      <c r="OMK43" s="19"/>
      <c r="OML43" s="19"/>
      <c r="OMM43" s="19"/>
      <c r="OMN43" s="19"/>
      <c r="OMO43" s="19"/>
      <c r="OMP43" s="19"/>
      <c r="OMQ43" s="19"/>
      <c r="OMR43" s="19"/>
      <c r="OMS43" s="19"/>
      <c r="OMT43" s="19"/>
      <c r="OMU43" s="19"/>
      <c r="OMV43" s="19"/>
      <c r="OMW43" s="19"/>
      <c r="OMX43" s="19"/>
      <c r="OMY43" s="19"/>
      <c r="OMZ43" s="19"/>
      <c r="ONA43" s="19"/>
      <c r="ONB43" s="19"/>
      <c r="ONC43" s="19"/>
      <c r="OND43" s="19"/>
      <c r="ONE43" s="19"/>
      <c r="ONF43" s="19"/>
      <c r="ONG43" s="19"/>
      <c r="ONH43" s="19"/>
      <c r="ONI43" s="19"/>
      <c r="ONJ43" s="19"/>
      <c r="ONK43" s="19"/>
      <c r="ONL43" s="19"/>
      <c r="ONM43" s="19"/>
      <c r="ONN43" s="19"/>
      <c r="ONO43" s="19"/>
      <c r="ONP43" s="19"/>
      <c r="ONQ43" s="19"/>
      <c r="ONR43" s="19"/>
      <c r="ONS43" s="19"/>
      <c r="ONT43" s="19"/>
      <c r="ONU43" s="19"/>
      <c r="ONV43" s="19"/>
      <c r="ONW43" s="19"/>
      <c r="ONX43" s="19"/>
      <c r="ONY43" s="19"/>
      <c r="ONZ43" s="19"/>
      <c r="OOA43" s="19"/>
      <c r="OOB43" s="19"/>
      <c r="OOC43" s="19"/>
      <c r="OOD43" s="19"/>
      <c r="OOE43" s="19"/>
      <c r="OOF43" s="19"/>
      <c r="OOG43" s="19"/>
      <c r="OOH43" s="19"/>
      <c r="OOI43" s="19"/>
      <c r="OOJ43" s="19"/>
      <c r="OOK43" s="19"/>
      <c r="OOL43" s="19"/>
      <c r="OOM43" s="19"/>
      <c r="OON43" s="19"/>
      <c r="OOO43" s="19"/>
      <c r="OOP43" s="19"/>
      <c r="OOQ43" s="19"/>
      <c r="OOR43" s="19"/>
      <c r="OOS43" s="19"/>
      <c r="OOT43" s="19"/>
      <c r="OOU43" s="19"/>
      <c r="OOV43" s="19"/>
      <c r="OOW43" s="19"/>
      <c r="OOX43" s="19"/>
      <c r="OOY43" s="19"/>
      <c r="OOZ43" s="19"/>
      <c r="OPA43" s="19"/>
      <c r="OPB43" s="19"/>
      <c r="OPC43" s="19"/>
      <c r="OPD43" s="19"/>
      <c r="OPE43" s="19"/>
      <c r="OPF43" s="19"/>
      <c r="OPG43" s="19"/>
      <c r="OPH43" s="19"/>
      <c r="OPI43" s="19"/>
      <c r="OPJ43" s="19"/>
      <c r="OPK43" s="19"/>
      <c r="OPL43" s="19"/>
      <c r="OPM43" s="19"/>
      <c r="OPN43" s="19"/>
      <c r="OPO43" s="19"/>
      <c r="OPP43" s="19"/>
      <c r="OPQ43" s="19"/>
      <c r="OPR43" s="19"/>
      <c r="OPS43" s="19"/>
      <c r="OPT43" s="19"/>
      <c r="OPU43" s="19"/>
      <c r="OPV43" s="19"/>
      <c r="OPW43" s="19"/>
      <c r="OPX43" s="19"/>
      <c r="OPY43" s="19"/>
      <c r="OPZ43" s="19"/>
      <c r="OQA43" s="19"/>
      <c r="OQB43" s="19"/>
      <c r="OQC43" s="19"/>
      <c r="OQD43" s="19"/>
      <c r="OQE43" s="19"/>
      <c r="OQF43" s="19"/>
      <c r="OQG43" s="19"/>
      <c r="OQH43" s="19"/>
      <c r="OQI43" s="19"/>
      <c r="OQJ43" s="19"/>
      <c r="OQK43" s="19"/>
      <c r="OQL43" s="19"/>
      <c r="OQM43" s="19"/>
      <c r="OQN43" s="19"/>
      <c r="OQO43" s="19"/>
      <c r="OQP43" s="19"/>
      <c r="OQQ43" s="19"/>
      <c r="OQR43" s="19"/>
      <c r="OQS43" s="19"/>
      <c r="OQT43" s="19"/>
      <c r="OQU43" s="19"/>
      <c r="OQV43" s="19"/>
      <c r="OQW43" s="19"/>
      <c r="OQX43" s="19"/>
      <c r="OQY43" s="19"/>
      <c r="OQZ43" s="19"/>
      <c r="ORA43" s="19"/>
      <c r="ORB43" s="19"/>
      <c r="ORC43" s="19"/>
      <c r="ORD43" s="19"/>
      <c r="ORE43" s="19"/>
      <c r="ORF43" s="19"/>
      <c r="ORG43" s="19"/>
      <c r="ORH43" s="19"/>
      <c r="ORI43" s="19"/>
      <c r="ORJ43" s="19"/>
      <c r="ORK43" s="19"/>
      <c r="ORL43" s="19"/>
      <c r="ORM43" s="19"/>
      <c r="ORN43" s="19"/>
      <c r="ORO43" s="19"/>
      <c r="ORP43" s="19"/>
      <c r="ORQ43" s="19"/>
      <c r="ORR43" s="19"/>
      <c r="ORS43" s="19"/>
      <c r="ORT43" s="19"/>
      <c r="ORU43" s="19"/>
      <c r="ORV43" s="19"/>
      <c r="ORW43" s="19"/>
      <c r="ORX43" s="19"/>
      <c r="ORY43" s="19"/>
      <c r="ORZ43" s="19"/>
      <c r="OSA43" s="19"/>
      <c r="OSB43" s="19"/>
      <c r="OSC43" s="19"/>
      <c r="OSD43" s="19"/>
      <c r="OSE43" s="19"/>
      <c r="OSF43" s="19"/>
      <c r="OSG43" s="19"/>
      <c r="OSH43" s="19"/>
      <c r="OSI43" s="19"/>
      <c r="OSJ43" s="19"/>
      <c r="OSK43" s="19"/>
      <c r="OSL43" s="19"/>
      <c r="OSM43" s="19"/>
      <c r="OSN43" s="19"/>
      <c r="OSO43" s="19"/>
      <c r="OSP43" s="19"/>
      <c r="OSQ43" s="19"/>
      <c r="OSR43" s="19"/>
      <c r="OSS43" s="19"/>
      <c r="OST43" s="19"/>
      <c r="OSU43" s="19"/>
      <c r="OSV43" s="19"/>
      <c r="OSW43" s="19"/>
      <c r="OSX43" s="19"/>
      <c r="OSY43" s="19"/>
      <c r="OSZ43" s="19"/>
      <c r="OTA43" s="19"/>
      <c r="OTB43" s="19"/>
      <c r="OTC43" s="19"/>
      <c r="OTD43" s="19"/>
      <c r="OTE43" s="19"/>
      <c r="OTF43" s="19"/>
      <c r="OTG43" s="19"/>
      <c r="OTH43" s="19"/>
      <c r="OTI43" s="19"/>
      <c r="OTJ43" s="19"/>
      <c r="OTK43" s="19"/>
      <c r="OTL43" s="19"/>
      <c r="OTM43" s="19"/>
      <c r="OTN43" s="19"/>
      <c r="OTO43" s="19"/>
      <c r="OTP43" s="19"/>
      <c r="OTQ43" s="19"/>
      <c r="OTR43" s="19"/>
      <c r="OTS43" s="19"/>
      <c r="OTT43" s="19"/>
      <c r="OTU43" s="19"/>
      <c r="OTV43" s="19"/>
      <c r="OTW43" s="19"/>
      <c r="OTX43" s="19"/>
      <c r="OTY43" s="19"/>
      <c r="OTZ43" s="19"/>
      <c r="OUA43" s="19"/>
      <c r="OUB43" s="19"/>
      <c r="OUC43" s="19"/>
      <c r="OUD43" s="19"/>
      <c r="OUE43" s="19"/>
      <c r="OUF43" s="19"/>
      <c r="OUG43" s="19"/>
      <c r="OUH43" s="19"/>
      <c r="OUI43" s="19"/>
      <c r="OUJ43" s="19"/>
      <c r="OUK43" s="19"/>
      <c r="OUL43" s="19"/>
      <c r="OUM43" s="19"/>
      <c r="OUN43" s="19"/>
      <c r="OUO43" s="19"/>
      <c r="OUP43" s="19"/>
      <c r="OUQ43" s="19"/>
      <c r="OUR43" s="19"/>
      <c r="OUS43" s="19"/>
      <c r="OUT43" s="19"/>
      <c r="OUU43" s="19"/>
      <c r="OUV43" s="19"/>
      <c r="OUW43" s="19"/>
      <c r="OUX43" s="19"/>
      <c r="OUY43" s="19"/>
      <c r="OUZ43" s="19"/>
      <c r="OVA43" s="19"/>
      <c r="OVB43" s="19"/>
      <c r="OVC43" s="19"/>
      <c r="OVD43" s="19"/>
      <c r="OVE43" s="19"/>
      <c r="OVF43" s="19"/>
      <c r="OVG43" s="19"/>
      <c r="OVH43" s="19"/>
      <c r="OVI43" s="19"/>
      <c r="OVJ43" s="19"/>
      <c r="OVK43" s="19"/>
      <c r="OVL43" s="19"/>
      <c r="OVM43" s="19"/>
      <c r="OVN43" s="19"/>
      <c r="OVO43" s="19"/>
      <c r="OVP43" s="19"/>
      <c r="OVQ43" s="19"/>
      <c r="OVR43" s="19"/>
      <c r="OVS43" s="19"/>
      <c r="OVT43" s="19"/>
      <c r="OVU43" s="19"/>
      <c r="OVV43" s="19"/>
      <c r="OVW43" s="19"/>
      <c r="OVX43" s="19"/>
      <c r="OVY43" s="19"/>
      <c r="OVZ43" s="19"/>
      <c r="OWA43" s="19"/>
      <c r="OWB43" s="19"/>
      <c r="OWC43" s="19"/>
      <c r="OWD43" s="19"/>
      <c r="OWE43" s="19"/>
      <c r="OWF43" s="19"/>
      <c r="OWG43" s="19"/>
      <c r="OWH43" s="19"/>
      <c r="OWI43" s="19"/>
      <c r="OWJ43" s="19"/>
      <c r="OWK43" s="19"/>
      <c r="OWL43" s="19"/>
      <c r="OWM43" s="19"/>
      <c r="OWN43" s="19"/>
      <c r="OWO43" s="19"/>
      <c r="OWP43" s="19"/>
      <c r="OWQ43" s="19"/>
      <c r="OWR43" s="19"/>
      <c r="OWS43" s="19"/>
      <c r="OWT43" s="19"/>
      <c r="OWU43" s="19"/>
      <c r="OWV43" s="19"/>
      <c r="OWW43" s="19"/>
      <c r="OWX43" s="19"/>
      <c r="OWY43" s="19"/>
      <c r="OWZ43" s="19"/>
      <c r="OXA43" s="19"/>
      <c r="OXB43" s="19"/>
      <c r="OXC43" s="19"/>
      <c r="OXD43" s="19"/>
      <c r="OXE43" s="19"/>
      <c r="OXF43" s="19"/>
      <c r="OXG43" s="19"/>
      <c r="OXH43" s="19"/>
      <c r="OXI43" s="19"/>
      <c r="OXJ43" s="19"/>
      <c r="OXK43" s="19"/>
      <c r="OXL43" s="19"/>
      <c r="OXM43" s="19"/>
      <c r="OXN43" s="19"/>
      <c r="OXO43" s="19"/>
      <c r="OXP43" s="19"/>
      <c r="OXQ43" s="19"/>
      <c r="OXR43" s="19"/>
      <c r="OXS43" s="19"/>
      <c r="OXT43" s="19"/>
      <c r="OXU43" s="19"/>
      <c r="OXV43" s="19"/>
      <c r="OXW43" s="19"/>
      <c r="OXX43" s="19"/>
      <c r="OXY43" s="19"/>
      <c r="OXZ43" s="19"/>
      <c r="OYA43" s="19"/>
      <c r="OYB43" s="19"/>
      <c r="OYC43" s="19"/>
      <c r="OYD43" s="19"/>
      <c r="OYE43" s="19"/>
      <c r="OYF43" s="19"/>
      <c r="OYG43" s="19"/>
      <c r="OYH43" s="19"/>
      <c r="OYI43" s="19"/>
      <c r="OYJ43" s="19"/>
      <c r="OYK43" s="19"/>
      <c r="OYL43" s="19"/>
      <c r="OYM43" s="19"/>
      <c r="OYN43" s="19"/>
      <c r="OYO43" s="19"/>
      <c r="OYP43" s="19"/>
      <c r="OYQ43" s="19"/>
      <c r="OYR43" s="19"/>
      <c r="OYS43" s="19"/>
      <c r="OYT43" s="19"/>
      <c r="OYU43" s="19"/>
      <c r="OYV43" s="19"/>
      <c r="OYW43" s="19"/>
      <c r="OYX43" s="19"/>
      <c r="OYY43" s="19"/>
      <c r="OYZ43" s="19"/>
      <c r="OZA43" s="19"/>
      <c r="OZB43" s="19"/>
      <c r="OZC43" s="19"/>
      <c r="OZD43" s="19"/>
      <c r="OZE43" s="19"/>
      <c r="OZF43" s="19"/>
      <c r="OZG43" s="19"/>
      <c r="OZH43" s="19"/>
      <c r="OZI43" s="19"/>
      <c r="OZJ43" s="19"/>
      <c r="OZK43" s="19"/>
      <c r="OZL43" s="19"/>
      <c r="OZM43" s="19"/>
      <c r="OZN43" s="19"/>
      <c r="OZO43" s="19"/>
      <c r="OZP43" s="19"/>
      <c r="OZQ43" s="19"/>
      <c r="OZR43" s="19"/>
      <c r="OZS43" s="19"/>
      <c r="OZT43" s="19"/>
      <c r="OZU43" s="19"/>
      <c r="OZV43" s="19"/>
      <c r="OZW43" s="19"/>
      <c r="OZX43" s="19"/>
      <c r="OZY43" s="19"/>
      <c r="OZZ43" s="19"/>
      <c r="PAA43" s="19"/>
      <c r="PAB43" s="19"/>
      <c r="PAC43" s="19"/>
      <c r="PAD43" s="19"/>
      <c r="PAE43" s="19"/>
      <c r="PAF43" s="19"/>
      <c r="PAG43" s="19"/>
      <c r="PAH43" s="19"/>
      <c r="PAI43" s="19"/>
      <c r="PAJ43" s="19"/>
      <c r="PAK43" s="19"/>
      <c r="PAL43" s="19"/>
      <c r="PAM43" s="19"/>
      <c r="PAN43" s="19"/>
      <c r="PAO43" s="19"/>
      <c r="PAP43" s="19"/>
      <c r="PAQ43" s="19"/>
      <c r="PAR43" s="19"/>
      <c r="PAS43" s="19"/>
      <c r="PAT43" s="19"/>
      <c r="PAU43" s="19"/>
      <c r="PAV43" s="19"/>
      <c r="PAW43" s="19"/>
      <c r="PAX43" s="19"/>
      <c r="PAY43" s="19"/>
      <c r="PAZ43" s="19"/>
      <c r="PBA43" s="19"/>
      <c r="PBB43" s="19"/>
      <c r="PBC43" s="19"/>
      <c r="PBD43" s="19"/>
      <c r="PBE43" s="19"/>
      <c r="PBF43" s="19"/>
      <c r="PBG43" s="19"/>
      <c r="PBH43" s="19"/>
      <c r="PBI43" s="19"/>
      <c r="PBJ43" s="19"/>
      <c r="PBK43" s="19"/>
      <c r="PBL43" s="19"/>
      <c r="PBM43" s="19"/>
      <c r="PBN43" s="19"/>
      <c r="PBO43" s="19"/>
      <c r="PBP43" s="19"/>
      <c r="PBQ43" s="19"/>
      <c r="PBR43" s="19"/>
      <c r="PBS43" s="19"/>
      <c r="PBT43" s="19"/>
      <c r="PBU43" s="19"/>
      <c r="PBV43" s="19"/>
      <c r="PBW43" s="19"/>
      <c r="PBX43" s="19"/>
      <c r="PBY43" s="19"/>
      <c r="PBZ43" s="19"/>
      <c r="PCA43" s="19"/>
      <c r="PCB43" s="19"/>
      <c r="PCC43" s="19"/>
      <c r="PCD43" s="19"/>
      <c r="PCE43" s="19"/>
      <c r="PCF43" s="19"/>
      <c r="PCG43" s="19"/>
      <c r="PCH43" s="19"/>
      <c r="PCI43" s="19"/>
      <c r="PCJ43" s="19"/>
      <c r="PCK43" s="19"/>
      <c r="PCL43" s="19"/>
      <c r="PCM43" s="19"/>
      <c r="PCN43" s="19"/>
      <c r="PCO43" s="19"/>
      <c r="PCP43" s="19"/>
      <c r="PCQ43" s="19"/>
      <c r="PCR43" s="19"/>
      <c r="PCS43" s="19"/>
      <c r="PCT43" s="19"/>
      <c r="PCU43" s="19"/>
      <c r="PCV43" s="19"/>
      <c r="PCW43" s="19"/>
      <c r="PCX43" s="19"/>
      <c r="PCY43" s="19"/>
      <c r="PCZ43" s="19"/>
      <c r="PDA43" s="19"/>
      <c r="PDB43" s="19"/>
      <c r="PDC43" s="19"/>
      <c r="PDD43" s="19"/>
      <c r="PDE43" s="19"/>
      <c r="PDF43" s="19"/>
      <c r="PDG43" s="19"/>
      <c r="PDH43" s="19"/>
      <c r="PDI43" s="19"/>
      <c r="PDJ43" s="19"/>
      <c r="PDK43" s="19"/>
      <c r="PDL43" s="19"/>
      <c r="PDM43" s="19"/>
      <c r="PDN43" s="19"/>
      <c r="PDO43" s="19"/>
      <c r="PDP43" s="19"/>
      <c r="PDQ43" s="19"/>
      <c r="PDR43" s="19"/>
      <c r="PDS43" s="19"/>
      <c r="PDT43" s="19"/>
      <c r="PDU43" s="19"/>
      <c r="PDV43" s="19"/>
      <c r="PDW43" s="19"/>
      <c r="PDX43" s="19"/>
      <c r="PDY43" s="19"/>
      <c r="PDZ43" s="19"/>
      <c r="PEA43" s="19"/>
      <c r="PEB43" s="19"/>
      <c r="PEC43" s="19"/>
      <c r="PED43" s="19"/>
      <c r="PEE43" s="19"/>
      <c r="PEF43" s="19"/>
      <c r="PEG43" s="19"/>
      <c r="PEH43" s="19"/>
      <c r="PEI43" s="19"/>
      <c r="PEJ43" s="19"/>
      <c r="PEK43" s="19"/>
      <c r="PEL43" s="19"/>
      <c r="PEM43" s="19"/>
      <c r="PEN43" s="19"/>
      <c r="PEO43" s="19"/>
      <c r="PEP43" s="19"/>
      <c r="PEQ43" s="19"/>
      <c r="PER43" s="19"/>
      <c r="PES43" s="19"/>
      <c r="PET43" s="19"/>
      <c r="PEU43" s="19"/>
      <c r="PEV43" s="19"/>
      <c r="PEW43" s="19"/>
      <c r="PEX43" s="19"/>
      <c r="PEY43" s="19"/>
      <c r="PEZ43" s="19"/>
      <c r="PFA43" s="19"/>
      <c r="PFB43" s="19"/>
      <c r="PFC43" s="19"/>
      <c r="PFD43" s="19"/>
      <c r="PFE43" s="19"/>
      <c r="PFF43" s="19"/>
      <c r="PFG43" s="19"/>
      <c r="PFH43" s="19"/>
      <c r="PFI43" s="19"/>
      <c r="PFJ43" s="19"/>
      <c r="PFK43" s="19"/>
      <c r="PFL43" s="19"/>
      <c r="PFM43" s="19"/>
      <c r="PFN43" s="19"/>
      <c r="PFO43" s="19"/>
      <c r="PFP43" s="19"/>
      <c r="PFQ43" s="19"/>
      <c r="PFR43" s="19"/>
      <c r="PFS43" s="19"/>
      <c r="PFT43" s="19"/>
      <c r="PFU43" s="19"/>
      <c r="PFV43" s="19"/>
      <c r="PFW43" s="19"/>
      <c r="PFX43" s="19"/>
      <c r="PFY43" s="19"/>
      <c r="PFZ43" s="19"/>
      <c r="PGA43" s="19"/>
      <c r="PGB43" s="19"/>
      <c r="PGC43" s="19"/>
      <c r="PGD43" s="19"/>
      <c r="PGE43" s="19"/>
      <c r="PGF43" s="19"/>
      <c r="PGG43" s="19"/>
      <c r="PGH43" s="19"/>
      <c r="PGI43" s="19"/>
      <c r="PGJ43" s="19"/>
      <c r="PGK43" s="19"/>
      <c r="PGL43" s="19"/>
      <c r="PGM43" s="19"/>
      <c r="PGN43" s="19"/>
      <c r="PGO43" s="19"/>
      <c r="PGP43" s="19"/>
      <c r="PGQ43" s="19"/>
      <c r="PGR43" s="19"/>
      <c r="PGS43" s="19"/>
      <c r="PGT43" s="19"/>
      <c r="PGU43" s="19"/>
      <c r="PGV43" s="19"/>
      <c r="PGW43" s="19"/>
      <c r="PGX43" s="19"/>
      <c r="PGY43" s="19"/>
      <c r="PGZ43" s="19"/>
      <c r="PHA43" s="19"/>
      <c r="PHB43" s="19"/>
      <c r="PHC43" s="19"/>
      <c r="PHD43" s="19"/>
      <c r="PHE43" s="19"/>
      <c r="PHF43" s="19"/>
      <c r="PHG43" s="19"/>
      <c r="PHH43" s="19"/>
      <c r="PHI43" s="19"/>
      <c r="PHJ43" s="19"/>
      <c r="PHK43" s="19"/>
      <c r="PHL43" s="19"/>
      <c r="PHM43" s="19"/>
      <c r="PHN43" s="19"/>
      <c r="PHO43" s="19"/>
      <c r="PHP43" s="19"/>
      <c r="PHQ43" s="19"/>
      <c r="PHR43" s="19"/>
      <c r="PHS43" s="19"/>
      <c r="PHT43" s="19"/>
      <c r="PHU43" s="19"/>
      <c r="PHV43" s="19"/>
      <c r="PHW43" s="19"/>
      <c r="PHX43" s="19"/>
      <c r="PHY43" s="19"/>
      <c r="PHZ43" s="19"/>
      <c r="PIA43" s="19"/>
      <c r="PIB43" s="19"/>
      <c r="PIC43" s="19"/>
      <c r="PID43" s="19"/>
      <c r="PIE43" s="19"/>
      <c r="PIF43" s="19"/>
      <c r="PIG43" s="19"/>
      <c r="PIH43" s="19"/>
      <c r="PII43" s="19"/>
      <c r="PIJ43" s="19"/>
      <c r="PIK43" s="19"/>
      <c r="PIL43" s="19"/>
      <c r="PIM43" s="19"/>
      <c r="PIN43" s="19"/>
      <c r="PIO43" s="19"/>
      <c r="PIP43" s="19"/>
      <c r="PIQ43" s="19"/>
      <c r="PIR43" s="19"/>
      <c r="PIS43" s="19"/>
      <c r="PIT43" s="19"/>
      <c r="PIU43" s="19"/>
      <c r="PIV43" s="19"/>
      <c r="PIW43" s="19"/>
      <c r="PIX43" s="19"/>
      <c r="PIY43" s="19"/>
      <c r="PIZ43" s="19"/>
      <c r="PJA43" s="19"/>
      <c r="PJB43" s="19"/>
      <c r="PJC43" s="19"/>
      <c r="PJD43" s="19"/>
      <c r="PJE43" s="19"/>
      <c r="PJF43" s="19"/>
      <c r="PJG43" s="19"/>
      <c r="PJH43" s="19"/>
      <c r="PJI43" s="19"/>
      <c r="PJJ43" s="19"/>
      <c r="PJK43" s="19"/>
      <c r="PJL43" s="19"/>
      <c r="PJM43" s="19"/>
      <c r="PJN43" s="19"/>
      <c r="PJO43" s="19"/>
      <c r="PJP43" s="19"/>
      <c r="PJQ43" s="19"/>
      <c r="PJR43" s="19"/>
      <c r="PJS43" s="19"/>
      <c r="PJT43" s="19"/>
      <c r="PJU43" s="19"/>
      <c r="PJV43" s="19"/>
      <c r="PJW43" s="19"/>
      <c r="PJX43" s="19"/>
      <c r="PJY43" s="19"/>
      <c r="PJZ43" s="19"/>
      <c r="PKA43" s="19"/>
      <c r="PKB43" s="19"/>
      <c r="PKC43" s="19"/>
      <c r="PKD43" s="19"/>
      <c r="PKE43" s="19"/>
      <c r="PKF43" s="19"/>
      <c r="PKG43" s="19"/>
      <c r="PKH43" s="19"/>
      <c r="PKI43" s="19"/>
      <c r="PKJ43" s="19"/>
      <c r="PKK43" s="19"/>
      <c r="PKL43" s="19"/>
      <c r="PKM43" s="19"/>
      <c r="PKN43" s="19"/>
      <c r="PKO43" s="19"/>
      <c r="PKP43" s="19"/>
      <c r="PKQ43" s="19"/>
      <c r="PKR43" s="19"/>
      <c r="PKS43" s="19"/>
      <c r="PKT43" s="19"/>
      <c r="PKU43" s="19"/>
      <c r="PKV43" s="19"/>
      <c r="PKW43" s="19"/>
      <c r="PKX43" s="19"/>
      <c r="PKY43" s="19"/>
      <c r="PKZ43" s="19"/>
      <c r="PLA43" s="19"/>
      <c r="PLB43" s="19"/>
      <c r="PLC43" s="19"/>
      <c r="PLD43" s="19"/>
      <c r="PLE43" s="19"/>
      <c r="PLF43" s="19"/>
      <c r="PLG43" s="19"/>
      <c r="PLH43" s="19"/>
      <c r="PLI43" s="19"/>
      <c r="PLJ43" s="19"/>
      <c r="PLK43" s="19"/>
      <c r="PLL43" s="19"/>
      <c r="PLM43" s="19"/>
      <c r="PLN43" s="19"/>
      <c r="PLO43" s="19"/>
      <c r="PLP43" s="19"/>
      <c r="PLQ43" s="19"/>
      <c r="PLR43" s="19"/>
      <c r="PLS43" s="19"/>
      <c r="PLT43" s="19"/>
      <c r="PLU43" s="19"/>
      <c r="PLV43" s="19"/>
      <c r="PLW43" s="19"/>
      <c r="PLX43" s="19"/>
      <c r="PLY43" s="19"/>
      <c r="PLZ43" s="19"/>
      <c r="PMA43" s="19"/>
      <c r="PMB43" s="19"/>
      <c r="PMC43" s="19"/>
      <c r="PMD43" s="19"/>
      <c r="PME43" s="19"/>
      <c r="PMF43" s="19"/>
      <c r="PMG43" s="19"/>
      <c r="PMH43" s="19"/>
      <c r="PMI43" s="19"/>
      <c r="PMJ43" s="19"/>
      <c r="PMK43" s="19"/>
      <c r="PML43" s="19"/>
      <c r="PMM43" s="19"/>
      <c r="PMN43" s="19"/>
      <c r="PMO43" s="19"/>
      <c r="PMP43" s="19"/>
      <c r="PMQ43" s="19"/>
      <c r="PMR43" s="19"/>
      <c r="PMS43" s="19"/>
      <c r="PMT43" s="19"/>
      <c r="PMU43" s="19"/>
      <c r="PMV43" s="19"/>
      <c r="PMW43" s="19"/>
      <c r="PMX43" s="19"/>
      <c r="PMY43" s="19"/>
      <c r="PMZ43" s="19"/>
      <c r="PNA43" s="19"/>
      <c r="PNB43" s="19"/>
      <c r="PNC43" s="19"/>
      <c r="PND43" s="19"/>
      <c r="PNE43" s="19"/>
      <c r="PNF43" s="19"/>
      <c r="PNG43" s="19"/>
      <c r="PNH43" s="19"/>
      <c r="PNI43" s="19"/>
      <c r="PNJ43" s="19"/>
      <c r="PNK43" s="19"/>
      <c r="PNL43" s="19"/>
      <c r="PNM43" s="19"/>
      <c r="PNN43" s="19"/>
      <c r="PNO43" s="19"/>
      <c r="PNP43" s="19"/>
      <c r="PNQ43" s="19"/>
      <c r="PNR43" s="19"/>
      <c r="PNS43" s="19"/>
      <c r="PNT43" s="19"/>
      <c r="PNU43" s="19"/>
      <c r="PNV43" s="19"/>
      <c r="PNW43" s="19"/>
      <c r="PNX43" s="19"/>
      <c r="PNY43" s="19"/>
      <c r="PNZ43" s="19"/>
      <c r="POA43" s="19"/>
      <c r="POB43" s="19"/>
      <c r="POC43" s="19"/>
      <c r="POD43" s="19"/>
      <c r="POE43" s="19"/>
      <c r="POF43" s="19"/>
      <c r="POG43" s="19"/>
      <c r="POH43" s="19"/>
      <c r="POI43" s="19"/>
      <c r="POJ43" s="19"/>
      <c r="POK43" s="19"/>
      <c r="POL43" s="19"/>
      <c r="POM43" s="19"/>
      <c r="PON43" s="19"/>
      <c r="POO43" s="19"/>
      <c r="POP43" s="19"/>
      <c r="POQ43" s="19"/>
      <c r="POR43" s="19"/>
      <c r="POS43" s="19"/>
      <c r="POT43" s="19"/>
      <c r="POU43" s="19"/>
      <c r="POV43" s="19"/>
      <c r="POW43" s="19"/>
      <c r="POX43" s="19"/>
      <c r="POY43" s="19"/>
      <c r="POZ43" s="19"/>
      <c r="PPA43" s="19"/>
      <c r="PPB43" s="19"/>
      <c r="PPC43" s="19"/>
      <c r="PPD43" s="19"/>
      <c r="PPE43" s="19"/>
      <c r="PPF43" s="19"/>
      <c r="PPG43" s="19"/>
      <c r="PPH43" s="19"/>
      <c r="PPI43" s="19"/>
      <c r="PPJ43" s="19"/>
      <c r="PPK43" s="19"/>
      <c r="PPL43" s="19"/>
      <c r="PPM43" s="19"/>
      <c r="PPN43" s="19"/>
      <c r="PPO43" s="19"/>
      <c r="PPP43" s="19"/>
      <c r="PPQ43" s="19"/>
      <c r="PPR43" s="19"/>
      <c r="PPS43" s="19"/>
      <c r="PPT43" s="19"/>
      <c r="PPU43" s="19"/>
      <c r="PPV43" s="19"/>
      <c r="PPW43" s="19"/>
      <c r="PPX43" s="19"/>
      <c r="PPY43" s="19"/>
      <c r="PPZ43" s="19"/>
      <c r="PQA43" s="19"/>
      <c r="PQB43" s="19"/>
      <c r="PQC43" s="19"/>
      <c r="PQD43" s="19"/>
      <c r="PQE43" s="19"/>
      <c r="PQF43" s="19"/>
      <c r="PQG43" s="19"/>
      <c r="PQH43" s="19"/>
      <c r="PQI43" s="19"/>
      <c r="PQJ43" s="19"/>
      <c r="PQK43" s="19"/>
      <c r="PQL43" s="19"/>
      <c r="PQM43" s="19"/>
      <c r="PQN43" s="19"/>
      <c r="PQO43" s="19"/>
      <c r="PQP43" s="19"/>
      <c r="PQQ43" s="19"/>
      <c r="PQR43" s="19"/>
      <c r="PQS43" s="19"/>
      <c r="PQT43" s="19"/>
      <c r="PQU43" s="19"/>
      <c r="PQV43" s="19"/>
      <c r="PQW43" s="19"/>
      <c r="PQX43" s="19"/>
      <c r="PQY43" s="19"/>
      <c r="PQZ43" s="19"/>
      <c r="PRA43" s="19"/>
      <c r="PRB43" s="19"/>
      <c r="PRC43" s="19"/>
      <c r="PRD43" s="19"/>
      <c r="PRE43" s="19"/>
      <c r="PRF43" s="19"/>
      <c r="PRG43" s="19"/>
      <c r="PRH43" s="19"/>
      <c r="PRI43" s="19"/>
      <c r="PRJ43" s="19"/>
      <c r="PRK43" s="19"/>
      <c r="PRL43" s="19"/>
      <c r="PRM43" s="19"/>
      <c r="PRN43" s="19"/>
      <c r="PRO43" s="19"/>
      <c r="PRP43" s="19"/>
      <c r="PRQ43" s="19"/>
      <c r="PRR43" s="19"/>
      <c r="PRS43" s="19"/>
      <c r="PRT43" s="19"/>
      <c r="PRU43" s="19"/>
      <c r="PRV43" s="19"/>
      <c r="PRW43" s="19"/>
      <c r="PRX43" s="19"/>
      <c r="PRY43" s="19"/>
      <c r="PRZ43" s="19"/>
      <c r="PSA43" s="19"/>
      <c r="PSB43" s="19"/>
      <c r="PSC43" s="19"/>
      <c r="PSD43" s="19"/>
      <c r="PSE43" s="19"/>
      <c r="PSF43" s="19"/>
      <c r="PSG43" s="19"/>
      <c r="PSH43" s="19"/>
      <c r="PSI43" s="19"/>
      <c r="PSJ43" s="19"/>
      <c r="PSK43" s="19"/>
      <c r="PSL43" s="19"/>
      <c r="PSM43" s="19"/>
      <c r="PSN43" s="19"/>
      <c r="PSO43" s="19"/>
      <c r="PSP43" s="19"/>
      <c r="PSQ43" s="19"/>
      <c r="PSR43" s="19"/>
      <c r="PSS43" s="19"/>
      <c r="PST43" s="19"/>
      <c r="PSU43" s="19"/>
      <c r="PSV43" s="19"/>
      <c r="PSW43" s="19"/>
      <c r="PSX43" s="19"/>
      <c r="PSY43" s="19"/>
      <c r="PSZ43" s="19"/>
      <c r="PTA43" s="19"/>
      <c r="PTB43" s="19"/>
      <c r="PTC43" s="19"/>
      <c r="PTD43" s="19"/>
      <c r="PTE43" s="19"/>
      <c r="PTF43" s="19"/>
      <c r="PTG43" s="19"/>
      <c r="PTH43" s="19"/>
      <c r="PTI43" s="19"/>
      <c r="PTJ43" s="19"/>
      <c r="PTK43" s="19"/>
      <c r="PTL43" s="19"/>
      <c r="PTM43" s="19"/>
      <c r="PTN43" s="19"/>
      <c r="PTO43" s="19"/>
      <c r="PTP43" s="19"/>
      <c r="PTQ43" s="19"/>
      <c r="PTR43" s="19"/>
      <c r="PTS43" s="19"/>
      <c r="PTT43" s="19"/>
      <c r="PTU43" s="19"/>
      <c r="PTV43" s="19"/>
      <c r="PTW43" s="19"/>
      <c r="PTX43" s="19"/>
      <c r="PTY43" s="19"/>
      <c r="PTZ43" s="19"/>
      <c r="PUA43" s="19"/>
      <c r="PUB43" s="19"/>
      <c r="PUC43" s="19"/>
      <c r="PUD43" s="19"/>
      <c r="PUE43" s="19"/>
      <c r="PUF43" s="19"/>
      <c r="PUG43" s="19"/>
      <c r="PUH43" s="19"/>
      <c r="PUI43" s="19"/>
      <c r="PUJ43" s="19"/>
      <c r="PUK43" s="19"/>
      <c r="PUL43" s="19"/>
      <c r="PUM43" s="19"/>
      <c r="PUN43" s="19"/>
      <c r="PUO43" s="19"/>
      <c r="PUP43" s="19"/>
      <c r="PUQ43" s="19"/>
      <c r="PUR43" s="19"/>
      <c r="PUS43" s="19"/>
      <c r="PUT43" s="19"/>
      <c r="PUU43" s="19"/>
      <c r="PUV43" s="19"/>
      <c r="PUW43" s="19"/>
      <c r="PUX43" s="19"/>
      <c r="PUY43" s="19"/>
      <c r="PUZ43" s="19"/>
      <c r="PVA43" s="19"/>
      <c r="PVB43" s="19"/>
      <c r="PVC43" s="19"/>
      <c r="PVD43" s="19"/>
      <c r="PVE43" s="19"/>
      <c r="PVF43" s="19"/>
      <c r="PVG43" s="19"/>
      <c r="PVH43" s="19"/>
      <c r="PVI43" s="19"/>
      <c r="PVJ43" s="19"/>
      <c r="PVK43" s="19"/>
      <c r="PVL43" s="19"/>
      <c r="PVM43" s="19"/>
      <c r="PVN43" s="19"/>
      <c r="PVO43" s="19"/>
      <c r="PVP43" s="19"/>
      <c r="PVQ43" s="19"/>
      <c r="PVR43" s="19"/>
      <c r="PVS43" s="19"/>
      <c r="PVT43" s="19"/>
      <c r="PVU43" s="19"/>
      <c r="PVV43" s="19"/>
      <c r="PVW43" s="19"/>
      <c r="PVX43" s="19"/>
      <c r="PVY43" s="19"/>
      <c r="PVZ43" s="19"/>
      <c r="PWA43" s="19"/>
      <c r="PWB43" s="19"/>
      <c r="PWC43" s="19"/>
      <c r="PWD43" s="19"/>
      <c r="PWE43" s="19"/>
      <c r="PWF43" s="19"/>
      <c r="PWG43" s="19"/>
      <c r="PWH43" s="19"/>
      <c r="PWI43" s="19"/>
      <c r="PWJ43" s="19"/>
      <c r="PWK43" s="19"/>
      <c r="PWL43" s="19"/>
      <c r="PWM43" s="19"/>
      <c r="PWN43" s="19"/>
      <c r="PWO43" s="19"/>
      <c r="PWP43" s="19"/>
      <c r="PWQ43" s="19"/>
      <c r="PWR43" s="19"/>
      <c r="PWS43" s="19"/>
      <c r="PWT43" s="19"/>
      <c r="PWU43" s="19"/>
      <c r="PWV43" s="19"/>
      <c r="PWW43" s="19"/>
      <c r="PWX43" s="19"/>
      <c r="PWY43" s="19"/>
      <c r="PWZ43" s="19"/>
      <c r="PXA43" s="19"/>
      <c r="PXB43" s="19"/>
      <c r="PXC43" s="19"/>
      <c r="PXD43" s="19"/>
      <c r="PXE43" s="19"/>
      <c r="PXF43" s="19"/>
      <c r="PXG43" s="19"/>
      <c r="PXH43" s="19"/>
      <c r="PXI43" s="19"/>
      <c r="PXJ43" s="19"/>
      <c r="PXK43" s="19"/>
      <c r="PXL43" s="19"/>
      <c r="PXM43" s="19"/>
      <c r="PXN43" s="19"/>
      <c r="PXO43" s="19"/>
      <c r="PXP43" s="19"/>
      <c r="PXQ43" s="19"/>
      <c r="PXR43" s="19"/>
      <c r="PXS43" s="19"/>
      <c r="PXT43" s="19"/>
      <c r="PXU43" s="19"/>
      <c r="PXV43" s="19"/>
      <c r="PXW43" s="19"/>
      <c r="PXX43" s="19"/>
      <c r="PXY43" s="19"/>
      <c r="PXZ43" s="19"/>
      <c r="PYA43" s="19"/>
      <c r="PYB43" s="19"/>
      <c r="PYC43" s="19"/>
      <c r="PYD43" s="19"/>
      <c r="PYE43" s="19"/>
      <c r="PYF43" s="19"/>
      <c r="PYG43" s="19"/>
      <c r="PYH43" s="19"/>
      <c r="PYI43" s="19"/>
      <c r="PYJ43" s="19"/>
      <c r="PYK43" s="19"/>
      <c r="PYL43" s="19"/>
      <c r="PYM43" s="19"/>
      <c r="PYN43" s="19"/>
      <c r="PYO43" s="19"/>
      <c r="PYP43" s="19"/>
      <c r="PYQ43" s="19"/>
      <c r="PYR43" s="19"/>
      <c r="PYS43" s="19"/>
      <c r="PYT43" s="19"/>
      <c r="PYU43" s="19"/>
      <c r="PYV43" s="19"/>
      <c r="PYW43" s="19"/>
      <c r="PYX43" s="19"/>
      <c r="PYY43" s="19"/>
      <c r="PYZ43" s="19"/>
      <c r="PZA43" s="19"/>
      <c r="PZB43" s="19"/>
      <c r="PZC43" s="19"/>
      <c r="PZD43" s="19"/>
      <c r="PZE43" s="19"/>
      <c r="PZF43" s="19"/>
      <c r="PZG43" s="19"/>
      <c r="PZH43" s="19"/>
      <c r="PZI43" s="19"/>
      <c r="PZJ43" s="19"/>
      <c r="PZK43" s="19"/>
      <c r="PZL43" s="19"/>
      <c r="PZM43" s="19"/>
      <c r="PZN43" s="19"/>
      <c r="PZO43" s="19"/>
      <c r="PZP43" s="19"/>
      <c r="PZQ43" s="19"/>
      <c r="PZR43" s="19"/>
      <c r="PZS43" s="19"/>
      <c r="PZT43" s="19"/>
      <c r="PZU43" s="19"/>
      <c r="PZV43" s="19"/>
      <c r="PZW43" s="19"/>
      <c r="PZX43" s="19"/>
      <c r="PZY43" s="19"/>
      <c r="PZZ43" s="19"/>
      <c r="QAA43" s="19"/>
      <c r="QAB43" s="19"/>
      <c r="QAC43" s="19"/>
      <c r="QAD43" s="19"/>
      <c r="QAE43" s="19"/>
      <c r="QAF43" s="19"/>
      <c r="QAG43" s="19"/>
      <c r="QAH43" s="19"/>
      <c r="QAI43" s="19"/>
      <c r="QAJ43" s="19"/>
      <c r="QAK43" s="19"/>
      <c r="QAL43" s="19"/>
      <c r="QAM43" s="19"/>
      <c r="QAN43" s="19"/>
      <c r="QAO43" s="19"/>
      <c r="QAP43" s="19"/>
      <c r="QAQ43" s="19"/>
      <c r="QAR43" s="19"/>
      <c r="QAS43" s="19"/>
      <c r="QAT43" s="19"/>
      <c r="QAU43" s="19"/>
      <c r="QAV43" s="19"/>
      <c r="QAW43" s="19"/>
      <c r="QAX43" s="19"/>
      <c r="QAY43" s="19"/>
      <c r="QAZ43" s="19"/>
      <c r="QBA43" s="19"/>
      <c r="QBB43" s="19"/>
      <c r="QBC43" s="19"/>
      <c r="QBD43" s="19"/>
      <c r="QBE43" s="19"/>
      <c r="QBF43" s="19"/>
      <c r="QBG43" s="19"/>
      <c r="QBH43" s="19"/>
      <c r="QBI43" s="19"/>
      <c r="QBJ43" s="19"/>
      <c r="QBK43" s="19"/>
      <c r="QBL43" s="19"/>
      <c r="QBM43" s="19"/>
      <c r="QBN43" s="19"/>
      <c r="QBO43" s="19"/>
      <c r="QBP43" s="19"/>
      <c r="QBQ43" s="19"/>
      <c r="QBR43" s="19"/>
      <c r="QBS43" s="19"/>
      <c r="QBT43" s="19"/>
      <c r="QBU43" s="19"/>
      <c r="QBV43" s="19"/>
      <c r="QBW43" s="19"/>
      <c r="QBX43" s="19"/>
      <c r="QBY43" s="19"/>
      <c r="QBZ43" s="19"/>
      <c r="QCA43" s="19"/>
      <c r="QCB43" s="19"/>
      <c r="QCC43" s="19"/>
      <c r="QCD43" s="19"/>
      <c r="QCE43" s="19"/>
      <c r="QCF43" s="19"/>
      <c r="QCG43" s="19"/>
      <c r="QCH43" s="19"/>
      <c r="QCI43" s="19"/>
      <c r="QCJ43" s="19"/>
      <c r="QCK43" s="19"/>
      <c r="QCL43" s="19"/>
      <c r="QCM43" s="19"/>
      <c r="QCN43" s="19"/>
      <c r="QCO43" s="19"/>
      <c r="QCP43" s="19"/>
      <c r="QCQ43" s="19"/>
      <c r="QCR43" s="19"/>
      <c r="QCS43" s="19"/>
      <c r="QCT43" s="19"/>
      <c r="QCU43" s="19"/>
      <c r="QCV43" s="19"/>
      <c r="QCW43" s="19"/>
      <c r="QCX43" s="19"/>
      <c r="QCY43" s="19"/>
      <c r="QCZ43" s="19"/>
      <c r="QDA43" s="19"/>
      <c r="QDB43" s="19"/>
      <c r="QDC43" s="19"/>
      <c r="QDD43" s="19"/>
      <c r="QDE43" s="19"/>
      <c r="QDF43" s="19"/>
      <c r="QDG43" s="19"/>
      <c r="QDH43" s="19"/>
      <c r="QDI43" s="19"/>
      <c r="QDJ43" s="19"/>
      <c r="QDK43" s="19"/>
      <c r="QDL43" s="19"/>
      <c r="QDM43" s="19"/>
      <c r="QDN43" s="19"/>
      <c r="QDO43" s="19"/>
      <c r="QDP43" s="19"/>
      <c r="QDQ43" s="19"/>
      <c r="QDR43" s="19"/>
      <c r="QDS43" s="19"/>
      <c r="QDT43" s="19"/>
      <c r="QDU43" s="19"/>
      <c r="QDV43" s="19"/>
      <c r="QDW43" s="19"/>
      <c r="QDX43" s="19"/>
      <c r="QDY43" s="19"/>
      <c r="QDZ43" s="19"/>
      <c r="QEA43" s="19"/>
      <c r="QEB43" s="19"/>
      <c r="QEC43" s="19"/>
      <c r="QED43" s="19"/>
      <c r="QEE43" s="19"/>
      <c r="QEF43" s="19"/>
      <c r="QEG43" s="19"/>
      <c r="QEH43" s="19"/>
      <c r="QEI43" s="19"/>
      <c r="QEJ43" s="19"/>
      <c r="QEK43" s="19"/>
      <c r="QEL43" s="19"/>
      <c r="QEM43" s="19"/>
      <c r="QEN43" s="19"/>
      <c r="QEO43" s="19"/>
      <c r="QEP43" s="19"/>
      <c r="QEQ43" s="19"/>
      <c r="QER43" s="19"/>
      <c r="QES43" s="19"/>
      <c r="QET43" s="19"/>
      <c r="QEU43" s="19"/>
      <c r="QEV43" s="19"/>
      <c r="QEW43" s="19"/>
      <c r="QEX43" s="19"/>
      <c r="QEY43" s="19"/>
      <c r="QEZ43" s="19"/>
      <c r="QFA43" s="19"/>
      <c r="QFB43" s="19"/>
      <c r="QFC43" s="19"/>
      <c r="QFD43" s="19"/>
      <c r="QFE43" s="19"/>
      <c r="QFF43" s="19"/>
      <c r="QFG43" s="19"/>
      <c r="QFH43" s="19"/>
      <c r="QFI43" s="19"/>
      <c r="QFJ43" s="19"/>
      <c r="QFK43" s="19"/>
      <c r="QFL43" s="19"/>
      <c r="QFM43" s="19"/>
      <c r="QFN43" s="19"/>
      <c r="QFO43" s="19"/>
      <c r="QFP43" s="19"/>
      <c r="QFQ43" s="19"/>
      <c r="QFR43" s="19"/>
      <c r="QFS43" s="19"/>
      <c r="QFT43" s="19"/>
      <c r="QFU43" s="19"/>
      <c r="QFV43" s="19"/>
      <c r="QFW43" s="19"/>
      <c r="QFX43" s="19"/>
      <c r="QFY43" s="19"/>
      <c r="QFZ43" s="19"/>
      <c r="QGA43" s="19"/>
      <c r="QGB43" s="19"/>
      <c r="QGC43" s="19"/>
      <c r="QGD43" s="19"/>
      <c r="QGE43" s="19"/>
      <c r="QGF43" s="19"/>
      <c r="QGG43" s="19"/>
      <c r="QGH43" s="19"/>
      <c r="QGI43" s="19"/>
      <c r="QGJ43" s="19"/>
      <c r="QGK43" s="19"/>
      <c r="QGL43" s="19"/>
      <c r="QGM43" s="19"/>
      <c r="QGN43" s="19"/>
      <c r="QGO43" s="19"/>
      <c r="QGP43" s="19"/>
      <c r="QGQ43" s="19"/>
      <c r="QGR43" s="19"/>
      <c r="QGS43" s="19"/>
      <c r="QGT43" s="19"/>
      <c r="QGU43" s="19"/>
      <c r="QGV43" s="19"/>
      <c r="QGW43" s="19"/>
      <c r="QGX43" s="19"/>
      <c r="QGY43" s="19"/>
      <c r="QGZ43" s="19"/>
      <c r="QHA43" s="19"/>
      <c r="QHB43" s="19"/>
      <c r="QHC43" s="19"/>
      <c r="QHD43" s="19"/>
      <c r="QHE43" s="19"/>
      <c r="QHF43" s="19"/>
      <c r="QHG43" s="19"/>
      <c r="QHH43" s="19"/>
      <c r="QHI43" s="19"/>
      <c r="QHJ43" s="19"/>
      <c r="QHK43" s="19"/>
      <c r="QHL43" s="19"/>
      <c r="QHM43" s="19"/>
      <c r="QHN43" s="19"/>
      <c r="QHO43" s="19"/>
      <c r="QHP43" s="19"/>
      <c r="QHQ43" s="19"/>
      <c r="QHR43" s="19"/>
      <c r="QHS43" s="19"/>
      <c r="QHT43" s="19"/>
      <c r="QHU43" s="19"/>
      <c r="QHV43" s="19"/>
      <c r="QHW43" s="19"/>
      <c r="QHX43" s="19"/>
      <c r="QHY43" s="19"/>
      <c r="QHZ43" s="19"/>
      <c r="QIA43" s="19"/>
      <c r="QIB43" s="19"/>
      <c r="QIC43" s="19"/>
      <c r="QID43" s="19"/>
      <c r="QIE43" s="19"/>
      <c r="QIF43" s="19"/>
      <c r="QIG43" s="19"/>
      <c r="QIH43" s="19"/>
      <c r="QII43" s="19"/>
      <c r="QIJ43" s="19"/>
      <c r="QIK43" s="19"/>
      <c r="QIL43" s="19"/>
      <c r="QIM43" s="19"/>
      <c r="QIN43" s="19"/>
      <c r="QIO43" s="19"/>
      <c r="QIP43" s="19"/>
      <c r="QIQ43" s="19"/>
      <c r="QIR43" s="19"/>
      <c r="QIS43" s="19"/>
      <c r="QIT43" s="19"/>
      <c r="QIU43" s="19"/>
      <c r="QIV43" s="19"/>
      <c r="QIW43" s="19"/>
      <c r="QIX43" s="19"/>
      <c r="QIY43" s="19"/>
      <c r="QIZ43" s="19"/>
      <c r="QJA43" s="19"/>
      <c r="QJB43" s="19"/>
      <c r="QJC43" s="19"/>
      <c r="QJD43" s="19"/>
      <c r="QJE43" s="19"/>
      <c r="QJF43" s="19"/>
      <c r="QJG43" s="19"/>
      <c r="QJH43" s="19"/>
      <c r="QJI43" s="19"/>
      <c r="QJJ43" s="19"/>
      <c r="QJK43" s="19"/>
      <c r="QJL43" s="19"/>
      <c r="QJM43" s="19"/>
      <c r="QJN43" s="19"/>
      <c r="QJO43" s="19"/>
      <c r="QJP43" s="19"/>
      <c r="QJQ43" s="19"/>
      <c r="QJR43" s="19"/>
      <c r="QJS43" s="19"/>
      <c r="QJT43" s="19"/>
      <c r="QJU43" s="19"/>
      <c r="QJV43" s="19"/>
      <c r="QJW43" s="19"/>
      <c r="QJX43" s="19"/>
      <c r="QJY43" s="19"/>
      <c r="QJZ43" s="19"/>
      <c r="QKA43" s="19"/>
      <c r="QKB43" s="19"/>
      <c r="QKC43" s="19"/>
      <c r="QKD43" s="19"/>
      <c r="QKE43" s="19"/>
      <c r="QKF43" s="19"/>
      <c r="QKG43" s="19"/>
      <c r="QKH43" s="19"/>
      <c r="QKI43" s="19"/>
      <c r="QKJ43" s="19"/>
      <c r="QKK43" s="19"/>
      <c r="QKL43" s="19"/>
      <c r="QKM43" s="19"/>
      <c r="QKN43" s="19"/>
      <c r="QKO43" s="19"/>
      <c r="QKP43" s="19"/>
      <c r="QKQ43" s="19"/>
      <c r="QKR43" s="19"/>
      <c r="QKS43" s="19"/>
      <c r="QKT43" s="19"/>
      <c r="QKU43" s="19"/>
      <c r="QKV43" s="19"/>
      <c r="QKW43" s="19"/>
      <c r="QKX43" s="19"/>
      <c r="QKY43" s="19"/>
      <c r="QKZ43" s="19"/>
      <c r="QLA43" s="19"/>
      <c r="QLB43" s="19"/>
      <c r="QLC43" s="19"/>
      <c r="QLD43" s="19"/>
      <c r="QLE43" s="19"/>
      <c r="QLF43" s="19"/>
      <c r="QLG43" s="19"/>
      <c r="QLH43" s="19"/>
      <c r="QLI43" s="19"/>
      <c r="QLJ43" s="19"/>
      <c r="QLK43" s="19"/>
      <c r="QLL43" s="19"/>
      <c r="QLM43" s="19"/>
      <c r="QLN43" s="19"/>
      <c r="QLO43" s="19"/>
      <c r="QLP43" s="19"/>
      <c r="QLQ43" s="19"/>
      <c r="QLR43" s="19"/>
      <c r="QLS43" s="19"/>
      <c r="QLT43" s="19"/>
      <c r="QLU43" s="19"/>
      <c r="QLV43" s="19"/>
      <c r="QLW43" s="19"/>
      <c r="QLX43" s="19"/>
      <c r="QLY43" s="19"/>
      <c r="QLZ43" s="19"/>
      <c r="QMA43" s="19"/>
      <c r="QMB43" s="19"/>
      <c r="QMC43" s="19"/>
      <c r="QMD43" s="19"/>
      <c r="QME43" s="19"/>
      <c r="QMF43" s="19"/>
      <c r="QMG43" s="19"/>
      <c r="QMH43" s="19"/>
      <c r="QMI43" s="19"/>
      <c r="QMJ43" s="19"/>
      <c r="QMK43" s="19"/>
      <c r="QML43" s="19"/>
      <c r="QMM43" s="19"/>
      <c r="QMN43" s="19"/>
      <c r="QMO43" s="19"/>
      <c r="QMP43" s="19"/>
      <c r="QMQ43" s="19"/>
      <c r="QMR43" s="19"/>
      <c r="QMS43" s="19"/>
      <c r="QMT43" s="19"/>
      <c r="QMU43" s="19"/>
      <c r="QMV43" s="19"/>
      <c r="QMW43" s="19"/>
      <c r="QMX43" s="19"/>
      <c r="QMY43" s="19"/>
      <c r="QMZ43" s="19"/>
      <c r="QNA43" s="19"/>
      <c r="QNB43" s="19"/>
      <c r="QNC43" s="19"/>
      <c r="QND43" s="19"/>
      <c r="QNE43" s="19"/>
      <c r="QNF43" s="19"/>
      <c r="QNG43" s="19"/>
      <c r="QNH43" s="19"/>
      <c r="QNI43" s="19"/>
      <c r="QNJ43" s="19"/>
      <c r="QNK43" s="19"/>
      <c r="QNL43" s="19"/>
      <c r="QNM43" s="19"/>
      <c r="QNN43" s="19"/>
      <c r="QNO43" s="19"/>
      <c r="QNP43" s="19"/>
      <c r="QNQ43" s="19"/>
      <c r="QNR43" s="19"/>
      <c r="QNS43" s="19"/>
      <c r="QNT43" s="19"/>
      <c r="QNU43" s="19"/>
      <c r="QNV43" s="19"/>
      <c r="QNW43" s="19"/>
      <c r="QNX43" s="19"/>
      <c r="QNY43" s="19"/>
      <c r="QNZ43" s="19"/>
      <c r="QOA43" s="19"/>
      <c r="QOB43" s="19"/>
      <c r="QOC43" s="19"/>
      <c r="QOD43" s="19"/>
      <c r="QOE43" s="19"/>
      <c r="QOF43" s="19"/>
      <c r="QOG43" s="19"/>
      <c r="QOH43" s="19"/>
      <c r="QOI43" s="19"/>
      <c r="QOJ43" s="19"/>
      <c r="QOK43" s="19"/>
      <c r="QOL43" s="19"/>
      <c r="QOM43" s="19"/>
      <c r="QON43" s="19"/>
      <c r="QOO43" s="19"/>
      <c r="QOP43" s="19"/>
      <c r="QOQ43" s="19"/>
      <c r="QOR43" s="19"/>
      <c r="QOS43" s="19"/>
      <c r="QOT43" s="19"/>
      <c r="QOU43" s="19"/>
      <c r="QOV43" s="19"/>
      <c r="QOW43" s="19"/>
      <c r="QOX43" s="19"/>
      <c r="QOY43" s="19"/>
      <c r="QOZ43" s="19"/>
      <c r="QPA43" s="19"/>
      <c r="QPB43" s="19"/>
      <c r="QPC43" s="19"/>
      <c r="QPD43" s="19"/>
      <c r="QPE43" s="19"/>
      <c r="QPF43" s="19"/>
      <c r="QPG43" s="19"/>
      <c r="QPH43" s="19"/>
      <c r="QPI43" s="19"/>
      <c r="QPJ43" s="19"/>
      <c r="QPK43" s="19"/>
      <c r="QPL43" s="19"/>
      <c r="QPM43" s="19"/>
      <c r="QPN43" s="19"/>
      <c r="QPO43" s="19"/>
      <c r="QPP43" s="19"/>
      <c r="QPQ43" s="19"/>
      <c r="QPR43" s="19"/>
      <c r="QPS43" s="19"/>
      <c r="QPT43" s="19"/>
      <c r="QPU43" s="19"/>
      <c r="QPV43" s="19"/>
      <c r="QPW43" s="19"/>
      <c r="QPX43" s="19"/>
      <c r="QPY43" s="19"/>
      <c r="QPZ43" s="19"/>
      <c r="QQA43" s="19"/>
      <c r="QQB43" s="19"/>
      <c r="QQC43" s="19"/>
      <c r="QQD43" s="19"/>
      <c r="QQE43" s="19"/>
      <c r="QQF43" s="19"/>
      <c r="QQG43" s="19"/>
      <c r="QQH43" s="19"/>
      <c r="QQI43" s="19"/>
      <c r="QQJ43" s="19"/>
      <c r="QQK43" s="19"/>
      <c r="QQL43" s="19"/>
      <c r="QQM43" s="19"/>
      <c r="QQN43" s="19"/>
      <c r="QQO43" s="19"/>
      <c r="QQP43" s="19"/>
      <c r="QQQ43" s="19"/>
      <c r="QQR43" s="19"/>
      <c r="QQS43" s="19"/>
      <c r="QQT43" s="19"/>
      <c r="QQU43" s="19"/>
      <c r="QQV43" s="19"/>
      <c r="QQW43" s="19"/>
      <c r="QQX43" s="19"/>
      <c r="QQY43" s="19"/>
      <c r="QQZ43" s="19"/>
      <c r="QRA43" s="19"/>
      <c r="QRB43" s="19"/>
      <c r="QRC43" s="19"/>
      <c r="QRD43" s="19"/>
      <c r="QRE43" s="19"/>
      <c r="QRF43" s="19"/>
      <c r="QRG43" s="19"/>
      <c r="QRH43" s="19"/>
      <c r="QRI43" s="19"/>
      <c r="QRJ43" s="19"/>
      <c r="QRK43" s="19"/>
      <c r="QRL43" s="19"/>
      <c r="QRM43" s="19"/>
      <c r="QRN43" s="19"/>
      <c r="QRO43" s="19"/>
      <c r="QRP43" s="19"/>
      <c r="QRQ43" s="19"/>
      <c r="QRR43" s="19"/>
      <c r="QRS43" s="19"/>
      <c r="QRT43" s="19"/>
      <c r="QRU43" s="19"/>
      <c r="QRV43" s="19"/>
      <c r="QRW43" s="19"/>
      <c r="QRX43" s="19"/>
      <c r="QRY43" s="19"/>
      <c r="QRZ43" s="19"/>
      <c r="QSA43" s="19"/>
      <c r="QSB43" s="19"/>
      <c r="QSC43" s="19"/>
      <c r="QSD43" s="19"/>
      <c r="QSE43" s="19"/>
      <c r="QSF43" s="19"/>
      <c r="QSG43" s="19"/>
      <c r="QSH43" s="19"/>
      <c r="QSI43" s="19"/>
      <c r="QSJ43" s="19"/>
      <c r="QSK43" s="19"/>
      <c r="QSL43" s="19"/>
      <c r="QSM43" s="19"/>
      <c r="QSN43" s="19"/>
      <c r="QSO43" s="19"/>
      <c r="QSP43" s="19"/>
      <c r="QSQ43" s="19"/>
      <c r="QSR43" s="19"/>
      <c r="QSS43" s="19"/>
      <c r="QST43" s="19"/>
      <c r="QSU43" s="19"/>
      <c r="QSV43" s="19"/>
      <c r="QSW43" s="19"/>
      <c r="QSX43" s="19"/>
      <c r="QSY43" s="19"/>
      <c r="QSZ43" s="19"/>
      <c r="QTA43" s="19"/>
      <c r="QTB43" s="19"/>
      <c r="QTC43" s="19"/>
      <c r="QTD43" s="19"/>
      <c r="QTE43" s="19"/>
      <c r="QTF43" s="19"/>
      <c r="QTG43" s="19"/>
      <c r="QTH43" s="19"/>
      <c r="QTI43" s="19"/>
      <c r="QTJ43" s="19"/>
      <c r="QTK43" s="19"/>
      <c r="QTL43" s="19"/>
      <c r="QTM43" s="19"/>
      <c r="QTN43" s="19"/>
      <c r="QTO43" s="19"/>
      <c r="QTP43" s="19"/>
      <c r="QTQ43" s="19"/>
      <c r="QTR43" s="19"/>
      <c r="QTS43" s="19"/>
      <c r="QTT43" s="19"/>
      <c r="QTU43" s="19"/>
      <c r="QTV43" s="19"/>
      <c r="QTW43" s="19"/>
      <c r="QTX43" s="19"/>
      <c r="QTY43" s="19"/>
      <c r="QTZ43" s="19"/>
      <c r="QUA43" s="19"/>
      <c r="QUB43" s="19"/>
      <c r="QUC43" s="19"/>
      <c r="QUD43" s="19"/>
      <c r="QUE43" s="19"/>
      <c r="QUF43" s="19"/>
      <c r="QUG43" s="19"/>
      <c r="QUH43" s="19"/>
      <c r="QUI43" s="19"/>
      <c r="QUJ43" s="19"/>
      <c r="QUK43" s="19"/>
      <c r="QUL43" s="19"/>
      <c r="QUM43" s="19"/>
      <c r="QUN43" s="19"/>
      <c r="QUO43" s="19"/>
      <c r="QUP43" s="19"/>
      <c r="QUQ43" s="19"/>
      <c r="QUR43" s="19"/>
      <c r="QUS43" s="19"/>
      <c r="QUT43" s="19"/>
      <c r="QUU43" s="19"/>
      <c r="QUV43" s="19"/>
      <c r="QUW43" s="19"/>
      <c r="QUX43" s="19"/>
      <c r="QUY43" s="19"/>
      <c r="QUZ43" s="19"/>
      <c r="QVA43" s="19"/>
      <c r="QVB43" s="19"/>
      <c r="QVC43" s="19"/>
      <c r="QVD43" s="19"/>
      <c r="QVE43" s="19"/>
      <c r="QVF43" s="19"/>
      <c r="QVG43" s="19"/>
      <c r="QVH43" s="19"/>
      <c r="QVI43" s="19"/>
      <c r="QVJ43" s="19"/>
      <c r="QVK43" s="19"/>
      <c r="QVL43" s="19"/>
      <c r="QVM43" s="19"/>
      <c r="QVN43" s="19"/>
      <c r="QVO43" s="19"/>
      <c r="QVP43" s="19"/>
      <c r="QVQ43" s="19"/>
      <c r="QVR43" s="19"/>
      <c r="QVS43" s="19"/>
      <c r="QVT43" s="19"/>
      <c r="QVU43" s="19"/>
      <c r="QVV43" s="19"/>
      <c r="QVW43" s="19"/>
      <c r="QVX43" s="19"/>
      <c r="QVY43" s="19"/>
      <c r="QVZ43" s="19"/>
      <c r="QWA43" s="19"/>
      <c r="QWB43" s="19"/>
      <c r="QWC43" s="19"/>
      <c r="QWD43" s="19"/>
      <c r="QWE43" s="19"/>
      <c r="QWF43" s="19"/>
      <c r="QWG43" s="19"/>
      <c r="QWH43" s="19"/>
      <c r="QWI43" s="19"/>
      <c r="QWJ43" s="19"/>
      <c r="QWK43" s="19"/>
      <c r="QWL43" s="19"/>
      <c r="QWM43" s="19"/>
      <c r="QWN43" s="19"/>
      <c r="QWO43" s="19"/>
      <c r="QWP43" s="19"/>
      <c r="QWQ43" s="19"/>
      <c r="QWR43" s="19"/>
      <c r="QWS43" s="19"/>
      <c r="QWT43" s="19"/>
      <c r="QWU43" s="19"/>
      <c r="QWV43" s="19"/>
      <c r="QWW43" s="19"/>
      <c r="QWX43" s="19"/>
      <c r="QWY43" s="19"/>
      <c r="QWZ43" s="19"/>
      <c r="QXA43" s="19"/>
      <c r="QXB43" s="19"/>
      <c r="QXC43" s="19"/>
      <c r="QXD43" s="19"/>
      <c r="QXE43" s="19"/>
      <c r="QXF43" s="19"/>
      <c r="QXG43" s="19"/>
      <c r="QXH43" s="19"/>
      <c r="QXI43" s="19"/>
      <c r="QXJ43" s="19"/>
      <c r="QXK43" s="19"/>
      <c r="QXL43" s="19"/>
      <c r="QXM43" s="19"/>
      <c r="QXN43" s="19"/>
      <c r="QXO43" s="19"/>
      <c r="QXP43" s="19"/>
      <c r="QXQ43" s="19"/>
      <c r="QXR43" s="19"/>
      <c r="QXS43" s="19"/>
      <c r="QXT43" s="19"/>
      <c r="QXU43" s="19"/>
      <c r="QXV43" s="19"/>
      <c r="QXW43" s="19"/>
      <c r="QXX43" s="19"/>
      <c r="QXY43" s="19"/>
      <c r="QXZ43" s="19"/>
      <c r="QYA43" s="19"/>
      <c r="QYB43" s="19"/>
      <c r="QYC43" s="19"/>
      <c r="QYD43" s="19"/>
      <c r="QYE43" s="19"/>
      <c r="QYF43" s="19"/>
      <c r="QYG43" s="19"/>
      <c r="QYH43" s="19"/>
      <c r="QYI43" s="19"/>
      <c r="QYJ43" s="19"/>
      <c r="QYK43" s="19"/>
      <c r="QYL43" s="19"/>
      <c r="QYM43" s="19"/>
      <c r="QYN43" s="19"/>
      <c r="QYO43" s="19"/>
      <c r="QYP43" s="19"/>
      <c r="QYQ43" s="19"/>
      <c r="QYR43" s="19"/>
      <c r="QYS43" s="19"/>
      <c r="QYT43" s="19"/>
      <c r="QYU43" s="19"/>
      <c r="QYV43" s="19"/>
      <c r="QYW43" s="19"/>
      <c r="QYX43" s="19"/>
      <c r="QYY43" s="19"/>
      <c r="QYZ43" s="19"/>
      <c r="QZA43" s="19"/>
      <c r="QZB43" s="19"/>
      <c r="QZC43" s="19"/>
      <c r="QZD43" s="19"/>
      <c r="QZE43" s="19"/>
      <c r="QZF43" s="19"/>
      <c r="QZG43" s="19"/>
      <c r="QZH43" s="19"/>
      <c r="QZI43" s="19"/>
      <c r="QZJ43" s="19"/>
      <c r="QZK43" s="19"/>
      <c r="QZL43" s="19"/>
      <c r="QZM43" s="19"/>
      <c r="QZN43" s="19"/>
      <c r="QZO43" s="19"/>
      <c r="QZP43" s="19"/>
      <c r="QZQ43" s="19"/>
      <c r="QZR43" s="19"/>
      <c r="QZS43" s="19"/>
      <c r="QZT43" s="19"/>
      <c r="QZU43" s="19"/>
      <c r="QZV43" s="19"/>
      <c r="QZW43" s="19"/>
      <c r="QZX43" s="19"/>
      <c r="QZY43" s="19"/>
      <c r="QZZ43" s="19"/>
      <c r="RAA43" s="19"/>
      <c r="RAB43" s="19"/>
      <c r="RAC43" s="19"/>
      <c r="RAD43" s="19"/>
      <c r="RAE43" s="19"/>
      <c r="RAF43" s="19"/>
      <c r="RAG43" s="19"/>
      <c r="RAH43" s="19"/>
      <c r="RAI43" s="19"/>
      <c r="RAJ43" s="19"/>
      <c r="RAK43" s="19"/>
      <c r="RAL43" s="19"/>
      <c r="RAM43" s="19"/>
      <c r="RAN43" s="19"/>
      <c r="RAO43" s="19"/>
      <c r="RAP43" s="19"/>
      <c r="RAQ43" s="19"/>
      <c r="RAR43" s="19"/>
      <c r="RAS43" s="19"/>
      <c r="RAT43" s="19"/>
      <c r="RAU43" s="19"/>
      <c r="RAV43" s="19"/>
      <c r="RAW43" s="19"/>
      <c r="RAX43" s="19"/>
      <c r="RAY43" s="19"/>
      <c r="RAZ43" s="19"/>
      <c r="RBA43" s="19"/>
      <c r="RBB43" s="19"/>
      <c r="RBC43" s="19"/>
      <c r="RBD43" s="19"/>
      <c r="RBE43" s="19"/>
      <c r="RBF43" s="19"/>
      <c r="RBG43" s="19"/>
      <c r="RBH43" s="19"/>
      <c r="RBI43" s="19"/>
      <c r="RBJ43" s="19"/>
      <c r="RBK43" s="19"/>
      <c r="RBL43" s="19"/>
      <c r="RBM43" s="19"/>
      <c r="RBN43" s="19"/>
      <c r="RBO43" s="19"/>
      <c r="RBP43" s="19"/>
      <c r="RBQ43" s="19"/>
      <c r="RBR43" s="19"/>
      <c r="RBS43" s="19"/>
      <c r="RBT43" s="19"/>
      <c r="RBU43" s="19"/>
      <c r="RBV43" s="19"/>
      <c r="RBW43" s="19"/>
      <c r="RBX43" s="19"/>
      <c r="RBY43" s="19"/>
      <c r="RBZ43" s="19"/>
      <c r="RCA43" s="19"/>
      <c r="RCB43" s="19"/>
      <c r="RCC43" s="19"/>
      <c r="RCD43" s="19"/>
      <c r="RCE43" s="19"/>
      <c r="RCF43" s="19"/>
      <c r="RCG43" s="19"/>
      <c r="RCH43" s="19"/>
      <c r="RCI43" s="19"/>
      <c r="RCJ43" s="19"/>
      <c r="RCK43" s="19"/>
      <c r="RCL43" s="19"/>
      <c r="RCM43" s="19"/>
      <c r="RCN43" s="19"/>
      <c r="RCO43" s="19"/>
      <c r="RCP43" s="19"/>
      <c r="RCQ43" s="19"/>
      <c r="RCR43" s="19"/>
      <c r="RCS43" s="19"/>
      <c r="RCT43" s="19"/>
      <c r="RCU43" s="19"/>
      <c r="RCV43" s="19"/>
      <c r="RCW43" s="19"/>
      <c r="RCX43" s="19"/>
      <c r="RCY43" s="19"/>
      <c r="RCZ43" s="19"/>
      <c r="RDA43" s="19"/>
      <c r="RDB43" s="19"/>
      <c r="RDC43" s="19"/>
      <c r="RDD43" s="19"/>
      <c r="RDE43" s="19"/>
      <c r="RDF43" s="19"/>
      <c r="RDG43" s="19"/>
      <c r="RDH43" s="19"/>
      <c r="RDI43" s="19"/>
      <c r="RDJ43" s="19"/>
      <c r="RDK43" s="19"/>
      <c r="RDL43" s="19"/>
      <c r="RDM43" s="19"/>
      <c r="RDN43" s="19"/>
      <c r="RDO43" s="19"/>
      <c r="RDP43" s="19"/>
      <c r="RDQ43" s="19"/>
      <c r="RDR43" s="19"/>
      <c r="RDS43" s="19"/>
      <c r="RDT43" s="19"/>
      <c r="RDU43" s="19"/>
      <c r="RDV43" s="19"/>
      <c r="RDW43" s="19"/>
      <c r="RDX43" s="19"/>
      <c r="RDY43" s="19"/>
      <c r="RDZ43" s="19"/>
      <c r="REA43" s="19"/>
      <c r="REB43" s="19"/>
      <c r="REC43" s="19"/>
      <c r="RED43" s="19"/>
      <c r="REE43" s="19"/>
      <c r="REF43" s="19"/>
      <c r="REG43" s="19"/>
      <c r="REH43" s="19"/>
      <c r="REI43" s="19"/>
      <c r="REJ43" s="19"/>
      <c r="REK43" s="19"/>
      <c r="REL43" s="19"/>
      <c r="REM43" s="19"/>
      <c r="REN43" s="19"/>
      <c r="REO43" s="19"/>
      <c r="REP43" s="19"/>
      <c r="REQ43" s="19"/>
      <c r="RER43" s="19"/>
      <c r="RES43" s="19"/>
      <c r="RET43" s="19"/>
      <c r="REU43" s="19"/>
      <c r="REV43" s="19"/>
      <c r="REW43" s="19"/>
      <c r="REX43" s="19"/>
      <c r="REY43" s="19"/>
      <c r="REZ43" s="19"/>
      <c r="RFA43" s="19"/>
      <c r="RFB43" s="19"/>
      <c r="RFC43" s="19"/>
      <c r="RFD43" s="19"/>
      <c r="RFE43" s="19"/>
      <c r="RFF43" s="19"/>
      <c r="RFG43" s="19"/>
      <c r="RFH43" s="19"/>
      <c r="RFI43" s="19"/>
      <c r="RFJ43" s="19"/>
      <c r="RFK43" s="19"/>
      <c r="RFL43" s="19"/>
      <c r="RFM43" s="19"/>
      <c r="RFN43" s="19"/>
      <c r="RFO43" s="19"/>
      <c r="RFP43" s="19"/>
      <c r="RFQ43" s="19"/>
      <c r="RFR43" s="19"/>
      <c r="RFS43" s="19"/>
      <c r="RFT43" s="19"/>
      <c r="RFU43" s="19"/>
      <c r="RFV43" s="19"/>
      <c r="RFW43" s="19"/>
      <c r="RFX43" s="19"/>
      <c r="RFY43" s="19"/>
      <c r="RFZ43" s="19"/>
      <c r="RGA43" s="19"/>
      <c r="RGB43" s="19"/>
      <c r="RGC43" s="19"/>
      <c r="RGD43" s="19"/>
      <c r="RGE43" s="19"/>
      <c r="RGF43" s="19"/>
      <c r="RGG43" s="19"/>
      <c r="RGH43" s="19"/>
      <c r="RGI43" s="19"/>
      <c r="RGJ43" s="19"/>
      <c r="RGK43" s="19"/>
      <c r="RGL43" s="19"/>
      <c r="RGM43" s="19"/>
      <c r="RGN43" s="19"/>
      <c r="RGO43" s="19"/>
      <c r="RGP43" s="19"/>
      <c r="RGQ43" s="19"/>
      <c r="RGR43" s="19"/>
      <c r="RGS43" s="19"/>
      <c r="RGT43" s="19"/>
      <c r="RGU43" s="19"/>
      <c r="RGV43" s="19"/>
      <c r="RGW43" s="19"/>
      <c r="RGX43" s="19"/>
      <c r="RGY43" s="19"/>
      <c r="RGZ43" s="19"/>
      <c r="RHA43" s="19"/>
      <c r="RHB43" s="19"/>
      <c r="RHC43" s="19"/>
      <c r="RHD43" s="19"/>
      <c r="RHE43" s="19"/>
      <c r="RHF43" s="19"/>
      <c r="RHG43" s="19"/>
      <c r="RHH43" s="19"/>
      <c r="RHI43" s="19"/>
      <c r="RHJ43" s="19"/>
      <c r="RHK43" s="19"/>
      <c r="RHL43" s="19"/>
      <c r="RHM43" s="19"/>
      <c r="RHN43" s="19"/>
      <c r="RHO43" s="19"/>
      <c r="RHP43" s="19"/>
      <c r="RHQ43" s="19"/>
      <c r="RHR43" s="19"/>
      <c r="RHS43" s="19"/>
      <c r="RHT43" s="19"/>
      <c r="RHU43" s="19"/>
      <c r="RHV43" s="19"/>
      <c r="RHW43" s="19"/>
      <c r="RHX43" s="19"/>
      <c r="RHY43" s="19"/>
      <c r="RHZ43" s="19"/>
      <c r="RIA43" s="19"/>
      <c r="RIB43" s="19"/>
      <c r="RIC43" s="19"/>
      <c r="RID43" s="19"/>
      <c r="RIE43" s="19"/>
      <c r="RIF43" s="19"/>
      <c r="RIG43" s="19"/>
      <c r="RIH43" s="19"/>
      <c r="RII43" s="19"/>
      <c r="RIJ43" s="19"/>
      <c r="RIK43" s="19"/>
      <c r="RIL43" s="19"/>
      <c r="RIM43" s="19"/>
      <c r="RIN43" s="19"/>
      <c r="RIO43" s="19"/>
      <c r="RIP43" s="19"/>
      <c r="RIQ43" s="19"/>
      <c r="RIR43" s="19"/>
      <c r="RIS43" s="19"/>
      <c r="RIT43" s="19"/>
      <c r="RIU43" s="19"/>
      <c r="RIV43" s="19"/>
      <c r="RIW43" s="19"/>
      <c r="RIX43" s="19"/>
      <c r="RIY43" s="19"/>
      <c r="RIZ43" s="19"/>
      <c r="RJA43" s="19"/>
      <c r="RJB43" s="19"/>
      <c r="RJC43" s="19"/>
      <c r="RJD43" s="19"/>
      <c r="RJE43" s="19"/>
      <c r="RJF43" s="19"/>
      <c r="RJG43" s="19"/>
      <c r="RJH43" s="19"/>
      <c r="RJI43" s="19"/>
      <c r="RJJ43" s="19"/>
      <c r="RJK43" s="19"/>
      <c r="RJL43" s="19"/>
      <c r="RJM43" s="19"/>
      <c r="RJN43" s="19"/>
      <c r="RJO43" s="19"/>
      <c r="RJP43" s="19"/>
      <c r="RJQ43" s="19"/>
      <c r="RJR43" s="19"/>
      <c r="RJS43" s="19"/>
      <c r="RJT43" s="19"/>
      <c r="RJU43" s="19"/>
      <c r="RJV43" s="19"/>
      <c r="RJW43" s="19"/>
      <c r="RJX43" s="19"/>
      <c r="RJY43" s="19"/>
      <c r="RJZ43" s="19"/>
      <c r="RKA43" s="19"/>
      <c r="RKB43" s="19"/>
      <c r="RKC43" s="19"/>
      <c r="RKD43" s="19"/>
      <c r="RKE43" s="19"/>
      <c r="RKF43" s="19"/>
      <c r="RKG43" s="19"/>
      <c r="RKH43" s="19"/>
      <c r="RKI43" s="19"/>
      <c r="RKJ43" s="19"/>
      <c r="RKK43" s="19"/>
      <c r="RKL43" s="19"/>
      <c r="RKM43" s="19"/>
      <c r="RKN43" s="19"/>
      <c r="RKO43" s="19"/>
      <c r="RKP43" s="19"/>
      <c r="RKQ43" s="19"/>
      <c r="RKR43" s="19"/>
      <c r="RKS43" s="19"/>
      <c r="RKT43" s="19"/>
      <c r="RKU43" s="19"/>
      <c r="RKV43" s="19"/>
      <c r="RKW43" s="19"/>
      <c r="RKX43" s="19"/>
      <c r="RKY43" s="19"/>
      <c r="RKZ43" s="19"/>
      <c r="RLA43" s="19"/>
      <c r="RLB43" s="19"/>
      <c r="RLC43" s="19"/>
      <c r="RLD43" s="19"/>
      <c r="RLE43" s="19"/>
      <c r="RLF43" s="19"/>
      <c r="RLG43" s="19"/>
      <c r="RLH43" s="19"/>
      <c r="RLI43" s="19"/>
      <c r="RLJ43" s="19"/>
      <c r="RLK43" s="19"/>
      <c r="RLL43" s="19"/>
      <c r="RLM43" s="19"/>
      <c r="RLN43" s="19"/>
      <c r="RLO43" s="19"/>
      <c r="RLP43" s="19"/>
      <c r="RLQ43" s="19"/>
      <c r="RLR43" s="19"/>
      <c r="RLS43" s="19"/>
      <c r="RLT43" s="19"/>
      <c r="RLU43" s="19"/>
      <c r="RLV43" s="19"/>
      <c r="RLW43" s="19"/>
      <c r="RLX43" s="19"/>
      <c r="RLY43" s="19"/>
      <c r="RLZ43" s="19"/>
      <c r="RMA43" s="19"/>
      <c r="RMB43" s="19"/>
      <c r="RMC43" s="19"/>
      <c r="RMD43" s="19"/>
      <c r="RME43" s="19"/>
      <c r="RMF43" s="19"/>
      <c r="RMG43" s="19"/>
      <c r="RMH43" s="19"/>
      <c r="RMI43" s="19"/>
      <c r="RMJ43" s="19"/>
      <c r="RMK43" s="19"/>
      <c r="RML43" s="19"/>
      <c r="RMM43" s="19"/>
      <c r="RMN43" s="19"/>
      <c r="RMO43" s="19"/>
      <c r="RMP43" s="19"/>
      <c r="RMQ43" s="19"/>
      <c r="RMR43" s="19"/>
      <c r="RMS43" s="19"/>
      <c r="RMT43" s="19"/>
      <c r="RMU43" s="19"/>
      <c r="RMV43" s="19"/>
      <c r="RMW43" s="19"/>
      <c r="RMX43" s="19"/>
      <c r="RMY43" s="19"/>
      <c r="RMZ43" s="19"/>
      <c r="RNA43" s="19"/>
      <c r="RNB43" s="19"/>
      <c r="RNC43" s="19"/>
      <c r="RND43" s="19"/>
      <c r="RNE43" s="19"/>
      <c r="RNF43" s="19"/>
      <c r="RNG43" s="19"/>
      <c r="RNH43" s="19"/>
      <c r="RNI43" s="19"/>
      <c r="RNJ43" s="19"/>
      <c r="RNK43" s="19"/>
      <c r="RNL43" s="19"/>
      <c r="RNM43" s="19"/>
      <c r="RNN43" s="19"/>
      <c r="RNO43" s="19"/>
      <c r="RNP43" s="19"/>
      <c r="RNQ43" s="19"/>
      <c r="RNR43" s="19"/>
      <c r="RNS43" s="19"/>
      <c r="RNT43" s="19"/>
      <c r="RNU43" s="19"/>
      <c r="RNV43" s="19"/>
      <c r="RNW43" s="19"/>
      <c r="RNX43" s="19"/>
      <c r="RNY43" s="19"/>
      <c r="RNZ43" s="19"/>
      <c r="ROA43" s="19"/>
      <c r="ROB43" s="19"/>
      <c r="ROC43" s="19"/>
      <c r="ROD43" s="19"/>
      <c r="ROE43" s="19"/>
      <c r="ROF43" s="19"/>
      <c r="ROG43" s="19"/>
      <c r="ROH43" s="19"/>
      <c r="ROI43" s="19"/>
      <c r="ROJ43" s="19"/>
      <c r="ROK43" s="19"/>
      <c r="ROL43" s="19"/>
      <c r="ROM43" s="19"/>
      <c r="RON43" s="19"/>
      <c r="ROO43" s="19"/>
      <c r="ROP43" s="19"/>
      <c r="ROQ43" s="19"/>
      <c r="ROR43" s="19"/>
      <c r="ROS43" s="19"/>
      <c r="ROT43" s="19"/>
      <c r="ROU43" s="19"/>
      <c r="ROV43" s="19"/>
      <c r="ROW43" s="19"/>
      <c r="ROX43" s="19"/>
      <c r="ROY43" s="19"/>
      <c r="ROZ43" s="19"/>
      <c r="RPA43" s="19"/>
      <c r="RPB43" s="19"/>
      <c r="RPC43" s="19"/>
      <c r="RPD43" s="19"/>
      <c r="RPE43" s="19"/>
      <c r="RPF43" s="19"/>
      <c r="RPG43" s="19"/>
      <c r="RPH43" s="19"/>
      <c r="RPI43" s="19"/>
      <c r="RPJ43" s="19"/>
      <c r="RPK43" s="19"/>
      <c r="RPL43" s="19"/>
      <c r="RPM43" s="19"/>
      <c r="RPN43" s="19"/>
      <c r="RPO43" s="19"/>
      <c r="RPP43" s="19"/>
      <c r="RPQ43" s="19"/>
      <c r="RPR43" s="19"/>
      <c r="RPS43" s="19"/>
      <c r="RPT43" s="19"/>
      <c r="RPU43" s="19"/>
      <c r="RPV43" s="19"/>
      <c r="RPW43" s="19"/>
      <c r="RPX43" s="19"/>
      <c r="RPY43" s="19"/>
      <c r="RPZ43" s="19"/>
      <c r="RQA43" s="19"/>
      <c r="RQB43" s="19"/>
      <c r="RQC43" s="19"/>
      <c r="RQD43" s="19"/>
      <c r="RQE43" s="19"/>
      <c r="RQF43" s="19"/>
      <c r="RQG43" s="19"/>
      <c r="RQH43" s="19"/>
      <c r="RQI43" s="19"/>
      <c r="RQJ43" s="19"/>
      <c r="RQK43" s="19"/>
      <c r="RQL43" s="19"/>
      <c r="RQM43" s="19"/>
      <c r="RQN43" s="19"/>
      <c r="RQO43" s="19"/>
      <c r="RQP43" s="19"/>
      <c r="RQQ43" s="19"/>
      <c r="RQR43" s="19"/>
      <c r="RQS43" s="19"/>
      <c r="RQT43" s="19"/>
      <c r="RQU43" s="19"/>
      <c r="RQV43" s="19"/>
      <c r="RQW43" s="19"/>
      <c r="RQX43" s="19"/>
      <c r="RQY43" s="19"/>
      <c r="RQZ43" s="19"/>
      <c r="RRA43" s="19"/>
      <c r="RRB43" s="19"/>
      <c r="RRC43" s="19"/>
      <c r="RRD43" s="19"/>
      <c r="RRE43" s="19"/>
      <c r="RRF43" s="19"/>
      <c r="RRG43" s="19"/>
      <c r="RRH43" s="19"/>
      <c r="RRI43" s="19"/>
      <c r="RRJ43" s="19"/>
      <c r="RRK43" s="19"/>
      <c r="RRL43" s="19"/>
      <c r="RRM43" s="19"/>
      <c r="RRN43" s="19"/>
      <c r="RRO43" s="19"/>
      <c r="RRP43" s="19"/>
      <c r="RRQ43" s="19"/>
      <c r="RRR43" s="19"/>
      <c r="RRS43" s="19"/>
      <c r="RRT43" s="19"/>
      <c r="RRU43" s="19"/>
      <c r="RRV43" s="19"/>
      <c r="RRW43" s="19"/>
      <c r="RRX43" s="19"/>
      <c r="RRY43" s="19"/>
      <c r="RRZ43" s="19"/>
      <c r="RSA43" s="19"/>
      <c r="RSB43" s="19"/>
      <c r="RSC43" s="19"/>
      <c r="RSD43" s="19"/>
      <c r="RSE43" s="19"/>
      <c r="RSF43" s="19"/>
      <c r="RSG43" s="19"/>
      <c r="RSH43" s="19"/>
      <c r="RSI43" s="19"/>
      <c r="RSJ43" s="19"/>
      <c r="RSK43" s="19"/>
      <c r="RSL43" s="19"/>
      <c r="RSM43" s="19"/>
      <c r="RSN43" s="19"/>
      <c r="RSO43" s="19"/>
      <c r="RSP43" s="19"/>
      <c r="RSQ43" s="19"/>
      <c r="RSR43" s="19"/>
      <c r="RSS43" s="19"/>
      <c r="RST43" s="19"/>
      <c r="RSU43" s="19"/>
      <c r="RSV43" s="19"/>
      <c r="RSW43" s="19"/>
      <c r="RSX43" s="19"/>
      <c r="RSY43" s="19"/>
      <c r="RSZ43" s="19"/>
      <c r="RTA43" s="19"/>
      <c r="RTB43" s="19"/>
      <c r="RTC43" s="19"/>
      <c r="RTD43" s="19"/>
      <c r="RTE43" s="19"/>
      <c r="RTF43" s="19"/>
      <c r="RTG43" s="19"/>
      <c r="RTH43" s="19"/>
      <c r="RTI43" s="19"/>
      <c r="RTJ43" s="19"/>
      <c r="RTK43" s="19"/>
      <c r="RTL43" s="19"/>
      <c r="RTM43" s="19"/>
      <c r="RTN43" s="19"/>
      <c r="RTO43" s="19"/>
      <c r="RTP43" s="19"/>
      <c r="RTQ43" s="19"/>
      <c r="RTR43" s="19"/>
      <c r="RTS43" s="19"/>
      <c r="RTT43" s="19"/>
      <c r="RTU43" s="19"/>
      <c r="RTV43" s="19"/>
      <c r="RTW43" s="19"/>
      <c r="RTX43" s="19"/>
      <c r="RTY43" s="19"/>
      <c r="RTZ43" s="19"/>
      <c r="RUA43" s="19"/>
      <c r="RUB43" s="19"/>
      <c r="RUC43" s="19"/>
      <c r="RUD43" s="19"/>
      <c r="RUE43" s="19"/>
      <c r="RUF43" s="19"/>
      <c r="RUG43" s="19"/>
      <c r="RUH43" s="19"/>
      <c r="RUI43" s="19"/>
      <c r="RUJ43" s="19"/>
      <c r="RUK43" s="19"/>
      <c r="RUL43" s="19"/>
      <c r="RUM43" s="19"/>
      <c r="RUN43" s="19"/>
      <c r="RUO43" s="19"/>
      <c r="RUP43" s="19"/>
      <c r="RUQ43" s="19"/>
      <c r="RUR43" s="19"/>
      <c r="RUS43" s="19"/>
      <c r="RUT43" s="19"/>
      <c r="RUU43" s="19"/>
      <c r="RUV43" s="19"/>
      <c r="RUW43" s="19"/>
      <c r="RUX43" s="19"/>
      <c r="RUY43" s="19"/>
      <c r="RUZ43" s="19"/>
      <c r="RVA43" s="19"/>
      <c r="RVB43" s="19"/>
      <c r="RVC43" s="19"/>
      <c r="RVD43" s="19"/>
      <c r="RVE43" s="19"/>
      <c r="RVF43" s="19"/>
      <c r="RVG43" s="19"/>
      <c r="RVH43" s="19"/>
      <c r="RVI43" s="19"/>
      <c r="RVJ43" s="19"/>
      <c r="RVK43" s="19"/>
      <c r="RVL43" s="19"/>
      <c r="RVM43" s="19"/>
      <c r="RVN43" s="19"/>
      <c r="RVO43" s="19"/>
      <c r="RVP43" s="19"/>
      <c r="RVQ43" s="19"/>
      <c r="RVR43" s="19"/>
      <c r="RVS43" s="19"/>
      <c r="RVT43" s="19"/>
      <c r="RVU43" s="19"/>
      <c r="RVV43" s="19"/>
      <c r="RVW43" s="19"/>
      <c r="RVX43" s="19"/>
      <c r="RVY43" s="19"/>
      <c r="RVZ43" s="19"/>
      <c r="RWA43" s="19"/>
      <c r="RWB43" s="19"/>
      <c r="RWC43" s="19"/>
      <c r="RWD43" s="19"/>
      <c r="RWE43" s="19"/>
      <c r="RWF43" s="19"/>
      <c r="RWG43" s="19"/>
      <c r="RWH43" s="19"/>
      <c r="RWI43" s="19"/>
      <c r="RWJ43" s="19"/>
      <c r="RWK43" s="19"/>
      <c r="RWL43" s="19"/>
      <c r="RWM43" s="19"/>
      <c r="RWN43" s="19"/>
      <c r="RWO43" s="19"/>
      <c r="RWP43" s="19"/>
      <c r="RWQ43" s="19"/>
      <c r="RWR43" s="19"/>
      <c r="RWS43" s="19"/>
      <c r="RWT43" s="19"/>
      <c r="RWU43" s="19"/>
      <c r="RWV43" s="19"/>
      <c r="RWW43" s="19"/>
      <c r="RWX43" s="19"/>
      <c r="RWY43" s="19"/>
      <c r="RWZ43" s="19"/>
      <c r="RXA43" s="19"/>
      <c r="RXB43" s="19"/>
      <c r="RXC43" s="19"/>
      <c r="RXD43" s="19"/>
      <c r="RXE43" s="19"/>
      <c r="RXF43" s="19"/>
      <c r="RXG43" s="19"/>
      <c r="RXH43" s="19"/>
      <c r="RXI43" s="19"/>
      <c r="RXJ43" s="19"/>
      <c r="RXK43" s="19"/>
      <c r="RXL43" s="19"/>
      <c r="RXM43" s="19"/>
      <c r="RXN43" s="19"/>
      <c r="RXO43" s="19"/>
      <c r="RXP43" s="19"/>
      <c r="RXQ43" s="19"/>
      <c r="RXR43" s="19"/>
      <c r="RXS43" s="19"/>
      <c r="RXT43" s="19"/>
      <c r="RXU43" s="19"/>
      <c r="RXV43" s="19"/>
      <c r="RXW43" s="19"/>
      <c r="RXX43" s="19"/>
      <c r="RXY43" s="19"/>
      <c r="RXZ43" s="19"/>
      <c r="RYA43" s="19"/>
      <c r="RYB43" s="19"/>
      <c r="RYC43" s="19"/>
      <c r="RYD43" s="19"/>
      <c r="RYE43" s="19"/>
      <c r="RYF43" s="19"/>
      <c r="RYG43" s="19"/>
      <c r="RYH43" s="19"/>
      <c r="RYI43" s="19"/>
      <c r="RYJ43" s="19"/>
      <c r="RYK43" s="19"/>
      <c r="RYL43" s="19"/>
      <c r="RYM43" s="19"/>
      <c r="RYN43" s="19"/>
      <c r="RYO43" s="19"/>
      <c r="RYP43" s="19"/>
      <c r="RYQ43" s="19"/>
      <c r="RYR43" s="19"/>
      <c r="RYS43" s="19"/>
      <c r="RYT43" s="19"/>
      <c r="RYU43" s="19"/>
      <c r="RYV43" s="19"/>
      <c r="RYW43" s="19"/>
      <c r="RYX43" s="19"/>
      <c r="RYY43" s="19"/>
      <c r="RYZ43" s="19"/>
      <c r="RZA43" s="19"/>
      <c r="RZB43" s="19"/>
      <c r="RZC43" s="19"/>
      <c r="RZD43" s="19"/>
      <c r="RZE43" s="19"/>
      <c r="RZF43" s="19"/>
      <c r="RZG43" s="19"/>
      <c r="RZH43" s="19"/>
      <c r="RZI43" s="19"/>
      <c r="RZJ43" s="19"/>
      <c r="RZK43" s="19"/>
      <c r="RZL43" s="19"/>
      <c r="RZM43" s="19"/>
      <c r="RZN43" s="19"/>
      <c r="RZO43" s="19"/>
      <c r="RZP43" s="19"/>
      <c r="RZQ43" s="19"/>
      <c r="RZR43" s="19"/>
      <c r="RZS43" s="19"/>
      <c r="RZT43" s="19"/>
      <c r="RZU43" s="19"/>
      <c r="RZV43" s="19"/>
      <c r="RZW43" s="19"/>
      <c r="RZX43" s="19"/>
      <c r="RZY43" s="19"/>
      <c r="RZZ43" s="19"/>
      <c r="SAA43" s="19"/>
      <c r="SAB43" s="19"/>
      <c r="SAC43" s="19"/>
      <c r="SAD43" s="19"/>
      <c r="SAE43" s="19"/>
      <c r="SAF43" s="19"/>
      <c r="SAG43" s="19"/>
      <c r="SAH43" s="19"/>
      <c r="SAI43" s="19"/>
      <c r="SAJ43" s="19"/>
      <c r="SAK43" s="19"/>
      <c r="SAL43" s="19"/>
      <c r="SAM43" s="19"/>
      <c r="SAN43" s="19"/>
      <c r="SAO43" s="19"/>
      <c r="SAP43" s="19"/>
      <c r="SAQ43" s="19"/>
      <c r="SAR43" s="19"/>
      <c r="SAS43" s="19"/>
      <c r="SAT43" s="19"/>
      <c r="SAU43" s="19"/>
      <c r="SAV43" s="19"/>
      <c r="SAW43" s="19"/>
      <c r="SAX43" s="19"/>
      <c r="SAY43" s="19"/>
      <c r="SAZ43" s="19"/>
      <c r="SBA43" s="19"/>
      <c r="SBB43" s="19"/>
      <c r="SBC43" s="19"/>
      <c r="SBD43" s="19"/>
      <c r="SBE43" s="19"/>
      <c r="SBF43" s="19"/>
      <c r="SBG43" s="19"/>
      <c r="SBH43" s="19"/>
      <c r="SBI43" s="19"/>
      <c r="SBJ43" s="19"/>
      <c r="SBK43" s="19"/>
      <c r="SBL43" s="19"/>
      <c r="SBM43" s="19"/>
      <c r="SBN43" s="19"/>
      <c r="SBO43" s="19"/>
      <c r="SBP43" s="19"/>
      <c r="SBQ43" s="19"/>
      <c r="SBR43" s="19"/>
      <c r="SBS43" s="19"/>
      <c r="SBT43" s="19"/>
      <c r="SBU43" s="19"/>
      <c r="SBV43" s="19"/>
      <c r="SBW43" s="19"/>
      <c r="SBX43" s="19"/>
      <c r="SBY43" s="19"/>
      <c r="SBZ43" s="19"/>
      <c r="SCA43" s="19"/>
      <c r="SCB43" s="19"/>
      <c r="SCC43" s="19"/>
      <c r="SCD43" s="19"/>
      <c r="SCE43" s="19"/>
      <c r="SCF43" s="19"/>
      <c r="SCG43" s="19"/>
      <c r="SCH43" s="19"/>
      <c r="SCI43" s="19"/>
      <c r="SCJ43" s="19"/>
      <c r="SCK43" s="19"/>
      <c r="SCL43" s="19"/>
      <c r="SCM43" s="19"/>
      <c r="SCN43" s="19"/>
      <c r="SCO43" s="19"/>
      <c r="SCP43" s="19"/>
      <c r="SCQ43" s="19"/>
      <c r="SCR43" s="19"/>
      <c r="SCS43" s="19"/>
      <c r="SCT43" s="19"/>
      <c r="SCU43" s="19"/>
      <c r="SCV43" s="19"/>
      <c r="SCW43" s="19"/>
      <c r="SCX43" s="19"/>
      <c r="SCY43" s="19"/>
      <c r="SCZ43" s="19"/>
      <c r="SDA43" s="19"/>
      <c r="SDB43" s="19"/>
      <c r="SDC43" s="19"/>
      <c r="SDD43" s="19"/>
      <c r="SDE43" s="19"/>
      <c r="SDF43" s="19"/>
      <c r="SDG43" s="19"/>
      <c r="SDH43" s="19"/>
      <c r="SDI43" s="19"/>
      <c r="SDJ43" s="19"/>
      <c r="SDK43" s="19"/>
      <c r="SDL43" s="19"/>
      <c r="SDM43" s="19"/>
      <c r="SDN43" s="19"/>
      <c r="SDO43" s="19"/>
      <c r="SDP43" s="19"/>
      <c r="SDQ43" s="19"/>
      <c r="SDR43" s="19"/>
      <c r="SDS43" s="19"/>
      <c r="SDT43" s="19"/>
      <c r="SDU43" s="19"/>
      <c r="SDV43" s="19"/>
      <c r="SDW43" s="19"/>
      <c r="SDX43" s="19"/>
      <c r="SDY43" s="19"/>
      <c r="SDZ43" s="19"/>
      <c r="SEA43" s="19"/>
      <c r="SEB43" s="19"/>
      <c r="SEC43" s="19"/>
      <c r="SED43" s="19"/>
      <c r="SEE43" s="19"/>
      <c r="SEF43" s="19"/>
      <c r="SEG43" s="19"/>
      <c r="SEH43" s="19"/>
      <c r="SEI43" s="19"/>
      <c r="SEJ43" s="19"/>
      <c r="SEK43" s="19"/>
      <c r="SEL43" s="19"/>
      <c r="SEM43" s="19"/>
      <c r="SEN43" s="19"/>
      <c r="SEO43" s="19"/>
      <c r="SEP43" s="19"/>
      <c r="SEQ43" s="19"/>
      <c r="SER43" s="19"/>
      <c r="SES43" s="19"/>
      <c r="SET43" s="19"/>
      <c r="SEU43" s="19"/>
      <c r="SEV43" s="19"/>
      <c r="SEW43" s="19"/>
      <c r="SEX43" s="19"/>
      <c r="SEY43" s="19"/>
      <c r="SEZ43" s="19"/>
      <c r="SFA43" s="19"/>
      <c r="SFB43" s="19"/>
      <c r="SFC43" s="19"/>
      <c r="SFD43" s="19"/>
      <c r="SFE43" s="19"/>
      <c r="SFF43" s="19"/>
      <c r="SFG43" s="19"/>
      <c r="SFH43" s="19"/>
      <c r="SFI43" s="19"/>
      <c r="SFJ43" s="19"/>
      <c r="SFK43" s="19"/>
      <c r="SFL43" s="19"/>
      <c r="SFM43" s="19"/>
      <c r="SFN43" s="19"/>
      <c r="SFO43" s="19"/>
      <c r="SFP43" s="19"/>
      <c r="SFQ43" s="19"/>
      <c r="SFR43" s="19"/>
      <c r="SFS43" s="19"/>
      <c r="SFT43" s="19"/>
      <c r="SFU43" s="19"/>
      <c r="SFV43" s="19"/>
      <c r="SFW43" s="19"/>
      <c r="SFX43" s="19"/>
      <c r="SFY43" s="19"/>
      <c r="SFZ43" s="19"/>
      <c r="SGA43" s="19"/>
      <c r="SGB43" s="19"/>
      <c r="SGC43" s="19"/>
      <c r="SGD43" s="19"/>
      <c r="SGE43" s="19"/>
      <c r="SGF43" s="19"/>
      <c r="SGG43" s="19"/>
      <c r="SGH43" s="19"/>
      <c r="SGI43" s="19"/>
      <c r="SGJ43" s="19"/>
      <c r="SGK43" s="19"/>
      <c r="SGL43" s="19"/>
      <c r="SGM43" s="19"/>
      <c r="SGN43" s="19"/>
      <c r="SGO43" s="19"/>
      <c r="SGP43" s="19"/>
      <c r="SGQ43" s="19"/>
      <c r="SGR43" s="19"/>
      <c r="SGS43" s="19"/>
      <c r="SGT43" s="19"/>
      <c r="SGU43" s="19"/>
      <c r="SGV43" s="19"/>
      <c r="SGW43" s="19"/>
      <c r="SGX43" s="19"/>
      <c r="SGY43" s="19"/>
      <c r="SGZ43" s="19"/>
      <c r="SHA43" s="19"/>
      <c r="SHB43" s="19"/>
      <c r="SHC43" s="19"/>
      <c r="SHD43" s="19"/>
      <c r="SHE43" s="19"/>
      <c r="SHF43" s="19"/>
      <c r="SHG43" s="19"/>
      <c r="SHH43" s="19"/>
      <c r="SHI43" s="19"/>
      <c r="SHJ43" s="19"/>
      <c r="SHK43" s="19"/>
      <c r="SHL43" s="19"/>
      <c r="SHM43" s="19"/>
      <c r="SHN43" s="19"/>
      <c r="SHO43" s="19"/>
      <c r="SHP43" s="19"/>
      <c r="SHQ43" s="19"/>
      <c r="SHR43" s="19"/>
      <c r="SHS43" s="19"/>
      <c r="SHT43" s="19"/>
      <c r="SHU43" s="19"/>
      <c r="SHV43" s="19"/>
      <c r="SHW43" s="19"/>
      <c r="SHX43" s="19"/>
      <c r="SHY43" s="19"/>
      <c r="SHZ43" s="19"/>
      <c r="SIA43" s="19"/>
      <c r="SIB43" s="19"/>
      <c r="SIC43" s="19"/>
      <c r="SID43" s="19"/>
      <c r="SIE43" s="19"/>
      <c r="SIF43" s="19"/>
      <c r="SIG43" s="19"/>
      <c r="SIH43" s="19"/>
      <c r="SII43" s="19"/>
      <c r="SIJ43" s="19"/>
      <c r="SIK43" s="19"/>
      <c r="SIL43" s="19"/>
      <c r="SIM43" s="19"/>
      <c r="SIN43" s="19"/>
      <c r="SIO43" s="19"/>
      <c r="SIP43" s="19"/>
      <c r="SIQ43" s="19"/>
      <c r="SIR43" s="19"/>
      <c r="SIS43" s="19"/>
      <c r="SIT43" s="19"/>
      <c r="SIU43" s="19"/>
      <c r="SIV43" s="19"/>
      <c r="SIW43" s="19"/>
      <c r="SIX43" s="19"/>
      <c r="SIY43" s="19"/>
      <c r="SIZ43" s="19"/>
      <c r="SJA43" s="19"/>
      <c r="SJB43" s="19"/>
      <c r="SJC43" s="19"/>
      <c r="SJD43" s="19"/>
      <c r="SJE43" s="19"/>
      <c r="SJF43" s="19"/>
      <c r="SJG43" s="19"/>
      <c r="SJH43" s="19"/>
      <c r="SJI43" s="19"/>
      <c r="SJJ43" s="19"/>
      <c r="SJK43" s="19"/>
      <c r="SJL43" s="19"/>
      <c r="SJM43" s="19"/>
      <c r="SJN43" s="19"/>
      <c r="SJO43" s="19"/>
      <c r="SJP43" s="19"/>
      <c r="SJQ43" s="19"/>
      <c r="SJR43" s="19"/>
      <c r="SJS43" s="19"/>
      <c r="SJT43" s="19"/>
      <c r="SJU43" s="19"/>
      <c r="SJV43" s="19"/>
      <c r="SJW43" s="19"/>
      <c r="SJX43" s="19"/>
      <c r="SJY43" s="19"/>
      <c r="SJZ43" s="19"/>
      <c r="SKA43" s="19"/>
      <c r="SKB43" s="19"/>
      <c r="SKC43" s="19"/>
      <c r="SKD43" s="19"/>
      <c r="SKE43" s="19"/>
      <c r="SKF43" s="19"/>
      <c r="SKG43" s="19"/>
      <c r="SKH43" s="19"/>
      <c r="SKI43" s="19"/>
      <c r="SKJ43" s="19"/>
      <c r="SKK43" s="19"/>
      <c r="SKL43" s="19"/>
      <c r="SKM43" s="19"/>
      <c r="SKN43" s="19"/>
      <c r="SKO43" s="19"/>
      <c r="SKP43" s="19"/>
      <c r="SKQ43" s="19"/>
      <c r="SKR43" s="19"/>
      <c r="SKS43" s="19"/>
      <c r="SKT43" s="19"/>
      <c r="SKU43" s="19"/>
      <c r="SKV43" s="19"/>
      <c r="SKW43" s="19"/>
      <c r="SKX43" s="19"/>
      <c r="SKY43" s="19"/>
      <c r="SKZ43" s="19"/>
      <c r="SLA43" s="19"/>
      <c r="SLB43" s="19"/>
      <c r="SLC43" s="19"/>
      <c r="SLD43" s="19"/>
      <c r="SLE43" s="19"/>
      <c r="SLF43" s="19"/>
      <c r="SLG43" s="19"/>
      <c r="SLH43" s="19"/>
      <c r="SLI43" s="19"/>
      <c r="SLJ43" s="19"/>
      <c r="SLK43" s="19"/>
      <c r="SLL43" s="19"/>
      <c r="SLM43" s="19"/>
      <c r="SLN43" s="19"/>
      <c r="SLO43" s="19"/>
      <c r="SLP43" s="19"/>
      <c r="SLQ43" s="19"/>
      <c r="SLR43" s="19"/>
      <c r="SLS43" s="19"/>
      <c r="SLT43" s="19"/>
      <c r="SLU43" s="19"/>
      <c r="SLV43" s="19"/>
      <c r="SLW43" s="19"/>
      <c r="SLX43" s="19"/>
      <c r="SLY43" s="19"/>
      <c r="SLZ43" s="19"/>
      <c r="SMA43" s="19"/>
      <c r="SMB43" s="19"/>
      <c r="SMC43" s="19"/>
      <c r="SMD43" s="19"/>
      <c r="SME43" s="19"/>
      <c r="SMF43" s="19"/>
      <c r="SMG43" s="19"/>
      <c r="SMH43" s="19"/>
      <c r="SMI43" s="19"/>
      <c r="SMJ43" s="19"/>
      <c r="SMK43" s="19"/>
      <c r="SML43" s="19"/>
      <c r="SMM43" s="19"/>
      <c r="SMN43" s="19"/>
      <c r="SMO43" s="19"/>
      <c r="SMP43" s="19"/>
      <c r="SMQ43" s="19"/>
      <c r="SMR43" s="19"/>
      <c r="SMS43" s="19"/>
      <c r="SMT43" s="19"/>
      <c r="SMU43" s="19"/>
      <c r="SMV43" s="19"/>
      <c r="SMW43" s="19"/>
      <c r="SMX43" s="19"/>
      <c r="SMY43" s="19"/>
      <c r="SMZ43" s="19"/>
      <c r="SNA43" s="19"/>
      <c r="SNB43" s="19"/>
      <c r="SNC43" s="19"/>
      <c r="SND43" s="19"/>
      <c r="SNE43" s="19"/>
      <c r="SNF43" s="19"/>
      <c r="SNG43" s="19"/>
      <c r="SNH43" s="19"/>
      <c r="SNI43" s="19"/>
      <c r="SNJ43" s="19"/>
      <c r="SNK43" s="19"/>
      <c r="SNL43" s="19"/>
      <c r="SNM43" s="19"/>
      <c r="SNN43" s="19"/>
      <c r="SNO43" s="19"/>
      <c r="SNP43" s="19"/>
      <c r="SNQ43" s="19"/>
      <c r="SNR43" s="19"/>
      <c r="SNS43" s="19"/>
      <c r="SNT43" s="19"/>
      <c r="SNU43" s="19"/>
      <c r="SNV43" s="19"/>
      <c r="SNW43" s="19"/>
      <c r="SNX43" s="19"/>
      <c r="SNY43" s="19"/>
      <c r="SNZ43" s="19"/>
      <c r="SOA43" s="19"/>
      <c r="SOB43" s="19"/>
      <c r="SOC43" s="19"/>
      <c r="SOD43" s="19"/>
      <c r="SOE43" s="19"/>
      <c r="SOF43" s="19"/>
      <c r="SOG43" s="19"/>
      <c r="SOH43" s="19"/>
      <c r="SOI43" s="19"/>
      <c r="SOJ43" s="19"/>
      <c r="SOK43" s="19"/>
      <c r="SOL43" s="19"/>
      <c r="SOM43" s="19"/>
      <c r="SON43" s="19"/>
      <c r="SOO43" s="19"/>
      <c r="SOP43" s="19"/>
      <c r="SOQ43" s="19"/>
      <c r="SOR43" s="19"/>
      <c r="SOS43" s="19"/>
      <c r="SOT43" s="19"/>
      <c r="SOU43" s="19"/>
      <c r="SOV43" s="19"/>
      <c r="SOW43" s="19"/>
      <c r="SOX43" s="19"/>
      <c r="SOY43" s="19"/>
      <c r="SOZ43" s="19"/>
      <c r="SPA43" s="19"/>
      <c r="SPB43" s="19"/>
      <c r="SPC43" s="19"/>
      <c r="SPD43" s="19"/>
      <c r="SPE43" s="19"/>
      <c r="SPF43" s="19"/>
      <c r="SPG43" s="19"/>
      <c r="SPH43" s="19"/>
      <c r="SPI43" s="19"/>
      <c r="SPJ43" s="19"/>
      <c r="SPK43" s="19"/>
      <c r="SPL43" s="19"/>
      <c r="SPM43" s="19"/>
      <c r="SPN43" s="19"/>
      <c r="SPO43" s="19"/>
      <c r="SPP43" s="19"/>
      <c r="SPQ43" s="19"/>
      <c r="SPR43" s="19"/>
      <c r="SPS43" s="19"/>
      <c r="SPT43" s="19"/>
      <c r="SPU43" s="19"/>
      <c r="SPV43" s="19"/>
      <c r="SPW43" s="19"/>
      <c r="SPX43" s="19"/>
      <c r="SPY43" s="19"/>
      <c r="SPZ43" s="19"/>
      <c r="SQA43" s="19"/>
      <c r="SQB43" s="19"/>
      <c r="SQC43" s="19"/>
      <c r="SQD43" s="19"/>
      <c r="SQE43" s="19"/>
      <c r="SQF43" s="19"/>
      <c r="SQG43" s="19"/>
      <c r="SQH43" s="19"/>
      <c r="SQI43" s="19"/>
      <c r="SQJ43" s="19"/>
      <c r="SQK43" s="19"/>
      <c r="SQL43" s="19"/>
      <c r="SQM43" s="19"/>
      <c r="SQN43" s="19"/>
      <c r="SQO43" s="19"/>
      <c r="SQP43" s="19"/>
      <c r="SQQ43" s="19"/>
      <c r="SQR43" s="19"/>
      <c r="SQS43" s="19"/>
      <c r="SQT43" s="19"/>
      <c r="SQU43" s="19"/>
      <c r="SQV43" s="19"/>
      <c r="SQW43" s="19"/>
      <c r="SQX43" s="19"/>
      <c r="SQY43" s="19"/>
      <c r="SQZ43" s="19"/>
      <c r="SRA43" s="19"/>
      <c r="SRB43" s="19"/>
      <c r="SRC43" s="19"/>
      <c r="SRD43" s="19"/>
      <c r="SRE43" s="19"/>
      <c r="SRF43" s="19"/>
      <c r="SRG43" s="19"/>
      <c r="SRH43" s="19"/>
      <c r="SRI43" s="19"/>
      <c r="SRJ43" s="19"/>
      <c r="SRK43" s="19"/>
      <c r="SRL43" s="19"/>
      <c r="SRM43" s="19"/>
      <c r="SRN43" s="19"/>
      <c r="SRO43" s="19"/>
      <c r="SRP43" s="19"/>
      <c r="SRQ43" s="19"/>
      <c r="SRR43" s="19"/>
      <c r="SRS43" s="19"/>
      <c r="SRT43" s="19"/>
      <c r="SRU43" s="19"/>
      <c r="SRV43" s="19"/>
      <c r="SRW43" s="19"/>
      <c r="SRX43" s="19"/>
      <c r="SRY43" s="19"/>
      <c r="SRZ43" s="19"/>
      <c r="SSA43" s="19"/>
      <c r="SSB43" s="19"/>
      <c r="SSC43" s="19"/>
      <c r="SSD43" s="19"/>
      <c r="SSE43" s="19"/>
      <c r="SSF43" s="19"/>
      <c r="SSG43" s="19"/>
      <c r="SSH43" s="19"/>
      <c r="SSI43" s="19"/>
      <c r="SSJ43" s="19"/>
      <c r="SSK43" s="19"/>
      <c r="SSL43" s="19"/>
      <c r="SSM43" s="19"/>
      <c r="SSN43" s="19"/>
      <c r="SSO43" s="19"/>
      <c r="SSP43" s="19"/>
      <c r="SSQ43" s="19"/>
      <c r="SSR43" s="19"/>
      <c r="SSS43" s="19"/>
      <c r="SST43" s="19"/>
      <c r="SSU43" s="19"/>
      <c r="SSV43" s="19"/>
      <c r="SSW43" s="19"/>
      <c r="SSX43" s="19"/>
      <c r="SSY43" s="19"/>
      <c r="SSZ43" s="19"/>
      <c r="STA43" s="19"/>
      <c r="STB43" s="19"/>
      <c r="STC43" s="19"/>
      <c r="STD43" s="19"/>
      <c r="STE43" s="19"/>
      <c r="STF43" s="19"/>
      <c r="STG43" s="19"/>
      <c r="STH43" s="19"/>
      <c r="STI43" s="19"/>
      <c r="STJ43" s="19"/>
      <c r="STK43" s="19"/>
      <c r="STL43" s="19"/>
      <c r="STM43" s="19"/>
      <c r="STN43" s="19"/>
      <c r="STO43" s="19"/>
      <c r="STP43" s="19"/>
      <c r="STQ43" s="19"/>
      <c r="STR43" s="19"/>
      <c r="STS43" s="19"/>
      <c r="STT43" s="19"/>
      <c r="STU43" s="19"/>
      <c r="STV43" s="19"/>
      <c r="STW43" s="19"/>
      <c r="STX43" s="19"/>
      <c r="STY43" s="19"/>
      <c r="STZ43" s="19"/>
      <c r="SUA43" s="19"/>
      <c r="SUB43" s="19"/>
      <c r="SUC43" s="19"/>
      <c r="SUD43" s="19"/>
      <c r="SUE43" s="19"/>
      <c r="SUF43" s="19"/>
      <c r="SUG43" s="19"/>
      <c r="SUH43" s="19"/>
      <c r="SUI43" s="19"/>
      <c r="SUJ43" s="19"/>
      <c r="SUK43" s="19"/>
      <c r="SUL43" s="19"/>
      <c r="SUM43" s="19"/>
      <c r="SUN43" s="19"/>
      <c r="SUO43" s="19"/>
      <c r="SUP43" s="19"/>
      <c r="SUQ43" s="19"/>
      <c r="SUR43" s="19"/>
      <c r="SUS43" s="19"/>
      <c r="SUT43" s="19"/>
      <c r="SUU43" s="19"/>
      <c r="SUV43" s="19"/>
      <c r="SUW43" s="19"/>
      <c r="SUX43" s="19"/>
      <c r="SUY43" s="19"/>
      <c r="SUZ43" s="19"/>
      <c r="SVA43" s="19"/>
      <c r="SVB43" s="19"/>
      <c r="SVC43" s="19"/>
      <c r="SVD43" s="19"/>
      <c r="SVE43" s="19"/>
      <c r="SVF43" s="19"/>
      <c r="SVG43" s="19"/>
      <c r="SVH43" s="19"/>
      <c r="SVI43" s="19"/>
      <c r="SVJ43" s="19"/>
      <c r="SVK43" s="19"/>
      <c r="SVL43" s="19"/>
      <c r="SVM43" s="19"/>
      <c r="SVN43" s="19"/>
      <c r="SVO43" s="19"/>
      <c r="SVP43" s="19"/>
      <c r="SVQ43" s="19"/>
      <c r="SVR43" s="19"/>
      <c r="SVS43" s="19"/>
      <c r="SVT43" s="19"/>
      <c r="SVU43" s="19"/>
      <c r="SVV43" s="19"/>
      <c r="SVW43" s="19"/>
      <c r="SVX43" s="19"/>
      <c r="SVY43" s="19"/>
      <c r="SVZ43" s="19"/>
      <c r="SWA43" s="19"/>
      <c r="SWB43" s="19"/>
      <c r="SWC43" s="19"/>
      <c r="SWD43" s="19"/>
      <c r="SWE43" s="19"/>
      <c r="SWF43" s="19"/>
      <c r="SWG43" s="19"/>
      <c r="SWH43" s="19"/>
      <c r="SWI43" s="19"/>
      <c r="SWJ43" s="19"/>
      <c r="SWK43" s="19"/>
      <c r="SWL43" s="19"/>
      <c r="SWM43" s="19"/>
      <c r="SWN43" s="19"/>
      <c r="SWO43" s="19"/>
      <c r="SWP43" s="19"/>
      <c r="SWQ43" s="19"/>
      <c r="SWR43" s="19"/>
      <c r="SWS43" s="19"/>
      <c r="SWT43" s="19"/>
      <c r="SWU43" s="19"/>
      <c r="SWV43" s="19"/>
      <c r="SWW43" s="19"/>
      <c r="SWX43" s="19"/>
      <c r="SWY43" s="19"/>
      <c r="SWZ43" s="19"/>
      <c r="SXA43" s="19"/>
      <c r="SXB43" s="19"/>
      <c r="SXC43" s="19"/>
      <c r="SXD43" s="19"/>
      <c r="SXE43" s="19"/>
      <c r="SXF43" s="19"/>
      <c r="SXG43" s="19"/>
      <c r="SXH43" s="19"/>
      <c r="SXI43" s="19"/>
      <c r="SXJ43" s="19"/>
      <c r="SXK43" s="19"/>
      <c r="SXL43" s="19"/>
      <c r="SXM43" s="19"/>
      <c r="SXN43" s="19"/>
      <c r="SXO43" s="19"/>
      <c r="SXP43" s="19"/>
      <c r="SXQ43" s="19"/>
      <c r="SXR43" s="19"/>
      <c r="SXS43" s="19"/>
      <c r="SXT43" s="19"/>
      <c r="SXU43" s="19"/>
      <c r="SXV43" s="19"/>
      <c r="SXW43" s="19"/>
      <c r="SXX43" s="19"/>
      <c r="SXY43" s="19"/>
      <c r="SXZ43" s="19"/>
      <c r="SYA43" s="19"/>
      <c r="SYB43" s="19"/>
      <c r="SYC43" s="19"/>
      <c r="SYD43" s="19"/>
      <c r="SYE43" s="19"/>
      <c r="SYF43" s="19"/>
      <c r="SYG43" s="19"/>
      <c r="SYH43" s="19"/>
      <c r="SYI43" s="19"/>
      <c r="SYJ43" s="19"/>
      <c r="SYK43" s="19"/>
      <c r="SYL43" s="19"/>
      <c r="SYM43" s="19"/>
      <c r="SYN43" s="19"/>
      <c r="SYO43" s="19"/>
      <c r="SYP43" s="19"/>
      <c r="SYQ43" s="19"/>
      <c r="SYR43" s="19"/>
      <c r="SYS43" s="19"/>
      <c r="SYT43" s="19"/>
      <c r="SYU43" s="19"/>
      <c r="SYV43" s="19"/>
      <c r="SYW43" s="19"/>
      <c r="SYX43" s="19"/>
      <c r="SYY43" s="19"/>
      <c r="SYZ43" s="19"/>
      <c r="SZA43" s="19"/>
      <c r="SZB43" s="19"/>
      <c r="SZC43" s="19"/>
      <c r="SZD43" s="19"/>
      <c r="SZE43" s="19"/>
      <c r="SZF43" s="19"/>
      <c r="SZG43" s="19"/>
      <c r="SZH43" s="19"/>
      <c r="SZI43" s="19"/>
      <c r="SZJ43" s="19"/>
      <c r="SZK43" s="19"/>
      <c r="SZL43" s="19"/>
      <c r="SZM43" s="19"/>
      <c r="SZN43" s="19"/>
      <c r="SZO43" s="19"/>
      <c r="SZP43" s="19"/>
      <c r="SZQ43" s="19"/>
      <c r="SZR43" s="19"/>
      <c r="SZS43" s="19"/>
      <c r="SZT43" s="19"/>
      <c r="SZU43" s="19"/>
      <c r="SZV43" s="19"/>
      <c r="SZW43" s="19"/>
      <c r="SZX43" s="19"/>
      <c r="SZY43" s="19"/>
      <c r="SZZ43" s="19"/>
      <c r="TAA43" s="19"/>
      <c r="TAB43" s="19"/>
      <c r="TAC43" s="19"/>
      <c r="TAD43" s="19"/>
      <c r="TAE43" s="19"/>
      <c r="TAF43" s="19"/>
      <c r="TAG43" s="19"/>
      <c r="TAH43" s="19"/>
      <c r="TAI43" s="19"/>
      <c r="TAJ43" s="19"/>
      <c r="TAK43" s="19"/>
      <c r="TAL43" s="19"/>
      <c r="TAM43" s="19"/>
      <c r="TAN43" s="19"/>
      <c r="TAO43" s="19"/>
      <c r="TAP43" s="19"/>
      <c r="TAQ43" s="19"/>
      <c r="TAR43" s="19"/>
      <c r="TAS43" s="19"/>
      <c r="TAT43" s="19"/>
      <c r="TAU43" s="19"/>
      <c r="TAV43" s="19"/>
      <c r="TAW43" s="19"/>
      <c r="TAX43" s="19"/>
      <c r="TAY43" s="19"/>
      <c r="TAZ43" s="19"/>
      <c r="TBA43" s="19"/>
      <c r="TBB43" s="19"/>
      <c r="TBC43" s="19"/>
      <c r="TBD43" s="19"/>
      <c r="TBE43" s="19"/>
      <c r="TBF43" s="19"/>
      <c r="TBG43" s="19"/>
      <c r="TBH43" s="19"/>
      <c r="TBI43" s="19"/>
      <c r="TBJ43" s="19"/>
      <c r="TBK43" s="19"/>
      <c r="TBL43" s="19"/>
      <c r="TBM43" s="19"/>
      <c r="TBN43" s="19"/>
      <c r="TBO43" s="19"/>
      <c r="TBP43" s="19"/>
      <c r="TBQ43" s="19"/>
      <c r="TBR43" s="19"/>
      <c r="TBS43" s="19"/>
      <c r="TBT43" s="19"/>
      <c r="TBU43" s="19"/>
      <c r="TBV43" s="19"/>
      <c r="TBW43" s="19"/>
      <c r="TBX43" s="19"/>
      <c r="TBY43" s="19"/>
      <c r="TBZ43" s="19"/>
      <c r="TCA43" s="19"/>
      <c r="TCB43" s="19"/>
      <c r="TCC43" s="19"/>
      <c r="TCD43" s="19"/>
      <c r="TCE43" s="19"/>
      <c r="TCF43" s="19"/>
      <c r="TCG43" s="19"/>
      <c r="TCH43" s="19"/>
      <c r="TCI43" s="19"/>
      <c r="TCJ43" s="19"/>
      <c r="TCK43" s="19"/>
      <c r="TCL43" s="19"/>
      <c r="TCM43" s="19"/>
      <c r="TCN43" s="19"/>
      <c r="TCO43" s="19"/>
      <c r="TCP43" s="19"/>
      <c r="TCQ43" s="19"/>
      <c r="TCR43" s="19"/>
      <c r="TCS43" s="19"/>
      <c r="TCT43" s="19"/>
      <c r="TCU43" s="19"/>
      <c r="TCV43" s="19"/>
      <c r="TCW43" s="19"/>
      <c r="TCX43" s="19"/>
      <c r="TCY43" s="19"/>
      <c r="TCZ43" s="19"/>
      <c r="TDA43" s="19"/>
      <c r="TDB43" s="19"/>
      <c r="TDC43" s="19"/>
      <c r="TDD43" s="19"/>
      <c r="TDE43" s="19"/>
      <c r="TDF43" s="19"/>
      <c r="TDG43" s="19"/>
      <c r="TDH43" s="19"/>
      <c r="TDI43" s="19"/>
      <c r="TDJ43" s="19"/>
      <c r="TDK43" s="19"/>
      <c r="TDL43" s="19"/>
      <c r="TDM43" s="19"/>
      <c r="TDN43" s="19"/>
      <c r="TDO43" s="19"/>
      <c r="TDP43" s="19"/>
      <c r="TDQ43" s="19"/>
      <c r="TDR43" s="19"/>
      <c r="TDS43" s="19"/>
      <c r="TDT43" s="19"/>
      <c r="TDU43" s="19"/>
      <c r="TDV43" s="19"/>
      <c r="TDW43" s="19"/>
      <c r="TDX43" s="19"/>
      <c r="TDY43" s="19"/>
      <c r="TDZ43" s="19"/>
      <c r="TEA43" s="19"/>
      <c r="TEB43" s="19"/>
      <c r="TEC43" s="19"/>
      <c r="TED43" s="19"/>
      <c r="TEE43" s="19"/>
      <c r="TEF43" s="19"/>
      <c r="TEG43" s="19"/>
      <c r="TEH43" s="19"/>
      <c r="TEI43" s="19"/>
      <c r="TEJ43" s="19"/>
      <c r="TEK43" s="19"/>
      <c r="TEL43" s="19"/>
      <c r="TEM43" s="19"/>
      <c r="TEN43" s="19"/>
      <c r="TEO43" s="19"/>
      <c r="TEP43" s="19"/>
      <c r="TEQ43" s="19"/>
      <c r="TER43" s="19"/>
      <c r="TES43" s="19"/>
      <c r="TET43" s="19"/>
      <c r="TEU43" s="19"/>
      <c r="TEV43" s="19"/>
      <c r="TEW43" s="19"/>
      <c r="TEX43" s="19"/>
      <c r="TEY43" s="19"/>
      <c r="TEZ43" s="19"/>
      <c r="TFA43" s="19"/>
      <c r="TFB43" s="19"/>
      <c r="TFC43" s="19"/>
      <c r="TFD43" s="19"/>
      <c r="TFE43" s="19"/>
      <c r="TFF43" s="19"/>
      <c r="TFG43" s="19"/>
      <c r="TFH43" s="19"/>
      <c r="TFI43" s="19"/>
      <c r="TFJ43" s="19"/>
      <c r="TFK43" s="19"/>
      <c r="TFL43" s="19"/>
      <c r="TFM43" s="19"/>
      <c r="TFN43" s="19"/>
      <c r="TFO43" s="19"/>
      <c r="TFP43" s="19"/>
      <c r="TFQ43" s="19"/>
      <c r="TFR43" s="19"/>
      <c r="TFS43" s="19"/>
      <c r="TFT43" s="19"/>
      <c r="TFU43" s="19"/>
      <c r="TFV43" s="19"/>
      <c r="TFW43" s="19"/>
      <c r="TFX43" s="19"/>
      <c r="TFY43" s="19"/>
      <c r="TFZ43" s="19"/>
      <c r="TGA43" s="19"/>
      <c r="TGB43" s="19"/>
      <c r="TGC43" s="19"/>
      <c r="TGD43" s="19"/>
      <c r="TGE43" s="19"/>
      <c r="TGF43" s="19"/>
      <c r="TGG43" s="19"/>
      <c r="TGH43" s="19"/>
      <c r="TGI43" s="19"/>
      <c r="TGJ43" s="19"/>
      <c r="TGK43" s="19"/>
      <c r="TGL43" s="19"/>
      <c r="TGM43" s="19"/>
      <c r="TGN43" s="19"/>
      <c r="TGO43" s="19"/>
      <c r="TGP43" s="19"/>
      <c r="TGQ43" s="19"/>
      <c r="TGR43" s="19"/>
      <c r="TGS43" s="19"/>
      <c r="TGT43" s="19"/>
      <c r="TGU43" s="19"/>
      <c r="TGV43" s="19"/>
      <c r="TGW43" s="19"/>
      <c r="TGX43" s="19"/>
      <c r="TGY43" s="19"/>
      <c r="TGZ43" s="19"/>
      <c r="THA43" s="19"/>
      <c r="THB43" s="19"/>
      <c r="THC43" s="19"/>
      <c r="THD43" s="19"/>
      <c r="THE43" s="19"/>
      <c r="THF43" s="19"/>
      <c r="THG43" s="19"/>
      <c r="THH43" s="19"/>
      <c r="THI43" s="19"/>
      <c r="THJ43" s="19"/>
      <c r="THK43" s="19"/>
      <c r="THL43" s="19"/>
      <c r="THM43" s="19"/>
      <c r="THN43" s="19"/>
      <c r="THO43" s="19"/>
      <c r="THP43" s="19"/>
      <c r="THQ43" s="19"/>
      <c r="THR43" s="19"/>
      <c r="THS43" s="19"/>
      <c r="THT43" s="19"/>
      <c r="THU43" s="19"/>
      <c r="THV43" s="19"/>
      <c r="THW43" s="19"/>
      <c r="THX43" s="19"/>
      <c r="THY43" s="19"/>
      <c r="THZ43" s="19"/>
      <c r="TIA43" s="19"/>
      <c r="TIB43" s="19"/>
      <c r="TIC43" s="19"/>
      <c r="TID43" s="19"/>
      <c r="TIE43" s="19"/>
      <c r="TIF43" s="19"/>
      <c r="TIG43" s="19"/>
      <c r="TIH43" s="19"/>
      <c r="TII43" s="19"/>
      <c r="TIJ43" s="19"/>
      <c r="TIK43" s="19"/>
      <c r="TIL43" s="19"/>
      <c r="TIM43" s="19"/>
      <c r="TIN43" s="19"/>
      <c r="TIO43" s="19"/>
      <c r="TIP43" s="19"/>
      <c r="TIQ43" s="19"/>
      <c r="TIR43" s="19"/>
      <c r="TIS43" s="19"/>
      <c r="TIT43" s="19"/>
      <c r="TIU43" s="19"/>
      <c r="TIV43" s="19"/>
      <c r="TIW43" s="19"/>
      <c r="TIX43" s="19"/>
      <c r="TIY43" s="19"/>
      <c r="TIZ43" s="19"/>
      <c r="TJA43" s="19"/>
      <c r="TJB43" s="19"/>
      <c r="TJC43" s="19"/>
      <c r="TJD43" s="19"/>
      <c r="TJE43" s="19"/>
      <c r="TJF43" s="19"/>
      <c r="TJG43" s="19"/>
      <c r="TJH43" s="19"/>
      <c r="TJI43" s="19"/>
      <c r="TJJ43" s="19"/>
      <c r="TJK43" s="19"/>
      <c r="TJL43" s="19"/>
      <c r="TJM43" s="19"/>
      <c r="TJN43" s="19"/>
      <c r="TJO43" s="19"/>
      <c r="TJP43" s="19"/>
      <c r="TJQ43" s="19"/>
      <c r="TJR43" s="19"/>
      <c r="TJS43" s="19"/>
      <c r="TJT43" s="19"/>
      <c r="TJU43" s="19"/>
      <c r="TJV43" s="19"/>
      <c r="TJW43" s="19"/>
      <c r="TJX43" s="19"/>
      <c r="TJY43" s="19"/>
      <c r="TJZ43" s="19"/>
      <c r="TKA43" s="19"/>
      <c r="TKB43" s="19"/>
      <c r="TKC43" s="19"/>
      <c r="TKD43" s="19"/>
      <c r="TKE43" s="19"/>
      <c r="TKF43" s="19"/>
      <c r="TKG43" s="19"/>
      <c r="TKH43" s="19"/>
      <c r="TKI43" s="19"/>
      <c r="TKJ43" s="19"/>
      <c r="TKK43" s="19"/>
      <c r="TKL43" s="19"/>
      <c r="TKM43" s="19"/>
      <c r="TKN43" s="19"/>
      <c r="TKO43" s="19"/>
      <c r="TKP43" s="19"/>
      <c r="TKQ43" s="19"/>
      <c r="TKR43" s="19"/>
      <c r="TKS43" s="19"/>
      <c r="TKT43" s="19"/>
      <c r="TKU43" s="19"/>
      <c r="TKV43" s="19"/>
      <c r="TKW43" s="19"/>
      <c r="TKX43" s="19"/>
      <c r="TKY43" s="19"/>
      <c r="TKZ43" s="19"/>
      <c r="TLA43" s="19"/>
      <c r="TLB43" s="19"/>
      <c r="TLC43" s="19"/>
      <c r="TLD43" s="19"/>
      <c r="TLE43" s="19"/>
      <c r="TLF43" s="19"/>
      <c r="TLG43" s="19"/>
      <c r="TLH43" s="19"/>
      <c r="TLI43" s="19"/>
      <c r="TLJ43" s="19"/>
      <c r="TLK43" s="19"/>
      <c r="TLL43" s="19"/>
      <c r="TLM43" s="19"/>
      <c r="TLN43" s="19"/>
      <c r="TLO43" s="19"/>
      <c r="TLP43" s="19"/>
      <c r="TLQ43" s="19"/>
      <c r="TLR43" s="19"/>
      <c r="TLS43" s="19"/>
      <c r="TLT43" s="19"/>
      <c r="TLU43" s="19"/>
      <c r="TLV43" s="19"/>
      <c r="TLW43" s="19"/>
      <c r="TLX43" s="19"/>
      <c r="TLY43" s="19"/>
      <c r="TLZ43" s="19"/>
      <c r="TMA43" s="19"/>
      <c r="TMB43" s="19"/>
      <c r="TMC43" s="19"/>
      <c r="TMD43" s="19"/>
      <c r="TME43" s="19"/>
      <c r="TMF43" s="19"/>
      <c r="TMG43" s="19"/>
      <c r="TMH43" s="19"/>
      <c r="TMI43" s="19"/>
      <c r="TMJ43" s="19"/>
      <c r="TMK43" s="19"/>
      <c r="TML43" s="19"/>
      <c r="TMM43" s="19"/>
      <c r="TMN43" s="19"/>
      <c r="TMO43" s="19"/>
      <c r="TMP43" s="19"/>
      <c r="TMQ43" s="19"/>
      <c r="TMR43" s="19"/>
      <c r="TMS43" s="19"/>
      <c r="TMT43" s="19"/>
      <c r="TMU43" s="19"/>
      <c r="TMV43" s="19"/>
      <c r="TMW43" s="19"/>
      <c r="TMX43" s="19"/>
      <c r="TMY43" s="19"/>
      <c r="TMZ43" s="19"/>
      <c r="TNA43" s="19"/>
      <c r="TNB43" s="19"/>
      <c r="TNC43" s="19"/>
      <c r="TND43" s="19"/>
      <c r="TNE43" s="19"/>
      <c r="TNF43" s="19"/>
      <c r="TNG43" s="19"/>
      <c r="TNH43" s="19"/>
      <c r="TNI43" s="19"/>
      <c r="TNJ43" s="19"/>
      <c r="TNK43" s="19"/>
      <c r="TNL43" s="19"/>
      <c r="TNM43" s="19"/>
      <c r="TNN43" s="19"/>
      <c r="TNO43" s="19"/>
      <c r="TNP43" s="19"/>
      <c r="TNQ43" s="19"/>
      <c r="TNR43" s="19"/>
      <c r="TNS43" s="19"/>
      <c r="TNT43" s="19"/>
      <c r="TNU43" s="19"/>
      <c r="TNV43" s="19"/>
      <c r="TNW43" s="19"/>
      <c r="TNX43" s="19"/>
      <c r="TNY43" s="19"/>
      <c r="TNZ43" s="19"/>
      <c r="TOA43" s="19"/>
      <c r="TOB43" s="19"/>
      <c r="TOC43" s="19"/>
      <c r="TOD43" s="19"/>
      <c r="TOE43" s="19"/>
      <c r="TOF43" s="19"/>
      <c r="TOG43" s="19"/>
      <c r="TOH43" s="19"/>
      <c r="TOI43" s="19"/>
      <c r="TOJ43" s="19"/>
      <c r="TOK43" s="19"/>
      <c r="TOL43" s="19"/>
      <c r="TOM43" s="19"/>
      <c r="TON43" s="19"/>
      <c r="TOO43" s="19"/>
      <c r="TOP43" s="19"/>
      <c r="TOQ43" s="19"/>
      <c r="TOR43" s="19"/>
      <c r="TOS43" s="19"/>
      <c r="TOT43" s="19"/>
      <c r="TOU43" s="19"/>
      <c r="TOV43" s="19"/>
      <c r="TOW43" s="19"/>
      <c r="TOX43" s="19"/>
      <c r="TOY43" s="19"/>
      <c r="TOZ43" s="19"/>
      <c r="TPA43" s="19"/>
      <c r="TPB43" s="19"/>
      <c r="TPC43" s="19"/>
      <c r="TPD43" s="19"/>
      <c r="TPE43" s="19"/>
      <c r="TPF43" s="19"/>
      <c r="TPG43" s="19"/>
      <c r="TPH43" s="19"/>
      <c r="TPI43" s="19"/>
      <c r="TPJ43" s="19"/>
      <c r="TPK43" s="19"/>
      <c r="TPL43" s="19"/>
      <c r="TPM43" s="19"/>
      <c r="TPN43" s="19"/>
      <c r="TPO43" s="19"/>
      <c r="TPP43" s="19"/>
      <c r="TPQ43" s="19"/>
      <c r="TPR43" s="19"/>
      <c r="TPS43" s="19"/>
      <c r="TPT43" s="19"/>
      <c r="TPU43" s="19"/>
      <c r="TPV43" s="19"/>
      <c r="TPW43" s="19"/>
      <c r="TPX43" s="19"/>
      <c r="TPY43" s="19"/>
      <c r="TPZ43" s="19"/>
      <c r="TQA43" s="19"/>
      <c r="TQB43" s="19"/>
      <c r="TQC43" s="19"/>
      <c r="TQD43" s="19"/>
      <c r="TQE43" s="19"/>
      <c r="TQF43" s="19"/>
      <c r="TQG43" s="19"/>
      <c r="TQH43" s="19"/>
      <c r="TQI43" s="19"/>
      <c r="TQJ43" s="19"/>
      <c r="TQK43" s="19"/>
      <c r="TQL43" s="19"/>
      <c r="TQM43" s="19"/>
      <c r="TQN43" s="19"/>
      <c r="TQO43" s="19"/>
      <c r="TQP43" s="19"/>
      <c r="TQQ43" s="19"/>
      <c r="TQR43" s="19"/>
      <c r="TQS43" s="19"/>
      <c r="TQT43" s="19"/>
      <c r="TQU43" s="19"/>
      <c r="TQV43" s="19"/>
      <c r="TQW43" s="19"/>
      <c r="TQX43" s="19"/>
      <c r="TQY43" s="19"/>
      <c r="TQZ43" s="19"/>
      <c r="TRA43" s="19"/>
      <c r="TRB43" s="19"/>
      <c r="TRC43" s="19"/>
      <c r="TRD43" s="19"/>
      <c r="TRE43" s="19"/>
      <c r="TRF43" s="19"/>
      <c r="TRG43" s="19"/>
      <c r="TRH43" s="19"/>
      <c r="TRI43" s="19"/>
      <c r="TRJ43" s="19"/>
      <c r="TRK43" s="19"/>
      <c r="TRL43" s="19"/>
      <c r="TRM43" s="19"/>
      <c r="TRN43" s="19"/>
      <c r="TRO43" s="19"/>
      <c r="TRP43" s="19"/>
      <c r="TRQ43" s="19"/>
      <c r="TRR43" s="19"/>
      <c r="TRS43" s="19"/>
      <c r="TRT43" s="19"/>
      <c r="TRU43" s="19"/>
      <c r="TRV43" s="19"/>
      <c r="TRW43" s="19"/>
      <c r="TRX43" s="19"/>
      <c r="TRY43" s="19"/>
      <c r="TRZ43" s="19"/>
      <c r="TSA43" s="19"/>
      <c r="TSB43" s="19"/>
      <c r="TSC43" s="19"/>
      <c r="TSD43" s="19"/>
      <c r="TSE43" s="19"/>
      <c r="TSF43" s="19"/>
      <c r="TSG43" s="19"/>
      <c r="TSH43" s="19"/>
      <c r="TSI43" s="19"/>
      <c r="TSJ43" s="19"/>
      <c r="TSK43" s="19"/>
      <c r="TSL43" s="19"/>
      <c r="TSM43" s="19"/>
      <c r="TSN43" s="19"/>
      <c r="TSO43" s="19"/>
      <c r="TSP43" s="19"/>
      <c r="TSQ43" s="19"/>
      <c r="TSR43" s="19"/>
      <c r="TSS43" s="19"/>
      <c r="TST43" s="19"/>
      <c r="TSU43" s="19"/>
      <c r="TSV43" s="19"/>
      <c r="TSW43" s="19"/>
      <c r="TSX43" s="19"/>
      <c r="TSY43" s="19"/>
      <c r="TSZ43" s="19"/>
      <c r="TTA43" s="19"/>
      <c r="TTB43" s="19"/>
      <c r="TTC43" s="19"/>
      <c r="TTD43" s="19"/>
      <c r="TTE43" s="19"/>
      <c r="TTF43" s="19"/>
      <c r="TTG43" s="19"/>
      <c r="TTH43" s="19"/>
      <c r="TTI43" s="19"/>
      <c r="TTJ43" s="19"/>
      <c r="TTK43" s="19"/>
      <c r="TTL43" s="19"/>
      <c r="TTM43" s="19"/>
      <c r="TTN43" s="19"/>
      <c r="TTO43" s="19"/>
      <c r="TTP43" s="19"/>
      <c r="TTQ43" s="19"/>
      <c r="TTR43" s="19"/>
      <c r="TTS43" s="19"/>
      <c r="TTT43" s="19"/>
      <c r="TTU43" s="19"/>
      <c r="TTV43" s="19"/>
      <c r="TTW43" s="19"/>
      <c r="TTX43" s="19"/>
      <c r="TTY43" s="19"/>
      <c r="TTZ43" s="19"/>
      <c r="TUA43" s="19"/>
      <c r="TUB43" s="19"/>
      <c r="TUC43" s="19"/>
      <c r="TUD43" s="19"/>
      <c r="TUE43" s="19"/>
      <c r="TUF43" s="19"/>
      <c r="TUG43" s="19"/>
      <c r="TUH43" s="19"/>
      <c r="TUI43" s="19"/>
      <c r="TUJ43" s="19"/>
      <c r="TUK43" s="19"/>
      <c r="TUL43" s="19"/>
      <c r="TUM43" s="19"/>
      <c r="TUN43" s="19"/>
      <c r="TUO43" s="19"/>
      <c r="TUP43" s="19"/>
      <c r="TUQ43" s="19"/>
      <c r="TUR43" s="19"/>
      <c r="TUS43" s="19"/>
      <c r="TUT43" s="19"/>
      <c r="TUU43" s="19"/>
      <c r="TUV43" s="19"/>
      <c r="TUW43" s="19"/>
      <c r="TUX43" s="19"/>
      <c r="TUY43" s="19"/>
      <c r="TUZ43" s="19"/>
      <c r="TVA43" s="19"/>
      <c r="TVB43" s="19"/>
      <c r="TVC43" s="19"/>
      <c r="TVD43" s="19"/>
      <c r="TVE43" s="19"/>
      <c r="TVF43" s="19"/>
      <c r="TVG43" s="19"/>
      <c r="TVH43" s="19"/>
      <c r="TVI43" s="19"/>
      <c r="TVJ43" s="19"/>
      <c r="TVK43" s="19"/>
      <c r="TVL43" s="19"/>
      <c r="TVM43" s="19"/>
      <c r="TVN43" s="19"/>
      <c r="TVO43" s="19"/>
      <c r="TVP43" s="19"/>
      <c r="TVQ43" s="19"/>
      <c r="TVR43" s="19"/>
      <c r="TVS43" s="19"/>
      <c r="TVT43" s="19"/>
      <c r="TVU43" s="19"/>
      <c r="TVV43" s="19"/>
      <c r="TVW43" s="19"/>
      <c r="TVX43" s="19"/>
      <c r="TVY43" s="19"/>
      <c r="TVZ43" s="19"/>
      <c r="TWA43" s="19"/>
      <c r="TWB43" s="19"/>
      <c r="TWC43" s="19"/>
      <c r="TWD43" s="19"/>
      <c r="TWE43" s="19"/>
      <c r="TWF43" s="19"/>
      <c r="TWG43" s="19"/>
      <c r="TWH43" s="19"/>
      <c r="TWI43" s="19"/>
      <c r="TWJ43" s="19"/>
      <c r="TWK43" s="19"/>
      <c r="TWL43" s="19"/>
      <c r="TWM43" s="19"/>
      <c r="TWN43" s="19"/>
      <c r="TWO43" s="19"/>
      <c r="TWP43" s="19"/>
      <c r="TWQ43" s="19"/>
      <c r="TWR43" s="19"/>
      <c r="TWS43" s="19"/>
      <c r="TWT43" s="19"/>
      <c r="TWU43" s="19"/>
      <c r="TWV43" s="19"/>
      <c r="TWW43" s="19"/>
      <c r="TWX43" s="19"/>
      <c r="TWY43" s="19"/>
      <c r="TWZ43" s="19"/>
      <c r="TXA43" s="19"/>
      <c r="TXB43" s="19"/>
      <c r="TXC43" s="19"/>
      <c r="TXD43" s="19"/>
      <c r="TXE43" s="19"/>
      <c r="TXF43" s="19"/>
      <c r="TXG43" s="19"/>
      <c r="TXH43" s="19"/>
      <c r="TXI43" s="19"/>
      <c r="TXJ43" s="19"/>
      <c r="TXK43" s="19"/>
      <c r="TXL43" s="19"/>
      <c r="TXM43" s="19"/>
      <c r="TXN43" s="19"/>
      <c r="TXO43" s="19"/>
      <c r="TXP43" s="19"/>
      <c r="TXQ43" s="19"/>
      <c r="TXR43" s="19"/>
      <c r="TXS43" s="19"/>
      <c r="TXT43" s="19"/>
      <c r="TXU43" s="19"/>
      <c r="TXV43" s="19"/>
      <c r="TXW43" s="19"/>
      <c r="TXX43" s="19"/>
      <c r="TXY43" s="19"/>
      <c r="TXZ43" s="19"/>
      <c r="TYA43" s="19"/>
      <c r="TYB43" s="19"/>
      <c r="TYC43" s="19"/>
      <c r="TYD43" s="19"/>
      <c r="TYE43" s="19"/>
      <c r="TYF43" s="19"/>
      <c r="TYG43" s="19"/>
      <c r="TYH43" s="19"/>
      <c r="TYI43" s="19"/>
      <c r="TYJ43" s="19"/>
      <c r="TYK43" s="19"/>
      <c r="TYL43" s="19"/>
      <c r="TYM43" s="19"/>
      <c r="TYN43" s="19"/>
      <c r="TYO43" s="19"/>
      <c r="TYP43" s="19"/>
      <c r="TYQ43" s="19"/>
      <c r="TYR43" s="19"/>
      <c r="TYS43" s="19"/>
      <c r="TYT43" s="19"/>
      <c r="TYU43" s="19"/>
      <c r="TYV43" s="19"/>
      <c r="TYW43" s="19"/>
      <c r="TYX43" s="19"/>
      <c r="TYY43" s="19"/>
      <c r="TYZ43" s="19"/>
      <c r="TZA43" s="19"/>
      <c r="TZB43" s="19"/>
      <c r="TZC43" s="19"/>
      <c r="TZD43" s="19"/>
      <c r="TZE43" s="19"/>
      <c r="TZF43" s="19"/>
      <c r="TZG43" s="19"/>
      <c r="TZH43" s="19"/>
      <c r="TZI43" s="19"/>
      <c r="TZJ43" s="19"/>
      <c r="TZK43" s="19"/>
      <c r="TZL43" s="19"/>
      <c r="TZM43" s="19"/>
      <c r="TZN43" s="19"/>
      <c r="TZO43" s="19"/>
      <c r="TZP43" s="19"/>
      <c r="TZQ43" s="19"/>
      <c r="TZR43" s="19"/>
      <c r="TZS43" s="19"/>
      <c r="TZT43" s="19"/>
      <c r="TZU43" s="19"/>
      <c r="TZV43" s="19"/>
      <c r="TZW43" s="19"/>
      <c r="TZX43" s="19"/>
      <c r="TZY43" s="19"/>
      <c r="TZZ43" s="19"/>
      <c r="UAA43" s="19"/>
      <c r="UAB43" s="19"/>
      <c r="UAC43" s="19"/>
      <c r="UAD43" s="19"/>
      <c r="UAE43" s="19"/>
      <c r="UAF43" s="19"/>
      <c r="UAG43" s="19"/>
      <c r="UAH43" s="19"/>
      <c r="UAI43" s="19"/>
      <c r="UAJ43" s="19"/>
      <c r="UAK43" s="19"/>
      <c r="UAL43" s="19"/>
      <c r="UAM43" s="19"/>
      <c r="UAN43" s="19"/>
      <c r="UAO43" s="19"/>
      <c r="UAP43" s="19"/>
      <c r="UAQ43" s="19"/>
      <c r="UAR43" s="19"/>
      <c r="UAS43" s="19"/>
      <c r="UAT43" s="19"/>
      <c r="UAU43" s="19"/>
      <c r="UAV43" s="19"/>
      <c r="UAW43" s="19"/>
      <c r="UAX43" s="19"/>
      <c r="UAY43" s="19"/>
      <c r="UAZ43" s="19"/>
      <c r="UBA43" s="19"/>
      <c r="UBB43" s="19"/>
      <c r="UBC43" s="19"/>
      <c r="UBD43" s="19"/>
      <c r="UBE43" s="19"/>
      <c r="UBF43" s="19"/>
      <c r="UBG43" s="19"/>
      <c r="UBH43" s="19"/>
      <c r="UBI43" s="19"/>
      <c r="UBJ43" s="19"/>
      <c r="UBK43" s="19"/>
      <c r="UBL43" s="19"/>
      <c r="UBM43" s="19"/>
      <c r="UBN43" s="19"/>
      <c r="UBO43" s="19"/>
      <c r="UBP43" s="19"/>
      <c r="UBQ43" s="19"/>
      <c r="UBR43" s="19"/>
      <c r="UBS43" s="19"/>
      <c r="UBT43" s="19"/>
      <c r="UBU43" s="19"/>
      <c r="UBV43" s="19"/>
      <c r="UBW43" s="19"/>
      <c r="UBX43" s="19"/>
      <c r="UBY43" s="19"/>
      <c r="UBZ43" s="19"/>
      <c r="UCA43" s="19"/>
      <c r="UCB43" s="19"/>
      <c r="UCC43" s="19"/>
      <c r="UCD43" s="19"/>
      <c r="UCE43" s="19"/>
      <c r="UCF43" s="19"/>
      <c r="UCG43" s="19"/>
      <c r="UCH43" s="19"/>
      <c r="UCI43" s="19"/>
      <c r="UCJ43" s="19"/>
      <c r="UCK43" s="19"/>
      <c r="UCL43" s="19"/>
      <c r="UCM43" s="19"/>
      <c r="UCN43" s="19"/>
      <c r="UCO43" s="19"/>
      <c r="UCP43" s="19"/>
      <c r="UCQ43" s="19"/>
      <c r="UCR43" s="19"/>
      <c r="UCS43" s="19"/>
      <c r="UCT43" s="19"/>
      <c r="UCU43" s="19"/>
      <c r="UCV43" s="19"/>
      <c r="UCW43" s="19"/>
      <c r="UCX43" s="19"/>
      <c r="UCY43" s="19"/>
      <c r="UCZ43" s="19"/>
      <c r="UDA43" s="19"/>
      <c r="UDB43" s="19"/>
      <c r="UDC43" s="19"/>
      <c r="UDD43" s="19"/>
      <c r="UDE43" s="19"/>
      <c r="UDF43" s="19"/>
      <c r="UDG43" s="19"/>
      <c r="UDH43" s="19"/>
      <c r="UDI43" s="19"/>
      <c r="UDJ43" s="19"/>
      <c r="UDK43" s="19"/>
      <c r="UDL43" s="19"/>
      <c r="UDM43" s="19"/>
      <c r="UDN43" s="19"/>
      <c r="UDO43" s="19"/>
      <c r="UDP43" s="19"/>
      <c r="UDQ43" s="19"/>
      <c r="UDR43" s="19"/>
      <c r="UDS43" s="19"/>
      <c r="UDT43" s="19"/>
      <c r="UDU43" s="19"/>
      <c r="UDV43" s="19"/>
      <c r="UDW43" s="19"/>
      <c r="UDX43" s="19"/>
      <c r="UDY43" s="19"/>
      <c r="UDZ43" s="19"/>
      <c r="UEA43" s="19"/>
      <c r="UEB43" s="19"/>
      <c r="UEC43" s="19"/>
      <c r="UED43" s="19"/>
      <c r="UEE43" s="19"/>
      <c r="UEF43" s="19"/>
      <c r="UEG43" s="19"/>
      <c r="UEH43" s="19"/>
      <c r="UEI43" s="19"/>
      <c r="UEJ43" s="19"/>
      <c r="UEK43" s="19"/>
      <c r="UEL43" s="19"/>
      <c r="UEM43" s="19"/>
      <c r="UEN43" s="19"/>
      <c r="UEO43" s="19"/>
      <c r="UEP43" s="19"/>
      <c r="UEQ43" s="19"/>
      <c r="UER43" s="19"/>
      <c r="UES43" s="19"/>
      <c r="UET43" s="19"/>
      <c r="UEU43" s="19"/>
      <c r="UEV43" s="19"/>
      <c r="UEW43" s="19"/>
      <c r="UEX43" s="19"/>
      <c r="UEY43" s="19"/>
      <c r="UEZ43" s="19"/>
      <c r="UFA43" s="19"/>
      <c r="UFB43" s="19"/>
      <c r="UFC43" s="19"/>
      <c r="UFD43" s="19"/>
      <c r="UFE43" s="19"/>
      <c r="UFF43" s="19"/>
      <c r="UFG43" s="19"/>
      <c r="UFH43" s="19"/>
      <c r="UFI43" s="19"/>
      <c r="UFJ43" s="19"/>
      <c r="UFK43" s="19"/>
      <c r="UFL43" s="19"/>
      <c r="UFM43" s="19"/>
      <c r="UFN43" s="19"/>
      <c r="UFO43" s="19"/>
      <c r="UFP43" s="19"/>
      <c r="UFQ43" s="19"/>
      <c r="UFR43" s="19"/>
      <c r="UFS43" s="19"/>
      <c r="UFT43" s="19"/>
      <c r="UFU43" s="19"/>
      <c r="UFV43" s="19"/>
      <c r="UFW43" s="19"/>
      <c r="UFX43" s="19"/>
      <c r="UFY43" s="19"/>
      <c r="UFZ43" s="19"/>
      <c r="UGA43" s="19"/>
      <c r="UGB43" s="19"/>
      <c r="UGC43" s="19"/>
      <c r="UGD43" s="19"/>
      <c r="UGE43" s="19"/>
      <c r="UGF43" s="19"/>
      <c r="UGG43" s="19"/>
      <c r="UGH43" s="19"/>
      <c r="UGI43" s="19"/>
      <c r="UGJ43" s="19"/>
      <c r="UGK43" s="19"/>
      <c r="UGL43" s="19"/>
      <c r="UGM43" s="19"/>
      <c r="UGN43" s="19"/>
      <c r="UGO43" s="19"/>
      <c r="UGP43" s="19"/>
      <c r="UGQ43" s="19"/>
      <c r="UGR43" s="19"/>
      <c r="UGS43" s="19"/>
      <c r="UGT43" s="19"/>
      <c r="UGU43" s="19"/>
      <c r="UGV43" s="19"/>
      <c r="UGW43" s="19"/>
      <c r="UGX43" s="19"/>
      <c r="UGY43" s="19"/>
      <c r="UGZ43" s="19"/>
      <c r="UHA43" s="19"/>
      <c r="UHB43" s="19"/>
      <c r="UHC43" s="19"/>
      <c r="UHD43" s="19"/>
      <c r="UHE43" s="19"/>
      <c r="UHF43" s="19"/>
      <c r="UHG43" s="19"/>
      <c r="UHH43" s="19"/>
      <c r="UHI43" s="19"/>
      <c r="UHJ43" s="19"/>
      <c r="UHK43" s="19"/>
      <c r="UHL43" s="19"/>
      <c r="UHM43" s="19"/>
      <c r="UHN43" s="19"/>
      <c r="UHO43" s="19"/>
      <c r="UHP43" s="19"/>
      <c r="UHQ43" s="19"/>
      <c r="UHR43" s="19"/>
      <c r="UHS43" s="19"/>
      <c r="UHT43" s="19"/>
      <c r="UHU43" s="19"/>
      <c r="UHV43" s="19"/>
      <c r="UHW43" s="19"/>
      <c r="UHX43" s="19"/>
      <c r="UHY43" s="19"/>
      <c r="UHZ43" s="19"/>
      <c r="UIA43" s="19"/>
      <c r="UIB43" s="19"/>
      <c r="UIC43" s="19"/>
      <c r="UID43" s="19"/>
      <c r="UIE43" s="19"/>
      <c r="UIF43" s="19"/>
      <c r="UIG43" s="19"/>
      <c r="UIH43" s="19"/>
      <c r="UII43" s="19"/>
      <c r="UIJ43" s="19"/>
      <c r="UIK43" s="19"/>
      <c r="UIL43" s="19"/>
      <c r="UIM43" s="19"/>
      <c r="UIN43" s="19"/>
      <c r="UIO43" s="19"/>
      <c r="UIP43" s="19"/>
      <c r="UIQ43" s="19"/>
      <c r="UIR43" s="19"/>
      <c r="UIS43" s="19"/>
      <c r="UIT43" s="19"/>
      <c r="UIU43" s="19"/>
      <c r="UIV43" s="19"/>
      <c r="UIW43" s="19"/>
      <c r="UIX43" s="19"/>
      <c r="UIY43" s="19"/>
      <c r="UIZ43" s="19"/>
      <c r="UJA43" s="19"/>
      <c r="UJB43" s="19"/>
      <c r="UJC43" s="19"/>
      <c r="UJD43" s="19"/>
      <c r="UJE43" s="19"/>
      <c r="UJF43" s="19"/>
      <c r="UJG43" s="19"/>
      <c r="UJH43" s="19"/>
      <c r="UJI43" s="19"/>
      <c r="UJJ43" s="19"/>
      <c r="UJK43" s="19"/>
      <c r="UJL43" s="19"/>
      <c r="UJM43" s="19"/>
      <c r="UJN43" s="19"/>
      <c r="UJO43" s="19"/>
      <c r="UJP43" s="19"/>
      <c r="UJQ43" s="19"/>
      <c r="UJR43" s="19"/>
      <c r="UJS43" s="19"/>
      <c r="UJT43" s="19"/>
      <c r="UJU43" s="19"/>
      <c r="UJV43" s="19"/>
      <c r="UJW43" s="19"/>
      <c r="UJX43" s="19"/>
      <c r="UJY43" s="19"/>
      <c r="UJZ43" s="19"/>
      <c r="UKA43" s="19"/>
      <c r="UKB43" s="19"/>
      <c r="UKC43" s="19"/>
      <c r="UKD43" s="19"/>
      <c r="UKE43" s="19"/>
      <c r="UKF43" s="19"/>
      <c r="UKG43" s="19"/>
      <c r="UKH43" s="19"/>
      <c r="UKI43" s="19"/>
      <c r="UKJ43" s="19"/>
      <c r="UKK43" s="19"/>
      <c r="UKL43" s="19"/>
      <c r="UKM43" s="19"/>
      <c r="UKN43" s="19"/>
      <c r="UKO43" s="19"/>
      <c r="UKP43" s="19"/>
      <c r="UKQ43" s="19"/>
      <c r="UKR43" s="19"/>
      <c r="UKS43" s="19"/>
      <c r="UKT43" s="19"/>
      <c r="UKU43" s="19"/>
      <c r="UKV43" s="19"/>
      <c r="UKW43" s="19"/>
      <c r="UKX43" s="19"/>
      <c r="UKY43" s="19"/>
      <c r="UKZ43" s="19"/>
      <c r="ULA43" s="19"/>
      <c r="ULB43" s="19"/>
      <c r="ULC43" s="19"/>
      <c r="ULD43" s="19"/>
      <c r="ULE43" s="19"/>
      <c r="ULF43" s="19"/>
      <c r="ULG43" s="19"/>
      <c r="ULH43" s="19"/>
      <c r="ULI43" s="19"/>
      <c r="ULJ43" s="19"/>
      <c r="ULK43" s="19"/>
      <c r="ULL43" s="19"/>
      <c r="ULM43" s="19"/>
      <c r="ULN43" s="19"/>
      <c r="ULO43" s="19"/>
      <c r="ULP43" s="19"/>
      <c r="ULQ43" s="19"/>
      <c r="ULR43" s="19"/>
      <c r="ULS43" s="19"/>
      <c r="ULT43" s="19"/>
      <c r="ULU43" s="19"/>
      <c r="ULV43" s="19"/>
      <c r="ULW43" s="19"/>
      <c r="ULX43" s="19"/>
      <c r="ULY43" s="19"/>
      <c r="ULZ43" s="19"/>
      <c r="UMA43" s="19"/>
      <c r="UMB43" s="19"/>
      <c r="UMC43" s="19"/>
      <c r="UMD43" s="19"/>
      <c r="UME43" s="19"/>
      <c r="UMF43" s="19"/>
      <c r="UMG43" s="19"/>
      <c r="UMH43" s="19"/>
      <c r="UMI43" s="19"/>
      <c r="UMJ43" s="19"/>
      <c r="UMK43" s="19"/>
      <c r="UML43" s="19"/>
      <c r="UMM43" s="19"/>
      <c r="UMN43" s="19"/>
      <c r="UMO43" s="19"/>
      <c r="UMP43" s="19"/>
      <c r="UMQ43" s="19"/>
      <c r="UMR43" s="19"/>
      <c r="UMS43" s="19"/>
      <c r="UMT43" s="19"/>
      <c r="UMU43" s="19"/>
      <c r="UMV43" s="19"/>
      <c r="UMW43" s="19"/>
      <c r="UMX43" s="19"/>
      <c r="UMY43" s="19"/>
      <c r="UMZ43" s="19"/>
      <c r="UNA43" s="19"/>
      <c r="UNB43" s="19"/>
      <c r="UNC43" s="19"/>
      <c r="UND43" s="19"/>
      <c r="UNE43" s="19"/>
      <c r="UNF43" s="19"/>
      <c r="UNG43" s="19"/>
      <c r="UNH43" s="19"/>
      <c r="UNI43" s="19"/>
      <c r="UNJ43" s="19"/>
      <c r="UNK43" s="19"/>
      <c r="UNL43" s="19"/>
      <c r="UNM43" s="19"/>
      <c r="UNN43" s="19"/>
      <c r="UNO43" s="19"/>
      <c r="UNP43" s="19"/>
      <c r="UNQ43" s="19"/>
      <c r="UNR43" s="19"/>
      <c r="UNS43" s="19"/>
      <c r="UNT43" s="19"/>
      <c r="UNU43" s="19"/>
      <c r="UNV43" s="19"/>
      <c r="UNW43" s="19"/>
      <c r="UNX43" s="19"/>
      <c r="UNY43" s="19"/>
      <c r="UNZ43" s="19"/>
      <c r="UOA43" s="19"/>
      <c r="UOB43" s="19"/>
      <c r="UOC43" s="19"/>
      <c r="UOD43" s="19"/>
      <c r="UOE43" s="19"/>
      <c r="UOF43" s="19"/>
      <c r="UOG43" s="19"/>
      <c r="UOH43" s="19"/>
      <c r="UOI43" s="19"/>
      <c r="UOJ43" s="19"/>
      <c r="UOK43" s="19"/>
      <c r="UOL43" s="19"/>
      <c r="UOM43" s="19"/>
      <c r="UON43" s="19"/>
      <c r="UOO43" s="19"/>
      <c r="UOP43" s="19"/>
      <c r="UOQ43" s="19"/>
      <c r="UOR43" s="19"/>
      <c r="UOS43" s="19"/>
      <c r="UOT43" s="19"/>
      <c r="UOU43" s="19"/>
      <c r="UOV43" s="19"/>
      <c r="UOW43" s="19"/>
      <c r="UOX43" s="19"/>
      <c r="UOY43" s="19"/>
      <c r="UOZ43" s="19"/>
      <c r="UPA43" s="19"/>
      <c r="UPB43" s="19"/>
      <c r="UPC43" s="19"/>
      <c r="UPD43" s="19"/>
      <c r="UPE43" s="19"/>
      <c r="UPF43" s="19"/>
      <c r="UPG43" s="19"/>
      <c r="UPH43" s="19"/>
      <c r="UPI43" s="19"/>
      <c r="UPJ43" s="19"/>
      <c r="UPK43" s="19"/>
      <c r="UPL43" s="19"/>
      <c r="UPM43" s="19"/>
      <c r="UPN43" s="19"/>
      <c r="UPO43" s="19"/>
      <c r="UPP43" s="19"/>
      <c r="UPQ43" s="19"/>
      <c r="UPR43" s="19"/>
      <c r="UPS43" s="19"/>
      <c r="UPT43" s="19"/>
      <c r="UPU43" s="19"/>
      <c r="UPV43" s="19"/>
      <c r="UPW43" s="19"/>
      <c r="UPX43" s="19"/>
      <c r="UPY43" s="19"/>
      <c r="UPZ43" s="19"/>
      <c r="UQA43" s="19"/>
      <c r="UQB43" s="19"/>
      <c r="UQC43" s="19"/>
      <c r="UQD43" s="19"/>
      <c r="UQE43" s="19"/>
      <c r="UQF43" s="19"/>
      <c r="UQG43" s="19"/>
      <c r="UQH43" s="19"/>
      <c r="UQI43" s="19"/>
      <c r="UQJ43" s="19"/>
      <c r="UQK43" s="19"/>
      <c r="UQL43" s="19"/>
      <c r="UQM43" s="19"/>
      <c r="UQN43" s="19"/>
      <c r="UQO43" s="19"/>
      <c r="UQP43" s="19"/>
      <c r="UQQ43" s="19"/>
      <c r="UQR43" s="19"/>
      <c r="UQS43" s="19"/>
      <c r="UQT43" s="19"/>
      <c r="UQU43" s="19"/>
      <c r="UQV43" s="19"/>
      <c r="UQW43" s="19"/>
      <c r="UQX43" s="19"/>
      <c r="UQY43" s="19"/>
      <c r="UQZ43" s="19"/>
      <c r="URA43" s="19"/>
      <c r="URB43" s="19"/>
      <c r="URC43" s="19"/>
      <c r="URD43" s="19"/>
      <c r="URE43" s="19"/>
      <c r="URF43" s="19"/>
      <c r="URG43" s="19"/>
      <c r="URH43" s="19"/>
      <c r="URI43" s="19"/>
      <c r="URJ43" s="19"/>
      <c r="URK43" s="19"/>
      <c r="URL43" s="19"/>
      <c r="URM43" s="19"/>
      <c r="URN43" s="19"/>
      <c r="URO43" s="19"/>
      <c r="URP43" s="19"/>
      <c r="URQ43" s="19"/>
      <c r="URR43" s="19"/>
      <c r="URS43" s="19"/>
      <c r="URT43" s="19"/>
      <c r="URU43" s="19"/>
      <c r="URV43" s="19"/>
      <c r="URW43" s="19"/>
      <c r="URX43" s="19"/>
      <c r="URY43" s="19"/>
      <c r="URZ43" s="19"/>
      <c r="USA43" s="19"/>
      <c r="USB43" s="19"/>
      <c r="USC43" s="19"/>
      <c r="USD43" s="19"/>
      <c r="USE43" s="19"/>
      <c r="USF43" s="19"/>
      <c r="USG43" s="19"/>
      <c r="USH43" s="19"/>
      <c r="USI43" s="19"/>
      <c r="USJ43" s="19"/>
      <c r="USK43" s="19"/>
      <c r="USL43" s="19"/>
      <c r="USM43" s="19"/>
      <c r="USN43" s="19"/>
      <c r="USO43" s="19"/>
      <c r="USP43" s="19"/>
      <c r="USQ43" s="19"/>
      <c r="USR43" s="19"/>
      <c r="USS43" s="19"/>
      <c r="UST43" s="19"/>
      <c r="USU43" s="19"/>
      <c r="USV43" s="19"/>
      <c r="USW43" s="19"/>
      <c r="USX43" s="19"/>
      <c r="USY43" s="19"/>
      <c r="USZ43" s="19"/>
      <c r="UTA43" s="19"/>
      <c r="UTB43" s="19"/>
      <c r="UTC43" s="19"/>
      <c r="UTD43" s="19"/>
      <c r="UTE43" s="19"/>
      <c r="UTF43" s="19"/>
      <c r="UTG43" s="19"/>
      <c r="UTH43" s="19"/>
      <c r="UTI43" s="19"/>
      <c r="UTJ43" s="19"/>
      <c r="UTK43" s="19"/>
      <c r="UTL43" s="19"/>
      <c r="UTM43" s="19"/>
      <c r="UTN43" s="19"/>
      <c r="UTO43" s="19"/>
      <c r="UTP43" s="19"/>
      <c r="UTQ43" s="19"/>
      <c r="UTR43" s="19"/>
      <c r="UTS43" s="19"/>
      <c r="UTT43" s="19"/>
      <c r="UTU43" s="19"/>
      <c r="UTV43" s="19"/>
      <c r="UTW43" s="19"/>
      <c r="UTX43" s="19"/>
      <c r="UTY43" s="19"/>
      <c r="UTZ43" s="19"/>
      <c r="UUA43" s="19"/>
      <c r="UUB43" s="19"/>
      <c r="UUC43" s="19"/>
      <c r="UUD43" s="19"/>
      <c r="UUE43" s="19"/>
      <c r="UUF43" s="19"/>
      <c r="UUG43" s="19"/>
      <c r="UUH43" s="19"/>
      <c r="UUI43" s="19"/>
      <c r="UUJ43" s="19"/>
      <c r="UUK43" s="19"/>
      <c r="UUL43" s="19"/>
      <c r="UUM43" s="19"/>
      <c r="UUN43" s="19"/>
      <c r="UUO43" s="19"/>
      <c r="UUP43" s="19"/>
      <c r="UUQ43" s="19"/>
      <c r="UUR43" s="19"/>
      <c r="UUS43" s="19"/>
      <c r="UUT43" s="19"/>
      <c r="UUU43" s="19"/>
      <c r="UUV43" s="19"/>
      <c r="UUW43" s="19"/>
      <c r="UUX43" s="19"/>
      <c r="UUY43" s="19"/>
      <c r="UUZ43" s="19"/>
      <c r="UVA43" s="19"/>
      <c r="UVB43" s="19"/>
      <c r="UVC43" s="19"/>
      <c r="UVD43" s="19"/>
      <c r="UVE43" s="19"/>
      <c r="UVF43" s="19"/>
      <c r="UVG43" s="19"/>
      <c r="UVH43" s="19"/>
      <c r="UVI43" s="19"/>
      <c r="UVJ43" s="19"/>
      <c r="UVK43" s="19"/>
      <c r="UVL43" s="19"/>
      <c r="UVM43" s="19"/>
      <c r="UVN43" s="19"/>
      <c r="UVO43" s="19"/>
      <c r="UVP43" s="19"/>
      <c r="UVQ43" s="19"/>
      <c r="UVR43" s="19"/>
      <c r="UVS43" s="19"/>
      <c r="UVT43" s="19"/>
      <c r="UVU43" s="19"/>
      <c r="UVV43" s="19"/>
      <c r="UVW43" s="19"/>
      <c r="UVX43" s="19"/>
      <c r="UVY43" s="19"/>
      <c r="UVZ43" s="19"/>
      <c r="UWA43" s="19"/>
      <c r="UWB43" s="19"/>
      <c r="UWC43" s="19"/>
      <c r="UWD43" s="19"/>
      <c r="UWE43" s="19"/>
      <c r="UWF43" s="19"/>
      <c r="UWG43" s="19"/>
      <c r="UWH43" s="19"/>
      <c r="UWI43" s="19"/>
      <c r="UWJ43" s="19"/>
      <c r="UWK43" s="19"/>
      <c r="UWL43" s="19"/>
      <c r="UWM43" s="19"/>
      <c r="UWN43" s="19"/>
      <c r="UWO43" s="19"/>
      <c r="UWP43" s="19"/>
      <c r="UWQ43" s="19"/>
      <c r="UWR43" s="19"/>
      <c r="UWS43" s="19"/>
      <c r="UWT43" s="19"/>
      <c r="UWU43" s="19"/>
      <c r="UWV43" s="19"/>
      <c r="UWW43" s="19"/>
      <c r="UWX43" s="19"/>
      <c r="UWY43" s="19"/>
      <c r="UWZ43" s="19"/>
      <c r="UXA43" s="19"/>
      <c r="UXB43" s="19"/>
      <c r="UXC43" s="19"/>
      <c r="UXD43" s="19"/>
      <c r="UXE43" s="19"/>
      <c r="UXF43" s="19"/>
      <c r="UXG43" s="19"/>
      <c r="UXH43" s="19"/>
      <c r="UXI43" s="19"/>
      <c r="UXJ43" s="19"/>
      <c r="UXK43" s="19"/>
      <c r="UXL43" s="19"/>
      <c r="UXM43" s="19"/>
      <c r="UXN43" s="19"/>
      <c r="UXO43" s="19"/>
      <c r="UXP43" s="19"/>
      <c r="UXQ43" s="19"/>
      <c r="UXR43" s="19"/>
      <c r="UXS43" s="19"/>
      <c r="UXT43" s="19"/>
      <c r="UXU43" s="19"/>
      <c r="UXV43" s="19"/>
      <c r="UXW43" s="19"/>
      <c r="UXX43" s="19"/>
      <c r="UXY43" s="19"/>
      <c r="UXZ43" s="19"/>
      <c r="UYA43" s="19"/>
      <c r="UYB43" s="19"/>
      <c r="UYC43" s="19"/>
      <c r="UYD43" s="19"/>
      <c r="UYE43" s="19"/>
      <c r="UYF43" s="19"/>
      <c r="UYG43" s="19"/>
      <c r="UYH43" s="19"/>
      <c r="UYI43" s="19"/>
      <c r="UYJ43" s="19"/>
      <c r="UYK43" s="19"/>
      <c r="UYL43" s="19"/>
      <c r="UYM43" s="19"/>
      <c r="UYN43" s="19"/>
      <c r="UYO43" s="19"/>
      <c r="UYP43" s="19"/>
      <c r="UYQ43" s="19"/>
      <c r="UYR43" s="19"/>
      <c r="UYS43" s="19"/>
      <c r="UYT43" s="19"/>
      <c r="UYU43" s="19"/>
      <c r="UYV43" s="19"/>
      <c r="UYW43" s="19"/>
      <c r="UYX43" s="19"/>
      <c r="UYY43" s="19"/>
      <c r="UYZ43" s="19"/>
      <c r="UZA43" s="19"/>
      <c r="UZB43" s="19"/>
      <c r="UZC43" s="19"/>
      <c r="UZD43" s="19"/>
      <c r="UZE43" s="19"/>
      <c r="UZF43" s="19"/>
      <c r="UZG43" s="19"/>
      <c r="UZH43" s="19"/>
      <c r="UZI43" s="19"/>
      <c r="UZJ43" s="19"/>
      <c r="UZK43" s="19"/>
      <c r="UZL43" s="19"/>
      <c r="UZM43" s="19"/>
      <c r="UZN43" s="19"/>
      <c r="UZO43" s="19"/>
      <c r="UZP43" s="19"/>
      <c r="UZQ43" s="19"/>
      <c r="UZR43" s="19"/>
      <c r="UZS43" s="19"/>
      <c r="UZT43" s="19"/>
      <c r="UZU43" s="19"/>
      <c r="UZV43" s="19"/>
      <c r="UZW43" s="19"/>
      <c r="UZX43" s="19"/>
      <c r="UZY43" s="19"/>
      <c r="UZZ43" s="19"/>
      <c r="VAA43" s="19"/>
      <c r="VAB43" s="19"/>
      <c r="VAC43" s="19"/>
      <c r="VAD43" s="19"/>
      <c r="VAE43" s="19"/>
      <c r="VAF43" s="19"/>
      <c r="VAG43" s="19"/>
      <c r="VAH43" s="19"/>
      <c r="VAI43" s="19"/>
      <c r="VAJ43" s="19"/>
      <c r="VAK43" s="19"/>
      <c r="VAL43" s="19"/>
      <c r="VAM43" s="19"/>
      <c r="VAN43" s="19"/>
      <c r="VAO43" s="19"/>
      <c r="VAP43" s="19"/>
      <c r="VAQ43" s="19"/>
      <c r="VAR43" s="19"/>
      <c r="VAS43" s="19"/>
      <c r="VAT43" s="19"/>
      <c r="VAU43" s="19"/>
      <c r="VAV43" s="19"/>
      <c r="VAW43" s="19"/>
      <c r="VAX43" s="19"/>
      <c r="VAY43" s="19"/>
      <c r="VAZ43" s="19"/>
      <c r="VBA43" s="19"/>
      <c r="VBB43" s="19"/>
      <c r="VBC43" s="19"/>
      <c r="VBD43" s="19"/>
      <c r="VBE43" s="19"/>
      <c r="VBF43" s="19"/>
      <c r="VBG43" s="19"/>
      <c r="VBH43" s="19"/>
      <c r="VBI43" s="19"/>
      <c r="VBJ43" s="19"/>
      <c r="VBK43" s="19"/>
      <c r="VBL43" s="19"/>
      <c r="VBM43" s="19"/>
      <c r="VBN43" s="19"/>
      <c r="VBO43" s="19"/>
      <c r="VBP43" s="19"/>
      <c r="VBQ43" s="19"/>
      <c r="VBR43" s="19"/>
      <c r="VBS43" s="19"/>
      <c r="VBT43" s="19"/>
      <c r="VBU43" s="19"/>
      <c r="VBV43" s="19"/>
      <c r="VBW43" s="19"/>
      <c r="VBX43" s="19"/>
      <c r="VBY43" s="19"/>
      <c r="VBZ43" s="19"/>
      <c r="VCA43" s="19"/>
      <c r="VCB43" s="19"/>
      <c r="VCC43" s="19"/>
      <c r="VCD43" s="19"/>
      <c r="VCE43" s="19"/>
      <c r="VCF43" s="19"/>
      <c r="VCG43" s="19"/>
      <c r="VCH43" s="19"/>
      <c r="VCI43" s="19"/>
      <c r="VCJ43" s="19"/>
      <c r="VCK43" s="19"/>
      <c r="VCL43" s="19"/>
      <c r="VCM43" s="19"/>
      <c r="VCN43" s="19"/>
      <c r="VCO43" s="19"/>
      <c r="VCP43" s="19"/>
      <c r="VCQ43" s="19"/>
      <c r="VCR43" s="19"/>
      <c r="VCS43" s="19"/>
      <c r="VCT43" s="19"/>
      <c r="VCU43" s="19"/>
      <c r="VCV43" s="19"/>
      <c r="VCW43" s="19"/>
      <c r="VCX43" s="19"/>
      <c r="VCY43" s="19"/>
      <c r="VCZ43" s="19"/>
      <c r="VDA43" s="19"/>
      <c r="VDB43" s="19"/>
      <c r="VDC43" s="19"/>
      <c r="VDD43" s="19"/>
      <c r="VDE43" s="19"/>
      <c r="VDF43" s="19"/>
      <c r="VDG43" s="19"/>
      <c r="VDH43" s="19"/>
      <c r="VDI43" s="19"/>
      <c r="VDJ43" s="19"/>
      <c r="VDK43" s="19"/>
      <c r="VDL43" s="19"/>
      <c r="VDM43" s="19"/>
      <c r="VDN43" s="19"/>
      <c r="VDO43" s="19"/>
      <c r="VDP43" s="19"/>
      <c r="VDQ43" s="19"/>
      <c r="VDR43" s="19"/>
      <c r="VDS43" s="19"/>
      <c r="VDT43" s="19"/>
      <c r="VDU43" s="19"/>
      <c r="VDV43" s="19"/>
      <c r="VDW43" s="19"/>
      <c r="VDX43" s="19"/>
      <c r="VDY43" s="19"/>
      <c r="VDZ43" s="19"/>
      <c r="VEA43" s="19"/>
      <c r="VEB43" s="19"/>
      <c r="VEC43" s="19"/>
      <c r="VED43" s="19"/>
      <c r="VEE43" s="19"/>
      <c r="VEF43" s="19"/>
      <c r="VEG43" s="19"/>
      <c r="VEH43" s="19"/>
      <c r="VEI43" s="19"/>
      <c r="VEJ43" s="19"/>
      <c r="VEK43" s="19"/>
      <c r="VEL43" s="19"/>
      <c r="VEM43" s="19"/>
      <c r="VEN43" s="19"/>
      <c r="VEO43" s="19"/>
      <c r="VEP43" s="19"/>
      <c r="VEQ43" s="19"/>
      <c r="VER43" s="19"/>
      <c r="VES43" s="19"/>
      <c r="VET43" s="19"/>
      <c r="VEU43" s="19"/>
      <c r="VEV43" s="19"/>
      <c r="VEW43" s="19"/>
      <c r="VEX43" s="19"/>
      <c r="VEY43" s="19"/>
      <c r="VEZ43" s="19"/>
      <c r="VFA43" s="19"/>
      <c r="VFB43" s="19"/>
      <c r="VFC43" s="19"/>
      <c r="VFD43" s="19"/>
      <c r="VFE43" s="19"/>
      <c r="VFF43" s="19"/>
      <c r="VFG43" s="19"/>
      <c r="VFH43" s="19"/>
      <c r="VFI43" s="19"/>
      <c r="VFJ43" s="19"/>
      <c r="VFK43" s="19"/>
      <c r="VFL43" s="19"/>
      <c r="VFM43" s="19"/>
      <c r="VFN43" s="19"/>
      <c r="VFO43" s="19"/>
      <c r="VFP43" s="19"/>
      <c r="VFQ43" s="19"/>
      <c r="VFR43" s="19"/>
      <c r="VFS43" s="19"/>
      <c r="VFT43" s="19"/>
      <c r="VFU43" s="19"/>
      <c r="VFV43" s="19"/>
      <c r="VFW43" s="19"/>
      <c r="VFX43" s="19"/>
      <c r="VFY43" s="19"/>
      <c r="VFZ43" s="19"/>
      <c r="VGA43" s="19"/>
      <c r="VGB43" s="19"/>
      <c r="VGC43" s="19"/>
      <c r="VGD43" s="19"/>
      <c r="VGE43" s="19"/>
      <c r="VGF43" s="19"/>
      <c r="VGG43" s="19"/>
      <c r="VGH43" s="19"/>
      <c r="VGI43" s="19"/>
      <c r="VGJ43" s="19"/>
      <c r="VGK43" s="19"/>
      <c r="VGL43" s="19"/>
      <c r="VGM43" s="19"/>
      <c r="VGN43" s="19"/>
      <c r="VGO43" s="19"/>
      <c r="VGP43" s="19"/>
      <c r="VGQ43" s="19"/>
      <c r="VGR43" s="19"/>
      <c r="VGS43" s="19"/>
      <c r="VGT43" s="19"/>
      <c r="VGU43" s="19"/>
      <c r="VGV43" s="19"/>
      <c r="VGW43" s="19"/>
      <c r="VGX43" s="19"/>
      <c r="VGY43" s="19"/>
      <c r="VGZ43" s="19"/>
      <c r="VHA43" s="19"/>
      <c r="VHB43" s="19"/>
      <c r="VHC43" s="19"/>
      <c r="VHD43" s="19"/>
      <c r="VHE43" s="19"/>
      <c r="VHF43" s="19"/>
      <c r="VHG43" s="19"/>
      <c r="VHH43" s="19"/>
      <c r="VHI43" s="19"/>
      <c r="VHJ43" s="19"/>
      <c r="VHK43" s="19"/>
      <c r="VHL43" s="19"/>
      <c r="VHM43" s="19"/>
      <c r="VHN43" s="19"/>
      <c r="VHO43" s="19"/>
      <c r="VHP43" s="19"/>
      <c r="VHQ43" s="19"/>
      <c r="VHR43" s="19"/>
      <c r="VHS43" s="19"/>
      <c r="VHT43" s="19"/>
      <c r="VHU43" s="19"/>
      <c r="VHV43" s="19"/>
      <c r="VHW43" s="19"/>
      <c r="VHX43" s="19"/>
      <c r="VHY43" s="19"/>
      <c r="VHZ43" s="19"/>
      <c r="VIA43" s="19"/>
      <c r="VIB43" s="19"/>
      <c r="VIC43" s="19"/>
      <c r="VID43" s="19"/>
      <c r="VIE43" s="19"/>
      <c r="VIF43" s="19"/>
      <c r="VIG43" s="19"/>
      <c r="VIH43" s="19"/>
      <c r="VII43" s="19"/>
      <c r="VIJ43" s="19"/>
      <c r="VIK43" s="19"/>
      <c r="VIL43" s="19"/>
      <c r="VIM43" s="19"/>
      <c r="VIN43" s="19"/>
      <c r="VIO43" s="19"/>
      <c r="VIP43" s="19"/>
      <c r="VIQ43" s="19"/>
      <c r="VIR43" s="19"/>
      <c r="VIS43" s="19"/>
      <c r="VIT43" s="19"/>
      <c r="VIU43" s="19"/>
      <c r="VIV43" s="19"/>
      <c r="VIW43" s="19"/>
      <c r="VIX43" s="19"/>
      <c r="VIY43" s="19"/>
      <c r="VIZ43" s="19"/>
      <c r="VJA43" s="19"/>
      <c r="VJB43" s="19"/>
      <c r="VJC43" s="19"/>
      <c r="VJD43" s="19"/>
      <c r="VJE43" s="19"/>
      <c r="VJF43" s="19"/>
      <c r="VJG43" s="19"/>
      <c r="VJH43" s="19"/>
      <c r="VJI43" s="19"/>
      <c r="VJJ43" s="19"/>
      <c r="VJK43" s="19"/>
      <c r="VJL43" s="19"/>
      <c r="VJM43" s="19"/>
      <c r="VJN43" s="19"/>
      <c r="VJO43" s="19"/>
      <c r="VJP43" s="19"/>
      <c r="VJQ43" s="19"/>
      <c r="VJR43" s="19"/>
      <c r="VJS43" s="19"/>
      <c r="VJT43" s="19"/>
      <c r="VJU43" s="19"/>
      <c r="VJV43" s="19"/>
      <c r="VJW43" s="19"/>
      <c r="VJX43" s="19"/>
      <c r="VJY43" s="19"/>
      <c r="VJZ43" s="19"/>
      <c r="VKA43" s="19"/>
      <c r="VKB43" s="19"/>
      <c r="VKC43" s="19"/>
      <c r="VKD43" s="19"/>
      <c r="VKE43" s="19"/>
      <c r="VKF43" s="19"/>
      <c r="VKG43" s="19"/>
      <c r="VKH43" s="19"/>
      <c r="VKI43" s="19"/>
      <c r="VKJ43" s="19"/>
      <c r="VKK43" s="19"/>
      <c r="VKL43" s="19"/>
      <c r="VKM43" s="19"/>
      <c r="VKN43" s="19"/>
      <c r="VKO43" s="19"/>
      <c r="VKP43" s="19"/>
      <c r="VKQ43" s="19"/>
      <c r="VKR43" s="19"/>
      <c r="VKS43" s="19"/>
      <c r="VKT43" s="19"/>
      <c r="VKU43" s="19"/>
      <c r="VKV43" s="19"/>
      <c r="VKW43" s="19"/>
      <c r="VKX43" s="19"/>
      <c r="VKY43" s="19"/>
      <c r="VKZ43" s="19"/>
      <c r="VLA43" s="19"/>
      <c r="VLB43" s="19"/>
      <c r="VLC43" s="19"/>
      <c r="VLD43" s="19"/>
      <c r="VLE43" s="19"/>
      <c r="VLF43" s="19"/>
      <c r="VLG43" s="19"/>
      <c r="VLH43" s="19"/>
      <c r="VLI43" s="19"/>
      <c r="VLJ43" s="19"/>
      <c r="VLK43" s="19"/>
      <c r="VLL43" s="19"/>
      <c r="VLM43" s="19"/>
      <c r="VLN43" s="19"/>
      <c r="VLO43" s="19"/>
      <c r="VLP43" s="19"/>
      <c r="VLQ43" s="19"/>
      <c r="VLR43" s="19"/>
      <c r="VLS43" s="19"/>
      <c r="VLT43" s="19"/>
      <c r="VLU43" s="19"/>
      <c r="VLV43" s="19"/>
      <c r="VLW43" s="19"/>
      <c r="VLX43" s="19"/>
      <c r="VLY43" s="19"/>
      <c r="VLZ43" s="19"/>
      <c r="VMA43" s="19"/>
      <c r="VMB43" s="19"/>
      <c r="VMC43" s="19"/>
      <c r="VMD43" s="19"/>
      <c r="VME43" s="19"/>
      <c r="VMF43" s="19"/>
      <c r="VMG43" s="19"/>
      <c r="VMH43" s="19"/>
      <c r="VMI43" s="19"/>
      <c r="VMJ43" s="19"/>
      <c r="VMK43" s="19"/>
      <c r="VML43" s="19"/>
      <c r="VMM43" s="19"/>
      <c r="VMN43" s="19"/>
      <c r="VMO43" s="19"/>
      <c r="VMP43" s="19"/>
      <c r="VMQ43" s="19"/>
      <c r="VMR43" s="19"/>
      <c r="VMS43" s="19"/>
      <c r="VMT43" s="19"/>
      <c r="VMU43" s="19"/>
      <c r="VMV43" s="19"/>
      <c r="VMW43" s="19"/>
      <c r="VMX43" s="19"/>
      <c r="VMY43" s="19"/>
      <c r="VMZ43" s="19"/>
      <c r="VNA43" s="19"/>
      <c r="VNB43" s="19"/>
      <c r="VNC43" s="19"/>
      <c r="VND43" s="19"/>
      <c r="VNE43" s="19"/>
      <c r="VNF43" s="19"/>
      <c r="VNG43" s="19"/>
      <c r="VNH43" s="19"/>
      <c r="VNI43" s="19"/>
      <c r="VNJ43" s="19"/>
      <c r="VNK43" s="19"/>
      <c r="VNL43" s="19"/>
      <c r="VNM43" s="19"/>
      <c r="VNN43" s="19"/>
      <c r="VNO43" s="19"/>
      <c r="VNP43" s="19"/>
      <c r="VNQ43" s="19"/>
      <c r="VNR43" s="19"/>
      <c r="VNS43" s="19"/>
      <c r="VNT43" s="19"/>
      <c r="VNU43" s="19"/>
      <c r="VNV43" s="19"/>
      <c r="VNW43" s="19"/>
      <c r="VNX43" s="19"/>
      <c r="VNY43" s="19"/>
      <c r="VNZ43" s="19"/>
      <c r="VOA43" s="19"/>
      <c r="VOB43" s="19"/>
      <c r="VOC43" s="19"/>
      <c r="VOD43" s="19"/>
      <c r="VOE43" s="19"/>
      <c r="VOF43" s="19"/>
      <c r="VOG43" s="19"/>
      <c r="VOH43" s="19"/>
      <c r="VOI43" s="19"/>
      <c r="VOJ43" s="19"/>
      <c r="VOK43" s="19"/>
      <c r="VOL43" s="19"/>
      <c r="VOM43" s="19"/>
      <c r="VON43" s="19"/>
      <c r="VOO43" s="19"/>
      <c r="VOP43" s="19"/>
      <c r="VOQ43" s="19"/>
      <c r="VOR43" s="19"/>
      <c r="VOS43" s="19"/>
      <c r="VOT43" s="19"/>
      <c r="VOU43" s="19"/>
      <c r="VOV43" s="19"/>
      <c r="VOW43" s="19"/>
      <c r="VOX43" s="19"/>
      <c r="VOY43" s="19"/>
      <c r="VOZ43" s="19"/>
      <c r="VPA43" s="19"/>
      <c r="VPB43" s="19"/>
      <c r="VPC43" s="19"/>
      <c r="VPD43" s="19"/>
      <c r="VPE43" s="19"/>
      <c r="VPF43" s="19"/>
      <c r="VPG43" s="19"/>
      <c r="VPH43" s="19"/>
      <c r="VPI43" s="19"/>
      <c r="VPJ43" s="19"/>
      <c r="VPK43" s="19"/>
      <c r="VPL43" s="19"/>
      <c r="VPM43" s="19"/>
      <c r="VPN43" s="19"/>
      <c r="VPO43" s="19"/>
      <c r="VPP43" s="19"/>
      <c r="VPQ43" s="19"/>
      <c r="VPR43" s="19"/>
      <c r="VPS43" s="19"/>
      <c r="VPT43" s="19"/>
      <c r="VPU43" s="19"/>
      <c r="VPV43" s="19"/>
      <c r="VPW43" s="19"/>
      <c r="VPX43" s="19"/>
      <c r="VPY43" s="19"/>
      <c r="VPZ43" s="19"/>
      <c r="VQA43" s="19"/>
      <c r="VQB43" s="19"/>
      <c r="VQC43" s="19"/>
      <c r="VQD43" s="19"/>
      <c r="VQE43" s="19"/>
      <c r="VQF43" s="19"/>
      <c r="VQG43" s="19"/>
      <c r="VQH43" s="19"/>
      <c r="VQI43" s="19"/>
      <c r="VQJ43" s="19"/>
      <c r="VQK43" s="19"/>
      <c r="VQL43" s="19"/>
      <c r="VQM43" s="19"/>
      <c r="VQN43" s="19"/>
      <c r="VQO43" s="19"/>
      <c r="VQP43" s="19"/>
      <c r="VQQ43" s="19"/>
      <c r="VQR43" s="19"/>
      <c r="VQS43" s="19"/>
      <c r="VQT43" s="19"/>
      <c r="VQU43" s="19"/>
      <c r="VQV43" s="19"/>
      <c r="VQW43" s="19"/>
      <c r="VQX43" s="19"/>
      <c r="VQY43" s="19"/>
      <c r="VQZ43" s="19"/>
      <c r="VRA43" s="19"/>
      <c r="VRB43" s="19"/>
      <c r="VRC43" s="19"/>
      <c r="VRD43" s="19"/>
      <c r="VRE43" s="19"/>
      <c r="VRF43" s="19"/>
      <c r="VRG43" s="19"/>
      <c r="VRH43" s="19"/>
      <c r="VRI43" s="19"/>
      <c r="VRJ43" s="19"/>
      <c r="VRK43" s="19"/>
      <c r="VRL43" s="19"/>
      <c r="VRM43" s="19"/>
      <c r="VRN43" s="19"/>
      <c r="VRO43" s="19"/>
      <c r="VRP43" s="19"/>
      <c r="VRQ43" s="19"/>
      <c r="VRR43" s="19"/>
      <c r="VRS43" s="19"/>
      <c r="VRT43" s="19"/>
      <c r="VRU43" s="19"/>
      <c r="VRV43" s="19"/>
      <c r="VRW43" s="19"/>
      <c r="VRX43" s="19"/>
      <c r="VRY43" s="19"/>
      <c r="VRZ43" s="19"/>
      <c r="VSA43" s="19"/>
      <c r="VSB43" s="19"/>
      <c r="VSC43" s="19"/>
      <c r="VSD43" s="19"/>
      <c r="VSE43" s="19"/>
      <c r="VSF43" s="19"/>
      <c r="VSG43" s="19"/>
      <c r="VSH43" s="19"/>
      <c r="VSI43" s="19"/>
      <c r="VSJ43" s="19"/>
      <c r="VSK43" s="19"/>
      <c r="VSL43" s="19"/>
      <c r="VSM43" s="19"/>
      <c r="VSN43" s="19"/>
      <c r="VSO43" s="19"/>
      <c r="VSP43" s="19"/>
      <c r="VSQ43" s="19"/>
      <c r="VSR43" s="19"/>
      <c r="VSS43" s="19"/>
      <c r="VST43" s="19"/>
      <c r="VSU43" s="19"/>
      <c r="VSV43" s="19"/>
      <c r="VSW43" s="19"/>
      <c r="VSX43" s="19"/>
      <c r="VSY43" s="19"/>
      <c r="VSZ43" s="19"/>
      <c r="VTA43" s="19"/>
      <c r="VTB43" s="19"/>
      <c r="VTC43" s="19"/>
      <c r="VTD43" s="19"/>
      <c r="VTE43" s="19"/>
      <c r="VTF43" s="19"/>
      <c r="VTG43" s="19"/>
      <c r="VTH43" s="19"/>
      <c r="VTI43" s="19"/>
      <c r="VTJ43" s="19"/>
      <c r="VTK43" s="19"/>
      <c r="VTL43" s="19"/>
      <c r="VTM43" s="19"/>
      <c r="VTN43" s="19"/>
      <c r="VTO43" s="19"/>
      <c r="VTP43" s="19"/>
      <c r="VTQ43" s="19"/>
      <c r="VTR43" s="19"/>
      <c r="VTS43" s="19"/>
      <c r="VTT43" s="19"/>
      <c r="VTU43" s="19"/>
      <c r="VTV43" s="19"/>
      <c r="VTW43" s="19"/>
      <c r="VTX43" s="19"/>
      <c r="VTY43" s="19"/>
      <c r="VTZ43" s="19"/>
      <c r="VUA43" s="19"/>
      <c r="VUB43" s="19"/>
      <c r="VUC43" s="19"/>
      <c r="VUD43" s="19"/>
      <c r="VUE43" s="19"/>
      <c r="VUF43" s="19"/>
      <c r="VUG43" s="19"/>
      <c r="VUH43" s="19"/>
      <c r="VUI43" s="19"/>
      <c r="VUJ43" s="19"/>
      <c r="VUK43" s="19"/>
      <c r="VUL43" s="19"/>
      <c r="VUM43" s="19"/>
      <c r="VUN43" s="19"/>
      <c r="VUO43" s="19"/>
      <c r="VUP43" s="19"/>
      <c r="VUQ43" s="19"/>
      <c r="VUR43" s="19"/>
      <c r="VUS43" s="19"/>
      <c r="VUT43" s="19"/>
      <c r="VUU43" s="19"/>
      <c r="VUV43" s="19"/>
      <c r="VUW43" s="19"/>
      <c r="VUX43" s="19"/>
      <c r="VUY43" s="19"/>
      <c r="VUZ43" s="19"/>
      <c r="VVA43" s="19"/>
      <c r="VVB43" s="19"/>
      <c r="VVC43" s="19"/>
      <c r="VVD43" s="19"/>
      <c r="VVE43" s="19"/>
      <c r="VVF43" s="19"/>
      <c r="VVG43" s="19"/>
      <c r="VVH43" s="19"/>
      <c r="VVI43" s="19"/>
      <c r="VVJ43" s="19"/>
      <c r="VVK43" s="19"/>
      <c r="VVL43" s="19"/>
      <c r="VVM43" s="19"/>
      <c r="VVN43" s="19"/>
      <c r="VVO43" s="19"/>
      <c r="VVP43" s="19"/>
      <c r="VVQ43" s="19"/>
      <c r="VVR43" s="19"/>
      <c r="VVS43" s="19"/>
      <c r="VVT43" s="19"/>
      <c r="VVU43" s="19"/>
      <c r="VVV43" s="19"/>
      <c r="VVW43" s="19"/>
      <c r="VVX43" s="19"/>
      <c r="VVY43" s="19"/>
      <c r="VVZ43" s="19"/>
      <c r="VWA43" s="19"/>
      <c r="VWB43" s="19"/>
      <c r="VWC43" s="19"/>
      <c r="VWD43" s="19"/>
      <c r="VWE43" s="19"/>
      <c r="VWF43" s="19"/>
      <c r="VWG43" s="19"/>
      <c r="VWH43" s="19"/>
      <c r="VWI43" s="19"/>
      <c r="VWJ43" s="19"/>
      <c r="VWK43" s="19"/>
      <c r="VWL43" s="19"/>
      <c r="VWM43" s="19"/>
      <c r="VWN43" s="19"/>
      <c r="VWO43" s="19"/>
      <c r="VWP43" s="19"/>
      <c r="VWQ43" s="19"/>
      <c r="VWR43" s="19"/>
      <c r="VWS43" s="19"/>
      <c r="VWT43" s="19"/>
      <c r="VWU43" s="19"/>
      <c r="VWV43" s="19"/>
      <c r="VWW43" s="19"/>
      <c r="VWX43" s="19"/>
      <c r="VWY43" s="19"/>
      <c r="VWZ43" s="19"/>
      <c r="VXA43" s="19"/>
      <c r="VXB43" s="19"/>
      <c r="VXC43" s="19"/>
      <c r="VXD43" s="19"/>
      <c r="VXE43" s="19"/>
      <c r="VXF43" s="19"/>
      <c r="VXG43" s="19"/>
      <c r="VXH43" s="19"/>
      <c r="VXI43" s="19"/>
      <c r="VXJ43" s="19"/>
      <c r="VXK43" s="19"/>
      <c r="VXL43" s="19"/>
      <c r="VXM43" s="19"/>
      <c r="VXN43" s="19"/>
      <c r="VXO43" s="19"/>
      <c r="VXP43" s="19"/>
      <c r="VXQ43" s="19"/>
      <c r="VXR43" s="19"/>
      <c r="VXS43" s="19"/>
      <c r="VXT43" s="19"/>
      <c r="VXU43" s="19"/>
      <c r="VXV43" s="19"/>
      <c r="VXW43" s="19"/>
      <c r="VXX43" s="19"/>
      <c r="VXY43" s="19"/>
      <c r="VXZ43" s="19"/>
      <c r="VYA43" s="19"/>
      <c r="VYB43" s="19"/>
      <c r="VYC43" s="19"/>
      <c r="VYD43" s="19"/>
      <c r="VYE43" s="19"/>
      <c r="VYF43" s="19"/>
      <c r="VYG43" s="19"/>
      <c r="VYH43" s="19"/>
      <c r="VYI43" s="19"/>
      <c r="VYJ43" s="19"/>
      <c r="VYK43" s="19"/>
      <c r="VYL43" s="19"/>
      <c r="VYM43" s="19"/>
      <c r="VYN43" s="19"/>
      <c r="VYO43" s="19"/>
      <c r="VYP43" s="19"/>
      <c r="VYQ43" s="19"/>
      <c r="VYR43" s="19"/>
      <c r="VYS43" s="19"/>
      <c r="VYT43" s="19"/>
      <c r="VYU43" s="19"/>
      <c r="VYV43" s="19"/>
      <c r="VYW43" s="19"/>
      <c r="VYX43" s="19"/>
      <c r="VYY43" s="19"/>
      <c r="VYZ43" s="19"/>
      <c r="VZA43" s="19"/>
      <c r="VZB43" s="19"/>
      <c r="VZC43" s="19"/>
      <c r="VZD43" s="19"/>
      <c r="VZE43" s="19"/>
      <c r="VZF43" s="19"/>
      <c r="VZG43" s="19"/>
      <c r="VZH43" s="19"/>
      <c r="VZI43" s="19"/>
      <c r="VZJ43" s="19"/>
      <c r="VZK43" s="19"/>
      <c r="VZL43" s="19"/>
      <c r="VZM43" s="19"/>
      <c r="VZN43" s="19"/>
      <c r="VZO43" s="19"/>
      <c r="VZP43" s="19"/>
      <c r="VZQ43" s="19"/>
      <c r="VZR43" s="19"/>
      <c r="VZS43" s="19"/>
      <c r="VZT43" s="19"/>
      <c r="VZU43" s="19"/>
      <c r="VZV43" s="19"/>
      <c r="VZW43" s="19"/>
      <c r="VZX43" s="19"/>
      <c r="VZY43" s="19"/>
      <c r="VZZ43" s="19"/>
      <c r="WAA43" s="19"/>
      <c r="WAB43" s="19"/>
      <c r="WAC43" s="19"/>
      <c r="WAD43" s="19"/>
      <c r="WAE43" s="19"/>
      <c r="WAF43" s="19"/>
      <c r="WAG43" s="19"/>
      <c r="WAH43" s="19"/>
      <c r="WAI43" s="19"/>
      <c r="WAJ43" s="19"/>
      <c r="WAK43" s="19"/>
      <c r="WAL43" s="19"/>
      <c r="WAM43" s="19"/>
      <c r="WAN43" s="19"/>
      <c r="WAO43" s="19"/>
      <c r="WAP43" s="19"/>
      <c r="WAQ43" s="19"/>
      <c r="WAR43" s="19"/>
      <c r="WAS43" s="19"/>
      <c r="WAT43" s="19"/>
      <c r="WAU43" s="19"/>
      <c r="WAV43" s="19"/>
      <c r="WAW43" s="19"/>
      <c r="WAX43" s="19"/>
      <c r="WAY43" s="19"/>
      <c r="WAZ43" s="19"/>
      <c r="WBA43" s="19"/>
      <c r="WBB43" s="19"/>
      <c r="WBC43" s="19"/>
      <c r="WBD43" s="19"/>
      <c r="WBE43" s="19"/>
      <c r="WBF43" s="19"/>
      <c r="WBG43" s="19"/>
      <c r="WBH43" s="19"/>
      <c r="WBI43" s="19"/>
      <c r="WBJ43" s="19"/>
      <c r="WBK43" s="19"/>
      <c r="WBL43" s="19"/>
      <c r="WBM43" s="19"/>
      <c r="WBN43" s="19"/>
      <c r="WBO43" s="19"/>
      <c r="WBP43" s="19"/>
      <c r="WBQ43" s="19"/>
      <c r="WBR43" s="19"/>
      <c r="WBS43" s="19"/>
      <c r="WBT43" s="19"/>
      <c r="WBU43" s="19"/>
      <c r="WBV43" s="19"/>
      <c r="WBW43" s="19"/>
      <c r="WBX43" s="19"/>
      <c r="WBY43" s="19"/>
      <c r="WBZ43" s="19"/>
      <c r="WCA43" s="19"/>
      <c r="WCB43" s="19"/>
      <c r="WCC43" s="19"/>
      <c r="WCD43" s="19"/>
      <c r="WCE43" s="19"/>
      <c r="WCF43" s="19"/>
      <c r="WCG43" s="19"/>
      <c r="WCH43" s="19"/>
      <c r="WCI43" s="19"/>
      <c r="WCJ43" s="19"/>
      <c r="WCK43" s="19"/>
      <c r="WCL43" s="19"/>
      <c r="WCM43" s="19"/>
      <c r="WCN43" s="19"/>
      <c r="WCO43" s="19"/>
      <c r="WCP43" s="19"/>
      <c r="WCQ43" s="19"/>
      <c r="WCR43" s="19"/>
      <c r="WCS43" s="19"/>
      <c r="WCT43" s="19"/>
      <c r="WCU43" s="19"/>
      <c r="WCV43" s="19"/>
      <c r="WCW43" s="19"/>
      <c r="WCX43" s="19"/>
      <c r="WCY43" s="19"/>
      <c r="WCZ43" s="19"/>
      <c r="WDA43" s="19"/>
      <c r="WDB43" s="19"/>
      <c r="WDC43" s="19"/>
      <c r="WDD43" s="19"/>
      <c r="WDE43" s="19"/>
      <c r="WDF43" s="19"/>
      <c r="WDG43" s="19"/>
      <c r="WDH43" s="19"/>
      <c r="WDI43" s="19"/>
      <c r="WDJ43" s="19"/>
      <c r="WDK43" s="19"/>
      <c r="WDL43" s="19"/>
      <c r="WDM43" s="19"/>
      <c r="WDN43" s="19"/>
      <c r="WDO43" s="19"/>
      <c r="WDP43" s="19"/>
      <c r="WDQ43" s="19"/>
      <c r="WDR43" s="19"/>
      <c r="WDS43" s="19"/>
      <c r="WDT43" s="19"/>
      <c r="WDU43" s="19"/>
      <c r="WDV43" s="19"/>
      <c r="WDW43" s="19"/>
      <c r="WDX43" s="19"/>
      <c r="WDY43" s="19"/>
      <c r="WDZ43" s="19"/>
      <c r="WEA43" s="19"/>
      <c r="WEB43" s="19"/>
      <c r="WEC43" s="19"/>
      <c r="WED43" s="19"/>
      <c r="WEE43" s="19"/>
      <c r="WEF43" s="19"/>
      <c r="WEG43" s="19"/>
      <c r="WEH43" s="19"/>
      <c r="WEI43" s="19"/>
      <c r="WEJ43" s="19"/>
      <c r="WEK43" s="19"/>
      <c r="WEL43" s="19"/>
      <c r="WEM43" s="19"/>
      <c r="WEN43" s="19"/>
      <c r="WEO43" s="19"/>
      <c r="WEP43" s="19"/>
      <c r="WEQ43" s="19"/>
      <c r="WER43" s="19"/>
      <c r="WES43" s="19"/>
      <c r="WET43" s="19"/>
      <c r="WEU43" s="19"/>
      <c r="WEV43" s="19"/>
      <c r="WEW43" s="19"/>
      <c r="WEX43" s="19"/>
      <c r="WEY43" s="19"/>
      <c r="WEZ43" s="19"/>
      <c r="WFA43" s="19"/>
      <c r="WFB43" s="19"/>
      <c r="WFC43" s="19"/>
      <c r="WFD43" s="19"/>
      <c r="WFE43" s="19"/>
      <c r="WFF43" s="19"/>
      <c r="WFG43" s="19"/>
      <c r="WFH43" s="19"/>
      <c r="WFI43" s="19"/>
      <c r="WFJ43" s="19"/>
      <c r="WFK43" s="19"/>
      <c r="WFL43" s="19"/>
      <c r="WFM43" s="19"/>
      <c r="WFN43" s="19"/>
      <c r="WFO43" s="19"/>
      <c r="WFP43" s="19"/>
      <c r="WFQ43" s="19"/>
      <c r="WFR43" s="19"/>
      <c r="WFS43" s="19"/>
      <c r="WFT43" s="19"/>
      <c r="WFU43" s="19"/>
      <c r="WFV43" s="19"/>
      <c r="WFW43" s="19"/>
      <c r="WFX43" s="19"/>
      <c r="WFY43" s="19"/>
      <c r="WFZ43" s="19"/>
      <c r="WGA43" s="19"/>
      <c r="WGB43" s="19"/>
      <c r="WGC43" s="19"/>
      <c r="WGD43" s="19"/>
      <c r="WGE43" s="19"/>
      <c r="WGF43" s="19"/>
      <c r="WGG43" s="19"/>
      <c r="WGH43" s="19"/>
      <c r="WGI43" s="19"/>
      <c r="WGJ43" s="19"/>
      <c r="WGK43" s="19"/>
      <c r="WGL43" s="19"/>
      <c r="WGM43" s="19"/>
      <c r="WGN43" s="19"/>
      <c r="WGO43" s="19"/>
      <c r="WGP43" s="19"/>
      <c r="WGQ43" s="19"/>
      <c r="WGR43" s="19"/>
      <c r="WGS43" s="19"/>
      <c r="WGT43" s="19"/>
      <c r="WGU43" s="19"/>
      <c r="WGV43" s="19"/>
      <c r="WGW43" s="19"/>
      <c r="WGX43" s="19"/>
      <c r="WGY43" s="19"/>
      <c r="WGZ43" s="19"/>
      <c r="WHA43" s="19"/>
      <c r="WHB43" s="19"/>
      <c r="WHC43" s="19"/>
      <c r="WHD43" s="19"/>
      <c r="WHE43" s="19"/>
      <c r="WHF43" s="19"/>
      <c r="WHG43" s="19"/>
      <c r="WHH43" s="19"/>
      <c r="WHI43" s="19"/>
      <c r="WHJ43" s="19"/>
      <c r="WHK43" s="19"/>
      <c r="WHL43" s="19"/>
      <c r="WHM43" s="19"/>
      <c r="WHN43" s="19"/>
      <c r="WHO43" s="19"/>
      <c r="WHP43" s="19"/>
      <c r="WHQ43" s="19"/>
      <c r="WHR43" s="19"/>
      <c r="WHS43" s="19"/>
      <c r="WHT43" s="19"/>
      <c r="WHU43" s="19"/>
      <c r="WHV43" s="19"/>
      <c r="WHW43" s="19"/>
      <c r="WHX43" s="19"/>
      <c r="WHY43" s="19"/>
      <c r="WHZ43" s="19"/>
      <c r="WIA43" s="19"/>
      <c r="WIB43" s="19"/>
      <c r="WIC43" s="19"/>
      <c r="WID43" s="19"/>
      <c r="WIE43" s="19"/>
      <c r="WIF43" s="19"/>
      <c r="WIG43" s="19"/>
      <c r="WIH43" s="19"/>
      <c r="WII43" s="19"/>
      <c r="WIJ43" s="19"/>
      <c r="WIK43" s="19"/>
      <c r="WIL43" s="19"/>
      <c r="WIM43" s="19"/>
      <c r="WIN43" s="19"/>
      <c r="WIO43" s="19"/>
      <c r="WIP43" s="19"/>
      <c r="WIQ43" s="19"/>
      <c r="WIR43" s="19"/>
      <c r="WIS43" s="19"/>
      <c r="WIT43" s="19"/>
      <c r="WIU43" s="19"/>
      <c r="WIV43" s="19"/>
      <c r="WIW43" s="19"/>
      <c r="WIX43" s="19"/>
      <c r="WIY43" s="19"/>
      <c r="WIZ43" s="19"/>
      <c r="WJA43" s="19"/>
      <c r="WJB43" s="19"/>
      <c r="WJC43" s="19"/>
      <c r="WJD43" s="19"/>
      <c r="WJE43" s="19"/>
      <c r="WJF43" s="19"/>
      <c r="WJG43" s="19"/>
      <c r="WJH43" s="19"/>
      <c r="WJI43" s="19"/>
      <c r="WJJ43" s="19"/>
      <c r="WJK43" s="19"/>
      <c r="WJL43" s="19"/>
      <c r="WJM43" s="19"/>
      <c r="WJN43" s="19"/>
      <c r="WJO43" s="19"/>
      <c r="WJP43" s="19"/>
      <c r="WJQ43" s="19"/>
      <c r="WJR43" s="19"/>
      <c r="WJS43" s="19"/>
      <c r="WJT43" s="19"/>
      <c r="WJU43" s="19"/>
      <c r="WJV43" s="19"/>
      <c r="WJW43" s="19"/>
      <c r="WJX43" s="19"/>
      <c r="WJY43" s="19"/>
      <c r="WJZ43" s="19"/>
      <c r="WKA43" s="19"/>
      <c r="WKB43" s="19"/>
      <c r="WKC43" s="19"/>
      <c r="WKD43" s="19"/>
      <c r="WKE43" s="19"/>
      <c r="WKF43" s="19"/>
      <c r="WKG43" s="19"/>
      <c r="WKH43" s="19"/>
      <c r="WKI43" s="19"/>
      <c r="WKJ43" s="19"/>
      <c r="WKK43" s="19"/>
      <c r="WKL43" s="19"/>
      <c r="WKM43" s="19"/>
      <c r="WKN43" s="19"/>
      <c r="WKO43" s="19"/>
      <c r="WKP43" s="19"/>
      <c r="WKQ43" s="19"/>
      <c r="WKR43" s="19"/>
      <c r="WKS43" s="19"/>
      <c r="WKT43" s="19"/>
      <c r="WKU43" s="19"/>
      <c r="WKV43" s="19"/>
      <c r="WKW43" s="19"/>
      <c r="WKX43" s="19"/>
      <c r="WKY43" s="19"/>
      <c r="WKZ43" s="19"/>
      <c r="WLA43" s="19"/>
      <c r="WLB43" s="19"/>
      <c r="WLC43" s="19"/>
      <c r="WLD43" s="19"/>
      <c r="WLE43" s="19"/>
      <c r="WLF43" s="19"/>
      <c r="WLG43" s="19"/>
      <c r="WLH43" s="19"/>
      <c r="WLI43" s="19"/>
      <c r="WLJ43" s="19"/>
      <c r="WLK43" s="19"/>
      <c r="WLL43" s="19"/>
      <c r="WLM43" s="19"/>
      <c r="WLN43" s="19"/>
      <c r="WLO43" s="19"/>
      <c r="WLP43" s="19"/>
      <c r="WLQ43" s="19"/>
      <c r="WLR43" s="19"/>
      <c r="WLS43" s="19"/>
      <c r="WLT43" s="19"/>
      <c r="WLU43" s="19"/>
      <c r="WLV43" s="19"/>
      <c r="WLW43" s="19"/>
      <c r="WLX43" s="19"/>
      <c r="WLY43" s="19"/>
      <c r="WLZ43" s="19"/>
      <c r="WMA43" s="19"/>
      <c r="WMB43" s="19"/>
      <c r="WMC43" s="19"/>
      <c r="WMD43" s="19"/>
      <c r="WME43" s="19"/>
      <c r="WMF43" s="19"/>
      <c r="WMG43" s="19"/>
      <c r="WMH43" s="19"/>
      <c r="WMI43" s="19"/>
      <c r="WMJ43" s="19"/>
      <c r="WMK43" s="19"/>
      <c r="WML43" s="19"/>
      <c r="WMM43" s="19"/>
      <c r="WMN43" s="19"/>
      <c r="WMO43" s="19"/>
      <c r="WMP43" s="19"/>
      <c r="WMQ43" s="19"/>
      <c r="WMR43" s="19"/>
      <c r="WMS43" s="19"/>
      <c r="WMT43" s="19"/>
      <c r="WMU43" s="19"/>
      <c r="WMV43" s="19"/>
      <c r="WMW43" s="19"/>
      <c r="WMX43" s="19"/>
      <c r="WMY43" s="19"/>
      <c r="WMZ43" s="19"/>
      <c r="WNA43" s="19"/>
      <c r="WNB43" s="19"/>
      <c r="WNC43" s="19"/>
      <c r="WND43" s="19"/>
      <c r="WNE43" s="19"/>
      <c r="WNF43" s="19"/>
      <c r="WNG43" s="19"/>
      <c r="WNH43" s="19"/>
      <c r="WNI43" s="19"/>
      <c r="WNJ43" s="19"/>
      <c r="WNK43" s="19"/>
      <c r="WNL43" s="19"/>
      <c r="WNM43" s="19"/>
      <c r="WNN43" s="19"/>
      <c r="WNO43" s="19"/>
      <c r="WNP43" s="19"/>
      <c r="WNQ43" s="19"/>
      <c r="WNR43" s="19"/>
      <c r="WNS43" s="19"/>
      <c r="WNT43" s="19"/>
      <c r="WNU43" s="19"/>
      <c r="WNV43" s="19"/>
      <c r="WNW43" s="19"/>
      <c r="WNX43" s="19"/>
      <c r="WNY43" s="19"/>
      <c r="WNZ43" s="19"/>
      <c r="WOA43" s="19"/>
      <c r="WOB43" s="19"/>
      <c r="WOC43" s="19"/>
      <c r="WOD43" s="19"/>
      <c r="WOE43" s="19"/>
      <c r="WOF43" s="19"/>
      <c r="WOG43" s="19"/>
      <c r="WOH43" s="19"/>
      <c r="WOI43" s="19"/>
      <c r="WOJ43" s="19"/>
      <c r="WOK43" s="19"/>
      <c r="WOL43" s="19"/>
      <c r="WOM43" s="19"/>
      <c r="WON43" s="19"/>
      <c r="WOO43" s="19"/>
      <c r="WOP43" s="19"/>
      <c r="WOQ43" s="19"/>
      <c r="WOR43" s="19"/>
      <c r="WOS43" s="19"/>
      <c r="WOT43" s="19"/>
      <c r="WOU43" s="19"/>
      <c r="WOV43" s="19"/>
      <c r="WOW43" s="19"/>
      <c r="WOX43" s="19"/>
      <c r="WOY43" s="19"/>
      <c r="WOZ43" s="19"/>
      <c r="WPA43" s="19"/>
      <c r="WPB43" s="19"/>
      <c r="WPC43" s="19"/>
      <c r="WPD43" s="19"/>
      <c r="WPE43" s="19"/>
      <c r="WPF43" s="19"/>
      <c r="WPG43" s="19"/>
      <c r="WPH43" s="19"/>
      <c r="WPI43" s="19"/>
      <c r="WPJ43" s="19"/>
      <c r="WPK43" s="19"/>
      <c r="WPL43" s="19"/>
      <c r="WPM43" s="19"/>
      <c r="WPN43" s="19"/>
      <c r="WPO43" s="19"/>
      <c r="WPP43" s="19"/>
      <c r="WPQ43" s="19"/>
      <c r="WPR43" s="19"/>
      <c r="WPS43" s="19"/>
      <c r="WPT43" s="19"/>
      <c r="WPU43" s="19"/>
      <c r="WPV43" s="19"/>
      <c r="WPW43" s="19"/>
      <c r="WPX43" s="19"/>
      <c r="WPY43" s="19"/>
      <c r="WPZ43" s="19"/>
      <c r="WQA43" s="19"/>
      <c r="WQB43" s="19"/>
      <c r="WQC43" s="19"/>
      <c r="WQD43" s="19"/>
      <c r="WQE43" s="19"/>
      <c r="WQF43" s="19"/>
      <c r="WQG43" s="19"/>
      <c r="WQH43" s="19"/>
      <c r="WQI43" s="19"/>
      <c r="WQJ43" s="19"/>
      <c r="WQK43" s="19"/>
      <c r="WQL43" s="19"/>
      <c r="WQM43" s="19"/>
      <c r="WQN43" s="19"/>
      <c r="WQO43" s="19"/>
      <c r="WQP43" s="19"/>
      <c r="WQQ43" s="19"/>
      <c r="WQR43" s="19"/>
      <c r="WQS43" s="19"/>
      <c r="WQT43" s="19"/>
      <c r="WQU43" s="19"/>
      <c r="WQV43" s="19"/>
      <c r="WQW43" s="19"/>
      <c r="WQX43" s="19"/>
      <c r="WQY43" s="19"/>
      <c r="WQZ43" s="19"/>
      <c r="WRA43" s="19"/>
      <c r="WRB43" s="19"/>
      <c r="WRC43" s="19"/>
      <c r="WRD43" s="19"/>
      <c r="WRE43" s="19"/>
      <c r="WRF43" s="19"/>
      <c r="WRG43" s="19"/>
      <c r="WRH43" s="19"/>
      <c r="WRI43" s="19"/>
      <c r="WRJ43" s="19"/>
      <c r="WRK43" s="19"/>
      <c r="WRL43" s="19"/>
      <c r="WRM43" s="19"/>
      <c r="WRN43" s="19"/>
      <c r="WRO43" s="19"/>
      <c r="WRP43" s="19"/>
      <c r="WRQ43" s="19"/>
      <c r="WRR43" s="19"/>
      <c r="WRS43" s="19"/>
      <c r="WRT43" s="19"/>
      <c r="WRU43" s="19"/>
      <c r="WRV43" s="19"/>
      <c r="WRW43" s="19"/>
      <c r="WRX43" s="19"/>
      <c r="WRY43" s="19"/>
      <c r="WRZ43" s="19"/>
      <c r="WSA43" s="19"/>
      <c r="WSB43" s="19"/>
      <c r="WSC43" s="19"/>
      <c r="WSD43" s="19"/>
      <c r="WSE43" s="19"/>
      <c r="WSF43" s="19"/>
      <c r="WSG43" s="19"/>
      <c r="WSH43" s="19"/>
      <c r="WSI43" s="19"/>
      <c r="WSJ43" s="19"/>
      <c r="WSK43" s="19"/>
      <c r="WSL43" s="19"/>
      <c r="WSM43" s="19"/>
      <c r="WSN43" s="19"/>
      <c r="WSO43" s="19"/>
      <c r="WSP43" s="19"/>
      <c r="WSQ43" s="19"/>
      <c r="WSR43" s="19"/>
      <c r="WSS43" s="19"/>
      <c r="WST43" s="19"/>
      <c r="WSU43" s="19"/>
      <c r="WSV43" s="19"/>
      <c r="WSW43" s="19"/>
      <c r="WSX43" s="19"/>
      <c r="WSY43" s="19"/>
      <c r="WSZ43" s="19"/>
      <c r="WTA43" s="19"/>
      <c r="WTB43" s="19"/>
      <c r="WTC43" s="19"/>
      <c r="WTD43" s="19"/>
      <c r="WTE43" s="19"/>
      <c r="WTF43" s="19"/>
      <c r="WTG43" s="19"/>
      <c r="WTH43" s="19"/>
      <c r="WTI43" s="19"/>
      <c r="WTJ43" s="19"/>
      <c r="WTK43" s="19"/>
      <c r="WTL43" s="19"/>
      <c r="WTM43" s="19"/>
      <c r="WTN43" s="19"/>
      <c r="WTO43" s="19"/>
      <c r="WTP43" s="19"/>
      <c r="WTQ43" s="19"/>
      <c r="WTR43" s="19"/>
      <c r="WTS43" s="19"/>
      <c r="WTT43" s="19"/>
      <c r="WTU43" s="19"/>
      <c r="WTV43" s="19"/>
      <c r="WTW43" s="19"/>
      <c r="WTX43" s="19"/>
      <c r="WTY43" s="19"/>
      <c r="WTZ43" s="19"/>
      <c r="WUA43" s="19"/>
      <c r="WUB43" s="19"/>
      <c r="WUC43" s="19"/>
      <c r="WUD43" s="19"/>
      <c r="WUE43" s="19"/>
      <c r="WUF43" s="19"/>
      <c r="WUG43" s="19"/>
      <c r="WUH43" s="19"/>
      <c r="WUI43" s="19"/>
      <c r="WUJ43" s="19"/>
      <c r="WUK43" s="19"/>
      <c r="WUL43" s="19"/>
      <c r="WUM43" s="19"/>
      <c r="WUN43" s="19"/>
      <c r="WUO43" s="19"/>
      <c r="WUP43" s="19"/>
      <c r="WUQ43" s="19"/>
      <c r="WUR43" s="19"/>
      <c r="WUS43" s="19"/>
      <c r="WUT43" s="19"/>
      <c r="WUU43" s="19"/>
      <c r="WUV43" s="19"/>
      <c r="WUW43" s="19"/>
      <c r="WUX43" s="19"/>
      <c r="WUY43" s="19"/>
      <c r="WUZ43" s="19"/>
      <c r="WVA43" s="19"/>
      <c r="WVB43" s="19"/>
      <c r="WVC43" s="19"/>
      <c r="WVD43" s="19"/>
      <c r="WVE43" s="19"/>
      <c r="WVF43" s="19"/>
      <c r="WVG43" s="19"/>
      <c r="WVH43" s="19"/>
      <c r="WVI43" s="19"/>
      <c r="WVJ43" s="19"/>
      <c r="WVK43" s="19"/>
      <c r="WVL43" s="19"/>
      <c r="WVM43" s="19"/>
      <c r="WVN43" s="19"/>
      <c r="WVO43" s="19"/>
      <c r="WVP43" s="19"/>
      <c r="WVQ43" s="19"/>
      <c r="WVR43" s="19"/>
      <c r="WVS43" s="19"/>
      <c r="WVT43" s="19"/>
      <c r="WVU43" s="19"/>
      <c r="WVV43" s="19"/>
      <c r="WVW43" s="19"/>
      <c r="WVX43" s="19"/>
      <c r="WVY43" s="19"/>
      <c r="WVZ43" s="19"/>
      <c r="WWA43" s="19"/>
      <c r="WWB43" s="19"/>
      <c r="WWC43" s="19"/>
      <c r="WWD43" s="19"/>
      <c r="WWE43" s="19"/>
      <c r="WWF43" s="19"/>
      <c r="WWG43" s="19"/>
      <c r="WWH43" s="19"/>
      <c r="WWI43" s="19"/>
      <c r="WWJ43" s="19"/>
      <c r="WWK43" s="19"/>
      <c r="WWL43" s="19"/>
      <c r="WWM43" s="19"/>
      <c r="WWN43" s="19"/>
      <c r="WWO43" s="19"/>
      <c r="WWP43" s="19"/>
      <c r="WWQ43" s="19"/>
      <c r="WWR43" s="19"/>
      <c r="WWS43" s="19"/>
      <c r="WWT43" s="19"/>
      <c r="WWU43" s="19"/>
      <c r="WWV43" s="19"/>
      <c r="WWW43" s="19"/>
      <c r="WWX43" s="19"/>
      <c r="WWY43" s="19"/>
      <c r="WWZ43" s="19"/>
      <c r="WXA43" s="19"/>
      <c r="WXB43" s="19"/>
      <c r="WXC43" s="19"/>
      <c r="WXD43" s="19"/>
      <c r="WXE43" s="19"/>
      <c r="WXF43" s="19"/>
      <c r="WXG43" s="19"/>
      <c r="WXH43" s="19"/>
      <c r="WXI43" s="19"/>
      <c r="WXJ43" s="19"/>
      <c r="WXK43" s="19"/>
      <c r="WXL43" s="19"/>
      <c r="WXM43" s="19"/>
      <c r="WXN43" s="19"/>
      <c r="WXO43" s="19"/>
      <c r="WXP43" s="19"/>
      <c r="WXQ43" s="19"/>
      <c r="WXR43" s="19"/>
      <c r="WXS43" s="19"/>
      <c r="WXT43" s="19"/>
      <c r="WXU43" s="19"/>
      <c r="WXV43" s="19"/>
      <c r="WXW43" s="19"/>
      <c r="WXX43" s="19"/>
      <c r="WXY43" s="19"/>
      <c r="WXZ43" s="19"/>
      <c r="WYA43" s="19"/>
      <c r="WYB43" s="19"/>
      <c r="WYC43" s="19"/>
      <c r="WYD43" s="19"/>
      <c r="WYE43" s="19"/>
      <c r="WYF43" s="19"/>
      <c r="WYG43" s="19"/>
      <c r="WYH43" s="19"/>
      <c r="WYI43" s="19"/>
      <c r="WYJ43" s="19"/>
      <c r="WYK43" s="19"/>
      <c r="WYL43" s="19"/>
      <c r="WYM43" s="19"/>
      <c r="WYN43" s="19"/>
      <c r="WYO43" s="19"/>
      <c r="WYP43" s="19"/>
      <c r="WYQ43" s="19"/>
      <c r="WYR43" s="19"/>
      <c r="WYS43" s="19"/>
      <c r="WYT43" s="19"/>
      <c r="WYU43" s="19"/>
      <c r="WYV43" s="19"/>
      <c r="WYW43" s="19"/>
      <c r="WYX43" s="19"/>
      <c r="WYY43" s="19"/>
      <c r="WYZ43" s="19"/>
      <c r="WZA43" s="19"/>
      <c r="WZB43" s="19"/>
      <c r="WZC43" s="19"/>
      <c r="WZD43" s="19"/>
      <c r="WZE43" s="19"/>
      <c r="WZF43" s="19"/>
      <c r="WZG43" s="19"/>
      <c r="WZH43" s="19"/>
      <c r="WZI43" s="19"/>
      <c r="WZJ43" s="19"/>
      <c r="WZK43" s="19"/>
      <c r="WZL43" s="19"/>
      <c r="WZM43" s="19"/>
      <c r="WZN43" s="19"/>
      <c r="WZO43" s="19"/>
      <c r="WZP43" s="19"/>
      <c r="WZQ43" s="19"/>
      <c r="WZR43" s="19"/>
      <c r="WZS43" s="19"/>
      <c r="WZT43" s="19"/>
      <c r="WZU43" s="19"/>
      <c r="WZV43" s="19"/>
      <c r="WZW43" s="19"/>
      <c r="WZX43" s="19"/>
      <c r="WZY43" s="19"/>
      <c r="WZZ43" s="19"/>
      <c r="XAA43" s="19"/>
      <c r="XAB43" s="19"/>
      <c r="XAC43" s="19"/>
      <c r="XAD43" s="19"/>
      <c r="XAE43" s="19"/>
      <c r="XAF43" s="19"/>
      <c r="XAG43" s="19"/>
      <c r="XAH43" s="19"/>
      <c r="XAI43" s="19"/>
      <c r="XAJ43" s="19"/>
      <c r="XAK43" s="19"/>
      <c r="XAL43" s="19"/>
      <c r="XAM43" s="19"/>
      <c r="XAN43" s="19"/>
      <c r="XAO43" s="19"/>
      <c r="XAP43" s="19"/>
      <c r="XAQ43" s="19"/>
      <c r="XAR43" s="19"/>
      <c r="XAS43" s="19"/>
      <c r="XAT43" s="19"/>
      <c r="XAU43" s="19"/>
      <c r="XAV43" s="19"/>
      <c r="XAW43" s="19"/>
      <c r="XAX43" s="19"/>
      <c r="XAY43" s="19"/>
      <c r="XAZ43" s="19"/>
      <c r="XBA43" s="19"/>
      <c r="XBB43" s="19"/>
      <c r="XBC43" s="19"/>
      <c r="XBD43" s="19"/>
      <c r="XBE43" s="19"/>
      <c r="XBF43" s="19"/>
      <c r="XBG43" s="19"/>
      <c r="XBH43" s="19"/>
      <c r="XBI43" s="19"/>
      <c r="XBJ43" s="19"/>
      <c r="XBK43" s="19"/>
      <c r="XBL43" s="19"/>
      <c r="XBM43" s="19"/>
      <c r="XBN43" s="19"/>
      <c r="XBO43" s="19"/>
      <c r="XBP43" s="19"/>
      <c r="XBQ43" s="19"/>
      <c r="XBR43" s="19"/>
      <c r="XBS43" s="19"/>
      <c r="XBT43" s="19"/>
      <c r="XBU43" s="19"/>
      <c r="XBV43" s="19"/>
      <c r="XBW43" s="19"/>
      <c r="XBX43" s="19"/>
      <c r="XBY43" s="19"/>
      <c r="XBZ43" s="19"/>
      <c r="XCA43" s="19"/>
      <c r="XCB43" s="19"/>
      <c r="XCC43" s="19"/>
      <c r="XCD43" s="19"/>
      <c r="XCE43" s="19"/>
      <c r="XCF43" s="19"/>
      <c r="XCG43" s="19"/>
      <c r="XCH43" s="19"/>
      <c r="XCI43" s="19"/>
      <c r="XCJ43" s="19"/>
      <c r="XCK43" s="19"/>
      <c r="XCL43" s="19"/>
      <c r="XCM43" s="19"/>
      <c r="XCN43" s="19"/>
      <c r="XCO43" s="19"/>
      <c r="XCP43" s="19"/>
      <c r="XCQ43" s="19"/>
      <c r="XCR43" s="19"/>
      <c r="XCS43" s="19"/>
      <c r="XCT43" s="19"/>
      <c r="XCU43" s="19"/>
      <c r="XCV43" s="19"/>
      <c r="XCW43" s="19"/>
      <c r="XCX43" s="19"/>
      <c r="XCY43" s="19"/>
      <c r="XCZ43" s="19"/>
      <c r="XDA43" s="19"/>
      <c r="XDB43" s="19"/>
      <c r="XDC43" s="19"/>
      <c r="XDD43" s="19"/>
      <c r="XDE43" s="19"/>
      <c r="XDF43" s="19"/>
      <c r="XDG43" s="19"/>
      <c r="XDH43" s="19"/>
      <c r="XDI43" s="19"/>
      <c r="XDJ43" s="19"/>
      <c r="XDK43" s="19"/>
      <c r="XDL43" s="19"/>
      <c r="XDM43" s="19"/>
      <c r="XDN43" s="19"/>
      <c r="XDO43" s="19"/>
      <c r="XDP43" s="19"/>
      <c r="XDQ43" s="19"/>
      <c r="XDR43" s="19"/>
      <c r="XDS43" s="19"/>
      <c r="XDT43" s="19"/>
      <c r="XDU43" s="19"/>
      <c r="XDV43" s="19"/>
      <c r="XDW43" s="19"/>
      <c r="XDX43" s="19"/>
      <c r="XDY43" s="19"/>
      <c r="XDZ43" s="19"/>
      <c r="XEA43" s="19"/>
      <c r="XEB43" s="19"/>
      <c r="XEC43" s="19"/>
      <c r="XED43" s="19"/>
      <c r="XEE43" s="19"/>
      <c r="XEF43" s="19"/>
      <c r="XEG43" s="19"/>
      <c r="XEH43" s="19"/>
      <c r="XEI43" s="19"/>
      <c r="XEJ43" s="19"/>
      <c r="XEK43" s="19"/>
      <c r="XEL43" s="19"/>
      <c r="XEM43" s="19"/>
      <c r="XEN43" s="19"/>
      <c r="XEO43" s="19"/>
      <c r="XEP43" s="19"/>
      <c r="XEQ43" s="19"/>
      <c r="XER43" s="19"/>
      <c r="XES43" s="19"/>
      <c r="XET43" s="19"/>
      <c r="XEU43" s="19"/>
      <c r="XEV43" s="19"/>
      <c r="XEW43" s="19"/>
      <c r="XEX43" s="19"/>
      <c r="XEY43" s="19"/>
      <c r="XEZ43" s="19"/>
      <c r="XFA43" s="19"/>
      <c r="XFB43" s="19"/>
    </row>
    <row r="44" spans="1:16382" s="18" customFormat="1" ht="15" customHeight="1" x14ac:dyDescent="0.25">
      <c r="B44" s="240" t="s">
        <v>1372</v>
      </c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9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  <c r="LR44" s="19"/>
      <c r="LS44" s="19"/>
      <c r="LT44" s="19"/>
      <c r="LU44" s="19"/>
      <c r="LV44" s="19"/>
      <c r="LW44" s="19"/>
      <c r="LX44" s="19"/>
      <c r="LY44" s="19"/>
      <c r="LZ44" s="19"/>
      <c r="MA44" s="19"/>
      <c r="MB44" s="19"/>
      <c r="MC44" s="19"/>
      <c r="MD44" s="19"/>
      <c r="ME44" s="19"/>
      <c r="MF44" s="19"/>
      <c r="MG44" s="19"/>
      <c r="MH44" s="19"/>
      <c r="MI44" s="19"/>
      <c r="MJ44" s="19"/>
      <c r="MK44" s="19"/>
      <c r="ML44" s="19"/>
      <c r="MM44" s="19"/>
      <c r="MN44" s="19"/>
      <c r="MO44" s="19"/>
      <c r="MP44" s="19"/>
      <c r="MQ44" s="19"/>
      <c r="MR44" s="19"/>
      <c r="MS44" s="19"/>
      <c r="MT44" s="19"/>
      <c r="MU44" s="19"/>
      <c r="MV44" s="19"/>
      <c r="MW44" s="19"/>
      <c r="MX44" s="19"/>
      <c r="MY44" s="19"/>
      <c r="MZ44" s="19"/>
      <c r="NA44" s="19"/>
      <c r="NB44" s="19"/>
      <c r="NC44" s="19"/>
      <c r="ND44" s="19"/>
      <c r="NE44" s="19"/>
      <c r="NF44" s="19"/>
      <c r="NG44" s="19"/>
      <c r="NH44" s="19"/>
      <c r="NI44" s="19"/>
      <c r="NJ44" s="19"/>
      <c r="NK44" s="19"/>
      <c r="NL44" s="19"/>
      <c r="NM44" s="19"/>
      <c r="NN44" s="19"/>
      <c r="NO44" s="19"/>
      <c r="NP44" s="19"/>
      <c r="NQ44" s="19"/>
      <c r="NR44" s="19"/>
      <c r="NS44" s="19"/>
      <c r="NT44" s="19"/>
      <c r="NU44" s="19"/>
      <c r="NV44" s="19"/>
      <c r="NW44" s="19"/>
      <c r="NX44" s="19"/>
      <c r="NY44" s="19"/>
      <c r="NZ44" s="19"/>
      <c r="OA44" s="19"/>
      <c r="OB44" s="19"/>
      <c r="OC44" s="19"/>
      <c r="OD44" s="19"/>
      <c r="OE44" s="19"/>
      <c r="OF44" s="19"/>
      <c r="OG44" s="19"/>
      <c r="OH44" s="19"/>
      <c r="OI44" s="19"/>
      <c r="OJ44" s="19"/>
      <c r="OK44" s="19"/>
      <c r="OL44" s="19"/>
      <c r="OM44" s="19"/>
      <c r="ON44" s="19"/>
      <c r="OO44" s="19"/>
      <c r="OP44" s="19"/>
      <c r="OQ44" s="19"/>
      <c r="OR44" s="19"/>
      <c r="OS44" s="19"/>
      <c r="OT44" s="19"/>
      <c r="OU44" s="19"/>
      <c r="OV44" s="19"/>
      <c r="OW44" s="19"/>
      <c r="OX44" s="19"/>
      <c r="OY44" s="19"/>
      <c r="OZ44" s="19"/>
      <c r="PA44" s="19"/>
      <c r="PB44" s="19"/>
      <c r="PC44" s="19"/>
      <c r="PD44" s="19"/>
      <c r="PE44" s="19"/>
      <c r="PF44" s="19"/>
      <c r="PG44" s="19"/>
      <c r="PH44" s="19"/>
      <c r="PI44" s="19"/>
      <c r="PJ44" s="19"/>
      <c r="PK44" s="19"/>
      <c r="PL44" s="19"/>
      <c r="PM44" s="19"/>
      <c r="PN44" s="19"/>
      <c r="PO44" s="19"/>
      <c r="PP44" s="19"/>
      <c r="PQ44" s="19"/>
      <c r="PR44" s="19"/>
      <c r="PS44" s="19"/>
      <c r="PT44" s="19"/>
      <c r="PU44" s="19"/>
      <c r="PV44" s="19"/>
      <c r="PW44" s="19"/>
      <c r="PX44" s="19"/>
      <c r="PY44" s="19"/>
      <c r="PZ44" s="19"/>
      <c r="QA44" s="19"/>
      <c r="QB44" s="19"/>
      <c r="QC44" s="19"/>
      <c r="QD44" s="19"/>
      <c r="QE44" s="19"/>
      <c r="QF44" s="19"/>
      <c r="QG44" s="19"/>
      <c r="QH44" s="19"/>
      <c r="QI44" s="19"/>
      <c r="QJ44" s="19"/>
      <c r="QK44" s="19"/>
      <c r="QL44" s="19"/>
      <c r="QM44" s="19"/>
      <c r="QN44" s="19"/>
      <c r="QO44" s="19"/>
      <c r="QP44" s="19"/>
      <c r="QQ44" s="19"/>
      <c r="QR44" s="19"/>
      <c r="QS44" s="19"/>
      <c r="QT44" s="19"/>
      <c r="QU44" s="19"/>
      <c r="QV44" s="19"/>
      <c r="QW44" s="19"/>
      <c r="QX44" s="19"/>
      <c r="QY44" s="19"/>
      <c r="QZ44" s="19"/>
      <c r="RA44" s="19"/>
      <c r="RB44" s="19"/>
      <c r="RC44" s="19"/>
      <c r="RD44" s="19"/>
      <c r="RE44" s="19"/>
      <c r="RF44" s="19"/>
      <c r="RG44" s="19"/>
      <c r="RH44" s="19"/>
      <c r="RI44" s="19"/>
      <c r="RJ44" s="19"/>
      <c r="RK44" s="19"/>
      <c r="RL44" s="19"/>
      <c r="RM44" s="19"/>
      <c r="RN44" s="19"/>
      <c r="RO44" s="19"/>
      <c r="RP44" s="19"/>
      <c r="RQ44" s="19"/>
      <c r="RR44" s="19"/>
      <c r="RS44" s="19"/>
      <c r="RT44" s="19"/>
      <c r="RU44" s="19"/>
      <c r="RV44" s="19"/>
      <c r="RW44" s="19"/>
      <c r="RX44" s="19"/>
      <c r="RY44" s="19"/>
      <c r="RZ44" s="19"/>
      <c r="SA44" s="19"/>
      <c r="SB44" s="19"/>
      <c r="SC44" s="19"/>
      <c r="SD44" s="19"/>
      <c r="SE44" s="19"/>
      <c r="SF44" s="19"/>
      <c r="SG44" s="19"/>
      <c r="SH44" s="19"/>
      <c r="SI44" s="19"/>
      <c r="SJ44" s="19"/>
      <c r="SK44" s="19"/>
      <c r="SL44" s="19"/>
      <c r="SM44" s="19"/>
      <c r="SN44" s="19"/>
      <c r="SO44" s="19"/>
      <c r="SP44" s="19"/>
      <c r="SQ44" s="19"/>
      <c r="SR44" s="19"/>
      <c r="SS44" s="19"/>
      <c r="ST44" s="19"/>
      <c r="SU44" s="19"/>
      <c r="SV44" s="19"/>
      <c r="SW44" s="19"/>
      <c r="SX44" s="19"/>
      <c r="SY44" s="19"/>
      <c r="SZ44" s="19"/>
      <c r="TA44" s="19"/>
      <c r="TB44" s="19"/>
      <c r="TC44" s="19"/>
      <c r="TD44" s="19"/>
      <c r="TE44" s="19"/>
      <c r="TF44" s="19"/>
      <c r="TG44" s="19"/>
      <c r="TH44" s="19"/>
      <c r="TI44" s="19"/>
      <c r="TJ44" s="19"/>
      <c r="TK44" s="19"/>
      <c r="TL44" s="19"/>
      <c r="TM44" s="19"/>
      <c r="TN44" s="19"/>
      <c r="TO44" s="19"/>
      <c r="TP44" s="19"/>
      <c r="TQ44" s="19"/>
      <c r="TR44" s="19"/>
      <c r="TS44" s="19"/>
      <c r="TT44" s="19"/>
      <c r="TU44" s="19"/>
      <c r="TV44" s="19"/>
      <c r="TW44" s="19"/>
      <c r="TX44" s="19"/>
      <c r="TY44" s="19"/>
      <c r="TZ44" s="19"/>
      <c r="UA44" s="19"/>
      <c r="UB44" s="19"/>
      <c r="UC44" s="19"/>
      <c r="UD44" s="19"/>
      <c r="UE44" s="19"/>
      <c r="UF44" s="19"/>
      <c r="UG44" s="19"/>
      <c r="UH44" s="19"/>
      <c r="UI44" s="19"/>
      <c r="UJ44" s="19"/>
      <c r="UK44" s="19"/>
      <c r="UL44" s="19"/>
      <c r="UM44" s="19"/>
      <c r="UN44" s="19"/>
      <c r="UO44" s="19"/>
      <c r="UP44" s="19"/>
      <c r="UQ44" s="19"/>
      <c r="UR44" s="19"/>
      <c r="US44" s="19"/>
      <c r="UT44" s="19"/>
      <c r="UU44" s="19"/>
      <c r="UV44" s="19"/>
      <c r="UW44" s="19"/>
      <c r="UX44" s="19"/>
      <c r="UY44" s="19"/>
      <c r="UZ44" s="19"/>
      <c r="VA44" s="19"/>
      <c r="VB44" s="19"/>
      <c r="VC44" s="19"/>
      <c r="VD44" s="19"/>
      <c r="VE44" s="19"/>
      <c r="VF44" s="19"/>
      <c r="VG44" s="19"/>
      <c r="VH44" s="19"/>
      <c r="VI44" s="19"/>
      <c r="VJ44" s="19"/>
      <c r="VK44" s="19"/>
      <c r="VL44" s="19"/>
      <c r="VM44" s="19"/>
      <c r="VN44" s="19"/>
      <c r="VO44" s="19"/>
      <c r="VP44" s="19"/>
      <c r="VQ44" s="19"/>
      <c r="VR44" s="19"/>
      <c r="VS44" s="19"/>
      <c r="VT44" s="19"/>
      <c r="VU44" s="19"/>
      <c r="VV44" s="19"/>
      <c r="VW44" s="19"/>
      <c r="VX44" s="19"/>
      <c r="VY44" s="19"/>
      <c r="VZ44" s="19"/>
      <c r="WA44" s="19"/>
      <c r="WB44" s="19"/>
      <c r="WC44" s="19"/>
      <c r="WD44" s="19"/>
      <c r="WE44" s="19"/>
      <c r="WF44" s="19"/>
      <c r="WG44" s="19"/>
      <c r="WH44" s="19"/>
      <c r="WI44" s="19"/>
      <c r="WJ44" s="19"/>
      <c r="WK44" s="19"/>
      <c r="WL44" s="19"/>
      <c r="WM44" s="19"/>
      <c r="WN44" s="19"/>
      <c r="WO44" s="19"/>
      <c r="WP44" s="19"/>
      <c r="WQ44" s="19"/>
      <c r="WR44" s="19"/>
      <c r="WS44" s="19"/>
      <c r="WT44" s="19"/>
      <c r="WU44" s="19"/>
      <c r="WV44" s="19"/>
      <c r="WW44" s="19"/>
      <c r="WX44" s="19"/>
      <c r="WY44" s="19"/>
      <c r="WZ44" s="19"/>
      <c r="XA44" s="19"/>
      <c r="XB44" s="19"/>
      <c r="XC44" s="19"/>
      <c r="XD44" s="19"/>
      <c r="XE44" s="19"/>
      <c r="XF44" s="19"/>
      <c r="XG44" s="19"/>
      <c r="XH44" s="19"/>
      <c r="XI44" s="19"/>
      <c r="XJ44" s="19"/>
      <c r="XK44" s="19"/>
      <c r="XL44" s="19"/>
      <c r="XM44" s="19"/>
      <c r="XN44" s="19"/>
      <c r="XO44" s="19"/>
      <c r="XP44" s="19"/>
      <c r="XQ44" s="19"/>
      <c r="XR44" s="19"/>
      <c r="XS44" s="19"/>
      <c r="XT44" s="19"/>
      <c r="XU44" s="19"/>
      <c r="XV44" s="19"/>
      <c r="XW44" s="19"/>
      <c r="XX44" s="19"/>
      <c r="XY44" s="19"/>
      <c r="XZ44" s="19"/>
      <c r="YA44" s="19"/>
      <c r="YB44" s="19"/>
      <c r="YC44" s="19"/>
      <c r="YD44" s="19"/>
      <c r="YE44" s="19"/>
      <c r="YF44" s="19"/>
      <c r="YG44" s="19"/>
      <c r="YH44" s="19"/>
      <c r="YI44" s="19"/>
      <c r="YJ44" s="19"/>
      <c r="YK44" s="19"/>
      <c r="YL44" s="19"/>
      <c r="YM44" s="19"/>
      <c r="YN44" s="19"/>
      <c r="YO44" s="19"/>
      <c r="YP44" s="19"/>
      <c r="YQ44" s="19"/>
      <c r="YR44" s="19"/>
      <c r="YS44" s="19"/>
      <c r="YT44" s="19"/>
      <c r="YU44" s="19"/>
      <c r="YV44" s="19"/>
      <c r="YW44" s="19"/>
      <c r="YX44" s="19"/>
      <c r="YY44" s="19"/>
      <c r="YZ44" s="19"/>
      <c r="ZA44" s="19"/>
      <c r="ZB44" s="19"/>
      <c r="ZC44" s="19"/>
      <c r="ZD44" s="19"/>
      <c r="ZE44" s="19"/>
      <c r="ZF44" s="19"/>
      <c r="ZG44" s="19"/>
      <c r="ZH44" s="19"/>
      <c r="ZI44" s="19"/>
      <c r="ZJ44" s="19"/>
      <c r="ZK44" s="19"/>
      <c r="ZL44" s="19"/>
      <c r="ZM44" s="19"/>
      <c r="ZN44" s="19"/>
      <c r="ZO44" s="19"/>
      <c r="ZP44" s="19"/>
      <c r="ZQ44" s="19"/>
      <c r="ZR44" s="19"/>
      <c r="ZS44" s="19"/>
      <c r="ZT44" s="19"/>
      <c r="ZU44" s="19"/>
      <c r="ZV44" s="19"/>
      <c r="ZW44" s="19"/>
      <c r="ZX44" s="19"/>
      <c r="ZY44" s="19"/>
      <c r="ZZ44" s="19"/>
      <c r="AAA44" s="19"/>
      <c r="AAB44" s="19"/>
      <c r="AAC44" s="19"/>
      <c r="AAD44" s="19"/>
      <c r="AAE44" s="19"/>
      <c r="AAF44" s="19"/>
      <c r="AAG44" s="19"/>
      <c r="AAH44" s="19"/>
      <c r="AAI44" s="19"/>
      <c r="AAJ44" s="19"/>
      <c r="AAK44" s="19"/>
      <c r="AAL44" s="19"/>
      <c r="AAM44" s="19"/>
      <c r="AAN44" s="19"/>
      <c r="AAO44" s="19"/>
      <c r="AAP44" s="19"/>
      <c r="AAQ44" s="19"/>
      <c r="AAR44" s="19"/>
      <c r="AAS44" s="19"/>
      <c r="AAT44" s="19"/>
      <c r="AAU44" s="19"/>
      <c r="AAV44" s="19"/>
      <c r="AAW44" s="19"/>
      <c r="AAX44" s="19"/>
      <c r="AAY44" s="19"/>
      <c r="AAZ44" s="19"/>
      <c r="ABA44" s="19"/>
      <c r="ABB44" s="19"/>
      <c r="ABC44" s="19"/>
      <c r="ABD44" s="19"/>
      <c r="ABE44" s="19"/>
      <c r="ABF44" s="19"/>
      <c r="ABG44" s="19"/>
      <c r="ABH44" s="19"/>
      <c r="ABI44" s="19"/>
      <c r="ABJ44" s="19"/>
      <c r="ABK44" s="19"/>
      <c r="ABL44" s="19"/>
      <c r="ABM44" s="19"/>
      <c r="ABN44" s="19"/>
      <c r="ABO44" s="19"/>
      <c r="ABP44" s="19"/>
      <c r="ABQ44" s="19"/>
      <c r="ABR44" s="19"/>
      <c r="ABS44" s="19"/>
      <c r="ABT44" s="19"/>
      <c r="ABU44" s="19"/>
      <c r="ABV44" s="19"/>
      <c r="ABW44" s="19"/>
      <c r="ABX44" s="19"/>
      <c r="ABY44" s="19"/>
      <c r="ABZ44" s="19"/>
      <c r="ACA44" s="19"/>
      <c r="ACB44" s="19"/>
      <c r="ACC44" s="19"/>
      <c r="ACD44" s="19"/>
      <c r="ACE44" s="19"/>
      <c r="ACF44" s="19"/>
      <c r="ACG44" s="19"/>
      <c r="ACH44" s="19"/>
      <c r="ACI44" s="19"/>
      <c r="ACJ44" s="19"/>
      <c r="ACK44" s="19"/>
      <c r="ACL44" s="19"/>
      <c r="ACM44" s="19"/>
      <c r="ACN44" s="19"/>
      <c r="ACO44" s="19"/>
      <c r="ACP44" s="19"/>
      <c r="ACQ44" s="19"/>
      <c r="ACR44" s="19"/>
      <c r="ACS44" s="19"/>
      <c r="ACT44" s="19"/>
      <c r="ACU44" s="19"/>
      <c r="ACV44" s="19"/>
      <c r="ACW44" s="19"/>
      <c r="ACX44" s="19"/>
      <c r="ACY44" s="19"/>
      <c r="ACZ44" s="19"/>
      <c r="ADA44" s="19"/>
      <c r="ADB44" s="19"/>
      <c r="ADC44" s="19"/>
      <c r="ADD44" s="19"/>
      <c r="ADE44" s="19"/>
      <c r="ADF44" s="19"/>
      <c r="ADG44" s="19"/>
      <c r="ADH44" s="19"/>
      <c r="ADI44" s="19"/>
      <c r="ADJ44" s="19"/>
      <c r="ADK44" s="19"/>
      <c r="ADL44" s="19"/>
      <c r="ADM44" s="19"/>
      <c r="ADN44" s="19"/>
      <c r="ADO44" s="19"/>
      <c r="ADP44" s="19"/>
      <c r="ADQ44" s="19"/>
      <c r="ADR44" s="19"/>
      <c r="ADS44" s="19"/>
      <c r="ADT44" s="19"/>
      <c r="ADU44" s="19"/>
      <c r="ADV44" s="19"/>
      <c r="ADW44" s="19"/>
      <c r="ADX44" s="19"/>
      <c r="ADY44" s="19"/>
      <c r="ADZ44" s="19"/>
      <c r="AEA44" s="19"/>
      <c r="AEB44" s="19"/>
      <c r="AEC44" s="19"/>
      <c r="AED44" s="19"/>
      <c r="AEE44" s="19"/>
      <c r="AEF44" s="19"/>
      <c r="AEG44" s="19"/>
      <c r="AEH44" s="19"/>
      <c r="AEI44" s="19"/>
      <c r="AEJ44" s="19"/>
      <c r="AEK44" s="19"/>
      <c r="AEL44" s="19"/>
      <c r="AEM44" s="19"/>
      <c r="AEN44" s="19"/>
      <c r="AEO44" s="19"/>
      <c r="AEP44" s="19"/>
      <c r="AEQ44" s="19"/>
      <c r="AER44" s="19"/>
      <c r="AES44" s="19"/>
      <c r="AET44" s="19"/>
      <c r="AEU44" s="19"/>
      <c r="AEV44" s="19"/>
      <c r="AEW44" s="19"/>
      <c r="AEX44" s="19"/>
      <c r="AEY44" s="19"/>
      <c r="AEZ44" s="19"/>
      <c r="AFA44" s="19"/>
      <c r="AFB44" s="19"/>
      <c r="AFC44" s="19"/>
      <c r="AFD44" s="19"/>
      <c r="AFE44" s="19"/>
      <c r="AFF44" s="19"/>
      <c r="AFG44" s="19"/>
      <c r="AFH44" s="19"/>
      <c r="AFI44" s="19"/>
      <c r="AFJ44" s="19"/>
      <c r="AFK44" s="19"/>
      <c r="AFL44" s="19"/>
      <c r="AFM44" s="19"/>
      <c r="AFN44" s="19"/>
      <c r="AFO44" s="19"/>
      <c r="AFP44" s="19"/>
      <c r="AFQ44" s="19"/>
      <c r="AFR44" s="19"/>
      <c r="AFS44" s="19"/>
      <c r="AFT44" s="19"/>
      <c r="AFU44" s="19"/>
      <c r="AFV44" s="19"/>
      <c r="AFW44" s="19"/>
      <c r="AFX44" s="19"/>
      <c r="AFY44" s="19"/>
      <c r="AFZ44" s="19"/>
      <c r="AGA44" s="19"/>
      <c r="AGB44" s="19"/>
      <c r="AGC44" s="19"/>
      <c r="AGD44" s="19"/>
      <c r="AGE44" s="19"/>
      <c r="AGF44" s="19"/>
      <c r="AGG44" s="19"/>
      <c r="AGH44" s="19"/>
      <c r="AGI44" s="19"/>
      <c r="AGJ44" s="19"/>
      <c r="AGK44" s="19"/>
      <c r="AGL44" s="19"/>
      <c r="AGM44" s="19"/>
      <c r="AGN44" s="19"/>
      <c r="AGO44" s="19"/>
      <c r="AGP44" s="19"/>
      <c r="AGQ44" s="19"/>
      <c r="AGR44" s="19"/>
      <c r="AGS44" s="19"/>
      <c r="AGT44" s="19"/>
      <c r="AGU44" s="19"/>
      <c r="AGV44" s="19"/>
      <c r="AGW44" s="19"/>
      <c r="AGX44" s="19"/>
      <c r="AGY44" s="19"/>
      <c r="AGZ44" s="19"/>
      <c r="AHA44" s="19"/>
      <c r="AHB44" s="19"/>
      <c r="AHC44" s="19"/>
      <c r="AHD44" s="19"/>
      <c r="AHE44" s="19"/>
      <c r="AHF44" s="19"/>
      <c r="AHG44" s="19"/>
      <c r="AHH44" s="19"/>
      <c r="AHI44" s="19"/>
      <c r="AHJ44" s="19"/>
      <c r="AHK44" s="19"/>
      <c r="AHL44" s="19"/>
      <c r="AHM44" s="19"/>
      <c r="AHN44" s="19"/>
      <c r="AHO44" s="19"/>
      <c r="AHP44" s="19"/>
      <c r="AHQ44" s="19"/>
      <c r="AHR44" s="19"/>
      <c r="AHS44" s="19"/>
      <c r="AHT44" s="19"/>
      <c r="AHU44" s="19"/>
      <c r="AHV44" s="19"/>
      <c r="AHW44" s="19"/>
      <c r="AHX44" s="19"/>
      <c r="AHY44" s="19"/>
      <c r="AHZ44" s="19"/>
      <c r="AIA44" s="19"/>
      <c r="AIB44" s="19"/>
      <c r="AIC44" s="19"/>
      <c r="AID44" s="19"/>
      <c r="AIE44" s="19"/>
      <c r="AIF44" s="19"/>
      <c r="AIG44" s="19"/>
      <c r="AIH44" s="19"/>
      <c r="AII44" s="19"/>
      <c r="AIJ44" s="19"/>
      <c r="AIK44" s="19"/>
      <c r="AIL44" s="19"/>
      <c r="AIM44" s="19"/>
      <c r="AIN44" s="19"/>
      <c r="AIO44" s="19"/>
      <c r="AIP44" s="19"/>
      <c r="AIQ44" s="19"/>
      <c r="AIR44" s="19"/>
      <c r="AIS44" s="19"/>
      <c r="AIT44" s="19"/>
      <c r="AIU44" s="19"/>
      <c r="AIV44" s="19"/>
      <c r="AIW44" s="19"/>
      <c r="AIX44" s="19"/>
      <c r="AIY44" s="19"/>
      <c r="AIZ44" s="19"/>
      <c r="AJA44" s="19"/>
      <c r="AJB44" s="19"/>
      <c r="AJC44" s="19"/>
      <c r="AJD44" s="19"/>
      <c r="AJE44" s="19"/>
      <c r="AJF44" s="19"/>
      <c r="AJG44" s="19"/>
      <c r="AJH44" s="19"/>
      <c r="AJI44" s="19"/>
      <c r="AJJ44" s="19"/>
      <c r="AJK44" s="19"/>
      <c r="AJL44" s="19"/>
      <c r="AJM44" s="19"/>
      <c r="AJN44" s="19"/>
      <c r="AJO44" s="19"/>
      <c r="AJP44" s="19"/>
      <c r="AJQ44" s="19"/>
      <c r="AJR44" s="19"/>
      <c r="AJS44" s="19"/>
      <c r="AJT44" s="19"/>
      <c r="AJU44" s="19"/>
      <c r="AJV44" s="19"/>
      <c r="AJW44" s="19"/>
      <c r="AJX44" s="19"/>
      <c r="AJY44" s="19"/>
      <c r="AJZ44" s="19"/>
      <c r="AKA44" s="19"/>
      <c r="AKB44" s="19"/>
      <c r="AKC44" s="19"/>
      <c r="AKD44" s="19"/>
      <c r="AKE44" s="19"/>
      <c r="AKF44" s="19"/>
      <c r="AKG44" s="19"/>
      <c r="AKH44" s="19"/>
      <c r="AKI44" s="19"/>
      <c r="AKJ44" s="19"/>
      <c r="AKK44" s="19"/>
      <c r="AKL44" s="19"/>
      <c r="AKM44" s="19"/>
      <c r="AKN44" s="19"/>
      <c r="AKO44" s="19"/>
      <c r="AKP44" s="19"/>
      <c r="AKQ44" s="19"/>
      <c r="AKR44" s="19"/>
      <c r="AKS44" s="19"/>
      <c r="AKT44" s="19"/>
      <c r="AKU44" s="19"/>
      <c r="AKV44" s="19"/>
      <c r="AKW44" s="19"/>
      <c r="AKX44" s="19"/>
      <c r="AKY44" s="19"/>
      <c r="AKZ44" s="19"/>
      <c r="ALA44" s="19"/>
      <c r="ALB44" s="19"/>
      <c r="ALC44" s="19"/>
      <c r="ALD44" s="19"/>
      <c r="ALE44" s="19"/>
      <c r="ALF44" s="19"/>
      <c r="ALG44" s="19"/>
      <c r="ALH44" s="19"/>
      <c r="ALI44" s="19"/>
      <c r="ALJ44" s="19"/>
      <c r="ALK44" s="19"/>
      <c r="ALL44" s="19"/>
      <c r="ALM44" s="19"/>
      <c r="ALN44" s="19"/>
      <c r="ALO44" s="19"/>
      <c r="ALP44" s="19"/>
      <c r="ALQ44" s="19"/>
      <c r="ALR44" s="19"/>
      <c r="ALS44" s="19"/>
      <c r="ALT44" s="19"/>
      <c r="ALU44" s="19"/>
      <c r="ALV44" s="19"/>
      <c r="ALW44" s="19"/>
      <c r="ALX44" s="19"/>
      <c r="ALY44" s="19"/>
      <c r="ALZ44" s="19"/>
      <c r="AMA44" s="19"/>
      <c r="AMB44" s="19"/>
      <c r="AMC44" s="19"/>
      <c r="AMD44" s="19"/>
      <c r="AME44" s="19"/>
      <c r="AMF44" s="19"/>
      <c r="AMG44" s="19"/>
      <c r="AMH44" s="19"/>
      <c r="AMI44" s="19"/>
      <c r="AMJ44" s="19"/>
      <c r="AMK44" s="19"/>
      <c r="AML44" s="19"/>
      <c r="AMM44" s="19"/>
      <c r="AMN44" s="19"/>
      <c r="AMO44" s="19"/>
      <c r="AMP44" s="19"/>
      <c r="AMQ44" s="19"/>
      <c r="AMR44" s="19"/>
      <c r="AMS44" s="19"/>
      <c r="AMT44" s="19"/>
      <c r="AMU44" s="19"/>
      <c r="AMV44" s="19"/>
      <c r="AMW44" s="19"/>
      <c r="AMX44" s="19"/>
      <c r="AMY44" s="19"/>
      <c r="AMZ44" s="19"/>
      <c r="ANA44" s="19"/>
      <c r="ANB44" s="19"/>
      <c r="ANC44" s="19"/>
      <c r="AND44" s="19"/>
      <c r="ANE44" s="19"/>
      <c r="ANF44" s="19"/>
      <c r="ANG44" s="19"/>
      <c r="ANH44" s="19"/>
      <c r="ANI44" s="19"/>
      <c r="ANJ44" s="19"/>
      <c r="ANK44" s="19"/>
      <c r="ANL44" s="19"/>
      <c r="ANM44" s="19"/>
      <c r="ANN44" s="19"/>
      <c r="ANO44" s="19"/>
      <c r="ANP44" s="19"/>
      <c r="ANQ44" s="19"/>
      <c r="ANR44" s="19"/>
      <c r="ANS44" s="19"/>
      <c r="ANT44" s="19"/>
      <c r="ANU44" s="19"/>
      <c r="ANV44" s="19"/>
      <c r="ANW44" s="19"/>
      <c r="ANX44" s="19"/>
      <c r="ANY44" s="19"/>
      <c r="ANZ44" s="19"/>
      <c r="AOA44" s="19"/>
      <c r="AOB44" s="19"/>
      <c r="AOC44" s="19"/>
      <c r="AOD44" s="19"/>
      <c r="AOE44" s="19"/>
      <c r="AOF44" s="19"/>
      <c r="AOG44" s="19"/>
      <c r="AOH44" s="19"/>
      <c r="AOI44" s="19"/>
      <c r="AOJ44" s="19"/>
      <c r="AOK44" s="19"/>
      <c r="AOL44" s="19"/>
      <c r="AOM44" s="19"/>
      <c r="AON44" s="19"/>
      <c r="AOO44" s="19"/>
      <c r="AOP44" s="19"/>
      <c r="AOQ44" s="19"/>
      <c r="AOR44" s="19"/>
      <c r="AOS44" s="19"/>
      <c r="AOT44" s="19"/>
      <c r="AOU44" s="19"/>
      <c r="AOV44" s="19"/>
      <c r="AOW44" s="19"/>
      <c r="AOX44" s="19"/>
      <c r="AOY44" s="19"/>
      <c r="AOZ44" s="19"/>
      <c r="APA44" s="19"/>
      <c r="APB44" s="19"/>
      <c r="APC44" s="19"/>
      <c r="APD44" s="19"/>
      <c r="APE44" s="19"/>
      <c r="APF44" s="19"/>
      <c r="APG44" s="19"/>
      <c r="APH44" s="19"/>
      <c r="API44" s="19"/>
      <c r="APJ44" s="19"/>
      <c r="APK44" s="19"/>
      <c r="APL44" s="19"/>
      <c r="APM44" s="19"/>
      <c r="APN44" s="19"/>
      <c r="APO44" s="19"/>
      <c r="APP44" s="19"/>
      <c r="APQ44" s="19"/>
      <c r="APR44" s="19"/>
      <c r="APS44" s="19"/>
      <c r="APT44" s="19"/>
      <c r="APU44" s="19"/>
      <c r="APV44" s="19"/>
      <c r="APW44" s="19"/>
      <c r="APX44" s="19"/>
      <c r="APY44" s="19"/>
      <c r="APZ44" s="19"/>
      <c r="AQA44" s="19"/>
      <c r="AQB44" s="19"/>
      <c r="AQC44" s="19"/>
      <c r="AQD44" s="19"/>
      <c r="AQE44" s="19"/>
      <c r="AQF44" s="19"/>
      <c r="AQG44" s="19"/>
      <c r="AQH44" s="19"/>
      <c r="AQI44" s="19"/>
      <c r="AQJ44" s="19"/>
      <c r="AQK44" s="19"/>
      <c r="AQL44" s="19"/>
      <c r="AQM44" s="19"/>
      <c r="AQN44" s="19"/>
      <c r="AQO44" s="19"/>
      <c r="AQP44" s="19"/>
      <c r="AQQ44" s="19"/>
      <c r="AQR44" s="19"/>
      <c r="AQS44" s="19"/>
      <c r="AQT44" s="19"/>
      <c r="AQU44" s="19"/>
      <c r="AQV44" s="19"/>
      <c r="AQW44" s="19"/>
      <c r="AQX44" s="19"/>
      <c r="AQY44" s="19"/>
      <c r="AQZ44" s="19"/>
      <c r="ARA44" s="19"/>
      <c r="ARB44" s="19"/>
      <c r="ARC44" s="19"/>
      <c r="ARD44" s="19"/>
      <c r="ARE44" s="19"/>
      <c r="ARF44" s="19"/>
      <c r="ARG44" s="19"/>
      <c r="ARH44" s="19"/>
      <c r="ARI44" s="19"/>
      <c r="ARJ44" s="19"/>
      <c r="ARK44" s="19"/>
      <c r="ARL44" s="19"/>
      <c r="ARM44" s="19"/>
      <c r="ARN44" s="19"/>
      <c r="ARO44" s="19"/>
      <c r="ARP44" s="19"/>
      <c r="ARQ44" s="19"/>
      <c r="ARR44" s="19"/>
      <c r="ARS44" s="19"/>
      <c r="ART44" s="19"/>
      <c r="ARU44" s="19"/>
      <c r="ARV44" s="19"/>
      <c r="ARW44" s="19"/>
      <c r="ARX44" s="19"/>
      <c r="ARY44" s="19"/>
      <c r="ARZ44" s="19"/>
      <c r="ASA44" s="19"/>
      <c r="ASB44" s="19"/>
      <c r="ASC44" s="19"/>
      <c r="ASD44" s="19"/>
      <c r="ASE44" s="19"/>
      <c r="ASF44" s="19"/>
      <c r="ASG44" s="19"/>
      <c r="ASH44" s="19"/>
      <c r="ASI44" s="19"/>
      <c r="ASJ44" s="19"/>
      <c r="ASK44" s="19"/>
      <c r="ASL44" s="19"/>
      <c r="ASM44" s="19"/>
      <c r="ASN44" s="19"/>
      <c r="ASO44" s="19"/>
      <c r="ASP44" s="19"/>
      <c r="ASQ44" s="19"/>
      <c r="ASR44" s="19"/>
      <c r="ASS44" s="19"/>
      <c r="AST44" s="19"/>
      <c r="ASU44" s="19"/>
      <c r="ASV44" s="19"/>
      <c r="ASW44" s="19"/>
      <c r="ASX44" s="19"/>
      <c r="ASY44" s="19"/>
      <c r="ASZ44" s="19"/>
      <c r="ATA44" s="19"/>
      <c r="ATB44" s="19"/>
      <c r="ATC44" s="19"/>
      <c r="ATD44" s="19"/>
      <c r="ATE44" s="19"/>
      <c r="ATF44" s="19"/>
      <c r="ATG44" s="19"/>
      <c r="ATH44" s="19"/>
      <c r="ATI44" s="19"/>
      <c r="ATJ44" s="19"/>
      <c r="ATK44" s="19"/>
      <c r="ATL44" s="19"/>
      <c r="ATM44" s="19"/>
      <c r="ATN44" s="19"/>
      <c r="ATO44" s="19"/>
      <c r="ATP44" s="19"/>
      <c r="ATQ44" s="19"/>
      <c r="ATR44" s="19"/>
      <c r="ATS44" s="19"/>
      <c r="ATT44" s="19"/>
      <c r="ATU44" s="19"/>
      <c r="ATV44" s="19"/>
      <c r="ATW44" s="19"/>
      <c r="ATX44" s="19"/>
      <c r="ATY44" s="19"/>
      <c r="ATZ44" s="19"/>
      <c r="AUA44" s="19"/>
      <c r="AUB44" s="19"/>
      <c r="AUC44" s="19"/>
      <c r="AUD44" s="19"/>
      <c r="AUE44" s="19"/>
      <c r="AUF44" s="19"/>
      <c r="AUG44" s="19"/>
      <c r="AUH44" s="19"/>
      <c r="AUI44" s="19"/>
      <c r="AUJ44" s="19"/>
      <c r="AUK44" s="19"/>
      <c r="AUL44" s="19"/>
      <c r="AUM44" s="19"/>
      <c r="AUN44" s="19"/>
      <c r="AUO44" s="19"/>
      <c r="AUP44" s="19"/>
      <c r="AUQ44" s="19"/>
      <c r="AUR44" s="19"/>
      <c r="AUS44" s="19"/>
      <c r="AUT44" s="19"/>
      <c r="AUU44" s="19"/>
      <c r="AUV44" s="19"/>
      <c r="AUW44" s="19"/>
      <c r="AUX44" s="19"/>
      <c r="AUY44" s="19"/>
      <c r="AUZ44" s="19"/>
      <c r="AVA44" s="19"/>
      <c r="AVB44" s="19"/>
      <c r="AVC44" s="19"/>
      <c r="AVD44" s="19"/>
      <c r="AVE44" s="19"/>
      <c r="AVF44" s="19"/>
      <c r="AVG44" s="19"/>
      <c r="AVH44" s="19"/>
      <c r="AVI44" s="19"/>
      <c r="AVJ44" s="19"/>
      <c r="AVK44" s="19"/>
      <c r="AVL44" s="19"/>
      <c r="AVM44" s="19"/>
      <c r="AVN44" s="19"/>
      <c r="AVO44" s="19"/>
      <c r="AVP44" s="19"/>
      <c r="AVQ44" s="19"/>
      <c r="AVR44" s="19"/>
      <c r="AVS44" s="19"/>
      <c r="AVT44" s="19"/>
      <c r="AVU44" s="19"/>
      <c r="AVV44" s="19"/>
      <c r="AVW44" s="19"/>
      <c r="AVX44" s="19"/>
      <c r="AVY44" s="19"/>
      <c r="AVZ44" s="19"/>
      <c r="AWA44" s="19"/>
      <c r="AWB44" s="19"/>
      <c r="AWC44" s="19"/>
      <c r="AWD44" s="19"/>
      <c r="AWE44" s="19"/>
      <c r="AWF44" s="19"/>
      <c r="AWG44" s="19"/>
      <c r="AWH44" s="19"/>
      <c r="AWI44" s="19"/>
      <c r="AWJ44" s="19"/>
      <c r="AWK44" s="19"/>
      <c r="AWL44" s="19"/>
      <c r="AWM44" s="19"/>
      <c r="AWN44" s="19"/>
      <c r="AWO44" s="19"/>
      <c r="AWP44" s="19"/>
      <c r="AWQ44" s="19"/>
      <c r="AWR44" s="19"/>
      <c r="AWS44" s="19"/>
      <c r="AWT44" s="19"/>
      <c r="AWU44" s="19"/>
      <c r="AWV44" s="19"/>
      <c r="AWW44" s="19"/>
      <c r="AWX44" s="19"/>
      <c r="AWY44" s="19"/>
      <c r="AWZ44" s="19"/>
      <c r="AXA44" s="19"/>
      <c r="AXB44" s="19"/>
      <c r="AXC44" s="19"/>
      <c r="AXD44" s="19"/>
      <c r="AXE44" s="19"/>
      <c r="AXF44" s="19"/>
      <c r="AXG44" s="19"/>
      <c r="AXH44" s="19"/>
      <c r="AXI44" s="19"/>
      <c r="AXJ44" s="19"/>
      <c r="AXK44" s="19"/>
      <c r="AXL44" s="19"/>
      <c r="AXM44" s="19"/>
      <c r="AXN44" s="19"/>
      <c r="AXO44" s="19"/>
      <c r="AXP44" s="19"/>
      <c r="AXQ44" s="19"/>
      <c r="AXR44" s="19"/>
      <c r="AXS44" s="19"/>
      <c r="AXT44" s="19"/>
      <c r="AXU44" s="19"/>
      <c r="AXV44" s="19"/>
      <c r="AXW44" s="19"/>
      <c r="AXX44" s="19"/>
      <c r="AXY44" s="19"/>
      <c r="AXZ44" s="19"/>
      <c r="AYA44" s="19"/>
      <c r="AYB44" s="19"/>
      <c r="AYC44" s="19"/>
      <c r="AYD44" s="19"/>
      <c r="AYE44" s="19"/>
      <c r="AYF44" s="19"/>
      <c r="AYG44" s="19"/>
      <c r="AYH44" s="19"/>
      <c r="AYI44" s="19"/>
      <c r="AYJ44" s="19"/>
      <c r="AYK44" s="19"/>
      <c r="AYL44" s="19"/>
      <c r="AYM44" s="19"/>
      <c r="AYN44" s="19"/>
      <c r="AYO44" s="19"/>
      <c r="AYP44" s="19"/>
      <c r="AYQ44" s="19"/>
      <c r="AYR44" s="19"/>
      <c r="AYS44" s="19"/>
      <c r="AYT44" s="19"/>
      <c r="AYU44" s="19"/>
      <c r="AYV44" s="19"/>
      <c r="AYW44" s="19"/>
      <c r="AYX44" s="19"/>
      <c r="AYY44" s="19"/>
      <c r="AYZ44" s="19"/>
      <c r="AZA44" s="19"/>
      <c r="AZB44" s="19"/>
      <c r="AZC44" s="19"/>
      <c r="AZD44" s="19"/>
      <c r="AZE44" s="19"/>
      <c r="AZF44" s="19"/>
      <c r="AZG44" s="19"/>
      <c r="AZH44" s="19"/>
      <c r="AZI44" s="19"/>
      <c r="AZJ44" s="19"/>
      <c r="AZK44" s="19"/>
      <c r="AZL44" s="19"/>
      <c r="AZM44" s="19"/>
      <c r="AZN44" s="19"/>
      <c r="AZO44" s="19"/>
      <c r="AZP44" s="19"/>
      <c r="AZQ44" s="19"/>
      <c r="AZR44" s="19"/>
      <c r="AZS44" s="19"/>
      <c r="AZT44" s="19"/>
      <c r="AZU44" s="19"/>
      <c r="AZV44" s="19"/>
      <c r="AZW44" s="19"/>
      <c r="AZX44" s="19"/>
      <c r="AZY44" s="19"/>
      <c r="AZZ44" s="19"/>
      <c r="BAA44" s="19"/>
      <c r="BAB44" s="19"/>
      <c r="BAC44" s="19"/>
      <c r="BAD44" s="19"/>
      <c r="BAE44" s="19"/>
      <c r="BAF44" s="19"/>
      <c r="BAG44" s="19"/>
      <c r="BAH44" s="19"/>
      <c r="BAI44" s="19"/>
      <c r="BAJ44" s="19"/>
      <c r="BAK44" s="19"/>
      <c r="BAL44" s="19"/>
      <c r="BAM44" s="19"/>
      <c r="BAN44" s="19"/>
      <c r="BAO44" s="19"/>
      <c r="BAP44" s="19"/>
      <c r="BAQ44" s="19"/>
      <c r="BAR44" s="19"/>
      <c r="BAS44" s="19"/>
      <c r="BAT44" s="19"/>
      <c r="BAU44" s="19"/>
      <c r="BAV44" s="19"/>
      <c r="BAW44" s="19"/>
      <c r="BAX44" s="19"/>
      <c r="BAY44" s="19"/>
      <c r="BAZ44" s="19"/>
      <c r="BBA44" s="19"/>
      <c r="BBB44" s="19"/>
      <c r="BBC44" s="19"/>
      <c r="BBD44" s="19"/>
      <c r="BBE44" s="19"/>
      <c r="BBF44" s="19"/>
      <c r="BBG44" s="19"/>
      <c r="BBH44" s="19"/>
      <c r="BBI44" s="19"/>
      <c r="BBJ44" s="19"/>
      <c r="BBK44" s="19"/>
      <c r="BBL44" s="19"/>
      <c r="BBM44" s="19"/>
      <c r="BBN44" s="19"/>
      <c r="BBO44" s="19"/>
      <c r="BBP44" s="19"/>
      <c r="BBQ44" s="19"/>
      <c r="BBR44" s="19"/>
      <c r="BBS44" s="19"/>
      <c r="BBT44" s="19"/>
      <c r="BBU44" s="19"/>
      <c r="BBV44" s="19"/>
      <c r="BBW44" s="19"/>
      <c r="BBX44" s="19"/>
      <c r="BBY44" s="19"/>
      <c r="BBZ44" s="19"/>
      <c r="BCA44" s="19"/>
      <c r="BCB44" s="19"/>
      <c r="BCC44" s="19"/>
      <c r="BCD44" s="19"/>
      <c r="BCE44" s="19"/>
      <c r="BCF44" s="19"/>
      <c r="BCG44" s="19"/>
      <c r="BCH44" s="19"/>
      <c r="BCI44" s="19"/>
      <c r="BCJ44" s="19"/>
      <c r="BCK44" s="19"/>
      <c r="BCL44" s="19"/>
      <c r="BCM44" s="19"/>
      <c r="BCN44" s="19"/>
      <c r="BCO44" s="19"/>
      <c r="BCP44" s="19"/>
      <c r="BCQ44" s="19"/>
      <c r="BCR44" s="19"/>
      <c r="BCS44" s="19"/>
      <c r="BCT44" s="19"/>
      <c r="BCU44" s="19"/>
      <c r="BCV44" s="19"/>
      <c r="BCW44" s="19"/>
      <c r="BCX44" s="19"/>
      <c r="BCY44" s="19"/>
      <c r="BCZ44" s="19"/>
      <c r="BDA44" s="19"/>
      <c r="BDB44" s="19"/>
      <c r="BDC44" s="19"/>
      <c r="BDD44" s="19"/>
      <c r="BDE44" s="19"/>
      <c r="BDF44" s="19"/>
      <c r="BDG44" s="19"/>
      <c r="BDH44" s="19"/>
      <c r="BDI44" s="19"/>
      <c r="BDJ44" s="19"/>
      <c r="BDK44" s="19"/>
      <c r="BDL44" s="19"/>
      <c r="BDM44" s="19"/>
      <c r="BDN44" s="19"/>
      <c r="BDO44" s="19"/>
      <c r="BDP44" s="19"/>
      <c r="BDQ44" s="19"/>
      <c r="BDR44" s="19"/>
      <c r="BDS44" s="19"/>
      <c r="BDT44" s="19"/>
      <c r="BDU44" s="19"/>
      <c r="BDV44" s="19"/>
      <c r="BDW44" s="19"/>
      <c r="BDX44" s="19"/>
      <c r="BDY44" s="19"/>
      <c r="BDZ44" s="19"/>
      <c r="BEA44" s="19"/>
      <c r="BEB44" s="19"/>
      <c r="BEC44" s="19"/>
      <c r="BED44" s="19"/>
      <c r="BEE44" s="19"/>
      <c r="BEF44" s="19"/>
      <c r="BEG44" s="19"/>
      <c r="BEH44" s="19"/>
      <c r="BEI44" s="19"/>
      <c r="BEJ44" s="19"/>
      <c r="BEK44" s="19"/>
      <c r="BEL44" s="19"/>
      <c r="BEM44" s="19"/>
      <c r="BEN44" s="19"/>
      <c r="BEO44" s="19"/>
      <c r="BEP44" s="19"/>
      <c r="BEQ44" s="19"/>
      <c r="BER44" s="19"/>
      <c r="BES44" s="19"/>
      <c r="BET44" s="19"/>
      <c r="BEU44" s="19"/>
      <c r="BEV44" s="19"/>
      <c r="BEW44" s="19"/>
      <c r="BEX44" s="19"/>
      <c r="BEY44" s="19"/>
      <c r="BEZ44" s="19"/>
      <c r="BFA44" s="19"/>
      <c r="BFB44" s="19"/>
      <c r="BFC44" s="19"/>
      <c r="BFD44" s="19"/>
      <c r="BFE44" s="19"/>
      <c r="BFF44" s="19"/>
      <c r="BFG44" s="19"/>
      <c r="BFH44" s="19"/>
      <c r="BFI44" s="19"/>
      <c r="BFJ44" s="19"/>
      <c r="BFK44" s="19"/>
      <c r="BFL44" s="19"/>
      <c r="BFM44" s="19"/>
      <c r="BFN44" s="19"/>
      <c r="BFO44" s="19"/>
      <c r="BFP44" s="19"/>
      <c r="BFQ44" s="19"/>
      <c r="BFR44" s="19"/>
      <c r="BFS44" s="19"/>
      <c r="BFT44" s="19"/>
      <c r="BFU44" s="19"/>
      <c r="BFV44" s="19"/>
      <c r="BFW44" s="19"/>
      <c r="BFX44" s="19"/>
      <c r="BFY44" s="19"/>
      <c r="BFZ44" s="19"/>
      <c r="BGA44" s="19"/>
      <c r="BGB44" s="19"/>
      <c r="BGC44" s="19"/>
      <c r="BGD44" s="19"/>
      <c r="BGE44" s="19"/>
      <c r="BGF44" s="19"/>
      <c r="BGG44" s="19"/>
      <c r="BGH44" s="19"/>
      <c r="BGI44" s="19"/>
      <c r="BGJ44" s="19"/>
      <c r="BGK44" s="19"/>
      <c r="BGL44" s="19"/>
      <c r="BGM44" s="19"/>
      <c r="BGN44" s="19"/>
      <c r="BGO44" s="19"/>
      <c r="BGP44" s="19"/>
      <c r="BGQ44" s="19"/>
      <c r="BGR44" s="19"/>
      <c r="BGS44" s="19"/>
      <c r="BGT44" s="19"/>
      <c r="BGU44" s="19"/>
      <c r="BGV44" s="19"/>
      <c r="BGW44" s="19"/>
      <c r="BGX44" s="19"/>
      <c r="BGY44" s="19"/>
      <c r="BGZ44" s="19"/>
      <c r="BHA44" s="19"/>
      <c r="BHB44" s="19"/>
      <c r="BHC44" s="19"/>
      <c r="BHD44" s="19"/>
      <c r="BHE44" s="19"/>
      <c r="BHF44" s="19"/>
      <c r="BHG44" s="19"/>
      <c r="BHH44" s="19"/>
      <c r="BHI44" s="19"/>
      <c r="BHJ44" s="19"/>
      <c r="BHK44" s="19"/>
      <c r="BHL44" s="19"/>
      <c r="BHM44" s="19"/>
      <c r="BHN44" s="19"/>
      <c r="BHO44" s="19"/>
      <c r="BHP44" s="19"/>
      <c r="BHQ44" s="19"/>
      <c r="BHR44" s="19"/>
      <c r="BHS44" s="19"/>
      <c r="BHT44" s="19"/>
      <c r="BHU44" s="19"/>
      <c r="BHV44" s="19"/>
      <c r="BHW44" s="19"/>
      <c r="BHX44" s="19"/>
      <c r="BHY44" s="19"/>
      <c r="BHZ44" s="19"/>
      <c r="BIA44" s="19"/>
      <c r="BIB44" s="19"/>
      <c r="BIC44" s="19"/>
      <c r="BID44" s="19"/>
      <c r="BIE44" s="19"/>
      <c r="BIF44" s="19"/>
      <c r="BIG44" s="19"/>
      <c r="BIH44" s="19"/>
      <c r="BII44" s="19"/>
      <c r="BIJ44" s="19"/>
      <c r="BIK44" s="19"/>
      <c r="BIL44" s="19"/>
      <c r="BIM44" s="19"/>
      <c r="BIN44" s="19"/>
      <c r="BIO44" s="19"/>
      <c r="BIP44" s="19"/>
      <c r="BIQ44" s="19"/>
      <c r="BIR44" s="19"/>
      <c r="BIS44" s="19"/>
      <c r="BIT44" s="19"/>
      <c r="BIU44" s="19"/>
      <c r="BIV44" s="19"/>
      <c r="BIW44" s="19"/>
      <c r="BIX44" s="19"/>
      <c r="BIY44" s="19"/>
      <c r="BIZ44" s="19"/>
      <c r="BJA44" s="19"/>
      <c r="BJB44" s="19"/>
      <c r="BJC44" s="19"/>
      <c r="BJD44" s="19"/>
      <c r="BJE44" s="19"/>
      <c r="BJF44" s="19"/>
      <c r="BJG44" s="19"/>
      <c r="BJH44" s="19"/>
      <c r="BJI44" s="19"/>
      <c r="BJJ44" s="19"/>
      <c r="BJK44" s="19"/>
      <c r="BJL44" s="19"/>
      <c r="BJM44" s="19"/>
      <c r="BJN44" s="19"/>
      <c r="BJO44" s="19"/>
      <c r="BJP44" s="19"/>
      <c r="BJQ44" s="19"/>
      <c r="BJR44" s="19"/>
      <c r="BJS44" s="19"/>
      <c r="BJT44" s="19"/>
      <c r="BJU44" s="19"/>
      <c r="BJV44" s="19"/>
      <c r="BJW44" s="19"/>
      <c r="BJX44" s="19"/>
      <c r="BJY44" s="19"/>
      <c r="BJZ44" s="19"/>
      <c r="BKA44" s="19"/>
      <c r="BKB44" s="19"/>
      <c r="BKC44" s="19"/>
      <c r="BKD44" s="19"/>
      <c r="BKE44" s="19"/>
      <c r="BKF44" s="19"/>
      <c r="BKG44" s="19"/>
      <c r="BKH44" s="19"/>
      <c r="BKI44" s="19"/>
      <c r="BKJ44" s="19"/>
      <c r="BKK44" s="19"/>
      <c r="BKL44" s="19"/>
      <c r="BKM44" s="19"/>
      <c r="BKN44" s="19"/>
      <c r="BKO44" s="19"/>
      <c r="BKP44" s="19"/>
      <c r="BKQ44" s="19"/>
      <c r="BKR44" s="19"/>
      <c r="BKS44" s="19"/>
      <c r="BKT44" s="19"/>
      <c r="BKU44" s="19"/>
      <c r="BKV44" s="19"/>
      <c r="BKW44" s="19"/>
      <c r="BKX44" s="19"/>
      <c r="BKY44" s="19"/>
      <c r="BKZ44" s="19"/>
      <c r="BLA44" s="19"/>
      <c r="BLB44" s="19"/>
      <c r="BLC44" s="19"/>
      <c r="BLD44" s="19"/>
      <c r="BLE44" s="19"/>
      <c r="BLF44" s="19"/>
      <c r="BLG44" s="19"/>
      <c r="BLH44" s="19"/>
      <c r="BLI44" s="19"/>
      <c r="BLJ44" s="19"/>
      <c r="BLK44" s="19"/>
      <c r="BLL44" s="19"/>
      <c r="BLM44" s="19"/>
      <c r="BLN44" s="19"/>
      <c r="BLO44" s="19"/>
      <c r="BLP44" s="19"/>
      <c r="BLQ44" s="19"/>
      <c r="BLR44" s="19"/>
      <c r="BLS44" s="19"/>
      <c r="BLT44" s="19"/>
      <c r="BLU44" s="19"/>
      <c r="BLV44" s="19"/>
      <c r="BLW44" s="19"/>
      <c r="BLX44" s="19"/>
      <c r="BLY44" s="19"/>
      <c r="BLZ44" s="19"/>
      <c r="BMA44" s="19"/>
      <c r="BMB44" s="19"/>
      <c r="BMC44" s="19"/>
      <c r="BMD44" s="19"/>
      <c r="BME44" s="19"/>
      <c r="BMF44" s="19"/>
      <c r="BMG44" s="19"/>
      <c r="BMH44" s="19"/>
      <c r="BMI44" s="19"/>
      <c r="BMJ44" s="19"/>
      <c r="BMK44" s="19"/>
      <c r="BML44" s="19"/>
      <c r="BMM44" s="19"/>
      <c r="BMN44" s="19"/>
      <c r="BMO44" s="19"/>
      <c r="BMP44" s="19"/>
      <c r="BMQ44" s="19"/>
      <c r="BMR44" s="19"/>
      <c r="BMS44" s="19"/>
      <c r="BMT44" s="19"/>
      <c r="BMU44" s="19"/>
      <c r="BMV44" s="19"/>
      <c r="BMW44" s="19"/>
      <c r="BMX44" s="19"/>
      <c r="BMY44" s="19"/>
      <c r="BMZ44" s="19"/>
      <c r="BNA44" s="19"/>
      <c r="BNB44" s="19"/>
      <c r="BNC44" s="19"/>
      <c r="BND44" s="19"/>
      <c r="BNE44" s="19"/>
      <c r="BNF44" s="19"/>
      <c r="BNG44" s="19"/>
      <c r="BNH44" s="19"/>
      <c r="BNI44" s="19"/>
      <c r="BNJ44" s="19"/>
      <c r="BNK44" s="19"/>
      <c r="BNL44" s="19"/>
      <c r="BNM44" s="19"/>
      <c r="BNN44" s="19"/>
      <c r="BNO44" s="19"/>
      <c r="BNP44" s="19"/>
      <c r="BNQ44" s="19"/>
      <c r="BNR44" s="19"/>
      <c r="BNS44" s="19"/>
      <c r="BNT44" s="19"/>
      <c r="BNU44" s="19"/>
      <c r="BNV44" s="19"/>
      <c r="BNW44" s="19"/>
      <c r="BNX44" s="19"/>
      <c r="BNY44" s="19"/>
      <c r="BNZ44" s="19"/>
      <c r="BOA44" s="19"/>
      <c r="BOB44" s="19"/>
      <c r="BOC44" s="19"/>
      <c r="BOD44" s="19"/>
      <c r="BOE44" s="19"/>
      <c r="BOF44" s="19"/>
      <c r="BOG44" s="19"/>
      <c r="BOH44" s="19"/>
      <c r="BOI44" s="19"/>
      <c r="BOJ44" s="19"/>
      <c r="BOK44" s="19"/>
      <c r="BOL44" s="19"/>
      <c r="BOM44" s="19"/>
      <c r="BON44" s="19"/>
      <c r="BOO44" s="19"/>
      <c r="BOP44" s="19"/>
      <c r="BOQ44" s="19"/>
      <c r="BOR44" s="19"/>
      <c r="BOS44" s="19"/>
      <c r="BOT44" s="19"/>
      <c r="BOU44" s="19"/>
      <c r="BOV44" s="19"/>
      <c r="BOW44" s="19"/>
      <c r="BOX44" s="19"/>
      <c r="BOY44" s="19"/>
      <c r="BOZ44" s="19"/>
      <c r="BPA44" s="19"/>
      <c r="BPB44" s="19"/>
      <c r="BPC44" s="19"/>
      <c r="BPD44" s="19"/>
      <c r="BPE44" s="19"/>
      <c r="BPF44" s="19"/>
      <c r="BPG44" s="19"/>
      <c r="BPH44" s="19"/>
      <c r="BPI44" s="19"/>
      <c r="BPJ44" s="19"/>
      <c r="BPK44" s="19"/>
      <c r="BPL44" s="19"/>
      <c r="BPM44" s="19"/>
      <c r="BPN44" s="19"/>
      <c r="BPO44" s="19"/>
      <c r="BPP44" s="19"/>
      <c r="BPQ44" s="19"/>
      <c r="BPR44" s="19"/>
      <c r="BPS44" s="19"/>
      <c r="BPT44" s="19"/>
      <c r="BPU44" s="19"/>
      <c r="BPV44" s="19"/>
      <c r="BPW44" s="19"/>
      <c r="BPX44" s="19"/>
      <c r="BPY44" s="19"/>
      <c r="BPZ44" s="19"/>
      <c r="BQA44" s="19"/>
      <c r="BQB44" s="19"/>
      <c r="BQC44" s="19"/>
      <c r="BQD44" s="19"/>
      <c r="BQE44" s="19"/>
      <c r="BQF44" s="19"/>
      <c r="BQG44" s="19"/>
      <c r="BQH44" s="19"/>
      <c r="BQI44" s="19"/>
      <c r="BQJ44" s="19"/>
      <c r="BQK44" s="19"/>
      <c r="BQL44" s="19"/>
      <c r="BQM44" s="19"/>
      <c r="BQN44" s="19"/>
      <c r="BQO44" s="19"/>
      <c r="BQP44" s="19"/>
      <c r="BQQ44" s="19"/>
      <c r="BQR44" s="19"/>
      <c r="BQS44" s="19"/>
      <c r="BQT44" s="19"/>
      <c r="BQU44" s="19"/>
      <c r="BQV44" s="19"/>
      <c r="BQW44" s="19"/>
      <c r="BQX44" s="19"/>
      <c r="BQY44" s="19"/>
      <c r="BQZ44" s="19"/>
      <c r="BRA44" s="19"/>
      <c r="BRB44" s="19"/>
      <c r="BRC44" s="19"/>
      <c r="BRD44" s="19"/>
      <c r="BRE44" s="19"/>
      <c r="BRF44" s="19"/>
      <c r="BRG44" s="19"/>
      <c r="BRH44" s="19"/>
      <c r="BRI44" s="19"/>
      <c r="BRJ44" s="19"/>
      <c r="BRK44" s="19"/>
      <c r="BRL44" s="19"/>
      <c r="BRM44" s="19"/>
      <c r="BRN44" s="19"/>
      <c r="BRO44" s="19"/>
      <c r="BRP44" s="19"/>
      <c r="BRQ44" s="19"/>
      <c r="BRR44" s="19"/>
      <c r="BRS44" s="19"/>
      <c r="BRT44" s="19"/>
      <c r="BRU44" s="19"/>
      <c r="BRV44" s="19"/>
      <c r="BRW44" s="19"/>
      <c r="BRX44" s="19"/>
      <c r="BRY44" s="19"/>
      <c r="BRZ44" s="19"/>
      <c r="BSA44" s="19"/>
      <c r="BSB44" s="19"/>
      <c r="BSC44" s="19"/>
      <c r="BSD44" s="19"/>
      <c r="BSE44" s="19"/>
      <c r="BSF44" s="19"/>
      <c r="BSG44" s="19"/>
      <c r="BSH44" s="19"/>
      <c r="BSI44" s="19"/>
      <c r="BSJ44" s="19"/>
      <c r="BSK44" s="19"/>
      <c r="BSL44" s="19"/>
      <c r="BSM44" s="19"/>
      <c r="BSN44" s="19"/>
      <c r="BSO44" s="19"/>
      <c r="BSP44" s="19"/>
      <c r="BSQ44" s="19"/>
      <c r="BSR44" s="19"/>
      <c r="BSS44" s="19"/>
      <c r="BST44" s="19"/>
      <c r="BSU44" s="19"/>
      <c r="BSV44" s="19"/>
      <c r="BSW44" s="19"/>
      <c r="BSX44" s="19"/>
      <c r="BSY44" s="19"/>
      <c r="BSZ44" s="19"/>
      <c r="BTA44" s="19"/>
      <c r="BTB44" s="19"/>
      <c r="BTC44" s="19"/>
      <c r="BTD44" s="19"/>
      <c r="BTE44" s="19"/>
      <c r="BTF44" s="19"/>
      <c r="BTG44" s="19"/>
      <c r="BTH44" s="19"/>
      <c r="BTI44" s="19"/>
      <c r="BTJ44" s="19"/>
      <c r="BTK44" s="19"/>
      <c r="BTL44" s="19"/>
      <c r="BTM44" s="19"/>
      <c r="BTN44" s="19"/>
      <c r="BTO44" s="19"/>
      <c r="BTP44" s="19"/>
      <c r="BTQ44" s="19"/>
      <c r="BTR44" s="19"/>
      <c r="BTS44" s="19"/>
      <c r="BTT44" s="19"/>
      <c r="BTU44" s="19"/>
      <c r="BTV44" s="19"/>
      <c r="BTW44" s="19"/>
      <c r="BTX44" s="19"/>
      <c r="BTY44" s="19"/>
      <c r="BTZ44" s="19"/>
      <c r="BUA44" s="19"/>
      <c r="BUB44" s="19"/>
      <c r="BUC44" s="19"/>
      <c r="BUD44" s="19"/>
      <c r="BUE44" s="19"/>
      <c r="BUF44" s="19"/>
      <c r="BUG44" s="19"/>
      <c r="BUH44" s="19"/>
      <c r="BUI44" s="19"/>
      <c r="BUJ44" s="19"/>
      <c r="BUK44" s="19"/>
      <c r="BUL44" s="19"/>
      <c r="BUM44" s="19"/>
      <c r="BUN44" s="19"/>
      <c r="BUO44" s="19"/>
      <c r="BUP44" s="19"/>
      <c r="BUQ44" s="19"/>
      <c r="BUR44" s="19"/>
      <c r="BUS44" s="19"/>
      <c r="BUT44" s="19"/>
      <c r="BUU44" s="19"/>
      <c r="BUV44" s="19"/>
      <c r="BUW44" s="19"/>
      <c r="BUX44" s="19"/>
      <c r="BUY44" s="19"/>
      <c r="BUZ44" s="19"/>
      <c r="BVA44" s="19"/>
      <c r="BVB44" s="19"/>
      <c r="BVC44" s="19"/>
      <c r="BVD44" s="19"/>
      <c r="BVE44" s="19"/>
      <c r="BVF44" s="19"/>
      <c r="BVG44" s="19"/>
      <c r="BVH44" s="19"/>
      <c r="BVI44" s="19"/>
      <c r="BVJ44" s="19"/>
      <c r="BVK44" s="19"/>
      <c r="BVL44" s="19"/>
      <c r="BVM44" s="19"/>
      <c r="BVN44" s="19"/>
      <c r="BVO44" s="19"/>
      <c r="BVP44" s="19"/>
      <c r="BVQ44" s="19"/>
      <c r="BVR44" s="19"/>
      <c r="BVS44" s="19"/>
      <c r="BVT44" s="19"/>
      <c r="BVU44" s="19"/>
      <c r="BVV44" s="19"/>
      <c r="BVW44" s="19"/>
      <c r="BVX44" s="19"/>
      <c r="BVY44" s="19"/>
      <c r="BVZ44" s="19"/>
      <c r="BWA44" s="19"/>
      <c r="BWB44" s="19"/>
      <c r="BWC44" s="19"/>
      <c r="BWD44" s="19"/>
      <c r="BWE44" s="19"/>
      <c r="BWF44" s="19"/>
      <c r="BWG44" s="19"/>
      <c r="BWH44" s="19"/>
      <c r="BWI44" s="19"/>
      <c r="BWJ44" s="19"/>
      <c r="BWK44" s="19"/>
      <c r="BWL44" s="19"/>
      <c r="BWM44" s="19"/>
      <c r="BWN44" s="19"/>
      <c r="BWO44" s="19"/>
      <c r="BWP44" s="19"/>
      <c r="BWQ44" s="19"/>
      <c r="BWR44" s="19"/>
      <c r="BWS44" s="19"/>
      <c r="BWT44" s="19"/>
      <c r="BWU44" s="19"/>
      <c r="BWV44" s="19"/>
      <c r="BWW44" s="19"/>
      <c r="BWX44" s="19"/>
      <c r="BWY44" s="19"/>
      <c r="BWZ44" s="19"/>
      <c r="BXA44" s="19"/>
      <c r="BXB44" s="19"/>
      <c r="BXC44" s="19"/>
      <c r="BXD44" s="19"/>
      <c r="BXE44" s="19"/>
      <c r="BXF44" s="19"/>
      <c r="BXG44" s="19"/>
      <c r="BXH44" s="19"/>
      <c r="BXI44" s="19"/>
      <c r="BXJ44" s="19"/>
      <c r="BXK44" s="19"/>
      <c r="BXL44" s="19"/>
      <c r="BXM44" s="19"/>
      <c r="BXN44" s="19"/>
      <c r="BXO44" s="19"/>
      <c r="BXP44" s="19"/>
      <c r="BXQ44" s="19"/>
      <c r="BXR44" s="19"/>
      <c r="BXS44" s="19"/>
      <c r="BXT44" s="19"/>
      <c r="BXU44" s="19"/>
      <c r="BXV44" s="19"/>
      <c r="BXW44" s="19"/>
      <c r="BXX44" s="19"/>
      <c r="BXY44" s="19"/>
      <c r="BXZ44" s="19"/>
      <c r="BYA44" s="19"/>
      <c r="BYB44" s="19"/>
      <c r="BYC44" s="19"/>
      <c r="BYD44" s="19"/>
      <c r="BYE44" s="19"/>
      <c r="BYF44" s="19"/>
      <c r="BYG44" s="19"/>
      <c r="BYH44" s="19"/>
      <c r="BYI44" s="19"/>
      <c r="BYJ44" s="19"/>
      <c r="BYK44" s="19"/>
      <c r="BYL44" s="19"/>
      <c r="BYM44" s="19"/>
      <c r="BYN44" s="19"/>
      <c r="BYO44" s="19"/>
      <c r="BYP44" s="19"/>
      <c r="BYQ44" s="19"/>
      <c r="BYR44" s="19"/>
      <c r="BYS44" s="19"/>
      <c r="BYT44" s="19"/>
      <c r="BYU44" s="19"/>
      <c r="BYV44" s="19"/>
      <c r="BYW44" s="19"/>
      <c r="BYX44" s="19"/>
      <c r="BYY44" s="19"/>
      <c r="BYZ44" s="19"/>
      <c r="BZA44" s="19"/>
      <c r="BZB44" s="19"/>
      <c r="BZC44" s="19"/>
      <c r="BZD44" s="19"/>
      <c r="BZE44" s="19"/>
      <c r="BZF44" s="19"/>
      <c r="BZG44" s="19"/>
      <c r="BZH44" s="19"/>
      <c r="BZI44" s="19"/>
      <c r="BZJ44" s="19"/>
      <c r="BZK44" s="19"/>
      <c r="BZL44" s="19"/>
      <c r="BZM44" s="19"/>
      <c r="BZN44" s="19"/>
      <c r="BZO44" s="19"/>
      <c r="BZP44" s="19"/>
      <c r="BZQ44" s="19"/>
      <c r="BZR44" s="19"/>
      <c r="BZS44" s="19"/>
      <c r="BZT44" s="19"/>
      <c r="BZU44" s="19"/>
      <c r="BZV44" s="19"/>
      <c r="BZW44" s="19"/>
      <c r="BZX44" s="19"/>
      <c r="BZY44" s="19"/>
      <c r="BZZ44" s="19"/>
      <c r="CAA44" s="19"/>
      <c r="CAB44" s="19"/>
      <c r="CAC44" s="19"/>
      <c r="CAD44" s="19"/>
      <c r="CAE44" s="19"/>
      <c r="CAF44" s="19"/>
      <c r="CAG44" s="19"/>
      <c r="CAH44" s="19"/>
      <c r="CAI44" s="19"/>
      <c r="CAJ44" s="19"/>
      <c r="CAK44" s="19"/>
      <c r="CAL44" s="19"/>
      <c r="CAM44" s="19"/>
      <c r="CAN44" s="19"/>
      <c r="CAO44" s="19"/>
      <c r="CAP44" s="19"/>
      <c r="CAQ44" s="19"/>
      <c r="CAR44" s="19"/>
      <c r="CAS44" s="19"/>
      <c r="CAT44" s="19"/>
      <c r="CAU44" s="19"/>
      <c r="CAV44" s="19"/>
      <c r="CAW44" s="19"/>
      <c r="CAX44" s="19"/>
      <c r="CAY44" s="19"/>
      <c r="CAZ44" s="19"/>
      <c r="CBA44" s="19"/>
      <c r="CBB44" s="19"/>
      <c r="CBC44" s="19"/>
      <c r="CBD44" s="19"/>
      <c r="CBE44" s="19"/>
      <c r="CBF44" s="19"/>
      <c r="CBG44" s="19"/>
      <c r="CBH44" s="19"/>
      <c r="CBI44" s="19"/>
      <c r="CBJ44" s="19"/>
      <c r="CBK44" s="19"/>
      <c r="CBL44" s="19"/>
      <c r="CBM44" s="19"/>
      <c r="CBN44" s="19"/>
      <c r="CBO44" s="19"/>
      <c r="CBP44" s="19"/>
      <c r="CBQ44" s="19"/>
      <c r="CBR44" s="19"/>
      <c r="CBS44" s="19"/>
      <c r="CBT44" s="19"/>
      <c r="CBU44" s="19"/>
      <c r="CBV44" s="19"/>
      <c r="CBW44" s="19"/>
      <c r="CBX44" s="19"/>
      <c r="CBY44" s="19"/>
      <c r="CBZ44" s="19"/>
      <c r="CCA44" s="19"/>
      <c r="CCB44" s="19"/>
      <c r="CCC44" s="19"/>
      <c r="CCD44" s="19"/>
      <c r="CCE44" s="19"/>
      <c r="CCF44" s="19"/>
      <c r="CCG44" s="19"/>
      <c r="CCH44" s="19"/>
      <c r="CCI44" s="19"/>
      <c r="CCJ44" s="19"/>
      <c r="CCK44" s="19"/>
      <c r="CCL44" s="19"/>
      <c r="CCM44" s="19"/>
      <c r="CCN44" s="19"/>
      <c r="CCO44" s="19"/>
      <c r="CCP44" s="19"/>
      <c r="CCQ44" s="19"/>
      <c r="CCR44" s="19"/>
      <c r="CCS44" s="19"/>
      <c r="CCT44" s="19"/>
      <c r="CCU44" s="19"/>
      <c r="CCV44" s="19"/>
      <c r="CCW44" s="19"/>
      <c r="CCX44" s="19"/>
      <c r="CCY44" s="19"/>
      <c r="CCZ44" s="19"/>
      <c r="CDA44" s="19"/>
      <c r="CDB44" s="19"/>
      <c r="CDC44" s="19"/>
      <c r="CDD44" s="19"/>
      <c r="CDE44" s="19"/>
      <c r="CDF44" s="19"/>
      <c r="CDG44" s="19"/>
      <c r="CDH44" s="19"/>
      <c r="CDI44" s="19"/>
      <c r="CDJ44" s="19"/>
      <c r="CDK44" s="19"/>
      <c r="CDL44" s="19"/>
      <c r="CDM44" s="19"/>
      <c r="CDN44" s="19"/>
      <c r="CDO44" s="19"/>
      <c r="CDP44" s="19"/>
      <c r="CDQ44" s="19"/>
      <c r="CDR44" s="19"/>
      <c r="CDS44" s="19"/>
      <c r="CDT44" s="19"/>
      <c r="CDU44" s="19"/>
      <c r="CDV44" s="19"/>
      <c r="CDW44" s="19"/>
      <c r="CDX44" s="19"/>
      <c r="CDY44" s="19"/>
      <c r="CDZ44" s="19"/>
      <c r="CEA44" s="19"/>
      <c r="CEB44" s="19"/>
      <c r="CEC44" s="19"/>
      <c r="CED44" s="19"/>
      <c r="CEE44" s="19"/>
      <c r="CEF44" s="19"/>
      <c r="CEG44" s="19"/>
      <c r="CEH44" s="19"/>
      <c r="CEI44" s="19"/>
      <c r="CEJ44" s="19"/>
      <c r="CEK44" s="19"/>
      <c r="CEL44" s="19"/>
      <c r="CEM44" s="19"/>
      <c r="CEN44" s="19"/>
      <c r="CEO44" s="19"/>
      <c r="CEP44" s="19"/>
      <c r="CEQ44" s="19"/>
      <c r="CER44" s="19"/>
      <c r="CES44" s="19"/>
      <c r="CET44" s="19"/>
      <c r="CEU44" s="19"/>
      <c r="CEV44" s="19"/>
      <c r="CEW44" s="19"/>
      <c r="CEX44" s="19"/>
      <c r="CEY44" s="19"/>
      <c r="CEZ44" s="19"/>
      <c r="CFA44" s="19"/>
      <c r="CFB44" s="19"/>
      <c r="CFC44" s="19"/>
      <c r="CFD44" s="19"/>
      <c r="CFE44" s="19"/>
      <c r="CFF44" s="19"/>
      <c r="CFG44" s="19"/>
      <c r="CFH44" s="19"/>
      <c r="CFI44" s="19"/>
      <c r="CFJ44" s="19"/>
      <c r="CFK44" s="19"/>
      <c r="CFL44" s="19"/>
      <c r="CFM44" s="19"/>
      <c r="CFN44" s="19"/>
      <c r="CFO44" s="19"/>
      <c r="CFP44" s="19"/>
      <c r="CFQ44" s="19"/>
      <c r="CFR44" s="19"/>
      <c r="CFS44" s="19"/>
      <c r="CFT44" s="19"/>
      <c r="CFU44" s="19"/>
      <c r="CFV44" s="19"/>
      <c r="CFW44" s="19"/>
      <c r="CFX44" s="19"/>
      <c r="CFY44" s="19"/>
      <c r="CFZ44" s="19"/>
      <c r="CGA44" s="19"/>
      <c r="CGB44" s="19"/>
      <c r="CGC44" s="19"/>
      <c r="CGD44" s="19"/>
      <c r="CGE44" s="19"/>
      <c r="CGF44" s="19"/>
      <c r="CGG44" s="19"/>
      <c r="CGH44" s="19"/>
      <c r="CGI44" s="19"/>
      <c r="CGJ44" s="19"/>
      <c r="CGK44" s="19"/>
      <c r="CGL44" s="19"/>
      <c r="CGM44" s="19"/>
      <c r="CGN44" s="19"/>
      <c r="CGO44" s="19"/>
      <c r="CGP44" s="19"/>
      <c r="CGQ44" s="19"/>
      <c r="CGR44" s="19"/>
      <c r="CGS44" s="19"/>
      <c r="CGT44" s="19"/>
      <c r="CGU44" s="19"/>
      <c r="CGV44" s="19"/>
      <c r="CGW44" s="19"/>
      <c r="CGX44" s="19"/>
      <c r="CGY44" s="19"/>
      <c r="CGZ44" s="19"/>
      <c r="CHA44" s="19"/>
      <c r="CHB44" s="19"/>
      <c r="CHC44" s="19"/>
      <c r="CHD44" s="19"/>
      <c r="CHE44" s="19"/>
      <c r="CHF44" s="19"/>
      <c r="CHG44" s="19"/>
      <c r="CHH44" s="19"/>
      <c r="CHI44" s="19"/>
      <c r="CHJ44" s="19"/>
      <c r="CHK44" s="19"/>
      <c r="CHL44" s="19"/>
      <c r="CHM44" s="19"/>
      <c r="CHN44" s="19"/>
      <c r="CHO44" s="19"/>
      <c r="CHP44" s="19"/>
      <c r="CHQ44" s="19"/>
      <c r="CHR44" s="19"/>
      <c r="CHS44" s="19"/>
      <c r="CHT44" s="19"/>
      <c r="CHU44" s="19"/>
      <c r="CHV44" s="19"/>
      <c r="CHW44" s="19"/>
      <c r="CHX44" s="19"/>
      <c r="CHY44" s="19"/>
      <c r="CHZ44" s="19"/>
      <c r="CIA44" s="19"/>
      <c r="CIB44" s="19"/>
      <c r="CIC44" s="19"/>
      <c r="CID44" s="19"/>
      <c r="CIE44" s="19"/>
      <c r="CIF44" s="19"/>
      <c r="CIG44" s="19"/>
      <c r="CIH44" s="19"/>
      <c r="CII44" s="19"/>
      <c r="CIJ44" s="19"/>
      <c r="CIK44" s="19"/>
      <c r="CIL44" s="19"/>
      <c r="CIM44" s="19"/>
      <c r="CIN44" s="19"/>
      <c r="CIO44" s="19"/>
      <c r="CIP44" s="19"/>
      <c r="CIQ44" s="19"/>
      <c r="CIR44" s="19"/>
      <c r="CIS44" s="19"/>
      <c r="CIT44" s="19"/>
      <c r="CIU44" s="19"/>
      <c r="CIV44" s="19"/>
      <c r="CIW44" s="19"/>
      <c r="CIX44" s="19"/>
      <c r="CIY44" s="19"/>
      <c r="CIZ44" s="19"/>
      <c r="CJA44" s="19"/>
      <c r="CJB44" s="19"/>
      <c r="CJC44" s="19"/>
      <c r="CJD44" s="19"/>
      <c r="CJE44" s="19"/>
      <c r="CJF44" s="19"/>
      <c r="CJG44" s="19"/>
      <c r="CJH44" s="19"/>
      <c r="CJI44" s="19"/>
      <c r="CJJ44" s="19"/>
      <c r="CJK44" s="19"/>
      <c r="CJL44" s="19"/>
      <c r="CJM44" s="19"/>
      <c r="CJN44" s="19"/>
      <c r="CJO44" s="19"/>
      <c r="CJP44" s="19"/>
      <c r="CJQ44" s="19"/>
      <c r="CJR44" s="19"/>
      <c r="CJS44" s="19"/>
      <c r="CJT44" s="19"/>
      <c r="CJU44" s="19"/>
      <c r="CJV44" s="19"/>
      <c r="CJW44" s="19"/>
      <c r="CJX44" s="19"/>
      <c r="CJY44" s="19"/>
      <c r="CJZ44" s="19"/>
      <c r="CKA44" s="19"/>
      <c r="CKB44" s="19"/>
      <c r="CKC44" s="19"/>
      <c r="CKD44" s="19"/>
      <c r="CKE44" s="19"/>
      <c r="CKF44" s="19"/>
      <c r="CKG44" s="19"/>
      <c r="CKH44" s="19"/>
      <c r="CKI44" s="19"/>
      <c r="CKJ44" s="19"/>
      <c r="CKK44" s="19"/>
      <c r="CKL44" s="19"/>
      <c r="CKM44" s="19"/>
      <c r="CKN44" s="19"/>
      <c r="CKO44" s="19"/>
      <c r="CKP44" s="19"/>
      <c r="CKQ44" s="19"/>
      <c r="CKR44" s="19"/>
      <c r="CKS44" s="19"/>
      <c r="CKT44" s="19"/>
      <c r="CKU44" s="19"/>
      <c r="CKV44" s="19"/>
      <c r="CKW44" s="19"/>
      <c r="CKX44" s="19"/>
      <c r="CKY44" s="19"/>
      <c r="CKZ44" s="19"/>
      <c r="CLA44" s="19"/>
      <c r="CLB44" s="19"/>
      <c r="CLC44" s="19"/>
      <c r="CLD44" s="19"/>
      <c r="CLE44" s="19"/>
      <c r="CLF44" s="19"/>
      <c r="CLG44" s="19"/>
      <c r="CLH44" s="19"/>
      <c r="CLI44" s="19"/>
      <c r="CLJ44" s="19"/>
      <c r="CLK44" s="19"/>
      <c r="CLL44" s="19"/>
      <c r="CLM44" s="19"/>
      <c r="CLN44" s="19"/>
      <c r="CLO44" s="19"/>
      <c r="CLP44" s="19"/>
      <c r="CLQ44" s="19"/>
      <c r="CLR44" s="19"/>
      <c r="CLS44" s="19"/>
      <c r="CLT44" s="19"/>
      <c r="CLU44" s="19"/>
      <c r="CLV44" s="19"/>
      <c r="CLW44" s="19"/>
      <c r="CLX44" s="19"/>
      <c r="CLY44" s="19"/>
      <c r="CLZ44" s="19"/>
      <c r="CMA44" s="19"/>
      <c r="CMB44" s="19"/>
      <c r="CMC44" s="19"/>
      <c r="CMD44" s="19"/>
      <c r="CME44" s="19"/>
      <c r="CMF44" s="19"/>
      <c r="CMG44" s="19"/>
      <c r="CMH44" s="19"/>
      <c r="CMI44" s="19"/>
      <c r="CMJ44" s="19"/>
      <c r="CMK44" s="19"/>
      <c r="CML44" s="19"/>
      <c r="CMM44" s="19"/>
      <c r="CMN44" s="19"/>
      <c r="CMO44" s="19"/>
      <c r="CMP44" s="19"/>
      <c r="CMQ44" s="19"/>
      <c r="CMR44" s="19"/>
      <c r="CMS44" s="19"/>
      <c r="CMT44" s="19"/>
      <c r="CMU44" s="19"/>
      <c r="CMV44" s="19"/>
      <c r="CMW44" s="19"/>
      <c r="CMX44" s="19"/>
      <c r="CMY44" s="19"/>
      <c r="CMZ44" s="19"/>
      <c r="CNA44" s="19"/>
      <c r="CNB44" s="19"/>
      <c r="CNC44" s="19"/>
      <c r="CND44" s="19"/>
      <c r="CNE44" s="19"/>
      <c r="CNF44" s="19"/>
      <c r="CNG44" s="19"/>
      <c r="CNH44" s="19"/>
      <c r="CNI44" s="19"/>
      <c r="CNJ44" s="19"/>
      <c r="CNK44" s="19"/>
      <c r="CNL44" s="19"/>
      <c r="CNM44" s="19"/>
      <c r="CNN44" s="19"/>
      <c r="CNO44" s="19"/>
      <c r="CNP44" s="19"/>
      <c r="CNQ44" s="19"/>
      <c r="CNR44" s="19"/>
      <c r="CNS44" s="19"/>
      <c r="CNT44" s="19"/>
      <c r="CNU44" s="19"/>
      <c r="CNV44" s="19"/>
      <c r="CNW44" s="19"/>
      <c r="CNX44" s="19"/>
      <c r="CNY44" s="19"/>
      <c r="CNZ44" s="19"/>
      <c r="COA44" s="19"/>
      <c r="COB44" s="19"/>
      <c r="COC44" s="19"/>
      <c r="COD44" s="19"/>
      <c r="COE44" s="19"/>
      <c r="COF44" s="19"/>
      <c r="COG44" s="19"/>
      <c r="COH44" s="19"/>
      <c r="COI44" s="19"/>
      <c r="COJ44" s="19"/>
      <c r="COK44" s="19"/>
      <c r="COL44" s="19"/>
      <c r="COM44" s="19"/>
      <c r="CON44" s="19"/>
      <c r="COO44" s="19"/>
      <c r="COP44" s="19"/>
      <c r="COQ44" s="19"/>
      <c r="COR44" s="19"/>
      <c r="COS44" s="19"/>
      <c r="COT44" s="19"/>
      <c r="COU44" s="19"/>
      <c r="COV44" s="19"/>
      <c r="COW44" s="19"/>
      <c r="COX44" s="19"/>
      <c r="COY44" s="19"/>
      <c r="COZ44" s="19"/>
      <c r="CPA44" s="19"/>
      <c r="CPB44" s="19"/>
      <c r="CPC44" s="19"/>
      <c r="CPD44" s="19"/>
      <c r="CPE44" s="19"/>
      <c r="CPF44" s="19"/>
      <c r="CPG44" s="19"/>
      <c r="CPH44" s="19"/>
      <c r="CPI44" s="19"/>
      <c r="CPJ44" s="19"/>
      <c r="CPK44" s="19"/>
      <c r="CPL44" s="19"/>
      <c r="CPM44" s="19"/>
      <c r="CPN44" s="19"/>
      <c r="CPO44" s="19"/>
      <c r="CPP44" s="19"/>
      <c r="CPQ44" s="19"/>
      <c r="CPR44" s="19"/>
      <c r="CPS44" s="19"/>
      <c r="CPT44" s="19"/>
      <c r="CPU44" s="19"/>
      <c r="CPV44" s="19"/>
      <c r="CPW44" s="19"/>
      <c r="CPX44" s="19"/>
      <c r="CPY44" s="19"/>
      <c r="CPZ44" s="19"/>
      <c r="CQA44" s="19"/>
      <c r="CQB44" s="19"/>
      <c r="CQC44" s="19"/>
      <c r="CQD44" s="19"/>
      <c r="CQE44" s="19"/>
      <c r="CQF44" s="19"/>
      <c r="CQG44" s="19"/>
      <c r="CQH44" s="19"/>
      <c r="CQI44" s="19"/>
      <c r="CQJ44" s="19"/>
      <c r="CQK44" s="19"/>
      <c r="CQL44" s="19"/>
      <c r="CQM44" s="19"/>
      <c r="CQN44" s="19"/>
      <c r="CQO44" s="19"/>
      <c r="CQP44" s="19"/>
      <c r="CQQ44" s="19"/>
      <c r="CQR44" s="19"/>
      <c r="CQS44" s="19"/>
      <c r="CQT44" s="19"/>
      <c r="CQU44" s="19"/>
      <c r="CQV44" s="19"/>
      <c r="CQW44" s="19"/>
      <c r="CQX44" s="19"/>
      <c r="CQY44" s="19"/>
      <c r="CQZ44" s="19"/>
      <c r="CRA44" s="19"/>
      <c r="CRB44" s="19"/>
      <c r="CRC44" s="19"/>
      <c r="CRD44" s="19"/>
      <c r="CRE44" s="19"/>
      <c r="CRF44" s="19"/>
      <c r="CRG44" s="19"/>
      <c r="CRH44" s="19"/>
      <c r="CRI44" s="19"/>
      <c r="CRJ44" s="19"/>
      <c r="CRK44" s="19"/>
      <c r="CRL44" s="19"/>
      <c r="CRM44" s="19"/>
      <c r="CRN44" s="19"/>
      <c r="CRO44" s="19"/>
      <c r="CRP44" s="19"/>
      <c r="CRQ44" s="19"/>
      <c r="CRR44" s="19"/>
      <c r="CRS44" s="19"/>
      <c r="CRT44" s="19"/>
      <c r="CRU44" s="19"/>
      <c r="CRV44" s="19"/>
      <c r="CRW44" s="19"/>
      <c r="CRX44" s="19"/>
      <c r="CRY44" s="19"/>
      <c r="CRZ44" s="19"/>
      <c r="CSA44" s="19"/>
      <c r="CSB44" s="19"/>
      <c r="CSC44" s="19"/>
      <c r="CSD44" s="19"/>
      <c r="CSE44" s="19"/>
      <c r="CSF44" s="19"/>
      <c r="CSG44" s="19"/>
      <c r="CSH44" s="19"/>
      <c r="CSI44" s="19"/>
      <c r="CSJ44" s="19"/>
      <c r="CSK44" s="19"/>
      <c r="CSL44" s="19"/>
      <c r="CSM44" s="19"/>
      <c r="CSN44" s="19"/>
      <c r="CSO44" s="19"/>
      <c r="CSP44" s="19"/>
      <c r="CSQ44" s="19"/>
      <c r="CSR44" s="19"/>
      <c r="CSS44" s="19"/>
      <c r="CST44" s="19"/>
      <c r="CSU44" s="19"/>
      <c r="CSV44" s="19"/>
      <c r="CSW44" s="19"/>
      <c r="CSX44" s="19"/>
      <c r="CSY44" s="19"/>
      <c r="CSZ44" s="19"/>
      <c r="CTA44" s="19"/>
      <c r="CTB44" s="19"/>
      <c r="CTC44" s="19"/>
      <c r="CTD44" s="19"/>
      <c r="CTE44" s="19"/>
      <c r="CTF44" s="19"/>
      <c r="CTG44" s="19"/>
      <c r="CTH44" s="19"/>
      <c r="CTI44" s="19"/>
      <c r="CTJ44" s="19"/>
      <c r="CTK44" s="19"/>
      <c r="CTL44" s="19"/>
      <c r="CTM44" s="19"/>
      <c r="CTN44" s="19"/>
      <c r="CTO44" s="19"/>
      <c r="CTP44" s="19"/>
      <c r="CTQ44" s="19"/>
      <c r="CTR44" s="19"/>
      <c r="CTS44" s="19"/>
      <c r="CTT44" s="19"/>
      <c r="CTU44" s="19"/>
      <c r="CTV44" s="19"/>
      <c r="CTW44" s="19"/>
      <c r="CTX44" s="19"/>
      <c r="CTY44" s="19"/>
      <c r="CTZ44" s="19"/>
      <c r="CUA44" s="19"/>
      <c r="CUB44" s="19"/>
      <c r="CUC44" s="19"/>
      <c r="CUD44" s="19"/>
      <c r="CUE44" s="19"/>
      <c r="CUF44" s="19"/>
      <c r="CUG44" s="19"/>
      <c r="CUH44" s="19"/>
      <c r="CUI44" s="19"/>
      <c r="CUJ44" s="19"/>
      <c r="CUK44" s="19"/>
      <c r="CUL44" s="19"/>
      <c r="CUM44" s="19"/>
      <c r="CUN44" s="19"/>
      <c r="CUO44" s="19"/>
      <c r="CUP44" s="19"/>
      <c r="CUQ44" s="19"/>
      <c r="CUR44" s="19"/>
      <c r="CUS44" s="19"/>
      <c r="CUT44" s="19"/>
      <c r="CUU44" s="19"/>
      <c r="CUV44" s="19"/>
      <c r="CUW44" s="19"/>
      <c r="CUX44" s="19"/>
      <c r="CUY44" s="19"/>
      <c r="CUZ44" s="19"/>
      <c r="CVA44" s="19"/>
      <c r="CVB44" s="19"/>
      <c r="CVC44" s="19"/>
      <c r="CVD44" s="19"/>
      <c r="CVE44" s="19"/>
      <c r="CVF44" s="19"/>
      <c r="CVG44" s="19"/>
      <c r="CVH44" s="19"/>
      <c r="CVI44" s="19"/>
      <c r="CVJ44" s="19"/>
      <c r="CVK44" s="19"/>
      <c r="CVL44" s="19"/>
      <c r="CVM44" s="19"/>
      <c r="CVN44" s="19"/>
      <c r="CVO44" s="19"/>
      <c r="CVP44" s="19"/>
      <c r="CVQ44" s="19"/>
      <c r="CVR44" s="19"/>
      <c r="CVS44" s="19"/>
      <c r="CVT44" s="19"/>
      <c r="CVU44" s="19"/>
      <c r="CVV44" s="19"/>
      <c r="CVW44" s="19"/>
      <c r="CVX44" s="19"/>
      <c r="CVY44" s="19"/>
      <c r="CVZ44" s="19"/>
      <c r="CWA44" s="19"/>
      <c r="CWB44" s="19"/>
      <c r="CWC44" s="19"/>
      <c r="CWD44" s="19"/>
      <c r="CWE44" s="19"/>
      <c r="CWF44" s="19"/>
      <c r="CWG44" s="19"/>
      <c r="CWH44" s="19"/>
      <c r="CWI44" s="19"/>
      <c r="CWJ44" s="19"/>
      <c r="CWK44" s="19"/>
      <c r="CWL44" s="19"/>
      <c r="CWM44" s="19"/>
      <c r="CWN44" s="19"/>
      <c r="CWO44" s="19"/>
      <c r="CWP44" s="19"/>
      <c r="CWQ44" s="19"/>
      <c r="CWR44" s="19"/>
      <c r="CWS44" s="19"/>
      <c r="CWT44" s="19"/>
      <c r="CWU44" s="19"/>
      <c r="CWV44" s="19"/>
      <c r="CWW44" s="19"/>
      <c r="CWX44" s="19"/>
      <c r="CWY44" s="19"/>
      <c r="CWZ44" s="19"/>
      <c r="CXA44" s="19"/>
      <c r="CXB44" s="19"/>
      <c r="CXC44" s="19"/>
      <c r="CXD44" s="19"/>
      <c r="CXE44" s="19"/>
      <c r="CXF44" s="19"/>
      <c r="CXG44" s="19"/>
      <c r="CXH44" s="19"/>
      <c r="CXI44" s="19"/>
      <c r="CXJ44" s="19"/>
      <c r="CXK44" s="19"/>
      <c r="CXL44" s="19"/>
      <c r="CXM44" s="19"/>
      <c r="CXN44" s="19"/>
      <c r="CXO44" s="19"/>
      <c r="CXP44" s="19"/>
      <c r="CXQ44" s="19"/>
      <c r="CXR44" s="19"/>
      <c r="CXS44" s="19"/>
      <c r="CXT44" s="19"/>
      <c r="CXU44" s="19"/>
      <c r="CXV44" s="19"/>
      <c r="CXW44" s="19"/>
      <c r="CXX44" s="19"/>
      <c r="CXY44" s="19"/>
      <c r="CXZ44" s="19"/>
      <c r="CYA44" s="19"/>
      <c r="CYB44" s="19"/>
      <c r="CYC44" s="19"/>
      <c r="CYD44" s="19"/>
      <c r="CYE44" s="19"/>
      <c r="CYF44" s="19"/>
      <c r="CYG44" s="19"/>
      <c r="CYH44" s="19"/>
      <c r="CYI44" s="19"/>
      <c r="CYJ44" s="19"/>
      <c r="CYK44" s="19"/>
      <c r="CYL44" s="19"/>
      <c r="CYM44" s="19"/>
      <c r="CYN44" s="19"/>
      <c r="CYO44" s="19"/>
      <c r="CYP44" s="19"/>
      <c r="CYQ44" s="19"/>
      <c r="CYR44" s="19"/>
      <c r="CYS44" s="19"/>
      <c r="CYT44" s="19"/>
      <c r="CYU44" s="19"/>
      <c r="CYV44" s="19"/>
      <c r="CYW44" s="19"/>
      <c r="CYX44" s="19"/>
      <c r="CYY44" s="19"/>
      <c r="CYZ44" s="19"/>
      <c r="CZA44" s="19"/>
      <c r="CZB44" s="19"/>
      <c r="CZC44" s="19"/>
      <c r="CZD44" s="19"/>
      <c r="CZE44" s="19"/>
      <c r="CZF44" s="19"/>
      <c r="CZG44" s="19"/>
      <c r="CZH44" s="19"/>
      <c r="CZI44" s="19"/>
      <c r="CZJ44" s="19"/>
      <c r="CZK44" s="19"/>
      <c r="CZL44" s="19"/>
      <c r="CZM44" s="19"/>
      <c r="CZN44" s="19"/>
      <c r="CZO44" s="19"/>
      <c r="CZP44" s="19"/>
      <c r="CZQ44" s="19"/>
      <c r="CZR44" s="19"/>
      <c r="CZS44" s="19"/>
      <c r="CZT44" s="19"/>
      <c r="CZU44" s="19"/>
      <c r="CZV44" s="19"/>
      <c r="CZW44" s="19"/>
      <c r="CZX44" s="19"/>
      <c r="CZY44" s="19"/>
      <c r="CZZ44" s="19"/>
      <c r="DAA44" s="19"/>
      <c r="DAB44" s="19"/>
      <c r="DAC44" s="19"/>
      <c r="DAD44" s="19"/>
      <c r="DAE44" s="19"/>
      <c r="DAF44" s="19"/>
      <c r="DAG44" s="19"/>
      <c r="DAH44" s="19"/>
      <c r="DAI44" s="19"/>
      <c r="DAJ44" s="19"/>
      <c r="DAK44" s="19"/>
      <c r="DAL44" s="19"/>
      <c r="DAM44" s="19"/>
      <c r="DAN44" s="19"/>
      <c r="DAO44" s="19"/>
      <c r="DAP44" s="19"/>
      <c r="DAQ44" s="19"/>
      <c r="DAR44" s="19"/>
      <c r="DAS44" s="19"/>
      <c r="DAT44" s="19"/>
      <c r="DAU44" s="19"/>
      <c r="DAV44" s="19"/>
      <c r="DAW44" s="19"/>
      <c r="DAX44" s="19"/>
      <c r="DAY44" s="19"/>
      <c r="DAZ44" s="19"/>
      <c r="DBA44" s="19"/>
      <c r="DBB44" s="19"/>
      <c r="DBC44" s="19"/>
      <c r="DBD44" s="19"/>
      <c r="DBE44" s="19"/>
      <c r="DBF44" s="19"/>
      <c r="DBG44" s="19"/>
      <c r="DBH44" s="19"/>
      <c r="DBI44" s="19"/>
      <c r="DBJ44" s="19"/>
      <c r="DBK44" s="19"/>
      <c r="DBL44" s="19"/>
      <c r="DBM44" s="19"/>
      <c r="DBN44" s="19"/>
      <c r="DBO44" s="19"/>
      <c r="DBP44" s="19"/>
      <c r="DBQ44" s="19"/>
      <c r="DBR44" s="19"/>
      <c r="DBS44" s="19"/>
      <c r="DBT44" s="19"/>
      <c r="DBU44" s="19"/>
      <c r="DBV44" s="19"/>
      <c r="DBW44" s="19"/>
      <c r="DBX44" s="19"/>
      <c r="DBY44" s="19"/>
      <c r="DBZ44" s="19"/>
      <c r="DCA44" s="19"/>
      <c r="DCB44" s="19"/>
      <c r="DCC44" s="19"/>
      <c r="DCD44" s="19"/>
      <c r="DCE44" s="19"/>
      <c r="DCF44" s="19"/>
      <c r="DCG44" s="19"/>
      <c r="DCH44" s="19"/>
      <c r="DCI44" s="19"/>
      <c r="DCJ44" s="19"/>
      <c r="DCK44" s="19"/>
      <c r="DCL44" s="19"/>
      <c r="DCM44" s="19"/>
      <c r="DCN44" s="19"/>
      <c r="DCO44" s="19"/>
      <c r="DCP44" s="19"/>
      <c r="DCQ44" s="19"/>
      <c r="DCR44" s="19"/>
      <c r="DCS44" s="19"/>
      <c r="DCT44" s="19"/>
      <c r="DCU44" s="19"/>
      <c r="DCV44" s="19"/>
      <c r="DCW44" s="19"/>
      <c r="DCX44" s="19"/>
      <c r="DCY44" s="19"/>
      <c r="DCZ44" s="19"/>
      <c r="DDA44" s="19"/>
      <c r="DDB44" s="19"/>
      <c r="DDC44" s="19"/>
      <c r="DDD44" s="19"/>
      <c r="DDE44" s="19"/>
      <c r="DDF44" s="19"/>
      <c r="DDG44" s="19"/>
      <c r="DDH44" s="19"/>
      <c r="DDI44" s="19"/>
      <c r="DDJ44" s="19"/>
      <c r="DDK44" s="19"/>
      <c r="DDL44" s="19"/>
      <c r="DDM44" s="19"/>
      <c r="DDN44" s="19"/>
      <c r="DDO44" s="19"/>
      <c r="DDP44" s="19"/>
      <c r="DDQ44" s="19"/>
      <c r="DDR44" s="19"/>
      <c r="DDS44" s="19"/>
      <c r="DDT44" s="19"/>
      <c r="DDU44" s="19"/>
      <c r="DDV44" s="19"/>
      <c r="DDW44" s="19"/>
      <c r="DDX44" s="19"/>
      <c r="DDY44" s="19"/>
      <c r="DDZ44" s="19"/>
      <c r="DEA44" s="19"/>
      <c r="DEB44" s="19"/>
      <c r="DEC44" s="19"/>
      <c r="DED44" s="19"/>
      <c r="DEE44" s="19"/>
      <c r="DEF44" s="19"/>
      <c r="DEG44" s="19"/>
      <c r="DEH44" s="19"/>
      <c r="DEI44" s="19"/>
      <c r="DEJ44" s="19"/>
      <c r="DEK44" s="19"/>
      <c r="DEL44" s="19"/>
      <c r="DEM44" s="19"/>
      <c r="DEN44" s="19"/>
      <c r="DEO44" s="19"/>
      <c r="DEP44" s="19"/>
      <c r="DEQ44" s="19"/>
      <c r="DER44" s="19"/>
      <c r="DES44" s="19"/>
      <c r="DET44" s="19"/>
      <c r="DEU44" s="19"/>
      <c r="DEV44" s="19"/>
      <c r="DEW44" s="19"/>
      <c r="DEX44" s="19"/>
      <c r="DEY44" s="19"/>
      <c r="DEZ44" s="19"/>
      <c r="DFA44" s="19"/>
      <c r="DFB44" s="19"/>
      <c r="DFC44" s="19"/>
      <c r="DFD44" s="19"/>
      <c r="DFE44" s="19"/>
      <c r="DFF44" s="19"/>
      <c r="DFG44" s="19"/>
      <c r="DFH44" s="19"/>
      <c r="DFI44" s="19"/>
      <c r="DFJ44" s="19"/>
      <c r="DFK44" s="19"/>
      <c r="DFL44" s="19"/>
      <c r="DFM44" s="19"/>
      <c r="DFN44" s="19"/>
      <c r="DFO44" s="19"/>
      <c r="DFP44" s="19"/>
      <c r="DFQ44" s="19"/>
      <c r="DFR44" s="19"/>
      <c r="DFS44" s="19"/>
      <c r="DFT44" s="19"/>
      <c r="DFU44" s="19"/>
      <c r="DFV44" s="19"/>
      <c r="DFW44" s="19"/>
      <c r="DFX44" s="19"/>
      <c r="DFY44" s="19"/>
      <c r="DFZ44" s="19"/>
      <c r="DGA44" s="19"/>
      <c r="DGB44" s="19"/>
      <c r="DGC44" s="19"/>
      <c r="DGD44" s="19"/>
      <c r="DGE44" s="19"/>
      <c r="DGF44" s="19"/>
      <c r="DGG44" s="19"/>
      <c r="DGH44" s="19"/>
      <c r="DGI44" s="19"/>
      <c r="DGJ44" s="19"/>
      <c r="DGK44" s="19"/>
      <c r="DGL44" s="19"/>
      <c r="DGM44" s="19"/>
      <c r="DGN44" s="19"/>
      <c r="DGO44" s="19"/>
      <c r="DGP44" s="19"/>
      <c r="DGQ44" s="19"/>
      <c r="DGR44" s="19"/>
      <c r="DGS44" s="19"/>
      <c r="DGT44" s="19"/>
      <c r="DGU44" s="19"/>
      <c r="DGV44" s="19"/>
      <c r="DGW44" s="19"/>
      <c r="DGX44" s="19"/>
      <c r="DGY44" s="19"/>
      <c r="DGZ44" s="19"/>
      <c r="DHA44" s="19"/>
      <c r="DHB44" s="19"/>
      <c r="DHC44" s="19"/>
      <c r="DHD44" s="19"/>
      <c r="DHE44" s="19"/>
      <c r="DHF44" s="19"/>
      <c r="DHG44" s="19"/>
      <c r="DHH44" s="19"/>
      <c r="DHI44" s="19"/>
      <c r="DHJ44" s="19"/>
      <c r="DHK44" s="19"/>
      <c r="DHL44" s="19"/>
      <c r="DHM44" s="19"/>
      <c r="DHN44" s="19"/>
      <c r="DHO44" s="19"/>
      <c r="DHP44" s="19"/>
      <c r="DHQ44" s="19"/>
      <c r="DHR44" s="19"/>
      <c r="DHS44" s="19"/>
      <c r="DHT44" s="19"/>
      <c r="DHU44" s="19"/>
      <c r="DHV44" s="19"/>
      <c r="DHW44" s="19"/>
      <c r="DHX44" s="19"/>
      <c r="DHY44" s="19"/>
      <c r="DHZ44" s="19"/>
      <c r="DIA44" s="19"/>
      <c r="DIB44" s="19"/>
      <c r="DIC44" s="19"/>
      <c r="DID44" s="19"/>
      <c r="DIE44" s="19"/>
      <c r="DIF44" s="19"/>
      <c r="DIG44" s="19"/>
      <c r="DIH44" s="19"/>
      <c r="DII44" s="19"/>
      <c r="DIJ44" s="19"/>
      <c r="DIK44" s="19"/>
      <c r="DIL44" s="19"/>
      <c r="DIM44" s="19"/>
      <c r="DIN44" s="19"/>
      <c r="DIO44" s="19"/>
      <c r="DIP44" s="19"/>
      <c r="DIQ44" s="19"/>
      <c r="DIR44" s="19"/>
      <c r="DIS44" s="19"/>
      <c r="DIT44" s="19"/>
      <c r="DIU44" s="19"/>
      <c r="DIV44" s="19"/>
      <c r="DIW44" s="19"/>
      <c r="DIX44" s="19"/>
      <c r="DIY44" s="19"/>
      <c r="DIZ44" s="19"/>
      <c r="DJA44" s="19"/>
      <c r="DJB44" s="19"/>
      <c r="DJC44" s="19"/>
      <c r="DJD44" s="19"/>
      <c r="DJE44" s="19"/>
      <c r="DJF44" s="19"/>
      <c r="DJG44" s="19"/>
      <c r="DJH44" s="19"/>
      <c r="DJI44" s="19"/>
      <c r="DJJ44" s="19"/>
      <c r="DJK44" s="19"/>
      <c r="DJL44" s="19"/>
      <c r="DJM44" s="19"/>
      <c r="DJN44" s="19"/>
      <c r="DJO44" s="19"/>
      <c r="DJP44" s="19"/>
      <c r="DJQ44" s="19"/>
      <c r="DJR44" s="19"/>
      <c r="DJS44" s="19"/>
      <c r="DJT44" s="19"/>
      <c r="DJU44" s="19"/>
      <c r="DJV44" s="19"/>
      <c r="DJW44" s="19"/>
      <c r="DJX44" s="19"/>
      <c r="DJY44" s="19"/>
      <c r="DJZ44" s="19"/>
      <c r="DKA44" s="19"/>
      <c r="DKB44" s="19"/>
      <c r="DKC44" s="19"/>
      <c r="DKD44" s="19"/>
      <c r="DKE44" s="19"/>
      <c r="DKF44" s="19"/>
      <c r="DKG44" s="19"/>
      <c r="DKH44" s="19"/>
      <c r="DKI44" s="19"/>
      <c r="DKJ44" s="19"/>
      <c r="DKK44" s="19"/>
      <c r="DKL44" s="19"/>
      <c r="DKM44" s="19"/>
      <c r="DKN44" s="19"/>
      <c r="DKO44" s="19"/>
      <c r="DKP44" s="19"/>
      <c r="DKQ44" s="19"/>
      <c r="DKR44" s="19"/>
      <c r="DKS44" s="19"/>
      <c r="DKT44" s="19"/>
      <c r="DKU44" s="19"/>
      <c r="DKV44" s="19"/>
      <c r="DKW44" s="19"/>
      <c r="DKX44" s="19"/>
      <c r="DKY44" s="19"/>
      <c r="DKZ44" s="19"/>
      <c r="DLA44" s="19"/>
      <c r="DLB44" s="19"/>
      <c r="DLC44" s="19"/>
      <c r="DLD44" s="19"/>
      <c r="DLE44" s="19"/>
      <c r="DLF44" s="19"/>
      <c r="DLG44" s="19"/>
      <c r="DLH44" s="19"/>
      <c r="DLI44" s="19"/>
      <c r="DLJ44" s="19"/>
      <c r="DLK44" s="19"/>
      <c r="DLL44" s="19"/>
      <c r="DLM44" s="19"/>
      <c r="DLN44" s="19"/>
      <c r="DLO44" s="19"/>
      <c r="DLP44" s="19"/>
      <c r="DLQ44" s="19"/>
      <c r="DLR44" s="19"/>
      <c r="DLS44" s="19"/>
      <c r="DLT44" s="19"/>
      <c r="DLU44" s="19"/>
      <c r="DLV44" s="19"/>
      <c r="DLW44" s="19"/>
      <c r="DLX44" s="19"/>
      <c r="DLY44" s="19"/>
      <c r="DLZ44" s="19"/>
      <c r="DMA44" s="19"/>
      <c r="DMB44" s="19"/>
      <c r="DMC44" s="19"/>
      <c r="DMD44" s="19"/>
      <c r="DME44" s="19"/>
      <c r="DMF44" s="19"/>
      <c r="DMG44" s="19"/>
      <c r="DMH44" s="19"/>
      <c r="DMI44" s="19"/>
      <c r="DMJ44" s="19"/>
      <c r="DMK44" s="19"/>
      <c r="DML44" s="19"/>
      <c r="DMM44" s="19"/>
      <c r="DMN44" s="19"/>
      <c r="DMO44" s="19"/>
      <c r="DMP44" s="19"/>
      <c r="DMQ44" s="19"/>
      <c r="DMR44" s="19"/>
      <c r="DMS44" s="19"/>
      <c r="DMT44" s="19"/>
      <c r="DMU44" s="19"/>
      <c r="DMV44" s="19"/>
      <c r="DMW44" s="19"/>
      <c r="DMX44" s="19"/>
      <c r="DMY44" s="19"/>
      <c r="DMZ44" s="19"/>
      <c r="DNA44" s="19"/>
      <c r="DNB44" s="19"/>
      <c r="DNC44" s="19"/>
      <c r="DND44" s="19"/>
      <c r="DNE44" s="19"/>
      <c r="DNF44" s="19"/>
      <c r="DNG44" s="19"/>
      <c r="DNH44" s="19"/>
      <c r="DNI44" s="19"/>
      <c r="DNJ44" s="19"/>
      <c r="DNK44" s="19"/>
      <c r="DNL44" s="19"/>
      <c r="DNM44" s="19"/>
      <c r="DNN44" s="19"/>
      <c r="DNO44" s="19"/>
      <c r="DNP44" s="19"/>
      <c r="DNQ44" s="19"/>
      <c r="DNR44" s="19"/>
      <c r="DNS44" s="19"/>
      <c r="DNT44" s="19"/>
      <c r="DNU44" s="19"/>
      <c r="DNV44" s="19"/>
      <c r="DNW44" s="19"/>
      <c r="DNX44" s="19"/>
      <c r="DNY44" s="19"/>
      <c r="DNZ44" s="19"/>
      <c r="DOA44" s="19"/>
      <c r="DOB44" s="19"/>
      <c r="DOC44" s="19"/>
      <c r="DOD44" s="19"/>
      <c r="DOE44" s="19"/>
      <c r="DOF44" s="19"/>
      <c r="DOG44" s="19"/>
      <c r="DOH44" s="19"/>
      <c r="DOI44" s="19"/>
      <c r="DOJ44" s="19"/>
      <c r="DOK44" s="19"/>
      <c r="DOL44" s="19"/>
      <c r="DOM44" s="19"/>
      <c r="DON44" s="19"/>
      <c r="DOO44" s="19"/>
      <c r="DOP44" s="19"/>
      <c r="DOQ44" s="19"/>
      <c r="DOR44" s="19"/>
      <c r="DOS44" s="19"/>
      <c r="DOT44" s="19"/>
      <c r="DOU44" s="19"/>
      <c r="DOV44" s="19"/>
      <c r="DOW44" s="19"/>
      <c r="DOX44" s="19"/>
      <c r="DOY44" s="19"/>
      <c r="DOZ44" s="19"/>
      <c r="DPA44" s="19"/>
      <c r="DPB44" s="19"/>
      <c r="DPC44" s="19"/>
      <c r="DPD44" s="19"/>
      <c r="DPE44" s="19"/>
      <c r="DPF44" s="19"/>
      <c r="DPG44" s="19"/>
      <c r="DPH44" s="19"/>
      <c r="DPI44" s="19"/>
      <c r="DPJ44" s="19"/>
      <c r="DPK44" s="19"/>
      <c r="DPL44" s="19"/>
      <c r="DPM44" s="19"/>
      <c r="DPN44" s="19"/>
      <c r="DPO44" s="19"/>
      <c r="DPP44" s="19"/>
      <c r="DPQ44" s="19"/>
      <c r="DPR44" s="19"/>
      <c r="DPS44" s="19"/>
      <c r="DPT44" s="19"/>
      <c r="DPU44" s="19"/>
      <c r="DPV44" s="19"/>
      <c r="DPW44" s="19"/>
      <c r="DPX44" s="19"/>
      <c r="DPY44" s="19"/>
      <c r="DPZ44" s="19"/>
      <c r="DQA44" s="19"/>
      <c r="DQB44" s="19"/>
      <c r="DQC44" s="19"/>
      <c r="DQD44" s="19"/>
      <c r="DQE44" s="19"/>
      <c r="DQF44" s="19"/>
      <c r="DQG44" s="19"/>
      <c r="DQH44" s="19"/>
      <c r="DQI44" s="19"/>
      <c r="DQJ44" s="19"/>
      <c r="DQK44" s="19"/>
      <c r="DQL44" s="19"/>
      <c r="DQM44" s="19"/>
      <c r="DQN44" s="19"/>
      <c r="DQO44" s="19"/>
      <c r="DQP44" s="19"/>
      <c r="DQQ44" s="19"/>
      <c r="DQR44" s="19"/>
      <c r="DQS44" s="19"/>
      <c r="DQT44" s="19"/>
      <c r="DQU44" s="19"/>
      <c r="DQV44" s="19"/>
      <c r="DQW44" s="19"/>
      <c r="DQX44" s="19"/>
      <c r="DQY44" s="19"/>
      <c r="DQZ44" s="19"/>
      <c r="DRA44" s="19"/>
      <c r="DRB44" s="19"/>
      <c r="DRC44" s="19"/>
      <c r="DRD44" s="19"/>
      <c r="DRE44" s="19"/>
      <c r="DRF44" s="19"/>
      <c r="DRG44" s="19"/>
      <c r="DRH44" s="19"/>
      <c r="DRI44" s="19"/>
      <c r="DRJ44" s="19"/>
      <c r="DRK44" s="19"/>
      <c r="DRL44" s="19"/>
      <c r="DRM44" s="19"/>
      <c r="DRN44" s="19"/>
      <c r="DRO44" s="19"/>
      <c r="DRP44" s="19"/>
      <c r="DRQ44" s="19"/>
      <c r="DRR44" s="19"/>
      <c r="DRS44" s="19"/>
      <c r="DRT44" s="19"/>
      <c r="DRU44" s="19"/>
      <c r="DRV44" s="19"/>
      <c r="DRW44" s="19"/>
      <c r="DRX44" s="19"/>
      <c r="DRY44" s="19"/>
      <c r="DRZ44" s="19"/>
      <c r="DSA44" s="19"/>
      <c r="DSB44" s="19"/>
      <c r="DSC44" s="19"/>
      <c r="DSD44" s="19"/>
      <c r="DSE44" s="19"/>
      <c r="DSF44" s="19"/>
      <c r="DSG44" s="19"/>
      <c r="DSH44" s="19"/>
      <c r="DSI44" s="19"/>
      <c r="DSJ44" s="19"/>
      <c r="DSK44" s="19"/>
      <c r="DSL44" s="19"/>
      <c r="DSM44" s="19"/>
      <c r="DSN44" s="19"/>
      <c r="DSO44" s="19"/>
      <c r="DSP44" s="19"/>
      <c r="DSQ44" s="19"/>
      <c r="DSR44" s="19"/>
      <c r="DSS44" s="19"/>
      <c r="DST44" s="19"/>
      <c r="DSU44" s="19"/>
      <c r="DSV44" s="19"/>
      <c r="DSW44" s="19"/>
      <c r="DSX44" s="19"/>
      <c r="DSY44" s="19"/>
      <c r="DSZ44" s="19"/>
      <c r="DTA44" s="19"/>
      <c r="DTB44" s="19"/>
      <c r="DTC44" s="19"/>
      <c r="DTD44" s="19"/>
      <c r="DTE44" s="19"/>
      <c r="DTF44" s="19"/>
      <c r="DTG44" s="19"/>
      <c r="DTH44" s="19"/>
      <c r="DTI44" s="19"/>
      <c r="DTJ44" s="19"/>
      <c r="DTK44" s="19"/>
      <c r="DTL44" s="19"/>
      <c r="DTM44" s="19"/>
      <c r="DTN44" s="19"/>
      <c r="DTO44" s="19"/>
      <c r="DTP44" s="19"/>
      <c r="DTQ44" s="19"/>
      <c r="DTR44" s="19"/>
      <c r="DTS44" s="19"/>
      <c r="DTT44" s="19"/>
      <c r="DTU44" s="19"/>
      <c r="DTV44" s="19"/>
      <c r="DTW44" s="19"/>
      <c r="DTX44" s="19"/>
      <c r="DTY44" s="19"/>
      <c r="DTZ44" s="19"/>
      <c r="DUA44" s="19"/>
      <c r="DUB44" s="19"/>
      <c r="DUC44" s="19"/>
      <c r="DUD44" s="19"/>
      <c r="DUE44" s="19"/>
      <c r="DUF44" s="19"/>
      <c r="DUG44" s="19"/>
      <c r="DUH44" s="19"/>
      <c r="DUI44" s="19"/>
      <c r="DUJ44" s="19"/>
      <c r="DUK44" s="19"/>
      <c r="DUL44" s="19"/>
      <c r="DUM44" s="19"/>
      <c r="DUN44" s="19"/>
      <c r="DUO44" s="19"/>
      <c r="DUP44" s="19"/>
      <c r="DUQ44" s="19"/>
      <c r="DUR44" s="19"/>
      <c r="DUS44" s="19"/>
      <c r="DUT44" s="19"/>
      <c r="DUU44" s="19"/>
      <c r="DUV44" s="19"/>
      <c r="DUW44" s="19"/>
      <c r="DUX44" s="19"/>
      <c r="DUY44" s="19"/>
      <c r="DUZ44" s="19"/>
      <c r="DVA44" s="19"/>
      <c r="DVB44" s="19"/>
      <c r="DVC44" s="19"/>
      <c r="DVD44" s="19"/>
      <c r="DVE44" s="19"/>
      <c r="DVF44" s="19"/>
      <c r="DVG44" s="19"/>
      <c r="DVH44" s="19"/>
      <c r="DVI44" s="19"/>
      <c r="DVJ44" s="19"/>
      <c r="DVK44" s="19"/>
      <c r="DVL44" s="19"/>
      <c r="DVM44" s="19"/>
      <c r="DVN44" s="19"/>
      <c r="DVO44" s="19"/>
      <c r="DVP44" s="19"/>
      <c r="DVQ44" s="19"/>
      <c r="DVR44" s="19"/>
      <c r="DVS44" s="19"/>
      <c r="DVT44" s="19"/>
      <c r="DVU44" s="19"/>
      <c r="DVV44" s="19"/>
      <c r="DVW44" s="19"/>
      <c r="DVX44" s="19"/>
      <c r="DVY44" s="19"/>
      <c r="DVZ44" s="19"/>
      <c r="DWA44" s="19"/>
      <c r="DWB44" s="19"/>
      <c r="DWC44" s="19"/>
      <c r="DWD44" s="19"/>
      <c r="DWE44" s="19"/>
      <c r="DWF44" s="19"/>
      <c r="DWG44" s="19"/>
      <c r="DWH44" s="19"/>
      <c r="DWI44" s="19"/>
      <c r="DWJ44" s="19"/>
      <c r="DWK44" s="19"/>
      <c r="DWL44" s="19"/>
      <c r="DWM44" s="19"/>
      <c r="DWN44" s="19"/>
      <c r="DWO44" s="19"/>
      <c r="DWP44" s="19"/>
      <c r="DWQ44" s="19"/>
      <c r="DWR44" s="19"/>
      <c r="DWS44" s="19"/>
      <c r="DWT44" s="19"/>
      <c r="DWU44" s="19"/>
      <c r="DWV44" s="19"/>
      <c r="DWW44" s="19"/>
      <c r="DWX44" s="19"/>
      <c r="DWY44" s="19"/>
      <c r="DWZ44" s="19"/>
      <c r="DXA44" s="19"/>
      <c r="DXB44" s="19"/>
      <c r="DXC44" s="19"/>
      <c r="DXD44" s="19"/>
      <c r="DXE44" s="19"/>
      <c r="DXF44" s="19"/>
      <c r="DXG44" s="19"/>
      <c r="DXH44" s="19"/>
      <c r="DXI44" s="19"/>
      <c r="DXJ44" s="19"/>
      <c r="DXK44" s="19"/>
      <c r="DXL44" s="19"/>
      <c r="DXM44" s="19"/>
      <c r="DXN44" s="19"/>
      <c r="DXO44" s="19"/>
      <c r="DXP44" s="19"/>
      <c r="DXQ44" s="19"/>
      <c r="DXR44" s="19"/>
      <c r="DXS44" s="19"/>
      <c r="DXT44" s="19"/>
      <c r="DXU44" s="19"/>
      <c r="DXV44" s="19"/>
      <c r="DXW44" s="19"/>
      <c r="DXX44" s="19"/>
      <c r="DXY44" s="19"/>
      <c r="DXZ44" s="19"/>
      <c r="DYA44" s="19"/>
      <c r="DYB44" s="19"/>
      <c r="DYC44" s="19"/>
      <c r="DYD44" s="19"/>
      <c r="DYE44" s="19"/>
      <c r="DYF44" s="19"/>
      <c r="DYG44" s="19"/>
      <c r="DYH44" s="19"/>
      <c r="DYI44" s="19"/>
      <c r="DYJ44" s="19"/>
      <c r="DYK44" s="19"/>
      <c r="DYL44" s="19"/>
      <c r="DYM44" s="19"/>
      <c r="DYN44" s="19"/>
      <c r="DYO44" s="19"/>
      <c r="DYP44" s="19"/>
      <c r="DYQ44" s="19"/>
      <c r="DYR44" s="19"/>
      <c r="DYS44" s="19"/>
      <c r="DYT44" s="19"/>
      <c r="DYU44" s="19"/>
      <c r="DYV44" s="19"/>
      <c r="DYW44" s="19"/>
      <c r="DYX44" s="19"/>
      <c r="DYY44" s="19"/>
      <c r="DYZ44" s="19"/>
      <c r="DZA44" s="19"/>
      <c r="DZB44" s="19"/>
      <c r="DZC44" s="19"/>
      <c r="DZD44" s="19"/>
      <c r="DZE44" s="19"/>
      <c r="DZF44" s="19"/>
      <c r="DZG44" s="19"/>
      <c r="DZH44" s="19"/>
      <c r="DZI44" s="19"/>
      <c r="DZJ44" s="19"/>
      <c r="DZK44" s="19"/>
      <c r="DZL44" s="19"/>
      <c r="DZM44" s="19"/>
      <c r="DZN44" s="19"/>
      <c r="DZO44" s="19"/>
      <c r="DZP44" s="19"/>
      <c r="DZQ44" s="19"/>
      <c r="DZR44" s="19"/>
      <c r="DZS44" s="19"/>
      <c r="DZT44" s="19"/>
      <c r="DZU44" s="19"/>
      <c r="DZV44" s="19"/>
      <c r="DZW44" s="19"/>
      <c r="DZX44" s="19"/>
      <c r="DZY44" s="19"/>
      <c r="DZZ44" s="19"/>
      <c r="EAA44" s="19"/>
      <c r="EAB44" s="19"/>
      <c r="EAC44" s="19"/>
      <c r="EAD44" s="19"/>
      <c r="EAE44" s="19"/>
      <c r="EAF44" s="19"/>
      <c r="EAG44" s="19"/>
      <c r="EAH44" s="19"/>
      <c r="EAI44" s="19"/>
      <c r="EAJ44" s="19"/>
      <c r="EAK44" s="19"/>
      <c r="EAL44" s="19"/>
      <c r="EAM44" s="19"/>
      <c r="EAN44" s="19"/>
      <c r="EAO44" s="19"/>
      <c r="EAP44" s="19"/>
      <c r="EAQ44" s="19"/>
      <c r="EAR44" s="19"/>
      <c r="EAS44" s="19"/>
      <c r="EAT44" s="19"/>
      <c r="EAU44" s="19"/>
      <c r="EAV44" s="19"/>
      <c r="EAW44" s="19"/>
      <c r="EAX44" s="19"/>
      <c r="EAY44" s="19"/>
      <c r="EAZ44" s="19"/>
      <c r="EBA44" s="19"/>
      <c r="EBB44" s="19"/>
      <c r="EBC44" s="19"/>
      <c r="EBD44" s="19"/>
      <c r="EBE44" s="19"/>
      <c r="EBF44" s="19"/>
      <c r="EBG44" s="19"/>
      <c r="EBH44" s="19"/>
      <c r="EBI44" s="19"/>
      <c r="EBJ44" s="19"/>
      <c r="EBK44" s="19"/>
      <c r="EBL44" s="19"/>
      <c r="EBM44" s="19"/>
      <c r="EBN44" s="19"/>
      <c r="EBO44" s="19"/>
      <c r="EBP44" s="19"/>
      <c r="EBQ44" s="19"/>
      <c r="EBR44" s="19"/>
      <c r="EBS44" s="19"/>
      <c r="EBT44" s="19"/>
      <c r="EBU44" s="19"/>
      <c r="EBV44" s="19"/>
      <c r="EBW44" s="19"/>
      <c r="EBX44" s="19"/>
      <c r="EBY44" s="19"/>
      <c r="EBZ44" s="19"/>
      <c r="ECA44" s="19"/>
      <c r="ECB44" s="19"/>
      <c r="ECC44" s="19"/>
      <c r="ECD44" s="19"/>
      <c r="ECE44" s="19"/>
      <c r="ECF44" s="19"/>
      <c r="ECG44" s="19"/>
      <c r="ECH44" s="19"/>
      <c r="ECI44" s="19"/>
      <c r="ECJ44" s="19"/>
      <c r="ECK44" s="19"/>
      <c r="ECL44" s="19"/>
      <c r="ECM44" s="19"/>
      <c r="ECN44" s="19"/>
      <c r="ECO44" s="19"/>
      <c r="ECP44" s="19"/>
      <c r="ECQ44" s="19"/>
      <c r="ECR44" s="19"/>
      <c r="ECS44" s="19"/>
      <c r="ECT44" s="19"/>
      <c r="ECU44" s="19"/>
      <c r="ECV44" s="19"/>
      <c r="ECW44" s="19"/>
      <c r="ECX44" s="19"/>
      <c r="ECY44" s="19"/>
      <c r="ECZ44" s="19"/>
      <c r="EDA44" s="19"/>
      <c r="EDB44" s="19"/>
      <c r="EDC44" s="19"/>
      <c r="EDD44" s="19"/>
      <c r="EDE44" s="19"/>
      <c r="EDF44" s="19"/>
      <c r="EDG44" s="19"/>
      <c r="EDH44" s="19"/>
      <c r="EDI44" s="19"/>
      <c r="EDJ44" s="19"/>
      <c r="EDK44" s="19"/>
      <c r="EDL44" s="19"/>
      <c r="EDM44" s="19"/>
      <c r="EDN44" s="19"/>
      <c r="EDO44" s="19"/>
      <c r="EDP44" s="19"/>
      <c r="EDQ44" s="19"/>
      <c r="EDR44" s="19"/>
      <c r="EDS44" s="19"/>
      <c r="EDT44" s="19"/>
      <c r="EDU44" s="19"/>
      <c r="EDV44" s="19"/>
      <c r="EDW44" s="19"/>
      <c r="EDX44" s="19"/>
      <c r="EDY44" s="19"/>
      <c r="EDZ44" s="19"/>
      <c r="EEA44" s="19"/>
      <c r="EEB44" s="19"/>
      <c r="EEC44" s="19"/>
      <c r="EED44" s="19"/>
      <c r="EEE44" s="19"/>
      <c r="EEF44" s="19"/>
      <c r="EEG44" s="19"/>
      <c r="EEH44" s="19"/>
      <c r="EEI44" s="19"/>
      <c r="EEJ44" s="19"/>
      <c r="EEK44" s="19"/>
      <c r="EEL44" s="19"/>
      <c r="EEM44" s="19"/>
      <c r="EEN44" s="19"/>
      <c r="EEO44" s="19"/>
      <c r="EEP44" s="19"/>
      <c r="EEQ44" s="19"/>
      <c r="EER44" s="19"/>
      <c r="EES44" s="19"/>
      <c r="EET44" s="19"/>
      <c r="EEU44" s="19"/>
      <c r="EEV44" s="19"/>
      <c r="EEW44" s="19"/>
      <c r="EEX44" s="19"/>
      <c r="EEY44" s="19"/>
      <c r="EEZ44" s="19"/>
      <c r="EFA44" s="19"/>
      <c r="EFB44" s="19"/>
      <c r="EFC44" s="19"/>
      <c r="EFD44" s="19"/>
      <c r="EFE44" s="19"/>
      <c r="EFF44" s="19"/>
      <c r="EFG44" s="19"/>
      <c r="EFH44" s="19"/>
      <c r="EFI44" s="19"/>
      <c r="EFJ44" s="19"/>
      <c r="EFK44" s="19"/>
      <c r="EFL44" s="19"/>
      <c r="EFM44" s="19"/>
      <c r="EFN44" s="19"/>
      <c r="EFO44" s="19"/>
      <c r="EFP44" s="19"/>
      <c r="EFQ44" s="19"/>
      <c r="EFR44" s="19"/>
      <c r="EFS44" s="19"/>
      <c r="EFT44" s="19"/>
      <c r="EFU44" s="19"/>
      <c r="EFV44" s="19"/>
      <c r="EFW44" s="19"/>
      <c r="EFX44" s="19"/>
      <c r="EFY44" s="19"/>
      <c r="EFZ44" s="19"/>
      <c r="EGA44" s="19"/>
      <c r="EGB44" s="19"/>
      <c r="EGC44" s="19"/>
      <c r="EGD44" s="19"/>
      <c r="EGE44" s="19"/>
      <c r="EGF44" s="19"/>
      <c r="EGG44" s="19"/>
      <c r="EGH44" s="19"/>
      <c r="EGI44" s="19"/>
      <c r="EGJ44" s="19"/>
      <c r="EGK44" s="19"/>
      <c r="EGL44" s="19"/>
      <c r="EGM44" s="19"/>
      <c r="EGN44" s="19"/>
      <c r="EGO44" s="19"/>
      <c r="EGP44" s="19"/>
      <c r="EGQ44" s="19"/>
      <c r="EGR44" s="19"/>
      <c r="EGS44" s="19"/>
      <c r="EGT44" s="19"/>
      <c r="EGU44" s="19"/>
      <c r="EGV44" s="19"/>
      <c r="EGW44" s="19"/>
      <c r="EGX44" s="19"/>
      <c r="EGY44" s="19"/>
      <c r="EGZ44" s="19"/>
      <c r="EHA44" s="19"/>
      <c r="EHB44" s="19"/>
      <c r="EHC44" s="19"/>
      <c r="EHD44" s="19"/>
      <c r="EHE44" s="19"/>
      <c r="EHF44" s="19"/>
      <c r="EHG44" s="19"/>
      <c r="EHH44" s="19"/>
      <c r="EHI44" s="19"/>
      <c r="EHJ44" s="19"/>
      <c r="EHK44" s="19"/>
      <c r="EHL44" s="19"/>
      <c r="EHM44" s="19"/>
      <c r="EHN44" s="19"/>
      <c r="EHO44" s="19"/>
      <c r="EHP44" s="19"/>
      <c r="EHQ44" s="19"/>
      <c r="EHR44" s="19"/>
      <c r="EHS44" s="19"/>
      <c r="EHT44" s="19"/>
      <c r="EHU44" s="19"/>
      <c r="EHV44" s="19"/>
      <c r="EHW44" s="19"/>
      <c r="EHX44" s="19"/>
      <c r="EHY44" s="19"/>
      <c r="EHZ44" s="19"/>
      <c r="EIA44" s="19"/>
      <c r="EIB44" s="19"/>
      <c r="EIC44" s="19"/>
      <c r="EID44" s="19"/>
      <c r="EIE44" s="19"/>
      <c r="EIF44" s="19"/>
      <c r="EIG44" s="19"/>
      <c r="EIH44" s="19"/>
      <c r="EII44" s="19"/>
      <c r="EIJ44" s="19"/>
      <c r="EIK44" s="19"/>
      <c r="EIL44" s="19"/>
      <c r="EIM44" s="19"/>
      <c r="EIN44" s="19"/>
      <c r="EIO44" s="19"/>
      <c r="EIP44" s="19"/>
      <c r="EIQ44" s="19"/>
      <c r="EIR44" s="19"/>
      <c r="EIS44" s="19"/>
      <c r="EIT44" s="19"/>
      <c r="EIU44" s="19"/>
      <c r="EIV44" s="19"/>
      <c r="EIW44" s="19"/>
      <c r="EIX44" s="19"/>
      <c r="EIY44" s="19"/>
      <c r="EIZ44" s="19"/>
      <c r="EJA44" s="19"/>
      <c r="EJB44" s="19"/>
      <c r="EJC44" s="19"/>
      <c r="EJD44" s="19"/>
      <c r="EJE44" s="19"/>
      <c r="EJF44" s="19"/>
      <c r="EJG44" s="19"/>
      <c r="EJH44" s="19"/>
      <c r="EJI44" s="19"/>
      <c r="EJJ44" s="19"/>
      <c r="EJK44" s="19"/>
      <c r="EJL44" s="19"/>
      <c r="EJM44" s="19"/>
      <c r="EJN44" s="19"/>
      <c r="EJO44" s="19"/>
      <c r="EJP44" s="19"/>
      <c r="EJQ44" s="19"/>
      <c r="EJR44" s="19"/>
      <c r="EJS44" s="19"/>
      <c r="EJT44" s="19"/>
      <c r="EJU44" s="19"/>
      <c r="EJV44" s="19"/>
      <c r="EJW44" s="19"/>
      <c r="EJX44" s="19"/>
      <c r="EJY44" s="19"/>
      <c r="EJZ44" s="19"/>
      <c r="EKA44" s="19"/>
      <c r="EKB44" s="19"/>
      <c r="EKC44" s="19"/>
      <c r="EKD44" s="19"/>
      <c r="EKE44" s="19"/>
      <c r="EKF44" s="19"/>
      <c r="EKG44" s="19"/>
      <c r="EKH44" s="19"/>
      <c r="EKI44" s="19"/>
      <c r="EKJ44" s="19"/>
      <c r="EKK44" s="19"/>
      <c r="EKL44" s="19"/>
      <c r="EKM44" s="19"/>
      <c r="EKN44" s="19"/>
      <c r="EKO44" s="19"/>
      <c r="EKP44" s="19"/>
      <c r="EKQ44" s="19"/>
      <c r="EKR44" s="19"/>
      <c r="EKS44" s="19"/>
      <c r="EKT44" s="19"/>
      <c r="EKU44" s="19"/>
      <c r="EKV44" s="19"/>
      <c r="EKW44" s="19"/>
      <c r="EKX44" s="19"/>
      <c r="EKY44" s="19"/>
      <c r="EKZ44" s="19"/>
      <c r="ELA44" s="19"/>
      <c r="ELB44" s="19"/>
      <c r="ELC44" s="19"/>
      <c r="ELD44" s="19"/>
      <c r="ELE44" s="19"/>
      <c r="ELF44" s="19"/>
      <c r="ELG44" s="19"/>
      <c r="ELH44" s="19"/>
      <c r="ELI44" s="19"/>
      <c r="ELJ44" s="19"/>
      <c r="ELK44" s="19"/>
      <c r="ELL44" s="19"/>
      <c r="ELM44" s="19"/>
      <c r="ELN44" s="19"/>
      <c r="ELO44" s="19"/>
      <c r="ELP44" s="19"/>
      <c r="ELQ44" s="19"/>
      <c r="ELR44" s="19"/>
      <c r="ELS44" s="19"/>
      <c r="ELT44" s="19"/>
      <c r="ELU44" s="19"/>
      <c r="ELV44" s="19"/>
      <c r="ELW44" s="19"/>
      <c r="ELX44" s="19"/>
      <c r="ELY44" s="19"/>
      <c r="ELZ44" s="19"/>
      <c r="EMA44" s="19"/>
      <c r="EMB44" s="19"/>
      <c r="EMC44" s="19"/>
      <c r="EMD44" s="19"/>
      <c r="EME44" s="19"/>
      <c r="EMF44" s="19"/>
      <c r="EMG44" s="19"/>
      <c r="EMH44" s="19"/>
      <c r="EMI44" s="19"/>
      <c r="EMJ44" s="19"/>
      <c r="EMK44" s="19"/>
      <c r="EML44" s="19"/>
      <c r="EMM44" s="19"/>
      <c r="EMN44" s="19"/>
      <c r="EMO44" s="19"/>
      <c r="EMP44" s="19"/>
      <c r="EMQ44" s="19"/>
      <c r="EMR44" s="19"/>
      <c r="EMS44" s="19"/>
      <c r="EMT44" s="19"/>
      <c r="EMU44" s="19"/>
      <c r="EMV44" s="19"/>
      <c r="EMW44" s="19"/>
      <c r="EMX44" s="19"/>
      <c r="EMY44" s="19"/>
      <c r="EMZ44" s="19"/>
      <c r="ENA44" s="19"/>
      <c r="ENB44" s="19"/>
      <c r="ENC44" s="19"/>
      <c r="END44" s="19"/>
      <c r="ENE44" s="19"/>
      <c r="ENF44" s="19"/>
      <c r="ENG44" s="19"/>
      <c r="ENH44" s="19"/>
      <c r="ENI44" s="19"/>
      <c r="ENJ44" s="19"/>
      <c r="ENK44" s="19"/>
      <c r="ENL44" s="19"/>
      <c r="ENM44" s="19"/>
      <c r="ENN44" s="19"/>
      <c r="ENO44" s="19"/>
      <c r="ENP44" s="19"/>
      <c r="ENQ44" s="19"/>
      <c r="ENR44" s="19"/>
      <c r="ENS44" s="19"/>
      <c r="ENT44" s="19"/>
      <c r="ENU44" s="19"/>
      <c r="ENV44" s="19"/>
      <c r="ENW44" s="19"/>
      <c r="ENX44" s="19"/>
      <c r="ENY44" s="19"/>
      <c r="ENZ44" s="19"/>
      <c r="EOA44" s="19"/>
      <c r="EOB44" s="19"/>
      <c r="EOC44" s="19"/>
      <c r="EOD44" s="19"/>
      <c r="EOE44" s="19"/>
      <c r="EOF44" s="19"/>
      <c r="EOG44" s="19"/>
      <c r="EOH44" s="19"/>
      <c r="EOI44" s="19"/>
      <c r="EOJ44" s="19"/>
      <c r="EOK44" s="19"/>
      <c r="EOL44" s="19"/>
      <c r="EOM44" s="19"/>
      <c r="EON44" s="19"/>
      <c r="EOO44" s="19"/>
      <c r="EOP44" s="19"/>
      <c r="EOQ44" s="19"/>
      <c r="EOR44" s="19"/>
      <c r="EOS44" s="19"/>
      <c r="EOT44" s="19"/>
      <c r="EOU44" s="19"/>
      <c r="EOV44" s="19"/>
      <c r="EOW44" s="19"/>
      <c r="EOX44" s="19"/>
      <c r="EOY44" s="19"/>
      <c r="EOZ44" s="19"/>
      <c r="EPA44" s="19"/>
      <c r="EPB44" s="19"/>
      <c r="EPC44" s="19"/>
      <c r="EPD44" s="19"/>
      <c r="EPE44" s="19"/>
      <c r="EPF44" s="19"/>
      <c r="EPG44" s="19"/>
      <c r="EPH44" s="19"/>
      <c r="EPI44" s="19"/>
      <c r="EPJ44" s="19"/>
      <c r="EPK44" s="19"/>
      <c r="EPL44" s="19"/>
      <c r="EPM44" s="19"/>
      <c r="EPN44" s="19"/>
      <c r="EPO44" s="19"/>
      <c r="EPP44" s="19"/>
      <c r="EPQ44" s="19"/>
      <c r="EPR44" s="19"/>
      <c r="EPS44" s="19"/>
      <c r="EPT44" s="19"/>
      <c r="EPU44" s="19"/>
      <c r="EPV44" s="19"/>
      <c r="EPW44" s="19"/>
      <c r="EPX44" s="19"/>
      <c r="EPY44" s="19"/>
      <c r="EPZ44" s="19"/>
      <c r="EQA44" s="19"/>
      <c r="EQB44" s="19"/>
      <c r="EQC44" s="19"/>
      <c r="EQD44" s="19"/>
      <c r="EQE44" s="19"/>
      <c r="EQF44" s="19"/>
      <c r="EQG44" s="19"/>
      <c r="EQH44" s="19"/>
      <c r="EQI44" s="19"/>
      <c r="EQJ44" s="19"/>
      <c r="EQK44" s="19"/>
      <c r="EQL44" s="19"/>
      <c r="EQM44" s="19"/>
      <c r="EQN44" s="19"/>
      <c r="EQO44" s="19"/>
      <c r="EQP44" s="19"/>
      <c r="EQQ44" s="19"/>
      <c r="EQR44" s="19"/>
      <c r="EQS44" s="19"/>
      <c r="EQT44" s="19"/>
      <c r="EQU44" s="19"/>
      <c r="EQV44" s="19"/>
      <c r="EQW44" s="19"/>
      <c r="EQX44" s="19"/>
      <c r="EQY44" s="19"/>
      <c r="EQZ44" s="19"/>
      <c r="ERA44" s="19"/>
      <c r="ERB44" s="19"/>
      <c r="ERC44" s="19"/>
      <c r="ERD44" s="19"/>
      <c r="ERE44" s="19"/>
      <c r="ERF44" s="19"/>
      <c r="ERG44" s="19"/>
      <c r="ERH44" s="19"/>
      <c r="ERI44" s="19"/>
      <c r="ERJ44" s="19"/>
      <c r="ERK44" s="19"/>
      <c r="ERL44" s="19"/>
      <c r="ERM44" s="19"/>
      <c r="ERN44" s="19"/>
      <c r="ERO44" s="19"/>
      <c r="ERP44" s="19"/>
      <c r="ERQ44" s="19"/>
      <c r="ERR44" s="19"/>
      <c r="ERS44" s="19"/>
      <c r="ERT44" s="19"/>
      <c r="ERU44" s="19"/>
      <c r="ERV44" s="19"/>
      <c r="ERW44" s="19"/>
      <c r="ERX44" s="19"/>
      <c r="ERY44" s="19"/>
      <c r="ERZ44" s="19"/>
      <c r="ESA44" s="19"/>
      <c r="ESB44" s="19"/>
      <c r="ESC44" s="19"/>
      <c r="ESD44" s="19"/>
      <c r="ESE44" s="19"/>
      <c r="ESF44" s="19"/>
      <c r="ESG44" s="19"/>
      <c r="ESH44" s="19"/>
      <c r="ESI44" s="19"/>
      <c r="ESJ44" s="19"/>
      <c r="ESK44" s="19"/>
      <c r="ESL44" s="19"/>
      <c r="ESM44" s="19"/>
      <c r="ESN44" s="19"/>
      <c r="ESO44" s="19"/>
      <c r="ESP44" s="19"/>
      <c r="ESQ44" s="19"/>
      <c r="ESR44" s="19"/>
      <c r="ESS44" s="19"/>
      <c r="EST44" s="19"/>
      <c r="ESU44" s="19"/>
      <c r="ESV44" s="19"/>
      <c r="ESW44" s="19"/>
      <c r="ESX44" s="19"/>
      <c r="ESY44" s="19"/>
      <c r="ESZ44" s="19"/>
      <c r="ETA44" s="19"/>
      <c r="ETB44" s="19"/>
      <c r="ETC44" s="19"/>
      <c r="ETD44" s="19"/>
      <c r="ETE44" s="19"/>
      <c r="ETF44" s="19"/>
      <c r="ETG44" s="19"/>
      <c r="ETH44" s="19"/>
      <c r="ETI44" s="19"/>
      <c r="ETJ44" s="19"/>
      <c r="ETK44" s="19"/>
      <c r="ETL44" s="19"/>
      <c r="ETM44" s="19"/>
      <c r="ETN44" s="19"/>
      <c r="ETO44" s="19"/>
      <c r="ETP44" s="19"/>
      <c r="ETQ44" s="19"/>
      <c r="ETR44" s="19"/>
      <c r="ETS44" s="19"/>
      <c r="ETT44" s="19"/>
      <c r="ETU44" s="19"/>
      <c r="ETV44" s="19"/>
      <c r="ETW44" s="19"/>
      <c r="ETX44" s="19"/>
      <c r="ETY44" s="19"/>
      <c r="ETZ44" s="19"/>
      <c r="EUA44" s="19"/>
      <c r="EUB44" s="19"/>
      <c r="EUC44" s="19"/>
      <c r="EUD44" s="19"/>
      <c r="EUE44" s="19"/>
      <c r="EUF44" s="19"/>
      <c r="EUG44" s="19"/>
      <c r="EUH44" s="19"/>
      <c r="EUI44" s="19"/>
      <c r="EUJ44" s="19"/>
      <c r="EUK44" s="19"/>
      <c r="EUL44" s="19"/>
      <c r="EUM44" s="19"/>
      <c r="EUN44" s="19"/>
      <c r="EUO44" s="19"/>
      <c r="EUP44" s="19"/>
      <c r="EUQ44" s="19"/>
      <c r="EUR44" s="19"/>
      <c r="EUS44" s="19"/>
      <c r="EUT44" s="19"/>
      <c r="EUU44" s="19"/>
      <c r="EUV44" s="19"/>
      <c r="EUW44" s="19"/>
      <c r="EUX44" s="19"/>
      <c r="EUY44" s="19"/>
      <c r="EUZ44" s="19"/>
      <c r="EVA44" s="19"/>
      <c r="EVB44" s="19"/>
      <c r="EVC44" s="19"/>
      <c r="EVD44" s="19"/>
      <c r="EVE44" s="19"/>
      <c r="EVF44" s="19"/>
      <c r="EVG44" s="19"/>
      <c r="EVH44" s="19"/>
      <c r="EVI44" s="19"/>
      <c r="EVJ44" s="19"/>
      <c r="EVK44" s="19"/>
      <c r="EVL44" s="19"/>
      <c r="EVM44" s="19"/>
      <c r="EVN44" s="19"/>
      <c r="EVO44" s="19"/>
      <c r="EVP44" s="19"/>
      <c r="EVQ44" s="19"/>
      <c r="EVR44" s="19"/>
      <c r="EVS44" s="19"/>
      <c r="EVT44" s="19"/>
      <c r="EVU44" s="19"/>
      <c r="EVV44" s="19"/>
      <c r="EVW44" s="19"/>
      <c r="EVX44" s="19"/>
      <c r="EVY44" s="19"/>
      <c r="EVZ44" s="19"/>
      <c r="EWA44" s="19"/>
      <c r="EWB44" s="19"/>
      <c r="EWC44" s="19"/>
      <c r="EWD44" s="19"/>
      <c r="EWE44" s="19"/>
      <c r="EWF44" s="19"/>
      <c r="EWG44" s="19"/>
      <c r="EWH44" s="19"/>
      <c r="EWI44" s="19"/>
      <c r="EWJ44" s="19"/>
      <c r="EWK44" s="19"/>
      <c r="EWL44" s="19"/>
      <c r="EWM44" s="19"/>
      <c r="EWN44" s="19"/>
      <c r="EWO44" s="19"/>
      <c r="EWP44" s="19"/>
      <c r="EWQ44" s="19"/>
      <c r="EWR44" s="19"/>
      <c r="EWS44" s="19"/>
      <c r="EWT44" s="19"/>
      <c r="EWU44" s="19"/>
      <c r="EWV44" s="19"/>
      <c r="EWW44" s="19"/>
      <c r="EWX44" s="19"/>
      <c r="EWY44" s="19"/>
      <c r="EWZ44" s="19"/>
      <c r="EXA44" s="19"/>
      <c r="EXB44" s="19"/>
      <c r="EXC44" s="19"/>
      <c r="EXD44" s="19"/>
      <c r="EXE44" s="19"/>
      <c r="EXF44" s="19"/>
      <c r="EXG44" s="19"/>
      <c r="EXH44" s="19"/>
      <c r="EXI44" s="19"/>
      <c r="EXJ44" s="19"/>
      <c r="EXK44" s="19"/>
      <c r="EXL44" s="19"/>
      <c r="EXM44" s="19"/>
      <c r="EXN44" s="19"/>
      <c r="EXO44" s="19"/>
      <c r="EXP44" s="19"/>
      <c r="EXQ44" s="19"/>
      <c r="EXR44" s="19"/>
      <c r="EXS44" s="19"/>
      <c r="EXT44" s="19"/>
      <c r="EXU44" s="19"/>
      <c r="EXV44" s="19"/>
      <c r="EXW44" s="19"/>
      <c r="EXX44" s="19"/>
      <c r="EXY44" s="19"/>
      <c r="EXZ44" s="19"/>
      <c r="EYA44" s="19"/>
      <c r="EYB44" s="19"/>
      <c r="EYC44" s="19"/>
      <c r="EYD44" s="19"/>
      <c r="EYE44" s="19"/>
      <c r="EYF44" s="19"/>
      <c r="EYG44" s="19"/>
      <c r="EYH44" s="19"/>
      <c r="EYI44" s="19"/>
      <c r="EYJ44" s="19"/>
      <c r="EYK44" s="19"/>
      <c r="EYL44" s="19"/>
      <c r="EYM44" s="19"/>
      <c r="EYN44" s="19"/>
      <c r="EYO44" s="19"/>
      <c r="EYP44" s="19"/>
      <c r="EYQ44" s="19"/>
      <c r="EYR44" s="19"/>
      <c r="EYS44" s="19"/>
      <c r="EYT44" s="19"/>
      <c r="EYU44" s="19"/>
      <c r="EYV44" s="19"/>
      <c r="EYW44" s="19"/>
      <c r="EYX44" s="19"/>
      <c r="EYY44" s="19"/>
      <c r="EYZ44" s="19"/>
      <c r="EZA44" s="19"/>
      <c r="EZB44" s="19"/>
      <c r="EZC44" s="19"/>
      <c r="EZD44" s="19"/>
      <c r="EZE44" s="19"/>
      <c r="EZF44" s="19"/>
      <c r="EZG44" s="19"/>
      <c r="EZH44" s="19"/>
      <c r="EZI44" s="19"/>
      <c r="EZJ44" s="19"/>
      <c r="EZK44" s="19"/>
      <c r="EZL44" s="19"/>
      <c r="EZM44" s="19"/>
      <c r="EZN44" s="19"/>
      <c r="EZO44" s="19"/>
      <c r="EZP44" s="19"/>
      <c r="EZQ44" s="19"/>
      <c r="EZR44" s="19"/>
      <c r="EZS44" s="19"/>
      <c r="EZT44" s="19"/>
      <c r="EZU44" s="19"/>
      <c r="EZV44" s="19"/>
      <c r="EZW44" s="19"/>
      <c r="EZX44" s="19"/>
      <c r="EZY44" s="19"/>
      <c r="EZZ44" s="19"/>
      <c r="FAA44" s="19"/>
      <c r="FAB44" s="19"/>
      <c r="FAC44" s="19"/>
      <c r="FAD44" s="19"/>
      <c r="FAE44" s="19"/>
      <c r="FAF44" s="19"/>
      <c r="FAG44" s="19"/>
      <c r="FAH44" s="19"/>
      <c r="FAI44" s="19"/>
      <c r="FAJ44" s="19"/>
      <c r="FAK44" s="19"/>
      <c r="FAL44" s="19"/>
      <c r="FAM44" s="19"/>
      <c r="FAN44" s="19"/>
      <c r="FAO44" s="19"/>
      <c r="FAP44" s="19"/>
      <c r="FAQ44" s="19"/>
      <c r="FAR44" s="19"/>
      <c r="FAS44" s="19"/>
      <c r="FAT44" s="19"/>
      <c r="FAU44" s="19"/>
      <c r="FAV44" s="19"/>
      <c r="FAW44" s="19"/>
      <c r="FAX44" s="19"/>
      <c r="FAY44" s="19"/>
      <c r="FAZ44" s="19"/>
      <c r="FBA44" s="19"/>
      <c r="FBB44" s="19"/>
      <c r="FBC44" s="19"/>
      <c r="FBD44" s="19"/>
      <c r="FBE44" s="19"/>
      <c r="FBF44" s="19"/>
      <c r="FBG44" s="19"/>
      <c r="FBH44" s="19"/>
      <c r="FBI44" s="19"/>
      <c r="FBJ44" s="19"/>
      <c r="FBK44" s="19"/>
      <c r="FBL44" s="19"/>
      <c r="FBM44" s="19"/>
      <c r="FBN44" s="19"/>
      <c r="FBO44" s="19"/>
      <c r="FBP44" s="19"/>
      <c r="FBQ44" s="19"/>
      <c r="FBR44" s="19"/>
      <c r="FBS44" s="19"/>
      <c r="FBT44" s="19"/>
      <c r="FBU44" s="19"/>
      <c r="FBV44" s="19"/>
      <c r="FBW44" s="19"/>
      <c r="FBX44" s="19"/>
      <c r="FBY44" s="19"/>
      <c r="FBZ44" s="19"/>
      <c r="FCA44" s="19"/>
      <c r="FCB44" s="19"/>
      <c r="FCC44" s="19"/>
      <c r="FCD44" s="19"/>
      <c r="FCE44" s="19"/>
      <c r="FCF44" s="19"/>
      <c r="FCG44" s="19"/>
      <c r="FCH44" s="19"/>
      <c r="FCI44" s="19"/>
      <c r="FCJ44" s="19"/>
      <c r="FCK44" s="19"/>
      <c r="FCL44" s="19"/>
      <c r="FCM44" s="19"/>
      <c r="FCN44" s="19"/>
      <c r="FCO44" s="19"/>
      <c r="FCP44" s="19"/>
      <c r="FCQ44" s="19"/>
      <c r="FCR44" s="19"/>
      <c r="FCS44" s="19"/>
      <c r="FCT44" s="19"/>
      <c r="FCU44" s="19"/>
      <c r="FCV44" s="19"/>
      <c r="FCW44" s="19"/>
      <c r="FCX44" s="19"/>
      <c r="FCY44" s="19"/>
      <c r="FCZ44" s="19"/>
      <c r="FDA44" s="19"/>
      <c r="FDB44" s="19"/>
      <c r="FDC44" s="19"/>
      <c r="FDD44" s="19"/>
      <c r="FDE44" s="19"/>
      <c r="FDF44" s="19"/>
      <c r="FDG44" s="19"/>
      <c r="FDH44" s="19"/>
      <c r="FDI44" s="19"/>
      <c r="FDJ44" s="19"/>
      <c r="FDK44" s="19"/>
      <c r="FDL44" s="19"/>
      <c r="FDM44" s="19"/>
      <c r="FDN44" s="19"/>
      <c r="FDO44" s="19"/>
      <c r="FDP44" s="19"/>
      <c r="FDQ44" s="19"/>
      <c r="FDR44" s="19"/>
      <c r="FDS44" s="19"/>
      <c r="FDT44" s="19"/>
      <c r="FDU44" s="19"/>
      <c r="FDV44" s="19"/>
      <c r="FDW44" s="19"/>
      <c r="FDX44" s="19"/>
      <c r="FDY44" s="19"/>
      <c r="FDZ44" s="19"/>
      <c r="FEA44" s="19"/>
      <c r="FEB44" s="19"/>
      <c r="FEC44" s="19"/>
      <c r="FED44" s="19"/>
      <c r="FEE44" s="19"/>
      <c r="FEF44" s="19"/>
      <c r="FEG44" s="19"/>
      <c r="FEH44" s="19"/>
      <c r="FEI44" s="19"/>
      <c r="FEJ44" s="19"/>
      <c r="FEK44" s="19"/>
      <c r="FEL44" s="19"/>
      <c r="FEM44" s="19"/>
      <c r="FEN44" s="19"/>
      <c r="FEO44" s="19"/>
      <c r="FEP44" s="19"/>
      <c r="FEQ44" s="19"/>
      <c r="FER44" s="19"/>
      <c r="FES44" s="19"/>
      <c r="FET44" s="19"/>
      <c r="FEU44" s="19"/>
      <c r="FEV44" s="19"/>
      <c r="FEW44" s="19"/>
      <c r="FEX44" s="19"/>
      <c r="FEY44" s="19"/>
      <c r="FEZ44" s="19"/>
      <c r="FFA44" s="19"/>
      <c r="FFB44" s="19"/>
      <c r="FFC44" s="19"/>
      <c r="FFD44" s="19"/>
      <c r="FFE44" s="19"/>
      <c r="FFF44" s="19"/>
      <c r="FFG44" s="19"/>
      <c r="FFH44" s="19"/>
      <c r="FFI44" s="19"/>
      <c r="FFJ44" s="19"/>
      <c r="FFK44" s="19"/>
      <c r="FFL44" s="19"/>
      <c r="FFM44" s="19"/>
      <c r="FFN44" s="19"/>
      <c r="FFO44" s="19"/>
      <c r="FFP44" s="19"/>
      <c r="FFQ44" s="19"/>
      <c r="FFR44" s="19"/>
      <c r="FFS44" s="19"/>
      <c r="FFT44" s="19"/>
      <c r="FFU44" s="19"/>
      <c r="FFV44" s="19"/>
      <c r="FFW44" s="19"/>
      <c r="FFX44" s="19"/>
      <c r="FFY44" s="19"/>
      <c r="FFZ44" s="19"/>
      <c r="FGA44" s="19"/>
      <c r="FGB44" s="19"/>
      <c r="FGC44" s="19"/>
      <c r="FGD44" s="19"/>
      <c r="FGE44" s="19"/>
      <c r="FGF44" s="19"/>
      <c r="FGG44" s="19"/>
      <c r="FGH44" s="19"/>
      <c r="FGI44" s="19"/>
      <c r="FGJ44" s="19"/>
      <c r="FGK44" s="19"/>
      <c r="FGL44" s="19"/>
      <c r="FGM44" s="19"/>
      <c r="FGN44" s="19"/>
      <c r="FGO44" s="19"/>
      <c r="FGP44" s="19"/>
      <c r="FGQ44" s="19"/>
      <c r="FGR44" s="19"/>
      <c r="FGS44" s="19"/>
      <c r="FGT44" s="19"/>
      <c r="FGU44" s="19"/>
      <c r="FGV44" s="19"/>
      <c r="FGW44" s="19"/>
      <c r="FGX44" s="19"/>
      <c r="FGY44" s="19"/>
      <c r="FGZ44" s="19"/>
      <c r="FHA44" s="19"/>
      <c r="FHB44" s="19"/>
      <c r="FHC44" s="19"/>
      <c r="FHD44" s="19"/>
      <c r="FHE44" s="19"/>
      <c r="FHF44" s="19"/>
      <c r="FHG44" s="19"/>
      <c r="FHH44" s="19"/>
      <c r="FHI44" s="19"/>
      <c r="FHJ44" s="19"/>
      <c r="FHK44" s="19"/>
      <c r="FHL44" s="19"/>
      <c r="FHM44" s="19"/>
      <c r="FHN44" s="19"/>
      <c r="FHO44" s="19"/>
      <c r="FHP44" s="19"/>
      <c r="FHQ44" s="19"/>
      <c r="FHR44" s="19"/>
      <c r="FHS44" s="19"/>
      <c r="FHT44" s="19"/>
      <c r="FHU44" s="19"/>
      <c r="FHV44" s="19"/>
      <c r="FHW44" s="19"/>
      <c r="FHX44" s="19"/>
      <c r="FHY44" s="19"/>
      <c r="FHZ44" s="19"/>
      <c r="FIA44" s="19"/>
      <c r="FIB44" s="19"/>
      <c r="FIC44" s="19"/>
      <c r="FID44" s="19"/>
      <c r="FIE44" s="19"/>
      <c r="FIF44" s="19"/>
      <c r="FIG44" s="19"/>
      <c r="FIH44" s="19"/>
      <c r="FII44" s="19"/>
      <c r="FIJ44" s="19"/>
      <c r="FIK44" s="19"/>
      <c r="FIL44" s="19"/>
      <c r="FIM44" s="19"/>
      <c r="FIN44" s="19"/>
      <c r="FIO44" s="19"/>
      <c r="FIP44" s="19"/>
      <c r="FIQ44" s="19"/>
      <c r="FIR44" s="19"/>
      <c r="FIS44" s="19"/>
      <c r="FIT44" s="19"/>
      <c r="FIU44" s="19"/>
      <c r="FIV44" s="19"/>
      <c r="FIW44" s="19"/>
      <c r="FIX44" s="19"/>
      <c r="FIY44" s="19"/>
      <c r="FIZ44" s="19"/>
      <c r="FJA44" s="19"/>
      <c r="FJB44" s="19"/>
      <c r="FJC44" s="19"/>
      <c r="FJD44" s="19"/>
      <c r="FJE44" s="19"/>
      <c r="FJF44" s="19"/>
      <c r="FJG44" s="19"/>
      <c r="FJH44" s="19"/>
      <c r="FJI44" s="19"/>
      <c r="FJJ44" s="19"/>
      <c r="FJK44" s="19"/>
      <c r="FJL44" s="19"/>
      <c r="FJM44" s="19"/>
      <c r="FJN44" s="19"/>
      <c r="FJO44" s="19"/>
      <c r="FJP44" s="19"/>
      <c r="FJQ44" s="19"/>
      <c r="FJR44" s="19"/>
      <c r="FJS44" s="19"/>
      <c r="FJT44" s="19"/>
      <c r="FJU44" s="19"/>
      <c r="FJV44" s="19"/>
      <c r="FJW44" s="19"/>
      <c r="FJX44" s="19"/>
      <c r="FJY44" s="19"/>
      <c r="FJZ44" s="19"/>
      <c r="FKA44" s="19"/>
      <c r="FKB44" s="19"/>
      <c r="FKC44" s="19"/>
      <c r="FKD44" s="19"/>
      <c r="FKE44" s="19"/>
      <c r="FKF44" s="19"/>
      <c r="FKG44" s="19"/>
      <c r="FKH44" s="19"/>
      <c r="FKI44" s="19"/>
      <c r="FKJ44" s="19"/>
      <c r="FKK44" s="19"/>
      <c r="FKL44" s="19"/>
      <c r="FKM44" s="19"/>
      <c r="FKN44" s="19"/>
      <c r="FKO44" s="19"/>
      <c r="FKP44" s="19"/>
      <c r="FKQ44" s="19"/>
      <c r="FKR44" s="19"/>
      <c r="FKS44" s="19"/>
      <c r="FKT44" s="19"/>
      <c r="FKU44" s="19"/>
      <c r="FKV44" s="19"/>
      <c r="FKW44" s="19"/>
      <c r="FKX44" s="19"/>
      <c r="FKY44" s="19"/>
      <c r="FKZ44" s="19"/>
      <c r="FLA44" s="19"/>
      <c r="FLB44" s="19"/>
      <c r="FLC44" s="19"/>
      <c r="FLD44" s="19"/>
      <c r="FLE44" s="19"/>
      <c r="FLF44" s="19"/>
      <c r="FLG44" s="19"/>
      <c r="FLH44" s="19"/>
      <c r="FLI44" s="19"/>
      <c r="FLJ44" s="19"/>
      <c r="FLK44" s="19"/>
      <c r="FLL44" s="19"/>
      <c r="FLM44" s="19"/>
      <c r="FLN44" s="19"/>
      <c r="FLO44" s="19"/>
      <c r="FLP44" s="19"/>
      <c r="FLQ44" s="19"/>
      <c r="FLR44" s="19"/>
      <c r="FLS44" s="19"/>
      <c r="FLT44" s="19"/>
      <c r="FLU44" s="19"/>
      <c r="FLV44" s="19"/>
      <c r="FLW44" s="19"/>
      <c r="FLX44" s="19"/>
      <c r="FLY44" s="19"/>
      <c r="FLZ44" s="19"/>
      <c r="FMA44" s="19"/>
      <c r="FMB44" s="19"/>
      <c r="FMC44" s="19"/>
      <c r="FMD44" s="19"/>
      <c r="FME44" s="19"/>
      <c r="FMF44" s="19"/>
      <c r="FMG44" s="19"/>
      <c r="FMH44" s="19"/>
      <c r="FMI44" s="19"/>
      <c r="FMJ44" s="19"/>
      <c r="FMK44" s="19"/>
      <c r="FML44" s="19"/>
      <c r="FMM44" s="19"/>
      <c r="FMN44" s="19"/>
      <c r="FMO44" s="19"/>
      <c r="FMP44" s="19"/>
      <c r="FMQ44" s="19"/>
      <c r="FMR44" s="19"/>
      <c r="FMS44" s="19"/>
      <c r="FMT44" s="19"/>
      <c r="FMU44" s="19"/>
      <c r="FMV44" s="19"/>
      <c r="FMW44" s="19"/>
      <c r="FMX44" s="19"/>
      <c r="FMY44" s="19"/>
      <c r="FMZ44" s="19"/>
      <c r="FNA44" s="19"/>
      <c r="FNB44" s="19"/>
      <c r="FNC44" s="19"/>
      <c r="FND44" s="19"/>
      <c r="FNE44" s="19"/>
      <c r="FNF44" s="19"/>
      <c r="FNG44" s="19"/>
      <c r="FNH44" s="19"/>
      <c r="FNI44" s="19"/>
      <c r="FNJ44" s="19"/>
      <c r="FNK44" s="19"/>
      <c r="FNL44" s="19"/>
      <c r="FNM44" s="19"/>
      <c r="FNN44" s="19"/>
      <c r="FNO44" s="19"/>
      <c r="FNP44" s="19"/>
      <c r="FNQ44" s="19"/>
      <c r="FNR44" s="19"/>
      <c r="FNS44" s="19"/>
      <c r="FNT44" s="19"/>
      <c r="FNU44" s="19"/>
      <c r="FNV44" s="19"/>
      <c r="FNW44" s="19"/>
      <c r="FNX44" s="19"/>
      <c r="FNY44" s="19"/>
      <c r="FNZ44" s="19"/>
      <c r="FOA44" s="19"/>
      <c r="FOB44" s="19"/>
      <c r="FOC44" s="19"/>
      <c r="FOD44" s="19"/>
      <c r="FOE44" s="19"/>
      <c r="FOF44" s="19"/>
      <c r="FOG44" s="19"/>
      <c r="FOH44" s="19"/>
      <c r="FOI44" s="19"/>
      <c r="FOJ44" s="19"/>
      <c r="FOK44" s="19"/>
      <c r="FOL44" s="19"/>
      <c r="FOM44" s="19"/>
      <c r="FON44" s="19"/>
      <c r="FOO44" s="19"/>
      <c r="FOP44" s="19"/>
      <c r="FOQ44" s="19"/>
      <c r="FOR44" s="19"/>
      <c r="FOS44" s="19"/>
      <c r="FOT44" s="19"/>
      <c r="FOU44" s="19"/>
      <c r="FOV44" s="19"/>
      <c r="FOW44" s="19"/>
      <c r="FOX44" s="19"/>
      <c r="FOY44" s="19"/>
      <c r="FOZ44" s="19"/>
      <c r="FPA44" s="19"/>
      <c r="FPB44" s="19"/>
      <c r="FPC44" s="19"/>
      <c r="FPD44" s="19"/>
      <c r="FPE44" s="19"/>
      <c r="FPF44" s="19"/>
      <c r="FPG44" s="19"/>
      <c r="FPH44" s="19"/>
      <c r="FPI44" s="19"/>
      <c r="FPJ44" s="19"/>
      <c r="FPK44" s="19"/>
      <c r="FPL44" s="19"/>
      <c r="FPM44" s="19"/>
      <c r="FPN44" s="19"/>
      <c r="FPO44" s="19"/>
      <c r="FPP44" s="19"/>
      <c r="FPQ44" s="19"/>
      <c r="FPR44" s="19"/>
      <c r="FPS44" s="19"/>
      <c r="FPT44" s="19"/>
      <c r="FPU44" s="19"/>
      <c r="FPV44" s="19"/>
      <c r="FPW44" s="19"/>
      <c r="FPX44" s="19"/>
      <c r="FPY44" s="19"/>
      <c r="FPZ44" s="19"/>
      <c r="FQA44" s="19"/>
      <c r="FQB44" s="19"/>
      <c r="FQC44" s="19"/>
      <c r="FQD44" s="19"/>
      <c r="FQE44" s="19"/>
      <c r="FQF44" s="19"/>
      <c r="FQG44" s="19"/>
      <c r="FQH44" s="19"/>
      <c r="FQI44" s="19"/>
      <c r="FQJ44" s="19"/>
      <c r="FQK44" s="19"/>
      <c r="FQL44" s="19"/>
      <c r="FQM44" s="19"/>
      <c r="FQN44" s="19"/>
      <c r="FQO44" s="19"/>
      <c r="FQP44" s="19"/>
      <c r="FQQ44" s="19"/>
      <c r="FQR44" s="19"/>
      <c r="FQS44" s="19"/>
      <c r="FQT44" s="19"/>
      <c r="FQU44" s="19"/>
      <c r="FQV44" s="19"/>
      <c r="FQW44" s="19"/>
      <c r="FQX44" s="19"/>
      <c r="FQY44" s="19"/>
      <c r="FQZ44" s="19"/>
      <c r="FRA44" s="19"/>
      <c r="FRB44" s="19"/>
      <c r="FRC44" s="19"/>
      <c r="FRD44" s="19"/>
      <c r="FRE44" s="19"/>
      <c r="FRF44" s="19"/>
      <c r="FRG44" s="19"/>
      <c r="FRH44" s="19"/>
      <c r="FRI44" s="19"/>
      <c r="FRJ44" s="19"/>
      <c r="FRK44" s="19"/>
      <c r="FRL44" s="19"/>
      <c r="FRM44" s="19"/>
      <c r="FRN44" s="19"/>
      <c r="FRO44" s="19"/>
      <c r="FRP44" s="19"/>
      <c r="FRQ44" s="19"/>
      <c r="FRR44" s="19"/>
      <c r="FRS44" s="19"/>
      <c r="FRT44" s="19"/>
      <c r="FRU44" s="19"/>
      <c r="FRV44" s="19"/>
      <c r="FRW44" s="19"/>
      <c r="FRX44" s="19"/>
      <c r="FRY44" s="19"/>
      <c r="FRZ44" s="19"/>
      <c r="FSA44" s="19"/>
      <c r="FSB44" s="19"/>
      <c r="FSC44" s="19"/>
      <c r="FSD44" s="19"/>
      <c r="FSE44" s="19"/>
      <c r="FSF44" s="19"/>
      <c r="FSG44" s="19"/>
      <c r="FSH44" s="19"/>
      <c r="FSI44" s="19"/>
      <c r="FSJ44" s="19"/>
      <c r="FSK44" s="19"/>
      <c r="FSL44" s="19"/>
      <c r="FSM44" s="19"/>
      <c r="FSN44" s="19"/>
      <c r="FSO44" s="19"/>
      <c r="FSP44" s="19"/>
      <c r="FSQ44" s="19"/>
      <c r="FSR44" s="19"/>
      <c r="FSS44" s="19"/>
      <c r="FST44" s="19"/>
      <c r="FSU44" s="19"/>
      <c r="FSV44" s="19"/>
      <c r="FSW44" s="19"/>
      <c r="FSX44" s="19"/>
      <c r="FSY44" s="19"/>
      <c r="FSZ44" s="19"/>
      <c r="FTA44" s="19"/>
      <c r="FTB44" s="19"/>
      <c r="FTC44" s="19"/>
      <c r="FTD44" s="19"/>
      <c r="FTE44" s="19"/>
      <c r="FTF44" s="19"/>
      <c r="FTG44" s="19"/>
      <c r="FTH44" s="19"/>
      <c r="FTI44" s="19"/>
      <c r="FTJ44" s="19"/>
      <c r="FTK44" s="19"/>
      <c r="FTL44" s="19"/>
      <c r="FTM44" s="19"/>
      <c r="FTN44" s="19"/>
      <c r="FTO44" s="19"/>
      <c r="FTP44" s="19"/>
      <c r="FTQ44" s="19"/>
      <c r="FTR44" s="19"/>
      <c r="FTS44" s="19"/>
      <c r="FTT44" s="19"/>
      <c r="FTU44" s="19"/>
      <c r="FTV44" s="19"/>
      <c r="FTW44" s="19"/>
      <c r="FTX44" s="19"/>
      <c r="FTY44" s="19"/>
      <c r="FTZ44" s="19"/>
      <c r="FUA44" s="19"/>
      <c r="FUB44" s="19"/>
      <c r="FUC44" s="19"/>
      <c r="FUD44" s="19"/>
      <c r="FUE44" s="19"/>
      <c r="FUF44" s="19"/>
      <c r="FUG44" s="19"/>
      <c r="FUH44" s="19"/>
      <c r="FUI44" s="19"/>
      <c r="FUJ44" s="19"/>
      <c r="FUK44" s="19"/>
      <c r="FUL44" s="19"/>
      <c r="FUM44" s="19"/>
      <c r="FUN44" s="19"/>
      <c r="FUO44" s="19"/>
      <c r="FUP44" s="19"/>
      <c r="FUQ44" s="19"/>
      <c r="FUR44" s="19"/>
      <c r="FUS44" s="19"/>
      <c r="FUT44" s="19"/>
      <c r="FUU44" s="19"/>
      <c r="FUV44" s="19"/>
      <c r="FUW44" s="19"/>
      <c r="FUX44" s="19"/>
      <c r="FUY44" s="19"/>
      <c r="FUZ44" s="19"/>
      <c r="FVA44" s="19"/>
      <c r="FVB44" s="19"/>
      <c r="FVC44" s="19"/>
      <c r="FVD44" s="19"/>
      <c r="FVE44" s="19"/>
      <c r="FVF44" s="19"/>
      <c r="FVG44" s="19"/>
      <c r="FVH44" s="19"/>
      <c r="FVI44" s="19"/>
      <c r="FVJ44" s="19"/>
      <c r="FVK44" s="19"/>
      <c r="FVL44" s="19"/>
      <c r="FVM44" s="19"/>
      <c r="FVN44" s="19"/>
      <c r="FVO44" s="19"/>
      <c r="FVP44" s="19"/>
      <c r="FVQ44" s="19"/>
      <c r="FVR44" s="19"/>
      <c r="FVS44" s="19"/>
      <c r="FVT44" s="19"/>
      <c r="FVU44" s="19"/>
      <c r="FVV44" s="19"/>
      <c r="FVW44" s="19"/>
      <c r="FVX44" s="19"/>
      <c r="FVY44" s="19"/>
      <c r="FVZ44" s="19"/>
      <c r="FWA44" s="19"/>
      <c r="FWB44" s="19"/>
      <c r="FWC44" s="19"/>
      <c r="FWD44" s="19"/>
      <c r="FWE44" s="19"/>
      <c r="FWF44" s="19"/>
      <c r="FWG44" s="19"/>
      <c r="FWH44" s="19"/>
      <c r="FWI44" s="19"/>
      <c r="FWJ44" s="19"/>
      <c r="FWK44" s="19"/>
      <c r="FWL44" s="19"/>
      <c r="FWM44" s="19"/>
      <c r="FWN44" s="19"/>
      <c r="FWO44" s="19"/>
      <c r="FWP44" s="19"/>
      <c r="FWQ44" s="19"/>
      <c r="FWR44" s="19"/>
      <c r="FWS44" s="19"/>
      <c r="FWT44" s="19"/>
      <c r="FWU44" s="19"/>
      <c r="FWV44" s="19"/>
      <c r="FWW44" s="19"/>
      <c r="FWX44" s="19"/>
      <c r="FWY44" s="19"/>
      <c r="FWZ44" s="19"/>
      <c r="FXA44" s="19"/>
      <c r="FXB44" s="19"/>
      <c r="FXC44" s="19"/>
      <c r="FXD44" s="19"/>
      <c r="FXE44" s="19"/>
      <c r="FXF44" s="19"/>
      <c r="FXG44" s="19"/>
      <c r="FXH44" s="19"/>
      <c r="FXI44" s="19"/>
      <c r="FXJ44" s="19"/>
      <c r="FXK44" s="19"/>
      <c r="FXL44" s="19"/>
      <c r="FXM44" s="19"/>
      <c r="FXN44" s="19"/>
      <c r="FXO44" s="19"/>
      <c r="FXP44" s="19"/>
      <c r="FXQ44" s="19"/>
      <c r="FXR44" s="19"/>
      <c r="FXS44" s="19"/>
      <c r="FXT44" s="19"/>
      <c r="FXU44" s="19"/>
      <c r="FXV44" s="19"/>
      <c r="FXW44" s="19"/>
      <c r="FXX44" s="19"/>
      <c r="FXY44" s="19"/>
      <c r="FXZ44" s="19"/>
      <c r="FYA44" s="19"/>
      <c r="FYB44" s="19"/>
      <c r="FYC44" s="19"/>
      <c r="FYD44" s="19"/>
      <c r="FYE44" s="19"/>
      <c r="FYF44" s="19"/>
      <c r="FYG44" s="19"/>
      <c r="FYH44" s="19"/>
      <c r="FYI44" s="19"/>
      <c r="FYJ44" s="19"/>
      <c r="FYK44" s="19"/>
      <c r="FYL44" s="19"/>
      <c r="FYM44" s="19"/>
      <c r="FYN44" s="19"/>
      <c r="FYO44" s="19"/>
      <c r="FYP44" s="19"/>
      <c r="FYQ44" s="19"/>
      <c r="FYR44" s="19"/>
      <c r="FYS44" s="19"/>
      <c r="FYT44" s="19"/>
      <c r="FYU44" s="19"/>
      <c r="FYV44" s="19"/>
      <c r="FYW44" s="19"/>
      <c r="FYX44" s="19"/>
      <c r="FYY44" s="19"/>
      <c r="FYZ44" s="19"/>
      <c r="FZA44" s="19"/>
      <c r="FZB44" s="19"/>
      <c r="FZC44" s="19"/>
      <c r="FZD44" s="19"/>
      <c r="FZE44" s="19"/>
      <c r="FZF44" s="19"/>
      <c r="FZG44" s="19"/>
      <c r="FZH44" s="19"/>
      <c r="FZI44" s="19"/>
      <c r="FZJ44" s="19"/>
      <c r="FZK44" s="19"/>
      <c r="FZL44" s="19"/>
      <c r="FZM44" s="19"/>
      <c r="FZN44" s="19"/>
      <c r="FZO44" s="19"/>
      <c r="FZP44" s="19"/>
      <c r="FZQ44" s="19"/>
      <c r="FZR44" s="19"/>
      <c r="FZS44" s="19"/>
      <c r="FZT44" s="19"/>
      <c r="FZU44" s="19"/>
      <c r="FZV44" s="19"/>
      <c r="FZW44" s="19"/>
      <c r="FZX44" s="19"/>
      <c r="FZY44" s="19"/>
      <c r="FZZ44" s="19"/>
      <c r="GAA44" s="19"/>
      <c r="GAB44" s="19"/>
      <c r="GAC44" s="19"/>
      <c r="GAD44" s="19"/>
      <c r="GAE44" s="19"/>
      <c r="GAF44" s="19"/>
      <c r="GAG44" s="19"/>
      <c r="GAH44" s="19"/>
      <c r="GAI44" s="19"/>
      <c r="GAJ44" s="19"/>
      <c r="GAK44" s="19"/>
      <c r="GAL44" s="19"/>
      <c r="GAM44" s="19"/>
      <c r="GAN44" s="19"/>
      <c r="GAO44" s="19"/>
      <c r="GAP44" s="19"/>
      <c r="GAQ44" s="19"/>
      <c r="GAR44" s="19"/>
      <c r="GAS44" s="19"/>
      <c r="GAT44" s="19"/>
      <c r="GAU44" s="19"/>
      <c r="GAV44" s="19"/>
      <c r="GAW44" s="19"/>
      <c r="GAX44" s="19"/>
      <c r="GAY44" s="19"/>
      <c r="GAZ44" s="19"/>
      <c r="GBA44" s="19"/>
      <c r="GBB44" s="19"/>
      <c r="GBC44" s="19"/>
      <c r="GBD44" s="19"/>
      <c r="GBE44" s="19"/>
      <c r="GBF44" s="19"/>
      <c r="GBG44" s="19"/>
      <c r="GBH44" s="19"/>
      <c r="GBI44" s="19"/>
      <c r="GBJ44" s="19"/>
      <c r="GBK44" s="19"/>
      <c r="GBL44" s="19"/>
      <c r="GBM44" s="19"/>
      <c r="GBN44" s="19"/>
      <c r="GBO44" s="19"/>
      <c r="GBP44" s="19"/>
      <c r="GBQ44" s="19"/>
      <c r="GBR44" s="19"/>
      <c r="GBS44" s="19"/>
      <c r="GBT44" s="19"/>
      <c r="GBU44" s="19"/>
      <c r="GBV44" s="19"/>
      <c r="GBW44" s="19"/>
      <c r="GBX44" s="19"/>
      <c r="GBY44" s="19"/>
      <c r="GBZ44" s="19"/>
      <c r="GCA44" s="19"/>
      <c r="GCB44" s="19"/>
      <c r="GCC44" s="19"/>
      <c r="GCD44" s="19"/>
      <c r="GCE44" s="19"/>
      <c r="GCF44" s="19"/>
      <c r="GCG44" s="19"/>
      <c r="GCH44" s="19"/>
      <c r="GCI44" s="19"/>
      <c r="GCJ44" s="19"/>
      <c r="GCK44" s="19"/>
      <c r="GCL44" s="19"/>
      <c r="GCM44" s="19"/>
      <c r="GCN44" s="19"/>
      <c r="GCO44" s="19"/>
      <c r="GCP44" s="19"/>
      <c r="GCQ44" s="19"/>
      <c r="GCR44" s="19"/>
      <c r="GCS44" s="19"/>
      <c r="GCT44" s="19"/>
      <c r="GCU44" s="19"/>
      <c r="GCV44" s="19"/>
      <c r="GCW44" s="19"/>
      <c r="GCX44" s="19"/>
      <c r="GCY44" s="19"/>
      <c r="GCZ44" s="19"/>
      <c r="GDA44" s="19"/>
      <c r="GDB44" s="19"/>
      <c r="GDC44" s="19"/>
      <c r="GDD44" s="19"/>
      <c r="GDE44" s="19"/>
      <c r="GDF44" s="19"/>
      <c r="GDG44" s="19"/>
      <c r="GDH44" s="19"/>
      <c r="GDI44" s="19"/>
      <c r="GDJ44" s="19"/>
      <c r="GDK44" s="19"/>
      <c r="GDL44" s="19"/>
      <c r="GDM44" s="19"/>
      <c r="GDN44" s="19"/>
      <c r="GDO44" s="19"/>
      <c r="GDP44" s="19"/>
      <c r="GDQ44" s="19"/>
      <c r="GDR44" s="19"/>
      <c r="GDS44" s="19"/>
      <c r="GDT44" s="19"/>
      <c r="GDU44" s="19"/>
      <c r="GDV44" s="19"/>
      <c r="GDW44" s="19"/>
      <c r="GDX44" s="19"/>
      <c r="GDY44" s="19"/>
      <c r="GDZ44" s="19"/>
      <c r="GEA44" s="19"/>
      <c r="GEB44" s="19"/>
      <c r="GEC44" s="19"/>
      <c r="GED44" s="19"/>
      <c r="GEE44" s="19"/>
      <c r="GEF44" s="19"/>
      <c r="GEG44" s="19"/>
      <c r="GEH44" s="19"/>
      <c r="GEI44" s="19"/>
      <c r="GEJ44" s="19"/>
      <c r="GEK44" s="19"/>
      <c r="GEL44" s="19"/>
      <c r="GEM44" s="19"/>
      <c r="GEN44" s="19"/>
      <c r="GEO44" s="19"/>
      <c r="GEP44" s="19"/>
      <c r="GEQ44" s="19"/>
      <c r="GER44" s="19"/>
      <c r="GES44" s="19"/>
      <c r="GET44" s="19"/>
      <c r="GEU44" s="19"/>
      <c r="GEV44" s="19"/>
      <c r="GEW44" s="19"/>
      <c r="GEX44" s="19"/>
      <c r="GEY44" s="19"/>
      <c r="GEZ44" s="19"/>
      <c r="GFA44" s="19"/>
      <c r="GFB44" s="19"/>
      <c r="GFC44" s="19"/>
      <c r="GFD44" s="19"/>
      <c r="GFE44" s="19"/>
      <c r="GFF44" s="19"/>
      <c r="GFG44" s="19"/>
      <c r="GFH44" s="19"/>
      <c r="GFI44" s="19"/>
      <c r="GFJ44" s="19"/>
      <c r="GFK44" s="19"/>
      <c r="GFL44" s="19"/>
      <c r="GFM44" s="19"/>
      <c r="GFN44" s="19"/>
      <c r="GFO44" s="19"/>
      <c r="GFP44" s="19"/>
      <c r="GFQ44" s="19"/>
      <c r="GFR44" s="19"/>
      <c r="GFS44" s="19"/>
      <c r="GFT44" s="19"/>
      <c r="GFU44" s="19"/>
      <c r="GFV44" s="19"/>
      <c r="GFW44" s="19"/>
      <c r="GFX44" s="19"/>
      <c r="GFY44" s="19"/>
      <c r="GFZ44" s="19"/>
      <c r="GGA44" s="19"/>
      <c r="GGB44" s="19"/>
      <c r="GGC44" s="19"/>
      <c r="GGD44" s="19"/>
      <c r="GGE44" s="19"/>
      <c r="GGF44" s="19"/>
      <c r="GGG44" s="19"/>
      <c r="GGH44" s="19"/>
      <c r="GGI44" s="19"/>
      <c r="GGJ44" s="19"/>
      <c r="GGK44" s="19"/>
      <c r="GGL44" s="19"/>
      <c r="GGM44" s="19"/>
      <c r="GGN44" s="19"/>
      <c r="GGO44" s="19"/>
      <c r="GGP44" s="19"/>
      <c r="GGQ44" s="19"/>
      <c r="GGR44" s="19"/>
      <c r="GGS44" s="19"/>
      <c r="GGT44" s="19"/>
      <c r="GGU44" s="19"/>
      <c r="GGV44" s="19"/>
      <c r="GGW44" s="19"/>
      <c r="GGX44" s="19"/>
      <c r="GGY44" s="19"/>
      <c r="GGZ44" s="19"/>
      <c r="GHA44" s="19"/>
      <c r="GHB44" s="19"/>
      <c r="GHC44" s="19"/>
      <c r="GHD44" s="19"/>
      <c r="GHE44" s="19"/>
      <c r="GHF44" s="19"/>
      <c r="GHG44" s="19"/>
      <c r="GHH44" s="19"/>
      <c r="GHI44" s="19"/>
      <c r="GHJ44" s="19"/>
      <c r="GHK44" s="19"/>
      <c r="GHL44" s="19"/>
      <c r="GHM44" s="19"/>
      <c r="GHN44" s="19"/>
      <c r="GHO44" s="19"/>
      <c r="GHP44" s="19"/>
      <c r="GHQ44" s="19"/>
      <c r="GHR44" s="19"/>
      <c r="GHS44" s="19"/>
      <c r="GHT44" s="19"/>
      <c r="GHU44" s="19"/>
      <c r="GHV44" s="19"/>
      <c r="GHW44" s="19"/>
      <c r="GHX44" s="19"/>
      <c r="GHY44" s="19"/>
      <c r="GHZ44" s="19"/>
      <c r="GIA44" s="19"/>
      <c r="GIB44" s="19"/>
      <c r="GIC44" s="19"/>
      <c r="GID44" s="19"/>
      <c r="GIE44" s="19"/>
      <c r="GIF44" s="19"/>
      <c r="GIG44" s="19"/>
      <c r="GIH44" s="19"/>
      <c r="GII44" s="19"/>
      <c r="GIJ44" s="19"/>
      <c r="GIK44" s="19"/>
      <c r="GIL44" s="19"/>
      <c r="GIM44" s="19"/>
      <c r="GIN44" s="19"/>
      <c r="GIO44" s="19"/>
      <c r="GIP44" s="19"/>
      <c r="GIQ44" s="19"/>
      <c r="GIR44" s="19"/>
      <c r="GIS44" s="19"/>
      <c r="GIT44" s="19"/>
      <c r="GIU44" s="19"/>
      <c r="GIV44" s="19"/>
      <c r="GIW44" s="19"/>
      <c r="GIX44" s="19"/>
      <c r="GIY44" s="19"/>
      <c r="GIZ44" s="19"/>
      <c r="GJA44" s="19"/>
      <c r="GJB44" s="19"/>
      <c r="GJC44" s="19"/>
      <c r="GJD44" s="19"/>
      <c r="GJE44" s="19"/>
      <c r="GJF44" s="19"/>
      <c r="GJG44" s="19"/>
      <c r="GJH44" s="19"/>
      <c r="GJI44" s="19"/>
      <c r="GJJ44" s="19"/>
      <c r="GJK44" s="19"/>
      <c r="GJL44" s="19"/>
      <c r="GJM44" s="19"/>
      <c r="GJN44" s="19"/>
      <c r="GJO44" s="19"/>
      <c r="GJP44" s="19"/>
      <c r="GJQ44" s="19"/>
      <c r="GJR44" s="19"/>
      <c r="GJS44" s="19"/>
      <c r="GJT44" s="19"/>
      <c r="GJU44" s="19"/>
      <c r="GJV44" s="19"/>
      <c r="GJW44" s="19"/>
      <c r="GJX44" s="19"/>
      <c r="GJY44" s="19"/>
      <c r="GJZ44" s="19"/>
      <c r="GKA44" s="19"/>
      <c r="GKB44" s="19"/>
      <c r="GKC44" s="19"/>
      <c r="GKD44" s="19"/>
      <c r="GKE44" s="19"/>
      <c r="GKF44" s="19"/>
      <c r="GKG44" s="19"/>
      <c r="GKH44" s="19"/>
      <c r="GKI44" s="19"/>
      <c r="GKJ44" s="19"/>
      <c r="GKK44" s="19"/>
      <c r="GKL44" s="19"/>
      <c r="GKM44" s="19"/>
      <c r="GKN44" s="19"/>
      <c r="GKO44" s="19"/>
      <c r="GKP44" s="19"/>
      <c r="GKQ44" s="19"/>
      <c r="GKR44" s="19"/>
      <c r="GKS44" s="19"/>
      <c r="GKT44" s="19"/>
      <c r="GKU44" s="19"/>
      <c r="GKV44" s="19"/>
      <c r="GKW44" s="19"/>
      <c r="GKX44" s="19"/>
      <c r="GKY44" s="19"/>
      <c r="GKZ44" s="19"/>
      <c r="GLA44" s="19"/>
      <c r="GLB44" s="19"/>
      <c r="GLC44" s="19"/>
      <c r="GLD44" s="19"/>
      <c r="GLE44" s="19"/>
      <c r="GLF44" s="19"/>
      <c r="GLG44" s="19"/>
      <c r="GLH44" s="19"/>
      <c r="GLI44" s="19"/>
      <c r="GLJ44" s="19"/>
      <c r="GLK44" s="19"/>
      <c r="GLL44" s="19"/>
      <c r="GLM44" s="19"/>
      <c r="GLN44" s="19"/>
      <c r="GLO44" s="19"/>
      <c r="GLP44" s="19"/>
      <c r="GLQ44" s="19"/>
      <c r="GLR44" s="19"/>
      <c r="GLS44" s="19"/>
      <c r="GLT44" s="19"/>
      <c r="GLU44" s="19"/>
      <c r="GLV44" s="19"/>
      <c r="GLW44" s="19"/>
      <c r="GLX44" s="19"/>
      <c r="GLY44" s="19"/>
      <c r="GLZ44" s="19"/>
      <c r="GMA44" s="19"/>
      <c r="GMB44" s="19"/>
      <c r="GMC44" s="19"/>
      <c r="GMD44" s="19"/>
      <c r="GME44" s="19"/>
      <c r="GMF44" s="19"/>
      <c r="GMG44" s="19"/>
      <c r="GMH44" s="19"/>
      <c r="GMI44" s="19"/>
      <c r="GMJ44" s="19"/>
      <c r="GMK44" s="19"/>
      <c r="GML44" s="19"/>
      <c r="GMM44" s="19"/>
      <c r="GMN44" s="19"/>
      <c r="GMO44" s="19"/>
      <c r="GMP44" s="19"/>
      <c r="GMQ44" s="19"/>
      <c r="GMR44" s="19"/>
      <c r="GMS44" s="19"/>
      <c r="GMT44" s="19"/>
      <c r="GMU44" s="19"/>
      <c r="GMV44" s="19"/>
      <c r="GMW44" s="19"/>
      <c r="GMX44" s="19"/>
      <c r="GMY44" s="19"/>
      <c r="GMZ44" s="19"/>
      <c r="GNA44" s="19"/>
      <c r="GNB44" s="19"/>
      <c r="GNC44" s="19"/>
      <c r="GND44" s="19"/>
      <c r="GNE44" s="19"/>
      <c r="GNF44" s="19"/>
      <c r="GNG44" s="19"/>
      <c r="GNH44" s="19"/>
      <c r="GNI44" s="19"/>
      <c r="GNJ44" s="19"/>
      <c r="GNK44" s="19"/>
      <c r="GNL44" s="19"/>
      <c r="GNM44" s="19"/>
      <c r="GNN44" s="19"/>
      <c r="GNO44" s="19"/>
      <c r="GNP44" s="19"/>
      <c r="GNQ44" s="19"/>
      <c r="GNR44" s="19"/>
      <c r="GNS44" s="19"/>
      <c r="GNT44" s="19"/>
      <c r="GNU44" s="19"/>
      <c r="GNV44" s="19"/>
      <c r="GNW44" s="19"/>
      <c r="GNX44" s="19"/>
      <c r="GNY44" s="19"/>
      <c r="GNZ44" s="19"/>
      <c r="GOA44" s="19"/>
      <c r="GOB44" s="19"/>
      <c r="GOC44" s="19"/>
      <c r="GOD44" s="19"/>
      <c r="GOE44" s="19"/>
      <c r="GOF44" s="19"/>
      <c r="GOG44" s="19"/>
      <c r="GOH44" s="19"/>
      <c r="GOI44" s="19"/>
      <c r="GOJ44" s="19"/>
      <c r="GOK44" s="19"/>
      <c r="GOL44" s="19"/>
      <c r="GOM44" s="19"/>
      <c r="GON44" s="19"/>
      <c r="GOO44" s="19"/>
      <c r="GOP44" s="19"/>
      <c r="GOQ44" s="19"/>
      <c r="GOR44" s="19"/>
      <c r="GOS44" s="19"/>
      <c r="GOT44" s="19"/>
      <c r="GOU44" s="19"/>
      <c r="GOV44" s="19"/>
      <c r="GOW44" s="19"/>
      <c r="GOX44" s="19"/>
      <c r="GOY44" s="19"/>
      <c r="GOZ44" s="19"/>
      <c r="GPA44" s="19"/>
      <c r="GPB44" s="19"/>
      <c r="GPC44" s="19"/>
      <c r="GPD44" s="19"/>
      <c r="GPE44" s="19"/>
      <c r="GPF44" s="19"/>
      <c r="GPG44" s="19"/>
      <c r="GPH44" s="19"/>
      <c r="GPI44" s="19"/>
      <c r="GPJ44" s="19"/>
      <c r="GPK44" s="19"/>
      <c r="GPL44" s="19"/>
      <c r="GPM44" s="19"/>
      <c r="GPN44" s="19"/>
      <c r="GPO44" s="19"/>
      <c r="GPP44" s="19"/>
      <c r="GPQ44" s="19"/>
      <c r="GPR44" s="19"/>
      <c r="GPS44" s="19"/>
      <c r="GPT44" s="19"/>
      <c r="GPU44" s="19"/>
      <c r="GPV44" s="19"/>
      <c r="GPW44" s="19"/>
      <c r="GPX44" s="19"/>
      <c r="GPY44" s="19"/>
      <c r="GPZ44" s="19"/>
      <c r="GQA44" s="19"/>
      <c r="GQB44" s="19"/>
      <c r="GQC44" s="19"/>
      <c r="GQD44" s="19"/>
      <c r="GQE44" s="19"/>
      <c r="GQF44" s="19"/>
      <c r="GQG44" s="19"/>
      <c r="GQH44" s="19"/>
      <c r="GQI44" s="19"/>
      <c r="GQJ44" s="19"/>
      <c r="GQK44" s="19"/>
      <c r="GQL44" s="19"/>
      <c r="GQM44" s="19"/>
      <c r="GQN44" s="19"/>
      <c r="GQO44" s="19"/>
      <c r="GQP44" s="19"/>
      <c r="GQQ44" s="19"/>
      <c r="GQR44" s="19"/>
      <c r="GQS44" s="19"/>
      <c r="GQT44" s="19"/>
      <c r="GQU44" s="19"/>
      <c r="GQV44" s="19"/>
      <c r="GQW44" s="19"/>
      <c r="GQX44" s="19"/>
      <c r="GQY44" s="19"/>
      <c r="GQZ44" s="19"/>
      <c r="GRA44" s="19"/>
      <c r="GRB44" s="19"/>
      <c r="GRC44" s="19"/>
      <c r="GRD44" s="19"/>
      <c r="GRE44" s="19"/>
      <c r="GRF44" s="19"/>
      <c r="GRG44" s="19"/>
      <c r="GRH44" s="19"/>
      <c r="GRI44" s="19"/>
      <c r="GRJ44" s="19"/>
      <c r="GRK44" s="19"/>
      <c r="GRL44" s="19"/>
      <c r="GRM44" s="19"/>
      <c r="GRN44" s="19"/>
      <c r="GRO44" s="19"/>
      <c r="GRP44" s="19"/>
      <c r="GRQ44" s="19"/>
      <c r="GRR44" s="19"/>
      <c r="GRS44" s="19"/>
      <c r="GRT44" s="19"/>
      <c r="GRU44" s="19"/>
      <c r="GRV44" s="19"/>
      <c r="GRW44" s="19"/>
      <c r="GRX44" s="19"/>
      <c r="GRY44" s="19"/>
      <c r="GRZ44" s="19"/>
      <c r="GSA44" s="19"/>
      <c r="GSB44" s="19"/>
      <c r="GSC44" s="19"/>
      <c r="GSD44" s="19"/>
      <c r="GSE44" s="19"/>
      <c r="GSF44" s="19"/>
      <c r="GSG44" s="19"/>
      <c r="GSH44" s="19"/>
      <c r="GSI44" s="19"/>
      <c r="GSJ44" s="19"/>
      <c r="GSK44" s="19"/>
      <c r="GSL44" s="19"/>
      <c r="GSM44" s="19"/>
      <c r="GSN44" s="19"/>
      <c r="GSO44" s="19"/>
      <c r="GSP44" s="19"/>
      <c r="GSQ44" s="19"/>
      <c r="GSR44" s="19"/>
      <c r="GSS44" s="19"/>
      <c r="GST44" s="19"/>
      <c r="GSU44" s="19"/>
      <c r="GSV44" s="19"/>
      <c r="GSW44" s="19"/>
      <c r="GSX44" s="19"/>
      <c r="GSY44" s="19"/>
      <c r="GSZ44" s="19"/>
      <c r="GTA44" s="19"/>
      <c r="GTB44" s="19"/>
      <c r="GTC44" s="19"/>
      <c r="GTD44" s="19"/>
      <c r="GTE44" s="19"/>
      <c r="GTF44" s="19"/>
      <c r="GTG44" s="19"/>
      <c r="GTH44" s="19"/>
      <c r="GTI44" s="19"/>
      <c r="GTJ44" s="19"/>
      <c r="GTK44" s="19"/>
      <c r="GTL44" s="19"/>
      <c r="GTM44" s="19"/>
      <c r="GTN44" s="19"/>
      <c r="GTO44" s="19"/>
      <c r="GTP44" s="19"/>
      <c r="GTQ44" s="19"/>
      <c r="GTR44" s="19"/>
      <c r="GTS44" s="19"/>
      <c r="GTT44" s="19"/>
      <c r="GTU44" s="19"/>
      <c r="GTV44" s="19"/>
      <c r="GTW44" s="19"/>
      <c r="GTX44" s="19"/>
      <c r="GTY44" s="19"/>
      <c r="GTZ44" s="19"/>
      <c r="GUA44" s="19"/>
      <c r="GUB44" s="19"/>
      <c r="GUC44" s="19"/>
      <c r="GUD44" s="19"/>
      <c r="GUE44" s="19"/>
      <c r="GUF44" s="19"/>
      <c r="GUG44" s="19"/>
      <c r="GUH44" s="19"/>
      <c r="GUI44" s="19"/>
      <c r="GUJ44" s="19"/>
      <c r="GUK44" s="19"/>
      <c r="GUL44" s="19"/>
      <c r="GUM44" s="19"/>
      <c r="GUN44" s="19"/>
      <c r="GUO44" s="19"/>
      <c r="GUP44" s="19"/>
      <c r="GUQ44" s="19"/>
      <c r="GUR44" s="19"/>
      <c r="GUS44" s="19"/>
      <c r="GUT44" s="19"/>
      <c r="GUU44" s="19"/>
      <c r="GUV44" s="19"/>
      <c r="GUW44" s="19"/>
      <c r="GUX44" s="19"/>
      <c r="GUY44" s="19"/>
      <c r="GUZ44" s="19"/>
      <c r="GVA44" s="19"/>
      <c r="GVB44" s="19"/>
      <c r="GVC44" s="19"/>
      <c r="GVD44" s="19"/>
      <c r="GVE44" s="19"/>
      <c r="GVF44" s="19"/>
      <c r="GVG44" s="19"/>
      <c r="GVH44" s="19"/>
      <c r="GVI44" s="19"/>
      <c r="GVJ44" s="19"/>
      <c r="GVK44" s="19"/>
      <c r="GVL44" s="19"/>
      <c r="GVM44" s="19"/>
      <c r="GVN44" s="19"/>
      <c r="GVO44" s="19"/>
      <c r="GVP44" s="19"/>
      <c r="GVQ44" s="19"/>
      <c r="GVR44" s="19"/>
      <c r="GVS44" s="19"/>
      <c r="GVT44" s="19"/>
      <c r="GVU44" s="19"/>
      <c r="GVV44" s="19"/>
      <c r="GVW44" s="19"/>
      <c r="GVX44" s="19"/>
      <c r="GVY44" s="19"/>
      <c r="GVZ44" s="19"/>
      <c r="GWA44" s="19"/>
      <c r="GWB44" s="19"/>
      <c r="GWC44" s="19"/>
      <c r="GWD44" s="19"/>
      <c r="GWE44" s="19"/>
      <c r="GWF44" s="19"/>
      <c r="GWG44" s="19"/>
      <c r="GWH44" s="19"/>
      <c r="GWI44" s="19"/>
      <c r="GWJ44" s="19"/>
      <c r="GWK44" s="19"/>
      <c r="GWL44" s="19"/>
      <c r="GWM44" s="19"/>
      <c r="GWN44" s="19"/>
      <c r="GWO44" s="19"/>
      <c r="GWP44" s="19"/>
      <c r="GWQ44" s="19"/>
      <c r="GWR44" s="19"/>
      <c r="GWS44" s="19"/>
      <c r="GWT44" s="19"/>
      <c r="GWU44" s="19"/>
      <c r="GWV44" s="19"/>
      <c r="GWW44" s="19"/>
      <c r="GWX44" s="19"/>
      <c r="GWY44" s="19"/>
      <c r="GWZ44" s="19"/>
      <c r="GXA44" s="19"/>
      <c r="GXB44" s="19"/>
      <c r="GXC44" s="19"/>
      <c r="GXD44" s="19"/>
      <c r="GXE44" s="19"/>
      <c r="GXF44" s="19"/>
      <c r="GXG44" s="19"/>
      <c r="GXH44" s="19"/>
      <c r="GXI44" s="19"/>
      <c r="GXJ44" s="19"/>
      <c r="GXK44" s="19"/>
      <c r="GXL44" s="19"/>
      <c r="GXM44" s="19"/>
      <c r="GXN44" s="19"/>
      <c r="GXO44" s="19"/>
      <c r="GXP44" s="19"/>
      <c r="GXQ44" s="19"/>
      <c r="GXR44" s="19"/>
      <c r="GXS44" s="19"/>
      <c r="GXT44" s="19"/>
      <c r="GXU44" s="19"/>
      <c r="GXV44" s="19"/>
      <c r="GXW44" s="19"/>
      <c r="GXX44" s="19"/>
      <c r="GXY44" s="19"/>
      <c r="GXZ44" s="19"/>
      <c r="GYA44" s="19"/>
      <c r="GYB44" s="19"/>
      <c r="GYC44" s="19"/>
      <c r="GYD44" s="19"/>
      <c r="GYE44" s="19"/>
      <c r="GYF44" s="19"/>
      <c r="GYG44" s="19"/>
      <c r="GYH44" s="19"/>
      <c r="GYI44" s="19"/>
      <c r="GYJ44" s="19"/>
      <c r="GYK44" s="19"/>
      <c r="GYL44" s="19"/>
      <c r="GYM44" s="19"/>
      <c r="GYN44" s="19"/>
      <c r="GYO44" s="19"/>
      <c r="GYP44" s="19"/>
      <c r="GYQ44" s="19"/>
      <c r="GYR44" s="19"/>
      <c r="GYS44" s="19"/>
      <c r="GYT44" s="19"/>
      <c r="GYU44" s="19"/>
      <c r="GYV44" s="19"/>
      <c r="GYW44" s="19"/>
      <c r="GYX44" s="19"/>
      <c r="GYY44" s="19"/>
      <c r="GYZ44" s="19"/>
      <c r="GZA44" s="19"/>
      <c r="GZB44" s="19"/>
      <c r="GZC44" s="19"/>
      <c r="GZD44" s="19"/>
      <c r="GZE44" s="19"/>
      <c r="GZF44" s="19"/>
      <c r="GZG44" s="19"/>
      <c r="GZH44" s="19"/>
      <c r="GZI44" s="19"/>
      <c r="GZJ44" s="19"/>
      <c r="GZK44" s="19"/>
      <c r="GZL44" s="19"/>
      <c r="GZM44" s="19"/>
      <c r="GZN44" s="19"/>
      <c r="GZO44" s="19"/>
      <c r="GZP44" s="19"/>
      <c r="GZQ44" s="19"/>
      <c r="GZR44" s="19"/>
      <c r="GZS44" s="19"/>
      <c r="GZT44" s="19"/>
      <c r="GZU44" s="19"/>
      <c r="GZV44" s="19"/>
      <c r="GZW44" s="19"/>
      <c r="GZX44" s="19"/>
      <c r="GZY44" s="19"/>
      <c r="GZZ44" s="19"/>
      <c r="HAA44" s="19"/>
      <c r="HAB44" s="19"/>
      <c r="HAC44" s="19"/>
      <c r="HAD44" s="19"/>
      <c r="HAE44" s="19"/>
      <c r="HAF44" s="19"/>
      <c r="HAG44" s="19"/>
      <c r="HAH44" s="19"/>
      <c r="HAI44" s="19"/>
      <c r="HAJ44" s="19"/>
      <c r="HAK44" s="19"/>
      <c r="HAL44" s="19"/>
      <c r="HAM44" s="19"/>
      <c r="HAN44" s="19"/>
      <c r="HAO44" s="19"/>
      <c r="HAP44" s="19"/>
      <c r="HAQ44" s="19"/>
      <c r="HAR44" s="19"/>
      <c r="HAS44" s="19"/>
      <c r="HAT44" s="19"/>
      <c r="HAU44" s="19"/>
      <c r="HAV44" s="19"/>
      <c r="HAW44" s="19"/>
      <c r="HAX44" s="19"/>
      <c r="HAY44" s="19"/>
      <c r="HAZ44" s="19"/>
      <c r="HBA44" s="19"/>
      <c r="HBB44" s="19"/>
      <c r="HBC44" s="19"/>
      <c r="HBD44" s="19"/>
      <c r="HBE44" s="19"/>
      <c r="HBF44" s="19"/>
      <c r="HBG44" s="19"/>
      <c r="HBH44" s="19"/>
      <c r="HBI44" s="19"/>
      <c r="HBJ44" s="19"/>
      <c r="HBK44" s="19"/>
      <c r="HBL44" s="19"/>
      <c r="HBM44" s="19"/>
      <c r="HBN44" s="19"/>
      <c r="HBO44" s="19"/>
      <c r="HBP44" s="19"/>
      <c r="HBQ44" s="19"/>
      <c r="HBR44" s="19"/>
      <c r="HBS44" s="19"/>
      <c r="HBT44" s="19"/>
      <c r="HBU44" s="19"/>
      <c r="HBV44" s="19"/>
      <c r="HBW44" s="19"/>
      <c r="HBX44" s="19"/>
      <c r="HBY44" s="19"/>
      <c r="HBZ44" s="19"/>
      <c r="HCA44" s="19"/>
      <c r="HCB44" s="19"/>
      <c r="HCC44" s="19"/>
      <c r="HCD44" s="19"/>
      <c r="HCE44" s="19"/>
      <c r="HCF44" s="19"/>
      <c r="HCG44" s="19"/>
      <c r="HCH44" s="19"/>
      <c r="HCI44" s="19"/>
      <c r="HCJ44" s="19"/>
      <c r="HCK44" s="19"/>
      <c r="HCL44" s="19"/>
      <c r="HCM44" s="19"/>
      <c r="HCN44" s="19"/>
      <c r="HCO44" s="19"/>
      <c r="HCP44" s="19"/>
      <c r="HCQ44" s="19"/>
      <c r="HCR44" s="19"/>
      <c r="HCS44" s="19"/>
      <c r="HCT44" s="19"/>
      <c r="HCU44" s="19"/>
      <c r="HCV44" s="19"/>
      <c r="HCW44" s="19"/>
      <c r="HCX44" s="19"/>
      <c r="HCY44" s="19"/>
      <c r="HCZ44" s="19"/>
      <c r="HDA44" s="19"/>
      <c r="HDB44" s="19"/>
      <c r="HDC44" s="19"/>
      <c r="HDD44" s="19"/>
      <c r="HDE44" s="19"/>
      <c r="HDF44" s="19"/>
      <c r="HDG44" s="19"/>
      <c r="HDH44" s="19"/>
      <c r="HDI44" s="19"/>
      <c r="HDJ44" s="19"/>
      <c r="HDK44" s="19"/>
      <c r="HDL44" s="19"/>
      <c r="HDM44" s="19"/>
      <c r="HDN44" s="19"/>
      <c r="HDO44" s="19"/>
      <c r="HDP44" s="19"/>
      <c r="HDQ44" s="19"/>
      <c r="HDR44" s="19"/>
      <c r="HDS44" s="19"/>
      <c r="HDT44" s="19"/>
      <c r="HDU44" s="19"/>
      <c r="HDV44" s="19"/>
      <c r="HDW44" s="19"/>
      <c r="HDX44" s="19"/>
      <c r="HDY44" s="19"/>
      <c r="HDZ44" s="19"/>
      <c r="HEA44" s="19"/>
      <c r="HEB44" s="19"/>
      <c r="HEC44" s="19"/>
      <c r="HED44" s="19"/>
      <c r="HEE44" s="19"/>
      <c r="HEF44" s="19"/>
      <c r="HEG44" s="19"/>
      <c r="HEH44" s="19"/>
      <c r="HEI44" s="19"/>
      <c r="HEJ44" s="19"/>
      <c r="HEK44" s="19"/>
      <c r="HEL44" s="19"/>
      <c r="HEM44" s="19"/>
      <c r="HEN44" s="19"/>
      <c r="HEO44" s="19"/>
      <c r="HEP44" s="19"/>
      <c r="HEQ44" s="19"/>
      <c r="HER44" s="19"/>
      <c r="HES44" s="19"/>
      <c r="HET44" s="19"/>
      <c r="HEU44" s="19"/>
      <c r="HEV44" s="19"/>
      <c r="HEW44" s="19"/>
      <c r="HEX44" s="19"/>
      <c r="HEY44" s="19"/>
      <c r="HEZ44" s="19"/>
      <c r="HFA44" s="19"/>
      <c r="HFB44" s="19"/>
      <c r="HFC44" s="19"/>
      <c r="HFD44" s="19"/>
      <c r="HFE44" s="19"/>
      <c r="HFF44" s="19"/>
      <c r="HFG44" s="19"/>
      <c r="HFH44" s="19"/>
      <c r="HFI44" s="19"/>
      <c r="HFJ44" s="19"/>
      <c r="HFK44" s="19"/>
      <c r="HFL44" s="19"/>
      <c r="HFM44" s="19"/>
      <c r="HFN44" s="19"/>
      <c r="HFO44" s="19"/>
      <c r="HFP44" s="19"/>
      <c r="HFQ44" s="19"/>
      <c r="HFR44" s="19"/>
      <c r="HFS44" s="19"/>
      <c r="HFT44" s="19"/>
      <c r="HFU44" s="19"/>
      <c r="HFV44" s="19"/>
      <c r="HFW44" s="19"/>
      <c r="HFX44" s="19"/>
      <c r="HFY44" s="19"/>
      <c r="HFZ44" s="19"/>
      <c r="HGA44" s="19"/>
      <c r="HGB44" s="19"/>
      <c r="HGC44" s="19"/>
      <c r="HGD44" s="19"/>
      <c r="HGE44" s="19"/>
      <c r="HGF44" s="19"/>
      <c r="HGG44" s="19"/>
      <c r="HGH44" s="19"/>
      <c r="HGI44" s="19"/>
      <c r="HGJ44" s="19"/>
      <c r="HGK44" s="19"/>
      <c r="HGL44" s="19"/>
      <c r="HGM44" s="19"/>
      <c r="HGN44" s="19"/>
      <c r="HGO44" s="19"/>
      <c r="HGP44" s="19"/>
      <c r="HGQ44" s="19"/>
      <c r="HGR44" s="19"/>
      <c r="HGS44" s="19"/>
      <c r="HGT44" s="19"/>
      <c r="HGU44" s="19"/>
      <c r="HGV44" s="19"/>
      <c r="HGW44" s="19"/>
      <c r="HGX44" s="19"/>
      <c r="HGY44" s="19"/>
      <c r="HGZ44" s="19"/>
      <c r="HHA44" s="19"/>
      <c r="HHB44" s="19"/>
      <c r="HHC44" s="19"/>
      <c r="HHD44" s="19"/>
      <c r="HHE44" s="19"/>
      <c r="HHF44" s="19"/>
      <c r="HHG44" s="19"/>
      <c r="HHH44" s="19"/>
      <c r="HHI44" s="19"/>
      <c r="HHJ44" s="19"/>
      <c r="HHK44" s="19"/>
      <c r="HHL44" s="19"/>
      <c r="HHM44" s="19"/>
      <c r="HHN44" s="19"/>
      <c r="HHO44" s="19"/>
      <c r="HHP44" s="19"/>
      <c r="HHQ44" s="19"/>
      <c r="HHR44" s="19"/>
      <c r="HHS44" s="19"/>
      <c r="HHT44" s="19"/>
      <c r="HHU44" s="19"/>
      <c r="HHV44" s="19"/>
      <c r="HHW44" s="19"/>
      <c r="HHX44" s="19"/>
      <c r="HHY44" s="19"/>
      <c r="HHZ44" s="19"/>
      <c r="HIA44" s="19"/>
      <c r="HIB44" s="19"/>
      <c r="HIC44" s="19"/>
      <c r="HID44" s="19"/>
      <c r="HIE44" s="19"/>
      <c r="HIF44" s="19"/>
      <c r="HIG44" s="19"/>
      <c r="HIH44" s="19"/>
      <c r="HII44" s="19"/>
      <c r="HIJ44" s="19"/>
      <c r="HIK44" s="19"/>
      <c r="HIL44" s="19"/>
      <c r="HIM44" s="19"/>
      <c r="HIN44" s="19"/>
      <c r="HIO44" s="19"/>
      <c r="HIP44" s="19"/>
      <c r="HIQ44" s="19"/>
      <c r="HIR44" s="19"/>
      <c r="HIS44" s="19"/>
      <c r="HIT44" s="19"/>
      <c r="HIU44" s="19"/>
      <c r="HIV44" s="19"/>
      <c r="HIW44" s="19"/>
      <c r="HIX44" s="19"/>
      <c r="HIY44" s="19"/>
      <c r="HIZ44" s="19"/>
      <c r="HJA44" s="19"/>
      <c r="HJB44" s="19"/>
      <c r="HJC44" s="19"/>
      <c r="HJD44" s="19"/>
      <c r="HJE44" s="19"/>
      <c r="HJF44" s="19"/>
      <c r="HJG44" s="19"/>
      <c r="HJH44" s="19"/>
      <c r="HJI44" s="19"/>
      <c r="HJJ44" s="19"/>
      <c r="HJK44" s="19"/>
      <c r="HJL44" s="19"/>
      <c r="HJM44" s="19"/>
      <c r="HJN44" s="19"/>
      <c r="HJO44" s="19"/>
      <c r="HJP44" s="19"/>
      <c r="HJQ44" s="19"/>
      <c r="HJR44" s="19"/>
      <c r="HJS44" s="19"/>
      <c r="HJT44" s="19"/>
      <c r="HJU44" s="19"/>
      <c r="HJV44" s="19"/>
      <c r="HJW44" s="19"/>
      <c r="HJX44" s="19"/>
      <c r="HJY44" s="19"/>
      <c r="HJZ44" s="19"/>
      <c r="HKA44" s="19"/>
      <c r="HKB44" s="19"/>
      <c r="HKC44" s="19"/>
      <c r="HKD44" s="19"/>
      <c r="HKE44" s="19"/>
      <c r="HKF44" s="19"/>
      <c r="HKG44" s="19"/>
      <c r="HKH44" s="19"/>
      <c r="HKI44" s="19"/>
      <c r="HKJ44" s="19"/>
      <c r="HKK44" s="19"/>
      <c r="HKL44" s="19"/>
      <c r="HKM44" s="19"/>
      <c r="HKN44" s="19"/>
      <c r="HKO44" s="19"/>
      <c r="HKP44" s="19"/>
      <c r="HKQ44" s="19"/>
      <c r="HKR44" s="19"/>
      <c r="HKS44" s="19"/>
      <c r="HKT44" s="19"/>
      <c r="HKU44" s="19"/>
      <c r="HKV44" s="19"/>
      <c r="HKW44" s="19"/>
      <c r="HKX44" s="19"/>
      <c r="HKY44" s="19"/>
      <c r="HKZ44" s="19"/>
      <c r="HLA44" s="19"/>
      <c r="HLB44" s="19"/>
      <c r="HLC44" s="19"/>
      <c r="HLD44" s="19"/>
      <c r="HLE44" s="19"/>
      <c r="HLF44" s="19"/>
      <c r="HLG44" s="19"/>
      <c r="HLH44" s="19"/>
      <c r="HLI44" s="19"/>
      <c r="HLJ44" s="19"/>
      <c r="HLK44" s="19"/>
      <c r="HLL44" s="19"/>
      <c r="HLM44" s="19"/>
      <c r="HLN44" s="19"/>
      <c r="HLO44" s="19"/>
      <c r="HLP44" s="19"/>
      <c r="HLQ44" s="19"/>
      <c r="HLR44" s="19"/>
      <c r="HLS44" s="19"/>
      <c r="HLT44" s="19"/>
      <c r="HLU44" s="19"/>
      <c r="HLV44" s="19"/>
      <c r="HLW44" s="19"/>
      <c r="HLX44" s="19"/>
      <c r="HLY44" s="19"/>
      <c r="HLZ44" s="19"/>
      <c r="HMA44" s="19"/>
      <c r="HMB44" s="19"/>
      <c r="HMC44" s="19"/>
      <c r="HMD44" s="19"/>
      <c r="HME44" s="19"/>
      <c r="HMF44" s="19"/>
      <c r="HMG44" s="19"/>
      <c r="HMH44" s="19"/>
      <c r="HMI44" s="19"/>
      <c r="HMJ44" s="19"/>
      <c r="HMK44" s="19"/>
      <c r="HML44" s="19"/>
      <c r="HMM44" s="19"/>
      <c r="HMN44" s="19"/>
      <c r="HMO44" s="19"/>
      <c r="HMP44" s="19"/>
      <c r="HMQ44" s="19"/>
      <c r="HMR44" s="19"/>
      <c r="HMS44" s="19"/>
      <c r="HMT44" s="19"/>
      <c r="HMU44" s="19"/>
      <c r="HMV44" s="19"/>
      <c r="HMW44" s="19"/>
      <c r="HMX44" s="19"/>
      <c r="HMY44" s="19"/>
      <c r="HMZ44" s="19"/>
      <c r="HNA44" s="19"/>
      <c r="HNB44" s="19"/>
      <c r="HNC44" s="19"/>
      <c r="HND44" s="19"/>
      <c r="HNE44" s="19"/>
      <c r="HNF44" s="19"/>
      <c r="HNG44" s="19"/>
      <c r="HNH44" s="19"/>
      <c r="HNI44" s="19"/>
      <c r="HNJ44" s="19"/>
      <c r="HNK44" s="19"/>
      <c r="HNL44" s="19"/>
      <c r="HNM44" s="19"/>
      <c r="HNN44" s="19"/>
      <c r="HNO44" s="19"/>
      <c r="HNP44" s="19"/>
      <c r="HNQ44" s="19"/>
      <c r="HNR44" s="19"/>
      <c r="HNS44" s="19"/>
      <c r="HNT44" s="19"/>
      <c r="HNU44" s="19"/>
      <c r="HNV44" s="19"/>
      <c r="HNW44" s="19"/>
      <c r="HNX44" s="19"/>
      <c r="HNY44" s="19"/>
      <c r="HNZ44" s="19"/>
      <c r="HOA44" s="19"/>
      <c r="HOB44" s="19"/>
      <c r="HOC44" s="19"/>
      <c r="HOD44" s="19"/>
      <c r="HOE44" s="19"/>
      <c r="HOF44" s="19"/>
      <c r="HOG44" s="19"/>
      <c r="HOH44" s="19"/>
      <c r="HOI44" s="19"/>
      <c r="HOJ44" s="19"/>
      <c r="HOK44" s="19"/>
      <c r="HOL44" s="19"/>
      <c r="HOM44" s="19"/>
      <c r="HON44" s="19"/>
      <c r="HOO44" s="19"/>
      <c r="HOP44" s="19"/>
      <c r="HOQ44" s="19"/>
      <c r="HOR44" s="19"/>
      <c r="HOS44" s="19"/>
      <c r="HOT44" s="19"/>
      <c r="HOU44" s="19"/>
      <c r="HOV44" s="19"/>
      <c r="HOW44" s="19"/>
      <c r="HOX44" s="19"/>
      <c r="HOY44" s="19"/>
      <c r="HOZ44" s="19"/>
      <c r="HPA44" s="19"/>
      <c r="HPB44" s="19"/>
      <c r="HPC44" s="19"/>
      <c r="HPD44" s="19"/>
      <c r="HPE44" s="19"/>
      <c r="HPF44" s="19"/>
      <c r="HPG44" s="19"/>
      <c r="HPH44" s="19"/>
      <c r="HPI44" s="19"/>
      <c r="HPJ44" s="19"/>
      <c r="HPK44" s="19"/>
      <c r="HPL44" s="19"/>
      <c r="HPM44" s="19"/>
      <c r="HPN44" s="19"/>
      <c r="HPO44" s="19"/>
      <c r="HPP44" s="19"/>
      <c r="HPQ44" s="19"/>
      <c r="HPR44" s="19"/>
      <c r="HPS44" s="19"/>
      <c r="HPT44" s="19"/>
      <c r="HPU44" s="19"/>
      <c r="HPV44" s="19"/>
      <c r="HPW44" s="19"/>
      <c r="HPX44" s="19"/>
      <c r="HPY44" s="19"/>
      <c r="HPZ44" s="19"/>
      <c r="HQA44" s="19"/>
      <c r="HQB44" s="19"/>
      <c r="HQC44" s="19"/>
      <c r="HQD44" s="19"/>
      <c r="HQE44" s="19"/>
      <c r="HQF44" s="19"/>
      <c r="HQG44" s="19"/>
      <c r="HQH44" s="19"/>
      <c r="HQI44" s="19"/>
      <c r="HQJ44" s="19"/>
      <c r="HQK44" s="19"/>
      <c r="HQL44" s="19"/>
      <c r="HQM44" s="19"/>
      <c r="HQN44" s="19"/>
      <c r="HQO44" s="19"/>
      <c r="HQP44" s="19"/>
      <c r="HQQ44" s="19"/>
      <c r="HQR44" s="19"/>
      <c r="HQS44" s="19"/>
      <c r="HQT44" s="19"/>
      <c r="HQU44" s="19"/>
      <c r="HQV44" s="19"/>
      <c r="HQW44" s="19"/>
      <c r="HQX44" s="19"/>
      <c r="HQY44" s="19"/>
      <c r="HQZ44" s="19"/>
      <c r="HRA44" s="19"/>
      <c r="HRB44" s="19"/>
      <c r="HRC44" s="19"/>
      <c r="HRD44" s="19"/>
      <c r="HRE44" s="19"/>
      <c r="HRF44" s="19"/>
      <c r="HRG44" s="19"/>
      <c r="HRH44" s="19"/>
      <c r="HRI44" s="19"/>
      <c r="HRJ44" s="19"/>
      <c r="HRK44" s="19"/>
      <c r="HRL44" s="19"/>
      <c r="HRM44" s="19"/>
      <c r="HRN44" s="19"/>
      <c r="HRO44" s="19"/>
      <c r="HRP44" s="19"/>
      <c r="HRQ44" s="19"/>
      <c r="HRR44" s="19"/>
      <c r="HRS44" s="19"/>
      <c r="HRT44" s="19"/>
      <c r="HRU44" s="19"/>
      <c r="HRV44" s="19"/>
      <c r="HRW44" s="19"/>
      <c r="HRX44" s="19"/>
      <c r="HRY44" s="19"/>
      <c r="HRZ44" s="19"/>
      <c r="HSA44" s="19"/>
      <c r="HSB44" s="19"/>
      <c r="HSC44" s="19"/>
      <c r="HSD44" s="19"/>
      <c r="HSE44" s="19"/>
      <c r="HSF44" s="19"/>
      <c r="HSG44" s="19"/>
      <c r="HSH44" s="19"/>
      <c r="HSI44" s="19"/>
      <c r="HSJ44" s="19"/>
      <c r="HSK44" s="19"/>
      <c r="HSL44" s="19"/>
      <c r="HSM44" s="19"/>
      <c r="HSN44" s="19"/>
      <c r="HSO44" s="19"/>
      <c r="HSP44" s="19"/>
      <c r="HSQ44" s="19"/>
      <c r="HSR44" s="19"/>
      <c r="HSS44" s="19"/>
      <c r="HST44" s="19"/>
      <c r="HSU44" s="19"/>
      <c r="HSV44" s="19"/>
      <c r="HSW44" s="19"/>
      <c r="HSX44" s="19"/>
      <c r="HSY44" s="19"/>
      <c r="HSZ44" s="19"/>
      <c r="HTA44" s="19"/>
      <c r="HTB44" s="19"/>
      <c r="HTC44" s="19"/>
      <c r="HTD44" s="19"/>
      <c r="HTE44" s="19"/>
      <c r="HTF44" s="19"/>
      <c r="HTG44" s="19"/>
      <c r="HTH44" s="19"/>
      <c r="HTI44" s="19"/>
      <c r="HTJ44" s="19"/>
      <c r="HTK44" s="19"/>
      <c r="HTL44" s="19"/>
      <c r="HTM44" s="19"/>
      <c r="HTN44" s="19"/>
      <c r="HTO44" s="19"/>
      <c r="HTP44" s="19"/>
      <c r="HTQ44" s="19"/>
      <c r="HTR44" s="19"/>
      <c r="HTS44" s="19"/>
      <c r="HTT44" s="19"/>
      <c r="HTU44" s="19"/>
      <c r="HTV44" s="19"/>
      <c r="HTW44" s="19"/>
      <c r="HTX44" s="19"/>
      <c r="HTY44" s="19"/>
      <c r="HTZ44" s="19"/>
      <c r="HUA44" s="19"/>
      <c r="HUB44" s="19"/>
      <c r="HUC44" s="19"/>
      <c r="HUD44" s="19"/>
      <c r="HUE44" s="19"/>
      <c r="HUF44" s="19"/>
      <c r="HUG44" s="19"/>
      <c r="HUH44" s="19"/>
      <c r="HUI44" s="19"/>
      <c r="HUJ44" s="19"/>
      <c r="HUK44" s="19"/>
      <c r="HUL44" s="19"/>
      <c r="HUM44" s="19"/>
      <c r="HUN44" s="19"/>
      <c r="HUO44" s="19"/>
      <c r="HUP44" s="19"/>
      <c r="HUQ44" s="19"/>
      <c r="HUR44" s="19"/>
      <c r="HUS44" s="19"/>
      <c r="HUT44" s="19"/>
      <c r="HUU44" s="19"/>
      <c r="HUV44" s="19"/>
      <c r="HUW44" s="19"/>
      <c r="HUX44" s="19"/>
      <c r="HUY44" s="19"/>
      <c r="HUZ44" s="19"/>
      <c r="HVA44" s="19"/>
      <c r="HVB44" s="19"/>
      <c r="HVC44" s="19"/>
      <c r="HVD44" s="19"/>
      <c r="HVE44" s="19"/>
      <c r="HVF44" s="19"/>
      <c r="HVG44" s="19"/>
      <c r="HVH44" s="19"/>
      <c r="HVI44" s="19"/>
      <c r="HVJ44" s="19"/>
      <c r="HVK44" s="19"/>
      <c r="HVL44" s="19"/>
      <c r="HVM44" s="19"/>
      <c r="HVN44" s="19"/>
      <c r="HVO44" s="19"/>
      <c r="HVP44" s="19"/>
      <c r="HVQ44" s="19"/>
      <c r="HVR44" s="19"/>
      <c r="HVS44" s="19"/>
      <c r="HVT44" s="19"/>
      <c r="HVU44" s="19"/>
      <c r="HVV44" s="19"/>
      <c r="HVW44" s="19"/>
      <c r="HVX44" s="19"/>
      <c r="HVY44" s="19"/>
      <c r="HVZ44" s="19"/>
      <c r="HWA44" s="19"/>
      <c r="HWB44" s="19"/>
      <c r="HWC44" s="19"/>
      <c r="HWD44" s="19"/>
      <c r="HWE44" s="19"/>
      <c r="HWF44" s="19"/>
      <c r="HWG44" s="19"/>
      <c r="HWH44" s="19"/>
      <c r="HWI44" s="19"/>
      <c r="HWJ44" s="19"/>
      <c r="HWK44" s="19"/>
      <c r="HWL44" s="19"/>
      <c r="HWM44" s="19"/>
      <c r="HWN44" s="19"/>
      <c r="HWO44" s="19"/>
      <c r="HWP44" s="19"/>
      <c r="HWQ44" s="19"/>
      <c r="HWR44" s="19"/>
      <c r="HWS44" s="19"/>
      <c r="HWT44" s="19"/>
      <c r="HWU44" s="19"/>
      <c r="HWV44" s="19"/>
      <c r="HWW44" s="19"/>
      <c r="HWX44" s="19"/>
      <c r="HWY44" s="19"/>
      <c r="HWZ44" s="19"/>
      <c r="HXA44" s="19"/>
      <c r="HXB44" s="19"/>
      <c r="HXC44" s="19"/>
      <c r="HXD44" s="19"/>
      <c r="HXE44" s="19"/>
      <c r="HXF44" s="19"/>
      <c r="HXG44" s="19"/>
      <c r="HXH44" s="19"/>
      <c r="HXI44" s="19"/>
      <c r="HXJ44" s="19"/>
      <c r="HXK44" s="19"/>
      <c r="HXL44" s="19"/>
      <c r="HXM44" s="19"/>
      <c r="HXN44" s="19"/>
      <c r="HXO44" s="19"/>
      <c r="HXP44" s="19"/>
      <c r="HXQ44" s="19"/>
      <c r="HXR44" s="19"/>
      <c r="HXS44" s="19"/>
      <c r="HXT44" s="19"/>
      <c r="HXU44" s="19"/>
      <c r="HXV44" s="19"/>
      <c r="HXW44" s="19"/>
      <c r="HXX44" s="19"/>
      <c r="HXY44" s="19"/>
      <c r="HXZ44" s="19"/>
      <c r="HYA44" s="19"/>
      <c r="HYB44" s="19"/>
      <c r="HYC44" s="19"/>
      <c r="HYD44" s="19"/>
      <c r="HYE44" s="19"/>
      <c r="HYF44" s="19"/>
      <c r="HYG44" s="19"/>
      <c r="HYH44" s="19"/>
      <c r="HYI44" s="19"/>
      <c r="HYJ44" s="19"/>
      <c r="HYK44" s="19"/>
      <c r="HYL44" s="19"/>
      <c r="HYM44" s="19"/>
      <c r="HYN44" s="19"/>
      <c r="HYO44" s="19"/>
      <c r="HYP44" s="19"/>
      <c r="HYQ44" s="19"/>
      <c r="HYR44" s="19"/>
      <c r="HYS44" s="19"/>
      <c r="HYT44" s="19"/>
      <c r="HYU44" s="19"/>
      <c r="HYV44" s="19"/>
      <c r="HYW44" s="19"/>
      <c r="HYX44" s="19"/>
      <c r="HYY44" s="19"/>
      <c r="HYZ44" s="19"/>
      <c r="HZA44" s="19"/>
      <c r="HZB44" s="19"/>
      <c r="HZC44" s="19"/>
      <c r="HZD44" s="19"/>
      <c r="HZE44" s="19"/>
      <c r="HZF44" s="19"/>
      <c r="HZG44" s="19"/>
      <c r="HZH44" s="19"/>
      <c r="HZI44" s="19"/>
      <c r="HZJ44" s="19"/>
      <c r="HZK44" s="19"/>
      <c r="HZL44" s="19"/>
      <c r="HZM44" s="19"/>
      <c r="HZN44" s="19"/>
      <c r="HZO44" s="19"/>
      <c r="HZP44" s="19"/>
      <c r="HZQ44" s="19"/>
      <c r="HZR44" s="19"/>
      <c r="HZS44" s="19"/>
      <c r="HZT44" s="19"/>
      <c r="HZU44" s="19"/>
      <c r="HZV44" s="19"/>
      <c r="HZW44" s="19"/>
      <c r="HZX44" s="19"/>
      <c r="HZY44" s="19"/>
      <c r="HZZ44" s="19"/>
      <c r="IAA44" s="19"/>
      <c r="IAB44" s="19"/>
      <c r="IAC44" s="19"/>
      <c r="IAD44" s="19"/>
      <c r="IAE44" s="19"/>
      <c r="IAF44" s="19"/>
      <c r="IAG44" s="19"/>
      <c r="IAH44" s="19"/>
      <c r="IAI44" s="19"/>
      <c r="IAJ44" s="19"/>
      <c r="IAK44" s="19"/>
      <c r="IAL44" s="19"/>
      <c r="IAM44" s="19"/>
      <c r="IAN44" s="19"/>
      <c r="IAO44" s="19"/>
      <c r="IAP44" s="19"/>
      <c r="IAQ44" s="19"/>
      <c r="IAR44" s="19"/>
      <c r="IAS44" s="19"/>
      <c r="IAT44" s="19"/>
      <c r="IAU44" s="19"/>
      <c r="IAV44" s="19"/>
      <c r="IAW44" s="19"/>
      <c r="IAX44" s="19"/>
      <c r="IAY44" s="19"/>
      <c r="IAZ44" s="19"/>
      <c r="IBA44" s="19"/>
      <c r="IBB44" s="19"/>
      <c r="IBC44" s="19"/>
      <c r="IBD44" s="19"/>
      <c r="IBE44" s="19"/>
      <c r="IBF44" s="19"/>
      <c r="IBG44" s="19"/>
      <c r="IBH44" s="19"/>
      <c r="IBI44" s="19"/>
      <c r="IBJ44" s="19"/>
      <c r="IBK44" s="19"/>
      <c r="IBL44" s="19"/>
      <c r="IBM44" s="19"/>
      <c r="IBN44" s="19"/>
      <c r="IBO44" s="19"/>
      <c r="IBP44" s="19"/>
      <c r="IBQ44" s="19"/>
      <c r="IBR44" s="19"/>
      <c r="IBS44" s="19"/>
      <c r="IBT44" s="19"/>
      <c r="IBU44" s="19"/>
      <c r="IBV44" s="19"/>
      <c r="IBW44" s="19"/>
      <c r="IBX44" s="19"/>
      <c r="IBY44" s="19"/>
      <c r="IBZ44" s="19"/>
      <c r="ICA44" s="19"/>
      <c r="ICB44" s="19"/>
      <c r="ICC44" s="19"/>
      <c r="ICD44" s="19"/>
      <c r="ICE44" s="19"/>
      <c r="ICF44" s="19"/>
      <c r="ICG44" s="19"/>
      <c r="ICH44" s="19"/>
      <c r="ICI44" s="19"/>
      <c r="ICJ44" s="19"/>
      <c r="ICK44" s="19"/>
      <c r="ICL44" s="19"/>
      <c r="ICM44" s="19"/>
      <c r="ICN44" s="19"/>
      <c r="ICO44" s="19"/>
      <c r="ICP44" s="19"/>
      <c r="ICQ44" s="19"/>
      <c r="ICR44" s="19"/>
      <c r="ICS44" s="19"/>
      <c r="ICT44" s="19"/>
      <c r="ICU44" s="19"/>
      <c r="ICV44" s="19"/>
      <c r="ICW44" s="19"/>
      <c r="ICX44" s="19"/>
      <c r="ICY44" s="19"/>
      <c r="ICZ44" s="19"/>
      <c r="IDA44" s="19"/>
      <c r="IDB44" s="19"/>
      <c r="IDC44" s="19"/>
      <c r="IDD44" s="19"/>
      <c r="IDE44" s="19"/>
      <c r="IDF44" s="19"/>
      <c r="IDG44" s="19"/>
      <c r="IDH44" s="19"/>
      <c r="IDI44" s="19"/>
      <c r="IDJ44" s="19"/>
      <c r="IDK44" s="19"/>
      <c r="IDL44" s="19"/>
      <c r="IDM44" s="19"/>
      <c r="IDN44" s="19"/>
      <c r="IDO44" s="19"/>
      <c r="IDP44" s="19"/>
      <c r="IDQ44" s="19"/>
      <c r="IDR44" s="19"/>
      <c r="IDS44" s="19"/>
      <c r="IDT44" s="19"/>
      <c r="IDU44" s="19"/>
      <c r="IDV44" s="19"/>
      <c r="IDW44" s="19"/>
      <c r="IDX44" s="19"/>
      <c r="IDY44" s="19"/>
      <c r="IDZ44" s="19"/>
      <c r="IEA44" s="19"/>
      <c r="IEB44" s="19"/>
      <c r="IEC44" s="19"/>
      <c r="IED44" s="19"/>
      <c r="IEE44" s="19"/>
      <c r="IEF44" s="19"/>
      <c r="IEG44" s="19"/>
      <c r="IEH44" s="19"/>
      <c r="IEI44" s="19"/>
      <c r="IEJ44" s="19"/>
      <c r="IEK44" s="19"/>
      <c r="IEL44" s="19"/>
      <c r="IEM44" s="19"/>
      <c r="IEN44" s="19"/>
      <c r="IEO44" s="19"/>
      <c r="IEP44" s="19"/>
      <c r="IEQ44" s="19"/>
      <c r="IER44" s="19"/>
      <c r="IES44" s="19"/>
      <c r="IET44" s="19"/>
      <c r="IEU44" s="19"/>
      <c r="IEV44" s="19"/>
      <c r="IEW44" s="19"/>
      <c r="IEX44" s="19"/>
      <c r="IEY44" s="19"/>
      <c r="IEZ44" s="19"/>
      <c r="IFA44" s="19"/>
      <c r="IFB44" s="19"/>
      <c r="IFC44" s="19"/>
      <c r="IFD44" s="19"/>
      <c r="IFE44" s="19"/>
      <c r="IFF44" s="19"/>
      <c r="IFG44" s="19"/>
      <c r="IFH44" s="19"/>
      <c r="IFI44" s="19"/>
      <c r="IFJ44" s="19"/>
      <c r="IFK44" s="19"/>
      <c r="IFL44" s="19"/>
      <c r="IFM44" s="19"/>
      <c r="IFN44" s="19"/>
      <c r="IFO44" s="19"/>
      <c r="IFP44" s="19"/>
      <c r="IFQ44" s="19"/>
      <c r="IFR44" s="19"/>
      <c r="IFS44" s="19"/>
      <c r="IFT44" s="19"/>
      <c r="IFU44" s="19"/>
      <c r="IFV44" s="19"/>
      <c r="IFW44" s="19"/>
      <c r="IFX44" s="19"/>
      <c r="IFY44" s="19"/>
      <c r="IFZ44" s="19"/>
      <c r="IGA44" s="19"/>
      <c r="IGB44" s="19"/>
      <c r="IGC44" s="19"/>
      <c r="IGD44" s="19"/>
      <c r="IGE44" s="19"/>
      <c r="IGF44" s="19"/>
      <c r="IGG44" s="19"/>
      <c r="IGH44" s="19"/>
      <c r="IGI44" s="19"/>
      <c r="IGJ44" s="19"/>
      <c r="IGK44" s="19"/>
      <c r="IGL44" s="19"/>
      <c r="IGM44" s="19"/>
      <c r="IGN44" s="19"/>
      <c r="IGO44" s="19"/>
      <c r="IGP44" s="19"/>
      <c r="IGQ44" s="19"/>
      <c r="IGR44" s="19"/>
      <c r="IGS44" s="19"/>
      <c r="IGT44" s="19"/>
      <c r="IGU44" s="19"/>
      <c r="IGV44" s="19"/>
      <c r="IGW44" s="19"/>
      <c r="IGX44" s="19"/>
      <c r="IGY44" s="19"/>
      <c r="IGZ44" s="19"/>
      <c r="IHA44" s="19"/>
      <c r="IHB44" s="19"/>
      <c r="IHC44" s="19"/>
      <c r="IHD44" s="19"/>
      <c r="IHE44" s="19"/>
      <c r="IHF44" s="19"/>
      <c r="IHG44" s="19"/>
      <c r="IHH44" s="19"/>
      <c r="IHI44" s="19"/>
      <c r="IHJ44" s="19"/>
      <c r="IHK44" s="19"/>
      <c r="IHL44" s="19"/>
      <c r="IHM44" s="19"/>
      <c r="IHN44" s="19"/>
      <c r="IHO44" s="19"/>
      <c r="IHP44" s="19"/>
      <c r="IHQ44" s="19"/>
      <c r="IHR44" s="19"/>
      <c r="IHS44" s="19"/>
      <c r="IHT44" s="19"/>
      <c r="IHU44" s="19"/>
      <c r="IHV44" s="19"/>
      <c r="IHW44" s="19"/>
      <c r="IHX44" s="19"/>
      <c r="IHY44" s="19"/>
      <c r="IHZ44" s="19"/>
      <c r="IIA44" s="19"/>
      <c r="IIB44" s="19"/>
      <c r="IIC44" s="19"/>
      <c r="IID44" s="19"/>
      <c r="IIE44" s="19"/>
      <c r="IIF44" s="19"/>
      <c r="IIG44" s="19"/>
      <c r="IIH44" s="19"/>
      <c r="III44" s="19"/>
      <c r="IIJ44" s="19"/>
      <c r="IIK44" s="19"/>
      <c r="IIL44" s="19"/>
      <c r="IIM44" s="19"/>
      <c r="IIN44" s="19"/>
      <c r="IIO44" s="19"/>
      <c r="IIP44" s="19"/>
      <c r="IIQ44" s="19"/>
      <c r="IIR44" s="19"/>
      <c r="IIS44" s="19"/>
      <c r="IIT44" s="19"/>
      <c r="IIU44" s="19"/>
      <c r="IIV44" s="19"/>
      <c r="IIW44" s="19"/>
      <c r="IIX44" s="19"/>
      <c r="IIY44" s="19"/>
      <c r="IIZ44" s="19"/>
      <c r="IJA44" s="19"/>
      <c r="IJB44" s="19"/>
      <c r="IJC44" s="19"/>
      <c r="IJD44" s="19"/>
      <c r="IJE44" s="19"/>
      <c r="IJF44" s="19"/>
      <c r="IJG44" s="19"/>
      <c r="IJH44" s="19"/>
      <c r="IJI44" s="19"/>
      <c r="IJJ44" s="19"/>
      <c r="IJK44" s="19"/>
      <c r="IJL44" s="19"/>
      <c r="IJM44" s="19"/>
      <c r="IJN44" s="19"/>
      <c r="IJO44" s="19"/>
      <c r="IJP44" s="19"/>
      <c r="IJQ44" s="19"/>
      <c r="IJR44" s="19"/>
      <c r="IJS44" s="19"/>
      <c r="IJT44" s="19"/>
      <c r="IJU44" s="19"/>
      <c r="IJV44" s="19"/>
      <c r="IJW44" s="19"/>
      <c r="IJX44" s="19"/>
      <c r="IJY44" s="19"/>
      <c r="IJZ44" s="19"/>
      <c r="IKA44" s="19"/>
      <c r="IKB44" s="19"/>
      <c r="IKC44" s="19"/>
      <c r="IKD44" s="19"/>
      <c r="IKE44" s="19"/>
      <c r="IKF44" s="19"/>
      <c r="IKG44" s="19"/>
      <c r="IKH44" s="19"/>
      <c r="IKI44" s="19"/>
      <c r="IKJ44" s="19"/>
      <c r="IKK44" s="19"/>
      <c r="IKL44" s="19"/>
      <c r="IKM44" s="19"/>
      <c r="IKN44" s="19"/>
      <c r="IKO44" s="19"/>
      <c r="IKP44" s="19"/>
      <c r="IKQ44" s="19"/>
      <c r="IKR44" s="19"/>
      <c r="IKS44" s="19"/>
      <c r="IKT44" s="19"/>
      <c r="IKU44" s="19"/>
      <c r="IKV44" s="19"/>
      <c r="IKW44" s="19"/>
      <c r="IKX44" s="19"/>
      <c r="IKY44" s="19"/>
      <c r="IKZ44" s="19"/>
      <c r="ILA44" s="19"/>
      <c r="ILB44" s="19"/>
      <c r="ILC44" s="19"/>
      <c r="ILD44" s="19"/>
      <c r="ILE44" s="19"/>
      <c r="ILF44" s="19"/>
      <c r="ILG44" s="19"/>
      <c r="ILH44" s="19"/>
      <c r="ILI44" s="19"/>
      <c r="ILJ44" s="19"/>
      <c r="ILK44" s="19"/>
      <c r="ILL44" s="19"/>
      <c r="ILM44" s="19"/>
      <c r="ILN44" s="19"/>
      <c r="ILO44" s="19"/>
      <c r="ILP44" s="19"/>
      <c r="ILQ44" s="19"/>
      <c r="ILR44" s="19"/>
      <c r="ILS44" s="19"/>
      <c r="ILT44" s="19"/>
      <c r="ILU44" s="19"/>
      <c r="ILV44" s="19"/>
      <c r="ILW44" s="19"/>
      <c r="ILX44" s="19"/>
      <c r="ILY44" s="19"/>
      <c r="ILZ44" s="19"/>
      <c r="IMA44" s="19"/>
      <c r="IMB44" s="19"/>
      <c r="IMC44" s="19"/>
      <c r="IMD44" s="19"/>
      <c r="IME44" s="19"/>
      <c r="IMF44" s="19"/>
      <c r="IMG44" s="19"/>
      <c r="IMH44" s="19"/>
      <c r="IMI44" s="19"/>
      <c r="IMJ44" s="19"/>
      <c r="IMK44" s="19"/>
      <c r="IML44" s="19"/>
      <c r="IMM44" s="19"/>
      <c r="IMN44" s="19"/>
      <c r="IMO44" s="19"/>
      <c r="IMP44" s="19"/>
      <c r="IMQ44" s="19"/>
      <c r="IMR44" s="19"/>
      <c r="IMS44" s="19"/>
      <c r="IMT44" s="19"/>
      <c r="IMU44" s="19"/>
      <c r="IMV44" s="19"/>
      <c r="IMW44" s="19"/>
      <c r="IMX44" s="19"/>
      <c r="IMY44" s="19"/>
      <c r="IMZ44" s="19"/>
      <c r="INA44" s="19"/>
      <c r="INB44" s="19"/>
      <c r="INC44" s="19"/>
      <c r="IND44" s="19"/>
      <c r="INE44" s="19"/>
      <c r="INF44" s="19"/>
      <c r="ING44" s="19"/>
      <c r="INH44" s="19"/>
      <c r="INI44" s="19"/>
      <c r="INJ44" s="19"/>
      <c r="INK44" s="19"/>
      <c r="INL44" s="19"/>
      <c r="INM44" s="19"/>
      <c r="INN44" s="19"/>
      <c r="INO44" s="19"/>
      <c r="INP44" s="19"/>
      <c r="INQ44" s="19"/>
      <c r="INR44" s="19"/>
      <c r="INS44" s="19"/>
      <c r="INT44" s="19"/>
      <c r="INU44" s="19"/>
      <c r="INV44" s="19"/>
      <c r="INW44" s="19"/>
      <c r="INX44" s="19"/>
      <c r="INY44" s="19"/>
      <c r="INZ44" s="19"/>
      <c r="IOA44" s="19"/>
      <c r="IOB44" s="19"/>
      <c r="IOC44" s="19"/>
      <c r="IOD44" s="19"/>
      <c r="IOE44" s="19"/>
      <c r="IOF44" s="19"/>
      <c r="IOG44" s="19"/>
      <c r="IOH44" s="19"/>
      <c r="IOI44" s="19"/>
      <c r="IOJ44" s="19"/>
      <c r="IOK44" s="19"/>
      <c r="IOL44" s="19"/>
      <c r="IOM44" s="19"/>
      <c r="ION44" s="19"/>
      <c r="IOO44" s="19"/>
      <c r="IOP44" s="19"/>
      <c r="IOQ44" s="19"/>
      <c r="IOR44" s="19"/>
      <c r="IOS44" s="19"/>
      <c r="IOT44" s="19"/>
      <c r="IOU44" s="19"/>
      <c r="IOV44" s="19"/>
      <c r="IOW44" s="19"/>
      <c r="IOX44" s="19"/>
      <c r="IOY44" s="19"/>
      <c r="IOZ44" s="19"/>
      <c r="IPA44" s="19"/>
      <c r="IPB44" s="19"/>
      <c r="IPC44" s="19"/>
      <c r="IPD44" s="19"/>
      <c r="IPE44" s="19"/>
      <c r="IPF44" s="19"/>
      <c r="IPG44" s="19"/>
      <c r="IPH44" s="19"/>
      <c r="IPI44" s="19"/>
      <c r="IPJ44" s="19"/>
      <c r="IPK44" s="19"/>
      <c r="IPL44" s="19"/>
      <c r="IPM44" s="19"/>
      <c r="IPN44" s="19"/>
      <c r="IPO44" s="19"/>
      <c r="IPP44" s="19"/>
      <c r="IPQ44" s="19"/>
      <c r="IPR44" s="19"/>
      <c r="IPS44" s="19"/>
      <c r="IPT44" s="19"/>
      <c r="IPU44" s="19"/>
      <c r="IPV44" s="19"/>
      <c r="IPW44" s="19"/>
      <c r="IPX44" s="19"/>
      <c r="IPY44" s="19"/>
      <c r="IPZ44" s="19"/>
      <c r="IQA44" s="19"/>
      <c r="IQB44" s="19"/>
      <c r="IQC44" s="19"/>
      <c r="IQD44" s="19"/>
      <c r="IQE44" s="19"/>
      <c r="IQF44" s="19"/>
      <c r="IQG44" s="19"/>
      <c r="IQH44" s="19"/>
      <c r="IQI44" s="19"/>
      <c r="IQJ44" s="19"/>
      <c r="IQK44" s="19"/>
      <c r="IQL44" s="19"/>
      <c r="IQM44" s="19"/>
      <c r="IQN44" s="19"/>
      <c r="IQO44" s="19"/>
      <c r="IQP44" s="19"/>
      <c r="IQQ44" s="19"/>
      <c r="IQR44" s="19"/>
      <c r="IQS44" s="19"/>
      <c r="IQT44" s="19"/>
      <c r="IQU44" s="19"/>
      <c r="IQV44" s="19"/>
      <c r="IQW44" s="19"/>
      <c r="IQX44" s="19"/>
      <c r="IQY44" s="19"/>
      <c r="IQZ44" s="19"/>
      <c r="IRA44" s="19"/>
      <c r="IRB44" s="19"/>
      <c r="IRC44" s="19"/>
      <c r="IRD44" s="19"/>
      <c r="IRE44" s="19"/>
      <c r="IRF44" s="19"/>
      <c r="IRG44" s="19"/>
      <c r="IRH44" s="19"/>
      <c r="IRI44" s="19"/>
      <c r="IRJ44" s="19"/>
      <c r="IRK44" s="19"/>
      <c r="IRL44" s="19"/>
      <c r="IRM44" s="19"/>
      <c r="IRN44" s="19"/>
      <c r="IRO44" s="19"/>
      <c r="IRP44" s="19"/>
      <c r="IRQ44" s="19"/>
      <c r="IRR44" s="19"/>
      <c r="IRS44" s="19"/>
      <c r="IRT44" s="19"/>
      <c r="IRU44" s="19"/>
      <c r="IRV44" s="19"/>
      <c r="IRW44" s="19"/>
      <c r="IRX44" s="19"/>
      <c r="IRY44" s="19"/>
      <c r="IRZ44" s="19"/>
      <c r="ISA44" s="19"/>
      <c r="ISB44" s="19"/>
      <c r="ISC44" s="19"/>
      <c r="ISD44" s="19"/>
      <c r="ISE44" s="19"/>
      <c r="ISF44" s="19"/>
      <c r="ISG44" s="19"/>
      <c r="ISH44" s="19"/>
      <c r="ISI44" s="19"/>
      <c r="ISJ44" s="19"/>
      <c r="ISK44" s="19"/>
      <c r="ISL44" s="19"/>
      <c r="ISM44" s="19"/>
      <c r="ISN44" s="19"/>
      <c r="ISO44" s="19"/>
      <c r="ISP44" s="19"/>
      <c r="ISQ44" s="19"/>
      <c r="ISR44" s="19"/>
      <c r="ISS44" s="19"/>
      <c r="IST44" s="19"/>
      <c r="ISU44" s="19"/>
      <c r="ISV44" s="19"/>
      <c r="ISW44" s="19"/>
      <c r="ISX44" s="19"/>
      <c r="ISY44" s="19"/>
      <c r="ISZ44" s="19"/>
      <c r="ITA44" s="19"/>
      <c r="ITB44" s="19"/>
      <c r="ITC44" s="19"/>
      <c r="ITD44" s="19"/>
      <c r="ITE44" s="19"/>
      <c r="ITF44" s="19"/>
      <c r="ITG44" s="19"/>
      <c r="ITH44" s="19"/>
      <c r="ITI44" s="19"/>
      <c r="ITJ44" s="19"/>
      <c r="ITK44" s="19"/>
      <c r="ITL44" s="19"/>
      <c r="ITM44" s="19"/>
      <c r="ITN44" s="19"/>
      <c r="ITO44" s="19"/>
      <c r="ITP44" s="19"/>
      <c r="ITQ44" s="19"/>
      <c r="ITR44" s="19"/>
      <c r="ITS44" s="19"/>
      <c r="ITT44" s="19"/>
      <c r="ITU44" s="19"/>
      <c r="ITV44" s="19"/>
      <c r="ITW44" s="19"/>
      <c r="ITX44" s="19"/>
      <c r="ITY44" s="19"/>
      <c r="ITZ44" s="19"/>
      <c r="IUA44" s="19"/>
      <c r="IUB44" s="19"/>
      <c r="IUC44" s="19"/>
      <c r="IUD44" s="19"/>
      <c r="IUE44" s="19"/>
      <c r="IUF44" s="19"/>
      <c r="IUG44" s="19"/>
      <c r="IUH44" s="19"/>
      <c r="IUI44" s="19"/>
      <c r="IUJ44" s="19"/>
      <c r="IUK44" s="19"/>
      <c r="IUL44" s="19"/>
      <c r="IUM44" s="19"/>
      <c r="IUN44" s="19"/>
      <c r="IUO44" s="19"/>
      <c r="IUP44" s="19"/>
      <c r="IUQ44" s="19"/>
      <c r="IUR44" s="19"/>
      <c r="IUS44" s="19"/>
      <c r="IUT44" s="19"/>
      <c r="IUU44" s="19"/>
      <c r="IUV44" s="19"/>
      <c r="IUW44" s="19"/>
      <c r="IUX44" s="19"/>
      <c r="IUY44" s="19"/>
      <c r="IUZ44" s="19"/>
      <c r="IVA44" s="19"/>
      <c r="IVB44" s="19"/>
      <c r="IVC44" s="19"/>
      <c r="IVD44" s="19"/>
      <c r="IVE44" s="19"/>
      <c r="IVF44" s="19"/>
      <c r="IVG44" s="19"/>
      <c r="IVH44" s="19"/>
      <c r="IVI44" s="19"/>
      <c r="IVJ44" s="19"/>
      <c r="IVK44" s="19"/>
      <c r="IVL44" s="19"/>
      <c r="IVM44" s="19"/>
      <c r="IVN44" s="19"/>
      <c r="IVO44" s="19"/>
      <c r="IVP44" s="19"/>
      <c r="IVQ44" s="19"/>
      <c r="IVR44" s="19"/>
      <c r="IVS44" s="19"/>
      <c r="IVT44" s="19"/>
      <c r="IVU44" s="19"/>
      <c r="IVV44" s="19"/>
      <c r="IVW44" s="19"/>
      <c r="IVX44" s="19"/>
      <c r="IVY44" s="19"/>
      <c r="IVZ44" s="19"/>
      <c r="IWA44" s="19"/>
      <c r="IWB44" s="19"/>
      <c r="IWC44" s="19"/>
      <c r="IWD44" s="19"/>
      <c r="IWE44" s="19"/>
      <c r="IWF44" s="19"/>
      <c r="IWG44" s="19"/>
      <c r="IWH44" s="19"/>
      <c r="IWI44" s="19"/>
      <c r="IWJ44" s="19"/>
      <c r="IWK44" s="19"/>
      <c r="IWL44" s="19"/>
      <c r="IWM44" s="19"/>
      <c r="IWN44" s="19"/>
      <c r="IWO44" s="19"/>
      <c r="IWP44" s="19"/>
      <c r="IWQ44" s="19"/>
      <c r="IWR44" s="19"/>
      <c r="IWS44" s="19"/>
      <c r="IWT44" s="19"/>
      <c r="IWU44" s="19"/>
      <c r="IWV44" s="19"/>
      <c r="IWW44" s="19"/>
      <c r="IWX44" s="19"/>
      <c r="IWY44" s="19"/>
      <c r="IWZ44" s="19"/>
      <c r="IXA44" s="19"/>
      <c r="IXB44" s="19"/>
      <c r="IXC44" s="19"/>
      <c r="IXD44" s="19"/>
      <c r="IXE44" s="19"/>
      <c r="IXF44" s="19"/>
      <c r="IXG44" s="19"/>
      <c r="IXH44" s="19"/>
      <c r="IXI44" s="19"/>
      <c r="IXJ44" s="19"/>
      <c r="IXK44" s="19"/>
      <c r="IXL44" s="19"/>
      <c r="IXM44" s="19"/>
      <c r="IXN44" s="19"/>
      <c r="IXO44" s="19"/>
      <c r="IXP44" s="19"/>
      <c r="IXQ44" s="19"/>
      <c r="IXR44" s="19"/>
      <c r="IXS44" s="19"/>
      <c r="IXT44" s="19"/>
      <c r="IXU44" s="19"/>
      <c r="IXV44" s="19"/>
      <c r="IXW44" s="19"/>
      <c r="IXX44" s="19"/>
      <c r="IXY44" s="19"/>
      <c r="IXZ44" s="19"/>
      <c r="IYA44" s="19"/>
      <c r="IYB44" s="19"/>
      <c r="IYC44" s="19"/>
      <c r="IYD44" s="19"/>
      <c r="IYE44" s="19"/>
      <c r="IYF44" s="19"/>
      <c r="IYG44" s="19"/>
      <c r="IYH44" s="19"/>
      <c r="IYI44" s="19"/>
      <c r="IYJ44" s="19"/>
      <c r="IYK44" s="19"/>
      <c r="IYL44" s="19"/>
      <c r="IYM44" s="19"/>
      <c r="IYN44" s="19"/>
      <c r="IYO44" s="19"/>
      <c r="IYP44" s="19"/>
      <c r="IYQ44" s="19"/>
      <c r="IYR44" s="19"/>
      <c r="IYS44" s="19"/>
      <c r="IYT44" s="19"/>
      <c r="IYU44" s="19"/>
      <c r="IYV44" s="19"/>
      <c r="IYW44" s="19"/>
      <c r="IYX44" s="19"/>
      <c r="IYY44" s="19"/>
      <c r="IYZ44" s="19"/>
      <c r="IZA44" s="19"/>
      <c r="IZB44" s="19"/>
      <c r="IZC44" s="19"/>
      <c r="IZD44" s="19"/>
      <c r="IZE44" s="19"/>
      <c r="IZF44" s="19"/>
      <c r="IZG44" s="19"/>
      <c r="IZH44" s="19"/>
      <c r="IZI44" s="19"/>
      <c r="IZJ44" s="19"/>
      <c r="IZK44" s="19"/>
      <c r="IZL44" s="19"/>
      <c r="IZM44" s="19"/>
      <c r="IZN44" s="19"/>
      <c r="IZO44" s="19"/>
      <c r="IZP44" s="19"/>
      <c r="IZQ44" s="19"/>
      <c r="IZR44" s="19"/>
      <c r="IZS44" s="19"/>
      <c r="IZT44" s="19"/>
      <c r="IZU44" s="19"/>
      <c r="IZV44" s="19"/>
      <c r="IZW44" s="19"/>
      <c r="IZX44" s="19"/>
      <c r="IZY44" s="19"/>
      <c r="IZZ44" s="19"/>
      <c r="JAA44" s="19"/>
      <c r="JAB44" s="19"/>
      <c r="JAC44" s="19"/>
      <c r="JAD44" s="19"/>
      <c r="JAE44" s="19"/>
      <c r="JAF44" s="19"/>
      <c r="JAG44" s="19"/>
      <c r="JAH44" s="19"/>
      <c r="JAI44" s="19"/>
      <c r="JAJ44" s="19"/>
      <c r="JAK44" s="19"/>
      <c r="JAL44" s="19"/>
      <c r="JAM44" s="19"/>
      <c r="JAN44" s="19"/>
      <c r="JAO44" s="19"/>
      <c r="JAP44" s="19"/>
      <c r="JAQ44" s="19"/>
      <c r="JAR44" s="19"/>
      <c r="JAS44" s="19"/>
      <c r="JAT44" s="19"/>
      <c r="JAU44" s="19"/>
      <c r="JAV44" s="19"/>
      <c r="JAW44" s="19"/>
      <c r="JAX44" s="19"/>
      <c r="JAY44" s="19"/>
      <c r="JAZ44" s="19"/>
      <c r="JBA44" s="19"/>
      <c r="JBB44" s="19"/>
      <c r="JBC44" s="19"/>
      <c r="JBD44" s="19"/>
      <c r="JBE44" s="19"/>
      <c r="JBF44" s="19"/>
      <c r="JBG44" s="19"/>
      <c r="JBH44" s="19"/>
      <c r="JBI44" s="19"/>
      <c r="JBJ44" s="19"/>
      <c r="JBK44" s="19"/>
      <c r="JBL44" s="19"/>
      <c r="JBM44" s="19"/>
      <c r="JBN44" s="19"/>
      <c r="JBO44" s="19"/>
      <c r="JBP44" s="19"/>
      <c r="JBQ44" s="19"/>
      <c r="JBR44" s="19"/>
      <c r="JBS44" s="19"/>
      <c r="JBT44" s="19"/>
      <c r="JBU44" s="19"/>
      <c r="JBV44" s="19"/>
      <c r="JBW44" s="19"/>
      <c r="JBX44" s="19"/>
      <c r="JBY44" s="19"/>
      <c r="JBZ44" s="19"/>
      <c r="JCA44" s="19"/>
      <c r="JCB44" s="19"/>
      <c r="JCC44" s="19"/>
      <c r="JCD44" s="19"/>
      <c r="JCE44" s="19"/>
      <c r="JCF44" s="19"/>
      <c r="JCG44" s="19"/>
      <c r="JCH44" s="19"/>
      <c r="JCI44" s="19"/>
      <c r="JCJ44" s="19"/>
      <c r="JCK44" s="19"/>
      <c r="JCL44" s="19"/>
      <c r="JCM44" s="19"/>
      <c r="JCN44" s="19"/>
      <c r="JCO44" s="19"/>
      <c r="JCP44" s="19"/>
      <c r="JCQ44" s="19"/>
      <c r="JCR44" s="19"/>
      <c r="JCS44" s="19"/>
      <c r="JCT44" s="19"/>
      <c r="JCU44" s="19"/>
      <c r="JCV44" s="19"/>
      <c r="JCW44" s="19"/>
      <c r="JCX44" s="19"/>
      <c r="JCY44" s="19"/>
      <c r="JCZ44" s="19"/>
      <c r="JDA44" s="19"/>
      <c r="JDB44" s="19"/>
      <c r="JDC44" s="19"/>
      <c r="JDD44" s="19"/>
      <c r="JDE44" s="19"/>
      <c r="JDF44" s="19"/>
      <c r="JDG44" s="19"/>
      <c r="JDH44" s="19"/>
      <c r="JDI44" s="19"/>
      <c r="JDJ44" s="19"/>
      <c r="JDK44" s="19"/>
      <c r="JDL44" s="19"/>
      <c r="JDM44" s="19"/>
      <c r="JDN44" s="19"/>
      <c r="JDO44" s="19"/>
      <c r="JDP44" s="19"/>
      <c r="JDQ44" s="19"/>
      <c r="JDR44" s="19"/>
      <c r="JDS44" s="19"/>
      <c r="JDT44" s="19"/>
      <c r="JDU44" s="19"/>
      <c r="JDV44" s="19"/>
      <c r="JDW44" s="19"/>
      <c r="JDX44" s="19"/>
      <c r="JDY44" s="19"/>
      <c r="JDZ44" s="19"/>
      <c r="JEA44" s="19"/>
      <c r="JEB44" s="19"/>
      <c r="JEC44" s="19"/>
      <c r="JED44" s="19"/>
      <c r="JEE44" s="19"/>
      <c r="JEF44" s="19"/>
      <c r="JEG44" s="19"/>
      <c r="JEH44" s="19"/>
      <c r="JEI44" s="19"/>
      <c r="JEJ44" s="19"/>
      <c r="JEK44" s="19"/>
      <c r="JEL44" s="19"/>
      <c r="JEM44" s="19"/>
      <c r="JEN44" s="19"/>
      <c r="JEO44" s="19"/>
      <c r="JEP44" s="19"/>
      <c r="JEQ44" s="19"/>
      <c r="JER44" s="19"/>
      <c r="JES44" s="19"/>
      <c r="JET44" s="19"/>
      <c r="JEU44" s="19"/>
      <c r="JEV44" s="19"/>
      <c r="JEW44" s="19"/>
      <c r="JEX44" s="19"/>
      <c r="JEY44" s="19"/>
      <c r="JEZ44" s="19"/>
      <c r="JFA44" s="19"/>
      <c r="JFB44" s="19"/>
      <c r="JFC44" s="19"/>
      <c r="JFD44" s="19"/>
      <c r="JFE44" s="19"/>
      <c r="JFF44" s="19"/>
      <c r="JFG44" s="19"/>
      <c r="JFH44" s="19"/>
      <c r="JFI44" s="19"/>
      <c r="JFJ44" s="19"/>
      <c r="JFK44" s="19"/>
      <c r="JFL44" s="19"/>
      <c r="JFM44" s="19"/>
      <c r="JFN44" s="19"/>
      <c r="JFO44" s="19"/>
      <c r="JFP44" s="19"/>
      <c r="JFQ44" s="19"/>
      <c r="JFR44" s="19"/>
      <c r="JFS44" s="19"/>
      <c r="JFT44" s="19"/>
      <c r="JFU44" s="19"/>
      <c r="JFV44" s="19"/>
      <c r="JFW44" s="19"/>
      <c r="JFX44" s="19"/>
      <c r="JFY44" s="19"/>
      <c r="JFZ44" s="19"/>
      <c r="JGA44" s="19"/>
      <c r="JGB44" s="19"/>
      <c r="JGC44" s="19"/>
      <c r="JGD44" s="19"/>
      <c r="JGE44" s="19"/>
      <c r="JGF44" s="19"/>
      <c r="JGG44" s="19"/>
      <c r="JGH44" s="19"/>
      <c r="JGI44" s="19"/>
      <c r="JGJ44" s="19"/>
      <c r="JGK44" s="19"/>
      <c r="JGL44" s="19"/>
      <c r="JGM44" s="19"/>
      <c r="JGN44" s="19"/>
      <c r="JGO44" s="19"/>
      <c r="JGP44" s="19"/>
      <c r="JGQ44" s="19"/>
      <c r="JGR44" s="19"/>
      <c r="JGS44" s="19"/>
      <c r="JGT44" s="19"/>
      <c r="JGU44" s="19"/>
      <c r="JGV44" s="19"/>
      <c r="JGW44" s="19"/>
      <c r="JGX44" s="19"/>
      <c r="JGY44" s="19"/>
      <c r="JGZ44" s="19"/>
      <c r="JHA44" s="19"/>
      <c r="JHB44" s="19"/>
      <c r="JHC44" s="19"/>
      <c r="JHD44" s="19"/>
      <c r="JHE44" s="19"/>
      <c r="JHF44" s="19"/>
      <c r="JHG44" s="19"/>
      <c r="JHH44" s="19"/>
      <c r="JHI44" s="19"/>
      <c r="JHJ44" s="19"/>
      <c r="JHK44" s="19"/>
      <c r="JHL44" s="19"/>
      <c r="JHM44" s="19"/>
      <c r="JHN44" s="19"/>
      <c r="JHO44" s="19"/>
      <c r="JHP44" s="19"/>
      <c r="JHQ44" s="19"/>
      <c r="JHR44" s="19"/>
      <c r="JHS44" s="19"/>
      <c r="JHT44" s="19"/>
      <c r="JHU44" s="19"/>
      <c r="JHV44" s="19"/>
      <c r="JHW44" s="19"/>
      <c r="JHX44" s="19"/>
      <c r="JHY44" s="19"/>
      <c r="JHZ44" s="19"/>
      <c r="JIA44" s="19"/>
      <c r="JIB44" s="19"/>
      <c r="JIC44" s="19"/>
      <c r="JID44" s="19"/>
      <c r="JIE44" s="19"/>
      <c r="JIF44" s="19"/>
      <c r="JIG44" s="19"/>
      <c r="JIH44" s="19"/>
      <c r="JII44" s="19"/>
      <c r="JIJ44" s="19"/>
      <c r="JIK44" s="19"/>
      <c r="JIL44" s="19"/>
      <c r="JIM44" s="19"/>
      <c r="JIN44" s="19"/>
      <c r="JIO44" s="19"/>
      <c r="JIP44" s="19"/>
      <c r="JIQ44" s="19"/>
      <c r="JIR44" s="19"/>
      <c r="JIS44" s="19"/>
      <c r="JIT44" s="19"/>
      <c r="JIU44" s="19"/>
      <c r="JIV44" s="19"/>
      <c r="JIW44" s="19"/>
      <c r="JIX44" s="19"/>
      <c r="JIY44" s="19"/>
      <c r="JIZ44" s="19"/>
      <c r="JJA44" s="19"/>
      <c r="JJB44" s="19"/>
      <c r="JJC44" s="19"/>
      <c r="JJD44" s="19"/>
      <c r="JJE44" s="19"/>
      <c r="JJF44" s="19"/>
      <c r="JJG44" s="19"/>
      <c r="JJH44" s="19"/>
      <c r="JJI44" s="19"/>
      <c r="JJJ44" s="19"/>
      <c r="JJK44" s="19"/>
      <c r="JJL44" s="19"/>
      <c r="JJM44" s="19"/>
      <c r="JJN44" s="19"/>
      <c r="JJO44" s="19"/>
      <c r="JJP44" s="19"/>
      <c r="JJQ44" s="19"/>
      <c r="JJR44" s="19"/>
      <c r="JJS44" s="19"/>
      <c r="JJT44" s="19"/>
      <c r="JJU44" s="19"/>
      <c r="JJV44" s="19"/>
      <c r="JJW44" s="19"/>
      <c r="JJX44" s="19"/>
      <c r="JJY44" s="19"/>
      <c r="JJZ44" s="19"/>
      <c r="JKA44" s="19"/>
      <c r="JKB44" s="19"/>
      <c r="JKC44" s="19"/>
      <c r="JKD44" s="19"/>
      <c r="JKE44" s="19"/>
      <c r="JKF44" s="19"/>
      <c r="JKG44" s="19"/>
      <c r="JKH44" s="19"/>
      <c r="JKI44" s="19"/>
      <c r="JKJ44" s="19"/>
      <c r="JKK44" s="19"/>
      <c r="JKL44" s="19"/>
      <c r="JKM44" s="19"/>
      <c r="JKN44" s="19"/>
      <c r="JKO44" s="19"/>
      <c r="JKP44" s="19"/>
      <c r="JKQ44" s="19"/>
      <c r="JKR44" s="19"/>
      <c r="JKS44" s="19"/>
      <c r="JKT44" s="19"/>
      <c r="JKU44" s="19"/>
      <c r="JKV44" s="19"/>
      <c r="JKW44" s="19"/>
      <c r="JKX44" s="19"/>
      <c r="JKY44" s="19"/>
      <c r="JKZ44" s="19"/>
      <c r="JLA44" s="19"/>
      <c r="JLB44" s="19"/>
      <c r="JLC44" s="19"/>
      <c r="JLD44" s="19"/>
      <c r="JLE44" s="19"/>
      <c r="JLF44" s="19"/>
      <c r="JLG44" s="19"/>
      <c r="JLH44" s="19"/>
      <c r="JLI44" s="19"/>
      <c r="JLJ44" s="19"/>
      <c r="JLK44" s="19"/>
      <c r="JLL44" s="19"/>
      <c r="JLM44" s="19"/>
      <c r="JLN44" s="19"/>
      <c r="JLO44" s="19"/>
      <c r="JLP44" s="19"/>
      <c r="JLQ44" s="19"/>
      <c r="JLR44" s="19"/>
      <c r="JLS44" s="19"/>
      <c r="JLT44" s="19"/>
      <c r="JLU44" s="19"/>
      <c r="JLV44" s="19"/>
      <c r="JLW44" s="19"/>
      <c r="JLX44" s="19"/>
      <c r="JLY44" s="19"/>
      <c r="JLZ44" s="19"/>
      <c r="JMA44" s="19"/>
      <c r="JMB44" s="19"/>
      <c r="JMC44" s="19"/>
      <c r="JMD44" s="19"/>
      <c r="JME44" s="19"/>
      <c r="JMF44" s="19"/>
      <c r="JMG44" s="19"/>
      <c r="JMH44" s="19"/>
      <c r="JMI44" s="19"/>
      <c r="JMJ44" s="19"/>
      <c r="JMK44" s="19"/>
      <c r="JML44" s="19"/>
      <c r="JMM44" s="19"/>
      <c r="JMN44" s="19"/>
      <c r="JMO44" s="19"/>
      <c r="JMP44" s="19"/>
      <c r="JMQ44" s="19"/>
      <c r="JMR44" s="19"/>
      <c r="JMS44" s="19"/>
      <c r="JMT44" s="19"/>
      <c r="JMU44" s="19"/>
      <c r="JMV44" s="19"/>
      <c r="JMW44" s="19"/>
      <c r="JMX44" s="19"/>
      <c r="JMY44" s="19"/>
      <c r="JMZ44" s="19"/>
      <c r="JNA44" s="19"/>
      <c r="JNB44" s="19"/>
      <c r="JNC44" s="19"/>
      <c r="JND44" s="19"/>
      <c r="JNE44" s="19"/>
      <c r="JNF44" s="19"/>
      <c r="JNG44" s="19"/>
      <c r="JNH44" s="19"/>
      <c r="JNI44" s="19"/>
      <c r="JNJ44" s="19"/>
      <c r="JNK44" s="19"/>
      <c r="JNL44" s="19"/>
      <c r="JNM44" s="19"/>
      <c r="JNN44" s="19"/>
      <c r="JNO44" s="19"/>
      <c r="JNP44" s="19"/>
      <c r="JNQ44" s="19"/>
      <c r="JNR44" s="19"/>
      <c r="JNS44" s="19"/>
      <c r="JNT44" s="19"/>
      <c r="JNU44" s="19"/>
      <c r="JNV44" s="19"/>
      <c r="JNW44" s="19"/>
      <c r="JNX44" s="19"/>
      <c r="JNY44" s="19"/>
      <c r="JNZ44" s="19"/>
      <c r="JOA44" s="19"/>
      <c r="JOB44" s="19"/>
      <c r="JOC44" s="19"/>
      <c r="JOD44" s="19"/>
      <c r="JOE44" s="19"/>
      <c r="JOF44" s="19"/>
      <c r="JOG44" s="19"/>
      <c r="JOH44" s="19"/>
      <c r="JOI44" s="19"/>
      <c r="JOJ44" s="19"/>
      <c r="JOK44" s="19"/>
      <c r="JOL44" s="19"/>
      <c r="JOM44" s="19"/>
      <c r="JON44" s="19"/>
      <c r="JOO44" s="19"/>
      <c r="JOP44" s="19"/>
      <c r="JOQ44" s="19"/>
      <c r="JOR44" s="19"/>
      <c r="JOS44" s="19"/>
      <c r="JOT44" s="19"/>
      <c r="JOU44" s="19"/>
      <c r="JOV44" s="19"/>
      <c r="JOW44" s="19"/>
      <c r="JOX44" s="19"/>
      <c r="JOY44" s="19"/>
      <c r="JOZ44" s="19"/>
      <c r="JPA44" s="19"/>
      <c r="JPB44" s="19"/>
      <c r="JPC44" s="19"/>
      <c r="JPD44" s="19"/>
      <c r="JPE44" s="19"/>
      <c r="JPF44" s="19"/>
      <c r="JPG44" s="19"/>
      <c r="JPH44" s="19"/>
      <c r="JPI44" s="19"/>
      <c r="JPJ44" s="19"/>
      <c r="JPK44" s="19"/>
      <c r="JPL44" s="19"/>
      <c r="JPM44" s="19"/>
      <c r="JPN44" s="19"/>
      <c r="JPO44" s="19"/>
      <c r="JPP44" s="19"/>
      <c r="JPQ44" s="19"/>
      <c r="JPR44" s="19"/>
      <c r="JPS44" s="19"/>
      <c r="JPT44" s="19"/>
      <c r="JPU44" s="19"/>
      <c r="JPV44" s="19"/>
      <c r="JPW44" s="19"/>
      <c r="JPX44" s="19"/>
      <c r="JPY44" s="19"/>
      <c r="JPZ44" s="19"/>
      <c r="JQA44" s="19"/>
      <c r="JQB44" s="19"/>
      <c r="JQC44" s="19"/>
      <c r="JQD44" s="19"/>
      <c r="JQE44" s="19"/>
      <c r="JQF44" s="19"/>
      <c r="JQG44" s="19"/>
      <c r="JQH44" s="19"/>
      <c r="JQI44" s="19"/>
      <c r="JQJ44" s="19"/>
      <c r="JQK44" s="19"/>
      <c r="JQL44" s="19"/>
      <c r="JQM44" s="19"/>
      <c r="JQN44" s="19"/>
      <c r="JQO44" s="19"/>
      <c r="JQP44" s="19"/>
      <c r="JQQ44" s="19"/>
      <c r="JQR44" s="19"/>
      <c r="JQS44" s="19"/>
      <c r="JQT44" s="19"/>
      <c r="JQU44" s="19"/>
      <c r="JQV44" s="19"/>
      <c r="JQW44" s="19"/>
      <c r="JQX44" s="19"/>
      <c r="JQY44" s="19"/>
      <c r="JQZ44" s="19"/>
      <c r="JRA44" s="19"/>
      <c r="JRB44" s="19"/>
      <c r="JRC44" s="19"/>
      <c r="JRD44" s="19"/>
      <c r="JRE44" s="19"/>
      <c r="JRF44" s="19"/>
      <c r="JRG44" s="19"/>
      <c r="JRH44" s="19"/>
      <c r="JRI44" s="19"/>
      <c r="JRJ44" s="19"/>
      <c r="JRK44" s="19"/>
      <c r="JRL44" s="19"/>
      <c r="JRM44" s="19"/>
      <c r="JRN44" s="19"/>
      <c r="JRO44" s="19"/>
      <c r="JRP44" s="19"/>
      <c r="JRQ44" s="19"/>
      <c r="JRR44" s="19"/>
      <c r="JRS44" s="19"/>
      <c r="JRT44" s="19"/>
      <c r="JRU44" s="19"/>
      <c r="JRV44" s="19"/>
      <c r="JRW44" s="19"/>
      <c r="JRX44" s="19"/>
      <c r="JRY44" s="19"/>
      <c r="JRZ44" s="19"/>
      <c r="JSA44" s="19"/>
      <c r="JSB44" s="19"/>
      <c r="JSC44" s="19"/>
      <c r="JSD44" s="19"/>
      <c r="JSE44" s="19"/>
      <c r="JSF44" s="19"/>
      <c r="JSG44" s="19"/>
      <c r="JSH44" s="19"/>
      <c r="JSI44" s="19"/>
      <c r="JSJ44" s="19"/>
      <c r="JSK44" s="19"/>
      <c r="JSL44" s="19"/>
      <c r="JSM44" s="19"/>
      <c r="JSN44" s="19"/>
      <c r="JSO44" s="19"/>
      <c r="JSP44" s="19"/>
      <c r="JSQ44" s="19"/>
      <c r="JSR44" s="19"/>
      <c r="JSS44" s="19"/>
      <c r="JST44" s="19"/>
      <c r="JSU44" s="19"/>
      <c r="JSV44" s="19"/>
      <c r="JSW44" s="19"/>
      <c r="JSX44" s="19"/>
      <c r="JSY44" s="19"/>
      <c r="JSZ44" s="19"/>
      <c r="JTA44" s="19"/>
      <c r="JTB44" s="19"/>
      <c r="JTC44" s="19"/>
      <c r="JTD44" s="19"/>
      <c r="JTE44" s="19"/>
      <c r="JTF44" s="19"/>
      <c r="JTG44" s="19"/>
      <c r="JTH44" s="19"/>
      <c r="JTI44" s="19"/>
      <c r="JTJ44" s="19"/>
      <c r="JTK44" s="19"/>
      <c r="JTL44" s="19"/>
      <c r="JTM44" s="19"/>
      <c r="JTN44" s="19"/>
      <c r="JTO44" s="19"/>
      <c r="JTP44" s="19"/>
      <c r="JTQ44" s="19"/>
      <c r="JTR44" s="19"/>
      <c r="JTS44" s="19"/>
      <c r="JTT44" s="19"/>
      <c r="JTU44" s="19"/>
      <c r="JTV44" s="19"/>
      <c r="JTW44" s="19"/>
      <c r="JTX44" s="19"/>
      <c r="JTY44" s="19"/>
      <c r="JTZ44" s="19"/>
      <c r="JUA44" s="19"/>
      <c r="JUB44" s="19"/>
      <c r="JUC44" s="19"/>
      <c r="JUD44" s="19"/>
      <c r="JUE44" s="19"/>
      <c r="JUF44" s="19"/>
      <c r="JUG44" s="19"/>
      <c r="JUH44" s="19"/>
      <c r="JUI44" s="19"/>
      <c r="JUJ44" s="19"/>
      <c r="JUK44" s="19"/>
      <c r="JUL44" s="19"/>
      <c r="JUM44" s="19"/>
      <c r="JUN44" s="19"/>
      <c r="JUO44" s="19"/>
      <c r="JUP44" s="19"/>
      <c r="JUQ44" s="19"/>
      <c r="JUR44" s="19"/>
      <c r="JUS44" s="19"/>
      <c r="JUT44" s="19"/>
      <c r="JUU44" s="19"/>
      <c r="JUV44" s="19"/>
      <c r="JUW44" s="19"/>
      <c r="JUX44" s="19"/>
      <c r="JUY44" s="19"/>
      <c r="JUZ44" s="19"/>
      <c r="JVA44" s="19"/>
      <c r="JVB44" s="19"/>
      <c r="JVC44" s="19"/>
      <c r="JVD44" s="19"/>
      <c r="JVE44" s="19"/>
      <c r="JVF44" s="19"/>
      <c r="JVG44" s="19"/>
      <c r="JVH44" s="19"/>
      <c r="JVI44" s="19"/>
      <c r="JVJ44" s="19"/>
      <c r="JVK44" s="19"/>
      <c r="JVL44" s="19"/>
      <c r="JVM44" s="19"/>
      <c r="JVN44" s="19"/>
      <c r="JVO44" s="19"/>
      <c r="JVP44" s="19"/>
      <c r="JVQ44" s="19"/>
      <c r="JVR44" s="19"/>
      <c r="JVS44" s="19"/>
      <c r="JVT44" s="19"/>
      <c r="JVU44" s="19"/>
      <c r="JVV44" s="19"/>
      <c r="JVW44" s="19"/>
      <c r="JVX44" s="19"/>
      <c r="JVY44" s="19"/>
      <c r="JVZ44" s="19"/>
      <c r="JWA44" s="19"/>
      <c r="JWB44" s="19"/>
      <c r="JWC44" s="19"/>
      <c r="JWD44" s="19"/>
      <c r="JWE44" s="19"/>
      <c r="JWF44" s="19"/>
      <c r="JWG44" s="19"/>
      <c r="JWH44" s="19"/>
      <c r="JWI44" s="19"/>
      <c r="JWJ44" s="19"/>
      <c r="JWK44" s="19"/>
      <c r="JWL44" s="19"/>
      <c r="JWM44" s="19"/>
      <c r="JWN44" s="19"/>
      <c r="JWO44" s="19"/>
      <c r="JWP44" s="19"/>
      <c r="JWQ44" s="19"/>
      <c r="JWR44" s="19"/>
      <c r="JWS44" s="19"/>
      <c r="JWT44" s="19"/>
      <c r="JWU44" s="19"/>
      <c r="JWV44" s="19"/>
      <c r="JWW44" s="19"/>
      <c r="JWX44" s="19"/>
      <c r="JWY44" s="19"/>
      <c r="JWZ44" s="19"/>
      <c r="JXA44" s="19"/>
      <c r="JXB44" s="19"/>
      <c r="JXC44" s="19"/>
      <c r="JXD44" s="19"/>
      <c r="JXE44" s="19"/>
      <c r="JXF44" s="19"/>
      <c r="JXG44" s="19"/>
      <c r="JXH44" s="19"/>
      <c r="JXI44" s="19"/>
      <c r="JXJ44" s="19"/>
      <c r="JXK44" s="19"/>
      <c r="JXL44" s="19"/>
      <c r="JXM44" s="19"/>
      <c r="JXN44" s="19"/>
      <c r="JXO44" s="19"/>
      <c r="JXP44" s="19"/>
      <c r="JXQ44" s="19"/>
      <c r="JXR44" s="19"/>
      <c r="JXS44" s="19"/>
      <c r="JXT44" s="19"/>
      <c r="JXU44" s="19"/>
      <c r="JXV44" s="19"/>
      <c r="JXW44" s="19"/>
      <c r="JXX44" s="19"/>
      <c r="JXY44" s="19"/>
      <c r="JXZ44" s="19"/>
      <c r="JYA44" s="19"/>
      <c r="JYB44" s="19"/>
      <c r="JYC44" s="19"/>
      <c r="JYD44" s="19"/>
      <c r="JYE44" s="19"/>
      <c r="JYF44" s="19"/>
      <c r="JYG44" s="19"/>
      <c r="JYH44" s="19"/>
      <c r="JYI44" s="19"/>
      <c r="JYJ44" s="19"/>
      <c r="JYK44" s="19"/>
      <c r="JYL44" s="19"/>
      <c r="JYM44" s="19"/>
      <c r="JYN44" s="19"/>
      <c r="JYO44" s="19"/>
      <c r="JYP44" s="19"/>
      <c r="JYQ44" s="19"/>
      <c r="JYR44" s="19"/>
      <c r="JYS44" s="19"/>
      <c r="JYT44" s="19"/>
      <c r="JYU44" s="19"/>
      <c r="JYV44" s="19"/>
      <c r="JYW44" s="19"/>
      <c r="JYX44" s="19"/>
      <c r="JYY44" s="19"/>
      <c r="JYZ44" s="19"/>
      <c r="JZA44" s="19"/>
      <c r="JZB44" s="19"/>
      <c r="JZC44" s="19"/>
      <c r="JZD44" s="19"/>
      <c r="JZE44" s="19"/>
      <c r="JZF44" s="19"/>
      <c r="JZG44" s="19"/>
      <c r="JZH44" s="19"/>
      <c r="JZI44" s="19"/>
      <c r="JZJ44" s="19"/>
      <c r="JZK44" s="19"/>
      <c r="JZL44" s="19"/>
      <c r="JZM44" s="19"/>
      <c r="JZN44" s="19"/>
      <c r="JZO44" s="19"/>
      <c r="JZP44" s="19"/>
      <c r="JZQ44" s="19"/>
      <c r="JZR44" s="19"/>
      <c r="JZS44" s="19"/>
      <c r="JZT44" s="19"/>
      <c r="JZU44" s="19"/>
      <c r="JZV44" s="19"/>
      <c r="JZW44" s="19"/>
      <c r="JZX44" s="19"/>
      <c r="JZY44" s="19"/>
      <c r="JZZ44" s="19"/>
      <c r="KAA44" s="19"/>
      <c r="KAB44" s="19"/>
      <c r="KAC44" s="19"/>
      <c r="KAD44" s="19"/>
      <c r="KAE44" s="19"/>
      <c r="KAF44" s="19"/>
      <c r="KAG44" s="19"/>
      <c r="KAH44" s="19"/>
      <c r="KAI44" s="19"/>
      <c r="KAJ44" s="19"/>
      <c r="KAK44" s="19"/>
      <c r="KAL44" s="19"/>
      <c r="KAM44" s="19"/>
      <c r="KAN44" s="19"/>
      <c r="KAO44" s="19"/>
      <c r="KAP44" s="19"/>
      <c r="KAQ44" s="19"/>
      <c r="KAR44" s="19"/>
      <c r="KAS44" s="19"/>
      <c r="KAT44" s="19"/>
      <c r="KAU44" s="19"/>
      <c r="KAV44" s="19"/>
      <c r="KAW44" s="19"/>
      <c r="KAX44" s="19"/>
      <c r="KAY44" s="19"/>
      <c r="KAZ44" s="19"/>
      <c r="KBA44" s="19"/>
      <c r="KBB44" s="19"/>
      <c r="KBC44" s="19"/>
      <c r="KBD44" s="19"/>
      <c r="KBE44" s="19"/>
      <c r="KBF44" s="19"/>
      <c r="KBG44" s="19"/>
      <c r="KBH44" s="19"/>
      <c r="KBI44" s="19"/>
      <c r="KBJ44" s="19"/>
      <c r="KBK44" s="19"/>
      <c r="KBL44" s="19"/>
      <c r="KBM44" s="19"/>
      <c r="KBN44" s="19"/>
      <c r="KBO44" s="19"/>
      <c r="KBP44" s="19"/>
      <c r="KBQ44" s="19"/>
      <c r="KBR44" s="19"/>
      <c r="KBS44" s="19"/>
      <c r="KBT44" s="19"/>
      <c r="KBU44" s="19"/>
      <c r="KBV44" s="19"/>
      <c r="KBW44" s="19"/>
      <c r="KBX44" s="19"/>
      <c r="KBY44" s="19"/>
      <c r="KBZ44" s="19"/>
      <c r="KCA44" s="19"/>
      <c r="KCB44" s="19"/>
      <c r="KCC44" s="19"/>
      <c r="KCD44" s="19"/>
      <c r="KCE44" s="19"/>
      <c r="KCF44" s="19"/>
      <c r="KCG44" s="19"/>
      <c r="KCH44" s="19"/>
      <c r="KCI44" s="19"/>
      <c r="KCJ44" s="19"/>
      <c r="KCK44" s="19"/>
      <c r="KCL44" s="19"/>
      <c r="KCM44" s="19"/>
      <c r="KCN44" s="19"/>
      <c r="KCO44" s="19"/>
      <c r="KCP44" s="19"/>
      <c r="KCQ44" s="19"/>
      <c r="KCR44" s="19"/>
      <c r="KCS44" s="19"/>
      <c r="KCT44" s="19"/>
      <c r="KCU44" s="19"/>
      <c r="KCV44" s="19"/>
      <c r="KCW44" s="19"/>
      <c r="KCX44" s="19"/>
      <c r="KCY44" s="19"/>
      <c r="KCZ44" s="19"/>
      <c r="KDA44" s="19"/>
      <c r="KDB44" s="19"/>
      <c r="KDC44" s="19"/>
      <c r="KDD44" s="19"/>
      <c r="KDE44" s="19"/>
      <c r="KDF44" s="19"/>
      <c r="KDG44" s="19"/>
      <c r="KDH44" s="19"/>
      <c r="KDI44" s="19"/>
      <c r="KDJ44" s="19"/>
      <c r="KDK44" s="19"/>
      <c r="KDL44" s="19"/>
      <c r="KDM44" s="19"/>
      <c r="KDN44" s="19"/>
      <c r="KDO44" s="19"/>
      <c r="KDP44" s="19"/>
      <c r="KDQ44" s="19"/>
      <c r="KDR44" s="19"/>
      <c r="KDS44" s="19"/>
      <c r="KDT44" s="19"/>
      <c r="KDU44" s="19"/>
      <c r="KDV44" s="19"/>
      <c r="KDW44" s="19"/>
      <c r="KDX44" s="19"/>
      <c r="KDY44" s="19"/>
      <c r="KDZ44" s="19"/>
      <c r="KEA44" s="19"/>
      <c r="KEB44" s="19"/>
      <c r="KEC44" s="19"/>
      <c r="KED44" s="19"/>
      <c r="KEE44" s="19"/>
      <c r="KEF44" s="19"/>
      <c r="KEG44" s="19"/>
      <c r="KEH44" s="19"/>
      <c r="KEI44" s="19"/>
      <c r="KEJ44" s="19"/>
      <c r="KEK44" s="19"/>
      <c r="KEL44" s="19"/>
      <c r="KEM44" s="19"/>
      <c r="KEN44" s="19"/>
      <c r="KEO44" s="19"/>
      <c r="KEP44" s="19"/>
      <c r="KEQ44" s="19"/>
      <c r="KER44" s="19"/>
      <c r="KES44" s="19"/>
      <c r="KET44" s="19"/>
      <c r="KEU44" s="19"/>
      <c r="KEV44" s="19"/>
      <c r="KEW44" s="19"/>
      <c r="KEX44" s="19"/>
      <c r="KEY44" s="19"/>
      <c r="KEZ44" s="19"/>
      <c r="KFA44" s="19"/>
      <c r="KFB44" s="19"/>
      <c r="KFC44" s="19"/>
      <c r="KFD44" s="19"/>
      <c r="KFE44" s="19"/>
      <c r="KFF44" s="19"/>
      <c r="KFG44" s="19"/>
      <c r="KFH44" s="19"/>
      <c r="KFI44" s="19"/>
      <c r="KFJ44" s="19"/>
      <c r="KFK44" s="19"/>
      <c r="KFL44" s="19"/>
      <c r="KFM44" s="19"/>
      <c r="KFN44" s="19"/>
      <c r="KFO44" s="19"/>
      <c r="KFP44" s="19"/>
      <c r="KFQ44" s="19"/>
      <c r="KFR44" s="19"/>
      <c r="KFS44" s="19"/>
      <c r="KFT44" s="19"/>
      <c r="KFU44" s="19"/>
      <c r="KFV44" s="19"/>
      <c r="KFW44" s="19"/>
      <c r="KFX44" s="19"/>
      <c r="KFY44" s="19"/>
      <c r="KFZ44" s="19"/>
      <c r="KGA44" s="19"/>
      <c r="KGB44" s="19"/>
      <c r="KGC44" s="19"/>
      <c r="KGD44" s="19"/>
      <c r="KGE44" s="19"/>
      <c r="KGF44" s="19"/>
      <c r="KGG44" s="19"/>
      <c r="KGH44" s="19"/>
      <c r="KGI44" s="19"/>
      <c r="KGJ44" s="19"/>
      <c r="KGK44" s="19"/>
      <c r="KGL44" s="19"/>
      <c r="KGM44" s="19"/>
      <c r="KGN44" s="19"/>
      <c r="KGO44" s="19"/>
      <c r="KGP44" s="19"/>
      <c r="KGQ44" s="19"/>
      <c r="KGR44" s="19"/>
      <c r="KGS44" s="19"/>
      <c r="KGT44" s="19"/>
      <c r="KGU44" s="19"/>
      <c r="KGV44" s="19"/>
      <c r="KGW44" s="19"/>
      <c r="KGX44" s="19"/>
      <c r="KGY44" s="19"/>
      <c r="KGZ44" s="19"/>
      <c r="KHA44" s="19"/>
      <c r="KHB44" s="19"/>
      <c r="KHC44" s="19"/>
      <c r="KHD44" s="19"/>
      <c r="KHE44" s="19"/>
      <c r="KHF44" s="19"/>
      <c r="KHG44" s="19"/>
      <c r="KHH44" s="19"/>
      <c r="KHI44" s="19"/>
      <c r="KHJ44" s="19"/>
      <c r="KHK44" s="19"/>
      <c r="KHL44" s="19"/>
      <c r="KHM44" s="19"/>
      <c r="KHN44" s="19"/>
      <c r="KHO44" s="19"/>
      <c r="KHP44" s="19"/>
      <c r="KHQ44" s="19"/>
      <c r="KHR44" s="19"/>
      <c r="KHS44" s="19"/>
      <c r="KHT44" s="19"/>
      <c r="KHU44" s="19"/>
      <c r="KHV44" s="19"/>
      <c r="KHW44" s="19"/>
      <c r="KHX44" s="19"/>
      <c r="KHY44" s="19"/>
      <c r="KHZ44" s="19"/>
      <c r="KIA44" s="19"/>
      <c r="KIB44" s="19"/>
      <c r="KIC44" s="19"/>
      <c r="KID44" s="19"/>
      <c r="KIE44" s="19"/>
      <c r="KIF44" s="19"/>
      <c r="KIG44" s="19"/>
      <c r="KIH44" s="19"/>
      <c r="KII44" s="19"/>
      <c r="KIJ44" s="19"/>
      <c r="KIK44" s="19"/>
      <c r="KIL44" s="19"/>
      <c r="KIM44" s="19"/>
      <c r="KIN44" s="19"/>
      <c r="KIO44" s="19"/>
      <c r="KIP44" s="19"/>
      <c r="KIQ44" s="19"/>
      <c r="KIR44" s="19"/>
      <c r="KIS44" s="19"/>
      <c r="KIT44" s="19"/>
      <c r="KIU44" s="19"/>
      <c r="KIV44" s="19"/>
      <c r="KIW44" s="19"/>
      <c r="KIX44" s="19"/>
      <c r="KIY44" s="19"/>
      <c r="KIZ44" s="19"/>
      <c r="KJA44" s="19"/>
      <c r="KJB44" s="19"/>
      <c r="KJC44" s="19"/>
      <c r="KJD44" s="19"/>
      <c r="KJE44" s="19"/>
      <c r="KJF44" s="19"/>
      <c r="KJG44" s="19"/>
      <c r="KJH44" s="19"/>
      <c r="KJI44" s="19"/>
      <c r="KJJ44" s="19"/>
      <c r="KJK44" s="19"/>
      <c r="KJL44" s="19"/>
      <c r="KJM44" s="19"/>
      <c r="KJN44" s="19"/>
      <c r="KJO44" s="19"/>
      <c r="KJP44" s="19"/>
      <c r="KJQ44" s="19"/>
      <c r="KJR44" s="19"/>
      <c r="KJS44" s="19"/>
      <c r="KJT44" s="19"/>
      <c r="KJU44" s="19"/>
      <c r="KJV44" s="19"/>
      <c r="KJW44" s="19"/>
      <c r="KJX44" s="19"/>
      <c r="KJY44" s="19"/>
      <c r="KJZ44" s="19"/>
      <c r="KKA44" s="19"/>
      <c r="KKB44" s="19"/>
      <c r="KKC44" s="19"/>
      <c r="KKD44" s="19"/>
      <c r="KKE44" s="19"/>
      <c r="KKF44" s="19"/>
      <c r="KKG44" s="19"/>
      <c r="KKH44" s="19"/>
      <c r="KKI44" s="19"/>
      <c r="KKJ44" s="19"/>
      <c r="KKK44" s="19"/>
      <c r="KKL44" s="19"/>
      <c r="KKM44" s="19"/>
      <c r="KKN44" s="19"/>
      <c r="KKO44" s="19"/>
      <c r="KKP44" s="19"/>
      <c r="KKQ44" s="19"/>
      <c r="KKR44" s="19"/>
      <c r="KKS44" s="19"/>
      <c r="KKT44" s="19"/>
      <c r="KKU44" s="19"/>
      <c r="KKV44" s="19"/>
      <c r="KKW44" s="19"/>
      <c r="KKX44" s="19"/>
      <c r="KKY44" s="19"/>
      <c r="KKZ44" s="19"/>
      <c r="KLA44" s="19"/>
      <c r="KLB44" s="19"/>
      <c r="KLC44" s="19"/>
      <c r="KLD44" s="19"/>
      <c r="KLE44" s="19"/>
      <c r="KLF44" s="19"/>
      <c r="KLG44" s="19"/>
      <c r="KLH44" s="19"/>
      <c r="KLI44" s="19"/>
      <c r="KLJ44" s="19"/>
      <c r="KLK44" s="19"/>
      <c r="KLL44" s="19"/>
      <c r="KLM44" s="19"/>
      <c r="KLN44" s="19"/>
      <c r="KLO44" s="19"/>
      <c r="KLP44" s="19"/>
      <c r="KLQ44" s="19"/>
      <c r="KLR44" s="19"/>
      <c r="KLS44" s="19"/>
      <c r="KLT44" s="19"/>
      <c r="KLU44" s="19"/>
      <c r="KLV44" s="19"/>
      <c r="KLW44" s="19"/>
      <c r="KLX44" s="19"/>
      <c r="KLY44" s="19"/>
      <c r="KLZ44" s="19"/>
      <c r="KMA44" s="19"/>
      <c r="KMB44" s="19"/>
      <c r="KMC44" s="19"/>
      <c r="KMD44" s="19"/>
      <c r="KME44" s="19"/>
      <c r="KMF44" s="19"/>
      <c r="KMG44" s="19"/>
      <c r="KMH44" s="19"/>
      <c r="KMI44" s="19"/>
      <c r="KMJ44" s="19"/>
      <c r="KMK44" s="19"/>
      <c r="KML44" s="19"/>
      <c r="KMM44" s="19"/>
      <c r="KMN44" s="19"/>
      <c r="KMO44" s="19"/>
      <c r="KMP44" s="19"/>
      <c r="KMQ44" s="19"/>
      <c r="KMR44" s="19"/>
      <c r="KMS44" s="19"/>
      <c r="KMT44" s="19"/>
      <c r="KMU44" s="19"/>
      <c r="KMV44" s="19"/>
      <c r="KMW44" s="19"/>
      <c r="KMX44" s="19"/>
      <c r="KMY44" s="19"/>
      <c r="KMZ44" s="19"/>
      <c r="KNA44" s="19"/>
      <c r="KNB44" s="19"/>
      <c r="KNC44" s="19"/>
      <c r="KND44" s="19"/>
      <c r="KNE44" s="19"/>
      <c r="KNF44" s="19"/>
      <c r="KNG44" s="19"/>
      <c r="KNH44" s="19"/>
      <c r="KNI44" s="19"/>
      <c r="KNJ44" s="19"/>
      <c r="KNK44" s="19"/>
      <c r="KNL44" s="19"/>
      <c r="KNM44" s="19"/>
      <c r="KNN44" s="19"/>
      <c r="KNO44" s="19"/>
      <c r="KNP44" s="19"/>
      <c r="KNQ44" s="19"/>
      <c r="KNR44" s="19"/>
      <c r="KNS44" s="19"/>
      <c r="KNT44" s="19"/>
      <c r="KNU44" s="19"/>
      <c r="KNV44" s="19"/>
      <c r="KNW44" s="19"/>
      <c r="KNX44" s="19"/>
      <c r="KNY44" s="19"/>
      <c r="KNZ44" s="19"/>
      <c r="KOA44" s="19"/>
      <c r="KOB44" s="19"/>
      <c r="KOC44" s="19"/>
      <c r="KOD44" s="19"/>
      <c r="KOE44" s="19"/>
      <c r="KOF44" s="19"/>
      <c r="KOG44" s="19"/>
      <c r="KOH44" s="19"/>
      <c r="KOI44" s="19"/>
      <c r="KOJ44" s="19"/>
      <c r="KOK44" s="19"/>
      <c r="KOL44" s="19"/>
      <c r="KOM44" s="19"/>
      <c r="KON44" s="19"/>
      <c r="KOO44" s="19"/>
      <c r="KOP44" s="19"/>
      <c r="KOQ44" s="19"/>
      <c r="KOR44" s="19"/>
      <c r="KOS44" s="19"/>
      <c r="KOT44" s="19"/>
      <c r="KOU44" s="19"/>
      <c r="KOV44" s="19"/>
      <c r="KOW44" s="19"/>
      <c r="KOX44" s="19"/>
      <c r="KOY44" s="19"/>
      <c r="KOZ44" s="19"/>
      <c r="KPA44" s="19"/>
      <c r="KPB44" s="19"/>
      <c r="KPC44" s="19"/>
      <c r="KPD44" s="19"/>
      <c r="KPE44" s="19"/>
      <c r="KPF44" s="19"/>
      <c r="KPG44" s="19"/>
      <c r="KPH44" s="19"/>
      <c r="KPI44" s="19"/>
      <c r="KPJ44" s="19"/>
      <c r="KPK44" s="19"/>
      <c r="KPL44" s="19"/>
      <c r="KPM44" s="19"/>
      <c r="KPN44" s="19"/>
      <c r="KPO44" s="19"/>
      <c r="KPP44" s="19"/>
      <c r="KPQ44" s="19"/>
      <c r="KPR44" s="19"/>
      <c r="KPS44" s="19"/>
      <c r="KPT44" s="19"/>
      <c r="KPU44" s="19"/>
      <c r="KPV44" s="19"/>
      <c r="KPW44" s="19"/>
      <c r="KPX44" s="19"/>
      <c r="KPY44" s="19"/>
      <c r="KPZ44" s="19"/>
      <c r="KQA44" s="19"/>
      <c r="KQB44" s="19"/>
      <c r="KQC44" s="19"/>
      <c r="KQD44" s="19"/>
      <c r="KQE44" s="19"/>
      <c r="KQF44" s="19"/>
      <c r="KQG44" s="19"/>
      <c r="KQH44" s="19"/>
      <c r="KQI44" s="19"/>
      <c r="KQJ44" s="19"/>
      <c r="KQK44" s="19"/>
      <c r="KQL44" s="19"/>
      <c r="KQM44" s="19"/>
      <c r="KQN44" s="19"/>
      <c r="KQO44" s="19"/>
      <c r="KQP44" s="19"/>
      <c r="KQQ44" s="19"/>
      <c r="KQR44" s="19"/>
      <c r="KQS44" s="19"/>
      <c r="KQT44" s="19"/>
      <c r="KQU44" s="19"/>
      <c r="KQV44" s="19"/>
      <c r="KQW44" s="19"/>
      <c r="KQX44" s="19"/>
      <c r="KQY44" s="19"/>
      <c r="KQZ44" s="19"/>
      <c r="KRA44" s="19"/>
      <c r="KRB44" s="19"/>
      <c r="KRC44" s="19"/>
      <c r="KRD44" s="19"/>
      <c r="KRE44" s="19"/>
      <c r="KRF44" s="19"/>
      <c r="KRG44" s="19"/>
      <c r="KRH44" s="19"/>
      <c r="KRI44" s="19"/>
      <c r="KRJ44" s="19"/>
      <c r="KRK44" s="19"/>
      <c r="KRL44" s="19"/>
      <c r="KRM44" s="19"/>
      <c r="KRN44" s="19"/>
      <c r="KRO44" s="19"/>
      <c r="KRP44" s="19"/>
      <c r="KRQ44" s="19"/>
      <c r="KRR44" s="19"/>
      <c r="KRS44" s="19"/>
      <c r="KRT44" s="19"/>
      <c r="KRU44" s="19"/>
      <c r="KRV44" s="19"/>
      <c r="KRW44" s="19"/>
      <c r="KRX44" s="19"/>
      <c r="KRY44" s="19"/>
      <c r="KRZ44" s="19"/>
      <c r="KSA44" s="19"/>
      <c r="KSB44" s="19"/>
      <c r="KSC44" s="19"/>
      <c r="KSD44" s="19"/>
      <c r="KSE44" s="19"/>
      <c r="KSF44" s="19"/>
      <c r="KSG44" s="19"/>
      <c r="KSH44" s="19"/>
      <c r="KSI44" s="19"/>
      <c r="KSJ44" s="19"/>
      <c r="KSK44" s="19"/>
      <c r="KSL44" s="19"/>
      <c r="KSM44" s="19"/>
      <c r="KSN44" s="19"/>
      <c r="KSO44" s="19"/>
      <c r="KSP44" s="19"/>
      <c r="KSQ44" s="19"/>
      <c r="KSR44" s="19"/>
      <c r="KSS44" s="19"/>
      <c r="KST44" s="19"/>
      <c r="KSU44" s="19"/>
      <c r="KSV44" s="19"/>
      <c r="KSW44" s="19"/>
      <c r="KSX44" s="19"/>
      <c r="KSY44" s="19"/>
      <c r="KSZ44" s="19"/>
      <c r="KTA44" s="19"/>
      <c r="KTB44" s="19"/>
      <c r="KTC44" s="19"/>
      <c r="KTD44" s="19"/>
      <c r="KTE44" s="19"/>
      <c r="KTF44" s="19"/>
      <c r="KTG44" s="19"/>
      <c r="KTH44" s="19"/>
      <c r="KTI44" s="19"/>
      <c r="KTJ44" s="19"/>
      <c r="KTK44" s="19"/>
      <c r="KTL44" s="19"/>
      <c r="KTM44" s="19"/>
      <c r="KTN44" s="19"/>
      <c r="KTO44" s="19"/>
      <c r="KTP44" s="19"/>
      <c r="KTQ44" s="19"/>
      <c r="KTR44" s="19"/>
      <c r="KTS44" s="19"/>
      <c r="KTT44" s="19"/>
      <c r="KTU44" s="19"/>
      <c r="KTV44" s="19"/>
      <c r="KTW44" s="19"/>
      <c r="KTX44" s="19"/>
      <c r="KTY44" s="19"/>
      <c r="KTZ44" s="19"/>
      <c r="KUA44" s="19"/>
      <c r="KUB44" s="19"/>
      <c r="KUC44" s="19"/>
      <c r="KUD44" s="19"/>
      <c r="KUE44" s="19"/>
      <c r="KUF44" s="19"/>
      <c r="KUG44" s="19"/>
      <c r="KUH44" s="19"/>
      <c r="KUI44" s="19"/>
      <c r="KUJ44" s="19"/>
      <c r="KUK44" s="19"/>
      <c r="KUL44" s="19"/>
      <c r="KUM44" s="19"/>
      <c r="KUN44" s="19"/>
      <c r="KUO44" s="19"/>
      <c r="KUP44" s="19"/>
      <c r="KUQ44" s="19"/>
      <c r="KUR44" s="19"/>
      <c r="KUS44" s="19"/>
      <c r="KUT44" s="19"/>
      <c r="KUU44" s="19"/>
      <c r="KUV44" s="19"/>
      <c r="KUW44" s="19"/>
      <c r="KUX44" s="19"/>
      <c r="KUY44" s="19"/>
      <c r="KUZ44" s="19"/>
      <c r="KVA44" s="19"/>
      <c r="KVB44" s="19"/>
      <c r="KVC44" s="19"/>
      <c r="KVD44" s="19"/>
      <c r="KVE44" s="19"/>
      <c r="KVF44" s="19"/>
      <c r="KVG44" s="19"/>
      <c r="KVH44" s="19"/>
      <c r="KVI44" s="19"/>
      <c r="KVJ44" s="19"/>
      <c r="KVK44" s="19"/>
      <c r="KVL44" s="19"/>
      <c r="KVM44" s="19"/>
      <c r="KVN44" s="19"/>
      <c r="KVO44" s="19"/>
      <c r="KVP44" s="19"/>
      <c r="KVQ44" s="19"/>
      <c r="KVR44" s="19"/>
      <c r="KVS44" s="19"/>
      <c r="KVT44" s="19"/>
      <c r="KVU44" s="19"/>
      <c r="KVV44" s="19"/>
      <c r="KVW44" s="19"/>
      <c r="KVX44" s="19"/>
      <c r="KVY44" s="19"/>
      <c r="KVZ44" s="19"/>
      <c r="KWA44" s="19"/>
      <c r="KWB44" s="19"/>
      <c r="KWC44" s="19"/>
      <c r="KWD44" s="19"/>
      <c r="KWE44" s="19"/>
      <c r="KWF44" s="19"/>
      <c r="KWG44" s="19"/>
      <c r="KWH44" s="19"/>
      <c r="KWI44" s="19"/>
      <c r="KWJ44" s="19"/>
      <c r="KWK44" s="19"/>
      <c r="KWL44" s="19"/>
      <c r="KWM44" s="19"/>
      <c r="KWN44" s="19"/>
      <c r="KWO44" s="19"/>
      <c r="KWP44" s="19"/>
      <c r="KWQ44" s="19"/>
      <c r="KWR44" s="19"/>
      <c r="KWS44" s="19"/>
      <c r="KWT44" s="19"/>
      <c r="KWU44" s="19"/>
      <c r="KWV44" s="19"/>
      <c r="KWW44" s="19"/>
      <c r="KWX44" s="19"/>
      <c r="KWY44" s="19"/>
      <c r="KWZ44" s="19"/>
      <c r="KXA44" s="19"/>
      <c r="KXB44" s="19"/>
      <c r="KXC44" s="19"/>
      <c r="KXD44" s="19"/>
      <c r="KXE44" s="19"/>
      <c r="KXF44" s="19"/>
      <c r="KXG44" s="19"/>
      <c r="KXH44" s="19"/>
      <c r="KXI44" s="19"/>
      <c r="KXJ44" s="19"/>
      <c r="KXK44" s="19"/>
      <c r="KXL44" s="19"/>
      <c r="KXM44" s="19"/>
      <c r="KXN44" s="19"/>
      <c r="KXO44" s="19"/>
      <c r="KXP44" s="19"/>
      <c r="KXQ44" s="19"/>
      <c r="KXR44" s="19"/>
      <c r="KXS44" s="19"/>
      <c r="KXT44" s="19"/>
      <c r="KXU44" s="19"/>
      <c r="KXV44" s="19"/>
      <c r="KXW44" s="19"/>
      <c r="KXX44" s="19"/>
      <c r="KXY44" s="19"/>
      <c r="KXZ44" s="19"/>
      <c r="KYA44" s="19"/>
      <c r="KYB44" s="19"/>
      <c r="KYC44" s="19"/>
      <c r="KYD44" s="19"/>
      <c r="KYE44" s="19"/>
      <c r="KYF44" s="19"/>
      <c r="KYG44" s="19"/>
      <c r="KYH44" s="19"/>
      <c r="KYI44" s="19"/>
      <c r="KYJ44" s="19"/>
      <c r="KYK44" s="19"/>
      <c r="KYL44" s="19"/>
      <c r="KYM44" s="19"/>
      <c r="KYN44" s="19"/>
      <c r="KYO44" s="19"/>
      <c r="KYP44" s="19"/>
      <c r="KYQ44" s="19"/>
      <c r="KYR44" s="19"/>
      <c r="KYS44" s="19"/>
      <c r="KYT44" s="19"/>
      <c r="KYU44" s="19"/>
      <c r="KYV44" s="19"/>
      <c r="KYW44" s="19"/>
      <c r="KYX44" s="19"/>
      <c r="KYY44" s="19"/>
      <c r="KYZ44" s="19"/>
      <c r="KZA44" s="19"/>
      <c r="KZB44" s="19"/>
      <c r="KZC44" s="19"/>
      <c r="KZD44" s="19"/>
      <c r="KZE44" s="19"/>
      <c r="KZF44" s="19"/>
      <c r="KZG44" s="19"/>
      <c r="KZH44" s="19"/>
      <c r="KZI44" s="19"/>
      <c r="KZJ44" s="19"/>
      <c r="KZK44" s="19"/>
      <c r="KZL44" s="19"/>
      <c r="KZM44" s="19"/>
      <c r="KZN44" s="19"/>
      <c r="KZO44" s="19"/>
      <c r="KZP44" s="19"/>
      <c r="KZQ44" s="19"/>
      <c r="KZR44" s="19"/>
      <c r="KZS44" s="19"/>
      <c r="KZT44" s="19"/>
      <c r="KZU44" s="19"/>
      <c r="KZV44" s="19"/>
      <c r="KZW44" s="19"/>
      <c r="KZX44" s="19"/>
      <c r="KZY44" s="19"/>
      <c r="KZZ44" s="19"/>
      <c r="LAA44" s="19"/>
      <c r="LAB44" s="19"/>
      <c r="LAC44" s="19"/>
      <c r="LAD44" s="19"/>
      <c r="LAE44" s="19"/>
      <c r="LAF44" s="19"/>
      <c r="LAG44" s="19"/>
      <c r="LAH44" s="19"/>
      <c r="LAI44" s="19"/>
      <c r="LAJ44" s="19"/>
      <c r="LAK44" s="19"/>
      <c r="LAL44" s="19"/>
      <c r="LAM44" s="19"/>
      <c r="LAN44" s="19"/>
      <c r="LAO44" s="19"/>
      <c r="LAP44" s="19"/>
      <c r="LAQ44" s="19"/>
      <c r="LAR44" s="19"/>
      <c r="LAS44" s="19"/>
      <c r="LAT44" s="19"/>
      <c r="LAU44" s="19"/>
      <c r="LAV44" s="19"/>
      <c r="LAW44" s="19"/>
      <c r="LAX44" s="19"/>
      <c r="LAY44" s="19"/>
      <c r="LAZ44" s="19"/>
      <c r="LBA44" s="19"/>
      <c r="LBB44" s="19"/>
      <c r="LBC44" s="19"/>
      <c r="LBD44" s="19"/>
      <c r="LBE44" s="19"/>
      <c r="LBF44" s="19"/>
      <c r="LBG44" s="19"/>
      <c r="LBH44" s="19"/>
      <c r="LBI44" s="19"/>
      <c r="LBJ44" s="19"/>
      <c r="LBK44" s="19"/>
      <c r="LBL44" s="19"/>
      <c r="LBM44" s="19"/>
      <c r="LBN44" s="19"/>
      <c r="LBO44" s="19"/>
      <c r="LBP44" s="19"/>
      <c r="LBQ44" s="19"/>
      <c r="LBR44" s="19"/>
      <c r="LBS44" s="19"/>
      <c r="LBT44" s="19"/>
      <c r="LBU44" s="19"/>
      <c r="LBV44" s="19"/>
      <c r="LBW44" s="19"/>
      <c r="LBX44" s="19"/>
      <c r="LBY44" s="19"/>
      <c r="LBZ44" s="19"/>
      <c r="LCA44" s="19"/>
      <c r="LCB44" s="19"/>
      <c r="LCC44" s="19"/>
      <c r="LCD44" s="19"/>
      <c r="LCE44" s="19"/>
      <c r="LCF44" s="19"/>
      <c r="LCG44" s="19"/>
      <c r="LCH44" s="19"/>
      <c r="LCI44" s="19"/>
      <c r="LCJ44" s="19"/>
      <c r="LCK44" s="19"/>
      <c r="LCL44" s="19"/>
      <c r="LCM44" s="19"/>
      <c r="LCN44" s="19"/>
      <c r="LCO44" s="19"/>
      <c r="LCP44" s="19"/>
      <c r="LCQ44" s="19"/>
      <c r="LCR44" s="19"/>
      <c r="LCS44" s="19"/>
      <c r="LCT44" s="19"/>
      <c r="LCU44" s="19"/>
      <c r="LCV44" s="19"/>
      <c r="LCW44" s="19"/>
      <c r="LCX44" s="19"/>
      <c r="LCY44" s="19"/>
      <c r="LCZ44" s="19"/>
      <c r="LDA44" s="19"/>
      <c r="LDB44" s="19"/>
      <c r="LDC44" s="19"/>
      <c r="LDD44" s="19"/>
      <c r="LDE44" s="19"/>
      <c r="LDF44" s="19"/>
      <c r="LDG44" s="19"/>
      <c r="LDH44" s="19"/>
      <c r="LDI44" s="19"/>
      <c r="LDJ44" s="19"/>
      <c r="LDK44" s="19"/>
      <c r="LDL44" s="19"/>
      <c r="LDM44" s="19"/>
      <c r="LDN44" s="19"/>
      <c r="LDO44" s="19"/>
      <c r="LDP44" s="19"/>
      <c r="LDQ44" s="19"/>
      <c r="LDR44" s="19"/>
      <c r="LDS44" s="19"/>
      <c r="LDT44" s="19"/>
      <c r="LDU44" s="19"/>
      <c r="LDV44" s="19"/>
      <c r="LDW44" s="19"/>
      <c r="LDX44" s="19"/>
      <c r="LDY44" s="19"/>
      <c r="LDZ44" s="19"/>
      <c r="LEA44" s="19"/>
      <c r="LEB44" s="19"/>
      <c r="LEC44" s="19"/>
      <c r="LED44" s="19"/>
      <c r="LEE44" s="19"/>
      <c r="LEF44" s="19"/>
      <c r="LEG44" s="19"/>
      <c r="LEH44" s="19"/>
      <c r="LEI44" s="19"/>
      <c r="LEJ44" s="19"/>
      <c r="LEK44" s="19"/>
      <c r="LEL44" s="19"/>
      <c r="LEM44" s="19"/>
      <c r="LEN44" s="19"/>
      <c r="LEO44" s="19"/>
      <c r="LEP44" s="19"/>
      <c r="LEQ44" s="19"/>
      <c r="LER44" s="19"/>
      <c r="LES44" s="19"/>
      <c r="LET44" s="19"/>
      <c r="LEU44" s="19"/>
      <c r="LEV44" s="19"/>
      <c r="LEW44" s="19"/>
      <c r="LEX44" s="19"/>
      <c r="LEY44" s="19"/>
      <c r="LEZ44" s="19"/>
      <c r="LFA44" s="19"/>
      <c r="LFB44" s="19"/>
      <c r="LFC44" s="19"/>
      <c r="LFD44" s="19"/>
      <c r="LFE44" s="19"/>
      <c r="LFF44" s="19"/>
      <c r="LFG44" s="19"/>
      <c r="LFH44" s="19"/>
      <c r="LFI44" s="19"/>
      <c r="LFJ44" s="19"/>
      <c r="LFK44" s="19"/>
      <c r="LFL44" s="19"/>
      <c r="LFM44" s="19"/>
      <c r="LFN44" s="19"/>
      <c r="LFO44" s="19"/>
      <c r="LFP44" s="19"/>
      <c r="LFQ44" s="19"/>
      <c r="LFR44" s="19"/>
      <c r="LFS44" s="19"/>
      <c r="LFT44" s="19"/>
      <c r="LFU44" s="19"/>
      <c r="LFV44" s="19"/>
      <c r="LFW44" s="19"/>
      <c r="LFX44" s="19"/>
      <c r="LFY44" s="19"/>
      <c r="LFZ44" s="19"/>
      <c r="LGA44" s="19"/>
      <c r="LGB44" s="19"/>
      <c r="LGC44" s="19"/>
      <c r="LGD44" s="19"/>
      <c r="LGE44" s="19"/>
      <c r="LGF44" s="19"/>
      <c r="LGG44" s="19"/>
      <c r="LGH44" s="19"/>
      <c r="LGI44" s="19"/>
      <c r="LGJ44" s="19"/>
      <c r="LGK44" s="19"/>
      <c r="LGL44" s="19"/>
      <c r="LGM44" s="19"/>
      <c r="LGN44" s="19"/>
      <c r="LGO44" s="19"/>
      <c r="LGP44" s="19"/>
      <c r="LGQ44" s="19"/>
      <c r="LGR44" s="19"/>
      <c r="LGS44" s="19"/>
      <c r="LGT44" s="19"/>
      <c r="LGU44" s="19"/>
      <c r="LGV44" s="19"/>
      <c r="LGW44" s="19"/>
      <c r="LGX44" s="19"/>
      <c r="LGY44" s="19"/>
      <c r="LGZ44" s="19"/>
      <c r="LHA44" s="19"/>
      <c r="LHB44" s="19"/>
      <c r="LHC44" s="19"/>
      <c r="LHD44" s="19"/>
      <c r="LHE44" s="19"/>
      <c r="LHF44" s="19"/>
      <c r="LHG44" s="19"/>
      <c r="LHH44" s="19"/>
      <c r="LHI44" s="19"/>
      <c r="LHJ44" s="19"/>
      <c r="LHK44" s="19"/>
      <c r="LHL44" s="19"/>
      <c r="LHM44" s="19"/>
      <c r="LHN44" s="19"/>
      <c r="LHO44" s="19"/>
      <c r="LHP44" s="19"/>
      <c r="LHQ44" s="19"/>
      <c r="LHR44" s="19"/>
      <c r="LHS44" s="19"/>
      <c r="LHT44" s="19"/>
      <c r="LHU44" s="19"/>
      <c r="LHV44" s="19"/>
      <c r="LHW44" s="19"/>
      <c r="LHX44" s="19"/>
      <c r="LHY44" s="19"/>
      <c r="LHZ44" s="19"/>
      <c r="LIA44" s="19"/>
      <c r="LIB44" s="19"/>
      <c r="LIC44" s="19"/>
      <c r="LID44" s="19"/>
      <c r="LIE44" s="19"/>
      <c r="LIF44" s="19"/>
      <c r="LIG44" s="19"/>
      <c r="LIH44" s="19"/>
      <c r="LII44" s="19"/>
      <c r="LIJ44" s="19"/>
      <c r="LIK44" s="19"/>
      <c r="LIL44" s="19"/>
      <c r="LIM44" s="19"/>
      <c r="LIN44" s="19"/>
      <c r="LIO44" s="19"/>
      <c r="LIP44" s="19"/>
      <c r="LIQ44" s="19"/>
      <c r="LIR44" s="19"/>
      <c r="LIS44" s="19"/>
      <c r="LIT44" s="19"/>
      <c r="LIU44" s="19"/>
      <c r="LIV44" s="19"/>
      <c r="LIW44" s="19"/>
      <c r="LIX44" s="19"/>
      <c r="LIY44" s="19"/>
      <c r="LIZ44" s="19"/>
      <c r="LJA44" s="19"/>
      <c r="LJB44" s="19"/>
      <c r="LJC44" s="19"/>
      <c r="LJD44" s="19"/>
      <c r="LJE44" s="19"/>
      <c r="LJF44" s="19"/>
      <c r="LJG44" s="19"/>
      <c r="LJH44" s="19"/>
      <c r="LJI44" s="19"/>
      <c r="LJJ44" s="19"/>
      <c r="LJK44" s="19"/>
      <c r="LJL44" s="19"/>
      <c r="LJM44" s="19"/>
      <c r="LJN44" s="19"/>
      <c r="LJO44" s="19"/>
      <c r="LJP44" s="19"/>
      <c r="LJQ44" s="19"/>
      <c r="LJR44" s="19"/>
      <c r="LJS44" s="19"/>
      <c r="LJT44" s="19"/>
      <c r="LJU44" s="19"/>
      <c r="LJV44" s="19"/>
      <c r="LJW44" s="19"/>
      <c r="LJX44" s="19"/>
      <c r="LJY44" s="19"/>
      <c r="LJZ44" s="19"/>
      <c r="LKA44" s="19"/>
      <c r="LKB44" s="19"/>
      <c r="LKC44" s="19"/>
      <c r="LKD44" s="19"/>
      <c r="LKE44" s="19"/>
      <c r="LKF44" s="19"/>
      <c r="LKG44" s="19"/>
      <c r="LKH44" s="19"/>
      <c r="LKI44" s="19"/>
      <c r="LKJ44" s="19"/>
      <c r="LKK44" s="19"/>
      <c r="LKL44" s="19"/>
      <c r="LKM44" s="19"/>
      <c r="LKN44" s="19"/>
      <c r="LKO44" s="19"/>
      <c r="LKP44" s="19"/>
      <c r="LKQ44" s="19"/>
      <c r="LKR44" s="19"/>
      <c r="LKS44" s="19"/>
      <c r="LKT44" s="19"/>
      <c r="LKU44" s="19"/>
      <c r="LKV44" s="19"/>
      <c r="LKW44" s="19"/>
      <c r="LKX44" s="19"/>
      <c r="LKY44" s="19"/>
      <c r="LKZ44" s="19"/>
      <c r="LLA44" s="19"/>
      <c r="LLB44" s="19"/>
      <c r="LLC44" s="19"/>
      <c r="LLD44" s="19"/>
      <c r="LLE44" s="19"/>
      <c r="LLF44" s="19"/>
      <c r="LLG44" s="19"/>
      <c r="LLH44" s="19"/>
      <c r="LLI44" s="19"/>
      <c r="LLJ44" s="19"/>
      <c r="LLK44" s="19"/>
      <c r="LLL44" s="19"/>
      <c r="LLM44" s="19"/>
      <c r="LLN44" s="19"/>
      <c r="LLO44" s="19"/>
      <c r="LLP44" s="19"/>
      <c r="LLQ44" s="19"/>
      <c r="LLR44" s="19"/>
      <c r="LLS44" s="19"/>
      <c r="LLT44" s="19"/>
      <c r="LLU44" s="19"/>
      <c r="LLV44" s="19"/>
      <c r="LLW44" s="19"/>
      <c r="LLX44" s="19"/>
      <c r="LLY44" s="19"/>
      <c r="LLZ44" s="19"/>
      <c r="LMA44" s="19"/>
      <c r="LMB44" s="19"/>
      <c r="LMC44" s="19"/>
      <c r="LMD44" s="19"/>
      <c r="LME44" s="19"/>
      <c r="LMF44" s="19"/>
      <c r="LMG44" s="19"/>
      <c r="LMH44" s="19"/>
      <c r="LMI44" s="19"/>
      <c r="LMJ44" s="19"/>
      <c r="LMK44" s="19"/>
      <c r="LML44" s="19"/>
      <c r="LMM44" s="19"/>
      <c r="LMN44" s="19"/>
      <c r="LMO44" s="19"/>
      <c r="LMP44" s="19"/>
      <c r="LMQ44" s="19"/>
      <c r="LMR44" s="19"/>
      <c r="LMS44" s="19"/>
      <c r="LMT44" s="19"/>
      <c r="LMU44" s="19"/>
      <c r="LMV44" s="19"/>
      <c r="LMW44" s="19"/>
      <c r="LMX44" s="19"/>
      <c r="LMY44" s="19"/>
      <c r="LMZ44" s="19"/>
      <c r="LNA44" s="19"/>
      <c r="LNB44" s="19"/>
      <c r="LNC44" s="19"/>
      <c r="LND44" s="19"/>
      <c r="LNE44" s="19"/>
      <c r="LNF44" s="19"/>
      <c r="LNG44" s="19"/>
      <c r="LNH44" s="19"/>
      <c r="LNI44" s="19"/>
      <c r="LNJ44" s="19"/>
      <c r="LNK44" s="19"/>
      <c r="LNL44" s="19"/>
      <c r="LNM44" s="19"/>
      <c r="LNN44" s="19"/>
      <c r="LNO44" s="19"/>
      <c r="LNP44" s="19"/>
      <c r="LNQ44" s="19"/>
      <c r="LNR44" s="19"/>
      <c r="LNS44" s="19"/>
      <c r="LNT44" s="19"/>
      <c r="LNU44" s="19"/>
      <c r="LNV44" s="19"/>
      <c r="LNW44" s="19"/>
      <c r="LNX44" s="19"/>
      <c r="LNY44" s="19"/>
      <c r="LNZ44" s="19"/>
      <c r="LOA44" s="19"/>
      <c r="LOB44" s="19"/>
      <c r="LOC44" s="19"/>
      <c r="LOD44" s="19"/>
      <c r="LOE44" s="19"/>
      <c r="LOF44" s="19"/>
      <c r="LOG44" s="19"/>
      <c r="LOH44" s="19"/>
      <c r="LOI44" s="19"/>
      <c r="LOJ44" s="19"/>
      <c r="LOK44" s="19"/>
      <c r="LOL44" s="19"/>
      <c r="LOM44" s="19"/>
      <c r="LON44" s="19"/>
      <c r="LOO44" s="19"/>
      <c r="LOP44" s="19"/>
      <c r="LOQ44" s="19"/>
      <c r="LOR44" s="19"/>
      <c r="LOS44" s="19"/>
      <c r="LOT44" s="19"/>
      <c r="LOU44" s="19"/>
      <c r="LOV44" s="19"/>
      <c r="LOW44" s="19"/>
      <c r="LOX44" s="19"/>
      <c r="LOY44" s="19"/>
      <c r="LOZ44" s="19"/>
      <c r="LPA44" s="19"/>
      <c r="LPB44" s="19"/>
      <c r="LPC44" s="19"/>
      <c r="LPD44" s="19"/>
      <c r="LPE44" s="19"/>
      <c r="LPF44" s="19"/>
      <c r="LPG44" s="19"/>
      <c r="LPH44" s="19"/>
      <c r="LPI44" s="19"/>
      <c r="LPJ44" s="19"/>
      <c r="LPK44" s="19"/>
      <c r="LPL44" s="19"/>
      <c r="LPM44" s="19"/>
      <c r="LPN44" s="19"/>
      <c r="LPO44" s="19"/>
      <c r="LPP44" s="19"/>
      <c r="LPQ44" s="19"/>
      <c r="LPR44" s="19"/>
      <c r="LPS44" s="19"/>
      <c r="LPT44" s="19"/>
      <c r="LPU44" s="19"/>
      <c r="LPV44" s="19"/>
      <c r="LPW44" s="19"/>
      <c r="LPX44" s="19"/>
      <c r="LPY44" s="19"/>
      <c r="LPZ44" s="19"/>
      <c r="LQA44" s="19"/>
      <c r="LQB44" s="19"/>
      <c r="LQC44" s="19"/>
      <c r="LQD44" s="19"/>
      <c r="LQE44" s="19"/>
      <c r="LQF44" s="19"/>
      <c r="LQG44" s="19"/>
      <c r="LQH44" s="19"/>
      <c r="LQI44" s="19"/>
      <c r="LQJ44" s="19"/>
      <c r="LQK44" s="19"/>
      <c r="LQL44" s="19"/>
      <c r="LQM44" s="19"/>
      <c r="LQN44" s="19"/>
      <c r="LQO44" s="19"/>
      <c r="LQP44" s="19"/>
      <c r="LQQ44" s="19"/>
      <c r="LQR44" s="19"/>
      <c r="LQS44" s="19"/>
      <c r="LQT44" s="19"/>
      <c r="LQU44" s="19"/>
      <c r="LQV44" s="19"/>
      <c r="LQW44" s="19"/>
      <c r="LQX44" s="19"/>
      <c r="LQY44" s="19"/>
      <c r="LQZ44" s="19"/>
      <c r="LRA44" s="19"/>
      <c r="LRB44" s="19"/>
      <c r="LRC44" s="19"/>
      <c r="LRD44" s="19"/>
      <c r="LRE44" s="19"/>
      <c r="LRF44" s="19"/>
      <c r="LRG44" s="19"/>
      <c r="LRH44" s="19"/>
      <c r="LRI44" s="19"/>
      <c r="LRJ44" s="19"/>
      <c r="LRK44" s="19"/>
      <c r="LRL44" s="19"/>
      <c r="LRM44" s="19"/>
      <c r="LRN44" s="19"/>
      <c r="LRO44" s="19"/>
      <c r="LRP44" s="19"/>
      <c r="LRQ44" s="19"/>
      <c r="LRR44" s="19"/>
      <c r="LRS44" s="19"/>
      <c r="LRT44" s="19"/>
      <c r="LRU44" s="19"/>
      <c r="LRV44" s="19"/>
      <c r="LRW44" s="19"/>
      <c r="LRX44" s="19"/>
      <c r="LRY44" s="19"/>
      <c r="LRZ44" s="19"/>
      <c r="LSA44" s="19"/>
      <c r="LSB44" s="19"/>
      <c r="LSC44" s="19"/>
      <c r="LSD44" s="19"/>
      <c r="LSE44" s="19"/>
      <c r="LSF44" s="19"/>
      <c r="LSG44" s="19"/>
      <c r="LSH44" s="19"/>
      <c r="LSI44" s="19"/>
      <c r="LSJ44" s="19"/>
      <c r="LSK44" s="19"/>
      <c r="LSL44" s="19"/>
      <c r="LSM44" s="19"/>
      <c r="LSN44" s="19"/>
      <c r="LSO44" s="19"/>
      <c r="LSP44" s="19"/>
      <c r="LSQ44" s="19"/>
      <c r="LSR44" s="19"/>
      <c r="LSS44" s="19"/>
      <c r="LST44" s="19"/>
      <c r="LSU44" s="19"/>
      <c r="LSV44" s="19"/>
      <c r="LSW44" s="19"/>
      <c r="LSX44" s="19"/>
      <c r="LSY44" s="19"/>
      <c r="LSZ44" s="19"/>
      <c r="LTA44" s="19"/>
      <c r="LTB44" s="19"/>
      <c r="LTC44" s="19"/>
      <c r="LTD44" s="19"/>
      <c r="LTE44" s="19"/>
      <c r="LTF44" s="19"/>
      <c r="LTG44" s="19"/>
      <c r="LTH44" s="19"/>
      <c r="LTI44" s="19"/>
      <c r="LTJ44" s="19"/>
      <c r="LTK44" s="19"/>
      <c r="LTL44" s="19"/>
      <c r="LTM44" s="19"/>
      <c r="LTN44" s="19"/>
      <c r="LTO44" s="19"/>
      <c r="LTP44" s="19"/>
      <c r="LTQ44" s="19"/>
      <c r="LTR44" s="19"/>
      <c r="LTS44" s="19"/>
      <c r="LTT44" s="19"/>
      <c r="LTU44" s="19"/>
      <c r="LTV44" s="19"/>
      <c r="LTW44" s="19"/>
      <c r="LTX44" s="19"/>
      <c r="LTY44" s="19"/>
      <c r="LTZ44" s="19"/>
      <c r="LUA44" s="19"/>
      <c r="LUB44" s="19"/>
      <c r="LUC44" s="19"/>
      <c r="LUD44" s="19"/>
      <c r="LUE44" s="19"/>
      <c r="LUF44" s="19"/>
      <c r="LUG44" s="19"/>
      <c r="LUH44" s="19"/>
      <c r="LUI44" s="19"/>
      <c r="LUJ44" s="19"/>
      <c r="LUK44" s="19"/>
      <c r="LUL44" s="19"/>
      <c r="LUM44" s="19"/>
      <c r="LUN44" s="19"/>
      <c r="LUO44" s="19"/>
      <c r="LUP44" s="19"/>
      <c r="LUQ44" s="19"/>
      <c r="LUR44" s="19"/>
      <c r="LUS44" s="19"/>
      <c r="LUT44" s="19"/>
      <c r="LUU44" s="19"/>
      <c r="LUV44" s="19"/>
      <c r="LUW44" s="19"/>
      <c r="LUX44" s="19"/>
      <c r="LUY44" s="19"/>
      <c r="LUZ44" s="19"/>
      <c r="LVA44" s="19"/>
      <c r="LVB44" s="19"/>
      <c r="LVC44" s="19"/>
      <c r="LVD44" s="19"/>
      <c r="LVE44" s="19"/>
      <c r="LVF44" s="19"/>
      <c r="LVG44" s="19"/>
      <c r="LVH44" s="19"/>
      <c r="LVI44" s="19"/>
      <c r="LVJ44" s="19"/>
      <c r="LVK44" s="19"/>
      <c r="LVL44" s="19"/>
      <c r="LVM44" s="19"/>
      <c r="LVN44" s="19"/>
      <c r="LVO44" s="19"/>
      <c r="LVP44" s="19"/>
      <c r="LVQ44" s="19"/>
      <c r="LVR44" s="19"/>
      <c r="LVS44" s="19"/>
      <c r="LVT44" s="19"/>
      <c r="LVU44" s="19"/>
      <c r="LVV44" s="19"/>
      <c r="LVW44" s="19"/>
      <c r="LVX44" s="19"/>
      <c r="LVY44" s="19"/>
      <c r="LVZ44" s="19"/>
      <c r="LWA44" s="19"/>
      <c r="LWB44" s="19"/>
      <c r="LWC44" s="19"/>
      <c r="LWD44" s="19"/>
      <c r="LWE44" s="19"/>
      <c r="LWF44" s="19"/>
      <c r="LWG44" s="19"/>
      <c r="LWH44" s="19"/>
      <c r="LWI44" s="19"/>
      <c r="LWJ44" s="19"/>
      <c r="LWK44" s="19"/>
      <c r="LWL44" s="19"/>
      <c r="LWM44" s="19"/>
      <c r="LWN44" s="19"/>
      <c r="LWO44" s="19"/>
      <c r="LWP44" s="19"/>
      <c r="LWQ44" s="19"/>
      <c r="LWR44" s="19"/>
      <c r="LWS44" s="19"/>
      <c r="LWT44" s="19"/>
      <c r="LWU44" s="19"/>
      <c r="LWV44" s="19"/>
      <c r="LWW44" s="19"/>
      <c r="LWX44" s="19"/>
      <c r="LWY44" s="19"/>
      <c r="LWZ44" s="19"/>
      <c r="LXA44" s="19"/>
      <c r="LXB44" s="19"/>
      <c r="LXC44" s="19"/>
      <c r="LXD44" s="19"/>
      <c r="LXE44" s="19"/>
      <c r="LXF44" s="19"/>
      <c r="LXG44" s="19"/>
      <c r="LXH44" s="19"/>
      <c r="LXI44" s="19"/>
      <c r="LXJ44" s="19"/>
      <c r="LXK44" s="19"/>
      <c r="LXL44" s="19"/>
      <c r="LXM44" s="19"/>
      <c r="LXN44" s="19"/>
      <c r="LXO44" s="19"/>
      <c r="LXP44" s="19"/>
      <c r="LXQ44" s="19"/>
      <c r="LXR44" s="19"/>
      <c r="LXS44" s="19"/>
      <c r="LXT44" s="19"/>
      <c r="LXU44" s="19"/>
      <c r="LXV44" s="19"/>
      <c r="LXW44" s="19"/>
      <c r="LXX44" s="19"/>
      <c r="LXY44" s="19"/>
      <c r="LXZ44" s="19"/>
      <c r="LYA44" s="19"/>
      <c r="LYB44" s="19"/>
      <c r="LYC44" s="19"/>
      <c r="LYD44" s="19"/>
      <c r="LYE44" s="19"/>
      <c r="LYF44" s="19"/>
      <c r="LYG44" s="19"/>
      <c r="LYH44" s="19"/>
      <c r="LYI44" s="19"/>
      <c r="LYJ44" s="19"/>
      <c r="LYK44" s="19"/>
      <c r="LYL44" s="19"/>
      <c r="LYM44" s="19"/>
      <c r="LYN44" s="19"/>
      <c r="LYO44" s="19"/>
      <c r="LYP44" s="19"/>
      <c r="LYQ44" s="19"/>
      <c r="LYR44" s="19"/>
      <c r="LYS44" s="19"/>
      <c r="LYT44" s="19"/>
      <c r="LYU44" s="19"/>
      <c r="LYV44" s="19"/>
      <c r="LYW44" s="19"/>
      <c r="LYX44" s="19"/>
      <c r="LYY44" s="19"/>
      <c r="LYZ44" s="19"/>
      <c r="LZA44" s="19"/>
      <c r="LZB44" s="19"/>
      <c r="LZC44" s="19"/>
      <c r="LZD44" s="19"/>
      <c r="LZE44" s="19"/>
      <c r="LZF44" s="19"/>
      <c r="LZG44" s="19"/>
      <c r="LZH44" s="19"/>
      <c r="LZI44" s="19"/>
      <c r="LZJ44" s="19"/>
      <c r="LZK44" s="19"/>
      <c r="LZL44" s="19"/>
      <c r="LZM44" s="19"/>
      <c r="LZN44" s="19"/>
      <c r="LZO44" s="19"/>
      <c r="LZP44" s="19"/>
      <c r="LZQ44" s="19"/>
      <c r="LZR44" s="19"/>
      <c r="LZS44" s="19"/>
      <c r="LZT44" s="19"/>
      <c r="LZU44" s="19"/>
      <c r="LZV44" s="19"/>
      <c r="LZW44" s="19"/>
      <c r="LZX44" s="19"/>
      <c r="LZY44" s="19"/>
      <c r="LZZ44" s="19"/>
      <c r="MAA44" s="19"/>
      <c r="MAB44" s="19"/>
      <c r="MAC44" s="19"/>
      <c r="MAD44" s="19"/>
      <c r="MAE44" s="19"/>
      <c r="MAF44" s="19"/>
      <c r="MAG44" s="19"/>
      <c r="MAH44" s="19"/>
      <c r="MAI44" s="19"/>
      <c r="MAJ44" s="19"/>
      <c r="MAK44" s="19"/>
      <c r="MAL44" s="19"/>
      <c r="MAM44" s="19"/>
      <c r="MAN44" s="19"/>
      <c r="MAO44" s="19"/>
      <c r="MAP44" s="19"/>
      <c r="MAQ44" s="19"/>
      <c r="MAR44" s="19"/>
      <c r="MAS44" s="19"/>
      <c r="MAT44" s="19"/>
      <c r="MAU44" s="19"/>
      <c r="MAV44" s="19"/>
      <c r="MAW44" s="19"/>
      <c r="MAX44" s="19"/>
      <c r="MAY44" s="19"/>
      <c r="MAZ44" s="19"/>
      <c r="MBA44" s="19"/>
      <c r="MBB44" s="19"/>
      <c r="MBC44" s="19"/>
      <c r="MBD44" s="19"/>
      <c r="MBE44" s="19"/>
      <c r="MBF44" s="19"/>
      <c r="MBG44" s="19"/>
      <c r="MBH44" s="19"/>
      <c r="MBI44" s="19"/>
      <c r="MBJ44" s="19"/>
      <c r="MBK44" s="19"/>
      <c r="MBL44" s="19"/>
      <c r="MBM44" s="19"/>
      <c r="MBN44" s="19"/>
      <c r="MBO44" s="19"/>
      <c r="MBP44" s="19"/>
      <c r="MBQ44" s="19"/>
      <c r="MBR44" s="19"/>
      <c r="MBS44" s="19"/>
      <c r="MBT44" s="19"/>
      <c r="MBU44" s="19"/>
      <c r="MBV44" s="19"/>
      <c r="MBW44" s="19"/>
      <c r="MBX44" s="19"/>
      <c r="MBY44" s="19"/>
      <c r="MBZ44" s="19"/>
      <c r="MCA44" s="19"/>
      <c r="MCB44" s="19"/>
      <c r="MCC44" s="19"/>
      <c r="MCD44" s="19"/>
      <c r="MCE44" s="19"/>
      <c r="MCF44" s="19"/>
      <c r="MCG44" s="19"/>
      <c r="MCH44" s="19"/>
      <c r="MCI44" s="19"/>
      <c r="MCJ44" s="19"/>
      <c r="MCK44" s="19"/>
      <c r="MCL44" s="19"/>
      <c r="MCM44" s="19"/>
      <c r="MCN44" s="19"/>
      <c r="MCO44" s="19"/>
      <c r="MCP44" s="19"/>
      <c r="MCQ44" s="19"/>
      <c r="MCR44" s="19"/>
      <c r="MCS44" s="19"/>
      <c r="MCT44" s="19"/>
      <c r="MCU44" s="19"/>
      <c r="MCV44" s="19"/>
      <c r="MCW44" s="19"/>
      <c r="MCX44" s="19"/>
      <c r="MCY44" s="19"/>
      <c r="MCZ44" s="19"/>
      <c r="MDA44" s="19"/>
      <c r="MDB44" s="19"/>
      <c r="MDC44" s="19"/>
      <c r="MDD44" s="19"/>
      <c r="MDE44" s="19"/>
      <c r="MDF44" s="19"/>
      <c r="MDG44" s="19"/>
      <c r="MDH44" s="19"/>
      <c r="MDI44" s="19"/>
      <c r="MDJ44" s="19"/>
      <c r="MDK44" s="19"/>
      <c r="MDL44" s="19"/>
      <c r="MDM44" s="19"/>
      <c r="MDN44" s="19"/>
      <c r="MDO44" s="19"/>
      <c r="MDP44" s="19"/>
      <c r="MDQ44" s="19"/>
      <c r="MDR44" s="19"/>
      <c r="MDS44" s="19"/>
      <c r="MDT44" s="19"/>
      <c r="MDU44" s="19"/>
      <c r="MDV44" s="19"/>
      <c r="MDW44" s="19"/>
      <c r="MDX44" s="19"/>
      <c r="MDY44" s="19"/>
      <c r="MDZ44" s="19"/>
      <c r="MEA44" s="19"/>
      <c r="MEB44" s="19"/>
      <c r="MEC44" s="19"/>
      <c r="MED44" s="19"/>
      <c r="MEE44" s="19"/>
      <c r="MEF44" s="19"/>
      <c r="MEG44" s="19"/>
      <c r="MEH44" s="19"/>
      <c r="MEI44" s="19"/>
      <c r="MEJ44" s="19"/>
      <c r="MEK44" s="19"/>
      <c r="MEL44" s="19"/>
      <c r="MEM44" s="19"/>
      <c r="MEN44" s="19"/>
      <c r="MEO44" s="19"/>
      <c r="MEP44" s="19"/>
      <c r="MEQ44" s="19"/>
      <c r="MER44" s="19"/>
      <c r="MES44" s="19"/>
      <c r="MET44" s="19"/>
      <c r="MEU44" s="19"/>
      <c r="MEV44" s="19"/>
      <c r="MEW44" s="19"/>
      <c r="MEX44" s="19"/>
      <c r="MEY44" s="19"/>
      <c r="MEZ44" s="19"/>
      <c r="MFA44" s="19"/>
      <c r="MFB44" s="19"/>
      <c r="MFC44" s="19"/>
      <c r="MFD44" s="19"/>
      <c r="MFE44" s="19"/>
      <c r="MFF44" s="19"/>
      <c r="MFG44" s="19"/>
      <c r="MFH44" s="19"/>
      <c r="MFI44" s="19"/>
      <c r="MFJ44" s="19"/>
      <c r="MFK44" s="19"/>
      <c r="MFL44" s="19"/>
      <c r="MFM44" s="19"/>
      <c r="MFN44" s="19"/>
      <c r="MFO44" s="19"/>
      <c r="MFP44" s="19"/>
      <c r="MFQ44" s="19"/>
      <c r="MFR44" s="19"/>
      <c r="MFS44" s="19"/>
      <c r="MFT44" s="19"/>
      <c r="MFU44" s="19"/>
      <c r="MFV44" s="19"/>
      <c r="MFW44" s="19"/>
      <c r="MFX44" s="19"/>
      <c r="MFY44" s="19"/>
      <c r="MFZ44" s="19"/>
      <c r="MGA44" s="19"/>
      <c r="MGB44" s="19"/>
      <c r="MGC44" s="19"/>
      <c r="MGD44" s="19"/>
      <c r="MGE44" s="19"/>
      <c r="MGF44" s="19"/>
      <c r="MGG44" s="19"/>
      <c r="MGH44" s="19"/>
      <c r="MGI44" s="19"/>
      <c r="MGJ44" s="19"/>
      <c r="MGK44" s="19"/>
      <c r="MGL44" s="19"/>
      <c r="MGM44" s="19"/>
      <c r="MGN44" s="19"/>
      <c r="MGO44" s="19"/>
      <c r="MGP44" s="19"/>
      <c r="MGQ44" s="19"/>
      <c r="MGR44" s="19"/>
      <c r="MGS44" s="19"/>
      <c r="MGT44" s="19"/>
      <c r="MGU44" s="19"/>
      <c r="MGV44" s="19"/>
      <c r="MGW44" s="19"/>
      <c r="MGX44" s="19"/>
      <c r="MGY44" s="19"/>
      <c r="MGZ44" s="19"/>
      <c r="MHA44" s="19"/>
      <c r="MHB44" s="19"/>
      <c r="MHC44" s="19"/>
      <c r="MHD44" s="19"/>
      <c r="MHE44" s="19"/>
      <c r="MHF44" s="19"/>
      <c r="MHG44" s="19"/>
      <c r="MHH44" s="19"/>
      <c r="MHI44" s="19"/>
      <c r="MHJ44" s="19"/>
      <c r="MHK44" s="19"/>
      <c r="MHL44" s="19"/>
      <c r="MHM44" s="19"/>
      <c r="MHN44" s="19"/>
      <c r="MHO44" s="19"/>
      <c r="MHP44" s="19"/>
      <c r="MHQ44" s="19"/>
      <c r="MHR44" s="19"/>
      <c r="MHS44" s="19"/>
      <c r="MHT44" s="19"/>
      <c r="MHU44" s="19"/>
      <c r="MHV44" s="19"/>
      <c r="MHW44" s="19"/>
      <c r="MHX44" s="19"/>
      <c r="MHY44" s="19"/>
      <c r="MHZ44" s="19"/>
      <c r="MIA44" s="19"/>
      <c r="MIB44" s="19"/>
      <c r="MIC44" s="19"/>
      <c r="MID44" s="19"/>
      <c r="MIE44" s="19"/>
      <c r="MIF44" s="19"/>
      <c r="MIG44" s="19"/>
      <c r="MIH44" s="19"/>
      <c r="MII44" s="19"/>
      <c r="MIJ44" s="19"/>
      <c r="MIK44" s="19"/>
      <c r="MIL44" s="19"/>
      <c r="MIM44" s="19"/>
      <c r="MIN44" s="19"/>
      <c r="MIO44" s="19"/>
      <c r="MIP44" s="19"/>
      <c r="MIQ44" s="19"/>
      <c r="MIR44" s="19"/>
      <c r="MIS44" s="19"/>
      <c r="MIT44" s="19"/>
      <c r="MIU44" s="19"/>
      <c r="MIV44" s="19"/>
      <c r="MIW44" s="19"/>
      <c r="MIX44" s="19"/>
      <c r="MIY44" s="19"/>
      <c r="MIZ44" s="19"/>
      <c r="MJA44" s="19"/>
      <c r="MJB44" s="19"/>
      <c r="MJC44" s="19"/>
      <c r="MJD44" s="19"/>
      <c r="MJE44" s="19"/>
      <c r="MJF44" s="19"/>
      <c r="MJG44" s="19"/>
      <c r="MJH44" s="19"/>
      <c r="MJI44" s="19"/>
      <c r="MJJ44" s="19"/>
      <c r="MJK44" s="19"/>
      <c r="MJL44" s="19"/>
      <c r="MJM44" s="19"/>
      <c r="MJN44" s="19"/>
      <c r="MJO44" s="19"/>
      <c r="MJP44" s="19"/>
      <c r="MJQ44" s="19"/>
      <c r="MJR44" s="19"/>
      <c r="MJS44" s="19"/>
      <c r="MJT44" s="19"/>
      <c r="MJU44" s="19"/>
      <c r="MJV44" s="19"/>
      <c r="MJW44" s="19"/>
      <c r="MJX44" s="19"/>
      <c r="MJY44" s="19"/>
      <c r="MJZ44" s="19"/>
      <c r="MKA44" s="19"/>
      <c r="MKB44" s="19"/>
      <c r="MKC44" s="19"/>
      <c r="MKD44" s="19"/>
      <c r="MKE44" s="19"/>
      <c r="MKF44" s="19"/>
      <c r="MKG44" s="19"/>
      <c r="MKH44" s="19"/>
      <c r="MKI44" s="19"/>
      <c r="MKJ44" s="19"/>
      <c r="MKK44" s="19"/>
      <c r="MKL44" s="19"/>
      <c r="MKM44" s="19"/>
      <c r="MKN44" s="19"/>
      <c r="MKO44" s="19"/>
      <c r="MKP44" s="19"/>
      <c r="MKQ44" s="19"/>
      <c r="MKR44" s="19"/>
      <c r="MKS44" s="19"/>
      <c r="MKT44" s="19"/>
      <c r="MKU44" s="19"/>
      <c r="MKV44" s="19"/>
      <c r="MKW44" s="19"/>
      <c r="MKX44" s="19"/>
      <c r="MKY44" s="19"/>
      <c r="MKZ44" s="19"/>
      <c r="MLA44" s="19"/>
      <c r="MLB44" s="19"/>
      <c r="MLC44" s="19"/>
      <c r="MLD44" s="19"/>
      <c r="MLE44" s="19"/>
      <c r="MLF44" s="19"/>
      <c r="MLG44" s="19"/>
      <c r="MLH44" s="19"/>
      <c r="MLI44" s="19"/>
      <c r="MLJ44" s="19"/>
      <c r="MLK44" s="19"/>
      <c r="MLL44" s="19"/>
      <c r="MLM44" s="19"/>
      <c r="MLN44" s="19"/>
      <c r="MLO44" s="19"/>
      <c r="MLP44" s="19"/>
      <c r="MLQ44" s="19"/>
      <c r="MLR44" s="19"/>
      <c r="MLS44" s="19"/>
      <c r="MLT44" s="19"/>
      <c r="MLU44" s="19"/>
      <c r="MLV44" s="19"/>
      <c r="MLW44" s="19"/>
      <c r="MLX44" s="19"/>
      <c r="MLY44" s="19"/>
      <c r="MLZ44" s="19"/>
      <c r="MMA44" s="19"/>
      <c r="MMB44" s="19"/>
      <c r="MMC44" s="19"/>
      <c r="MMD44" s="19"/>
      <c r="MME44" s="19"/>
      <c r="MMF44" s="19"/>
      <c r="MMG44" s="19"/>
      <c r="MMH44" s="19"/>
      <c r="MMI44" s="19"/>
      <c r="MMJ44" s="19"/>
      <c r="MMK44" s="19"/>
      <c r="MML44" s="19"/>
      <c r="MMM44" s="19"/>
      <c r="MMN44" s="19"/>
      <c r="MMO44" s="19"/>
      <c r="MMP44" s="19"/>
      <c r="MMQ44" s="19"/>
      <c r="MMR44" s="19"/>
      <c r="MMS44" s="19"/>
      <c r="MMT44" s="19"/>
      <c r="MMU44" s="19"/>
      <c r="MMV44" s="19"/>
      <c r="MMW44" s="19"/>
      <c r="MMX44" s="19"/>
      <c r="MMY44" s="19"/>
      <c r="MMZ44" s="19"/>
      <c r="MNA44" s="19"/>
      <c r="MNB44" s="19"/>
      <c r="MNC44" s="19"/>
      <c r="MND44" s="19"/>
      <c r="MNE44" s="19"/>
      <c r="MNF44" s="19"/>
      <c r="MNG44" s="19"/>
      <c r="MNH44" s="19"/>
      <c r="MNI44" s="19"/>
      <c r="MNJ44" s="19"/>
      <c r="MNK44" s="19"/>
      <c r="MNL44" s="19"/>
      <c r="MNM44" s="19"/>
      <c r="MNN44" s="19"/>
      <c r="MNO44" s="19"/>
      <c r="MNP44" s="19"/>
      <c r="MNQ44" s="19"/>
      <c r="MNR44" s="19"/>
      <c r="MNS44" s="19"/>
      <c r="MNT44" s="19"/>
      <c r="MNU44" s="19"/>
      <c r="MNV44" s="19"/>
      <c r="MNW44" s="19"/>
      <c r="MNX44" s="19"/>
      <c r="MNY44" s="19"/>
      <c r="MNZ44" s="19"/>
      <c r="MOA44" s="19"/>
      <c r="MOB44" s="19"/>
      <c r="MOC44" s="19"/>
      <c r="MOD44" s="19"/>
      <c r="MOE44" s="19"/>
      <c r="MOF44" s="19"/>
      <c r="MOG44" s="19"/>
      <c r="MOH44" s="19"/>
      <c r="MOI44" s="19"/>
      <c r="MOJ44" s="19"/>
      <c r="MOK44" s="19"/>
      <c r="MOL44" s="19"/>
      <c r="MOM44" s="19"/>
      <c r="MON44" s="19"/>
      <c r="MOO44" s="19"/>
      <c r="MOP44" s="19"/>
      <c r="MOQ44" s="19"/>
      <c r="MOR44" s="19"/>
      <c r="MOS44" s="19"/>
      <c r="MOT44" s="19"/>
      <c r="MOU44" s="19"/>
      <c r="MOV44" s="19"/>
      <c r="MOW44" s="19"/>
      <c r="MOX44" s="19"/>
      <c r="MOY44" s="19"/>
      <c r="MOZ44" s="19"/>
      <c r="MPA44" s="19"/>
      <c r="MPB44" s="19"/>
      <c r="MPC44" s="19"/>
      <c r="MPD44" s="19"/>
      <c r="MPE44" s="19"/>
      <c r="MPF44" s="19"/>
      <c r="MPG44" s="19"/>
      <c r="MPH44" s="19"/>
      <c r="MPI44" s="19"/>
      <c r="MPJ44" s="19"/>
      <c r="MPK44" s="19"/>
      <c r="MPL44" s="19"/>
      <c r="MPM44" s="19"/>
      <c r="MPN44" s="19"/>
      <c r="MPO44" s="19"/>
      <c r="MPP44" s="19"/>
      <c r="MPQ44" s="19"/>
      <c r="MPR44" s="19"/>
      <c r="MPS44" s="19"/>
      <c r="MPT44" s="19"/>
      <c r="MPU44" s="19"/>
      <c r="MPV44" s="19"/>
      <c r="MPW44" s="19"/>
      <c r="MPX44" s="19"/>
      <c r="MPY44" s="19"/>
      <c r="MPZ44" s="19"/>
      <c r="MQA44" s="19"/>
      <c r="MQB44" s="19"/>
      <c r="MQC44" s="19"/>
      <c r="MQD44" s="19"/>
      <c r="MQE44" s="19"/>
      <c r="MQF44" s="19"/>
      <c r="MQG44" s="19"/>
      <c r="MQH44" s="19"/>
      <c r="MQI44" s="19"/>
      <c r="MQJ44" s="19"/>
      <c r="MQK44" s="19"/>
      <c r="MQL44" s="19"/>
      <c r="MQM44" s="19"/>
      <c r="MQN44" s="19"/>
      <c r="MQO44" s="19"/>
      <c r="MQP44" s="19"/>
      <c r="MQQ44" s="19"/>
      <c r="MQR44" s="19"/>
      <c r="MQS44" s="19"/>
      <c r="MQT44" s="19"/>
      <c r="MQU44" s="19"/>
      <c r="MQV44" s="19"/>
      <c r="MQW44" s="19"/>
      <c r="MQX44" s="19"/>
      <c r="MQY44" s="19"/>
      <c r="MQZ44" s="19"/>
      <c r="MRA44" s="19"/>
      <c r="MRB44" s="19"/>
      <c r="MRC44" s="19"/>
      <c r="MRD44" s="19"/>
      <c r="MRE44" s="19"/>
      <c r="MRF44" s="19"/>
      <c r="MRG44" s="19"/>
      <c r="MRH44" s="19"/>
      <c r="MRI44" s="19"/>
      <c r="MRJ44" s="19"/>
      <c r="MRK44" s="19"/>
      <c r="MRL44" s="19"/>
      <c r="MRM44" s="19"/>
      <c r="MRN44" s="19"/>
      <c r="MRO44" s="19"/>
      <c r="MRP44" s="19"/>
      <c r="MRQ44" s="19"/>
      <c r="MRR44" s="19"/>
      <c r="MRS44" s="19"/>
      <c r="MRT44" s="19"/>
      <c r="MRU44" s="19"/>
      <c r="MRV44" s="19"/>
      <c r="MRW44" s="19"/>
      <c r="MRX44" s="19"/>
      <c r="MRY44" s="19"/>
      <c r="MRZ44" s="19"/>
      <c r="MSA44" s="19"/>
      <c r="MSB44" s="19"/>
      <c r="MSC44" s="19"/>
      <c r="MSD44" s="19"/>
      <c r="MSE44" s="19"/>
      <c r="MSF44" s="19"/>
      <c r="MSG44" s="19"/>
      <c r="MSH44" s="19"/>
      <c r="MSI44" s="19"/>
      <c r="MSJ44" s="19"/>
      <c r="MSK44" s="19"/>
      <c r="MSL44" s="19"/>
      <c r="MSM44" s="19"/>
      <c r="MSN44" s="19"/>
      <c r="MSO44" s="19"/>
      <c r="MSP44" s="19"/>
      <c r="MSQ44" s="19"/>
      <c r="MSR44" s="19"/>
      <c r="MSS44" s="19"/>
      <c r="MST44" s="19"/>
      <c r="MSU44" s="19"/>
      <c r="MSV44" s="19"/>
      <c r="MSW44" s="19"/>
      <c r="MSX44" s="19"/>
      <c r="MSY44" s="19"/>
      <c r="MSZ44" s="19"/>
      <c r="MTA44" s="19"/>
      <c r="MTB44" s="19"/>
      <c r="MTC44" s="19"/>
      <c r="MTD44" s="19"/>
      <c r="MTE44" s="19"/>
      <c r="MTF44" s="19"/>
      <c r="MTG44" s="19"/>
      <c r="MTH44" s="19"/>
      <c r="MTI44" s="19"/>
      <c r="MTJ44" s="19"/>
      <c r="MTK44" s="19"/>
      <c r="MTL44" s="19"/>
      <c r="MTM44" s="19"/>
      <c r="MTN44" s="19"/>
      <c r="MTO44" s="19"/>
      <c r="MTP44" s="19"/>
      <c r="MTQ44" s="19"/>
      <c r="MTR44" s="19"/>
      <c r="MTS44" s="19"/>
      <c r="MTT44" s="19"/>
      <c r="MTU44" s="19"/>
      <c r="MTV44" s="19"/>
      <c r="MTW44" s="19"/>
      <c r="MTX44" s="19"/>
      <c r="MTY44" s="19"/>
      <c r="MTZ44" s="19"/>
      <c r="MUA44" s="19"/>
      <c r="MUB44" s="19"/>
      <c r="MUC44" s="19"/>
      <c r="MUD44" s="19"/>
      <c r="MUE44" s="19"/>
      <c r="MUF44" s="19"/>
      <c r="MUG44" s="19"/>
      <c r="MUH44" s="19"/>
      <c r="MUI44" s="19"/>
      <c r="MUJ44" s="19"/>
      <c r="MUK44" s="19"/>
      <c r="MUL44" s="19"/>
      <c r="MUM44" s="19"/>
      <c r="MUN44" s="19"/>
      <c r="MUO44" s="19"/>
      <c r="MUP44" s="19"/>
      <c r="MUQ44" s="19"/>
      <c r="MUR44" s="19"/>
      <c r="MUS44" s="19"/>
      <c r="MUT44" s="19"/>
      <c r="MUU44" s="19"/>
      <c r="MUV44" s="19"/>
      <c r="MUW44" s="19"/>
      <c r="MUX44" s="19"/>
      <c r="MUY44" s="19"/>
      <c r="MUZ44" s="19"/>
      <c r="MVA44" s="19"/>
      <c r="MVB44" s="19"/>
      <c r="MVC44" s="19"/>
      <c r="MVD44" s="19"/>
      <c r="MVE44" s="19"/>
      <c r="MVF44" s="19"/>
      <c r="MVG44" s="19"/>
      <c r="MVH44" s="19"/>
      <c r="MVI44" s="19"/>
      <c r="MVJ44" s="19"/>
      <c r="MVK44" s="19"/>
      <c r="MVL44" s="19"/>
      <c r="MVM44" s="19"/>
      <c r="MVN44" s="19"/>
      <c r="MVO44" s="19"/>
      <c r="MVP44" s="19"/>
      <c r="MVQ44" s="19"/>
      <c r="MVR44" s="19"/>
      <c r="MVS44" s="19"/>
      <c r="MVT44" s="19"/>
      <c r="MVU44" s="19"/>
      <c r="MVV44" s="19"/>
      <c r="MVW44" s="19"/>
      <c r="MVX44" s="19"/>
      <c r="MVY44" s="19"/>
      <c r="MVZ44" s="19"/>
      <c r="MWA44" s="19"/>
      <c r="MWB44" s="19"/>
      <c r="MWC44" s="19"/>
      <c r="MWD44" s="19"/>
      <c r="MWE44" s="19"/>
      <c r="MWF44" s="19"/>
      <c r="MWG44" s="19"/>
      <c r="MWH44" s="19"/>
      <c r="MWI44" s="19"/>
      <c r="MWJ44" s="19"/>
      <c r="MWK44" s="19"/>
      <c r="MWL44" s="19"/>
      <c r="MWM44" s="19"/>
      <c r="MWN44" s="19"/>
      <c r="MWO44" s="19"/>
      <c r="MWP44" s="19"/>
      <c r="MWQ44" s="19"/>
      <c r="MWR44" s="19"/>
      <c r="MWS44" s="19"/>
      <c r="MWT44" s="19"/>
      <c r="MWU44" s="19"/>
      <c r="MWV44" s="19"/>
      <c r="MWW44" s="19"/>
      <c r="MWX44" s="19"/>
      <c r="MWY44" s="19"/>
      <c r="MWZ44" s="19"/>
      <c r="MXA44" s="19"/>
      <c r="MXB44" s="19"/>
      <c r="MXC44" s="19"/>
      <c r="MXD44" s="19"/>
      <c r="MXE44" s="19"/>
      <c r="MXF44" s="19"/>
      <c r="MXG44" s="19"/>
      <c r="MXH44" s="19"/>
      <c r="MXI44" s="19"/>
      <c r="MXJ44" s="19"/>
      <c r="MXK44" s="19"/>
      <c r="MXL44" s="19"/>
      <c r="MXM44" s="19"/>
      <c r="MXN44" s="19"/>
      <c r="MXO44" s="19"/>
      <c r="MXP44" s="19"/>
      <c r="MXQ44" s="19"/>
      <c r="MXR44" s="19"/>
      <c r="MXS44" s="19"/>
      <c r="MXT44" s="19"/>
      <c r="MXU44" s="19"/>
      <c r="MXV44" s="19"/>
      <c r="MXW44" s="19"/>
      <c r="MXX44" s="19"/>
      <c r="MXY44" s="19"/>
      <c r="MXZ44" s="19"/>
      <c r="MYA44" s="19"/>
      <c r="MYB44" s="19"/>
      <c r="MYC44" s="19"/>
      <c r="MYD44" s="19"/>
      <c r="MYE44" s="19"/>
      <c r="MYF44" s="19"/>
      <c r="MYG44" s="19"/>
      <c r="MYH44" s="19"/>
      <c r="MYI44" s="19"/>
      <c r="MYJ44" s="19"/>
      <c r="MYK44" s="19"/>
      <c r="MYL44" s="19"/>
      <c r="MYM44" s="19"/>
      <c r="MYN44" s="19"/>
      <c r="MYO44" s="19"/>
      <c r="MYP44" s="19"/>
      <c r="MYQ44" s="19"/>
      <c r="MYR44" s="19"/>
      <c r="MYS44" s="19"/>
      <c r="MYT44" s="19"/>
      <c r="MYU44" s="19"/>
      <c r="MYV44" s="19"/>
      <c r="MYW44" s="19"/>
      <c r="MYX44" s="19"/>
      <c r="MYY44" s="19"/>
      <c r="MYZ44" s="19"/>
      <c r="MZA44" s="19"/>
      <c r="MZB44" s="19"/>
      <c r="MZC44" s="19"/>
      <c r="MZD44" s="19"/>
      <c r="MZE44" s="19"/>
      <c r="MZF44" s="19"/>
      <c r="MZG44" s="19"/>
      <c r="MZH44" s="19"/>
      <c r="MZI44" s="19"/>
      <c r="MZJ44" s="19"/>
      <c r="MZK44" s="19"/>
      <c r="MZL44" s="19"/>
      <c r="MZM44" s="19"/>
      <c r="MZN44" s="19"/>
      <c r="MZO44" s="19"/>
      <c r="MZP44" s="19"/>
      <c r="MZQ44" s="19"/>
      <c r="MZR44" s="19"/>
      <c r="MZS44" s="19"/>
      <c r="MZT44" s="19"/>
      <c r="MZU44" s="19"/>
      <c r="MZV44" s="19"/>
      <c r="MZW44" s="19"/>
      <c r="MZX44" s="19"/>
      <c r="MZY44" s="19"/>
      <c r="MZZ44" s="19"/>
      <c r="NAA44" s="19"/>
      <c r="NAB44" s="19"/>
      <c r="NAC44" s="19"/>
      <c r="NAD44" s="19"/>
      <c r="NAE44" s="19"/>
      <c r="NAF44" s="19"/>
      <c r="NAG44" s="19"/>
      <c r="NAH44" s="19"/>
      <c r="NAI44" s="19"/>
      <c r="NAJ44" s="19"/>
      <c r="NAK44" s="19"/>
      <c r="NAL44" s="19"/>
      <c r="NAM44" s="19"/>
      <c r="NAN44" s="19"/>
      <c r="NAO44" s="19"/>
      <c r="NAP44" s="19"/>
      <c r="NAQ44" s="19"/>
      <c r="NAR44" s="19"/>
      <c r="NAS44" s="19"/>
      <c r="NAT44" s="19"/>
      <c r="NAU44" s="19"/>
      <c r="NAV44" s="19"/>
      <c r="NAW44" s="19"/>
      <c r="NAX44" s="19"/>
      <c r="NAY44" s="19"/>
      <c r="NAZ44" s="19"/>
      <c r="NBA44" s="19"/>
      <c r="NBB44" s="19"/>
      <c r="NBC44" s="19"/>
      <c r="NBD44" s="19"/>
      <c r="NBE44" s="19"/>
      <c r="NBF44" s="19"/>
      <c r="NBG44" s="19"/>
      <c r="NBH44" s="19"/>
      <c r="NBI44" s="19"/>
      <c r="NBJ44" s="19"/>
      <c r="NBK44" s="19"/>
      <c r="NBL44" s="19"/>
      <c r="NBM44" s="19"/>
      <c r="NBN44" s="19"/>
      <c r="NBO44" s="19"/>
      <c r="NBP44" s="19"/>
      <c r="NBQ44" s="19"/>
      <c r="NBR44" s="19"/>
      <c r="NBS44" s="19"/>
      <c r="NBT44" s="19"/>
      <c r="NBU44" s="19"/>
      <c r="NBV44" s="19"/>
      <c r="NBW44" s="19"/>
      <c r="NBX44" s="19"/>
      <c r="NBY44" s="19"/>
      <c r="NBZ44" s="19"/>
      <c r="NCA44" s="19"/>
      <c r="NCB44" s="19"/>
      <c r="NCC44" s="19"/>
      <c r="NCD44" s="19"/>
      <c r="NCE44" s="19"/>
      <c r="NCF44" s="19"/>
      <c r="NCG44" s="19"/>
      <c r="NCH44" s="19"/>
      <c r="NCI44" s="19"/>
      <c r="NCJ44" s="19"/>
      <c r="NCK44" s="19"/>
      <c r="NCL44" s="19"/>
      <c r="NCM44" s="19"/>
      <c r="NCN44" s="19"/>
      <c r="NCO44" s="19"/>
      <c r="NCP44" s="19"/>
      <c r="NCQ44" s="19"/>
      <c r="NCR44" s="19"/>
      <c r="NCS44" s="19"/>
      <c r="NCT44" s="19"/>
      <c r="NCU44" s="19"/>
      <c r="NCV44" s="19"/>
      <c r="NCW44" s="19"/>
      <c r="NCX44" s="19"/>
      <c r="NCY44" s="19"/>
      <c r="NCZ44" s="19"/>
      <c r="NDA44" s="19"/>
      <c r="NDB44" s="19"/>
      <c r="NDC44" s="19"/>
      <c r="NDD44" s="19"/>
      <c r="NDE44" s="19"/>
      <c r="NDF44" s="19"/>
      <c r="NDG44" s="19"/>
      <c r="NDH44" s="19"/>
      <c r="NDI44" s="19"/>
      <c r="NDJ44" s="19"/>
      <c r="NDK44" s="19"/>
      <c r="NDL44" s="19"/>
      <c r="NDM44" s="19"/>
      <c r="NDN44" s="19"/>
      <c r="NDO44" s="19"/>
      <c r="NDP44" s="19"/>
      <c r="NDQ44" s="19"/>
      <c r="NDR44" s="19"/>
      <c r="NDS44" s="19"/>
      <c r="NDT44" s="19"/>
      <c r="NDU44" s="19"/>
      <c r="NDV44" s="19"/>
      <c r="NDW44" s="19"/>
      <c r="NDX44" s="19"/>
      <c r="NDY44" s="19"/>
      <c r="NDZ44" s="19"/>
      <c r="NEA44" s="19"/>
      <c r="NEB44" s="19"/>
      <c r="NEC44" s="19"/>
      <c r="NED44" s="19"/>
      <c r="NEE44" s="19"/>
      <c r="NEF44" s="19"/>
      <c r="NEG44" s="19"/>
      <c r="NEH44" s="19"/>
      <c r="NEI44" s="19"/>
      <c r="NEJ44" s="19"/>
      <c r="NEK44" s="19"/>
      <c r="NEL44" s="19"/>
      <c r="NEM44" s="19"/>
      <c r="NEN44" s="19"/>
      <c r="NEO44" s="19"/>
      <c r="NEP44" s="19"/>
      <c r="NEQ44" s="19"/>
      <c r="NER44" s="19"/>
      <c r="NES44" s="19"/>
      <c r="NET44" s="19"/>
      <c r="NEU44" s="19"/>
      <c r="NEV44" s="19"/>
      <c r="NEW44" s="19"/>
      <c r="NEX44" s="19"/>
      <c r="NEY44" s="19"/>
      <c r="NEZ44" s="19"/>
      <c r="NFA44" s="19"/>
      <c r="NFB44" s="19"/>
      <c r="NFC44" s="19"/>
      <c r="NFD44" s="19"/>
      <c r="NFE44" s="19"/>
      <c r="NFF44" s="19"/>
      <c r="NFG44" s="19"/>
      <c r="NFH44" s="19"/>
      <c r="NFI44" s="19"/>
      <c r="NFJ44" s="19"/>
      <c r="NFK44" s="19"/>
      <c r="NFL44" s="19"/>
      <c r="NFM44" s="19"/>
      <c r="NFN44" s="19"/>
      <c r="NFO44" s="19"/>
      <c r="NFP44" s="19"/>
      <c r="NFQ44" s="19"/>
      <c r="NFR44" s="19"/>
      <c r="NFS44" s="19"/>
      <c r="NFT44" s="19"/>
      <c r="NFU44" s="19"/>
      <c r="NFV44" s="19"/>
      <c r="NFW44" s="19"/>
      <c r="NFX44" s="19"/>
      <c r="NFY44" s="19"/>
      <c r="NFZ44" s="19"/>
      <c r="NGA44" s="19"/>
      <c r="NGB44" s="19"/>
      <c r="NGC44" s="19"/>
      <c r="NGD44" s="19"/>
      <c r="NGE44" s="19"/>
      <c r="NGF44" s="19"/>
      <c r="NGG44" s="19"/>
      <c r="NGH44" s="19"/>
      <c r="NGI44" s="19"/>
      <c r="NGJ44" s="19"/>
      <c r="NGK44" s="19"/>
      <c r="NGL44" s="19"/>
      <c r="NGM44" s="19"/>
      <c r="NGN44" s="19"/>
      <c r="NGO44" s="19"/>
      <c r="NGP44" s="19"/>
      <c r="NGQ44" s="19"/>
      <c r="NGR44" s="19"/>
      <c r="NGS44" s="19"/>
      <c r="NGT44" s="19"/>
      <c r="NGU44" s="19"/>
      <c r="NGV44" s="19"/>
      <c r="NGW44" s="19"/>
      <c r="NGX44" s="19"/>
      <c r="NGY44" s="19"/>
      <c r="NGZ44" s="19"/>
      <c r="NHA44" s="19"/>
      <c r="NHB44" s="19"/>
      <c r="NHC44" s="19"/>
      <c r="NHD44" s="19"/>
      <c r="NHE44" s="19"/>
      <c r="NHF44" s="19"/>
      <c r="NHG44" s="19"/>
      <c r="NHH44" s="19"/>
      <c r="NHI44" s="19"/>
      <c r="NHJ44" s="19"/>
      <c r="NHK44" s="19"/>
      <c r="NHL44" s="19"/>
      <c r="NHM44" s="19"/>
      <c r="NHN44" s="19"/>
      <c r="NHO44" s="19"/>
      <c r="NHP44" s="19"/>
      <c r="NHQ44" s="19"/>
      <c r="NHR44" s="19"/>
      <c r="NHS44" s="19"/>
      <c r="NHT44" s="19"/>
      <c r="NHU44" s="19"/>
      <c r="NHV44" s="19"/>
      <c r="NHW44" s="19"/>
      <c r="NHX44" s="19"/>
      <c r="NHY44" s="19"/>
      <c r="NHZ44" s="19"/>
      <c r="NIA44" s="19"/>
      <c r="NIB44" s="19"/>
      <c r="NIC44" s="19"/>
      <c r="NID44" s="19"/>
      <c r="NIE44" s="19"/>
      <c r="NIF44" s="19"/>
      <c r="NIG44" s="19"/>
      <c r="NIH44" s="19"/>
      <c r="NII44" s="19"/>
      <c r="NIJ44" s="19"/>
      <c r="NIK44" s="19"/>
      <c r="NIL44" s="19"/>
      <c r="NIM44" s="19"/>
      <c r="NIN44" s="19"/>
      <c r="NIO44" s="19"/>
      <c r="NIP44" s="19"/>
      <c r="NIQ44" s="19"/>
      <c r="NIR44" s="19"/>
      <c r="NIS44" s="19"/>
      <c r="NIT44" s="19"/>
      <c r="NIU44" s="19"/>
      <c r="NIV44" s="19"/>
      <c r="NIW44" s="19"/>
      <c r="NIX44" s="19"/>
      <c r="NIY44" s="19"/>
      <c r="NIZ44" s="19"/>
      <c r="NJA44" s="19"/>
      <c r="NJB44" s="19"/>
      <c r="NJC44" s="19"/>
      <c r="NJD44" s="19"/>
      <c r="NJE44" s="19"/>
      <c r="NJF44" s="19"/>
      <c r="NJG44" s="19"/>
      <c r="NJH44" s="19"/>
      <c r="NJI44" s="19"/>
      <c r="NJJ44" s="19"/>
      <c r="NJK44" s="19"/>
      <c r="NJL44" s="19"/>
      <c r="NJM44" s="19"/>
      <c r="NJN44" s="19"/>
      <c r="NJO44" s="19"/>
      <c r="NJP44" s="19"/>
      <c r="NJQ44" s="19"/>
      <c r="NJR44" s="19"/>
      <c r="NJS44" s="19"/>
      <c r="NJT44" s="19"/>
      <c r="NJU44" s="19"/>
      <c r="NJV44" s="19"/>
      <c r="NJW44" s="19"/>
      <c r="NJX44" s="19"/>
      <c r="NJY44" s="19"/>
      <c r="NJZ44" s="19"/>
      <c r="NKA44" s="19"/>
      <c r="NKB44" s="19"/>
      <c r="NKC44" s="19"/>
      <c r="NKD44" s="19"/>
      <c r="NKE44" s="19"/>
      <c r="NKF44" s="19"/>
      <c r="NKG44" s="19"/>
      <c r="NKH44" s="19"/>
      <c r="NKI44" s="19"/>
      <c r="NKJ44" s="19"/>
      <c r="NKK44" s="19"/>
      <c r="NKL44" s="19"/>
      <c r="NKM44" s="19"/>
      <c r="NKN44" s="19"/>
      <c r="NKO44" s="19"/>
      <c r="NKP44" s="19"/>
      <c r="NKQ44" s="19"/>
      <c r="NKR44" s="19"/>
      <c r="NKS44" s="19"/>
      <c r="NKT44" s="19"/>
      <c r="NKU44" s="19"/>
      <c r="NKV44" s="19"/>
      <c r="NKW44" s="19"/>
      <c r="NKX44" s="19"/>
      <c r="NKY44" s="19"/>
      <c r="NKZ44" s="19"/>
      <c r="NLA44" s="19"/>
      <c r="NLB44" s="19"/>
      <c r="NLC44" s="19"/>
      <c r="NLD44" s="19"/>
      <c r="NLE44" s="19"/>
      <c r="NLF44" s="19"/>
      <c r="NLG44" s="19"/>
      <c r="NLH44" s="19"/>
      <c r="NLI44" s="19"/>
      <c r="NLJ44" s="19"/>
      <c r="NLK44" s="19"/>
      <c r="NLL44" s="19"/>
      <c r="NLM44" s="19"/>
      <c r="NLN44" s="19"/>
      <c r="NLO44" s="19"/>
      <c r="NLP44" s="19"/>
      <c r="NLQ44" s="19"/>
      <c r="NLR44" s="19"/>
      <c r="NLS44" s="19"/>
      <c r="NLT44" s="19"/>
      <c r="NLU44" s="19"/>
      <c r="NLV44" s="19"/>
      <c r="NLW44" s="19"/>
      <c r="NLX44" s="19"/>
      <c r="NLY44" s="19"/>
      <c r="NLZ44" s="19"/>
      <c r="NMA44" s="19"/>
      <c r="NMB44" s="19"/>
      <c r="NMC44" s="19"/>
      <c r="NMD44" s="19"/>
      <c r="NME44" s="19"/>
      <c r="NMF44" s="19"/>
      <c r="NMG44" s="19"/>
      <c r="NMH44" s="19"/>
      <c r="NMI44" s="19"/>
      <c r="NMJ44" s="19"/>
      <c r="NMK44" s="19"/>
      <c r="NML44" s="19"/>
      <c r="NMM44" s="19"/>
      <c r="NMN44" s="19"/>
      <c r="NMO44" s="19"/>
      <c r="NMP44" s="19"/>
      <c r="NMQ44" s="19"/>
      <c r="NMR44" s="19"/>
      <c r="NMS44" s="19"/>
      <c r="NMT44" s="19"/>
      <c r="NMU44" s="19"/>
      <c r="NMV44" s="19"/>
      <c r="NMW44" s="19"/>
      <c r="NMX44" s="19"/>
      <c r="NMY44" s="19"/>
      <c r="NMZ44" s="19"/>
      <c r="NNA44" s="19"/>
      <c r="NNB44" s="19"/>
      <c r="NNC44" s="19"/>
      <c r="NND44" s="19"/>
      <c r="NNE44" s="19"/>
      <c r="NNF44" s="19"/>
      <c r="NNG44" s="19"/>
      <c r="NNH44" s="19"/>
      <c r="NNI44" s="19"/>
      <c r="NNJ44" s="19"/>
      <c r="NNK44" s="19"/>
      <c r="NNL44" s="19"/>
      <c r="NNM44" s="19"/>
      <c r="NNN44" s="19"/>
      <c r="NNO44" s="19"/>
      <c r="NNP44" s="19"/>
      <c r="NNQ44" s="19"/>
      <c r="NNR44" s="19"/>
      <c r="NNS44" s="19"/>
      <c r="NNT44" s="19"/>
      <c r="NNU44" s="19"/>
      <c r="NNV44" s="19"/>
      <c r="NNW44" s="19"/>
      <c r="NNX44" s="19"/>
      <c r="NNY44" s="19"/>
      <c r="NNZ44" s="19"/>
      <c r="NOA44" s="19"/>
      <c r="NOB44" s="19"/>
      <c r="NOC44" s="19"/>
      <c r="NOD44" s="19"/>
      <c r="NOE44" s="19"/>
      <c r="NOF44" s="19"/>
      <c r="NOG44" s="19"/>
      <c r="NOH44" s="19"/>
      <c r="NOI44" s="19"/>
      <c r="NOJ44" s="19"/>
      <c r="NOK44" s="19"/>
      <c r="NOL44" s="19"/>
      <c r="NOM44" s="19"/>
      <c r="NON44" s="19"/>
      <c r="NOO44" s="19"/>
      <c r="NOP44" s="19"/>
      <c r="NOQ44" s="19"/>
      <c r="NOR44" s="19"/>
      <c r="NOS44" s="19"/>
      <c r="NOT44" s="19"/>
      <c r="NOU44" s="19"/>
      <c r="NOV44" s="19"/>
      <c r="NOW44" s="19"/>
      <c r="NOX44" s="19"/>
      <c r="NOY44" s="19"/>
      <c r="NOZ44" s="19"/>
      <c r="NPA44" s="19"/>
      <c r="NPB44" s="19"/>
      <c r="NPC44" s="19"/>
      <c r="NPD44" s="19"/>
      <c r="NPE44" s="19"/>
      <c r="NPF44" s="19"/>
      <c r="NPG44" s="19"/>
      <c r="NPH44" s="19"/>
      <c r="NPI44" s="19"/>
      <c r="NPJ44" s="19"/>
      <c r="NPK44" s="19"/>
      <c r="NPL44" s="19"/>
      <c r="NPM44" s="19"/>
      <c r="NPN44" s="19"/>
      <c r="NPO44" s="19"/>
      <c r="NPP44" s="19"/>
      <c r="NPQ44" s="19"/>
      <c r="NPR44" s="19"/>
      <c r="NPS44" s="19"/>
      <c r="NPT44" s="19"/>
      <c r="NPU44" s="19"/>
      <c r="NPV44" s="19"/>
      <c r="NPW44" s="19"/>
      <c r="NPX44" s="19"/>
      <c r="NPY44" s="19"/>
      <c r="NPZ44" s="19"/>
      <c r="NQA44" s="19"/>
      <c r="NQB44" s="19"/>
      <c r="NQC44" s="19"/>
      <c r="NQD44" s="19"/>
      <c r="NQE44" s="19"/>
      <c r="NQF44" s="19"/>
      <c r="NQG44" s="19"/>
      <c r="NQH44" s="19"/>
      <c r="NQI44" s="19"/>
      <c r="NQJ44" s="19"/>
      <c r="NQK44" s="19"/>
      <c r="NQL44" s="19"/>
      <c r="NQM44" s="19"/>
      <c r="NQN44" s="19"/>
      <c r="NQO44" s="19"/>
      <c r="NQP44" s="19"/>
      <c r="NQQ44" s="19"/>
      <c r="NQR44" s="19"/>
      <c r="NQS44" s="19"/>
      <c r="NQT44" s="19"/>
      <c r="NQU44" s="19"/>
      <c r="NQV44" s="19"/>
      <c r="NQW44" s="19"/>
      <c r="NQX44" s="19"/>
      <c r="NQY44" s="19"/>
      <c r="NQZ44" s="19"/>
      <c r="NRA44" s="19"/>
      <c r="NRB44" s="19"/>
      <c r="NRC44" s="19"/>
      <c r="NRD44" s="19"/>
      <c r="NRE44" s="19"/>
      <c r="NRF44" s="19"/>
      <c r="NRG44" s="19"/>
      <c r="NRH44" s="19"/>
      <c r="NRI44" s="19"/>
      <c r="NRJ44" s="19"/>
      <c r="NRK44" s="19"/>
      <c r="NRL44" s="19"/>
      <c r="NRM44" s="19"/>
      <c r="NRN44" s="19"/>
      <c r="NRO44" s="19"/>
      <c r="NRP44" s="19"/>
      <c r="NRQ44" s="19"/>
      <c r="NRR44" s="19"/>
      <c r="NRS44" s="19"/>
      <c r="NRT44" s="19"/>
      <c r="NRU44" s="19"/>
      <c r="NRV44" s="19"/>
      <c r="NRW44" s="19"/>
      <c r="NRX44" s="19"/>
      <c r="NRY44" s="19"/>
      <c r="NRZ44" s="19"/>
      <c r="NSA44" s="19"/>
      <c r="NSB44" s="19"/>
      <c r="NSC44" s="19"/>
      <c r="NSD44" s="19"/>
      <c r="NSE44" s="19"/>
      <c r="NSF44" s="19"/>
      <c r="NSG44" s="19"/>
      <c r="NSH44" s="19"/>
      <c r="NSI44" s="19"/>
      <c r="NSJ44" s="19"/>
      <c r="NSK44" s="19"/>
      <c r="NSL44" s="19"/>
      <c r="NSM44" s="19"/>
      <c r="NSN44" s="19"/>
      <c r="NSO44" s="19"/>
      <c r="NSP44" s="19"/>
      <c r="NSQ44" s="19"/>
      <c r="NSR44" s="19"/>
      <c r="NSS44" s="19"/>
      <c r="NST44" s="19"/>
      <c r="NSU44" s="19"/>
      <c r="NSV44" s="19"/>
      <c r="NSW44" s="19"/>
      <c r="NSX44" s="19"/>
      <c r="NSY44" s="19"/>
      <c r="NSZ44" s="19"/>
      <c r="NTA44" s="19"/>
      <c r="NTB44" s="19"/>
      <c r="NTC44" s="19"/>
      <c r="NTD44" s="19"/>
      <c r="NTE44" s="19"/>
      <c r="NTF44" s="19"/>
      <c r="NTG44" s="19"/>
      <c r="NTH44" s="19"/>
      <c r="NTI44" s="19"/>
      <c r="NTJ44" s="19"/>
      <c r="NTK44" s="19"/>
      <c r="NTL44" s="19"/>
      <c r="NTM44" s="19"/>
      <c r="NTN44" s="19"/>
      <c r="NTO44" s="19"/>
      <c r="NTP44" s="19"/>
      <c r="NTQ44" s="19"/>
      <c r="NTR44" s="19"/>
      <c r="NTS44" s="19"/>
      <c r="NTT44" s="19"/>
      <c r="NTU44" s="19"/>
      <c r="NTV44" s="19"/>
      <c r="NTW44" s="19"/>
      <c r="NTX44" s="19"/>
      <c r="NTY44" s="19"/>
      <c r="NTZ44" s="19"/>
      <c r="NUA44" s="19"/>
      <c r="NUB44" s="19"/>
      <c r="NUC44" s="19"/>
      <c r="NUD44" s="19"/>
      <c r="NUE44" s="19"/>
      <c r="NUF44" s="19"/>
      <c r="NUG44" s="19"/>
      <c r="NUH44" s="19"/>
      <c r="NUI44" s="19"/>
      <c r="NUJ44" s="19"/>
      <c r="NUK44" s="19"/>
      <c r="NUL44" s="19"/>
      <c r="NUM44" s="19"/>
      <c r="NUN44" s="19"/>
      <c r="NUO44" s="19"/>
      <c r="NUP44" s="19"/>
      <c r="NUQ44" s="19"/>
      <c r="NUR44" s="19"/>
      <c r="NUS44" s="19"/>
      <c r="NUT44" s="19"/>
      <c r="NUU44" s="19"/>
      <c r="NUV44" s="19"/>
      <c r="NUW44" s="19"/>
      <c r="NUX44" s="19"/>
      <c r="NUY44" s="19"/>
      <c r="NUZ44" s="19"/>
      <c r="NVA44" s="19"/>
      <c r="NVB44" s="19"/>
      <c r="NVC44" s="19"/>
      <c r="NVD44" s="19"/>
      <c r="NVE44" s="19"/>
      <c r="NVF44" s="19"/>
      <c r="NVG44" s="19"/>
      <c r="NVH44" s="19"/>
      <c r="NVI44" s="19"/>
      <c r="NVJ44" s="19"/>
      <c r="NVK44" s="19"/>
      <c r="NVL44" s="19"/>
      <c r="NVM44" s="19"/>
      <c r="NVN44" s="19"/>
      <c r="NVO44" s="19"/>
      <c r="NVP44" s="19"/>
      <c r="NVQ44" s="19"/>
      <c r="NVR44" s="19"/>
      <c r="NVS44" s="19"/>
      <c r="NVT44" s="19"/>
      <c r="NVU44" s="19"/>
      <c r="NVV44" s="19"/>
      <c r="NVW44" s="19"/>
      <c r="NVX44" s="19"/>
      <c r="NVY44" s="19"/>
      <c r="NVZ44" s="19"/>
      <c r="NWA44" s="19"/>
      <c r="NWB44" s="19"/>
      <c r="NWC44" s="19"/>
      <c r="NWD44" s="19"/>
      <c r="NWE44" s="19"/>
      <c r="NWF44" s="19"/>
      <c r="NWG44" s="19"/>
      <c r="NWH44" s="19"/>
      <c r="NWI44" s="19"/>
      <c r="NWJ44" s="19"/>
      <c r="NWK44" s="19"/>
      <c r="NWL44" s="19"/>
      <c r="NWM44" s="19"/>
      <c r="NWN44" s="19"/>
      <c r="NWO44" s="19"/>
      <c r="NWP44" s="19"/>
      <c r="NWQ44" s="19"/>
      <c r="NWR44" s="19"/>
      <c r="NWS44" s="19"/>
      <c r="NWT44" s="19"/>
      <c r="NWU44" s="19"/>
      <c r="NWV44" s="19"/>
      <c r="NWW44" s="19"/>
      <c r="NWX44" s="19"/>
      <c r="NWY44" s="19"/>
      <c r="NWZ44" s="19"/>
      <c r="NXA44" s="19"/>
      <c r="NXB44" s="19"/>
      <c r="NXC44" s="19"/>
      <c r="NXD44" s="19"/>
      <c r="NXE44" s="19"/>
      <c r="NXF44" s="19"/>
      <c r="NXG44" s="19"/>
      <c r="NXH44" s="19"/>
      <c r="NXI44" s="19"/>
      <c r="NXJ44" s="19"/>
      <c r="NXK44" s="19"/>
      <c r="NXL44" s="19"/>
      <c r="NXM44" s="19"/>
      <c r="NXN44" s="19"/>
      <c r="NXO44" s="19"/>
      <c r="NXP44" s="19"/>
      <c r="NXQ44" s="19"/>
      <c r="NXR44" s="19"/>
      <c r="NXS44" s="19"/>
      <c r="NXT44" s="19"/>
      <c r="NXU44" s="19"/>
      <c r="NXV44" s="19"/>
      <c r="NXW44" s="19"/>
      <c r="NXX44" s="19"/>
      <c r="NXY44" s="19"/>
      <c r="NXZ44" s="19"/>
      <c r="NYA44" s="19"/>
      <c r="NYB44" s="19"/>
      <c r="NYC44" s="19"/>
      <c r="NYD44" s="19"/>
      <c r="NYE44" s="19"/>
      <c r="NYF44" s="19"/>
      <c r="NYG44" s="19"/>
      <c r="NYH44" s="19"/>
      <c r="NYI44" s="19"/>
      <c r="NYJ44" s="19"/>
      <c r="NYK44" s="19"/>
      <c r="NYL44" s="19"/>
      <c r="NYM44" s="19"/>
      <c r="NYN44" s="19"/>
      <c r="NYO44" s="19"/>
      <c r="NYP44" s="19"/>
      <c r="NYQ44" s="19"/>
      <c r="NYR44" s="19"/>
      <c r="NYS44" s="19"/>
      <c r="NYT44" s="19"/>
      <c r="NYU44" s="19"/>
      <c r="NYV44" s="19"/>
      <c r="NYW44" s="19"/>
      <c r="NYX44" s="19"/>
      <c r="NYY44" s="19"/>
      <c r="NYZ44" s="19"/>
      <c r="NZA44" s="19"/>
      <c r="NZB44" s="19"/>
      <c r="NZC44" s="19"/>
      <c r="NZD44" s="19"/>
      <c r="NZE44" s="19"/>
      <c r="NZF44" s="19"/>
      <c r="NZG44" s="19"/>
      <c r="NZH44" s="19"/>
      <c r="NZI44" s="19"/>
      <c r="NZJ44" s="19"/>
      <c r="NZK44" s="19"/>
      <c r="NZL44" s="19"/>
      <c r="NZM44" s="19"/>
      <c r="NZN44" s="19"/>
      <c r="NZO44" s="19"/>
      <c r="NZP44" s="19"/>
      <c r="NZQ44" s="19"/>
      <c r="NZR44" s="19"/>
      <c r="NZS44" s="19"/>
      <c r="NZT44" s="19"/>
      <c r="NZU44" s="19"/>
      <c r="NZV44" s="19"/>
      <c r="NZW44" s="19"/>
      <c r="NZX44" s="19"/>
      <c r="NZY44" s="19"/>
      <c r="NZZ44" s="19"/>
      <c r="OAA44" s="19"/>
      <c r="OAB44" s="19"/>
      <c r="OAC44" s="19"/>
      <c r="OAD44" s="19"/>
      <c r="OAE44" s="19"/>
      <c r="OAF44" s="19"/>
      <c r="OAG44" s="19"/>
      <c r="OAH44" s="19"/>
      <c r="OAI44" s="19"/>
      <c r="OAJ44" s="19"/>
      <c r="OAK44" s="19"/>
      <c r="OAL44" s="19"/>
      <c r="OAM44" s="19"/>
      <c r="OAN44" s="19"/>
      <c r="OAO44" s="19"/>
      <c r="OAP44" s="19"/>
      <c r="OAQ44" s="19"/>
      <c r="OAR44" s="19"/>
      <c r="OAS44" s="19"/>
      <c r="OAT44" s="19"/>
      <c r="OAU44" s="19"/>
      <c r="OAV44" s="19"/>
      <c r="OAW44" s="19"/>
      <c r="OAX44" s="19"/>
      <c r="OAY44" s="19"/>
      <c r="OAZ44" s="19"/>
      <c r="OBA44" s="19"/>
      <c r="OBB44" s="19"/>
      <c r="OBC44" s="19"/>
      <c r="OBD44" s="19"/>
      <c r="OBE44" s="19"/>
      <c r="OBF44" s="19"/>
      <c r="OBG44" s="19"/>
      <c r="OBH44" s="19"/>
      <c r="OBI44" s="19"/>
      <c r="OBJ44" s="19"/>
      <c r="OBK44" s="19"/>
      <c r="OBL44" s="19"/>
      <c r="OBM44" s="19"/>
      <c r="OBN44" s="19"/>
      <c r="OBO44" s="19"/>
      <c r="OBP44" s="19"/>
      <c r="OBQ44" s="19"/>
      <c r="OBR44" s="19"/>
      <c r="OBS44" s="19"/>
      <c r="OBT44" s="19"/>
      <c r="OBU44" s="19"/>
      <c r="OBV44" s="19"/>
      <c r="OBW44" s="19"/>
      <c r="OBX44" s="19"/>
      <c r="OBY44" s="19"/>
      <c r="OBZ44" s="19"/>
      <c r="OCA44" s="19"/>
      <c r="OCB44" s="19"/>
      <c r="OCC44" s="19"/>
      <c r="OCD44" s="19"/>
      <c r="OCE44" s="19"/>
      <c r="OCF44" s="19"/>
      <c r="OCG44" s="19"/>
      <c r="OCH44" s="19"/>
      <c r="OCI44" s="19"/>
      <c r="OCJ44" s="19"/>
      <c r="OCK44" s="19"/>
      <c r="OCL44" s="19"/>
      <c r="OCM44" s="19"/>
      <c r="OCN44" s="19"/>
      <c r="OCO44" s="19"/>
      <c r="OCP44" s="19"/>
      <c r="OCQ44" s="19"/>
      <c r="OCR44" s="19"/>
      <c r="OCS44" s="19"/>
      <c r="OCT44" s="19"/>
      <c r="OCU44" s="19"/>
      <c r="OCV44" s="19"/>
      <c r="OCW44" s="19"/>
      <c r="OCX44" s="19"/>
      <c r="OCY44" s="19"/>
      <c r="OCZ44" s="19"/>
      <c r="ODA44" s="19"/>
      <c r="ODB44" s="19"/>
      <c r="ODC44" s="19"/>
      <c r="ODD44" s="19"/>
      <c r="ODE44" s="19"/>
      <c r="ODF44" s="19"/>
      <c r="ODG44" s="19"/>
      <c r="ODH44" s="19"/>
      <c r="ODI44" s="19"/>
      <c r="ODJ44" s="19"/>
      <c r="ODK44" s="19"/>
      <c r="ODL44" s="19"/>
      <c r="ODM44" s="19"/>
      <c r="ODN44" s="19"/>
      <c r="ODO44" s="19"/>
      <c r="ODP44" s="19"/>
      <c r="ODQ44" s="19"/>
      <c r="ODR44" s="19"/>
      <c r="ODS44" s="19"/>
      <c r="ODT44" s="19"/>
      <c r="ODU44" s="19"/>
      <c r="ODV44" s="19"/>
      <c r="ODW44" s="19"/>
      <c r="ODX44" s="19"/>
      <c r="ODY44" s="19"/>
      <c r="ODZ44" s="19"/>
      <c r="OEA44" s="19"/>
      <c r="OEB44" s="19"/>
      <c r="OEC44" s="19"/>
      <c r="OED44" s="19"/>
      <c r="OEE44" s="19"/>
      <c r="OEF44" s="19"/>
      <c r="OEG44" s="19"/>
      <c r="OEH44" s="19"/>
      <c r="OEI44" s="19"/>
      <c r="OEJ44" s="19"/>
      <c r="OEK44" s="19"/>
      <c r="OEL44" s="19"/>
      <c r="OEM44" s="19"/>
      <c r="OEN44" s="19"/>
      <c r="OEO44" s="19"/>
      <c r="OEP44" s="19"/>
      <c r="OEQ44" s="19"/>
      <c r="OER44" s="19"/>
      <c r="OES44" s="19"/>
      <c r="OET44" s="19"/>
      <c r="OEU44" s="19"/>
      <c r="OEV44" s="19"/>
      <c r="OEW44" s="19"/>
      <c r="OEX44" s="19"/>
      <c r="OEY44" s="19"/>
      <c r="OEZ44" s="19"/>
      <c r="OFA44" s="19"/>
      <c r="OFB44" s="19"/>
      <c r="OFC44" s="19"/>
      <c r="OFD44" s="19"/>
      <c r="OFE44" s="19"/>
      <c r="OFF44" s="19"/>
      <c r="OFG44" s="19"/>
      <c r="OFH44" s="19"/>
      <c r="OFI44" s="19"/>
      <c r="OFJ44" s="19"/>
      <c r="OFK44" s="19"/>
      <c r="OFL44" s="19"/>
      <c r="OFM44" s="19"/>
      <c r="OFN44" s="19"/>
      <c r="OFO44" s="19"/>
      <c r="OFP44" s="19"/>
      <c r="OFQ44" s="19"/>
      <c r="OFR44" s="19"/>
      <c r="OFS44" s="19"/>
      <c r="OFT44" s="19"/>
      <c r="OFU44" s="19"/>
      <c r="OFV44" s="19"/>
      <c r="OFW44" s="19"/>
      <c r="OFX44" s="19"/>
      <c r="OFY44" s="19"/>
      <c r="OFZ44" s="19"/>
      <c r="OGA44" s="19"/>
      <c r="OGB44" s="19"/>
      <c r="OGC44" s="19"/>
      <c r="OGD44" s="19"/>
      <c r="OGE44" s="19"/>
      <c r="OGF44" s="19"/>
      <c r="OGG44" s="19"/>
      <c r="OGH44" s="19"/>
      <c r="OGI44" s="19"/>
      <c r="OGJ44" s="19"/>
      <c r="OGK44" s="19"/>
      <c r="OGL44" s="19"/>
      <c r="OGM44" s="19"/>
      <c r="OGN44" s="19"/>
      <c r="OGO44" s="19"/>
      <c r="OGP44" s="19"/>
      <c r="OGQ44" s="19"/>
      <c r="OGR44" s="19"/>
      <c r="OGS44" s="19"/>
      <c r="OGT44" s="19"/>
      <c r="OGU44" s="19"/>
      <c r="OGV44" s="19"/>
      <c r="OGW44" s="19"/>
      <c r="OGX44" s="19"/>
      <c r="OGY44" s="19"/>
      <c r="OGZ44" s="19"/>
      <c r="OHA44" s="19"/>
      <c r="OHB44" s="19"/>
      <c r="OHC44" s="19"/>
      <c r="OHD44" s="19"/>
      <c r="OHE44" s="19"/>
      <c r="OHF44" s="19"/>
      <c r="OHG44" s="19"/>
      <c r="OHH44" s="19"/>
      <c r="OHI44" s="19"/>
      <c r="OHJ44" s="19"/>
      <c r="OHK44" s="19"/>
      <c r="OHL44" s="19"/>
      <c r="OHM44" s="19"/>
      <c r="OHN44" s="19"/>
      <c r="OHO44" s="19"/>
      <c r="OHP44" s="19"/>
      <c r="OHQ44" s="19"/>
      <c r="OHR44" s="19"/>
      <c r="OHS44" s="19"/>
      <c r="OHT44" s="19"/>
      <c r="OHU44" s="19"/>
      <c r="OHV44" s="19"/>
      <c r="OHW44" s="19"/>
      <c r="OHX44" s="19"/>
      <c r="OHY44" s="19"/>
      <c r="OHZ44" s="19"/>
      <c r="OIA44" s="19"/>
      <c r="OIB44" s="19"/>
      <c r="OIC44" s="19"/>
      <c r="OID44" s="19"/>
      <c r="OIE44" s="19"/>
      <c r="OIF44" s="19"/>
      <c r="OIG44" s="19"/>
      <c r="OIH44" s="19"/>
      <c r="OII44" s="19"/>
      <c r="OIJ44" s="19"/>
      <c r="OIK44" s="19"/>
      <c r="OIL44" s="19"/>
      <c r="OIM44" s="19"/>
      <c r="OIN44" s="19"/>
      <c r="OIO44" s="19"/>
      <c r="OIP44" s="19"/>
      <c r="OIQ44" s="19"/>
      <c r="OIR44" s="19"/>
      <c r="OIS44" s="19"/>
      <c r="OIT44" s="19"/>
      <c r="OIU44" s="19"/>
      <c r="OIV44" s="19"/>
      <c r="OIW44" s="19"/>
      <c r="OIX44" s="19"/>
      <c r="OIY44" s="19"/>
      <c r="OIZ44" s="19"/>
      <c r="OJA44" s="19"/>
      <c r="OJB44" s="19"/>
      <c r="OJC44" s="19"/>
      <c r="OJD44" s="19"/>
      <c r="OJE44" s="19"/>
      <c r="OJF44" s="19"/>
      <c r="OJG44" s="19"/>
      <c r="OJH44" s="19"/>
      <c r="OJI44" s="19"/>
      <c r="OJJ44" s="19"/>
      <c r="OJK44" s="19"/>
      <c r="OJL44" s="19"/>
      <c r="OJM44" s="19"/>
      <c r="OJN44" s="19"/>
      <c r="OJO44" s="19"/>
      <c r="OJP44" s="19"/>
      <c r="OJQ44" s="19"/>
      <c r="OJR44" s="19"/>
      <c r="OJS44" s="19"/>
      <c r="OJT44" s="19"/>
      <c r="OJU44" s="19"/>
      <c r="OJV44" s="19"/>
      <c r="OJW44" s="19"/>
      <c r="OJX44" s="19"/>
      <c r="OJY44" s="19"/>
      <c r="OJZ44" s="19"/>
      <c r="OKA44" s="19"/>
      <c r="OKB44" s="19"/>
      <c r="OKC44" s="19"/>
      <c r="OKD44" s="19"/>
      <c r="OKE44" s="19"/>
      <c r="OKF44" s="19"/>
      <c r="OKG44" s="19"/>
      <c r="OKH44" s="19"/>
      <c r="OKI44" s="19"/>
      <c r="OKJ44" s="19"/>
      <c r="OKK44" s="19"/>
      <c r="OKL44" s="19"/>
      <c r="OKM44" s="19"/>
      <c r="OKN44" s="19"/>
      <c r="OKO44" s="19"/>
      <c r="OKP44" s="19"/>
      <c r="OKQ44" s="19"/>
      <c r="OKR44" s="19"/>
      <c r="OKS44" s="19"/>
      <c r="OKT44" s="19"/>
      <c r="OKU44" s="19"/>
      <c r="OKV44" s="19"/>
      <c r="OKW44" s="19"/>
      <c r="OKX44" s="19"/>
      <c r="OKY44" s="19"/>
      <c r="OKZ44" s="19"/>
      <c r="OLA44" s="19"/>
      <c r="OLB44" s="19"/>
      <c r="OLC44" s="19"/>
      <c r="OLD44" s="19"/>
      <c r="OLE44" s="19"/>
      <c r="OLF44" s="19"/>
      <c r="OLG44" s="19"/>
      <c r="OLH44" s="19"/>
      <c r="OLI44" s="19"/>
      <c r="OLJ44" s="19"/>
      <c r="OLK44" s="19"/>
      <c r="OLL44" s="19"/>
      <c r="OLM44" s="19"/>
      <c r="OLN44" s="19"/>
      <c r="OLO44" s="19"/>
      <c r="OLP44" s="19"/>
      <c r="OLQ44" s="19"/>
      <c r="OLR44" s="19"/>
      <c r="OLS44" s="19"/>
      <c r="OLT44" s="19"/>
      <c r="OLU44" s="19"/>
      <c r="OLV44" s="19"/>
      <c r="OLW44" s="19"/>
      <c r="OLX44" s="19"/>
      <c r="OLY44" s="19"/>
      <c r="OLZ44" s="19"/>
      <c r="OMA44" s="19"/>
      <c r="OMB44" s="19"/>
      <c r="OMC44" s="19"/>
      <c r="OMD44" s="19"/>
      <c r="OME44" s="19"/>
      <c r="OMF44" s="19"/>
      <c r="OMG44" s="19"/>
      <c r="OMH44" s="19"/>
      <c r="OMI44" s="19"/>
      <c r="OMJ44" s="19"/>
      <c r="OMK44" s="19"/>
      <c r="OML44" s="19"/>
      <c r="OMM44" s="19"/>
      <c r="OMN44" s="19"/>
      <c r="OMO44" s="19"/>
      <c r="OMP44" s="19"/>
      <c r="OMQ44" s="19"/>
      <c r="OMR44" s="19"/>
      <c r="OMS44" s="19"/>
      <c r="OMT44" s="19"/>
      <c r="OMU44" s="19"/>
      <c r="OMV44" s="19"/>
      <c r="OMW44" s="19"/>
      <c r="OMX44" s="19"/>
      <c r="OMY44" s="19"/>
      <c r="OMZ44" s="19"/>
      <c r="ONA44" s="19"/>
      <c r="ONB44" s="19"/>
      <c r="ONC44" s="19"/>
      <c r="OND44" s="19"/>
      <c r="ONE44" s="19"/>
      <c r="ONF44" s="19"/>
      <c r="ONG44" s="19"/>
      <c r="ONH44" s="19"/>
      <c r="ONI44" s="19"/>
      <c r="ONJ44" s="19"/>
      <c r="ONK44" s="19"/>
      <c r="ONL44" s="19"/>
      <c r="ONM44" s="19"/>
      <c r="ONN44" s="19"/>
      <c r="ONO44" s="19"/>
      <c r="ONP44" s="19"/>
      <c r="ONQ44" s="19"/>
      <c r="ONR44" s="19"/>
      <c r="ONS44" s="19"/>
      <c r="ONT44" s="19"/>
      <c r="ONU44" s="19"/>
      <c r="ONV44" s="19"/>
      <c r="ONW44" s="19"/>
      <c r="ONX44" s="19"/>
      <c r="ONY44" s="19"/>
      <c r="ONZ44" s="19"/>
      <c r="OOA44" s="19"/>
      <c r="OOB44" s="19"/>
      <c r="OOC44" s="19"/>
      <c r="OOD44" s="19"/>
      <c r="OOE44" s="19"/>
      <c r="OOF44" s="19"/>
      <c r="OOG44" s="19"/>
      <c r="OOH44" s="19"/>
      <c r="OOI44" s="19"/>
      <c r="OOJ44" s="19"/>
      <c r="OOK44" s="19"/>
      <c r="OOL44" s="19"/>
      <c r="OOM44" s="19"/>
      <c r="OON44" s="19"/>
      <c r="OOO44" s="19"/>
      <c r="OOP44" s="19"/>
      <c r="OOQ44" s="19"/>
      <c r="OOR44" s="19"/>
      <c r="OOS44" s="19"/>
      <c r="OOT44" s="19"/>
      <c r="OOU44" s="19"/>
      <c r="OOV44" s="19"/>
      <c r="OOW44" s="19"/>
      <c r="OOX44" s="19"/>
      <c r="OOY44" s="19"/>
      <c r="OOZ44" s="19"/>
      <c r="OPA44" s="19"/>
      <c r="OPB44" s="19"/>
      <c r="OPC44" s="19"/>
      <c r="OPD44" s="19"/>
      <c r="OPE44" s="19"/>
      <c r="OPF44" s="19"/>
      <c r="OPG44" s="19"/>
      <c r="OPH44" s="19"/>
      <c r="OPI44" s="19"/>
      <c r="OPJ44" s="19"/>
      <c r="OPK44" s="19"/>
      <c r="OPL44" s="19"/>
      <c r="OPM44" s="19"/>
      <c r="OPN44" s="19"/>
      <c r="OPO44" s="19"/>
      <c r="OPP44" s="19"/>
      <c r="OPQ44" s="19"/>
      <c r="OPR44" s="19"/>
      <c r="OPS44" s="19"/>
      <c r="OPT44" s="19"/>
      <c r="OPU44" s="19"/>
      <c r="OPV44" s="19"/>
      <c r="OPW44" s="19"/>
      <c r="OPX44" s="19"/>
      <c r="OPY44" s="19"/>
      <c r="OPZ44" s="19"/>
      <c r="OQA44" s="19"/>
      <c r="OQB44" s="19"/>
      <c r="OQC44" s="19"/>
      <c r="OQD44" s="19"/>
      <c r="OQE44" s="19"/>
      <c r="OQF44" s="19"/>
      <c r="OQG44" s="19"/>
      <c r="OQH44" s="19"/>
      <c r="OQI44" s="19"/>
      <c r="OQJ44" s="19"/>
      <c r="OQK44" s="19"/>
      <c r="OQL44" s="19"/>
      <c r="OQM44" s="19"/>
      <c r="OQN44" s="19"/>
      <c r="OQO44" s="19"/>
      <c r="OQP44" s="19"/>
      <c r="OQQ44" s="19"/>
      <c r="OQR44" s="19"/>
      <c r="OQS44" s="19"/>
      <c r="OQT44" s="19"/>
      <c r="OQU44" s="19"/>
      <c r="OQV44" s="19"/>
      <c r="OQW44" s="19"/>
      <c r="OQX44" s="19"/>
      <c r="OQY44" s="19"/>
      <c r="OQZ44" s="19"/>
      <c r="ORA44" s="19"/>
      <c r="ORB44" s="19"/>
      <c r="ORC44" s="19"/>
      <c r="ORD44" s="19"/>
      <c r="ORE44" s="19"/>
      <c r="ORF44" s="19"/>
      <c r="ORG44" s="19"/>
      <c r="ORH44" s="19"/>
      <c r="ORI44" s="19"/>
      <c r="ORJ44" s="19"/>
      <c r="ORK44" s="19"/>
      <c r="ORL44" s="19"/>
      <c r="ORM44" s="19"/>
      <c r="ORN44" s="19"/>
      <c r="ORO44" s="19"/>
      <c r="ORP44" s="19"/>
      <c r="ORQ44" s="19"/>
      <c r="ORR44" s="19"/>
      <c r="ORS44" s="19"/>
      <c r="ORT44" s="19"/>
      <c r="ORU44" s="19"/>
      <c r="ORV44" s="19"/>
      <c r="ORW44" s="19"/>
      <c r="ORX44" s="19"/>
      <c r="ORY44" s="19"/>
      <c r="ORZ44" s="19"/>
      <c r="OSA44" s="19"/>
      <c r="OSB44" s="19"/>
      <c r="OSC44" s="19"/>
      <c r="OSD44" s="19"/>
      <c r="OSE44" s="19"/>
      <c r="OSF44" s="19"/>
      <c r="OSG44" s="19"/>
      <c r="OSH44" s="19"/>
      <c r="OSI44" s="19"/>
      <c r="OSJ44" s="19"/>
      <c r="OSK44" s="19"/>
      <c r="OSL44" s="19"/>
      <c r="OSM44" s="19"/>
      <c r="OSN44" s="19"/>
      <c r="OSO44" s="19"/>
      <c r="OSP44" s="19"/>
      <c r="OSQ44" s="19"/>
      <c r="OSR44" s="19"/>
      <c r="OSS44" s="19"/>
      <c r="OST44" s="19"/>
      <c r="OSU44" s="19"/>
      <c r="OSV44" s="19"/>
      <c r="OSW44" s="19"/>
      <c r="OSX44" s="19"/>
      <c r="OSY44" s="19"/>
      <c r="OSZ44" s="19"/>
      <c r="OTA44" s="19"/>
      <c r="OTB44" s="19"/>
      <c r="OTC44" s="19"/>
      <c r="OTD44" s="19"/>
      <c r="OTE44" s="19"/>
      <c r="OTF44" s="19"/>
      <c r="OTG44" s="19"/>
      <c r="OTH44" s="19"/>
      <c r="OTI44" s="19"/>
      <c r="OTJ44" s="19"/>
      <c r="OTK44" s="19"/>
      <c r="OTL44" s="19"/>
      <c r="OTM44" s="19"/>
      <c r="OTN44" s="19"/>
      <c r="OTO44" s="19"/>
      <c r="OTP44" s="19"/>
      <c r="OTQ44" s="19"/>
      <c r="OTR44" s="19"/>
      <c r="OTS44" s="19"/>
      <c r="OTT44" s="19"/>
      <c r="OTU44" s="19"/>
      <c r="OTV44" s="19"/>
      <c r="OTW44" s="19"/>
      <c r="OTX44" s="19"/>
      <c r="OTY44" s="19"/>
      <c r="OTZ44" s="19"/>
      <c r="OUA44" s="19"/>
      <c r="OUB44" s="19"/>
      <c r="OUC44" s="19"/>
      <c r="OUD44" s="19"/>
      <c r="OUE44" s="19"/>
      <c r="OUF44" s="19"/>
      <c r="OUG44" s="19"/>
      <c r="OUH44" s="19"/>
      <c r="OUI44" s="19"/>
      <c r="OUJ44" s="19"/>
      <c r="OUK44" s="19"/>
      <c r="OUL44" s="19"/>
      <c r="OUM44" s="19"/>
      <c r="OUN44" s="19"/>
      <c r="OUO44" s="19"/>
      <c r="OUP44" s="19"/>
      <c r="OUQ44" s="19"/>
      <c r="OUR44" s="19"/>
      <c r="OUS44" s="19"/>
      <c r="OUT44" s="19"/>
      <c r="OUU44" s="19"/>
      <c r="OUV44" s="19"/>
      <c r="OUW44" s="19"/>
      <c r="OUX44" s="19"/>
      <c r="OUY44" s="19"/>
      <c r="OUZ44" s="19"/>
      <c r="OVA44" s="19"/>
      <c r="OVB44" s="19"/>
      <c r="OVC44" s="19"/>
      <c r="OVD44" s="19"/>
      <c r="OVE44" s="19"/>
      <c r="OVF44" s="19"/>
      <c r="OVG44" s="19"/>
      <c r="OVH44" s="19"/>
      <c r="OVI44" s="19"/>
      <c r="OVJ44" s="19"/>
      <c r="OVK44" s="19"/>
      <c r="OVL44" s="19"/>
      <c r="OVM44" s="19"/>
      <c r="OVN44" s="19"/>
      <c r="OVO44" s="19"/>
      <c r="OVP44" s="19"/>
      <c r="OVQ44" s="19"/>
      <c r="OVR44" s="19"/>
      <c r="OVS44" s="19"/>
      <c r="OVT44" s="19"/>
      <c r="OVU44" s="19"/>
      <c r="OVV44" s="19"/>
      <c r="OVW44" s="19"/>
      <c r="OVX44" s="19"/>
      <c r="OVY44" s="19"/>
      <c r="OVZ44" s="19"/>
      <c r="OWA44" s="19"/>
      <c r="OWB44" s="19"/>
      <c r="OWC44" s="19"/>
      <c r="OWD44" s="19"/>
      <c r="OWE44" s="19"/>
      <c r="OWF44" s="19"/>
      <c r="OWG44" s="19"/>
      <c r="OWH44" s="19"/>
      <c r="OWI44" s="19"/>
      <c r="OWJ44" s="19"/>
      <c r="OWK44" s="19"/>
      <c r="OWL44" s="19"/>
      <c r="OWM44" s="19"/>
      <c r="OWN44" s="19"/>
      <c r="OWO44" s="19"/>
      <c r="OWP44" s="19"/>
      <c r="OWQ44" s="19"/>
      <c r="OWR44" s="19"/>
      <c r="OWS44" s="19"/>
      <c r="OWT44" s="19"/>
      <c r="OWU44" s="19"/>
      <c r="OWV44" s="19"/>
      <c r="OWW44" s="19"/>
      <c r="OWX44" s="19"/>
      <c r="OWY44" s="19"/>
      <c r="OWZ44" s="19"/>
      <c r="OXA44" s="19"/>
      <c r="OXB44" s="19"/>
      <c r="OXC44" s="19"/>
      <c r="OXD44" s="19"/>
      <c r="OXE44" s="19"/>
      <c r="OXF44" s="19"/>
      <c r="OXG44" s="19"/>
      <c r="OXH44" s="19"/>
      <c r="OXI44" s="19"/>
      <c r="OXJ44" s="19"/>
      <c r="OXK44" s="19"/>
      <c r="OXL44" s="19"/>
      <c r="OXM44" s="19"/>
      <c r="OXN44" s="19"/>
      <c r="OXO44" s="19"/>
      <c r="OXP44" s="19"/>
      <c r="OXQ44" s="19"/>
      <c r="OXR44" s="19"/>
      <c r="OXS44" s="19"/>
      <c r="OXT44" s="19"/>
      <c r="OXU44" s="19"/>
      <c r="OXV44" s="19"/>
      <c r="OXW44" s="19"/>
      <c r="OXX44" s="19"/>
      <c r="OXY44" s="19"/>
      <c r="OXZ44" s="19"/>
      <c r="OYA44" s="19"/>
      <c r="OYB44" s="19"/>
      <c r="OYC44" s="19"/>
      <c r="OYD44" s="19"/>
      <c r="OYE44" s="19"/>
      <c r="OYF44" s="19"/>
      <c r="OYG44" s="19"/>
      <c r="OYH44" s="19"/>
      <c r="OYI44" s="19"/>
      <c r="OYJ44" s="19"/>
      <c r="OYK44" s="19"/>
      <c r="OYL44" s="19"/>
      <c r="OYM44" s="19"/>
      <c r="OYN44" s="19"/>
      <c r="OYO44" s="19"/>
      <c r="OYP44" s="19"/>
      <c r="OYQ44" s="19"/>
      <c r="OYR44" s="19"/>
      <c r="OYS44" s="19"/>
      <c r="OYT44" s="19"/>
      <c r="OYU44" s="19"/>
      <c r="OYV44" s="19"/>
      <c r="OYW44" s="19"/>
      <c r="OYX44" s="19"/>
      <c r="OYY44" s="19"/>
      <c r="OYZ44" s="19"/>
      <c r="OZA44" s="19"/>
      <c r="OZB44" s="19"/>
      <c r="OZC44" s="19"/>
      <c r="OZD44" s="19"/>
      <c r="OZE44" s="19"/>
      <c r="OZF44" s="19"/>
      <c r="OZG44" s="19"/>
      <c r="OZH44" s="19"/>
      <c r="OZI44" s="19"/>
      <c r="OZJ44" s="19"/>
      <c r="OZK44" s="19"/>
      <c r="OZL44" s="19"/>
      <c r="OZM44" s="19"/>
      <c r="OZN44" s="19"/>
      <c r="OZO44" s="19"/>
      <c r="OZP44" s="19"/>
      <c r="OZQ44" s="19"/>
      <c r="OZR44" s="19"/>
      <c r="OZS44" s="19"/>
      <c r="OZT44" s="19"/>
      <c r="OZU44" s="19"/>
      <c r="OZV44" s="19"/>
      <c r="OZW44" s="19"/>
      <c r="OZX44" s="19"/>
      <c r="OZY44" s="19"/>
      <c r="OZZ44" s="19"/>
      <c r="PAA44" s="19"/>
      <c r="PAB44" s="19"/>
      <c r="PAC44" s="19"/>
      <c r="PAD44" s="19"/>
      <c r="PAE44" s="19"/>
      <c r="PAF44" s="19"/>
      <c r="PAG44" s="19"/>
      <c r="PAH44" s="19"/>
      <c r="PAI44" s="19"/>
      <c r="PAJ44" s="19"/>
      <c r="PAK44" s="19"/>
      <c r="PAL44" s="19"/>
      <c r="PAM44" s="19"/>
      <c r="PAN44" s="19"/>
      <c r="PAO44" s="19"/>
      <c r="PAP44" s="19"/>
      <c r="PAQ44" s="19"/>
      <c r="PAR44" s="19"/>
      <c r="PAS44" s="19"/>
      <c r="PAT44" s="19"/>
      <c r="PAU44" s="19"/>
      <c r="PAV44" s="19"/>
      <c r="PAW44" s="19"/>
      <c r="PAX44" s="19"/>
      <c r="PAY44" s="19"/>
      <c r="PAZ44" s="19"/>
      <c r="PBA44" s="19"/>
      <c r="PBB44" s="19"/>
      <c r="PBC44" s="19"/>
      <c r="PBD44" s="19"/>
      <c r="PBE44" s="19"/>
      <c r="PBF44" s="19"/>
      <c r="PBG44" s="19"/>
      <c r="PBH44" s="19"/>
      <c r="PBI44" s="19"/>
      <c r="PBJ44" s="19"/>
      <c r="PBK44" s="19"/>
      <c r="PBL44" s="19"/>
      <c r="PBM44" s="19"/>
      <c r="PBN44" s="19"/>
      <c r="PBO44" s="19"/>
      <c r="PBP44" s="19"/>
      <c r="PBQ44" s="19"/>
      <c r="PBR44" s="19"/>
      <c r="PBS44" s="19"/>
      <c r="PBT44" s="19"/>
      <c r="PBU44" s="19"/>
      <c r="PBV44" s="19"/>
      <c r="PBW44" s="19"/>
      <c r="PBX44" s="19"/>
      <c r="PBY44" s="19"/>
      <c r="PBZ44" s="19"/>
      <c r="PCA44" s="19"/>
      <c r="PCB44" s="19"/>
      <c r="PCC44" s="19"/>
      <c r="PCD44" s="19"/>
      <c r="PCE44" s="19"/>
      <c r="PCF44" s="19"/>
      <c r="PCG44" s="19"/>
      <c r="PCH44" s="19"/>
      <c r="PCI44" s="19"/>
      <c r="PCJ44" s="19"/>
      <c r="PCK44" s="19"/>
      <c r="PCL44" s="19"/>
      <c r="PCM44" s="19"/>
      <c r="PCN44" s="19"/>
      <c r="PCO44" s="19"/>
      <c r="PCP44" s="19"/>
      <c r="PCQ44" s="19"/>
      <c r="PCR44" s="19"/>
      <c r="PCS44" s="19"/>
      <c r="PCT44" s="19"/>
      <c r="PCU44" s="19"/>
      <c r="PCV44" s="19"/>
      <c r="PCW44" s="19"/>
      <c r="PCX44" s="19"/>
      <c r="PCY44" s="19"/>
      <c r="PCZ44" s="19"/>
      <c r="PDA44" s="19"/>
      <c r="PDB44" s="19"/>
      <c r="PDC44" s="19"/>
      <c r="PDD44" s="19"/>
      <c r="PDE44" s="19"/>
      <c r="PDF44" s="19"/>
      <c r="PDG44" s="19"/>
      <c r="PDH44" s="19"/>
      <c r="PDI44" s="19"/>
      <c r="PDJ44" s="19"/>
      <c r="PDK44" s="19"/>
      <c r="PDL44" s="19"/>
      <c r="PDM44" s="19"/>
      <c r="PDN44" s="19"/>
      <c r="PDO44" s="19"/>
      <c r="PDP44" s="19"/>
      <c r="PDQ44" s="19"/>
      <c r="PDR44" s="19"/>
      <c r="PDS44" s="19"/>
      <c r="PDT44" s="19"/>
      <c r="PDU44" s="19"/>
      <c r="PDV44" s="19"/>
      <c r="PDW44" s="19"/>
      <c r="PDX44" s="19"/>
      <c r="PDY44" s="19"/>
      <c r="PDZ44" s="19"/>
      <c r="PEA44" s="19"/>
      <c r="PEB44" s="19"/>
      <c r="PEC44" s="19"/>
      <c r="PED44" s="19"/>
      <c r="PEE44" s="19"/>
      <c r="PEF44" s="19"/>
      <c r="PEG44" s="19"/>
      <c r="PEH44" s="19"/>
      <c r="PEI44" s="19"/>
      <c r="PEJ44" s="19"/>
      <c r="PEK44" s="19"/>
      <c r="PEL44" s="19"/>
      <c r="PEM44" s="19"/>
      <c r="PEN44" s="19"/>
      <c r="PEO44" s="19"/>
      <c r="PEP44" s="19"/>
      <c r="PEQ44" s="19"/>
      <c r="PER44" s="19"/>
      <c r="PES44" s="19"/>
      <c r="PET44" s="19"/>
      <c r="PEU44" s="19"/>
      <c r="PEV44" s="19"/>
      <c r="PEW44" s="19"/>
      <c r="PEX44" s="19"/>
      <c r="PEY44" s="19"/>
      <c r="PEZ44" s="19"/>
      <c r="PFA44" s="19"/>
      <c r="PFB44" s="19"/>
      <c r="PFC44" s="19"/>
      <c r="PFD44" s="19"/>
      <c r="PFE44" s="19"/>
      <c r="PFF44" s="19"/>
      <c r="PFG44" s="19"/>
      <c r="PFH44" s="19"/>
      <c r="PFI44" s="19"/>
      <c r="PFJ44" s="19"/>
      <c r="PFK44" s="19"/>
      <c r="PFL44" s="19"/>
      <c r="PFM44" s="19"/>
      <c r="PFN44" s="19"/>
      <c r="PFO44" s="19"/>
      <c r="PFP44" s="19"/>
      <c r="PFQ44" s="19"/>
      <c r="PFR44" s="19"/>
      <c r="PFS44" s="19"/>
      <c r="PFT44" s="19"/>
      <c r="PFU44" s="19"/>
      <c r="PFV44" s="19"/>
      <c r="PFW44" s="19"/>
      <c r="PFX44" s="19"/>
      <c r="PFY44" s="19"/>
      <c r="PFZ44" s="19"/>
      <c r="PGA44" s="19"/>
      <c r="PGB44" s="19"/>
      <c r="PGC44" s="19"/>
      <c r="PGD44" s="19"/>
      <c r="PGE44" s="19"/>
      <c r="PGF44" s="19"/>
      <c r="PGG44" s="19"/>
      <c r="PGH44" s="19"/>
      <c r="PGI44" s="19"/>
      <c r="PGJ44" s="19"/>
      <c r="PGK44" s="19"/>
      <c r="PGL44" s="19"/>
      <c r="PGM44" s="19"/>
      <c r="PGN44" s="19"/>
      <c r="PGO44" s="19"/>
      <c r="PGP44" s="19"/>
      <c r="PGQ44" s="19"/>
      <c r="PGR44" s="19"/>
      <c r="PGS44" s="19"/>
      <c r="PGT44" s="19"/>
      <c r="PGU44" s="19"/>
      <c r="PGV44" s="19"/>
      <c r="PGW44" s="19"/>
      <c r="PGX44" s="19"/>
      <c r="PGY44" s="19"/>
      <c r="PGZ44" s="19"/>
      <c r="PHA44" s="19"/>
      <c r="PHB44" s="19"/>
      <c r="PHC44" s="19"/>
      <c r="PHD44" s="19"/>
      <c r="PHE44" s="19"/>
      <c r="PHF44" s="19"/>
      <c r="PHG44" s="19"/>
      <c r="PHH44" s="19"/>
      <c r="PHI44" s="19"/>
      <c r="PHJ44" s="19"/>
      <c r="PHK44" s="19"/>
      <c r="PHL44" s="19"/>
      <c r="PHM44" s="19"/>
      <c r="PHN44" s="19"/>
      <c r="PHO44" s="19"/>
      <c r="PHP44" s="19"/>
      <c r="PHQ44" s="19"/>
      <c r="PHR44" s="19"/>
      <c r="PHS44" s="19"/>
      <c r="PHT44" s="19"/>
      <c r="PHU44" s="19"/>
      <c r="PHV44" s="19"/>
      <c r="PHW44" s="19"/>
      <c r="PHX44" s="19"/>
      <c r="PHY44" s="19"/>
      <c r="PHZ44" s="19"/>
      <c r="PIA44" s="19"/>
      <c r="PIB44" s="19"/>
      <c r="PIC44" s="19"/>
      <c r="PID44" s="19"/>
      <c r="PIE44" s="19"/>
      <c r="PIF44" s="19"/>
      <c r="PIG44" s="19"/>
      <c r="PIH44" s="19"/>
      <c r="PII44" s="19"/>
      <c r="PIJ44" s="19"/>
      <c r="PIK44" s="19"/>
      <c r="PIL44" s="19"/>
      <c r="PIM44" s="19"/>
      <c r="PIN44" s="19"/>
      <c r="PIO44" s="19"/>
      <c r="PIP44" s="19"/>
      <c r="PIQ44" s="19"/>
      <c r="PIR44" s="19"/>
      <c r="PIS44" s="19"/>
      <c r="PIT44" s="19"/>
      <c r="PIU44" s="19"/>
      <c r="PIV44" s="19"/>
      <c r="PIW44" s="19"/>
      <c r="PIX44" s="19"/>
      <c r="PIY44" s="19"/>
      <c r="PIZ44" s="19"/>
      <c r="PJA44" s="19"/>
      <c r="PJB44" s="19"/>
      <c r="PJC44" s="19"/>
      <c r="PJD44" s="19"/>
      <c r="PJE44" s="19"/>
      <c r="PJF44" s="19"/>
      <c r="PJG44" s="19"/>
      <c r="PJH44" s="19"/>
      <c r="PJI44" s="19"/>
      <c r="PJJ44" s="19"/>
      <c r="PJK44" s="19"/>
      <c r="PJL44" s="19"/>
      <c r="PJM44" s="19"/>
      <c r="PJN44" s="19"/>
      <c r="PJO44" s="19"/>
      <c r="PJP44" s="19"/>
      <c r="PJQ44" s="19"/>
      <c r="PJR44" s="19"/>
      <c r="PJS44" s="19"/>
      <c r="PJT44" s="19"/>
      <c r="PJU44" s="19"/>
      <c r="PJV44" s="19"/>
      <c r="PJW44" s="19"/>
      <c r="PJX44" s="19"/>
      <c r="PJY44" s="19"/>
      <c r="PJZ44" s="19"/>
      <c r="PKA44" s="19"/>
      <c r="PKB44" s="19"/>
      <c r="PKC44" s="19"/>
      <c r="PKD44" s="19"/>
      <c r="PKE44" s="19"/>
      <c r="PKF44" s="19"/>
      <c r="PKG44" s="19"/>
      <c r="PKH44" s="19"/>
      <c r="PKI44" s="19"/>
      <c r="PKJ44" s="19"/>
      <c r="PKK44" s="19"/>
      <c r="PKL44" s="19"/>
      <c r="PKM44" s="19"/>
      <c r="PKN44" s="19"/>
      <c r="PKO44" s="19"/>
      <c r="PKP44" s="19"/>
      <c r="PKQ44" s="19"/>
      <c r="PKR44" s="19"/>
      <c r="PKS44" s="19"/>
      <c r="PKT44" s="19"/>
      <c r="PKU44" s="19"/>
      <c r="PKV44" s="19"/>
      <c r="PKW44" s="19"/>
      <c r="PKX44" s="19"/>
      <c r="PKY44" s="19"/>
      <c r="PKZ44" s="19"/>
      <c r="PLA44" s="19"/>
      <c r="PLB44" s="19"/>
      <c r="PLC44" s="19"/>
      <c r="PLD44" s="19"/>
      <c r="PLE44" s="19"/>
      <c r="PLF44" s="19"/>
      <c r="PLG44" s="19"/>
      <c r="PLH44" s="19"/>
      <c r="PLI44" s="19"/>
      <c r="PLJ44" s="19"/>
      <c r="PLK44" s="19"/>
      <c r="PLL44" s="19"/>
      <c r="PLM44" s="19"/>
      <c r="PLN44" s="19"/>
      <c r="PLO44" s="19"/>
      <c r="PLP44" s="19"/>
      <c r="PLQ44" s="19"/>
      <c r="PLR44" s="19"/>
      <c r="PLS44" s="19"/>
      <c r="PLT44" s="19"/>
      <c r="PLU44" s="19"/>
      <c r="PLV44" s="19"/>
      <c r="PLW44" s="19"/>
      <c r="PLX44" s="19"/>
      <c r="PLY44" s="19"/>
      <c r="PLZ44" s="19"/>
      <c r="PMA44" s="19"/>
      <c r="PMB44" s="19"/>
      <c r="PMC44" s="19"/>
      <c r="PMD44" s="19"/>
      <c r="PME44" s="19"/>
      <c r="PMF44" s="19"/>
      <c r="PMG44" s="19"/>
      <c r="PMH44" s="19"/>
      <c r="PMI44" s="19"/>
      <c r="PMJ44" s="19"/>
      <c r="PMK44" s="19"/>
      <c r="PML44" s="19"/>
      <c r="PMM44" s="19"/>
      <c r="PMN44" s="19"/>
      <c r="PMO44" s="19"/>
      <c r="PMP44" s="19"/>
      <c r="PMQ44" s="19"/>
      <c r="PMR44" s="19"/>
      <c r="PMS44" s="19"/>
      <c r="PMT44" s="19"/>
      <c r="PMU44" s="19"/>
      <c r="PMV44" s="19"/>
      <c r="PMW44" s="19"/>
      <c r="PMX44" s="19"/>
      <c r="PMY44" s="19"/>
      <c r="PMZ44" s="19"/>
      <c r="PNA44" s="19"/>
      <c r="PNB44" s="19"/>
      <c r="PNC44" s="19"/>
      <c r="PND44" s="19"/>
      <c r="PNE44" s="19"/>
      <c r="PNF44" s="19"/>
      <c r="PNG44" s="19"/>
      <c r="PNH44" s="19"/>
      <c r="PNI44" s="19"/>
      <c r="PNJ44" s="19"/>
      <c r="PNK44" s="19"/>
      <c r="PNL44" s="19"/>
      <c r="PNM44" s="19"/>
      <c r="PNN44" s="19"/>
      <c r="PNO44" s="19"/>
      <c r="PNP44" s="19"/>
      <c r="PNQ44" s="19"/>
      <c r="PNR44" s="19"/>
      <c r="PNS44" s="19"/>
      <c r="PNT44" s="19"/>
      <c r="PNU44" s="19"/>
      <c r="PNV44" s="19"/>
      <c r="PNW44" s="19"/>
      <c r="PNX44" s="19"/>
      <c r="PNY44" s="19"/>
      <c r="PNZ44" s="19"/>
      <c r="POA44" s="19"/>
      <c r="POB44" s="19"/>
      <c r="POC44" s="19"/>
      <c r="POD44" s="19"/>
      <c r="POE44" s="19"/>
      <c r="POF44" s="19"/>
      <c r="POG44" s="19"/>
      <c r="POH44" s="19"/>
      <c r="POI44" s="19"/>
      <c r="POJ44" s="19"/>
      <c r="POK44" s="19"/>
      <c r="POL44" s="19"/>
      <c r="POM44" s="19"/>
      <c r="PON44" s="19"/>
      <c r="POO44" s="19"/>
      <c r="POP44" s="19"/>
      <c r="POQ44" s="19"/>
      <c r="POR44" s="19"/>
      <c r="POS44" s="19"/>
      <c r="POT44" s="19"/>
      <c r="POU44" s="19"/>
      <c r="POV44" s="19"/>
      <c r="POW44" s="19"/>
      <c r="POX44" s="19"/>
      <c r="POY44" s="19"/>
      <c r="POZ44" s="19"/>
      <c r="PPA44" s="19"/>
      <c r="PPB44" s="19"/>
      <c r="PPC44" s="19"/>
      <c r="PPD44" s="19"/>
      <c r="PPE44" s="19"/>
      <c r="PPF44" s="19"/>
      <c r="PPG44" s="19"/>
      <c r="PPH44" s="19"/>
      <c r="PPI44" s="19"/>
      <c r="PPJ44" s="19"/>
      <c r="PPK44" s="19"/>
      <c r="PPL44" s="19"/>
      <c r="PPM44" s="19"/>
      <c r="PPN44" s="19"/>
      <c r="PPO44" s="19"/>
      <c r="PPP44" s="19"/>
      <c r="PPQ44" s="19"/>
      <c r="PPR44" s="19"/>
      <c r="PPS44" s="19"/>
      <c r="PPT44" s="19"/>
      <c r="PPU44" s="19"/>
      <c r="PPV44" s="19"/>
      <c r="PPW44" s="19"/>
      <c r="PPX44" s="19"/>
      <c r="PPY44" s="19"/>
      <c r="PPZ44" s="19"/>
      <c r="PQA44" s="19"/>
      <c r="PQB44" s="19"/>
      <c r="PQC44" s="19"/>
      <c r="PQD44" s="19"/>
      <c r="PQE44" s="19"/>
      <c r="PQF44" s="19"/>
      <c r="PQG44" s="19"/>
      <c r="PQH44" s="19"/>
      <c r="PQI44" s="19"/>
      <c r="PQJ44" s="19"/>
      <c r="PQK44" s="19"/>
      <c r="PQL44" s="19"/>
      <c r="PQM44" s="19"/>
      <c r="PQN44" s="19"/>
      <c r="PQO44" s="19"/>
      <c r="PQP44" s="19"/>
      <c r="PQQ44" s="19"/>
      <c r="PQR44" s="19"/>
      <c r="PQS44" s="19"/>
      <c r="PQT44" s="19"/>
      <c r="PQU44" s="19"/>
      <c r="PQV44" s="19"/>
      <c r="PQW44" s="19"/>
      <c r="PQX44" s="19"/>
      <c r="PQY44" s="19"/>
      <c r="PQZ44" s="19"/>
      <c r="PRA44" s="19"/>
      <c r="PRB44" s="19"/>
      <c r="PRC44" s="19"/>
      <c r="PRD44" s="19"/>
      <c r="PRE44" s="19"/>
      <c r="PRF44" s="19"/>
      <c r="PRG44" s="19"/>
      <c r="PRH44" s="19"/>
      <c r="PRI44" s="19"/>
      <c r="PRJ44" s="19"/>
      <c r="PRK44" s="19"/>
      <c r="PRL44" s="19"/>
      <c r="PRM44" s="19"/>
      <c r="PRN44" s="19"/>
      <c r="PRO44" s="19"/>
      <c r="PRP44" s="19"/>
      <c r="PRQ44" s="19"/>
      <c r="PRR44" s="19"/>
      <c r="PRS44" s="19"/>
      <c r="PRT44" s="19"/>
      <c r="PRU44" s="19"/>
      <c r="PRV44" s="19"/>
      <c r="PRW44" s="19"/>
      <c r="PRX44" s="19"/>
      <c r="PRY44" s="19"/>
      <c r="PRZ44" s="19"/>
      <c r="PSA44" s="19"/>
      <c r="PSB44" s="19"/>
      <c r="PSC44" s="19"/>
      <c r="PSD44" s="19"/>
      <c r="PSE44" s="19"/>
      <c r="PSF44" s="19"/>
      <c r="PSG44" s="19"/>
      <c r="PSH44" s="19"/>
      <c r="PSI44" s="19"/>
      <c r="PSJ44" s="19"/>
      <c r="PSK44" s="19"/>
      <c r="PSL44" s="19"/>
      <c r="PSM44" s="19"/>
      <c r="PSN44" s="19"/>
      <c r="PSO44" s="19"/>
      <c r="PSP44" s="19"/>
      <c r="PSQ44" s="19"/>
      <c r="PSR44" s="19"/>
      <c r="PSS44" s="19"/>
      <c r="PST44" s="19"/>
      <c r="PSU44" s="19"/>
      <c r="PSV44" s="19"/>
      <c r="PSW44" s="19"/>
      <c r="PSX44" s="19"/>
      <c r="PSY44" s="19"/>
      <c r="PSZ44" s="19"/>
      <c r="PTA44" s="19"/>
      <c r="PTB44" s="19"/>
      <c r="PTC44" s="19"/>
      <c r="PTD44" s="19"/>
      <c r="PTE44" s="19"/>
      <c r="PTF44" s="19"/>
      <c r="PTG44" s="19"/>
      <c r="PTH44" s="19"/>
      <c r="PTI44" s="19"/>
      <c r="PTJ44" s="19"/>
      <c r="PTK44" s="19"/>
      <c r="PTL44" s="19"/>
      <c r="PTM44" s="19"/>
      <c r="PTN44" s="19"/>
      <c r="PTO44" s="19"/>
      <c r="PTP44" s="19"/>
      <c r="PTQ44" s="19"/>
      <c r="PTR44" s="19"/>
      <c r="PTS44" s="19"/>
      <c r="PTT44" s="19"/>
      <c r="PTU44" s="19"/>
      <c r="PTV44" s="19"/>
      <c r="PTW44" s="19"/>
      <c r="PTX44" s="19"/>
      <c r="PTY44" s="19"/>
      <c r="PTZ44" s="19"/>
      <c r="PUA44" s="19"/>
      <c r="PUB44" s="19"/>
      <c r="PUC44" s="19"/>
      <c r="PUD44" s="19"/>
      <c r="PUE44" s="19"/>
      <c r="PUF44" s="19"/>
      <c r="PUG44" s="19"/>
      <c r="PUH44" s="19"/>
      <c r="PUI44" s="19"/>
      <c r="PUJ44" s="19"/>
      <c r="PUK44" s="19"/>
      <c r="PUL44" s="19"/>
      <c r="PUM44" s="19"/>
      <c r="PUN44" s="19"/>
      <c r="PUO44" s="19"/>
      <c r="PUP44" s="19"/>
      <c r="PUQ44" s="19"/>
      <c r="PUR44" s="19"/>
      <c r="PUS44" s="19"/>
      <c r="PUT44" s="19"/>
      <c r="PUU44" s="19"/>
      <c r="PUV44" s="19"/>
      <c r="PUW44" s="19"/>
      <c r="PUX44" s="19"/>
      <c r="PUY44" s="19"/>
      <c r="PUZ44" s="19"/>
      <c r="PVA44" s="19"/>
      <c r="PVB44" s="19"/>
      <c r="PVC44" s="19"/>
      <c r="PVD44" s="19"/>
      <c r="PVE44" s="19"/>
      <c r="PVF44" s="19"/>
      <c r="PVG44" s="19"/>
      <c r="PVH44" s="19"/>
      <c r="PVI44" s="19"/>
      <c r="PVJ44" s="19"/>
      <c r="PVK44" s="19"/>
      <c r="PVL44" s="19"/>
      <c r="PVM44" s="19"/>
      <c r="PVN44" s="19"/>
      <c r="PVO44" s="19"/>
      <c r="PVP44" s="19"/>
      <c r="PVQ44" s="19"/>
      <c r="PVR44" s="19"/>
      <c r="PVS44" s="19"/>
      <c r="PVT44" s="19"/>
      <c r="PVU44" s="19"/>
      <c r="PVV44" s="19"/>
      <c r="PVW44" s="19"/>
      <c r="PVX44" s="19"/>
      <c r="PVY44" s="19"/>
      <c r="PVZ44" s="19"/>
      <c r="PWA44" s="19"/>
      <c r="PWB44" s="19"/>
      <c r="PWC44" s="19"/>
      <c r="PWD44" s="19"/>
      <c r="PWE44" s="19"/>
      <c r="PWF44" s="19"/>
      <c r="PWG44" s="19"/>
      <c r="PWH44" s="19"/>
      <c r="PWI44" s="19"/>
      <c r="PWJ44" s="19"/>
      <c r="PWK44" s="19"/>
      <c r="PWL44" s="19"/>
      <c r="PWM44" s="19"/>
      <c r="PWN44" s="19"/>
      <c r="PWO44" s="19"/>
      <c r="PWP44" s="19"/>
      <c r="PWQ44" s="19"/>
      <c r="PWR44" s="19"/>
      <c r="PWS44" s="19"/>
      <c r="PWT44" s="19"/>
      <c r="PWU44" s="19"/>
      <c r="PWV44" s="19"/>
      <c r="PWW44" s="19"/>
      <c r="PWX44" s="19"/>
      <c r="PWY44" s="19"/>
      <c r="PWZ44" s="19"/>
      <c r="PXA44" s="19"/>
      <c r="PXB44" s="19"/>
      <c r="PXC44" s="19"/>
      <c r="PXD44" s="19"/>
      <c r="PXE44" s="19"/>
      <c r="PXF44" s="19"/>
      <c r="PXG44" s="19"/>
      <c r="PXH44" s="19"/>
      <c r="PXI44" s="19"/>
      <c r="PXJ44" s="19"/>
      <c r="PXK44" s="19"/>
      <c r="PXL44" s="19"/>
      <c r="PXM44" s="19"/>
      <c r="PXN44" s="19"/>
      <c r="PXO44" s="19"/>
      <c r="PXP44" s="19"/>
      <c r="PXQ44" s="19"/>
      <c r="PXR44" s="19"/>
      <c r="PXS44" s="19"/>
      <c r="PXT44" s="19"/>
      <c r="PXU44" s="19"/>
      <c r="PXV44" s="19"/>
      <c r="PXW44" s="19"/>
      <c r="PXX44" s="19"/>
      <c r="PXY44" s="19"/>
      <c r="PXZ44" s="19"/>
      <c r="PYA44" s="19"/>
      <c r="PYB44" s="19"/>
      <c r="PYC44" s="19"/>
      <c r="PYD44" s="19"/>
      <c r="PYE44" s="19"/>
      <c r="PYF44" s="19"/>
      <c r="PYG44" s="19"/>
      <c r="PYH44" s="19"/>
      <c r="PYI44" s="19"/>
      <c r="PYJ44" s="19"/>
      <c r="PYK44" s="19"/>
      <c r="PYL44" s="19"/>
      <c r="PYM44" s="19"/>
      <c r="PYN44" s="19"/>
      <c r="PYO44" s="19"/>
      <c r="PYP44" s="19"/>
      <c r="PYQ44" s="19"/>
      <c r="PYR44" s="19"/>
      <c r="PYS44" s="19"/>
      <c r="PYT44" s="19"/>
      <c r="PYU44" s="19"/>
      <c r="PYV44" s="19"/>
      <c r="PYW44" s="19"/>
      <c r="PYX44" s="19"/>
      <c r="PYY44" s="19"/>
      <c r="PYZ44" s="19"/>
      <c r="PZA44" s="19"/>
      <c r="PZB44" s="19"/>
      <c r="PZC44" s="19"/>
      <c r="PZD44" s="19"/>
      <c r="PZE44" s="19"/>
      <c r="PZF44" s="19"/>
      <c r="PZG44" s="19"/>
      <c r="PZH44" s="19"/>
      <c r="PZI44" s="19"/>
      <c r="PZJ44" s="19"/>
      <c r="PZK44" s="19"/>
      <c r="PZL44" s="19"/>
      <c r="PZM44" s="19"/>
      <c r="PZN44" s="19"/>
      <c r="PZO44" s="19"/>
      <c r="PZP44" s="19"/>
      <c r="PZQ44" s="19"/>
      <c r="PZR44" s="19"/>
      <c r="PZS44" s="19"/>
      <c r="PZT44" s="19"/>
      <c r="PZU44" s="19"/>
      <c r="PZV44" s="19"/>
      <c r="PZW44" s="19"/>
      <c r="PZX44" s="19"/>
      <c r="PZY44" s="19"/>
      <c r="PZZ44" s="19"/>
      <c r="QAA44" s="19"/>
      <c r="QAB44" s="19"/>
      <c r="QAC44" s="19"/>
      <c r="QAD44" s="19"/>
      <c r="QAE44" s="19"/>
      <c r="QAF44" s="19"/>
      <c r="QAG44" s="19"/>
      <c r="QAH44" s="19"/>
      <c r="QAI44" s="19"/>
      <c r="QAJ44" s="19"/>
      <c r="QAK44" s="19"/>
      <c r="QAL44" s="19"/>
      <c r="QAM44" s="19"/>
      <c r="QAN44" s="19"/>
      <c r="QAO44" s="19"/>
      <c r="QAP44" s="19"/>
      <c r="QAQ44" s="19"/>
      <c r="QAR44" s="19"/>
      <c r="QAS44" s="19"/>
      <c r="QAT44" s="19"/>
      <c r="QAU44" s="19"/>
      <c r="QAV44" s="19"/>
      <c r="QAW44" s="19"/>
      <c r="QAX44" s="19"/>
      <c r="QAY44" s="19"/>
      <c r="QAZ44" s="19"/>
      <c r="QBA44" s="19"/>
      <c r="QBB44" s="19"/>
      <c r="QBC44" s="19"/>
      <c r="QBD44" s="19"/>
      <c r="QBE44" s="19"/>
      <c r="QBF44" s="19"/>
      <c r="QBG44" s="19"/>
      <c r="QBH44" s="19"/>
      <c r="QBI44" s="19"/>
      <c r="QBJ44" s="19"/>
      <c r="QBK44" s="19"/>
      <c r="QBL44" s="19"/>
      <c r="QBM44" s="19"/>
      <c r="QBN44" s="19"/>
      <c r="QBO44" s="19"/>
      <c r="QBP44" s="19"/>
      <c r="QBQ44" s="19"/>
      <c r="QBR44" s="19"/>
      <c r="QBS44" s="19"/>
      <c r="QBT44" s="19"/>
      <c r="QBU44" s="19"/>
      <c r="QBV44" s="19"/>
      <c r="QBW44" s="19"/>
      <c r="QBX44" s="19"/>
      <c r="QBY44" s="19"/>
      <c r="QBZ44" s="19"/>
      <c r="QCA44" s="19"/>
      <c r="QCB44" s="19"/>
      <c r="QCC44" s="19"/>
      <c r="QCD44" s="19"/>
      <c r="QCE44" s="19"/>
      <c r="QCF44" s="19"/>
      <c r="QCG44" s="19"/>
      <c r="QCH44" s="19"/>
      <c r="QCI44" s="19"/>
      <c r="QCJ44" s="19"/>
      <c r="QCK44" s="19"/>
      <c r="QCL44" s="19"/>
      <c r="QCM44" s="19"/>
      <c r="QCN44" s="19"/>
      <c r="QCO44" s="19"/>
      <c r="QCP44" s="19"/>
      <c r="QCQ44" s="19"/>
      <c r="QCR44" s="19"/>
      <c r="QCS44" s="19"/>
      <c r="QCT44" s="19"/>
      <c r="QCU44" s="19"/>
      <c r="QCV44" s="19"/>
      <c r="QCW44" s="19"/>
      <c r="QCX44" s="19"/>
      <c r="QCY44" s="19"/>
      <c r="QCZ44" s="19"/>
      <c r="QDA44" s="19"/>
      <c r="QDB44" s="19"/>
      <c r="QDC44" s="19"/>
      <c r="QDD44" s="19"/>
      <c r="QDE44" s="19"/>
      <c r="QDF44" s="19"/>
      <c r="QDG44" s="19"/>
      <c r="QDH44" s="19"/>
      <c r="QDI44" s="19"/>
      <c r="QDJ44" s="19"/>
      <c r="QDK44" s="19"/>
      <c r="QDL44" s="19"/>
      <c r="QDM44" s="19"/>
      <c r="QDN44" s="19"/>
      <c r="QDO44" s="19"/>
      <c r="QDP44" s="19"/>
      <c r="QDQ44" s="19"/>
      <c r="QDR44" s="19"/>
      <c r="QDS44" s="19"/>
      <c r="QDT44" s="19"/>
      <c r="QDU44" s="19"/>
      <c r="QDV44" s="19"/>
      <c r="QDW44" s="19"/>
      <c r="QDX44" s="19"/>
      <c r="QDY44" s="19"/>
      <c r="QDZ44" s="19"/>
      <c r="QEA44" s="19"/>
      <c r="QEB44" s="19"/>
      <c r="QEC44" s="19"/>
      <c r="QED44" s="19"/>
      <c r="QEE44" s="19"/>
      <c r="QEF44" s="19"/>
      <c r="QEG44" s="19"/>
      <c r="QEH44" s="19"/>
      <c r="QEI44" s="19"/>
      <c r="QEJ44" s="19"/>
      <c r="QEK44" s="19"/>
      <c r="QEL44" s="19"/>
      <c r="QEM44" s="19"/>
      <c r="QEN44" s="19"/>
      <c r="QEO44" s="19"/>
      <c r="QEP44" s="19"/>
      <c r="QEQ44" s="19"/>
      <c r="QER44" s="19"/>
      <c r="QES44" s="19"/>
      <c r="QET44" s="19"/>
      <c r="QEU44" s="19"/>
      <c r="QEV44" s="19"/>
      <c r="QEW44" s="19"/>
      <c r="QEX44" s="19"/>
      <c r="QEY44" s="19"/>
      <c r="QEZ44" s="19"/>
      <c r="QFA44" s="19"/>
      <c r="QFB44" s="19"/>
      <c r="QFC44" s="19"/>
      <c r="QFD44" s="19"/>
      <c r="QFE44" s="19"/>
      <c r="QFF44" s="19"/>
      <c r="QFG44" s="19"/>
      <c r="QFH44" s="19"/>
      <c r="QFI44" s="19"/>
      <c r="QFJ44" s="19"/>
      <c r="QFK44" s="19"/>
      <c r="QFL44" s="19"/>
      <c r="QFM44" s="19"/>
      <c r="QFN44" s="19"/>
      <c r="QFO44" s="19"/>
      <c r="QFP44" s="19"/>
      <c r="QFQ44" s="19"/>
      <c r="QFR44" s="19"/>
      <c r="QFS44" s="19"/>
      <c r="QFT44" s="19"/>
      <c r="QFU44" s="19"/>
      <c r="QFV44" s="19"/>
      <c r="QFW44" s="19"/>
      <c r="QFX44" s="19"/>
      <c r="QFY44" s="19"/>
      <c r="QFZ44" s="19"/>
      <c r="QGA44" s="19"/>
      <c r="QGB44" s="19"/>
      <c r="QGC44" s="19"/>
      <c r="QGD44" s="19"/>
      <c r="QGE44" s="19"/>
      <c r="QGF44" s="19"/>
      <c r="QGG44" s="19"/>
      <c r="QGH44" s="19"/>
      <c r="QGI44" s="19"/>
      <c r="QGJ44" s="19"/>
      <c r="QGK44" s="19"/>
      <c r="QGL44" s="19"/>
      <c r="QGM44" s="19"/>
      <c r="QGN44" s="19"/>
      <c r="QGO44" s="19"/>
      <c r="QGP44" s="19"/>
      <c r="QGQ44" s="19"/>
      <c r="QGR44" s="19"/>
      <c r="QGS44" s="19"/>
      <c r="QGT44" s="19"/>
      <c r="QGU44" s="19"/>
      <c r="QGV44" s="19"/>
      <c r="QGW44" s="19"/>
      <c r="QGX44" s="19"/>
      <c r="QGY44" s="19"/>
      <c r="QGZ44" s="19"/>
      <c r="QHA44" s="19"/>
      <c r="QHB44" s="19"/>
      <c r="QHC44" s="19"/>
      <c r="QHD44" s="19"/>
      <c r="QHE44" s="19"/>
      <c r="QHF44" s="19"/>
      <c r="QHG44" s="19"/>
      <c r="QHH44" s="19"/>
      <c r="QHI44" s="19"/>
      <c r="QHJ44" s="19"/>
      <c r="QHK44" s="19"/>
      <c r="QHL44" s="19"/>
      <c r="QHM44" s="19"/>
      <c r="QHN44" s="19"/>
      <c r="QHO44" s="19"/>
      <c r="QHP44" s="19"/>
      <c r="QHQ44" s="19"/>
      <c r="QHR44" s="19"/>
      <c r="QHS44" s="19"/>
      <c r="QHT44" s="19"/>
      <c r="QHU44" s="19"/>
      <c r="QHV44" s="19"/>
      <c r="QHW44" s="19"/>
      <c r="QHX44" s="19"/>
      <c r="QHY44" s="19"/>
      <c r="QHZ44" s="19"/>
      <c r="QIA44" s="19"/>
      <c r="QIB44" s="19"/>
      <c r="QIC44" s="19"/>
      <c r="QID44" s="19"/>
      <c r="QIE44" s="19"/>
      <c r="QIF44" s="19"/>
      <c r="QIG44" s="19"/>
      <c r="QIH44" s="19"/>
      <c r="QII44" s="19"/>
      <c r="QIJ44" s="19"/>
      <c r="QIK44" s="19"/>
      <c r="QIL44" s="19"/>
      <c r="QIM44" s="19"/>
      <c r="QIN44" s="19"/>
      <c r="QIO44" s="19"/>
      <c r="QIP44" s="19"/>
      <c r="QIQ44" s="19"/>
      <c r="QIR44" s="19"/>
      <c r="QIS44" s="19"/>
      <c r="QIT44" s="19"/>
      <c r="QIU44" s="19"/>
      <c r="QIV44" s="19"/>
      <c r="QIW44" s="19"/>
      <c r="QIX44" s="19"/>
      <c r="QIY44" s="19"/>
      <c r="QIZ44" s="19"/>
      <c r="QJA44" s="19"/>
      <c r="QJB44" s="19"/>
      <c r="QJC44" s="19"/>
      <c r="QJD44" s="19"/>
      <c r="QJE44" s="19"/>
      <c r="QJF44" s="19"/>
      <c r="QJG44" s="19"/>
      <c r="QJH44" s="19"/>
      <c r="QJI44" s="19"/>
      <c r="QJJ44" s="19"/>
      <c r="QJK44" s="19"/>
      <c r="QJL44" s="19"/>
      <c r="QJM44" s="19"/>
      <c r="QJN44" s="19"/>
      <c r="QJO44" s="19"/>
      <c r="QJP44" s="19"/>
      <c r="QJQ44" s="19"/>
      <c r="QJR44" s="19"/>
      <c r="QJS44" s="19"/>
      <c r="QJT44" s="19"/>
      <c r="QJU44" s="19"/>
      <c r="QJV44" s="19"/>
      <c r="QJW44" s="19"/>
      <c r="QJX44" s="19"/>
      <c r="QJY44" s="19"/>
      <c r="QJZ44" s="19"/>
      <c r="QKA44" s="19"/>
      <c r="QKB44" s="19"/>
      <c r="QKC44" s="19"/>
      <c r="QKD44" s="19"/>
      <c r="QKE44" s="19"/>
      <c r="QKF44" s="19"/>
      <c r="QKG44" s="19"/>
      <c r="QKH44" s="19"/>
      <c r="QKI44" s="19"/>
      <c r="QKJ44" s="19"/>
      <c r="QKK44" s="19"/>
      <c r="QKL44" s="19"/>
      <c r="QKM44" s="19"/>
      <c r="QKN44" s="19"/>
      <c r="QKO44" s="19"/>
      <c r="QKP44" s="19"/>
      <c r="QKQ44" s="19"/>
      <c r="QKR44" s="19"/>
      <c r="QKS44" s="19"/>
      <c r="QKT44" s="19"/>
      <c r="QKU44" s="19"/>
      <c r="QKV44" s="19"/>
      <c r="QKW44" s="19"/>
      <c r="QKX44" s="19"/>
      <c r="QKY44" s="19"/>
      <c r="QKZ44" s="19"/>
      <c r="QLA44" s="19"/>
      <c r="QLB44" s="19"/>
      <c r="QLC44" s="19"/>
      <c r="QLD44" s="19"/>
      <c r="QLE44" s="19"/>
      <c r="QLF44" s="19"/>
      <c r="QLG44" s="19"/>
      <c r="QLH44" s="19"/>
      <c r="QLI44" s="19"/>
      <c r="QLJ44" s="19"/>
      <c r="QLK44" s="19"/>
      <c r="QLL44" s="19"/>
      <c r="QLM44" s="19"/>
      <c r="QLN44" s="19"/>
      <c r="QLO44" s="19"/>
      <c r="QLP44" s="19"/>
      <c r="QLQ44" s="19"/>
      <c r="QLR44" s="19"/>
      <c r="QLS44" s="19"/>
      <c r="QLT44" s="19"/>
      <c r="QLU44" s="19"/>
      <c r="QLV44" s="19"/>
      <c r="QLW44" s="19"/>
      <c r="QLX44" s="19"/>
      <c r="QLY44" s="19"/>
      <c r="QLZ44" s="19"/>
      <c r="QMA44" s="19"/>
      <c r="QMB44" s="19"/>
      <c r="QMC44" s="19"/>
      <c r="QMD44" s="19"/>
      <c r="QME44" s="19"/>
      <c r="QMF44" s="19"/>
      <c r="QMG44" s="19"/>
      <c r="QMH44" s="19"/>
      <c r="QMI44" s="19"/>
      <c r="QMJ44" s="19"/>
      <c r="QMK44" s="19"/>
      <c r="QML44" s="19"/>
      <c r="QMM44" s="19"/>
      <c r="QMN44" s="19"/>
      <c r="QMO44" s="19"/>
      <c r="QMP44" s="19"/>
      <c r="QMQ44" s="19"/>
      <c r="QMR44" s="19"/>
      <c r="QMS44" s="19"/>
      <c r="QMT44" s="19"/>
      <c r="QMU44" s="19"/>
      <c r="QMV44" s="19"/>
      <c r="QMW44" s="19"/>
      <c r="QMX44" s="19"/>
      <c r="QMY44" s="19"/>
      <c r="QMZ44" s="19"/>
      <c r="QNA44" s="19"/>
      <c r="QNB44" s="19"/>
      <c r="QNC44" s="19"/>
      <c r="QND44" s="19"/>
      <c r="QNE44" s="19"/>
      <c r="QNF44" s="19"/>
      <c r="QNG44" s="19"/>
      <c r="QNH44" s="19"/>
      <c r="QNI44" s="19"/>
      <c r="QNJ44" s="19"/>
      <c r="QNK44" s="19"/>
      <c r="QNL44" s="19"/>
      <c r="QNM44" s="19"/>
      <c r="QNN44" s="19"/>
      <c r="QNO44" s="19"/>
      <c r="QNP44" s="19"/>
      <c r="QNQ44" s="19"/>
      <c r="QNR44" s="19"/>
      <c r="QNS44" s="19"/>
      <c r="QNT44" s="19"/>
      <c r="QNU44" s="19"/>
      <c r="QNV44" s="19"/>
      <c r="QNW44" s="19"/>
      <c r="QNX44" s="19"/>
      <c r="QNY44" s="19"/>
      <c r="QNZ44" s="19"/>
      <c r="QOA44" s="19"/>
      <c r="QOB44" s="19"/>
      <c r="QOC44" s="19"/>
      <c r="QOD44" s="19"/>
      <c r="QOE44" s="19"/>
      <c r="QOF44" s="19"/>
      <c r="QOG44" s="19"/>
      <c r="QOH44" s="19"/>
      <c r="QOI44" s="19"/>
      <c r="QOJ44" s="19"/>
      <c r="QOK44" s="19"/>
      <c r="QOL44" s="19"/>
      <c r="QOM44" s="19"/>
      <c r="QON44" s="19"/>
      <c r="QOO44" s="19"/>
      <c r="QOP44" s="19"/>
      <c r="QOQ44" s="19"/>
      <c r="QOR44" s="19"/>
      <c r="QOS44" s="19"/>
      <c r="QOT44" s="19"/>
      <c r="QOU44" s="19"/>
      <c r="QOV44" s="19"/>
      <c r="QOW44" s="19"/>
      <c r="QOX44" s="19"/>
      <c r="QOY44" s="19"/>
      <c r="QOZ44" s="19"/>
      <c r="QPA44" s="19"/>
      <c r="QPB44" s="19"/>
      <c r="QPC44" s="19"/>
      <c r="QPD44" s="19"/>
      <c r="QPE44" s="19"/>
      <c r="QPF44" s="19"/>
      <c r="QPG44" s="19"/>
      <c r="QPH44" s="19"/>
      <c r="QPI44" s="19"/>
      <c r="QPJ44" s="19"/>
      <c r="QPK44" s="19"/>
      <c r="QPL44" s="19"/>
      <c r="QPM44" s="19"/>
      <c r="QPN44" s="19"/>
      <c r="QPO44" s="19"/>
      <c r="QPP44" s="19"/>
      <c r="QPQ44" s="19"/>
      <c r="QPR44" s="19"/>
      <c r="QPS44" s="19"/>
      <c r="QPT44" s="19"/>
      <c r="QPU44" s="19"/>
      <c r="QPV44" s="19"/>
      <c r="QPW44" s="19"/>
      <c r="QPX44" s="19"/>
      <c r="QPY44" s="19"/>
      <c r="QPZ44" s="19"/>
      <c r="QQA44" s="19"/>
      <c r="QQB44" s="19"/>
      <c r="QQC44" s="19"/>
      <c r="QQD44" s="19"/>
      <c r="QQE44" s="19"/>
      <c r="QQF44" s="19"/>
      <c r="QQG44" s="19"/>
      <c r="QQH44" s="19"/>
      <c r="QQI44" s="19"/>
      <c r="QQJ44" s="19"/>
      <c r="QQK44" s="19"/>
      <c r="QQL44" s="19"/>
      <c r="QQM44" s="19"/>
      <c r="QQN44" s="19"/>
      <c r="QQO44" s="19"/>
      <c r="QQP44" s="19"/>
      <c r="QQQ44" s="19"/>
      <c r="QQR44" s="19"/>
      <c r="QQS44" s="19"/>
      <c r="QQT44" s="19"/>
      <c r="QQU44" s="19"/>
      <c r="QQV44" s="19"/>
      <c r="QQW44" s="19"/>
      <c r="QQX44" s="19"/>
      <c r="QQY44" s="19"/>
      <c r="QQZ44" s="19"/>
      <c r="QRA44" s="19"/>
      <c r="QRB44" s="19"/>
      <c r="QRC44" s="19"/>
      <c r="QRD44" s="19"/>
      <c r="QRE44" s="19"/>
      <c r="QRF44" s="19"/>
      <c r="QRG44" s="19"/>
      <c r="QRH44" s="19"/>
      <c r="QRI44" s="19"/>
      <c r="QRJ44" s="19"/>
      <c r="QRK44" s="19"/>
      <c r="QRL44" s="19"/>
      <c r="QRM44" s="19"/>
      <c r="QRN44" s="19"/>
      <c r="QRO44" s="19"/>
      <c r="QRP44" s="19"/>
      <c r="QRQ44" s="19"/>
      <c r="QRR44" s="19"/>
      <c r="QRS44" s="19"/>
      <c r="QRT44" s="19"/>
      <c r="QRU44" s="19"/>
      <c r="QRV44" s="19"/>
      <c r="QRW44" s="19"/>
      <c r="QRX44" s="19"/>
      <c r="QRY44" s="19"/>
      <c r="QRZ44" s="19"/>
      <c r="QSA44" s="19"/>
      <c r="QSB44" s="19"/>
      <c r="QSC44" s="19"/>
      <c r="QSD44" s="19"/>
      <c r="QSE44" s="19"/>
      <c r="QSF44" s="19"/>
      <c r="QSG44" s="19"/>
      <c r="QSH44" s="19"/>
      <c r="QSI44" s="19"/>
      <c r="QSJ44" s="19"/>
      <c r="QSK44" s="19"/>
      <c r="QSL44" s="19"/>
      <c r="QSM44" s="19"/>
      <c r="QSN44" s="19"/>
      <c r="QSO44" s="19"/>
      <c r="QSP44" s="19"/>
      <c r="QSQ44" s="19"/>
      <c r="QSR44" s="19"/>
      <c r="QSS44" s="19"/>
      <c r="QST44" s="19"/>
      <c r="QSU44" s="19"/>
      <c r="QSV44" s="19"/>
      <c r="QSW44" s="19"/>
      <c r="QSX44" s="19"/>
      <c r="QSY44" s="19"/>
      <c r="QSZ44" s="19"/>
      <c r="QTA44" s="19"/>
      <c r="QTB44" s="19"/>
      <c r="QTC44" s="19"/>
      <c r="QTD44" s="19"/>
      <c r="QTE44" s="19"/>
      <c r="QTF44" s="19"/>
      <c r="QTG44" s="19"/>
      <c r="QTH44" s="19"/>
      <c r="QTI44" s="19"/>
      <c r="QTJ44" s="19"/>
      <c r="QTK44" s="19"/>
      <c r="QTL44" s="19"/>
      <c r="QTM44" s="19"/>
      <c r="QTN44" s="19"/>
      <c r="QTO44" s="19"/>
      <c r="QTP44" s="19"/>
      <c r="QTQ44" s="19"/>
      <c r="QTR44" s="19"/>
      <c r="QTS44" s="19"/>
      <c r="QTT44" s="19"/>
      <c r="QTU44" s="19"/>
      <c r="QTV44" s="19"/>
      <c r="QTW44" s="19"/>
      <c r="QTX44" s="19"/>
      <c r="QTY44" s="19"/>
      <c r="QTZ44" s="19"/>
      <c r="QUA44" s="19"/>
      <c r="QUB44" s="19"/>
      <c r="QUC44" s="19"/>
      <c r="QUD44" s="19"/>
      <c r="QUE44" s="19"/>
      <c r="QUF44" s="19"/>
      <c r="QUG44" s="19"/>
      <c r="QUH44" s="19"/>
      <c r="QUI44" s="19"/>
      <c r="QUJ44" s="19"/>
      <c r="QUK44" s="19"/>
      <c r="QUL44" s="19"/>
      <c r="QUM44" s="19"/>
      <c r="QUN44" s="19"/>
      <c r="QUO44" s="19"/>
      <c r="QUP44" s="19"/>
      <c r="QUQ44" s="19"/>
      <c r="QUR44" s="19"/>
      <c r="QUS44" s="19"/>
      <c r="QUT44" s="19"/>
      <c r="QUU44" s="19"/>
      <c r="QUV44" s="19"/>
      <c r="QUW44" s="19"/>
      <c r="QUX44" s="19"/>
      <c r="QUY44" s="19"/>
      <c r="QUZ44" s="19"/>
      <c r="QVA44" s="19"/>
      <c r="QVB44" s="19"/>
      <c r="QVC44" s="19"/>
      <c r="QVD44" s="19"/>
      <c r="QVE44" s="19"/>
      <c r="QVF44" s="19"/>
      <c r="QVG44" s="19"/>
      <c r="QVH44" s="19"/>
      <c r="QVI44" s="19"/>
      <c r="QVJ44" s="19"/>
      <c r="QVK44" s="19"/>
      <c r="QVL44" s="19"/>
      <c r="QVM44" s="19"/>
      <c r="QVN44" s="19"/>
      <c r="QVO44" s="19"/>
      <c r="QVP44" s="19"/>
      <c r="QVQ44" s="19"/>
      <c r="QVR44" s="19"/>
      <c r="QVS44" s="19"/>
      <c r="QVT44" s="19"/>
      <c r="QVU44" s="19"/>
      <c r="QVV44" s="19"/>
      <c r="QVW44" s="19"/>
      <c r="QVX44" s="19"/>
      <c r="QVY44" s="19"/>
      <c r="QVZ44" s="19"/>
      <c r="QWA44" s="19"/>
      <c r="QWB44" s="19"/>
      <c r="QWC44" s="19"/>
      <c r="QWD44" s="19"/>
      <c r="QWE44" s="19"/>
      <c r="QWF44" s="19"/>
      <c r="QWG44" s="19"/>
      <c r="QWH44" s="19"/>
      <c r="QWI44" s="19"/>
      <c r="QWJ44" s="19"/>
      <c r="QWK44" s="19"/>
      <c r="QWL44" s="19"/>
      <c r="QWM44" s="19"/>
      <c r="QWN44" s="19"/>
      <c r="QWO44" s="19"/>
      <c r="QWP44" s="19"/>
      <c r="QWQ44" s="19"/>
      <c r="QWR44" s="19"/>
      <c r="QWS44" s="19"/>
      <c r="QWT44" s="19"/>
      <c r="QWU44" s="19"/>
      <c r="QWV44" s="19"/>
      <c r="QWW44" s="19"/>
      <c r="QWX44" s="19"/>
      <c r="QWY44" s="19"/>
      <c r="QWZ44" s="19"/>
      <c r="QXA44" s="19"/>
      <c r="QXB44" s="19"/>
      <c r="QXC44" s="19"/>
      <c r="QXD44" s="19"/>
      <c r="QXE44" s="19"/>
      <c r="QXF44" s="19"/>
      <c r="QXG44" s="19"/>
      <c r="QXH44" s="19"/>
      <c r="QXI44" s="19"/>
      <c r="QXJ44" s="19"/>
      <c r="QXK44" s="19"/>
      <c r="QXL44" s="19"/>
      <c r="QXM44" s="19"/>
      <c r="QXN44" s="19"/>
      <c r="QXO44" s="19"/>
      <c r="QXP44" s="19"/>
      <c r="QXQ44" s="19"/>
      <c r="QXR44" s="19"/>
      <c r="QXS44" s="19"/>
      <c r="QXT44" s="19"/>
      <c r="QXU44" s="19"/>
      <c r="QXV44" s="19"/>
      <c r="QXW44" s="19"/>
      <c r="QXX44" s="19"/>
      <c r="QXY44" s="19"/>
      <c r="QXZ44" s="19"/>
      <c r="QYA44" s="19"/>
      <c r="QYB44" s="19"/>
      <c r="QYC44" s="19"/>
      <c r="QYD44" s="19"/>
      <c r="QYE44" s="19"/>
      <c r="QYF44" s="19"/>
      <c r="QYG44" s="19"/>
      <c r="QYH44" s="19"/>
      <c r="QYI44" s="19"/>
      <c r="QYJ44" s="19"/>
      <c r="QYK44" s="19"/>
      <c r="QYL44" s="19"/>
      <c r="QYM44" s="19"/>
      <c r="QYN44" s="19"/>
      <c r="QYO44" s="19"/>
      <c r="QYP44" s="19"/>
      <c r="QYQ44" s="19"/>
      <c r="QYR44" s="19"/>
      <c r="QYS44" s="19"/>
      <c r="QYT44" s="19"/>
      <c r="QYU44" s="19"/>
      <c r="QYV44" s="19"/>
      <c r="QYW44" s="19"/>
      <c r="QYX44" s="19"/>
      <c r="QYY44" s="19"/>
      <c r="QYZ44" s="19"/>
      <c r="QZA44" s="19"/>
      <c r="QZB44" s="19"/>
      <c r="QZC44" s="19"/>
      <c r="QZD44" s="19"/>
      <c r="QZE44" s="19"/>
      <c r="QZF44" s="19"/>
      <c r="QZG44" s="19"/>
      <c r="QZH44" s="19"/>
      <c r="QZI44" s="19"/>
      <c r="QZJ44" s="19"/>
      <c r="QZK44" s="19"/>
      <c r="QZL44" s="19"/>
      <c r="QZM44" s="19"/>
      <c r="QZN44" s="19"/>
      <c r="QZO44" s="19"/>
      <c r="QZP44" s="19"/>
      <c r="QZQ44" s="19"/>
      <c r="QZR44" s="19"/>
      <c r="QZS44" s="19"/>
      <c r="QZT44" s="19"/>
      <c r="QZU44" s="19"/>
      <c r="QZV44" s="19"/>
      <c r="QZW44" s="19"/>
      <c r="QZX44" s="19"/>
      <c r="QZY44" s="19"/>
      <c r="QZZ44" s="19"/>
      <c r="RAA44" s="19"/>
      <c r="RAB44" s="19"/>
      <c r="RAC44" s="19"/>
      <c r="RAD44" s="19"/>
      <c r="RAE44" s="19"/>
      <c r="RAF44" s="19"/>
      <c r="RAG44" s="19"/>
      <c r="RAH44" s="19"/>
      <c r="RAI44" s="19"/>
      <c r="RAJ44" s="19"/>
      <c r="RAK44" s="19"/>
      <c r="RAL44" s="19"/>
      <c r="RAM44" s="19"/>
      <c r="RAN44" s="19"/>
      <c r="RAO44" s="19"/>
      <c r="RAP44" s="19"/>
      <c r="RAQ44" s="19"/>
      <c r="RAR44" s="19"/>
      <c r="RAS44" s="19"/>
      <c r="RAT44" s="19"/>
      <c r="RAU44" s="19"/>
      <c r="RAV44" s="19"/>
      <c r="RAW44" s="19"/>
      <c r="RAX44" s="19"/>
      <c r="RAY44" s="19"/>
      <c r="RAZ44" s="19"/>
      <c r="RBA44" s="19"/>
      <c r="RBB44" s="19"/>
      <c r="RBC44" s="19"/>
      <c r="RBD44" s="19"/>
      <c r="RBE44" s="19"/>
      <c r="RBF44" s="19"/>
      <c r="RBG44" s="19"/>
      <c r="RBH44" s="19"/>
      <c r="RBI44" s="19"/>
      <c r="RBJ44" s="19"/>
      <c r="RBK44" s="19"/>
      <c r="RBL44" s="19"/>
      <c r="RBM44" s="19"/>
      <c r="RBN44" s="19"/>
      <c r="RBO44" s="19"/>
      <c r="RBP44" s="19"/>
      <c r="RBQ44" s="19"/>
      <c r="RBR44" s="19"/>
      <c r="RBS44" s="19"/>
      <c r="RBT44" s="19"/>
      <c r="RBU44" s="19"/>
      <c r="RBV44" s="19"/>
      <c r="RBW44" s="19"/>
      <c r="RBX44" s="19"/>
      <c r="RBY44" s="19"/>
      <c r="RBZ44" s="19"/>
      <c r="RCA44" s="19"/>
      <c r="RCB44" s="19"/>
      <c r="RCC44" s="19"/>
      <c r="RCD44" s="19"/>
      <c r="RCE44" s="19"/>
      <c r="RCF44" s="19"/>
      <c r="RCG44" s="19"/>
      <c r="RCH44" s="19"/>
      <c r="RCI44" s="19"/>
      <c r="RCJ44" s="19"/>
      <c r="RCK44" s="19"/>
      <c r="RCL44" s="19"/>
      <c r="RCM44" s="19"/>
      <c r="RCN44" s="19"/>
      <c r="RCO44" s="19"/>
      <c r="RCP44" s="19"/>
      <c r="RCQ44" s="19"/>
      <c r="RCR44" s="19"/>
      <c r="RCS44" s="19"/>
      <c r="RCT44" s="19"/>
      <c r="RCU44" s="19"/>
      <c r="RCV44" s="19"/>
      <c r="RCW44" s="19"/>
      <c r="RCX44" s="19"/>
      <c r="RCY44" s="19"/>
      <c r="RCZ44" s="19"/>
      <c r="RDA44" s="19"/>
      <c r="RDB44" s="19"/>
      <c r="RDC44" s="19"/>
      <c r="RDD44" s="19"/>
      <c r="RDE44" s="19"/>
      <c r="RDF44" s="19"/>
      <c r="RDG44" s="19"/>
      <c r="RDH44" s="19"/>
      <c r="RDI44" s="19"/>
      <c r="RDJ44" s="19"/>
      <c r="RDK44" s="19"/>
      <c r="RDL44" s="19"/>
      <c r="RDM44" s="19"/>
      <c r="RDN44" s="19"/>
      <c r="RDO44" s="19"/>
      <c r="RDP44" s="19"/>
      <c r="RDQ44" s="19"/>
      <c r="RDR44" s="19"/>
      <c r="RDS44" s="19"/>
      <c r="RDT44" s="19"/>
      <c r="RDU44" s="19"/>
      <c r="RDV44" s="19"/>
      <c r="RDW44" s="19"/>
      <c r="RDX44" s="19"/>
      <c r="RDY44" s="19"/>
      <c r="RDZ44" s="19"/>
      <c r="REA44" s="19"/>
      <c r="REB44" s="19"/>
      <c r="REC44" s="19"/>
      <c r="RED44" s="19"/>
      <c r="REE44" s="19"/>
      <c r="REF44" s="19"/>
      <c r="REG44" s="19"/>
      <c r="REH44" s="19"/>
      <c r="REI44" s="19"/>
      <c r="REJ44" s="19"/>
      <c r="REK44" s="19"/>
      <c r="REL44" s="19"/>
      <c r="REM44" s="19"/>
      <c r="REN44" s="19"/>
      <c r="REO44" s="19"/>
      <c r="REP44" s="19"/>
      <c r="REQ44" s="19"/>
      <c r="RER44" s="19"/>
      <c r="RES44" s="19"/>
      <c r="RET44" s="19"/>
      <c r="REU44" s="19"/>
      <c r="REV44" s="19"/>
      <c r="REW44" s="19"/>
      <c r="REX44" s="19"/>
      <c r="REY44" s="19"/>
      <c r="REZ44" s="19"/>
      <c r="RFA44" s="19"/>
      <c r="RFB44" s="19"/>
      <c r="RFC44" s="19"/>
      <c r="RFD44" s="19"/>
      <c r="RFE44" s="19"/>
      <c r="RFF44" s="19"/>
      <c r="RFG44" s="19"/>
      <c r="RFH44" s="19"/>
      <c r="RFI44" s="19"/>
      <c r="RFJ44" s="19"/>
      <c r="RFK44" s="19"/>
      <c r="RFL44" s="19"/>
      <c r="RFM44" s="19"/>
      <c r="RFN44" s="19"/>
      <c r="RFO44" s="19"/>
      <c r="RFP44" s="19"/>
      <c r="RFQ44" s="19"/>
      <c r="RFR44" s="19"/>
      <c r="RFS44" s="19"/>
      <c r="RFT44" s="19"/>
      <c r="RFU44" s="19"/>
      <c r="RFV44" s="19"/>
      <c r="RFW44" s="19"/>
      <c r="RFX44" s="19"/>
      <c r="RFY44" s="19"/>
      <c r="RFZ44" s="19"/>
      <c r="RGA44" s="19"/>
      <c r="RGB44" s="19"/>
      <c r="RGC44" s="19"/>
      <c r="RGD44" s="19"/>
      <c r="RGE44" s="19"/>
      <c r="RGF44" s="19"/>
      <c r="RGG44" s="19"/>
      <c r="RGH44" s="19"/>
      <c r="RGI44" s="19"/>
      <c r="RGJ44" s="19"/>
      <c r="RGK44" s="19"/>
      <c r="RGL44" s="19"/>
      <c r="RGM44" s="19"/>
      <c r="RGN44" s="19"/>
      <c r="RGO44" s="19"/>
      <c r="RGP44" s="19"/>
      <c r="RGQ44" s="19"/>
      <c r="RGR44" s="19"/>
      <c r="RGS44" s="19"/>
      <c r="RGT44" s="19"/>
      <c r="RGU44" s="19"/>
      <c r="RGV44" s="19"/>
      <c r="RGW44" s="19"/>
      <c r="RGX44" s="19"/>
      <c r="RGY44" s="19"/>
      <c r="RGZ44" s="19"/>
      <c r="RHA44" s="19"/>
      <c r="RHB44" s="19"/>
      <c r="RHC44" s="19"/>
      <c r="RHD44" s="19"/>
      <c r="RHE44" s="19"/>
      <c r="RHF44" s="19"/>
      <c r="RHG44" s="19"/>
      <c r="RHH44" s="19"/>
      <c r="RHI44" s="19"/>
      <c r="RHJ44" s="19"/>
      <c r="RHK44" s="19"/>
      <c r="RHL44" s="19"/>
      <c r="RHM44" s="19"/>
      <c r="RHN44" s="19"/>
      <c r="RHO44" s="19"/>
      <c r="RHP44" s="19"/>
      <c r="RHQ44" s="19"/>
      <c r="RHR44" s="19"/>
      <c r="RHS44" s="19"/>
      <c r="RHT44" s="19"/>
      <c r="RHU44" s="19"/>
      <c r="RHV44" s="19"/>
      <c r="RHW44" s="19"/>
      <c r="RHX44" s="19"/>
      <c r="RHY44" s="19"/>
      <c r="RHZ44" s="19"/>
      <c r="RIA44" s="19"/>
      <c r="RIB44" s="19"/>
      <c r="RIC44" s="19"/>
      <c r="RID44" s="19"/>
      <c r="RIE44" s="19"/>
      <c r="RIF44" s="19"/>
      <c r="RIG44" s="19"/>
      <c r="RIH44" s="19"/>
      <c r="RII44" s="19"/>
      <c r="RIJ44" s="19"/>
      <c r="RIK44" s="19"/>
      <c r="RIL44" s="19"/>
      <c r="RIM44" s="19"/>
      <c r="RIN44" s="19"/>
      <c r="RIO44" s="19"/>
      <c r="RIP44" s="19"/>
      <c r="RIQ44" s="19"/>
      <c r="RIR44" s="19"/>
      <c r="RIS44" s="19"/>
      <c r="RIT44" s="19"/>
      <c r="RIU44" s="19"/>
      <c r="RIV44" s="19"/>
      <c r="RIW44" s="19"/>
      <c r="RIX44" s="19"/>
      <c r="RIY44" s="19"/>
      <c r="RIZ44" s="19"/>
      <c r="RJA44" s="19"/>
      <c r="RJB44" s="19"/>
      <c r="RJC44" s="19"/>
      <c r="RJD44" s="19"/>
      <c r="RJE44" s="19"/>
      <c r="RJF44" s="19"/>
      <c r="RJG44" s="19"/>
      <c r="RJH44" s="19"/>
      <c r="RJI44" s="19"/>
      <c r="RJJ44" s="19"/>
      <c r="RJK44" s="19"/>
      <c r="RJL44" s="19"/>
      <c r="RJM44" s="19"/>
      <c r="RJN44" s="19"/>
      <c r="RJO44" s="19"/>
      <c r="RJP44" s="19"/>
      <c r="RJQ44" s="19"/>
      <c r="RJR44" s="19"/>
      <c r="RJS44" s="19"/>
      <c r="RJT44" s="19"/>
      <c r="RJU44" s="19"/>
      <c r="RJV44" s="19"/>
      <c r="RJW44" s="19"/>
      <c r="RJX44" s="19"/>
      <c r="RJY44" s="19"/>
      <c r="RJZ44" s="19"/>
      <c r="RKA44" s="19"/>
      <c r="RKB44" s="19"/>
      <c r="RKC44" s="19"/>
      <c r="RKD44" s="19"/>
      <c r="RKE44" s="19"/>
      <c r="RKF44" s="19"/>
      <c r="RKG44" s="19"/>
      <c r="RKH44" s="19"/>
      <c r="RKI44" s="19"/>
      <c r="RKJ44" s="19"/>
      <c r="RKK44" s="19"/>
      <c r="RKL44" s="19"/>
      <c r="RKM44" s="19"/>
      <c r="RKN44" s="19"/>
      <c r="RKO44" s="19"/>
      <c r="RKP44" s="19"/>
      <c r="RKQ44" s="19"/>
      <c r="RKR44" s="19"/>
      <c r="RKS44" s="19"/>
      <c r="RKT44" s="19"/>
      <c r="RKU44" s="19"/>
      <c r="RKV44" s="19"/>
      <c r="RKW44" s="19"/>
      <c r="RKX44" s="19"/>
      <c r="RKY44" s="19"/>
      <c r="RKZ44" s="19"/>
      <c r="RLA44" s="19"/>
      <c r="RLB44" s="19"/>
      <c r="RLC44" s="19"/>
      <c r="RLD44" s="19"/>
      <c r="RLE44" s="19"/>
      <c r="RLF44" s="19"/>
      <c r="RLG44" s="19"/>
      <c r="RLH44" s="19"/>
      <c r="RLI44" s="19"/>
      <c r="RLJ44" s="19"/>
      <c r="RLK44" s="19"/>
      <c r="RLL44" s="19"/>
      <c r="RLM44" s="19"/>
      <c r="RLN44" s="19"/>
      <c r="RLO44" s="19"/>
      <c r="RLP44" s="19"/>
      <c r="RLQ44" s="19"/>
      <c r="RLR44" s="19"/>
      <c r="RLS44" s="19"/>
      <c r="RLT44" s="19"/>
      <c r="RLU44" s="19"/>
      <c r="RLV44" s="19"/>
      <c r="RLW44" s="19"/>
      <c r="RLX44" s="19"/>
      <c r="RLY44" s="19"/>
      <c r="RLZ44" s="19"/>
      <c r="RMA44" s="19"/>
      <c r="RMB44" s="19"/>
      <c r="RMC44" s="19"/>
      <c r="RMD44" s="19"/>
      <c r="RME44" s="19"/>
      <c r="RMF44" s="19"/>
      <c r="RMG44" s="19"/>
      <c r="RMH44" s="19"/>
      <c r="RMI44" s="19"/>
      <c r="RMJ44" s="19"/>
      <c r="RMK44" s="19"/>
      <c r="RML44" s="19"/>
      <c r="RMM44" s="19"/>
      <c r="RMN44" s="19"/>
      <c r="RMO44" s="19"/>
      <c r="RMP44" s="19"/>
      <c r="RMQ44" s="19"/>
      <c r="RMR44" s="19"/>
      <c r="RMS44" s="19"/>
      <c r="RMT44" s="19"/>
      <c r="RMU44" s="19"/>
      <c r="RMV44" s="19"/>
      <c r="RMW44" s="19"/>
      <c r="RMX44" s="19"/>
      <c r="RMY44" s="19"/>
      <c r="RMZ44" s="19"/>
      <c r="RNA44" s="19"/>
      <c r="RNB44" s="19"/>
      <c r="RNC44" s="19"/>
      <c r="RND44" s="19"/>
      <c r="RNE44" s="19"/>
      <c r="RNF44" s="19"/>
      <c r="RNG44" s="19"/>
      <c r="RNH44" s="19"/>
      <c r="RNI44" s="19"/>
      <c r="RNJ44" s="19"/>
      <c r="RNK44" s="19"/>
      <c r="RNL44" s="19"/>
      <c r="RNM44" s="19"/>
      <c r="RNN44" s="19"/>
      <c r="RNO44" s="19"/>
      <c r="RNP44" s="19"/>
      <c r="RNQ44" s="19"/>
      <c r="RNR44" s="19"/>
      <c r="RNS44" s="19"/>
      <c r="RNT44" s="19"/>
      <c r="RNU44" s="19"/>
      <c r="RNV44" s="19"/>
      <c r="RNW44" s="19"/>
      <c r="RNX44" s="19"/>
      <c r="RNY44" s="19"/>
      <c r="RNZ44" s="19"/>
      <c r="ROA44" s="19"/>
      <c r="ROB44" s="19"/>
      <c r="ROC44" s="19"/>
      <c r="ROD44" s="19"/>
      <c r="ROE44" s="19"/>
      <c r="ROF44" s="19"/>
      <c r="ROG44" s="19"/>
      <c r="ROH44" s="19"/>
      <c r="ROI44" s="19"/>
      <c r="ROJ44" s="19"/>
      <c r="ROK44" s="19"/>
      <c r="ROL44" s="19"/>
      <c r="ROM44" s="19"/>
      <c r="RON44" s="19"/>
      <c r="ROO44" s="19"/>
      <c r="ROP44" s="19"/>
      <c r="ROQ44" s="19"/>
      <c r="ROR44" s="19"/>
      <c r="ROS44" s="19"/>
      <c r="ROT44" s="19"/>
      <c r="ROU44" s="19"/>
      <c r="ROV44" s="19"/>
      <c r="ROW44" s="19"/>
      <c r="ROX44" s="19"/>
      <c r="ROY44" s="19"/>
      <c r="ROZ44" s="19"/>
      <c r="RPA44" s="19"/>
      <c r="RPB44" s="19"/>
      <c r="RPC44" s="19"/>
      <c r="RPD44" s="19"/>
      <c r="RPE44" s="19"/>
      <c r="RPF44" s="19"/>
      <c r="RPG44" s="19"/>
      <c r="RPH44" s="19"/>
      <c r="RPI44" s="19"/>
      <c r="RPJ44" s="19"/>
      <c r="RPK44" s="19"/>
      <c r="RPL44" s="19"/>
      <c r="RPM44" s="19"/>
      <c r="RPN44" s="19"/>
      <c r="RPO44" s="19"/>
      <c r="RPP44" s="19"/>
      <c r="RPQ44" s="19"/>
      <c r="RPR44" s="19"/>
      <c r="RPS44" s="19"/>
      <c r="RPT44" s="19"/>
      <c r="RPU44" s="19"/>
      <c r="RPV44" s="19"/>
      <c r="RPW44" s="19"/>
      <c r="RPX44" s="19"/>
      <c r="RPY44" s="19"/>
      <c r="RPZ44" s="19"/>
      <c r="RQA44" s="19"/>
      <c r="RQB44" s="19"/>
      <c r="RQC44" s="19"/>
      <c r="RQD44" s="19"/>
      <c r="RQE44" s="19"/>
      <c r="RQF44" s="19"/>
      <c r="RQG44" s="19"/>
      <c r="RQH44" s="19"/>
      <c r="RQI44" s="19"/>
      <c r="RQJ44" s="19"/>
      <c r="RQK44" s="19"/>
      <c r="RQL44" s="19"/>
      <c r="RQM44" s="19"/>
      <c r="RQN44" s="19"/>
      <c r="RQO44" s="19"/>
      <c r="RQP44" s="19"/>
      <c r="RQQ44" s="19"/>
      <c r="RQR44" s="19"/>
      <c r="RQS44" s="19"/>
      <c r="RQT44" s="19"/>
      <c r="RQU44" s="19"/>
      <c r="RQV44" s="19"/>
      <c r="RQW44" s="19"/>
      <c r="RQX44" s="19"/>
      <c r="RQY44" s="19"/>
      <c r="RQZ44" s="19"/>
      <c r="RRA44" s="19"/>
      <c r="RRB44" s="19"/>
      <c r="RRC44" s="19"/>
      <c r="RRD44" s="19"/>
      <c r="RRE44" s="19"/>
      <c r="RRF44" s="19"/>
      <c r="RRG44" s="19"/>
      <c r="RRH44" s="19"/>
      <c r="RRI44" s="19"/>
      <c r="RRJ44" s="19"/>
      <c r="RRK44" s="19"/>
      <c r="RRL44" s="19"/>
      <c r="RRM44" s="19"/>
      <c r="RRN44" s="19"/>
      <c r="RRO44" s="19"/>
      <c r="RRP44" s="19"/>
      <c r="RRQ44" s="19"/>
      <c r="RRR44" s="19"/>
      <c r="RRS44" s="19"/>
      <c r="RRT44" s="19"/>
      <c r="RRU44" s="19"/>
      <c r="RRV44" s="19"/>
      <c r="RRW44" s="19"/>
      <c r="RRX44" s="19"/>
      <c r="RRY44" s="19"/>
      <c r="RRZ44" s="19"/>
      <c r="RSA44" s="19"/>
      <c r="RSB44" s="19"/>
      <c r="RSC44" s="19"/>
      <c r="RSD44" s="19"/>
      <c r="RSE44" s="19"/>
      <c r="RSF44" s="19"/>
      <c r="RSG44" s="19"/>
      <c r="RSH44" s="19"/>
      <c r="RSI44" s="19"/>
      <c r="RSJ44" s="19"/>
      <c r="RSK44" s="19"/>
      <c r="RSL44" s="19"/>
      <c r="RSM44" s="19"/>
      <c r="RSN44" s="19"/>
      <c r="RSO44" s="19"/>
      <c r="RSP44" s="19"/>
      <c r="RSQ44" s="19"/>
      <c r="RSR44" s="19"/>
      <c r="RSS44" s="19"/>
      <c r="RST44" s="19"/>
      <c r="RSU44" s="19"/>
      <c r="RSV44" s="19"/>
      <c r="RSW44" s="19"/>
      <c r="RSX44" s="19"/>
      <c r="RSY44" s="19"/>
      <c r="RSZ44" s="19"/>
      <c r="RTA44" s="19"/>
      <c r="RTB44" s="19"/>
      <c r="RTC44" s="19"/>
      <c r="RTD44" s="19"/>
      <c r="RTE44" s="19"/>
      <c r="RTF44" s="19"/>
      <c r="RTG44" s="19"/>
      <c r="RTH44" s="19"/>
      <c r="RTI44" s="19"/>
      <c r="RTJ44" s="19"/>
      <c r="RTK44" s="19"/>
      <c r="RTL44" s="19"/>
      <c r="RTM44" s="19"/>
      <c r="RTN44" s="19"/>
      <c r="RTO44" s="19"/>
      <c r="RTP44" s="19"/>
      <c r="RTQ44" s="19"/>
      <c r="RTR44" s="19"/>
      <c r="RTS44" s="19"/>
      <c r="RTT44" s="19"/>
      <c r="RTU44" s="19"/>
      <c r="RTV44" s="19"/>
      <c r="RTW44" s="19"/>
      <c r="RTX44" s="19"/>
      <c r="RTY44" s="19"/>
      <c r="RTZ44" s="19"/>
      <c r="RUA44" s="19"/>
      <c r="RUB44" s="19"/>
      <c r="RUC44" s="19"/>
      <c r="RUD44" s="19"/>
      <c r="RUE44" s="19"/>
      <c r="RUF44" s="19"/>
      <c r="RUG44" s="19"/>
      <c r="RUH44" s="19"/>
      <c r="RUI44" s="19"/>
      <c r="RUJ44" s="19"/>
      <c r="RUK44" s="19"/>
      <c r="RUL44" s="19"/>
      <c r="RUM44" s="19"/>
      <c r="RUN44" s="19"/>
      <c r="RUO44" s="19"/>
      <c r="RUP44" s="19"/>
      <c r="RUQ44" s="19"/>
      <c r="RUR44" s="19"/>
      <c r="RUS44" s="19"/>
      <c r="RUT44" s="19"/>
      <c r="RUU44" s="19"/>
      <c r="RUV44" s="19"/>
      <c r="RUW44" s="19"/>
      <c r="RUX44" s="19"/>
      <c r="RUY44" s="19"/>
      <c r="RUZ44" s="19"/>
      <c r="RVA44" s="19"/>
      <c r="RVB44" s="19"/>
      <c r="RVC44" s="19"/>
      <c r="RVD44" s="19"/>
      <c r="RVE44" s="19"/>
      <c r="RVF44" s="19"/>
      <c r="RVG44" s="19"/>
      <c r="RVH44" s="19"/>
      <c r="RVI44" s="19"/>
      <c r="RVJ44" s="19"/>
      <c r="RVK44" s="19"/>
      <c r="RVL44" s="19"/>
      <c r="RVM44" s="19"/>
      <c r="RVN44" s="19"/>
      <c r="RVO44" s="19"/>
      <c r="RVP44" s="19"/>
      <c r="RVQ44" s="19"/>
      <c r="RVR44" s="19"/>
      <c r="RVS44" s="19"/>
      <c r="RVT44" s="19"/>
      <c r="RVU44" s="19"/>
      <c r="RVV44" s="19"/>
      <c r="RVW44" s="19"/>
      <c r="RVX44" s="19"/>
      <c r="RVY44" s="19"/>
      <c r="RVZ44" s="19"/>
      <c r="RWA44" s="19"/>
      <c r="RWB44" s="19"/>
      <c r="RWC44" s="19"/>
      <c r="RWD44" s="19"/>
      <c r="RWE44" s="19"/>
      <c r="RWF44" s="19"/>
      <c r="RWG44" s="19"/>
      <c r="RWH44" s="19"/>
      <c r="RWI44" s="19"/>
      <c r="RWJ44" s="19"/>
      <c r="RWK44" s="19"/>
      <c r="RWL44" s="19"/>
      <c r="RWM44" s="19"/>
      <c r="RWN44" s="19"/>
      <c r="RWO44" s="19"/>
      <c r="RWP44" s="19"/>
      <c r="RWQ44" s="19"/>
      <c r="RWR44" s="19"/>
      <c r="RWS44" s="19"/>
      <c r="RWT44" s="19"/>
      <c r="RWU44" s="19"/>
      <c r="RWV44" s="19"/>
      <c r="RWW44" s="19"/>
      <c r="RWX44" s="19"/>
      <c r="RWY44" s="19"/>
      <c r="RWZ44" s="19"/>
      <c r="RXA44" s="19"/>
      <c r="RXB44" s="19"/>
      <c r="RXC44" s="19"/>
      <c r="RXD44" s="19"/>
      <c r="RXE44" s="19"/>
      <c r="RXF44" s="19"/>
      <c r="RXG44" s="19"/>
      <c r="RXH44" s="19"/>
      <c r="RXI44" s="19"/>
      <c r="RXJ44" s="19"/>
      <c r="RXK44" s="19"/>
      <c r="RXL44" s="19"/>
      <c r="RXM44" s="19"/>
      <c r="RXN44" s="19"/>
      <c r="RXO44" s="19"/>
      <c r="RXP44" s="19"/>
      <c r="RXQ44" s="19"/>
      <c r="RXR44" s="19"/>
      <c r="RXS44" s="19"/>
      <c r="RXT44" s="19"/>
      <c r="RXU44" s="19"/>
      <c r="RXV44" s="19"/>
      <c r="RXW44" s="19"/>
      <c r="RXX44" s="19"/>
      <c r="RXY44" s="19"/>
      <c r="RXZ44" s="19"/>
      <c r="RYA44" s="19"/>
      <c r="RYB44" s="19"/>
      <c r="RYC44" s="19"/>
      <c r="RYD44" s="19"/>
      <c r="RYE44" s="19"/>
      <c r="RYF44" s="19"/>
      <c r="RYG44" s="19"/>
      <c r="RYH44" s="19"/>
      <c r="RYI44" s="19"/>
      <c r="RYJ44" s="19"/>
      <c r="RYK44" s="19"/>
      <c r="RYL44" s="19"/>
      <c r="RYM44" s="19"/>
      <c r="RYN44" s="19"/>
      <c r="RYO44" s="19"/>
      <c r="RYP44" s="19"/>
      <c r="RYQ44" s="19"/>
      <c r="RYR44" s="19"/>
      <c r="RYS44" s="19"/>
      <c r="RYT44" s="19"/>
      <c r="RYU44" s="19"/>
      <c r="RYV44" s="19"/>
      <c r="RYW44" s="19"/>
      <c r="RYX44" s="19"/>
      <c r="RYY44" s="19"/>
      <c r="RYZ44" s="19"/>
      <c r="RZA44" s="19"/>
      <c r="RZB44" s="19"/>
      <c r="RZC44" s="19"/>
      <c r="RZD44" s="19"/>
      <c r="RZE44" s="19"/>
      <c r="RZF44" s="19"/>
      <c r="RZG44" s="19"/>
      <c r="RZH44" s="19"/>
      <c r="RZI44" s="19"/>
      <c r="RZJ44" s="19"/>
      <c r="RZK44" s="19"/>
      <c r="RZL44" s="19"/>
      <c r="RZM44" s="19"/>
      <c r="RZN44" s="19"/>
      <c r="RZO44" s="19"/>
      <c r="RZP44" s="19"/>
      <c r="RZQ44" s="19"/>
      <c r="RZR44" s="19"/>
      <c r="RZS44" s="19"/>
      <c r="RZT44" s="19"/>
      <c r="RZU44" s="19"/>
      <c r="RZV44" s="19"/>
      <c r="RZW44" s="19"/>
      <c r="RZX44" s="19"/>
      <c r="RZY44" s="19"/>
      <c r="RZZ44" s="19"/>
      <c r="SAA44" s="19"/>
      <c r="SAB44" s="19"/>
      <c r="SAC44" s="19"/>
      <c r="SAD44" s="19"/>
      <c r="SAE44" s="19"/>
      <c r="SAF44" s="19"/>
      <c r="SAG44" s="19"/>
      <c r="SAH44" s="19"/>
      <c r="SAI44" s="19"/>
      <c r="SAJ44" s="19"/>
      <c r="SAK44" s="19"/>
      <c r="SAL44" s="19"/>
      <c r="SAM44" s="19"/>
      <c r="SAN44" s="19"/>
      <c r="SAO44" s="19"/>
      <c r="SAP44" s="19"/>
      <c r="SAQ44" s="19"/>
      <c r="SAR44" s="19"/>
      <c r="SAS44" s="19"/>
      <c r="SAT44" s="19"/>
      <c r="SAU44" s="19"/>
      <c r="SAV44" s="19"/>
      <c r="SAW44" s="19"/>
      <c r="SAX44" s="19"/>
      <c r="SAY44" s="19"/>
      <c r="SAZ44" s="19"/>
      <c r="SBA44" s="19"/>
      <c r="SBB44" s="19"/>
      <c r="SBC44" s="19"/>
      <c r="SBD44" s="19"/>
      <c r="SBE44" s="19"/>
      <c r="SBF44" s="19"/>
      <c r="SBG44" s="19"/>
      <c r="SBH44" s="19"/>
      <c r="SBI44" s="19"/>
      <c r="SBJ44" s="19"/>
      <c r="SBK44" s="19"/>
      <c r="SBL44" s="19"/>
      <c r="SBM44" s="19"/>
      <c r="SBN44" s="19"/>
      <c r="SBO44" s="19"/>
      <c r="SBP44" s="19"/>
      <c r="SBQ44" s="19"/>
      <c r="SBR44" s="19"/>
      <c r="SBS44" s="19"/>
      <c r="SBT44" s="19"/>
      <c r="SBU44" s="19"/>
      <c r="SBV44" s="19"/>
      <c r="SBW44" s="19"/>
      <c r="SBX44" s="19"/>
      <c r="SBY44" s="19"/>
      <c r="SBZ44" s="19"/>
      <c r="SCA44" s="19"/>
      <c r="SCB44" s="19"/>
      <c r="SCC44" s="19"/>
      <c r="SCD44" s="19"/>
      <c r="SCE44" s="19"/>
      <c r="SCF44" s="19"/>
      <c r="SCG44" s="19"/>
      <c r="SCH44" s="19"/>
      <c r="SCI44" s="19"/>
      <c r="SCJ44" s="19"/>
      <c r="SCK44" s="19"/>
      <c r="SCL44" s="19"/>
      <c r="SCM44" s="19"/>
      <c r="SCN44" s="19"/>
      <c r="SCO44" s="19"/>
      <c r="SCP44" s="19"/>
      <c r="SCQ44" s="19"/>
      <c r="SCR44" s="19"/>
      <c r="SCS44" s="19"/>
      <c r="SCT44" s="19"/>
      <c r="SCU44" s="19"/>
      <c r="SCV44" s="19"/>
      <c r="SCW44" s="19"/>
      <c r="SCX44" s="19"/>
      <c r="SCY44" s="19"/>
      <c r="SCZ44" s="19"/>
      <c r="SDA44" s="19"/>
      <c r="SDB44" s="19"/>
      <c r="SDC44" s="19"/>
      <c r="SDD44" s="19"/>
      <c r="SDE44" s="19"/>
      <c r="SDF44" s="19"/>
      <c r="SDG44" s="19"/>
      <c r="SDH44" s="19"/>
      <c r="SDI44" s="19"/>
      <c r="SDJ44" s="19"/>
      <c r="SDK44" s="19"/>
      <c r="SDL44" s="19"/>
      <c r="SDM44" s="19"/>
      <c r="SDN44" s="19"/>
      <c r="SDO44" s="19"/>
      <c r="SDP44" s="19"/>
      <c r="SDQ44" s="19"/>
      <c r="SDR44" s="19"/>
      <c r="SDS44" s="19"/>
      <c r="SDT44" s="19"/>
      <c r="SDU44" s="19"/>
      <c r="SDV44" s="19"/>
      <c r="SDW44" s="19"/>
      <c r="SDX44" s="19"/>
      <c r="SDY44" s="19"/>
      <c r="SDZ44" s="19"/>
      <c r="SEA44" s="19"/>
      <c r="SEB44" s="19"/>
      <c r="SEC44" s="19"/>
      <c r="SED44" s="19"/>
      <c r="SEE44" s="19"/>
      <c r="SEF44" s="19"/>
      <c r="SEG44" s="19"/>
      <c r="SEH44" s="19"/>
      <c r="SEI44" s="19"/>
      <c r="SEJ44" s="19"/>
      <c r="SEK44" s="19"/>
      <c r="SEL44" s="19"/>
      <c r="SEM44" s="19"/>
      <c r="SEN44" s="19"/>
      <c r="SEO44" s="19"/>
      <c r="SEP44" s="19"/>
      <c r="SEQ44" s="19"/>
      <c r="SER44" s="19"/>
      <c r="SES44" s="19"/>
      <c r="SET44" s="19"/>
      <c r="SEU44" s="19"/>
      <c r="SEV44" s="19"/>
      <c r="SEW44" s="19"/>
      <c r="SEX44" s="19"/>
      <c r="SEY44" s="19"/>
      <c r="SEZ44" s="19"/>
      <c r="SFA44" s="19"/>
      <c r="SFB44" s="19"/>
      <c r="SFC44" s="19"/>
      <c r="SFD44" s="19"/>
      <c r="SFE44" s="19"/>
      <c r="SFF44" s="19"/>
      <c r="SFG44" s="19"/>
      <c r="SFH44" s="19"/>
      <c r="SFI44" s="19"/>
      <c r="SFJ44" s="19"/>
      <c r="SFK44" s="19"/>
      <c r="SFL44" s="19"/>
      <c r="SFM44" s="19"/>
      <c r="SFN44" s="19"/>
      <c r="SFO44" s="19"/>
      <c r="SFP44" s="19"/>
      <c r="SFQ44" s="19"/>
      <c r="SFR44" s="19"/>
      <c r="SFS44" s="19"/>
      <c r="SFT44" s="19"/>
      <c r="SFU44" s="19"/>
      <c r="SFV44" s="19"/>
      <c r="SFW44" s="19"/>
      <c r="SFX44" s="19"/>
      <c r="SFY44" s="19"/>
      <c r="SFZ44" s="19"/>
      <c r="SGA44" s="19"/>
      <c r="SGB44" s="19"/>
      <c r="SGC44" s="19"/>
      <c r="SGD44" s="19"/>
      <c r="SGE44" s="19"/>
      <c r="SGF44" s="19"/>
      <c r="SGG44" s="19"/>
      <c r="SGH44" s="19"/>
      <c r="SGI44" s="19"/>
      <c r="SGJ44" s="19"/>
      <c r="SGK44" s="19"/>
      <c r="SGL44" s="19"/>
      <c r="SGM44" s="19"/>
      <c r="SGN44" s="19"/>
      <c r="SGO44" s="19"/>
      <c r="SGP44" s="19"/>
      <c r="SGQ44" s="19"/>
      <c r="SGR44" s="19"/>
      <c r="SGS44" s="19"/>
      <c r="SGT44" s="19"/>
      <c r="SGU44" s="19"/>
      <c r="SGV44" s="19"/>
      <c r="SGW44" s="19"/>
      <c r="SGX44" s="19"/>
      <c r="SGY44" s="19"/>
      <c r="SGZ44" s="19"/>
      <c r="SHA44" s="19"/>
      <c r="SHB44" s="19"/>
      <c r="SHC44" s="19"/>
      <c r="SHD44" s="19"/>
      <c r="SHE44" s="19"/>
      <c r="SHF44" s="19"/>
      <c r="SHG44" s="19"/>
      <c r="SHH44" s="19"/>
      <c r="SHI44" s="19"/>
      <c r="SHJ44" s="19"/>
      <c r="SHK44" s="19"/>
      <c r="SHL44" s="19"/>
      <c r="SHM44" s="19"/>
      <c r="SHN44" s="19"/>
      <c r="SHO44" s="19"/>
      <c r="SHP44" s="19"/>
      <c r="SHQ44" s="19"/>
      <c r="SHR44" s="19"/>
      <c r="SHS44" s="19"/>
      <c r="SHT44" s="19"/>
      <c r="SHU44" s="19"/>
      <c r="SHV44" s="19"/>
      <c r="SHW44" s="19"/>
      <c r="SHX44" s="19"/>
      <c r="SHY44" s="19"/>
      <c r="SHZ44" s="19"/>
      <c r="SIA44" s="19"/>
      <c r="SIB44" s="19"/>
      <c r="SIC44" s="19"/>
      <c r="SID44" s="19"/>
      <c r="SIE44" s="19"/>
      <c r="SIF44" s="19"/>
      <c r="SIG44" s="19"/>
      <c r="SIH44" s="19"/>
      <c r="SII44" s="19"/>
      <c r="SIJ44" s="19"/>
      <c r="SIK44" s="19"/>
      <c r="SIL44" s="19"/>
      <c r="SIM44" s="19"/>
      <c r="SIN44" s="19"/>
      <c r="SIO44" s="19"/>
      <c r="SIP44" s="19"/>
      <c r="SIQ44" s="19"/>
      <c r="SIR44" s="19"/>
      <c r="SIS44" s="19"/>
      <c r="SIT44" s="19"/>
      <c r="SIU44" s="19"/>
      <c r="SIV44" s="19"/>
      <c r="SIW44" s="19"/>
      <c r="SIX44" s="19"/>
      <c r="SIY44" s="19"/>
      <c r="SIZ44" s="19"/>
      <c r="SJA44" s="19"/>
      <c r="SJB44" s="19"/>
      <c r="SJC44" s="19"/>
      <c r="SJD44" s="19"/>
      <c r="SJE44" s="19"/>
      <c r="SJF44" s="19"/>
      <c r="SJG44" s="19"/>
      <c r="SJH44" s="19"/>
      <c r="SJI44" s="19"/>
      <c r="SJJ44" s="19"/>
      <c r="SJK44" s="19"/>
      <c r="SJL44" s="19"/>
      <c r="SJM44" s="19"/>
      <c r="SJN44" s="19"/>
      <c r="SJO44" s="19"/>
      <c r="SJP44" s="19"/>
      <c r="SJQ44" s="19"/>
      <c r="SJR44" s="19"/>
      <c r="SJS44" s="19"/>
      <c r="SJT44" s="19"/>
      <c r="SJU44" s="19"/>
      <c r="SJV44" s="19"/>
      <c r="SJW44" s="19"/>
      <c r="SJX44" s="19"/>
      <c r="SJY44" s="19"/>
      <c r="SJZ44" s="19"/>
      <c r="SKA44" s="19"/>
      <c r="SKB44" s="19"/>
      <c r="SKC44" s="19"/>
      <c r="SKD44" s="19"/>
      <c r="SKE44" s="19"/>
      <c r="SKF44" s="19"/>
      <c r="SKG44" s="19"/>
      <c r="SKH44" s="19"/>
      <c r="SKI44" s="19"/>
      <c r="SKJ44" s="19"/>
      <c r="SKK44" s="19"/>
      <c r="SKL44" s="19"/>
      <c r="SKM44" s="19"/>
      <c r="SKN44" s="19"/>
      <c r="SKO44" s="19"/>
      <c r="SKP44" s="19"/>
      <c r="SKQ44" s="19"/>
      <c r="SKR44" s="19"/>
      <c r="SKS44" s="19"/>
      <c r="SKT44" s="19"/>
      <c r="SKU44" s="19"/>
      <c r="SKV44" s="19"/>
      <c r="SKW44" s="19"/>
      <c r="SKX44" s="19"/>
      <c r="SKY44" s="19"/>
      <c r="SKZ44" s="19"/>
      <c r="SLA44" s="19"/>
      <c r="SLB44" s="19"/>
      <c r="SLC44" s="19"/>
      <c r="SLD44" s="19"/>
      <c r="SLE44" s="19"/>
      <c r="SLF44" s="19"/>
      <c r="SLG44" s="19"/>
      <c r="SLH44" s="19"/>
      <c r="SLI44" s="19"/>
      <c r="SLJ44" s="19"/>
      <c r="SLK44" s="19"/>
      <c r="SLL44" s="19"/>
      <c r="SLM44" s="19"/>
      <c r="SLN44" s="19"/>
      <c r="SLO44" s="19"/>
      <c r="SLP44" s="19"/>
      <c r="SLQ44" s="19"/>
      <c r="SLR44" s="19"/>
      <c r="SLS44" s="19"/>
      <c r="SLT44" s="19"/>
      <c r="SLU44" s="19"/>
      <c r="SLV44" s="19"/>
      <c r="SLW44" s="19"/>
      <c r="SLX44" s="19"/>
      <c r="SLY44" s="19"/>
      <c r="SLZ44" s="19"/>
      <c r="SMA44" s="19"/>
      <c r="SMB44" s="19"/>
      <c r="SMC44" s="19"/>
      <c r="SMD44" s="19"/>
      <c r="SME44" s="19"/>
      <c r="SMF44" s="19"/>
      <c r="SMG44" s="19"/>
      <c r="SMH44" s="19"/>
      <c r="SMI44" s="19"/>
      <c r="SMJ44" s="19"/>
      <c r="SMK44" s="19"/>
      <c r="SML44" s="19"/>
      <c r="SMM44" s="19"/>
      <c r="SMN44" s="19"/>
      <c r="SMO44" s="19"/>
      <c r="SMP44" s="19"/>
      <c r="SMQ44" s="19"/>
      <c r="SMR44" s="19"/>
      <c r="SMS44" s="19"/>
      <c r="SMT44" s="19"/>
      <c r="SMU44" s="19"/>
      <c r="SMV44" s="19"/>
      <c r="SMW44" s="19"/>
      <c r="SMX44" s="19"/>
      <c r="SMY44" s="19"/>
      <c r="SMZ44" s="19"/>
      <c r="SNA44" s="19"/>
      <c r="SNB44" s="19"/>
      <c r="SNC44" s="19"/>
      <c r="SND44" s="19"/>
      <c r="SNE44" s="19"/>
      <c r="SNF44" s="19"/>
      <c r="SNG44" s="19"/>
      <c r="SNH44" s="19"/>
      <c r="SNI44" s="19"/>
      <c r="SNJ44" s="19"/>
      <c r="SNK44" s="19"/>
      <c r="SNL44" s="19"/>
      <c r="SNM44" s="19"/>
      <c r="SNN44" s="19"/>
      <c r="SNO44" s="19"/>
      <c r="SNP44" s="19"/>
      <c r="SNQ44" s="19"/>
      <c r="SNR44" s="19"/>
      <c r="SNS44" s="19"/>
      <c r="SNT44" s="19"/>
      <c r="SNU44" s="19"/>
      <c r="SNV44" s="19"/>
      <c r="SNW44" s="19"/>
      <c r="SNX44" s="19"/>
      <c r="SNY44" s="19"/>
      <c r="SNZ44" s="19"/>
      <c r="SOA44" s="19"/>
      <c r="SOB44" s="19"/>
      <c r="SOC44" s="19"/>
      <c r="SOD44" s="19"/>
      <c r="SOE44" s="19"/>
      <c r="SOF44" s="19"/>
      <c r="SOG44" s="19"/>
      <c r="SOH44" s="19"/>
      <c r="SOI44" s="19"/>
      <c r="SOJ44" s="19"/>
      <c r="SOK44" s="19"/>
      <c r="SOL44" s="19"/>
      <c r="SOM44" s="19"/>
      <c r="SON44" s="19"/>
      <c r="SOO44" s="19"/>
      <c r="SOP44" s="19"/>
      <c r="SOQ44" s="19"/>
      <c r="SOR44" s="19"/>
      <c r="SOS44" s="19"/>
      <c r="SOT44" s="19"/>
      <c r="SOU44" s="19"/>
      <c r="SOV44" s="19"/>
      <c r="SOW44" s="19"/>
      <c r="SOX44" s="19"/>
      <c r="SOY44" s="19"/>
      <c r="SOZ44" s="19"/>
      <c r="SPA44" s="19"/>
      <c r="SPB44" s="19"/>
      <c r="SPC44" s="19"/>
      <c r="SPD44" s="19"/>
      <c r="SPE44" s="19"/>
      <c r="SPF44" s="19"/>
      <c r="SPG44" s="19"/>
      <c r="SPH44" s="19"/>
      <c r="SPI44" s="19"/>
      <c r="SPJ44" s="19"/>
      <c r="SPK44" s="19"/>
      <c r="SPL44" s="19"/>
      <c r="SPM44" s="19"/>
      <c r="SPN44" s="19"/>
      <c r="SPO44" s="19"/>
      <c r="SPP44" s="19"/>
      <c r="SPQ44" s="19"/>
      <c r="SPR44" s="19"/>
      <c r="SPS44" s="19"/>
      <c r="SPT44" s="19"/>
      <c r="SPU44" s="19"/>
      <c r="SPV44" s="19"/>
      <c r="SPW44" s="19"/>
      <c r="SPX44" s="19"/>
      <c r="SPY44" s="19"/>
      <c r="SPZ44" s="19"/>
      <c r="SQA44" s="19"/>
      <c r="SQB44" s="19"/>
      <c r="SQC44" s="19"/>
      <c r="SQD44" s="19"/>
      <c r="SQE44" s="19"/>
      <c r="SQF44" s="19"/>
      <c r="SQG44" s="19"/>
      <c r="SQH44" s="19"/>
      <c r="SQI44" s="19"/>
      <c r="SQJ44" s="19"/>
      <c r="SQK44" s="19"/>
      <c r="SQL44" s="19"/>
      <c r="SQM44" s="19"/>
      <c r="SQN44" s="19"/>
      <c r="SQO44" s="19"/>
      <c r="SQP44" s="19"/>
      <c r="SQQ44" s="19"/>
      <c r="SQR44" s="19"/>
      <c r="SQS44" s="19"/>
      <c r="SQT44" s="19"/>
      <c r="SQU44" s="19"/>
      <c r="SQV44" s="19"/>
      <c r="SQW44" s="19"/>
      <c r="SQX44" s="19"/>
      <c r="SQY44" s="19"/>
      <c r="SQZ44" s="19"/>
      <c r="SRA44" s="19"/>
      <c r="SRB44" s="19"/>
      <c r="SRC44" s="19"/>
      <c r="SRD44" s="19"/>
      <c r="SRE44" s="19"/>
      <c r="SRF44" s="19"/>
      <c r="SRG44" s="19"/>
      <c r="SRH44" s="19"/>
      <c r="SRI44" s="19"/>
      <c r="SRJ44" s="19"/>
      <c r="SRK44" s="19"/>
      <c r="SRL44" s="19"/>
      <c r="SRM44" s="19"/>
      <c r="SRN44" s="19"/>
      <c r="SRO44" s="19"/>
      <c r="SRP44" s="19"/>
      <c r="SRQ44" s="19"/>
      <c r="SRR44" s="19"/>
      <c r="SRS44" s="19"/>
      <c r="SRT44" s="19"/>
      <c r="SRU44" s="19"/>
      <c r="SRV44" s="19"/>
      <c r="SRW44" s="19"/>
      <c r="SRX44" s="19"/>
      <c r="SRY44" s="19"/>
      <c r="SRZ44" s="19"/>
      <c r="SSA44" s="19"/>
      <c r="SSB44" s="19"/>
      <c r="SSC44" s="19"/>
      <c r="SSD44" s="19"/>
      <c r="SSE44" s="19"/>
      <c r="SSF44" s="19"/>
      <c r="SSG44" s="19"/>
      <c r="SSH44" s="19"/>
      <c r="SSI44" s="19"/>
      <c r="SSJ44" s="19"/>
      <c r="SSK44" s="19"/>
      <c r="SSL44" s="19"/>
      <c r="SSM44" s="19"/>
      <c r="SSN44" s="19"/>
      <c r="SSO44" s="19"/>
      <c r="SSP44" s="19"/>
      <c r="SSQ44" s="19"/>
      <c r="SSR44" s="19"/>
      <c r="SSS44" s="19"/>
      <c r="SST44" s="19"/>
      <c r="SSU44" s="19"/>
      <c r="SSV44" s="19"/>
      <c r="SSW44" s="19"/>
      <c r="SSX44" s="19"/>
      <c r="SSY44" s="19"/>
      <c r="SSZ44" s="19"/>
      <c r="STA44" s="19"/>
      <c r="STB44" s="19"/>
      <c r="STC44" s="19"/>
      <c r="STD44" s="19"/>
      <c r="STE44" s="19"/>
      <c r="STF44" s="19"/>
      <c r="STG44" s="19"/>
      <c r="STH44" s="19"/>
      <c r="STI44" s="19"/>
      <c r="STJ44" s="19"/>
      <c r="STK44" s="19"/>
      <c r="STL44" s="19"/>
      <c r="STM44" s="19"/>
      <c r="STN44" s="19"/>
      <c r="STO44" s="19"/>
      <c r="STP44" s="19"/>
      <c r="STQ44" s="19"/>
      <c r="STR44" s="19"/>
      <c r="STS44" s="19"/>
      <c r="STT44" s="19"/>
      <c r="STU44" s="19"/>
      <c r="STV44" s="19"/>
      <c r="STW44" s="19"/>
      <c r="STX44" s="19"/>
      <c r="STY44" s="19"/>
      <c r="STZ44" s="19"/>
      <c r="SUA44" s="19"/>
      <c r="SUB44" s="19"/>
      <c r="SUC44" s="19"/>
      <c r="SUD44" s="19"/>
      <c r="SUE44" s="19"/>
      <c r="SUF44" s="19"/>
      <c r="SUG44" s="19"/>
      <c r="SUH44" s="19"/>
      <c r="SUI44" s="19"/>
      <c r="SUJ44" s="19"/>
      <c r="SUK44" s="19"/>
      <c r="SUL44" s="19"/>
      <c r="SUM44" s="19"/>
      <c r="SUN44" s="19"/>
      <c r="SUO44" s="19"/>
      <c r="SUP44" s="19"/>
      <c r="SUQ44" s="19"/>
      <c r="SUR44" s="19"/>
      <c r="SUS44" s="19"/>
      <c r="SUT44" s="19"/>
      <c r="SUU44" s="19"/>
      <c r="SUV44" s="19"/>
      <c r="SUW44" s="19"/>
      <c r="SUX44" s="19"/>
      <c r="SUY44" s="19"/>
      <c r="SUZ44" s="19"/>
      <c r="SVA44" s="19"/>
      <c r="SVB44" s="19"/>
      <c r="SVC44" s="19"/>
      <c r="SVD44" s="19"/>
      <c r="SVE44" s="19"/>
      <c r="SVF44" s="19"/>
      <c r="SVG44" s="19"/>
      <c r="SVH44" s="19"/>
      <c r="SVI44" s="19"/>
      <c r="SVJ44" s="19"/>
      <c r="SVK44" s="19"/>
      <c r="SVL44" s="19"/>
      <c r="SVM44" s="19"/>
      <c r="SVN44" s="19"/>
      <c r="SVO44" s="19"/>
      <c r="SVP44" s="19"/>
      <c r="SVQ44" s="19"/>
      <c r="SVR44" s="19"/>
      <c r="SVS44" s="19"/>
      <c r="SVT44" s="19"/>
      <c r="SVU44" s="19"/>
      <c r="SVV44" s="19"/>
      <c r="SVW44" s="19"/>
      <c r="SVX44" s="19"/>
      <c r="SVY44" s="19"/>
      <c r="SVZ44" s="19"/>
      <c r="SWA44" s="19"/>
      <c r="SWB44" s="19"/>
      <c r="SWC44" s="19"/>
      <c r="SWD44" s="19"/>
      <c r="SWE44" s="19"/>
      <c r="SWF44" s="19"/>
      <c r="SWG44" s="19"/>
      <c r="SWH44" s="19"/>
      <c r="SWI44" s="19"/>
      <c r="SWJ44" s="19"/>
      <c r="SWK44" s="19"/>
      <c r="SWL44" s="19"/>
      <c r="SWM44" s="19"/>
      <c r="SWN44" s="19"/>
      <c r="SWO44" s="19"/>
      <c r="SWP44" s="19"/>
      <c r="SWQ44" s="19"/>
      <c r="SWR44" s="19"/>
      <c r="SWS44" s="19"/>
      <c r="SWT44" s="19"/>
      <c r="SWU44" s="19"/>
      <c r="SWV44" s="19"/>
      <c r="SWW44" s="19"/>
      <c r="SWX44" s="19"/>
      <c r="SWY44" s="19"/>
      <c r="SWZ44" s="19"/>
      <c r="SXA44" s="19"/>
      <c r="SXB44" s="19"/>
      <c r="SXC44" s="19"/>
      <c r="SXD44" s="19"/>
      <c r="SXE44" s="19"/>
      <c r="SXF44" s="19"/>
      <c r="SXG44" s="19"/>
      <c r="SXH44" s="19"/>
      <c r="SXI44" s="19"/>
      <c r="SXJ44" s="19"/>
      <c r="SXK44" s="19"/>
      <c r="SXL44" s="19"/>
      <c r="SXM44" s="19"/>
      <c r="SXN44" s="19"/>
      <c r="SXO44" s="19"/>
      <c r="SXP44" s="19"/>
      <c r="SXQ44" s="19"/>
      <c r="SXR44" s="19"/>
      <c r="SXS44" s="19"/>
      <c r="SXT44" s="19"/>
      <c r="SXU44" s="19"/>
      <c r="SXV44" s="19"/>
      <c r="SXW44" s="19"/>
      <c r="SXX44" s="19"/>
      <c r="SXY44" s="19"/>
      <c r="SXZ44" s="19"/>
      <c r="SYA44" s="19"/>
      <c r="SYB44" s="19"/>
      <c r="SYC44" s="19"/>
      <c r="SYD44" s="19"/>
      <c r="SYE44" s="19"/>
      <c r="SYF44" s="19"/>
      <c r="SYG44" s="19"/>
      <c r="SYH44" s="19"/>
      <c r="SYI44" s="19"/>
      <c r="SYJ44" s="19"/>
      <c r="SYK44" s="19"/>
      <c r="SYL44" s="19"/>
      <c r="SYM44" s="19"/>
      <c r="SYN44" s="19"/>
      <c r="SYO44" s="19"/>
      <c r="SYP44" s="19"/>
      <c r="SYQ44" s="19"/>
      <c r="SYR44" s="19"/>
      <c r="SYS44" s="19"/>
      <c r="SYT44" s="19"/>
      <c r="SYU44" s="19"/>
      <c r="SYV44" s="19"/>
      <c r="SYW44" s="19"/>
      <c r="SYX44" s="19"/>
      <c r="SYY44" s="19"/>
      <c r="SYZ44" s="19"/>
      <c r="SZA44" s="19"/>
      <c r="SZB44" s="19"/>
      <c r="SZC44" s="19"/>
      <c r="SZD44" s="19"/>
      <c r="SZE44" s="19"/>
      <c r="SZF44" s="19"/>
      <c r="SZG44" s="19"/>
      <c r="SZH44" s="19"/>
      <c r="SZI44" s="19"/>
      <c r="SZJ44" s="19"/>
      <c r="SZK44" s="19"/>
      <c r="SZL44" s="19"/>
      <c r="SZM44" s="19"/>
      <c r="SZN44" s="19"/>
      <c r="SZO44" s="19"/>
      <c r="SZP44" s="19"/>
      <c r="SZQ44" s="19"/>
      <c r="SZR44" s="19"/>
      <c r="SZS44" s="19"/>
      <c r="SZT44" s="19"/>
      <c r="SZU44" s="19"/>
      <c r="SZV44" s="19"/>
      <c r="SZW44" s="19"/>
      <c r="SZX44" s="19"/>
      <c r="SZY44" s="19"/>
      <c r="SZZ44" s="19"/>
      <c r="TAA44" s="19"/>
      <c r="TAB44" s="19"/>
      <c r="TAC44" s="19"/>
      <c r="TAD44" s="19"/>
      <c r="TAE44" s="19"/>
      <c r="TAF44" s="19"/>
      <c r="TAG44" s="19"/>
      <c r="TAH44" s="19"/>
      <c r="TAI44" s="19"/>
      <c r="TAJ44" s="19"/>
      <c r="TAK44" s="19"/>
      <c r="TAL44" s="19"/>
      <c r="TAM44" s="19"/>
      <c r="TAN44" s="19"/>
      <c r="TAO44" s="19"/>
      <c r="TAP44" s="19"/>
      <c r="TAQ44" s="19"/>
      <c r="TAR44" s="19"/>
      <c r="TAS44" s="19"/>
      <c r="TAT44" s="19"/>
      <c r="TAU44" s="19"/>
      <c r="TAV44" s="19"/>
      <c r="TAW44" s="19"/>
      <c r="TAX44" s="19"/>
      <c r="TAY44" s="19"/>
      <c r="TAZ44" s="19"/>
      <c r="TBA44" s="19"/>
      <c r="TBB44" s="19"/>
      <c r="TBC44" s="19"/>
      <c r="TBD44" s="19"/>
      <c r="TBE44" s="19"/>
      <c r="TBF44" s="19"/>
      <c r="TBG44" s="19"/>
      <c r="TBH44" s="19"/>
      <c r="TBI44" s="19"/>
      <c r="TBJ44" s="19"/>
      <c r="TBK44" s="19"/>
      <c r="TBL44" s="19"/>
      <c r="TBM44" s="19"/>
      <c r="TBN44" s="19"/>
      <c r="TBO44" s="19"/>
      <c r="TBP44" s="19"/>
      <c r="TBQ44" s="19"/>
      <c r="TBR44" s="19"/>
      <c r="TBS44" s="19"/>
      <c r="TBT44" s="19"/>
      <c r="TBU44" s="19"/>
      <c r="TBV44" s="19"/>
      <c r="TBW44" s="19"/>
      <c r="TBX44" s="19"/>
      <c r="TBY44" s="19"/>
      <c r="TBZ44" s="19"/>
      <c r="TCA44" s="19"/>
      <c r="TCB44" s="19"/>
      <c r="TCC44" s="19"/>
      <c r="TCD44" s="19"/>
      <c r="TCE44" s="19"/>
      <c r="TCF44" s="19"/>
      <c r="TCG44" s="19"/>
      <c r="TCH44" s="19"/>
      <c r="TCI44" s="19"/>
      <c r="TCJ44" s="19"/>
      <c r="TCK44" s="19"/>
      <c r="TCL44" s="19"/>
      <c r="TCM44" s="19"/>
      <c r="TCN44" s="19"/>
      <c r="TCO44" s="19"/>
      <c r="TCP44" s="19"/>
      <c r="TCQ44" s="19"/>
      <c r="TCR44" s="19"/>
      <c r="TCS44" s="19"/>
      <c r="TCT44" s="19"/>
      <c r="TCU44" s="19"/>
      <c r="TCV44" s="19"/>
      <c r="TCW44" s="19"/>
      <c r="TCX44" s="19"/>
      <c r="TCY44" s="19"/>
      <c r="TCZ44" s="19"/>
      <c r="TDA44" s="19"/>
      <c r="TDB44" s="19"/>
      <c r="TDC44" s="19"/>
      <c r="TDD44" s="19"/>
      <c r="TDE44" s="19"/>
      <c r="TDF44" s="19"/>
      <c r="TDG44" s="19"/>
      <c r="TDH44" s="19"/>
      <c r="TDI44" s="19"/>
      <c r="TDJ44" s="19"/>
      <c r="TDK44" s="19"/>
      <c r="TDL44" s="19"/>
      <c r="TDM44" s="19"/>
      <c r="TDN44" s="19"/>
      <c r="TDO44" s="19"/>
      <c r="TDP44" s="19"/>
      <c r="TDQ44" s="19"/>
      <c r="TDR44" s="19"/>
      <c r="TDS44" s="19"/>
      <c r="TDT44" s="19"/>
      <c r="TDU44" s="19"/>
      <c r="TDV44" s="19"/>
      <c r="TDW44" s="19"/>
      <c r="TDX44" s="19"/>
      <c r="TDY44" s="19"/>
      <c r="TDZ44" s="19"/>
      <c r="TEA44" s="19"/>
      <c r="TEB44" s="19"/>
      <c r="TEC44" s="19"/>
      <c r="TED44" s="19"/>
      <c r="TEE44" s="19"/>
      <c r="TEF44" s="19"/>
      <c r="TEG44" s="19"/>
      <c r="TEH44" s="19"/>
      <c r="TEI44" s="19"/>
      <c r="TEJ44" s="19"/>
      <c r="TEK44" s="19"/>
      <c r="TEL44" s="19"/>
      <c r="TEM44" s="19"/>
      <c r="TEN44" s="19"/>
      <c r="TEO44" s="19"/>
      <c r="TEP44" s="19"/>
      <c r="TEQ44" s="19"/>
      <c r="TER44" s="19"/>
      <c r="TES44" s="19"/>
      <c r="TET44" s="19"/>
      <c r="TEU44" s="19"/>
      <c r="TEV44" s="19"/>
      <c r="TEW44" s="19"/>
      <c r="TEX44" s="19"/>
      <c r="TEY44" s="19"/>
      <c r="TEZ44" s="19"/>
      <c r="TFA44" s="19"/>
      <c r="TFB44" s="19"/>
      <c r="TFC44" s="19"/>
      <c r="TFD44" s="19"/>
      <c r="TFE44" s="19"/>
      <c r="TFF44" s="19"/>
      <c r="TFG44" s="19"/>
      <c r="TFH44" s="19"/>
      <c r="TFI44" s="19"/>
      <c r="TFJ44" s="19"/>
      <c r="TFK44" s="19"/>
      <c r="TFL44" s="19"/>
      <c r="TFM44" s="19"/>
      <c r="TFN44" s="19"/>
      <c r="TFO44" s="19"/>
      <c r="TFP44" s="19"/>
      <c r="TFQ44" s="19"/>
      <c r="TFR44" s="19"/>
      <c r="TFS44" s="19"/>
      <c r="TFT44" s="19"/>
      <c r="TFU44" s="19"/>
      <c r="TFV44" s="19"/>
      <c r="TFW44" s="19"/>
      <c r="TFX44" s="19"/>
      <c r="TFY44" s="19"/>
      <c r="TFZ44" s="19"/>
      <c r="TGA44" s="19"/>
      <c r="TGB44" s="19"/>
      <c r="TGC44" s="19"/>
      <c r="TGD44" s="19"/>
      <c r="TGE44" s="19"/>
      <c r="TGF44" s="19"/>
      <c r="TGG44" s="19"/>
      <c r="TGH44" s="19"/>
      <c r="TGI44" s="19"/>
      <c r="TGJ44" s="19"/>
      <c r="TGK44" s="19"/>
      <c r="TGL44" s="19"/>
      <c r="TGM44" s="19"/>
      <c r="TGN44" s="19"/>
      <c r="TGO44" s="19"/>
      <c r="TGP44" s="19"/>
      <c r="TGQ44" s="19"/>
      <c r="TGR44" s="19"/>
      <c r="TGS44" s="19"/>
      <c r="TGT44" s="19"/>
      <c r="TGU44" s="19"/>
      <c r="TGV44" s="19"/>
      <c r="TGW44" s="19"/>
      <c r="TGX44" s="19"/>
      <c r="TGY44" s="19"/>
      <c r="TGZ44" s="19"/>
      <c r="THA44" s="19"/>
      <c r="THB44" s="19"/>
      <c r="THC44" s="19"/>
      <c r="THD44" s="19"/>
      <c r="THE44" s="19"/>
      <c r="THF44" s="19"/>
      <c r="THG44" s="19"/>
      <c r="THH44" s="19"/>
      <c r="THI44" s="19"/>
      <c r="THJ44" s="19"/>
      <c r="THK44" s="19"/>
      <c r="THL44" s="19"/>
      <c r="THM44" s="19"/>
      <c r="THN44" s="19"/>
      <c r="THO44" s="19"/>
      <c r="THP44" s="19"/>
      <c r="THQ44" s="19"/>
      <c r="THR44" s="19"/>
      <c r="THS44" s="19"/>
      <c r="THT44" s="19"/>
      <c r="THU44" s="19"/>
      <c r="THV44" s="19"/>
      <c r="THW44" s="19"/>
      <c r="THX44" s="19"/>
      <c r="THY44" s="19"/>
      <c r="THZ44" s="19"/>
      <c r="TIA44" s="19"/>
      <c r="TIB44" s="19"/>
      <c r="TIC44" s="19"/>
      <c r="TID44" s="19"/>
      <c r="TIE44" s="19"/>
      <c r="TIF44" s="19"/>
      <c r="TIG44" s="19"/>
      <c r="TIH44" s="19"/>
      <c r="TII44" s="19"/>
      <c r="TIJ44" s="19"/>
      <c r="TIK44" s="19"/>
      <c r="TIL44" s="19"/>
      <c r="TIM44" s="19"/>
      <c r="TIN44" s="19"/>
      <c r="TIO44" s="19"/>
      <c r="TIP44" s="19"/>
      <c r="TIQ44" s="19"/>
      <c r="TIR44" s="19"/>
      <c r="TIS44" s="19"/>
      <c r="TIT44" s="19"/>
      <c r="TIU44" s="19"/>
      <c r="TIV44" s="19"/>
      <c r="TIW44" s="19"/>
      <c r="TIX44" s="19"/>
      <c r="TIY44" s="19"/>
      <c r="TIZ44" s="19"/>
      <c r="TJA44" s="19"/>
      <c r="TJB44" s="19"/>
      <c r="TJC44" s="19"/>
      <c r="TJD44" s="19"/>
      <c r="TJE44" s="19"/>
      <c r="TJF44" s="19"/>
      <c r="TJG44" s="19"/>
      <c r="TJH44" s="19"/>
      <c r="TJI44" s="19"/>
      <c r="TJJ44" s="19"/>
      <c r="TJK44" s="19"/>
      <c r="TJL44" s="19"/>
      <c r="TJM44" s="19"/>
      <c r="TJN44" s="19"/>
      <c r="TJO44" s="19"/>
      <c r="TJP44" s="19"/>
      <c r="TJQ44" s="19"/>
      <c r="TJR44" s="19"/>
      <c r="TJS44" s="19"/>
      <c r="TJT44" s="19"/>
      <c r="TJU44" s="19"/>
      <c r="TJV44" s="19"/>
      <c r="TJW44" s="19"/>
      <c r="TJX44" s="19"/>
      <c r="TJY44" s="19"/>
      <c r="TJZ44" s="19"/>
      <c r="TKA44" s="19"/>
      <c r="TKB44" s="19"/>
      <c r="TKC44" s="19"/>
      <c r="TKD44" s="19"/>
      <c r="TKE44" s="19"/>
      <c r="TKF44" s="19"/>
      <c r="TKG44" s="19"/>
      <c r="TKH44" s="19"/>
      <c r="TKI44" s="19"/>
      <c r="TKJ44" s="19"/>
      <c r="TKK44" s="19"/>
      <c r="TKL44" s="19"/>
      <c r="TKM44" s="19"/>
      <c r="TKN44" s="19"/>
      <c r="TKO44" s="19"/>
      <c r="TKP44" s="19"/>
      <c r="TKQ44" s="19"/>
      <c r="TKR44" s="19"/>
      <c r="TKS44" s="19"/>
      <c r="TKT44" s="19"/>
      <c r="TKU44" s="19"/>
      <c r="TKV44" s="19"/>
      <c r="TKW44" s="19"/>
      <c r="TKX44" s="19"/>
      <c r="TKY44" s="19"/>
      <c r="TKZ44" s="19"/>
      <c r="TLA44" s="19"/>
      <c r="TLB44" s="19"/>
      <c r="TLC44" s="19"/>
      <c r="TLD44" s="19"/>
      <c r="TLE44" s="19"/>
      <c r="TLF44" s="19"/>
      <c r="TLG44" s="19"/>
      <c r="TLH44" s="19"/>
      <c r="TLI44" s="19"/>
      <c r="TLJ44" s="19"/>
      <c r="TLK44" s="19"/>
      <c r="TLL44" s="19"/>
      <c r="TLM44" s="19"/>
      <c r="TLN44" s="19"/>
      <c r="TLO44" s="19"/>
      <c r="TLP44" s="19"/>
      <c r="TLQ44" s="19"/>
      <c r="TLR44" s="19"/>
      <c r="TLS44" s="19"/>
      <c r="TLT44" s="19"/>
      <c r="TLU44" s="19"/>
      <c r="TLV44" s="19"/>
      <c r="TLW44" s="19"/>
      <c r="TLX44" s="19"/>
      <c r="TLY44" s="19"/>
      <c r="TLZ44" s="19"/>
      <c r="TMA44" s="19"/>
      <c r="TMB44" s="19"/>
      <c r="TMC44" s="19"/>
      <c r="TMD44" s="19"/>
      <c r="TME44" s="19"/>
      <c r="TMF44" s="19"/>
      <c r="TMG44" s="19"/>
      <c r="TMH44" s="19"/>
      <c r="TMI44" s="19"/>
      <c r="TMJ44" s="19"/>
      <c r="TMK44" s="19"/>
      <c r="TML44" s="19"/>
      <c r="TMM44" s="19"/>
      <c r="TMN44" s="19"/>
      <c r="TMO44" s="19"/>
      <c r="TMP44" s="19"/>
      <c r="TMQ44" s="19"/>
      <c r="TMR44" s="19"/>
      <c r="TMS44" s="19"/>
      <c r="TMT44" s="19"/>
      <c r="TMU44" s="19"/>
      <c r="TMV44" s="19"/>
      <c r="TMW44" s="19"/>
      <c r="TMX44" s="19"/>
      <c r="TMY44" s="19"/>
      <c r="TMZ44" s="19"/>
      <c r="TNA44" s="19"/>
      <c r="TNB44" s="19"/>
      <c r="TNC44" s="19"/>
      <c r="TND44" s="19"/>
      <c r="TNE44" s="19"/>
      <c r="TNF44" s="19"/>
      <c r="TNG44" s="19"/>
      <c r="TNH44" s="19"/>
      <c r="TNI44" s="19"/>
      <c r="TNJ44" s="19"/>
      <c r="TNK44" s="19"/>
      <c r="TNL44" s="19"/>
      <c r="TNM44" s="19"/>
      <c r="TNN44" s="19"/>
      <c r="TNO44" s="19"/>
      <c r="TNP44" s="19"/>
      <c r="TNQ44" s="19"/>
      <c r="TNR44" s="19"/>
      <c r="TNS44" s="19"/>
      <c r="TNT44" s="19"/>
      <c r="TNU44" s="19"/>
      <c r="TNV44" s="19"/>
      <c r="TNW44" s="19"/>
      <c r="TNX44" s="19"/>
      <c r="TNY44" s="19"/>
      <c r="TNZ44" s="19"/>
      <c r="TOA44" s="19"/>
      <c r="TOB44" s="19"/>
      <c r="TOC44" s="19"/>
      <c r="TOD44" s="19"/>
      <c r="TOE44" s="19"/>
      <c r="TOF44" s="19"/>
      <c r="TOG44" s="19"/>
      <c r="TOH44" s="19"/>
      <c r="TOI44" s="19"/>
      <c r="TOJ44" s="19"/>
      <c r="TOK44" s="19"/>
      <c r="TOL44" s="19"/>
      <c r="TOM44" s="19"/>
      <c r="TON44" s="19"/>
      <c r="TOO44" s="19"/>
      <c r="TOP44" s="19"/>
      <c r="TOQ44" s="19"/>
      <c r="TOR44" s="19"/>
      <c r="TOS44" s="19"/>
      <c r="TOT44" s="19"/>
      <c r="TOU44" s="19"/>
      <c r="TOV44" s="19"/>
      <c r="TOW44" s="19"/>
      <c r="TOX44" s="19"/>
      <c r="TOY44" s="19"/>
      <c r="TOZ44" s="19"/>
      <c r="TPA44" s="19"/>
      <c r="TPB44" s="19"/>
      <c r="TPC44" s="19"/>
      <c r="TPD44" s="19"/>
      <c r="TPE44" s="19"/>
      <c r="TPF44" s="19"/>
      <c r="TPG44" s="19"/>
      <c r="TPH44" s="19"/>
      <c r="TPI44" s="19"/>
      <c r="TPJ44" s="19"/>
      <c r="TPK44" s="19"/>
      <c r="TPL44" s="19"/>
      <c r="TPM44" s="19"/>
      <c r="TPN44" s="19"/>
      <c r="TPO44" s="19"/>
      <c r="TPP44" s="19"/>
      <c r="TPQ44" s="19"/>
      <c r="TPR44" s="19"/>
      <c r="TPS44" s="19"/>
      <c r="TPT44" s="19"/>
      <c r="TPU44" s="19"/>
      <c r="TPV44" s="19"/>
      <c r="TPW44" s="19"/>
      <c r="TPX44" s="19"/>
      <c r="TPY44" s="19"/>
      <c r="TPZ44" s="19"/>
      <c r="TQA44" s="19"/>
      <c r="TQB44" s="19"/>
      <c r="TQC44" s="19"/>
      <c r="TQD44" s="19"/>
      <c r="TQE44" s="19"/>
      <c r="TQF44" s="19"/>
      <c r="TQG44" s="19"/>
      <c r="TQH44" s="19"/>
      <c r="TQI44" s="19"/>
      <c r="TQJ44" s="19"/>
      <c r="TQK44" s="19"/>
      <c r="TQL44" s="19"/>
      <c r="TQM44" s="19"/>
      <c r="TQN44" s="19"/>
      <c r="TQO44" s="19"/>
      <c r="TQP44" s="19"/>
      <c r="TQQ44" s="19"/>
      <c r="TQR44" s="19"/>
      <c r="TQS44" s="19"/>
      <c r="TQT44" s="19"/>
      <c r="TQU44" s="19"/>
      <c r="TQV44" s="19"/>
      <c r="TQW44" s="19"/>
      <c r="TQX44" s="19"/>
      <c r="TQY44" s="19"/>
      <c r="TQZ44" s="19"/>
      <c r="TRA44" s="19"/>
      <c r="TRB44" s="19"/>
      <c r="TRC44" s="19"/>
      <c r="TRD44" s="19"/>
      <c r="TRE44" s="19"/>
      <c r="TRF44" s="19"/>
      <c r="TRG44" s="19"/>
      <c r="TRH44" s="19"/>
      <c r="TRI44" s="19"/>
      <c r="TRJ44" s="19"/>
      <c r="TRK44" s="19"/>
      <c r="TRL44" s="19"/>
      <c r="TRM44" s="19"/>
      <c r="TRN44" s="19"/>
      <c r="TRO44" s="19"/>
      <c r="TRP44" s="19"/>
      <c r="TRQ44" s="19"/>
      <c r="TRR44" s="19"/>
      <c r="TRS44" s="19"/>
      <c r="TRT44" s="19"/>
      <c r="TRU44" s="19"/>
      <c r="TRV44" s="19"/>
      <c r="TRW44" s="19"/>
      <c r="TRX44" s="19"/>
      <c r="TRY44" s="19"/>
      <c r="TRZ44" s="19"/>
      <c r="TSA44" s="19"/>
      <c r="TSB44" s="19"/>
      <c r="TSC44" s="19"/>
      <c r="TSD44" s="19"/>
      <c r="TSE44" s="19"/>
      <c r="TSF44" s="19"/>
      <c r="TSG44" s="19"/>
      <c r="TSH44" s="19"/>
      <c r="TSI44" s="19"/>
      <c r="TSJ44" s="19"/>
      <c r="TSK44" s="19"/>
      <c r="TSL44" s="19"/>
      <c r="TSM44" s="19"/>
      <c r="TSN44" s="19"/>
      <c r="TSO44" s="19"/>
      <c r="TSP44" s="19"/>
      <c r="TSQ44" s="19"/>
      <c r="TSR44" s="19"/>
      <c r="TSS44" s="19"/>
      <c r="TST44" s="19"/>
      <c r="TSU44" s="19"/>
      <c r="TSV44" s="19"/>
      <c r="TSW44" s="19"/>
      <c r="TSX44" s="19"/>
      <c r="TSY44" s="19"/>
      <c r="TSZ44" s="19"/>
      <c r="TTA44" s="19"/>
      <c r="TTB44" s="19"/>
      <c r="TTC44" s="19"/>
      <c r="TTD44" s="19"/>
      <c r="TTE44" s="19"/>
      <c r="TTF44" s="19"/>
      <c r="TTG44" s="19"/>
      <c r="TTH44" s="19"/>
      <c r="TTI44" s="19"/>
      <c r="TTJ44" s="19"/>
      <c r="TTK44" s="19"/>
      <c r="TTL44" s="19"/>
      <c r="TTM44" s="19"/>
      <c r="TTN44" s="19"/>
      <c r="TTO44" s="19"/>
      <c r="TTP44" s="19"/>
      <c r="TTQ44" s="19"/>
      <c r="TTR44" s="19"/>
      <c r="TTS44" s="19"/>
      <c r="TTT44" s="19"/>
      <c r="TTU44" s="19"/>
      <c r="TTV44" s="19"/>
      <c r="TTW44" s="19"/>
      <c r="TTX44" s="19"/>
      <c r="TTY44" s="19"/>
      <c r="TTZ44" s="19"/>
      <c r="TUA44" s="19"/>
      <c r="TUB44" s="19"/>
      <c r="TUC44" s="19"/>
      <c r="TUD44" s="19"/>
      <c r="TUE44" s="19"/>
      <c r="TUF44" s="19"/>
      <c r="TUG44" s="19"/>
      <c r="TUH44" s="19"/>
      <c r="TUI44" s="19"/>
      <c r="TUJ44" s="19"/>
      <c r="TUK44" s="19"/>
      <c r="TUL44" s="19"/>
      <c r="TUM44" s="19"/>
      <c r="TUN44" s="19"/>
      <c r="TUO44" s="19"/>
      <c r="TUP44" s="19"/>
      <c r="TUQ44" s="19"/>
      <c r="TUR44" s="19"/>
      <c r="TUS44" s="19"/>
      <c r="TUT44" s="19"/>
      <c r="TUU44" s="19"/>
      <c r="TUV44" s="19"/>
      <c r="TUW44" s="19"/>
      <c r="TUX44" s="19"/>
      <c r="TUY44" s="19"/>
      <c r="TUZ44" s="19"/>
      <c r="TVA44" s="19"/>
      <c r="TVB44" s="19"/>
      <c r="TVC44" s="19"/>
      <c r="TVD44" s="19"/>
      <c r="TVE44" s="19"/>
      <c r="TVF44" s="19"/>
      <c r="TVG44" s="19"/>
      <c r="TVH44" s="19"/>
      <c r="TVI44" s="19"/>
      <c r="TVJ44" s="19"/>
      <c r="TVK44" s="19"/>
      <c r="TVL44" s="19"/>
      <c r="TVM44" s="19"/>
      <c r="TVN44" s="19"/>
      <c r="TVO44" s="19"/>
      <c r="TVP44" s="19"/>
      <c r="TVQ44" s="19"/>
      <c r="TVR44" s="19"/>
      <c r="TVS44" s="19"/>
      <c r="TVT44" s="19"/>
      <c r="TVU44" s="19"/>
      <c r="TVV44" s="19"/>
      <c r="TVW44" s="19"/>
      <c r="TVX44" s="19"/>
      <c r="TVY44" s="19"/>
      <c r="TVZ44" s="19"/>
      <c r="TWA44" s="19"/>
      <c r="TWB44" s="19"/>
      <c r="TWC44" s="19"/>
      <c r="TWD44" s="19"/>
      <c r="TWE44" s="19"/>
      <c r="TWF44" s="19"/>
      <c r="TWG44" s="19"/>
      <c r="TWH44" s="19"/>
      <c r="TWI44" s="19"/>
      <c r="TWJ44" s="19"/>
      <c r="TWK44" s="19"/>
      <c r="TWL44" s="19"/>
      <c r="TWM44" s="19"/>
      <c r="TWN44" s="19"/>
      <c r="TWO44" s="19"/>
      <c r="TWP44" s="19"/>
      <c r="TWQ44" s="19"/>
      <c r="TWR44" s="19"/>
      <c r="TWS44" s="19"/>
      <c r="TWT44" s="19"/>
      <c r="TWU44" s="19"/>
      <c r="TWV44" s="19"/>
      <c r="TWW44" s="19"/>
      <c r="TWX44" s="19"/>
      <c r="TWY44" s="19"/>
      <c r="TWZ44" s="19"/>
      <c r="TXA44" s="19"/>
      <c r="TXB44" s="19"/>
      <c r="TXC44" s="19"/>
      <c r="TXD44" s="19"/>
      <c r="TXE44" s="19"/>
      <c r="TXF44" s="19"/>
      <c r="TXG44" s="19"/>
      <c r="TXH44" s="19"/>
      <c r="TXI44" s="19"/>
      <c r="TXJ44" s="19"/>
      <c r="TXK44" s="19"/>
      <c r="TXL44" s="19"/>
      <c r="TXM44" s="19"/>
      <c r="TXN44" s="19"/>
      <c r="TXO44" s="19"/>
      <c r="TXP44" s="19"/>
      <c r="TXQ44" s="19"/>
      <c r="TXR44" s="19"/>
      <c r="TXS44" s="19"/>
      <c r="TXT44" s="19"/>
      <c r="TXU44" s="19"/>
      <c r="TXV44" s="19"/>
      <c r="TXW44" s="19"/>
      <c r="TXX44" s="19"/>
      <c r="TXY44" s="19"/>
      <c r="TXZ44" s="19"/>
      <c r="TYA44" s="19"/>
      <c r="TYB44" s="19"/>
      <c r="TYC44" s="19"/>
      <c r="TYD44" s="19"/>
      <c r="TYE44" s="19"/>
      <c r="TYF44" s="19"/>
      <c r="TYG44" s="19"/>
      <c r="TYH44" s="19"/>
      <c r="TYI44" s="19"/>
      <c r="TYJ44" s="19"/>
      <c r="TYK44" s="19"/>
      <c r="TYL44" s="19"/>
      <c r="TYM44" s="19"/>
      <c r="TYN44" s="19"/>
      <c r="TYO44" s="19"/>
      <c r="TYP44" s="19"/>
      <c r="TYQ44" s="19"/>
      <c r="TYR44" s="19"/>
      <c r="TYS44" s="19"/>
      <c r="TYT44" s="19"/>
      <c r="TYU44" s="19"/>
      <c r="TYV44" s="19"/>
      <c r="TYW44" s="19"/>
      <c r="TYX44" s="19"/>
      <c r="TYY44" s="19"/>
      <c r="TYZ44" s="19"/>
      <c r="TZA44" s="19"/>
      <c r="TZB44" s="19"/>
      <c r="TZC44" s="19"/>
      <c r="TZD44" s="19"/>
      <c r="TZE44" s="19"/>
      <c r="TZF44" s="19"/>
      <c r="TZG44" s="19"/>
      <c r="TZH44" s="19"/>
      <c r="TZI44" s="19"/>
      <c r="TZJ44" s="19"/>
      <c r="TZK44" s="19"/>
      <c r="TZL44" s="19"/>
      <c r="TZM44" s="19"/>
      <c r="TZN44" s="19"/>
      <c r="TZO44" s="19"/>
      <c r="TZP44" s="19"/>
      <c r="TZQ44" s="19"/>
      <c r="TZR44" s="19"/>
      <c r="TZS44" s="19"/>
      <c r="TZT44" s="19"/>
      <c r="TZU44" s="19"/>
      <c r="TZV44" s="19"/>
      <c r="TZW44" s="19"/>
      <c r="TZX44" s="19"/>
      <c r="TZY44" s="19"/>
      <c r="TZZ44" s="19"/>
      <c r="UAA44" s="19"/>
      <c r="UAB44" s="19"/>
      <c r="UAC44" s="19"/>
      <c r="UAD44" s="19"/>
      <c r="UAE44" s="19"/>
      <c r="UAF44" s="19"/>
      <c r="UAG44" s="19"/>
      <c r="UAH44" s="19"/>
      <c r="UAI44" s="19"/>
      <c r="UAJ44" s="19"/>
      <c r="UAK44" s="19"/>
      <c r="UAL44" s="19"/>
      <c r="UAM44" s="19"/>
      <c r="UAN44" s="19"/>
      <c r="UAO44" s="19"/>
      <c r="UAP44" s="19"/>
      <c r="UAQ44" s="19"/>
      <c r="UAR44" s="19"/>
      <c r="UAS44" s="19"/>
      <c r="UAT44" s="19"/>
      <c r="UAU44" s="19"/>
      <c r="UAV44" s="19"/>
      <c r="UAW44" s="19"/>
      <c r="UAX44" s="19"/>
      <c r="UAY44" s="19"/>
      <c r="UAZ44" s="19"/>
      <c r="UBA44" s="19"/>
      <c r="UBB44" s="19"/>
      <c r="UBC44" s="19"/>
      <c r="UBD44" s="19"/>
      <c r="UBE44" s="19"/>
      <c r="UBF44" s="19"/>
      <c r="UBG44" s="19"/>
      <c r="UBH44" s="19"/>
      <c r="UBI44" s="19"/>
      <c r="UBJ44" s="19"/>
      <c r="UBK44" s="19"/>
      <c r="UBL44" s="19"/>
      <c r="UBM44" s="19"/>
      <c r="UBN44" s="19"/>
      <c r="UBO44" s="19"/>
      <c r="UBP44" s="19"/>
      <c r="UBQ44" s="19"/>
      <c r="UBR44" s="19"/>
      <c r="UBS44" s="19"/>
      <c r="UBT44" s="19"/>
      <c r="UBU44" s="19"/>
      <c r="UBV44" s="19"/>
      <c r="UBW44" s="19"/>
      <c r="UBX44" s="19"/>
      <c r="UBY44" s="19"/>
      <c r="UBZ44" s="19"/>
      <c r="UCA44" s="19"/>
      <c r="UCB44" s="19"/>
      <c r="UCC44" s="19"/>
      <c r="UCD44" s="19"/>
      <c r="UCE44" s="19"/>
      <c r="UCF44" s="19"/>
      <c r="UCG44" s="19"/>
      <c r="UCH44" s="19"/>
      <c r="UCI44" s="19"/>
      <c r="UCJ44" s="19"/>
      <c r="UCK44" s="19"/>
      <c r="UCL44" s="19"/>
      <c r="UCM44" s="19"/>
      <c r="UCN44" s="19"/>
      <c r="UCO44" s="19"/>
      <c r="UCP44" s="19"/>
      <c r="UCQ44" s="19"/>
      <c r="UCR44" s="19"/>
      <c r="UCS44" s="19"/>
      <c r="UCT44" s="19"/>
      <c r="UCU44" s="19"/>
      <c r="UCV44" s="19"/>
      <c r="UCW44" s="19"/>
      <c r="UCX44" s="19"/>
      <c r="UCY44" s="19"/>
      <c r="UCZ44" s="19"/>
      <c r="UDA44" s="19"/>
      <c r="UDB44" s="19"/>
      <c r="UDC44" s="19"/>
      <c r="UDD44" s="19"/>
      <c r="UDE44" s="19"/>
      <c r="UDF44" s="19"/>
      <c r="UDG44" s="19"/>
      <c r="UDH44" s="19"/>
      <c r="UDI44" s="19"/>
      <c r="UDJ44" s="19"/>
      <c r="UDK44" s="19"/>
      <c r="UDL44" s="19"/>
      <c r="UDM44" s="19"/>
      <c r="UDN44" s="19"/>
      <c r="UDO44" s="19"/>
      <c r="UDP44" s="19"/>
      <c r="UDQ44" s="19"/>
      <c r="UDR44" s="19"/>
      <c r="UDS44" s="19"/>
      <c r="UDT44" s="19"/>
      <c r="UDU44" s="19"/>
      <c r="UDV44" s="19"/>
      <c r="UDW44" s="19"/>
      <c r="UDX44" s="19"/>
      <c r="UDY44" s="19"/>
      <c r="UDZ44" s="19"/>
      <c r="UEA44" s="19"/>
      <c r="UEB44" s="19"/>
      <c r="UEC44" s="19"/>
      <c r="UED44" s="19"/>
      <c r="UEE44" s="19"/>
      <c r="UEF44" s="19"/>
      <c r="UEG44" s="19"/>
      <c r="UEH44" s="19"/>
      <c r="UEI44" s="19"/>
      <c r="UEJ44" s="19"/>
      <c r="UEK44" s="19"/>
      <c r="UEL44" s="19"/>
      <c r="UEM44" s="19"/>
      <c r="UEN44" s="19"/>
      <c r="UEO44" s="19"/>
      <c r="UEP44" s="19"/>
      <c r="UEQ44" s="19"/>
      <c r="UER44" s="19"/>
      <c r="UES44" s="19"/>
      <c r="UET44" s="19"/>
      <c r="UEU44" s="19"/>
      <c r="UEV44" s="19"/>
      <c r="UEW44" s="19"/>
      <c r="UEX44" s="19"/>
      <c r="UEY44" s="19"/>
      <c r="UEZ44" s="19"/>
      <c r="UFA44" s="19"/>
      <c r="UFB44" s="19"/>
      <c r="UFC44" s="19"/>
      <c r="UFD44" s="19"/>
      <c r="UFE44" s="19"/>
      <c r="UFF44" s="19"/>
      <c r="UFG44" s="19"/>
      <c r="UFH44" s="19"/>
      <c r="UFI44" s="19"/>
      <c r="UFJ44" s="19"/>
      <c r="UFK44" s="19"/>
      <c r="UFL44" s="19"/>
      <c r="UFM44" s="19"/>
      <c r="UFN44" s="19"/>
      <c r="UFO44" s="19"/>
      <c r="UFP44" s="19"/>
      <c r="UFQ44" s="19"/>
      <c r="UFR44" s="19"/>
      <c r="UFS44" s="19"/>
      <c r="UFT44" s="19"/>
      <c r="UFU44" s="19"/>
      <c r="UFV44" s="19"/>
      <c r="UFW44" s="19"/>
      <c r="UFX44" s="19"/>
      <c r="UFY44" s="19"/>
      <c r="UFZ44" s="19"/>
      <c r="UGA44" s="19"/>
      <c r="UGB44" s="19"/>
      <c r="UGC44" s="19"/>
      <c r="UGD44" s="19"/>
      <c r="UGE44" s="19"/>
      <c r="UGF44" s="19"/>
      <c r="UGG44" s="19"/>
      <c r="UGH44" s="19"/>
      <c r="UGI44" s="19"/>
      <c r="UGJ44" s="19"/>
      <c r="UGK44" s="19"/>
      <c r="UGL44" s="19"/>
      <c r="UGM44" s="19"/>
      <c r="UGN44" s="19"/>
      <c r="UGO44" s="19"/>
      <c r="UGP44" s="19"/>
      <c r="UGQ44" s="19"/>
      <c r="UGR44" s="19"/>
      <c r="UGS44" s="19"/>
      <c r="UGT44" s="19"/>
      <c r="UGU44" s="19"/>
      <c r="UGV44" s="19"/>
      <c r="UGW44" s="19"/>
      <c r="UGX44" s="19"/>
      <c r="UGY44" s="19"/>
      <c r="UGZ44" s="19"/>
      <c r="UHA44" s="19"/>
      <c r="UHB44" s="19"/>
      <c r="UHC44" s="19"/>
      <c r="UHD44" s="19"/>
      <c r="UHE44" s="19"/>
      <c r="UHF44" s="19"/>
      <c r="UHG44" s="19"/>
      <c r="UHH44" s="19"/>
      <c r="UHI44" s="19"/>
      <c r="UHJ44" s="19"/>
      <c r="UHK44" s="19"/>
      <c r="UHL44" s="19"/>
      <c r="UHM44" s="19"/>
      <c r="UHN44" s="19"/>
      <c r="UHO44" s="19"/>
      <c r="UHP44" s="19"/>
      <c r="UHQ44" s="19"/>
      <c r="UHR44" s="19"/>
      <c r="UHS44" s="19"/>
      <c r="UHT44" s="19"/>
      <c r="UHU44" s="19"/>
      <c r="UHV44" s="19"/>
      <c r="UHW44" s="19"/>
      <c r="UHX44" s="19"/>
      <c r="UHY44" s="19"/>
      <c r="UHZ44" s="19"/>
      <c r="UIA44" s="19"/>
      <c r="UIB44" s="19"/>
      <c r="UIC44" s="19"/>
      <c r="UID44" s="19"/>
      <c r="UIE44" s="19"/>
      <c r="UIF44" s="19"/>
      <c r="UIG44" s="19"/>
      <c r="UIH44" s="19"/>
      <c r="UII44" s="19"/>
      <c r="UIJ44" s="19"/>
      <c r="UIK44" s="19"/>
      <c r="UIL44" s="19"/>
      <c r="UIM44" s="19"/>
      <c r="UIN44" s="19"/>
      <c r="UIO44" s="19"/>
      <c r="UIP44" s="19"/>
      <c r="UIQ44" s="19"/>
      <c r="UIR44" s="19"/>
      <c r="UIS44" s="19"/>
      <c r="UIT44" s="19"/>
      <c r="UIU44" s="19"/>
      <c r="UIV44" s="19"/>
      <c r="UIW44" s="19"/>
      <c r="UIX44" s="19"/>
      <c r="UIY44" s="19"/>
      <c r="UIZ44" s="19"/>
      <c r="UJA44" s="19"/>
      <c r="UJB44" s="19"/>
      <c r="UJC44" s="19"/>
      <c r="UJD44" s="19"/>
      <c r="UJE44" s="19"/>
      <c r="UJF44" s="19"/>
      <c r="UJG44" s="19"/>
      <c r="UJH44" s="19"/>
      <c r="UJI44" s="19"/>
      <c r="UJJ44" s="19"/>
      <c r="UJK44" s="19"/>
      <c r="UJL44" s="19"/>
      <c r="UJM44" s="19"/>
      <c r="UJN44" s="19"/>
      <c r="UJO44" s="19"/>
      <c r="UJP44" s="19"/>
      <c r="UJQ44" s="19"/>
      <c r="UJR44" s="19"/>
      <c r="UJS44" s="19"/>
      <c r="UJT44" s="19"/>
      <c r="UJU44" s="19"/>
      <c r="UJV44" s="19"/>
      <c r="UJW44" s="19"/>
      <c r="UJX44" s="19"/>
      <c r="UJY44" s="19"/>
      <c r="UJZ44" s="19"/>
      <c r="UKA44" s="19"/>
      <c r="UKB44" s="19"/>
      <c r="UKC44" s="19"/>
      <c r="UKD44" s="19"/>
      <c r="UKE44" s="19"/>
      <c r="UKF44" s="19"/>
      <c r="UKG44" s="19"/>
      <c r="UKH44" s="19"/>
      <c r="UKI44" s="19"/>
      <c r="UKJ44" s="19"/>
      <c r="UKK44" s="19"/>
      <c r="UKL44" s="19"/>
      <c r="UKM44" s="19"/>
      <c r="UKN44" s="19"/>
      <c r="UKO44" s="19"/>
      <c r="UKP44" s="19"/>
      <c r="UKQ44" s="19"/>
      <c r="UKR44" s="19"/>
      <c r="UKS44" s="19"/>
      <c r="UKT44" s="19"/>
      <c r="UKU44" s="19"/>
      <c r="UKV44" s="19"/>
      <c r="UKW44" s="19"/>
      <c r="UKX44" s="19"/>
      <c r="UKY44" s="19"/>
      <c r="UKZ44" s="19"/>
      <c r="ULA44" s="19"/>
      <c r="ULB44" s="19"/>
      <c r="ULC44" s="19"/>
      <c r="ULD44" s="19"/>
      <c r="ULE44" s="19"/>
      <c r="ULF44" s="19"/>
      <c r="ULG44" s="19"/>
      <c r="ULH44" s="19"/>
      <c r="ULI44" s="19"/>
      <c r="ULJ44" s="19"/>
      <c r="ULK44" s="19"/>
      <c r="ULL44" s="19"/>
      <c r="ULM44" s="19"/>
      <c r="ULN44" s="19"/>
      <c r="ULO44" s="19"/>
      <c r="ULP44" s="19"/>
      <c r="ULQ44" s="19"/>
      <c r="ULR44" s="19"/>
      <c r="ULS44" s="19"/>
      <c r="ULT44" s="19"/>
      <c r="ULU44" s="19"/>
      <c r="ULV44" s="19"/>
      <c r="ULW44" s="19"/>
      <c r="ULX44" s="19"/>
      <c r="ULY44" s="19"/>
      <c r="ULZ44" s="19"/>
      <c r="UMA44" s="19"/>
      <c r="UMB44" s="19"/>
      <c r="UMC44" s="19"/>
      <c r="UMD44" s="19"/>
      <c r="UME44" s="19"/>
      <c r="UMF44" s="19"/>
      <c r="UMG44" s="19"/>
      <c r="UMH44" s="19"/>
      <c r="UMI44" s="19"/>
      <c r="UMJ44" s="19"/>
      <c r="UMK44" s="19"/>
      <c r="UML44" s="19"/>
      <c r="UMM44" s="19"/>
      <c r="UMN44" s="19"/>
      <c r="UMO44" s="19"/>
      <c r="UMP44" s="19"/>
      <c r="UMQ44" s="19"/>
      <c r="UMR44" s="19"/>
      <c r="UMS44" s="19"/>
      <c r="UMT44" s="19"/>
      <c r="UMU44" s="19"/>
      <c r="UMV44" s="19"/>
      <c r="UMW44" s="19"/>
      <c r="UMX44" s="19"/>
      <c r="UMY44" s="19"/>
      <c r="UMZ44" s="19"/>
      <c r="UNA44" s="19"/>
      <c r="UNB44" s="19"/>
      <c r="UNC44" s="19"/>
      <c r="UND44" s="19"/>
      <c r="UNE44" s="19"/>
      <c r="UNF44" s="19"/>
      <c r="UNG44" s="19"/>
      <c r="UNH44" s="19"/>
      <c r="UNI44" s="19"/>
      <c r="UNJ44" s="19"/>
      <c r="UNK44" s="19"/>
      <c r="UNL44" s="19"/>
      <c r="UNM44" s="19"/>
      <c r="UNN44" s="19"/>
      <c r="UNO44" s="19"/>
      <c r="UNP44" s="19"/>
      <c r="UNQ44" s="19"/>
      <c r="UNR44" s="19"/>
      <c r="UNS44" s="19"/>
      <c r="UNT44" s="19"/>
      <c r="UNU44" s="19"/>
      <c r="UNV44" s="19"/>
      <c r="UNW44" s="19"/>
      <c r="UNX44" s="19"/>
      <c r="UNY44" s="19"/>
      <c r="UNZ44" s="19"/>
      <c r="UOA44" s="19"/>
      <c r="UOB44" s="19"/>
      <c r="UOC44" s="19"/>
      <c r="UOD44" s="19"/>
      <c r="UOE44" s="19"/>
      <c r="UOF44" s="19"/>
      <c r="UOG44" s="19"/>
      <c r="UOH44" s="19"/>
      <c r="UOI44" s="19"/>
      <c r="UOJ44" s="19"/>
      <c r="UOK44" s="19"/>
      <c r="UOL44" s="19"/>
      <c r="UOM44" s="19"/>
      <c r="UON44" s="19"/>
      <c r="UOO44" s="19"/>
      <c r="UOP44" s="19"/>
      <c r="UOQ44" s="19"/>
      <c r="UOR44" s="19"/>
      <c r="UOS44" s="19"/>
      <c r="UOT44" s="19"/>
      <c r="UOU44" s="19"/>
      <c r="UOV44" s="19"/>
      <c r="UOW44" s="19"/>
      <c r="UOX44" s="19"/>
      <c r="UOY44" s="19"/>
      <c r="UOZ44" s="19"/>
      <c r="UPA44" s="19"/>
      <c r="UPB44" s="19"/>
      <c r="UPC44" s="19"/>
      <c r="UPD44" s="19"/>
      <c r="UPE44" s="19"/>
      <c r="UPF44" s="19"/>
      <c r="UPG44" s="19"/>
      <c r="UPH44" s="19"/>
      <c r="UPI44" s="19"/>
      <c r="UPJ44" s="19"/>
      <c r="UPK44" s="19"/>
      <c r="UPL44" s="19"/>
      <c r="UPM44" s="19"/>
      <c r="UPN44" s="19"/>
      <c r="UPO44" s="19"/>
      <c r="UPP44" s="19"/>
      <c r="UPQ44" s="19"/>
      <c r="UPR44" s="19"/>
      <c r="UPS44" s="19"/>
      <c r="UPT44" s="19"/>
      <c r="UPU44" s="19"/>
      <c r="UPV44" s="19"/>
      <c r="UPW44" s="19"/>
      <c r="UPX44" s="19"/>
      <c r="UPY44" s="19"/>
      <c r="UPZ44" s="19"/>
      <c r="UQA44" s="19"/>
      <c r="UQB44" s="19"/>
      <c r="UQC44" s="19"/>
      <c r="UQD44" s="19"/>
      <c r="UQE44" s="19"/>
      <c r="UQF44" s="19"/>
      <c r="UQG44" s="19"/>
      <c r="UQH44" s="19"/>
      <c r="UQI44" s="19"/>
      <c r="UQJ44" s="19"/>
      <c r="UQK44" s="19"/>
      <c r="UQL44" s="19"/>
      <c r="UQM44" s="19"/>
      <c r="UQN44" s="19"/>
      <c r="UQO44" s="19"/>
      <c r="UQP44" s="19"/>
      <c r="UQQ44" s="19"/>
      <c r="UQR44" s="19"/>
      <c r="UQS44" s="19"/>
      <c r="UQT44" s="19"/>
      <c r="UQU44" s="19"/>
      <c r="UQV44" s="19"/>
      <c r="UQW44" s="19"/>
      <c r="UQX44" s="19"/>
      <c r="UQY44" s="19"/>
      <c r="UQZ44" s="19"/>
      <c r="URA44" s="19"/>
      <c r="URB44" s="19"/>
      <c r="URC44" s="19"/>
      <c r="URD44" s="19"/>
      <c r="URE44" s="19"/>
      <c r="URF44" s="19"/>
      <c r="URG44" s="19"/>
      <c r="URH44" s="19"/>
      <c r="URI44" s="19"/>
      <c r="URJ44" s="19"/>
      <c r="URK44" s="19"/>
      <c r="URL44" s="19"/>
      <c r="URM44" s="19"/>
      <c r="URN44" s="19"/>
      <c r="URO44" s="19"/>
      <c r="URP44" s="19"/>
      <c r="URQ44" s="19"/>
      <c r="URR44" s="19"/>
      <c r="URS44" s="19"/>
      <c r="URT44" s="19"/>
      <c r="URU44" s="19"/>
      <c r="URV44" s="19"/>
      <c r="URW44" s="19"/>
      <c r="URX44" s="19"/>
      <c r="URY44" s="19"/>
      <c r="URZ44" s="19"/>
      <c r="USA44" s="19"/>
      <c r="USB44" s="19"/>
      <c r="USC44" s="19"/>
      <c r="USD44" s="19"/>
      <c r="USE44" s="19"/>
      <c r="USF44" s="19"/>
      <c r="USG44" s="19"/>
      <c r="USH44" s="19"/>
      <c r="USI44" s="19"/>
      <c r="USJ44" s="19"/>
      <c r="USK44" s="19"/>
      <c r="USL44" s="19"/>
      <c r="USM44" s="19"/>
      <c r="USN44" s="19"/>
      <c r="USO44" s="19"/>
      <c r="USP44" s="19"/>
      <c r="USQ44" s="19"/>
      <c r="USR44" s="19"/>
      <c r="USS44" s="19"/>
      <c r="UST44" s="19"/>
      <c r="USU44" s="19"/>
      <c r="USV44" s="19"/>
      <c r="USW44" s="19"/>
      <c r="USX44" s="19"/>
      <c r="USY44" s="19"/>
      <c r="USZ44" s="19"/>
      <c r="UTA44" s="19"/>
      <c r="UTB44" s="19"/>
      <c r="UTC44" s="19"/>
      <c r="UTD44" s="19"/>
      <c r="UTE44" s="19"/>
      <c r="UTF44" s="19"/>
      <c r="UTG44" s="19"/>
      <c r="UTH44" s="19"/>
      <c r="UTI44" s="19"/>
      <c r="UTJ44" s="19"/>
      <c r="UTK44" s="19"/>
      <c r="UTL44" s="19"/>
      <c r="UTM44" s="19"/>
      <c r="UTN44" s="19"/>
      <c r="UTO44" s="19"/>
      <c r="UTP44" s="19"/>
      <c r="UTQ44" s="19"/>
      <c r="UTR44" s="19"/>
      <c r="UTS44" s="19"/>
      <c r="UTT44" s="19"/>
      <c r="UTU44" s="19"/>
      <c r="UTV44" s="19"/>
      <c r="UTW44" s="19"/>
      <c r="UTX44" s="19"/>
      <c r="UTY44" s="19"/>
      <c r="UTZ44" s="19"/>
      <c r="UUA44" s="19"/>
      <c r="UUB44" s="19"/>
      <c r="UUC44" s="19"/>
      <c r="UUD44" s="19"/>
      <c r="UUE44" s="19"/>
      <c r="UUF44" s="19"/>
      <c r="UUG44" s="19"/>
      <c r="UUH44" s="19"/>
      <c r="UUI44" s="19"/>
      <c r="UUJ44" s="19"/>
      <c r="UUK44" s="19"/>
      <c r="UUL44" s="19"/>
      <c r="UUM44" s="19"/>
      <c r="UUN44" s="19"/>
      <c r="UUO44" s="19"/>
      <c r="UUP44" s="19"/>
      <c r="UUQ44" s="19"/>
      <c r="UUR44" s="19"/>
      <c r="UUS44" s="19"/>
      <c r="UUT44" s="19"/>
      <c r="UUU44" s="19"/>
      <c r="UUV44" s="19"/>
      <c r="UUW44" s="19"/>
      <c r="UUX44" s="19"/>
      <c r="UUY44" s="19"/>
      <c r="UUZ44" s="19"/>
      <c r="UVA44" s="19"/>
      <c r="UVB44" s="19"/>
      <c r="UVC44" s="19"/>
      <c r="UVD44" s="19"/>
      <c r="UVE44" s="19"/>
      <c r="UVF44" s="19"/>
      <c r="UVG44" s="19"/>
      <c r="UVH44" s="19"/>
      <c r="UVI44" s="19"/>
      <c r="UVJ44" s="19"/>
      <c r="UVK44" s="19"/>
      <c r="UVL44" s="19"/>
      <c r="UVM44" s="19"/>
      <c r="UVN44" s="19"/>
      <c r="UVO44" s="19"/>
      <c r="UVP44" s="19"/>
      <c r="UVQ44" s="19"/>
      <c r="UVR44" s="19"/>
      <c r="UVS44" s="19"/>
      <c r="UVT44" s="19"/>
      <c r="UVU44" s="19"/>
      <c r="UVV44" s="19"/>
      <c r="UVW44" s="19"/>
      <c r="UVX44" s="19"/>
      <c r="UVY44" s="19"/>
      <c r="UVZ44" s="19"/>
      <c r="UWA44" s="19"/>
      <c r="UWB44" s="19"/>
      <c r="UWC44" s="19"/>
      <c r="UWD44" s="19"/>
      <c r="UWE44" s="19"/>
      <c r="UWF44" s="19"/>
      <c r="UWG44" s="19"/>
      <c r="UWH44" s="19"/>
      <c r="UWI44" s="19"/>
      <c r="UWJ44" s="19"/>
      <c r="UWK44" s="19"/>
      <c r="UWL44" s="19"/>
      <c r="UWM44" s="19"/>
      <c r="UWN44" s="19"/>
      <c r="UWO44" s="19"/>
      <c r="UWP44" s="19"/>
      <c r="UWQ44" s="19"/>
      <c r="UWR44" s="19"/>
      <c r="UWS44" s="19"/>
      <c r="UWT44" s="19"/>
      <c r="UWU44" s="19"/>
      <c r="UWV44" s="19"/>
      <c r="UWW44" s="19"/>
      <c r="UWX44" s="19"/>
      <c r="UWY44" s="19"/>
      <c r="UWZ44" s="19"/>
      <c r="UXA44" s="19"/>
      <c r="UXB44" s="19"/>
      <c r="UXC44" s="19"/>
      <c r="UXD44" s="19"/>
      <c r="UXE44" s="19"/>
      <c r="UXF44" s="19"/>
      <c r="UXG44" s="19"/>
      <c r="UXH44" s="19"/>
      <c r="UXI44" s="19"/>
      <c r="UXJ44" s="19"/>
      <c r="UXK44" s="19"/>
      <c r="UXL44" s="19"/>
      <c r="UXM44" s="19"/>
      <c r="UXN44" s="19"/>
      <c r="UXO44" s="19"/>
      <c r="UXP44" s="19"/>
      <c r="UXQ44" s="19"/>
      <c r="UXR44" s="19"/>
      <c r="UXS44" s="19"/>
      <c r="UXT44" s="19"/>
      <c r="UXU44" s="19"/>
      <c r="UXV44" s="19"/>
      <c r="UXW44" s="19"/>
      <c r="UXX44" s="19"/>
      <c r="UXY44" s="19"/>
      <c r="UXZ44" s="19"/>
      <c r="UYA44" s="19"/>
      <c r="UYB44" s="19"/>
      <c r="UYC44" s="19"/>
      <c r="UYD44" s="19"/>
      <c r="UYE44" s="19"/>
      <c r="UYF44" s="19"/>
      <c r="UYG44" s="19"/>
      <c r="UYH44" s="19"/>
      <c r="UYI44" s="19"/>
      <c r="UYJ44" s="19"/>
      <c r="UYK44" s="19"/>
      <c r="UYL44" s="19"/>
      <c r="UYM44" s="19"/>
      <c r="UYN44" s="19"/>
      <c r="UYO44" s="19"/>
      <c r="UYP44" s="19"/>
      <c r="UYQ44" s="19"/>
      <c r="UYR44" s="19"/>
      <c r="UYS44" s="19"/>
      <c r="UYT44" s="19"/>
      <c r="UYU44" s="19"/>
      <c r="UYV44" s="19"/>
      <c r="UYW44" s="19"/>
      <c r="UYX44" s="19"/>
      <c r="UYY44" s="19"/>
      <c r="UYZ44" s="19"/>
      <c r="UZA44" s="19"/>
      <c r="UZB44" s="19"/>
      <c r="UZC44" s="19"/>
      <c r="UZD44" s="19"/>
      <c r="UZE44" s="19"/>
      <c r="UZF44" s="19"/>
      <c r="UZG44" s="19"/>
      <c r="UZH44" s="19"/>
      <c r="UZI44" s="19"/>
      <c r="UZJ44" s="19"/>
      <c r="UZK44" s="19"/>
      <c r="UZL44" s="19"/>
      <c r="UZM44" s="19"/>
      <c r="UZN44" s="19"/>
      <c r="UZO44" s="19"/>
      <c r="UZP44" s="19"/>
      <c r="UZQ44" s="19"/>
      <c r="UZR44" s="19"/>
      <c r="UZS44" s="19"/>
      <c r="UZT44" s="19"/>
      <c r="UZU44" s="19"/>
      <c r="UZV44" s="19"/>
      <c r="UZW44" s="19"/>
      <c r="UZX44" s="19"/>
      <c r="UZY44" s="19"/>
      <c r="UZZ44" s="19"/>
      <c r="VAA44" s="19"/>
      <c r="VAB44" s="19"/>
      <c r="VAC44" s="19"/>
      <c r="VAD44" s="19"/>
      <c r="VAE44" s="19"/>
      <c r="VAF44" s="19"/>
      <c r="VAG44" s="19"/>
      <c r="VAH44" s="19"/>
      <c r="VAI44" s="19"/>
      <c r="VAJ44" s="19"/>
      <c r="VAK44" s="19"/>
      <c r="VAL44" s="19"/>
      <c r="VAM44" s="19"/>
      <c r="VAN44" s="19"/>
      <c r="VAO44" s="19"/>
      <c r="VAP44" s="19"/>
      <c r="VAQ44" s="19"/>
      <c r="VAR44" s="19"/>
      <c r="VAS44" s="19"/>
      <c r="VAT44" s="19"/>
      <c r="VAU44" s="19"/>
      <c r="VAV44" s="19"/>
      <c r="VAW44" s="19"/>
      <c r="VAX44" s="19"/>
      <c r="VAY44" s="19"/>
      <c r="VAZ44" s="19"/>
      <c r="VBA44" s="19"/>
      <c r="VBB44" s="19"/>
      <c r="VBC44" s="19"/>
      <c r="VBD44" s="19"/>
      <c r="VBE44" s="19"/>
      <c r="VBF44" s="19"/>
      <c r="VBG44" s="19"/>
      <c r="VBH44" s="19"/>
      <c r="VBI44" s="19"/>
      <c r="VBJ44" s="19"/>
      <c r="VBK44" s="19"/>
      <c r="VBL44" s="19"/>
      <c r="VBM44" s="19"/>
      <c r="VBN44" s="19"/>
      <c r="VBO44" s="19"/>
      <c r="VBP44" s="19"/>
      <c r="VBQ44" s="19"/>
      <c r="VBR44" s="19"/>
      <c r="VBS44" s="19"/>
      <c r="VBT44" s="19"/>
      <c r="VBU44" s="19"/>
      <c r="VBV44" s="19"/>
      <c r="VBW44" s="19"/>
      <c r="VBX44" s="19"/>
      <c r="VBY44" s="19"/>
      <c r="VBZ44" s="19"/>
      <c r="VCA44" s="19"/>
      <c r="VCB44" s="19"/>
      <c r="VCC44" s="19"/>
      <c r="VCD44" s="19"/>
      <c r="VCE44" s="19"/>
      <c r="VCF44" s="19"/>
      <c r="VCG44" s="19"/>
      <c r="VCH44" s="19"/>
      <c r="VCI44" s="19"/>
      <c r="VCJ44" s="19"/>
      <c r="VCK44" s="19"/>
      <c r="VCL44" s="19"/>
      <c r="VCM44" s="19"/>
      <c r="VCN44" s="19"/>
      <c r="VCO44" s="19"/>
      <c r="VCP44" s="19"/>
      <c r="VCQ44" s="19"/>
      <c r="VCR44" s="19"/>
      <c r="VCS44" s="19"/>
      <c r="VCT44" s="19"/>
      <c r="VCU44" s="19"/>
      <c r="VCV44" s="19"/>
      <c r="VCW44" s="19"/>
      <c r="VCX44" s="19"/>
      <c r="VCY44" s="19"/>
      <c r="VCZ44" s="19"/>
      <c r="VDA44" s="19"/>
      <c r="VDB44" s="19"/>
      <c r="VDC44" s="19"/>
      <c r="VDD44" s="19"/>
      <c r="VDE44" s="19"/>
      <c r="VDF44" s="19"/>
      <c r="VDG44" s="19"/>
      <c r="VDH44" s="19"/>
      <c r="VDI44" s="19"/>
      <c r="VDJ44" s="19"/>
      <c r="VDK44" s="19"/>
      <c r="VDL44" s="19"/>
      <c r="VDM44" s="19"/>
      <c r="VDN44" s="19"/>
      <c r="VDO44" s="19"/>
      <c r="VDP44" s="19"/>
      <c r="VDQ44" s="19"/>
      <c r="VDR44" s="19"/>
      <c r="VDS44" s="19"/>
      <c r="VDT44" s="19"/>
      <c r="VDU44" s="19"/>
      <c r="VDV44" s="19"/>
      <c r="VDW44" s="19"/>
      <c r="VDX44" s="19"/>
      <c r="VDY44" s="19"/>
      <c r="VDZ44" s="19"/>
      <c r="VEA44" s="19"/>
      <c r="VEB44" s="19"/>
      <c r="VEC44" s="19"/>
      <c r="VED44" s="19"/>
      <c r="VEE44" s="19"/>
      <c r="VEF44" s="19"/>
      <c r="VEG44" s="19"/>
      <c r="VEH44" s="19"/>
      <c r="VEI44" s="19"/>
      <c r="VEJ44" s="19"/>
      <c r="VEK44" s="19"/>
      <c r="VEL44" s="19"/>
      <c r="VEM44" s="19"/>
      <c r="VEN44" s="19"/>
      <c r="VEO44" s="19"/>
      <c r="VEP44" s="19"/>
      <c r="VEQ44" s="19"/>
      <c r="VER44" s="19"/>
      <c r="VES44" s="19"/>
      <c r="VET44" s="19"/>
      <c r="VEU44" s="19"/>
      <c r="VEV44" s="19"/>
      <c r="VEW44" s="19"/>
      <c r="VEX44" s="19"/>
      <c r="VEY44" s="19"/>
      <c r="VEZ44" s="19"/>
      <c r="VFA44" s="19"/>
      <c r="VFB44" s="19"/>
      <c r="VFC44" s="19"/>
      <c r="VFD44" s="19"/>
      <c r="VFE44" s="19"/>
      <c r="VFF44" s="19"/>
      <c r="VFG44" s="19"/>
      <c r="VFH44" s="19"/>
      <c r="VFI44" s="19"/>
      <c r="VFJ44" s="19"/>
      <c r="VFK44" s="19"/>
      <c r="VFL44" s="19"/>
      <c r="VFM44" s="19"/>
      <c r="VFN44" s="19"/>
      <c r="VFO44" s="19"/>
      <c r="VFP44" s="19"/>
      <c r="VFQ44" s="19"/>
      <c r="VFR44" s="19"/>
      <c r="VFS44" s="19"/>
      <c r="VFT44" s="19"/>
      <c r="VFU44" s="19"/>
      <c r="VFV44" s="19"/>
      <c r="VFW44" s="19"/>
      <c r="VFX44" s="19"/>
      <c r="VFY44" s="19"/>
      <c r="VFZ44" s="19"/>
      <c r="VGA44" s="19"/>
      <c r="VGB44" s="19"/>
      <c r="VGC44" s="19"/>
      <c r="VGD44" s="19"/>
      <c r="VGE44" s="19"/>
      <c r="VGF44" s="19"/>
      <c r="VGG44" s="19"/>
      <c r="VGH44" s="19"/>
      <c r="VGI44" s="19"/>
      <c r="VGJ44" s="19"/>
      <c r="VGK44" s="19"/>
      <c r="VGL44" s="19"/>
      <c r="VGM44" s="19"/>
      <c r="VGN44" s="19"/>
      <c r="VGO44" s="19"/>
      <c r="VGP44" s="19"/>
      <c r="VGQ44" s="19"/>
      <c r="VGR44" s="19"/>
      <c r="VGS44" s="19"/>
      <c r="VGT44" s="19"/>
      <c r="VGU44" s="19"/>
      <c r="VGV44" s="19"/>
      <c r="VGW44" s="19"/>
      <c r="VGX44" s="19"/>
      <c r="VGY44" s="19"/>
      <c r="VGZ44" s="19"/>
      <c r="VHA44" s="19"/>
      <c r="VHB44" s="19"/>
      <c r="VHC44" s="19"/>
      <c r="VHD44" s="19"/>
      <c r="VHE44" s="19"/>
      <c r="VHF44" s="19"/>
      <c r="VHG44" s="19"/>
      <c r="VHH44" s="19"/>
      <c r="VHI44" s="19"/>
      <c r="VHJ44" s="19"/>
      <c r="VHK44" s="19"/>
      <c r="VHL44" s="19"/>
      <c r="VHM44" s="19"/>
      <c r="VHN44" s="19"/>
      <c r="VHO44" s="19"/>
      <c r="VHP44" s="19"/>
      <c r="VHQ44" s="19"/>
      <c r="VHR44" s="19"/>
      <c r="VHS44" s="19"/>
      <c r="VHT44" s="19"/>
      <c r="VHU44" s="19"/>
      <c r="VHV44" s="19"/>
      <c r="VHW44" s="19"/>
      <c r="VHX44" s="19"/>
      <c r="VHY44" s="19"/>
      <c r="VHZ44" s="19"/>
      <c r="VIA44" s="19"/>
      <c r="VIB44" s="19"/>
      <c r="VIC44" s="19"/>
      <c r="VID44" s="19"/>
      <c r="VIE44" s="19"/>
      <c r="VIF44" s="19"/>
      <c r="VIG44" s="19"/>
      <c r="VIH44" s="19"/>
      <c r="VII44" s="19"/>
      <c r="VIJ44" s="19"/>
      <c r="VIK44" s="19"/>
      <c r="VIL44" s="19"/>
      <c r="VIM44" s="19"/>
      <c r="VIN44" s="19"/>
      <c r="VIO44" s="19"/>
      <c r="VIP44" s="19"/>
      <c r="VIQ44" s="19"/>
      <c r="VIR44" s="19"/>
      <c r="VIS44" s="19"/>
      <c r="VIT44" s="19"/>
      <c r="VIU44" s="19"/>
      <c r="VIV44" s="19"/>
      <c r="VIW44" s="19"/>
      <c r="VIX44" s="19"/>
      <c r="VIY44" s="19"/>
      <c r="VIZ44" s="19"/>
      <c r="VJA44" s="19"/>
      <c r="VJB44" s="19"/>
      <c r="VJC44" s="19"/>
      <c r="VJD44" s="19"/>
      <c r="VJE44" s="19"/>
      <c r="VJF44" s="19"/>
      <c r="VJG44" s="19"/>
      <c r="VJH44" s="19"/>
      <c r="VJI44" s="19"/>
      <c r="VJJ44" s="19"/>
      <c r="VJK44" s="19"/>
      <c r="VJL44" s="19"/>
      <c r="VJM44" s="19"/>
      <c r="VJN44" s="19"/>
      <c r="VJO44" s="19"/>
      <c r="VJP44" s="19"/>
      <c r="VJQ44" s="19"/>
      <c r="VJR44" s="19"/>
      <c r="VJS44" s="19"/>
      <c r="VJT44" s="19"/>
      <c r="VJU44" s="19"/>
      <c r="VJV44" s="19"/>
      <c r="VJW44" s="19"/>
      <c r="VJX44" s="19"/>
      <c r="VJY44" s="19"/>
      <c r="VJZ44" s="19"/>
      <c r="VKA44" s="19"/>
      <c r="VKB44" s="19"/>
      <c r="VKC44" s="19"/>
      <c r="VKD44" s="19"/>
      <c r="VKE44" s="19"/>
      <c r="VKF44" s="19"/>
      <c r="VKG44" s="19"/>
      <c r="VKH44" s="19"/>
      <c r="VKI44" s="19"/>
      <c r="VKJ44" s="19"/>
      <c r="VKK44" s="19"/>
      <c r="VKL44" s="19"/>
      <c r="VKM44" s="19"/>
      <c r="VKN44" s="19"/>
      <c r="VKO44" s="19"/>
      <c r="VKP44" s="19"/>
      <c r="VKQ44" s="19"/>
      <c r="VKR44" s="19"/>
      <c r="VKS44" s="19"/>
      <c r="VKT44" s="19"/>
      <c r="VKU44" s="19"/>
      <c r="VKV44" s="19"/>
      <c r="VKW44" s="19"/>
      <c r="VKX44" s="19"/>
      <c r="VKY44" s="19"/>
      <c r="VKZ44" s="19"/>
      <c r="VLA44" s="19"/>
      <c r="VLB44" s="19"/>
      <c r="VLC44" s="19"/>
      <c r="VLD44" s="19"/>
      <c r="VLE44" s="19"/>
      <c r="VLF44" s="19"/>
      <c r="VLG44" s="19"/>
      <c r="VLH44" s="19"/>
      <c r="VLI44" s="19"/>
      <c r="VLJ44" s="19"/>
      <c r="VLK44" s="19"/>
      <c r="VLL44" s="19"/>
      <c r="VLM44" s="19"/>
      <c r="VLN44" s="19"/>
      <c r="VLO44" s="19"/>
      <c r="VLP44" s="19"/>
      <c r="VLQ44" s="19"/>
      <c r="VLR44" s="19"/>
      <c r="VLS44" s="19"/>
      <c r="VLT44" s="19"/>
      <c r="VLU44" s="19"/>
      <c r="VLV44" s="19"/>
      <c r="VLW44" s="19"/>
      <c r="VLX44" s="19"/>
      <c r="VLY44" s="19"/>
      <c r="VLZ44" s="19"/>
      <c r="VMA44" s="19"/>
      <c r="VMB44" s="19"/>
      <c r="VMC44" s="19"/>
      <c r="VMD44" s="19"/>
      <c r="VME44" s="19"/>
      <c r="VMF44" s="19"/>
      <c r="VMG44" s="19"/>
      <c r="VMH44" s="19"/>
      <c r="VMI44" s="19"/>
      <c r="VMJ44" s="19"/>
      <c r="VMK44" s="19"/>
      <c r="VML44" s="19"/>
      <c r="VMM44" s="19"/>
      <c r="VMN44" s="19"/>
      <c r="VMO44" s="19"/>
      <c r="VMP44" s="19"/>
      <c r="VMQ44" s="19"/>
      <c r="VMR44" s="19"/>
      <c r="VMS44" s="19"/>
      <c r="VMT44" s="19"/>
      <c r="VMU44" s="19"/>
      <c r="VMV44" s="19"/>
      <c r="VMW44" s="19"/>
      <c r="VMX44" s="19"/>
      <c r="VMY44" s="19"/>
      <c r="VMZ44" s="19"/>
      <c r="VNA44" s="19"/>
      <c r="VNB44" s="19"/>
      <c r="VNC44" s="19"/>
      <c r="VND44" s="19"/>
      <c r="VNE44" s="19"/>
      <c r="VNF44" s="19"/>
      <c r="VNG44" s="19"/>
      <c r="VNH44" s="19"/>
      <c r="VNI44" s="19"/>
      <c r="VNJ44" s="19"/>
      <c r="VNK44" s="19"/>
      <c r="VNL44" s="19"/>
      <c r="VNM44" s="19"/>
      <c r="VNN44" s="19"/>
      <c r="VNO44" s="19"/>
      <c r="VNP44" s="19"/>
      <c r="VNQ44" s="19"/>
      <c r="VNR44" s="19"/>
      <c r="VNS44" s="19"/>
      <c r="VNT44" s="19"/>
      <c r="VNU44" s="19"/>
      <c r="VNV44" s="19"/>
      <c r="VNW44" s="19"/>
      <c r="VNX44" s="19"/>
      <c r="VNY44" s="19"/>
      <c r="VNZ44" s="19"/>
      <c r="VOA44" s="19"/>
      <c r="VOB44" s="19"/>
      <c r="VOC44" s="19"/>
      <c r="VOD44" s="19"/>
      <c r="VOE44" s="19"/>
      <c r="VOF44" s="19"/>
      <c r="VOG44" s="19"/>
      <c r="VOH44" s="19"/>
      <c r="VOI44" s="19"/>
      <c r="VOJ44" s="19"/>
      <c r="VOK44" s="19"/>
      <c r="VOL44" s="19"/>
      <c r="VOM44" s="19"/>
      <c r="VON44" s="19"/>
      <c r="VOO44" s="19"/>
      <c r="VOP44" s="19"/>
      <c r="VOQ44" s="19"/>
      <c r="VOR44" s="19"/>
      <c r="VOS44" s="19"/>
      <c r="VOT44" s="19"/>
      <c r="VOU44" s="19"/>
      <c r="VOV44" s="19"/>
      <c r="VOW44" s="19"/>
      <c r="VOX44" s="19"/>
      <c r="VOY44" s="19"/>
      <c r="VOZ44" s="19"/>
      <c r="VPA44" s="19"/>
      <c r="VPB44" s="19"/>
      <c r="VPC44" s="19"/>
      <c r="VPD44" s="19"/>
      <c r="VPE44" s="19"/>
      <c r="VPF44" s="19"/>
      <c r="VPG44" s="19"/>
      <c r="VPH44" s="19"/>
      <c r="VPI44" s="19"/>
      <c r="VPJ44" s="19"/>
      <c r="VPK44" s="19"/>
      <c r="VPL44" s="19"/>
      <c r="VPM44" s="19"/>
      <c r="VPN44" s="19"/>
      <c r="VPO44" s="19"/>
      <c r="VPP44" s="19"/>
      <c r="VPQ44" s="19"/>
      <c r="VPR44" s="19"/>
      <c r="VPS44" s="19"/>
      <c r="VPT44" s="19"/>
      <c r="VPU44" s="19"/>
      <c r="VPV44" s="19"/>
      <c r="VPW44" s="19"/>
      <c r="VPX44" s="19"/>
      <c r="VPY44" s="19"/>
      <c r="VPZ44" s="19"/>
      <c r="VQA44" s="19"/>
      <c r="VQB44" s="19"/>
      <c r="VQC44" s="19"/>
      <c r="VQD44" s="19"/>
      <c r="VQE44" s="19"/>
      <c r="VQF44" s="19"/>
      <c r="VQG44" s="19"/>
      <c r="VQH44" s="19"/>
      <c r="VQI44" s="19"/>
      <c r="VQJ44" s="19"/>
      <c r="VQK44" s="19"/>
      <c r="VQL44" s="19"/>
      <c r="VQM44" s="19"/>
      <c r="VQN44" s="19"/>
      <c r="VQO44" s="19"/>
      <c r="VQP44" s="19"/>
      <c r="VQQ44" s="19"/>
      <c r="VQR44" s="19"/>
      <c r="VQS44" s="19"/>
      <c r="VQT44" s="19"/>
      <c r="VQU44" s="19"/>
      <c r="VQV44" s="19"/>
      <c r="VQW44" s="19"/>
      <c r="VQX44" s="19"/>
      <c r="VQY44" s="19"/>
      <c r="VQZ44" s="19"/>
      <c r="VRA44" s="19"/>
      <c r="VRB44" s="19"/>
      <c r="VRC44" s="19"/>
      <c r="VRD44" s="19"/>
      <c r="VRE44" s="19"/>
      <c r="VRF44" s="19"/>
      <c r="VRG44" s="19"/>
      <c r="VRH44" s="19"/>
      <c r="VRI44" s="19"/>
      <c r="VRJ44" s="19"/>
      <c r="VRK44" s="19"/>
      <c r="VRL44" s="19"/>
      <c r="VRM44" s="19"/>
      <c r="VRN44" s="19"/>
      <c r="VRO44" s="19"/>
      <c r="VRP44" s="19"/>
      <c r="VRQ44" s="19"/>
      <c r="VRR44" s="19"/>
      <c r="VRS44" s="19"/>
      <c r="VRT44" s="19"/>
      <c r="VRU44" s="19"/>
      <c r="VRV44" s="19"/>
      <c r="VRW44" s="19"/>
      <c r="VRX44" s="19"/>
      <c r="VRY44" s="19"/>
      <c r="VRZ44" s="19"/>
      <c r="VSA44" s="19"/>
      <c r="VSB44" s="19"/>
      <c r="VSC44" s="19"/>
      <c r="VSD44" s="19"/>
      <c r="VSE44" s="19"/>
      <c r="VSF44" s="19"/>
      <c r="VSG44" s="19"/>
      <c r="VSH44" s="19"/>
      <c r="VSI44" s="19"/>
      <c r="VSJ44" s="19"/>
      <c r="VSK44" s="19"/>
      <c r="VSL44" s="19"/>
      <c r="VSM44" s="19"/>
      <c r="VSN44" s="19"/>
      <c r="VSO44" s="19"/>
      <c r="VSP44" s="19"/>
      <c r="VSQ44" s="19"/>
      <c r="VSR44" s="19"/>
      <c r="VSS44" s="19"/>
      <c r="VST44" s="19"/>
      <c r="VSU44" s="19"/>
      <c r="VSV44" s="19"/>
      <c r="VSW44" s="19"/>
      <c r="VSX44" s="19"/>
      <c r="VSY44" s="19"/>
      <c r="VSZ44" s="19"/>
      <c r="VTA44" s="19"/>
      <c r="VTB44" s="19"/>
      <c r="VTC44" s="19"/>
      <c r="VTD44" s="19"/>
      <c r="VTE44" s="19"/>
      <c r="VTF44" s="19"/>
      <c r="VTG44" s="19"/>
      <c r="VTH44" s="19"/>
      <c r="VTI44" s="19"/>
      <c r="VTJ44" s="19"/>
      <c r="VTK44" s="19"/>
      <c r="VTL44" s="19"/>
      <c r="VTM44" s="19"/>
      <c r="VTN44" s="19"/>
      <c r="VTO44" s="19"/>
      <c r="VTP44" s="19"/>
      <c r="VTQ44" s="19"/>
      <c r="VTR44" s="19"/>
      <c r="VTS44" s="19"/>
      <c r="VTT44" s="19"/>
      <c r="VTU44" s="19"/>
      <c r="VTV44" s="19"/>
      <c r="VTW44" s="19"/>
      <c r="VTX44" s="19"/>
      <c r="VTY44" s="19"/>
      <c r="VTZ44" s="19"/>
      <c r="VUA44" s="19"/>
      <c r="VUB44" s="19"/>
      <c r="VUC44" s="19"/>
      <c r="VUD44" s="19"/>
      <c r="VUE44" s="19"/>
      <c r="VUF44" s="19"/>
      <c r="VUG44" s="19"/>
      <c r="VUH44" s="19"/>
      <c r="VUI44" s="19"/>
      <c r="VUJ44" s="19"/>
      <c r="VUK44" s="19"/>
      <c r="VUL44" s="19"/>
      <c r="VUM44" s="19"/>
      <c r="VUN44" s="19"/>
      <c r="VUO44" s="19"/>
      <c r="VUP44" s="19"/>
      <c r="VUQ44" s="19"/>
      <c r="VUR44" s="19"/>
      <c r="VUS44" s="19"/>
      <c r="VUT44" s="19"/>
      <c r="VUU44" s="19"/>
      <c r="VUV44" s="19"/>
      <c r="VUW44" s="19"/>
      <c r="VUX44" s="19"/>
      <c r="VUY44" s="19"/>
      <c r="VUZ44" s="19"/>
      <c r="VVA44" s="19"/>
      <c r="VVB44" s="19"/>
      <c r="VVC44" s="19"/>
      <c r="VVD44" s="19"/>
      <c r="VVE44" s="19"/>
      <c r="VVF44" s="19"/>
      <c r="VVG44" s="19"/>
      <c r="VVH44" s="19"/>
      <c r="VVI44" s="19"/>
      <c r="VVJ44" s="19"/>
      <c r="VVK44" s="19"/>
      <c r="VVL44" s="19"/>
      <c r="VVM44" s="19"/>
      <c r="VVN44" s="19"/>
      <c r="VVO44" s="19"/>
      <c r="VVP44" s="19"/>
      <c r="VVQ44" s="19"/>
      <c r="VVR44" s="19"/>
      <c r="VVS44" s="19"/>
      <c r="VVT44" s="19"/>
      <c r="VVU44" s="19"/>
      <c r="VVV44" s="19"/>
      <c r="VVW44" s="19"/>
      <c r="VVX44" s="19"/>
      <c r="VVY44" s="19"/>
      <c r="VVZ44" s="19"/>
      <c r="VWA44" s="19"/>
      <c r="VWB44" s="19"/>
      <c r="VWC44" s="19"/>
      <c r="VWD44" s="19"/>
      <c r="VWE44" s="19"/>
      <c r="VWF44" s="19"/>
      <c r="VWG44" s="19"/>
      <c r="VWH44" s="19"/>
      <c r="VWI44" s="19"/>
      <c r="VWJ44" s="19"/>
      <c r="VWK44" s="19"/>
      <c r="VWL44" s="19"/>
      <c r="VWM44" s="19"/>
      <c r="VWN44" s="19"/>
      <c r="VWO44" s="19"/>
      <c r="VWP44" s="19"/>
      <c r="VWQ44" s="19"/>
      <c r="VWR44" s="19"/>
      <c r="VWS44" s="19"/>
      <c r="VWT44" s="19"/>
      <c r="VWU44" s="19"/>
      <c r="VWV44" s="19"/>
      <c r="VWW44" s="19"/>
      <c r="VWX44" s="19"/>
      <c r="VWY44" s="19"/>
      <c r="VWZ44" s="19"/>
      <c r="VXA44" s="19"/>
      <c r="VXB44" s="19"/>
      <c r="VXC44" s="19"/>
      <c r="VXD44" s="19"/>
      <c r="VXE44" s="19"/>
      <c r="VXF44" s="19"/>
      <c r="VXG44" s="19"/>
      <c r="VXH44" s="19"/>
      <c r="VXI44" s="19"/>
      <c r="VXJ44" s="19"/>
      <c r="VXK44" s="19"/>
      <c r="VXL44" s="19"/>
      <c r="VXM44" s="19"/>
      <c r="VXN44" s="19"/>
      <c r="VXO44" s="19"/>
      <c r="VXP44" s="19"/>
      <c r="VXQ44" s="19"/>
      <c r="VXR44" s="19"/>
      <c r="VXS44" s="19"/>
      <c r="VXT44" s="19"/>
      <c r="VXU44" s="19"/>
      <c r="VXV44" s="19"/>
      <c r="VXW44" s="19"/>
      <c r="VXX44" s="19"/>
      <c r="VXY44" s="19"/>
      <c r="VXZ44" s="19"/>
      <c r="VYA44" s="19"/>
      <c r="VYB44" s="19"/>
      <c r="VYC44" s="19"/>
      <c r="VYD44" s="19"/>
      <c r="VYE44" s="19"/>
      <c r="VYF44" s="19"/>
      <c r="VYG44" s="19"/>
      <c r="VYH44" s="19"/>
      <c r="VYI44" s="19"/>
      <c r="VYJ44" s="19"/>
      <c r="VYK44" s="19"/>
      <c r="VYL44" s="19"/>
      <c r="VYM44" s="19"/>
      <c r="VYN44" s="19"/>
      <c r="VYO44" s="19"/>
      <c r="VYP44" s="19"/>
      <c r="VYQ44" s="19"/>
      <c r="VYR44" s="19"/>
      <c r="VYS44" s="19"/>
      <c r="VYT44" s="19"/>
      <c r="VYU44" s="19"/>
      <c r="VYV44" s="19"/>
      <c r="VYW44" s="19"/>
      <c r="VYX44" s="19"/>
      <c r="VYY44" s="19"/>
      <c r="VYZ44" s="19"/>
      <c r="VZA44" s="19"/>
      <c r="VZB44" s="19"/>
      <c r="VZC44" s="19"/>
      <c r="VZD44" s="19"/>
      <c r="VZE44" s="19"/>
      <c r="VZF44" s="19"/>
      <c r="VZG44" s="19"/>
      <c r="VZH44" s="19"/>
      <c r="VZI44" s="19"/>
      <c r="VZJ44" s="19"/>
      <c r="VZK44" s="19"/>
      <c r="VZL44" s="19"/>
      <c r="VZM44" s="19"/>
      <c r="VZN44" s="19"/>
      <c r="VZO44" s="19"/>
      <c r="VZP44" s="19"/>
      <c r="VZQ44" s="19"/>
      <c r="VZR44" s="19"/>
      <c r="VZS44" s="19"/>
      <c r="VZT44" s="19"/>
      <c r="VZU44" s="19"/>
      <c r="VZV44" s="19"/>
      <c r="VZW44" s="19"/>
      <c r="VZX44" s="19"/>
      <c r="VZY44" s="19"/>
      <c r="VZZ44" s="19"/>
      <c r="WAA44" s="19"/>
      <c r="WAB44" s="19"/>
      <c r="WAC44" s="19"/>
      <c r="WAD44" s="19"/>
      <c r="WAE44" s="19"/>
      <c r="WAF44" s="19"/>
      <c r="WAG44" s="19"/>
      <c r="WAH44" s="19"/>
      <c r="WAI44" s="19"/>
      <c r="WAJ44" s="19"/>
      <c r="WAK44" s="19"/>
      <c r="WAL44" s="19"/>
      <c r="WAM44" s="19"/>
      <c r="WAN44" s="19"/>
      <c r="WAO44" s="19"/>
      <c r="WAP44" s="19"/>
      <c r="WAQ44" s="19"/>
      <c r="WAR44" s="19"/>
      <c r="WAS44" s="19"/>
      <c r="WAT44" s="19"/>
      <c r="WAU44" s="19"/>
      <c r="WAV44" s="19"/>
      <c r="WAW44" s="19"/>
      <c r="WAX44" s="19"/>
      <c r="WAY44" s="19"/>
      <c r="WAZ44" s="19"/>
      <c r="WBA44" s="19"/>
      <c r="WBB44" s="19"/>
      <c r="WBC44" s="19"/>
      <c r="WBD44" s="19"/>
      <c r="WBE44" s="19"/>
      <c r="WBF44" s="19"/>
      <c r="WBG44" s="19"/>
      <c r="WBH44" s="19"/>
      <c r="WBI44" s="19"/>
      <c r="WBJ44" s="19"/>
      <c r="WBK44" s="19"/>
      <c r="WBL44" s="19"/>
      <c r="WBM44" s="19"/>
      <c r="WBN44" s="19"/>
      <c r="WBO44" s="19"/>
      <c r="WBP44" s="19"/>
      <c r="WBQ44" s="19"/>
      <c r="WBR44" s="19"/>
      <c r="WBS44" s="19"/>
      <c r="WBT44" s="19"/>
      <c r="WBU44" s="19"/>
      <c r="WBV44" s="19"/>
      <c r="WBW44" s="19"/>
      <c r="WBX44" s="19"/>
      <c r="WBY44" s="19"/>
      <c r="WBZ44" s="19"/>
      <c r="WCA44" s="19"/>
      <c r="WCB44" s="19"/>
      <c r="WCC44" s="19"/>
      <c r="WCD44" s="19"/>
      <c r="WCE44" s="19"/>
      <c r="WCF44" s="19"/>
      <c r="WCG44" s="19"/>
      <c r="WCH44" s="19"/>
      <c r="WCI44" s="19"/>
      <c r="WCJ44" s="19"/>
      <c r="WCK44" s="19"/>
      <c r="WCL44" s="19"/>
      <c r="WCM44" s="19"/>
      <c r="WCN44" s="19"/>
      <c r="WCO44" s="19"/>
      <c r="WCP44" s="19"/>
      <c r="WCQ44" s="19"/>
      <c r="WCR44" s="19"/>
      <c r="WCS44" s="19"/>
      <c r="WCT44" s="19"/>
      <c r="WCU44" s="19"/>
      <c r="WCV44" s="19"/>
      <c r="WCW44" s="19"/>
      <c r="WCX44" s="19"/>
      <c r="WCY44" s="19"/>
      <c r="WCZ44" s="19"/>
      <c r="WDA44" s="19"/>
      <c r="WDB44" s="19"/>
      <c r="WDC44" s="19"/>
      <c r="WDD44" s="19"/>
      <c r="WDE44" s="19"/>
      <c r="WDF44" s="19"/>
      <c r="WDG44" s="19"/>
      <c r="WDH44" s="19"/>
      <c r="WDI44" s="19"/>
      <c r="WDJ44" s="19"/>
      <c r="WDK44" s="19"/>
      <c r="WDL44" s="19"/>
      <c r="WDM44" s="19"/>
      <c r="WDN44" s="19"/>
      <c r="WDO44" s="19"/>
      <c r="WDP44" s="19"/>
      <c r="WDQ44" s="19"/>
      <c r="WDR44" s="19"/>
      <c r="WDS44" s="19"/>
      <c r="WDT44" s="19"/>
      <c r="WDU44" s="19"/>
      <c r="WDV44" s="19"/>
      <c r="WDW44" s="19"/>
      <c r="WDX44" s="19"/>
      <c r="WDY44" s="19"/>
      <c r="WDZ44" s="19"/>
      <c r="WEA44" s="19"/>
      <c r="WEB44" s="19"/>
      <c r="WEC44" s="19"/>
      <c r="WED44" s="19"/>
      <c r="WEE44" s="19"/>
      <c r="WEF44" s="19"/>
      <c r="WEG44" s="19"/>
      <c r="WEH44" s="19"/>
      <c r="WEI44" s="19"/>
      <c r="WEJ44" s="19"/>
      <c r="WEK44" s="19"/>
      <c r="WEL44" s="19"/>
      <c r="WEM44" s="19"/>
      <c r="WEN44" s="19"/>
      <c r="WEO44" s="19"/>
      <c r="WEP44" s="19"/>
      <c r="WEQ44" s="19"/>
      <c r="WER44" s="19"/>
      <c r="WES44" s="19"/>
      <c r="WET44" s="19"/>
      <c r="WEU44" s="19"/>
      <c r="WEV44" s="19"/>
      <c r="WEW44" s="19"/>
      <c r="WEX44" s="19"/>
      <c r="WEY44" s="19"/>
      <c r="WEZ44" s="19"/>
      <c r="WFA44" s="19"/>
      <c r="WFB44" s="19"/>
      <c r="WFC44" s="19"/>
      <c r="WFD44" s="19"/>
      <c r="WFE44" s="19"/>
      <c r="WFF44" s="19"/>
      <c r="WFG44" s="19"/>
      <c r="WFH44" s="19"/>
      <c r="WFI44" s="19"/>
      <c r="WFJ44" s="19"/>
      <c r="WFK44" s="19"/>
      <c r="WFL44" s="19"/>
      <c r="WFM44" s="19"/>
      <c r="WFN44" s="19"/>
      <c r="WFO44" s="19"/>
      <c r="WFP44" s="19"/>
      <c r="WFQ44" s="19"/>
      <c r="WFR44" s="19"/>
      <c r="WFS44" s="19"/>
      <c r="WFT44" s="19"/>
      <c r="WFU44" s="19"/>
      <c r="WFV44" s="19"/>
      <c r="WFW44" s="19"/>
      <c r="WFX44" s="19"/>
      <c r="WFY44" s="19"/>
      <c r="WFZ44" s="19"/>
      <c r="WGA44" s="19"/>
      <c r="WGB44" s="19"/>
      <c r="WGC44" s="19"/>
      <c r="WGD44" s="19"/>
      <c r="WGE44" s="19"/>
      <c r="WGF44" s="19"/>
      <c r="WGG44" s="19"/>
      <c r="WGH44" s="19"/>
      <c r="WGI44" s="19"/>
      <c r="WGJ44" s="19"/>
      <c r="WGK44" s="19"/>
      <c r="WGL44" s="19"/>
      <c r="WGM44" s="19"/>
      <c r="WGN44" s="19"/>
      <c r="WGO44" s="19"/>
      <c r="WGP44" s="19"/>
      <c r="WGQ44" s="19"/>
      <c r="WGR44" s="19"/>
      <c r="WGS44" s="19"/>
      <c r="WGT44" s="19"/>
      <c r="WGU44" s="19"/>
      <c r="WGV44" s="19"/>
      <c r="WGW44" s="19"/>
      <c r="WGX44" s="19"/>
      <c r="WGY44" s="19"/>
      <c r="WGZ44" s="19"/>
      <c r="WHA44" s="19"/>
      <c r="WHB44" s="19"/>
      <c r="WHC44" s="19"/>
      <c r="WHD44" s="19"/>
      <c r="WHE44" s="19"/>
      <c r="WHF44" s="19"/>
      <c r="WHG44" s="19"/>
      <c r="WHH44" s="19"/>
      <c r="WHI44" s="19"/>
      <c r="WHJ44" s="19"/>
      <c r="WHK44" s="19"/>
      <c r="WHL44" s="19"/>
      <c r="WHM44" s="19"/>
      <c r="WHN44" s="19"/>
      <c r="WHO44" s="19"/>
      <c r="WHP44" s="19"/>
      <c r="WHQ44" s="19"/>
      <c r="WHR44" s="19"/>
      <c r="WHS44" s="19"/>
      <c r="WHT44" s="19"/>
      <c r="WHU44" s="19"/>
      <c r="WHV44" s="19"/>
      <c r="WHW44" s="19"/>
      <c r="WHX44" s="19"/>
      <c r="WHY44" s="19"/>
      <c r="WHZ44" s="19"/>
      <c r="WIA44" s="19"/>
      <c r="WIB44" s="19"/>
      <c r="WIC44" s="19"/>
      <c r="WID44" s="19"/>
      <c r="WIE44" s="19"/>
      <c r="WIF44" s="19"/>
      <c r="WIG44" s="19"/>
      <c r="WIH44" s="19"/>
      <c r="WII44" s="19"/>
      <c r="WIJ44" s="19"/>
      <c r="WIK44" s="19"/>
      <c r="WIL44" s="19"/>
      <c r="WIM44" s="19"/>
      <c r="WIN44" s="19"/>
      <c r="WIO44" s="19"/>
      <c r="WIP44" s="19"/>
      <c r="WIQ44" s="19"/>
      <c r="WIR44" s="19"/>
      <c r="WIS44" s="19"/>
      <c r="WIT44" s="19"/>
      <c r="WIU44" s="19"/>
      <c r="WIV44" s="19"/>
      <c r="WIW44" s="19"/>
      <c r="WIX44" s="19"/>
      <c r="WIY44" s="19"/>
      <c r="WIZ44" s="19"/>
      <c r="WJA44" s="19"/>
      <c r="WJB44" s="19"/>
      <c r="WJC44" s="19"/>
      <c r="WJD44" s="19"/>
      <c r="WJE44" s="19"/>
      <c r="WJF44" s="19"/>
      <c r="WJG44" s="19"/>
      <c r="WJH44" s="19"/>
      <c r="WJI44" s="19"/>
      <c r="WJJ44" s="19"/>
      <c r="WJK44" s="19"/>
      <c r="WJL44" s="19"/>
      <c r="WJM44" s="19"/>
      <c r="WJN44" s="19"/>
      <c r="WJO44" s="19"/>
      <c r="WJP44" s="19"/>
      <c r="WJQ44" s="19"/>
      <c r="WJR44" s="19"/>
      <c r="WJS44" s="19"/>
      <c r="WJT44" s="19"/>
      <c r="WJU44" s="19"/>
      <c r="WJV44" s="19"/>
      <c r="WJW44" s="19"/>
      <c r="WJX44" s="19"/>
      <c r="WJY44" s="19"/>
      <c r="WJZ44" s="19"/>
      <c r="WKA44" s="19"/>
      <c r="WKB44" s="19"/>
      <c r="WKC44" s="19"/>
      <c r="WKD44" s="19"/>
      <c r="WKE44" s="19"/>
      <c r="WKF44" s="19"/>
      <c r="WKG44" s="19"/>
      <c r="WKH44" s="19"/>
      <c r="WKI44" s="19"/>
      <c r="WKJ44" s="19"/>
      <c r="WKK44" s="19"/>
      <c r="WKL44" s="19"/>
      <c r="WKM44" s="19"/>
      <c r="WKN44" s="19"/>
      <c r="WKO44" s="19"/>
      <c r="WKP44" s="19"/>
      <c r="WKQ44" s="19"/>
      <c r="WKR44" s="19"/>
      <c r="WKS44" s="19"/>
      <c r="WKT44" s="19"/>
      <c r="WKU44" s="19"/>
      <c r="WKV44" s="19"/>
      <c r="WKW44" s="19"/>
      <c r="WKX44" s="19"/>
      <c r="WKY44" s="19"/>
      <c r="WKZ44" s="19"/>
      <c r="WLA44" s="19"/>
      <c r="WLB44" s="19"/>
      <c r="WLC44" s="19"/>
      <c r="WLD44" s="19"/>
      <c r="WLE44" s="19"/>
      <c r="WLF44" s="19"/>
      <c r="WLG44" s="19"/>
      <c r="WLH44" s="19"/>
      <c r="WLI44" s="19"/>
      <c r="WLJ44" s="19"/>
      <c r="WLK44" s="19"/>
      <c r="WLL44" s="19"/>
      <c r="WLM44" s="19"/>
      <c r="WLN44" s="19"/>
      <c r="WLO44" s="19"/>
      <c r="WLP44" s="19"/>
      <c r="WLQ44" s="19"/>
      <c r="WLR44" s="19"/>
      <c r="WLS44" s="19"/>
      <c r="WLT44" s="19"/>
      <c r="WLU44" s="19"/>
      <c r="WLV44" s="19"/>
      <c r="WLW44" s="19"/>
      <c r="WLX44" s="19"/>
      <c r="WLY44" s="19"/>
      <c r="WLZ44" s="19"/>
      <c r="WMA44" s="19"/>
      <c r="WMB44" s="19"/>
      <c r="WMC44" s="19"/>
      <c r="WMD44" s="19"/>
      <c r="WME44" s="19"/>
      <c r="WMF44" s="19"/>
      <c r="WMG44" s="19"/>
      <c r="WMH44" s="19"/>
      <c r="WMI44" s="19"/>
      <c r="WMJ44" s="19"/>
      <c r="WMK44" s="19"/>
      <c r="WML44" s="19"/>
      <c r="WMM44" s="19"/>
      <c r="WMN44" s="19"/>
      <c r="WMO44" s="19"/>
      <c r="WMP44" s="19"/>
      <c r="WMQ44" s="19"/>
      <c r="WMR44" s="19"/>
      <c r="WMS44" s="19"/>
      <c r="WMT44" s="19"/>
      <c r="WMU44" s="19"/>
      <c r="WMV44" s="19"/>
      <c r="WMW44" s="19"/>
      <c r="WMX44" s="19"/>
      <c r="WMY44" s="19"/>
      <c r="WMZ44" s="19"/>
      <c r="WNA44" s="19"/>
      <c r="WNB44" s="19"/>
      <c r="WNC44" s="19"/>
      <c r="WND44" s="19"/>
      <c r="WNE44" s="19"/>
      <c r="WNF44" s="19"/>
      <c r="WNG44" s="19"/>
      <c r="WNH44" s="19"/>
      <c r="WNI44" s="19"/>
      <c r="WNJ44" s="19"/>
      <c r="WNK44" s="19"/>
      <c r="WNL44" s="19"/>
      <c r="WNM44" s="19"/>
      <c r="WNN44" s="19"/>
      <c r="WNO44" s="19"/>
      <c r="WNP44" s="19"/>
      <c r="WNQ44" s="19"/>
      <c r="WNR44" s="19"/>
      <c r="WNS44" s="19"/>
      <c r="WNT44" s="19"/>
      <c r="WNU44" s="19"/>
      <c r="WNV44" s="19"/>
      <c r="WNW44" s="19"/>
      <c r="WNX44" s="19"/>
      <c r="WNY44" s="19"/>
      <c r="WNZ44" s="19"/>
      <c r="WOA44" s="19"/>
      <c r="WOB44" s="19"/>
      <c r="WOC44" s="19"/>
      <c r="WOD44" s="19"/>
      <c r="WOE44" s="19"/>
      <c r="WOF44" s="19"/>
      <c r="WOG44" s="19"/>
      <c r="WOH44" s="19"/>
      <c r="WOI44" s="19"/>
      <c r="WOJ44" s="19"/>
      <c r="WOK44" s="19"/>
      <c r="WOL44" s="19"/>
      <c r="WOM44" s="19"/>
      <c r="WON44" s="19"/>
      <c r="WOO44" s="19"/>
      <c r="WOP44" s="19"/>
      <c r="WOQ44" s="19"/>
      <c r="WOR44" s="19"/>
      <c r="WOS44" s="19"/>
      <c r="WOT44" s="19"/>
      <c r="WOU44" s="19"/>
      <c r="WOV44" s="19"/>
      <c r="WOW44" s="19"/>
      <c r="WOX44" s="19"/>
      <c r="WOY44" s="19"/>
      <c r="WOZ44" s="19"/>
      <c r="WPA44" s="19"/>
      <c r="WPB44" s="19"/>
      <c r="WPC44" s="19"/>
      <c r="WPD44" s="19"/>
      <c r="WPE44" s="19"/>
      <c r="WPF44" s="19"/>
      <c r="WPG44" s="19"/>
      <c r="WPH44" s="19"/>
      <c r="WPI44" s="19"/>
      <c r="WPJ44" s="19"/>
      <c r="WPK44" s="19"/>
      <c r="WPL44" s="19"/>
      <c r="WPM44" s="19"/>
      <c r="WPN44" s="19"/>
      <c r="WPO44" s="19"/>
      <c r="WPP44" s="19"/>
      <c r="WPQ44" s="19"/>
      <c r="WPR44" s="19"/>
      <c r="WPS44" s="19"/>
      <c r="WPT44" s="19"/>
      <c r="WPU44" s="19"/>
      <c r="WPV44" s="19"/>
      <c r="WPW44" s="19"/>
      <c r="WPX44" s="19"/>
      <c r="WPY44" s="19"/>
      <c r="WPZ44" s="19"/>
      <c r="WQA44" s="19"/>
      <c r="WQB44" s="19"/>
      <c r="WQC44" s="19"/>
      <c r="WQD44" s="19"/>
      <c r="WQE44" s="19"/>
      <c r="WQF44" s="19"/>
      <c r="WQG44" s="19"/>
      <c r="WQH44" s="19"/>
      <c r="WQI44" s="19"/>
      <c r="WQJ44" s="19"/>
      <c r="WQK44" s="19"/>
      <c r="WQL44" s="19"/>
      <c r="WQM44" s="19"/>
      <c r="WQN44" s="19"/>
      <c r="WQO44" s="19"/>
      <c r="WQP44" s="19"/>
      <c r="WQQ44" s="19"/>
      <c r="WQR44" s="19"/>
      <c r="WQS44" s="19"/>
      <c r="WQT44" s="19"/>
      <c r="WQU44" s="19"/>
      <c r="WQV44" s="19"/>
      <c r="WQW44" s="19"/>
      <c r="WQX44" s="19"/>
      <c r="WQY44" s="19"/>
      <c r="WQZ44" s="19"/>
      <c r="WRA44" s="19"/>
      <c r="WRB44" s="19"/>
      <c r="WRC44" s="19"/>
      <c r="WRD44" s="19"/>
      <c r="WRE44" s="19"/>
      <c r="WRF44" s="19"/>
      <c r="WRG44" s="19"/>
      <c r="WRH44" s="19"/>
      <c r="WRI44" s="19"/>
      <c r="WRJ44" s="19"/>
      <c r="WRK44" s="19"/>
      <c r="WRL44" s="19"/>
      <c r="WRM44" s="19"/>
      <c r="WRN44" s="19"/>
      <c r="WRO44" s="19"/>
      <c r="WRP44" s="19"/>
      <c r="WRQ44" s="19"/>
      <c r="WRR44" s="19"/>
      <c r="WRS44" s="19"/>
      <c r="WRT44" s="19"/>
      <c r="WRU44" s="19"/>
      <c r="WRV44" s="19"/>
      <c r="WRW44" s="19"/>
      <c r="WRX44" s="19"/>
      <c r="WRY44" s="19"/>
      <c r="WRZ44" s="19"/>
      <c r="WSA44" s="19"/>
      <c r="WSB44" s="19"/>
      <c r="WSC44" s="19"/>
      <c r="WSD44" s="19"/>
      <c r="WSE44" s="19"/>
      <c r="WSF44" s="19"/>
      <c r="WSG44" s="19"/>
      <c r="WSH44" s="19"/>
      <c r="WSI44" s="19"/>
      <c r="WSJ44" s="19"/>
      <c r="WSK44" s="19"/>
      <c r="WSL44" s="19"/>
      <c r="WSM44" s="19"/>
      <c r="WSN44" s="19"/>
      <c r="WSO44" s="19"/>
      <c r="WSP44" s="19"/>
      <c r="WSQ44" s="19"/>
      <c r="WSR44" s="19"/>
      <c r="WSS44" s="19"/>
      <c r="WST44" s="19"/>
      <c r="WSU44" s="19"/>
      <c r="WSV44" s="19"/>
      <c r="WSW44" s="19"/>
      <c r="WSX44" s="19"/>
      <c r="WSY44" s="19"/>
      <c r="WSZ44" s="19"/>
      <c r="WTA44" s="19"/>
      <c r="WTB44" s="19"/>
      <c r="WTC44" s="19"/>
      <c r="WTD44" s="19"/>
      <c r="WTE44" s="19"/>
      <c r="WTF44" s="19"/>
      <c r="WTG44" s="19"/>
      <c r="WTH44" s="19"/>
      <c r="WTI44" s="19"/>
      <c r="WTJ44" s="19"/>
      <c r="WTK44" s="19"/>
      <c r="WTL44" s="19"/>
      <c r="WTM44" s="19"/>
      <c r="WTN44" s="19"/>
      <c r="WTO44" s="19"/>
      <c r="WTP44" s="19"/>
      <c r="WTQ44" s="19"/>
      <c r="WTR44" s="19"/>
      <c r="WTS44" s="19"/>
      <c r="WTT44" s="19"/>
      <c r="WTU44" s="19"/>
      <c r="WTV44" s="19"/>
      <c r="WTW44" s="19"/>
      <c r="WTX44" s="19"/>
      <c r="WTY44" s="19"/>
      <c r="WTZ44" s="19"/>
      <c r="WUA44" s="19"/>
      <c r="WUB44" s="19"/>
      <c r="WUC44" s="19"/>
      <c r="WUD44" s="19"/>
      <c r="WUE44" s="19"/>
      <c r="WUF44" s="19"/>
      <c r="WUG44" s="19"/>
      <c r="WUH44" s="19"/>
      <c r="WUI44" s="19"/>
      <c r="WUJ44" s="19"/>
      <c r="WUK44" s="19"/>
      <c r="WUL44" s="19"/>
      <c r="WUM44" s="19"/>
      <c r="WUN44" s="19"/>
      <c r="WUO44" s="19"/>
      <c r="WUP44" s="19"/>
      <c r="WUQ44" s="19"/>
      <c r="WUR44" s="19"/>
      <c r="WUS44" s="19"/>
      <c r="WUT44" s="19"/>
      <c r="WUU44" s="19"/>
      <c r="WUV44" s="19"/>
      <c r="WUW44" s="19"/>
      <c r="WUX44" s="19"/>
      <c r="WUY44" s="19"/>
      <c r="WUZ44" s="19"/>
      <c r="WVA44" s="19"/>
      <c r="WVB44" s="19"/>
      <c r="WVC44" s="19"/>
      <c r="WVD44" s="19"/>
      <c r="WVE44" s="19"/>
      <c r="WVF44" s="19"/>
      <c r="WVG44" s="19"/>
      <c r="WVH44" s="19"/>
      <c r="WVI44" s="19"/>
      <c r="WVJ44" s="19"/>
      <c r="WVK44" s="19"/>
      <c r="WVL44" s="19"/>
      <c r="WVM44" s="19"/>
      <c r="WVN44" s="19"/>
      <c r="WVO44" s="19"/>
      <c r="WVP44" s="19"/>
      <c r="WVQ44" s="19"/>
      <c r="WVR44" s="19"/>
      <c r="WVS44" s="19"/>
      <c r="WVT44" s="19"/>
      <c r="WVU44" s="19"/>
      <c r="WVV44" s="19"/>
      <c r="WVW44" s="19"/>
      <c r="WVX44" s="19"/>
      <c r="WVY44" s="19"/>
      <c r="WVZ44" s="19"/>
      <c r="WWA44" s="19"/>
      <c r="WWB44" s="19"/>
      <c r="WWC44" s="19"/>
      <c r="WWD44" s="19"/>
      <c r="WWE44" s="19"/>
      <c r="WWF44" s="19"/>
      <c r="WWG44" s="19"/>
      <c r="WWH44" s="19"/>
      <c r="WWI44" s="19"/>
      <c r="WWJ44" s="19"/>
      <c r="WWK44" s="19"/>
      <c r="WWL44" s="19"/>
      <c r="WWM44" s="19"/>
      <c r="WWN44" s="19"/>
      <c r="WWO44" s="19"/>
      <c r="WWP44" s="19"/>
      <c r="WWQ44" s="19"/>
      <c r="WWR44" s="19"/>
      <c r="WWS44" s="19"/>
      <c r="WWT44" s="19"/>
      <c r="WWU44" s="19"/>
      <c r="WWV44" s="19"/>
      <c r="WWW44" s="19"/>
      <c r="WWX44" s="19"/>
      <c r="WWY44" s="19"/>
      <c r="WWZ44" s="19"/>
      <c r="WXA44" s="19"/>
      <c r="WXB44" s="19"/>
      <c r="WXC44" s="19"/>
      <c r="WXD44" s="19"/>
      <c r="WXE44" s="19"/>
      <c r="WXF44" s="19"/>
      <c r="WXG44" s="19"/>
      <c r="WXH44" s="19"/>
      <c r="WXI44" s="19"/>
      <c r="WXJ44" s="19"/>
      <c r="WXK44" s="19"/>
      <c r="WXL44" s="19"/>
      <c r="WXM44" s="19"/>
      <c r="WXN44" s="19"/>
      <c r="WXO44" s="19"/>
      <c r="WXP44" s="19"/>
      <c r="WXQ44" s="19"/>
      <c r="WXR44" s="19"/>
      <c r="WXS44" s="19"/>
      <c r="WXT44" s="19"/>
      <c r="WXU44" s="19"/>
      <c r="WXV44" s="19"/>
      <c r="WXW44" s="19"/>
      <c r="WXX44" s="19"/>
      <c r="WXY44" s="19"/>
      <c r="WXZ44" s="19"/>
      <c r="WYA44" s="19"/>
      <c r="WYB44" s="19"/>
      <c r="WYC44" s="19"/>
      <c r="WYD44" s="19"/>
      <c r="WYE44" s="19"/>
      <c r="WYF44" s="19"/>
      <c r="WYG44" s="19"/>
      <c r="WYH44" s="19"/>
      <c r="WYI44" s="19"/>
      <c r="WYJ44" s="19"/>
      <c r="WYK44" s="19"/>
      <c r="WYL44" s="19"/>
      <c r="WYM44" s="19"/>
      <c r="WYN44" s="19"/>
      <c r="WYO44" s="19"/>
      <c r="WYP44" s="19"/>
      <c r="WYQ44" s="19"/>
      <c r="WYR44" s="19"/>
      <c r="WYS44" s="19"/>
      <c r="WYT44" s="19"/>
      <c r="WYU44" s="19"/>
      <c r="WYV44" s="19"/>
      <c r="WYW44" s="19"/>
      <c r="WYX44" s="19"/>
      <c r="WYY44" s="19"/>
      <c r="WYZ44" s="19"/>
      <c r="WZA44" s="19"/>
      <c r="WZB44" s="19"/>
      <c r="WZC44" s="19"/>
      <c r="WZD44" s="19"/>
      <c r="WZE44" s="19"/>
      <c r="WZF44" s="19"/>
      <c r="WZG44" s="19"/>
      <c r="WZH44" s="19"/>
      <c r="WZI44" s="19"/>
      <c r="WZJ44" s="19"/>
      <c r="WZK44" s="19"/>
      <c r="WZL44" s="19"/>
      <c r="WZM44" s="19"/>
      <c r="WZN44" s="19"/>
      <c r="WZO44" s="19"/>
      <c r="WZP44" s="19"/>
      <c r="WZQ44" s="19"/>
      <c r="WZR44" s="19"/>
      <c r="WZS44" s="19"/>
      <c r="WZT44" s="19"/>
      <c r="WZU44" s="19"/>
      <c r="WZV44" s="19"/>
      <c r="WZW44" s="19"/>
      <c r="WZX44" s="19"/>
      <c r="WZY44" s="19"/>
      <c r="WZZ44" s="19"/>
      <c r="XAA44" s="19"/>
      <c r="XAB44" s="19"/>
      <c r="XAC44" s="19"/>
      <c r="XAD44" s="19"/>
      <c r="XAE44" s="19"/>
      <c r="XAF44" s="19"/>
      <c r="XAG44" s="19"/>
      <c r="XAH44" s="19"/>
      <c r="XAI44" s="19"/>
      <c r="XAJ44" s="19"/>
      <c r="XAK44" s="19"/>
      <c r="XAL44" s="19"/>
      <c r="XAM44" s="19"/>
      <c r="XAN44" s="19"/>
      <c r="XAO44" s="19"/>
      <c r="XAP44" s="19"/>
      <c r="XAQ44" s="19"/>
      <c r="XAR44" s="19"/>
      <c r="XAS44" s="19"/>
      <c r="XAT44" s="19"/>
      <c r="XAU44" s="19"/>
      <c r="XAV44" s="19"/>
      <c r="XAW44" s="19"/>
      <c r="XAX44" s="19"/>
      <c r="XAY44" s="19"/>
      <c r="XAZ44" s="19"/>
      <c r="XBA44" s="19"/>
      <c r="XBB44" s="19"/>
      <c r="XBC44" s="19"/>
      <c r="XBD44" s="19"/>
      <c r="XBE44" s="19"/>
      <c r="XBF44" s="19"/>
      <c r="XBG44" s="19"/>
      <c r="XBH44" s="19"/>
      <c r="XBI44" s="19"/>
      <c r="XBJ44" s="19"/>
      <c r="XBK44" s="19"/>
      <c r="XBL44" s="19"/>
      <c r="XBM44" s="19"/>
      <c r="XBN44" s="19"/>
      <c r="XBO44" s="19"/>
      <c r="XBP44" s="19"/>
      <c r="XBQ44" s="19"/>
      <c r="XBR44" s="19"/>
      <c r="XBS44" s="19"/>
      <c r="XBT44" s="19"/>
      <c r="XBU44" s="19"/>
      <c r="XBV44" s="19"/>
      <c r="XBW44" s="19"/>
      <c r="XBX44" s="19"/>
      <c r="XBY44" s="19"/>
      <c r="XBZ44" s="19"/>
      <c r="XCA44" s="19"/>
      <c r="XCB44" s="19"/>
      <c r="XCC44" s="19"/>
      <c r="XCD44" s="19"/>
      <c r="XCE44" s="19"/>
      <c r="XCF44" s="19"/>
      <c r="XCG44" s="19"/>
      <c r="XCH44" s="19"/>
      <c r="XCI44" s="19"/>
      <c r="XCJ44" s="19"/>
      <c r="XCK44" s="19"/>
      <c r="XCL44" s="19"/>
      <c r="XCM44" s="19"/>
      <c r="XCN44" s="19"/>
      <c r="XCO44" s="19"/>
      <c r="XCP44" s="19"/>
      <c r="XCQ44" s="19"/>
      <c r="XCR44" s="19"/>
      <c r="XCS44" s="19"/>
      <c r="XCT44" s="19"/>
      <c r="XCU44" s="19"/>
      <c r="XCV44" s="19"/>
      <c r="XCW44" s="19"/>
      <c r="XCX44" s="19"/>
      <c r="XCY44" s="19"/>
      <c r="XCZ44" s="19"/>
      <c r="XDA44" s="19"/>
      <c r="XDB44" s="19"/>
      <c r="XDC44" s="19"/>
      <c r="XDD44" s="19"/>
      <c r="XDE44" s="19"/>
      <c r="XDF44" s="19"/>
      <c r="XDG44" s="19"/>
      <c r="XDH44" s="19"/>
      <c r="XDI44" s="19"/>
      <c r="XDJ44" s="19"/>
      <c r="XDK44" s="19"/>
      <c r="XDL44" s="19"/>
      <c r="XDM44" s="19"/>
      <c r="XDN44" s="19"/>
      <c r="XDO44" s="19"/>
      <c r="XDP44" s="19"/>
      <c r="XDQ44" s="19"/>
      <c r="XDR44" s="19"/>
      <c r="XDS44" s="19"/>
      <c r="XDT44" s="19"/>
      <c r="XDU44" s="19"/>
      <c r="XDV44" s="19"/>
      <c r="XDW44" s="19"/>
      <c r="XDX44" s="19"/>
      <c r="XDY44" s="19"/>
      <c r="XDZ44" s="19"/>
      <c r="XEA44" s="19"/>
      <c r="XEB44" s="19"/>
      <c r="XEC44" s="19"/>
      <c r="XED44" s="19"/>
      <c r="XEE44" s="19"/>
      <c r="XEF44" s="19"/>
      <c r="XEG44" s="19"/>
      <c r="XEH44" s="19"/>
      <c r="XEI44" s="19"/>
      <c r="XEJ44" s="19"/>
      <c r="XEK44" s="19"/>
      <c r="XEL44" s="19"/>
      <c r="XEM44" s="19"/>
      <c r="XEN44" s="19"/>
      <c r="XEO44" s="19"/>
      <c r="XEP44" s="19"/>
      <c r="XEQ44" s="19"/>
      <c r="XER44" s="19"/>
      <c r="XES44" s="19"/>
      <c r="XET44" s="19"/>
      <c r="XEU44" s="19"/>
      <c r="XEV44" s="19"/>
      <c r="XEW44" s="19"/>
      <c r="XEX44" s="19"/>
      <c r="XEY44" s="19"/>
      <c r="XEZ44" s="19"/>
      <c r="XFA44" s="19"/>
      <c r="XFB44" s="19"/>
    </row>
    <row r="45" spans="1:16382" s="18" customFormat="1" ht="15" customHeight="1" x14ac:dyDescent="0.25">
      <c r="B45" s="239"/>
      <c r="D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19"/>
      <c r="BV45" s="19"/>
      <c r="BW45" s="19"/>
      <c r="BX45" s="19"/>
      <c r="BY45" s="19"/>
      <c r="BZ45" s="19"/>
      <c r="CA45" s="19"/>
      <c r="CB45" s="19"/>
      <c r="CC45" s="19"/>
      <c r="CD45" s="19"/>
      <c r="CE45" s="19"/>
      <c r="CF45" s="19"/>
      <c r="CG45" s="19"/>
      <c r="CH45" s="19"/>
      <c r="CI45" s="19"/>
      <c r="CJ45" s="19"/>
      <c r="CK45" s="19"/>
      <c r="CL45" s="19"/>
      <c r="CM45" s="19"/>
      <c r="CN45" s="19"/>
      <c r="CO45" s="19"/>
      <c r="CP45" s="19"/>
      <c r="CQ45" s="19"/>
      <c r="CR45" s="19"/>
      <c r="CS45" s="19"/>
      <c r="CT45" s="19"/>
      <c r="CU45" s="19"/>
      <c r="CV45" s="19"/>
      <c r="CW45" s="19"/>
      <c r="CX45" s="19"/>
      <c r="CY45" s="19"/>
      <c r="CZ45" s="19"/>
      <c r="DA45" s="19"/>
      <c r="DB45" s="19"/>
      <c r="DC45" s="19"/>
      <c r="DD45" s="19"/>
      <c r="DE45" s="19"/>
      <c r="DF45" s="19"/>
      <c r="DG45" s="19"/>
      <c r="DH45" s="19"/>
      <c r="DI45" s="19"/>
      <c r="DJ45" s="19"/>
      <c r="DK45" s="19"/>
      <c r="DL45" s="19"/>
      <c r="DM45" s="19"/>
      <c r="DN45" s="19"/>
      <c r="DO45" s="19"/>
      <c r="DP45" s="19"/>
      <c r="DQ45" s="19"/>
      <c r="DR45" s="19"/>
      <c r="DS45" s="19"/>
      <c r="DT45" s="19"/>
      <c r="DU45" s="19"/>
      <c r="DV45" s="19"/>
      <c r="DW45" s="19"/>
      <c r="DX45" s="19"/>
      <c r="DY45" s="19"/>
      <c r="DZ45" s="19"/>
      <c r="EA45" s="19"/>
      <c r="EB45" s="19"/>
      <c r="EC45" s="19"/>
      <c r="ED45" s="19"/>
      <c r="EE45" s="19"/>
      <c r="EF45" s="19"/>
      <c r="EG45" s="19"/>
      <c r="EH45" s="19"/>
      <c r="EI45" s="19"/>
      <c r="EJ45" s="19"/>
      <c r="EK45" s="19"/>
      <c r="EL45" s="19"/>
      <c r="EM45" s="19"/>
      <c r="EN45" s="19"/>
      <c r="EO45" s="19"/>
      <c r="EP45" s="19"/>
      <c r="EQ45" s="19"/>
      <c r="ER45" s="19"/>
      <c r="ES45" s="19"/>
      <c r="ET45" s="19"/>
      <c r="EU45" s="19"/>
      <c r="EV45" s="19"/>
      <c r="EW45" s="19"/>
      <c r="EX45" s="19"/>
      <c r="EY45" s="19"/>
      <c r="EZ45" s="19"/>
      <c r="FA45" s="19"/>
      <c r="FB45" s="19"/>
      <c r="FC45" s="19"/>
      <c r="FD45" s="19"/>
      <c r="FE45" s="19"/>
      <c r="FF45" s="19"/>
      <c r="FG45" s="19"/>
      <c r="FH45" s="19"/>
      <c r="FI45" s="19"/>
      <c r="FJ45" s="19"/>
      <c r="FK45" s="19"/>
      <c r="FL45" s="19"/>
      <c r="FM45" s="19"/>
      <c r="FN45" s="19"/>
      <c r="FO45" s="19"/>
      <c r="FP45" s="19"/>
      <c r="FQ45" s="19"/>
      <c r="FR45" s="19"/>
      <c r="FS45" s="19"/>
      <c r="FT45" s="19"/>
      <c r="FU45" s="19"/>
      <c r="FV45" s="19"/>
      <c r="FW45" s="19"/>
      <c r="FX45" s="19"/>
      <c r="FY45" s="19"/>
      <c r="FZ45" s="19"/>
      <c r="GA45" s="19"/>
      <c r="GB45" s="19"/>
      <c r="GC45" s="19"/>
      <c r="GD45" s="19"/>
      <c r="GE45" s="19"/>
      <c r="GF45" s="19"/>
      <c r="GG45" s="19"/>
      <c r="GH45" s="19"/>
      <c r="GI45" s="19"/>
      <c r="GJ45" s="19"/>
      <c r="GK45" s="19"/>
      <c r="GL45" s="19"/>
      <c r="GM45" s="19"/>
      <c r="GN45" s="19"/>
      <c r="GO45" s="19"/>
      <c r="GP45" s="19"/>
      <c r="GQ45" s="19"/>
      <c r="GR45" s="19"/>
      <c r="GS45" s="19"/>
      <c r="GT45" s="19"/>
      <c r="GU45" s="19"/>
      <c r="GV45" s="19"/>
      <c r="GW45" s="19"/>
      <c r="GX45" s="19"/>
      <c r="GY45" s="19"/>
      <c r="GZ45" s="19"/>
      <c r="HA45" s="19"/>
      <c r="HB45" s="19"/>
      <c r="HC45" s="19"/>
      <c r="HD45" s="19"/>
      <c r="HE45" s="19"/>
      <c r="HF45" s="19"/>
      <c r="HG45" s="19"/>
      <c r="HH45" s="19"/>
      <c r="HI45" s="19"/>
      <c r="HJ45" s="19"/>
      <c r="HK45" s="19"/>
      <c r="HL45" s="19"/>
      <c r="HM45" s="19"/>
      <c r="HN45" s="19"/>
      <c r="HO45" s="19"/>
      <c r="HP45" s="19"/>
      <c r="HQ45" s="19"/>
      <c r="HR45" s="19"/>
      <c r="HS45" s="19"/>
      <c r="HT45" s="19"/>
      <c r="HU45" s="19"/>
      <c r="HV45" s="19"/>
      <c r="HW45" s="19"/>
      <c r="HX45" s="19"/>
      <c r="HY45" s="19"/>
      <c r="HZ45" s="19"/>
      <c r="IA45" s="19"/>
      <c r="IB45" s="19"/>
      <c r="IC45" s="19"/>
      <c r="ID45" s="19"/>
      <c r="IE45" s="19"/>
      <c r="IF45" s="19"/>
      <c r="IG45" s="19"/>
      <c r="IH45" s="19"/>
      <c r="II45" s="19"/>
      <c r="IJ45" s="19"/>
      <c r="IK45" s="19"/>
      <c r="IL45" s="19"/>
      <c r="IM45" s="19"/>
      <c r="IN45" s="19"/>
      <c r="IO45" s="19"/>
      <c r="IP45" s="19"/>
      <c r="IQ45" s="19"/>
      <c r="IR45" s="19"/>
      <c r="IS45" s="19"/>
      <c r="IT45" s="19"/>
      <c r="IU45" s="19"/>
      <c r="IV45" s="19"/>
      <c r="IW45" s="19"/>
      <c r="IX45" s="19"/>
      <c r="IY45" s="19"/>
      <c r="IZ45" s="19"/>
      <c r="JA45" s="19"/>
      <c r="JB45" s="19"/>
      <c r="JC45" s="19"/>
      <c r="JD45" s="19"/>
      <c r="JE45" s="19"/>
      <c r="JF45" s="19"/>
      <c r="JG45" s="19"/>
      <c r="JH45" s="19"/>
      <c r="JI45" s="19"/>
      <c r="JJ45" s="19"/>
      <c r="JK45" s="19"/>
      <c r="JL45" s="19"/>
      <c r="JM45" s="19"/>
      <c r="JN45" s="19"/>
      <c r="JO45" s="19"/>
      <c r="JP45" s="19"/>
      <c r="JQ45" s="19"/>
      <c r="JR45" s="19"/>
      <c r="JS45" s="19"/>
      <c r="JT45" s="19"/>
      <c r="JU45" s="19"/>
      <c r="JV45" s="19"/>
      <c r="JW45" s="19"/>
      <c r="JX45" s="19"/>
      <c r="JY45" s="19"/>
      <c r="JZ45" s="19"/>
      <c r="KA45" s="19"/>
      <c r="KB45" s="19"/>
      <c r="KC45" s="19"/>
      <c r="KD45" s="19"/>
      <c r="KE45" s="19"/>
      <c r="KF45" s="19"/>
      <c r="KG45" s="19"/>
      <c r="KH45" s="19"/>
      <c r="KI45" s="19"/>
      <c r="KJ45" s="19"/>
      <c r="KK45" s="19"/>
      <c r="KL45" s="19"/>
      <c r="KM45" s="19"/>
      <c r="KN45" s="19"/>
      <c r="KO45" s="19"/>
      <c r="KP45" s="19"/>
      <c r="KQ45" s="19"/>
      <c r="KR45" s="19"/>
      <c r="KS45" s="19"/>
      <c r="KT45" s="19"/>
      <c r="KU45" s="19"/>
      <c r="KV45" s="19"/>
      <c r="KW45" s="19"/>
      <c r="KX45" s="19"/>
      <c r="KY45" s="19"/>
      <c r="KZ45" s="19"/>
      <c r="LA45" s="19"/>
      <c r="LB45" s="19"/>
      <c r="LC45" s="19"/>
      <c r="LD45" s="19"/>
      <c r="LE45" s="19"/>
      <c r="LF45" s="19"/>
      <c r="LG45" s="19"/>
      <c r="LH45" s="19"/>
      <c r="LI45" s="19"/>
      <c r="LJ45" s="19"/>
      <c r="LK45" s="19"/>
      <c r="LL45" s="19"/>
      <c r="LM45" s="19"/>
      <c r="LN45" s="19"/>
      <c r="LO45" s="19"/>
      <c r="LP45" s="19"/>
      <c r="LQ45" s="19"/>
      <c r="LR45" s="19"/>
      <c r="LS45" s="19"/>
      <c r="LT45" s="19"/>
      <c r="LU45" s="19"/>
      <c r="LV45" s="19"/>
      <c r="LW45" s="19"/>
      <c r="LX45" s="19"/>
      <c r="LY45" s="19"/>
      <c r="LZ45" s="19"/>
      <c r="MA45" s="19"/>
      <c r="MB45" s="19"/>
      <c r="MC45" s="19"/>
      <c r="MD45" s="19"/>
      <c r="ME45" s="19"/>
      <c r="MF45" s="19"/>
      <c r="MG45" s="19"/>
      <c r="MH45" s="19"/>
      <c r="MI45" s="19"/>
      <c r="MJ45" s="19"/>
      <c r="MK45" s="19"/>
      <c r="ML45" s="19"/>
      <c r="MM45" s="19"/>
      <c r="MN45" s="19"/>
      <c r="MO45" s="19"/>
      <c r="MP45" s="19"/>
      <c r="MQ45" s="19"/>
      <c r="MR45" s="19"/>
      <c r="MS45" s="19"/>
      <c r="MT45" s="19"/>
      <c r="MU45" s="19"/>
      <c r="MV45" s="19"/>
      <c r="MW45" s="19"/>
      <c r="MX45" s="19"/>
      <c r="MY45" s="19"/>
      <c r="MZ45" s="19"/>
      <c r="NA45" s="19"/>
      <c r="NB45" s="19"/>
      <c r="NC45" s="19"/>
      <c r="ND45" s="19"/>
      <c r="NE45" s="19"/>
      <c r="NF45" s="19"/>
      <c r="NG45" s="19"/>
      <c r="NH45" s="19"/>
      <c r="NI45" s="19"/>
      <c r="NJ45" s="19"/>
      <c r="NK45" s="19"/>
      <c r="NL45" s="19"/>
      <c r="NM45" s="19"/>
      <c r="NN45" s="19"/>
      <c r="NO45" s="19"/>
      <c r="NP45" s="19"/>
      <c r="NQ45" s="19"/>
      <c r="NR45" s="19"/>
      <c r="NS45" s="19"/>
      <c r="NT45" s="19"/>
      <c r="NU45" s="19"/>
      <c r="NV45" s="19"/>
      <c r="NW45" s="19"/>
      <c r="NX45" s="19"/>
      <c r="NY45" s="19"/>
      <c r="NZ45" s="19"/>
      <c r="OA45" s="19"/>
      <c r="OB45" s="19"/>
      <c r="OC45" s="19"/>
      <c r="OD45" s="19"/>
      <c r="OE45" s="19"/>
      <c r="OF45" s="19"/>
      <c r="OG45" s="19"/>
      <c r="OH45" s="19"/>
      <c r="OI45" s="19"/>
      <c r="OJ45" s="19"/>
      <c r="OK45" s="19"/>
      <c r="OL45" s="19"/>
      <c r="OM45" s="19"/>
      <c r="ON45" s="19"/>
      <c r="OO45" s="19"/>
      <c r="OP45" s="19"/>
      <c r="OQ45" s="19"/>
      <c r="OR45" s="19"/>
      <c r="OS45" s="19"/>
      <c r="OT45" s="19"/>
      <c r="OU45" s="19"/>
      <c r="OV45" s="19"/>
      <c r="OW45" s="19"/>
      <c r="OX45" s="19"/>
      <c r="OY45" s="19"/>
      <c r="OZ45" s="19"/>
      <c r="PA45" s="19"/>
      <c r="PB45" s="19"/>
      <c r="PC45" s="19"/>
      <c r="PD45" s="19"/>
      <c r="PE45" s="19"/>
      <c r="PF45" s="19"/>
      <c r="PG45" s="19"/>
      <c r="PH45" s="19"/>
      <c r="PI45" s="19"/>
      <c r="PJ45" s="19"/>
      <c r="PK45" s="19"/>
      <c r="PL45" s="19"/>
      <c r="PM45" s="19"/>
      <c r="PN45" s="19"/>
      <c r="PO45" s="19"/>
      <c r="PP45" s="19"/>
      <c r="PQ45" s="19"/>
      <c r="PR45" s="19"/>
      <c r="PS45" s="19"/>
      <c r="PT45" s="19"/>
      <c r="PU45" s="19"/>
      <c r="PV45" s="19"/>
      <c r="PW45" s="19"/>
      <c r="PX45" s="19"/>
      <c r="PY45" s="19"/>
      <c r="PZ45" s="19"/>
      <c r="QA45" s="19"/>
      <c r="QB45" s="19"/>
      <c r="QC45" s="19"/>
      <c r="QD45" s="19"/>
      <c r="QE45" s="19"/>
      <c r="QF45" s="19"/>
      <c r="QG45" s="19"/>
      <c r="QH45" s="19"/>
      <c r="QI45" s="19"/>
      <c r="QJ45" s="19"/>
      <c r="QK45" s="19"/>
      <c r="QL45" s="19"/>
      <c r="QM45" s="19"/>
      <c r="QN45" s="19"/>
      <c r="QO45" s="19"/>
      <c r="QP45" s="19"/>
      <c r="QQ45" s="19"/>
      <c r="QR45" s="19"/>
      <c r="QS45" s="19"/>
      <c r="QT45" s="19"/>
      <c r="QU45" s="19"/>
      <c r="QV45" s="19"/>
      <c r="QW45" s="19"/>
      <c r="QX45" s="19"/>
      <c r="QY45" s="19"/>
      <c r="QZ45" s="19"/>
      <c r="RA45" s="19"/>
      <c r="RB45" s="19"/>
      <c r="RC45" s="19"/>
      <c r="RD45" s="19"/>
      <c r="RE45" s="19"/>
      <c r="RF45" s="19"/>
      <c r="RG45" s="19"/>
      <c r="RH45" s="19"/>
      <c r="RI45" s="19"/>
      <c r="RJ45" s="19"/>
      <c r="RK45" s="19"/>
      <c r="RL45" s="19"/>
      <c r="RM45" s="19"/>
      <c r="RN45" s="19"/>
      <c r="RO45" s="19"/>
      <c r="RP45" s="19"/>
      <c r="RQ45" s="19"/>
      <c r="RR45" s="19"/>
      <c r="RS45" s="19"/>
      <c r="RT45" s="19"/>
      <c r="RU45" s="19"/>
      <c r="RV45" s="19"/>
      <c r="RW45" s="19"/>
      <c r="RX45" s="19"/>
      <c r="RY45" s="19"/>
      <c r="RZ45" s="19"/>
      <c r="SA45" s="19"/>
      <c r="SB45" s="19"/>
      <c r="SC45" s="19"/>
      <c r="SD45" s="19"/>
      <c r="SE45" s="19"/>
      <c r="SF45" s="19"/>
      <c r="SG45" s="19"/>
      <c r="SH45" s="19"/>
      <c r="SI45" s="19"/>
      <c r="SJ45" s="19"/>
      <c r="SK45" s="19"/>
      <c r="SL45" s="19"/>
      <c r="SM45" s="19"/>
      <c r="SN45" s="19"/>
      <c r="SO45" s="19"/>
      <c r="SP45" s="19"/>
      <c r="SQ45" s="19"/>
      <c r="SR45" s="19"/>
      <c r="SS45" s="19"/>
      <c r="ST45" s="19"/>
      <c r="SU45" s="19"/>
      <c r="SV45" s="19"/>
      <c r="SW45" s="19"/>
      <c r="SX45" s="19"/>
      <c r="SY45" s="19"/>
      <c r="SZ45" s="19"/>
      <c r="TA45" s="19"/>
      <c r="TB45" s="19"/>
      <c r="TC45" s="19"/>
      <c r="TD45" s="19"/>
      <c r="TE45" s="19"/>
      <c r="TF45" s="19"/>
      <c r="TG45" s="19"/>
      <c r="TH45" s="19"/>
      <c r="TI45" s="19"/>
      <c r="TJ45" s="19"/>
      <c r="TK45" s="19"/>
      <c r="TL45" s="19"/>
      <c r="TM45" s="19"/>
      <c r="TN45" s="19"/>
      <c r="TO45" s="19"/>
      <c r="TP45" s="19"/>
      <c r="TQ45" s="19"/>
      <c r="TR45" s="19"/>
      <c r="TS45" s="19"/>
      <c r="TT45" s="19"/>
      <c r="TU45" s="19"/>
      <c r="TV45" s="19"/>
      <c r="TW45" s="19"/>
      <c r="TX45" s="19"/>
      <c r="TY45" s="19"/>
      <c r="TZ45" s="19"/>
      <c r="UA45" s="19"/>
      <c r="UB45" s="19"/>
      <c r="UC45" s="19"/>
      <c r="UD45" s="19"/>
      <c r="UE45" s="19"/>
      <c r="UF45" s="19"/>
      <c r="UG45" s="19"/>
      <c r="UH45" s="19"/>
      <c r="UI45" s="19"/>
      <c r="UJ45" s="19"/>
      <c r="UK45" s="19"/>
      <c r="UL45" s="19"/>
      <c r="UM45" s="19"/>
      <c r="UN45" s="19"/>
      <c r="UO45" s="19"/>
      <c r="UP45" s="19"/>
      <c r="UQ45" s="19"/>
      <c r="UR45" s="19"/>
      <c r="US45" s="19"/>
      <c r="UT45" s="19"/>
      <c r="UU45" s="19"/>
      <c r="UV45" s="19"/>
      <c r="UW45" s="19"/>
      <c r="UX45" s="19"/>
      <c r="UY45" s="19"/>
      <c r="UZ45" s="19"/>
      <c r="VA45" s="19"/>
      <c r="VB45" s="19"/>
      <c r="VC45" s="19"/>
      <c r="VD45" s="19"/>
      <c r="VE45" s="19"/>
      <c r="VF45" s="19"/>
      <c r="VG45" s="19"/>
      <c r="VH45" s="19"/>
      <c r="VI45" s="19"/>
      <c r="VJ45" s="19"/>
      <c r="VK45" s="19"/>
      <c r="VL45" s="19"/>
      <c r="VM45" s="19"/>
      <c r="VN45" s="19"/>
      <c r="VO45" s="19"/>
      <c r="VP45" s="19"/>
      <c r="VQ45" s="19"/>
      <c r="VR45" s="19"/>
      <c r="VS45" s="19"/>
      <c r="VT45" s="19"/>
      <c r="VU45" s="19"/>
      <c r="VV45" s="19"/>
      <c r="VW45" s="19"/>
      <c r="VX45" s="19"/>
      <c r="VY45" s="19"/>
      <c r="VZ45" s="19"/>
      <c r="WA45" s="19"/>
      <c r="WB45" s="19"/>
      <c r="WC45" s="19"/>
      <c r="WD45" s="19"/>
      <c r="WE45" s="19"/>
      <c r="WF45" s="19"/>
      <c r="WG45" s="19"/>
      <c r="WH45" s="19"/>
      <c r="WI45" s="19"/>
      <c r="WJ45" s="19"/>
      <c r="WK45" s="19"/>
      <c r="WL45" s="19"/>
      <c r="WM45" s="19"/>
      <c r="WN45" s="19"/>
      <c r="WO45" s="19"/>
      <c r="WP45" s="19"/>
      <c r="WQ45" s="19"/>
      <c r="WR45" s="19"/>
      <c r="WS45" s="19"/>
      <c r="WT45" s="19"/>
      <c r="WU45" s="19"/>
      <c r="WV45" s="19"/>
      <c r="WW45" s="19"/>
      <c r="WX45" s="19"/>
      <c r="WY45" s="19"/>
      <c r="WZ45" s="19"/>
      <c r="XA45" s="19"/>
      <c r="XB45" s="19"/>
      <c r="XC45" s="19"/>
      <c r="XD45" s="19"/>
      <c r="XE45" s="19"/>
      <c r="XF45" s="19"/>
      <c r="XG45" s="19"/>
      <c r="XH45" s="19"/>
      <c r="XI45" s="19"/>
      <c r="XJ45" s="19"/>
      <c r="XK45" s="19"/>
      <c r="XL45" s="19"/>
      <c r="XM45" s="19"/>
      <c r="XN45" s="19"/>
      <c r="XO45" s="19"/>
      <c r="XP45" s="19"/>
      <c r="XQ45" s="19"/>
      <c r="XR45" s="19"/>
      <c r="XS45" s="19"/>
      <c r="XT45" s="19"/>
      <c r="XU45" s="19"/>
      <c r="XV45" s="19"/>
      <c r="XW45" s="19"/>
      <c r="XX45" s="19"/>
      <c r="XY45" s="19"/>
      <c r="XZ45" s="19"/>
      <c r="YA45" s="19"/>
      <c r="YB45" s="19"/>
      <c r="YC45" s="19"/>
      <c r="YD45" s="19"/>
      <c r="YE45" s="19"/>
      <c r="YF45" s="19"/>
      <c r="YG45" s="19"/>
      <c r="YH45" s="19"/>
      <c r="YI45" s="19"/>
      <c r="YJ45" s="19"/>
      <c r="YK45" s="19"/>
      <c r="YL45" s="19"/>
      <c r="YM45" s="19"/>
      <c r="YN45" s="19"/>
      <c r="YO45" s="19"/>
      <c r="YP45" s="19"/>
      <c r="YQ45" s="19"/>
      <c r="YR45" s="19"/>
      <c r="YS45" s="19"/>
      <c r="YT45" s="19"/>
      <c r="YU45" s="19"/>
      <c r="YV45" s="19"/>
      <c r="YW45" s="19"/>
      <c r="YX45" s="19"/>
      <c r="YY45" s="19"/>
      <c r="YZ45" s="19"/>
      <c r="ZA45" s="19"/>
      <c r="ZB45" s="19"/>
      <c r="ZC45" s="19"/>
      <c r="ZD45" s="19"/>
      <c r="ZE45" s="19"/>
      <c r="ZF45" s="19"/>
      <c r="ZG45" s="19"/>
      <c r="ZH45" s="19"/>
      <c r="ZI45" s="19"/>
      <c r="ZJ45" s="19"/>
      <c r="ZK45" s="19"/>
      <c r="ZL45" s="19"/>
      <c r="ZM45" s="19"/>
      <c r="ZN45" s="19"/>
      <c r="ZO45" s="19"/>
      <c r="ZP45" s="19"/>
      <c r="ZQ45" s="19"/>
      <c r="ZR45" s="19"/>
      <c r="ZS45" s="19"/>
      <c r="ZT45" s="19"/>
      <c r="ZU45" s="19"/>
      <c r="ZV45" s="19"/>
      <c r="ZW45" s="19"/>
      <c r="ZX45" s="19"/>
      <c r="ZY45" s="19"/>
      <c r="ZZ45" s="19"/>
      <c r="AAA45" s="19"/>
      <c r="AAB45" s="19"/>
      <c r="AAC45" s="19"/>
      <c r="AAD45" s="19"/>
      <c r="AAE45" s="19"/>
      <c r="AAF45" s="19"/>
      <c r="AAG45" s="19"/>
      <c r="AAH45" s="19"/>
      <c r="AAI45" s="19"/>
      <c r="AAJ45" s="19"/>
      <c r="AAK45" s="19"/>
      <c r="AAL45" s="19"/>
      <c r="AAM45" s="19"/>
      <c r="AAN45" s="19"/>
      <c r="AAO45" s="19"/>
      <c r="AAP45" s="19"/>
      <c r="AAQ45" s="19"/>
      <c r="AAR45" s="19"/>
      <c r="AAS45" s="19"/>
      <c r="AAT45" s="19"/>
      <c r="AAU45" s="19"/>
      <c r="AAV45" s="19"/>
      <c r="AAW45" s="19"/>
      <c r="AAX45" s="19"/>
      <c r="AAY45" s="19"/>
      <c r="AAZ45" s="19"/>
      <c r="ABA45" s="19"/>
      <c r="ABB45" s="19"/>
      <c r="ABC45" s="19"/>
      <c r="ABD45" s="19"/>
      <c r="ABE45" s="19"/>
      <c r="ABF45" s="19"/>
      <c r="ABG45" s="19"/>
      <c r="ABH45" s="19"/>
      <c r="ABI45" s="19"/>
      <c r="ABJ45" s="19"/>
      <c r="ABK45" s="19"/>
      <c r="ABL45" s="19"/>
      <c r="ABM45" s="19"/>
      <c r="ABN45" s="19"/>
      <c r="ABO45" s="19"/>
      <c r="ABP45" s="19"/>
      <c r="ABQ45" s="19"/>
      <c r="ABR45" s="19"/>
      <c r="ABS45" s="19"/>
      <c r="ABT45" s="19"/>
      <c r="ABU45" s="19"/>
      <c r="ABV45" s="19"/>
      <c r="ABW45" s="19"/>
      <c r="ABX45" s="19"/>
      <c r="ABY45" s="19"/>
      <c r="ABZ45" s="19"/>
      <c r="ACA45" s="19"/>
      <c r="ACB45" s="19"/>
      <c r="ACC45" s="19"/>
      <c r="ACD45" s="19"/>
      <c r="ACE45" s="19"/>
      <c r="ACF45" s="19"/>
      <c r="ACG45" s="19"/>
      <c r="ACH45" s="19"/>
      <c r="ACI45" s="19"/>
      <c r="ACJ45" s="19"/>
      <c r="ACK45" s="19"/>
      <c r="ACL45" s="19"/>
      <c r="ACM45" s="19"/>
      <c r="ACN45" s="19"/>
      <c r="ACO45" s="19"/>
      <c r="ACP45" s="19"/>
      <c r="ACQ45" s="19"/>
      <c r="ACR45" s="19"/>
      <c r="ACS45" s="19"/>
      <c r="ACT45" s="19"/>
      <c r="ACU45" s="19"/>
      <c r="ACV45" s="19"/>
      <c r="ACW45" s="19"/>
      <c r="ACX45" s="19"/>
      <c r="ACY45" s="19"/>
      <c r="ACZ45" s="19"/>
      <c r="ADA45" s="19"/>
      <c r="ADB45" s="19"/>
      <c r="ADC45" s="19"/>
      <c r="ADD45" s="19"/>
      <c r="ADE45" s="19"/>
      <c r="ADF45" s="19"/>
      <c r="ADG45" s="19"/>
      <c r="ADH45" s="19"/>
      <c r="ADI45" s="19"/>
      <c r="ADJ45" s="19"/>
      <c r="ADK45" s="19"/>
      <c r="ADL45" s="19"/>
      <c r="ADM45" s="19"/>
      <c r="ADN45" s="19"/>
      <c r="ADO45" s="19"/>
      <c r="ADP45" s="19"/>
      <c r="ADQ45" s="19"/>
      <c r="ADR45" s="19"/>
      <c r="ADS45" s="19"/>
      <c r="ADT45" s="19"/>
      <c r="ADU45" s="19"/>
      <c r="ADV45" s="19"/>
      <c r="ADW45" s="19"/>
      <c r="ADX45" s="19"/>
      <c r="ADY45" s="19"/>
      <c r="ADZ45" s="19"/>
      <c r="AEA45" s="19"/>
      <c r="AEB45" s="19"/>
      <c r="AEC45" s="19"/>
      <c r="AED45" s="19"/>
      <c r="AEE45" s="19"/>
      <c r="AEF45" s="19"/>
      <c r="AEG45" s="19"/>
      <c r="AEH45" s="19"/>
      <c r="AEI45" s="19"/>
      <c r="AEJ45" s="19"/>
      <c r="AEK45" s="19"/>
      <c r="AEL45" s="19"/>
      <c r="AEM45" s="19"/>
      <c r="AEN45" s="19"/>
      <c r="AEO45" s="19"/>
      <c r="AEP45" s="19"/>
      <c r="AEQ45" s="19"/>
      <c r="AER45" s="19"/>
      <c r="AES45" s="19"/>
      <c r="AET45" s="19"/>
      <c r="AEU45" s="19"/>
      <c r="AEV45" s="19"/>
      <c r="AEW45" s="19"/>
      <c r="AEX45" s="19"/>
      <c r="AEY45" s="19"/>
      <c r="AEZ45" s="19"/>
      <c r="AFA45" s="19"/>
      <c r="AFB45" s="19"/>
      <c r="AFC45" s="19"/>
      <c r="AFD45" s="19"/>
      <c r="AFE45" s="19"/>
      <c r="AFF45" s="19"/>
      <c r="AFG45" s="19"/>
      <c r="AFH45" s="19"/>
      <c r="AFI45" s="19"/>
      <c r="AFJ45" s="19"/>
      <c r="AFK45" s="19"/>
      <c r="AFL45" s="19"/>
      <c r="AFM45" s="19"/>
      <c r="AFN45" s="19"/>
      <c r="AFO45" s="19"/>
      <c r="AFP45" s="19"/>
      <c r="AFQ45" s="19"/>
      <c r="AFR45" s="19"/>
      <c r="AFS45" s="19"/>
      <c r="AFT45" s="19"/>
      <c r="AFU45" s="19"/>
      <c r="AFV45" s="19"/>
      <c r="AFW45" s="19"/>
      <c r="AFX45" s="19"/>
      <c r="AFY45" s="19"/>
      <c r="AFZ45" s="19"/>
      <c r="AGA45" s="19"/>
      <c r="AGB45" s="19"/>
      <c r="AGC45" s="19"/>
      <c r="AGD45" s="19"/>
      <c r="AGE45" s="19"/>
      <c r="AGF45" s="19"/>
      <c r="AGG45" s="19"/>
      <c r="AGH45" s="19"/>
      <c r="AGI45" s="19"/>
      <c r="AGJ45" s="19"/>
      <c r="AGK45" s="19"/>
      <c r="AGL45" s="19"/>
      <c r="AGM45" s="19"/>
      <c r="AGN45" s="19"/>
      <c r="AGO45" s="19"/>
      <c r="AGP45" s="19"/>
      <c r="AGQ45" s="19"/>
      <c r="AGR45" s="19"/>
      <c r="AGS45" s="19"/>
      <c r="AGT45" s="19"/>
      <c r="AGU45" s="19"/>
      <c r="AGV45" s="19"/>
      <c r="AGW45" s="19"/>
      <c r="AGX45" s="19"/>
      <c r="AGY45" s="19"/>
      <c r="AGZ45" s="19"/>
      <c r="AHA45" s="19"/>
      <c r="AHB45" s="19"/>
      <c r="AHC45" s="19"/>
      <c r="AHD45" s="19"/>
      <c r="AHE45" s="19"/>
      <c r="AHF45" s="19"/>
      <c r="AHG45" s="19"/>
      <c r="AHH45" s="19"/>
      <c r="AHI45" s="19"/>
      <c r="AHJ45" s="19"/>
      <c r="AHK45" s="19"/>
      <c r="AHL45" s="19"/>
      <c r="AHM45" s="19"/>
      <c r="AHN45" s="19"/>
      <c r="AHO45" s="19"/>
      <c r="AHP45" s="19"/>
      <c r="AHQ45" s="19"/>
      <c r="AHR45" s="19"/>
      <c r="AHS45" s="19"/>
      <c r="AHT45" s="19"/>
      <c r="AHU45" s="19"/>
      <c r="AHV45" s="19"/>
      <c r="AHW45" s="19"/>
      <c r="AHX45" s="19"/>
      <c r="AHY45" s="19"/>
      <c r="AHZ45" s="19"/>
      <c r="AIA45" s="19"/>
      <c r="AIB45" s="19"/>
      <c r="AIC45" s="19"/>
      <c r="AID45" s="19"/>
      <c r="AIE45" s="19"/>
      <c r="AIF45" s="19"/>
      <c r="AIG45" s="19"/>
      <c r="AIH45" s="19"/>
      <c r="AII45" s="19"/>
      <c r="AIJ45" s="19"/>
      <c r="AIK45" s="19"/>
      <c r="AIL45" s="19"/>
      <c r="AIM45" s="19"/>
      <c r="AIN45" s="19"/>
      <c r="AIO45" s="19"/>
      <c r="AIP45" s="19"/>
      <c r="AIQ45" s="19"/>
      <c r="AIR45" s="19"/>
      <c r="AIS45" s="19"/>
      <c r="AIT45" s="19"/>
      <c r="AIU45" s="19"/>
      <c r="AIV45" s="19"/>
      <c r="AIW45" s="19"/>
      <c r="AIX45" s="19"/>
      <c r="AIY45" s="19"/>
      <c r="AIZ45" s="19"/>
      <c r="AJA45" s="19"/>
      <c r="AJB45" s="19"/>
      <c r="AJC45" s="19"/>
      <c r="AJD45" s="19"/>
      <c r="AJE45" s="19"/>
      <c r="AJF45" s="19"/>
      <c r="AJG45" s="19"/>
      <c r="AJH45" s="19"/>
      <c r="AJI45" s="19"/>
      <c r="AJJ45" s="19"/>
      <c r="AJK45" s="19"/>
      <c r="AJL45" s="19"/>
      <c r="AJM45" s="19"/>
      <c r="AJN45" s="19"/>
      <c r="AJO45" s="19"/>
      <c r="AJP45" s="19"/>
      <c r="AJQ45" s="19"/>
      <c r="AJR45" s="19"/>
      <c r="AJS45" s="19"/>
      <c r="AJT45" s="19"/>
      <c r="AJU45" s="19"/>
      <c r="AJV45" s="19"/>
      <c r="AJW45" s="19"/>
      <c r="AJX45" s="19"/>
      <c r="AJY45" s="19"/>
      <c r="AJZ45" s="19"/>
      <c r="AKA45" s="19"/>
      <c r="AKB45" s="19"/>
      <c r="AKC45" s="19"/>
      <c r="AKD45" s="19"/>
      <c r="AKE45" s="19"/>
      <c r="AKF45" s="19"/>
      <c r="AKG45" s="19"/>
      <c r="AKH45" s="19"/>
      <c r="AKI45" s="19"/>
      <c r="AKJ45" s="19"/>
      <c r="AKK45" s="19"/>
      <c r="AKL45" s="19"/>
      <c r="AKM45" s="19"/>
      <c r="AKN45" s="19"/>
      <c r="AKO45" s="19"/>
      <c r="AKP45" s="19"/>
      <c r="AKQ45" s="19"/>
      <c r="AKR45" s="19"/>
      <c r="AKS45" s="19"/>
      <c r="AKT45" s="19"/>
      <c r="AKU45" s="19"/>
      <c r="AKV45" s="19"/>
      <c r="AKW45" s="19"/>
      <c r="AKX45" s="19"/>
      <c r="AKY45" s="19"/>
      <c r="AKZ45" s="19"/>
      <c r="ALA45" s="19"/>
      <c r="ALB45" s="19"/>
      <c r="ALC45" s="19"/>
      <c r="ALD45" s="19"/>
      <c r="ALE45" s="19"/>
      <c r="ALF45" s="19"/>
      <c r="ALG45" s="19"/>
      <c r="ALH45" s="19"/>
      <c r="ALI45" s="19"/>
      <c r="ALJ45" s="19"/>
      <c r="ALK45" s="19"/>
      <c r="ALL45" s="19"/>
      <c r="ALM45" s="19"/>
      <c r="ALN45" s="19"/>
      <c r="ALO45" s="19"/>
      <c r="ALP45" s="19"/>
      <c r="ALQ45" s="19"/>
      <c r="ALR45" s="19"/>
      <c r="ALS45" s="19"/>
      <c r="ALT45" s="19"/>
      <c r="ALU45" s="19"/>
      <c r="ALV45" s="19"/>
      <c r="ALW45" s="19"/>
      <c r="ALX45" s="19"/>
      <c r="ALY45" s="19"/>
      <c r="ALZ45" s="19"/>
      <c r="AMA45" s="19"/>
      <c r="AMB45" s="19"/>
      <c r="AMC45" s="19"/>
      <c r="AMD45" s="19"/>
      <c r="AME45" s="19"/>
      <c r="AMF45" s="19"/>
      <c r="AMG45" s="19"/>
      <c r="AMH45" s="19"/>
      <c r="AMI45" s="19"/>
      <c r="AMJ45" s="19"/>
      <c r="AMK45" s="19"/>
      <c r="AML45" s="19"/>
      <c r="AMM45" s="19"/>
      <c r="AMN45" s="19"/>
      <c r="AMO45" s="19"/>
      <c r="AMP45" s="19"/>
      <c r="AMQ45" s="19"/>
      <c r="AMR45" s="19"/>
      <c r="AMS45" s="19"/>
      <c r="AMT45" s="19"/>
      <c r="AMU45" s="19"/>
      <c r="AMV45" s="19"/>
      <c r="AMW45" s="19"/>
      <c r="AMX45" s="19"/>
      <c r="AMY45" s="19"/>
      <c r="AMZ45" s="19"/>
      <c r="ANA45" s="19"/>
      <c r="ANB45" s="19"/>
      <c r="ANC45" s="19"/>
      <c r="AND45" s="19"/>
      <c r="ANE45" s="19"/>
      <c r="ANF45" s="19"/>
      <c r="ANG45" s="19"/>
      <c r="ANH45" s="19"/>
      <c r="ANI45" s="19"/>
      <c r="ANJ45" s="19"/>
      <c r="ANK45" s="19"/>
      <c r="ANL45" s="19"/>
      <c r="ANM45" s="19"/>
      <c r="ANN45" s="19"/>
      <c r="ANO45" s="19"/>
      <c r="ANP45" s="19"/>
      <c r="ANQ45" s="19"/>
      <c r="ANR45" s="19"/>
      <c r="ANS45" s="19"/>
      <c r="ANT45" s="19"/>
      <c r="ANU45" s="19"/>
      <c r="ANV45" s="19"/>
      <c r="ANW45" s="19"/>
      <c r="ANX45" s="19"/>
      <c r="ANY45" s="19"/>
      <c r="ANZ45" s="19"/>
      <c r="AOA45" s="19"/>
      <c r="AOB45" s="19"/>
      <c r="AOC45" s="19"/>
      <c r="AOD45" s="19"/>
      <c r="AOE45" s="19"/>
      <c r="AOF45" s="19"/>
      <c r="AOG45" s="19"/>
      <c r="AOH45" s="19"/>
      <c r="AOI45" s="19"/>
      <c r="AOJ45" s="19"/>
      <c r="AOK45" s="19"/>
      <c r="AOL45" s="19"/>
      <c r="AOM45" s="19"/>
      <c r="AON45" s="19"/>
      <c r="AOO45" s="19"/>
      <c r="AOP45" s="19"/>
      <c r="AOQ45" s="19"/>
      <c r="AOR45" s="19"/>
      <c r="AOS45" s="19"/>
      <c r="AOT45" s="19"/>
      <c r="AOU45" s="19"/>
      <c r="AOV45" s="19"/>
      <c r="AOW45" s="19"/>
      <c r="AOX45" s="19"/>
      <c r="AOY45" s="19"/>
      <c r="AOZ45" s="19"/>
      <c r="APA45" s="19"/>
      <c r="APB45" s="19"/>
      <c r="APC45" s="19"/>
      <c r="APD45" s="19"/>
      <c r="APE45" s="19"/>
      <c r="APF45" s="19"/>
      <c r="APG45" s="19"/>
      <c r="APH45" s="19"/>
      <c r="API45" s="19"/>
      <c r="APJ45" s="19"/>
      <c r="APK45" s="19"/>
      <c r="APL45" s="19"/>
      <c r="APM45" s="19"/>
      <c r="APN45" s="19"/>
      <c r="APO45" s="19"/>
      <c r="APP45" s="19"/>
      <c r="APQ45" s="19"/>
      <c r="APR45" s="19"/>
      <c r="APS45" s="19"/>
      <c r="APT45" s="19"/>
      <c r="APU45" s="19"/>
      <c r="APV45" s="19"/>
      <c r="APW45" s="19"/>
      <c r="APX45" s="19"/>
      <c r="APY45" s="19"/>
      <c r="APZ45" s="19"/>
      <c r="AQA45" s="19"/>
      <c r="AQB45" s="19"/>
      <c r="AQC45" s="19"/>
      <c r="AQD45" s="19"/>
      <c r="AQE45" s="19"/>
      <c r="AQF45" s="19"/>
      <c r="AQG45" s="19"/>
      <c r="AQH45" s="19"/>
      <c r="AQI45" s="19"/>
      <c r="AQJ45" s="19"/>
      <c r="AQK45" s="19"/>
      <c r="AQL45" s="19"/>
      <c r="AQM45" s="19"/>
      <c r="AQN45" s="19"/>
      <c r="AQO45" s="19"/>
      <c r="AQP45" s="19"/>
      <c r="AQQ45" s="19"/>
      <c r="AQR45" s="19"/>
      <c r="AQS45" s="19"/>
      <c r="AQT45" s="19"/>
      <c r="AQU45" s="19"/>
      <c r="AQV45" s="19"/>
      <c r="AQW45" s="19"/>
      <c r="AQX45" s="19"/>
      <c r="AQY45" s="19"/>
      <c r="AQZ45" s="19"/>
      <c r="ARA45" s="19"/>
      <c r="ARB45" s="19"/>
      <c r="ARC45" s="19"/>
      <c r="ARD45" s="19"/>
      <c r="ARE45" s="19"/>
      <c r="ARF45" s="19"/>
      <c r="ARG45" s="19"/>
      <c r="ARH45" s="19"/>
      <c r="ARI45" s="19"/>
      <c r="ARJ45" s="19"/>
      <c r="ARK45" s="19"/>
      <c r="ARL45" s="19"/>
      <c r="ARM45" s="19"/>
      <c r="ARN45" s="19"/>
      <c r="ARO45" s="19"/>
      <c r="ARP45" s="19"/>
      <c r="ARQ45" s="19"/>
      <c r="ARR45" s="19"/>
      <c r="ARS45" s="19"/>
      <c r="ART45" s="19"/>
      <c r="ARU45" s="19"/>
      <c r="ARV45" s="19"/>
      <c r="ARW45" s="19"/>
      <c r="ARX45" s="19"/>
      <c r="ARY45" s="19"/>
      <c r="ARZ45" s="19"/>
      <c r="ASA45" s="19"/>
      <c r="ASB45" s="19"/>
      <c r="ASC45" s="19"/>
      <c r="ASD45" s="19"/>
      <c r="ASE45" s="19"/>
      <c r="ASF45" s="19"/>
      <c r="ASG45" s="19"/>
      <c r="ASH45" s="19"/>
      <c r="ASI45" s="19"/>
      <c r="ASJ45" s="19"/>
      <c r="ASK45" s="19"/>
      <c r="ASL45" s="19"/>
      <c r="ASM45" s="19"/>
      <c r="ASN45" s="19"/>
      <c r="ASO45" s="19"/>
      <c r="ASP45" s="19"/>
      <c r="ASQ45" s="19"/>
      <c r="ASR45" s="19"/>
      <c r="ASS45" s="19"/>
      <c r="AST45" s="19"/>
      <c r="ASU45" s="19"/>
      <c r="ASV45" s="19"/>
      <c r="ASW45" s="19"/>
      <c r="ASX45" s="19"/>
      <c r="ASY45" s="19"/>
      <c r="ASZ45" s="19"/>
      <c r="ATA45" s="19"/>
      <c r="ATB45" s="19"/>
      <c r="ATC45" s="19"/>
      <c r="ATD45" s="19"/>
      <c r="ATE45" s="19"/>
      <c r="ATF45" s="19"/>
      <c r="ATG45" s="19"/>
      <c r="ATH45" s="19"/>
      <c r="ATI45" s="19"/>
      <c r="ATJ45" s="19"/>
      <c r="ATK45" s="19"/>
      <c r="ATL45" s="19"/>
      <c r="ATM45" s="19"/>
      <c r="ATN45" s="19"/>
      <c r="ATO45" s="19"/>
      <c r="ATP45" s="19"/>
      <c r="ATQ45" s="19"/>
      <c r="ATR45" s="19"/>
      <c r="ATS45" s="19"/>
      <c r="ATT45" s="19"/>
      <c r="ATU45" s="19"/>
      <c r="ATV45" s="19"/>
      <c r="ATW45" s="19"/>
      <c r="ATX45" s="19"/>
      <c r="ATY45" s="19"/>
      <c r="ATZ45" s="19"/>
      <c r="AUA45" s="19"/>
      <c r="AUB45" s="19"/>
      <c r="AUC45" s="19"/>
      <c r="AUD45" s="19"/>
      <c r="AUE45" s="19"/>
      <c r="AUF45" s="19"/>
      <c r="AUG45" s="19"/>
      <c r="AUH45" s="19"/>
      <c r="AUI45" s="19"/>
      <c r="AUJ45" s="19"/>
      <c r="AUK45" s="19"/>
      <c r="AUL45" s="19"/>
      <c r="AUM45" s="19"/>
      <c r="AUN45" s="19"/>
      <c r="AUO45" s="19"/>
      <c r="AUP45" s="19"/>
      <c r="AUQ45" s="19"/>
      <c r="AUR45" s="19"/>
      <c r="AUS45" s="19"/>
      <c r="AUT45" s="19"/>
      <c r="AUU45" s="19"/>
      <c r="AUV45" s="19"/>
      <c r="AUW45" s="19"/>
      <c r="AUX45" s="19"/>
      <c r="AUY45" s="19"/>
      <c r="AUZ45" s="19"/>
      <c r="AVA45" s="19"/>
      <c r="AVB45" s="19"/>
      <c r="AVC45" s="19"/>
      <c r="AVD45" s="19"/>
      <c r="AVE45" s="19"/>
      <c r="AVF45" s="19"/>
      <c r="AVG45" s="19"/>
      <c r="AVH45" s="19"/>
      <c r="AVI45" s="19"/>
      <c r="AVJ45" s="19"/>
      <c r="AVK45" s="19"/>
      <c r="AVL45" s="19"/>
      <c r="AVM45" s="19"/>
      <c r="AVN45" s="19"/>
      <c r="AVO45" s="19"/>
      <c r="AVP45" s="19"/>
      <c r="AVQ45" s="19"/>
      <c r="AVR45" s="19"/>
      <c r="AVS45" s="19"/>
      <c r="AVT45" s="19"/>
      <c r="AVU45" s="19"/>
      <c r="AVV45" s="19"/>
      <c r="AVW45" s="19"/>
      <c r="AVX45" s="19"/>
      <c r="AVY45" s="19"/>
      <c r="AVZ45" s="19"/>
      <c r="AWA45" s="19"/>
      <c r="AWB45" s="19"/>
      <c r="AWC45" s="19"/>
      <c r="AWD45" s="19"/>
      <c r="AWE45" s="19"/>
      <c r="AWF45" s="19"/>
      <c r="AWG45" s="19"/>
      <c r="AWH45" s="19"/>
      <c r="AWI45" s="19"/>
      <c r="AWJ45" s="19"/>
      <c r="AWK45" s="19"/>
      <c r="AWL45" s="19"/>
      <c r="AWM45" s="19"/>
      <c r="AWN45" s="19"/>
      <c r="AWO45" s="19"/>
      <c r="AWP45" s="19"/>
      <c r="AWQ45" s="19"/>
      <c r="AWR45" s="19"/>
      <c r="AWS45" s="19"/>
      <c r="AWT45" s="19"/>
      <c r="AWU45" s="19"/>
      <c r="AWV45" s="19"/>
      <c r="AWW45" s="19"/>
      <c r="AWX45" s="19"/>
      <c r="AWY45" s="19"/>
      <c r="AWZ45" s="19"/>
      <c r="AXA45" s="19"/>
      <c r="AXB45" s="19"/>
      <c r="AXC45" s="19"/>
      <c r="AXD45" s="19"/>
      <c r="AXE45" s="19"/>
      <c r="AXF45" s="19"/>
      <c r="AXG45" s="19"/>
      <c r="AXH45" s="19"/>
      <c r="AXI45" s="19"/>
      <c r="AXJ45" s="19"/>
      <c r="AXK45" s="19"/>
      <c r="AXL45" s="19"/>
      <c r="AXM45" s="19"/>
      <c r="AXN45" s="19"/>
      <c r="AXO45" s="19"/>
      <c r="AXP45" s="19"/>
      <c r="AXQ45" s="19"/>
      <c r="AXR45" s="19"/>
      <c r="AXS45" s="19"/>
      <c r="AXT45" s="19"/>
      <c r="AXU45" s="19"/>
      <c r="AXV45" s="19"/>
      <c r="AXW45" s="19"/>
      <c r="AXX45" s="19"/>
      <c r="AXY45" s="19"/>
      <c r="AXZ45" s="19"/>
      <c r="AYA45" s="19"/>
      <c r="AYB45" s="19"/>
      <c r="AYC45" s="19"/>
      <c r="AYD45" s="19"/>
      <c r="AYE45" s="19"/>
      <c r="AYF45" s="19"/>
      <c r="AYG45" s="19"/>
      <c r="AYH45" s="19"/>
      <c r="AYI45" s="19"/>
      <c r="AYJ45" s="19"/>
      <c r="AYK45" s="19"/>
      <c r="AYL45" s="19"/>
      <c r="AYM45" s="19"/>
      <c r="AYN45" s="19"/>
      <c r="AYO45" s="19"/>
      <c r="AYP45" s="19"/>
      <c r="AYQ45" s="19"/>
      <c r="AYR45" s="19"/>
      <c r="AYS45" s="19"/>
      <c r="AYT45" s="19"/>
      <c r="AYU45" s="19"/>
      <c r="AYV45" s="19"/>
      <c r="AYW45" s="19"/>
      <c r="AYX45" s="19"/>
      <c r="AYY45" s="19"/>
      <c r="AYZ45" s="19"/>
      <c r="AZA45" s="19"/>
      <c r="AZB45" s="19"/>
      <c r="AZC45" s="19"/>
      <c r="AZD45" s="19"/>
      <c r="AZE45" s="19"/>
      <c r="AZF45" s="19"/>
      <c r="AZG45" s="19"/>
      <c r="AZH45" s="19"/>
      <c r="AZI45" s="19"/>
      <c r="AZJ45" s="19"/>
      <c r="AZK45" s="19"/>
      <c r="AZL45" s="19"/>
      <c r="AZM45" s="19"/>
      <c r="AZN45" s="19"/>
      <c r="AZO45" s="19"/>
      <c r="AZP45" s="19"/>
      <c r="AZQ45" s="19"/>
      <c r="AZR45" s="19"/>
      <c r="AZS45" s="19"/>
      <c r="AZT45" s="19"/>
      <c r="AZU45" s="19"/>
      <c r="AZV45" s="19"/>
      <c r="AZW45" s="19"/>
      <c r="AZX45" s="19"/>
      <c r="AZY45" s="19"/>
      <c r="AZZ45" s="19"/>
      <c r="BAA45" s="19"/>
      <c r="BAB45" s="19"/>
      <c r="BAC45" s="19"/>
      <c r="BAD45" s="19"/>
      <c r="BAE45" s="19"/>
      <c r="BAF45" s="19"/>
      <c r="BAG45" s="19"/>
      <c r="BAH45" s="19"/>
      <c r="BAI45" s="19"/>
      <c r="BAJ45" s="19"/>
      <c r="BAK45" s="19"/>
      <c r="BAL45" s="19"/>
      <c r="BAM45" s="19"/>
      <c r="BAN45" s="19"/>
      <c r="BAO45" s="19"/>
      <c r="BAP45" s="19"/>
      <c r="BAQ45" s="19"/>
      <c r="BAR45" s="19"/>
      <c r="BAS45" s="19"/>
      <c r="BAT45" s="19"/>
      <c r="BAU45" s="19"/>
      <c r="BAV45" s="19"/>
      <c r="BAW45" s="19"/>
      <c r="BAX45" s="19"/>
      <c r="BAY45" s="19"/>
      <c r="BAZ45" s="19"/>
      <c r="BBA45" s="19"/>
      <c r="BBB45" s="19"/>
      <c r="BBC45" s="19"/>
      <c r="BBD45" s="19"/>
      <c r="BBE45" s="19"/>
      <c r="BBF45" s="19"/>
      <c r="BBG45" s="19"/>
      <c r="BBH45" s="19"/>
      <c r="BBI45" s="19"/>
      <c r="BBJ45" s="19"/>
      <c r="BBK45" s="19"/>
      <c r="BBL45" s="19"/>
      <c r="BBM45" s="19"/>
      <c r="BBN45" s="19"/>
      <c r="BBO45" s="19"/>
      <c r="BBP45" s="19"/>
      <c r="BBQ45" s="19"/>
      <c r="BBR45" s="19"/>
      <c r="BBS45" s="19"/>
      <c r="BBT45" s="19"/>
      <c r="BBU45" s="19"/>
      <c r="BBV45" s="19"/>
      <c r="BBW45" s="19"/>
      <c r="BBX45" s="19"/>
      <c r="BBY45" s="19"/>
      <c r="BBZ45" s="19"/>
      <c r="BCA45" s="19"/>
      <c r="BCB45" s="19"/>
      <c r="BCC45" s="19"/>
      <c r="BCD45" s="19"/>
      <c r="BCE45" s="19"/>
      <c r="BCF45" s="19"/>
      <c r="BCG45" s="19"/>
      <c r="BCH45" s="19"/>
      <c r="BCI45" s="19"/>
      <c r="BCJ45" s="19"/>
      <c r="BCK45" s="19"/>
      <c r="BCL45" s="19"/>
      <c r="BCM45" s="19"/>
      <c r="BCN45" s="19"/>
      <c r="BCO45" s="19"/>
      <c r="BCP45" s="19"/>
      <c r="BCQ45" s="19"/>
      <c r="BCR45" s="19"/>
      <c r="BCS45" s="19"/>
      <c r="BCT45" s="19"/>
      <c r="BCU45" s="19"/>
      <c r="BCV45" s="19"/>
      <c r="BCW45" s="19"/>
      <c r="BCX45" s="19"/>
      <c r="BCY45" s="19"/>
      <c r="BCZ45" s="19"/>
      <c r="BDA45" s="19"/>
      <c r="BDB45" s="19"/>
      <c r="BDC45" s="19"/>
      <c r="BDD45" s="19"/>
      <c r="BDE45" s="19"/>
      <c r="BDF45" s="19"/>
      <c r="BDG45" s="19"/>
      <c r="BDH45" s="19"/>
      <c r="BDI45" s="19"/>
      <c r="BDJ45" s="19"/>
      <c r="BDK45" s="19"/>
      <c r="BDL45" s="19"/>
      <c r="BDM45" s="19"/>
      <c r="BDN45" s="19"/>
      <c r="BDO45" s="19"/>
      <c r="BDP45" s="19"/>
      <c r="BDQ45" s="19"/>
      <c r="BDR45" s="19"/>
      <c r="BDS45" s="19"/>
      <c r="BDT45" s="19"/>
      <c r="BDU45" s="19"/>
      <c r="BDV45" s="19"/>
      <c r="BDW45" s="19"/>
      <c r="BDX45" s="19"/>
      <c r="BDY45" s="19"/>
      <c r="BDZ45" s="19"/>
      <c r="BEA45" s="19"/>
      <c r="BEB45" s="19"/>
      <c r="BEC45" s="19"/>
      <c r="BED45" s="19"/>
      <c r="BEE45" s="19"/>
      <c r="BEF45" s="19"/>
      <c r="BEG45" s="19"/>
      <c r="BEH45" s="19"/>
      <c r="BEI45" s="19"/>
      <c r="BEJ45" s="19"/>
      <c r="BEK45" s="19"/>
      <c r="BEL45" s="19"/>
      <c r="BEM45" s="19"/>
      <c r="BEN45" s="19"/>
      <c r="BEO45" s="19"/>
      <c r="BEP45" s="19"/>
      <c r="BEQ45" s="19"/>
      <c r="BER45" s="19"/>
      <c r="BES45" s="19"/>
      <c r="BET45" s="19"/>
      <c r="BEU45" s="19"/>
      <c r="BEV45" s="19"/>
      <c r="BEW45" s="19"/>
      <c r="BEX45" s="19"/>
      <c r="BEY45" s="19"/>
      <c r="BEZ45" s="19"/>
      <c r="BFA45" s="19"/>
      <c r="BFB45" s="19"/>
      <c r="BFC45" s="19"/>
      <c r="BFD45" s="19"/>
      <c r="BFE45" s="19"/>
      <c r="BFF45" s="19"/>
      <c r="BFG45" s="19"/>
      <c r="BFH45" s="19"/>
      <c r="BFI45" s="19"/>
      <c r="BFJ45" s="19"/>
      <c r="BFK45" s="19"/>
      <c r="BFL45" s="19"/>
      <c r="BFM45" s="19"/>
      <c r="BFN45" s="19"/>
      <c r="BFO45" s="19"/>
      <c r="BFP45" s="19"/>
      <c r="BFQ45" s="19"/>
      <c r="BFR45" s="19"/>
      <c r="BFS45" s="19"/>
      <c r="BFT45" s="19"/>
      <c r="BFU45" s="19"/>
      <c r="BFV45" s="19"/>
      <c r="BFW45" s="19"/>
      <c r="BFX45" s="19"/>
      <c r="BFY45" s="19"/>
      <c r="BFZ45" s="19"/>
      <c r="BGA45" s="19"/>
      <c r="BGB45" s="19"/>
      <c r="BGC45" s="19"/>
      <c r="BGD45" s="19"/>
      <c r="BGE45" s="19"/>
      <c r="BGF45" s="19"/>
      <c r="BGG45" s="19"/>
      <c r="BGH45" s="19"/>
      <c r="BGI45" s="19"/>
      <c r="BGJ45" s="19"/>
      <c r="BGK45" s="19"/>
      <c r="BGL45" s="19"/>
      <c r="BGM45" s="19"/>
      <c r="BGN45" s="19"/>
      <c r="BGO45" s="19"/>
      <c r="BGP45" s="19"/>
      <c r="BGQ45" s="19"/>
      <c r="BGR45" s="19"/>
      <c r="BGS45" s="19"/>
      <c r="BGT45" s="19"/>
      <c r="BGU45" s="19"/>
      <c r="BGV45" s="19"/>
      <c r="BGW45" s="19"/>
      <c r="BGX45" s="19"/>
      <c r="BGY45" s="19"/>
      <c r="BGZ45" s="19"/>
      <c r="BHA45" s="19"/>
      <c r="BHB45" s="19"/>
      <c r="BHC45" s="19"/>
      <c r="BHD45" s="19"/>
      <c r="BHE45" s="19"/>
      <c r="BHF45" s="19"/>
      <c r="BHG45" s="19"/>
      <c r="BHH45" s="19"/>
      <c r="BHI45" s="19"/>
      <c r="BHJ45" s="19"/>
      <c r="BHK45" s="19"/>
      <c r="BHL45" s="19"/>
      <c r="BHM45" s="19"/>
      <c r="BHN45" s="19"/>
      <c r="BHO45" s="19"/>
      <c r="BHP45" s="19"/>
      <c r="BHQ45" s="19"/>
      <c r="BHR45" s="19"/>
      <c r="BHS45" s="19"/>
      <c r="BHT45" s="19"/>
      <c r="BHU45" s="19"/>
      <c r="BHV45" s="19"/>
      <c r="BHW45" s="19"/>
      <c r="BHX45" s="19"/>
      <c r="BHY45" s="19"/>
      <c r="BHZ45" s="19"/>
      <c r="BIA45" s="19"/>
      <c r="BIB45" s="19"/>
      <c r="BIC45" s="19"/>
      <c r="BID45" s="19"/>
      <c r="BIE45" s="19"/>
      <c r="BIF45" s="19"/>
      <c r="BIG45" s="19"/>
      <c r="BIH45" s="19"/>
      <c r="BII45" s="19"/>
      <c r="BIJ45" s="19"/>
      <c r="BIK45" s="19"/>
      <c r="BIL45" s="19"/>
      <c r="BIM45" s="19"/>
      <c r="BIN45" s="19"/>
      <c r="BIO45" s="19"/>
      <c r="BIP45" s="19"/>
      <c r="BIQ45" s="19"/>
      <c r="BIR45" s="19"/>
      <c r="BIS45" s="19"/>
      <c r="BIT45" s="19"/>
      <c r="BIU45" s="19"/>
      <c r="BIV45" s="19"/>
      <c r="BIW45" s="19"/>
      <c r="BIX45" s="19"/>
      <c r="BIY45" s="19"/>
      <c r="BIZ45" s="19"/>
      <c r="BJA45" s="19"/>
      <c r="BJB45" s="19"/>
      <c r="BJC45" s="19"/>
      <c r="BJD45" s="19"/>
      <c r="BJE45" s="19"/>
      <c r="BJF45" s="19"/>
      <c r="BJG45" s="19"/>
      <c r="BJH45" s="19"/>
      <c r="BJI45" s="19"/>
      <c r="BJJ45" s="19"/>
      <c r="BJK45" s="19"/>
      <c r="BJL45" s="19"/>
      <c r="BJM45" s="19"/>
      <c r="BJN45" s="19"/>
      <c r="BJO45" s="19"/>
      <c r="BJP45" s="19"/>
      <c r="BJQ45" s="19"/>
      <c r="BJR45" s="19"/>
      <c r="BJS45" s="19"/>
      <c r="BJT45" s="19"/>
      <c r="BJU45" s="19"/>
      <c r="BJV45" s="19"/>
      <c r="BJW45" s="19"/>
      <c r="BJX45" s="19"/>
      <c r="BJY45" s="19"/>
      <c r="BJZ45" s="19"/>
      <c r="BKA45" s="19"/>
      <c r="BKB45" s="19"/>
      <c r="BKC45" s="19"/>
      <c r="BKD45" s="19"/>
      <c r="BKE45" s="19"/>
      <c r="BKF45" s="19"/>
      <c r="BKG45" s="19"/>
      <c r="BKH45" s="19"/>
      <c r="BKI45" s="19"/>
      <c r="BKJ45" s="19"/>
      <c r="BKK45" s="19"/>
      <c r="BKL45" s="19"/>
      <c r="BKM45" s="19"/>
      <c r="BKN45" s="19"/>
      <c r="BKO45" s="19"/>
      <c r="BKP45" s="19"/>
      <c r="BKQ45" s="19"/>
      <c r="BKR45" s="19"/>
      <c r="BKS45" s="19"/>
      <c r="BKT45" s="19"/>
      <c r="BKU45" s="19"/>
      <c r="BKV45" s="19"/>
      <c r="BKW45" s="19"/>
      <c r="BKX45" s="19"/>
      <c r="BKY45" s="19"/>
      <c r="BKZ45" s="19"/>
      <c r="BLA45" s="19"/>
      <c r="BLB45" s="19"/>
      <c r="BLC45" s="19"/>
      <c r="BLD45" s="19"/>
      <c r="BLE45" s="19"/>
      <c r="BLF45" s="19"/>
      <c r="BLG45" s="19"/>
      <c r="BLH45" s="19"/>
      <c r="BLI45" s="19"/>
      <c r="BLJ45" s="19"/>
      <c r="BLK45" s="19"/>
      <c r="BLL45" s="19"/>
      <c r="BLM45" s="19"/>
      <c r="BLN45" s="19"/>
      <c r="BLO45" s="19"/>
      <c r="BLP45" s="19"/>
      <c r="BLQ45" s="19"/>
      <c r="BLR45" s="19"/>
      <c r="BLS45" s="19"/>
      <c r="BLT45" s="19"/>
      <c r="BLU45" s="19"/>
      <c r="BLV45" s="19"/>
      <c r="BLW45" s="19"/>
      <c r="BLX45" s="19"/>
      <c r="BLY45" s="19"/>
      <c r="BLZ45" s="19"/>
      <c r="BMA45" s="19"/>
      <c r="BMB45" s="19"/>
      <c r="BMC45" s="19"/>
      <c r="BMD45" s="19"/>
      <c r="BME45" s="19"/>
      <c r="BMF45" s="19"/>
      <c r="BMG45" s="19"/>
      <c r="BMH45" s="19"/>
      <c r="BMI45" s="19"/>
      <c r="BMJ45" s="19"/>
      <c r="BMK45" s="19"/>
      <c r="BML45" s="19"/>
      <c r="BMM45" s="19"/>
      <c r="BMN45" s="19"/>
      <c r="BMO45" s="19"/>
      <c r="BMP45" s="19"/>
      <c r="BMQ45" s="19"/>
      <c r="BMR45" s="19"/>
      <c r="BMS45" s="19"/>
      <c r="BMT45" s="19"/>
      <c r="BMU45" s="19"/>
      <c r="BMV45" s="19"/>
      <c r="BMW45" s="19"/>
      <c r="BMX45" s="19"/>
      <c r="BMY45" s="19"/>
      <c r="BMZ45" s="19"/>
      <c r="BNA45" s="19"/>
      <c r="BNB45" s="19"/>
      <c r="BNC45" s="19"/>
      <c r="BND45" s="19"/>
      <c r="BNE45" s="19"/>
      <c r="BNF45" s="19"/>
      <c r="BNG45" s="19"/>
      <c r="BNH45" s="19"/>
      <c r="BNI45" s="19"/>
      <c r="BNJ45" s="19"/>
      <c r="BNK45" s="19"/>
      <c r="BNL45" s="19"/>
      <c r="BNM45" s="19"/>
      <c r="BNN45" s="19"/>
      <c r="BNO45" s="19"/>
      <c r="BNP45" s="19"/>
      <c r="BNQ45" s="19"/>
      <c r="BNR45" s="19"/>
      <c r="BNS45" s="19"/>
      <c r="BNT45" s="19"/>
      <c r="BNU45" s="19"/>
      <c r="BNV45" s="19"/>
      <c r="BNW45" s="19"/>
      <c r="BNX45" s="19"/>
      <c r="BNY45" s="19"/>
      <c r="BNZ45" s="19"/>
      <c r="BOA45" s="19"/>
      <c r="BOB45" s="19"/>
      <c r="BOC45" s="19"/>
      <c r="BOD45" s="19"/>
      <c r="BOE45" s="19"/>
      <c r="BOF45" s="19"/>
      <c r="BOG45" s="19"/>
      <c r="BOH45" s="19"/>
      <c r="BOI45" s="19"/>
      <c r="BOJ45" s="19"/>
      <c r="BOK45" s="19"/>
      <c r="BOL45" s="19"/>
      <c r="BOM45" s="19"/>
      <c r="BON45" s="19"/>
      <c r="BOO45" s="19"/>
      <c r="BOP45" s="19"/>
      <c r="BOQ45" s="19"/>
      <c r="BOR45" s="19"/>
      <c r="BOS45" s="19"/>
      <c r="BOT45" s="19"/>
      <c r="BOU45" s="19"/>
      <c r="BOV45" s="19"/>
      <c r="BOW45" s="19"/>
      <c r="BOX45" s="19"/>
      <c r="BOY45" s="19"/>
      <c r="BOZ45" s="19"/>
      <c r="BPA45" s="19"/>
      <c r="BPB45" s="19"/>
      <c r="BPC45" s="19"/>
      <c r="BPD45" s="19"/>
      <c r="BPE45" s="19"/>
      <c r="BPF45" s="19"/>
      <c r="BPG45" s="19"/>
      <c r="BPH45" s="19"/>
      <c r="BPI45" s="19"/>
      <c r="BPJ45" s="19"/>
      <c r="BPK45" s="19"/>
      <c r="BPL45" s="19"/>
      <c r="BPM45" s="19"/>
      <c r="BPN45" s="19"/>
      <c r="BPO45" s="19"/>
      <c r="BPP45" s="19"/>
      <c r="BPQ45" s="19"/>
      <c r="BPR45" s="19"/>
      <c r="BPS45" s="19"/>
      <c r="BPT45" s="19"/>
      <c r="BPU45" s="19"/>
      <c r="BPV45" s="19"/>
      <c r="BPW45" s="19"/>
      <c r="BPX45" s="19"/>
      <c r="BPY45" s="19"/>
      <c r="BPZ45" s="19"/>
      <c r="BQA45" s="19"/>
      <c r="BQB45" s="19"/>
      <c r="BQC45" s="19"/>
      <c r="BQD45" s="19"/>
      <c r="BQE45" s="19"/>
      <c r="BQF45" s="19"/>
      <c r="BQG45" s="19"/>
      <c r="BQH45" s="19"/>
      <c r="BQI45" s="19"/>
      <c r="BQJ45" s="19"/>
      <c r="BQK45" s="19"/>
      <c r="BQL45" s="19"/>
      <c r="BQM45" s="19"/>
      <c r="BQN45" s="19"/>
      <c r="BQO45" s="19"/>
      <c r="BQP45" s="19"/>
      <c r="BQQ45" s="19"/>
      <c r="BQR45" s="19"/>
      <c r="BQS45" s="19"/>
      <c r="BQT45" s="19"/>
      <c r="BQU45" s="19"/>
      <c r="BQV45" s="19"/>
      <c r="BQW45" s="19"/>
      <c r="BQX45" s="19"/>
      <c r="BQY45" s="19"/>
      <c r="BQZ45" s="19"/>
      <c r="BRA45" s="19"/>
      <c r="BRB45" s="19"/>
      <c r="BRC45" s="19"/>
      <c r="BRD45" s="19"/>
      <c r="BRE45" s="19"/>
      <c r="BRF45" s="19"/>
      <c r="BRG45" s="19"/>
      <c r="BRH45" s="19"/>
      <c r="BRI45" s="19"/>
      <c r="BRJ45" s="19"/>
      <c r="BRK45" s="19"/>
      <c r="BRL45" s="19"/>
      <c r="BRM45" s="19"/>
      <c r="BRN45" s="19"/>
      <c r="BRO45" s="19"/>
      <c r="BRP45" s="19"/>
      <c r="BRQ45" s="19"/>
      <c r="BRR45" s="19"/>
      <c r="BRS45" s="19"/>
      <c r="BRT45" s="19"/>
      <c r="BRU45" s="19"/>
      <c r="BRV45" s="19"/>
      <c r="BRW45" s="19"/>
      <c r="BRX45" s="19"/>
      <c r="BRY45" s="19"/>
      <c r="BRZ45" s="19"/>
      <c r="BSA45" s="19"/>
      <c r="BSB45" s="19"/>
      <c r="BSC45" s="19"/>
      <c r="BSD45" s="19"/>
      <c r="BSE45" s="19"/>
      <c r="BSF45" s="19"/>
      <c r="BSG45" s="19"/>
      <c r="BSH45" s="19"/>
      <c r="BSI45" s="19"/>
      <c r="BSJ45" s="19"/>
      <c r="BSK45" s="19"/>
      <c r="BSL45" s="19"/>
      <c r="BSM45" s="19"/>
      <c r="BSN45" s="19"/>
      <c r="BSO45" s="19"/>
      <c r="BSP45" s="19"/>
      <c r="BSQ45" s="19"/>
      <c r="BSR45" s="19"/>
      <c r="BSS45" s="19"/>
      <c r="BST45" s="19"/>
      <c r="BSU45" s="19"/>
      <c r="BSV45" s="19"/>
      <c r="BSW45" s="19"/>
      <c r="BSX45" s="19"/>
      <c r="BSY45" s="19"/>
      <c r="BSZ45" s="19"/>
      <c r="BTA45" s="19"/>
      <c r="BTB45" s="19"/>
      <c r="BTC45" s="19"/>
      <c r="BTD45" s="19"/>
      <c r="BTE45" s="19"/>
      <c r="BTF45" s="19"/>
      <c r="BTG45" s="19"/>
      <c r="BTH45" s="19"/>
      <c r="BTI45" s="19"/>
      <c r="BTJ45" s="19"/>
      <c r="BTK45" s="19"/>
      <c r="BTL45" s="19"/>
      <c r="BTM45" s="19"/>
      <c r="BTN45" s="19"/>
      <c r="BTO45" s="19"/>
      <c r="BTP45" s="19"/>
      <c r="BTQ45" s="19"/>
      <c r="BTR45" s="19"/>
      <c r="BTS45" s="19"/>
      <c r="BTT45" s="19"/>
      <c r="BTU45" s="19"/>
      <c r="BTV45" s="19"/>
      <c r="BTW45" s="19"/>
      <c r="BTX45" s="19"/>
      <c r="BTY45" s="19"/>
      <c r="BTZ45" s="19"/>
      <c r="BUA45" s="19"/>
      <c r="BUB45" s="19"/>
      <c r="BUC45" s="19"/>
      <c r="BUD45" s="19"/>
      <c r="BUE45" s="19"/>
      <c r="BUF45" s="19"/>
      <c r="BUG45" s="19"/>
      <c r="BUH45" s="19"/>
      <c r="BUI45" s="19"/>
      <c r="BUJ45" s="19"/>
      <c r="BUK45" s="19"/>
      <c r="BUL45" s="19"/>
      <c r="BUM45" s="19"/>
      <c r="BUN45" s="19"/>
      <c r="BUO45" s="19"/>
      <c r="BUP45" s="19"/>
      <c r="BUQ45" s="19"/>
      <c r="BUR45" s="19"/>
      <c r="BUS45" s="19"/>
      <c r="BUT45" s="19"/>
      <c r="BUU45" s="19"/>
      <c r="BUV45" s="19"/>
      <c r="BUW45" s="19"/>
      <c r="BUX45" s="19"/>
      <c r="BUY45" s="19"/>
      <c r="BUZ45" s="19"/>
      <c r="BVA45" s="19"/>
      <c r="BVB45" s="19"/>
      <c r="BVC45" s="19"/>
      <c r="BVD45" s="19"/>
      <c r="BVE45" s="19"/>
      <c r="BVF45" s="19"/>
      <c r="BVG45" s="19"/>
      <c r="BVH45" s="19"/>
      <c r="BVI45" s="19"/>
      <c r="BVJ45" s="19"/>
      <c r="BVK45" s="19"/>
      <c r="BVL45" s="19"/>
      <c r="BVM45" s="19"/>
      <c r="BVN45" s="19"/>
      <c r="BVO45" s="19"/>
      <c r="BVP45" s="19"/>
      <c r="BVQ45" s="19"/>
      <c r="BVR45" s="19"/>
      <c r="BVS45" s="19"/>
      <c r="BVT45" s="19"/>
      <c r="BVU45" s="19"/>
      <c r="BVV45" s="19"/>
      <c r="BVW45" s="19"/>
      <c r="BVX45" s="19"/>
      <c r="BVY45" s="19"/>
      <c r="BVZ45" s="19"/>
      <c r="BWA45" s="19"/>
      <c r="BWB45" s="19"/>
      <c r="BWC45" s="19"/>
      <c r="BWD45" s="19"/>
      <c r="BWE45" s="19"/>
      <c r="BWF45" s="19"/>
      <c r="BWG45" s="19"/>
      <c r="BWH45" s="19"/>
      <c r="BWI45" s="19"/>
      <c r="BWJ45" s="19"/>
      <c r="BWK45" s="19"/>
      <c r="BWL45" s="19"/>
      <c r="BWM45" s="19"/>
      <c r="BWN45" s="19"/>
      <c r="BWO45" s="19"/>
      <c r="BWP45" s="19"/>
      <c r="BWQ45" s="19"/>
      <c r="BWR45" s="19"/>
      <c r="BWS45" s="19"/>
      <c r="BWT45" s="19"/>
      <c r="BWU45" s="19"/>
      <c r="BWV45" s="19"/>
      <c r="BWW45" s="19"/>
      <c r="BWX45" s="19"/>
      <c r="BWY45" s="19"/>
      <c r="BWZ45" s="19"/>
      <c r="BXA45" s="19"/>
      <c r="BXB45" s="19"/>
      <c r="BXC45" s="19"/>
      <c r="BXD45" s="19"/>
      <c r="BXE45" s="19"/>
      <c r="BXF45" s="19"/>
      <c r="BXG45" s="19"/>
      <c r="BXH45" s="19"/>
      <c r="BXI45" s="19"/>
      <c r="BXJ45" s="19"/>
      <c r="BXK45" s="19"/>
      <c r="BXL45" s="19"/>
      <c r="BXM45" s="19"/>
      <c r="BXN45" s="19"/>
      <c r="BXO45" s="19"/>
      <c r="BXP45" s="19"/>
      <c r="BXQ45" s="19"/>
      <c r="BXR45" s="19"/>
      <c r="BXS45" s="19"/>
      <c r="BXT45" s="19"/>
      <c r="BXU45" s="19"/>
      <c r="BXV45" s="19"/>
      <c r="BXW45" s="19"/>
      <c r="BXX45" s="19"/>
      <c r="BXY45" s="19"/>
      <c r="BXZ45" s="19"/>
      <c r="BYA45" s="19"/>
      <c r="BYB45" s="19"/>
      <c r="BYC45" s="19"/>
      <c r="BYD45" s="19"/>
      <c r="BYE45" s="19"/>
      <c r="BYF45" s="19"/>
      <c r="BYG45" s="19"/>
      <c r="BYH45" s="19"/>
      <c r="BYI45" s="19"/>
      <c r="BYJ45" s="19"/>
      <c r="BYK45" s="19"/>
      <c r="BYL45" s="19"/>
      <c r="BYM45" s="19"/>
      <c r="BYN45" s="19"/>
      <c r="BYO45" s="19"/>
      <c r="BYP45" s="19"/>
      <c r="BYQ45" s="19"/>
      <c r="BYR45" s="19"/>
      <c r="BYS45" s="19"/>
      <c r="BYT45" s="19"/>
      <c r="BYU45" s="19"/>
      <c r="BYV45" s="19"/>
      <c r="BYW45" s="19"/>
      <c r="BYX45" s="19"/>
      <c r="BYY45" s="19"/>
      <c r="BYZ45" s="19"/>
      <c r="BZA45" s="19"/>
      <c r="BZB45" s="19"/>
      <c r="BZC45" s="19"/>
      <c r="BZD45" s="19"/>
      <c r="BZE45" s="19"/>
      <c r="BZF45" s="19"/>
      <c r="BZG45" s="19"/>
      <c r="BZH45" s="19"/>
      <c r="BZI45" s="19"/>
      <c r="BZJ45" s="19"/>
      <c r="BZK45" s="19"/>
      <c r="BZL45" s="19"/>
      <c r="BZM45" s="19"/>
      <c r="BZN45" s="19"/>
      <c r="BZO45" s="19"/>
      <c r="BZP45" s="19"/>
      <c r="BZQ45" s="19"/>
      <c r="BZR45" s="19"/>
      <c r="BZS45" s="19"/>
      <c r="BZT45" s="19"/>
      <c r="BZU45" s="19"/>
      <c r="BZV45" s="19"/>
      <c r="BZW45" s="19"/>
      <c r="BZX45" s="19"/>
      <c r="BZY45" s="19"/>
      <c r="BZZ45" s="19"/>
      <c r="CAA45" s="19"/>
      <c r="CAB45" s="19"/>
      <c r="CAC45" s="19"/>
      <c r="CAD45" s="19"/>
      <c r="CAE45" s="19"/>
      <c r="CAF45" s="19"/>
      <c r="CAG45" s="19"/>
      <c r="CAH45" s="19"/>
      <c r="CAI45" s="19"/>
      <c r="CAJ45" s="19"/>
      <c r="CAK45" s="19"/>
      <c r="CAL45" s="19"/>
      <c r="CAM45" s="19"/>
      <c r="CAN45" s="19"/>
      <c r="CAO45" s="19"/>
      <c r="CAP45" s="19"/>
      <c r="CAQ45" s="19"/>
      <c r="CAR45" s="19"/>
      <c r="CAS45" s="19"/>
      <c r="CAT45" s="19"/>
      <c r="CAU45" s="19"/>
      <c r="CAV45" s="19"/>
      <c r="CAW45" s="19"/>
      <c r="CAX45" s="19"/>
      <c r="CAY45" s="19"/>
      <c r="CAZ45" s="19"/>
      <c r="CBA45" s="19"/>
      <c r="CBB45" s="19"/>
      <c r="CBC45" s="19"/>
      <c r="CBD45" s="19"/>
      <c r="CBE45" s="19"/>
      <c r="CBF45" s="19"/>
      <c r="CBG45" s="19"/>
      <c r="CBH45" s="19"/>
      <c r="CBI45" s="19"/>
      <c r="CBJ45" s="19"/>
      <c r="CBK45" s="19"/>
      <c r="CBL45" s="19"/>
      <c r="CBM45" s="19"/>
      <c r="CBN45" s="19"/>
      <c r="CBO45" s="19"/>
      <c r="CBP45" s="19"/>
      <c r="CBQ45" s="19"/>
      <c r="CBR45" s="19"/>
      <c r="CBS45" s="19"/>
      <c r="CBT45" s="19"/>
      <c r="CBU45" s="19"/>
      <c r="CBV45" s="19"/>
      <c r="CBW45" s="19"/>
      <c r="CBX45" s="19"/>
      <c r="CBY45" s="19"/>
      <c r="CBZ45" s="19"/>
      <c r="CCA45" s="19"/>
      <c r="CCB45" s="19"/>
      <c r="CCC45" s="19"/>
      <c r="CCD45" s="19"/>
      <c r="CCE45" s="19"/>
      <c r="CCF45" s="19"/>
      <c r="CCG45" s="19"/>
      <c r="CCH45" s="19"/>
      <c r="CCI45" s="19"/>
      <c r="CCJ45" s="19"/>
      <c r="CCK45" s="19"/>
      <c r="CCL45" s="19"/>
      <c r="CCM45" s="19"/>
      <c r="CCN45" s="19"/>
      <c r="CCO45" s="19"/>
      <c r="CCP45" s="19"/>
      <c r="CCQ45" s="19"/>
      <c r="CCR45" s="19"/>
      <c r="CCS45" s="19"/>
      <c r="CCT45" s="19"/>
      <c r="CCU45" s="19"/>
      <c r="CCV45" s="19"/>
      <c r="CCW45" s="19"/>
      <c r="CCX45" s="19"/>
      <c r="CCY45" s="19"/>
      <c r="CCZ45" s="19"/>
      <c r="CDA45" s="19"/>
      <c r="CDB45" s="19"/>
      <c r="CDC45" s="19"/>
      <c r="CDD45" s="19"/>
      <c r="CDE45" s="19"/>
      <c r="CDF45" s="19"/>
      <c r="CDG45" s="19"/>
      <c r="CDH45" s="19"/>
      <c r="CDI45" s="19"/>
      <c r="CDJ45" s="19"/>
      <c r="CDK45" s="19"/>
      <c r="CDL45" s="19"/>
      <c r="CDM45" s="19"/>
      <c r="CDN45" s="19"/>
      <c r="CDO45" s="19"/>
      <c r="CDP45" s="19"/>
      <c r="CDQ45" s="19"/>
      <c r="CDR45" s="19"/>
      <c r="CDS45" s="19"/>
      <c r="CDT45" s="19"/>
      <c r="CDU45" s="19"/>
      <c r="CDV45" s="19"/>
      <c r="CDW45" s="19"/>
      <c r="CDX45" s="19"/>
      <c r="CDY45" s="19"/>
      <c r="CDZ45" s="19"/>
      <c r="CEA45" s="19"/>
      <c r="CEB45" s="19"/>
      <c r="CEC45" s="19"/>
      <c r="CED45" s="19"/>
      <c r="CEE45" s="19"/>
      <c r="CEF45" s="19"/>
      <c r="CEG45" s="19"/>
      <c r="CEH45" s="19"/>
      <c r="CEI45" s="19"/>
      <c r="CEJ45" s="19"/>
      <c r="CEK45" s="19"/>
      <c r="CEL45" s="19"/>
      <c r="CEM45" s="19"/>
      <c r="CEN45" s="19"/>
      <c r="CEO45" s="19"/>
      <c r="CEP45" s="19"/>
      <c r="CEQ45" s="19"/>
      <c r="CER45" s="19"/>
      <c r="CES45" s="19"/>
      <c r="CET45" s="19"/>
      <c r="CEU45" s="19"/>
      <c r="CEV45" s="19"/>
      <c r="CEW45" s="19"/>
      <c r="CEX45" s="19"/>
      <c r="CEY45" s="19"/>
      <c r="CEZ45" s="19"/>
      <c r="CFA45" s="19"/>
      <c r="CFB45" s="19"/>
      <c r="CFC45" s="19"/>
      <c r="CFD45" s="19"/>
      <c r="CFE45" s="19"/>
      <c r="CFF45" s="19"/>
      <c r="CFG45" s="19"/>
      <c r="CFH45" s="19"/>
      <c r="CFI45" s="19"/>
      <c r="CFJ45" s="19"/>
      <c r="CFK45" s="19"/>
      <c r="CFL45" s="19"/>
      <c r="CFM45" s="19"/>
      <c r="CFN45" s="19"/>
      <c r="CFO45" s="19"/>
      <c r="CFP45" s="19"/>
      <c r="CFQ45" s="19"/>
      <c r="CFR45" s="19"/>
      <c r="CFS45" s="19"/>
      <c r="CFT45" s="19"/>
      <c r="CFU45" s="19"/>
      <c r="CFV45" s="19"/>
      <c r="CFW45" s="19"/>
      <c r="CFX45" s="19"/>
      <c r="CFY45" s="19"/>
      <c r="CFZ45" s="19"/>
      <c r="CGA45" s="19"/>
      <c r="CGB45" s="19"/>
      <c r="CGC45" s="19"/>
      <c r="CGD45" s="19"/>
      <c r="CGE45" s="19"/>
      <c r="CGF45" s="19"/>
      <c r="CGG45" s="19"/>
      <c r="CGH45" s="19"/>
      <c r="CGI45" s="19"/>
      <c r="CGJ45" s="19"/>
      <c r="CGK45" s="19"/>
      <c r="CGL45" s="19"/>
      <c r="CGM45" s="19"/>
      <c r="CGN45" s="19"/>
      <c r="CGO45" s="19"/>
      <c r="CGP45" s="19"/>
      <c r="CGQ45" s="19"/>
      <c r="CGR45" s="19"/>
      <c r="CGS45" s="19"/>
      <c r="CGT45" s="19"/>
      <c r="CGU45" s="19"/>
      <c r="CGV45" s="19"/>
      <c r="CGW45" s="19"/>
      <c r="CGX45" s="19"/>
      <c r="CGY45" s="19"/>
      <c r="CGZ45" s="19"/>
      <c r="CHA45" s="19"/>
      <c r="CHB45" s="19"/>
      <c r="CHC45" s="19"/>
      <c r="CHD45" s="19"/>
      <c r="CHE45" s="19"/>
      <c r="CHF45" s="19"/>
      <c r="CHG45" s="19"/>
      <c r="CHH45" s="19"/>
      <c r="CHI45" s="19"/>
      <c r="CHJ45" s="19"/>
      <c r="CHK45" s="19"/>
      <c r="CHL45" s="19"/>
      <c r="CHM45" s="19"/>
      <c r="CHN45" s="19"/>
      <c r="CHO45" s="19"/>
      <c r="CHP45" s="19"/>
      <c r="CHQ45" s="19"/>
      <c r="CHR45" s="19"/>
      <c r="CHS45" s="19"/>
      <c r="CHT45" s="19"/>
      <c r="CHU45" s="19"/>
      <c r="CHV45" s="19"/>
      <c r="CHW45" s="19"/>
      <c r="CHX45" s="19"/>
      <c r="CHY45" s="19"/>
      <c r="CHZ45" s="19"/>
      <c r="CIA45" s="19"/>
      <c r="CIB45" s="19"/>
      <c r="CIC45" s="19"/>
      <c r="CID45" s="19"/>
      <c r="CIE45" s="19"/>
      <c r="CIF45" s="19"/>
      <c r="CIG45" s="19"/>
      <c r="CIH45" s="19"/>
      <c r="CII45" s="19"/>
      <c r="CIJ45" s="19"/>
      <c r="CIK45" s="19"/>
      <c r="CIL45" s="19"/>
      <c r="CIM45" s="19"/>
      <c r="CIN45" s="19"/>
      <c r="CIO45" s="19"/>
      <c r="CIP45" s="19"/>
      <c r="CIQ45" s="19"/>
      <c r="CIR45" s="19"/>
      <c r="CIS45" s="19"/>
      <c r="CIT45" s="19"/>
      <c r="CIU45" s="19"/>
      <c r="CIV45" s="19"/>
      <c r="CIW45" s="19"/>
      <c r="CIX45" s="19"/>
      <c r="CIY45" s="19"/>
      <c r="CIZ45" s="19"/>
      <c r="CJA45" s="19"/>
      <c r="CJB45" s="19"/>
      <c r="CJC45" s="19"/>
      <c r="CJD45" s="19"/>
      <c r="CJE45" s="19"/>
      <c r="CJF45" s="19"/>
      <c r="CJG45" s="19"/>
      <c r="CJH45" s="19"/>
      <c r="CJI45" s="19"/>
      <c r="CJJ45" s="19"/>
      <c r="CJK45" s="19"/>
      <c r="CJL45" s="19"/>
      <c r="CJM45" s="19"/>
      <c r="CJN45" s="19"/>
      <c r="CJO45" s="19"/>
      <c r="CJP45" s="19"/>
      <c r="CJQ45" s="19"/>
      <c r="CJR45" s="19"/>
      <c r="CJS45" s="19"/>
      <c r="CJT45" s="19"/>
      <c r="CJU45" s="19"/>
      <c r="CJV45" s="19"/>
      <c r="CJW45" s="19"/>
      <c r="CJX45" s="19"/>
      <c r="CJY45" s="19"/>
      <c r="CJZ45" s="19"/>
      <c r="CKA45" s="19"/>
      <c r="CKB45" s="19"/>
      <c r="CKC45" s="19"/>
      <c r="CKD45" s="19"/>
      <c r="CKE45" s="19"/>
      <c r="CKF45" s="19"/>
      <c r="CKG45" s="19"/>
      <c r="CKH45" s="19"/>
      <c r="CKI45" s="19"/>
      <c r="CKJ45" s="19"/>
      <c r="CKK45" s="19"/>
      <c r="CKL45" s="19"/>
      <c r="CKM45" s="19"/>
      <c r="CKN45" s="19"/>
      <c r="CKO45" s="19"/>
      <c r="CKP45" s="19"/>
      <c r="CKQ45" s="19"/>
      <c r="CKR45" s="19"/>
      <c r="CKS45" s="19"/>
      <c r="CKT45" s="19"/>
      <c r="CKU45" s="19"/>
      <c r="CKV45" s="19"/>
      <c r="CKW45" s="19"/>
      <c r="CKX45" s="19"/>
      <c r="CKY45" s="19"/>
      <c r="CKZ45" s="19"/>
      <c r="CLA45" s="19"/>
      <c r="CLB45" s="19"/>
      <c r="CLC45" s="19"/>
      <c r="CLD45" s="19"/>
      <c r="CLE45" s="19"/>
      <c r="CLF45" s="19"/>
      <c r="CLG45" s="19"/>
      <c r="CLH45" s="19"/>
      <c r="CLI45" s="19"/>
      <c r="CLJ45" s="19"/>
      <c r="CLK45" s="19"/>
      <c r="CLL45" s="19"/>
      <c r="CLM45" s="19"/>
      <c r="CLN45" s="19"/>
      <c r="CLO45" s="19"/>
      <c r="CLP45" s="19"/>
      <c r="CLQ45" s="19"/>
      <c r="CLR45" s="19"/>
      <c r="CLS45" s="19"/>
      <c r="CLT45" s="19"/>
      <c r="CLU45" s="19"/>
      <c r="CLV45" s="19"/>
      <c r="CLW45" s="19"/>
      <c r="CLX45" s="19"/>
      <c r="CLY45" s="19"/>
      <c r="CLZ45" s="19"/>
      <c r="CMA45" s="19"/>
      <c r="CMB45" s="19"/>
      <c r="CMC45" s="19"/>
      <c r="CMD45" s="19"/>
      <c r="CME45" s="19"/>
      <c r="CMF45" s="19"/>
      <c r="CMG45" s="19"/>
      <c r="CMH45" s="19"/>
      <c r="CMI45" s="19"/>
      <c r="CMJ45" s="19"/>
      <c r="CMK45" s="19"/>
      <c r="CML45" s="19"/>
      <c r="CMM45" s="19"/>
      <c r="CMN45" s="19"/>
      <c r="CMO45" s="19"/>
      <c r="CMP45" s="19"/>
      <c r="CMQ45" s="19"/>
      <c r="CMR45" s="19"/>
      <c r="CMS45" s="19"/>
      <c r="CMT45" s="19"/>
      <c r="CMU45" s="19"/>
      <c r="CMV45" s="19"/>
      <c r="CMW45" s="19"/>
      <c r="CMX45" s="19"/>
      <c r="CMY45" s="19"/>
      <c r="CMZ45" s="19"/>
      <c r="CNA45" s="19"/>
      <c r="CNB45" s="19"/>
      <c r="CNC45" s="19"/>
      <c r="CND45" s="19"/>
      <c r="CNE45" s="19"/>
      <c r="CNF45" s="19"/>
      <c r="CNG45" s="19"/>
      <c r="CNH45" s="19"/>
      <c r="CNI45" s="19"/>
      <c r="CNJ45" s="19"/>
      <c r="CNK45" s="19"/>
      <c r="CNL45" s="19"/>
      <c r="CNM45" s="19"/>
      <c r="CNN45" s="19"/>
      <c r="CNO45" s="19"/>
      <c r="CNP45" s="19"/>
      <c r="CNQ45" s="19"/>
      <c r="CNR45" s="19"/>
      <c r="CNS45" s="19"/>
      <c r="CNT45" s="19"/>
      <c r="CNU45" s="19"/>
      <c r="CNV45" s="19"/>
      <c r="CNW45" s="19"/>
      <c r="CNX45" s="19"/>
      <c r="CNY45" s="19"/>
      <c r="CNZ45" s="19"/>
      <c r="COA45" s="19"/>
      <c r="COB45" s="19"/>
      <c r="COC45" s="19"/>
      <c r="COD45" s="19"/>
      <c r="COE45" s="19"/>
      <c r="COF45" s="19"/>
      <c r="COG45" s="19"/>
      <c r="COH45" s="19"/>
      <c r="COI45" s="19"/>
      <c r="COJ45" s="19"/>
      <c r="COK45" s="19"/>
      <c r="COL45" s="19"/>
      <c r="COM45" s="19"/>
      <c r="CON45" s="19"/>
      <c r="COO45" s="19"/>
      <c r="COP45" s="19"/>
      <c r="COQ45" s="19"/>
      <c r="COR45" s="19"/>
      <c r="COS45" s="19"/>
      <c r="COT45" s="19"/>
      <c r="COU45" s="19"/>
      <c r="COV45" s="19"/>
      <c r="COW45" s="19"/>
      <c r="COX45" s="19"/>
      <c r="COY45" s="19"/>
      <c r="COZ45" s="19"/>
      <c r="CPA45" s="19"/>
      <c r="CPB45" s="19"/>
      <c r="CPC45" s="19"/>
      <c r="CPD45" s="19"/>
      <c r="CPE45" s="19"/>
      <c r="CPF45" s="19"/>
      <c r="CPG45" s="19"/>
      <c r="CPH45" s="19"/>
      <c r="CPI45" s="19"/>
      <c r="CPJ45" s="19"/>
      <c r="CPK45" s="19"/>
      <c r="CPL45" s="19"/>
      <c r="CPM45" s="19"/>
      <c r="CPN45" s="19"/>
      <c r="CPO45" s="19"/>
      <c r="CPP45" s="19"/>
      <c r="CPQ45" s="19"/>
      <c r="CPR45" s="19"/>
      <c r="CPS45" s="19"/>
      <c r="CPT45" s="19"/>
      <c r="CPU45" s="19"/>
      <c r="CPV45" s="19"/>
      <c r="CPW45" s="19"/>
      <c r="CPX45" s="19"/>
      <c r="CPY45" s="19"/>
      <c r="CPZ45" s="19"/>
      <c r="CQA45" s="19"/>
      <c r="CQB45" s="19"/>
      <c r="CQC45" s="19"/>
      <c r="CQD45" s="19"/>
      <c r="CQE45" s="19"/>
      <c r="CQF45" s="19"/>
      <c r="CQG45" s="19"/>
      <c r="CQH45" s="19"/>
      <c r="CQI45" s="19"/>
      <c r="CQJ45" s="19"/>
      <c r="CQK45" s="19"/>
      <c r="CQL45" s="19"/>
      <c r="CQM45" s="19"/>
      <c r="CQN45" s="19"/>
      <c r="CQO45" s="19"/>
      <c r="CQP45" s="19"/>
      <c r="CQQ45" s="19"/>
      <c r="CQR45" s="19"/>
      <c r="CQS45" s="19"/>
      <c r="CQT45" s="19"/>
      <c r="CQU45" s="19"/>
      <c r="CQV45" s="19"/>
      <c r="CQW45" s="19"/>
      <c r="CQX45" s="19"/>
      <c r="CQY45" s="19"/>
      <c r="CQZ45" s="19"/>
      <c r="CRA45" s="19"/>
      <c r="CRB45" s="19"/>
      <c r="CRC45" s="19"/>
      <c r="CRD45" s="19"/>
      <c r="CRE45" s="19"/>
      <c r="CRF45" s="19"/>
      <c r="CRG45" s="19"/>
      <c r="CRH45" s="19"/>
      <c r="CRI45" s="19"/>
      <c r="CRJ45" s="19"/>
      <c r="CRK45" s="19"/>
      <c r="CRL45" s="19"/>
      <c r="CRM45" s="19"/>
      <c r="CRN45" s="19"/>
      <c r="CRO45" s="19"/>
      <c r="CRP45" s="19"/>
      <c r="CRQ45" s="19"/>
      <c r="CRR45" s="19"/>
      <c r="CRS45" s="19"/>
      <c r="CRT45" s="19"/>
      <c r="CRU45" s="19"/>
      <c r="CRV45" s="19"/>
      <c r="CRW45" s="19"/>
      <c r="CRX45" s="19"/>
      <c r="CRY45" s="19"/>
      <c r="CRZ45" s="19"/>
      <c r="CSA45" s="19"/>
      <c r="CSB45" s="19"/>
      <c r="CSC45" s="19"/>
      <c r="CSD45" s="19"/>
      <c r="CSE45" s="19"/>
      <c r="CSF45" s="19"/>
      <c r="CSG45" s="19"/>
      <c r="CSH45" s="19"/>
      <c r="CSI45" s="19"/>
      <c r="CSJ45" s="19"/>
      <c r="CSK45" s="19"/>
      <c r="CSL45" s="19"/>
      <c r="CSM45" s="19"/>
      <c r="CSN45" s="19"/>
      <c r="CSO45" s="19"/>
      <c r="CSP45" s="19"/>
      <c r="CSQ45" s="19"/>
      <c r="CSR45" s="19"/>
      <c r="CSS45" s="19"/>
      <c r="CST45" s="19"/>
      <c r="CSU45" s="19"/>
      <c r="CSV45" s="19"/>
      <c r="CSW45" s="19"/>
      <c r="CSX45" s="19"/>
      <c r="CSY45" s="19"/>
      <c r="CSZ45" s="19"/>
      <c r="CTA45" s="19"/>
      <c r="CTB45" s="19"/>
      <c r="CTC45" s="19"/>
      <c r="CTD45" s="19"/>
      <c r="CTE45" s="19"/>
      <c r="CTF45" s="19"/>
      <c r="CTG45" s="19"/>
      <c r="CTH45" s="19"/>
      <c r="CTI45" s="19"/>
      <c r="CTJ45" s="19"/>
      <c r="CTK45" s="19"/>
      <c r="CTL45" s="19"/>
      <c r="CTM45" s="19"/>
      <c r="CTN45" s="19"/>
      <c r="CTO45" s="19"/>
      <c r="CTP45" s="19"/>
      <c r="CTQ45" s="19"/>
      <c r="CTR45" s="19"/>
      <c r="CTS45" s="19"/>
      <c r="CTT45" s="19"/>
      <c r="CTU45" s="19"/>
      <c r="CTV45" s="19"/>
      <c r="CTW45" s="19"/>
      <c r="CTX45" s="19"/>
      <c r="CTY45" s="19"/>
      <c r="CTZ45" s="19"/>
      <c r="CUA45" s="19"/>
      <c r="CUB45" s="19"/>
      <c r="CUC45" s="19"/>
      <c r="CUD45" s="19"/>
      <c r="CUE45" s="19"/>
      <c r="CUF45" s="19"/>
      <c r="CUG45" s="19"/>
      <c r="CUH45" s="19"/>
      <c r="CUI45" s="19"/>
      <c r="CUJ45" s="19"/>
      <c r="CUK45" s="19"/>
      <c r="CUL45" s="19"/>
      <c r="CUM45" s="19"/>
      <c r="CUN45" s="19"/>
      <c r="CUO45" s="19"/>
      <c r="CUP45" s="19"/>
      <c r="CUQ45" s="19"/>
      <c r="CUR45" s="19"/>
      <c r="CUS45" s="19"/>
      <c r="CUT45" s="19"/>
      <c r="CUU45" s="19"/>
      <c r="CUV45" s="19"/>
      <c r="CUW45" s="19"/>
      <c r="CUX45" s="19"/>
      <c r="CUY45" s="19"/>
      <c r="CUZ45" s="19"/>
      <c r="CVA45" s="19"/>
      <c r="CVB45" s="19"/>
      <c r="CVC45" s="19"/>
      <c r="CVD45" s="19"/>
      <c r="CVE45" s="19"/>
      <c r="CVF45" s="19"/>
      <c r="CVG45" s="19"/>
      <c r="CVH45" s="19"/>
      <c r="CVI45" s="19"/>
      <c r="CVJ45" s="19"/>
      <c r="CVK45" s="19"/>
      <c r="CVL45" s="19"/>
      <c r="CVM45" s="19"/>
      <c r="CVN45" s="19"/>
      <c r="CVO45" s="19"/>
      <c r="CVP45" s="19"/>
      <c r="CVQ45" s="19"/>
      <c r="CVR45" s="19"/>
      <c r="CVS45" s="19"/>
      <c r="CVT45" s="19"/>
      <c r="CVU45" s="19"/>
      <c r="CVV45" s="19"/>
      <c r="CVW45" s="19"/>
      <c r="CVX45" s="19"/>
      <c r="CVY45" s="19"/>
      <c r="CVZ45" s="19"/>
      <c r="CWA45" s="19"/>
      <c r="CWB45" s="19"/>
      <c r="CWC45" s="19"/>
      <c r="CWD45" s="19"/>
      <c r="CWE45" s="19"/>
      <c r="CWF45" s="19"/>
      <c r="CWG45" s="19"/>
      <c r="CWH45" s="19"/>
      <c r="CWI45" s="19"/>
      <c r="CWJ45" s="19"/>
      <c r="CWK45" s="19"/>
      <c r="CWL45" s="19"/>
      <c r="CWM45" s="19"/>
      <c r="CWN45" s="19"/>
      <c r="CWO45" s="19"/>
      <c r="CWP45" s="19"/>
      <c r="CWQ45" s="19"/>
      <c r="CWR45" s="19"/>
      <c r="CWS45" s="19"/>
      <c r="CWT45" s="19"/>
      <c r="CWU45" s="19"/>
      <c r="CWV45" s="19"/>
      <c r="CWW45" s="19"/>
      <c r="CWX45" s="19"/>
      <c r="CWY45" s="19"/>
      <c r="CWZ45" s="19"/>
      <c r="CXA45" s="19"/>
      <c r="CXB45" s="19"/>
      <c r="CXC45" s="19"/>
      <c r="CXD45" s="19"/>
      <c r="CXE45" s="19"/>
      <c r="CXF45" s="19"/>
      <c r="CXG45" s="19"/>
      <c r="CXH45" s="19"/>
      <c r="CXI45" s="19"/>
      <c r="CXJ45" s="19"/>
      <c r="CXK45" s="19"/>
      <c r="CXL45" s="19"/>
      <c r="CXM45" s="19"/>
      <c r="CXN45" s="19"/>
      <c r="CXO45" s="19"/>
      <c r="CXP45" s="19"/>
      <c r="CXQ45" s="19"/>
      <c r="CXR45" s="19"/>
      <c r="CXS45" s="19"/>
      <c r="CXT45" s="19"/>
      <c r="CXU45" s="19"/>
      <c r="CXV45" s="19"/>
      <c r="CXW45" s="19"/>
      <c r="CXX45" s="19"/>
      <c r="CXY45" s="19"/>
      <c r="CXZ45" s="19"/>
      <c r="CYA45" s="19"/>
      <c r="CYB45" s="19"/>
      <c r="CYC45" s="19"/>
      <c r="CYD45" s="19"/>
      <c r="CYE45" s="19"/>
      <c r="CYF45" s="19"/>
      <c r="CYG45" s="19"/>
      <c r="CYH45" s="19"/>
      <c r="CYI45" s="19"/>
      <c r="CYJ45" s="19"/>
      <c r="CYK45" s="19"/>
      <c r="CYL45" s="19"/>
      <c r="CYM45" s="19"/>
      <c r="CYN45" s="19"/>
      <c r="CYO45" s="19"/>
      <c r="CYP45" s="19"/>
      <c r="CYQ45" s="19"/>
      <c r="CYR45" s="19"/>
      <c r="CYS45" s="19"/>
      <c r="CYT45" s="19"/>
      <c r="CYU45" s="19"/>
      <c r="CYV45" s="19"/>
      <c r="CYW45" s="19"/>
      <c r="CYX45" s="19"/>
      <c r="CYY45" s="19"/>
      <c r="CYZ45" s="19"/>
      <c r="CZA45" s="19"/>
      <c r="CZB45" s="19"/>
      <c r="CZC45" s="19"/>
      <c r="CZD45" s="19"/>
      <c r="CZE45" s="19"/>
      <c r="CZF45" s="19"/>
      <c r="CZG45" s="19"/>
      <c r="CZH45" s="19"/>
      <c r="CZI45" s="19"/>
      <c r="CZJ45" s="19"/>
      <c r="CZK45" s="19"/>
      <c r="CZL45" s="19"/>
      <c r="CZM45" s="19"/>
      <c r="CZN45" s="19"/>
      <c r="CZO45" s="19"/>
      <c r="CZP45" s="19"/>
      <c r="CZQ45" s="19"/>
      <c r="CZR45" s="19"/>
      <c r="CZS45" s="19"/>
      <c r="CZT45" s="19"/>
      <c r="CZU45" s="19"/>
      <c r="CZV45" s="19"/>
      <c r="CZW45" s="19"/>
      <c r="CZX45" s="19"/>
      <c r="CZY45" s="19"/>
      <c r="CZZ45" s="19"/>
      <c r="DAA45" s="19"/>
      <c r="DAB45" s="19"/>
      <c r="DAC45" s="19"/>
      <c r="DAD45" s="19"/>
      <c r="DAE45" s="19"/>
      <c r="DAF45" s="19"/>
      <c r="DAG45" s="19"/>
      <c r="DAH45" s="19"/>
      <c r="DAI45" s="19"/>
      <c r="DAJ45" s="19"/>
      <c r="DAK45" s="19"/>
      <c r="DAL45" s="19"/>
      <c r="DAM45" s="19"/>
      <c r="DAN45" s="19"/>
      <c r="DAO45" s="19"/>
      <c r="DAP45" s="19"/>
      <c r="DAQ45" s="19"/>
      <c r="DAR45" s="19"/>
      <c r="DAS45" s="19"/>
      <c r="DAT45" s="19"/>
      <c r="DAU45" s="19"/>
      <c r="DAV45" s="19"/>
      <c r="DAW45" s="19"/>
      <c r="DAX45" s="19"/>
      <c r="DAY45" s="19"/>
      <c r="DAZ45" s="19"/>
      <c r="DBA45" s="19"/>
      <c r="DBB45" s="19"/>
      <c r="DBC45" s="19"/>
      <c r="DBD45" s="19"/>
      <c r="DBE45" s="19"/>
      <c r="DBF45" s="19"/>
      <c r="DBG45" s="19"/>
      <c r="DBH45" s="19"/>
      <c r="DBI45" s="19"/>
      <c r="DBJ45" s="19"/>
      <c r="DBK45" s="19"/>
      <c r="DBL45" s="19"/>
      <c r="DBM45" s="19"/>
      <c r="DBN45" s="19"/>
      <c r="DBO45" s="19"/>
      <c r="DBP45" s="19"/>
      <c r="DBQ45" s="19"/>
      <c r="DBR45" s="19"/>
      <c r="DBS45" s="19"/>
      <c r="DBT45" s="19"/>
      <c r="DBU45" s="19"/>
      <c r="DBV45" s="19"/>
      <c r="DBW45" s="19"/>
      <c r="DBX45" s="19"/>
      <c r="DBY45" s="19"/>
      <c r="DBZ45" s="19"/>
      <c r="DCA45" s="19"/>
      <c r="DCB45" s="19"/>
      <c r="DCC45" s="19"/>
      <c r="DCD45" s="19"/>
      <c r="DCE45" s="19"/>
      <c r="DCF45" s="19"/>
      <c r="DCG45" s="19"/>
      <c r="DCH45" s="19"/>
      <c r="DCI45" s="19"/>
      <c r="DCJ45" s="19"/>
      <c r="DCK45" s="19"/>
      <c r="DCL45" s="19"/>
      <c r="DCM45" s="19"/>
      <c r="DCN45" s="19"/>
      <c r="DCO45" s="19"/>
      <c r="DCP45" s="19"/>
      <c r="DCQ45" s="19"/>
      <c r="DCR45" s="19"/>
      <c r="DCS45" s="19"/>
      <c r="DCT45" s="19"/>
      <c r="DCU45" s="19"/>
      <c r="DCV45" s="19"/>
      <c r="DCW45" s="19"/>
      <c r="DCX45" s="19"/>
      <c r="DCY45" s="19"/>
      <c r="DCZ45" s="19"/>
      <c r="DDA45" s="19"/>
      <c r="DDB45" s="19"/>
      <c r="DDC45" s="19"/>
      <c r="DDD45" s="19"/>
      <c r="DDE45" s="19"/>
      <c r="DDF45" s="19"/>
      <c r="DDG45" s="19"/>
      <c r="DDH45" s="19"/>
      <c r="DDI45" s="19"/>
      <c r="DDJ45" s="19"/>
      <c r="DDK45" s="19"/>
      <c r="DDL45" s="19"/>
      <c r="DDM45" s="19"/>
      <c r="DDN45" s="19"/>
      <c r="DDO45" s="19"/>
      <c r="DDP45" s="19"/>
      <c r="DDQ45" s="19"/>
      <c r="DDR45" s="19"/>
      <c r="DDS45" s="19"/>
      <c r="DDT45" s="19"/>
      <c r="DDU45" s="19"/>
      <c r="DDV45" s="19"/>
      <c r="DDW45" s="19"/>
      <c r="DDX45" s="19"/>
      <c r="DDY45" s="19"/>
      <c r="DDZ45" s="19"/>
      <c r="DEA45" s="19"/>
      <c r="DEB45" s="19"/>
      <c r="DEC45" s="19"/>
      <c r="DED45" s="19"/>
      <c r="DEE45" s="19"/>
      <c r="DEF45" s="19"/>
      <c r="DEG45" s="19"/>
      <c r="DEH45" s="19"/>
      <c r="DEI45" s="19"/>
      <c r="DEJ45" s="19"/>
      <c r="DEK45" s="19"/>
      <c r="DEL45" s="19"/>
      <c r="DEM45" s="19"/>
      <c r="DEN45" s="19"/>
      <c r="DEO45" s="19"/>
      <c r="DEP45" s="19"/>
      <c r="DEQ45" s="19"/>
      <c r="DER45" s="19"/>
      <c r="DES45" s="19"/>
      <c r="DET45" s="19"/>
      <c r="DEU45" s="19"/>
      <c r="DEV45" s="19"/>
      <c r="DEW45" s="19"/>
      <c r="DEX45" s="19"/>
      <c r="DEY45" s="19"/>
      <c r="DEZ45" s="19"/>
      <c r="DFA45" s="19"/>
      <c r="DFB45" s="19"/>
      <c r="DFC45" s="19"/>
      <c r="DFD45" s="19"/>
      <c r="DFE45" s="19"/>
      <c r="DFF45" s="19"/>
      <c r="DFG45" s="19"/>
      <c r="DFH45" s="19"/>
      <c r="DFI45" s="19"/>
      <c r="DFJ45" s="19"/>
      <c r="DFK45" s="19"/>
      <c r="DFL45" s="19"/>
      <c r="DFM45" s="19"/>
      <c r="DFN45" s="19"/>
      <c r="DFO45" s="19"/>
      <c r="DFP45" s="19"/>
      <c r="DFQ45" s="19"/>
      <c r="DFR45" s="19"/>
      <c r="DFS45" s="19"/>
      <c r="DFT45" s="19"/>
      <c r="DFU45" s="19"/>
      <c r="DFV45" s="19"/>
      <c r="DFW45" s="19"/>
      <c r="DFX45" s="19"/>
      <c r="DFY45" s="19"/>
      <c r="DFZ45" s="19"/>
      <c r="DGA45" s="19"/>
      <c r="DGB45" s="19"/>
      <c r="DGC45" s="19"/>
      <c r="DGD45" s="19"/>
      <c r="DGE45" s="19"/>
      <c r="DGF45" s="19"/>
      <c r="DGG45" s="19"/>
      <c r="DGH45" s="19"/>
      <c r="DGI45" s="19"/>
      <c r="DGJ45" s="19"/>
      <c r="DGK45" s="19"/>
      <c r="DGL45" s="19"/>
      <c r="DGM45" s="19"/>
      <c r="DGN45" s="19"/>
      <c r="DGO45" s="19"/>
      <c r="DGP45" s="19"/>
      <c r="DGQ45" s="19"/>
      <c r="DGR45" s="19"/>
      <c r="DGS45" s="19"/>
      <c r="DGT45" s="19"/>
      <c r="DGU45" s="19"/>
      <c r="DGV45" s="19"/>
      <c r="DGW45" s="19"/>
      <c r="DGX45" s="19"/>
      <c r="DGY45" s="19"/>
      <c r="DGZ45" s="19"/>
      <c r="DHA45" s="19"/>
      <c r="DHB45" s="19"/>
      <c r="DHC45" s="19"/>
      <c r="DHD45" s="19"/>
      <c r="DHE45" s="19"/>
      <c r="DHF45" s="19"/>
      <c r="DHG45" s="19"/>
      <c r="DHH45" s="19"/>
      <c r="DHI45" s="19"/>
      <c r="DHJ45" s="19"/>
      <c r="DHK45" s="19"/>
      <c r="DHL45" s="19"/>
      <c r="DHM45" s="19"/>
      <c r="DHN45" s="19"/>
      <c r="DHO45" s="19"/>
      <c r="DHP45" s="19"/>
      <c r="DHQ45" s="19"/>
      <c r="DHR45" s="19"/>
      <c r="DHS45" s="19"/>
      <c r="DHT45" s="19"/>
      <c r="DHU45" s="19"/>
      <c r="DHV45" s="19"/>
      <c r="DHW45" s="19"/>
      <c r="DHX45" s="19"/>
      <c r="DHY45" s="19"/>
      <c r="DHZ45" s="19"/>
      <c r="DIA45" s="19"/>
      <c r="DIB45" s="19"/>
      <c r="DIC45" s="19"/>
      <c r="DID45" s="19"/>
      <c r="DIE45" s="19"/>
      <c r="DIF45" s="19"/>
      <c r="DIG45" s="19"/>
      <c r="DIH45" s="19"/>
      <c r="DII45" s="19"/>
      <c r="DIJ45" s="19"/>
      <c r="DIK45" s="19"/>
      <c r="DIL45" s="19"/>
      <c r="DIM45" s="19"/>
      <c r="DIN45" s="19"/>
      <c r="DIO45" s="19"/>
      <c r="DIP45" s="19"/>
      <c r="DIQ45" s="19"/>
      <c r="DIR45" s="19"/>
      <c r="DIS45" s="19"/>
      <c r="DIT45" s="19"/>
      <c r="DIU45" s="19"/>
      <c r="DIV45" s="19"/>
      <c r="DIW45" s="19"/>
      <c r="DIX45" s="19"/>
      <c r="DIY45" s="19"/>
      <c r="DIZ45" s="19"/>
      <c r="DJA45" s="19"/>
      <c r="DJB45" s="19"/>
      <c r="DJC45" s="19"/>
      <c r="DJD45" s="19"/>
      <c r="DJE45" s="19"/>
      <c r="DJF45" s="19"/>
      <c r="DJG45" s="19"/>
      <c r="DJH45" s="19"/>
      <c r="DJI45" s="19"/>
      <c r="DJJ45" s="19"/>
      <c r="DJK45" s="19"/>
      <c r="DJL45" s="19"/>
      <c r="DJM45" s="19"/>
      <c r="DJN45" s="19"/>
      <c r="DJO45" s="19"/>
      <c r="DJP45" s="19"/>
      <c r="DJQ45" s="19"/>
      <c r="DJR45" s="19"/>
      <c r="DJS45" s="19"/>
      <c r="DJT45" s="19"/>
      <c r="DJU45" s="19"/>
      <c r="DJV45" s="19"/>
      <c r="DJW45" s="19"/>
      <c r="DJX45" s="19"/>
      <c r="DJY45" s="19"/>
      <c r="DJZ45" s="19"/>
      <c r="DKA45" s="19"/>
      <c r="DKB45" s="19"/>
      <c r="DKC45" s="19"/>
      <c r="DKD45" s="19"/>
      <c r="DKE45" s="19"/>
      <c r="DKF45" s="19"/>
      <c r="DKG45" s="19"/>
      <c r="DKH45" s="19"/>
      <c r="DKI45" s="19"/>
      <c r="DKJ45" s="19"/>
      <c r="DKK45" s="19"/>
      <c r="DKL45" s="19"/>
      <c r="DKM45" s="19"/>
      <c r="DKN45" s="19"/>
      <c r="DKO45" s="19"/>
      <c r="DKP45" s="19"/>
      <c r="DKQ45" s="19"/>
      <c r="DKR45" s="19"/>
      <c r="DKS45" s="19"/>
      <c r="DKT45" s="19"/>
      <c r="DKU45" s="19"/>
      <c r="DKV45" s="19"/>
      <c r="DKW45" s="19"/>
      <c r="DKX45" s="19"/>
      <c r="DKY45" s="19"/>
      <c r="DKZ45" s="19"/>
      <c r="DLA45" s="19"/>
      <c r="DLB45" s="19"/>
      <c r="DLC45" s="19"/>
      <c r="DLD45" s="19"/>
      <c r="DLE45" s="19"/>
      <c r="DLF45" s="19"/>
      <c r="DLG45" s="19"/>
      <c r="DLH45" s="19"/>
      <c r="DLI45" s="19"/>
      <c r="DLJ45" s="19"/>
      <c r="DLK45" s="19"/>
      <c r="DLL45" s="19"/>
      <c r="DLM45" s="19"/>
      <c r="DLN45" s="19"/>
      <c r="DLO45" s="19"/>
      <c r="DLP45" s="19"/>
      <c r="DLQ45" s="19"/>
      <c r="DLR45" s="19"/>
      <c r="DLS45" s="19"/>
      <c r="DLT45" s="19"/>
      <c r="DLU45" s="19"/>
      <c r="DLV45" s="19"/>
      <c r="DLW45" s="19"/>
      <c r="DLX45" s="19"/>
      <c r="DLY45" s="19"/>
      <c r="DLZ45" s="19"/>
      <c r="DMA45" s="19"/>
      <c r="DMB45" s="19"/>
      <c r="DMC45" s="19"/>
      <c r="DMD45" s="19"/>
      <c r="DME45" s="19"/>
      <c r="DMF45" s="19"/>
      <c r="DMG45" s="19"/>
      <c r="DMH45" s="19"/>
      <c r="DMI45" s="19"/>
      <c r="DMJ45" s="19"/>
      <c r="DMK45" s="19"/>
      <c r="DML45" s="19"/>
      <c r="DMM45" s="19"/>
      <c r="DMN45" s="19"/>
      <c r="DMO45" s="19"/>
      <c r="DMP45" s="19"/>
      <c r="DMQ45" s="19"/>
      <c r="DMR45" s="19"/>
      <c r="DMS45" s="19"/>
      <c r="DMT45" s="19"/>
      <c r="DMU45" s="19"/>
      <c r="DMV45" s="19"/>
      <c r="DMW45" s="19"/>
      <c r="DMX45" s="19"/>
      <c r="DMY45" s="19"/>
      <c r="DMZ45" s="19"/>
      <c r="DNA45" s="19"/>
      <c r="DNB45" s="19"/>
      <c r="DNC45" s="19"/>
      <c r="DND45" s="19"/>
      <c r="DNE45" s="19"/>
      <c r="DNF45" s="19"/>
      <c r="DNG45" s="19"/>
      <c r="DNH45" s="19"/>
      <c r="DNI45" s="19"/>
      <c r="DNJ45" s="19"/>
      <c r="DNK45" s="19"/>
      <c r="DNL45" s="19"/>
      <c r="DNM45" s="19"/>
      <c r="DNN45" s="19"/>
      <c r="DNO45" s="19"/>
      <c r="DNP45" s="19"/>
      <c r="DNQ45" s="19"/>
      <c r="DNR45" s="19"/>
      <c r="DNS45" s="19"/>
      <c r="DNT45" s="19"/>
      <c r="DNU45" s="19"/>
      <c r="DNV45" s="19"/>
      <c r="DNW45" s="19"/>
      <c r="DNX45" s="19"/>
      <c r="DNY45" s="19"/>
      <c r="DNZ45" s="19"/>
      <c r="DOA45" s="19"/>
      <c r="DOB45" s="19"/>
      <c r="DOC45" s="19"/>
      <c r="DOD45" s="19"/>
      <c r="DOE45" s="19"/>
      <c r="DOF45" s="19"/>
      <c r="DOG45" s="19"/>
      <c r="DOH45" s="19"/>
      <c r="DOI45" s="19"/>
      <c r="DOJ45" s="19"/>
      <c r="DOK45" s="19"/>
      <c r="DOL45" s="19"/>
      <c r="DOM45" s="19"/>
      <c r="DON45" s="19"/>
      <c r="DOO45" s="19"/>
      <c r="DOP45" s="19"/>
      <c r="DOQ45" s="19"/>
      <c r="DOR45" s="19"/>
      <c r="DOS45" s="19"/>
      <c r="DOT45" s="19"/>
      <c r="DOU45" s="19"/>
      <c r="DOV45" s="19"/>
      <c r="DOW45" s="19"/>
      <c r="DOX45" s="19"/>
      <c r="DOY45" s="19"/>
      <c r="DOZ45" s="19"/>
      <c r="DPA45" s="19"/>
      <c r="DPB45" s="19"/>
      <c r="DPC45" s="19"/>
      <c r="DPD45" s="19"/>
      <c r="DPE45" s="19"/>
      <c r="DPF45" s="19"/>
      <c r="DPG45" s="19"/>
      <c r="DPH45" s="19"/>
      <c r="DPI45" s="19"/>
      <c r="DPJ45" s="19"/>
      <c r="DPK45" s="19"/>
      <c r="DPL45" s="19"/>
      <c r="DPM45" s="19"/>
      <c r="DPN45" s="19"/>
      <c r="DPO45" s="19"/>
      <c r="DPP45" s="19"/>
      <c r="DPQ45" s="19"/>
      <c r="DPR45" s="19"/>
      <c r="DPS45" s="19"/>
      <c r="DPT45" s="19"/>
      <c r="DPU45" s="19"/>
      <c r="DPV45" s="19"/>
      <c r="DPW45" s="19"/>
      <c r="DPX45" s="19"/>
      <c r="DPY45" s="19"/>
      <c r="DPZ45" s="19"/>
      <c r="DQA45" s="19"/>
      <c r="DQB45" s="19"/>
      <c r="DQC45" s="19"/>
      <c r="DQD45" s="19"/>
      <c r="DQE45" s="19"/>
      <c r="DQF45" s="19"/>
      <c r="DQG45" s="19"/>
      <c r="DQH45" s="19"/>
      <c r="DQI45" s="19"/>
      <c r="DQJ45" s="19"/>
      <c r="DQK45" s="19"/>
      <c r="DQL45" s="19"/>
      <c r="DQM45" s="19"/>
      <c r="DQN45" s="19"/>
      <c r="DQO45" s="19"/>
      <c r="DQP45" s="19"/>
      <c r="DQQ45" s="19"/>
      <c r="DQR45" s="19"/>
      <c r="DQS45" s="19"/>
      <c r="DQT45" s="19"/>
      <c r="DQU45" s="19"/>
      <c r="DQV45" s="19"/>
      <c r="DQW45" s="19"/>
      <c r="DQX45" s="19"/>
      <c r="DQY45" s="19"/>
      <c r="DQZ45" s="19"/>
      <c r="DRA45" s="19"/>
      <c r="DRB45" s="19"/>
      <c r="DRC45" s="19"/>
      <c r="DRD45" s="19"/>
      <c r="DRE45" s="19"/>
      <c r="DRF45" s="19"/>
      <c r="DRG45" s="19"/>
      <c r="DRH45" s="19"/>
      <c r="DRI45" s="19"/>
      <c r="DRJ45" s="19"/>
      <c r="DRK45" s="19"/>
      <c r="DRL45" s="19"/>
      <c r="DRM45" s="19"/>
      <c r="DRN45" s="19"/>
      <c r="DRO45" s="19"/>
      <c r="DRP45" s="19"/>
      <c r="DRQ45" s="19"/>
      <c r="DRR45" s="19"/>
      <c r="DRS45" s="19"/>
      <c r="DRT45" s="19"/>
      <c r="DRU45" s="19"/>
      <c r="DRV45" s="19"/>
      <c r="DRW45" s="19"/>
      <c r="DRX45" s="19"/>
      <c r="DRY45" s="19"/>
      <c r="DRZ45" s="19"/>
      <c r="DSA45" s="19"/>
      <c r="DSB45" s="19"/>
      <c r="DSC45" s="19"/>
      <c r="DSD45" s="19"/>
      <c r="DSE45" s="19"/>
      <c r="DSF45" s="19"/>
      <c r="DSG45" s="19"/>
      <c r="DSH45" s="19"/>
      <c r="DSI45" s="19"/>
      <c r="DSJ45" s="19"/>
      <c r="DSK45" s="19"/>
      <c r="DSL45" s="19"/>
      <c r="DSM45" s="19"/>
      <c r="DSN45" s="19"/>
      <c r="DSO45" s="19"/>
      <c r="DSP45" s="19"/>
      <c r="DSQ45" s="19"/>
      <c r="DSR45" s="19"/>
      <c r="DSS45" s="19"/>
      <c r="DST45" s="19"/>
      <c r="DSU45" s="19"/>
      <c r="DSV45" s="19"/>
      <c r="DSW45" s="19"/>
      <c r="DSX45" s="19"/>
      <c r="DSY45" s="19"/>
      <c r="DSZ45" s="19"/>
      <c r="DTA45" s="19"/>
      <c r="DTB45" s="19"/>
      <c r="DTC45" s="19"/>
      <c r="DTD45" s="19"/>
      <c r="DTE45" s="19"/>
      <c r="DTF45" s="19"/>
      <c r="DTG45" s="19"/>
      <c r="DTH45" s="19"/>
      <c r="DTI45" s="19"/>
      <c r="DTJ45" s="19"/>
      <c r="DTK45" s="19"/>
      <c r="DTL45" s="19"/>
      <c r="DTM45" s="19"/>
      <c r="DTN45" s="19"/>
      <c r="DTO45" s="19"/>
      <c r="DTP45" s="19"/>
      <c r="DTQ45" s="19"/>
      <c r="DTR45" s="19"/>
      <c r="DTS45" s="19"/>
      <c r="DTT45" s="19"/>
      <c r="DTU45" s="19"/>
      <c r="DTV45" s="19"/>
      <c r="DTW45" s="19"/>
      <c r="DTX45" s="19"/>
      <c r="DTY45" s="19"/>
      <c r="DTZ45" s="19"/>
      <c r="DUA45" s="19"/>
      <c r="DUB45" s="19"/>
      <c r="DUC45" s="19"/>
      <c r="DUD45" s="19"/>
      <c r="DUE45" s="19"/>
      <c r="DUF45" s="19"/>
      <c r="DUG45" s="19"/>
      <c r="DUH45" s="19"/>
      <c r="DUI45" s="19"/>
      <c r="DUJ45" s="19"/>
      <c r="DUK45" s="19"/>
      <c r="DUL45" s="19"/>
      <c r="DUM45" s="19"/>
      <c r="DUN45" s="19"/>
      <c r="DUO45" s="19"/>
      <c r="DUP45" s="19"/>
      <c r="DUQ45" s="19"/>
      <c r="DUR45" s="19"/>
      <c r="DUS45" s="19"/>
      <c r="DUT45" s="19"/>
      <c r="DUU45" s="19"/>
      <c r="DUV45" s="19"/>
      <c r="DUW45" s="19"/>
      <c r="DUX45" s="19"/>
      <c r="DUY45" s="19"/>
      <c r="DUZ45" s="19"/>
      <c r="DVA45" s="19"/>
      <c r="DVB45" s="19"/>
      <c r="DVC45" s="19"/>
      <c r="DVD45" s="19"/>
      <c r="DVE45" s="19"/>
      <c r="DVF45" s="19"/>
      <c r="DVG45" s="19"/>
      <c r="DVH45" s="19"/>
      <c r="DVI45" s="19"/>
      <c r="DVJ45" s="19"/>
      <c r="DVK45" s="19"/>
      <c r="DVL45" s="19"/>
      <c r="DVM45" s="19"/>
      <c r="DVN45" s="19"/>
      <c r="DVO45" s="19"/>
      <c r="DVP45" s="19"/>
      <c r="DVQ45" s="19"/>
      <c r="DVR45" s="19"/>
      <c r="DVS45" s="19"/>
      <c r="DVT45" s="19"/>
      <c r="DVU45" s="19"/>
      <c r="DVV45" s="19"/>
      <c r="DVW45" s="19"/>
      <c r="DVX45" s="19"/>
      <c r="DVY45" s="19"/>
      <c r="DVZ45" s="19"/>
      <c r="DWA45" s="19"/>
      <c r="DWB45" s="19"/>
      <c r="DWC45" s="19"/>
      <c r="DWD45" s="19"/>
      <c r="DWE45" s="19"/>
      <c r="DWF45" s="19"/>
      <c r="DWG45" s="19"/>
      <c r="DWH45" s="19"/>
      <c r="DWI45" s="19"/>
      <c r="DWJ45" s="19"/>
      <c r="DWK45" s="19"/>
      <c r="DWL45" s="19"/>
      <c r="DWM45" s="19"/>
      <c r="DWN45" s="19"/>
      <c r="DWO45" s="19"/>
      <c r="DWP45" s="19"/>
      <c r="DWQ45" s="19"/>
      <c r="DWR45" s="19"/>
      <c r="DWS45" s="19"/>
      <c r="DWT45" s="19"/>
      <c r="DWU45" s="19"/>
      <c r="DWV45" s="19"/>
      <c r="DWW45" s="19"/>
      <c r="DWX45" s="19"/>
      <c r="DWY45" s="19"/>
      <c r="DWZ45" s="19"/>
      <c r="DXA45" s="19"/>
      <c r="DXB45" s="19"/>
      <c r="DXC45" s="19"/>
      <c r="DXD45" s="19"/>
      <c r="DXE45" s="19"/>
      <c r="DXF45" s="19"/>
      <c r="DXG45" s="19"/>
      <c r="DXH45" s="19"/>
      <c r="DXI45" s="19"/>
      <c r="DXJ45" s="19"/>
      <c r="DXK45" s="19"/>
      <c r="DXL45" s="19"/>
      <c r="DXM45" s="19"/>
      <c r="DXN45" s="19"/>
      <c r="DXO45" s="19"/>
      <c r="DXP45" s="19"/>
      <c r="DXQ45" s="19"/>
      <c r="DXR45" s="19"/>
      <c r="DXS45" s="19"/>
      <c r="DXT45" s="19"/>
      <c r="DXU45" s="19"/>
      <c r="DXV45" s="19"/>
      <c r="DXW45" s="19"/>
      <c r="DXX45" s="19"/>
      <c r="DXY45" s="19"/>
      <c r="DXZ45" s="19"/>
      <c r="DYA45" s="19"/>
      <c r="DYB45" s="19"/>
      <c r="DYC45" s="19"/>
      <c r="DYD45" s="19"/>
      <c r="DYE45" s="19"/>
      <c r="DYF45" s="19"/>
      <c r="DYG45" s="19"/>
      <c r="DYH45" s="19"/>
      <c r="DYI45" s="19"/>
      <c r="DYJ45" s="19"/>
      <c r="DYK45" s="19"/>
      <c r="DYL45" s="19"/>
      <c r="DYM45" s="19"/>
      <c r="DYN45" s="19"/>
      <c r="DYO45" s="19"/>
      <c r="DYP45" s="19"/>
      <c r="DYQ45" s="19"/>
      <c r="DYR45" s="19"/>
      <c r="DYS45" s="19"/>
      <c r="DYT45" s="19"/>
      <c r="DYU45" s="19"/>
      <c r="DYV45" s="19"/>
      <c r="DYW45" s="19"/>
      <c r="DYX45" s="19"/>
      <c r="DYY45" s="19"/>
      <c r="DYZ45" s="19"/>
      <c r="DZA45" s="19"/>
      <c r="DZB45" s="19"/>
      <c r="DZC45" s="19"/>
      <c r="DZD45" s="19"/>
      <c r="DZE45" s="19"/>
      <c r="DZF45" s="19"/>
      <c r="DZG45" s="19"/>
      <c r="DZH45" s="19"/>
      <c r="DZI45" s="19"/>
      <c r="DZJ45" s="19"/>
      <c r="DZK45" s="19"/>
      <c r="DZL45" s="19"/>
      <c r="DZM45" s="19"/>
      <c r="DZN45" s="19"/>
      <c r="DZO45" s="19"/>
      <c r="DZP45" s="19"/>
      <c r="DZQ45" s="19"/>
      <c r="DZR45" s="19"/>
      <c r="DZS45" s="19"/>
      <c r="DZT45" s="19"/>
      <c r="DZU45" s="19"/>
      <c r="DZV45" s="19"/>
      <c r="DZW45" s="19"/>
      <c r="DZX45" s="19"/>
      <c r="DZY45" s="19"/>
      <c r="DZZ45" s="19"/>
      <c r="EAA45" s="19"/>
      <c r="EAB45" s="19"/>
      <c r="EAC45" s="19"/>
      <c r="EAD45" s="19"/>
      <c r="EAE45" s="19"/>
      <c r="EAF45" s="19"/>
      <c r="EAG45" s="19"/>
      <c r="EAH45" s="19"/>
      <c r="EAI45" s="19"/>
      <c r="EAJ45" s="19"/>
      <c r="EAK45" s="19"/>
      <c r="EAL45" s="19"/>
      <c r="EAM45" s="19"/>
      <c r="EAN45" s="19"/>
      <c r="EAO45" s="19"/>
      <c r="EAP45" s="19"/>
      <c r="EAQ45" s="19"/>
      <c r="EAR45" s="19"/>
      <c r="EAS45" s="19"/>
      <c r="EAT45" s="19"/>
      <c r="EAU45" s="19"/>
      <c r="EAV45" s="19"/>
      <c r="EAW45" s="19"/>
      <c r="EAX45" s="19"/>
      <c r="EAY45" s="19"/>
      <c r="EAZ45" s="19"/>
      <c r="EBA45" s="19"/>
      <c r="EBB45" s="19"/>
      <c r="EBC45" s="19"/>
      <c r="EBD45" s="19"/>
      <c r="EBE45" s="19"/>
      <c r="EBF45" s="19"/>
      <c r="EBG45" s="19"/>
      <c r="EBH45" s="19"/>
      <c r="EBI45" s="19"/>
      <c r="EBJ45" s="19"/>
      <c r="EBK45" s="19"/>
      <c r="EBL45" s="19"/>
      <c r="EBM45" s="19"/>
      <c r="EBN45" s="19"/>
      <c r="EBO45" s="19"/>
      <c r="EBP45" s="19"/>
      <c r="EBQ45" s="19"/>
      <c r="EBR45" s="19"/>
      <c r="EBS45" s="19"/>
      <c r="EBT45" s="19"/>
      <c r="EBU45" s="19"/>
      <c r="EBV45" s="19"/>
      <c r="EBW45" s="19"/>
      <c r="EBX45" s="19"/>
      <c r="EBY45" s="19"/>
      <c r="EBZ45" s="19"/>
      <c r="ECA45" s="19"/>
      <c r="ECB45" s="19"/>
      <c r="ECC45" s="19"/>
      <c r="ECD45" s="19"/>
      <c r="ECE45" s="19"/>
      <c r="ECF45" s="19"/>
      <c r="ECG45" s="19"/>
      <c r="ECH45" s="19"/>
      <c r="ECI45" s="19"/>
      <c r="ECJ45" s="19"/>
      <c r="ECK45" s="19"/>
      <c r="ECL45" s="19"/>
      <c r="ECM45" s="19"/>
      <c r="ECN45" s="19"/>
      <c r="ECO45" s="19"/>
      <c r="ECP45" s="19"/>
      <c r="ECQ45" s="19"/>
      <c r="ECR45" s="19"/>
      <c r="ECS45" s="19"/>
      <c r="ECT45" s="19"/>
      <c r="ECU45" s="19"/>
      <c r="ECV45" s="19"/>
      <c r="ECW45" s="19"/>
      <c r="ECX45" s="19"/>
      <c r="ECY45" s="19"/>
      <c r="ECZ45" s="19"/>
      <c r="EDA45" s="19"/>
      <c r="EDB45" s="19"/>
      <c r="EDC45" s="19"/>
      <c r="EDD45" s="19"/>
      <c r="EDE45" s="19"/>
      <c r="EDF45" s="19"/>
      <c r="EDG45" s="19"/>
      <c r="EDH45" s="19"/>
      <c r="EDI45" s="19"/>
      <c r="EDJ45" s="19"/>
      <c r="EDK45" s="19"/>
      <c r="EDL45" s="19"/>
      <c r="EDM45" s="19"/>
      <c r="EDN45" s="19"/>
      <c r="EDO45" s="19"/>
      <c r="EDP45" s="19"/>
      <c r="EDQ45" s="19"/>
      <c r="EDR45" s="19"/>
      <c r="EDS45" s="19"/>
      <c r="EDT45" s="19"/>
      <c r="EDU45" s="19"/>
      <c r="EDV45" s="19"/>
      <c r="EDW45" s="19"/>
      <c r="EDX45" s="19"/>
      <c r="EDY45" s="19"/>
      <c r="EDZ45" s="19"/>
      <c r="EEA45" s="19"/>
      <c r="EEB45" s="19"/>
      <c r="EEC45" s="19"/>
      <c r="EED45" s="19"/>
      <c r="EEE45" s="19"/>
      <c r="EEF45" s="19"/>
      <c r="EEG45" s="19"/>
      <c r="EEH45" s="19"/>
      <c r="EEI45" s="19"/>
      <c r="EEJ45" s="19"/>
      <c r="EEK45" s="19"/>
      <c r="EEL45" s="19"/>
      <c r="EEM45" s="19"/>
      <c r="EEN45" s="19"/>
      <c r="EEO45" s="19"/>
      <c r="EEP45" s="19"/>
      <c r="EEQ45" s="19"/>
      <c r="EER45" s="19"/>
      <c r="EES45" s="19"/>
      <c r="EET45" s="19"/>
      <c r="EEU45" s="19"/>
      <c r="EEV45" s="19"/>
      <c r="EEW45" s="19"/>
      <c r="EEX45" s="19"/>
      <c r="EEY45" s="19"/>
      <c r="EEZ45" s="19"/>
      <c r="EFA45" s="19"/>
      <c r="EFB45" s="19"/>
      <c r="EFC45" s="19"/>
      <c r="EFD45" s="19"/>
      <c r="EFE45" s="19"/>
      <c r="EFF45" s="19"/>
      <c r="EFG45" s="19"/>
      <c r="EFH45" s="19"/>
      <c r="EFI45" s="19"/>
      <c r="EFJ45" s="19"/>
      <c r="EFK45" s="19"/>
      <c r="EFL45" s="19"/>
      <c r="EFM45" s="19"/>
      <c r="EFN45" s="19"/>
      <c r="EFO45" s="19"/>
      <c r="EFP45" s="19"/>
      <c r="EFQ45" s="19"/>
      <c r="EFR45" s="19"/>
      <c r="EFS45" s="19"/>
      <c r="EFT45" s="19"/>
      <c r="EFU45" s="19"/>
      <c r="EFV45" s="19"/>
      <c r="EFW45" s="19"/>
      <c r="EFX45" s="19"/>
      <c r="EFY45" s="19"/>
      <c r="EFZ45" s="19"/>
      <c r="EGA45" s="19"/>
      <c r="EGB45" s="19"/>
      <c r="EGC45" s="19"/>
      <c r="EGD45" s="19"/>
      <c r="EGE45" s="19"/>
      <c r="EGF45" s="19"/>
      <c r="EGG45" s="19"/>
      <c r="EGH45" s="19"/>
      <c r="EGI45" s="19"/>
      <c r="EGJ45" s="19"/>
      <c r="EGK45" s="19"/>
      <c r="EGL45" s="19"/>
      <c r="EGM45" s="19"/>
      <c r="EGN45" s="19"/>
      <c r="EGO45" s="19"/>
      <c r="EGP45" s="19"/>
      <c r="EGQ45" s="19"/>
      <c r="EGR45" s="19"/>
      <c r="EGS45" s="19"/>
      <c r="EGT45" s="19"/>
      <c r="EGU45" s="19"/>
      <c r="EGV45" s="19"/>
      <c r="EGW45" s="19"/>
      <c r="EGX45" s="19"/>
      <c r="EGY45" s="19"/>
      <c r="EGZ45" s="19"/>
      <c r="EHA45" s="19"/>
      <c r="EHB45" s="19"/>
      <c r="EHC45" s="19"/>
      <c r="EHD45" s="19"/>
      <c r="EHE45" s="19"/>
      <c r="EHF45" s="19"/>
      <c r="EHG45" s="19"/>
      <c r="EHH45" s="19"/>
      <c r="EHI45" s="19"/>
      <c r="EHJ45" s="19"/>
      <c r="EHK45" s="19"/>
      <c r="EHL45" s="19"/>
      <c r="EHM45" s="19"/>
      <c r="EHN45" s="19"/>
      <c r="EHO45" s="19"/>
      <c r="EHP45" s="19"/>
      <c r="EHQ45" s="19"/>
      <c r="EHR45" s="19"/>
      <c r="EHS45" s="19"/>
      <c r="EHT45" s="19"/>
      <c r="EHU45" s="19"/>
      <c r="EHV45" s="19"/>
      <c r="EHW45" s="19"/>
      <c r="EHX45" s="19"/>
      <c r="EHY45" s="19"/>
      <c r="EHZ45" s="19"/>
      <c r="EIA45" s="19"/>
      <c r="EIB45" s="19"/>
      <c r="EIC45" s="19"/>
      <c r="EID45" s="19"/>
      <c r="EIE45" s="19"/>
      <c r="EIF45" s="19"/>
      <c r="EIG45" s="19"/>
      <c r="EIH45" s="19"/>
      <c r="EII45" s="19"/>
      <c r="EIJ45" s="19"/>
      <c r="EIK45" s="19"/>
      <c r="EIL45" s="19"/>
      <c r="EIM45" s="19"/>
      <c r="EIN45" s="19"/>
      <c r="EIO45" s="19"/>
      <c r="EIP45" s="19"/>
      <c r="EIQ45" s="19"/>
      <c r="EIR45" s="19"/>
      <c r="EIS45" s="19"/>
      <c r="EIT45" s="19"/>
      <c r="EIU45" s="19"/>
      <c r="EIV45" s="19"/>
      <c r="EIW45" s="19"/>
      <c r="EIX45" s="19"/>
      <c r="EIY45" s="19"/>
      <c r="EIZ45" s="19"/>
      <c r="EJA45" s="19"/>
      <c r="EJB45" s="19"/>
      <c r="EJC45" s="19"/>
      <c r="EJD45" s="19"/>
      <c r="EJE45" s="19"/>
      <c r="EJF45" s="19"/>
      <c r="EJG45" s="19"/>
      <c r="EJH45" s="19"/>
      <c r="EJI45" s="19"/>
      <c r="EJJ45" s="19"/>
      <c r="EJK45" s="19"/>
      <c r="EJL45" s="19"/>
      <c r="EJM45" s="19"/>
      <c r="EJN45" s="19"/>
      <c r="EJO45" s="19"/>
      <c r="EJP45" s="19"/>
      <c r="EJQ45" s="19"/>
      <c r="EJR45" s="19"/>
      <c r="EJS45" s="19"/>
      <c r="EJT45" s="19"/>
      <c r="EJU45" s="19"/>
      <c r="EJV45" s="19"/>
      <c r="EJW45" s="19"/>
      <c r="EJX45" s="19"/>
      <c r="EJY45" s="19"/>
      <c r="EJZ45" s="19"/>
      <c r="EKA45" s="19"/>
      <c r="EKB45" s="19"/>
      <c r="EKC45" s="19"/>
      <c r="EKD45" s="19"/>
      <c r="EKE45" s="19"/>
      <c r="EKF45" s="19"/>
      <c r="EKG45" s="19"/>
      <c r="EKH45" s="19"/>
      <c r="EKI45" s="19"/>
      <c r="EKJ45" s="19"/>
      <c r="EKK45" s="19"/>
      <c r="EKL45" s="19"/>
      <c r="EKM45" s="19"/>
      <c r="EKN45" s="19"/>
      <c r="EKO45" s="19"/>
      <c r="EKP45" s="19"/>
      <c r="EKQ45" s="19"/>
      <c r="EKR45" s="19"/>
      <c r="EKS45" s="19"/>
      <c r="EKT45" s="19"/>
      <c r="EKU45" s="19"/>
      <c r="EKV45" s="19"/>
      <c r="EKW45" s="19"/>
      <c r="EKX45" s="19"/>
      <c r="EKY45" s="19"/>
      <c r="EKZ45" s="19"/>
      <c r="ELA45" s="19"/>
      <c r="ELB45" s="19"/>
      <c r="ELC45" s="19"/>
      <c r="ELD45" s="19"/>
      <c r="ELE45" s="19"/>
      <c r="ELF45" s="19"/>
      <c r="ELG45" s="19"/>
      <c r="ELH45" s="19"/>
      <c r="ELI45" s="19"/>
      <c r="ELJ45" s="19"/>
      <c r="ELK45" s="19"/>
      <c r="ELL45" s="19"/>
      <c r="ELM45" s="19"/>
      <c r="ELN45" s="19"/>
      <c r="ELO45" s="19"/>
      <c r="ELP45" s="19"/>
      <c r="ELQ45" s="19"/>
      <c r="ELR45" s="19"/>
      <c r="ELS45" s="19"/>
      <c r="ELT45" s="19"/>
      <c r="ELU45" s="19"/>
      <c r="ELV45" s="19"/>
      <c r="ELW45" s="19"/>
      <c r="ELX45" s="19"/>
      <c r="ELY45" s="19"/>
      <c r="ELZ45" s="19"/>
      <c r="EMA45" s="19"/>
      <c r="EMB45" s="19"/>
      <c r="EMC45" s="19"/>
      <c r="EMD45" s="19"/>
      <c r="EME45" s="19"/>
      <c r="EMF45" s="19"/>
      <c r="EMG45" s="19"/>
      <c r="EMH45" s="19"/>
      <c r="EMI45" s="19"/>
      <c r="EMJ45" s="19"/>
      <c r="EMK45" s="19"/>
      <c r="EML45" s="19"/>
      <c r="EMM45" s="19"/>
      <c r="EMN45" s="19"/>
      <c r="EMO45" s="19"/>
      <c r="EMP45" s="19"/>
      <c r="EMQ45" s="19"/>
      <c r="EMR45" s="19"/>
      <c r="EMS45" s="19"/>
      <c r="EMT45" s="19"/>
      <c r="EMU45" s="19"/>
      <c r="EMV45" s="19"/>
      <c r="EMW45" s="19"/>
      <c r="EMX45" s="19"/>
      <c r="EMY45" s="19"/>
      <c r="EMZ45" s="19"/>
      <c r="ENA45" s="19"/>
      <c r="ENB45" s="19"/>
      <c r="ENC45" s="19"/>
      <c r="END45" s="19"/>
      <c r="ENE45" s="19"/>
      <c r="ENF45" s="19"/>
      <c r="ENG45" s="19"/>
      <c r="ENH45" s="19"/>
      <c r="ENI45" s="19"/>
      <c r="ENJ45" s="19"/>
      <c r="ENK45" s="19"/>
      <c r="ENL45" s="19"/>
      <c r="ENM45" s="19"/>
      <c r="ENN45" s="19"/>
      <c r="ENO45" s="19"/>
      <c r="ENP45" s="19"/>
      <c r="ENQ45" s="19"/>
      <c r="ENR45" s="19"/>
      <c r="ENS45" s="19"/>
      <c r="ENT45" s="19"/>
      <c r="ENU45" s="19"/>
      <c r="ENV45" s="19"/>
      <c r="ENW45" s="19"/>
      <c r="ENX45" s="19"/>
      <c r="ENY45" s="19"/>
      <c r="ENZ45" s="19"/>
      <c r="EOA45" s="19"/>
      <c r="EOB45" s="19"/>
      <c r="EOC45" s="19"/>
      <c r="EOD45" s="19"/>
      <c r="EOE45" s="19"/>
      <c r="EOF45" s="19"/>
      <c r="EOG45" s="19"/>
      <c r="EOH45" s="19"/>
      <c r="EOI45" s="19"/>
      <c r="EOJ45" s="19"/>
      <c r="EOK45" s="19"/>
      <c r="EOL45" s="19"/>
      <c r="EOM45" s="19"/>
      <c r="EON45" s="19"/>
      <c r="EOO45" s="19"/>
      <c r="EOP45" s="19"/>
      <c r="EOQ45" s="19"/>
      <c r="EOR45" s="19"/>
      <c r="EOS45" s="19"/>
      <c r="EOT45" s="19"/>
      <c r="EOU45" s="19"/>
      <c r="EOV45" s="19"/>
      <c r="EOW45" s="19"/>
      <c r="EOX45" s="19"/>
      <c r="EOY45" s="19"/>
      <c r="EOZ45" s="19"/>
      <c r="EPA45" s="19"/>
      <c r="EPB45" s="19"/>
      <c r="EPC45" s="19"/>
      <c r="EPD45" s="19"/>
      <c r="EPE45" s="19"/>
      <c r="EPF45" s="19"/>
      <c r="EPG45" s="19"/>
      <c r="EPH45" s="19"/>
      <c r="EPI45" s="19"/>
      <c r="EPJ45" s="19"/>
      <c r="EPK45" s="19"/>
      <c r="EPL45" s="19"/>
      <c r="EPM45" s="19"/>
      <c r="EPN45" s="19"/>
      <c r="EPO45" s="19"/>
      <c r="EPP45" s="19"/>
      <c r="EPQ45" s="19"/>
      <c r="EPR45" s="19"/>
      <c r="EPS45" s="19"/>
      <c r="EPT45" s="19"/>
      <c r="EPU45" s="19"/>
      <c r="EPV45" s="19"/>
      <c r="EPW45" s="19"/>
      <c r="EPX45" s="19"/>
      <c r="EPY45" s="19"/>
      <c r="EPZ45" s="19"/>
      <c r="EQA45" s="19"/>
      <c r="EQB45" s="19"/>
      <c r="EQC45" s="19"/>
      <c r="EQD45" s="19"/>
      <c r="EQE45" s="19"/>
      <c r="EQF45" s="19"/>
      <c r="EQG45" s="19"/>
      <c r="EQH45" s="19"/>
      <c r="EQI45" s="19"/>
      <c r="EQJ45" s="19"/>
      <c r="EQK45" s="19"/>
      <c r="EQL45" s="19"/>
      <c r="EQM45" s="19"/>
      <c r="EQN45" s="19"/>
      <c r="EQO45" s="19"/>
      <c r="EQP45" s="19"/>
      <c r="EQQ45" s="19"/>
      <c r="EQR45" s="19"/>
      <c r="EQS45" s="19"/>
      <c r="EQT45" s="19"/>
      <c r="EQU45" s="19"/>
      <c r="EQV45" s="19"/>
      <c r="EQW45" s="19"/>
      <c r="EQX45" s="19"/>
      <c r="EQY45" s="19"/>
      <c r="EQZ45" s="19"/>
      <c r="ERA45" s="19"/>
      <c r="ERB45" s="19"/>
      <c r="ERC45" s="19"/>
      <c r="ERD45" s="19"/>
      <c r="ERE45" s="19"/>
      <c r="ERF45" s="19"/>
      <c r="ERG45" s="19"/>
      <c r="ERH45" s="19"/>
      <c r="ERI45" s="19"/>
      <c r="ERJ45" s="19"/>
      <c r="ERK45" s="19"/>
      <c r="ERL45" s="19"/>
      <c r="ERM45" s="19"/>
      <c r="ERN45" s="19"/>
      <c r="ERO45" s="19"/>
      <c r="ERP45" s="19"/>
      <c r="ERQ45" s="19"/>
      <c r="ERR45" s="19"/>
      <c r="ERS45" s="19"/>
      <c r="ERT45" s="19"/>
      <c r="ERU45" s="19"/>
      <c r="ERV45" s="19"/>
      <c r="ERW45" s="19"/>
      <c r="ERX45" s="19"/>
      <c r="ERY45" s="19"/>
      <c r="ERZ45" s="19"/>
      <c r="ESA45" s="19"/>
      <c r="ESB45" s="19"/>
      <c r="ESC45" s="19"/>
      <c r="ESD45" s="19"/>
      <c r="ESE45" s="19"/>
      <c r="ESF45" s="19"/>
      <c r="ESG45" s="19"/>
      <c r="ESH45" s="19"/>
      <c r="ESI45" s="19"/>
      <c r="ESJ45" s="19"/>
      <c r="ESK45" s="19"/>
      <c r="ESL45" s="19"/>
      <c r="ESM45" s="19"/>
      <c r="ESN45" s="19"/>
      <c r="ESO45" s="19"/>
      <c r="ESP45" s="19"/>
      <c r="ESQ45" s="19"/>
      <c r="ESR45" s="19"/>
      <c r="ESS45" s="19"/>
      <c r="EST45" s="19"/>
      <c r="ESU45" s="19"/>
      <c r="ESV45" s="19"/>
      <c r="ESW45" s="19"/>
      <c r="ESX45" s="19"/>
      <c r="ESY45" s="19"/>
      <c r="ESZ45" s="19"/>
      <c r="ETA45" s="19"/>
      <c r="ETB45" s="19"/>
      <c r="ETC45" s="19"/>
      <c r="ETD45" s="19"/>
      <c r="ETE45" s="19"/>
      <c r="ETF45" s="19"/>
      <c r="ETG45" s="19"/>
      <c r="ETH45" s="19"/>
      <c r="ETI45" s="19"/>
      <c r="ETJ45" s="19"/>
      <c r="ETK45" s="19"/>
      <c r="ETL45" s="19"/>
      <c r="ETM45" s="19"/>
      <c r="ETN45" s="19"/>
      <c r="ETO45" s="19"/>
      <c r="ETP45" s="19"/>
      <c r="ETQ45" s="19"/>
      <c r="ETR45" s="19"/>
      <c r="ETS45" s="19"/>
      <c r="ETT45" s="19"/>
      <c r="ETU45" s="19"/>
      <c r="ETV45" s="19"/>
      <c r="ETW45" s="19"/>
      <c r="ETX45" s="19"/>
      <c r="ETY45" s="19"/>
      <c r="ETZ45" s="19"/>
      <c r="EUA45" s="19"/>
      <c r="EUB45" s="19"/>
      <c r="EUC45" s="19"/>
      <c r="EUD45" s="19"/>
      <c r="EUE45" s="19"/>
      <c r="EUF45" s="19"/>
      <c r="EUG45" s="19"/>
      <c r="EUH45" s="19"/>
      <c r="EUI45" s="19"/>
      <c r="EUJ45" s="19"/>
      <c r="EUK45" s="19"/>
      <c r="EUL45" s="19"/>
      <c r="EUM45" s="19"/>
      <c r="EUN45" s="19"/>
      <c r="EUO45" s="19"/>
      <c r="EUP45" s="19"/>
      <c r="EUQ45" s="19"/>
      <c r="EUR45" s="19"/>
      <c r="EUS45" s="19"/>
      <c r="EUT45" s="19"/>
      <c r="EUU45" s="19"/>
      <c r="EUV45" s="19"/>
      <c r="EUW45" s="19"/>
      <c r="EUX45" s="19"/>
      <c r="EUY45" s="19"/>
      <c r="EUZ45" s="19"/>
      <c r="EVA45" s="19"/>
      <c r="EVB45" s="19"/>
      <c r="EVC45" s="19"/>
      <c r="EVD45" s="19"/>
      <c r="EVE45" s="19"/>
      <c r="EVF45" s="19"/>
      <c r="EVG45" s="19"/>
      <c r="EVH45" s="19"/>
      <c r="EVI45" s="19"/>
      <c r="EVJ45" s="19"/>
      <c r="EVK45" s="19"/>
      <c r="EVL45" s="19"/>
      <c r="EVM45" s="19"/>
      <c r="EVN45" s="19"/>
      <c r="EVO45" s="19"/>
      <c r="EVP45" s="19"/>
      <c r="EVQ45" s="19"/>
      <c r="EVR45" s="19"/>
      <c r="EVS45" s="19"/>
      <c r="EVT45" s="19"/>
      <c r="EVU45" s="19"/>
      <c r="EVV45" s="19"/>
      <c r="EVW45" s="19"/>
      <c r="EVX45" s="19"/>
      <c r="EVY45" s="19"/>
      <c r="EVZ45" s="19"/>
      <c r="EWA45" s="19"/>
      <c r="EWB45" s="19"/>
      <c r="EWC45" s="19"/>
      <c r="EWD45" s="19"/>
      <c r="EWE45" s="19"/>
      <c r="EWF45" s="19"/>
      <c r="EWG45" s="19"/>
      <c r="EWH45" s="19"/>
      <c r="EWI45" s="19"/>
      <c r="EWJ45" s="19"/>
      <c r="EWK45" s="19"/>
      <c r="EWL45" s="19"/>
      <c r="EWM45" s="19"/>
      <c r="EWN45" s="19"/>
      <c r="EWO45" s="19"/>
      <c r="EWP45" s="19"/>
      <c r="EWQ45" s="19"/>
      <c r="EWR45" s="19"/>
      <c r="EWS45" s="19"/>
      <c r="EWT45" s="19"/>
      <c r="EWU45" s="19"/>
      <c r="EWV45" s="19"/>
      <c r="EWW45" s="19"/>
      <c r="EWX45" s="19"/>
      <c r="EWY45" s="19"/>
      <c r="EWZ45" s="19"/>
      <c r="EXA45" s="19"/>
      <c r="EXB45" s="19"/>
      <c r="EXC45" s="19"/>
      <c r="EXD45" s="19"/>
      <c r="EXE45" s="19"/>
      <c r="EXF45" s="19"/>
      <c r="EXG45" s="19"/>
      <c r="EXH45" s="19"/>
      <c r="EXI45" s="19"/>
      <c r="EXJ45" s="19"/>
      <c r="EXK45" s="19"/>
      <c r="EXL45" s="19"/>
      <c r="EXM45" s="19"/>
      <c r="EXN45" s="19"/>
      <c r="EXO45" s="19"/>
      <c r="EXP45" s="19"/>
      <c r="EXQ45" s="19"/>
      <c r="EXR45" s="19"/>
      <c r="EXS45" s="19"/>
      <c r="EXT45" s="19"/>
      <c r="EXU45" s="19"/>
      <c r="EXV45" s="19"/>
      <c r="EXW45" s="19"/>
      <c r="EXX45" s="19"/>
      <c r="EXY45" s="19"/>
      <c r="EXZ45" s="19"/>
      <c r="EYA45" s="19"/>
      <c r="EYB45" s="19"/>
      <c r="EYC45" s="19"/>
      <c r="EYD45" s="19"/>
      <c r="EYE45" s="19"/>
      <c r="EYF45" s="19"/>
      <c r="EYG45" s="19"/>
      <c r="EYH45" s="19"/>
      <c r="EYI45" s="19"/>
      <c r="EYJ45" s="19"/>
      <c r="EYK45" s="19"/>
      <c r="EYL45" s="19"/>
      <c r="EYM45" s="19"/>
      <c r="EYN45" s="19"/>
      <c r="EYO45" s="19"/>
      <c r="EYP45" s="19"/>
      <c r="EYQ45" s="19"/>
      <c r="EYR45" s="19"/>
      <c r="EYS45" s="19"/>
      <c r="EYT45" s="19"/>
      <c r="EYU45" s="19"/>
      <c r="EYV45" s="19"/>
      <c r="EYW45" s="19"/>
      <c r="EYX45" s="19"/>
      <c r="EYY45" s="19"/>
      <c r="EYZ45" s="19"/>
      <c r="EZA45" s="19"/>
      <c r="EZB45" s="19"/>
      <c r="EZC45" s="19"/>
      <c r="EZD45" s="19"/>
      <c r="EZE45" s="19"/>
      <c r="EZF45" s="19"/>
      <c r="EZG45" s="19"/>
      <c r="EZH45" s="19"/>
      <c r="EZI45" s="19"/>
      <c r="EZJ45" s="19"/>
      <c r="EZK45" s="19"/>
      <c r="EZL45" s="19"/>
      <c r="EZM45" s="19"/>
      <c r="EZN45" s="19"/>
      <c r="EZO45" s="19"/>
      <c r="EZP45" s="19"/>
      <c r="EZQ45" s="19"/>
      <c r="EZR45" s="19"/>
      <c r="EZS45" s="19"/>
      <c r="EZT45" s="19"/>
      <c r="EZU45" s="19"/>
      <c r="EZV45" s="19"/>
      <c r="EZW45" s="19"/>
      <c r="EZX45" s="19"/>
      <c r="EZY45" s="19"/>
      <c r="EZZ45" s="19"/>
      <c r="FAA45" s="19"/>
      <c r="FAB45" s="19"/>
      <c r="FAC45" s="19"/>
      <c r="FAD45" s="19"/>
      <c r="FAE45" s="19"/>
      <c r="FAF45" s="19"/>
      <c r="FAG45" s="19"/>
      <c r="FAH45" s="19"/>
      <c r="FAI45" s="19"/>
      <c r="FAJ45" s="19"/>
      <c r="FAK45" s="19"/>
      <c r="FAL45" s="19"/>
      <c r="FAM45" s="19"/>
      <c r="FAN45" s="19"/>
      <c r="FAO45" s="19"/>
      <c r="FAP45" s="19"/>
      <c r="FAQ45" s="19"/>
      <c r="FAR45" s="19"/>
      <c r="FAS45" s="19"/>
      <c r="FAT45" s="19"/>
      <c r="FAU45" s="19"/>
      <c r="FAV45" s="19"/>
      <c r="FAW45" s="19"/>
      <c r="FAX45" s="19"/>
      <c r="FAY45" s="19"/>
      <c r="FAZ45" s="19"/>
      <c r="FBA45" s="19"/>
      <c r="FBB45" s="19"/>
      <c r="FBC45" s="19"/>
      <c r="FBD45" s="19"/>
      <c r="FBE45" s="19"/>
      <c r="FBF45" s="19"/>
      <c r="FBG45" s="19"/>
      <c r="FBH45" s="19"/>
      <c r="FBI45" s="19"/>
      <c r="FBJ45" s="19"/>
      <c r="FBK45" s="19"/>
      <c r="FBL45" s="19"/>
      <c r="FBM45" s="19"/>
      <c r="FBN45" s="19"/>
      <c r="FBO45" s="19"/>
      <c r="FBP45" s="19"/>
      <c r="FBQ45" s="19"/>
      <c r="FBR45" s="19"/>
      <c r="FBS45" s="19"/>
      <c r="FBT45" s="19"/>
      <c r="FBU45" s="19"/>
      <c r="FBV45" s="19"/>
      <c r="FBW45" s="19"/>
      <c r="FBX45" s="19"/>
      <c r="FBY45" s="19"/>
      <c r="FBZ45" s="19"/>
      <c r="FCA45" s="19"/>
      <c r="FCB45" s="19"/>
      <c r="FCC45" s="19"/>
      <c r="FCD45" s="19"/>
      <c r="FCE45" s="19"/>
      <c r="FCF45" s="19"/>
      <c r="FCG45" s="19"/>
      <c r="FCH45" s="19"/>
      <c r="FCI45" s="19"/>
      <c r="FCJ45" s="19"/>
      <c r="FCK45" s="19"/>
      <c r="FCL45" s="19"/>
      <c r="FCM45" s="19"/>
      <c r="FCN45" s="19"/>
      <c r="FCO45" s="19"/>
      <c r="FCP45" s="19"/>
      <c r="FCQ45" s="19"/>
      <c r="FCR45" s="19"/>
      <c r="FCS45" s="19"/>
      <c r="FCT45" s="19"/>
      <c r="FCU45" s="19"/>
      <c r="FCV45" s="19"/>
      <c r="FCW45" s="19"/>
      <c r="FCX45" s="19"/>
      <c r="FCY45" s="19"/>
      <c r="FCZ45" s="19"/>
      <c r="FDA45" s="19"/>
      <c r="FDB45" s="19"/>
      <c r="FDC45" s="19"/>
      <c r="FDD45" s="19"/>
      <c r="FDE45" s="19"/>
      <c r="FDF45" s="19"/>
      <c r="FDG45" s="19"/>
      <c r="FDH45" s="19"/>
      <c r="FDI45" s="19"/>
      <c r="FDJ45" s="19"/>
      <c r="FDK45" s="19"/>
      <c r="FDL45" s="19"/>
      <c r="FDM45" s="19"/>
      <c r="FDN45" s="19"/>
      <c r="FDO45" s="19"/>
      <c r="FDP45" s="19"/>
      <c r="FDQ45" s="19"/>
      <c r="FDR45" s="19"/>
      <c r="FDS45" s="19"/>
      <c r="FDT45" s="19"/>
      <c r="FDU45" s="19"/>
      <c r="FDV45" s="19"/>
      <c r="FDW45" s="19"/>
      <c r="FDX45" s="19"/>
      <c r="FDY45" s="19"/>
      <c r="FDZ45" s="19"/>
      <c r="FEA45" s="19"/>
      <c r="FEB45" s="19"/>
      <c r="FEC45" s="19"/>
      <c r="FED45" s="19"/>
      <c r="FEE45" s="19"/>
      <c r="FEF45" s="19"/>
      <c r="FEG45" s="19"/>
      <c r="FEH45" s="19"/>
      <c r="FEI45" s="19"/>
      <c r="FEJ45" s="19"/>
      <c r="FEK45" s="19"/>
      <c r="FEL45" s="19"/>
      <c r="FEM45" s="19"/>
      <c r="FEN45" s="19"/>
      <c r="FEO45" s="19"/>
      <c r="FEP45" s="19"/>
      <c r="FEQ45" s="19"/>
      <c r="FER45" s="19"/>
      <c r="FES45" s="19"/>
      <c r="FET45" s="19"/>
      <c r="FEU45" s="19"/>
      <c r="FEV45" s="19"/>
      <c r="FEW45" s="19"/>
      <c r="FEX45" s="19"/>
      <c r="FEY45" s="19"/>
      <c r="FEZ45" s="19"/>
      <c r="FFA45" s="19"/>
      <c r="FFB45" s="19"/>
      <c r="FFC45" s="19"/>
      <c r="FFD45" s="19"/>
      <c r="FFE45" s="19"/>
      <c r="FFF45" s="19"/>
      <c r="FFG45" s="19"/>
      <c r="FFH45" s="19"/>
      <c r="FFI45" s="19"/>
      <c r="FFJ45" s="19"/>
      <c r="FFK45" s="19"/>
      <c r="FFL45" s="19"/>
      <c r="FFM45" s="19"/>
      <c r="FFN45" s="19"/>
      <c r="FFO45" s="19"/>
      <c r="FFP45" s="19"/>
      <c r="FFQ45" s="19"/>
      <c r="FFR45" s="19"/>
      <c r="FFS45" s="19"/>
      <c r="FFT45" s="19"/>
      <c r="FFU45" s="19"/>
      <c r="FFV45" s="19"/>
      <c r="FFW45" s="19"/>
      <c r="FFX45" s="19"/>
      <c r="FFY45" s="19"/>
      <c r="FFZ45" s="19"/>
      <c r="FGA45" s="19"/>
      <c r="FGB45" s="19"/>
      <c r="FGC45" s="19"/>
      <c r="FGD45" s="19"/>
      <c r="FGE45" s="19"/>
      <c r="FGF45" s="19"/>
      <c r="FGG45" s="19"/>
      <c r="FGH45" s="19"/>
      <c r="FGI45" s="19"/>
      <c r="FGJ45" s="19"/>
      <c r="FGK45" s="19"/>
      <c r="FGL45" s="19"/>
      <c r="FGM45" s="19"/>
      <c r="FGN45" s="19"/>
      <c r="FGO45" s="19"/>
      <c r="FGP45" s="19"/>
      <c r="FGQ45" s="19"/>
      <c r="FGR45" s="19"/>
      <c r="FGS45" s="19"/>
      <c r="FGT45" s="19"/>
      <c r="FGU45" s="19"/>
      <c r="FGV45" s="19"/>
      <c r="FGW45" s="19"/>
      <c r="FGX45" s="19"/>
      <c r="FGY45" s="19"/>
      <c r="FGZ45" s="19"/>
      <c r="FHA45" s="19"/>
      <c r="FHB45" s="19"/>
      <c r="FHC45" s="19"/>
      <c r="FHD45" s="19"/>
      <c r="FHE45" s="19"/>
      <c r="FHF45" s="19"/>
      <c r="FHG45" s="19"/>
      <c r="FHH45" s="19"/>
      <c r="FHI45" s="19"/>
      <c r="FHJ45" s="19"/>
      <c r="FHK45" s="19"/>
      <c r="FHL45" s="19"/>
      <c r="FHM45" s="19"/>
      <c r="FHN45" s="19"/>
      <c r="FHO45" s="19"/>
      <c r="FHP45" s="19"/>
      <c r="FHQ45" s="19"/>
      <c r="FHR45" s="19"/>
      <c r="FHS45" s="19"/>
      <c r="FHT45" s="19"/>
      <c r="FHU45" s="19"/>
      <c r="FHV45" s="19"/>
      <c r="FHW45" s="19"/>
      <c r="FHX45" s="19"/>
      <c r="FHY45" s="19"/>
      <c r="FHZ45" s="19"/>
      <c r="FIA45" s="19"/>
      <c r="FIB45" s="19"/>
      <c r="FIC45" s="19"/>
      <c r="FID45" s="19"/>
      <c r="FIE45" s="19"/>
      <c r="FIF45" s="19"/>
      <c r="FIG45" s="19"/>
      <c r="FIH45" s="19"/>
      <c r="FII45" s="19"/>
      <c r="FIJ45" s="19"/>
      <c r="FIK45" s="19"/>
      <c r="FIL45" s="19"/>
      <c r="FIM45" s="19"/>
      <c r="FIN45" s="19"/>
      <c r="FIO45" s="19"/>
      <c r="FIP45" s="19"/>
      <c r="FIQ45" s="19"/>
      <c r="FIR45" s="19"/>
      <c r="FIS45" s="19"/>
      <c r="FIT45" s="19"/>
      <c r="FIU45" s="19"/>
      <c r="FIV45" s="19"/>
      <c r="FIW45" s="19"/>
      <c r="FIX45" s="19"/>
      <c r="FIY45" s="19"/>
      <c r="FIZ45" s="19"/>
      <c r="FJA45" s="19"/>
      <c r="FJB45" s="19"/>
      <c r="FJC45" s="19"/>
      <c r="FJD45" s="19"/>
      <c r="FJE45" s="19"/>
      <c r="FJF45" s="19"/>
      <c r="FJG45" s="19"/>
      <c r="FJH45" s="19"/>
      <c r="FJI45" s="19"/>
      <c r="FJJ45" s="19"/>
      <c r="FJK45" s="19"/>
      <c r="FJL45" s="19"/>
      <c r="FJM45" s="19"/>
      <c r="FJN45" s="19"/>
      <c r="FJO45" s="19"/>
      <c r="FJP45" s="19"/>
      <c r="FJQ45" s="19"/>
      <c r="FJR45" s="19"/>
      <c r="FJS45" s="19"/>
      <c r="FJT45" s="19"/>
      <c r="FJU45" s="19"/>
      <c r="FJV45" s="19"/>
      <c r="FJW45" s="19"/>
      <c r="FJX45" s="19"/>
      <c r="FJY45" s="19"/>
      <c r="FJZ45" s="19"/>
      <c r="FKA45" s="19"/>
      <c r="FKB45" s="19"/>
      <c r="FKC45" s="19"/>
      <c r="FKD45" s="19"/>
      <c r="FKE45" s="19"/>
      <c r="FKF45" s="19"/>
      <c r="FKG45" s="19"/>
      <c r="FKH45" s="19"/>
      <c r="FKI45" s="19"/>
      <c r="FKJ45" s="19"/>
      <c r="FKK45" s="19"/>
      <c r="FKL45" s="19"/>
      <c r="FKM45" s="19"/>
      <c r="FKN45" s="19"/>
      <c r="FKO45" s="19"/>
      <c r="FKP45" s="19"/>
      <c r="FKQ45" s="19"/>
      <c r="FKR45" s="19"/>
      <c r="FKS45" s="19"/>
      <c r="FKT45" s="19"/>
      <c r="FKU45" s="19"/>
      <c r="FKV45" s="19"/>
      <c r="FKW45" s="19"/>
      <c r="FKX45" s="19"/>
      <c r="FKY45" s="19"/>
      <c r="FKZ45" s="19"/>
      <c r="FLA45" s="19"/>
      <c r="FLB45" s="19"/>
      <c r="FLC45" s="19"/>
      <c r="FLD45" s="19"/>
      <c r="FLE45" s="19"/>
      <c r="FLF45" s="19"/>
      <c r="FLG45" s="19"/>
      <c r="FLH45" s="19"/>
      <c r="FLI45" s="19"/>
      <c r="FLJ45" s="19"/>
      <c r="FLK45" s="19"/>
      <c r="FLL45" s="19"/>
      <c r="FLM45" s="19"/>
      <c r="FLN45" s="19"/>
      <c r="FLO45" s="19"/>
      <c r="FLP45" s="19"/>
      <c r="FLQ45" s="19"/>
      <c r="FLR45" s="19"/>
      <c r="FLS45" s="19"/>
      <c r="FLT45" s="19"/>
      <c r="FLU45" s="19"/>
      <c r="FLV45" s="19"/>
      <c r="FLW45" s="19"/>
      <c r="FLX45" s="19"/>
      <c r="FLY45" s="19"/>
      <c r="FLZ45" s="19"/>
      <c r="FMA45" s="19"/>
      <c r="FMB45" s="19"/>
      <c r="FMC45" s="19"/>
      <c r="FMD45" s="19"/>
      <c r="FME45" s="19"/>
      <c r="FMF45" s="19"/>
      <c r="FMG45" s="19"/>
      <c r="FMH45" s="19"/>
      <c r="FMI45" s="19"/>
      <c r="FMJ45" s="19"/>
      <c r="FMK45" s="19"/>
      <c r="FML45" s="19"/>
      <c r="FMM45" s="19"/>
      <c r="FMN45" s="19"/>
      <c r="FMO45" s="19"/>
      <c r="FMP45" s="19"/>
      <c r="FMQ45" s="19"/>
      <c r="FMR45" s="19"/>
      <c r="FMS45" s="19"/>
      <c r="FMT45" s="19"/>
      <c r="FMU45" s="19"/>
      <c r="FMV45" s="19"/>
      <c r="FMW45" s="19"/>
      <c r="FMX45" s="19"/>
      <c r="FMY45" s="19"/>
      <c r="FMZ45" s="19"/>
      <c r="FNA45" s="19"/>
      <c r="FNB45" s="19"/>
      <c r="FNC45" s="19"/>
      <c r="FND45" s="19"/>
      <c r="FNE45" s="19"/>
      <c r="FNF45" s="19"/>
      <c r="FNG45" s="19"/>
      <c r="FNH45" s="19"/>
      <c r="FNI45" s="19"/>
      <c r="FNJ45" s="19"/>
      <c r="FNK45" s="19"/>
      <c r="FNL45" s="19"/>
      <c r="FNM45" s="19"/>
      <c r="FNN45" s="19"/>
      <c r="FNO45" s="19"/>
      <c r="FNP45" s="19"/>
      <c r="FNQ45" s="19"/>
      <c r="FNR45" s="19"/>
      <c r="FNS45" s="19"/>
      <c r="FNT45" s="19"/>
      <c r="FNU45" s="19"/>
      <c r="FNV45" s="19"/>
      <c r="FNW45" s="19"/>
      <c r="FNX45" s="19"/>
      <c r="FNY45" s="19"/>
      <c r="FNZ45" s="19"/>
      <c r="FOA45" s="19"/>
      <c r="FOB45" s="19"/>
      <c r="FOC45" s="19"/>
      <c r="FOD45" s="19"/>
      <c r="FOE45" s="19"/>
      <c r="FOF45" s="19"/>
      <c r="FOG45" s="19"/>
      <c r="FOH45" s="19"/>
      <c r="FOI45" s="19"/>
      <c r="FOJ45" s="19"/>
      <c r="FOK45" s="19"/>
      <c r="FOL45" s="19"/>
      <c r="FOM45" s="19"/>
      <c r="FON45" s="19"/>
      <c r="FOO45" s="19"/>
      <c r="FOP45" s="19"/>
      <c r="FOQ45" s="19"/>
      <c r="FOR45" s="19"/>
      <c r="FOS45" s="19"/>
      <c r="FOT45" s="19"/>
      <c r="FOU45" s="19"/>
      <c r="FOV45" s="19"/>
      <c r="FOW45" s="19"/>
      <c r="FOX45" s="19"/>
      <c r="FOY45" s="19"/>
      <c r="FOZ45" s="19"/>
      <c r="FPA45" s="19"/>
      <c r="FPB45" s="19"/>
      <c r="FPC45" s="19"/>
      <c r="FPD45" s="19"/>
      <c r="FPE45" s="19"/>
      <c r="FPF45" s="19"/>
      <c r="FPG45" s="19"/>
      <c r="FPH45" s="19"/>
      <c r="FPI45" s="19"/>
      <c r="FPJ45" s="19"/>
      <c r="FPK45" s="19"/>
      <c r="FPL45" s="19"/>
      <c r="FPM45" s="19"/>
      <c r="FPN45" s="19"/>
      <c r="FPO45" s="19"/>
      <c r="FPP45" s="19"/>
      <c r="FPQ45" s="19"/>
      <c r="FPR45" s="19"/>
      <c r="FPS45" s="19"/>
      <c r="FPT45" s="19"/>
      <c r="FPU45" s="19"/>
      <c r="FPV45" s="19"/>
      <c r="FPW45" s="19"/>
      <c r="FPX45" s="19"/>
      <c r="FPY45" s="19"/>
      <c r="FPZ45" s="19"/>
      <c r="FQA45" s="19"/>
      <c r="FQB45" s="19"/>
      <c r="FQC45" s="19"/>
      <c r="FQD45" s="19"/>
      <c r="FQE45" s="19"/>
      <c r="FQF45" s="19"/>
      <c r="FQG45" s="19"/>
      <c r="FQH45" s="19"/>
      <c r="FQI45" s="19"/>
      <c r="FQJ45" s="19"/>
      <c r="FQK45" s="19"/>
      <c r="FQL45" s="19"/>
      <c r="FQM45" s="19"/>
      <c r="FQN45" s="19"/>
      <c r="FQO45" s="19"/>
      <c r="FQP45" s="19"/>
      <c r="FQQ45" s="19"/>
      <c r="FQR45" s="19"/>
      <c r="FQS45" s="19"/>
      <c r="FQT45" s="19"/>
      <c r="FQU45" s="19"/>
      <c r="FQV45" s="19"/>
      <c r="FQW45" s="19"/>
      <c r="FQX45" s="19"/>
      <c r="FQY45" s="19"/>
      <c r="FQZ45" s="19"/>
      <c r="FRA45" s="19"/>
      <c r="FRB45" s="19"/>
      <c r="FRC45" s="19"/>
      <c r="FRD45" s="19"/>
      <c r="FRE45" s="19"/>
      <c r="FRF45" s="19"/>
      <c r="FRG45" s="19"/>
      <c r="FRH45" s="19"/>
      <c r="FRI45" s="19"/>
      <c r="FRJ45" s="19"/>
      <c r="FRK45" s="19"/>
      <c r="FRL45" s="19"/>
      <c r="FRM45" s="19"/>
      <c r="FRN45" s="19"/>
      <c r="FRO45" s="19"/>
      <c r="FRP45" s="19"/>
      <c r="FRQ45" s="19"/>
      <c r="FRR45" s="19"/>
      <c r="FRS45" s="19"/>
      <c r="FRT45" s="19"/>
      <c r="FRU45" s="19"/>
      <c r="FRV45" s="19"/>
      <c r="FRW45" s="19"/>
      <c r="FRX45" s="19"/>
      <c r="FRY45" s="19"/>
      <c r="FRZ45" s="19"/>
      <c r="FSA45" s="19"/>
      <c r="FSB45" s="19"/>
      <c r="FSC45" s="19"/>
      <c r="FSD45" s="19"/>
      <c r="FSE45" s="19"/>
      <c r="FSF45" s="19"/>
      <c r="FSG45" s="19"/>
      <c r="FSH45" s="19"/>
      <c r="FSI45" s="19"/>
      <c r="FSJ45" s="19"/>
      <c r="FSK45" s="19"/>
      <c r="FSL45" s="19"/>
      <c r="FSM45" s="19"/>
      <c r="FSN45" s="19"/>
      <c r="FSO45" s="19"/>
      <c r="FSP45" s="19"/>
      <c r="FSQ45" s="19"/>
      <c r="FSR45" s="19"/>
      <c r="FSS45" s="19"/>
      <c r="FST45" s="19"/>
      <c r="FSU45" s="19"/>
      <c r="FSV45" s="19"/>
      <c r="FSW45" s="19"/>
      <c r="FSX45" s="19"/>
      <c r="FSY45" s="19"/>
      <c r="FSZ45" s="19"/>
      <c r="FTA45" s="19"/>
      <c r="FTB45" s="19"/>
      <c r="FTC45" s="19"/>
      <c r="FTD45" s="19"/>
      <c r="FTE45" s="19"/>
      <c r="FTF45" s="19"/>
      <c r="FTG45" s="19"/>
      <c r="FTH45" s="19"/>
      <c r="FTI45" s="19"/>
      <c r="FTJ45" s="19"/>
      <c r="FTK45" s="19"/>
      <c r="FTL45" s="19"/>
      <c r="FTM45" s="19"/>
      <c r="FTN45" s="19"/>
      <c r="FTO45" s="19"/>
      <c r="FTP45" s="19"/>
      <c r="FTQ45" s="19"/>
      <c r="FTR45" s="19"/>
      <c r="FTS45" s="19"/>
      <c r="FTT45" s="19"/>
      <c r="FTU45" s="19"/>
      <c r="FTV45" s="19"/>
      <c r="FTW45" s="19"/>
      <c r="FTX45" s="19"/>
      <c r="FTY45" s="19"/>
      <c r="FTZ45" s="19"/>
      <c r="FUA45" s="19"/>
      <c r="FUB45" s="19"/>
      <c r="FUC45" s="19"/>
      <c r="FUD45" s="19"/>
      <c r="FUE45" s="19"/>
      <c r="FUF45" s="19"/>
      <c r="FUG45" s="19"/>
      <c r="FUH45" s="19"/>
      <c r="FUI45" s="19"/>
      <c r="FUJ45" s="19"/>
      <c r="FUK45" s="19"/>
      <c r="FUL45" s="19"/>
      <c r="FUM45" s="19"/>
      <c r="FUN45" s="19"/>
      <c r="FUO45" s="19"/>
      <c r="FUP45" s="19"/>
      <c r="FUQ45" s="19"/>
      <c r="FUR45" s="19"/>
      <c r="FUS45" s="19"/>
      <c r="FUT45" s="19"/>
      <c r="FUU45" s="19"/>
      <c r="FUV45" s="19"/>
      <c r="FUW45" s="19"/>
      <c r="FUX45" s="19"/>
      <c r="FUY45" s="19"/>
      <c r="FUZ45" s="19"/>
      <c r="FVA45" s="19"/>
      <c r="FVB45" s="19"/>
      <c r="FVC45" s="19"/>
      <c r="FVD45" s="19"/>
      <c r="FVE45" s="19"/>
      <c r="FVF45" s="19"/>
      <c r="FVG45" s="19"/>
      <c r="FVH45" s="19"/>
      <c r="FVI45" s="19"/>
      <c r="FVJ45" s="19"/>
      <c r="FVK45" s="19"/>
      <c r="FVL45" s="19"/>
      <c r="FVM45" s="19"/>
      <c r="FVN45" s="19"/>
      <c r="FVO45" s="19"/>
      <c r="FVP45" s="19"/>
      <c r="FVQ45" s="19"/>
      <c r="FVR45" s="19"/>
      <c r="FVS45" s="19"/>
      <c r="FVT45" s="19"/>
      <c r="FVU45" s="19"/>
      <c r="FVV45" s="19"/>
      <c r="FVW45" s="19"/>
      <c r="FVX45" s="19"/>
      <c r="FVY45" s="19"/>
      <c r="FVZ45" s="19"/>
      <c r="FWA45" s="19"/>
      <c r="FWB45" s="19"/>
      <c r="FWC45" s="19"/>
      <c r="FWD45" s="19"/>
      <c r="FWE45" s="19"/>
      <c r="FWF45" s="19"/>
      <c r="FWG45" s="19"/>
      <c r="FWH45" s="19"/>
      <c r="FWI45" s="19"/>
      <c r="FWJ45" s="19"/>
      <c r="FWK45" s="19"/>
      <c r="FWL45" s="19"/>
      <c r="FWM45" s="19"/>
      <c r="FWN45" s="19"/>
      <c r="FWO45" s="19"/>
      <c r="FWP45" s="19"/>
      <c r="FWQ45" s="19"/>
      <c r="FWR45" s="19"/>
      <c r="FWS45" s="19"/>
      <c r="FWT45" s="19"/>
      <c r="FWU45" s="19"/>
      <c r="FWV45" s="19"/>
      <c r="FWW45" s="19"/>
      <c r="FWX45" s="19"/>
      <c r="FWY45" s="19"/>
      <c r="FWZ45" s="19"/>
      <c r="FXA45" s="19"/>
      <c r="FXB45" s="19"/>
      <c r="FXC45" s="19"/>
      <c r="FXD45" s="19"/>
      <c r="FXE45" s="19"/>
      <c r="FXF45" s="19"/>
      <c r="FXG45" s="19"/>
      <c r="FXH45" s="19"/>
      <c r="FXI45" s="19"/>
      <c r="FXJ45" s="19"/>
      <c r="FXK45" s="19"/>
      <c r="FXL45" s="19"/>
      <c r="FXM45" s="19"/>
      <c r="FXN45" s="19"/>
      <c r="FXO45" s="19"/>
      <c r="FXP45" s="19"/>
      <c r="FXQ45" s="19"/>
      <c r="FXR45" s="19"/>
      <c r="FXS45" s="19"/>
      <c r="FXT45" s="19"/>
      <c r="FXU45" s="19"/>
      <c r="FXV45" s="19"/>
      <c r="FXW45" s="19"/>
      <c r="FXX45" s="19"/>
      <c r="FXY45" s="19"/>
      <c r="FXZ45" s="19"/>
      <c r="FYA45" s="19"/>
      <c r="FYB45" s="19"/>
      <c r="FYC45" s="19"/>
      <c r="FYD45" s="19"/>
      <c r="FYE45" s="19"/>
      <c r="FYF45" s="19"/>
      <c r="FYG45" s="19"/>
      <c r="FYH45" s="19"/>
      <c r="FYI45" s="19"/>
      <c r="FYJ45" s="19"/>
      <c r="FYK45" s="19"/>
      <c r="FYL45" s="19"/>
      <c r="FYM45" s="19"/>
      <c r="FYN45" s="19"/>
      <c r="FYO45" s="19"/>
      <c r="FYP45" s="19"/>
      <c r="FYQ45" s="19"/>
      <c r="FYR45" s="19"/>
      <c r="FYS45" s="19"/>
      <c r="FYT45" s="19"/>
      <c r="FYU45" s="19"/>
      <c r="FYV45" s="19"/>
      <c r="FYW45" s="19"/>
      <c r="FYX45" s="19"/>
      <c r="FYY45" s="19"/>
      <c r="FYZ45" s="19"/>
      <c r="FZA45" s="19"/>
      <c r="FZB45" s="19"/>
      <c r="FZC45" s="19"/>
      <c r="FZD45" s="19"/>
      <c r="FZE45" s="19"/>
      <c r="FZF45" s="19"/>
      <c r="FZG45" s="19"/>
      <c r="FZH45" s="19"/>
      <c r="FZI45" s="19"/>
      <c r="FZJ45" s="19"/>
      <c r="FZK45" s="19"/>
      <c r="FZL45" s="19"/>
      <c r="FZM45" s="19"/>
      <c r="FZN45" s="19"/>
      <c r="FZO45" s="19"/>
      <c r="FZP45" s="19"/>
      <c r="FZQ45" s="19"/>
      <c r="FZR45" s="19"/>
      <c r="FZS45" s="19"/>
      <c r="FZT45" s="19"/>
      <c r="FZU45" s="19"/>
      <c r="FZV45" s="19"/>
      <c r="FZW45" s="19"/>
      <c r="FZX45" s="19"/>
      <c r="FZY45" s="19"/>
      <c r="FZZ45" s="19"/>
      <c r="GAA45" s="19"/>
      <c r="GAB45" s="19"/>
      <c r="GAC45" s="19"/>
      <c r="GAD45" s="19"/>
      <c r="GAE45" s="19"/>
      <c r="GAF45" s="19"/>
      <c r="GAG45" s="19"/>
      <c r="GAH45" s="19"/>
      <c r="GAI45" s="19"/>
      <c r="GAJ45" s="19"/>
      <c r="GAK45" s="19"/>
      <c r="GAL45" s="19"/>
      <c r="GAM45" s="19"/>
      <c r="GAN45" s="19"/>
      <c r="GAO45" s="19"/>
      <c r="GAP45" s="19"/>
      <c r="GAQ45" s="19"/>
      <c r="GAR45" s="19"/>
      <c r="GAS45" s="19"/>
      <c r="GAT45" s="19"/>
      <c r="GAU45" s="19"/>
      <c r="GAV45" s="19"/>
      <c r="GAW45" s="19"/>
      <c r="GAX45" s="19"/>
      <c r="GAY45" s="19"/>
      <c r="GAZ45" s="19"/>
      <c r="GBA45" s="19"/>
      <c r="GBB45" s="19"/>
      <c r="GBC45" s="19"/>
      <c r="GBD45" s="19"/>
      <c r="GBE45" s="19"/>
      <c r="GBF45" s="19"/>
      <c r="GBG45" s="19"/>
      <c r="GBH45" s="19"/>
      <c r="GBI45" s="19"/>
      <c r="GBJ45" s="19"/>
      <c r="GBK45" s="19"/>
      <c r="GBL45" s="19"/>
      <c r="GBM45" s="19"/>
      <c r="GBN45" s="19"/>
      <c r="GBO45" s="19"/>
      <c r="GBP45" s="19"/>
      <c r="GBQ45" s="19"/>
      <c r="GBR45" s="19"/>
      <c r="GBS45" s="19"/>
      <c r="GBT45" s="19"/>
      <c r="GBU45" s="19"/>
      <c r="GBV45" s="19"/>
      <c r="GBW45" s="19"/>
      <c r="GBX45" s="19"/>
      <c r="GBY45" s="19"/>
      <c r="GBZ45" s="19"/>
      <c r="GCA45" s="19"/>
      <c r="GCB45" s="19"/>
      <c r="GCC45" s="19"/>
      <c r="GCD45" s="19"/>
      <c r="GCE45" s="19"/>
      <c r="GCF45" s="19"/>
      <c r="GCG45" s="19"/>
      <c r="GCH45" s="19"/>
      <c r="GCI45" s="19"/>
      <c r="GCJ45" s="19"/>
      <c r="GCK45" s="19"/>
      <c r="GCL45" s="19"/>
      <c r="GCM45" s="19"/>
      <c r="GCN45" s="19"/>
      <c r="GCO45" s="19"/>
      <c r="GCP45" s="19"/>
      <c r="GCQ45" s="19"/>
      <c r="GCR45" s="19"/>
      <c r="GCS45" s="19"/>
      <c r="GCT45" s="19"/>
      <c r="GCU45" s="19"/>
      <c r="GCV45" s="19"/>
      <c r="GCW45" s="19"/>
      <c r="GCX45" s="19"/>
      <c r="GCY45" s="19"/>
      <c r="GCZ45" s="19"/>
      <c r="GDA45" s="19"/>
      <c r="GDB45" s="19"/>
      <c r="GDC45" s="19"/>
      <c r="GDD45" s="19"/>
      <c r="GDE45" s="19"/>
      <c r="GDF45" s="19"/>
      <c r="GDG45" s="19"/>
      <c r="GDH45" s="19"/>
      <c r="GDI45" s="19"/>
      <c r="GDJ45" s="19"/>
      <c r="GDK45" s="19"/>
      <c r="GDL45" s="19"/>
      <c r="GDM45" s="19"/>
      <c r="GDN45" s="19"/>
      <c r="GDO45" s="19"/>
      <c r="GDP45" s="19"/>
      <c r="GDQ45" s="19"/>
      <c r="GDR45" s="19"/>
      <c r="GDS45" s="19"/>
      <c r="GDT45" s="19"/>
      <c r="GDU45" s="19"/>
      <c r="GDV45" s="19"/>
      <c r="GDW45" s="19"/>
      <c r="GDX45" s="19"/>
      <c r="GDY45" s="19"/>
      <c r="GDZ45" s="19"/>
      <c r="GEA45" s="19"/>
      <c r="GEB45" s="19"/>
      <c r="GEC45" s="19"/>
      <c r="GED45" s="19"/>
      <c r="GEE45" s="19"/>
      <c r="GEF45" s="19"/>
      <c r="GEG45" s="19"/>
      <c r="GEH45" s="19"/>
      <c r="GEI45" s="19"/>
      <c r="GEJ45" s="19"/>
      <c r="GEK45" s="19"/>
      <c r="GEL45" s="19"/>
      <c r="GEM45" s="19"/>
      <c r="GEN45" s="19"/>
      <c r="GEO45" s="19"/>
      <c r="GEP45" s="19"/>
      <c r="GEQ45" s="19"/>
      <c r="GER45" s="19"/>
      <c r="GES45" s="19"/>
      <c r="GET45" s="19"/>
      <c r="GEU45" s="19"/>
      <c r="GEV45" s="19"/>
      <c r="GEW45" s="19"/>
      <c r="GEX45" s="19"/>
      <c r="GEY45" s="19"/>
      <c r="GEZ45" s="19"/>
      <c r="GFA45" s="19"/>
      <c r="GFB45" s="19"/>
      <c r="GFC45" s="19"/>
      <c r="GFD45" s="19"/>
      <c r="GFE45" s="19"/>
      <c r="GFF45" s="19"/>
      <c r="GFG45" s="19"/>
      <c r="GFH45" s="19"/>
      <c r="GFI45" s="19"/>
      <c r="GFJ45" s="19"/>
      <c r="GFK45" s="19"/>
      <c r="GFL45" s="19"/>
      <c r="GFM45" s="19"/>
      <c r="GFN45" s="19"/>
      <c r="GFO45" s="19"/>
      <c r="GFP45" s="19"/>
      <c r="GFQ45" s="19"/>
      <c r="GFR45" s="19"/>
      <c r="GFS45" s="19"/>
      <c r="GFT45" s="19"/>
      <c r="GFU45" s="19"/>
      <c r="GFV45" s="19"/>
      <c r="GFW45" s="19"/>
      <c r="GFX45" s="19"/>
      <c r="GFY45" s="19"/>
      <c r="GFZ45" s="19"/>
      <c r="GGA45" s="19"/>
      <c r="GGB45" s="19"/>
      <c r="GGC45" s="19"/>
      <c r="GGD45" s="19"/>
      <c r="GGE45" s="19"/>
      <c r="GGF45" s="19"/>
      <c r="GGG45" s="19"/>
      <c r="GGH45" s="19"/>
      <c r="GGI45" s="19"/>
      <c r="GGJ45" s="19"/>
      <c r="GGK45" s="19"/>
      <c r="GGL45" s="19"/>
      <c r="GGM45" s="19"/>
      <c r="GGN45" s="19"/>
      <c r="GGO45" s="19"/>
      <c r="GGP45" s="19"/>
      <c r="GGQ45" s="19"/>
      <c r="GGR45" s="19"/>
      <c r="GGS45" s="19"/>
      <c r="GGT45" s="19"/>
      <c r="GGU45" s="19"/>
      <c r="GGV45" s="19"/>
      <c r="GGW45" s="19"/>
      <c r="GGX45" s="19"/>
      <c r="GGY45" s="19"/>
      <c r="GGZ45" s="19"/>
      <c r="GHA45" s="19"/>
      <c r="GHB45" s="19"/>
      <c r="GHC45" s="19"/>
      <c r="GHD45" s="19"/>
      <c r="GHE45" s="19"/>
      <c r="GHF45" s="19"/>
      <c r="GHG45" s="19"/>
      <c r="GHH45" s="19"/>
      <c r="GHI45" s="19"/>
      <c r="GHJ45" s="19"/>
      <c r="GHK45" s="19"/>
      <c r="GHL45" s="19"/>
      <c r="GHM45" s="19"/>
      <c r="GHN45" s="19"/>
      <c r="GHO45" s="19"/>
      <c r="GHP45" s="19"/>
      <c r="GHQ45" s="19"/>
      <c r="GHR45" s="19"/>
      <c r="GHS45" s="19"/>
      <c r="GHT45" s="19"/>
      <c r="GHU45" s="19"/>
      <c r="GHV45" s="19"/>
      <c r="GHW45" s="19"/>
      <c r="GHX45" s="19"/>
      <c r="GHY45" s="19"/>
      <c r="GHZ45" s="19"/>
      <c r="GIA45" s="19"/>
      <c r="GIB45" s="19"/>
      <c r="GIC45" s="19"/>
      <c r="GID45" s="19"/>
      <c r="GIE45" s="19"/>
      <c r="GIF45" s="19"/>
      <c r="GIG45" s="19"/>
      <c r="GIH45" s="19"/>
      <c r="GII45" s="19"/>
      <c r="GIJ45" s="19"/>
      <c r="GIK45" s="19"/>
      <c r="GIL45" s="19"/>
      <c r="GIM45" s="19"/>
      <c r="GIN45" s="19"/>
      <c r="GIO45" s="19"/>
      <c r="GIP45" s="19"/>
      <c r="GIQ45" s="19"/>
      <c r="GIR45" s="19"/>
      <c r="GIS45" s="19"/>
      <c r="GIT45" s="19"/>
      <c r="GIU45" s="19"/>
      <c r="GIV45" s="19"/>
      <c r="GIW45" s="19"/>
      <c r="GIX45" s="19"/>
      <c r="GIY45" s="19"/>
      <c r="GIZ45" s="19"/>
      <c r="GJA45" s="19"/>
      <c r="GJB45" s="19"/>
      <c r="GJC45" s="19"/>
      <c r="GJD45" s="19"/>
      <c r="GJE45" s="19"/>
      <c r="GJF45" s="19"/>
      <c r="GJG45" s="19"/>
      <c r="GJH45" s="19"/>
      <c r="GJI45" s="19"/>
      <c r="GJJ45" s="19"/>
      <c r="GJK45" s="19"/>
      <c r="GJL45" s="19"/>
      <c r="GJM45" s="19"/>
      <c r="GJN45" s="19"/>
      <c r="GJO45" s="19"/>
      <c r="GJP45" s="19"/>
      <c r="GJQ45" s="19"/>
      <c r="GJR45" s="19"/>
      <c r="GJS45" s="19"/>
      <c r="GJT45" s="19"/>
      <c r="GJU45" s="19"/>
      <c r="GJV45" s="19"/>
      <c r="GJW45" s="19"/>
      <c r="GJX45" s="19"/>
      <c r="GJY45" s="19"/>
      <c r="GJZ45" s="19"/>
      <c r="GKA45" s="19"/>
      <c r="GKB45" s="19"/>
      <c r="GKC45" s="19"/>
      <c r="GKD45" s="19"/>
      <c r="GKE45" s="19"/>
      <c r="GKF45" s="19"/>
      <c r="GKG45" s="19"/>
      <c r="GKH45" s="19"/>
      <c r="GKI45" s="19"/>
      <c r="GKJ45" s="19"/>
      <c r="GKK45" s="19"/>
      <c r="GKL45" s="19"/>
      <c r="GKM45" s="19"/>
      <c r="GKN45" s="19"/>
      <c r="GKO45" s="19"/>
      <c r="GKP45" s="19"/>
      <c r="GKQ45" s="19"/>
      <c r="GKR45" s="19"/>
      <c r="GKS45" s="19"/>
      <c r="GKT45" s="19"/>
      <c r="GKU45" s="19"/>
      <c r="GKV45" s="19"/>
      <c r="GKW45" s="19"/>
      <c r="GKX45" s="19"/>
      <c r="GKY45" s="19"/>
      <c r="GKZ45" s="19"/>
      <c r="GLA45" s="19"/>
      <c r="GLB45" s="19"/>
      <c r="GLC45" s="19"/>
      <c r="GLD45" s="19"/>
      <c r="GLE45" s="19"/>
      <c r="GLF45" s="19"/>
      <c r="GLG45" s="19"/>
      <c r="GLH45" s="19"/>
      <c r="GLI45" s="19"/>
      <c r="GLJ45" s="19"/>
      <c r="GLK45" s="19"/>
      <c r="GLL45" s="19"/>
      <c r="GLM45" s="19"/>
      <c r="GLN45" s="19"/>
      <c r="GLO45" s="19"/>
      <c r="GLP45" s="19"/>
      <c r="GLQ45" s="19"/>
      <c r="GLR45" s="19"/>
      <c r="GLS45" s="19"/>
      <c r="GLT45" s="19"/>
      <c r="GLU45" s="19"/>
      <c r="GLV45" s="19"/>
      <c r="GLW45" s="19"/>
      <c r="GLX45" s="19"/>
      <c r="GLY45" s="19"/>
      <c r="GLZ45" s="19"/>
      <c r="GMA45" s="19"/>
      <c r="GMB45" s="19"/>
      <c r="GMC45" s="19"/>
      <c r="GMD45" s="19"/>
      <c r="GME45" s="19"/>
      <c r="GMF45" s="19"/>
      <c r="GMG45" s="19"/>
      <c r="GMH45" s="19"/>
      <c r="GMI45" s="19"/>
      <c r="GMJ45" s="19"/>
      <c r="GMK45" s="19"/>
      <c r="GML45" s="19"/>
      <c r="GMM45" s="19"/>
      <c r="GMN45" s="19"/>
      <c r="GMO45" s="19"/>
      <c r="GMP45" s="19"/>
      <c r="GMQ45" s="19"/>
      <c r="GMR45" s="19"/>
      <c r="GMS45" s="19"/>
      <c r="GMT45" s="19"/>
      <c r="GMU45" s="19"/>
      <c r="GMV45" s="19"/>
      <c r="GMW45" s="19"/>
      <c r="GMX45" s="19"/>
      <c r="GMY45" s="19"/>
      <c r="GMZ45" s="19"/>
      <c r="GNA45" s="19"/>
      <c r="GNB45" s="19"/>
      <c r="GNC45" s="19"/>
      <c r="GND45" s="19"/>
      <c r="GNE45" s="19"/>
      <c r="GNF45" s="19"/>
      <c r="GNG45" s="19"/>
      <c r="GNH45" s="19"/>
      <c r="GNI45" s="19"/>
      <c r="GNJ45" s="19"/>
      <c r="GNK45" s="19"/>
      <c r="GNL45" s="19"/>
      <c r="GNM45" s="19"/>
      <c r="GNN45" s="19"/>
      <c r="GNO45" s="19"/>
      <c r="GNP45" s="19"/>
      <c r="GNQ45" s="19"/>
      <c r="GNR45" s="19"/>
      <c r="GNS45" s="19"/>
      <c r="GNT45" s="19"/>
      <c r="GNU45" s="19"/>
      <c r="GNV45" s="19"/>
      <c r="GNW45" s="19"/>
      <c r="GNX45" s="19"/>
      <c r="GNY45" s="19"/>
      <c r="GNZ45" s="19"/>
      <c r="GOA45" s="19"/>
      <c r="GOB45" s="19"/>
      <c r="GOC45" s="19"/>
      <c r="GOD45" s="19"/>
      <c r="GOE45" s="19"/>
      <c r="GOF45" s="19"/>
      <c r="GOG45" s="19"/>
      <c r="GOH45" s="19"/>
      <c r="GOI45" s="19"/>
      <c r="GOJ45" s="19"/>
      <c r="GOK45" s="19"/>
      <c r="GOL45" s="19"/>
      <c r="GOM45" s="19"/>
      <c r="GON45" s="19"/>
      <c r="GOO45" s="19"/>
      <c r="GOP45" s="19"/>
      <c r="GOQ45" s="19"/>
      <c r="GOR45" s="19"/>
      <c r="GOS45" s="19"/>
      <c r="GOT45" s="19"/>
      <c r="GOU45" s="19"/>
      <c r="GOV45" s="19"/>
      <c r="GOW45" s="19"/>
      <c r="GOX45" s="19"/>
      <c r="GOY45" s="19"/>
      <c r="GOZ45" s="19"/>
      <c r="GPA45" s="19"/>
      <c r="GPB45" s="19"/>
      <c r="GPC45" s="19"/>
      <c r="GPD45" s="19"/>
      <c r="GPE45" s="19"/>
      <c r="GPF45" s="19"/>
      <c r="GPG45" s="19"/>
      <c r="GPH45" s="19"/>
      <c r="GPI45" s="19"/>
      <c r="GPJ45" s="19"/>
      <c r="GPK45" s="19"/>
      <c r="GPL45" s="19"/>
      <c r="GPM45" s="19"/>
      <c r="GPN45" s="19"/>
      <c r="GPO45" s="19"/>
      <c r="GPP45" s="19"/>
      <c r="GPQ45" s="19"/>
      <c r="GPR45" s="19"/>
      <c r="GPS45" s="19"/>
      <c r="GPT45" s="19"/>
      <c r="GPU45" s="19"/>
      <c r="GPV45" s="19"/>
      <c r="GPW45" s="19"/>
      <c r="GPX45" s="19"/>
      <c r="GPY45" s="19"/>
      <c r="GPZ45" s="19"/>
      <c r="GQA45" s="19"/>
      <c r="GQB45" s="19"/>
      <c r="GQC45" s="19"/>
      <c r="GQD45" s="19"/>
      <c r="GQE45" s="19"/>
      <c r="GQF45" s="19"/>
      <c r="GQG45" s="19"/>
      <c r="GQH45" s="19"/>
      <c r="GQI45" s="19"/>
      <c r="GQJ45" s="19"/>
      <c r="GQK45" s="19"/>
      <c r="GQL45" s="19"/>
      <c r="GQM45" s="19"/>
      <c r="GQN45" s="19"/>
      <c r="GQO45" s="19"/>
      <c r="GQP45" s="19"/>
      <c r="GQQ45" s="19"/>
      <c r="GQR45" s="19"/>
      <c r="GQS45" s="19"/>
      <c r="GQT45" s="19"/>
      <c r="GQU45" s="19"/>
      <c r="GQV45" s="19"/>
      <c r="GQW45" s="19"/>
      <c r="GQX45" s="19"/>
      <c r="GQY45" s="19"/>
      <c r="GQZ45" s="19"/>
      <c r="GRA45" s="19"/>
      <c r="GRB45" s="19"/>
      <c r="GRC45" s="19"/>
      <c r="GRD45" s="19"/>
      <c r="GRE45" s="19"/>
      <c r="GRF45" s="19"/>
      <c r="GRG45" s="19"/>
      <c r="GRH45" s="19"/>
      <c r="GRI45" s="19"/>
      <c r="GRJ45" s="19"/>
      <c r="GRK45" s="19"/>
      <c r="GRL45" s="19"/>
      <c r="GRM45" s="19"/>
      <c r="GRN45" s="19"/>
      <c r="GRO45" s="19"/>
      <c r="GRP45" s="19"/>
      <c r="GRQ45" s="19"/>
      <c r="GRR45" s="19"/>
      <c r="GRS45" s="19"/>
      <c r="GRT45" s="19"/>
      <c r="GRU45" s="19"/>
      <c r="GRV45" s="19"/>
      <c r="GRW45" s="19"/>
      <c r="GRX45" s="19"/>
      <c r="GRY45" s="19"/>
      <c r="GRZ45" s="19"/>
      <c r="GSA45" s="19"/>
      <c r="GSB45" s="19"/>
      <c r="GSC45" s="19"/>
      <c r="GSD45" s="19"/>
      <c r="GSE45" s="19"/>
      <c r="GSF45" s="19"/>
      <c r="GSG45" s="19"/>
      <c r="GSH45" s="19"/>
      <c r="GSI45" s="19"/>
      <c r="GSJ45" s="19"/>
      <c r="GSK45" s="19"/>
      <c r="GSL45" s="19"/>
      <c r="GSM45" s="19"/>
      <c r="GSN45" s="19"/>
      <c r="GSO45" s="19"/>
      <c r="GSP45" s="19"/>
      <c r="GSQ45" s="19"/>
      <c r="GSR45" s="19"/>
      <c r="GSS45" s="19"/>
      <c r="GST45" s="19"/>
      <c r="GSU45" s="19"/>
      <c r="GSV45" s="19"/>
      <c r="GSW45" s="19"/>
      <c r="GSX45" s="19"/>
      <c r="GSY45" s="19"/>
      <c r="GSZ45" s="19"/>
      <c r="GTA45" s="19"/>
      <c r="GTB45" s="19"/>
      <c r="GTC45" s="19"/>
      <c r="GTD45" s="19"/>
      <c r="GTE45" s="19"/>
      <c r="GTF45" s="19"/>
      <c r="GTG45" s="19"/>
      <c r="GTH45" s="19"/>
      <c r="GTI45" s="19"/>
      <c r="GTJ45" s="19"/>
      <c r="GTK45" s="19"/>
      <c r="GTL45" s="19"/>
      <c r="GTM45" s="19"/>
      <c r="GTN45" s="19"/>
      <c r="GTO45" s="19"/>
      <c r="GTP45" s="19"/>
      <c r="GTQ45" s="19"/>
      <c r="GTR45" s="19"/>
      <c r="GTS45" s="19"/>
      <c r="GTT45" s="19"/>
      <c r="GTU45" s="19"/>
      <c r="GTV45" s="19"/>
      <c r="GTW45" s="19"/>
      <c r="GTX45" s="19"/>
      <c r="GTY45" s="19"/>
      <c r="GTZ45" s="19"/>
      <c r="GUA45" s="19"/>
      <c r="GUB45" s="19"/>
      <c r="GUC45" s="19"/>
      <c r="GUD45" s="19"/>
      <c r="GUE45" s="19"/>
      <c r="GUF45" s="19"/>
      <c r="GUG45" s="19"/>
      <c r="GUH45" s="19"/>
      <c r="GUI45" s="19"/>
      <c r="GUJ45" s="19"/>
      <c r="GUK45" s="19"/>
      <c r="GUL45" s="19"/>
      <c r="GUM45" s="19"/>
      <c r="GUN45" s="19"/>
      <c r="GUO45" s="19"/>
      <c r="GUP45" s="19"/>
      <c r="GUQ45" s="19"/>
      <c r="GUR45" s="19"/>
      <c r="GUS45" s="19"/>
      <c r="GUT45" s="19"/>
      <c r="GUU45" s="19"/>
      <c r="GUV45" s="19"/>
      <c r="GUW45" s="19"/>
      <c r="GUX45" s="19"/>
      <c r="GUY45" s="19"/>
      <c r="GUZ45" s="19"/>
      <c r="GVA45" s="19"/>
      <c r="GVB45" s="19"/>
      <c r="GVC45" s="19"/>
      <c r="GVD45" s="19"/>
      <c r="GVE45" s="19"/>
      <c r="GVF45" s="19"/>
      <c r="GVG45" s="19"/>
      <c r="GVH45" s="19"/>
      <c r="GVI45" s="19"/>
      <c r="GVJ45" s="19"/>
      <c r="GVK45" s="19"/>
      <c r="GVL45" s="19"/>
      <c r="GVM45" s="19"/>
      <c r="GVN45" s="19"/>
      <c r="GVO45" s="19"/>
      <c r="GVP45" s="19"/>
      <c r="GVQ45" s="19"/>
      <c r="GVR45" s="19"/>
      <c r="GVS45" s="19"/>
      <c r="GVT45" s="19"/>
      <c r="GVU45" s="19"/>
      <c r="GVV45" s="19"/>
      <c r="GVW45" s="19"/>
      <c r="GVX45" s="19"/>
      <c r="GVY45" s="19"/>
      <c r="GVZ45" s="19"/>
      <c r="GWA45" s="19"/>
      <c r="GWB45" s="19"/>
      <c r="GWC45" s="19"/>
      <c r="GWD45" s="19"/>
      <c r="GWE45" s="19"/>
      <c r="GWF45" s="19"/>
      <c r="GWG45" s="19"/>
      <c r="GWH45" s="19"/>
      <c r="GWI45" s="19"/>
      <c r="GWJ45" s="19"/>
      <c r="GWK45" s="19"/>
      <c r="GWL45" s="19"/>
      <c r="GWM45" s="19"/>
      <c r="GWN45" s="19"/>
      <c r="GWO45" s="19"/>
      <c r="GWP45" s="19"/>
      <c r="GWQ45" s="19"/>
      <c r="GWR45" s="19"/>
      <c r="GWS45" s="19"/>
      <c r="GWT45" s="19"/>
      <c r="GWU45" s="19"/>
      <c r="GWV45" s="19"/>
      <c r="GWW45" s="19"/>
      <c r="GWX45" s="19"/>
      <c r="GWY45" s="19"/>
      <c r="GWZ45" s="19"/>
      <c r="GXA45" s="19"/>
      <c r="GXB45" s="19"/>
      <c r="GXC45" s="19"/>
      <c r="GXD45" s="19"/>
      <c r="GXE45" s="19"/>
      <c r="GXF45" s="19"/>
      <c r="GXG45" s="19"/>
      <c r="GXH45" s="19"/>
      <c r="GXI45" s="19"/>
      <c r="GXJ45" s="19"/>
      <c r="GXK45" s="19"/>
      <c r="GXL45" s="19"/>
      <c r="GXM45" s="19"/>
      <c r="GXN45" s="19"/>
      <c r="GXO45" s="19"/>
      <c r="GXP45" s="19"/>
      <c r="GXQ45" s="19"/>
      <c r="GXR45" s="19"/>
      <c r="GXS45" s="19"/>
      <c r="GXT45" s="19"/>
      <c r="GXU45" s="19"/>
      <c r="GXV45" s="19"/>
      <c r="GXW45" s="19"/>
      <c r="GXX45" s="19"/>
      <c r="GXY45" s="19"/>
      <c r="GXZ45" s="19"/>
      <c r="GYA45" s="19"/>
      <c r="GYB45" s="19"/>
      <c r="GYC45" s="19"/>
      <c r="GYD45" s="19"/>
      <c r="GYE45" s="19"/>
      <c r="GYF45" s="19"/>
      <c r="GYG45" s="19"/>
      <c r="GYH45" s="19"/>
      <c r="GYI45" s="19"/>
      <c r="GYJ45" s="19"/>
      <c r="GYK45" s="19"/>
      <c r="GYL45" s="19"/>
      <c r="GYM45" s="19"/>
      <c r="GYN45" s="19"/>
      <c r="GYO45" s="19"/>
      <c r="GYP45" s="19"/>
      <c r="GYQ45" s="19"/>
      <c r="GYR45" s="19"/>
      <c r="GYS45" s="19"/>
      <c r="GYT45" s="19"/>
      <c r="GYU45" s="19"/>
      <c r="GYV45" s="19"/>
      <c r="GYW45" s="19"/>
      <c r="GYX45" s="19"/>
      <c r="GYY45" s="19"/>
      <c r="GYZ45" s="19"/>
      <c r="GZA45" s="19"/>
      <c r="GZB45" s="19"/>
      <c r="GZC45" s="19"/>
      <c r="GZD45" s="19"/>
      <c r="GZE45" s="19"/>
      <c r="GZF45" s="19"/>
      <c r="GZG45" s="19"/>
      <c r="GZH45" s="19"/>
      <c r="GZI45" s="19"/>
      <c r="GZJ45" s="19"/>
      <c r="GZK45" s="19"/>
      <c r="GZL45" s="19"/>
      <c r="GZM45" s="19"/>
      <c r="GZN45" s="19"/>
      <c r="GZO45" s="19"/>
      <c r="GZP45" s="19"/>
      <c r="GZQ45" s="19"/>
      <c r="GZR45" s="19"/>
      <c r="GZS45" s="19"/>
      <c r="GZT45" s="19"/>
      <c r="GZU45" s="19"/>
      <c r="GZV45" s="19"/>
      <c r="GZW45" s="19"/>
      <c r="GZX45" s="19"/>
      <c r="GZY45" s="19"/>
      <c r="GZZ45" s="19"/>
      <c r="HAA45" s="19"/>
      <c r="HAB45" s="19"/>
      <c r="HAC45" s="19"/>
      <c r="HAD45" s="19"/>
      <c r="HAE45" s="19"/>
      <c r="HAF45" s="19"/>
      <c r="HAG45" s="19"/>
      <c r="HAH45" s="19"/>
      <c r="HAI45" s="19"/>
      <c r="HAJ45" s="19"/>
      <c r="HAK45" s="19"/>
      <c r="HAL45" s="19"/>
      <c r="HAM45" s="19"/>
      <c r="HAN45" s="19"/>
      <c r="HAO45" s="19"/>
      <c r="HAP45" s="19"/>
      <c r="HAQ45" s="19"/>
      <c r="HAR45" s="19"/>
      <c r="HAS45" s="19"/>
      <c r="HAT45" s="19"/>
      <c r="HAU45" s="19"/>
      <c r="HAV45" s="19"/>
      <c r="HAW45" s="19"/>
      <c r="HAX45" s="19"/>
      <c r="HAY45" s="19"/>
      <c r="HAZ45" s="19"/>
      <c r="HBA45" s="19"/>
      <c r="HBB45" s="19"/>
      <c r="HBC45" s="19"/>
      <c r="HBD45" s="19"/>
      <c r="HBE45" s="19"/>
      <c r="HBF45" s="19"/>
      <c r="HBG45" s="19"/>
      <c r="HBH45" s="19"/>
      <c r="HBI45" s="19"/>
      <c r="HBJ45" s="19"/>
      <c r="HBK45" s="19"/>
      <c r="HBL45" s="19"/>
      <c r="HBM45" s="19"/>
      <c r="HBN45" s="19"/>
      <c r="HBO45" s="19"/>
      <c r="HBP45" s="19"/>
      <c r="HBQ45" s="19"/>
      <c r="HBR45" s="19"/>
      <c r="HBS45" s="19"/>
      <c r="HBT45" s="19"/>
      <c r="HBU45" s="19"/>
      <c r="HBV45" s="19"/>
      <c r="HBW45" s="19"/>
      <c r="HBX45" s="19"/>
      <c r="HBY45" s="19"/>
      <c r="HBZ45" s="19"/>
      <c r="HCA45" s="19"/>
      <c r="HCB45" s="19"/>
      <c r="HCC45" s="19"/>
      <c r="HCD45" s="19"/>
      <c r="HCE45" s="19"/>
      <c r="HCF45" s="19"/>
      <c r="HCG45" s="19"/>
      <c r="HCH45" s="19"/>
      <c r="HCI45" s="19"/>
      <c r="HCJ45" s="19"/>
      <c r="HCK45" s="19"/>
      <c r="HCL45" s="19"/>
      <c r="HCM45" s="19"/>
      <c r="HCN45" s="19"/>
      <c r="HCO45" s="19"/>
      <c r="HCP45" s="19"/>
      <c r="HCQ45" s="19"/>
      <c r="HCR45" s="19"/>
      <c r="HCS45" s="19"/>
      <c r="HCT45" s="19"/>
      <c r="HCU45" s="19"/>
      <c r="HCV45" s="19"/>
      <c r="HCW45" s="19"/>
      <c r="HCX45" s="19"/>
      <c r="HCY45" s="19"/>
      <c r="HCZ45" s="19"/>
      <c r="HDA45" s="19"/>
      <c r="HDB45" s="19"/>
      <c r="HDC45" s="19"/>
      <c r="HDD45" s="19"/>
      <c r="HDE45" s="19"/>
      <c r="HDF45" s="19"/>
      <c r="HDG45" s="19"/>
      <c r="HDH45" s="19"/>
      <c r="HDI45" s="19"/>
      <c r="HDJ45" s="19"/>
      <c r="HDK45" s="19"/>
      <c r="HDL45" s="19"/>
      <c r="HDM45" s="19"/>
      <c r="HDN45" s="19"/>
      <c r="HDO45" s="19"/>
      <c r="HDP45" s="19"/>
      <c r="HDQ45" s="19"/>
      <c r="HDR45" s="19"/>
      <c r="HDS45" s="19"/>
      <c r="HDT45" s="19"/>
      <c r="HDU45" s="19"/>
      <c r="HDV45" s="19"/>
      <c r="HDW45" s="19"/>
      <c r="HDX45" s="19"/>
      <c r="HDY45" s="19"/>
      <c r="HDZ45" s="19"/>
      <c r="HEA45" s="19"/>
      <c r="HEB45" s="19"/>
      <c r="HEC45" s="19"/>
      <c r="HED45" s="19"/>
      <c r="HEE45" s="19"/>
      <c r="HEF45" s="19"/>
      <c r="HEG45" s="19"/>
      <c r="HEH45" s="19"/>
      <c r="HEI45" s="19"/>
      <c r="HEJ45" s="19"/>
      <c r="HEK45" s="19"/>
      <c r="HEL45" s="19"/>
      <c r="HEM45" s="19"/>
      <c r="HEN45" s="19"/>
      <c r="HEO45" s="19"/>
      <c r="HEP45" s="19"/>
      <c r="HEQ45" s="19"/>
      <c r="HER45" s="19"/>
      <c r="HES45" s="19"/>
      <c r="HET45" s="19"/>
      <c r="HEU45" s="19"/>
      <c r="HEV45" s="19"/>
      <c r="HEW45" s="19"/>
      <c r="HEX45" s="19"/>
      <c r="HEY45" s="19"/>
      <c r="HEZ45" s="19"/>
      <c r="HFA45" s="19"/>
      <c r="HFB45" s="19"/>
      <c r="HFC45" s="19"/>
      <c r="HFD45" s="19"/>
      <c r="HFE45" s="19"/>
      <c r="HFF45" s="19"/>
      <c r="HFG45" s="19"/>
      <c r="HFH45" s="19"/>
      <c r="HFI45" s="19"/>
      <c r="HFJ45" s="19"/>
      <c r="HFK45" s="19"/>
      <c r="HFL45" s="19"/>
      <c r="HFM45" s="19"/>
      <c r="HFN45" s="19"/>
      <c r="HFO45" s="19"/>
      <c r="HFP45" s="19"/>
      <c r="HFQ45" s="19"/>
      <c r="HFR45" s="19"/>
      <c r="HFS45" s="19"/>
      <c r="HFT45" s="19"/>
      <c r="HFU45" s="19"/>
      <c r="HFV45" s="19"/>
      <c r="HFW45" s="19"/>
      <c r="HFX45" s="19"/>
      <c r="HFY45" s="19"/>
      <c r="HFZ45" s="19"/>
      <c r="HGA45" s="19"/>
      <c r="HGB45" s="19"/>
      <c r="HGC45" s="19"/>
      <c r="HGD45" s="19"/>
      <c r="HGE45" s="19"/>
      <c r="HGF45" s="19"/>
      <c r="HGG45" s="19"/>
      <c r="HGH45" s="19"/>
      <c r="HGI45" s="19"/>
      <c r="HGJ45" s="19"/>
      <c r="HGK45" s="19"/>
      <c r="HGL45" s="19"/>
      <c r="HGM45" s="19"/>
      <c r="HGN45" s="19"/>
      <c r="HGO45" s="19"/>
      <c r="HGP45" s="19"/>
      <c r="HGQ45" s="19"/>
      <c r="HGR45" s="19"/>
      <c r="HGS45" s="19"/>
      <c r="HGT45" s="19"/>
      <c r="HGU45" s="19"/>
      <c r="HGV45" s="19"/>
      <c r="HGW45" s="19"/>
      <c r="HGX45" s="19"/>
      <c r="HGY45" s="19"/>
      <c r="HGZ45" s="19"/>
      <c r="HHA45" s="19"/>
      <c r="HHB45" s="19"/>
      <c r="HHC45" s="19"/>
      <c r="HHD45" s="19"/>
      <c r="HHE45" s="19"/>
      <c r="HHF45" s="19"/>
      <c r="HHG45" s="19"/>
      <c r="HHH45" s="19"/>
      <c r="HHI45" s="19"/>
      <c r="HHJ45" s="19"/>
      <c r="HHK45" s="19"/>
      <c r="HHL45" s="19"/>
      <c r="HHM45" s="19"/>
      <c r="HHN45" s="19"/>
      <c r="HHO45" s="19"/>
      <c r="HHP45" s="19"/>
      <c r="HHQ45" s="19"/>
      <c r="HHR45" s="19"/>
      <c r="HHS45" s="19"/>
      <c r="HHT45" s="19"/>
      <c r="HHU45" s="19"/>
      <c r="HHV45" s="19"/>
      <c r="HHW45" s="19"/>
      <c r="HHX45" s="19"/>
      <c r="HHY45" s="19"/>
      <c r="HHZ45" s="19"/>
      <c r="HIA45" s="19"/>
      <c r="HIB45" s="19"/>
      <c r="HIC45" s="19"/>
      <c r="HID45" s="19"/>
      <c r="HIE45" s="19"/>
      <c r="HIF45" s="19"/>
      <c r="HIG45" s="19"/>
      <c r="HIH45" s="19"/>
      <c r="HII45" s="19"/>
      <c r="HIJ45" s="19"/>
      <c r="HIK45" s="19"/>
      <c r="HIL45" s="19"/>
      <c r="HIM45" s="19"/>
      <c r="HIN45" s="19"/>
      <c r="HIO45" s="19"/>
      <c r="HIP45" s="19"/>
      <c r="HIQ45" s="19"/>
      <c r="HIR45" s="19"/>
      <c r="HIS45" s="19"/>
      <c r="HIT45" s="19"/>
      <c r="HIU45" s="19"/>
      <c r="HIV45" s="19"/>
      <c r="HIW45" s="19"/>
      <c r="HIX45" s="19"/>
      <c r="HIY45" s="19"/>
      <c r="HIZ45" s="19"/>
      <c r="HJA45" s="19"/>
      <c r="HJB45" s="19"/>
      <c r="HJC45" s="19"/>
      <c r="HJD45" s="19"/>
      <c r="HJE45" s="19"/>
      <c r="HJF45" s="19"/>
      <c r="HJG45" s="19"/>
      <c r="HJH45" s="19"/>
      <c r="HJI45" s="19"/>
      <c r="HJJ45" s="19"/>
      <c r="HJK45" s="19"/>
      <c r="HJL45" s="19"/>
      <c r="HJM45" s="19"/>
      <c r="HJN45" s="19"/>
      <c r="HJO45" s="19"/>
      <c r="HJP45" s="19"/>
      <c r="HJQ45" s="19"/>
      <c r="HJR45" s="19"/>
      <c r="HJS45" s="19"/>
      <c r="HJT45" s="19"/>
      <c r="HJU45" s="19"/>
      <c r="HJV45" s="19"/>
      <c r="HJW45" s="19"/>
      <c r="HJX45" s="19"/>
      <c r="HJY45" s="19"/>
      <c r="HJZ45" s="19"/>
      <c r="HKA45" s="19"/>
      <c r="HKB45" s="19"/>
      <c r="HKC45" s="19"/>
      <c r="HKD45" s="19"/>
      <c r="HKE45" s="19"/>
      <c r="HKF45" s="19"/>
      <c r="HKG45" s="19"/>
      <c r="HKH45" s="19"/>
      <c r="HKI45" s="19"/>
      <c r="HKJ45" s="19"/>
      <c r="HKK45" s="19"/>
      <c r="HKL45" s="19"/>
      <c r="HKM45" s="19"/>
      <c r="HKN45" s="19"/>
      <c r="HKO45" s="19"/>
      <c r="HKP45" s="19"/>
      <c r="HKQ45" s="19"/>
      <c r="HKR45" s="19"/>
      <c r="HKS45" s="19"/>
      <c r="HKT45" s="19"/>
      <c r="HKU45" s="19"/>
      <c r="HKV45" s="19"/>
      <c r="HKW45" s="19"/>
      <c r="HKX45" s="19"/>
      <c r="HKY45" s="19"/>
      <c r="HKZ45" s="19"/>
      <c r="HLA45" s="19"/>
      <c r="HLB45" s="19"/>
      <c r="HLC45" s="19"/>
      <c r="HLD45" s="19"/>
      <c r="HLE45" s="19"/>
      <c r="HLF45" s="19"/>
      <c r="HLG45" s="19"/>
      <c r="HLH45" s="19"/>
      <c r="HLI45" s="19"/>
      <c r="HLJ45" s="19"/>
      <c r="HLK45" s="19"/>
      <c r="HLL45" s="19"/>
      <c r="HLM45" s="19"/>
      <c r="HLN45" s="19"/>
      <c r="HLO45" s="19"/>
      <c r="HLP45" s="19"/>
      <c r="HLQ45" s="19"/>
      <c r="HLR45" s="19"/>
      <c r="HLS45" s="19"/>
      <c r="HLT45" s="19"/>
      <c r="HLU45" s="19"/>
      <c r="HLV45" s="19"/>
      <c r="HLW45" s="19"/>
      <c r="HLX45" s="19"/>
      <c r="HLY45" s="19"/>
      <c r="HLZ45" s="19"/>
      <c r="HMA45" s="19"/>
      <c r="HMB45" s="19"/>
      <c r="HMC45" s="19"/>
      <c r="HMD45" s="19"/>
      <c r="HME45" s="19"/>
      <c r="HMF45" s="19"/>
      <c r="HMG45" s="19"/>
      <c r="HMH45" s="19"/>
      <c r="HMI45" s="19"/>
      <c r="HMJ45" s="19"/>
      <c r="HMK45" s="19"/>
      <c r="HML45" s="19"/>
      <c r="HMM45" s="19"/>
      <c r="HMN45" s="19"/>
      <c r="HMO45" s="19"/>
      <c r="HMP45" s="19"/>
      <c r="HMQ45" s="19"/>
      <c r="HMR45" s="19"/>
      <c r="HMS45" s="19"/>
      <c r="HMT45" s="19"/>
      <c r="HMU45" s="19"/>
      <c r="HMV45" s="19"/>
      <c r="HMW45" s="19"/>
      <c r="HMX45" s="19"/>
      <c r="HMY45" s="19"/>
      <c r="HMZ45" s="19"/>
      <c r="HNA45" s="19"/>
      <c r="HNB45" s="19"/>
      <c r="HNC45" s="19"/>
      <c r="HND45" s="19"/>
      <c r="HNE45" s="19"/>
      <c r="HNF45" s="19"/>
      <c r="HNG45" s="19"/>
      <c r="HNH45" s="19"/>
      <c r="HNI45" s="19"/>
      <c r="HNJ45" s="19"/>
      <c r="HNK45" s="19"/>
      <c r="HNL45" s="19"/>
      <c r="HNM45" s="19"/>
      <c r="HNN45" s="19"/>
      <c r="HNO45" s="19"/>
      <c r="HNP45" s="19"/>
      <c r="HNQ45" s="19"/>
      <c r="HNR45" s="19"/>
      <c r="HNS45" s="19"/>
      <c r="HNT45" s="19"/>
      <c r="HNU45" s="19"/>
      <c r="HNV45" s="19"/>
      <c r="HNW45" s="19"/>
      <c r="HNX45" s="19"/>
      <c r="HNY45" s="19"/>
      <c r="HNZ45" s="19"/>
      <c r="HOA45" s="19"/>
      <c r="HOB45" s="19"/>
      <c r="HOC45" s="19"/>
      <c r="HOD45" s="19"/>
      <c r="HOE45" s="19"/>
      <c r="HOF45" s="19"/>
      <c r="HOG45" s="19"/>
      <c r="HOH45" s="19"/>
      <c r="HOI45" s="19"/>
      <c r="HOJ45" s="19"/>
      <c r="HOK45" s="19"/>
      <c r="HOL45" s="19"/>
      <c r="HOM45" s="19"/>
      <c r="HON45" s="19"/>
      <c r="HOO45" s="19"/>
      <c r="HOP45" s="19"/>
      <c r="HOQ45" s="19"/>
      <c r="HOR45" s="19"/>
      <c r="HOS45" s="19"/>
      <c r="HOT45" s="19"/>
      <c r="HOU45" s="19"/>
      <c r="HOV45" s="19"/>
      <c r="HOW45" s="19"/>
      <c r="HOX45" s="19"/>
      <c r="HOY45" s="19"/>
      <c r="HOZ45" s="19"/>
      <c r="HPA45" s="19"/>
      <c r="HPB45" s="19"/>
      <c r="HPC45" s="19"/>
      <c r="HPD45" s="19"/>
      <c r="HPE45" s="19"/>
      <c r="HPF45" s="19"/>
      <c r="HPG45" s="19"/>
      <c r="HPH45" s="19"/>
      <c r="HPI45" s="19"/>
      <c r="HPJ45" s="19"/>
      <c r="HPK45" s="19"/>
      <c r="HPL45" s="19"/>
      <c r="HPM45" s="19"/>
      <c r="HPN45" s="19"/>
      <c r="HPO45" s="19"/>
      <c r="HPP45" s="19"/>
      <c r="HPQ45" s="19"/>
      <c r="HPR45" s="19"/>
      <c r="HPS45" s="19"/>
      <c r="HPT45" s="19"/>
      <c r="HPU45" s="19"/>
      <c r="HPV45" s="19"/>
      <c r="HPW45" s="19"/>
      <c r="HPX45" s="19"/>
      <c r="HPY45" s="19"/>
      <c r="HPZ45" s="19"/>
      <c r="HQA45" s="19"/>
      <c r="HQB45" s="19"/>
      <c r="HQC45" s="19"/>
      <c r="HQD45" s="19"/>
      <c r="HQE45" s="19"/>
      <c r="HQF45" s="19"/>
      <c r="HQG45" s="19"/>
      <c r="HQH45" s="19"/>
      <c r="HQI45" s="19"/>
      <c r="HQJ45" s="19"/>
      <c r="HQK45" s="19"/>
      <c r="HQL45" s="19"/>
      <c r="HQM45" s="19"/>
      <c r="HQN45" s="19"/>
      <c r="HQO45" s="19"/>
      <c r="HQP45" s="19"/>
      <c r="HQQ45" s="19"/>
      <c r="HQR45" s="19"/>
      <c r="HQS45" s="19"/>
      <c r="HQT45" s="19"/>
      <c r="HQU45" s="19"/>
      <c r="HQV45" s="19"/>
      <c r="HQW45" s="19"/>
      <c r="HQX45" s="19"/>
      <c r="HQY45" s="19"/>
      <c r="HQZ45" s="19"/>
      <c r="HRA45" s="19"/>
      <c r="HRB45" s="19"/>
      <c r="HRC45" s="19"/>
      <c r="HRD45" s="19"/>
      <c r="HRE45" s="19"/>
      <c r="HRF45" s="19"/>
      <c r="HRG45" s="19"/>
      <c r="HRH45" s="19"/>
      <c r="HRI45" s="19"/>
      <c r="HRJ45" s="19"/>
      <c r="HRK45" s="19"/>
      <c r="HRL45" s="19"/>
      <c r="HRM45" s="19"/>
      <c r="HRN45" s="19"/>
      <c r="HRO45" s="19"/>
      <c r="HRP45" s="19"/>
      <c r="HRQ45" s="19"/>
      <c r="HRR45" s="19"/>
      <c r="HRS45" s="19"/>
      <c r="HRT45" s="19"/>
      <c r="HRU45" s="19"/>
      <c r="HRV45" s="19"/>
      <c r="HRW45" s="19"/>
      <c r="HRX45" s="19"/>
      <c r="HRY45" s="19"/>
      <c r="HRZ45" s="19"/>
      <c r="HSA45" s="19"/>
      <c r="HSB45" s="19"/>
      <c r="HSC45" s="19"/>
      <c r="HSD45" s="19"/>
      <c r="HSE45" s="19"/>
      <c r="HSF45" s="19"/>
      <c r="HSG45" s="19"/>
      <c r="HSH45" s="19"/>
      <c r="HSI45" s="19"/>
      <c r="HSJ45" s="19"/>
      <c r="HSK45" s="19"/>
      <c r="HSL45" s="19"/>
      <c r="HSM45" s="19"/>
      <c r="HSN45" s="19"/>
      <c r="HSO45" s="19"/>
      <c r="HSP45" s="19"/>
      <c r="HSQ45" s="19"/>
      <c r="HSR45" s="19"/>
      <c r="HSS45" s="19"/>
      <c r="HST45" s="19"/>
      <c r="HSU45" s="19"/>
      <c r="HSV45" s="19"/>
      <c r="HSW45" s="19"/>
      <c r="HSX45" s="19"/>
      <c r="HSY45" s="19"/>
      <c r="HSZ45" s="19"/>
      <c r="HTA45" s="19"/>
      <c r="HTB45" s="19"/>
      <c r="HTC45" s="19"/>
      <c r="HTD45" s="19"/>
      <c r="HTE45" s="19"/>
      <c r="HTF45" s="19"/>
      <c r="HTG45" s="19"/>
      <c r="HTH45" s="19"/>
      <c r="HTI45" s="19"/>
      <c r="HTJ45" s="19"/>
      <c r="HTK45" s="19"/>
      <c r="HTL45" s="19"/>
      <c r="HTM45" s="19"/>
      <c r="HTN45" s="19"/>
      <c r="HTO45" s="19"/>
      <c r="HTP45" s="19"/>
      <c r="HTQ45" s="19"/>
      <c r="HTR45" s="19"/>
      <c r="HTS45" s="19"/>
      <c r="HTT45" s="19"/>
      <c r="HTU45" s="19"/>
      <c r="HTV45" s="19"/>
      <c r="HTW45" s="19"/>
      <c r="HTX45" s="19"/>
      <c r="HTY45" s="19"/>
      <c r="HTZ45" s="19"/>
      <c r="HUA45" s="19"/>
      <c r="HUB45" s="19"/>
      <c r="HUC45" s="19"/>
      <c r="HUD45" s="19"/>
      <c r="HUE45" s="19"/>
      <c r="HUF45" s="19"/>
      <c r="HUG45" s="19"/>
      <c r="HUH45" s="19"/>
      <c r="HUI45" s="19"/>
      <c r="HUJ45" s="19"/>
      <c r="HUK45" s="19"/>
      <c r="HUL45" s="19"/>
      <c r="HUM45" s="19"/>
      <c r="HUN45" s="19"/>
      <c r="HUO45" s="19"/>
      <c r="HUP45" s="19"/>
      <c r="HUQ45" s="19"/>
      <c r="HUR45" s="19"/>
      <c r="HUS45" s="19"/>
      <c r="HUT45" s="19"/>
      <c r="HUU45" s="19"/>
      <c r="HUV45" s="19"/>
      <c r="HUW45" s="19"/>
      <c r="HUX45" s="19"/>
      <c r="HUY45" s="19"/>
      <c r="HUZ45" s="19"/>
      <c r="HVA45" s="19"/>
      <c r="HVB45" s="19"/>
      <c r="HVC45" s="19"/>
      <c r="HVD45" s="19"/>
      <c r="HVE45" s="19"/>
      <c r="HVF45" s="19"/>
      <c r="HVG45" s="19"/>
      <c r="HVH45" s="19"/>
      <c r="HVI45" s="19"/>
      <c r="HVJ45" s="19"/>
      <c r="HVK45" s="19"/>
      <c r="HVL45" s="19"/>
      <c r="HVM45" s="19"/>
      <c r="HVN45" s="19"/>
      <c r="HVO45" s="19"/>
      <c r="HVP45" s="19"/>
      <c r="HVQ45" s="19"/>
      <c r="HVR45" s="19"/>
      <c r="HVS45" s="19"/>
      <c r="HVT45" s="19"/>
      <c r="HVU45" s="19"/>
      <c r="HVV45" s="19"/>
      <c r="HVW45" s="19"/>
      <c r="HVX45" s="19"/>
      <c r="HVY45" s="19"/>
      <c r="HVZ45" s="19"/>
      <c r="HWA45" s="19"/>
      <c r="HWB45" s="19"/>
      <c r="HWC45" s="19"/>
      <c r="HWD45" s="19"/>
      <c r="HWE45" s="19"/>
      <c r="HWF45" s="19"/>
      <c r="HWG45" s="19"/>
      <c r="HWH45" s="19"/>
      <c r="HWI45" s="19"/>
      <c r="HWJ45" s="19"/>
      <c r="HWK45" s="19"/>
      <c r="HWL45" s="19"/>
      <c r="HWM45" s="19"/>
      <c r="HWN45" s="19"/>
      <c r="HWO45" s="19"/>
      <c r="HWP45" s="19"/>
      <c r="HWQ45" s="19"/>
      <c r="HWR45" s="19"/>
      <c r="HWS45" s="19"/>
      <c r="HWT45" s="19"/>
      <c r="HWU45" s="19"/>
      <c r="HWV45" s="19"/>
      <c r="HWW45" s="19"/>
      <c r="HWX45" s="19"/>
      <c r="HWY45" s="19"/>
      <c r="HWZ45" s="19"/>
      <c r="HXA45" s="19"/>
      <c r="HXB45" s="19"/>
      <c r="HXC45" s="19"/>
      <c r="HXD45" s="19"/>
      <c r="HXE45" s="19"/>
      <c r="HXF45" s="19"/>
      <c r="HXG45" s="19"/>
      <c r="HXH45" s="19"/>
      <c r="HXI45" s="19"/>
      <c r="HXJ45" s="19"/>
      <c r="HXK45" s="19"/>
      <c r="HXL45" s="19"/>
      <c r="HXM45" s="19"/>
      <c r="HXN45" s="19"/>
      <c r="HXO45" s="19"/>
      <c r="HXP45" s="19"/>
      <c r="HXQ45" s="19"/>
      <c r="HXR45" s="19"/>
      <c r="HXS45" s="19"/>
      <c r="HXT45" s="19"/>
      <c r="HXU45" s="19"/>
      <c r="HXV45" s="19"/>
      <c r="HXW45" s="19"/>
      <c r="HXX45" s="19"/>
      <c r="HXY45" s="19"/>
      <c r="HXZ45" s="19"/>
      <c r="HYA45" s="19"/>
      <c r="HYB45" s="19"/>
      <c r="HYC45" s="19"/>
      <c r="HYD45" s="19"/>
      <c r="HYE45" s="19"/>
      <c r="HYF45" s="19"/>
      <c r="HYG45" s="19"/>
      <c r="HYH45" s="19"/>
      <c r="HYI45" s="19"/>
      <c r="HYJ45" s="19"/>
      <c r="HYK45" s="19"/>
      <c r="HYL45" s="19"/>
      <c r="HYM45" s="19"/>
      <c r="HYN45" s="19"/>
      <c r="HYO45" s="19"/>
      <c r="HYP45" s="19"/>
      <c r="HYQ45" s="19"/>
      <c r="HYR45" s="19"/>
      <c r="HYS45" s="19"/>
      <c r="HYT45" s="19"/>
      <c r="HYU45" s="19"/>
      <c r="HYV45" s="19"/>
      <c r="HYW45" s="19"/>
      <c r="HYX45" s="19"/>
      <c r="HYY45" s="19"/>
      <c r="HYZ45" s="19"/>
      <c r="HZA45" s="19"/>
      <c r="HZB45" s="19"/>
      <c r="HZC45" s="19"/>
      <c r="HZD45" s="19"/>
      <c r="HZE45" s="19"/>
      <c r="HZF45" s="19"/>
      <c r="HZG45" s="19"/>
      <c r="HZH45" s="19"/>
      <c r="HZI45" s="19"/>
      <c r="HZJ45" s="19"/>
      <c r="HZK45" s="19"/>
      <c r="HZL45" s="19"/>
      <c r="HZM45" s="19"/>
      <c r="HZN45" s="19"/>
      <c r="HZO45" s="19"/>
      <c r="HZP45" s="19"/>
      <c r="HZQ45" s="19"/>
      <c r="HZR45" s="19"/>
      <c r="HZS45" s="19"/>
      <c r="HZT45" s="19"/>
      <c r="HZU45" s="19"/>
      <c r="HZV45" s="19"/>
      <c r="HZW45" s="19"/>
      <c r="HZX45" s="19"/>
      <c r="HZY45" s="19"/>
      <c r="HZZ45" s="19"/>
      <c r="IAA45" s="19"/>
      <c r="IAB45" s="19"/>
      <c r="IAC45" s="19"/>
      <c r="IAD45" s="19"/>
      <c r="IAE45" s="19"/>
      <c r="IAF45" s="19"/>
      <c r="IAG45" s="19"/>
      <c r="IAH45" s="19"/>
      <c r="IAI45" s="19"/>
      <c r="IAJ45" s="19"/>
      <c r="IAK45" s="19"/>
      <c r="IAL45" s="19"/>
      <c r="IAM45" s="19"/>
      <c r="IAN45" s="19"/>
      <c r="IAO45" s="19"/>
      <c r="IAP45" s="19"/>
      <c r="IAQ45" s="19"/>
      <c r="IAR45" s="19"/>
      <c r="IAS45" s="19"/>
      <c r="IAT45" s="19"/>
      <c r="IAU45" s="19"/>
      <c r="IAV45" s="19"/>
      <c r="IAW45" s="19"/>
      <c r="IAX45" s="19"/>
      <c r="IAY45" s="19"/>
      <c r="IAZ45" s="19"/>
      <c r="IBA45" s="19"/>
      <c r="IBB45" s="19"/>
      <c r="IBC45" s="19"/>
      <c r="IBD45" s="19"/>
      <c r="IBE45" s="19"/>
      <c r="IBF45" s="19"/>
      <c r="IBG45" s="19"/>
      <c r="IBH45" s="19"/>
      <c r="IBI45" s="19"/>
      <c r="IBJ45" s="19"/>
      <c r="IBK45" s="19"/>
      <c r="IBL45" s="19"/>
      <c r="IBM45" s="19"/>
      <c r="IBN45" s="19"/>
      <c r="IBO45" s="19"/>
      <c r="IBP45" s="19"/>
      <c r="IBQ45" s="19"/>
      <c r="IBR45" s="19"/>
      <c r="IBS45" s="19"/>
      <c r="IBT45" s="19"/>
      <c r="IBU45" s="19"/>
      <c r="IBV45" s="19"/>
      <c r="IBW45" s="19"/>
      <c r="IBX45" s="19"/>
      <c r="IBY45" s="19"/>
      <c r="IBZ45" s="19"/>
      <c r="ICA45" s="19"/>
      <c r="ICB45" s="19"/>
      <c r="ICC45" s="19"/>
      <c r="ICD45" s="19"/>
      <c r="ICE45" s="19"/>
      <c r="ICF45" s="19"/>
      <c r="ICG45" s="19"/>
      <c r="ICH45" s="19"/>
      <c r="ICI45" s="19"/>
      <c r="ICJ45" s="19"/>
      <c r="ICK45" s="19"/>
      <c r="ICL45" s="19"/>
      <c r="ICM45" s="19"/>
      <c r="ICN45" s="19"/>
      <c r="ICO45" s="19"/>
      <c r="ICP45" s="19"/>
      <c r="ICQ45" s="19"/>
      <c r="ICR45" s="19"/>
      <c r="ICS45" s="19"/>
      <c r="ICT45" s="19"/>
      <c r="ICU45" s="19"/>
      <c r="ICV45" s="19"/>
      <c r="ICW45" s="19"/>
      <c r="ICX45" s="19"/>
      <c r="ICY45" s="19"/>
      <c r="ICZ45" s="19"/>
      <c r="IDA45" s="19"/>
      <c r="IDB45" s="19"/>
      <c r="IDC45" s="19"/>
      <c r="IDD45" s="19"/>
      <c r="IDE45" s="19"/>
      <c r="IDF45" s="19"/>
      <c r="IDG45" s="19"/>
      <c r="IDH45" s="19"/>
      <c r="IDI45" s="19"/>
      <c r="IDJ45" s="19"/>
      <c r="IDK45" s="19"/>
      <c r="IDL45" s="19"/>
      <c r="IDM45" s="19"/>
      <c r="IDN45" s="19"/>
      <c r="IDO45" s="19"/>
      <c r="IDP45" s="19"/>
      <c r="IDQ45" s="19"/>
      <c r="IDR45" s="19"/>
      <c r="IDS45" s="19"/>
      <c r="IDT45" s="19"/>
      <c r="IDU45" s="19"/>
      <c r="IDV45" s="19"/>
      <c r="IDW45" s="19"/>
      <c r="IDX45" s="19"/>
      <c r="IDY45" s="19"/>
      <c r="IDZ45" s="19"/>
      <c r="IEA45" s="19"/>
      <c r="IEB45" s="19"/>
      <c r="IEC45" s="19"/>
      <c r="IED45" s="19"/>
      <c r="IEE45" s="19"/>
      <c r="IEF45" s="19"/>
      <c r="IEG45" s="19"/>
      <c r="IEH45" s="19"/>
      <c r="IEI45" s="19"/>
      <c r="IEJ45" s="19"/>
      <c r="IEK45" s="19"/>
      <c r="IEL45" s="19"/>
      <c r="IEM45" s="19"/>
      <c r="IEN45" s="19"/>
      <c r="IEO45" s="19"/>
      <c r="IEP45" s="19"/>
      <c r="IEQ45" s="19"/>
      <c r="IER45" s="19"/>
      <c r="IES45" s="19"/>
      <c r="IET45" s="19"/>
      <c r="IEU45" s="19"/>
      <c r="IEV45" s="19"/>
      <c r="IEW45" s="19"/>
      <c r="IEX45" s="19"/>
      <c r="IEY45" s="19"/>
      <c r="IEZ45" s="19"/>
      <c r="IFA45" s="19"/>
      <c r="IFB45" s="19"/>
      <c r="IFC45" s="19"/>
      <c r="IFD45" s="19"/>
      <c r="IFE45" s="19"/>
      <c r="IFF45" s="19"/>
      <c r="IFG45" s="19"/>
      <c r="IFH45" s="19"/>
      <c r="IFI45" s="19"/>
      <c r="IFJ45" s="19"/>
      <c r="IFK45" s="19"/>
      <c r="IFL45" s="19"/>
      <c r="IFM45" s="19"/>
      <c r="IFN45" s="19"/>
      <c r="IFO45" s="19"/>
      <c r="IFP45" s="19"/>
      <c r="IFQ45" s="19"/>
      <c r="IFR45" s="19"/>
      <c r="IFS45" s="19"/>
      <c r="IFT45" s="19"/>
      <c r="IFU45" s="19"/>
      <c r="IFV45" s="19"/>
      <c r="IFW45" s="19"/>
      <c r="IFX45" s="19"/>
      <c r="IFY45" s="19"/>
      <c r="IFZ45" s="19"/>
      <c r="IGA45" s="19"/>
      <c r="IGB45" s="19"/>
      <c r="IGC45" s="19"/>
      <c r="IGD45" s="19"/>
      <c r="IGE45" s="19"/>
      <c r="IGF45" s="19"/>
      <c r="IGG45" s="19"/>
      <c r="IGH45" s="19"/>
      <c r="IGI45" s="19"/>
      <c r="IGJ45" s="19"/>
      <c r="IGK45" s="19"/>
      <c r="IGL45" s="19"/>
      <c r="IGM45" s="19"/>
      <c r="IGN45" s="19"/>
      <c r="IGO45" s="19"/>
      <c r="IGP45" s="19"/>
      <c r="IGQ45" s="19"/>
      <c r="IGR45" s="19"/>
      <c r="IGS45" s="19"/>
      <c r="IGT45" s="19"/>
      <c r="IGU45" s="19"/>
      <c r="IGV45" s="19"/>
      <c r="IGW45" s="19"/>
      <c r="IGX45" s="19"/>
      <c r="IGY45" s="19"/>
      <c r="IGZ45" s="19"/>
      <c r="IHA45" s="19"/>
      <c r="IHB45" s="19"/>
      <c r="IHC45" s="19"/>
      <c r="IHD45" s="19"/>
      <c r="IHE45" s="19"/>
      <c r="IHF45" s="19"/>
      <c r="IHG45" s="19"/>
      <c r="IHH45" s="19"/>
      <c r="IHI45" s="19"/>
      <c r="IHJ45" s="19"/>
      <c r="IHK45" s="19"/>
      <c r="IHL45" s="19"/>
      <c r="IHM45" s="19"/>
      <c r="IHN45" s="19"/>
      <c r="IHO45" s="19"/>
      <c r="IHP45" s="19"/>
      <c r="IHQ45" s="19"/>
      <c r="IHR45" s="19"/>
      <c r="IHS45" s="19"/>
      <c r="IHT45" s="19"/>
      <c r="IHU45" s="19"/>
      <c r="IHV45" s="19"/>
      <c r="IHW45" s="19"/>
      <c r="IHX45" s="19"/>
      <c r="IHY45" s="19"/>
      <c r="IHZ45" s="19"/>
      <c r="IIA45" s="19"/>
      <c r="IIB45" s="19"/>
      <c r="IIC45" s="19"/>
      <c r="IID45" s="19"/>
      <c r="IIE45" s="19"/>
      <c r="IIF45" s="19"/>
      <c r="IIG45" s="19"/>
      <c r="IIH45" s="19"/>
      <c r="III45" s="19"/>
      <c r="IIJ45" s="19"/>
      <c r="IIK45" s="19"/>
      <c r="IIL45" s="19"/>
      <c r="IIM45" s="19"/>
      <c r="IIN45" s="19"/>
      <c r="IIO45" s="19"/>
      <c r="IIP45" s="19"/>
      <c r="IIQ45" s="19"/>
      <c r="IIR45" s="19"/>
      <c r="IIS45" s="19"/>
      <c r="IIT45" s="19"/>
      <c r="IIU45" s="19"/>
      <c r="IIV45" s="19"/>
      <c r="IIW45" s="19"/>
      <c r="IIX45" s="19"/>
      <c r="IIY45" s="19"/>
      <c r="IIZ45" s="19"/>
      <c r="IJA45" s="19"/>
      <c r="IJB45" s="19"/>
      <c r="IJC45" s="19"/>
      <c r="IJD45" s="19"/>
      <c r="IJE45" s="19"/>
      <c r="IJF45" s="19"/>
      <c r="IJG45" s="19"/>
      <c r="IJH45" s="19"/>
      <c r="IJI45" s="19"/>
      <c r="IJJ45" s="19"/>
      <c r="IJK45" s="19"/>
      <c r="IJL45" s="19"/>
      <c r="IJM45" s="19"/>
      <c r="IJN45" s="19"/>
      <c r="IJO45" s="19"/>
      <c r="IJP45" s="19"/>
      <c r="IJQ45" s="19"/>
      <c r="IJR45" s="19"/>
      <c r="IJS45" s="19"/>
      <c r="IJT45" s="19"/>
      <c r="IJU45" s="19"/>
      <c r="IJV45" s="19"/>
      <c r="IJW45" s="19"/>
      <c r="IJX45" s="19"/>
      <c r="IJY45" s="19"/>
      <c r="IJZ45" s="19"/>
      <c r="IKA45" s="19"/>
      <c r="IKB45" s="19"/>
      <c r="IKC45" s="19"/>
      <c r="IKD45" s="19"/>
      <c r="IKE45" s="19"/>
      <c r="IKF45" s="19"/>
      <c r="IKG45" s="19"/>
      <c r="IKH45" s="19"/>
      <c r="IKI45" s="19"/>
      <c r="IKJ45" s="19"/>
      <c r="IKK45" s="19"/>
      <c r="IKL45" s="19"/>
      <c r="IKM45" s="19"/>
      <c r="IKN45" s="19"/>
      <c r="IKO45" s="19"/>
      <c r="IKP45" s="19"/>
      <c r="IKQ45" s="19"/>
      <c r="IKR45" s="19"/>
      <c r="IKS45" s="19"/>
      <c r="IKT45" s="19"/>
      <c r="IKU45" s="19"/>
      <c r="IKV45" s="19"/>
      <c r="IKW45" s="19"/>
      <c r="IKX45" s="19"/>
      <c r="IKY45" s="19"/>
      <c r="IKZ45" s="19"/>
      <c r="ILA45" s="19"/>
      <c r="ILB45" s="19"/>
      <c r="ILC45" s="19"/>
      <c r="ILD45" s="19"/>
      <c r="ILE45" s="19"/>
      <c r="ILF45" s="19"/>
      <c r="ILG45" s="19"/>
      <c r="ILH45" s="19"/>
      <c r="ILI45" s="19"/>
      <c r="ILJ45" s="19"/>
      <c r="ILK45" s="19"/>
      <c r="ILL45" s="19"/>
      <c r="ILM45" s="19"/>
      <c r="ILN45" s="19"/>
      <c r="ILO45" s="19"/>
      <c r="ILP45" s="19"/>
      <c r="ILQ45" s="19"/>
      <c r="ILR45" s="19"/>
      <c r="ILS45" s="19"/>
      <c r="ILT45" s="19"/>
      <c r="ILU45" s="19"/>
      <c r="ILV45" s="19"/>
      <c r="ILW45" s="19"/>
      <c r="ILX45" s="19"/>
      <c r="ILY45" s="19"/>
      <c r="ILZ45" s="19"/>
      <c r="IMA45" s="19"/>
      <c r="IMB45" s="19"/>
      <c r="IMC45" s="19"/>
      <c r="IMD45" s="19"/>
      <c r="IME45" s="19"/>
      <c r="IMF45" s="19"/>
      <c r="IMG45" s="19"/>
      <c r="IMH45" s="19"/>
      <c r="IMI45" s="19"/>
      <c r="IMJ45" s="19"/>
      <c r="IMK45" s="19"/>
      <c r="IML45" s="19"/>
      <c r="IMM45" s="19"/>
      <c r="IMN45" s="19"/>
      <c r="IMO45" s="19"/>
      <c r="IMP45" s="19"/>
      <c r="IMQ45" s="19"/>
      <c r="IMR45" s="19"/>
      <c r="IMS45" s="19"/>
      <c r="IMT45" s="19"/>
      <c r="IMU45" s="19"/>
      <c r="IMV45" s="19"/>
      <c r="IMW45" s="19"/>
      <c r="IMX45" s="19"/>
      <c r="IMY45" s="19"/>
      <c r="IMZ45" s="19"/>
      <c r="INA45" s="19"/>
      <c r="INB45" s="19"/>
      <c r="INC45" s="19"/>
      <c r="IND45" s="19"/>
      <c r="INE45" s="19"/>
      <c r="INF45" s="19"/>
      <c r="ING45" s="19"/>
      <c r="INH45" s="19"/>
      <c r="INI45" s="19"/>
      <c r="INJ45" s="19"/>
      <c r="INK45" s="19"/>
      <c r="INL45" s="19"/>
      <c r="INM45" s="19"/>
      <c r="INN45" s="19"/>
      <c r="INO45" s="19"/>
      <c r="INP45" s="19"/>
      <c r="INQ45" s="19"/>
      <c r="INR45" s="19"/>
      <c r="INS45" s="19"/>
      <c r="INT45" s="19"/>
      <c r="INU45" s="19"/>
      <c r="INV45" s="19"/>
      <c r="INW45" s="19"/>
      <c r="INX45" s="19"/>
      <c r="INY45" s="19"/>
      <c r="INZ45" s="19"/>
      <c r="IOA45" s="19"/>
      <c r="IOB45" s="19"/>
      <c r="IOC45" s="19"/>
      <c r="IOD45" s="19"/>
      <c r="IOE45" s="19"/>
      <c r="IOF45" s="19"/>
      <c r="IOG45" s="19"/>
      <c r="IOH45" s="19"/>
      <c r="IOI45" s="19"/>
      <c r="IOJ45" s="19"/>
      <c r="IOK45" s="19"/>
      <c r="IOL45" s="19"/>
      <c r="IOM45" s="19"/>
      <c r="ION45" s="19"/>
      <c r="IOO45" s="19"/>
      <c r="IOP45" s="19"/>
      <c r="IOQ45" s="19"/>
      <c r="IOR45" s="19"/>
      <c r="IOS45" s="19"/>
      <c r="IOT45" s="19"/>
      <c r="IOU45" s="19"/>
      <c r="IOV45" s="19"/>
      <c r="IOW45" s="19"/>
      <c r="IOX45" s="19"/>
      <c r="IOY45" s="19"/>
      <c r="IOZ45" s="19"/>
      <c r="IPA45" s="19"/>
      <c r="IPB45" s="19"/>
      <c r="IPC45" s="19"/>
      <c r="IPD45" s="19"/>
      <c r="IPE45" s="19"/>
      <c r="IPF45" s="19"/>
      <c r="IPG45" s="19"/>
      <c r="IPH45" s="19"/>
      <c r="IPI45" s="19"/>
      <c r="IPJ45" s="19"/>
      <c r="IPK45" s="19"/>
      <c r="IPL45" s="19"/>
      <c r="IPM45" s="19"/>
      <c r="IPN45" s="19"/>
      <c r="IPO45" s="19"/>
      <c r="IPP45" s="19"/>
      <c r="IPQ45" s="19"/>
      <c r="IPR45" s="19"/>
      <c r="IPS45" s="19"/>
      <c r="IPT45" s="19"/>
      <c r="IPU45" s="19"/>
      <c r="IPV45" s="19"/>
      <c r="IPW45" s="19"/>
      <c r="IPX45" s="19"/>
      <c r="IPY45" s="19"/>
      <c r="IPZ45" s="19"/>
      <c r="IQA45" s="19"/>
      <c r="IQB45" s="19"/>
      <c r="IQC45" s="19"/>
      <c r="IQD45" s="19"/>
      <c r="IQE45" s="19"/>
      <c r="IQF45" s="19"/>
      <c r="IQG45" s="19"/>
      <c r="IQH45" s="19"/>
      <c r="IQI45" s="19"/>
      <c r="IQJ45" s="19"/>
      <c r="IQK45" s="19"/>
      <c r="IQL45" s="19"/>
      <c r="IQM45" s="19"/>
      <c r="IQN45" s="19"/>
      <c r="IQO45" s="19"/>
      <c r="IQP45" s="19"/>
      <c r="IQQ45" s="19"/>
      <c r="IQR45" s="19"/>
      <c r="IQS45" s="19"/>
      <c r="IQT45" s="19"/>
      <c r="IQU45" s="19"/>
      <c r="IQV45" s="19"/>
      <c r="IQW45" s="19"/>
      <c r="IQX45" s="19"/>
      <c r="IQY45" s="19"/>
      <c r="IQZ45" s="19"/>
      <c r="IRA45" s="19"/>
      <c r="IRB45" s="19"/>
      <c r="IRC45" s="19"/>
      <c r="IRD45" s="19"/>
      <c r="IRE45" s="19"/>
      <c r="IRF45" s="19"/>
      <c r="IRG45" s="19"/>
      <c r="IRH45" s="19"/>
      <c r="IRI45" s="19"/>
      <c r="IRJ45" s="19"/>
      <c r="IRK45" s="19"/>
      <c r="IRL45" s="19"/>
      <c r="IRM45" s="19"/>
      <c r="IRN45" s="19"/>
      <c r="IRO45" s="19"/>
      <c r="IRP45" s="19"/>
      <c r="IRQ45" s="19"/>
      <c r="IRR45" s="19"/>
      <c r="IRS45" s="19"/>
      <c r="IRT45" s="19"/>
      <c r="IRU45" s="19"/>
      <c r="IRV45" s="19"/>
      <c r="IRW45" s="19"/>
      <c r="IRX45" s="19"/>
      <c r="IRY45" s="19"/>
      <c r="IRZ45" s="19"/>
      <c r="ISA45" s="19"/>
      <c r="ISB45" s="19"/>
      <c r="ISC45" s="19"/>
      <c r="ISD45" s="19"/>
      <c r="ISE45" s="19"/>
      <c r="ISF45" s="19"/>
      <c r="ISG45" s="19"/>
      <c r="ISH45" s="19"/>
      <c r="ISI45" s="19"/>
      <c r="ISJ45" s="19"/>
      <c r="ISK45" s="19"/>
      <c r="ISL45" s="19"/>
      <c r="ISM45" s="19"/>
      <c r="ISN45" s="19"/>
      <c r="ISO45" s="19"/>
      <c r="ISP45" s="19"/>
      <c r="ISQ45" s="19"/>
      <c r="ISR45" s="19"/>
      <c r="ISS45" s="19"/>
      <c r="IST45" s="19"/>
      <c r="ISU45" s="19"/>
      <c r="ISV45" s="19"/>
      <c r="ISW45" s="19"/>
      <c r="ISX45" s="19"/>
      <c r="ISY45" s="19"/>
      <c r="ISZ45" s="19"/>
      <c r="ITA45" s="19"/>
      <c r="ITB45" s="19"/>
      <c r="ITC45" s="19"/>
      <c r="ITD45" s="19"/>
      <c r="ITE45" s="19"/>
      <c r="ITF45" s="19"/>
      <c r="ITG45" s="19"/>
      <c r="ITH45" s="19"/>
      <c r="ITI45" s="19"/>
      <c r="ITJ45" s="19"/>
      <c r="ITK45" s="19"/>
      <c r="ITL45" s="19"/>
      <c r="ITM45" s="19"/>
      <c r="ITN45" s="19"/>
      <c r="ITO45" s="19"/>
      <c r="ITP45" s="19"/>
      <c r="ITQ45" s="19"/>
      <c r="ITR45" s="19"/>
      <c r="ITS45" s="19"/>
      <c r="ITT45" s="19"/>
      <c r="ITU45" s="19"/>
      <c r="ITV45" s="19"/>
      <c r="ITW45" s="19"/>
      <c r="ITX45" s="19"/>
      <c r="ITY45" s="19"/>
      <c r="ITZ45" s="19"/>
      <c r="IUA45" s="19"/>
      <c r="IUB45" s="19"/>
      <c r="IUC45" s="19"/>
      <c r="IUD45" s="19"/>
      <c r="IUE45" s="19"/>
      <c r="IUF45" s="19"/>
      <c r="IUG45" s="19"/>
      <c r="IUH45" s="19"/>
      <c r="IUI45" s="19"/>
      <c r="IUJ45" s="19"/>
      <c r="IUK45" s="19"/>
      <c r="IUL45" s="19"/>
      <c r="IUM45" s="19"/>
      <c r="IUN45" s="19"/>
      <c r="IUO45" s="19"/>
      <c r="IUP45" s="19"/>
      <c r="IUQ45" s="19"/>
      <c r="IUR45" s="19"/>
      <c r="IUS45" s="19"/>
      <c r="IUT45" s="19"/>
      <c r="IUU45" s="19"/>
      <c r="IUV45" s="19"/>
      <c r="IUW45" s="19"/>
      <c r="IUX45" s="19"/>
      <c r="IUY45" s="19"/>
      <c r="IUZ45" s="19"/>
      <c r="IVA45" s="19"/>
      <c r="IVB45" s="19"/>
      <c r="IVC45" s="19"/>
      <c r="IVD45" s="19"/>
      <c r="IVE45" s="19"/>
      <c r="IVF45" s="19"/>
      <c r="IVG45" s="19"/>
      <c r="IVH45" s="19"/>
      <c r="IVI45" s="19"/>
      <c r="IVJ45" s="19"/>
      <c r="IVK45" s="19"/>
      <c r="IVL45" s="19"/>
      <c r="IVM45" s="19"/>
      <c r="IVN45" s="19"/>
      <c r="IVO45" s="19"/>
      <c r="IVP45" s="19"/>
      <c r="IVQ45" s="19"/>
      <c r="IVR45" s="19"/>
      <c r="IVS45" s="19"/>
      <c r="IVT45" s="19"/>
      <c r="IVU45" s="19"/>
      <c r="IVV45" s="19"/>
      <c r="IVW45" s="19"/>
      <c r="IVX45" s="19"/>
      <c r="IVY45" s="19"/>
      <c r="IVZ45" s="19"/>
      <c r="IWA45" s="19"/>
      <c r="IWB45" s="19"/>
      <c r="IWC45" s="19"/>
      <c r="IWD45" s="19"/>
      <c r="IWE45" s="19"/>
      <c r="IWF45" s="19"/>
      <c r="IWG45" s="19"/>
      <c r="IWH45" s="19"/>
      <c r="IWI45" s="19"/>
      <c r="IWJ45" s="19"/>
      <c r="IWK45" s="19"/>
      <c r="IWL45" s="19"/>
      <c r="IWM45" s="19"/>
      <c r="IWN45" s="19"/>
      <c r="IWO45" s="19"/>
      <c r="IWP45" s="19"/>
      <c r="IWQ45" s="19"/>
      <c r="IWR45" s="19"/>
      <c r="IWS45" s="19"/>
      <c r="IWT45" s="19"/>
      <c r="IWU45" s="19"/>
      <c r="IWV45" s="19"/>
      <c r="IWW45" s="19"/>
      <c r="IWX45" s="19"/>
      <c r="IWY45" s="19"/>
      <c r="IWZ45" s="19"/>
      <c r="IXA45" s="19"/>
      <c r="IXB45" s="19"/>
      <c r="IXC45" s="19"/>
      <c r="IXD45" s="19"/>
      <c r="IXE45" s="19"/>
      <c r="IXF45" s="19"/>
      <c r="IXG45" s="19"/>
      <c r="IXH45" s="19"/>
      <c r="IXI45" s="19"/>
      <c r="IXJ45" s="19"/>
      <c r="IXK45" s="19"/>
      <c r="IXL45" s="19"/>
      <c r="IXM45" s="19"/>
      <c r="IXN45" s="19"/>
      <c r="IXO45" s="19"/>
      <c r="IXP45" s="19"/>
      <c r="IXQ45" s="19"/>
      <c r="IXR45" s="19"/>
      <c r="IXS45" s="19"/>
      <c r="IXT45" s="19"/>
      <c r="IXU45" s="19"/>
      <c r="IXV45" s="19"/>
      <c r="IXW45" s="19"/>
      <c r="IXX45" s="19"/>
      <c r="IXY45" s="19"/>
      <c r="IXZ45" s="19"/>
      <c r="IYA45" s="19"/>
      <c r="IYB45" s="19"/>
      <c r="IYC45" s="19"/>
      <c r="IYD45" s="19"/>
      <c r="IYE45" s="19"/>
      <c r="IYF45" s="19"/>
      <c r="IYG45" s="19"/>
      <c r="IYH45" s="19"/>
      <c r="IYI45" s="19"/>
      <c r="IYJ45" s="19"/>
      <c r="IYK45" s="19"/>
      <c r="IYL45" s="19"/>
      <c r="IYM45" s="19"/>
      <c r="IYN45" s="19"/>
      <c r="IYO45" s="19"/>
      <c r="IYP45" s="19"/>
      <c r="IYQ45" s="19"/>
      <c r="IYR45" s="19"/>
      <c r="IYS45" s="19"/>
      <c r="IYT45" s="19"/>
      <c r="IYU45" s="19"/>
      <c r="IYV45" s="19"/>
      <c r="IYW45" s="19"/>
      <c r="IYX45" s="19"/>
      <c r="IYY45" s="19"/>
      <c r="IYZ45" s="19"/>
      <c r="IZA45" s="19"/>
      <c r="IZB45" s="19"/>
      <c r="IZC45" s="19"/>
      <c r="IZD45" s="19"/>
      <c r="IZE45" s="19"/>
      <c r="IZF45" s="19"/>
      <c r="IZG45" s="19"/>
      <c r="IZH45" s="19"/>
      <c r="IZI45" s="19"/>
      <c r="IZJ45" s="19"/>
      <c r="IZK45" s="19"/>
      <c r="IZL45" s="19"/>
      <c r="IZM45" s="19"/>
      <c r="IZN45" s="19"/>
      <c r="IZO45" s="19"/>
      <c r="IZP45" s="19"/>
      <c r="IZQ45" s="19"/>
      <c r="IZR45" s="19"/>
      <c r="IZS45" s="19"/>
      <c r="IZT45" s="19"/>
      <c r="IZU45" s="19"/>
      <c r="IZV45" s="19"/>
      <c r="IZW45" s="19"/>
      <c r="IZX45" s="19"/>
      <c r="IZY45" s="19"/>
      <c r="IZZ45" s="19"/>
      <c r="JAA45" s="19"/>
      <c r="JAB45" s="19"/>
      <c r="JAC45" s="19"/>
      <c r="JAD45" s="19"/>
      <c r="JAE45" s="19"/>
      <c r="JAF45" s="19"/>
      <c r="JAG45" s="19"/>
      <c r="JAH45" s="19"/>
      <c r="JAI45" s="19"/>
      <c r="JAJ45" s="19"/>
      <c r="JAK45" s="19"/>
      <c r="JAL45" s="19"/>
      <c r="JAM45" s="19"/>
      <c r="JAN45" s="19"/>
      <c r="JAO45" s="19"/>
      <c r="JAP45" s="19"/>
      <c r="JAQ45" s="19"/>
      <c r="JAR45" s="19"/>
      <c r="JAS45" s="19"/>
      <c r="JAT45" s="19"/>
      <c r="JAU45" s="19"/>
      <c r="JAV45" s="19"/>
      <c r="JAW45" s="19"/>
      <c r="JAX45" s="19"/>
      <c r="JAY45" s="19"/>
      <c r="JAZ45" s="19"/>
      <c r="JBA45" s="19"/>
      <c r="JBB45" s="19"/>
      <c r="JBC45" s="19"/>
      <c r="JBD45" s="19"/>
      <c r="JBE45" s="19"/>
      <c r="JBF45" s="19"/>
      <c r="JBG45" s="19"/>
      <c r="JBH45" s="19"/>
      <c r="JBI45" s="19"/>
      <c r="JBJ45" s="19"/>
      <c r="JBK45" s="19"/>
      <c r="JBL45" s="19"/>
      <c r="JBM45" s="19"/>
      <c r="JBN45" s="19"/>
      <c r="JBO45" s="19"/>
      <c r="JBP45" s="19"/>
      <c r="JBQ45" s="19"/>
      <c r="JBR45" s="19"/>
      <c r="JBS45" s="19"/>
      <c r="JBT45" s="19"/>
      <c r="JBU45" s="19"/>
      <c r="JBV45" s="19"/>
      <c r="JBW45" s="19"/>
      <c r="JBX45" s="19"/>
      <c r="JBY45" s="19"/>
      <c r="JBZ45" s="19"/>
      <c r="JCA45" s="19"/>
      <c r="JCB45" s="19"/>
      <c r="JCC45" s="19"/>
      <c r="JCD45" s="19"/>
      <c r="JCE45" s="19"/>
      <c r="JCF45" s="19"/>
      <c r="JCG45" s="19"/>
      <c r="JCH45" s="19"/>
      <c r="JCI45" s="19"/>
      <c r="JCJ45" s="19"/>
      <c r="JCK45" s="19"/>
      <c r="JCL45" s="19"/>
      <c r="JCM45" s="19"/>
      <c r="JCN45" s="19"/>
      <c r="JCO45" s="19"/>
      <c r="JCP45" s="19"/>
      <c r="JCQ45" s="19"/>
      <c r="JCR45" s="19"/>
      <c r="JCS45" s="19"/>
      <c r="JCT45" s="19"/>
      <c r="JCU45" s="19"/>
      <c r="JCV45" s="19"/>
      <c r="JCW45" s="19"/>
      <c r="JCX45" s="19"/>
      <c r="JCY45" s="19"/>
      <c r="JCZ45" s="19"/>
      <c r="JDA45" s="19"/>
      <c r="JDB45" s="19"/>
      <c r="JDC45" s="19"/>
      <c r="JDD45" s="19"/>
      <c r="JDE45" s="19"/>
      <c r="JDF45" s="19"/>
      <c r="JDG45" s="19"/>
      <c r="JDH45" s="19"/>
      <c r="JDI45" s="19"/>
      <c r="JDJ45" s="19"/>
      <c r="JDK45" s="19"/>
      <c r="JDL45" s="19"/>
      <c r="JDM45" s="19"/>
      <c r="JDN45" s="19"/>
      <c r="JDO45" s="19"/>
      <c r="JDP45" s="19"/>
      <c r="JDQ45" s="19"/>
      <c r="JDR45" s="19"/>
      <c r="JDS45" s="19"/>
      <c r="JDT45" s="19"/>
      <c r="JDU45" s="19"/>
      <c r="JDV45" s="19"/>
      <c r="JDW45" s="19"/>
      <c r="JDX45" s="19"/>
      <c r="JDY45" s="19"/>
      <c r="JDZ45" s="19"/>
      <c r="JEA45" s="19"/>
      <c r="JEB45" s="19"/>
      <c r="JEC45" s="19"/>
      <c r="JED45" s="19"/>
      <c r="JEE45" s="19"/>
      <c r="JEF45" s="19"/>
      <c r="JEG45" s="19"/>
      <c r="JEH45" s="19"/>
      <c r="JEI45" s="19"/>
      <c r="JEJ45" s="19"/>
      <c r="JEK45" s="19"/>
      <c r="JEL45" s="19"/>
      <c r="JEM45" s="19"/>
      <c r="JEN45" s="19"/>
      <c r="JEO45" s="19"/>
      <c r="JEP45" s="19"/>
      <c r="JEQ45" s="19"/>
      <c r="JER45" s="19"/>
      <c r="JES45" s="19"/>
      <c r="JET45" s="19"/>
      <c r="JEU45" s="19"/>
      <c r="JEV45" s="19"/>
      <c r="JEW45" s="19"/>
      <c r="JEX45" s="19"/>
      <c r="JEY45" s="19"/>
      <c r="JEZ45" s="19"/>
      <c r="JFA45" s="19"/>
      <c r="JFB45" s="19"/>
      <c r="JFC45" s="19"/>
      <c r="JFD45" s="19"/>
      <c r="JFE45" s="19"/>
      <c r="JFF45" s="19"/>
      <c r="JFG45" s="19"/>
      <c r="JFH45" s="19"/>
      <c r="JFI45" s="19"/>
      <c r="JFJ45" s="19"/>
      <c r="JFK45" s="19"/>
      <c r="JFL45" s="19"/>
      <c r="JFM45" s="19"/>
      <c r="JFN45" s="19"/>
      <c r="JFO45" s="19"/>
      <c r="JFP45" s="19"/>
      <c r="JFQ45" s="19"/>
      <c r="JFR45" s="19"/>
      <c r="JFS45" s="19"/>
      <c r="JFT45" s="19"/>
      <c r="JFU45" s="19"/>
      <c r="JFV45" s="19"/>
      <c r="JFW45" s="19"/>
      <c r="JFX45" s="19"/>
      <c r="JFY45" s="19"/>
      <c r="JFZ45" s="19"/>
      <c r="JGA45" s="19"/>
      <c r="JGB45" s="19"/>
      <c r="JGC45" s="19"/>
      <c r="JGD45" s="19"/>
      <c r="JGE45" s="19"/>
      <c r="JGF45" s="19"/>
      <c r="JGG45" s="19"/>
      <c r="JGH45" s="19"/>
      <c r="JGI45" s="19"/>
      <c r="JGJ45" s="19"/>
      <c r="JGK45" s="19"/>
      <c r="JGL45" s="19"/>
      <c r="JGM45" s="19"/>
      <c r="JGN45" s="19"/>
      <c r="JGO45" s="19"/>
      <c r="JGP45" s="19"/>
      <c r="JGQ45" s="19"/>
      <c r="JGR45" s="19"/>
      <c r="JGS45" s="19"/>
      <c r="JGT45" s="19"/>
      <c r="JGU45" s="19"/>
      <c r="JGV45" s="19"/>
      <c r="JGW45" s="19"/>
      <c r="JGX45" s="19"/>
      <c r="JGY45" s="19"/>
      <c r="JGZ45" s="19"/>
      <c r="JHA45" s="19"/>
      <c r="JHB45" s="19"/>
      <c r="JHC45" s="19"/>
      <c r="JHD45" s="19"/>
      <c r="JHE45" s="19"/>
      <c r="JHF45" s="19"/>
      <c r="JHG45" s="19"/>
      <c r="JHH45" s="19"/>
      <c r="JHI45" s="19"/>
      <c r="JHJ45" s="19"/>
      <c r="JHK45" s="19"/>
      <c r="JHL45" s="19"/>
      <c r="JHM45" s="19"/>
      <c r="JHN45" s="19"/>
      <c r="JHO45" s="19"/>
      <c r="JHP45" s="19"/>
      <c r="JHQ45" s="19"/>
      <c r="JHR45" s="19"/>
      <c r="JHS45" s="19"/>
      <c r="JHT45" s="19"/>
      <c r="JHU45" s="19"/>
      <c r="JHV45" s="19"/>
      <c r="JHW45" s="19"/>
      <c r="JHX45" s="19"/>
      <c r="JHY45" s="19"/>
      <c r="JHZ45" s="19"/>
      <c r="JIA45" s="19"/>
      <c r="JIB45" s="19"/>
      <c r="JIC45" s="19"/>
      <c r="JID45" s="19"/>
      <c r="JIE45" s="19"/>
      <c r="JIF45" s="19"/>
      <c r="JIG45" s="19"/>
      <c r="JIH45" s="19"/>
      <c r="JII45" s="19"/>
      <c r="JIJ45" s="19"/>
      <c r="JIK45" s="19"/>
      <c r="JIL45" s="19"/>
      <c r="JIM45" s="19"/>
      <c r="JIN45" s="19"/>
      <c r="JIO45" s="19"/>
      <c r="JIP45" s="19"/>
      <c r="JIQ45" s="19"/>
      <c r="JIR45" s="19"/>
      <c r="JIS45" s="19"/>
      <c r="JIT45" s="19"/>
      <c r="JIU45" s="19"/>
      <c r="JIV45" s="19"/>
      <c r="JIW45" s="19"/>
      <c r="JIX45" s="19"/>
      <c r="JIY45" s="19"/>
      <c r="JIZ45" s="19"/>
      <c r="JJA45" s="19"/>
      <c r="JJB45" s="19"/>
      <c r="JJC45" s="19"/>
      <c r="JJD45" s="19"/>
      <c r="JJE45" s="19"/>
      <c r="JJF45" s="19"/>
      <c r="JJG45" s="19"/>
      <c r="JJH45" s="19"/>
      <c r="JJI45" s="19"/>
      <c r="JJJ45" s="19"/>
      <c r="JJK45" s="19"/>
      <c r="JJL45" s="19"/>
      <c r="JJM45" s="19"/>
      <c r="JJN45" s="19"/>
      <c r="JJO45" s="19"/>
      <c r="JJP45" s="19"/>
      <c r="JJQ45" s="19"/>
      <c r="JJR45" s="19"/>
      <c r="JJS45" s="19"/>
      <c r="JJT45" s="19"/>
      <c r="JJU45" s="19"/>
      <c r="JJV45" s="19"/>
      <c r="JJW45" s="19"/>
      <c r="JJX45" s="19"/>
      <c r="JJY45" s="19"/>
      <c r="JJZ45" s="19"/>
      <c r="JKA45" s="19"/>
      <c r="JKB45" s="19"/>
      <c r="JKC45" s="19"/>
      <c r="JKD45" s="19"/>
      <c r="JKE45" s="19"/>
      <c r="JKF45" s="19"/>
      <c r="JKG45" s="19"/>
      <c r="JKH45" s="19"/>
      <c r="JKI45" s="19"/>
      <c r="JKJ45" s="19"/>
      <c r="JKK45" s="19"/>
      <c r="JKL45" s="19"/>
      <c r="JKM45" s="19"/>
      <c r="JKN45" s="19"/>
      <c r="JKO45" s="19"/>
      <c r="JKP45" s="19"/>
      <c r="JKQ45" s="19"/>
      <c r="JKR45" s="19"/>
      <c r="JKS45" s="19"/>
      <c r="JKT45" s="19"/>
      <c r="JKU45" s="19"/>
      <c r="JKV45" s="19"/>
      <c r="JKW45" s="19"/>
      <c r="JKX45" s="19"/>
      <c r="JKY45" s="19"/>
      <c r="JKZ45" s="19"/>
      <c r="JLA45" s="19"/>
      <c r="JLB45" s="19"/>
      <c r="JLC45" s="19"/>
      <c r="JLD45" s="19"/>
      <c r="JLE45" s="19"/>
      <c r="JLF45" s="19"/>
      <c r="JLG45" s="19"/>
      <c r="JLH45" s="19"/>
      <c r="JLI45" s="19"/>
      <c r="JLJ45" s="19"/>
      <c r="JLK45" s="19"/>
      <c r="JLL45" s="19"/>
      <c r="JLM45" s="19"/>
      <c r="JLN45" s="19"/>
      <c r="JLO45" s="19"/>
      <c r="JLP45" s="19"/>
      <c r="JLQ45" s="19"/>
      <c r="JLR45" s="19"/>
      <c r="JLS45" s="19"/>
      <c r="JLT45" s="19"/>
      <c r="JLU45" s="19"/>
      <c r="JLV45" s="19"/>
      <c r="JLW45" s="19"/>
      <c r="JLX45" s="19"/>
      <c r="JLY45" s="19"/>
      <c r="JLZ45" s="19"/>
      <c r="JMA45" s="19"/>
      <c r="JMB45" s="19"/>
      <c r="JMC45" s="19"/>
      <c r="JMD45" s="19"/>
      <c r="JME45" s="19"/>
      <c r="JMF45" s="19"/>
      <c r="JMG45" s="19"/>
      <c r="JMH45" s="19"/>
      <c r="JMI45" s="19"/>
      <c r="JMJ45" s="19"/>
      <c r="JMK45" s="19"/>
      <c r="JML45" s="19"/>
      <c r="JMM45" s="19"/>
      <c r="JMN45" s="19"/>
      <c r="JMO45" s="19"/>
      <c r="JMP45" s="19"/>
      <c r="JMQ45" s="19"/>
      <c r="JMR45" s="19"/>
      <c r="JMS45" s="19"/>
      <c r="JMT45" s="19"/>
      <c r="JMU45" s="19"/>
      <c r="JMV45" s="19"/>
      <c r="JMW45" s="19"/>
      <c r="JMX45" s="19"/>
      <c r="JMY45" s="19"/>
      <c r="JMZ45" s="19"/>
      <c r="JNA45" s="19"/>
      <c r="JNB45" s="19"/>
      <c r="JNC45" s="19"/>
      <c r="JND45" s="19"/>
      <c r="JNE45" s="19"/>
      <c r="JNF45" s="19"/>
      <c r="JNG45" s="19"/>
      <c r="JNH45" s="19"/>
      <c r="JNI45" s="19"/>
      <c r="JNJ45" s="19"/>
      <c r="JNK45" s="19"/>
      <c r="JNL45" s="19"/>
      <c r="JNM45" s="19"/>
      <c r="JNN45" s="19"/>
      <c r="JNO45" s="19"/>
      <c r="JNP45" s="19"/>
      <c r="JNQ45" s="19"/>
      <c r="JNR45" s="19"/>
      <c r="JNS45" s="19"/>
      <c r="JNT45" s="19"/>
      <c r="JNU45" s="19"/>
      <c r="JNV45" s="19"/>
      <c r="JNW45" s="19"/>
      <c r="JNX45" s="19"/>
      <c r="JNY45" s="19"/>
      <c r="JNZ45" s="19"/>
      <c r="JOA45" s="19"/>
      <c r="JOB45" s="19"/>
      <c r="JOC45" s="19"/>
      <c r="JOD45" s="19"/>
      <c r="JOE45" s="19"/>
      <c r="JOF45" s="19"/>
      <c r="JOG45" s="19"/>
      <c r="JOH45" s="19"/>
      <c r="JOI45" s="19"/>
      <c r="JOJ45" s="19"/>
      <c r="JOK45" s="19"/>
      <c r="JOL45" s="19"/>
      <c r="JOM45" s="19"/>
      <c r="JON45" s="19"/>
      <c r="JOO45" s="19"/>
      <c r="JOP45" s="19"/>
      <c r="JOQ45" s="19"/>
      <c r="JOR45" s="19"/>
      <c r="JOS45" s="19"/>
      <c r="JOT45" s="19"/>
      <c r="JOU45" s="19"/>
      <c r="JOV45" s="19"/>
      <c r="JOW45" s="19"/>
      <c r="JOX45" s="19"/>
      <c r="JOY45" s="19"/>
      <c r="JOZ45" s="19"/>
      <c r="JPA45" s="19"/>
      <c r="JPB45" s="19"/>
      <c r="JPC45" s="19"/>
      <c r="JPD45" s="19"/>
      <c r="JPE45" s="19"/>
      <c r="JPF45" s="19"/>
      <c r="JPG45" s="19"/>
      <c r="JPH45" s="19"/>
      <c r="JPI45" s="19"/>
      <c r="JPJ45" s="19"/>
      <c r="JPK45" s="19"/>
      <c r="JPL45" s="19"/>
      <c r="JPM45" s="19"/>
      <c r="JPN45" s="19"/>
      <c r="JPO45" s="19"/>
      <c r="JPP45" s="19"/>
      <c r="JPQ45" s="19"/>
      <c r="JPR45" s="19"/>
      <c r="JPS45" s="19"/>
      <c r="JPT45" s="19"/>
      <c r="JPU45" s="19"/>
      <c r="JPV45" s="19"/>
      <c r="JPW45" s="19"/>
      <c r="JPX45" s="19"/>
      <c r="JPY45" s="19"/>
      <c r="JPZ45" s="19"/>
      <c r="JQA45" s="19"/>
      <c r="JQB45" s="19"/>
      <c r="JQC45" s="19"/>
      <c r="JQD45" s="19"/>
      <c r="JQE45" s="19"/>
      <c r="JQF45" s="19"/>
      <c r="JQG45" s="19"/>
      <c r="JQH45" s="19"/>
      <c r="JQI45" s="19"/>
      <c r="JQJ45" s="19"/>
      <c r="JQK45" s="19"/>
      <c r="JQL45" s="19"/>
      <c r="JQM45" s="19"/>
      <c r="JQN45" s="19"/>
      <c r="JQO45" s="19"/>
      <c r="JQP45" s="19"/>
      <c r="JQQ45" s="19"/>
      <c r="JQR45" s="19"/>
      <c r="JQS45" s="19"/>
      <c r="JQT45" s="19"/>
      <c r="JQU45" s="19"/>
      <c r="JQV45" s="19"/>
      <c r="JQW45" s="19"/>
      <c r="JQX45" s="19"/>
      <c r="JQY45" s="19"/>
      <c r="JQZ45" s="19"/>
      <c r="JRA45" s="19"/>
      <c r="JRB45" s="19"/>
      <c r="JRC45" s="19"/>
      <c r="JRD45" s="19"/>
      <c r="JRE45" s="19"/>
      <c r="JRF45" s="19"/>
      <c r="JRG45" s="19"/>
      <c r="JRH45" s="19"/>
      <c r="JRI45" s="19"/>
      <c r="JRJ45" s="19"/>
      <c r="JRK45" s="19"/>
      <c r="JRL45" s="19"/>
      <c r="JRM45" s="19"/>
      <c r="JRN45" s="19"/>
      <c r="JRO45" s="19"/>
      <c r="JRP45" s="19"/>
      <c r="JRQ45" s="19"/>
      <c r="JRR45" s="19"/>
      <c r="JRS45" s="19"/>
      <c r="JRT45" s="19"/>
      <c r="JRU45" s="19"/>
      <c r="JRV45" s="19"/>
      <c r="JRW45" s="19"/>
      <c r="JRX45" s="19"/>
      <c r="JRY45" s="19"/>
      <c r="JRZ45" s="19"/>
      <c r="JSA45" s="19"/>
      <c r="JSB45" s="19"/>
      <c r="JSC45" s="19"/>
      <c r="JSD45" s="19"/>
      <c r="JSE45" s="19"/>
      <c r="JSF45" s="19"/>
      <c r="JSG45" s="19"/>
      <c r="JSH45" s="19"/>
      <c r="JSI45" s="19"/>
      <c r="JSJ45" s="19"/>
      <c r="JSK45" s="19"/>
      <c r="JSL45" s="19"/>
      <c r="JSM45" s="19"/>
      <c r="JSN45" s="19"/>
      <c r="JSO45" s="19"/>
      <c r="JSP45" s="19"/>
      <c r="JSQ45" s="19"/>
      <c r="JSR45" s="19"/>
      <c r="JSS45" s="19"/>
      <c r="JST45" s="19"/>
      <c r="JSU45" s="19"/>
      <c r="JSV45" s="19"/>
      <c r="JSW45" s="19"/>
      <c r="JSX45" s="19"/>
      <c r="JSY45" s="19"/>
      <c r="JSZ45" s="19"/>
      <c r="JTA45" s="19"/>
      <c r="JTB45" s="19"/>
      <c r="JTC45" s="19"/>
      <c r="JTD45" s="19"/>
      <c r="JTE45" s="19"/>
      <c r="JTF45" s="19"/>
      <c r="JTG45" s="19"/>
      <c r="JTH45" s="19"/>
      <c r="JTI45" s="19"/>
      <c r="JTJ45" s="19"/>
      <c r="JTK45" s="19"/>
      <c r="JTL45" s="19"/>
      <c r="JTM45" s="19"/>
      <c r="JTN45" s="19"/>
      <c r="JTO45" s="19"/>
      <c r="JTP45" s="19"/>
      <c r="JTQ45" s="19"/>
      <c r="JTR45" s="19"/>
      <c r="JTS45" s="19"/>
      <c r="JTT45" s="19"/>
      <c r="JTU45" s="19"/>
      <c r="JTV45" s="19"/>
      <c r="JTW45" s="19"/>
      <c r="JTX45" s="19"/>
      <c r="JTY45" s="19"/>
      <c r="JTZ45" s="19"/>
      <c r="JUA45" s="19"/>
      <c r="JUB45" s="19"/>
      <c r="JUC45" s="19"/>
      <c r="JUD45" s="19"/>
      <c r="JUE45" s="19"/>
      <c r="JUF45" s="19"/>
      <c r="JUG45" s="19"/>
      <c r="JUH45" s="19"/>
      <c r="JUI45" s="19"/>
      <c r="JUJ45" s="19"/>
      <c r="JUK45" s="19"/>
      <c r="JUL45" s="19"/>
      <c r="JUM45" s="19"/>
      <c r="JUN45" s="19"/>
      <c r="JUO45" s="19"/>
      <c r="JUP45" s="19"/>
      <c r="JUQ45" s="19"/>
      <c r="JUR45" s="19"/>
      <c r="JUS45" s="19"/>
      <c r="JUT45" s="19"/>
      <c r="JUU45" s="19"/>
      <c r="JUV45" s="19"/>
      <c r="JUW45" s="19"/>
      <c r="JUX45" s="19"/>
      <c r="JUY45" s="19"/>
      <c r="JUZ45" s="19"/>
      <c r="JVA45" s="19"/>
      <c r="JVB45" s="19"/>
      <c r="JVC45" s="19"/>
      <c r="JVD45" s="19"/>
      <c r="JVE45" s="19"/>
      <c r="JVF45" s="19"/>
      <c r="JVG45" s="19"/>
      <c r="JVH45" s="19"/>
      <c r="JVI45" s="19"/>
      <c r="JVJ45" s="19"/>
      <c r="JVK45" s="19"/>
      <c r="JVL45" s="19"/>
      <c r="JVM45" s="19"/>
      <c r="JVN45" s="19"/>
      <c r="JVO45" s="19"/>
      <c r="JVP45" s="19"/>
      <c r="JVQ45" s="19"/>
      <c r="JVR45" s="19"/>
      <c r="JVS45" s="19"/>
      <c r="JVT45" s="19"/>
      <c r="JVU45" s="19"/>
      <c r="JVV45" s="19"/>
      <c r="JVW45" s="19"/>
      <c r="JVX45" s="19"/>
      <c r="JVY45" s="19"/>
      <c r="JVZ45" s="19"/>
      <c r="JWA45" s="19"/>
      <c r="JWB45" s="19"/>
      <c r="JWC45" s="19"/>
      <c r="JWD45" s="19"/>
      <c r="JWE45" s="19"/>
      <c r="JWF45" s="19"/>
      <c r="JWG45" s="19"/>
      <c r="JWH45" s="19"/>
      <c r="JWI45" s="19"/>
      <c r="JWJ45" s="19"/>
      <c r="JWK45" s="19"/>
      <c r="JWL45" s="19"/>
      <c r="JWM45" s="19"/>
      <c r="JWN45" s="19"/>
      <c r="JWO45" s="19"/>
      <c r="JWP45" s="19"/>
      <c r="JWQ45" s="19"/>
      <c r="JWR45" s="19"/>
      <c r="JWS45" s="19"/>
      <c r="JWT45" s="19"/>
      <c r="JWU45" s="19"/>
      <c r="JWV45" s="19"/>
      <c r="JWW45" s="19"/>
      <c r="JWX45" s="19"/>
      <c r="JWY45" s="19"/>
      <c r="JWZ45" s="19"/>
      <c r="JXA45" s="19"/>
      <c r="JXB45" s="19"/>
      <c r="JXC45" s="19"/>
      <c r="JXD45" s="19"/>
      <c r="JXE45" s="19"/>
      <c r="JXF45" s="19"/>
      <c r="JXG45" s="19"/>
      <c r="JXH45" s="19"/>
      <c r="JXI45" s="19"/>
      <c r="JXJ45" s="19"/>
      <c r="JXK45" s="19"/>
      <c r="JXL45" s="19"/>
      <c r="JXM45" s="19"/>
      <c r="JXN45" s="19"/>
      <c r="JXO45" s="19"/>
      <c r="JXP45" s="19"/>
      <c r="JXQ45" s="19"/>
      <c r="JXR45" s="19"/>
      <c r="JXS45" s="19"/>
      <c r="JXT45" s="19"/>
      <c r="JXU45" s="19"/>
      <c r="JXV45" s="19"/>
      <c r="JXW45" s="19"/>
      <c r="JXX45" s="19"/>
      <c r="JXY45" s="19"/>
      <c r="JXZ45" s="19"/>
      <c r="JYA45" s="19"/>
      <c r="JYB45" s="19"/>
      <c r="JYC45" s="19"/>
      <c r="JYD45" s="19"/>
      <c r="JYE45" s="19"/>
      <c r="JYF45" s="19"/>
      <c r="JYG45" s="19"/>
      <c r="JYH45" s="19"/>
      <c r="JYI45" s="19"/>
      <c r="JYJ45" s="19"/>
      <c r="JYK45" s="19"/>
      <c r="JYL45" s="19"/>
      <c r="JYM45" s="19"/>
      <c r="JYN45" s="19"/>
      <c r="JYO45" s="19"/>
      <c r="JYP45" s="19"/>
      <c r="JYQ45" s="19"/>
      <c r="JYR45" s="19"/>
      <c r="JYS45" s="19"/>
      <c r="JYT45" s="19"/>
      <c r="JYU45" s="19"/>
      <c r="JYV45" s="19"/>
      <c r="JYW45" s="19"/>
      <c r="JYX45" s="19"/>
      <c r="JYY45" s="19"/>
      <c r="JYZ45" s="19"/>
      <c r="JZA45" s="19"/>
      <c r="JZB45" s="19"/>
      <c r="JZC45" s="19"/>
      <c r="JZD45" s="19"/>
      <c r="JZE45" s="19"/>
      <c r="JZF45" s="19"/>
      <c r="JZG45" s="19"/>
      <c r="JZH45" s="19"/>
      <c r="JZI45" s="19"/>
      <c r="JZJ45" s="19"/>
      <c r="JZK45" s="19"/>
      <c r="JZL45" s="19"/>
      <c r="JZM45" s="19"/>
      <c r="JZN45" s="19"/>
      <c r="JZO45" s="19"/>
      <c r="JZP45" s="19"/>
      <c r="JZQ45" s="19"/>
      <c r="JZR45" s="19"/>
      <c r="JZS45" s="19"/>
      <c r="JZT45" s="19"/>
      <c r="JZU45" s="19"/>
      <c r="JZV45" s="19"/>
      <c r="JZW45" s="19"/>
      <c r="JZX45" s="19"/>
      <c r="JZY45" s="19"/>
      <c r="JZZ45" s="19"/>
      <c r="KAA45" s="19"/>
      <c r="KAB45" s="19"/>
      <c r="KAC45" s="19"/>
      <c r="KAD45" s="19"/>
      <c r="KAE45" s="19"/>
      <c r="KAF45" s="19"/>
      <c r="KAG45" s="19"/>
      <c r="KAH45" s="19"/>
      <c r="KAI45" s="19"/>
      <c r="KAJ45" s="19"/>
      <c r="KAK45" s="19"/>
      <c r="KAL45" s="19"/>
      <c r="KAM45" s="19"/>
      <c r="KAN45" s="19"/>
      <c r="KAO45" s="19"/>
      <c r="KAP45" s="19"/>
      <c r="KAQ45" s="19"/>
      <c r="KAR45" s="19"/>
      <c r="KAS45" s="19"/>
      <c r="KAT45" s="19"/>
      <c r="KAU45" s="19"/>
      <c r="KAV45" s="19"/>
      <c r="KAW45" s="19"/>
      <c r="KAX45" s="19"/>
      <c r="KAY45" s="19"/>
      <c r="KAZ45" s="19"/>
      <c r="KBA45" s="19"/>
      <c r="KBB45" s="19"/>
      <c r="KBC45" s="19"/>
      <c r="KBD45" s="19"/>
      <c r="KBE45" s="19"/>
      <c r="KBF45" s="19"/>
      <c r="KBG45" s="19"/>
      <c r="KBH45" s="19"/>
      <c r="KBI45" s="19"/>
      <c r="KBJ45" s="19"/>
      <c r="KBK45" s="19"/>
      <c r="KBL45" s="19"/>
      <c r="KBM45" s="19"/>
      <c r="KBN45" s="19"/>
      <c r="KBO45" s="19"/>
      <c r="KBP45" s="19"/>
      <c r="KBQ45" s="19"/>
      <c r="KBR45" s="19"/>
      <c r="KBS45" s="19"/>
      <c r="KBT45" s="19"/>
      <c r="KBU45" s="19"/>
      <c r="KBV45" s="19"/>
      <c r="KBW45" s="19"/>
      <c r="KBX45" s="19"/>
      <c r="KBY45" s="19"/>
      <c r="KBZ45" s="19"/>
      <c r="KCA45" s="19"/>
      <c r="KCB45" s="19"/>
      <c r="KCC45" s="19"/>
      <c r="KCD45" s="19"/>
      <c r="KCE45" s="19"/>
      <c r="KCF45" s="19"/>
      <c r="KCG45" s="19"/>
      <c r="KCH45" s="19"/>
      <c r="KCI45" s="19"/>
      <c r="KCJ45" s="19"/>
      <c r="KCK45" s="19"/>
      <c r="KCL45" s="19"/>
      <c r="KCM45" s="19"/>
      <c r="KCN45" s="19"/>
      <c r="KCO45" s="19"/>
      <c r="KCP45" s="19"/>
      <c r="KCQ45" s="19"/>
      <c r="KCR45" s="19"/>
      <c r="KCS45" s="19"/>
      <c r="KCT45" s="19"/>
      <c r="KCU45" s="19"/>
      <c r="KCV45" s="19"/>
      <c r="KCW45" s="19"/>
      <c r="KCX45" s="19"/>
      <c r="KCY45" s="19"/>
      <c r="KCZ45" s="19"/>
      <c r="KDA45" s="19"/>
      <c r="KDB45" s="19"/>
      <c r="KDC45" s="19"/>
      <c r="KDD45" s="19"/>
      <c r="KDE45" s="19"/>
      <c r="KDF45" s="19"/>
      <c r="KDG45" s="19"/>
      <c r="KDH45" s="19"/>
      <c r="KDI45" s="19"/>
      <c r="KDJ45" s="19"/>
      <c r="KDK45" s="19"/>
      <c r="KDL45" s="19"/>
      <c r="KDM45" s="19"/>
      <c r="KDN45" s="19"/>
      <c r="KDO45" s="19"/>
      <c r="KDP45" s="19"/>
      <c r="KDQ45" s="19"/>
      <c r="KDR45" s="19"/>
      <c r="KDS45" s="19"/>
      <c r="KDT45" s="19"/>
      <c r="KDU45" s="19"/>
      <c r="KDV45" s="19"/>
      <c r="KDW45" s="19"/>
      <c r="KDX45" s="19"/>
      <c r="KDY45" s="19"/>
      <c r="KDZ45" s="19"/>
      <c r="KEA45" s="19"/>
      <c r="KEB45" s="19"/>
      <c r="KEC45" s="19"/>
      <c r="KED45" s="19"/>
      <c r="KEE45" s="19"/>
      <c r="KEF45" s="19"/>
      <c r="KEG45" s="19"/>
      <c r="KEH45" s="19"/>
      <c r="KEI45" s="19"/>
      <c r="KEJ45" s="19"/>
      <c r="KEK45" s="19"/>
      <c r="KEL45" s="19"/>
      <c r="KEM45" s="19"/>
      <c r="KEN45" s="19"/>
      <c r="KEO45" s="19"/>
      <c r="KEP45" s="19"/>
      <c r="KEQ45" s="19"/>
      <c r="KER45" s="19"/>
      <c r="KES45" s="19"/>
      <c r="KET45" s="19"/>
      <c r="KEU45" s="19"/>
      <c r="KEV45" s="19"/>
      <c r="KEW45" s="19"/>
      <c r="KEX45" s="19"/>
      <c r="KEY45" s="19"/>
      <c r="KEZ45" s="19"/>
      <c r="KFA45" s="19"/>
      <c r="KFB45" s="19"/>
      <c r="KFC45" s="19"/>
      <c r="KFD45" s="19"/>
      <c r="KFE45" s="19"/>
      <c r="KFF45" s="19"/>
      <c r="KFG45" s="19"/>
      <c r="KFH45" s="19"/>
      <c r="KFI45" s="19"/>
      <c r="KFJ45" s="19"/>
      <c r="KFK45" s="19"/>
      <c r="KFL45" s="19"/>
      <c r="KFM45" s="19"/>
      <c r="KFN45" s="19"/>
      <c r="KFO45" s="19"/>
      <c r="KFP45" s="19"/>
      <c r="KFQ45" s="19"/>
      <c r="KFR45" s="19"/>
      <c r="KFS45" s="19"/>
      <c r="KFT45" s="19"/>
      <c r="KFU45" s="19"/>
      <c r="KFV45" s="19"/>
      <c r="KFW45" s="19"/>
      <c r="KFX45" s="19"/>
      <c r="KFY45" s="19"/>
      <c r="KFZ45" s="19"/>
      <c r="KGA45" s="19"/>
      <c r="KGB45" s="19"/>
      <c r="KGC45" s="19"/>
      <c r="KGD45" s="19"/>
      <c r="KGE45" s="19"/>
      <c r="KGF45" s="19"/>
      <c r="KGG45" s="19"/>
      <c r="KGH45" s="19"/>
      <c r="KGI45" s="19"/>
      <c r="KGJ45" s="19"/>
      <c r="KGK45" s="19"/>
      <c r="KGL45" s="19"/>
      <c r="KGM45" s="19"/>
      <c r="KGN45" s="19"/>
      <c r="KGO45" s="19"/>
      <c r="KGP45" s="19"/>
      <c r="KGQ45" s="19"/>
      <c r="KGR45" s="19"/>
      <c r="KGS45" s="19"/>
      <c r="KGT45" s="19"/>
      <c r="KGU45" s="19"/>
      <c r="KGV45" s="19"/>
      <c r="KGW45" s="19"/>
      <c r="KGX45" s="19"/>
      <c r="KGY45" s="19"/>
      <c r="KGZ45" s="19"/>
      <c r="KHA45" s="19"/>
      <c r="KHB45" s="19"/>
      <c r="KHC45" s="19"/>
      <c r="KHD45" s="19"/>
      <c r="KHE45" s="19"/>
      <c r="KHF45" s="19"/>
      <c r="KHG45" s="19"/>
      <c r="KHH45" s="19"/>
      <c r="KHI45" s="19"/>
      <c r="KHJ45" s="19"/>
      <c r="KHK45" s="19"/>
      <c r="KHL45" s="19"/>
      <c r="KHM45" s="19"/>
      <c r="KHN45" s="19"/>
      <c r="KHO45" s="19"/>
      <c r="KHP45" s="19"/>
      <c r="KHQ45" s="19"/>
      <c r="KHR45" s="19"/>
      <c r="KHS45" s="19"/>
      <c r="KHT45" s="19"/>
      <c r="KHU45" s="19"/>
      <c r="KHV45" s="19"/>
      <c r="KHW45" s="19"/>
      <c r="KHX45" s="19"/>
      <c r="KHY45" s="19"/>
      <c r="KHZ45" s="19"/>
      <c r="KIA45" s="19"/>
      <c r="KIB45" s="19"/>
      <c r="KIC45" s="19"/>
      <c r="KID45" s="19"/>
      <c r="KIE45" s="19"/>
      <c r="KIF45" s="19"/>
      <c r="KIG45" s="19"/>
      <c r="KIH45" s="19"/>
      <c r="KII45" s="19"/>
      <c r="KIJ45" s="19"/>
      <c r="KIK45" s="19"/>
      <c r="KIL45" s="19"/>
      <c r="KIM45" s="19"/>
      <c r="KIN45" s="19"/>
      <c r="KIO45" s="19"/>
      <c r="KIP45" s="19"/>
      <c r="KIQ45" s="19"/>
      <c r="KIR45" s="19"/>
      <c r="KIS45" s="19"/>
      <c r="KIT45" s="19"/>
      <c r="KIU45" s="19"/>
      <c r="KIV45" s="19"/>
      <c r="KIW45" s="19"/>
      <c r="KIX45" s="19"/>
      <c r="KIY45" s="19"/>
      <c r="KIZ45" s="19"/>
      <c r="KJA45" s="19"/>
      <c r="KJB45" s="19"/>
      <c r="KJC45" s="19"/>
      <c r="KJD45" s="19"/>
      <c r="KJE45" s="19"/>
      <c r="KJF45" s="19"/>
      <c r="KJG45" s="19"/>
      <c r="KJH45" s="19"/>
      <c r="KJI45" s="19"/>
      <c r="KJJ45" s="19"/>
      <c r="KJK45" s="19"/>
      <c r="KJL45" s="19"/>
      <c r="KJM45" s="19"/>
      <c r="KJN45" s="19"/>
      <c r="KJO45" s="19"/>
      <c r="KJP45" s="19"/>
      <c r="KJQ45" s="19"/>
      <c r="KJR45" s="19"/>
      <c r="KJS45" s="19"/>
      <c r="KJT45" s="19"/>
      <c r="KJU45" s="19"/>
      <c r="KJV45" s="19"/>
      <c r="KJW45" s="19"/>
      <c r="KJX45" s="19"/>
      <c r="KJY45" s="19"/>
      <c r="KJZ45" s="19"/>
      <c r="KKA45" s="19"/>
      <c r="KKB45" s="19"/>
      <c r="KKC45" s="19"/>
      <c r="KKD45" s="19"/>
      <c r="KKE45" s="19"/>
      <c r="KKF45" s="19"/>
      <c r="KKG45" s="19"/>
      <c r="KKH45" s="19"/>
      <c r="KKI45" s="19"/>
      <c r="KKJ45" s="19"/>
      <c r="KKK45" s="19"/>
      <c r="KKL45" s="19"/>
      <c r="KKM45" s="19"/>
      <c r="KKN45" s="19"/>
      <c r="KKO45" s="19"/>
      <c r="KKP45" s="19"/>
      <c r="KKQ45" s="19"/>
      <c r="KKR45" s="19"/>
      <c r="KKS45" s="19"/>
      <c r="KKT45" s="19"/>
      <c r="KKU45" s="19"/>
      <c r="KKV45" s="19"/>
      <c r="KKW45" s="19"/>
      <c r="KKX45" s="19"/>
      <c r="KKY45" s="19"/>
      <c r="KKZ45" s="19"/>
      <c r="KLA45" s="19"/>
      <c r="KLB45" s="19"/>
      <c r="KLC45" s="19"/>
      <c r="KLD45" s="19"/>
      <c r="KLE45" s="19"/>
      <c r="KLF45" s="19"/>
      <c r="KLG45" s="19"/>
      <c r="KLH45" s="19"/>
      <c r="KLI45" s="19"/>
      <c r="KLJ45" s="19"/>
      <c r="KLK45" s="19"/>
      <c r="KLL45" s="19"/>
      <c r="KLM45" s="19"/>
      <c r="KLN45" s="19"/>
      <c r="KLO45" s="19"/>
      <c r="KLP45" s="19"/>
      <c r="KLQ45" s="19"/>
      <c r="KLR45" s="19"/>
      <c r="KLS45" s="19"/>
      <c r="KLT45" s="19"/>
      <c r="KLU45" s="19"/>
      <c r="KLV45" s="19"/>
      <c r="KLW45" s="19"/>
      <c r="KLX45" s="19"/>
      <c r="KLY45" s="19"/>
      <c r="KLZ45" s="19"/>
      <c r="KMA45" s="19"/>
      <c r="KMB45" s="19"/>
      <c r="KMC45" s="19"/>
      <c r="KMD45" s="19"/>
      <c r="KME45" s="19"/>
      <c r="KMF45" s="19"/>
      <c r="KMG45" s="19"/>
      <c r="KMH45" s="19"/>
      <c r="KMI45" s="19"/>
      <c r="KMJ45" s="19"/>
      <c r="KMK45" s="19"/>
      <c r="KML45" s="19"/>
      <c r="KMM45" s="19"/>
      <c r="KMN45" s="19"/>
      <c r="KMO45" s="19"/>
      <c r="KMP45" s="19"/>
      <c r="KMQ45" s="19"/>
      <c r="KMR45" s="19"/>
      <c r="KMS45" s="19"/>
      <c r="KMT45" s="19"/>
      <c r="KMU45" s="19"/>
      <c r="KMV45" s="19"/>
      <c r="KMW45" s="19"/>
      <c r="KMX45" s="19"/>
      <c r="KMY45" s="19"/>
      <c r="KMZ45" s="19"/>
      <c r="KNA45" s="19"/>
      <c r="KNB45" s="19"/>
      <c r="KNC45" s="19"/>
      <c r="KND45" s="19"/>
      <c r="KNE45" s="19"/>
      <c r="KNF45" s="19"/>
      <c r="KNG45" s="19"/>
      <c r="KNH45" s="19"/>
      <c r="KNI45" s="19"/>
      <c r="KNJ45" s="19"/>
      <c r="KNK45" s="19"/>
      <c r="KNL45" s="19"/>
      <c r="KNM45" s="19"/>
      <c r="KNN45" s="19"/>
      <c r="KNO45" s="19"/>
      <c r="KNP45" s="19"/>
      <c r="KNQ45" s="19"/>
      <c r="KNR45" s="19"/>
      <c r="KNS45" s="19"/>
      <c r="KNT45" s="19"/>
      <c r="KNU45" s="19"/>
      <c r="KNV45" s="19"/>
      <c r="KNW45" s="19"/>
      <c r="KNX45" s="19"/>
      <c r="KNY45" s="19"/>
      <c r="KNZ45" s="19"/>
      <c r="KOA45" s="19"/>
      <c r="KOB45" s="19"/>
      <c r="KOC45" s="19"/>
      <c r="KOD45" s="19"/>
      <c r="KOE45" s="19"/>
      <c r="KOF45" s="19"/>
      <c r="KOG45" s="19"/>
      <c r="KOH45" s="19"/>
      <c r="KOI45" s="19"/>
      <c r="KOJ45" s="19"/>
      <c r="KOK45" s="19"/>
      <c r="KOL45" s="19"/>
      <c r="KOM45" s="19"/>
      <c r="KON45" s="19"/>
      <c r="KOO45" s="19"/>
      <c r="KOP45" s="19"/>
      <c r="KOQ45" s="19"/>
      <c r="KOR45" s="19"/>
      <c r="KOS45" s="19"/>
      <c r="KOT45" s="19"/>
      <c r="KOU45" s="19"/>
      <c r="KOV45" s="19"/>
      <c r="KOW45" s="19"/>
      <c r="KOX45" s="19"/>
      <c r="KOY45" s="19"/>
      <c r="KOZ45" s="19"/>
      <c r="KPA45" s="19"/>
      <c r="KPB45" s="19"/>
      <c r="KPC45" s="19"/>
      <c r="KPD45" s="19"/>
      <c r="KPE45" s="19"/>
      <c r="KPF45" s="19"/>
      <c r="KPG45" s="19"/>
      <c r="KPH45" s="19"/>
      <c r="KPI45" s="19"/>
      <c r="KPJ45" s="19"/>
      <c r="KPK45" s="19"/>
      <c r="KPL45" s="19"/>
      <c r="KPM45" s="19"/>
      <c r="KPN45" s="19"/>
      <c r="KPO45" s="19"/>
      <c r="KPP45" s="19"/>
      <c r="KPQ45" s="19"/>
      <c r="KPR45" s="19"/>
      <c r="KPS45" s="19"/>
      <c r="KPT45" s="19"/>
      <c r="KPU45" s="19"/>
      <c r="KPV45" s="19"/>
      <c r="KPW45" s="19"/>
      <c r="KPX45" s="19"/>
      <c r="KPY45" s="19"/>
      <c r="KPZ45" s="19"/>
      <c r="KQA45" s="19"/>
      <c r="KQB45" s="19"/>
      <c r="KQC45" s="19"/>
      <c r="KQD45" s="19"/>
      <c r="KQE45" s="19"/>
      <c r="KQF45" s="19"/>
      <c r="KQG45" s="19"/>
      <c r="KQH45" s="19"/>
      <c r="KQI45" s="19"/>
      <c r="KQJ45" s="19"/>
      <c r="KQK45" s="19"/>
      <c r="KQL45" s="19"/>
      <c r="KQM45" s="19"/>
      <c r="KQN45" s="19"/>
      <c r="KQO45" s="19"/>
      <c r="KQP45" s="19"/>
      <c r="KQQ45" s="19"/>
      <c r="KQR45" s="19"/>
      <c r="KQS45" s="19"/>
      <c r="KQT45" s="19"/>
      <c r="KQU45" s="19"/>
      <c r="KQV45" s="19"/>
      <c r="KQW45" s="19"/>
      <c r="KQX45" s="19"/>
      <c r="KQY45" s="19"/>
      <c r="KQZ45" s="19"/>
      <c r="KRA45" s="19"/>
      <c r="KRB45" s="19"/>
      <c r="KRC45" s="19"/>
      <c r="KRD45" s="19"/>
      <c r="KRE45" s="19"/>
      <c r="KRF45" s="19"/>
      <c r="KRG45" s="19"/>
      <c r="KRH45" s="19"/>
      <c r="KRI45" s="19"/>
      <c r="KRJ45" s="19"/>
      <c r="KRK45" s="19"/>
      <c r="KRL45" s="19"/>
      <c r="KRM45" s="19"/>
      <c r="KRN45" s="19"/>
      <c r="KRO45" s="19"/>
      <c r="KRP45" s="19"/>
      <c r="KRQ45" s="19"/>
      <c r="KRR45" s="19"/>
      <c r="KRS45" s="19"/>
      <c r="KRT45" s="19"/>
      <c r="KRU45" s="19"/>
      <c r="KRV45" s="19"/>
      <c r="KRW45" s="19"/>
      <c r="KRX45" s="19"/>
      <c r="KRY45" s="19"/>
      <c r="KRZ45" s="19"/>
      <c r="KSA45" s="19"/>
      <c r="KSB45" s="19"/>
      <c r="KSC45" s="19"/>
      <c r="KSD45" s="19"/>
      <c r="KSE45" s="19"/>
      <c r="KSF45" s="19"/>
      <c r="KSG45" s="19"/>
      <c r="KSH45" s="19"/>
      <c r="KSI45" s="19"/>
      <c r="KSJ45" s="19"/>
      <c r="KSK45" s="19"/>
      <c r="KSL45" s="19"/>
      <c r="KSM45" s="19"/>
      <c r="KSN45" s="19"/>
      <c r="KSO45" s="19"/>
      <c r="KSP45" s="19"/>
      <c r="KSQ45" s="19"/>
      <c r="KSR45" s="19"/>
      <c r="KSS45" s="19"/>
      <c r="KST45" s="19"/>
      <c r="KSU45" s="19"/>
      <c r="KSV45" s="19"/>
      <c r="KSW45" s="19"/>
      <c r="KSX45" s="19"/>
      <c r="KSY45" s="19"/>
      <c r="KSZ45" s="19"/>
      <c r="KTA45" s="19"/>
      <c r="KTB45" s="19"/>
      <c r="KTC45" s="19"/>
      <c r="KTD45" s="19"/>
      <c r="KTE45" s="19"/>
      <c r="KTF45" s="19"/>
      <c r="KTG45" s="19"/>
      <c r="KTH45" s="19"/>
      <c r="KTI45" s="19"/>
      <c r="KTJ45" s="19"/>
      <c r="KTK45" s="19"/>
      <c r="KTL45" s="19"/>
      <c r="KTM45" s="19"/>
      <c r="KTN45" s="19"/>
      <c r="KTO45" s="19"/>
      <c r="KTP45" s="19"/>
      <c r="KTQ45" s="19"/>
      <c r="KTR45" s="19"/>
      <c r="KTS45" s="19"/>
      <c r="KTT45" s="19"/>
      <c r="KTU45" s="19"/>
      <c r="KTV45" s="19"/>
      <c r="KTW45" s="19"/>
      <c r="KTX45" s="19"/>
      <c r="KTY45" s="19"/>
      <c r="KTZ45" s="19"/>
      <c r="KUA45" s="19"/>
      <c r="KUB45" s="19"/>
      <c r="KUC45" s="19"/>
      <c r="KUD45" s="19"/>
      <c r="KUE45" s="19"/>
      <c r="KUF45" s="19"/>
      <c r="KUG45" s="19"/>
      <c r="KUH45" s="19"/>
      <c r="KUI45" s="19"/>
      <c r="KUJ45" s="19"/>
      <c r="KUK45" s="19"/>
      <c r="KUL45" s="19"/>
      <c r="KUM45" s="19"/>
      <c r="KUN45" s="19"/>
      <c r="KUO45" s="19"/>
      <c r="KUP45" s="19"/>
      <c r="KUQ45" s="19"/>
      <c r="KUR45" s="19"/>
      <c r="KUS45" s="19"/>
      <c r="KUT45" s="19"/>
      <c r="KUU45" s="19"/>
      <c r="KUV45" s="19"/>
      <c r="KUW45" s="19"/>
      <c r="KUX45" s="19"/>
      <c r="KUY45" s="19"/>
      <c r="KUZ45" s="19"/>
      <c r="KVA45" s="19"/>
      <c r="KVB45" s="19"/>
      <c r="KVC45" s="19"/>
      <c r="KVD45" s="19"/>
      <c r="KVE45" s="19"/>
      <c r="KVF45" s="19"/>
      <c r="KVG45" s="19"/>
      <c r="KVH45" s="19"/>
      <c r="KVI45" s="19"/>
      <c r="KVJ45" s="19"/>
      <c r="KVK45" s="19"/>
      <c r="KVL45" s="19"/>
      <c r="KVM45" s="19"/>
      <c r="KVN45" s="19"/>
      <c r="KVO45" s="19"/>
      <c r="KVP45" s="19"/>
      <c r="KVQ45" s="19"/>
      <c r="KVR45" s="19"/>
      <c r="KVS45" s="19"/>
      <c r="KVT45" s="19"/>
      <c r="KVU45" s="19"/>
      <c r="KVV45" s="19"/>
      <c r="KVW45" s="19"/>
      <c r="KVX45" s="19"/>
      <c r="KVY45" s="19"/>
      <c r="KVZ45" s="19"/>
      <c r="KWA45" s="19"/>
      <c r="KWB45" s="19"/>
      <c r="KWC45" s="19"/>
      <c r="KWD45" s="19"/>
      <c r="KWE45" s="19"/>
      <c r="KWF45" s="19"/>
      <c r="KWG45" s="19"/>
      <c r="KWH45" s="19"/>
      <c r="KWI45" s="19"/>
      <c r="KWJ45" s="19"/>
      <c r="KWK45" s="19"/>
      <c r="KWL45" s="19"/>
      <c r="KWM45" s="19"/>
      <c r="KWN45" s="19"/>
      <c r="KWO45" s="19"/>
      <c r="KWP45" s="19"/>
      <c r="KWQ45" s="19"/>
      <c r="KWR45" s="19"/>
      <c r="KWS45" s="19"/>
      <c r="KWT45" s="19"/>
      <c r="KWU45" s="19"/>
      <c r="KWV45" s="19"/>
      <c r="KWW45" s="19"/>
      <c r="KWX45" s="19"/>
      <c r="KWY45" s="19"/>
      <c r="KWZ45" s="19"/>
      <c r="KXA45" s="19"/>
      <c r="KXB45" s="19"/>
      <c r="KXC45" s="19"/>
      <c r="KXD45" s="19"/>
      <c r="KXE45" s="19"/>
      <c r="KXF45" s="19"/>
      <c r="KXG45" s="19"/>
      <c r="KXH45" s="19"/>
      <c r="KXI45" s="19"/>
      <c r="KXJ45" s="19"/>
      <c r="KXK45" s="19"/>
      <c r="KXL45" s="19"/>
      <c r="KXM45" s="19"/>
      <c r="KXN45" s="19"/>
      <c r="KXO45" s="19"/>
      <c r="KXP45" s="19"/>
      <c r="KXQ45" s="19"/>
      <c r="KXR45" s="19"/>
      <c r="KXS45" s="19"/>
      <c r="KXT45" s="19"/>
      <c r="KXU45" s="19"/>
      <c r="KXV45" s="19"/>
      <c r="KXW45" s="19"/>
      <c r="KXX45" s="19"/>
      <c r="KXY45" s="19"/>
      <c r="KXZ45" s="19"/>
      <c r="KYA45" s="19"/>
      <c r="KYB45" s="19"/>
      <c r="KYC45" s="19"/>
      <c r="KYD45" s="19"/>
      <c r="KYE45" s="19"/>
      <c r="KYF45" s="19"/>
      <c r="KYG45" s="19"/>
      <c r="KYH45" s="19"/>
      <c r="KYI45" s="19"/>
      <c r="KYJ45" s="19"/>
      <c r="KYK45" s="19"/>
      <c r="KYL45" s="19"/>
      <c r="KYM45" s="19"/>
      <c r="KYN45" s="19"/>
      <c r="KYO45" s="19"/>
      <c r="KYP45" s="19"/>
      <c r="KYQ45" s="19"/>
      <c r="KYR45" s="19"/>
      <c r="KYS45" s="19"/>
      <c r="KYT45" s="19"/>
      <c r="KYU45" s="19"/>
      <c r="KYV45" s="19"/>
      <c r="KYW45" s="19"/>
      <c r="KYX45" s="19"/>
      <c r="KYY45" s="19"/>
      <c r="KYZ45" s="19"/>
      <c r="KZA45" s="19"/>
      <c r="KZB45" s="19"/>
      <c r="KZC45" s="19"/>
      <c r="KZD45" s="19"/>
      <c r="KZE45" s="19"/>
      <c r="KZF45" s="19"/>
      <c r="KZG45" s="19"/>
      <c r="KZH45" s="19"/>
      <c r="KZI45" s="19"/>
      <c r="KZJ45" s="19"/>
      <c r="KZK45" s="19"/>
      <c r="KZL45" s="19"/>
      <c r="KZM45" s="19"/>
      <c r="KZN45" s="19"/>
      <c r="KZO45" s="19"/>
      <c r="KZP45" s="19"/>
      <c r="KZQ45" s="19"/>
      <c r="KZR45" s="19"/>
      <c r="KZS45" s="19"/>
      <c r="KZT45" s="19"/>
      <c r="KZU45" s="19"/>
      <c r="KZV45" s="19"/>
      <c r="KZW45" s="19"/>
      <c r="KZX45" s="19"/>
      <c r="KZY45" s="19"/>
      <c r="KZZ45" s="19"/>
      <c r="LAA45" s="19"/>
      <c r="LAB45" s="19"/>
      <c r="LAC45" s="19"/>
      <c r="LAD45" s="19"/>
      <c r="LAE45" s="19"/>
      <c r="LAF45" s="19"/>
      <c r="LAG45" s="19"/>
      <c r="LAH45" s="19"/>
      <c r="LAI45" s="19"/>
      <c r="LAJ45" s="19"/>
      <c r="LAK45" s="19"/>
      <c r="LAL45" s="19"/>
      <c r="LAM45" s="19"/>
      <c r="LAN45" s="19"/>
      <c r="LAO45" s="19"/>
      <c r="LAP45" s="19"/>
      <c r="LAQ45" s="19"/>
      <c r="LAR45" s="19"/>
      <c r="LAS45" s="19"/>
      <c r="LAT45" s="19"/>
      <c r="LAU45" s="19"/>
      <c r="LAV45" s="19"/>
      <c r="LAW45" s="19"/>
      <c r="LAX45" s="19"/>
      <c r="LAY45" s="19"/>
      <c r="LAZ45" s="19"/>
      <c r="LBA45" s="19"/>
      <c r="LBB45" s="19"/>
      <c r="LBC45" s="19"/>
      <c r="LBD45" s="19"/>
      <c r="LBE45" s="19"/>
      <c r="LBF45" s="19"/>
      <c r="LBG45" s="19"/>
      <c r="LBH45" s="19"/>
      <c r="LBI45" s="19"/>
      <c r="LBJ45" s="19"/>
      <c r="LBK45" s="19"/>
      <c r="LBL45" s="19"/>
      <c r="LBM45" s="19"/>
      <c r="LBN45" s="19"/>
      <c r="LBO45" s="19"/>
      <c r="LBP45" s="19"/>
      <c r="LBQ45" s="19"/>
      <c r="LBR45" s="19"/>
      <c r="LBS45" s="19"/>
      <c r="LBT45" s="19"/>
      <c r="LBU45" s="19"/>
      <c r="LBV45" s="19"/>
      <c r="LBW45" s="19"/>
      <c r="LBX45" s="19"/>
      <c r="LBY45" s="19"/>
      <c r="LBZ45" s="19"/>
      <c r="LCA45" s="19"/>
      <c r="LCB45" s="19"/>
      <c r="LCC45" s="19"/>
      <c r="LCD45" s="19"/>
      <c r="LCE45" s="19"/>
      <c r="LCF45" s="19"/>
      <c r="LCG45" s="19"/>
      <c r="LCH45" s="19"/>
      <c r="LCI45" s="19"/>
      <c r="LCJ45" s="19"/>
      <c r="LCK45" s="19"/>
      <c r="LCL45" s="19"/>
      <c r="LCM45" s="19"/>
      <c r="LCN45" s="19"/>
      <c r="LCO45" s="19"/>
      <c r="LCP45" s="19"/>
      <c r="LCQ45" s="19"/>
      <c r="LCR45" s="19"/>
      <c r="LCS45" s="19"/>
      <c r="LCT45" s="19"/>
      <c r="LCU45" s="19"/>
      <c r="LCV45" s="19"/>
      <c r="LCW45" s="19"/>
      <c r="LCX45" s="19"/>
      <c r="LCY45" s="19"/>
      <c r="LCZ45" s="19"/>
      <c r="LDA45" s="19"/>
      <c r="LDB45" s="19"/>
      <c r="LDC45" s="19"/>
      <c r="LDD45" s="19"/>
      <c r="LDE45" s="19"/>
      <c r="LDF45" s="19"/>
      <c r="LDG45" s="19"/>
      <c r="LDH45" s="19"/>
      <c r="LDI45" s="19"/>
      <c r="LDJ45" s="19"/>
      <c r="LDK45" s="19"/>
      <c r="LDL45" s="19"/>
      <c r="LDM45" s="19"/>
      <c r="LDN45" s="19"/>
      <c r="LDO45" s="19"/>
      <c r="LDP45" s="19"/>
      <c r="LDQ45" s="19"/>
      <c r="LDR45" s="19"/>
      <c r="LDS45" s="19"/>
      <c r="LDT45" s="19"/>
      <c r="LDU45" s="19"/>
      <c r="LDV45" s="19"/>
      <c r="LDW45" s="19"/>
      <c r="LDX45" s="19"/>
      <c r="LDY45" s="19"/>
      <c r="LDZ45" s="19"/>
      <c r="LEA45" s="19"/>
      <c r="LEB45" s="19"/>
      <c r="LEC45" s="19"/>
      <c r="LED45" s="19"/>
      <c r="LEE45" s="19"/>
      <c r="LEF45" s="19"/>
      <c r="LEG45" s="19"/>
      <c r="LEH45" s="19"/>
      <c r="LEI45" s="19"/>
      <c r="LEJ45" s="19"/>
      <c r="LEK45" s="19"/>
      <c r="LEL45" s="19"/>
      <c r="LEM45" s="19"/>
      <c r="LEN45" s="19"/>
      <c r="LEO45" s="19"/>
      <c r="LEP45" s="19"/>
      <c r="LEQ45" s="19"/>
      <c r="LER45" s="19"/>
      <c r="LES45" s="19"/>
      <c r="LET45" s="19"/>
      <c r="LEU45" s="19"/>
      <c r="LEV45" s="19"/>
      <c r="LEW45" s="19"/>
      <c r="LEX45" s="19"/>
      <c r="LEY45" s="19"/>
      <c r="LEZ45" s="19"/>
      <c r="LFA45" s="19"/>
      <c r="LFB45" s="19"/>
      <c r="LFC45" s="19"/>
      <c r="LFD45" s="19"/>
      <c r="LFE45" s="19"/>
      <c r="LFF45" s="19"/>
      <c r="LFG45" s="19"/>
      <c r="LFH45" s="19"/>
      <c r="LFI45" s="19"/>
      <c r="LFJ45" s="19"/>
      <c r="LFK45" s="19"/>
      <c r="LFL45" s="19"/>
      <c r="LFM45" s="19"/>
      <c r="LFN45" s="19"/>
      <c r="LFO45" s="19"/>
      <c r="LFP45" s="19"/>
      <c r="LFQ45" s="19"/>
      <c r="LFR45" s="19"/>
      <c r="LFS45" s="19"/>
      <c r="LFT45" s="19"/>
      <c r="LFU45" s="19"/>
      <c r="LFV45" s="19"/>
      <c r="LFW45" s="19"/>
      <c r="LFX45" s="19"/>
      <c r="LFY45" s="19"/>
      <c r="LFZ45" s="19"/>
      <c r="LGA45" s="19"/>
      <c r="LGB45" s="19"/>
      <c r="LGC45" s="19"/>
      <c r="LGD45" s="19"/>
      <c r="LGE45" s="19"/>
      <c r="LGF45" s="19"/>
      <c r="LGG45" s="19"/>
      <c r="LGH45" s="19"/>
      <c r="LGI45" s="19"/>
      <c r="LGJ45" s="19"/>
      <c r="LGK45" s="19"/>
      <c r="LGL45" s="19"/>
      <c r="LGM45" s="19"/>
      <c r="LGN45" s="19"/>
      <c r="LGO45" s="19"/>
      <c r="LGP45" s="19"/>
      <c r="LGQ45" s="19"/>
      <c r="LGR45" s="19"/>
      <c r="LGS45" s="19"/>
      <c r="LGT45" s="19"/>
      <c r="LGU45" s="19"/>
      <c r="LGV45" s="19"/>
      <c r="LGW45" s="19"/>
      <c r="LGX45" s="19"/>
      <c r="LGY45" s="19"/>
      <c r="LGZ45" s="19"/>
      <c r="LHA45" s="19"/>
      <c r="LHB45" s="19"/>
      <c r="LHC45" s="19"/>
      <c r="LHD45" s="19"/>
      <c r="LHE45" s="19"/>
      <c r="LHF45" s="19"/>
      <c r="LHG45" s="19"/>
      <c r="LHH45" s="19"/>
      <c r="LHI45" s="19"/>
      <c r="LHJ45" s="19"/>
      <c r="LHK45" s="19"/>
      <c r="LHL45" s="19"/>
      <c r="LHM45" s="19"/>
      <c r="LHN45" s="19"/>
      <c r="LHO45" s="19"/>
      <c r="LHP45" s="19"/>
      <c r="LHQ45" s="19"/>
      <c r="LHR45" s="19"/>
      <c r="LHS45" s="19"/>
      <c r="LHT45" s="19"/>
      <c r="LHU45" s="19"/>
      <c r="LHV45" s="19"/>
      <c r="LHW45" s="19"/>
      <c r="LHX45" s="19"/>
      <c r="LHY45" s="19"/>
      <c r="LHZ45" s="19"/>
      <c r="LIA45" s="19"/>
      <c r="LIB45" s="19"/>
      <c r="LIC45" s="19"/>
      <c r="LID45" s="19"/>
      <c r="LIE45" s="19"/>
      <c r="LIF45" s="19"/>
      <c r="LIG45" s="19"/>
      <c r="LIH45" s="19"/>
      <c r="LII45" s="19"/>
      <c r="LIJ45" s="19"/>
      <c r="LIK45" s="19"/>
      <c r="LIL45" s="19"/>
      <c r="LIM45" s="19"/>
      <c r="LIN45" s="19"/>
      <c r="LIO45" s="19"/>
      <c r="LIP45" s="19"/>
      <c r="LIQ45" s="19"/>
      <c r="LIR45" s="19"/>
      <c r="LIS45" s="19"/>
      <c r="LIT45" s="19"/>
      <c r="LIU45" s="19"/>
      <c r="LIV45" s="19"/>
      <c r="LIW45" s="19"/>
      <c r="LIX45" s="19"/>
      <c r="LIY45" s="19"/>
      <c r="LIZ45" s="19"/>
      <c r="LJA45" s="19"/>
      <c r="LJB45" s="19"/>
      <c r="LJC45" s="19"/>
      <c r="LJD45" s="19"/>
      <c r="LJE45" s="19"/>
      <c r="LJF45" s="19"/>
      <c r="LJG45" s="19"/>
      <c r="LJH45" s="19"/>
      <c r="LJI45" s="19"/>
      <c r="LJJ45" s="19"/>
      <c r="LJK45" s="19"/>
      <c r="LJL45" s="19"/>
      <c r="LJM45" s="19"/>
      <c r="LJN45" s="19"/>
      <c r="LJO45" s="19"/>
      <c r="LJP45" s="19"/>
      <c r="LJQ45" s="19"/>
      <c r="LJR45" s="19"/>
      <c r="LJS45" s="19"/>
      <c r="LJT45" s="19"/>
      <c r="LJU45" s="19"/>
      <c r="LJV45" s="19"/>
      <c r="LJW45" s="19"/>
      <c r="LJX45" s="19"/>
      <c r="LJY45" s="19"/>
      <c r="LJZ45" s="19"/>
      <c r="LKA45" s="19"/>
      <c r="LKB45" s="19"/>
      <c r="LKC45" s="19"/>
      <c r="LKD45" s="19"/>
      <c r="LKE45" s="19"/>
      <c r="LKF45" s="19"/>
      <c r="LKG45" s="19"/>
      <c r="LKH45" s="19"/>
      <c r="LKI45" s="19"/>
      <c r="LKJ45" s="19"/>
      <c r="LKK45" s="19"/>
      <c r="LKL45" s="19"/>
      <c r="LKM45" s="19"/>
      <c r="LKN45" s="19"/>
      <c r="LKO45" s="19"/>
      <c r="LKP45" s="19"/>
      <c r="LKQ45" s="19"/>
      <c r="LKR45" s="19"/>
      <c r="LKS45" s="19"/>
      <c r="LKT45" s="19"/>
      <c r="LKU45" s="19"/>
      <c r="LKV45" s="19"/>
      <c r="LKW45" s="19"/>
      <c r="LKX45" s="19"/>
      <c r="LKY45" s="19"/>
      <c r="LKZ45" s="19"/>
      <c r="LLA45" s="19"/>
      <c r="LLB45" s="19"/>
      <c r="LLC45" s="19"/>
      <c r="LLD45" s="19"/>
      <c r="LLE45" s="19"/>
      <c r="LLF45" s="19"/>
      <c r="LLG45" s="19"/>
      <c r="LLH45" s="19"/>
      <c r="LLI45" s="19"/>
      <c r="LLJ45" s="19"/>
      <c r="LLK45" s="19"/>
      <c r="LLL45" s="19"/>
      <c r="LLM45" s="19"/>
      <c r="LLN45" s="19"/>
      <c r="LLO45" s="19"/>
      <c r="LLP45" s="19"/>
      <c r="LLQ45" s="19"/>
      <c r="LLR45" s="19"/>
      <c r="LLS45" s="19"/>
      <c r="LLT45" s="19"/>
      <c r="LLU45" s="19"/>
      <c r="LLV45" s="19"/>
      <c r="LLW45" s="19"/>
      <c r="LLX45" s="19"/>
      <c r="LLY45" s="19"/>
      <c r="LLZ45" s="19"/>
      <c r="LMA45" s="19"/>
      <c r="LMB45" s="19"/>
      <c r="LMC45" s="19"/>
      <c r="LMD45" s="19"/>
      <c r="LME45" s="19"/>
      <c r="LMF45" s="19"/>
      <c r="LMG45" s="19"/>
      <c r="LMH45" s="19"/>
      <c r="LMI45" s="19"/>
      <c r="LMJ45" s="19"/>
      <c r="LMK45" s="19"/>
      <c r="LML45" s="19"/>
      <c r="LMM45" s="19"/>
      <c r="LMN45" s="19"/>
      <c r="LMO45" s="19"/>
      <c r="LMP45" s="19"/>
      <c r="LMQ45" s="19"/>
      <c r="LMR45" s="19"/>
      <c r="LMS45" s="19"/>
      <c r="LMT45" s="19"/>
      <c r="LMU45" s="19"/>
      <c r="LMV45" s="19"/>
      <c r="LMW45" s="19"/>
      <c r="LMX45" s="19"/>
      <c r="LMY45" s="19"/>
      <c r="LMZ45" s="19"/>
      <c r="LNA45" s="19"/>
      <c r="LNB45" s="19"/>
      <c r="LNC45" s="19"/>
      <c r="LND45" s="19"/>
      <c r="LNE45" s="19"/>
      <c r="LNF45" s="19"/>
      <c r="LNG45" s="19"/>
      <c r="LNH45" s="19"/>
      <c r="LNI45" s="19"/>
      <c r="LNJ45" s="19"/>
      <c r="LNK45" s="19"/>
      <c r="LNL45" s="19"/>
      <c r="LNM45" s="19"/>
      <c r="LNN45" s="19"/>
      <c r="LNO45" s="19"/>
      <c r="LNP45" s="19"/>
      <c r="LNQ45" s="19"/>
      <c r="LNR45" s="19"/>
      <c r="LNS45" s="19"/>
      <c r="LNT45" s="19"/>
      <c r="LNU45" s="19"/>
      <c r="LNV45" s="19"/>
      <c r="LNW45" s="19"/>
      <c r="LNX45" s="19"/>
      <c r="LNY45" s="19"/>
      <c r="LNZ45" s="19"/>
      <c r="LOA45" s="19"/>
      <c r="LOB45" s="19"/>
      <c r="LOC45" s="19"/>
      <c r="LOD45" s="19"/>
      <c r="LOE45" s="19"/>
      <c r="LOF45" s="19"/>
      <c r="LOG45" s="19"/>
      <c r="LOH45" s="19"/>
      <c r="LOI45" s="19"/>
      <c r="LOJ45" s="19"/>
      <c r="LOK45" s="19"/>
      <c r="LOL45" s="19"/>
      <c r="LOM45" s="19"/>
      <c r="LON45" s="19"/>
      <c r="LOO45" s="19"/>
      <c r="LOP45" s="19"/>
      <c r="LOQ45" s="19"/>
      <c r="LOR45" s="19"/>
      <c r="LOS45" s="19"/>
      <c r="LOT45" s="19"/>
      <c r="LOU45" s="19"/>
      <c r="LOV45" s="19"/>
      <c r="LOW45" s="19"/>
      <c r="LOX45" s="19"/>
      <c r="LOY45" s="19"/>
      <c r="LOZ45" s="19"/>
      <c r="LPA45" s="19"/>
      <c r="LPB45" s="19"/>
      <c r="LPC45" s="19"/>
      <c r="LPD45" s="19"/>
      <c r="LPE45" s="19"/>
      <c r="LPF45" s="19"/>
      <c r="LPG45" s="19"/>
      <c r="LPH45" s="19"/>
      <c r="LPI45" s="19"/>
      <c r="LPJ45" s="19"/>
      <c r="LPK45" s="19"/>
      <c r="LPL45" s="19"/>
      <c r="LPM45" s="19"/>
      <c r="LPN45" s="19"/>
      <c r="LPO45" s="19"/>
      <c r="LPP45" s="19"/>
      <c r="LPQ45" s="19"/>
      <c r="LPR45" s="19"/>
      <c r="LPS45" s="19"/>
      <c r="LPT45" s="19"/>
      <c r="LPU45" s="19"/>
      <c r="LPV45" s="19"/>
      <c r="LPW45" s="19"/>
      <c r="LPX45" s="19"/>
      <c r="LPY45" s="19"/>
      <c r="LPZ45" s="19"/>
      <c r="LQA45" s="19"/>
      <c r="LQB45" s="19"/>
      <c r="LQC45" s="19"/>
      <c r="LQD45" s="19"/>
      <c r="LQE45" s="19"/>
      <c r="LQF45" s="19"/>
      <c r="LQG45" s="19"/>
      <c r="LQH45" s="19"/>
      <c r="LQI45" s="19"/>
      <c r="LQJ45" s="19"/>
      <c r="LQK45" s="19"/>
      <c r="LQL45" s="19"/>
      <c r="LQM45" s="19"/>
      <c r="LQN45" s="19"/>
      <c r="LQO45" s="19"/>
      <c r="LQP45" s="19"/>
      <c r="LQQ45" s="19"/>
      <c r="LQR45" s="19"/>
      <c r="LQS45" s="19"/>
      <c r="LQT45" s="19"/>
      <c r="LQU45" s="19"/>
      <c r="LQV45" s="19"/>
      <c r="LQW45" s="19"/>
      <c r="LQX45" s="19"/>
      <c r="LQY45" s="19"/>
      <c r="LQZ45" s="19"/>
      <c r="LRA45" s="19"/>
      <c r="LRB45" s="19"/>
      <c r="LRC45" s="19"/>
      <c r="LRD45" s="19"/>
      <c r="LRE45" s="19"/>
      <c r="LRF45" s="19"/>
      <c r="LRG45" s="19"/>
      <c r="LRH45" s="19"/>
      <c r="LRI45" s="19"/>
      <c r="LRJ45" s="19"/>
      <c r="LRK45" s="19"/>
      <c r="LRL45" s="19"/>
      <c r="LRM45" s="19"/>
      <c r="LRN45" s="19"/>
      <c r="LRO45" s="19"/>
      <c r="LRP45" s="19"/>
      <c r="LRQ45" s="19"/>
      <c r="LRR45" s="19"/>
      <c r="LRS45" s="19"/>
      <c r="LRT45" s="19"/>
      <c r="LRU45" s="19"/>
      <c r="LRV45" s="19"/>
      <c r="LRW45" s="19"/>
      <c r="LRX45" s="19"/>
      <c r="LRY45" s="19"/>
      <c r="LRZ45" s="19"/>
      <c r="LSA45" s="19"/>
      <c r="LSB45" s="19"/>
      <c r="LSC45" s="19"/>
      <c r="LSD45" s="19"/>
      <c r="LSE45" s="19"/>
      <c r="LSF45" s="19"/>
      <c r="LSG45" s="19"/>
      <c r="LSH45" s="19"/>
      <c r="LSI45" s="19"/>
      <c r="LSJ45" s="19"/>
      <c r="LSK45" s="19"/>
      <c r="LSL45" s="19"/>
      <c r="LSM45" s="19"/>
      <c r="LSN45" s="19"/>
      <c r="LSO45" s="19"/>
      <c r="LSP45" s="19"/>
      <c r="LSQ45" s="19"/>
      <c r="LSR45" s="19"/>
      <c r="LSS45" s="19"/>
      <c r="LST45" s="19"/>
      <c r="LSU45" s="19"/>
      <c r="LSV45" s="19"/>
      <c r="LSW45" s="19"/>
      <c r="LSX45" s="19"/>
      <c r="LSY45" s="19"/>
      <c r="LSZ45" s="19"/>
      <c r="LTA45" s="19"/>
      <c r="LTB45" s="19"/>
      <c r="LTC45" s="19"/>
      <c r="LTD45" s="19"/>
      <c r="LTE45" s="19"/>
      <c r="LTF45" s="19"/>
      <c r="LTG45" s="19"/>
      <c r="LTH45" s="19"/>
      <c r="LTI45" s="19"/>
      <c r="LTJ45" s="19"/>
      <c r="LTK45" s="19"/>
      <c r="LTL45" s="19"/>
      <c r="LTM45" s="19"/>
      <c r="LTN45" s="19"/>
      <c r="LTO45" s="19"/>
      <c r="LTP45" s="19"/>
      <c r="LTQ45" s="19"/>
      <c r="LTR45" s="19"/>
      <c r="LTS45" s="19"/>
      <c r="LTT45" s="19"/>
      <c r="LTU45" s="19"/>
      <c r="LTV45" s="19"/>
      <c r="LTW45" s="19"/>
      <c r="LTX45" s="19"/>
      <c r="LTY45" s="19"/>
      <c r="LTZ45" s="19"/>
      <c r="LUA45" s="19"/>
      <c r="LUB45" s="19"/>
      <c r="LUC45" s="19"/>
      <c r="LUD45" s="19"/>
      <c r="LUE45" s="19"/>
      <c r="LUF45" s="19"/>
      <c r="LUG45" s="19"/>
      <c r="LUH45" s="19"/>
      <c r="LUI45" s="19"/>
      <c r="LUJ45" s="19"/>
      <c r="LUK45" s="19"/>
      <c r="LUL45" s="19"/>
      <c r="LUM45" s="19"/>
      <c r="LUN45" s="19"/>
      <c r="LUO45" s="19"/>
      <c r="LUP45" s="19"/>
      <c r="LUQ45" s="19"/>
      <c r="LUR45" s="19"/>
      <c r="LUS45" s="19"/>
      <c r="LUT45" s="19"/>
      <c r="LUU45" s="19"/>
      <c r="LUV45" s="19"/>
      <c r="LUW45" s="19"/>
      <c r="LUX45" s="19"/>
      <c r="LUY45" s="19"/>
      <c r="LUZ45" s="19"/>
      <c r="LVA45" s="19"/>
      <c r="LVB45" s="19"/>
      <c r="LVC45" s="19"/>
      <c r="LVD45" s="19"/>
      <c r="LVE45" s="19"/>
      <c r="LVF45" s="19"/>
      <c r="LVG45" s="19"/>
      <c r="LVH45" s="19"/>
      <c r="LVI45" s="19"/>
      <c r="LVJ45" s="19"/>
      <c r="LVK45" s="19"/>
      <c r="LVL45" s="19"/>
      <c r="LVM45" s="19"/>
      <c r="LVN45" s="19"/>
      <c r="LVO45" s="19"/>
      <c r="LVP45" s="19"/>
      <c r="LVQ45" s="19"/>
      <c r="LVR45" s="19"/>
      <c r="LVS45" s="19"/>
      <c r="LVT45" s="19"/>
      <c r="LVU45" s="19"/>
      <c r="LVV45" s="19"/>
      <c r="LVW45" s="19"/>
      <c r="LVX45" s="19"/>
      <c r="LVY45" s="19"/>
      <c r="LVZ45" s="19"/>
      <c r="LWA45" s="19"/>
      <c r="LWB45" s="19"/>
      <c r="LWC45" s="19"/>
      <c r="LWD45" s="19"/>
      <c r="LWE45" s="19"/>
      <c r="LWF45" s="19"/>
      <c r="LWG45" s="19"/>
      <c r="LWH45" s="19"/>
      <c r="LWI45" s="19"/>
      <c r="LWJ45" s="19"/>
      <c r="LWK45" s="19"/>
      <c r="LWL45" s="19"/>
      <c r="LWM45" s="19"/>
      <c r="LWN45" s="19"/>
      <c r="LWO45" s="19"/>
      <c r="LWP45" s="19"/>
      <c r="LWQ45" s="19"/>
      <c r="LWR45" s="19"/>
      <c r="LWS45" s="19"/>
      <c r="LWT45" s="19"/>
      <c r="LWU45" s="19"/>
      <c r="LWV45" s="19"/>
      <c r="LWW45" s="19"/>
      <c r="LWX45" s="19"/>
      <c r="LWY45" s="19"/>
      <c r="LWZ45" s="19"/>
      <c r="LXA45" s="19"/>
      <c r="LXB45" s="19"/>
      <c r="LXC45" s="19"/>
      <c r="LXD45" s="19"/>
      <c r="LXE45" s="19"/>
      <c r="LXF45" s="19"/>
      <c r="LXG45" s="19"/>
      <c r="LXH45" s="19"/>
      <c r="LXI45" s="19"/>
      <c r="LXJ45" s="19"/>
      <c r="LXK45" s="19"/>
      <c r="LXL45" s="19"/>
      <c r="LXM45" s="19"/>
      <c r="LXN45" s="19"/>
      <c r="LXO45" s="19"/>
      <c r="LXP45" s="19"/>
      <c r="LXQ45" s="19"/>
      <c r="LXR45" s="19"/>
      <c r="LXS45" s="19"/>
      <c r="LXT45" s="19"/>
      <c r="LXU45" s="19"/>
      <c r="LXV45" s="19"/>
      <c r="LXW45" s="19"/>
      <c r="LXX45" s="19"/>
      <c r="LXY45" s="19"/>
      <c r="LXZ45" s="19"/>
      <c r="LYA45" s="19"/>
      <c r="LYB45" s="19"/>
      <c r="LYC45" s="19"/>
      <c r="LYD45" s="19"/>
      <c r="LYE45" s="19"/>
      <c r="LYF45" s="19"/>
      <c r="LYG45" s="19"/>
      <c r="LYH45" s="19"/>
      <c r="LYI45" s="19"/>
      <c r="LYJ45" s="19"/>
      <c r="LYK45" s="19"/>
      <c r="LYL45" s="19"/>
      <c r="LYM45" s="19"/>
      <c r="LYN45" s="19"/>
      <c r="LYO45" s="19"/>
      <c r="LYP45" s="19"/>
      <c r="LYQ45" s="19"/>
      <c r="LYR45" s="19"/>
      <c r="LYS45" s="19"/>
      <c r="LYT45" s="19"/>
      <c r="LYU45" s="19"/>
      <c r="LYV45" s="19"/>
      <c r="LYW45" s="19"/>
      <c r="LYX45" s="19"/>
      <c r="LYY45" s="19"/>
      <c r="LYZ45" s="19"/>
      <c r="LZA45" s="19"/>
      <c r="LZB45" s="19"/>
      <c r="LZC45" s="19"/>
      <c r="LZD45" s="19"/>
      <c r="LZE45" s="19"/>
      <c r="LZF45" s="19"/>
      <c r="LZG45" s="19"/>
      <c r="LZH45" s="19"/>
      <c r="LZI45" s="19"/>
      <c r="LZJ45" s="19"/>
      <c r="LZK45" s="19"/>
      <c r="LZL45" s="19"/>
      <c r="LZM45" s="19"/>
      <c r="LZN45" s="19"/>
      <c r="LZO45" s="19"/>
      <c r="LZP45" s="19"/>
      <c r="LZQ45" s="19"/>
      <c r="LZR45" s="19"/>
      <c r="LZS45" s="19"/>
      <c r="LZT45" s="19"/>
      <c r="LZU45" s="19"/>
      <c r="LZV45" s="19"/>
      <c r="LZW45" s="19"/>
      <c r="LZX45" s="19"/>
      <c r="LZY45" s="19"/>
      <c r="LZZ45" s="19"/>
      <c r="MAA45" s="19"/>
      <c r="MAB45" s="19"/>
      <c r="MAC45" s="19"/>
      <c r="MAD45" s="19"/>
      <c r="MAE45" s="19"/>
      <c r="MAF45" s="19"/>
      <c r="MAG45" s="19"/>
      <c r="MAH45" s="19"/>
      <c r="MAI45" s="19"/>
      <c r="MAJ45" s="19"/>
      <c r="MAK45" s="19"/>
      <c r="MAL45" s="19"/>
      <c r="MAM45" s="19"/>
      <c r="MAN45" s="19"/>
      <c r="MAO45" s="19"/>
      <c r="MAP45" s="19"/>
      <c r="MAQ45" s="19"/>
      <c r="MAR45" s="19"/>
      <c r="MAS45" s="19"/>
      <c r="MAT45" s="19"/>
      <c r="MAU45" s="19"/>
      <c r="MAV45" s="19"/>
      <c r="MAW45" s="19"/>
      <c r="MAX45" s="19"/>
      <c r="MAY45" s="19"/>
      <c r="MAZ45" s="19"/>
      <c r="MBA45" s="19"/>
      <c r="MBB45" s="19"/>
      <c r="MBC45" s="19"/>
      <c r="MBD45" s="19"/>
      <c r="MBE45" s="19"/>
      <c r="MBF45" s="19"/>
      <c r="MBG45" s="19"/>
      <c r="MBH45" s="19"/>
      <c r="MBI45" s="19"/>
      <c r="MBJ45" s="19"/>
      <c r="MBK45" s="19"/>
      <c r="MBL45" s="19"/>
      <c r="MBM45" s="19"/>
      <c r="MBN45" s="19"/>
      <c r="MBO45" s="19"/>
      <c r="MBP45" s="19"/>
      <c r="MBQ45" s="19"/>
      <c r="MBR45" s="19"/>
      <c r="MBS45" s="19"/>
      <c r="MBT45" s="19"/>
      <c r="MBU45" s="19"/>
      <c r="MBV45" s="19"/>
      <c r="MBW45" s="19"/>
      <c r="MBX45" s="19"/>
      <c r="MBY45" s="19"/>
      <c r="MBZ45" s="19"/>
      <c r="MCA45" s="19"/>
      <c r="MCB45" s="19"/>
      <c r="MCC45" s="19"/>
      <c r="MCD45" s="19"/>
      <c r="MCE45" s="19"/>
      <c r="MCF45" s="19"/>
      <c r="MCG45" s="19"/>
      <c r="MCH45" s="19"/>
      <c r="MCI45" s="19"/>
      <c r="MCJ45" s="19"/>
      <c r="MCK45" s="19"/>
      <c r="MCL45" s="19"/>
      <c r="MCM45" s="19"/>
      <c r="MCN45" s="19"/>
      <c r="MCO45" s="19"/>
      <c r="MCP45" s="19"/>
      <c r="MCQ45" s="19"/>
      <c r="MCR45" s="19"/>
      <c r="MCS45" s="19"/>
      <c r="MCT45" s="19"/>
      <c r="MCU45" s="19"/>
      <c r="MCV45" s="19"/>
      <c r="MCW45" s="19"/>
      <c r="MCX45" s="19"/>
      <c r="MCY45" s="19"/>
      <c r="MCZ45" s="19"/>
      <c r="MDA45" s="19"/>
      <c r="MDB45" s="19"/>
      <c r="MDC45" s="19"/>
      <c r="MDD45" s="19"/>
      <c r="MDE45" s="19"/>
      <c r="MDF45" s="19"/>
      <c r="MDG45" s="19"/>
      <c r="MDH45" s="19"/>
      <c r="MDI45" s="19"/>
      <c r="MDJ45" s="19"/>
      <c r="MDK45" s="19"/>
      <c r="MDL45" s="19"/>
      <c r="MDM45" s="19"/>
      <c r="MDN45" s="19"/>
      <c r="MDO45" s="19"/>
      <c r="MDP45" s="19"/>
      <c r="MDQ45" s="19"/>
      <c r="MDR45" s="19"/>
      <c r="MDS45" s="19"/>
      <c r="MDT45" s="19"/>
      <c r="MDU45" s="19"/>
      <c r="MDV45" s="19"/>
      <c r="MDW45" s="19"/>
      <c r="MDX45" s="19"/>
      <c r="MDY45" s="19"/>
      <c r="MDZ45" s="19"/>
      <c r="MEA45" s="19"/>
      <c r="MEB45" s="19"/>
      <c r="MEC45" s="19"/>
      <c r="MED45" s="19"/>
      <c r="MEE45" s="19"/>
      <c r="MEF45" s="19"/>
      <c r="MEG45" s="19"/>
      <c r="MEH45" s="19"/>
      <c r="MEI45" s="19"/>
      <c r="MEJ45" s="19"/>
      <c r="MEK45" s="19"/>
      <c r="MEL45" s="19"/>
      <c r="MEM45" s="19"/>
      <c r="MEN45" s="19"/>
      <c r="MEO45" s="19"/>
      <c r="MEP45" s="19"/>
      <c r="MEQ45" s="19"/>
      <c r="MER45" s="19"/>
      <c r="MES45" s="19"/>
      <c r="MET45" s="19"/>
      <c r="MEU45" s="19"/>
      <c r="MEV45" s="19"/>
      <c r="MEW45" s="19"/>
      <c r="MEX45" s="19"/>
      <c r="MEY45" s="19"/>
      <c r="MEZ45" s="19"/>
      <c r="MFA45" s="19"/>
      <c r="MFB45" s="19"/>
      <c r="MFC45" s="19"/>
      <c r="MFD45" s="19"/>
      <c r="MFE45" s="19"/>
      <c r="MFF45" s="19"/>
      <c r="MFG45" s="19"/>
      <c r="MFH45" s="19"/>
      <c r="MFI45" s="19"/>
      <c r="MFJ45" s="19"/>
      <c r="MFK45" s="19"/>
      <c r="MFL45" s="19"/>
      <c r="MFM45" s="19"/>
      <c r="MFN45" s="19"/>
      <c r="MFO45" s="19"/>
      <c r="MFP45" s="19"/>
      <c r="MFQ45" s="19"/>
      <c r="MFR45" s="19"/>
      <c r="MFS45" s="19"/>
      <c r="MFT45" s="19"/>
      <c r="MFU45" s="19"/>
      <c r="MFV45" s="19"/>
      <c r="MFW45" s="19"/>
      <c r="MFX45" s="19"/>
      <c r="MFY45" s="19"/>
      <c r="MFZ45" s="19"/>
      <c r="MGA45" s="19"/>
      <c r="MGB45" s="19"/>
      <c r="MGC45" s="19"/>
      <c r="MGD45" s="19"/>
      <c r="MGE45" s="19"/>
      <c r="MGF45" s="19"/>
      <c r="MGG45" s="19"/>
      <c r="MGH45" s="19"/>
      <c r="MGI45" s="19"/>
      <c r="MGJ45" s="19"/>
      <c r="MGK45" s="19"/>
      <c r="MGL45" s="19"/>
      <c r="MGM45" s="19"/>
      <c r="MGN45" s="19"/>
      <c r="MGO45" s="19"/>
      <c r="MGP45" s="19"/>
      <c r="MGQ45" s="19"/>
      <c r="MGR45" s="19"/>
      <c r="MGS45" s="19"/>
      <c r="MGT45" s="19"/>
      <c r="MGU45" s="19"/>
      <c r="MGV45" s="19"/>
      <c r="MGW45" s="19"/>
      <c r="MGX45" s="19"/>
      <c r="MGY45" s="19"/>
      <c r="MGZ45" s="19"/>
      <c r="MHA45" s="19"/>
      <c r="MHB45" s="19"/>
      <c r="MHC45" s="19"/>
      <c r="MHD45" s="19"/>
      <c r="MHE45" s="19"/>
      <c r="MHF45" s="19"/>
      <c r="MHG45" s="19"/>
      <c r="MHH45" s="19"/>
      <c r="MHI45" s="19"/>
      <c r="MHJ45" s="19"/>
      <c r="MHK45" s="19"/>
      <c r="MHL45" s="19"/>
      <c r="MHM45" s="19"/>
      <c r="MHN45" s="19"/>
      <c r="MHO45" s="19"/>
      <c r="MHP45" s="19"/>
      <c r="MHQ45" s="19"/>
      <c r="MHR45" s="19"/>
      <c r="MHS45" s="19"/>
      <c r="MHT45" s="19"/>
      <c r="MHU45" s="19"/>
      <c r="MHV45" s="19"/>
      <c r="MHW45" s="19"/>
      <c r="MHX45" s="19"/>
      <c r="MHY45" s="19"/>
      <c r="MHZ45" s="19"/>
      <c r="MIA45" s="19"/>
      <c r="MIB45" s="19"/>
      <c r="MIC45" s="19"/>
      <c r="MID45" s="19"/>
      <c r="MIE45" s="19"/>
      <c r="MIF45" s="19"/>
      <c r="MIG45" s="19"/>
      <c r="MIH45" s="19"/>
      <c r="MII45" s="19"/>
      <c r="MIJ45" s="19"/>
      <c r="MIK45" s="19"/>
      <c r="MIL45" s="19"/>
      <c r="MIM45" s="19"/>
      <c r="MIN45" s="19"/>
      <c r="MIO45" s="19"/>
      <c r="MIP45" s="19"/>
      <c r="MIQ45" s="19"/>
      <c r="MIR45" s="19"/>
      <c r="MIS45" s="19"/>
      <c r="MIT45" s="19"/>
      <c r="MIU45" s="19"/>
      <c r="MIV45" s="19"/>
      <c r="MIW45" s="19"/>
      <c r="MIX45" s="19"/>
      <c r="MIY45" s="19"/>
      <c r="MIZ45" s="19"/>
      <c r="MJA45" s="19"/>
      <c r="MJB45" s="19"/>
      <c r="MJC45" s="19"/>
      <c r="MJD45" s="19"/>
      <c r="MJE45" s="19"/>
      <c r="MJF45" s="19"/>
      <c r="MJG45" s="19"/>
      <c r="MJH45" s="19"/>
      <c r="MJI45" s="19"/>
      <c r="MJJ45" s="19"/>
      <c r="MJK45" s="19"/>
      <c r="MJL45" s="19"/>
      <c r="MJM45" s="19"/>
      <c r="MJN45" s="19"/>
      <c r="MJO45" s="19"/>
      <c r="MJP45" s="19"/>
      <c r="MJQ45" s="19"/>
      <c r="MJR45" s="19"/>
      <c r="MJS45" s="19"/>
      <c r="MJT45" s="19"/>
      <c r="MJU45" s="19"/>
      <c r="MJV45" s="19"/>
      <c r="MJW45" s="19"/>
      <c r="MJX45" s="19"/>
      <c r="MJY45" s="19"/>
      <c r="MJZ45" s="19"/>
      <c r="MKA45" s="19"/>
      <c r="MKB45" s="19"/>
      <c r="MKC45" s="19"/>
      <c r="MKD45" s="19"/>
      <c r="MKE45" s="19"/>
      <c r="MKF45" s="19"/>
      <c r="MKG45" s="19"/>
      <c r="MKH45" s="19"/>
      <c r="MKI45" s="19"/>
      <c r="MKJ45" s="19"/>
      <c r="MKK45" s="19"/>
      <c r="MKL45" s="19"/>
      <c r="MKM45" s="19"/>
      <c r="MKN45" s="19"/>
      <c r="MKO45" s="19"/>
      <c r="MKP45" s="19"/>
      <c r="MKQ45" s="19"/>
      <c r="MKR45" s="19"/>
      <c r="MKS45" s="19"/>
      <c r="MKT45" s="19"/>
      <c r="MKU45" s="19"/>
      <c r="MKV45" s="19"/>
      <c r="MKW45" s="19"/>
      <c r="MKX45" s="19"/>
      <c r="MKY45" s="19"/>
      <c r="MKZ45" s="19"/>
      <c r="MLA45" s="19"/>
      <c r="MLB45" s="19"/>
      <c r="MLC45" s="19"/>
      <c r="MLD45" s="19"/>
      <c r="MLE45" s="19"/>
      <c r="MLF45" s="19"/>
      <c r="MLG45" s="19"/>
      <c r="MLH45" s="19"/>
      <c r="MLI45" s="19"/>
      <c r="MLJ45" s="19"/>
      <c r="MLK45" s="19"/>
      <c r="MLL45" s="19"/>
      <c r="MLM45" s="19"/>
      <c r="MLN45" s="19"/>
      <c r="MLO45" s="19"/>
      <c r="MLP45" s="19"/>
      <c r="MLQ45" s="19"/>
      <c r="MLR45" s="19"/>
      <c r="MLS45" s="19"/>
      <c r="MLT45" s="19"/>
      <c r="MLU45" s="19"/>
      <c r="MLV45" s="19"/>
      <c r="MLW45" s="19"/>
      <c r="MLX45" s="19"/>
      <c r="MLY45" s="19"/>
      <c r="MLZ45" s="19"/>
      <c r="MMA45" s="19"/>
      <c r="MMB45" s="19"/>
      <c r="MMC45" s="19"/>
      <c r="MMD45" s="19"/>
      <c r="MME45" s="19"/>
      <c r="MMF45" s="19"/>
      <c r="MMG45" s="19"/>
      <c r="MMH45" s="19"/>
      <c r="MMI45" s="19"/>
      <c r="MMJ45" s="19"/>
      <c r="MMK45" s="19"/>
      <c r="MML45" s="19"/>
      <c r="MMM45" s="19"/>
      <c r="MMN45" s="19"/>
      <c r="MMO45" s="19"/>
      <c r="MMP45" s="19"/>
      <c r="MMQ45" s="19"/>
      <c r="MMR45" s="19"/>
      <c r="MMS45" s="19"/>
      <c r="MMT45" s="19"/>
      <c r="MMU45" s="19"/>
      <c r="MMV45" s="19"/>
      <c r="MMW45" s="19"/>
      <c r="MMX45" s="19"/>
      <c r="MMY45" s="19"/>
      <c r="MMZ45" s="19"/>
      <c r="MNA45" s="19"/>
      <c r="MNB45" s="19"/>
      <c r="MNC45" s="19"/>
      <c r="MND45" s="19"/>
      <c r="MNE45" s="19"/>
      <c r="MNF45" s="19"/>
      <c r="MNG45" s="19"/>
      <c r="MNH45" s="19"/>
      <c r="MNI45" s="19"/>
      <c r="MNJ45" s="19"/>
      <c r="MNK45" s="19"/>
      <c r="MNL45" s="19"/>
      <c r="MNM45" s="19"/>
      <c r="MNN45" s="19"/>
      <c r="MNO45" s="19"/>
      <c r="MNP45" s="19"/>
      <c r="MNQ45" s="19"/>
      <c r="MNR45" s="19"/>
      <c r="MNS45" s="19"/>
      <c r="MNT45" s="19"/>
      <c r="MNU45" s="19"/>
      <c r="MNV45" s="19"/>
      <c r="MNW45" s="19"/>
      <c r="MNX45" s="19"/>
      <c r="MNY45" s="19"/>
      <c r="MNZ45" s="19"/>
      <c r="MOA45" s="19"/>
      <c r="MOB45" s="19"/>
      <c r="MOC45" s="19"/>
      <c r="MOD45" s="19"/>
      <c r="MOE45" s="19"/>
      <c r="MOF45" s="19"/>
      <c r="MOG45" s="19"/>
      <c r="MOH45" s="19"/>
      <c r="MOI45" s="19"/>
      <c r="MOJ45" s="19"/>
      <c r="MOK45" s="19"/>
      <c r="MOL45" s="19"/>
      <c r="MOM45" s="19"/>
      <c r="MON45" s="19"/>
      <c r="MOO45" s="19"/>
      <c r="MOP45" s="19"/>
      <c r="MOQ45" s="19"/>
      <c r="MOR45" s="19"/>
      <c r="MOS45" s="19"/>
      <c r="MOT45" s="19"/>
      <c r="MOU45" s="19"/>
      <c r="MOV45" s="19"/>
      <c r="MOW45" s="19"/>
      <c r="MOX45" s="19"/>
      <c r="MOY45" s="19"/>
      <c r="MOZ45" s="19"/>
      <c r="MPA45" s="19"/>
      <c r="MPB45" s="19"/>
      <c r="MPC45" s="19"/>
      <c r="MPD45" s="19"/>
      <c r="MPE45" s="19"/>
      <c r="MPF45" s="19"/>
      <c r="MPG45" s="19"/>
      <c r="MPH45" s="19"/>
      <c r="MPI45" s="19"/>
      <c r="MPJ45" s="19"/>
      <c r="MPK45" s="19"/>
      <c r="MPL45" s="19"/>
      <c r="MPM45" s="19"/>
      <c r="MPN45" s="19"/>
      <c r="MPO45" s="19"/>
      <c r="MPP45" s="19"/>
      <c r="MPQ45" s="19"/>
      <c r="MPR45" s="19"/>
      <c r="MPS45" s="19"/>
      <c r="MPT45" s="19"/>
      <c r="MPU45" s="19"/>
      <c r="MPV45" s="19"/>
      <c r="MPW45" s="19"/>
      <c r="MPX45" s="19"/>
      <c r="MPY45" s="19"/>
      <c r="MPZ45" s="19"/>
      <c r="MQA45" s="19"/>
      <c r="MQB45" s="19"/>
      <c r="MQC45" s="19"/>
      <c r="MQD45" s="19"/>
      <c r="MQE45" s="19"/>
      <c r="MQF45" s="19"/>
      <c r="MQG45" s="19"/>
      <c r="MQH45" s="19"/>
      <c r="MQI45" s="19"/>
      <c r="MQJ45" s="19"/>
      <c r="MQK45" s="19"/>
      <c r="MQL45" s="19"/>
      <c r="MQM45" s="19"/>
      <c r="MQN45" s="19"/>
      <c r="MQO45" s="19"/>
      <c r="MQP45" s="19"/>
      <c r="MQQ45" s="19"/>
      <c r="MQR45" s="19"/>
      <c r="MQS45" s="19"/>
      <c r="MQT45" s="19"/>
      <c r="MQU45" s="19"/>
      <c r="MQV45" s="19"/>
      <c r="MQW45" s="19"/>
      <c r="MQX45" s="19"/>
      <c r="MQY45" s="19"/>
      <c r="MQZ45" s="19"/>
      <c r="MRA45" s="19"/>
      <c r="MRB45" s="19"/>
      <c r="MRC45" s="19"/>
      <c r="MRD45" s="19"/>
      <c r="MRE45" s="19"/>
      <c r="MRF45" s="19"/>
      <c r="MRG45" s="19"/>
      <c r="MRH45" s="19"/>
      <c r="MRI45" s="19"/>
      <c r="MRJ45" s="19"/>
      <c r="MRK45" s="19"/>
      <c r="MRL45" s="19"/>
      <c r="MRM45" s="19"/>
      <c r="MRN45" s="19"/>
      <c r="MRO45" s="19"/>
      <c r="MRP45" s="19"/>
      <c r="MRQ45" s="19"/>
      <c r="MRR45" s="19"/>
      <c r="MRS45" s="19"/>
      <c r="MRT45" s="19"/>
      <c r="MRU45" s="19"/>
      <c r="MRV45" s="19"/>
      <c r="MRW45" s="19"/>
      <c r="MRX45" s="19"/>
      <c r="MRY45" s="19"/>
      <c r="MRZ45" s="19"/>
      <c r="MSA45" s="19"/>
      <c r="MSB45" s="19"/>
      <c r="MSC45" s="19"/>
      <c r="MSD45" s="19"/>
      <c r="MSE45" s="19"/>
      <c r="MSF45" s="19"/>
      <c r="MSG45" s="19"/>
      <c r="MSH45" s="19"/>
      <c r="MSI45" s="19"/>
      <c r="MSJ45" s="19"/>
      <c r="MSK45" s="19"/>
      <c r="MSL45" s="19"/>
      <c r="MSM45" s="19"/>
      <c r="MSN45" s="19"/>
      <c r="MSO45" s="19"/>
      <c r="MSP45" s="19"/>
      <c r="MSQ45" s="19"/>
      <c r="MSR45" s="19"/>
      <c r="MSS45" s="19"/>
      <c r="MST45" s="19"/>
      <c r="MSU45" s="19"/>
      <c r="MSV45" s="19"/>
      <c r="MSW45" s="19"/>
      <c r="MSX45" s="19"/>
      <c r="MSY45" s="19"/>
      <c r="MSZ45" s="19"/>
      <c r="MTA45" s="19"/>
      <c r="MTB45" s="19"/>
      <c r="MTC45" s="19"/>
      <c r="MTD45" s="19"/>
      <c r="MTE45" s="19"/>
      <c r="MTF45" s="19"/>
      <c r="MTG45" s="19"/>
      <c r="MTH45" s="19"/>
      <c r="MTI45" s="19"/>
      <c r="MTJ45" s="19"/>
      <c r="MTK45" s="19"/>
      <c r="MTL45" s="19"/>
      <c r="MTM45" s="19"/>
      <c r="MTN45" s="19"/>
      <c r="MTO45" s="19"/>
      <c r="MTP45" s="19"/>
      <c r="MTQ45" s="19"/>
      <c r="MTR45" s="19"/>
      <c r="MTS45" s="19"/>
      <c r="MTT45" s="19"/>
      <c r="MTU45" s="19"/>
      <c r="MTV45" s="19"/>
      <c r="MTW45" s="19"/>
      <c r="MTX45" s="19"/>
      <c r="MTY45" s="19"/>
      <c r="MTZ45" s="19"/>
      <c r="MUA45" s="19"/>
      <c r="MUB45" s="19"/>
      <c r="MUC45" s="19"/>
      <c r="MUD45" s="19"/>
      <c r="MUE45" s="19"/>
      <c r="MUF45" s="19"/>
      <c r="MUG45" s="19"/>
      <c r="MUH45" s="19"/>
      <c r="MUI45" s="19"/>
      <c r="MUJ45" s="19"/>
      <c r="MUK45" s="19"/>
      <c r="MUL45" s="19"/>
      <c r="MUM45" s="19"/>
      <c r="MUN45" s="19"/>
      <c r="MUO45" s="19"/>
      <c r="MUP45" s="19"/>
      <c r="MUQ45" s="19"/>
      <c r="MUR45" s="19"/>
      <c r="MUS45" s="19"/>
      <c r="MUT45" s="19"/>
      <c r="MUU45" s="19"/>
      <c r="MUV45" s="19"/>
      <c r="MUW45" s="19"/>
      <c r="MUX45" s="19"/>
      <c r="MUY45" s="19"/>
      <c r="MUZ45" s="19"/>
      <c r="MVA45" s="19"/>
      <c r="MVB45" s="19"/>
      <c r="MVC45" s="19"/>
      <c r="MVD45" s="19"/>
      <c r="MVE45" s="19"/>
      <c r="MVF45" s="19"/>
      <c r="MVG45" s="19"/>
      <c r="MVH45" s="19"/>
      <c r="MVI45" s="19"/>
      <c r="MVJ45" s="19"/>
      <c r="MVK45" s="19"/>
      <c r="MVL45" s="19"/>
      <c r="MVM45" s="19"/>
      <c r="MVN45" s="19"/>
      <c r="MVO45" s="19"/>
      <c r="MVP45" s="19"/>
      <c r="MVQ45" s="19"/>
      <c r="MVR45" s="19"/>
      <c r="MVS45" s="19"/>
      <c r="MVT45" s="19"/>
      <c r="MVU45" s="19"/>
      <c r="MVV45" s="19"/>
      <c r="MVW45" s="19"/>
      <c r="MVX45" s="19"/>
      <c r="MVY45" s="19"/>
      <c r="MVZ45" s="19"/>
      <c r="MWA45" s="19"/>
      <c r="MWB45" s="19"/>
      <c r="MWC45" s="19"/>
      <c r="MWD45" s="19"/>
      <c r="MWE45" s="19"/>
      <c r="MWF45" s="19"/>
      <c r="MWG45" s="19"/>
      <c r="MWH45" s="19"/>
      <c r="MWI45" s="19"/>
      <c r="MWJ45" s="19"/>
      <c r="MWK45" s="19"/>
      <c r="MWL45" s="19"/>
      <c r="MWM45" s="19"/>
      <c r="MWN45" s="19"/>
      <c r="MWO45" s="19"/>
      <c r="MWP45" s="19"/>
      <c r="MWQ45" s="19"/>
      <c r="MWR45" s="19"/>
      <c r="MWS45" s="19"/>
      <c r="MWT45" s="19"/>
      <c r="MWU45" s="19"/>
      <c r="MWV45" s="19"/>
      <c r="MWW45" s="19"/>
      <c r="MWX45" s="19"/>
      <c r="MWY45" s="19"/>
      <c r="MWZ45" s="19"/>
      <c r="MXA45" s="19"/>
      <c r="MXB45" s="19"/>
      <c r="MXC45" s="19"/>
      <c r="MXD45" s="19"/>
      <c r="MXE45" s="19"/>
      <c r="MXF45" s="19"/>
      <c r="MXG45" s="19"/>
      <c r="MXH45" s="19"/>
      <c r="MXI45" s="19"/>
      <c r="MXJ45" s="19"/>
      <c r="MXK45" s="19"/>
      <c r="MXL45" s="19"/>
      <c r="MXM45" s="19"/>
      <c r="MXN45" s="19"/>
      <c r="MXO45" s="19"/>
      <c r="MXP45" s="19"/>
      <c r="MXQ45" s="19"/>
      <c r="MXR45" s="19"/>
      <c r="MXS45" s="19"/>
      <c r="MXT45" s="19"/>
      <c r="MXU45" s="19"/>
      <c r="MXV45" s="19"/>
      <c r="MXW45" s="19"/>
      <c r="MXX45" s="19"/>
      <c r="MXY45" s="19"/>
      <c r="MXZ45" s="19"/>
      <c r="MYA45" s="19"/>
      <c r="MYB45" s="19"/>
      <c r="MYC45" s="19"/>
      <c r="MYD45" s="19"/>
      <c r="MYE45" s="19"/>
      <c r="MYF45" s="19"/>
      <c r="MYG45" s="19"/>
      <c r="MYH45" s="19"/>
      <c r="MYI45" s="19"/>
      <c r="MYJ45" s="19"/>
      <c r="MYK45" s="19"/>
      <c r="MYL45" s="19"/>
      <c r="MYM45" s="19"/>
      <c r="MYN45" s="19"/>
      <c r="MYO45" s="19"/>
      <c r="MYP45" s="19"/>
      <c r="MYQ45" s="19"/>
      <c r="MYR45" s="19"/>
      <c r="MYS45" s="19"/>
      <c r="MYT45" s="19"/>
      <c r="MYU45" s="19"/>
      <c r="MYV45" s="19"/>
      <c r="MYW45" s="19"/>
      <c r="MYX45" s="19"/>
      <c r="MYY45" s="19"/>
      <c r="MYZ45" s="19"/>
      <c r="MZA45" s="19"/>
      <c r="MZB45" s="19"/>
      <c r="MZC45" s="19"/>
      <c r="MZD45" s="19"/>
      <c r="MZE45" s="19"/>
      <c r="MZF45" s="19"/>
      <c r="MZG45" s="19"/>
      <c r="MZH45" s="19"/>
      <c r="MZI45" s="19"/>
      <c r="MZJ45" s="19"/>
      <c r="MZK45" s="19"/>
      <c r="MZL45" s="19"/>
      <c r="MZM45" s="19"/>
      <c r="MZN45" s="19"/>
      <c r="MZO45" s="19"/>
      <c r="MZP45" s="19"/>
      <c r="MZQ45" s="19"/>
      <c r="MZR45" s="19"/>
      <c r="MZS45" s="19"/>
      <c r="MZT45" s="19"/>
      <c r="MZU45" s="19"/>
      <c r="MZV45" s="19"/>
      <c r="MZW45" s="19"/>
      <c r="MZX45" s="19"/>
      <c r="MZY45" s="19"/>
      <c r="MZZ45" s="19"/>
      <c r="NAA45" s="19"/>
      <c r="NAB45" s="19"/>
      <c r="NAC45" s="19"/>
      <c r="NAD45" s="19"/>
      <c r="NAE45" s="19"/>
      <c r="NAF45" s="19"/>
      <c r="NAG45" s="19"/>
      <c r="NAH45" s="19"/>
      <c r="NAI45" s="19"/>
      <c r="NAJ45" s="19"/>
      <c r="NAK45" s="19"/>
      <c r="NAL45" s="19"/>
      <c r="NAM45" s="19"/>
      <c r="NAN45" s="19"/>
      <c r="NAO45" s="19"/>
      <c r="NAP45" s="19"/>
      <c r="NAQ45" s="19"/>
      <c r="NAR45" s="19"/>
      <c r="NAS45" s="19"/>
      <c r="NAT45" s="19"/>
      <c r="NAU45" s="19"/>
      <c r="NAV45" s="19"/>
      <c r="NAW45" s="19"/>
      <c r="NAX45" s="19"/>
      <c r="NAY45" s="19"/>
      <c r="NAZ45" s="19"/>
      <c r="NBA45" s="19"/>
      <c r="NBB45" s="19"/>
      <c r="NBC45" s="19"/>
      <c r="NBD45" s="19"/>
      <c r="NBE45" s="19"/>
      <c r="NBF45" s="19"/>
      <c r="NBG45" s="19"/>
      <c r="NBH45" s="19"/>
      <c r="NBI45" s="19"/>
      <c r="NBJ45" s="19"/>
      <c r="NBK45" s="19"/>
      <c r="NBL45" s="19"/>
      <c r="NBM45" s="19"/>
      <c r="NBN45" s="19"/>
      <c r="NBO45" s="19"/>
      <c r="NBP45" s="19"/>
      <c r="NBQ45" s="19"/>
      <c r="NBR45" s="19"/>
      <c r="NBS45" s="19"/>
      <c r="NBT45" s="19"/>
      <c r="NBU45" s="19"/>
      <c r="NBV45" s="19"/>
      <c r="NBW45" s="19"/>
      <c r="NBX45" s="19"/>
      <c r="NBY45" s="19"/>
      <c r="NBZ45" s="19"/>
      <c r="NCA45" s="19"/>
      <c r="NCB45" s="19"/>
      <c r="NCC45" s="19"/>
      <c r="NCD45" s="19"/>
      <c r="NCE45" s="19"/>
      <c r="NCF45" s="19"/>
      <c r="NCG45" s="19"/>
      <c r="NCH45" s="19"/>
      <c r="NCI45" s="19"/>
      <c r="NCJ45" s="19"/>
      <c r="NCK45" s="19"/>
      <c r="NCL45" s="19"/>
      <c r="NCM45" s="19"/>
      <c r="NCN45" s="19"/>
      <c r="NCO45" s="19"/>
      <c r="NCP45" s="19"/>
      <c r="NCQ45" s="19"/>
      <c r="NCR45" s="19"/>
      <c r="NCS45" s="19"/>
      <c r="NCT45" s="19"/>
      <c r="NCU45" s="19"/>
      <c r="NCV45" s="19"/>
      <c r="NCW45" s="19"/>
      <c r="NCX45" s="19"/>
      <c r="NCY45" s="19"/>
      <c r="NCZ45" s="19"/>
      <c r="NDA45" s="19"/>
      <c r="NDB45" s="19"/>
      <c r="NDC45" s="19"/>
      <c r="NDD45" s="19"/>
      <c r="NDE45" s="19"/>
      <c r="NDF45" s="19"/>
      <c r="NDG45" s="19"/>
      <c r="NDH45" s="19"/>
      <c r="NDI45" s="19"/>
      <c r="NDJ45" s="19"/>
      <c r="NDK45" s="19"/>
      <c r="NDL45" s="19"/>
      <c r="NDM45" s="19"/>
      <c r="NDN45" s="19"/>
      <c r="NDO45" s="19"/>
      <c r="NDP45" s="19"/>
      <c r="NDQ45" s="19"/>
      <c r="NDR45" s="19"/>
      <c r="NDS45" s="19"/>
      <c r="NDT45" s="19"/>
      <c r="NDU45" s="19"/>
      <c r="NDV45" s="19"/>
      <c r="NDW45" s="19"/>
      <c r="NDX45" s="19"/>
      <c r="NDY45" s="19"/>
      <c r="NDZ45" s="19"/>
      <c r="NEA45" s="19"/>
      <c r="NEB45" s="19"/>
      <c r="NEC45" s="19"/>
      <c r="NED45" s="19"/>
      <c r="NEE45" s="19"/>
      <c r="NEF45" s="19"/>
      <c r="NEG45" s="19"/>
      <c r="NEH45" s="19"/>
      <c r="NEI45" s="19"/>
      <c r="NEJ45" s="19"/>
      <c r="NEK45" s="19"/>
      <c r="NEL45" s="19"/>
      <c r="NEM45" s="19"/>
      <c r="NEN45" s="19"/>
      <c r="NEO45" s="19"/>
      <c r="NEP45" s="19"/>
      <c r="NEQ45" s="19"/>
      <c r="NER45" s="19"/>
      <c r="NES45" s="19"/>
      <c r="NET45" s="19"/>
      <c r="NEU45" s="19"/>
      <c r="NEV45" s="19"/>
      <c r="NEW45" s="19"/>
      <c r="NEX45" s="19"/>
      <c r="NEY45" s="19"/>
      <c r="NEZ45" s="19"/>
      <c r="NFA45" s="19"/>
      <c r="NFB45" s="19"/>
      <c r="NFC45" s="19"/>
      <c r="NFD45" s="19"/>
      <c r="NFE45" s="19"/>
      <c r="NFF45" s="19"/>
      <c r="NFG45" s="19"/>
      <c r="NFH45" s="19"/>
      <c r="NFI45" s="19"/>
      <c r="NFJ45" s="19"/>
      <c r="NFK45" s="19"/>
      <c r="NFL45" s="19"/>
      <c r="NFM45" s="19"/>
      <c r="NFN45" s="19"/>
      <c r="NFO45" s="19"/>
      <c r="NFP45" s="19"/>
      <c r="NFQ45" s="19"/>
      <c r="NFR45" s="19"/>
      <c r="NFS45" s="19"/>
      <c r="NFT45" s="19"/>
      <c r="NFU45" s="19"/>
      <c r="NFV45" s="19"/>
      <c r="NFW45" s="19"/>
      <c r="NFX45" s="19"/>
      <c r="NFY45" s="19"/>
      <c r="NFZ45" s="19"/>
      <c r="NGA45" s="19"/>
      <c r="NGB45" s="19"/>
      <c r="NGC45" s="19"/>
      <c r="NGD45" s="19"/>
      <c r="NGE45" s="19"/>
      <c r="NGF45" s="19"/>
      <c r="NGG45" s="19"/>
      <c r="NGH45" s="19"/>
      <c r="NGI45" s="19"/>
      <c r="NGJ45" s="19"/>
      <c r="NGK45" s="19"/>
      <c r="NGL45" s="19"/>
      <c r="NGM45" s="19"/>
      <c r="NGN45" s="19"/>
      <c r="NGO45" s="19"/>
      <c r="NGP45" s="19"/>
      <c r="NGQ45" s="19"/>
      <c r="NGR45" s="19"/>
      <c r="NGS45" s="19"/>
      <c r="NGT45" s="19"/>
      <c r="NGU45" s="19"/>
      <c r="NGV45" s="19"/>
      <c r="NGW45" s="19"/>
      <c r="NGX45" s="19"/>
      <c r="NGY45" s="19"/>
      <c r="NGZ45" s="19"/>
      <c r="NHA45" s="19"/>
      <c r="NHB45" s="19"/>
      <c r="NHC45" s="19"/>
      <c r="NHD45" s="19"/>
      <c r="NHE45" s="19"/>
      <c r="NHF45" s="19"/>
      <c r="NHG45" s="19"/>
      <c r="NHH45" s="19"/>
      <c r="NHI45" s="19"/>
      <c r="NHJ45" s="19"/>
      <c r="NHK45" s="19"/>
      <c r="NHL45" s="19"/>
      <c r="NHM45" s="19"/>
      <c r="NHN45" s="19"/>
      <c r="NHO45" s="19"/>
      <c r="NHP45" s="19"/>
      <c r="NHQ45" s="19"/>
      <c r="NHR45" s="19"/>
      <c r="NHS45" s="19"/>
      <c r="NHT45" s="19"/>
      <c r="NHU45" s="19"/>
      <c r="NHV45" s="19"/>
      <c r="NHW45" s="19"/>
      <c r="NHX45" s="19"/>
      <c r="NHY45" s="19"/>
      <c r="NHZ45" s="19"/>
      <c r="NIA45" s="19"/>
      <c r="NIB45" s="19"/>
      <c r="NIC45" s="19"/>
      <c r="NID45" s="19"/>
      <c r="NIE45" s="19"/>
      <c r="NIF45" s="19"/>
      <c r="NIG45" s="19"/>
      <c r="NIH45" s="19"/>
      <c r="NII45" s="19"/>
      <c r="NIJ45" s="19"/>
      <c r="NIK45" s="19"/>
      <c r="NIL45" s="19"/>
      <c r="NIM45" s="19"/>
      <c r="NIN45" s="19"/>
      <c r="NIO45" s="19"/>
      <c r="NIP45" s="19"/>
      <c r="NIQ45" s="19"/>
      <c r="NIR45" s="19"/>
      <c r="NIS45" s="19"/>
      <c r="NIT45" s="19"/>
      <c r="NIU45" s="19"/>
      <c r="NIV45" s="19"/>
      <c r="NIW45" s="19"/>
      <c r="NIX45" s="19"/>
      <c r="NIY45" s="19"/>
      <c r="NIZ45" s="19"/>
      <c r="NJA45" s="19"/>
      <c r="NJB45" s="19"/>
      <c r="NJC45" s="19"/>
      <c r="NJD45" s="19"/>
      <c r="NJE45" s="19"/>
      <c r="NJF45" s="19"/>
      <c r="NJG45" s="19"/>
      <c r="NJH45" s="19"/>
      <c r="NJI45" s="19"/>
      <c r="NJJ45" s="19"/>
      <c r="NJK45" s="19"/>
      <c r="NJL45" s="19"/>
      <c r="NJM45" s="19"/>
      <c r="NJN45" s="19"/>
      <c r="NJO45" s="19"/>
      <c r="NJP45" s="19"/>
      <c r="NJQ45" s="19"/>
      <c r="NJR45" s="19"/>
      <c r="NJS45" s="19"/>
      <c r="NJT45" s="19"/>
      <c r="NJU45" s="19"/>
      <c r="NJV45" s="19"/>
      <c r="NJW45" s="19"/>
      <c r="NJX45" s="19"/>
      <c r="NJY45" s="19"/>
      <c r="NJZ45" s="19"/>
      <c r="NKA45" s="19"/>
      <c r="NKB45" s="19"/>
      <c r="NKC45" s="19"/>
      <c r="NKD45" s="19"/>
      <c r="NKE45" s="19"/>
      <c r="NKF45" s="19"/>
      <c r="NKG45" s="19"/>
      <c r="NKH45" s="19"/>
      <c r="NKI45" s="19"/>
      <c r="NKJ45" s="19"/>
      <c r="NKK45" s="19"/>
      <c r="NKL45" s="19"/>
      <c r="NKM45" s="19"/>
      <c r="NKN45" s="19"/>
      <c r="NKO45" s="19"/>
      <c r="NKP45" s="19"/>
      <c r="NKQ45" s="19"/>
      <c r="NKR45" s="19"/>
      <c r="NKS45" s="19"/>
      <c r="NKT45" s="19"/>
      <c r="NKU45" s="19"/>
      <c r="NKV45" s="19"/>
      <c r="NKW45" s="19"/>
      <c r="NKX45" s="19"/>
      <c r="NKY45" s="19"/>
      <c r="NKZ45" s="19"/>
      <c r="NLA45" s="19"/>
      <c r="NLB45" s="19"/>
      <c r="NLC45" s="19"/>
      <c r="NLD45" s="19"/>
      <c r="NLE45" s="19"/>
      <c r="NLF45" s="19"/>
      <c r="NLG45" s="19"/>
      <c r="NLH45" s="19"/>
      <c r="NLI45" s="19"/>
      <c r="NLJ45" s="19"/>
      <c r="NLK45" s="19"/>
      <c r="NLL45" s="19"/>
      <c r="NLM45" s="19"/>
      <c r="NLN45" s="19"/>
      <c r="NLO45" s="19"/>
      <c r="NLP45" s="19"/>
      <c r="NLQ45" s="19"/>
      <c r="NLR45" s="19"/>
      <c r="NLS45" s="19"/>
      <c r="NLT45" s="19"/>
      <c r="NLU45" s="19"/>
      <c r="NLV45" s="19"/>
      <c r="NLW45" s="19"/>
      <c r="NLX45" s="19"/>
      <c r="NLY45" s="19"/>
      <c r="NLZ45" s="19"/>
      <c r="NMA45" s="19"/>
      <c r="NMB45" s="19"/>
      <c r="NMC45" s="19"/>
      <c r="NMD45" s="19"/>
      <c r="NME45" s="19"/>
      <c r="NMF45" s="19"/>
      <c r="NMG45" s="19"/>
      <c r="NMH45" s="19"/>
      <c r="NMI45" s="19"/>
      <c r="NMJ45" s="19"/>
      <c r="NMK45" s="19"/>
      <c r="NML45" s="19"/>
      <c r="NMM45" s="19"/>
      <c r="NMN45" s="19"/>
      <c r="NMO45" s="19"/>
      <c r="NMP45" s="19"/>
      <c r="NMQ45" s="19"/>
      <c r="NMR45" s="19"/>
      <c r="NMS45" s="19"/>
      <c r="NMT45" s="19"/>
      <c r="NMU45" s="19"/>
      <c r="NMV45" s="19"/>
      <c r="NMW45" s="19"/>
      <c r="NMX45" s="19"/>
      <c r="NMY45" s="19"/>
      <c r="NMZ45" s="19"/>
      <c r="NNA45" s="19"/>
      <c r="NNB45" s="19"/>
      <c r="NNC45" s="19"/>
      <c r="NND45" s="19"/>
      <c r="NNE45" s="19"/>
      <c r="NNF45" s="19"/>
      <c r="NNG45" s="19"/>
      <c r="NNH45" s="19"/>
      <c r="NNI45" s="19"/>
      <c r="NNJ45" s="19"/>
      <c r="NNK45" s="19"/>
      <c r="NNL45" s="19"/>
      <c r="NNM45" s="19"/>
      <c r="NNN45" s="19"/>
      <c r="NNO45" s="19"/>
      <c r="NNP45" s="19"/>
      <c r="NNQ45" s="19"/>
      <c r="NNR45" s="19"/>
      <c r="NNS45" s="19"/>
      <c r="NNT45" s="19"/>
      <c r="NNU45" s="19"/>
      <c r="NNV45" s="19"/>
      <c r="NNW45" s="19"/>
      <c r="NNX45" s="19"/>
      <c r="NNY45" s="19"/>
      <c r="NNZ45" s="19"/>
      <c r="NOA45" s="19"/>
      <c r="NOB45" s="19"/>
      <c r="NOC45" s="19"/>
      <c r="NOD45" s="19"/>
      <c r="NOE45" s="19"/>
      <c r="NOF45" s="19"/>
      <c r="NOG45" s="19"/>
      <c r="NOH45" s="19"/>
      <c r="NOI45" s="19"/>
      <c r="NOJ45" s="19"/>
      <c r="NOK45" s="19"/>
      <c r="NOL45" s="19"/>
      <c r="NOM45" s="19"/>
      <c r="NON45" s="19"/>
      <c r="NOO45" s="19"/>
      <c r="NOP45" s="19"/>
      <c r="NOQ45" s="19"/>
      <c r="NOR45" s="19"/>
      <c r="NOS45" s="19"/>
      <c r="NOT45" s="19"/>
      <c r="NOU45" s="19"/>
      <c r="NOV45" s="19"/>
      <c r="NOW45" s="19"/>
      <c r="NOX45" s="19"/>
      <c r="NOY45" s="19"/>
      <c r="NOZ45" s="19"/>
      <c r="NPA45" s="19"/>
      <c r="NPB45" s="19"/>
      <c r="NPC45" s="19"/>
      <c r="NPD45" s="19"/>
      <c r="NPE45" s="19"/>
      <c r="NPF45" s="19"/>
      <c r="NPG45" s="19"/>
      <c r="NPH45" s="19"/>
      <c r="NPI45" s="19"/>
      <c r="NPJ45" s="19"/>
      <c r="NPK45" s="19"/>
      <c r="NPL45" s="19"/>
      <c r="NPM45" s="19"/>
      <c r="NPN45" s="19"/>
      <c r="NPO45" s="19"/>
      <c r="NPP45" s="19"/>
      <c r="NPQ45" s="19"/>
      <c r="NPR45" s="19"/>
      <c r="NPS45" s="19"/>
      <c r="NPT45" s="19"/>
      <c r="NPU45" s="19"/>
      <c r="NPV45" s="19"/>
      <c r="NPW45" s="19"/>
      <c r="NPX45" s="19"/>
      <c r="NPY45" s="19"/>
      <c r="NPZ45" s="19"/>
      <c r="NQA45" s="19"/>
      <c r="NQB45" s="19"/>
      <c r="NQC45" s="19"/>
      <c r="NQD45" s="19"/>
      <c r="NQE45" s="19"/>
      <c r="NQF45" s="19"/>
      <c r="NQG45" s="19"/>
      <c r="NQH45" s="19"/>
      <c r="NQI45" s="19"/>
      <c r="NQJ45" s="19"/>
      <c r="NQK45" s="19"/>
      <c r="NQL45" s="19"/>
      <c r="NQM45" s="19"/>
      <c r="NQN45" s="19"/>
      <c r="NQO45" s="19"/>
      <c r="NQP45" s="19"/>
      <c r="NQQ45" s="19"/>
      <c r="NQR45" s="19"/>
      <c r="NQS45" s="19"/>
      <c r="NQT45" s="19"/>
      <c r="NQU45" s="19"/>
      <c r="NQV45" s="19"/>
      <c r="NQW45" s="19"/>
      <c r="NQX45" s="19"/>
      <c r="NQY45" s="19"/>
      <c r="NQZ45" s="19"/>
      <c r="NRA45" s="19"/>
      <c r="NRB45" s="19"/>
      <c r="NRC45" s="19"/>
      <c r="NRD45" s="19"/>
      <c r="NRE45" s="19"/>
      <c r="NRF45" s="19"/>
      <c r="NRG45" s="19"/>
      <c r="NRH45" s="19"/>
      <c r="NRI45" s="19"/>
      <c r="NRJ45" s="19"/>
      <c r="NRK45" s="19"/>
      <c r="NRL45" s="19"/>
      <c r="NRM45" s="19"/>
      <c r="NRN45" s="19"/>
      <c r="NRO45" s="19"/>
      <c r="NRP45" s="19"/>
      <c r="NRQ45" s="19"/>
      <c r="NRR45" s="19"/>
      <c r="NRS45" s="19"/>
      <c r="NRT45" s="19"/>
      <c r="NRU45" s="19"/>
      <c r="NRV45" s="19"/>
      <c r="NRW45" s="19"/>
      <c r="NRX45" s="19"/>
      <c r="NRY45" s="19"/>
      <c r="NRZ45" s="19"/>
      <c r="NSA45" s="19"/>
      <c r="NSB45" s="19"/>
      <c r="NSC45" s="19"/>
      <c r="NSD45" s="19"/>
      <c r="NSE45" s="19"/>
      <c r="NSF45" s="19"/>
      <c r="NSG45" s="19"/>
      <c r="NSH45" s="19"/>
      <c r="NSI45" s="19"/>
      <c r="NSJ45" s="19"/>
      <c r="NSK45" s="19"/>
      <c r="NSL45" s="19"/>
      <c r="NSM45" s="19"/>
      <c r="NSN45" s="19"/>
      <c r="NSO45" s="19"/>
      <c r="NSP45" s="19"/>
      <c r="NSQ45" s="19"/>
      <c r="NSR45" s="19"/>
      <c r="NSS45" s="19"/>
      <c r="NST45" s="19"/>
      <c r="NSU45" s="19"/>
      <c r="NSV45" s="19"/>
      <c r="NSW45" s="19"/>
      <c r="NSX45" s="19"/>
      <c r="NSY45" s="19"/>
      <c r="NSZ45" s="19"/>
      <c r="NTA45" s="19"/>
      <c r="NTB45" s="19"/>
      <c r="NTC45" s="19"/>
      <c r="NTD45" s="19"/>
      <c r="NTE45" s="19"/>
      <c r="NTF45" s="19"/>
      <c r="NTG45" s="19"/>
      <c r="NTH45" s="19"/>
      <c r="NTI45" s="19"/>
      <c r="NTJ45" s="19"/>
      <c r="NTK45" s="19"/>
      <c r="NTL45" s="19"/>
      <c r="NTM45" s="19"/>
      <c r="NTN45" s="19"/>
      <c r="NTO45" s="19"/>
      <c r="NTP45" s="19"/>
      <c r="NTQ45" s="19"/>
      <c r="NTR45" s="19"/>
      <c r="NTS45" s="19"/>
      <c r="NTT45" s="19"/>
      <c r="NTU45" s="19"/>
      <c r="NTV45" s="19"/>
      <c r="NTW45" s="19"/>
      <c r="NTX45" s="19"/>
      <c r="NTY45" s="19"/>
      <c r="NTZ45" s="19"/>
      <c r="NUA45" s="19"/>
      <c r="NUB45" s="19"/>
      <c r="NUC45" s="19"/>
      <c r="NUD45" s="19"/>
      <c r="NUE45" s="19"/>
      <c r="NUF45" s="19"/>
      <c r="NUG45" s="19"/>
      <c r="NUH45" s="19"/>
      <c r="NUI45" s="19"/>
      <c r="NUJ45" s="19"/>
      <c r="NUK45" s="19"/>
      <c r="NUL45" s="19"/>
      <c r="NUM45" s="19"/>
      <c r="NUN45" s="19"/>
      <c r="NUO45" s="19"/>
      <c r="NUP45" s="19"/>
      <c r="NUQ45" s="19"/>
      <c r="NUR45" s="19"/>
      <c r="NUS45" s="19"/>
      <c r="NUT45" s="19"/>
      <c r="NUU45" s="19"/>
      <c r="NUV45" s="19"/>
      <c r="NUW45" s="19"/>
      <c r="NUX45" s="19"/>
      <c r="NUY45" s="19"/>
      <c r="NUZ45" s="19"/>
      <c r="NVA45" s="19"/>
      <c r="NVB45" s="19"/>
      <c r="NVC45" s="19"/>
      <c r="NVD45" s="19"/>
      <c r="NVE45" s="19"/>
      <c r="NVF45" s="19"/>
      <c r="NVG45" s="19"/>
      <c r="NVH45" s="19"/>
      <c r="NVI45" s="19"/>
      <c r="NVJ45" s="19"/>
      <c r="NVK45" s="19"/>
      <c r="NVL45" s="19"/>
      <c r="NVM45" s="19"/>
      <c r="NVN45" s="19"/>
      <c r="NVO45" s="19"/>
      <c r="NVP45" s="19"/>
      <c r="NVQ45" s="19"/>
      <c r="NVR45" s="19"/>
      <c r="NVS45" s="19"/>
      <c r="NVT45" s="19"/>
      <c r="NVU45" s="19"/>
      <c r="NVV45" s="19"/>
      <c r="NVW45" s="19"/>
      <c r="NVX45" s="19"/>
      <c r="NVY45" s="19"/>
      <c r="NVZ45" s="19"/>
      <c r="NWA45" s="19"/>
      <c r="NWB45" s="19"/>
      <c r="NWC45" s="19"/>
      <c r="NWD45" s="19"/>
      <c r="NWE45" s="19"/>
      <c r="NWF45" s="19"/>
      <c r="NWG45" s="19"/>
      <c r="NWH45" s="19"/>
      <c r="NWI45" s="19"/>
      <c r="NWJ45" s="19"/>
      <c r="NWK45" s="19"/>
      <c r="NWL45" s="19"/>
      <c r="NWM45" s="19"/>
      <c r="NWN45" s="19"/>
      <c r="NWO45" s="19"/>
      <c r="NWP45" s="19"/>
      <c r="NWQ45" s="19"/>
      <c r="NWR45" s="19"/>
      <c r="NWS45" s="19"/>
      <c r="NWT45" s="19"/>
      <c r="NWU45" s="19"/>
      <c r="NWV45" s="19"/>
      <c r="NWW45" s="19"/>
      <c r="NWX45" s="19"/>
      <c r="NWY45" s="19"/>
      <c r="NWZ45" s="19"/>
      <c r="NXA45" s="19"/>
      <c r="NXB45" s="19"/>
      <c r="NXC45" s="19"/>
      <c r="NXD45" s="19"/>
      <c r="NXE45" s="19"/>
      <c r="NXF45" s="19"/>
      <c r="NXG45" s="19"/>
      <c r="NXH45" s="19"/>
      <c r="NXI45" s="19"/>
      <c r="NXJ45" s="19"/>
      <c r="NXK45" s="19"/>
      <c r="NXL45" s="19"/>
      <c r="NXM45" s="19"/>
      <c r="NXN45" s="19"/>
      <c r="NXO45" s="19"/>
      <c r="NXP45" s="19"/>
      <c r="NXQ45" s="19"/>
      <c r="NXR45" s="19"/>
      <c r="NXS45" s="19"/>
      <c r="NXT45" s="19"/>
      <c r="NXU45" s="19"/>
      <c r="NXV45" s="19"/>
      <c r="NXW45" s="19"/>
      <c r="NXX45" s="19"/>
      <c r="NXY45" s="19"/>
      <c r="NXZ45" s="19"/>
      <c r="NYA45" s="19"/>
      <c r="NYB45" s="19"/>
      <c r="NYC45" s="19"/>
      <c r="NYD45" s="19"/>
      <c r="NYE45" s="19"/>
      <c r="NYF45" s="19"/>
      <c r="NYG45" s="19"/>
      <c r="NYH45" s="19"/>
      <c r="NYI45" s="19"/>
      <c r="NYJ45" s="19"/>
      <c r="NYK45" s="19"/>
      <c r="NYL45" s="19"/>
      <c r="NYM45" s="19"/>
      <c r="NYN45" s="19"/>
      <c r="NYO45" s="19"/>
      <c r="NYP45" s="19"/>
      <c r="NYQ45" s="19"/>
      <c r="NYR45" s="19"/>
      <c r="NYS45" s="19"/>
      <c r="NYT45" s="19"/>
      <c r="NYU45" s="19"/>
      <c r="NYV45" s="19"/>
      <c r="NYW45" s="19"/>
      <c r="NYX45" s="19"/>
      <c r="NYY45" s="19"/>
      <c r="NYZ45" s="19"/>
      <c r="NZA45" s="19"/>
      <c r="NZB45" s="19"/>
      <c r="NZC45" s="19"/>
      <c r="NZD45" s="19"/>
      <c r="NZE45" s="19"/>
      <c r="NZF45" s="19"/>
      <c r="NZG45" s="19"/>
      <c r="NZH45" s="19"/>
      <c r="NZI45" s="19"/>
      <c r="NZJ45" s="19"/>
      <c r="NZK45" s="19"/>
      <c r="NZL45" s="19"/>
      <c r="NZM45" s="19"/>
      <c r="NZN45" s="19"/>
      <c r="NZO45" s="19"/>
      <c r="NZP45" s="19"/>
      <c r="NZQ45" s="19"/>
      <c r="NZR45" s="19"/>
      <c r="NZS45" s="19"/>
      <c r="NZT45" s="19"/>
      <c r="NZU45" s="19"/>
      <c r="NZV45" s="19"/>
      <c r="NZW45" s="19"/>
      <c r="NZX45" s="19"/>
      <c r="NZY45" s="19"/>
      <c r="NZZ45" s="19"/>
      <c r="OAA45" s="19"/>
      <c r="OAB45" s="19"/>
      <c r="OAC45" s="19"/>
      <c r="OAD45" s="19"/>
      <c r="OAE45" s="19"/>
      <c r="OAF45" s="19"/>
      <c r="OAG45" s="19"/>
      <c r="OAH45" s="19"/>
      <c r="OAI45" s="19"/>
      <c r="OAJ45" s="19"/>
      <c r="OAK45" s="19"/>
      <c r="OAL45" s="19"/>
      <c r="OAM45" s="19"/>
      <c r="OAN45" s="19"/>
      <c r="OAO45" s="19"/>
      <c r="OAP45" s="19"/>
      <c r="OAQ45" s="19"/>
      <c r="OAR45" s="19"/>
      <c r="OAS45" s="19"/>
      <c r="OAT45" s="19"/>
      <c r="OAU45" s="19"/>
      <c r="OAV45" s="19"/>
      <c r="OAW45" s="19"/>
      <c r="OAX45" s="19"/>
      <c r="OAY45" s="19"/>
      <c r="OAZ45" s="19"/>
      <c r="OBA45" s="19"/>
      <c r="OBB45" s="19"/>
      <c r="OBC45" s="19"/>
      <c r="OBD45" s="19"/>
      <c r="OBE45" s="19"/>
      <c r="OBF45" s="19"/>
      <c r="OBG45" s="19"/>
      <c r="OBH45" s="19"/>
      <c r="OBI45" s="19"/>
      <c r="OBJ45" s="19"/>
      <c r="OBK45" s="19"/>
      <c r="OBL45" s="19"/>
      <c r="OBM45" s="19"/>
      <c r="OBN45" s="19"/>
      <c r="OBO45" s="19"/>
      <c r="OBP45" s="19"/>
      <c r="OBQ45" s="19"/>
      <c r="OBR45" s="19"/>
      <c r="OBS45" s="19"/>
      <c r="OBT45" s="19"/>
      <c r="OBU45" s="19"/>
      <c r="OBV45" s="19"/>
      <c r="OBW45" s="19"/>
      <c r="OBX45" s="19"/>
      <c r="OBY45" s="19"/>
      <c r="OBZ45" s="19"/>
      <c r="OCA45" s="19"/>
      <c r="OCB45" s="19"/>
      <c r="OCC45" s="19"/>
      <c r="OCD45" s="19"/>
      <c r="OCE45" s="19"/>
      <c r="OCF45" s="19"/>
      <c r="OCG45" s="19"/>
      <c r="OCH45" s="19"/>
      <c r="OCI45" s="19"/>
      <c r="OCJ45" s="19"/>
      <c r="OCK45" s="19"/>
      <c r="OCL45" s="19"/>
      <c r="OCM45" s="19"/>
      <c r="OCN45" s="19"/>
      <c r="OCO45" s="19"/>
      <c r="OCP45" s="19"/>
      <c r="OCQ45" s="19"/>
      <c r="OCR45" s="19"/>
      <c r="OCS45" s="19"/>
      <c r="OCT45" s="19"/>
      <c r="OCU45" s="19"/>
      <c r="OCV45" s="19"/>
      <c r="OCW45" s="19"/>
      <c r="OCX45" s="19"/>
      <c r="OCY45" s="19"/>
      <c r="OCZ45" s="19"/>
      <c r="ODA45" s="19"/>
      <c r="ODB45" s="19"/>
      <c r="ODC45" s="19"/>
      <c r="ODD45" s="19"/>
      <c r="ODE45" s="19"/>
      <c r="ODF45" s="19"/>
      <c r="ODG45" s="19"/>
      <c r="ODH45" s="19"/>
      <c r="ODI45" s="19"/>
      <c r="ODJ45" s="19"/>
      <c r="ODK45" s="19"/>
      <c r="ODL45" s="19"/>
      <c r="ODM45" s="19"/>
      <c r="ODN45" s="19"/>
      <c r="ODO45" s="19"/>
      <c r="ODP45" s="19"/>
      <c r="ODQ45" s="19"/>
      <c r="ODR45" s="19"/>
      <c r="ODS45" s="19"/>
      <c r="ODT45" s="19"/>
      <c r="ODU45" s="19"/>
      <c r="ODV45" s="19"/>
      <c r="ODW45" s="19"/>
      <c r="ODX45" s="19"/>
      <c r="ODY45" s="19"/>
      <c r="ODZ45" s="19"/>
      <c r="OEA45" s="19"/>
      <c r="OEB45" s="19"/>
      <c r="OEC45" s="19"/>
      <c r="OED45" s="19"/>
      <c r="OEE45" s="19"/>
      <c r="OEF45" s="19"/>
      <c r="OEG45" s="19"/>
      <c r="OEH45" s="19"/>
      <c r="OEI45" s="19"/>
      <c r="OEJ45" s="19"/>
      <c r="OEK45" s="19"/>
      <c r="OEL45" s="19"/>
      <c r="OEM45" s="19"/>
      <c r="OEN45" s="19"/>
      <c r="OEO45" s="19"/>
      <c r="OEP45" s="19"/>
      <c r="OEQ45" s="19"/>
      <c r="OER45" s="19"/>
      <c r="OES45" s="19"/>
      <c r="OET45" s="19"/>
      <c r="OEU45" s="19"/>
      <c r="OEV45" s="19"/>
      <c r="OEW45" s="19"/>
      <c r="OEX45" s="19"/>
      <c r="OEY45" s="19"/>
      <c r="OEZ45" s="19"/>
      <c r="OFA45" s="19"/>
      <c r="OFB45" s="19"/>
      <c r="OFC45" s="19"/>
      <c r="OFD45" s="19"/>
      <c r="OFE45" s="19"/>
      <c r="OFF45" s="19"/>
      <c r="OFG45" s="19"/>
      <c r="OFH45" s="19"/>
      <c r="OFI45" s="19"/>
      <c r="OFJ45" s="19"/>
      <c r="OFK45" s="19"/>
      <c r="OFL45" s="19"/>
      <c r="OFM45" s="19"/>
      <c r="OFN45" s="19"/>
      <c r="OFO45" s="19"/>
      <c r="OFP45" s="19"/>
      <c r="OFQ45" s="19"/>
      <c r="OFR45" s="19"/>
      <c r="OFS45" s="19"/>
      <c r="OFT45" s="19"/>
      <c r="OFU45" s="19"/>
      <c r="OFV45" s="19"/>
      <c r="OFW45" s="19"/>
      <c r="OFX45" s="19"/>
      <c r="OFY45" s="19"/>
      <c r="OFZ45" s="19"/>
      <c r="OGA45" s="19"/>
      <c r="OGB45" s="19"/>
      <c r="OGC45" s="19"/>
      <c r="OGD45" s="19"/>
      <c r="OGE45" s="19"/>
      <c r="OGF45" s="19"/>
      <c r="OGG45" s="19"/>
      <c r="OGH45" s="19"/>
      <c r="OGI45" s="19"/>
      <c r="OGJ45" s="19"/>
      <c r="OGK45" s="19"/>
      <c r="OGL45" s="19"/>
      <c r="OGM45" s="19"/>
      <c r="OGN45" s="19"/>
      <c r="OGO45" s="19"/>
      <c r="OGP45" s="19"/>
      <c r="OGQ45" s="19"/>
      <c r="OGR45" s="19"/>
      <c r="OGS45" s="19"/>
      <c r="OGT45" s="19"/>
      <c r="OGU45" s="19"/>
      <c r="OGV45" s="19"/>
      <c r="OGW45" s="19"/>
      <c r="OGX45" s="19"/>
      <c r="OGY45" s="19"/>
      <c r="OGZ45" s="19"/>
      <c r="OHA45" s="19"/>
      <c r="OHB45" s="19"/>
      <c r="OHC45" s="19"/>
      <c r="OHD45" s="19"/>
      <c r="OHE45" s="19"/>
      <c r="OHF45" s="19"/>
      <c r="OHG45" s="19"/>
      <c r="OHH45" s="19"/>
      <c r="OHI45" s="19"/>
      <c r="OHJ45" s="19"/>
      <c r="OHK45" s="19"/>
      <c r="OHL45" s="19"/>
      <c r="OHM45" s="19"/>
      <c r="OHN45" s="19"/>
      <c r="OHO45" s="19"/>
      <c r="OHP45" s="19"/>
      <c r="OHQ45" s="19"/>
      <c r="OHR45" s="19"/>
      <c r="OHS45" s="19"/>
      <c r="OHT45" s="19"/>
      <c r="OHU45" s="19"/>
      <c r="OHV45" s="19"/>
      <c r="OHW45" s="19"/>
      <c r="OHX45" s="19"/>
      <c r="OHY45" s="19"/>
      <c r="OHZ45" s="19"/>
      <c r="OIA45" s="19"/>
      <c r="OIB45" s="19"/>
      <c r="OIC45" s="19"/>
      <c r="OID45" s="19"/>
      <c r="OIE45" s="19"/>
      <c r="OIF45" s="19"/>
      <c r="OIG45" s="19"/>
      <c r="OIH45" s="19"/>
      <c r="OII45" s="19"/>
      <c r="OIJ45" s="19"/>
      <c r="OIK45" s="19"/>
      <c r="OIL45" s="19"/>
      <c r="OIM45" s="19"/>
      <c r="OIN45" s="19"/>
      <c r="OIO45" s="19"/>
      <c r="OIP45" s="19"/>
      <c r="OIQ45" s="19"/>
      <c r="OIR45" s="19"/>
      <c r="OIS45" s="19"/>
      <c r="OIT45" s="19"/>
      <c r="OIU45" s="19"/>
      <c r="OIV45" s="19"/>
      <c r="OIW45" s="19"/>
      <c r="OIX45" s="19"/>
      <c r="OIY45" s="19"/>
      <c r="OIZ45" s="19"/>
      <c r="OJA45" s="19"/>
      <c r="OJB45" s="19"/>
      <c r="OJC45" s="19"/>
      <c r="OJD45" s="19"/>
      <c r="OJE45" s="19"/>
      <c r="OJF45" s="19"/>
      <c r="OJG45" s="19"/>
      <c r="OJH45" s="19"/>
      <c r="OJI45" s="19"/>
      <c r="OJJ45" s="19"/>
      <c r="OJK45" s="19"/>
      <c r="OJL45" s="19"/>
      <c r="OJM45" s="19"/>
      <c r="OJN45" s="19"/>
      <c r="OJO45" s="19"/>
      <c r="OJP45" s="19"/>
      <c r="OJQ45" s="19"/>
      <c r="OJR45" s="19"/>
      <c r="OJS45" s="19"/>
      <c r="OJT45" s="19"/>
      <c r="OJU45" s="19"/>
      <c r="OJV45" s="19"/>
      <c r="OJW45" s="19"/>
      <c r="OJX45" s="19"/>
      <c r="OJY45" s="19"/>
      <c r="OJZ45" s="19"/>
      <c r="OKA45" s="19"/>
      <c r="OKB45" s="19"/>
      <c r="OKC45" s="19"/>
      <c r="OKD45" s="19"/>
      <c r="OKE45" s="19"/>
      <c r="OKF45" s="19"/>
      <c r="OKG45" s="19"/>
      <c r="OKH45" s="19"/>
      <c r="OKI45" s="19"/>
      <c r="OKJ45" s="19"/>
      <c r="OKK45" s="19"/>
      <c r="OKL45" s="19"/>
      <c r="OKM45" s="19"/>
      <c r="OKN45" s="19"/>
      <c r="OKO45" s="19"/>
      <c r="OKP45" s="19"/>
      <c r="OKQ45" s="19"/>
      <c r="OKR45" s="19"/>
      <c r="OKS45" s="19"/>
      <c r="OKT45" s="19"/>
      <c r="OKU45" s="19"/>
      <c r="OKV45" s="19"/>
      <c r="OKW45" s="19"/>
      <c r="OKX45" s="19"/>
      <c r="OKY45" s="19"/>
      <c r="OKZ45" s="19"/>
      <c r="OLA45" s="19"/>
      <c r="OLB45" s="19"/>
      <c r="OLC45" s="19"/>
      <c r="OLD45" s="19"/>
      <c r="OLE45" s="19"/>
      <c r="OLF45" s="19"/>
      <c r="OLG45" s="19"/>
      <c r="OLH45" s="19"/>
      <c r="OLI45" s="19"/>
      <c r="OLJ45" s="19"/>
      <c r="OLK45" s="19"/>
      <c r="OLL45" s="19"/>
      <c r="OLM45" s="19"/>
      <c r="OLN45" s="19"/>
      <c r="OLO45" s="19"/>
      <c r="OLP45" s="19"/>
      <c r="OLQ45" s="19"/>
      <c r="OLR45" s="19"/>
      <c r="OLS45" s="19"/>
      <c r="OLT45" s="19"/>
      <c r="OLU45" s="19"/>
      <c r="OLV45" s="19"/>
      <c r="OLW45" s="19"/>
      <c r="OLX45" s="19"/>
      <c r="OLY45" s="19"/>
      <c r="OLZ45" s="19"/>
      <c r="OMA45" s="19"/>
      <c r="OMB45" s="19"/>
      <c r="OMC45" s="19"/>
      <c r="OMD45" s="19"/>
      <c r="OME45" s="19"/>
      <c r="OMF45" s="19"/>
      <c r="OMG45" s="19"/>
      <c r="OMH45" s="19"/>
      <c r="OMI45" s="19"/>
      <c r="OMJ45" s="19"/>
      <c r="OMK45" s="19"/>
      <c r="OML45" s="19"/>
      <c r="OMM45" s="19"/>
      <c r="OMN45" s="19"/>
      <c r="OMO45" s="19"/>
      <c r="OMP45" s="19"/>
      <c r="OMQ45" s="19"/>
      <c r="OMR45" s="19"/>
      <c r="OMS45" s="19"/>
      <c r="OMT45" s="19"/>
      <c r="OMU45" s="19"/>
      <c r="OMV45" s="19"/>
      <c r="OMW45" s="19"/>
      <c r="OMX45" s="19"/>
      <c r="OMY45" s="19"/>
      <c r="OMZ45" s="19"/>
      <c r="ONA45" s="19"/>
      <c r="ONB45" s="19"/>
      <c r="ONC45" s="19"/>
      <c r="OND45" s="19"/>
      <c r="ONE45" s="19"/>
      <c r="ONF45" s="19"/>
      <c r="ONG45" s="19"/>
      <c r="ONH45" s="19"/>
      <c r="ONI45" s="19"/>
      <c r="ONJ45" s="19"/>
      <c r="ONK45" s="19"/>
      <c r="ONL45" s="19"/>
      <c r="ONM45" s="19"/>
      <c r="ONN45" s="19"/>
      <c r="ONO45" s="19"/>
      <c r="ONP45" s="19"/>
      <c r="ONQ45" s="19"/>
      <c r="ONR45" s="19"/>
      <c r="ONS45" s="19"/>
      <c r="ONT45" s="19"/>
      <c r="ONU45" s="19"/>
      <c r="ONV45" s="19"/>
      <c r="ONW45" s="19"/>
      <c r="ONX45" s="19"/>
      <c r="ONY45" s="19"/>
      <c r="ONZ45" s="19"/>
      <c r="OOA45" s="19"/>
      <c r="OOB45" s="19"/>
      <c r="OOC45" s="19"/>
      <c r="OOD45" s="19"/>
      <c r="OOE45" s="19"/>
      <c r="OOF45" s="19"/>
      <c r="OOG45" s="19"/>
      <c r="OOH45" s="19"/>
      <c r="OOI45" s="19"/>
      <c r="OOJ45" s="19"/>
      <c r="OOK45" s="19"/>
      <c r="OOL45" s="19"/>
      <c r="OOM45" s="19"/>
      <c r="OON45" s="19"/>
      <c r="OOO45" s="19"/>
      <c r="OOP45" s="19"/>
      <c r="OOQ45" s="19"/>
      <c r="OOR45" s="19"/>
      <c r="OOS45" s="19"/>
      <c r="OOT45" s="19"/>
      <c r="OOU45" s="19"/>
      <c r="OOV45" s="19"/>
      <c r="OOW45" s="19"/>
      <c r="OOX45" s="19"/>
      <c r="OOY45" s="19"/>
      <c r="OOZ45" s="19"/>
      <c r="OPA45" s="19"/>
      <c r="OPB45" s="19"/>
      <c r="OPC45" s="19"/>
      <c r="OPD45" s="19"/>
      <c r="OPE45" s="19"/>
      <c r="OPF45" s="19"/>
      <c r="OPG45" s="19"/>
      <c r="OPH45" s="19"/>
      <c r="OPI45" s="19"/>
      <c r="OPJ45" s="19"/>
      <c r="OPK45" s="19"/>
      <c r="OPL45" s="19"/>
      <c r="OPM45" s="19"/>
      <c r="OPN45" s="19"/>
      <c r="OPO45" s="19"/>
      <c r="OPP45" s="19"/>
      <c r="OPQ45" s="19"/>
      <c r="OPR45" s="19"/>
      <c r="OPS45" s="19"/>
      <c r="OPT45" s="19"/>
      <c r="OPU45" s="19"/>
      <c r="OPV45" s="19"/>
      <c r="OPW45" s="19"/>
      <c r="OPX45" s="19"/>
      <c r="OPY45" s="19"/>
      <c r="OPZ45" s="19"/>
      <c r="OQA45" s="19"/>
      <c r="OQB45" s="19"/>
      <c r="OQC45" s="19"/>
      <c r="OQD45" s="19"/>
      <c r="OQE45" s="19"/>
      <c r="OQF45" s="19"/>
      <c r="OQG45" s="19"/>
      <c r="OQH45" s="19"/>
      <c r="OQI45" s="19"/>
      <c r="OQJ45" s="19"/>
      <c r="OQK45" s="19"/>
      <c r="OQL45" s="19"/>
      <c r="OQM45" s="19"/>
      <c r="OQN45" s="19"/>
      <c r="OQO45" s="19"/>
      <c r="OQP45" s="19"/>
      <c r="OQQ45" s="19"/>
      <c r="OQR45" s="19"/>
      <c r="OQS45" s="19"/>
      <c r="OQT45" s="19"/>
      <c r="OQU45" s="19"/>
      <c r="OQV45" s="19"/>
      <c r="OQW45" s="19"/>
      <c r="OQX45" s="19"/>
      <c r="OQY45" s="19"/>
      <c r="OQZ45" s="19"/>
      <c r="ORA45" s="19"/>
      <c r="ORB45" s="19"/>
      <c r="ORC45" s="19"/>
      <c r="ORD45" s="19"/>
      <c r="ORE45" s="19"/>
      <c r="ORF45" s="19"/>
      <c r="ORG45" s="19"/>
      <c r="ORH45" s="19"/>
      <c r="ORI45" s="19"/>
      <c r="ORJ45" s="19"/>
      <c r="ORK45" s="19"/>
      <c r="ORL45" s="19"/>
      <c r="ORM45" s="19"/>
      <c r="ORN45" s="19"/>
      <c r="ORO45" s="19"/>
      <c r="ORP45" s="19"/>
      <c r="ORQ45" s="19"/>
      <c r="ORR45" s="19"/>
      <c r="ORS45" s="19"/>
      <c r="ORT45" s="19"/>
      <c r="ORU45" s="19"/>
      <c r="ORV45" s="19"/>
      <c r="ORW45" s="19"/>
      <c r="ORX45" s="19"/>
      <c r="ORY45" s="19"/>
      <c r="ORZ45" s="19"/>
      <c r="OSA45" s="19"/>
      <c r="OSB45" s="19"/>
      <c r="OSC45" s="19"/>
      <c r="OSD45" s="19"/>
      <c r="OSE45" s="19"/>
      <c r="OSF45" s="19"/>
      <c r="OSG45" s="19"/>
      <c r="OSH45" s="19"/>
      <c r="OSI45" s="19"/>
      <c r="OSJ45" s="19"/>
      <c r="OSK45" s="19"/>
      <c r="OSL45" s="19"/>
      <c r="OSM45" s="19"/>
      <c r="OSN45" s="19"/>
      <c r="OSO45" s="19"/>
      <c r="OSP45" s="19"/>
      <c r="OSQ45" s="19"/>
      <c r="OSR45" s="19"/>
      <c r="OSS45" s="19"/>
      <c r="OST45" s="19"/>
      <c r="OSU45" s="19"/>
      <c r="OSV45" s="19"/>
      <c r="OSW45" s="19"/>
      <c r="OSX45" s="19"/>
      <c r="OSY45" s="19"/>
      <c r="OSZ45" s="19"/>
      <c r="OTA45" s="19"/>
      <c r="OTB45" s="19"/>
      <c r="OTC45" s="19"/>
      <c r="OTD45" s="19"/>
      <c r="OTE45" s="19"/>
      <c r="OTF45" s="19"/>
      <c r="OTG45" s="19"/>
      <c r="OTH45" s="19"/>
      <c r="OTI45" s="19"/>
      <c r="OTJ45" s="19"/>
      <c r="OTK45" s="19"/>
      <c r="OTL45" s="19"/>
      <c r="OTM45" s="19"/>
      <c r="OTN45" s="19"/>
      <c r="OTO45" s="19"/>
      <c r="OTP45" s="19"/>
      <c r="OTQ45" s="19"/>
      <c r="OTR45" s="19"/>
      <c r="OTS45" s="19"/>
      <c r="OTT45" s="19"/>
      <c r="OTU45" s="19"/>
      <c r="OTV45" s="19"/>
      <c r="OTW45" s="19"/>
      <c r="OTX45" s="19"/>
      <c r="OTY45" s="19"/>
      <c r="OTZ45" s="19"/>
      <c r="OUA45" s="19"/>
      <c r="OUB45" s="19"/>
      <c r="OUC45" s="19"/>
      <c r="OUD45" s="19"/>
      <c r="OUE45" s="19"/>
      <c r="OUF45" s="19"/>
      <c r="OUG45" s="19"/>
      <c r="OUH45" s="19"/>
      <c r="OUI45" s="19"/>
      <c r="OUJ45" s="19"/>
      <c r="OUK45" s="19"/>
      <c r="OUL45" s="19"/>
      <c r="OUM45" s="19"/>
      <c r="OUN45" s="19"/>
      <c r="OUO45" s="19"/>
      <c r="OUP45" s="19"/>
      <c r="OUQ45" s="19"/>
      <c r="OUR45" s="19"/>
      <c r="OUS45" s="19"/>
      <c r="OUT45" s="19"/>
      <c r="OUU45" s="19"/>
      <c r="OUV45" s="19"/>
      <c r="OUW45" s="19"/>
      <c r="OUX45" s="19"/>
      <c r="OUY45" s="19"/>
      <c r="OUZ45" s="19"/>
      <c r="OVA45" s="19"/>
      <c r="OVB45" s="19"/>
      <c r="OVC45" s="19"/>
      <c r="OVD45" s="19"/>
      <c r="OVE45" s="19"/>
      <c r="OVF45" s="19"/>
      <c r="OVG45" s="19"/>
      <c r="OVH45" s="19"/>
      <c r="OVI45" s="19"/>
      <c r="OVJ45" s="19"/>
      <c r="OVK45" s="19"/>
      <c r="OVL45" s="19"/>
      <c r="OVM45" s="19"/>
      <c r="OVN45" s="19"/>
      <c r="OVO45" s="19"/>
      <c r="OVP45" s="19"/>
      <c r="OVQ45" s="19"/>
      <c r="OVR45" s="19"/>
      <c r="OVS45" s="19"/>
      <c r="OVT45" s="19"/>
      <c r="OVU45" s="19"/>
      <c r="OVV45" s="19"/>
      <c r="OVW45" s="19"/>
      <c r="OVX45" s="19"/>
      <c r="OVY45" s="19"/>
      <c r="OVZ45" s="19"/>
      <c r="OWA45" s="19"/>
      <c r="OWB45" s="19"/>
      <c r="OWC45" s="19"/>
      <c r="OWD45" s="19"/>
      <c r="OWE45" s="19"/>
      <c r="OWF45" s="19"/>
      <c r="OWG45" s="19"/>
      <c r="OWH45" s="19"/>
      <c r="OWI45" s="19"/>
      <c r="OWJ45" s="19"/>
      <c r="OWK45" s="19"/>
      <c r="OWL45" s="19"/>
      <c r="OWM45" s="19"/>
      <c r="OWN45" s="19"/>
      <c r="OWO45" s="19"/>
      <c r="OWP45" s="19"/>
      <c r="OWQ45" s="19"/>
      <c r="OWR45" s="19"/>
      <c r="OWS45" s="19"/>
      <c r="OWT45" s="19"/>
      <c r="OWU45" s="19"/>
      <c r="OWV45" s="19"/>
      <c r="OWW45" s="19"/>
      <c r="OWX45" s="19"/>
      <c r="OWY45" s="19"/>
      <c r="OWZ45" s="19"/>
      <c r="OXA45" s="19"/>
      <c r="OXB45" s="19"/>
      <c r="OXC45" s="19"/>
      <c r="OXD45" s="19"/>
      <c r="OXE45" s="19"/>
      <c r="OXF45" s="19"/>
      <c r="OXG45" s="19"/>
      <c r="OXH45" s="19"/>
      <c r="OXI45" s="19"/>
      <c r="OXJ45" s="19"/>
      <c r="OXK45" s="19"/>
      <c r="OXL45" s="19"/>
      <c r="OXM45" s="19"/>
      <c r="OXN45" s="19"/>
      <c r="OXO45" s="19"/>
      <c r="OXP45" s="19"/>
      <c r="OXQ45" s="19"/>
      <c r="OXR45" s="19"/>
      <c r="OXS45" s="19"/>
      <c r="OXT45" s="19"/>
      <c r="OXU45" s="19"/>
      <c r="OXV45" s="19"/>
      <c r="OXW45" s="19"/>
      <c r="OXX45" s="19"/>
      <c r="OXY45" s="19"/>
      <c r="OXZ45" s="19"/>
      <c r="OYA45" s="19"/>
      <c r="OYB45" s="19"/>
      <c r="OYC45" s="19"/>
      <c r="OYD45" s="19"/>
      <c r="OYE45" s="19"/>
      <c r="OYF45" s="19"/>
      <c r="OYG45" s="19"/>
      <c r="OYH45" s="19"/>
      <c r="OYI45" s="19"/>
      <c r="OYJ45" s="19"/>
      <c r="OYK45" s="19"/>
      <c r="OYL45" s="19"/>
      <c r="OYM45" s="19"/>
      <c r="OYN45" s="19"/>
      <c r="OYO45" s="19"/>
      <c r="OYP45" s="19"/>
      <c r="OYQ45" s="19"/>
      <c r="OYR45" s="19"/>
      <c r="OYS45" s="19"/>
      <c r="OYT45" s="19"/>
      <c r="OYU45" s="19"/>
      <c r="OYV45" s="19"/>
      <c r="OYW45" s="19"/>
      <c r="OYX45" s="19"/>
      <c r="OYY45" s="19"/>
      <c r="OYZ45" s="19"/>
      <c r="OZA45" s="19"/>
      <c r="OZB45" s="19"/>
      <c r="OZC45" s="19"/>
      <c r="OZD45" s="19"/>
      <c r="OZE45" s="19"/>
      <c r="OZF45" s="19"/>
      <c r="OZG45" s="19"/>
      <c r="OZH45" s="19"/>
      <c r="OZI45" s="19"/>
      <c r="OZJ45" s="19"/>
      <c r="OZK45" s="19"/>
      <c r="OZL45" s="19"/>
      <c r="OZM45" s="19"/>
      <c r="OZN45" s="19"/>
      <c r="OZO45" s="19"/>
      <c r="OZP45" s="19"/>
      <c r="OZQ45" s="19"/>
      <c r="OZR45" s="19"/>
      <c r="OZS45" s="19"/>
      <c r="OZT45" s="19"/>
      <c r="OZU45" s="19"/>
      <c r="OZV45" s="19"/>
      <c r="OZW45" s="19"/>
      <c r="OZX45" s="19"/>
      <c r="OZY45" s="19"/>
      <c r="OZZ45" s="19"/>
      <c r="PAA45" s="19"/>
      <c r="PAB45" s="19"/>
      <c r="PAC45" s="19"/>
      <c r="PAD45" s="19"/>
      <c r="PAE45" s="19"/>
      <c r="PAF45" s="19"/>
      <c r="PAG45" s="19"/>
      <c r="PAH45" s="19"/>
      <c r="PAI45" s="19"/>
      <c r="PAJ45" s="19"/>
      <c r="PAK45" s="19"/>
      <c r="PAL45" s="19"/>
      <c r="PAM45" s="19"/>
      <c r="PAN45" s="19"/>
      <c r="PAO45" s="19"/>
      <c r="PAP45" s="19"/>
      <c r="PAQ45" s="19"/>
      <c r="PAR45" s="19"/>
      <c r="PAS45" s="19"/>
      <c r="PAT45" s="19"/>
      <c r="PAU45" s="19"/>
      <c r="PAV45" s="19"/>
      <c r="PAW45" s="19"/>
      <c r="PAX45" s="19"/>
      <c r="PAY45" s="19"/>
      <c r="PAZ45" s="19"/>
      <c r="PBA45" s="19"/>
      <c r="PBB45" s="19"/>
      <c r="PBC45" s="19"/>
      <c r="PBD45" s="19"/>
      <c r="PBE45" s="19"/>
      <c r="PBF45" s="19"/>
      <c r="PBG45" s="19"/>
      <c r="PBH45" s="19"/>
      <c r="PBI45" s="19"/>
      <c r="PBJ45" s="19"/>
      <c r="PBK45" s="19"/>
      <c r="PBL45" s="19"/>
      <c r="PBM45" s="19"/>
      <c r="PBN45" s="19"/>
      <c r="PBO45" s="19"/>
      <c r="PBP45" s="19"/>
      <c r="PBQ45" s="19"/>
      <c r="PBR45" s="19"/>
      <c r="PBS45" s="19"/>
      <c r="PBT45" s="19"/>
      <c r="PBU45" s="19"/>
      <c r="PBV45" s="19"/>
      <c r="PBW45" s="19"/>
      <c r="PBX45" s="19"/>
      <c r="PBY45" s="19"/>
      <c r="PBZ45" s="19"/>
      <c r="PCA45" s="19"/>
      <c r="PCB45" s="19"/>
      <c r="PCC45" s="19"/>
      <c r="PCD45" s="19"/>
      <c r="PCE45" s="19"/>
      <c r="PCF45" s="19"/>
      <c r="PCG45" s="19"/>
      <c r="PCH45" s="19"/>
      <c r="PCI45" s="19"/>
      <c r="PCJ45" s="19"/>
      <c r="PCK45" s="19"/>
      <c r="PCL45" s="19"/>
      <c r="PCM45" s="19"/>
      <c r="PCN45" s="19"/>
      <c r="PCO45" s="19"/>
      <c r="PCP45" s="19"/>
      <c r="PCQ45" s="19"/>
      <c r="PCR45" s="19"/>
      <c r="PCS45" s="19"/>
      <c r="PCT45" s="19"/>
      <c r="PCU45" s="19"/>
      <c r="PCV45" s="19"/>
      <c r="PCW45" s="19"/>
      <c r="PCX45" s="19"/>
      <c r="PCY45" s="19"/>
      <c r="PCZ45" s="19"/>
      <c r="PDA45" s="19"/>
      <c r="PDB45" s="19"/>
      <c r="PDC45" s="19"/>
      <c r="PDD45" s="19"/>
      <c r="PDE45" s="19"/>
      <c r="PDF45" s="19"/>
      <c r="PDG45" s="19"/>
      <c r="PDH45" s="19"/>
      <c r="PDI45" s="19"/>
      <c r="PDJ45" s="19"/>
      <c r="PDK45" s="19"/>
      <c r="PDL45" s="19"/>
      <c r="PDM45" s="19"/>
      <c r="PDN45" s="19"/>
      <c r="PDO45" s="19"/>
      <c r="PDP45" s="19"/>
      <c r="PDQ45" s="19"/>
      <c r="PDR45" s="19"/>
      <c r="PDS45" s="19"/>
      <c r="PDT45" s="19"/>
      <c r="PDU45" s="19"/>
      <c r="PDV45" s="19"/>
      <c r="PDW45" s="19"/>
      <c r="PDX45" s="19"/>
      <c r="PDY45" s="19"/>
      <c r="PDZ45" s="19"/>
      <c r="PEA45" s="19"/>
      <c r="PEB45" s="19"/>
      <c r="PEC45" s="19"/>
      <c r="PED45" s="19"/>
      <c r="PEE45" s="19"/>
      <c r="PEF45" s="19"/>
      <c r="PEG45" s="19"/>
      <c r="PEH45" s="19"/>
      <c r="PEI45" s="19"/>
      <c r="PEJ45" s="19"/>
      <c r="PEK45" s="19"/>
      <c r="PEL45" s="19"/>
      <c r="PEM45" s="19"/>
      <c r="PEN45" s="19"/>
      <c r="PEO45" s="19"/>
      <c r="PEP45" s="19"/>
      <c r="PEQ45" s="19"/>
      <c r="PER45" s="19"/>
      <c r="PES45" s="19"/>
      <c r="PET45" s="19"/>
      <c r="PEU45" s="19"/>
      <c r="PEV45" s="19"/>
      <c r="PEW45" s="19"/>
      <c r="PEX45" s="19"/>
      <c r="PEY45" s="19"/>
      <c r="PEZ45" s="19"/>
      <c r="PFA45" s="19"/>
      <c r="PFB45" s="19"/>
      <c r="PFC45" s="19"/>
      <c r="PFD45" s="19"/>
      <c r="PFE45" s="19"/>
      <c r="PFF45" s="19"/>
      <c r="PFG45" s="19"/>
      <c r="PFH45" s="19"/>
      <c r="PFI45" s="19"/>
      <c r="PFJ45" s="19"/>
      <c r="PFK45" s="19"/>
      <c r="PFL45" s="19"/>
      <c r="PFM45" s="19"/>
      <c r="PFN45" s="19"/>
      <c r="PFO45" s="19"/>
      <c r="PFP45" s="19"/>
      <c r="PFQ45" s="19"/>
      <c r="PFR45" s="19"/>
      <c r="PFS45" s="19"/>
      <c r="PFT45" s="19"/>
      <c r="PFU45" s="19"/>
      <c r="PFV45" s="19"/>
      <c r="PFW45" s="19"/>
      <c r="PFX45" s="19"/>
      <c r="PFY45" s="19"/>
      <c r="PFZ45" s="19"/>
      <c r="PGA45" s="19"/>
      <c r="PGB45" s="19"/>
      <c r="PGC45" s="19"/>
      <c r="PGD45" s="19"/>
      <c r="PGE45" s="19"/>
      <c r="PGF45" s="19"/>
      <c r="PGG45" s="19"/>
      <c r="PGH45" s="19"/>
      <c r="PGI45" s="19"/>
      <c r="PGJ45" s="19"/>
      <c r="PGK45" s="19"/>
      <c r="PGL45" s="19"/>
      <c r="PGM45" s="19"/>
      <c r="PGN45" s="19"/>
      <c r="PGO45" s="19"/>
      <c r="PGP45" s="19"/>
      <c r="PGQ45" s="19"/>
      <c r="PGR45" s="19"/>
      <c r="PGS45" s="19"/>
      <c r="PGT45" s="19"/>
      <c r="PGU45" s="19"/>
      <c r="PGV45" s="19"/>
      <c r="PGW45" s="19"/>
      <c r="PGX45" s="19"/>
      <c r="PGY45" s="19"/>
      <c r="PGZ45" s="19"/>
      <c r="PHA45" s="19"/>
      <c r="PHB45" s="19"/>
      <c r="PHC45" s="19"/>
      <c r="PHD45" s="19"/>
      <c r="PHE45" s="19"/>
      <c r="PHF45" s="19"/>
      <c r="PHG45" s="19"/>
      <c r="PHH45" s="19"/>
      <c r="PHI45" s="19"/>
      <c r="PHJ45" s="19"/>
      <c r="PHK45" s="19"/>
      <c r="PHL45" s="19"/>
      <c r="PHM45" s="19"/>
      <c r="PHN45" s="19"/>
      <c r="PHO45" s="19"/>
      <c r="PHP45" s="19"/>
      <c r="PHQ45" s="19"/>
      <c r="PHR45" s="19"/>
      <c r="PHS45" s="19"/>
      <c r="PHT45" s="19"/>
      <c r="PHU45" s="19"/>
      <c r="PHV45" s="19"/>
      <c r="PHW45" s="19"/>
      <c r="PHX45" s="19"/>
      <c r="PHY45" s="19"/>
      <c r="PHZ45" s="19"/>
      <c r="PIA45" s="19"/>
      <c r="PIB45" s="19"/>
      <c r="PIC45" s="19"/>
      <c r="PID45" s="19"/>
      <c r="PIE45" s="19"/>
      <c r="PIF45" s="19"/>
      <c r="PIG45" s="19"/>
      <c r="PIH45" s="19"/>
      <c r="PII45" s="19"/>
      <c r="PIJ45" s="19"/>
      <c r="PIK45" s="19"/>
      <c r="PIL45" s="19"/>
      <c r="PIM45" s="19"/>
      <c r="PIN45" s="19"/>
      <c r="PIO45" s="19"/>
      <c r="PIP45" s="19"/>
      <c r="PIQ45" s="19"/>
      <c r="PIR45" s="19"/>
      <c r="PIS45" s="19"/>
      <c r="PIT45" s="19"/>
      <c r="PIU45" s="19"/>
      <c r="PIV45" s="19"/>
      <c r="PIW45" s="19"/>
      <c r="PIX45" s="19"/>
      <c r="PIY45" s="19"/>
      <c r="PIZ45" s="19"/>
      <c r="PJA45" s="19"/>
      <c r="PJB45" s="19"/>
      <c r="PJC45" s="19"/>
      <c r="PJD45" s="19"/>
      <c r="PJE45" s="19"/>
      <c r="PJF45" s="19"/>
      <c r="PJG45" s="19"/>
      <c r="PJH45" s="19"/>
      <c r="PJI45" s="19"/>
      <c r="PJJ45" s="19"/>
      <c r="PJK45" s="19"/>
      <c r="PJL45" s="19"/>
      <c r="PJM45" s="19"/>
      <c r="PJN45" s="19"/>
      <c r="PJO45" s="19"/>
      <c r="PJP45" s="19"/>
      <c r="PJQ45" s="19"/>
      <c r="PJR45" s="19"/>
      <c r="PJS45" s="19"/>
      <c r="PJT45" s="19"/>
      <c r="PJU45" s="19"/>
      <c r="PJV45" s="19"/>
      <c r="PJW45" s="19"/>
      <c r="PJX45" s="19"/>
      <c r="PJY45" s="19"/>
      <c r="PJZ45" s="19"/>
      <c r="PKA45" s="19"/>
      <c r="PKB45" s="19"/>
      <c r="PKC45" s="19"/>
      <c r="PKD45" s="19"/>
      <c r="PKE45" s="19"/>
      <c r="PKF45" s="19"/>
      <c r="PKG45" s="19"/>
      <c r="PKH45" s="19"/>
      <c r="PKI45" s="19"/>
      <c r="PKJ45" s="19"/>
      <c r="PKK45" s="19"/>
      <c r="PKL45" s="19"/>
      <c r="PKM45" s="19"/>
      <c r="PKN45" s="19"/>
      <c r="PKO45" s="19"/>
      <c r="PKP45" s="19"/>
      <c r="PKQ45" s="19"/>
      <c r="PKR45" s="19"/>
      <c r="PKS45" s="19"/>
      <c r="PKT45" s="19"/>
      <c r="PKU45" s="19"/>
      <c r="PKV45" s="19"/>
      <c r="PKW45" s="19"/>
      <c r="PKX45" s="19"/>
      <c r="PKY45" s="19"/>
      <c r="PKZ45" s="19"/>
      <c r="PLA45" s="19"/>
      <c r="PLB45" s="19"/>
      <c r="PLC45" s="19"/>
      <c r="PLD45" s="19"/>
      <c r="PLE45" s="19"/>
      <c r="PLF45" s="19"/>
      <c r="PLG45" s="19"/>
      <c r="PLH45" s="19"/>
      <c r="PLI45" s="19"/>
      <c r="PLJ45" s="19"/>
      <c r="PLK45" s="19"/>
      <c r="PLL45" s="19"/>
      <c r="PLM45" s="19"/>
      <c r="PLN45" s="19"/>
      <c r="PLO45" s="19"/>
      <c r="PLP45" s="19"/>
      <c r="PLQ45" s="19"/>
      <c r="PLR45" s="19"/>
      <c r="PLS45" s="19"/>
      <c r="PLT45" s="19"/>
      <c r="PLU45" s="19"/>
      <c r="PLV45" s="19"/>
      <c r="PLW45" s="19"/>
      <c r="PLX45" s="19"/>
      <c r="PLY45" s="19"/>
      <c r="PLZ45" s="19"/>
      <c r="PMA45" s="19"/>
      <c r="PMB45" s="19"/>
      <c r="PMC45" s="19"/>
      <c r="PMD45" s="19"/>
      <c r="PME45" s="19"/>
      <c r="PMF45" s="19"/>
      <c r="PMG45" s="19"/>
      <c r="PMH45" s="19"/>
      <c r="PMI45" s="19"/>
      <c r="PMJ45" s="19"/>
      <c r="PMK45" s="19"/>
      <c r="PML45" s="19"/>
      <c r="PMM45" s="19"/>
      <c r="PMN45" s="19"/>
      <c r="PMO45" s="19"/>
      <c r="PMP45" s="19"/>
      <c r="PMQ45" s="19"/>
      <c r="PMR45" s="19"/>
      <c r="PMS45" s="19"/>
      <c r="PMT45" s="19"/>
      <c r="PMU45" s="19"/>
      <c r="PMV45" s="19"/>
      <c r="PMW45" s="19"/>
      <c r="PMX45" s="19"/>
      <c r="PMY45" s="19"/>
      <c r="PMZ45" s="19"/>
      <c r="PNA45" s="19"/>
      <c r="PNB45" s="19"/>
      <c r="PNC45" s="19"/>
      <c r="PND45" s="19"/>
      <c r="PNE45" s="19"/>
      <c r="PNF45" s="19"/>
      <c r="PNG45" s="19"/>
      <c r="PNH45" s="19"/>
      <c r="PNI45" s="19"/>
      <c r="PNJ45" s="19"/>
      <c r="PNK45" s="19"/>
      <c r="PNL45" s="19"/>
      <c r="PNM45" s="19"/>
      <c r="PNN45" s="19"/>
      <c r="PNO45" s="19"/>
      <c r="PNP45" s="19"/>
      <c r="PNQ45" s="19"/>
      <c r="PNR45" s="19"/>
      <c r="PNS45" s="19"/>
      <c r="PNT45" s="19"/>
      <c r="PNU45" s="19"/>
      <c r="PNV45" s="19"/>
      <c r="PNW45" s="19"/>
      <c r="PNX45" s="19"/>
      <c r="PNY45" s="19"/>
      <c r="PNZ45" s="19"/>
      <c r="POA45" s="19"/>
      <c r="POB45" s="19"/>
      <c r="POC45" s="19"/>
      <c r="POD45" s="19"/>
      <c r="POE45" s="19"/>
      <c r="POF45" s="19"/>
      <c r="POG45" s="19"/>
      <c r="POH45" s="19"/>
      <c r="POI45" s="19"/>
      <c r="POJ45" s="19"/>
      <c r="POK45" s="19"/>
      <c r="POL45" s="19"/>
      <c r="POM45" s="19"/>
      <c r="PON45" s="19"/>
      <c r="POO45" s="19"/>
      <c r="POP45" s="19"/>
      <c r="POQ45" s="19"/>
      <c r="POR45" s="19"/>
      <c r="POS45" s="19"/>
      <c r="POT45" s="19"/>
      <c r="POU45" s="19"/>
      <c r="POV45" s="19"/>
      <c r="POW45" s="19"/>
      <c r="POX45" s="19"/>
      <c r="POY45" s="19"/>
      <c r="POZ45" s="19"/>
      <c r="PPA45" s="19"/>
      <c r="PPB45" s="19"/>
      <c r="PPC45" s="19"/>
      <c r="PPD45" s="19"/>
      <c r="PPE45" s="19"/>
      <c r="PPF45" s="19"/>
      <c r="PPG45" s="19"/>
      <c r="PPH45" s="19"/>
      <c r="PPI45" s="19"/>
      <c r="PPJ45" s="19"/>
      <c r="PPK45" s="19"/>
      <c r="PPL45" s="19"/>
      <c r="PPM45" s="19"/>
      <c r="PPN45" s="19"/>
      <c r="PPO45" s="19"/>
      <c r="PPP45" s="19"/>
      <c r="PPQ45" s="19"/>
      <c r="PPR45" s="19"/>
      <c r="PPS45" s="19"/>
      <c r="PPT45" s="19"/>
      <c r="PPU45" s="19"/>
      <c r="PPV45" s="19"/>
      <c r="PPW45" s="19"/>
      <c r="PPX45" s="19"/>
      <c r="PPY45" s="19"/>
      <c r="PPZ45" s="19"/>
      <c r="PQA45" s="19"/>
      <c r="PQB45" s="19"/>
      <c r="PQC45" s="19"/>
      <c r="PQD45" s="19"/>
      <c r="PQE45" s="19"/>
      <c r="PQF45" s="19"/>
      <c r="PQG45" s="19"/>
      <c r="PQH45" s="19"/>
      <c r="PQI45" s="19"/>
      <c r="PQJ45" s="19"/>
      <c r="PQK45" s="19"/>
      <c r="PQL45" s="19"/>
      <c r="PQM45" s="19"/>
      <c r="PQN45" s="19"/>
      <c r="PQO45" s="19"/>
      <c r="PQP45" s="19"/>
      <c r="PQQ45" s="19"/>
      <c r="PQR45" s="19"/>
      <c r="PQS45" s="19"/>
      <c r="PQT45" s="19"/>
      <c r="PQU45" s="19"/>
      <c r="PQV45" s="19"/>
      <c r="PQW45" s="19"/>
      <c r="PQX45" s="19"/>
      <c r="PQY45" s="19"/>
      <c r="PQZ45" s="19"/>
      <c r="PRA45" s="19"/>
      <c r="PRB45" s="19"/>
      <c r="PRC45" s="19"/>
      <c r="PRD45" s="19"/>
      <c r="PRE45" s="19"/>
      <c r="PRF45" s="19"/>
      <c r="PRG45" s="19"/>
      <c r="PRH45" s="19"/>
      <c r="PRI45" s="19"/>
      <c r="PRJ45" s="19"/>
      <c r="PRK45" s="19"/>
      <c r="PRL45" s="19"/>
      <c r="PRM45" s="19"/>
      <c r="PRN45" s="19"/>
      <c r="PRO45" s="19"/>
      <c r="PRP45" s="19"/>
      <c r="PRQ45" s="19"/>
      <c r="PRR45" s="19"/>
      <c r="PRS45" s="19"/>
      <c r="PRT45" s="19"/>
      <c r="PRU45" s="19"/>
      <c r="PRV45" s="19"/>
      <c r="PRW45" s="19"/>
      <c r="PRX45" s="19"/>
      <c r="PRY45" s="19"/>
      <c r="PRZ45" s="19"/>
      <c r="PSA45" s="19"/>
      <c r="PSB45" s="19"/>
      <c r="PSC45" s="19"/>
      <c r="PSD45" s="19"/>
      <c r="PSE45" s="19"/>
      <c r="PSF45" s="19"/>
      <c r="PSG45" s="19"/>
      <c r="PSH45" s="19"/>
      <c r="PSI45" s="19"/>
      <c r="PSJ45" s="19"/>
      <c r="PSK45" s="19"/>
      <c r="PSL45" s="19"/>
      <c r="PSM45" s="19"/>
      <c r="PSN45" s="19"/>
      <c r="PSO45" s="19"/>
      <c r="PSP45" s="19"/>
      <c r="PSQ45" s="19"/>
      <c r="PSR45" s="19"/>
      <c r="PSS45" s="19"/>
      <c r="PST45" s="19"/>
      <c r="PSU45" s="19"/>
      <c r="PSV45" s="19"/>
      <c r="PSW45" s="19"/>
      <c r="PSX45" s="19"/>
      <c r="PSY45" s="19"/>
      <c r="PSZ45" s="19"/>
      <c r="PTA45" s="19"/>
      <c r="PTB45" s="19"/>
      <c r="PTC45" s="19"/>
      <c r="PTD45" s="19"/>
      <c r="PTE45" s="19"/>
      <c r="PTF45" s="19"/>
      <c r="PTG45" s="19"/>
      <c r="PTH45" s="19"/>
      <c r="PTI45" s="19"/>
      <c r="PTJ45" s="19"/>
      <c r="PTK45" s="19"/>
      <c r="PTL45" s="19"/>
      <c r="PTM45" s="19"/>
      <c r="PTN45" s="19"/>
      <c r="PTO45" s="19"/>
      <c r="PTP45" s="19"/>
      <c r="PTQ45" s="19"/>
      <c r="PTR45" s="19"/>
      <c r="PTS45" s="19"/>
      <c r="PTT45" s="19"/>
      <c r="PTU45" s="19"/>
      <c r="PTV45" s="19"/>
      <c r="PTW45" s="19"/>
      <c r="PTX45" s="19"/>
      <c r="PTY45" s="19"/>
      <c r="PTZ45" s="19"/>
      <c r="PUA45" s="19"/>
      <c r="PUB45" s="19"/>
      <c r="PUC45" s="19"/>
      <c r="PUD45" s="19"/>
      <c r="PUE45" s="19"/>
      <c r="PUF45" s="19"/>
      <c r="PUG45" s="19"/>
      <c r="PUH45" s="19"/>
      <c r="PUI45" s="19"/>
      <c r="PUJ45" s="19"/>
      <c r="PUK45" s="19"/>
      <c r="PUL45" s="19"/>
      <c r="PUM45" s="19"/>
      <c r="PUN45" s="19"/>
      <c r="PUO45" s="19"/>
      <c r="PUP45" s="19"/>
      <c r="PUQ45" s="19"/>
      <c r="PUR45" s="19"/>
      <c r="PUS45" s="19"/>
      <c r="PUT45" s="19"/>
      <c r="PUU45" s="19"/>
      <c r="PUV45" s="19"/>
      <c r="PUW45" s="19"/>
      <c r="PUX45" s="19"/>
      <c r="PUY45" s="19"/>
      <c r="PUZ45" s="19"/>
      <c r="PVA45" s="19"/>
      <c r="PVB45" s="19"/>
      <c r="PVC45" s="19"/>
      <c r="PVD45" s="19"/>
      <c r="PVE45" s="19"/>
      <c r="PVF45" s="19"/>
      <c r="PVG45" s="19"/>
      <c r="PVH45" s="19"/>
      <c r="PVI45" s="19"/>
      <c r="PVJ45" s="19"/>
      <c r="PVK45" s="19"/>
      <c r="PVL45" s="19"/>
      <c r="PVM45" s="19"/>
      <c r="PVN45" s="19"/>
      <c r="PVO45" s="19"/>
      <c r="PVP45" s="19"/>
      <c r="PVQ45" s="19"/>
      <c r="PVR45" s="19"/>
      <c r="PVS45" s="19"/>
      <c r="PVT45" s="19"/>
      <c r="PVU45" s="19"/>
      <c r="PVV45" s="19"/>
      <c r="PVW45" s="19"/>
      <c r="PVX45" s="19"/>
      <c r="PVY45" s="19"/>
      <c r="PVZ45" s="19"/>
      <c r="PWA45" s="19"/>
      <c r="PWB45" s="19"/>
      <c r="PWC45" s="19"/>
      <c r="PWD45" s="19"/>
      <c r="PWE45" s="19"/>
      <c r="PWF45" s="19"/>
      <c r="PWG45" s="19"/>
      <c r="PWH45" s="19"/>
      <c r="PWI45" s="19"/>
      <c r="PWJ45" s="19"/>
      <c r="PWK45" s="19"/>
      <c r="PWL45" s="19"/>
      <c r="PWM45" s="19"/>
      <c r="PWN45" s="19"/>
      <c r="PWO45" s="19"/>
      <c r="PWP45" s="19"/>
      <c r="PWQ45" s="19"/>
      <c r="PWR45" s="19"/>
      <c r="PWS45" s="19"/>
      <c r="PWT45" s="19"/>
      <c r="PWU45" s="19"/>
      <c r="PWV45" s="19"/>
      <c r="PWW45" s="19"/>
      <c r="PWX45" s="19"/>
      <c r="PWY45" s="19"/>
      <c r="PWZ45" s="19"/>
      <c r="PXA45" s="19"/>
      <c r="PXB45" s="19"/>
      <c r="PXC45" s="19"/>
      <c r="PXD45" s="19"/>
      <c r="PXE45" s="19"/>
      <c r="PXF45" s="19"/>
      <c r="PXG45" s="19"/>
      <c r="PXH45" s="19"/>
      <c r="PXI45" s="19"/>
      <c r="PXJ45" s="19"/>
      <c r="PXK45" s="19"/>
      <c r="PXL45" s="19"/>
      <c r="PXM45" s="19"/>
      <c r="PXN45" s="19"/>
      <c r="PXO45" s="19"/>
      <c r="PXP45" s="19"/>
      <c r="PXQ45" s="19"/>
      <c r="PXR45" s="19"/>
      <c r="PXS45" s="19"/>
      <c r="PXT45" s="19"/>
      <c r="PXU45" s="19"/>
      <c r="PXV45" s="19"/>
      <c r="PXW45" s="19"/>
      <c r="PXX45" s="19"/>
      <c r="PXY45" s="19"/>
      <c r="PXZ45" s="19"/>
      <c r="PYA45" s="19"/>
      <c r="PYB45" s="19"/>
      <c r="PYC45" s="19"/>
      <c r="PYD45" s="19"/>
      <c r="PYE45" s="19"/>
      <c r="PYF45" s="19"/>
      <c r="PYG45" s="19"/>
      <c r="PYH45" s="19"/>
      <c r="PYI45" s="19"/>
      <c r="PYJ45" s="19"/>
      <c r="PYK45" s="19"/>
      <c r="PYL45" s="19"/>
      <c r="PYM45" s="19"/>
      <c r="PYN45" s="19"/>
      <c r="PYO45" s="19"/>
      <c r="PYP45" s="19"/>
      <c r="PYQ45" s="19"/>
      <c r="PYR45" s="19"/>
      <c r="PYS45" s="19"/>
      <c r="PYT45" s="19"/>
      <c r="PYU45" s="19"/>
      <c r="PYV45" s="19"/>
      <c r="PYW45" s="19"/>
      <c r="PYX45" s="19"/>
      <c r="PYY45" s="19"/>
      <c r="PYZ45" s="19"/>
      <c r="PZA45" s="19"/>
      <c r="PZB45" s="19"/>
      <c r="PZC45" s="19"/>
      <c r="PZD45" s="19"/>
      <c r="PZE45" s="19"/>
      <c r="PZF45" s="19"/>
      <c r="PZG45" s="19"/>
      <c r="PZH45" s="19"/>
      <c r="PZI45" s="19"/>
      <c r="PZJ45" s="19"/>
      <c r="PZK45" s="19"/>
      <c r="PZL45" s="19"/>
      <c r="PZM45" s="19"/>
      <c r="PZN45" s="19"/>
      <c r="PZO45" s="19"/>
      <c r="PZP45" s="19"/>
      <c r="PZQ45" s="19"/>
      <c r="PZR45" s="19"/>
      <c r="PZS45" s="19"/>
      <c r="PZT45" s="19"/>
      <c r="PZU45" s="19"/>
      <c r="PZV45" s="19"/>
      <c r="PZW45" s="19"/>
      <c r="PZX45" s="19"/>
      <c r="PZY45" s="19"/>
      <c r="PZZ45" s="19"/>
      <c r="QAA45" s="19"/>
      <c r="QAB45" s="19"/>
      <c r="QAC45" s="19"/>
      <c r="QAD45" s="19"/>
      <c r="QAE45" s="19"/>
      <c r="QAF45" s="19"/>
      <c r="QAG45" s="19"/>
      <c r="QAH45" s="19"/>
      <c r="QAI45" s="19"/>
      <c r="QAJ45" s="19"/>
      <c r="QAK45" s="19"/>
      <c r="QAL45" s="19"/>
      <c r="QAM45" s="19"/>
      <c r="QAN45" s="19"/>
      <c r="QAO45" s="19"/>
      <c r="QAP45" s="19"/>
      <c r="QAQ45" s="19"/>
      <c r="QAR45" s="19"/>
      <c r="QAS45" s="19"/>
      <c r="QAT45" s="19"/>
      <c r="QAU45" s="19"/>
      <c r="QAV45" s="19"/>
      <c r="QAW45" s="19"/>
      <c r="QAX45" s="19"/>
      <c r="QAY45" s="19"/>
      <c r="QAZ45" s="19"/>
      <c r="QBA45" s="19"/>
      <c r="QBB45" s="19"/>
      <c r="QBC45" s="19"/>
      <c r="QBD45" s="19"/>
      <c r="QBE45" s="19"/>
      <c r="QBF45" s="19"/>
      <c r="QBG45" s="19"/>
      <c r="QBH45" s="19"/>
      <c r="QBI45" s="19"/>
      <c r="QBJ45" s="19"/>
      <c r="QBK45" s="19"/>
      <c r="QBL45" s="19"/>
      <c r="QBM45" s="19"/>
      <c r="QBN45" s="19"/>
      <c r="QBO45" s="19"/>
      <c r="QBP45" s="19"/>
      <c r="QBQ45" s="19"/>
      <c r="QBR45" s="19"/>
      <c r="QBS45" s="19"/>
      <c r="QBT45" s="19"/>
      <c r="QBU45" s="19"/>
      <c r="QBV45" s="19"/>
      <c r="QBW45" s="19"/>
      <c r="QBX45" s="19"/>
      <c r="QBY45" s="19"/>
      <c r="QBZ45" s="19"/>
      <c r="QCA45" s="19"/>
      <c r="QCB45" s="19"/>
      <c r="QCC45" s="19"/>
      <c r="QCD45" s="19"/>
      <c r="QCE45" s="19"/>
      <c r="QCF45" s="19"/>
      <c r="QCG45" s="19"/>
      <c r="QCH45" s="19"/>
      <c r="QCI45" s="19"/>
      <c r="QCJ45" s="19"/>
      <c r="QCK45" s="19"/>
      <c r="QCL45" s="19"/>
      <c r="QCM45" s="19"/>
      <c r="QCN45" s="19"/>
      <c r="QCO45" s="19"/>
      <c r="QCP45" s="19"/>
      <c r="QCQ45" s="19"/>
      <c r="QCR45" s="19"/>
      <c r="QCS45" s="19"/>
      <c r="QCT45" s="19"/>
      <c r="QCU45" s="19"/>
      <c r="QCV45" s="19"/>
      <c r="QCW45" s="19"/>
      <c r="QCX45" s="19"/>
      <c r="QCY45" s="19"/>
      <c r="QCZ45" s="19"/>
      <c r="QDA45" s="19"/>
      <c r="QDB45" s="19"/>
      <c r="QDC45" s="19"/>
      <c r="QDD45" s="19"/>
      <c r="QDE45" s="19"/>
      <c r="QDF45" s="19"/>
      <c r="QDG45" s="19"/>
      <c r="QDH45" s="19"/>
      <c r="QDI45" s="19"/>
      <c r="QDJ45" s="19"/>
      <c r="QDK45" s="19"/>
      <c r="QDL45" s="19"/>
      <c r="QDM45" s="19"/>
      <c r="QDN45" s="19"/>
      <c r="QDO45" s="19"/>
      <c r="QDP45" s="19"/>
      <c r="QDQ45" s="19"/>
      <c r="QDR45" s="19"/>
      <c r="QDS45" s="19"/>
      <c r="QDT45" s="19"/>
      <c r="QDU45" s="19"/>
      <c r="QDV45" s="19"/>
      <c r="QDW45" s="19"/>
      <c r="QDX45" s="19"/>
      <c r="QDY45" s="19"/>
      <c r="QDZ45" s="19"/>
      <c r="QEA45" s="19"/>
      <c r="QEB45" s="19"/>
      <c r="QEC45" s="19"/>
      <c r="QED45" s="19"/>
      <c r="QEE45" s="19"/>
      <c r="QEF45" s="19"/>
      <c r="QEG45" s="19"/>
      <c r="QEH45" s="19"/>
      <c r="QEI45" s="19"/>
      <c r="QEJ45" s="19"/>
      <c r="QEK45" s="19"/>
      <c r="QEL45" s="19"/>
      <c r="QEM45" s="19"/>
      <c r="QEN45" s="19"/>
      <c r="QEO45" s="19"/>
      <c r="QEP45" s="19"/>
      <c r="QEQ45" s="19"/>
      <c r="QER45" s="19"/>
      <c r="QES45" s="19"/>
      <c r="QET45" s="19"/>
      <c r="QEU45" s="19"/>
      <c r="QEV45" s="19"/>
      <c r="QEW45" s="19"/>
      <c r="QEX45" s="19"/>
      <c r="QEY45" s="19"/>
      <c r="QEZ45" s="19"/>
      <c r="QFA45" s="19"/>
      <c r="QFB45" s="19"/>
      <c r="QFC45" s="19"/>
      <c r="QFD45" s="19"/>
      <c r="QFE45" s="19"/>
      <c r="QFF45" s="19"/>
      <c r="QFG45" s="19"/>
      <c r="QFH45" s="19"/>
      <c r="QFI45" s="19"/>
      <c r="QFJ45" s="19"/>
      <c r="QFK45" s="19"/>
      <c r="QFL45" s="19"/>
      <c r="QFM45" s="19"/>
      <c r="QFN45" s="19"/>
      <c r="QFO45" s="19"/>
      <c r="QFP45" s="19"/>
      <c r="QFQ45" s="19"/>
      <c r="QFR45" s="19"/>
      <c r="QFS45" s="19"/>
      <c r="QFT45" s="19"/>
      <c r="QFU45" s="19"/>
      <c r="QFV45" s="19"/>
      <c r="QFW45" s="19"/>
      <c r="QFX45" s="19"/>
      <c r="QFY45" s="19"/>
      <c r="QFZ45" s="19"/>
      <c r="QGA45" s="19"/>
      <c r="QGB45" s="19"/>
      <c r="QGC45" s="19"/>
      <c r="QGD45" s="19"/>
      <c r="QGE45" s="19"/>
      <c r="QGF45" s="19"/>
      <c r="QGG45" s="19"/>
      <c r="QGH45" s="19"/>
      <c r="QGI45" s="19"/>
      <c r="QGJ45" s="19"/>
      <c r="QGK45" s="19"/>
      <c r="QGL45" s="19"/>
      <c r="QGM45" s="19"/>
      <c r="QGN45" s="19"/>
      <c r="QGO45" s="19"/>
      <c r="QGP45" s="19"/>
      <c r="QGQ45" s="19"/>
      <c r="QGR45" s="19"/>
      <c r="QGS45" s="19"/>
      <c r="QGT45" s="19"/>
      <c r="QGU45" s="19"/>
      <c r="QGV45" s="19"/>
      <c r="QGW45" s="19"/>
      <c r="QGX45" s="19"/>
      <c r="QGY45" s="19"/>
      <c r="QGZ45" s="19"/>
      <c r="QHA45" s="19"/>
      <c r="QHB45" s="19"/>
      <c r="QHC45" s="19"/>
      <c r="QHD45" s="19"/>
      <c r="QHE45" s="19"/>
      <c r="QHF45" s="19"/>
      <c r="QHG45" s="19"/>
      <c r="QHH45" s="19"/>
      <c r="QHI45" s="19"/>
      <c r="QHJ45" s="19"/>
      <c r="QHK45" s="19"/>
      <c r="QHL45" s="19"/>
      <c r="QHM45" s="19"/>
      <c r="QHN45" s="19"/>
      <c r="QHO45" s="19"/>
      <c r="QHP45" s="19"/>
      <c r="QHQ45" s="19"/>
      <c r="QHR45" s="19"/>
      <c r="QHS45" s="19"/>
      <c r="QHT45" s="19"/>
      <c r="QHU45" s="19"/>
      <c r="QHV45" s="19"/>
      <c r="QHW45" s="19"/>
      <c r="QHX45" s="19"/>
      <c r="QHY45" s="19"/>
      <c r="QHZ45" s="19"/>
      <c r="QIA45" s="19"/>
      <c r="QIB45" s="19"/>
      <c r="QIC45" s="19"/>
      <c r="QID45" s="19"/>
      <c r="QIE45" s="19"/>
      <c r="QIF45" s="19"/>
      <c r="QIG45" s="19"/>
      <c r="QIH45" s="19"/>
      <c r="QII45" s="19"/>
      <c r="QIJ45" s="19"/>
      <c r="QIK45" s="19"/>
      <c r="QIL45" s="19"/>
      <c r="QIM45" s="19"/>
      <c r="QIN45" s="19"/>
      <c r="QIO45" s="19"/>
      <c r="QIP45" s="19"/>
      <c r="QIQ45" s="19"/>
      <c r="QIR45" s="19"/>
      <c r="QIS45" s="19"/>
      <c r="QIT45" s="19"/>
      <c r="QIU45" s="19"/>
      <c r="QIV45" s="19"/>
      <c r="QIW45" s="19"/>
      <c r="QIX45" s="19"/>
      <c r="QIY45" s="19"/>
      <c r="QIZ45" s="19"/>
      <c r="QJA45" s="19"/>
      <c r="QJB45" s="19"/>
      <c r="QJC45" s="19"/>
      <c r="QJD45" s="19"/>
      <c r="QJE45" s="19"/>
      <c r="QJF45" s="19"/>
      <c r="QJG45" s="19"/>
      <c r="QJH45" s="19"/>
      <c r="QJI45" s="19"/>
      <c r="QJJ45" s="19"/>
      <c r="QJK45" s="19"/>
      <c r="QJL45" s="19"/>
      <c r="QJM45" s="19"/>
      <c r="QJN45" s="19"/>
      <c r="QJO45" s="19"/>
      <c r="QJP45" s="19"/>
      <c r="QJQ45" s="19"/>
      <c r="QJR45" s="19"/>
      <c r="QJS45" s="19"/>
      <c r="QJT45" s="19"/>
      <c r="QJU45" s="19"/>
      <c r="QJV45" s="19"/>
      <c r="QJW45" s="19"/>
      <c r="QJX45" s="19"/>
      <c r="QJY45" s="19"/>
      <c r="QJZ45" s="19"/>
      <c r="QKA45" s="19"/>
      <c r="QKB45" s="19"/>
      <c r="QKC45" s="19"/>
      <c r="QKD45" s="19"/>
      <c r="QKE45" s="19"/>
      <c r="QKF45" s="19"/>
      <c r="QKG45" s="19"/>
      <c r="QKH45" s="19"/>
      <c r="QKI45" s="19"/>
      <c r="QKJ45" s="19"/>
      <c r="QKK45" s="19"/>
      <c r="QKL45" s="19"/>
      <c r="QKM45" s="19"/>
      <c r="QKN45" s="19"/>
      <c r="QKO45" s="19"/>
      <c r="QKP45" s="19"/>
      <c r="QKQ45" s="19"/>
      <c r="QKR45" s="19"/>
      <c r="QKS45" s="19"/>
      <c r="QKT45" s="19"/>
      <c r="QKU45" s="19"/>
      <c r="QKV45" s="19"/>
      <c r="QKW45" s="19"/>
      <c r="QKX45" s="19"/>
      <c r="QKY45" s="19"/>
      <c r="QKZ45" s="19"/>
      <c r="QLA45" s="19"/>
      <c r="QLB45" s="19"/>
      <c r="QLC45" s="19"/>
      <c r="QLD45" s="19"/>
      <c r="QLE45" s="19"/>
      <c r="QLF45" s="19"/>
      <c r="QLG45" s="19"/>
      <c r="QLH45" s="19"/>
      <c r="QLI45" s="19"/>
      <c r="QLJ45" s="19"/>
      <c r="QLK45" s="19"/>
      <c r="QLL45" s="19"/>
      <c r="QLM45" s="19"/>
      <c r="QLN45" s="19"/>
      <c r="QLO45" s="19"/>
      <c r="QLP45" s="19"/>
      <c r="QLQ45" s="19"/>
      <c r="QLR45" s="19"/>
      <c r="QLS45" s="19"/>
      <c r="QLT45" s="19"/>
      <c r="QLU45" s="19"/>
      <c r="QLV45" s="19"/>
      <c r="QLW45" s="19"/>
      <c r="QLX45" s="19"/>
      <c r="QLY45" s="19"/>
      <c r="QLZ45" s="19"/>
      <c r="QMA45" s="19"/>
      <c r="QMB45" s="19"/>
      <c r="QMC45" s="19"/>
      <c r="QMD45" s="19"/>
      <c r="QME45" s="19"/>
      <c r="QMF45" s="19"/>
      <c r="QMG45" s="19"/>
      <c r="QMH45" s="19"/>
      <c r="QMI45" s="19"/>
      <c r="QMJ45" s="19"/>
      <c r="QMK45" s="19"/>
      <c r="QML45" s="19"/>
      <c r="QMM45" s="19"/>
      <c r="QMN45" s="19"/>
      <c r="QMO45" s="19"/>
      <c r="QMP45" s="19"/>
      <c r="QMQ45" s="19"/>
      <c r="QMR45" s="19"/>
      <c r="QMS45" s="19"/>
      <c r="QMT45" s="19"/>
      <c r="QMU45" s="19"/>
      <c r="QMV45" s="19"/>
      <c r="QMW45" s="19"/>
      <c r="QMX45" s="19"/>
      <c r="QMY45" s="19"/>
      <c r="QMZ45" s="19"/>
      <c r="QNA45" s="19"/>
      <c r="QNB45" s="19"/>
      <c r="QNC45" s="19"/>
      <c r="QND45" s="19"/>
      <c r="QNE45" s="19"/>
      <c r="QNF45" s="19"/>
      <c r="QNG45" s="19"/>
      <c r="QNH45" s="19"/>
      <c r="QNI45" s="19"/>
      <c r="QNJ45" s="19"/>
      <c r="QNK45" s="19"/>
      <c r="QNL45" s="19"/>
      <c r="QNM45" s="19"/>
      <c r="QNN45" s="19"/>
      <c r="QNO45" s="19"/>
      <c r="QNP45" s="19"/>
      <c r="QNQ45" s="19"/>
      <c r="QNR45" s="19"/>
      <c r="QNS45" s="19"/>
      <c r="QNT45" s="19"/>
      <c r="QNU45" s="19"/>
      <c r="QNV45" s="19"/>
      <c r="QNW45" s="19"/>
      <c r="QNX45" s="19"/>
      <c r="QNY45" s="19"/>
      <c r="QNZ45" s="19"/>
      <c r="QOA45" s="19"/>
      <c r="QOB45" s="19"/>
      <c r="QOC45" s="19"/>
      <c r="QOD45" s="19"/>
      <c r="QOE45" s="19"/>
      <c r="QOF45" s="19"/>
      <c r="QOG45" s="19"/>
      <c r="QOH45" s="19"/>
      <c r="QOI45" s="19"/>
      <c r="QOJ45" s="19"/>
      <c r="QOK45" s="19"/>
      <c r="QOL45" s="19"/>
      <c r="QOM45" s="19"/>
      <c r="QON45" s="19"/>
      <c r="QOO45" s="19"/>
      <c r="QOP45" s="19"/>
      <c r="QOQ45" s="19"/>
      <c r="QOR45" s="19"/>
      <c r="QOS45" s="19"/>
      <c r="QOT45" s="19"/>
      <c r="QOU45" s="19"/>
      <c r="QOV45" s="19"/>
      <c r="QOW45" s="19"/>
      <c r="QOX45" s="19"/>
      <c r="QOY45" s="19"/>
      <c r="QOZ45" s="19"/>
      <c r="QPA45" s="19"/>
      <c r="QPB45" s="19"/>
      <c r="QPC45" s="19"/>
      <c r="QPD45" s="19"/>
      <c r="QPE45" s="19"/>
      <c r="QPF45" s="19"/>
      <c r="QPG45" s="19"/>
      <c r="QPH45" s="19"/>
      <c r="QPI45" s="19"/>
      <c r="QPJ45" s="19"/>
      <c r="QPK45" s="19"/>
      <c r="QPL45" s="19"/>
      <c r="QPM45" s="19"/>
      <c r="QPN45" s="19"/>
      <c r="QPO45" s="19"/>
      <c r="QPP45" s="19"/>
      <c r="QPQ45" s="19"/>
      <c r="QPR45" s="19"/>
      <c r="QPS45" s="19"/>
      <c r="QPT45" s="19"/>
      <c r="QPU45" s="19"/>
      <c r="QPV45" s="19"/>
      <c r="QPW45" s="19"/>
      <c r="QPX45" s="19"/>
      <c r="QPY45" s="19"/>
      <c r="QPZ45" s="19"/>
      <c r="QQA45" s="19"/>
      <c r="QQB45" s="19"/>
      <c r="QQC45" s="19"/>
      <c r="QQD45" s="19"/>
      <c r="QQE45" s="19"/>
      <c r="QQF45" s="19"/>
      <c r="QQG45" s="19"/>
      <c r="QQH45" s="19"/>
      <c r="QQI45" s="19"/>
      <c r="QQJ45" s="19"/>
      <c r="QQK45" s="19"/>
      <c r="QQL45" s="19"/>
      <c r="QQM45" s="19"/>
      <c r="QQN45" s="19"/>
      <c r="QQO45" s="19"/>
      <c r="QQP45" s="19"/>
      <c r="QQQ45" s="19"/>
      <c r="QQR45" s="19"/>
      <c r="QQS45" s="19"/>
      <c r="QQT45" s="19"/>
      <c r="QQU45" s="19"/>
      <c r="QQV45" s="19"/>
      <c r="QQW45" s="19"/>
      <c r="QQX45" s="19"/>
      <c r="QQY45" s="19"/>
      <c r="QQZ45" s="19"/>
      <c r="QRA45" s="19"/>
      <c r="QRB45" s="19"/>
      <c r="QRC45" s="19"/>
      <c r="QRD45" s="19"/>
      <c r="QRE45" s="19"/>
      <c r="QRF45" s="19"/>
      <c r="QRG45" s="19"/>
      <c r="QRH45" s="19"/>
      <c r="QRI45" s="19"/>
      <c r="QRJ45" s="19"/>
      <c r="QRK45" s="19"/>
      <c r="QRL45" s="19"/>
      <c r="QRM45" s="19"/>
      <c r="QRN45" s="19"/>
      <c r="QRO45" s="19"/>
      <c r="QRP45" s="19"/>
      <c r="QRQ45" s="19"/>
      <c r="QRR45" s="19"/>
      <c r="QRS45" s="19"/>
      <c r="QRT45" s="19"/>
      <c r="QRU45" s="19"/>
      <c r="QRV45" s="19"/>
      <c r="QRW45" s="19"/>
      <c r="QRX45" s="19"/>
      <c r="QRY45" s="19"/>
      <c r="QRZ45" s="19"/>
      <c r="QSA45" s="19"/>
      <c r="QSB45" s="19"/>
      <c r="QSC45" s="19"/>
      <c r="QSD45" s="19"/>
      <c r="QSE45" s="19"/>
      <c r="QSF45" s="19"/>
      <c r="QSG45" s="19"/>
      <c r="QSH45" s="19"/>
      <c r="QSI45" s="19"/>
      <c r="QSJ45" s="19"/>
      <c r="QSK45" s="19"/>
      <c r="QSL45" s="19"/>
      <c r="QSM45" s="19"/>
      <c r="QSN45" s="19"/>
      <c r="QSO45" s="19"/>
      <c r="QSP45" s="19"/>
      <c r="QSQ45" s="19"/>
      <c r="QSR45" s="19"/>
      <c r="QSS45" s="19"/>
      <c r="QST45" s="19"/>
      <c r="QSU45" s="19"/>
      <c r="QSV45" s="19"/>
      <c r="QSW45" s="19"/>
      <c r="QSX45" s="19"/>
      <c r="QSY45" s="19"/>
      <c r="QSZ45" s="19"/>
      <c r="QTA45" s="19"/>
      <c r="QTB45" s="19"/>
      <c r="QTC45" s="19"/>
      <c r="QTD45" s="19"/>
      <c r="QTE45" s="19"/>
      <c r="QTF45" s="19"/>
      <c r="QTG45" s="19"/>
      <c r="QTH45" s="19"/>
      <c r="QTI45" s="19"/>
      <c r="QTJ45" s="19"/>
      <c r="QTK45" s="19"/>
      <c r="QTL45" s="19"/>
      <c r="QTM45" s="19"/>
      <c r="QTN45" s="19"/>
      <c r="QTO45" s="19"/>
      <c r="QTP45" s="19"/>
      <c r="QTQ45" s="19"/>
      <c r="QTR45" s="19"/>
      <c r="QTS45" s="19"/>
      <c r="QTT45" s="19"/>
      <c r="QTU45" s="19"/>
      <c r="QTV45" s="19"/>
      <c r="QTW45" s="19"/>
      <c r="QTX45" s="19"/>
      <c r="QTY45" s="19"/>
      <c r="QTZ45" s="19"/>
      <c r="QUA45" s="19"/>
      <c r="QUB45" s="19"/>
      <c r="QUC45" s="19"/>
      <c r="QUD45" s="19"/>
      <c r="QUE45" s="19"/>
      <c r="QUF45" s="19"/>
      <c r="QUG45" s="19"/>
      <c r="QUH45" s="19"/>
      <c r="QUI45" s="19"/>
      <c r="QUJ45" s="19"/>
      <c r="QUK45" s="19"/>
      <c r="QUL45" s="19"/>
      <c r="QUM45" s="19"/>
      <c r="QUN45" s="19"/>
      <c r="QUO45" s="19"/>
      <c r="QUP45" s="19"/>
      <c r="QUQ45" s="19"/>
      <c r="QUR45" s="19"/>
      <c r="QUS45" s="19"/>
      <c r="QUT45" s="19"/>
      <c r="QUU45" s="19"/>
      <c r="QUV45" s="19"/>
      <c r="QUW45" s="19"/>
      <c r="QUX45" s="19"/>
      <c r="QUY45" s="19"/>
      <c r="QUZ45" s="19"/>
      <c r="QVA45" s="19"/>
      <c r="QVB45" s="19"/>
      <c r="QVC45" s="19"/>
      <c r="QVD45" s="19"/>
      <c r="QVE45" s="19"/>
      <c r="QVF45" s="19"/>
      <c r="QVG45" s="19"/>
      <c r="QVH45" s="19"/>
      <c r="QVI45" s="19"/>
      <c r="QVJ45" s="19"/>
      <c r="QVK45" s="19"/>
      <c r="QVL45" s="19"/>
      <c r="QVM45" s="19"/>
      <c r="QVN45" s="19"/>
      <c r="QVO45" s="19"/>
      <c r="QVP45" s="19"/>
      <c r="QVQ45" s="19"/>
      <c r="QVR45" s="19"/>
      <c r="QVS45" s="19"/>
      <c r="QVT45" s="19"/>
      <c r="QVU45" s="19"/>
      <c r="QVV45" s="19"/>
      <c r="QVW45" s="19"/>
      <c r="QVX45" s="19"/>
      <c r="QVY45" s="19"/>
      <c r="QVZ45" s="19"/>
      <c r="QWA45" s="19"/>
      <c r="QWB45" s="19"/>
      <c r="QWC45" s="19"/>
      <c r="QWD45" s="19"/>
      <c r="QWE45" s="19"/>
      <c r="QWF45" s="19"/>
      <c r="QWG45" s="19"/>
      <c r="QWH45" s="19"/>
      <c r="QWI45" s="19"/>
      <c r="QWJ45" s="19"/>
      <c r="QWK45" s="19"/>
      <c r="QWL45" s="19"/>
      <c r="QWM45" s="19"/>
      <c r="QWN45" s="19"/>
      <c r="QWO45" s="19"/>
      <c r="QWP45" s="19"/>
      <c r="QWQ45" s="19"/>
      <c r="QWR45" s="19"/>
      <c r="QWS45" s="19"/>
      <c r="QWT45" s="19"/>
      <c r="QWU45" s="19"/>
      <c r="QWV45" s="19"/>
      <c r="QWW45" s="19"/>
      <c r="QWX45" s="19"/>
      <c r="QWY45" s="19"/>
      <c r="QWZ45" s="19"/>
      <c r="QXA45" s="19"/>
      <c r="QXB45" s="19"/>
      <c r="QXC45" s="19"/>
      <c r="QXD45" s="19"/>
      <c r="QXE45" s="19"/>
      <c r="QXF45" s="19"/>
      <c r="QXG45" s="19"/>
      <c r="QXH45" s="19"/>
      <c r="QXI45" s="19"/>
      <c r="QXJ45" s="19"/>
      <c r="QXK45" s="19"/>
      <c r="QXL45" s="19"/>
      <c r="QXM45" s="19"/>
      <c r="QXN45" s="19"/>
      <c r="QXO45" s="19"/>
      <c r="QXP45" s="19"/>
      <c r="QXQ45" s="19"/>
      <c r="QXR45" s="19"/>
      <c r="QXS45" s="19"/>
      <c r="QXT45" s="19"/>
      <c r="QXU45" s="19"/>
      <c r="QXV45" s="19"/>
      <c r="QXW45" s="19"/>
      <c r="QXX45" s="19"/>
      <c r="QXY45" s="19"/>
      <c r="QXZ45" s="19"/>
      <c r="QYA45" s="19"/>
      <c r="QYB45" s="19"/>
      <c r="QYC45" s="19"/>
      <c r="QYD45" s="19"/>
      <c r="QYE45" s="19"/>
      <c r="QYF45" s="19"/>
      <c r="QYG45" s="19"/>
      <c r="QYH45" s="19"/>
      <c r="QYI45" s="19"/>
      <c r="QYJ45" s="19"/>
      <c r="QYK45" s="19"/>
      <c r="QYL45" s="19"/>
      <c r="QYM45" s="19"/>
      <c r="QYN45" s="19"/>
      <c r="QYO45" s="19"/>
      <c r="QYP45" s="19"/>
      <c r="QYQ45" s="19"/>
      <c r="QYR45" s="19"/>
      <c r="QYS45" s="19"/>
      <c r="QYT45" s="19"/>
      <c r="QYU45" s="19"/>
      <c r="QYV45" s="19"/>
      <c r="QYW45" s="19"/>
      <c r="QYX45" s="19"/>
      <c r="QYY45" s="19"/>
      <c r="QYZ45" s="19"/>
      <c r="QZA45" s="19"/>
      <c r="QZB45" s="19"/>
      <c r="QZC45" s="19"/>
      <c r="QZD45" s="19"/>
      <c r="QZE45" s="19"/>
      <c r="QZF45" s="19"/>
      <c r="QZG45" s="19"/>
      <c r="QZH45" s="19"/>
      <c r="QZI45" s="19"/>
      <c r="QZJ45" s="19"/>
      <c r="QZK45" s="19"/>
      <c r="QZL45" s="19"/>
      <c r="QZM45" s="19"/>
      <c r="QZN45" s="19"/>
      <c r="QZO45" s="19"/>
      <c r="QZP45" s="19"/>
      <c r="QZQ45" s="19"/>
      <c r="QZR45" s="19"/>
      <c r="QZS45" s="19"/>
      <c r="QZT45" s="19"/>
      <c r="QZU45" s="19"/>
      <c r="QZV45" s="19"/>
      <c r="QZW45" s="19"/>
      <c r="QZX45" s="19"/>
      <c r="QZY45" s="19"/>
      <c r="QZZ45" s="19"/>
      <c r="RAA45" s="19"/>
      <c r="RAB45" s="19"/>
      <c r="RAC45" s="19"/>
      <c r="RAD45" s="19"/>
      <c r="RAE45" s="19"/>
      <c r="RAF45" s="19"/>
      <c r="RAG45" s="19"/>
      <c r="RAH45" s="19"/>
      <c r="RAI45" s="19"/>
      <c r="RAJ45" s="19"/>
      <c r="RAK45" s="19"/>
      <c r="RAL45" s="19"/>
      <c r="RAM45" s="19"/>
      <c r="RAN45" s="19"/>
      <c r="RAO45" s="19"/>
      <c r="RAP45" s="19"/>
      <c r="RAQ45" s="19"/>
      <c r="RAR45" s="19"/>
      <c r="RAS45" s="19"/>
      <c r="RAT45" s="19"/>
      <c r="RAU45" s="19"/>
      <c r="RAV45" s="19"/>
      <c r="RAW45" s="19"/>
      <c r="RAX45" s="19"/>
      <c r="RAY45" s="19"/>
      <c r="RAZ45" s="19"/>
      <c r="RBA45" s="19"/>
      <c r="RBB45" s="19"/>
      <c r="RBC45" s="19"/>
      <c r="RBD45" s="19"/>
      <c r="RBE45" s="19"/>
      <c r="RBF45" s="19"/>
      <c r="RBG45" s="19"/>
      <c r="RBH45" s="19"/>
      <c r="RBI45" s="19"/>
      <c r="RBJ45" s="19"/>
      <c r="RBK45" s="19"/>
      <c r="RBL45" s="19"/>
      <c r="RBM45" s="19"/>
      <c r="RBN45" s="19"/>
      <c r="RBO45" s="19"/>
      <c r="RBP45" s="19"/>
      <c r="RBQ45" s="19"/>
      <c r="RBR45" s="19"/>
      <c r="RBS45" s="19"/>
      <c r="RBT45" s="19"/>
      <c r="RBU45" s="19"/>
      <c r="RBV45" s="19"/>
      <c r="RBW45" s="19"/>
      <c r="RBX45" s="19"/>
      <c r="RBY45" s="19"/>
      <c r="RBZ45" s="19"/>
      <c r="RCA45" s="19"/>
      <c r="RCB45" s="19"/>
      <c r="RCC45" s="19"/>
      <c r="RCD45" s="19"/>
      <c r="RCE45" s="19"/>
      <c r="RCF45" s="19"/>
      <c r="RCG45" s="19"/>
      <c r="RCH45" s="19"/>
      <c r="RCI45" s="19"/>
      <c r="RCJ45" s="19"/>
      <c r="RCK45" s="19"/>
      <c r="RCL45" s="19"/>
      <c r="RCM45" s="19"/>
      <c r="RCN45" s="19"/>
      <c r="RCO45" s="19"/>
      <c r="RCP45" s="19"/>
      <c r="RCQ45" s="19"/>
      <c r="RCR45" s="19"/>
      <c r="RCS45" s="19"/>
      <c r="RCT45" s="19"/>
      <c r="RCU45" s="19"/>
      <c r="RCV45" s="19"/>
      <c r="RCW45" s="19"/>
      <c r="RCX45" s="19"/>
      <c r="RCY45" s="19"/>
      <c r="RCZ45" s="19"/>
      <c r="RDA45" s="19"/>
      <c r="RDB45" s="19"/>
      <c r="RDC45" s="19"/>
      <c r="RDD45" s="19"/>
      <c r="RDE45" s="19"/>
      <c r="RDF45" s="19"/>
      <c r="RDG45" s="19"/>
      <c r="RDH45" s="19"/>
      <c r="RDI45" s="19"/>
      <c r="RDJ45" s="19"/>
      <c r="RDK45" s="19"/>
      <c r="RDL45" s="19"/>
      <c r="RDM45" s="19"/>
      <c r="RDN45" s="19"/>
      <c r="RDO45" s="19"/>
      <c r="RDP45" s="19"/>
      <c r="RDQ45" s="19"/>
      <c r="RDR45" s="19"/>
      <c r="RDS45" s="19"/>
      <c r="RDT45" s="19"/>
      <c r="RDU45" s="19"/>
      <c r="RDV45" s="19"/>
      <c r="RDW45" s="19"/>
      <c r="RDX45" s="19"/>
      <c r="RDY45" s="19"/>
      <c r="RDZ45" s="19"/>
      <c r="REA45" s="19"/>
      <c r="REB45" s="19"/>
      <c r="REC45" s="19"/>
      <c r="RED45" s="19"/>
      <c r="REE45" s="19"/>
      <c r="REF45" s="19"/>
      <c r="REG45" s="19"/>
      <c r="REH45" s="19"/>
      <c r="REI45" s="19"/>
      <c r="REJ45" s="19"/>
      <c r="REK45" s="19"/>
      <c r="REL45" s="19"/>
      <c r="REM45" s="19"/>
      <c r="REN45" s="19"/>
      <c r="REO45" s="19"/>
      <c r="REP45" s="19"/>
      <c r="REQ45" s="19"/>
      <c r="RER45" s="19"/>
      <c r="RES45" s="19"/>
      <c r="RET45" s="19"/>
      <c r="REU45" s="19"/>
      <c r="REV45" s="19"/>
      <c r="REW45" s="19"/>
      <c r="REX45" s="19"/>
      <c r="REY45" s="19"/>
      <c r="REZ45" s="19"/>
      <c r="RFA45" s="19"/>
      <c r="RFB45" s="19"/>
      <c r="RFC45" s="19"/>
      <c r="RFD45" s="19"/>
      <c r="RFE45" s="19"/>
      <c r="RFF45" s="19"/>
      <c r="RFG45" s="19"/>
      <c r="RFH45" s="19"/>
      <c r="RFI45" s="19"/>
      <c r="RFJ45" s="19"/>
      <c r="RFK45" s="19"/>
      <c r="RFL45" s="19"/>
      <c r="RFM45" s="19"/>
      <c r="RFN45" s="19"/>
      <c r="RFO45" s="19"/>
      <c r="RFP45" s="19"/>
      <c r="RFQ45" s="19"/>
      <c r="RFR45" s="19"/>
      <c r="RFS45" s="19"/>
      <c r="RFT45" s="19"/>
      <c r="RFU45" s="19"/>
      <c r="RFV45" s="19"/>
      <c r="RFW45" s="19"/>
      <c r="RFX45" s="19"/>
      <c r="RFY45" s="19"/>
      <c r="RFZ45" s="19"/>
      <c r="RGA45" s="19"/>
      <c r="RGB45" s="19"/>
      <c r="RGC45" s="19"/>
      <c r="RGD45" s="19"/>
      <c r="RGE45" s="19"/>
      <c r="RGF45" s="19"/>
      <c r="RGG45" s="19"/>
      <c r="RGH45" s="19"/>
      <c r="RGI45" s="19"/>
      <c r="RGJ45" s="19"/>
      <c r="RGK45" s="19"/>
      <c r="RGL45" s="19"/>
      <c r="RGM45" s="19"/>
      <c r="RGN45" s="19"/>
      <c r="RGO45" s="19"/>
      <c r="RGP45" s="19"/>
      <c r="RGQ45" s="19"/>
      <c r="RGR45" s="19"/>
      <c r="RGS45" s="19"/>
      <c r="RGT45" s="19"/>
      <c r="RGU45" s="19"/>
      <c r="RGV45" s="19"/>
      <c r="RGW45" s="19"/>
      <c r="RGX45" s="19"/>
      <c r="RGY45" s="19"/>
      <c r="RGZ45" s="19"/>
      <c r="RHA45" s="19"/>
      <c r="RHB45" s="19"/>
      <c r="RHC45" s="19"/>
      <c r="RHD45" s="19"/>
      <c r="RHE45" s="19"/>
      <c r="RHF45" s="19"/>
      <c r="RHG45" s="19"/>
      <c r="RHH45" s="19"/>
      <c r="RHI45" s="19"/>
      <c r="RHJ45" s="19"/>
      <c r="RHK45" s="19"/>
      <c r="RHL45" s="19"/>
      <c r="RHM45" s="19"/>
      <c r="RHN45" s="19"/>
      <c r="RHO45" s="19"/>
      <c r="RHP45" s="19"/>
      <c r="RHQ45" s="19"/>
      <c r="RHR45" s="19"/>
      <c r="RHS45" s="19"/>
      <c r="RHT45" s="19"/>
      <c r="RHU45" s="19"/>
      <c r="RHV45" s="19"/>
      <c r="RHW45" s="19"/>
      <c r="RHX45" s="19"/>
      <c r="RHY45" s="19"/>
      <c r="RHZ45" s="19"/>
      <c r="RIA45" s="19"/>
      <c r="RIB45" s="19"/>
      <c r="RIC45" s="19"/>
      <c r="RID45" s="19"/>
      <c r="RIE45" s="19"/>
      <c r="RIF45" s="19"/>
      <c r="RIG45" s="19"/>
      <c r="RIH45" s="19"/>
      <c r="RII45" s="19"/>
      <c r="RIJ45" s="19"/>
      <c r="RIK45" s="19"/>
      <c r="RIL45" s="19"/>
      <c r="RIM45" s="19"/>
      <c r="RIN45" s="19"/>
      <c r="RIO45" s="19"/>
      <c r="RIP45" s="19"/>
      <c r="RIQ45" s="19"/>
      <c r="RIR45" s="19"/>
      <c r="RIS45" s="19"/>
      <c r="RIT45" s="19"/>
      <c r="RIU45" s="19"/>
      <c r="RIV45" s="19"/>
      <c r="RIW45" s="19"/>
      <c r="RIX45" s="19"/>
      <c r="RIY45" s="19"/>
      <c r="RIZ45" s="19"/>
      <c r="RJA45" s="19"/>
      <c r="RJB45" s="19"/>
      <c r="RJC45" s="19"/>
      <c r="RJD45" s="19"/>
      <c r="RJE45" s="19"/>
      <c r="RJF45" s="19"/>
      <c r="RJG45" s="19"/>
      <c r="RJH45" s="19"/>
      <c r="RJI45" s="19"/>
      <c r="RJJ45" s="19"/>
      <c r="RJK45" s="19"/>
      <c r="RJL45" s="19"/>
      <c r="RJM45" s="19"/>
      <c r="RJN45" s="19"/>
      <c r="RJO45" s="19"/>
      <c r="RJP45" s="19"/>
      <c r="RJQ45" s="19"/>
      <c r="RJR45" s="19"/>
      <c r="RJS45" s="19"/>
      <c r="RJT45" s="19"/>
      <c r="RJU45" s="19"/>
      <c r="RJV45" s="19"/>
      <c r="RJW45" s="19"/>
      <c r="RJX45" s="19"/>
      <c r="RJY45" s="19"/>
      <c r="RJZ45" s="19"/>
      <c r="RKA45" s="19"/>
      <c r="RKB45" s="19"/>
      <c r="RKC45" s="19"/>
      <c r="RKD45" s="19"/>
      <c r="RKE45" s="19"/>
      <c r="RKF45" s="19"/>
      <c r="RKG45" s="19"/>
      <c r="RKH45" s="19"/>
      <c r="RKI45" s="19"/>
      <c r="RKJ45" s="19"/>
      <c r="RKK45" s="19"/>
      <c r="RKL45" s="19"/>
      <c r="RKM45" s="19"/>
      <c r="RKN45" s="19"/>
      <c r="RKO45" s="19"/>
      <c r="RKP45" s="19"/>
      <c r="RKQ45" s="19"/>
      <c r="RKR45" s="19"/>
      <c r="RKS45" s="19"/>
      <c r="RKT45" s="19"/>
      <c r="RKU45" s="19"/>
      <c r="RKV45" s="19"/>
      <c r="RKW45" s="19"/>
      <c r="RKX45" s="19"/>
      <c r="RKY45" s="19"/>
      <c r="RKZ45" s="19"/>
      <c r="RLA45" s="19"/>
      <c r="RLB45" s="19"/>
      <c r="RLC45" s="19"/>
      <c r="RLD45" s="19"/>
      <c r="RLE45" s="19"/>
      <c r="RLF45" s="19"/>
      <c r="RLG45" s="19"/>
      <c r="RLH45" s="19"/>
      <c r="RLI45" s="19"/>
      <c r="RLJ45" s="19"/>
      <c r="RLK45" s="19"/>
      <c r="RLL45" s="19"/>
      <c r="RLM45" s="19"/>
      <c r="RLN45" s="19"/>
      <c r="RLO45" s="19"/>
      <c r="RLP45" s="19"/>
      <c r="RLQ45" s="19"/>
      <c r="RLR45" s="19"/>
      <c r="RLS45" s="19"/>
      <c r="RLT45" s="19"/>
      <c r="RLU45" s="19"/>
      <c r="RLV45" s="19"/>
      <c r="RLW45" s="19"/>
      <c r="RLX45" s="19"/>
      <c r="RLY45" s="19"/>
      <c r="RLZ45" s="19"/>
      <c r="RMA45" s="19"/>
      <c r="RMB45" s="19"/>
      <c r="RMC45" s="19"/>
      <c r="RMD45" s="19"/>
      <c r="RME45" s="19"/>
      <c r="RMF45" s="19"/>
      <c r="RMG45" s="19"/>
      <c r="RMH45" s="19"/>
      <c r="RMI45" s="19"/>
      <c r="RMJ45" s="19"/>
      <c r="RMK45" s="19"/>
      <c r="RML45" s="19"/>
      <c r="RMM45" s="19"/>
      <c r="RMN45" s="19"/>
      <c r="RMO45" s="19"/>
      <c r="RMP45" s="19"/>
      <c r="RMQ45" s="19"/>
      <c r="RMR45" s="19"/>
      <c r="RMS45" s="19"/>
      <c r="RMT45" s="19"/>
      <c r="RMU45" s="19"/>
      <c r="RMV45" s="19"/>
      <c r="RMW45" s="19"/>
      <c r="RMX45" s="19"/>
      <c r="RMY45" s="19"/>
      <c r="RMZ45" s="19"/>
      <c r="RNA45" s="19"/>
      <c r="RNB45" s="19"/>
      <c r="RNC45" s="19"/>
      <c r="RND45" s="19"/>
      <c r="RNE45" s="19"/>
      <c r="RNF45" s="19"/>
      <c r="RNG45" s="19"/>
      <c r="RNH45" s="19"/>
      <c r="RNI45" s="19"/>
      <c r="RNJ45" s="19"/>
      <c r="RNK45" s="19"/>
      <c r="RNL45" s="19"/>
      <c r="RNM45" s="19"/>
      <c r="RNN45" s="19"/>
      <c r="RNO45" s="19"/>
      <c r="RNP45" s="19"/>
      <c r="RNQ45" s="19"/>
      <c r="RNR45" s="19"/>
      <c r="RNS45" s="19"/>
      <c r="RNT45" s="19"/>
      <c r="RNU45" s="19"/>
      <c r="RNV45" s="19"/>
      <c r="RNW45" s="19"/>
      <c r="RNX45" s="19"/>
      <c r="RNY45" s="19"/>
      <c r="RNZ45" s="19"/>
      <c r="ROA45" s="19"/>
      <c r="ROB45" s="19"/>
      <c r="ROC45" s="19"/>
      <c r="ROD45" s="19"/>
      <c r="ROE45" s="19"/>
      <c r="ROF45" s="19"/>
      <c r="ROG45" s="19"/>
      <c r="ROH45" s="19"/>
      <c r="ROI45" s="19"/>
      <c r="ROJ45" s="19"/>
      <c r="ROK45" s="19"/>
      <c r="ROL45" s="19"/>
      <c r="ROM45" s="19"/>
      <c r="RON45" s="19"/>
      <c r="ROO45" s="19"/>
      <c r="ROP45" s="19"/>
      <c r="ROQ45" s="19"/>
      <c r="ROR45" s="19"/>
      <c r="ROS45" s="19"/>
      <c r="ROT45" s="19"/>
      <c r="ROU45" s="19"/>
      <c r="ROV45" s="19"/>
      <c r="ROW45" s="19"/>
      <c r="ROX45" s="19"/>
      <c r="ROY45" s="19"/>
      <c r="ROZ45" s="19"/>
      <c r="RPA45" s="19"/>
      <c r="RPB45" s="19"/>
      <c r="RPC45" s="19"/>
      <c r="RPD45" s="19"/>
      <c r="RPE45" s="19"/>
      <c r="RPF45" s="19"/>
      <c r="RPG45" s="19"/>
      <c r="RPH45" s="19"/>
      <c r="RPI45" s="19"/>
      <c r="RPJ45" s="19"/>
      <c r="RPK45" s="19"/>
      <c r="RPL45" s="19"/>
      <c r="RPM45" s="19"/>
      <c r="RPN45" s="19"/>
      <c r="RPO45" s="19"/>
      <c r="RPP45" s="19"/>
      <c r="RPQ45" s="19"/>
      <c r="RPR45" s="19"/>
      <c r="RPS45" s="19"/>
      <c r="RPT45" s="19"/>
      <c r="RPU45" s="19"/>
      <c r="RPV45" s="19"/>
      <c r="RPW45" s="19"/>
      <c r="RPX45" s="19"/>
      <c r="RPY45" s="19"/>
      <c r="RPZ45" s="19"/>
      <c r="RQA45" s="19"/>
      <c r="RQB45" s="19"/>
      <c r="RQC45" s="19"/>
      <c r="RQD45" s="19"/>
      <c r="RQE45" s="19"/>
      <c r="RQF45" s="19"/>
      <c r="RQG45" s="19"/>
      <c r="RQH45" s="19"/>
      <c r="RQI45" s="19"/>
      <c r="RQJ45" s="19"/>
      <c r="RQK45" s="19"/>
      <c r="RQL45" s="19"/>
      <c r="RQM45" s="19"/>
      <c r="RQN45" s="19"/>
      <c r="RQO45" s="19"/>
      <c r="RQP45" s="19"/>
      <c r="RQQ45" s="19"/>
      <c r="RQR45" s="19"/>
      <c r="RQS45" s="19"/>
      <c r="RQT45" s="19"/>
      <c r="RQU45" s="19"/>
      <c r="RQV45" s="19"/>
      <c r="RQW45" s="19"/>
      <c r="RQX45" s="19"/>
      <c r="RQY45" s="19"/>
      <c r="RQZ45" s="19"/>
      <c r="RRA45" s="19"/>
      <c r="RRB45" s="19"/>
      <c r="RRC45" s="19"/>
      <c r="RRD45" s="19"/>
      <c r="RRE45" s="19"/>
      <c r="RRF45" s="19"/>
      <c r="RRG45" s="19"/>
      <c r="RRH45" s="19"/>
      <c r="RRI45" s="19"/>
      <c r="RRJ45" s="19"/>
      <c r="RRK45" s="19"/>
      <c r="RRL45" s="19"/>
      <c r="RRM45" s="19"/>
      <c r="RRN45" s="19"/>
      <c r="RRO45" s="19"/>
      <c r="RRP45" s="19"/>
      <c r="RRQ45" s="19"/>
      <c r="RRR45" s="19"/>
      <c r="RRS45" s="19"/>
      <c r="RRT45" s="19"/>
      <c r="RRU45" s="19"/>
      <c r="RRV45" s="19"/>
      <c r="RRW45" s="19"/>
      <c r="RRX45" s="19"/>
      <c r="RRY45" s="19"/>
      <c r="RRZ45" s="19"/>
      <c r="RSA45" s="19"/>
      <c r="RSB45" s="19"/>
      <c r="RSC45" s="19"/>
      <c r="RSD45" s="19"/>
      <c r="RSE45" s="19"/>
      <c r="RSF45" s="19"/>
      <c r="RSG45" s="19"/>
      <c r="RSH45" s="19"/>
      <c r="RSI45" s="19"/>
      <c r="RSJ45" s="19"/>
      <c r="RSK45" s="19"/>
      <c r="RSL45" s="19"/>
      <c r="RSM45" s="19"/>
      <c r="RSN45" s="19"/>
      <c r="RSO45" s="19"/>
      <c r="RSP45" s="19"/>
      <c r="RSQ45" s="19"/>
      <c r="RSR45" s="19"/>
      <c r="RSS45" s="19"/>
      <c r="RST45" s="19"/>
      <c r="RSU45" s="19"/>
      <c r="RSV45" s="19"/>
      <c r="RSW45" s="19"/>
      <c r="RSX45" s="19"/>
      <c r="RSY45" s="19"/>
      <c r="RSZ45" s="19"/>
      <c r="RTA45" s="19"/>
      <c r="RTB45" s="19"/>
      <c r="RTC45" s="19"/>
      <c r="RTD45" s="19"/>
      <c r="RTE45" s="19"/>
      <c r="RTF45" s="19"/>
      <c r="RTG45" s="19"/>
      <c r="RTH45" s="19"/>
      <c r="RTI45" s="19"/>
      <c r="RTJ45" s="19"/>
      <c r="RTK45" s="19"/>
      <c r="RTL45" s="19"/>
      <c r="RTM45" s="19"/>
      <c r="RTN45" s="19"/>
      <c r="RTO45" s="19"/>
      <c r="RTP45" s="19"/>
      <c r="RTQ45" s="19"/>
      <c r="RTR45" s="19"/>
      <c r="RTS45" s="19"/>
      <c r="RTT45" s="19"/>
      <c r="RTU45" s="19"/>
      <c r="RTV45" s="19"/>
      <c r="RTW45" s="19"/>
      <c r="RTX45" s="19"/>
      <c r="RTY45" s="19"/>
      <c r="RTZ45" s="19"/>
      <c r="RUA45" s="19"/>
      <c r="RUB45" s="19"/>
      <c r="RUC45" s="19"/>
      <c r="RUD45" s="19"/>
      <c r="RUE45" s="19"/>
      <c r="RUF45" s="19"/>
      <c r="RUG45" s="19"/>
      <c r="RUH45" s="19"/>
      <c r="RUI45" s="19"/>
      <c r="RUJ45" s="19"/>
      <c r="RUK45" s="19"/>
      <c r="RUL45" s="19"/>
      <c r="RUM45" s="19"/>
      <c r="RUN45" s="19"/>
      <c r="RUO45" s="19"/>
      <c r="RUP45" s="19"/>
      <c r="RUQ45" s="19"/>
      <c r="RUR45" s="19"/>
      <c r="RUS45" s="19"/>
      <c r="RUT45" s="19"/>
      <c r="RUU45" s="19"/>
      <c r="RUV45" s="19"/>
      <c r="RUW45" s="19"/>
      <c r="RUX45" s="19"/>
      <c r="RUY45" s="19"/>
      <c r="RUZ45" s="19"/>
      <c r="RVA45" s="19"/>
      <c r="RVB45" s="19"/>
      <c r="RVC45" s="19"/>
      <c r="RVD45" s="19"/>
      <c r="RVE45" s="19"/>
      <c r="RVF45" s="19"/>
      <c r="RVG45" s="19"/>
      <c r="RVH45" s="19"/>
      <c r="RVI45" s="19"/>
      <c r="RVJ45" s="19"/>
      <c r="RVK45" s="19"/>
      <c r="RVL45" s="19"/>
      <c r="RVM45" s="19"/>
      <c r="RVN45" s="19"/>
      <c r="RVO45" s="19"/>
      <c r="RVP45" s="19"/>
      <c r="RVQ45" s="19"/>
      <c r="RVR45" s="19"/>
      <c r="RVS45" s="19"/>
      <c r="RVT45" s="19"/>
      <c r="RVU45" s="19"/>
      <c r="RVV45" s="19"/>
      <c r="RVW45" s="19"/>
      <c r="RVX45" s="19"/>
      <c r="RVY45" s="19"/>
      <c r="RVZ45" s="19"/>
      <c r="RWA45" s="19"/>
      <c r="RWB45" s="19"/>
      <c r="RWC45" s="19"/>
      <c r="RWD45" s="19"/>
      <c r="RWE45" s="19"/>
      <c r="RWF45" s="19"/>
      <c r="RWG45" s="19"/>
      <c r="RWH45" s="19"/>
      <c r="RWI45" s="19"/>
      <c r="RWJ45" s="19"/>
      <c r="RWK45" s="19"/>
      <c r="RWL45" s="19"/>
      <c r="RWM45" s="19"/>
      <c r="RWN45" s="19"/>
      <c r="RWO45" s="19"/>
      <c r="RWP45" s="19"/>
      <c r="RWQ45" s="19"/>
      <c r="RWR45" s="19"/>
      <c r="RWS45" s="19"/>
      <c r="RWT45" s="19"/>
      <c r="RWU45" s="19"/>
      <c r="RWV45" s="19"/>
      <c r="RWW45" s="19"/>
      <c r="RWX45" s="19"/>
      <c r="RWY45" s="19"/>
      <c r="RWZ45" s="19"/>
      <c r="RXA45" s="19"/>
      <c r="RXB45" s="19"/>
      <c r="RXC45" s="19"/>
      <c r="RXD45" s="19"/>
      <c r="RXE45" s="19"/>
      <c r="RXF45" s="19"/>
      <c r="RXG45" s="19"/>
      <c r="RXH45" s="19"/>
      <c r="RXI45" s="19"/>
      <c r="RXJ45" s="19"/>
      <c r="RXK45" s="19"/>
      <c r="RXL45" s="19"/>
      <c r="RXM45" s="19"/>
      <c r="RXN45" s="19"/>
      <c r="RXO45" s="19"/>
      <c r="RXP45" s="19"/>
      <c r="RXQ45" s="19"/>
      <c r="RXR45" s="19"/>
      <c r="RXS45" s="19"/>
      <c r="RXT45" s="19"/>
      <c r="RXU45" s="19"/>
      <c r="RXV45" s="19"/>
      <c r="RXW45" s="19"/>
      <c r="RXX45" s="19"/>
      <c r="RXY45" s="19"/>
      <c r="RXZ45" s="19"/>
      <c r="RYA45" s="19"/>
      <c r="RYB45" s="19"/>
      <c r="RYC45" s="19"/>
      <c r="RYD45" s="19"/>
      <c r="RYE45" s="19"/>
      <c r="RYF45" s="19"/>
      <c r="RYG45" s="19"/>
      <c r="RYH45" s="19"/>
      <c r="RYI45" s="19"/>
      <c r="RYJ45" s="19"/>
      <c r="RYK45" s="19"/>
      <c r="RYL45" s="19"/>
      <c r="RYM45" s="19"/>
      <c r="RYN45" s="19"/>
      <c r="RYO45" s="19"/>
      <c r="RYP45" s="19"/>
      <c r="RYQ45" s="19"/>
      <c r="RYR45" s="19"/>
      <c r="RYS45" s="19"/>
      <c r="RYT45" s="19"/>
      <c r="RYU45" s="19"/>
      <c r="RYV45" s="19"/>
      <c r="RYW45" s="19"/>
      <c r="RYX45" s="19"/>
      <c r="RYY45" s="19"/>
      <c r="RYZ45" s="19"/>
      <c r="RZA45" s="19"/>
      <c r="RZB45" s="19"/>
      <c r="RZC45" s="19"/>
      <c r="RZD45" s="19"/>
      <c r="RZE45" s="19"/>
      <c r="RZF45" s="19"/>
      <c r="RZG45" s="19"/>
      <c r="RZH45" s="19"/>
      <c r="RZI45" s="19"/>
      <c r="RZJ45" s="19"/>
      <c r="RZK45" s="19"/>
      <c r="RZL45" s="19"/>
      <c r="RZM45" s="19"/>
      <c r="RZN45" s="19"/>
      <c r="RZO45" s="19"/>
      <c r="RZP45" s="19"/>
      <c r="RZQ45" s="19"/>
      <c r="RZR45" s="19"/>
      <c r="RZS45" s="19"/>
      <c r="RZT45" s="19"/>
      <c r="RZU45" s="19"/>
      <c r="RZV45" s="19"/>
      <c r="RZW45" s="19"/>
      <c r="RZX45" s="19"/>
      <c r="RZY45" s="19"/>
      <c r="RZZ45" s="19"/>
      <c r="SAA45" s="19"/>
      <c r="SAB45" s="19"/>
      <c r="SAC45" s="19"/>
      <c r="SAD45" s="19"/>
      <c r="SAE45" s="19"/>
      <c r="SAF45" s="19"/>
      <c r="SAG45" s="19"/>
      <c r="SAH45" s="19"/>
      <c r="SAI45" s="19"/>
      <c r="SAJ45" s="19"/>
      <c r="SAK45" s="19"/>
      <c r="SAL45" s="19"/>
      <c r="SAM45" s="19"/>
      <c r="SAN45" s="19"/>
      <c r="SAO45" s="19"/>
      <c r="SAP45" s="19"/>
      <c r="SAQ45" s="19"/>
      <c r="SAR45" s="19"/>
      <c r="SAS45" s="19"/>
      <c r="SAT45" s="19"/>
      <c r="SAU45" s="19"/>
      <c r="SAV45" s="19"/>
      <c r="SAW45" s="19"/>
      <c r="SAX45" s="19"/>
      <c r="SAY45" s="19"/>
      <c r="SAZ45" s="19"/>
      <c r="SBA45" s="19"/>
      <c r="SBB45" s="19"/>
      <c r="SBC45" s="19"/>
      <c r="SBD45" s="19"/>
      <c r="SBE45" s="19"/>
      <c r="SBF45" s="19"/>
      <c r="SBG45" s="19"/>
      <c r="SBH45" s="19"/>
      <c r="SBI45" s="19"/>
      <c r="SBJ45" s="19"/>
      <c r="SBK45" s="19"/>
      <c r="SBL45" s="19"/>
      <c r="SBM45" s="19"/>
      <c r="SBN45" s="19"/>
      <c r="SBO45" s="19"/>
      <c r="SBP45" s="19"/>
      <c r="SBQ45" s="19"/>
      <c r="SBR45" s="19"/>
      <c r="SBS45" s="19"/>
      <c r="SBT45" s="19"/>
      <c r="SBU45" s="19"/>
      <c r="SBV45" s="19"/>
      <c r="SBW45" s="19"/>
      <c r="SBX45" s="19"/>
      <c r="SBY45" s="19"/>
      <c r="SBZ45" s="19"/>
      <c r="SCA45" s="19"/>
      <c r="SCB45" s="19"/>
      <c r="SCC45" s="19"/>
      <c r="SCD45" s="19"/>
      <c r="SCE45" s="19"/>
      <c r="SCF45" s="19"/>
      <c r="SCG45" s="19"/>
      <c r="SCH45" s="19"/>
      <c r="SCI45" s="19"/>
      <c r="SCJ45" s="19"/>
      <c r="SCK45" s="19"/>
      <c r="SCL45" s="19"/>
      <c r="SCM45" s="19"/>
      <c r="SCN45" s="19"/>
      <c r="SCO45" s="19"/>
      <c r="SCP45" s="19"/>
      <c r="SCQ45" s="19"/>
      <c r="SCR45" s="19"/>
      <c r="SCS45" s="19"/>
      <c r="SCT45" s="19"/>
      <c r="SCU45" s="19"/>
      <c r="SCV45" s="19"/>
      <c r="SCW45" s="19"/>
      <c r="SCX45" s="19"/>
      <c r="SCY45" s="19"/>
      <c r="SCZ45" s="19"/>
      <c r="SDA45" s="19"/>
      <c r="SDB45" s="19"/>
      <c r="SDC45" s="19"/>
      <c r="SDD45" s="19"/>
      <c r="SDE45" s="19"/>
      <c r="SDF45" s="19"/>
      <c r="SDG45" s="19"/>
      <c r="SDH45" s="19"/>
      <c r="SDI45" s="19"/>
      <c r="SDJ45" s="19"/>
      <c r="SDK45" s="19"/>
      <c r="SDL45" s="19"/>
      <c r="SDM45" s="19"/>
      <c r="SDN45" s="19"/>
      <c r="SDO45" s="19"/>
      <c r="SDP45" s="19"/>
      <c r="SDQ45" s="19"/>
      <c r="SDR45" s="19"/>
      <c r="SDS45" s="19"/>
      <c r="SDT45" s="19"/>
      <c r="SDU45" s="19"/>
      <c r="SDV45" s="19"/>
      <c r="SDW45" s="19"/>
      <c r="SDX45" s="19"/>
      <c r="SDY45" s="19"/>
      <c r="SDZ45" s="19"/>
      <c r="SEA45" s="19"/>
      <c r="SEB45" s="19"/>
      <c r="SEC45" s="19"/>
      <c r="SED45" s="19"/>
      <c r="SEE45" s="19"/>
      <c r="SEF45" s="19"/>
      <c r="SEG45" s="19"/>
      <c r="SEH45" s="19"/>
      <c r="SEI45" s="19"/>
      <c r="SEJ45" s="19"/>
      <c r="SEK45" s="19"/>
      <c r="SEL45" s="19"/>
      <c r="SEM45" s="19"/>
      <c r="SEN45" s="19"/>
      <c r="SEO45" s="19"/>
      <c r="SEP45" s="19"/>
      <c r="SEQ45" s="19"/>
      <c r="SER45" s="19"/>
      <c r="SES45" s="19"/>
      <c r="SET45" s="19"/>
      <c r="SEU45" s="19"/>
      <c r="SEV45" s="19"/>
      <c r="SEW45" s="19"/>
      <c r="SEX45" s="19"/>
      <c r="SEY45" s="19"/>
      <c r="SEZ45" s="19"/>
      <c r="SFA45" s="19"/>
      <c r="SFB45" s="19"/>
      <c r="SFC45" s="19"/>
      <c r="SFD45" s="19"/>
      <c r="SFE45" s="19"/>
      <c r="SFF45" s="19"/>
      <c r="SFG45" s="19"/>
      <c r="SFH45" s="19"/>
      <c r="SFI45" s="19"/>
      <c r="SFJ45" s="19"/>
      <c r="SFK45" s="19"/>
      <c r="SFL45" s="19"/>
      <c r="SFM45" s="19"/>
      <c r="SFN45" s="19"/>
      <c r="SFO45" s="19"/>
      <c r="SFP45" s="19"/>
      <c r="SFQ45" s="19"/>
      <c r="SFR45" s="19"/>
      <c r="SFS45" s="19"/>
      <c r="SFT45" s="19"/>
      <c r="SFU45" s="19"/>
      <c r="SFV45" s="19"/>
      <c r="SFW45" s="19"/>
      <c r="SFX45" s="19"/>
      <c r="SFY45" s="19"/>
      <c r="SFZ45" s="19"/>
      <c r="SGA45" s="19"/>
      <c r="SGB45" s="19"/>
      <c r="SGC45" s="19"/>
      <c r="SGD45" s="19"/>
      <c r="SGE45" s="19"/>
      <c r="SGF45" s="19"/>
      <c r="SGG45" s="19"/>
      <c r="SGH45" s="19"/>
      <c r="SGI45" s="19"/>
      <c r="SGJ45" s="19"/>
      <c r="SGK45" s="19"/>
      <c r="SGL45" s="19"/>
      <c r="SGM45" s="19"/>
      <c r="SGN45" s="19"/>
      <c r="SGO45" s="19"/>
      <c r="SGP45" s="19"/>
      <c r="SGQ45" s="19"/>
      <c r="SGR45" s="19"/>
      <c r="SGS45" s="19"/>
      <c r="SGT45" s="19"/>
      <c r="SGU45" s="19"/>
      <c r="SGV45" s="19"/>
      <c r="SGW45" s="19"/>
      <c r="SGX45" s="19"/>
      <c r="SGY45" s="19"/>
      <c r="SGZ45" s="19"/>
      <c r="SHA45" s="19"/>
      <c r="SHB45" s="19"/>
      <c r="SHC45" s="19"/>
      <c r="SHD45" s="19"/>
      <c r="SHE45" s="19"/>
      <c r="SHF45" s="19"/>
      <c r="SHG45" s="19"/>
      <c r="SHH45" s="19"/>
      <c r="SHI45" s="19"/>
      <c r="SHJ45" s="19"/>
      <c r="SHK45" s="19"/>
      <c r="SHL45" s="19"/>
      <c r="SHM45" s="19"/>
      <c r="SHN45" s="19"/>
      <c r="SHO45" s="19"/>
      <c r="SHP45" s="19"/>
      <c r="SHQ45" s="19"/>
      <c r="SHR45" s="19"/>
      <c r="SHS45" s="19"/>
      <c r="SHT45" s="19"/>
      <c r="SHU45" s="19"/>
      <c r="SHV45" s="19"/>
      <c r="SHW45" s="19"/>
      <c r="SHX45" s="19"/>
      <c r="SHY45" s="19"/>
      <c r="SHZ45" s="19"/>
      <c r="SIA45" s="19"/>
      <c r="SIB45" s="19"/>
      <c r="SIC45" s="19"/>
      <c r="SID45" s="19"/>
      <c r="SIE45" s="19"/>
      <c r="SIF45" s="19"/>
      <c r="SIG45" s="19"/>
      <c r="SIH45" s="19"/>
      <c r="SII45" s="19"/>
      <c r="SIJ45" s="19"/>
      <c r="SIK45" s="19"/>
      <c r="SIL45" s="19"/>
      <c r="SIM45" s="19"/>
      <c r="SIN45" s="19"/>
      <c r="SIO45" s="19"/>
      <c r="SIP45" s="19"/>
      <c r="SIQ45" s="19"/>
      <c r="SIR45" s="19"/>
      <c r="SIS45" s="19"/>
      <c r="SIT45" s="19"/>
      <c r="SIU45" s="19"/>
      <c r="SIV45" s="19"/>
      <c r="SIW45" s="19"/>
      <c r="SIX45" s="19"/>
      <c r="SIY45" s="19"/>
      <c r="SIZ45" s="19"/>
      <c r="SJA45" s="19"/>
      <c r="SJB45" s="19"/>
      <c r="SJC45" s="19"/>
      <c r="SJD45" s="19"/>
      <c r="SJE45" s="19"/>
      <c r="SJF45" s="19"/>
      <c r="SJG45" s="19"/>
      <c r="SJH45" s="19"/>
      <c r="SJI45" s="19"/>
      <c r="SJJ45" s="19"/>
      <c r="SJK45" s="19"/>
      <c r="SJL45" s="19"/>
      <c r="SJM45" s="19"/>
      <c r="SJN45" s="19"/>
      <c r="SJO45" s="19"/>
      <c r="SJP45" s="19"/>
      <c r="SJQ45" s="19"/>
      <c r="SJR45" s="19"/>
      <c r="SJS45" s="19"/>
      <c r="SJT45" s="19"/>
      <c r="SJU45" s="19"/>
      <c r="SJV45" s="19"/>
      <c r="SJW45" s="19"/>
      <c r="SJX45" s="19"/>
      <c r="SJY45" s="19"/>
      <c r="SJZ45" s="19"/>
      <c r="SKA45" s="19"/>
      <c r="SKB45" s="19"/>
      <c r="SKC45" s="19"/>
      <c r="SKD45" s="19"/>
      <c r="SKE45" s="19"/>
      <c r="SKF45" s="19"/>
      <c r="SKG45" s="19"/>
      <c r="SKH45" s="19"/>
      <c r="SKI45" s="19"/>
      <c r="SKJ45" s="19"/>
      <c r="SKK45" s="19"/>
      <c r="SKL45" s="19"/>
      <c r="SKM45" s="19"/>
      <c r="SKN45" s="19"/>
      <c r="SKO45" s="19"/>
      <c r="SKP45" s="19"/>
      <c r="SKQ45" s="19"/>
      <c r="SKR45" s="19"/>
      <c r="SKS45" s="19"/>
      <c r="SKT45" s="19"/>
      <c r="SKU45" s="19"/>
      <c r="SKV45" s="19"/>
      <c r="SKW45" s="19"/>
      <c r="SKX45" s="19"/>
      <c r="SKY45" s="19"/>
      <c r="SKZ45" s="19"/>
      <c r="SLA45" s="19"/>
      <c r="SLB45" s="19"/>
      <c r="SLC45" s="19"/>
      <c r="SLD45" s="19"/>
      <c r="SLE45" s="19"/>
      <c r="SLF45" s="19"/>
      <c r="SLG45" s="19"/>
      <c r="SLH45" s="19"/>
      <c r="SLI45" s="19"/>
      <c r="SLJ45" s="19"/>
      <c r="SLK45" s="19"/>
      <c r="SLL45" s="19"/>
      <c r="SLM45" s="19"/>
      <c r="SLN45" s="19"/>
      <c r="SLO45" s="19"/>
      <c r="SLP45" s="19"/>
      <c r="SLQ45" s="19"/>
      <c r="SLR45" s="19"/>
      <c r="SLS45" s="19"/>
      <c r="SLT45" s="19"/>
      <c r="SLU45" s="19"/>
      <c r="SLV45" s="19"/>
      <c r="SLW45" s="19"/>
      <c r="SLX45" s="19"/>
      <c r="SLY45" s="19"/>
      <c r="SLZ45" s="19"/>
      <c r="SMA45" s="19"/>
      <c r="SMB45" s="19"/>
      <c r="SMC45" s="19"/>
      <c r="SMD45" s="19"/>
      <c r="SME45" s="19"/>
      <c r="SMF45" s="19"/>
      <c r="SMG45" s="19"/>
      <c r="SMH45" s="19"/>
      <c r="SMI45" s="19"/>
      <c r="SMJ45" s="19"/>
      <c r="SMK45" s="19"/>
      <c r="SML45" s="19"/>
      <c r="SMM45" s="19"/>
      <c r="SMN45" s="19"/>
      <c r="SMO45" s="19"/>
      <c r="SMP45" s="19"/>
      <c r="SMQ45" s="19"/>
      <c r="SMR45" s="19"/>
      <c r="SMS45" s="19"/>
      <c r="SMT45" s="19"/>
      <c r="SMU45" s="19"/>
      <c r="SMV45" s="19"/>
      <c r="SMW45" s="19"/>
      <c r="SMX45" s="19"/>
      <c r="SMY45" s="19"/>
      <c r="SMZ45" s="19"/>
      <c r="SNA45" s="19"/>
      <c r="SNB45" s="19"/>
      <c r="SNC45" s="19"/>
      <c r="SND45" s="19"/>
      <c r="SNE45" s="19"/>
      <c r="SNF45" s="19"/>
      <c r="SNG45" s="19"/>
      <c r="SNH45" s="19"/>
      <c r="SNI45" s="19"/>
      <c r="SNJ45" s="19"/>
      <c r="SNK45" s="19"/>
      <c r="SNL45" s="19"/>
      <c r="SNM45" s="19"/>
      <c r="SNN45" s="19"/>
      <c r="SNO45" s="19"/>
      <c r="SNP45" s="19"/>
      <c r="SNQ45" s="19"/>
      <c r="SNR45" s="19"/>
      <c r="SNS45" s="19"/>
      <c r="SNT45" s="19"/>
      <c r="SNU45" s="19"/>
      <c r="SNV45" s="19"/>
      <c r="SNW45" s="19"/>
      <c r="SNX45" s="19"/>
      <c r="SNY45" s="19"/>
      <c r="SNZ45" s="19"/>
      <c r="SOA45" s="19"/>
      <c r="SOB45" s="19"/>
      <c r="SOC45" s="19"/>
      <c r="SOD45" s="19"/>
      <c r="SOE45" s="19"/>
      <c r="SOF45" s="19"/>
      <c r="SOG45" s="19"/>
      <c r="SOH45" s="19"/>
      <c r="SOI45" s="19"/>
      <c r="SOJ45" s="19"/>
      <c r="SOK45" s="19"/>
      <c r="SOL45" s="19"/>
      <c r="SOM45" s="19"/>
      <c r="SON45" s="19"/>
      <c r="SOO45" s="19"/>
      <c r="SOP45" s="19"/>
      <c r="SOQ45" s="19"/>
      <c r="SOR45" s="19"/>
      <c r="SOS45" s="19"/>
      <c r="SOT45" s="19"/>
      <c r="SOU45" s="19"/>
      <c r="SOV45" s="19"/>
      <c r="SOW45" s="19"/>
      <c r="SOX45" s="19"/>
      <c r="SOY45" s="19"/>
      <c r="SOZ45" s="19"/>
      <c r="SPA45" s="19"/>
      <c r="SPB45" s="19"/>
      <c r="SPC45" s="19"/>
      <c r="SPD45" s="19"/>
      <c r="SPE45" s="19"/>
      <c r="SPF45" s="19"/>
      <c r="SPG45" s="19"/>
      <c r="SPH45" s="19"/>
      <c r="SPI45" s="19"/>
      <c r="SPJ45" s="19"/>
      <c r="SPK45" s="19"/>
      <c r="SPL45" s="19"/>
      <c r="SPM45" s="19"/>
      <c r="SPN45" s="19"/>
      <c r="SPO45" s="19"/>
      <c r="SPP45" s="19"/>
      <c r="SPQ45" s="19"/>
      <c r="SPR45" s="19"/>
      <c r="SPS45" s="19"/>
      <c r="SPT45" s="19"/>
      <c r="SPU45" s="19"/>
      <c r="SPV45" s="19"/>
      <c r="SPW45" s="19"/>
      <c r="SPX45" s="19"/>
      <c r="SPY45" s="19"/>
      <c r="SPZ45" s="19"/>
      <c r="SQA45" s="19"/>
      <c r="SQB45" s="19"/>
      <c r="SQC45" s="19"/>
      <c r="SQD45" s="19"/>
      <c r="SQE45" s="19"/>
      <c r="SQF45" s="19"/>
      <c r="SQG45" s="19"/>
      <c r="SQH45" s="19"/>
      <c r="SQI45" s="19"/>
      <c r="SQJ45" s="19"/>
      <c r="SQK45" s="19"/>
      <c r="SQL45" s="19"/>
      <c r="SQM45" s="19"/>
      <c r="SQN45" s="19"/>
      <c r="SQO45" s="19"/>
      <c r="SQP45" s="19"/>
      <c r="SQQ45" s="19"/>
      <c r="SQR45" s="19"/>
      <c r="SQS45" s="19"/>
      <c r="SQT45" s="19"/>
      <c r="SQU45" s="19"/>
      <c r="SQV45" s="19"/>
      <c r="SQW45" s="19"/>
      <c r="SQX45" s="19"/>
      <c r="SQY45" s="19"/>
      <c r="SQZ45" s="19"/>
      <c r="SRA45" s="19"/>
      <c r="SRB45" s="19"/>
      <c r="SRC45" s="19"/>
      <c r="SRD45" s="19"/>
      <c r="SRE45" s="19"/>
      <c r="SRF45" s="19"/>
      <c r="SRG45" s="19"/>
      <c r="SRH45" s="19"/>
      <c r="SRI45" s="19"/>
      <c r="SRJ45" s="19"/>
      <c r="SRK45" s="19"/>
      <c r="SRL45" s="19"/>
      <c r="SRM45" s="19"/>
      <c r="SRN45" s="19"/>
      <c r="SRO45" s="19"/>
      <c r="SRP45" s="19"/>
      <c r="SRQ45" s="19"/>
      <c r="SRR45" s="19"/>
      <c r="SRS45" s="19"/>
      <c r="SRT45" s="19"/>
      <c r="SRU45" s="19"/>
      <c r="SRV45" s="19"/>
      <c r="SRW45" s="19"/>
      <c r="SRX45" s="19"/>
      <c r="SRY45" s="19"/>
      <c r="SRZ45" s="19"/>
      <c r="SSA45" s="19"/>
      <c r="SSB45" s="19"/>
      <c r="SSC45" s="19"/>
      <c r="SSD45" s="19"/>
      <c r="SSE45" s="19"/>
      <c r="SSF45" s="19"/>
      <c r="SSG45" s="19"/>
      <c r="SSH45" s="19"/>
      <c r="SSI45" s="19"/>
      <c r="SSJ45" s="19"/>
      <c r="SSK45" s="19"/>
      <c r="SSL45" s="19"/>
      <c r="SSM45" s="19"/>
      <c r="SSN45" s="19"/>
      <c r="SSO45" s="19"/>
      <c r="SSP45" s="19"/>
      <c r="SSQ45" s="19"/>
      <c r="SSR45" s="19"/>
      <c r="SSS45" s="19"/>
      <c r="SST45" s="19"/>
      <c r="SSU45" s="19"/>
      <c r="SSV45" s="19"/>
      <c r="SSW45" s="19"/>
      <c r="SSX45" s="19"/>
      <c r="SSY45" s="19"/>
      <c r="SSZ45" s="19"/>
      <c r="STA45" s="19"/>
      <c r="STB45" s="19"/>
      <c r="STC45" s="19"/>
      <c r="STD45" s="19"/>
      <c r="STE45" s="19"/>
      <c r="STF45" s="19"/>
      <c r="STG45" s="19"/>
      <c r="STH45" s="19"/>
      <c r="STI45" s="19"/>
      <c r="STJ45" s="19"/>
      <c r="STK45" s="19"/>
      <c r="STL45" s="19"/>
      <c r="STM45" s="19"/>
      <c r="STN45" s="19"/>
      <c r="STO45" s="19"/>
      <c r="STP45" s="19"/>
      <c r="STQ45" s="19"/>
      <c r="STR45" s="19"/>
      <c r="STS45" s="19"/>
      <c r="STT45" s="19"/>
      <c r="STU45" s="19"/>
      <c r="STV45" s="19"/>
      <c r="STW45" s="19"/>
      <c r="STX45" s="19"/>
      <c r="STY45" s="19"/>
      <c r="STZ45" s="19"/>
      <c r="SUA45" s="19"/>
      <c r="SUB45" s="19"/>
      <c r="SUC45" s="19"/>
      <c r="SUD45" s="19"/>
      <c r="SUE45" s="19"/>
      <c r="SUF45" s="19"/>
      <c r="SUG45" s="19"/>
      <c r="SUH45" s="19"/>
      <c r="SUI45" s="19"/>
      <c r="SUJ45" s="19"/>
      <c r="SUK45" s="19"/>
      <c r="SUL45" s="19"/>
      <c r="SUM45" s="19"/>
      <c r="SUN45" s="19"/>
      <c r="SUO45" s="19"/>
      <c r="SUP45" s="19"/>
      <c r="SUQ45" s="19"/>
      <c r="SUR45" s="19"/>
      <c r="SUS45" s="19"/>
      <c r="SUT45" s="19"/>
      <c r="SUU45" s="19"/>
      <c r="SUV45" s="19"/>
      <c r="SUW45" s="19"/>
      <c r="SUX45" s="19"/>
      <c r="SUY45" s="19"/>
      <c r="SUZ45" s="19"/>
      <c r="SVA45" s="19"/>
      <c r="SVB45" s="19"/>
      <c r="SVC45" s="19"/>
      <c r="SVD45" s="19"/>
      <c r="SVE45" s="19"/>
      <c r="SVF45" s="19"/>
      <c r="SVG45" s="19"/>
      <c r="SVH45" s="19"/>
      <c r="SVI45" s="19"/>
      <c r="SVJ45" s="19"/>
      <c r="SVK45" s="19"/>
      <c r="SVL45" s="19"/>
      <c r="SVM45" s="19"/>
      <c r="SVN45" s="19"/>
      <c r="SVO45" s="19"/>
      <c r="SVP45" s="19"/>
      <c r="SVQ45" s="19"/>
      <c r="SVR45" s="19"/>
      <c r="SVS45" s="19"/>
      <c r="SVT45" s="19"/>
      <c r="SVU45" s="19"/>
      <c r="SVV45" s="19"/>
      <c r="SVW45" s="19"/>
      <c r="SVX45" s="19"/>
      <c r="SVY45" s="19"/>
      <c r="SVZ45" s="19"/>
      <c r="SWA45" s="19"/>
      <c r="SWB45" s="19"/>
      <c r="SWC45" s="19"/>
      <c r="SWD45" s="19"/>
      <c r="SWE45" s="19"/>
      <c r="SWF45" s="19"/>
      <c r="SWG45" s="19"/>
      <c r="SWH45" s="19"/>
      <c r="SWI45" s="19"/>
      <c r="SWJ45" s="19"/>
      <c r="SWK45" s="19"/>
      <c r="SWL45" s="19"/>
      <c r="SWM45" s="19"/>
      <c r="SWN45" s="19"/>
      <c r="SWO45" s="19"/>
      <c r="SWP45" s="19"/>
      <c r="SWQ45" s="19"/>
      <c r="SWR45" s="19"/>
      <c r="SWS45" s="19"/>
      <c r="SWT45" s="19"/>
      <c r="SWU45" s="19"/>
      <c r="SWV45" s="19"/>
      <c r="SWW45" s="19"/>
      <c r="SWX45" s="19"/>
      <c r="SWY45" s="19"/>
      <c r="SWZ45" s="19"/>
      <c r="SXA45" s="19"/>
      <c r="SXB45" s="19"/>
      <c r="SXC45" s="19"/>
      <c r="SXD45" s="19"/>
      <c r="SXE45" s="19"/>
      <c r="SXF45" s="19"/>
      <c r="SXG45" s="19"/>
      <c r="SXH45" s="19"/>
      <c r="SXI45" s="19"/>
      <c r="SXJ45" s="19"/>
      <c r="SXK45" s="19"/>
      <c r="SXL45" s="19"/>
      <c r="SXM45" s="19"/>
      <c r="SXN45" s="19"/>
      <c r="SXO45" s="19"/>
      <c r="SXP45" s="19"/>
      <c r="SXQ45" s="19"/>
      <c r="SXR45" s="19"/>
      <c r="SXS45" s="19"/>
      <c r="SXT45" s="19"/>
      <c r="SXU45" s="19"/>
      <c r="SXV45" s="19"/>
      <c r="SXW45" s="19"/>
      <c r="SXX45" s="19"/>
      <c r="SXY45" s="19"/>
      <c r="SXZ45" s="19"/>
      <c r="SYA45" s="19"/>
      <c r="SYB45" s="19"/>
      <c r="SYC45" s="19"/>
      <c r="SYD45" s="19"/>
      <c r="SYE45" s="19"/>
      <c r="SYF45" s="19"/>
      <c r="SYG45" s="19"/>
      <c r="SYH45" s="19"/>
      <c r="SYI45" s="19"/>
      <c r="SYJ45" s="19"/>
      <c r="SYK45" s="19"/>
      <c r="SYL45" s="19"/>
      <c r="SYM45" s="19"/>
      <c r="SYN45" s="19"/>
      <c r="SYO45" s="19"/>
      <c r="SYP45" s="19"/>
      <c r="SYQ45" s="19"/>
      <c r="SYR45" s="19"/>
      <c r="SYS45" s="19"/>
      <c r="SYT45" s="19"/>
      <c r="SYU45" s="19"/>
      <c r="SYV45" s="19"/>
      <c r="SYW45" s="19"/>
      <c r="SYX45" s="19"/>
      <c r="SYY45" s="19"/>
      <c r="SYZ45" s="19"/>
      <c r="SZA45" s="19"/>
      <c r="SZB45" s="19"/>
      <c r="SZC45" s="19"/>
      <c r="SZD45" s="19"/>
      <c r="SZE45" s="19"/>
      <c r="SZF45" s="19"/>
      <c r="SZG45" s="19"/>
      <c r="SZH45" s="19"/>
      <c r="SZI45" s="19"/>
      <c r="SZJ45" s="19"/>
      <c r="SZK45" s="19"/>
      <c r="SZL45" s="19"/>
      <c r="SZM45" s="19"/>
      <c r="SZN45" s="19"/>
      <c r="SZO45" s="19"/>
      <c r="SZP45" s="19"/>
      <c r="SZQ45" s="19"/>
      <c r="SZR45" s="19"/>
      <c r="SZS45" s="19"/>
      <c r="SZT45" s="19"/>
      <c r="SZU45" s="19"/>
      <c r="SZV45" s="19"/>
      <c r="SZW45" s="19"/>
      <c r="SZX45" s="19"/>
      <c r="SZY45" s="19"/>
      <c r="SZZ45" s="19"/>
      <c r="TAA45" s="19"/>
      <c r="TAB45" s="19"/>
      <c r="TAC45" s="19"/>
      <c r="TAD45" s="19"/>
      <c r="TAE45" s="19"/>
      <c r="TAF45" s="19"/>
      <c r="TAG45" s="19"/>
      <c r="TAH45" s="19"/>
      <c r="TAI45" s="19"/>
      <c r="TAJ45" s="19"/>
      <c r="TAK45" s="19"/>
      <c r="TAL45" s="19"/>
      <c r="TAM45" s="19"/>
      <c r="TAN45" s="19"/>
      <c r="TAO45" s="19"/>
      <c r="TAP45" s="19"/>
      <c r="TAQ45" s="19"/>
      <c r="TAR45" s="19"/>
      <c r="TAS45" s="19"/>
      <c r="TAT45" s="19"/>
      <c r="TAU45" s="19"/>
      <c r="TAV45" s="19"/>
      <c r="TAW45" s="19"/>
      <c r="TAX45" s="19"/>
      <c r="TAY45" s="19"/>
      <c r="TAZ45" s="19"/>
      <c r="TBA45" s="19"/>
      <c r="TBB45" s="19"/>
      <c r="TBC45" s="19"/>
      <c r="TBD45" s="19"/>
      <c r="TBE45" s="19"/>
      <c r="TBF45" s="19"/>
      <c r="TBG45" s="19"/>
      <c r="TBH45" s="19"/>
      <c r="TBI45" s="19"/>
      <c r="TBJ45" s="19"/>
      <c r="TBK45" s="19"/>
      <c r="TBL45" s="19"/>
      <c r="TBM45" s="19"/>
      <c r="TBN45" s="19"/>
      <c r="TBO45" s="19"/>
      <c r="TBP45" s="19"/>
      <c r="TBQ45" s="19"/>
      <c r="TBR45" s="19"/>
      <c r="TBS45" s="19"/>
      <c r="TBT45" s="19"/>
      <c r="TBU45" s="19"/>
      <c r="TBV45" s="19"/>
      <c r="TBW45" s="19"/>
      <c r="TBX45" s="19"/>
      <c r="TBY45" s="19"/>
      <c r="TBZ45" s="19"/>
      <c r="TCA45" s="19"/>
      <c r="TCB45" s="19"/>
      <c r="TCC45" s="19"/>
      <c r="TCD45" s="19"/>
      <c r="TCE45" s="19"/>
      <c r="TCF45" s="19"/>
      <c r="TCG45" s="19"/>
      <c r="TCH45" s="19"/>
      <c r="TCI45" s="19"/>
      <c r="TCJ45" s="19"/>
      <c r="TCK45" s="19"/>
      <c r="TCL45" s="19"/>
      <c r="TCM45" s="19"/>
      <c r="TCN45" s="19"/>
      <c r="TCO45" s="19"/>
      <c r="TCP45" s="19"/>
      <c r="TCQ45" s="19"/>
      <c r="TCR45" s="19"/>
      <c r="TCS45" s="19"/>
      <c r="TCT45" s="19"/>
      <c r="TCU45" s="19"/>
      <c r="TCV45" s="19"/>
      <c r="TCW45" s="19"/>
      <c r="TCX45" s="19"/>
      <c r="TCY45" s="19"/>
      <c r="TCZ45" s="19"/>
      <c r="TDA45" s="19"/>
      <c r="TDB45" s="19"/>
      <c r="TDC45" s="19"/>
      <c r="TDD45" s="19"/>
      <c r="TDE45" s="19"/>
      <c r="TDF45" s="19"/>
      <c r="TDG45" s="19"/>
      <c r="TDH45" s="19"/>
      <c r="TDI45" s="19"/>
      <c r="TDJ45" s="19"/>
      <c r="TDK45" s="19"/>
      <c r="TDL45" s="19"/>
      <c r="TDM45" s="19"/>
      <c r="TDN45" s="19"/>
      <c r="TDO45" s="19"/>
      <c r="TDP45" s="19"/>
      <c r="TDQ45" s="19"/>
      <c r="TDR45" s="19"/>
      <c r="TDS45" s="19"/>
      <c r="TDT45" s="19"/>
      <c r="TDU45" s="19"/>
      <c r="TDV45" s="19"/>
      <c r="TDW45" s="19"/>
      <c r="TDX45" s="19"/>
      <c r="TDY45" s="19"/>
      <c r="TDZ45" s="19"/>
      <c r="TEA45" s="19"/>
      <c r="TEB45" s="19"/>
      <c r="TEC45" s="19"/>
      <c r="TED45" s="19"/>
      <c r="TEE45" s="19"/>
      <c r="TEF45" s="19"/>
      <c r="TEG45" s="19"/>
      <c r="TEH45" s="19"/>
      <c r="TEI45" s="19"/>
      <c r="TEJ45" s="19"/>
      <c r="TEK45" s="19"/>
      <c r="TEL45" s="19"/>
      <c r="TEM45" s="19"/>
      <c r="TEN45" s="19"/>
      <c r="TEO45" s="19"/>
      <c r="TEP45" s="19"/>
      <c r="TEQ45" s="19"/>
      <c r="TER45" s="19"/>
      <c r="TES45" s="19"/>
      <c r="TET45" s="19"/>
      <c r="TEU45" s="19"/>
      <c r="TEV45" s="19"/>
      <c r="TEW45" s="19"/>
      <c r="TEX45" s="19"/>
      <c r="TEY45" s="19"/>
      <c r="TEZ45" s="19"/>
      <c r="TFA45" s="19"/>
      <c r="TFB45" s="19"/>
      <c r="TFC45" s="19"/>
      <c r="TFD45" s="19"/>
      <c r="TFE45" s="19"/>
      <c r="TFF45" s="19"/>
      <c r="TFG45" s="19"/>
      <c r="TFH45" s="19"/>
      <c r="TFI45" s="19"/>
      <c r="TFJ45" s="19"/>
      <c r="TFK45" s="19"/>
      <c r="TFL45" s="19"/>
      <c r="TFM45" s="19"/>
      <c r="TFN45" s="19"/>
      <c r="TFO45" s="19"/>
      <c r="TFP45" s="19"/>
      <c r="TFQ45" s="19"/>
      <c r="TFR45" s="19"/>
      <c r="TFS45" s="19"/>
      <c r="TFT45" s="19"/>
      <c r="TFU45" s="19"/>
      <c r="TFV45" s="19"/>
      <c r="TFW45" s="19"/>
      <c r="TFX45" s="19"/>
      <c r="TFY45" s="19"/>
      <c r="TFZ45" s="19"/>
      <c r="TGA45" s="19"/>
      <c r="TGB45" s="19"/>
      <c r="TGC45" s="19"/>
      <c r="TGD45" s="19"/>
      <c r="TGE45" s="19"/>
      <c r="TGF45" s="19"/>
      <c r="TGG45" s="19"/>
      <c r="TGH45" s="19"/>
      <c r="TGI45" s="19"/>
      <c r="TGJ45" s="19"/>
      <c r="TGK45" s="19"/>
      <c r="TGL45" s="19"/>
      <c r="TGM45" s="19"/>
      <c r="TGN45" s="19"/>
      <c r="TGO45" s="19"/>
      <c r="TGP45" s="19"/>
      <c r="TGQ45" s="19"/>
      <c r="TGR45" s="19"/>
      <c r="TGS45" s="19"/>
      <c r="TGT45" s="19"/>
      <c r="TGU45" s="19"/>
      <c r="TGV45" s="19"/>
      <c r="TGW45" s="19"/>
      <c r="TGX45" s="19"/>
      <c r="TGY45" s="19"/>
      <c r="TGZ45" s="19"/>
      <c r="THA45" s="19"/>
      <c r="THB45" s="19"/>
      <c r="THC45" s="19"/>
      <c r="THD45" s="19"/>
      <c r="THE45" s="19"/>
      <c r="THF45" s="19"/>
      <c r="THG45" s="19"/>
      <c r="THH45" s="19"/>
      <c r="THI45" s="19"/>
      <c r="THJ45" s="19"/>
      <c r="THK45" s="19"/>
      <c r="THL45" s="19"/>
      <c r="THM45" s="19"/>
      <c r="THN45" s="19"/>
      <c r="THO45" s="19"/>
      <c r="THP45" s="19"/>
      <c r="THQ45" s="19"/>
      <c r="THR45" s="19"/>
      <c r="THS45" s="19"/>
      <c r="THT45" s="19"/>
      <c r="THU45" s="19"/>
      <c r="THV45" s="19"/>
      <c r="THW45" s="19"/>
      <c r="THX45" s="19"/>
      <c r="THY45" s="19"/>
      <c r="THZ45" s="19"/>
      <c r="TIA45" s="19"/>
      <c r="TIB45" s="19"/>
      <c r="TIC45" s="19"/>
      <c r="TID45" s="19"/>
      <c r="TIE45" s="19"/>
      <c r="TIF45" s="19"/>
      <c r="TIG45" s="19"/>
      <c r="TIH45" s="19"/>
      <c r="TII45" s="19"/>
      <c r="TIJ45" s="19"/>
      <c r="TIK45" s="19"/>
      <c r="TIL45" s="19"/>
      <c r="TIM45" s="19"/>
      <c r="TIN45" s="19"/>
      <c r="TIO45" s="19"/>
      <c r="TIP45" s="19"/>
      <c r="TIQ45" s="19"/>
      <c r="TIR45" s="19"/>
      <c r="TIS45" s="19"/>
      <c r="TIT45" s="19"/>
      <c r="TIU45" s="19"/>
      <c r="TIV45" s="19"/>
      <c r="TIW45" s="19"/>
      <c r="TIX45" s="19"/>
      <c r="TIY45" s="19"/>
      <c r="TIZ45" s="19"/>
      <c r="TJA45" s="19"/>
      <c r="TJB45" s="19"/>
      <c r="TJC45" s="19"/>
      <c r="TJD45" s="19"/>
      <c r="TJE45" s="19"/>
      <c r="TJF45" s="19"/>
      <c r="TJG45" s="19"/>
      <c r="TJH45" s="19"/>
      <c r="TJI45" s="19"/>
      <c r="TJJ45" s="19"/>
      <c r="TJK45" s="19"/>
      <c r="TJL45" s="19"/>
      <c r="TJM45" s="19"/>
      <c r="TJN45" s="19"/>
      <c r="TJO45" s="19"/>
      <c r="TJP45" s="19"/>
      <c r="TJQ45" s="19"/>
      <c r="TJR45" s="19"/>
      <c r="TJS45" s="19"/>
      <c r="TJT45" s="19"/>
      <c r="TJU45" s="19"/>
      <c r="TJV45" s="19"/>
      <c r="TJW45" s="19"/>
      <c r="TJX45" s="19"/>
      <c r="TJY45" s="19"/>
      <c r="TJZ45" s="19"/>
      <c r="TKA45" s="19"/>
      <c r="TKB45" s="19"/>
      <c r="TKC45" s="19"/>
      <c r="TKD45" s="19"/>
      <c r="TKE45" s="19"/>
      <c r="TKF45" s="19"/>
      <c r="TKG45" s="19"/>
      <c r="TKH45" s="19"/>
      <c r="TKI45" s="19"/>
      <c r="TKJ45" s="19"/>
      <c r="TKK45" s="19"/>
      <c r="TKL45" s="19"/>
      <c r="TKM45" s="19"/>
      <c r="TKN45" s="19"/>
      <c r="TKO45" s="19"/>
      <c r="TKP45" s="19"/>
      <c r="TKQ45" s="19"/>
      <c r="TKR45" s="19"/>
      <c r="TKS45" s="19"/>
      <c r="TKT45" s="19"/>
      <c r="TKU45" s="19"/>
      <c r="TKV45" s="19"/>
      <c r="TKW45" s="19"/>
      <c r="TKX45" s="19"/>
      <c r="TKY45" s="19"/>
      <c r="TKZ45" s="19"/>
      <c r="TLA45" s="19"/>
      <c r="TLB45" s="19"/>
      <c r="TLC45" s="19"/>
      <c r="TLD45" s="19"/>
      <c r="TLE45" s="19"/>
      <c r="TLF45" s="19"/>
      <c r="TLG45" s="19"/>
      <c r="TLH45" s="19"/>
      <c r="TLI45" s="19"/>
      <c r="TLJ45" s="19"/>
      <c r="TLK45" s="19"/>
      <c r="TLL45" s="19"/>
      <c r="TLM45" s="19"/>
      <c r="TLN45" s="19"/>
      <c r="TLO45" s="19"/>
      <c r="TLP45" s="19"/>
      <c r="TLQ45" s="19"/>
      <c r="TLR45" s="19"/>
      <c r="TLS45" s="19"/>
      <c r="TLT45" s="19"/>
      <c r="TLU45" s="19"/>
      <c r="TLV45" s="19"/>
      <c r="TLW45" s="19"/>
      <c r="TLX45" s="19"/>
      <c r="TLY45" s="19"/>
      <c r="TLZ45" s="19"/>
      <c r="TMA45" s="19"/>
      <c r="TMB45" s="19"/>
      <c r="TMC45" s="19"/>
      <c r="TMD45" s="19"/>
      <c r="TME45" s="19"/>
      <c r="TMF45" s="19"/>
      <c r="TMG45" s="19"/>
      <c r="TMH45" s="19"/>
      <c r="TMI45" s="19"/>
      <c r="TMJ45" s="19"/>
      <c r="TMK45" s="19"/>
      <c r="TML45" s="19"/>
      <c r="TMM45" s="19"/>
      <c r="TMN45" s="19"/>
      <c r="TMO45" s="19"/>
      <c r="TMP45" s="19"/>
      <c r="TMQ45" s="19"/>
      <c r="TMR45" s="19"/>
      <c r="TMS45" s="19"/>
      <c r="TMT45" s="19"/>
      <c r="TMU45" s="19"/>
      <c r="TMV45" s="19"/>
      <c r="TMW45" s="19"/>
      <c r="TMX45" s="19"/>
      <c r="TMY45" s="19"/>
      <c r="TMZ45" s="19"/>
      <c r="TNA45" s="19"/>
      <c r="TNB45" s="19"/>
      <c r="TNC45" s="19"/>
      <c r="TND45" s="19"/>
      <c r="TNE45" s="19"/>
      <c r="TNF45" s="19"/>
      <c r="TNG45" s="19"/>
      <c r="TNH45" s="19"/>
      <c r="TNI45" s="19"/>
      <c r="TNJ45" s="19"/>
      <c r="TNK45" s="19"/>
      <c r="TNL45" s="19"/>
      <c r="TNM45" s="19"/>
      <c r="TNN45" s="19"/>
      <c r="TNO45" s="19"/>
      <c r="TNP45" s="19"/>
      <c r="TNQ45" s="19"/>
      <c r="TNR45" s="19"/>
      <c r="TNS45" s="19"/>
      <c r="TNT45" s="19"/>
      <c r="TNU45" s="19"/>
      <c r="TNV45" s="19"/>
      <c r="TNW45" s="19"/>
      <c r="TNX45" s="19"/>
      <c r="TNY45" s="19"/>
      <c r="TNZ45" s="19"/>
      <c r="TOA45" s="19"/>
      <c r="TOB45" s="19"/>
      <c r="TOC45" s="19"/>
      <c r="TOD45" s="19"/>
      <c r="TOE45" s="19"/>
      <c r="TOF45" s="19"/>
      <c r="TOG45" s="19"/>
      <c r="TOH45" s="19"/>
      <c r="TOI45" s="19"/>
      <c r="TOJ45" s="19"/>
      <c r="TOK45" s="19"/>
      <c r="TOL45" s="19"/>
      <c r="TOM45" s="19"/>
      <c r="TON45" s="19"/>
      <c r="TOO45" s="19"/>
      <c r="TOP45" s="19"/>
      <c r="TOQ45" s="19"/>
      <c r="TOR45" s="19"/>
      <c r="TOS45" s="19"/>
      <c r="TOT45" s="19"/>
      <c r="TOU45" s="19"/>
      <c r="TOV45" s="19"/>
      <c r="TOW45" s="19"/>
      <c r="TOX45" s="19"/>
      <c r="TOY45" s="19"/>
      <c r="TOZ45" s="19"/>
      <c r="TPA45" s="19"/>
      <c r="TPB45" s="19"/>
      <c r="TPC45" s="19"/>
      <c r="TPD45" s="19"/>
      <c r="TPE45" s="19"/>
      <c r="TPF45" s="19"/>
      <c r="TPG45" s="19"/>
      <c r="TPH45" s="19"/>
      <c r="TPI45" s="19"/>
      <c r="TPJ45" s="19"/>
      <c r="TPK45" s="19"/>
      <c r="TPL45" s="19"/>
      <c r="TPM45" s="19"/>
      <c r="TPN45" s="19"/>
      <c r="TPO45" s="19"/>
      <c r="TPP45" s="19"/>
      <c r="TPQ45" s="19"/>
      <c r="TPR45" s="19"/>
      <c r="TPS45" s="19"/>
      <c r="TPT45" s="19"/>
      <c r="TPU45" s="19"/>
      <c r="TPV45" s="19"/>
      <c r="TPW45" s="19"/>
      <c r="TPX45" s="19"/>
      <c r="TPY45" s="19"/>
      <c r="TPZ45" s="19"/>
      <c r="TQA45" s="19"/>
      <c r="TQB45" s="19"/>
      <c r="TQC45" s="19"/>
      <c r="TQD45" s="19"/>
      <c r="TQE45" s="19"/>
      <c r="TQF45" s="19"/>
      <c r="TQG45" s="19"/>
      <c r="TQH45" s="19"/>
      <c r="TQI45" s="19"/>
      <c r="TQJ45" s="19"/>
      <c r="TQK45" s="19"/>
      <c r="TQL45" s="19"/>
      <c r="TQM45" s="19"/>
      <c r="TQN45" s="19"/>
      <c r="TQO45" s="19"/>
      <c r="TQP45" s="19"/>
      <c r="TQQ45" s="19"/>
      <c r="TQR45" s="19"/>
      <c r="TQS45" s="19"/>
      <c r="TQT45" s="19"/>
      <c r="TQU45" s="19"/>
      <c r="TQV45" s="19"/>
      <c r="TQW45" s="19"/>
      <c r="TQX45" s="19"/>
      <c r="TQY45" s="19"/>
      <c r="TQZ45" s="19"/>
      <c r="TRA45" s="19"/>
      <c r="TRB45" s="19"/>
      <c r="TRC45" s="19"/>
      <c r="TRD45" s="19"/>
      <c r="TRE45" s="19"/>
      <c r="TRF45" s="19"/>
      <c r="TRG45" s="19"/>
      <c r="TRH45" s="19"/>
      <c r="TRI45" s="19"/>
      <c r="TRJ45" s="19"/>
      <c r="TRK45" s="19"/>
      <c r="TRL45" s="19"/>
      <c r="TRM45" s="19"/>
      <c r="TRN45" s="19"/>
      <c r="TRO45" s="19"/>
      <c r="TRP45" s="19"/>
      <c r="TRQ45" s="19"/>
      <c r="TRR45" s="19"/>
      <c r="TRS45" s="19"/>
      <c r="TRT45" s="19"/>
      <c r="TRU45" s="19"/>
      <c r="TRV45" s="19"/>
      <c r="TRW45" s="19"/>
      <c r="TRX45" s="19"/>
      <c r="TRY45" s="19"/>
      <c r="TRZ45" s="19"/>
      <c r="TSA45" s="19"/>
      <c r="TSB45" s="19"/>
      <c r="TSC45" s="19"/>
      <c r="TSD45" s="19"/>
      <c r="TSE45" s="19"/>
      <c r="TSF45" s="19"/>
      <c r="TSG45" s="19"/>
      <c r="TSH45" s="19"/>
      <c r="TSI45" s="19"/>
      <c r="TSJ45" s="19"/>
      <c r="TSK45" s="19"/>
      <c r="TSL45" s="19"/>
      <c r="TSM45" s="19"/>
      <c r="TSN45" s="19"/>
      <c r="TSO45" s="19"/>
      <c r="TSP45" s="19"/>
      <c r="TSQ45" s="19"/>
      <c r="TSR45" s="19"/>
      <c r="TSS45" s="19"/>
      <c r="TST45" s="19"/>
      <c r="TSU45" s="19"/>
      <c r="TSV45" s="19"/>
      <c r="TSW45" s="19"/>
      <c r="TSX45" s="19"/>
      <c r="TSY45" s="19"/>
      <c r="TSZ45" s="19"/>
      <c r="TTA45" s="19"/>
      <c r="TTB45" s="19"/>
      <c r="TTC45" s="19"/>
      <c r="TTD45" s="19"/>
      <c r="TTE45" s="19"/>
      <c r="TTF45" s="19"/>
      <c r="TTG45" s="19"/>
      <c r="TTH45" s="19"/>
      <c r="TTI45" s="19"/>
      <c r="TTJ45" s="19"/>
      <c r="TTK45" s="19"/>
      <c r="TTL45" s="19"/>
      <c r="TTM45" s="19"/>
      <c r="TTN45" s="19"/>
      <c r="TTO45" s="19"/>
      <c r="TTP45" s="19"/>
      <c r="TTQ45" s="19"/>
      <c r="TTR45" s="19"/>
      <c r="TTS45" s="19"/>
      <c r="TTT45" s="19"/>
      <c r="TTU45" s="19"/>
      <c r="TTV45" s="19"/>
      <c r="TTW45" s="19"/>
      <c r="TTX45" s="19"/>
      <c r="TTY45" s="19"/>
      <c r="TTZ45" s="19"/>
      <c r="TUA45" s="19"/>
      <c r="TUB45" s="19"/>
      <c r="TUC45" s="19"/>
      <c r="TUD45" s="19"/>
      <c r="TUE45" s="19"/>
      <c r="TUF45" s="19"/>
      <c r="TUG45" s="19"/>
      <c r="TUH45" s="19"/>
      <c r="TUI45" s="19"/>
      <c r="TUJ45" s="19"/>
      <c r="TUK45" s="19"/>
      <c r="TUL45" s="19"/>
      <c r="TUM45" s="19"/>
      <c r="TUN45" s="19"/>
      <c r="TUO45" s="19"/>
      <c r="TUP45" s="19"/>
      <c r="TUQ45" s="19"/>
      <c r="TUR45" s="19"/>
      <c r="TUS45" s="19"/>
      <c r="TUT45" s="19"/>
      <c r="TUU45" s="19"/>
      <c r="TUV45" s="19"/>
      <c r="TUW45" s="19"/>
      <c r="TUX45" s="19"/>
      <c r="TUY45" s="19"/>
      <c r="TUZ45" s="19"/>
      <c r="TVA45" s="19"/>
      <c r="TVB45" s="19"/>
      <c r="TVC45" s="19"/>
      <c r="TVD45" s="19"/>
      <c r="TVE45" s="19"/>
      <c r="TVF45" s="19"/>
      <c r="TVG45" s="19"/>
      <c r="TVH45" s="19"/>
      <c r="TVI45" s="19"/>
      <c r="TVJ45" s="19"/>
      <c r="TVK45" s="19"/>
      <c r="TVL45" s="19"/>
      <c r="TVM45" s="19"/>
      <c r="TVN45" s="19"/>
      <c r="TVO45" s="19"/>
      <c r="TVP45" s="19"/>
      <c r="TVQ45" s="19"/>
      <c r="TVR45" s="19"/>
      <c r="TVS45" s="19"/>
      <c r="TVT45" s="19"/>
      <c r="TVU45" s="19"/>
      <c r="TVV45" s="19"/>
      <c r="TVW45" s="19"/>
      <c r="TVX45" s="19"/>
      <c r="TVY45" s="19"/>
      <c r="TVZ45" s="19"/>
      <c r="TWA45" s="19"/>
      <c r="TWB45" s="19"/>
      <c r="TWC45" s="19"/>
      <c r="TWD45" s="19"/>
      <c r="TWE45" s="19"/>
      <c r="TWF45" s="19"/>
      <c r="TWG45" s="19"/>
      <c r="TWH45" s="19"/>
      <c r="TWI45" s="19"/>
      <c r="TWJ45" s="19"/>
      <c r="TWK45" s="19"/>
      <c r="TWL45" s="19"/>
      <c r="TWM45" s="19"/>
      <c r="TWN45" s="19"/>
      <c r="TWO45" s="19"/>
      <c r="TWP45" s="19"/>
      <c r="TWQ45" s="19"/>
      <c r="TWR45" s="19"/>
      <c r="TWS45" s="19"/>
      <c r="TWT45" s="19"/>
      <c r="TWU45" s="19"/>
      <c r="TWV45" s="19"/>
      <c r="TWW45" s="19"/>
      <c r="TWX45" s="19"/>
      <c r="TWY45" s="19"/>
      <c r="TWZ45" s="19"/>
      <c r="TXA45" s="19"/>
      <c r="TXB45" s="19"/>
      <c r="TXC45" s="19"/>
      <c r="TXD45" s="19"/>
      <c r="TXE45" s="19"/>
      <c r="TXF45" s="19"/>
      <c r="TXG45" s="19"/>
      <c r="TXH45" s="19"/>
      <c r="TXI45" s="19"/>
      <c r="TXJ45" s="19"/>
      <c r="TXK45" s="19"/>
      <c r="TXL45" s="19"/>
      <c r="TXM45" s="19"/>
      <c r="TXN45" s="19"/>
      <c r="TXO45" s="19"/>
      <c r="TXP45" s="19"/>
      <c r="TXQ45" s="19"/>
      <c r="TXR45" s="19"/>
      <c r="TXS45" s="19"/>
      <c r="TXT45" s="19"/>
      <c r="TXU45" s="19"/>
      <c r="TXV45" s="19"/>
      <c r="TXW45" s="19"/>
      <c r="TXX45" s="19"/>
      <c r="TXY45" s="19"/>
      <c r="TXZ45" s="19"/>
      <c r="TYA45" s="19"/>
      <c r="TYB45" s="19"/>
      <c r="TYC45" s="19"/>
      <c r="TYD45" s="19"/>
      <c r="TYE45" s="19"/>
      <c r="TYF45" s="19"/>
      <c r="TYG45" s="19"/>
      <c r="TYH45" s="19"/>
      <c r="TYI45" s="19"/>
      <c r="TYJ45" s="19"/>
      <c r="TYK45" s="19"/>
      <c r="TYL45" s="19"/>
      <c r="TYM45" s="19"/>
      <c r="TYN45" s="19"/>
      <c r="TYO45" s="19"/>
      <c r="TYP45" s="19"/>
      <c r="TYQ45" s="19"/>
      <c r="TYR45" s="19"/>
      <c r="TYS45" s="19"/>
      <c r="TYT45" s="19"/>
      <c r="TYU45" s="19"/>
      <c r="TYV45" s="19"/>
      <c r="TYW45" s="19"/>
      <c r="TYX45" s="19"/>
      <c r="TYY45" s="19"/>
      <c r="TYZ45" s="19"/>
      <c r="TZA45" s="19"/>
      <c r="TZB45" s="19"/>
      <c r="TZC45" s="19"/>
      <c r="TZD45" s="19"/>
      <c r="TZE45" s="19"/>
      <c r="TZF45" s="19"/>
      <c r="TZG45" s="19"/>
      <c r="TZH45" s="19"/>
      <c r="TZI45" s="19"/>
      <c r="TZJ45" s="19"/>
      <c r="TZK45" s="19"/>
      <c r="TZL45" s="19"/>
      <c r="TZM45" s="19"/>
      <c r="TZN45" s="19"/>
      <c r="TZO45" s="19"/>
      <c r="TZP45" s="19"/>
      <c r="TZQ45" s="19"/>
      <c r="TZR45" s="19"/>
      <c r="TZS45" s="19"/>
      <c r="TZT45" s="19"/>
      <c r="TZU45" s="19"/>
      <c r="TZV45" s="19"/>
      <c r="TZW45" s="19"/>
      <c r="TZX45" s="19"/>
      <c r="TZY45" s="19"/>
      <c r="TZZ45" s="19"/>
      <c r="UAA45" s="19"/>
      <c r="UAB45" s="19"/>
      <c r="UAC45" s="19"/>
      <c r="UAD45" s="19"/>
      <c r="UAE45" s="19"/>
      <c r="UAF45" s="19"/>
      <c r="UAG45" s="19"/>
      <c r="UAH45" s="19"/>
      <c r="UAI45" s="19"/>
      <c r="UAJ45" s="19"/>
      <c r="UAK45" s="19"/>
      <c r="UAL45" s="19"/>
      <c r="UAM45" s="19"/>
      <c r="UAN45" s="19"/>
      <c r="UAO45" s="19"/>
      <c r="UAP45" s="19"/>
      <c r="UAQ45" s="19"/>
      <c r="UAR45" s="19"/>
      <c r="UAS45" s="19"/>
      <c r="UAT45" s="19"/>
      <c r="UAU45" s="19"/>
      <c r="UAV45" s="19"/>
      <c r="UAW45" s="19"/>
      <c r="UAX45" s="19"/>
      <c r="UAY45" s="19"/>
      <c r="UAZ45" s="19"/>
      <c r="UBA45" s="19"/>
      <c r="UBB45" s="19"/>
      <c r="UBC45" s="19"/>
      <c r="UBD45" s="19"/>
      <c r="UBE45" s="19"/>
      <c r="UBF45" s="19"/>
      <c r="UBG45" s="19"/>
      <c r="UBH45" s="19"/>
      <c r="UBI45" s="19"/>
      <c r="UBJ45" s="19"/>
      <c r="UBK45" s="19"/>
      <c r="UBL45" s="19"/>
      <c r="UBM45" s="19"/>
      <c r="UBN45" s="19"/>
      <c r="UBO45" s="19"/>
      <c r="UBP45" s="19"/>
      <c r="UBQ45" s="19"/>
      <c r="UBR45" s="19"/>
      <c r="UBS45" s="19"/>
      <c r="UBT45" s="19"/>
      <c r="UBU45" s="19"/>
      <c r="UBV45" s="19"/>
      <c r="UBW45" s="19"/>
      <c r="UBX45" s="19"/>
      <c r="UBY45" s="19"/>
      <c r="UBZ45" s="19"/>
      <c r="UCA45" s="19"/>
      <c r="UCB45" s="19"/>
      <c r="UCC45" s="19"/>
      <c r="UCD45" s="19"/>
      <c r="UCE45" s="19"/>
      <c r="UCF45" s="19"/>
      <c r="UCG45" s="19"/>
      <c r="UCH45" s="19"/>
      <c r="UCI45" s="19"/>
      <c r="UCJ45" s="19"/>
      <c r="UCK45" s="19"/>
      <c r="UCL45" s="19"/>
      <c r="UCM45" s="19"/>
      <c r="UCN45" s="19"/>
      <c r="UCO45" s="19"/>
      <c r="UCP45" s="19"/>
      <c r="UCQ45" s="19"/>
      <c r="UCR45" s="19"/>
      <c r="UCS45" s="19"/>
      <c r="UCT45" s="19"/>
      <c r="UCU45" s="19"/>
      <c r="UCV45" s="19"/>
      <c r="UCW45" s="19"/>
      <c r="UCX45" s="19"/>
      <c r="UCY45" s="19"/>
      <c r="UCZ45" s="19"/>
      <c r="UDA45" s="19"/>
      <c r="UDB45" s="19"/>
      <c r="UDC45" s="19"/>
      <c r="UDD45" s="19"/>
      <c r="UDE45" s="19"/>
      <c r="UDF45" s="19"/>
      <c r="UDG45" s="19"/>
      <c r="UDH45" s="19"/>
      <c r="UDI45" s="19"/>
      <c r="UDJ45" s="19"/>
      <c r="UDK45" s="19"/>
      <c r="UDL45" s="19"/>
      <c r="UDM45" s="19"/>
      <c r="UDN45" s="19"/>
      <c r="UDO45" s="19"/>
      <c r="UDP45" s="19"/>
      <c r="UDQ45" s="19"/>
      <c r="UDR45" s="19"/>
      <c r="UDS45" s="19"/>
      <c r="UDT45" s="19"/>
      <c r="UDU45" s="19"/>
      <c r="UDV45" s="19"/>
      <c r="UDW45" s="19"/>
      <c r="UDX45" s="19"/>
      <c r="UDY45" s="19"/>
      <c r="UDZ45" s="19"/>
      <c r="UEA45" s="19"/>
      <c r="UEB45" s="19"/>
      <c r="UEC45" s="19"/>
      <c r="UED45" s="19"/>
      <c r="UEE45" s="19"/>
      <c r="UEF45" s="19"/>
      <c r="UEG45" s="19"/>
      <c r="UEH45" s="19"/>
      <c r="UEI45" s="19"/>
      <c r="UEJ45" s="19"/>
      <c r="UEK45" s="19"/>
      <c r="UEL45" s="19"/>
      <c r="UEM45" s="19"/>
      <c r="UEN45" s="19"/>
      <c r="UEO45" s="19"/>
      <c r="UEP45" s="19"/>
      <c r="UEQ45" s="19"/>
      <c r="UER45" s="19"/>
      <c r="UES45" s="19"/>
      <c r="UET45" s="19"/>
      <c r="UEU45" s="19"/>
      <c r="UEV45" s="19"/>
      <c r="UEW45" s="19"/>
      <c r="UEX45" s="19"/>
      <c r="UEY45" s="19"/>
      <c r="UEZ45" s="19"/>
      <c r="UFA45" s="19"/>
      <c r="UFB45" s="19"/>
      <c r="UFC45" s="19"/>
      <c r="UFD45" s="19"/>
      <c r="UFE45" s="19"/>
      <c r="UFF45" s="19"/>
      <c r="UFG45" s="19"/>
      <c r="UFH45" s="19"/>
      <c r="UFI45" s="19"/>
      <c r="UFJ45" s="19"/>
      <c r="UFK45" s="19"/>
      <c r="UFL45" s="19"/>
      <c r="UFM45" s="19"/>
      <c r="UFN45" s="19"/>
      <c r="UFO45" s="19"/>
      <c r="UFP45" s="19"/>
      <c r="UFQ45" s="19"/>
      <c r="UFR45" s="19"/>
      <c r="UFS45" s="19"/>
      <c r="UFT45" s="19"/>
      <c r="UFU45" s="19"/>
      <c r="UFV45" s="19"/>
      <c r="UFW45" s="19"/>
      <c r="UFX45" s="19"/>
      <c r="UFY45" s="19"/>
      <c r="UFZ45" s="19"/>
      <c r="UGA45" s="19"/>
      <c r="UGB45" s="19"/>
      <c r="UGC45" s="19"/>
      <c r="UGD45" s="19"/>
      <c r="UGE45" s="19"/>
      <c r="UGF45" s="19"/>
      <c r="UGG45" s="19"/>
      <c r="UGH45" s="19"/>
      <c r="UGI45" s="19"/>
      <c r="UGJ45" s="19"/>
      <c r="UGK45" s="19"/>
      <c r="UGL45" s="19"/>
      <c r="UGM45" s="19"/>
      <c r="UGN45" s="19"/>
      <c r="UGO45" s="19"/>
      <c r="UGP45" s="19"/>
      <c r="UGQ45" s="19"/>
      <c r="UGR45" s="19"/>
      <c r="UGS45" s="19"/>
      <c r="UGT45" s="19"/>
      <c r="UGU45" s="19"/>
      <c r="UGV45" s="19"/>
      <c r="UGW45" s="19"/>
      <c r="UGX45" s="19"/>
      <c r="UGY45" s="19"/>
      <c r="UGZ45" s="19"/>
      <c r="UHA45" s="19"/>
      <c r="UHB45" s="19"/>
      <c r="UHC45" s="19"/>
      <c r="UHD45" s="19"/>
      <c r="UHE45" s="19"/>
      <c r="UHF45" s="19"/>
      <c r="UHG45" s="19"/>
      <c r="UHH45" s="19"/>
      <c r="UHI45" s="19"/>
      <c r="UHJ45" s="19"/>
      <c r="UHK45" s="19"/>
      <c r="UHL45" s="19"/>
      <c r="UHM45" s="19"/>
      <c r="UHN45" s="19"/>
      <c r="UHO45" s="19"/>
      <c r="UHP45" s="19"/>
      <c r="UHQ45" s="19"/>
      <c r="UHR45" s="19"/>
      <c r="UHS45" s="19"/>
      <c r="UHT45" s="19"/>
      <c r="UHU45" s="19"/>
      <c r="UHV45" s="19"/>
      <c r="UHW45" s="19"/>
      <c r="UHX45" s="19"/>
      <c r="UHY45" s="19"/>
      <c r="UHZ45" s="19"/>
      <c r="UIA45" s="19"/>
      <c r="UIB45" s="19"/>
      <c r="UIC45" s="19"/>
      <c r="UID45" s="19"/>
      <c r="UIE45" s="19"/>
      <c r="UIF45" s="19"/>
      <c r="UIG45" s="19"/>
      <c r="UIH45" s="19"/>
      <c r="UII45" s="19"/>
      <c r="UIJ45" s="19"/>
      <c r="UIK45" s="19"/>
      <c r="UIL45" s="19"/>
      <c r="UIM45" s="19"/>
      <c r="UIN45" s="19"/>
      <c r="UIO45" s="19"/>
      <c r="UIP45" s="19"/>
      <c r="UIQ45" s="19"/>
      <c r="UIR45" s="19"/>
      <c r="UIS45" s="19"/>
      <c r="UIT45" s="19"/>
      <c r="UIU45" s="19"/>
      <c r="UIV45" s="19"/>
      <c r="UIW45" s="19"/>
      <c r="UIX45" s="19"/>
      <c r="UIY45" s="19"/>
      <c r="UIZ45" s="19"/>
      <c r="UJA45" s="19"/>
      <c r="UJB45" s="19"/>
      <c r="UJC45" s="19"/>
      <c r="UJD45" s="19"/>
      <c r="UJE45" s="19"/>
      <c r="UJF45" s="19"/>
      <c r="UJG45" s="19"/>
      <c r="UJH45" s="19"/>
      <c r="UJI45" s="19"/>
      <c r="UJJ45" s="19"/>
      <c r="UJK45" s="19"/>
      <c r="UJL45" s="19"/>
      <c r="UJM45" s="19"/>
      <c r="UJN45" s="19"/>
      <c r="UJO45" s="19"/>
      <c r="UJP45" s="19"/>
      <c r="UJQ45" s="19"/>
      <c r="UJR45" s="19"/>
      <c r="UJS45" s="19"/>
      <c r="UJT45" s="19"/>
      <c r="UJU45" s="19"/>
      <c r="UJV45" s="19"/>
      <c r="UJW45" s="19"/>
      <c r="UJX45" s="19"/>
      <c r="UJY45" s="19"/>
      <c r="UJZ45" s="19"/>
      <c r="UKA45" s="19"/>
      <c r="UKB45" s="19"/>
      <c r="UKC45" s="19"/>
      <c r="UKD45" s="19"/>
      <c r="UKE45" s="19"/>
      <c r="UKF45" s="19"/>
      <c r="UKG45" s="19"/>
      <c r="UKH45" s="19"/>
      <c r="UKI45" s="19"/>
      <c r="UKJ45" s="19"/>
      <c r="UKK45" s="19"/>
      <c r="UKL45" s="19"/>
      <c r="UKM45" s="19"/>
      <c r="UKN45" s="19"/>
      <c r="UKO45" s="19"/>
      <c r="UKP45" s="19"/>
      <c r="UKQ45" s="19"/>
      <c r="UKR45" s="19"/>
      <c r="UKS45" s="19"/>
      <c r="UKT45" s="19"/>
      <c r="UKU45" s="19"/>
      <c r="UKV45" s="19"/>
      <c r="UKW45" s="19"/>
      <c r="UKX45" s="19"/>
      <c r="UKY45" s="19"/>
      <c r="UKZ45" s="19"/>
      <c r="ULA45" s="19"/>
      <c r="ULB45" s="19"/>
      <c r="ULC45" s="19"/>
      <c r="ULD45" s="19"/>
      <c r="ULE45" s="19"/>
      <c r="ULF45" s="19"/>
      <c r="ULG45" s="19"/>
      <c r="ULH45" s="19"/>
      <c r="ULI45" s="19"/>
      <c r="ULJ45" s="19"/>
      <c r="ULK45" s="19"/>
      <c r="ULL45" s="19"/>
      <c r="ULM45" s="19"/>
      <c r="ULN45" s="19"/>
      <c r="ULO45" s="19"/>
      <c r="ULP45" s="19"/>
      <c r="ULQ45" s="19"/>
      <c r="ULR45" s="19"/>
      <c r="ULS45" s="19"/>
      <c r="ULT45" s="19"/>
      <c r="ULU45" s="19"/>
      <c r="ULV45" s="19"/>
      <c r="ULW45" s="19"/>
      <c r="ULX45" s="19"/>
      <c r="ULY45" s="19"/>
      <c r="ULZ45" s="19"/>
      <c r="UMA45" s="19"/>
      <c r="UMB45" s="19"/>
      <c r="UMC45" s="19"/>
      <c r="UMD45" s="19"/>
      <c r="UME45" s="19"/>
      <c r="UMF45" s="19"/>
      <c r="UMG45" s="19"/>
      <c r="UMH45" s="19"/>
      <c r="UMI45" s="19"/>
      <c r="UMJ45" s="19"/>
      <c r="UMK45" s="19"/>
      <c r="UML45" s="19"/>
      <c r="UMM45" s="19"/>
      <c r="UMN45" s="19"/>
      <c r="UMO45" s="19"/>
      <c r="UMP45" s="19"/>
      <c r="UMQ45" s="19"/>
      <c r="UMR45" s="19"/>
      <c r="UMS45" s="19"/>
      <c r="UMT45" s="19"/>
      <c r="UMU45" s="19"/>
      <c r="UMV45" s="19"/>
      <c r="UMW45" s="19"/>
      <c r="UMX45" s="19"/>
      <c r="UMY45" s="19"/>
      <c r="UMZ45" s="19"/>
      <c r="UNA45" s="19"/>
      <c r="UNB45" s="19"/>
      <c r="UNC45" s="19"/>
      <c r="UND45" s="19"/>
      <c r="UNE45" s="19"/>
      <c r="UNF45" s="19"/>
      <c r="UNG45" s="19"/>
      <c r="UNH45" s="19"/>
      <c r="UNI45" s="19"/>
      <c r="UNJ45" s="19"/>
      <c r="UNK45" s="19"/>
      <c r="UNL45" s="19"/>
      <c r="UNM45" s="19"/>
      <c r="UNN45" s="19"/>
      <c r="UNO45" s="19"/>
      <c r="UNP45" s="19"/>
      <c r="UNQ45" s="19"/>
      <c r="UNR45" s="19"/>
      <c r="UNS45" s="19"/>
      <c r="UNT45" s="19"/>
      <c r="UNU45" s="19"/>
      <c r="UNV45" s="19"/>
      <c r="UNW45" s="19"/>
      <c r="UNX45" s="19"/>
      <c r="UNY45" s="19"/>
      <c r="UNZ45" s="19"/>
      <c r="UOA45" s="19"/>
      <c r="UOB45" s="19"/>
      <c r="UOC45" s="19"/>
      <c r="UOD45" s="19"/>
      <c r="UOE45" s="19"/>
      <c r="UOF45" s="19"/>
      <c r="UOG45" s="19"/>
      <c r="UOH45" s="19"/>
      <c r="UOI45" s="19"/>
      <c r="UOJ45" s="19"/>
      <c r="UOK45" s="19"/>
      <c r="UOL45" s="19"/>
      <c r="UOM45" s="19"/>
      <c r="UON45" s="19"/>
      <c r="UOO45" s="19"/>
      <c r="UOP45" s="19"/>
      <c r="UOQ45" s="19"/>
      <c r="UOR45" s="19"/>
      <c r="UOS45" s="19"/>
      <c r="UOT45" s="19"/>
      <c r="UOU45" s="19"/>
      <c r="UOV45" s="19"/>
      <c r="UOW45" s="19"/>
      <c r="UOX45" s="19"/>
      <c r="UOY45" s="19"/>
      <c r="UOZ45" s="19"/>
      <c r="UPA45" s="19"/>
      <c r="UPB45" s="19"/>
      <c r="UPC45" s="19"/>
      <c r="UPD45" s="19"/>
      <c r="UPE45" s="19"/>
      <c r="UPF45" s="19"/>
      <c r="UPG45" s="19"/>
      <c r="UPH45" s="19"/>
      <c r="UPI45" s="19"/>
      <c r="UPJ45" s="19"/>
      <c r="UPK45" s="19"/>
      <c r="UPL45" s="19"/>
      <c r="UPM45" s="19"/>
      <c r="UPN45" s="19"/>
      <c r="UPO45" s="19"/>
      <c r="UPP45" s="19"/>
      <c r="UPQ45" s="19"/>
      <c r="UPR45" s="19"/>
      <c r="UPS45" s="19"/>
      <c r="UPT45" s="19"/>
      <c r="UPU45" s="19"/>
      <c r="UPV45" s="19"/>
      <c r="UPW45" s="19"/>
      <c r="UPX45" s="19"/>
      <c r="UPY45" s="19"/>
      <c r="UPZ45" s="19"/>
      <c r="UQA45" s="19"/>
      <c r="UQB45" s="19"/>
      <c r="UQC45" s="19"/>
      <c r="UQD45" s="19"/>
      <c r="UQE45" s="19"/>
      <c r="UQF45" s="19"/>
      <c r="UQG45" s="19"/>
      <c r="UQH45" s="19"/>
      <c r="UQI45" s="19"/>
      <c r="UQJ45" s="19"/>
      <c r="UQK45" s="19"/>
      <c r="UQL45" s="19"/>
      <c r="UQM45" s="19"/>
      <c r="UQN45" s="19"/>
      <c r="UQO45" s="19"/>
      <c r="UQP45" s="19"/>
      <c r="UQQ45" s="19"/>
      <c r="UQR45" s="19"/>
      <c r="UQS45" s="19"/>
      <c r="UQT45" s="19"/>
      <c r="UQU45" s="19"/>
      <c r="UQV45" s="19"/>
      <c r="UQW45" s="19"/>
      <c r="UQX45" s="19"/>
      <c r="UQY45" s="19"/>
      <c r="UQZ45" s="19"/>
      <c r="URA45" s="19"/>
      <c r="URB45" s="19"/>
      <c r="URC45" s="19"/>
      <c r="URD45" s="19"/>
      <c r="URE45" s="19"/>
      <c r="URF45" s="19"/>
      <c r="URG45" s="19"/>
      <c r="URH45" s="19"/>
      <c r="URI45" s="19"/>
      <c r="URJ45" s="19"/>
      <c r="URK45" s="19"/>
      <c r="URL45" s="19"/>
      <c r="URM45" s="19"/>
      <c r="URN45" s="19"/>
      <c r="URO45" s="19"/>
      <c r="URP45" s="19"/>
      <c r="URQ45" s="19"/>
      <c r="URR45" s="19"/>
      <c r="URS45" s="19"/>
      <c r="URT45" s="19"/>
      <c r="URU45" s="19"/>
      <c r="URV45" s="19"/>
      <c r="URW45" s="19"/>
      <c r="URX45" s="19"/>
      <c r="URY45" s="19"/>
      <c r="URZ45" s="19"/>
      <c r="USA45" s="19"/>
      <c r="USB45" s="19"/>
      <c r="USC45" s="19"/>
      <c r="USD45" s="19"/>
      <c r="USE45" s="19"/>
      <c r="USF45" s="19"/>
      <c r="USG45" s="19"/>
      <c r="USH45" s="19"/>
      <c r="USI45" s="19"/>
      <c r="USJ45" s="19"/>
      <c r="USK45" s="19"/>
      <c r="USL45" s="19"/>
      <c r="USM45" s="19"/>
      <c r="USN45" s="19"/>
      <c r="USO45" s="19"/>
      <c r="USP45" s="19"/>
      <c r="USQ45" s="19"/>
      <c r="USR45" s="19"/>
      <c r="USS45" s="19"/>
      <c r="UST45" s="19"/>
      <c r="USU45" s="19"/>
      <c r="USV45" s="19"/>
      <c r="USW45" s="19"/>
      <c r="USX45" s="19"/>
      <c r="USY45" s="19"/>
      <c r="USZ45" s="19"/>
      <c r="UTA45" s="19"/>
      <c r="UTB45" s="19"/>
      <c r="UTC45" s="19"/>
      <c r="UTD45" s="19"/>
      <c r="UTE45" s="19"/>
      <c r="UTF45" s="19"/>
      <c r="UTG45" s="19"/>
      <c r="UTH45" s="19"/>
      <c r="UTI45" s="19"/>
      <c r="UTJ45" s="19"/>
      <c r="UTK45" s="19"/>
      <c r="UTL45" s="19"/>
      <c r="UTM45" s="19"/>
      <c r="UTN45" s="19"/>
      <c r="UTO45" s="19"/>
      <c r="UTP45" s="19"/>
      <c r="UTQ45" s="19"/>
      <c r="UTR45" s="19"/>
      <c r="UTS45" s="19"/>
      <c r="UTT45" s="19"/>
      <c r="UTU45" s="19"/>
      <c r="UTV45" s="19"/>
      <c r="UTW45" s="19"/>
      <c r="UTX45" s="19"/>
      <c r="UTY45" s="19"/>
      <c r="UTZ45" s="19"/>
      <c r="UUA45" s="19"/>
      <c r="UUB45" s="19"/>
      <c r="UUC45" s="19"/>
      <c r="UUD45" s="19"/>
      <c r="UUE45" s="19"/>
      <c r="UUF45" s="19"/>
      <c r="UUG45" s="19"/>
      <c r="UUH45" s="19"/>
      <c r="UUI45" s="19"/>
      <c r="UUJ45" s="19"/>
      <c r="UUK45" s="19"/>
      <c r="UUL45" s="19"/>
      <c r="UUM45" s="19"/>
      <c r="UUN45" s="19"/>
      <c r="UUO45" s="19"/>
      <c r="UUP45" s="19"/>
      <c r="UUQ45" s="19"/>
      <c r="UUR45" s="19"/>
      <c r="UUS45" s="19"/>
      <c r="UUT45" s="19"/>
      <c r="UUU45" s="19"/>
      <c r="UUV45" s="19"/>
      <c r="UUW45" s="19"/>
      <c r="UUX45" s="19"/>
      <c r="UUY45" s="19"/>
      <c r="UUZ45" s="19"/>
      <c r="UVA45" s="19"/>
      <c r="UVB45" s="19"/>
      <c r="UVC45" s="19"/>
      <c r="UVD45" s="19"/>
      <c r="UVE45" s="19"/>
      <c r="UVF45" s="19"/>
      <c r="UVG45" s="19"/>
      <c r="UVH45" s="19"/>
      <c r="UVI45" s="19"/>
      <c r="UVJ45" s="19"/>
      <c r="UVK45" s="19"/>
      <c r="UVL45" s="19"/>
      <c r="UVM45" s="19"/>
      <c r="UVN45" s="19"/>
      <c r="UVO45" s="19"/>
      <c r="UVP45" s="19"/>
      <c r="UVQ45" s="19"/>
      <c r="UVR45" s="19"/>
      <c r="UVS45" s="19"/>
      <c r="UVT45" s="19"/>
      <c r="UVU45" s="19"/>
      <c r="UVV45" s="19"/>
      <c r="UVW45" s="19"/>
      <c r="UVX45" s="19"/>
      <c r="UVY45" s="19"/>
      <c r="UVZ45" s="19"/>
      <c r="UWA45" s="19"/>
      <c r="UWB45" s="19"/>
      <c r="UWC45" s="19"/>
      <c r="UWD45" s="19"/>
      <c r="UWE45" s="19"/>
      <c r="UWF45" s="19"/>
      <c r="UWG45" s="19"/>
      <c r="UWH45" s="19"/>
      <c r="UWI45" s="19"/>
      <c r="UWJ45" s="19"/>
      <c r="UWK45" s="19"/>
      <c r="UWL45" s="19"/>
      <c r="UWM45" s="19"/>
      <c r="UWN45" s="19"/>
      <c r="UWO45" s="19"/>
      <c r="UWP45" s="19"/>
      <c r="UWQ45" s="19"/>
      <c r="UWR45" s="19"/>
      <c r="UWS45" s="19"/>
      <c r="UWT45" s="19"/>
      <c r="UWU45" s="19"/>
      <c r="UWV45" s="19"/>
      <c r="UWW45" s="19"/>
      <c r="UWX45" s="19"/>
      <c r="UWY45" s="19"/>
      <c r="UWZ45" s="19"/>
      <c r="UXA45" s="19"/>
      <c r="UXB45" s="19"/>
      <c r="UXC45" s="19"/>
      <c r="UXD45" s="19"/>
      <c r="UXE45" s="19"/>
      <c r="UXF45" s="19"/>
      <c r="UXG45" s="19"/>
      <c r="UXH45" s="19"/>
      <c r="UXI45" s="19"/>
      <c r="UXJ45" s="19"/>
      <c r="UXK45" s="19"/>
      <c r="UXL45" s="19"/>
      <c r="UXM45" s="19"/>
      <c r="UXN45" s="19"/>
      <c r="UXO45" s="19"/>
      <c r="UXP45" s="19"/>
      <c r="UXQ45" s="19"/>
      <c r="UXR45" s="19"/>
      <c r="UXS45" s="19"/>
      <c r="UXT45" s="19"/>
      <c r="UXU45" s="19"/>
      <c r="UXV45" s="19"/>
      <c r="UXW45" s="19"/>
      <c r="UXX45" s="19"/>
      <c r="UXY45" s="19"/>
      <c r="UXZ45" s="19"/>
      <c r="UYA45" s="19"/>
      <c r="UYB45" s="19"/>
      <c r="UYC45" s="19"/>
      <c r="UYD45" s="19"/>
      <c r="UYE45" s="19"/>
      <c r="UYF45" s="19"/>
      <c r="UYG45" s="19"/>
      <c r="UYH45" s="19"/>
      <c r="UYI45" s="19"/>
      <c r="UYJ45" s="19"/>
      <c r="UYK45" s="19"/>
      <c r="UYL45" s="19"/>
      <c r="UYM45" s="19"/>
      <c r="UYN45" s="19"/>
      <c r="UYO45" s="19"/>
      <c r="UYP45" s="19"/>
      <c r="UYQ45" s="19"/>
      <c r="UYR45" s="19"/>
      <c r="UYS45" s="19"/>
      <c r="UYT45" s="19"/>
      <c r="UYU45" s="19"/>
      <c r="UYV45" s="19"/>
      <c r="UYW45" s="19"/>
      <c r="UYX45" s="19"/>
      <c r="UYY45" s="19"/>
      <c r="UYZ45" s="19"/>
      <c r="UZA45" s="19"/>
      <c r="UZB45" s="19"/>
      <c r="UZC45" s="19"/>
      <c r="UZD45" s="19"/>
      <c r="UZE45" s="19"/>
      <c r="UZF45" s="19"/>
      <c r="UZG45" s="19"/>
      <c r="UZH45" s="19"/>
      <c r="UZI45" s="19"/>
      <c r="UZJ45" s="19"/>
      <c r="UZK45" s="19"/>
      <c r="UZL45" s="19"/>
      <c r="UZM45" s="19"/>
      <c r="UZN45" s="19"/>
      <c r="UZO45" s="19"/>
      <c r="UZP45" s="19"/>
      <c r="UZQ45" s="19"/>
      <c r="UZR45" s="19"/>
      <c r="UZS45" s="19"/>
      <c r="UZT45" s="19"/>
      <c r="UZU45" s="19"/>
      <c r="UZV45" s="19"/>
      <c r="UZW45" s="19"/>
      <c r="UZX45" s="19"/>
      <c r="UZY45" s="19"/>
      <c r="UZZ45" s="19"/>
      <c r="VAA45" s="19"/>
      <c r="VAB45" s="19"/>
      <c r="VAC45" s="19"/>
      <c r="VAD45" s="19"/>
      <c r="VAE45" s="19"/>
      <c r="VAF45" s="19"/>
      <c r="VAG45" s="19"/>
      <c r="VAH45" s="19"/>
      <c r="VAI45" s="19"/>
      <c r="VAJ45" s="19"/>
      <c r="VAK45" s="19"/>
      <c r="VAL45" s="19"/>
      <c r="VAM45" s="19"/>
      <c r="VAN45" s="19"/>
      <c r="VAO45" s="19"/>
      <c r="VAP45" s="19"/>
      <c r="VAQ45" s="19"/>
      <c r="VAR45" s="19"/>
      <c r="VAS45" s="19"/>
      <c r="VAT45" s="19"/>
      <c r="VAU45" s="19"/>
      <c r="VAV45" s="19"/>
      <c r="VAW45" s="19"/>
      <c r="VAX45" s="19"/>
      <c r="VAY45" s="19"/>
      <c r="VAZ45" s="19"/>
      <c r="VBA45" s="19"/>
      <c r="VBB45" s="19"/>
      <c r="VBC45" s="19"/>
      <c r="VBD45" s="19"/>
      <c r="VBE45" s="19"/>
      <c r="VBF45" s="19"/>
      <c r="VBG45" s="19"/>
      <c r="VBH45" s="19"/>
      <c r="VBI45" s="19"/>
      <c r="VBJ45" s="19"/>
      <c r="VBK45" s="19"/>
      <c r="VBL45" s="19"/>
      <c r="VBM45" s="19"/>
      <c r="VBN45" s="19"/>
      <c r="VBO45" s="19"/>
      <c r="VBP45" s="19"/>
      <c r="VBQ45" s="19"/>
      <c r="VBR45" s="19"/>
      <c r="VBS45" s="19"/>
      <c r="VBT45" s="19"/>
      <c r="VBU45" s="19"/>
      <c r="VBV45" s="19"/>
      <c r="VBW45" s="19"/>
      <c r="VBX45" s="19"/>
      <c r="VBY45" s="19"/>
      <c r="VBZ45" s="19"/>
      <c r="VCA45" s="19"/>
      <c r="VCB45" s="19"/>
      <c r="VCC45" s="19"/>
      <c r="VCD45" s="19"/>
      <c r="VCE45" s="19"/>
      <c r="VCF45" s="19"/>
      <c r="VCG45" s="19"/>
      <c r="VCH45" s="19"/>
      <c r="VCI45" s="19"/>
      <c r="VCJ45" s="19"/>
      <c r="VCK45" s="19"/>
      <c r="VCL45" s="19"/>
      <c r="VCM45" s="19"/>
      <c r="VCN45" s="19"/>
      <c r="VCO45" s="19"/>
      <c r="VCP45" s="19"/>
      <c r="VCQ45" s="19"/>
      <c r="VCR45" s="19"/>
      <c r="VCS45" s="19"/>
      <c r="VCT45" s="19"/>
      <c r="VCU45" s="19"/>
      <c r="VCV45" s="19"/>
      <c r="VCW45" s="19"/>
      <c r="VCX45" s="19"/>
      <c r="VCY45" s="19"/>
      <c r="VCZ45" s="19"/>
      <c r="VDA45" s="19"/>
      <c r="VDB45" s="19"/>
      <c r="VDC45" s="19"/>
      <c r="VDD45" s="19"/>
      <c r="VDE45" s="19"/>
      <c r="VDF45" s="19"/>
      <c r="VDG45" s="19"/>
      <c r="VDH45" s="19"/>
      <c r="VDI45" s="19"/>
      <c r="VDJ45" s="19"/>
      <c r="VDK45" s="19"/>
      <c r="VDL45" s="19"/>
      <c r="VDM45" s="19"/>
      <c r="VDN45" s="19"/>
      <c r="VDO45" s="19"/>
      <c r="VDP45" s="19"/>
      <c r="VDQ45" s="19"/>
      <c r="VDR45" s="19"/>
      <c r="VDS45" s="19"/>
      <c r="VDT45" s="19"/>
      <c r="VDU45" s="19"/>
      <c r="VDV45" s="19"/>
      <c r="VDW45" s="19"/>
      <c r="VDX45" s="19"/>
      <c r="VDY45" s="19"/>
      <c r="VDZ45" s="19"/>
      <c r="VEA45" s="19"/>
      <c r="VEB45" s="19"/>
      <c r="VEC45" s="19"/>
      <c r="VED45" s="19"/>
      <c r="VEE45" s="19"/>
      <c r="VEF45" s="19"/>
      <c r="VEG45" s="19"/>
      <c r="VEH45" s="19"/>
      <c r="VEI45" s="19"/>
      <c r="VEJ45" s="19"/>
      <c r="VEK45" s="19"/>
      <c r="VEL45" s="19"/>
      <c r="VEM45" s="19"/>
      <c r="VEN45" s="19"/>
      <c r="VEO45" s="19"/>
      <c r="VEP45" s="19"/>
      <c r="VEQ45" s="19"/>
      <c r="VER45" s="19"/>
      <c r="VES45" s="19"/>
      <c r="VET45" s="19"/>
      <c r="VEU45" s="19"/>
      <c r="VEV45" s="19"/>
      <c r="VEW45" s="19"/>
      <c r="VEX45" s="19"/>
      <c r="VEY45" s="19"/>
      <c r="VEZ45" s="19"/>
      <c r="VFA45" s="19"/>
      <c r="VFB45" s="19"/>
      <c r="VFC45" s="19"/>
      <c r="VFD45" s="19"/>
      <c r="VFE45" s="19"/>
      <c r="VFF45" s="19"/>
      <c r="VFG45" s="19"/>
      <c r="VFH45" s="19"/>
      <c r="VFI45" s="19"/>
      <c r="VFJ45" s="19"/>
      <c r="VFK45" s="19"/>
      <c r="VFL45" s="19"/>
      <c r="VFM45" s="19"/>
      <c r="VFN45" s="19"/>
      <c r="VFO45" s="19"/>
      <c r="VFP45" s="19"/>
      <c r="VFQ45" s="19"/>
      <c r="VFR45" s="19"/>
      <c r="VFS45" s="19"/>
      <c r="VFT45" s="19"/>
      <c r="VFU45" s="19"/>
      <c r="VFV45" s="19"/>
      <c r="VFW45" s="19"/>
      <c r="VFX45" s="19"/>
      <c r="VFY45" s="19"/>
      <c r="VFZ45" s="19"/>
      <c r="VGA45" s="19"/>
      <c r="VGB45" s="19"/>
      <c r="VGC45" s="19"/>
      <c r="VGD45" s="19"/>
      <c r="VGE45" s="19"/>
      <c r="VGF45" s="19"/>
      <c r="VGG45" s="19"/>
      <c r="VGH45" s="19"/>
      <c r="VGI45" s="19"/>
      <c r="VGJ45" s="19"/>
      <c r="VGK45" s="19"/>
      <c r="VGL45" s="19"/>
      <c r="VGM45" s="19"/>
      <c r="VGN45" s="19"/>
      <c r="VGO45" s="19"/>
      <c r="VGP45" s="19"/>
      <c r="VGQ45" s="19"/>
      <c r="VGR45" s="19"/>
      <c r="VGS45" s="19"/>
      <c r="VGT45" s="19"/>
      <c r="VGU45" s="19"/>
      <c r="VGV45" s="19"/>
      <c r="VGW45" s="19"/>
      <c r="VGX45" s="19"/>
      <c r="VGY45" s="19"/>
      <c r="VGZ45" s="19"/>
      <c r="VHA45" s="19"/>
      <c r="VHB45" s="19"/>
      <c r="VHC45" s="19"/>
      <c r="VHD45" s="19"/>
      <c r="VHE45" s="19"/>
      <c r="VHF45" s="19"/>
      <c r="VHG45" s="19"/>
      <c r="VHH45" s="19"/>
      <c r="VHI45" s="19"/>
      <c r="VHJ45" s="19"/>
      <c r="VHK45" s="19"/>
      <c r="VHL45" s="19"/>
      <c r="VHM45" s="19"/>
      <c r="VHN45" s="19"/>
      <c r="VHO45" s="19"/>
      <c r="VHP45" s="19"/>
      <c r="VHQ45" s="19"/>
      <c r="VHR45" s="19"/>
      <c r="VHS45" s="19"/>
      <c r="VHT45" s="19"/>
      <c r="VHU45" s="19"/>
      <c r="VHV45" s="19"/>
      <c r="VHW45" s="19"/>
      <c r="VHX45" s="19"/>
      <c r="VHY45" s="19"/>
      <c r="VHZ45" s="19"/>
      <c r="VIA45" s="19"/>
      <c r="VIB45" s="19"/>
      <c r="VIC45" s="19"/>
      <c r="VID45" s="19"/>
      <c r="VIE45" s="19"/>
      <c r="VIF45" s="19"/>
      <c r="VIG45" s="19"/>
      <c r="VIH45" s="19"/>
      <c r="VII45" s="19"/>
      <c r="VIJ45" s="19"/>
      <c r="VIK45" s="19"/>
      <c r="VIL45" s="19"/>
      <c r="VIM45" s="19"/>
      <c r="VIN45" s="19"/>
      <c r="VIO45" s="19"/>
      <c r="VIP45" s="19"/>
      <c r="VIQ45" s="19"/>
      <c r="VIR45" s="19"/>
      <c r="VIS45" s="19"/>
      <c r="VIT45" s="19"/>
      <c r="VIU45" s="19"/>
      <c r="VIV45" s="19"/>
      <c r="VIW45" s="19"/>
      <c r="VIX45" s="19"/>
      <c r="VIY45" s="19"/>
      <c r="VIZ45" s="19"/>
      <c r="VJA45" s="19"/>
      <c r="VJB45" s="19"/>
      <c r="VJC45" s="19"/>
      <c r="VJD45" s="19"/>
      <c r="VJE45" s="19"/>
      <c r="VJF45" s="19"/>
      <c r="VJG45" s="19"/>
      <c r="VJH45" s="19"/>
      <c r="VJI45" s="19"/>
      <c r="VJJ45" s="19"/>
      <c r="VJK45" s="19"/>
      <c r="VJL45" s="19"/>
      <c r="VJM45" s="19"/>
      <c r="VJN45" s="19"/>
      <c r="VJO45" s="19"/>
      <c r="VJP45" s="19"/>
      <c r="VJQ45" s="19"/>
      <c r="VJR45" s="19"/>
      <c r="VJS45" s="19"/>
      <c r="VJT45" s="19"/>
      <c r="VJU45" s="19"/>
      <c r="VJV45" s="19"/>
      <c r="VJW45" s="19"/>
      <c r="VJX45" s="19"/>
      <c r="VJY45" s="19"/>
      <c r="VJZ45" s="19"/>
      <c r="VKA45" s="19"/>
      <c r="VKB45" s="19"/>
      <c r="VKC45" s="19"/>
      <c r="VKD45" s="19"/>
      <c r="VKE45" s="19"/>
      <c r="VKF45" s="19"/>
      <c r="VKG45" s="19"/>
      <c r="VKH45" s="19"/>
      <c r="VKI45" s="19"/>
      <c r="VKJ45" s="19"/>
      <c r="VKK45" s="19"/>
      <c r="VKL45" s="19"/>
      <c r="VKM45" s="19"/>
      <c r="VKN45" s="19"/>
      <c r="VKO45" s="19"/>
      <c r="VKP45" s="19"/>
      <c r="VKQ45" s="19"/>
      <c r="VKR45" s="19"/>
      <c r="VKS45" s="19"/>
      <c r="VKT45" s="19"/>
      <c r="VKU45" s="19"/>
      <c r="VKV45" s="19"/>
      <c r="VKW45" s="19"/>
      <c r="VKX45" s="19"/>
      <c r="VKY45" s="19"/>
      <c r="VKZ45" s="19"/>
      <c r="VLA45" s="19"/>
      <c r="VLB45" s="19"/>
      <c r="VLC45" s="19"/>
      <c r="VLD45" s="19"/>
      <c r="VLE45" s="19"/>
      <c r="VLF45" s="19"/>
      <c r="VLG45" s="19"/>
      <c r="VLH45" s="19"/>
      <c r="VLI45" s="19"/>
      <c r="VLJ45" s="19"/>
      <c r="VLK45" s="19"/>
      <c r="VLL45" s="19"/>
      <c r="VLM45" s="19"/>
      <c r="VLN45" s="19"/>
      <c r="VLO45" s="19"/>
      <c r="VLP45" s="19"/>
      <c r="VLQ45" s="19"/>
      <c r="VLR45" s="19"/>
      <c r="VLS45" s="19"/>
      <c r="VLT45" s="19"/>
      <c r="VLU45" s="19"/>
      <c r="VLV45" s="19"/>
      <c r="VLW45" s="19"/>
      <c r="VLX45" s="19"/>
      <c r="VLY45" s="19"/>
      <c r="VLZ45" s="19"/>
      <c r="VMA45" s="19"/>
      <c r="VMB45" s="19"/>
      <c r="VMC45" s="19"/>
      <c r="VMD45" s="19"/>
      <c r="VME45" s="19"/>
      <c r="VMF45" s="19"/>
      <c r="VMG45" s="19"/>
      <c r="VMH45" s="19"/>
      <c r="VMI45" s="19"/>
      <c r="VMJ45" s="19"/>
      <c r="VMK45" s="19"/>
      <c r="VML45" s="19"/>
      <c r="VMM45" s="19"/>
      <c r="VMN45" s="19"/>
      <c r="VMO45" s="19"/>
      <c r="VMP45" s="19"/>
      <c r="VMQ45" s="19"/>
      <c r="VMR45" s="19"/>
      <c r="VMS45" s="19"/>
      <c r="VMT45" s="19"/>
      <c r="VMU45" s="19"/>
      <c r="VMV45" s="19"/>
      <c r="VMW45" s="19"/>
      <c r="VMX45" s="19"/>
      <c r="VMY45" s="19"/>
      <c r="VMZ45" s="19"/>
      <c r="VNA45" s="19"/>
      <c r="VNB45" s="19"/>
      <c r="VNC45" s="19"/>
      <c r="VND45" s="19"/>
      <c r="VNE45" s="19"/>
      <c r="VNF45" s="19"/>
      <c r="VNG45" s="19"/>
      <c r="VNH45" s="19"/>
      <c r="VNI45" s="19"/>
      <c r="VNJ45" s="19"/>
      <c r="VNK45" s="19"/>
      <c r="VNL45" s="19"/>
      <c r="VNM45" s="19"/>
      <c r="VNN45" s="19"/>
      <c r="VNO45" s="19"/>
      <c r="VNP45" s="19"/>
      <c r="VNQ45" s="19"/>
      <c r="VNR45" s="19"/>
      <c r="VNS45" s="19"/>
      <c r="VNT45" s="19"/>
      <c r="VNU45" s="19"/>
      <c r="VNV45" s="19"/>
      <c r="VNW45" s="19"/>
      <c r="VNX45" s="19"/>
      <c r="VNY45" s="19"/>
      <c r="VNZ45" s="19"/>
      <c r="VOA45" s="19"/>
      <c r="VOB45" s="19"/>
      <c r="VOC45" s="19"/>
      <c r="VOD45" s="19"/>
      <c r="VOE45" s="19"/>
      <c r="VOF45" s="19"/>
      <c r="VOG45" s="19"/>
      <c r="VOH45" s="19"/>
      <c r="VOI45" s="19"/>
      <c r="VOJ45" s="19"/>
      <c r="VOK45" s="19"/>
      <c r="VOL45" s="19"/>
      <c r="VOM45" s="19"/>
      <c r="VON45" s="19"/>
      <c r="VOO45" s="19"/>
      <c r="VOP45" s="19"/>
      <c r="VOQ45" s="19"/>
      <c r="VOR45" s="19"/>
      <c r="VOS45" s="19"/>
      <c r="VOT45" s="19"/>
      <c r="VOU45" s="19"/>
      <c r="VOV45" s="19"/>
      <c r="VOW45" s="19"/>
      <c r="VOX45" s="19"/>
      <c r="VOY45" s="19"/>
      <c r="VOZ45" s="19"/>
      <c r="VPA45" s="19"/>
      <c r="VPB45" s="19"/>
      <c r="VPC45" s="19"/>
      <c r="VPD45" s="19"/>
      <c r="VPE45" s="19"/>
      <c r="VPF45" s="19"/>
      <c r="VPG45" s="19"/>
      <c r="VPH45" s="19"/>
      <c r="VPI45" s="19"/>
      <c r="VPJ45" s="19"/>
      <c r="VPK45" s="19"/>
      <c r="VPL45" s="19"/>
      <c r="VPM45" s="19"/>
      <c r="VPN45" s="19"/>
      <c r="VPO45" s="19"/>
      <c r="VPP45" s="19"/>
      <c r="VPQ45" s="19"/>
      <c r="VPR45" s="19"/>
      <c r="VPS45" s="19"/>
      <c r="VPT45" s="19"/>
      <c r="VPU45" s="19"/>
      <c r="VPV45" s="19"/>
      <c r="VPW45" s="19"/>
      <c r="VPX45" s="19"/>
      <c r="VPY45" s="19"/>
      <c r="VPZ45" s="19"/>
      <c r="VQA45" s="19"/>
      <c r="VQB45" s="19"/>
      <c r="VQC45" s="19"/>
      <c r="VQD45" s="19"/>
      <c r="VQE45" s="19"/>
      <c r="VQF45" s="19"/>
      <c r="VQG45" s="19"/>
      <c r="VQH45" s="19"/>
      <c r="VQI45" s="19"/>
      <c r="VQJ45" s="19"/>
      <c r="VQK45" s="19"/>
      <c r="VQL45" s="19"/>
      <c r="VQM45" s="19"/>
      <c r="VQN45" s="19"/>
      <c r="VQO45" s="19"/>
      <c r="VQP45" s="19"/>
      <c r="VQQ45" s="19"/>
      <c r="VQR45" s="19"/>
      <c r="VQS45" s="19"/>
      <c r="VQT45" s="19"/>
      <c r="VQU45" s="19"/>
      <c r="VQV45" s="19"/>
      <c r="VQW45" s="19"/>
      <c r="VQX45" s="19"/>
      <c r="VQY45" s="19"/>
      <c r="VQZ45" s="19"/>
      <c r="VRA45" s="19"/>
      <c r="VRB45" s="19"/>
      <c r="VRC45" s="19"/>
      <c r="VRD45" s="19"/>
      <c r="VRE45" s="19"/>
      <c r="VRF45" s="19"/>
      <c r="VRG45" s="19"/>
      <c r="VRH45" s="19"/>
      <c r="VRI45" s="19"/>
      <c r="VRJ45" s="19"/>
      <c r="VRK45" s="19"/>
      <c r="VRL45" s="19"/>
      <c r="VRM45" s="19"/>
      <c r="VRN45" s="19"/>
      <c r="VRO45" s="19"/>
      <c r="VRP45" s="19"/>
      <c r="VRQ45" s="19"/>
      <c r="VRR45" s="19"/>
      <c r="VRS45" s="19"/>
      <c r="VRT45" s="19"/>
      <c r="VRU45" s="19"/>
      <c r="VRV45" s="19"/>
      <c r="VRW45" s="19"/>
      <c r="VRX45" s="19"/>
      <c r="VRY45" s="19"/>
      <c r="VRZ45" s="19"/>
      <c r="VSA45" s="19"/>
      <c r="VSB45" s="19"/>
      <c r="VSC45" s="19"/>
      <c r="VSD45" s="19"/>
      <c r="VSE45" s="19"/>
      <c r="VSF45" s="19"/>
      <c r="VSG45" s="19"/>
      <c r="VSH45" s="19"/>
      <c r="VSI45" s="19"/>
      <c r="VSJ45" s="19"/>
      <c r="VSK45" s="19"/>
      <c r="VSL45" s="19"/>
      <c r="VSM45" s="19"/>
      <c r="VSN45" s="19"/>
      <c r="VSO45" s="19"/>
      <c r="VSP45" s="19"/>
      <c r="VSQ45" s="19"/>
      <c r="VSR45" s="19"/>
      <c r="VSS45" s="19"/>
      <c r="VST45" s="19"/>
      <c r="VSU45" s="19"/>
      <c r="VSV45" s="19"/>
      <c r="VSW45" s="19"/>
      <c r="VSX45" s="19"/>
      <c r="VSY45" s="19"/>
      <c r="VSZ45" s="19"/>
      <c r="VTA45" s="19"/>
      <c r="VTB45" s="19"/>
      <c r="VTC45" s="19"/>
      <c r="VTD45" s="19"/>
      <c r="VTE45" s="19"/>
      <c r="VTF45" s="19"/>
      <c r="VTG45" s="19"/>
      <c r="VTH45" s="19"/>
      <c r="VTI45" s="19"/>
      <c r="VTJ45" s="19"/>
      <c r="VTK45" s="19"/>
      <c r="VTL45" s="19"/>
      <c r="VTM45" s="19"/>
      <c r="VTN45" s="19"/>
      <c r="VTO45" s="19"/>
      <c r="VTP45" s="19"/>
      <c r="VTQ45" s="19"/>
      <c r="VTR45" s="19"/>
      <c r="VTS45" s="19"/>
      <c r="VTT45" s="19"/>
      <c r="VTU45" s="19"/>
      <c r="VTV45" s="19"/>
      <c r="VTW45" s="19"/>
      <c r="VTX45" s="19"/>
      <c r="VTY45" s="19"/>
      <c r="VTZ45" s="19"/>
      <c r="VUA45" s="19"/>
      <c r="VUB45" s="19"/>
      <c r="VUC45" s="19"/>
      <c r="VUD45" s="19"/>
      <c r="VUE45" s="19"/>
      <c r="VUF45" s="19"/>
      <c r="VUG45" s="19"/>
      <c r="VUH45" s="19"/>
      <c r="VUI45" s="19"/>
      <c r="VUJ45" s="19"/>
      <c r="VUK45" s="19"/>
      <c r="VUL45" s="19"/>
      <c r="VUM45" s="19"/>
      <c r="VUN45" s="19"/>
      <c r="VUO45" s="19"/>
      <c r="VUP45" s="19"/>
      <c r="VUQ45" s="19"/>
      <c r="VUR45" s="19"/>
      <c r="VUS45" s="19"/>
      <c r="VUT45" s="19"/>
      <c r="VUU45" s="19"/>
      <c r="VUV45" s="19"/>
      <c r="VUW45" s="19"/>
      <c r="VUX45" s="19"/>
      <c r="VUY45" s="19"/>
      <c r="VUZ45" s="19"/>
      <c r="VVA45" s="19"/>
      <c r="VVB45" s="19"/>
      <c r="VVC45" s="19"/>
      <c r="VVD45" s="19"/>
      <c r="VVE45" s="19"/>
      <c r="VVF45" s="19"/>
      <c r="VVG45" s="19"/>
      <c r="VVH45" s="19"/>
      <c r="VVI45" s="19"/>
      <c r="VVJ45" s="19"/>
      <c r="VVK45" s="19"/>
      <c r="VVL45" s="19"/>
      <c r="VVM45" s="19"/>
      <c r="VVN45" s="19"/>
      <c r="VVO45" s="19"/>
      <c r="VVP45" s="19"/>
      <c r="VVQ45" s="19"/>
      <c r="VVR45" s="19"/>
      <c r="VVS45" s="19"/>
      <c r="VVT45" s="19"/>
      <c r="VVU45" s="19"/>
      <c r="VVV45" s="19"/>
      <c r="VVW45" s="19"/>
      <c r="VVX45" s="19"/>
      <c r="VVY45" s="19"/>
      <c r="VVZ45" s="19"/>
      <c r="VWA45" s="19"/>
      <c r="VWB45" s="19"/>
      <c r="VWC45" s="19"/>
      <c r="VWD45" s="19"/>
      <c r="VWE45" s="19"/>
      <c r="VWF45" s="19"/>
      <c r="VWG45" s="19"/>
      <c r="VWH45" s="19"/>
      <c r="VWI45" s="19"/>
      <c r="VWJ45" s="19"/>
      <c r="VWK45" s="19"/>
      <c r="VWL45" s="19"/>
      <c r="VWM45" s="19"/>
      <c r="VWN45" s="19"/>
      <c r="VWO45" s="19"/>
      <c r="VWP45" s="19"/>
      <c r="VWQ45" s="19"/>
      <c r="VWR45" s="19"/>
      <c r="VWS45" s="19"/>
      <c r="VWT45" s="19"/>
      <c r="VWU45" s="19"/>
      <c r="VWV45" s="19"/>
      <c r="VWW45" s="19"/>
      <c r="VWX45" s="19"/>
      <c r="VWY45" s="19"/>
      <c r="VWZ45" s="19"/>
      <c r="VXA45" s="19"/>
      <c r="VXB45" s="19"/>
      <c r="VXC45" s="19"/>
      <c r="VXD45" s="19"/>
      <c r="VXE45" s="19"/>
      <c r="VXF45" s="19"/>
      <c r="VXG45" s="19"/>
      <c r="VXH45" s="19"/>
      <c r="VXI45" s="19"/>
      <c r="VXJ45" s="19"/>
      <c r="VXK45" s="19"/>
      <c r="VXL45" s="19"/>
      <c r="VXM45" s="19"/>
      <c r="VXN45" s="19"/>
      <c r="VXO45" s="19"/>
      <c r="VXP45" s="19"/>
      <c r="VXQ45" s="19"/>
      <c r="VXR45" s="19"/>
      <c r="VXS45" s="19"/>
      <c r="VXT45" s="19"/>
      <c r="VXU45" s="19"/>
      <c r="VXV45" s="19"/>
      <c r="VXW45" s="19"/>
      <c r="VXX45" s="19"/>
      <c r="VXY45" s="19"/>
      <c r="VXZ45" s="19"/>
      <c r="VYA45" s="19"/>
      <c r="VYB45" s="19"/>
      <c r="VYC45" s="19"/>
      <c r="VYD45" s="19"/>
      <c r="VYE45" s="19"/>
      <c r="VYF45" s="19"/>
      <c r="VYG45" s="19"/>
      <c r="VYH45" s="19"/>
      <c r="VYI45" s="19"/>
      <c r="VYJ45" s="19"/>
      <c r="VYK45" s="19"/>
      <c r="VYL45" s="19"/>
      <c r="VYM45" s="19"/>
      <c r="VYN45" s="19"/>
      <c r="VYO45" s="19"/>
      <c r="VYP45" s="19"/>
      <c r="VYQ45" s="19"/>
      <c r="VYR45" s="19"/>
      <c r="VYS45" s="19"/>
      <c r="VYT45" s="19"/>
      <c r="VYU45" s="19"/>
      <c r="VYV45" s="19"/>
      <c r="VYW45" s="19"/>
      <c r="VYX45" s="19"/>
      <c r="VYY45" s="19"/>
      <c r="VYZ45" s="19"/>
      <c r="VZA45" s="19"/>
      <c r="VZB45" s="19"/>
      <c r="VZC45" s="19"/>
      <c r="VZD45" s="19"/>
      <c r="VZE45" s="19"/>
      <c r="VZF45" s="19"/>
      <c r="VZG45" s="19"/>
      <c r="VZH45" s="19"/>
      <c r="VZI45" s="19"/>
      <c r="VZJ45" s="19"/>
      <c r="VZK45" s="19"/>
      <c r="VZL45" s="19"/>
      <c r="VZM45" s="19"/>
      <c r="VZN45" s="19"/>
      <c r="VZO45" s="19"/>
      <c r="VZP45" s="19"/>
      <c r="VZQ45" s="19"/>
      <c r="VZR45" s="19"/>
      <c r="VZS45" s="19"/>
      <c r="VZT45" s="19"/>
      <c r="VZU45" s="19"/>
      <c r="VZV45" s="19"/>
      <c r="VZW45" s="19"/>
      <c r="VZX45" s="19"/>
      <c r="VZY45" s="19"/>
      <c r="VZZ45" s="19"/>
      <c r="WAA45" s="19"/>
      <c r="WAB45" s="19"/>
      <c r="WAC45" s="19"/>
      <c r="WAD45" s="19"/>
      <c r="WAE45" s="19"/>
      <c r="WAF45" s="19"/>
      <c r="WAG45" s="19"/>
      <c r="WAH45" s="19"/>
      <c r="WAI45" s="19"/>
      <c r="WAJ45" s="19"/>
      <c r="WAK45" s="19"/>
      <c r="WAL45" s="19"/>
      <c r="WAM45" s="19"/>
      <c r="WAN45" s="19"/>
      <c r="WAO45" s="19"/>
      <c r="WAP45" s="19"/>
      <c r="WAQ45" s="19"/>
      <c r="WAR45" s="19"/>
      <c r="WAS45" s="19"/>
      <c r="WAT45" s="19"/>
      <c r="WAU45" s="19"/>
      <c r="WAV45" s="19"/>
      <c r="WAW45" s="19"/>
      <c r="WAX45" s="19"/>
      <c r="WAY45" s="19"/>
      <c r="WAZ45" s="19"/>
      <c r="WBA45" s="19"/>
      <c r="WBB45" s="19"/>
      <c r="WBC45" s="19"/>
      <c r="WBD45" s="19"/>
      <c r="WBE45" s="19"/>
      <c r="WBF45" s="19"/>
      <c r="WBG45" s="19"/>
      <c r="WBH45" s="19"/>
      <c r="WBI45" s="19"/>
      <c r="WBJ45" s="19"/>
      <c r="WBK45" s="19"/>
      <c r="WBL45" s="19"/>
      <c r="WBM45" s="19"/>
      <c r="WBN45" s="19"/>
      <c r="WBO45" s="19"/>
      <c r="WBP45" s="19"/>
      <c r="WBQ45" s="19"/>
      <c r="WBR45" s="19"/>
      <c r="WBS45" s="19"/>
      <c r="WBT45" s="19"/>
      <c r="WBU45" s="19"/>
      <c r="WBV45" s="19"/>
      <c r="WBW45" s="19"/>
      <c r="WBX45" s="19"/>
      <c r="WBY45" s="19"/>
      <c r="WBZ45" s="19"/>
      <c r="WCA45" s="19"/>
      <c r="WCB45" s="19"/>
      <c r="WCC45" s="19"/>
      <c r="WCD45" s="19"/>
      <c r="WCE45" s="19"/>
      <c r="WCF45" s="19"/>
      <c r="WCG45" s="19"/>
      <c r="WCH45" s="19"/>
      <c r="WCI45" s="19"/>
      <c r="WCJ45" s="19"/>
      <c r="WCK45" s="19"/>
      <c r="WCL45" s="19"/>
      <c r="WCM45" s="19"/>
      <c r="WCN45" s="19"/>
      <c r="WCO45" s="19"/>
      <c r="WCP45" s="19"/>
      <c r="WCQ45" s="19"/>
      <c r="WCR45" s="19"/>
      <c r="WCS45" s="19"/>
      <c r="WCT45" s="19"/>
      <c r="WCU45" s="19"/>
      <c r="WCV45" s="19"/>
      <c r="WCW45" s="19"/>
      <c r="WCX45" s="19"/>
      <c r="WCY45" s="19"/>
      <c r="WCZ45" s="19"/>
      <c r="WDA45" s="19"/>
      <c r="WDB45" s="19"/>
      <c r="WDC45" s="19"/>
      <c r="WDD45" s="19"/>
      <c r="WDE45" s="19"/>
      <c r="WDF45" s="19"/>
      <c r="WDG45" s="19"/>
      <c r="WDH45" s="19"/>
      <c r="WDI45" s="19"/>
      <c r="WDJ45" s="19"/>
      <c r="WDK45" s="19"/>
      <c r="WDL45" s="19"/>
      <c r="WDM45" s="19"/>
      <c r="WDN45" s="19"/>
      <c r="WDO45" s="19"/>
      <c r="WDP45" s="19"/>
      <c r="WDQ45" s="19"/>
      <c r="WDR45" s="19"/>
      <c r="WDS45" s="19"/>
      <c r="WDT45" s="19"/>
      <c r="WDU45" s="19"/>
      <c r="WDV45" s="19"/>
      <c r="WDW45" s="19"/>
      <c r="WDX45" s="19"/>
      <c r="WDY45" s="19"/>
      <c r="WDZ45" s="19"/>
      <c r="WEA45" s="19"/>
      <c r="WEB45" s="19"/>
      <c r="WEC45" s="19"/>
      <c r="WED45" s="19"/>
      <c r="WEE45" s="19"/>
      <c r="WEF45" s="19"/>
      <c r="WEG45" s="19"/>
      <c r="WEH45" s="19"/>
      <c r="WEI45" s="19"/>
      <c r="WEJ45" s="19"/>
      <c r="WEK45" s="19"/>
      <c r="WEL45" s="19"/>
      <c r="WEM45" s="19"/>
      <c r="WEN45" s="19"/>
      <c r="WEO45" s="19"/>
      <c r="WEP45" s="19"/>
      <c r="WEQ45" s="19"/>
      <c r="WER45" s="19"/>
      <c r="WES45" s="19"/>
      <c r="WET45" s="19"/>
      <c r="WEU45" s="19"/>
      <c r="WEV45" s="19"/>
      <c r="WEW45" s="19"/>
      <c r="WEX45" s="19"/>
      <c r="WEY45" s="19"/>
      <c r="WEZ45" s="19"/>
      <c r="WFA45" s="19"/>
      <c r="WFB45" s="19"/>
      <c r="WFC45" s="19"/>
      <c r="WFD45" s="19"/>
      <c r="WFE45" s="19"/>
      <c r="WFF45" s="19"/>
      <c r="WFG45" s="19"/>
      <c r="WFH45" s="19"/>
      <c r="WFI45" s="19"/>
      <c r="WFJ45" s="19"/>
      <c r="WFK45" s="19"/>
      <c r="WFL45" s="19"/>
      <c r="WFM45" s="19"/>
      <c r="WFN45" s="19"/>
      <c r="WFO45" s="19"/>
      <c r="WFP45" s="19"/>
      <c r="WFQ45" s="19"/>
      <c r="WFR45" s="19"/>
      <c r="WFS45" s="19"/>
      <c r="WFT45" s="19"/>
      <c r="WFU45" s="19"/>
      <c r="WFV45" s="19"/>
      <c r="WFW45" s="19"/>
      <c r="WFX45" s="19"/>
      <c r="WFY45" s="19"/>
      <c r="WFZ45" s="19"/>
      <c r="WGA45" s="19"/>
      <c r="WGB45" s="19"/>
      <c r="WGC45" s="19"/>
      <c r="WGD45" s="19"/>
      <c r="WGE45" s="19"/>
      <c r="WGF45" s="19"/>
      <c r="WGG45" s="19"/>
      <c r="WGH45" s="19"/>
      <c r="WGI45" s="19"/>
      <c r="WGJ45" s="19"/>
      <c r="WGK45" s="19"/>
      <c r="WGL45" s="19"/>
      <c r="WGM45" s="19"/>
      <c r="WGN45" s="19"/>
      <c r="WGO45" s="19"/>
      <c r="WGP45" s="19"/>
      <c r="WGQ45" s="19"/>
      <c r="WGR45" s="19"/>
      <c r="WGS45" s="19"/>
      <c r="WGT45" s="19"/>
      <c r="WGU45" s="19"/>
      <c r="WGV45" s="19"/>
      <c r="WGW45" s="19"/>
      <c r="WGX45" s="19"/>
      <c r="WGY45" s="19"/>
      <c r="WGZ45" s="19"/>
      <c r="WHA45" s="19"/>
      <c r="WHB45" s="19"/>
      <c r="WHC45" s="19"/>
      <c r="WHD45" s="19"/>
      <c r="WHE45" s="19"/>
      <c r="WHF45" s="19"/>
      <c r="WHG45" s="19"/>
      <c r="WHH45" s="19"/>
      <c r="WHI45" s="19"/>
      <c r="WHJ45" s="19"/>
      <c r="WHK45" s="19"/>
      <c r="WHL45" s="19"/>
      <c r="WHM45" s="19"/>
      <c r="WHN45" s="19"/>
      <c r="WHO45" s="19"/>
      <c r="WHP45" s="19"/>
      <c r="WHQ45" s="19"/>
      <c r="WHR45" s="19"/>
      <c r="WHS45" s="19"/>
      <c r="WHT45" s="19"/>
      <c r="WHU45" s="19"/>
      <c r="WHV45" s="19"/>
      <c r="WHW45" s="19"/>
      <c r="WHX45" s="19"/>
      <c r="WHY45" s="19"/>
      <c r="WHZ45" s="19"/>
      <c r="WIA45" s="19"/>
      <c r="WIB45" s="19"/>
      <c r="WIC45" s="19"/>
      <c r="WID45" s="19"/>
      <c r="WIE45" s="19"/>
      <c r="WIF45" s="19"/>
      <c r="WIG45" s="19"/>
      <c r="WIH45" s="19"/>
      <c r="WII45" s="19"/>
      <c r="WIJ45" s="19"/>
      <c r="WIK45" s="19"/>
      <c r="WIL45" s="19"/>
      <c r="WIM45" s="19"/>
      <c r="WIN45" s="19"/>
      <c r="WIO45" s="19"/>
      <c r="WIP45" s="19"/>
      <c r="WIQ45" s="19"/>
      <c r="WIR45" s="19"/>
      <c r="WIS45" s="19"/>
      <c r="WIT45" s="19"/>
      <c r="WIU45" s="19"/>
      <c r="WIV45" s="19"/>
      <c r="WIW45" s="19"/>
      <c r="WIX45" s="19"/>
      <c r="WIY45" s="19"/>
      <c r="WIZ45" s="19"/>
      <c r="WJA45" s="19"/>
      <c r="WJB45" s="19"/>
      <c r="WJC45" s="19"/>
      <c r="WJD45" s="19"/>
      <c r="WJE45" s="19"/>
      <c r="WJF45" s="19"/>
      <c r="WJG45" s="19"/>
      <c r="WJH45" s="19"/>
      <c r="WJI45" s="19"/>
      <c r="WJJ45" s="19"/>
      <c r="WJK45" s="19"/>
      <c r="WJL45" s="19"/>
      <c r="WJM45" s="19"/>
      <c r="WJN45" s="19"/>
      <c r="WJO45" s="19"/>
      <c r="WJP45" s="19"/>
      <c r="WJQ45" s="19"/>
      <c r="WJR45" s="19"/>
      <c r="WJS45" s="19"/>
      <c r="WJT45" s="19"/>
      <c r="WJU45" s="19"/>
      <c r="WJV45" s="19"/>
      <c r="WJW45" s="19"/>
      <c r="WJX45" s="19"/>
      <c r="WJY45" s="19"/>
      <c r="WJZ45" s="19"/>
      <c r="WKA45" s="19"/>
      <c r="WKB45" s="19"/>
      <c r="WKC45" s="19"/>
      <c r="WKD45" s="19"/>
      <c r="WKE45" s="19"/>
      <c r="WKF45" s="19"/>
      <c r="WKG45" s="19"/>
      <c r="WKH45" s="19"/>
      <c r="WKI45" s="19"/>
      <c r="WKJ45" s="19"/>
      <c r="WKK45" s="19"/>
      <c r="WKL45" s="19"/>
      <c r="WKM45" s="19"/>
      <c r="WKN45" s="19"/>
      <c r="WKO45" s="19"/>
      <c r="WKP45" s="19"/>
      <c r="WKQ45" s="19"/>
      <c r="WKR45" s="19"/>
      <c r="WKS45" s="19"/>
      <c r="WKT45" s="19"/>
      <c r="WKU45" s="19"/>
      <c r="WKV45" s="19"/>
      <c r="WKW45" s="19"/>
      <c r="WKX45" s="19"/>
      <c r="WKY45" s="19"/>
      <c r="WKZ45" s="19"/>
      <c r="WLA45" s="19"/>
      <c r="WLB45" s="19"/>
      <c r="WLC45" s="19"/>
      <c r="WLD45" s="19"/>
      <c r="WLE45" s="19"/>
      <c r="WLF45" s="19"/>
      <c r="WLG45" s="19"/>
      <c r="WLH45" s="19"/>
      <c r="WLI45" s="19"/>
      <c r="WLJ45" s="19"/>
      <c r="WLK45" s="19"/>
      <c r="WLL45" s="19"/>
      <c r="WLM45" s="19"/>
      <c r="WLN45" s="19"/>
      <c r="WLO45" s="19"/>
      <c r="WLP45" s="19"/>
      <c r="WLQ45" s="19"/>
      <c r="WLR45" s="19"/>
      <c r="WLS45" s="19"/>
      <c r="WLT45" s="19"/>
      <c r="WLU45" s="19"/>
      <c r="WLV45" s="19"/>
      <c r="WLW45" s="19"/>
      <c r="WLX45" s="19"/>
      <c r="WLY45" s="19"/>
      <c r="WLZ45" s="19"/>
      <c r="WMA45" s="19"/>
      <c r="WMB45" s="19"/>
      <c r="WMC45" s="19"/>
      <c r="WMD45" s="19"/>
      <c r="WME45" s="19"/>
      <c r="WMF45" s="19"/>
      <c r="WMG45" s="19"/>
      <c r="WMH45" s="19"/>
      <c r="WMI45" s="19"/>
      <c r="WMJ45" s="19"/>
      <c r="WMK45" s="19"/>
      <c r="WML45" s="19"/>
      <c r="WMM45" s="19"/>
      <c r="WMN45" s="19"/>
      <c r="WMO45" s="19"/>
      <c r="WMP45" s="19"/>
      <c r="WMQ45" s="19"/>
      <c r="WMR45" s="19"/>
      <c r="WMS45" s="19"/>
      <c r="WMT45" s="19"/>
      <c r="WMU45" s="19"/>
      <c r="WMV45" s="19"/>
      <c r="WMW45" s="19"/>
      <c r="WMX45" s="19"/>
      <c r="WMY45" s="19"/>
      <c r="WMZ45" s="19"/>
      <c r="WNA45" s="19"/>
      <c r="WNB45" s="19"/>
      <c r="WNC45" s="19"/>
      <c r="WND45" s="19"/>
      <c r="WNE45" s="19"/>
      <c r="WNF45" s="19"/>
      <c r="WNG45" s="19"/>
      <c r="WNH45" s="19"/>
      <c r="WNI45" s="19"/>
      <c r="WNJ45" s="19"/>
      <c r="WNK45" s="19"/>
      <c r="WNL45" s="19"/>
      <c r="WNM45" s="19"/>
      <c r="WNN45" s="19"/>
      <c r="WNO45" s="19"/>
      <c r="WNP45" s="19"/>
      <c r="WNQ45" s="19"/>
      <c r="WNR45" s="19"/>
      <c r="WNS45" s="19"/>
      <c r="WNT45" s="19"/>
      <c r="WNU45" s="19"/>
      <c r="WNV45" s="19"/>
      <c r="WNW45" s="19"/>
      <c r="WNX45" s="19"/>
      <c r="WNY45" s="19"/>
      <c r="WNZ45" s="19"/>
      <c r="WOA45" s="19"/>
      <c r="WOB45" s="19"/>
      <c r="WOC45" s="19"/>
      <c r="WOD45" s="19"/>
      <c r="WOE45" s="19"/>
      <c r="WOF45" s="19"/>
      <c r="WOG45" s="19"/>
      <c r="WOH45" s="19"/>
      <c r="WOI45" s="19"/>
      <c r="WOJ45" s="19"/>
      <c r="WOK45" s="19"/>
      <c r="WOL45" s="19"/>
      <c r="WOM45" s="19"/>
      <c r="WON45" s="19"/>
      <c r="WOO45" s="19"/>
      <c r="WOP45" s="19"/>
      <c r="WOQ45" s="19"/>
      <c r="WOR45" s="19"/>
      <c r="WOS45" s="19"/>
      <c r="WOT45" s="19"/>
      <c r="WOU45" s="19"/>
      <c r="WOV45" s="19"/>
      <c r="WOW45" s="19"/>
      <c r="WOX45" s="19"/>
      <c r="WOY45" s="19"/>
      <c r="WOZ45" s="19"/>
      <c r="WPA45" s="19"/>
      <c r="WPB45" s="19"/>
      <c r="WPC45" s="19"/>
      <c r="WPD45" s="19"/>
      <c r="WPE45" s="19"/>
      <c r="WPF45" s="19"/>
      <c r="WPG45" s="19"/>
      <c r="WPH45" s="19"/>
      <c r="WPI45" s="19"/>
      <c r="WPJ45" s="19"/>
      <c r="WPK45" s="19"/>
      <c r="WPL45" s="19"/>
      <c r="WPM45" s="19"/>
      <c r="WPN45" s="19"/>
      <c r="WPO45" s="19"/>
      <c r="WPP45" s="19"/>
      <c r="WPQ45" s="19"/>
      <c r="WPR45" s="19"/>
      <c r="WPS45" s="19"/>
      <c r="WPT45" s="19"/>
      <c r="WPU45" s="19"/>
      <c r="WPV45" s="19"/>
      <c r="WPW45" s="19"/>
      <c r="WPX45" s="19"/>
      <c r="WPY45" s="19"/>
      <c r="WPZ45" s="19"/>
      <c r="WQA45" s="19"/>
      <c r="WQB45" s="19"/>
      <c r="WQC45" s="19"/>
      <c r="WQD45" s="19"/>
      <c r="WQE45" s="19"/>
      <c r="WQF45" s="19"/>
      <c r="WQG45" s="19"/>
      <c r="WQH45" s="19"/>
      <c r="WQI45" s="19"/>
      <c r="WQJ45" s="19"/>
      <c r="WQK45" s="19"/>
      <c r="WQL45" s="19"/>
      <c r="WQM45" s="19"/>
      <c r="WQN45" s="19"/>
      <c r="WQO45" s="19"/>
      <c r="WQP45" s="19"/>
      <c r="WQQ45" s="19"/>
      <c r="WQR45" s="19"/>
      <c r="WQS45" s="19"/>
      <c r="WQT45" s="19"/>
      <c r="WQU45" s="19"/>
      <c r="WQV45" s="19"/>
      <c r="WQW45" s="19"/>
      <c r="WQX45" s="19"/>
      <c r="WQY45" s="19"/>
      <c r="WQZ45" s="19"/>
      <c r="WRA45" s="19"/>
      <c r="WRB45" s="19"/>
      <c r="WRC45" s="19"/>
      <c r="WRD45" s="19"/>
      <c r="WRE45" s="19"/>
      <c r="WRF45" s="19"/>
      <c r="WRG45" s="19"/>
      <c r="WRH45" s="19"/>
      <c r="WRI45" s="19"/>
      <c r="WRJ45" s="19"/>
      <c r="WRK45" s="19"/>
      <c r="WRL45" s="19"/>
      <c r="WRM45" s="19"/>
      <c r="WRN45" s="19"/>
      <c r="WRO45" s="19"/>
      <c r="WRP45" s="19"/>
      <c r="WRQ45" s="19"/>
      <c r="WRR45" s="19"/>
      <c r="WRS45" s="19"/>
      <c r="WRT45" s="19"/>
      <c r="WRU45" s="19"/>
      <c r="WRV45" s="19"/>
      <c r="WRW45" s="19"/>
      <c r="WRX45" s="19"/>
      <c r="WRY45" s="19"/>
      <c r="WRZ45" s="19"/>
      <c r="WSA45" s="19"/>
      <c r="WSB45" s="19"/>
      <c r="WSC45" s="19"/>
      <c r="WSD45" s="19"/>
      <c r="WSE45" s="19"/>
      <c r="WSF45" s="19"/>
      <c r="WSG45" s="19"/>
      <c r="WSH45" s="19"/>
      <c r="WSI45" s="19"/>
      <c r="WSJ45" s="19"/>
      <c r="WSK45" s="19"/>
      <c r="WSL45" s="19"/>
      <c r="WSM45" s="19"/>
      <c r="WSN45" s="19"/>
      <c r="WSO45" s="19"/>
      <c r="WSP45" s="19"/>
      <c r="WSQ45" s="19"/>
      <c r="WSR45" s="19"/>
      <c r="WSS45" s="19"/>
      <c r="WST45" s="19"/>
      <c r="WSU45" s="19"/>
      <c r="WSV45" s="19"/>
      <c r="WSW45" s="19"/>
      <c r="WSX45" s="19"/>
      <c r="WSY45" s="19"/>
      <c r="WSZ45" s="19"/>
      <c r="WTA45" s="19"/>
      <c r="WTB45" s="19"/>
      <c r="WTC45" s="19"/>
      <c r="WTD45" s="19"/>
      <c r="WTE45" s="19"/>
      <c r="WTF45" s="19"/>
      <c r="WTG45" s="19"/>
      <c r="WTH45" s="19"/>
      <c r="WTI45" s="19"/>
      <c r="WTJ45" s="19"/>
      <c r="WTK45" s="19"/>
      <c r="WTL45" s="19"/>
      <c r="WTM45" s="19"/>
      <c r="WTN45" s="19"/>
      <c r="WTO45" s="19"/>
      <c r="WTP45" s="19"/>
      <c r="WTQ45" s="19"/>
      <c r="WTR45" s="19"/>
      <c r="WTS45" s="19"/>
      <c r="WTT45" s="19"/>
      <c r="WTU45" s="19"/>
      <c r="WTV45" s="19"/>
      <c r="WTW45" s="19"/>
      <c r="WTX45" s="19"/>
      <c r="WTY45" s="19"/>
      <c r="WTZ45" s="19"/>
      <c r="WUA45" s="19"/>
      <c r="WUB45" s="19"/>
      <c r="WUC45" s="19"/>
      <c r="WUD45" s="19"/>
      <c r="WUE45" s="19"/>
      <c r="WUF45" s="19"/>
      <c r="WUG45" s="19"/>
      <c r="WUH45" s="19"/>
      <c r="WUI45" s="19"/>
      <c r="WUJ45" s="19"/>
      <c r="WUK45" s="19"/>
      <c r="WUL45" s="19"/>
      <c r="WUM45" s="19"/>
      <c r="WUN45" s="19"/>
      <c r="WUO45" s="19"/>
      <c r="WUP45" s="19"/>
      <c r="WUQ45" s="19"/>
      <c r="WUR45" s="19"/>
      <c r="WUS45" s="19"/>
      <c r="WUT45" s="19"/>
      <c r="WUU45" s="19"/>
      <c r="WUV45" s="19"/>
      <c r="WUW45" s="19"/>
      <c r="WUX45" s="19"/>
      <c r="WUY45" s="19"/>
      <c r="WUZ45" s="19"/>
      <c r="WVA45" s="19"/>
      <c r="WVB45" s="19"/>
      <c r="WVC45" s="19"/>
      <c r="WVD45" s="19"/>
      <c r="WVE45" s="19"/>
      <c r="WVF45" s="19"/>
      <c r="WVG45" s="19"/>
      <c r="WVH45" s="19"/>
      <c r="WVI45" s="19"/>
      <c r="WVJ45" s="19"/>
      <c r="WVK45" s="19"/>
      <c r="WVL45" s="19"/>
      <c r="WVM45" s="19"/>
      <c r="WVN45" s="19"/>
      <c r="WVO45" s="19"/>
      <c r="WVP45" s="19"/>
      <c r="WVQ45" s="19"/>
      <c r="WVR45" s="19"/>
      <c r="WVS45" s="19"/>
      <c r="WVT45" s="19"/>
      <c r="WVU45" s="19"/>
      <c r="WVV45" s="19"/>
      <c r="WVW45" s="19"/>
      <c r="WVX45" s="19"/>
      <c r="WVY45" s="19"/>
      <c r="WVZ45" s="19"/>
      <c r="WWA45" s="19"/>
      <c r="WWB45" s="19"/>
      <c r="WWC45" s="19"/>
      <c r="WWD45" s="19"/>
      <c r="WWE45" s="19"/>
      <c r="WWF45" s="19"/>
      <c r="WWG45" s="19"/>
      <c r="WWH45" s="19"/>
      <c r="WWI45" s="19"/>
      <c r="WWJ45" s="19"/>
      <c r="WWK45" s="19"/>
      <c r="WWL45" s="19"/>
      <c r="WWM45" s="19"/>
      <c r="WWN45" s="19"/>
      <c r="WWO45" s="19"/>
      <c r="WWP45" s="19"/>
      <c r="WWQ45" s="19"/>
      <c r="WWR45" s="19"/>
      <c r="WWS45" s="19"/>
      <c r="WWT45" s="19"/>
      <c r="WWU45" s="19"/>
      <c r="WWV45" s="19"/>
      <c r="WWW45" s="19"/>
      <c r="WWX45" s="19"/>
      <c r="WWY45" s="19"/>
      <c r="WWZ45" s="19"/>
      <c r="WXA45" s="19"/>
      <c r="WXB45" s="19"/>
      <c r="WXC45" s="19"/>
      <c r="WXD45" s="19"/>
      <c r="WXE45" s="19"/>
      <c r="WXF45" s="19"/>
      <c r="WXG45" s="19"/>
      <c r="WXH45" s="19"/>
      <c r="WXI45" s="19"/>
      <c r="WXJ45" s="19"/>
      <c r="WXK45" s="19"/>
      <c r="WXL45" s="19"/>
      <c r="WXM45" s="19"/>
      <c r="WXN45" s="19"/>
      <c r="WXO45" s="19"/>
      <c r="WXP45" s="19"/>
      <c r="WXQ45" s="19"/>
      <c r="WXR45" s="19"/>
      <c r="WXS45" s="19"/>
      <c r="WXT45" s="19"/>
      <c r="WXU45" s="19"/>
      <c r="WXV45" s="19"/>
      <c r="WXW45" s="19"/>
      <c r="WXX45" s="19"/>
      <c r="WXY45" s="19"/>
      <c r="WXZ45" s="19"/>
      <c r="WYA45" s="19"/>
      <c r="WYB45" s="19"/>
      <c r="WYC45" s="19"/>
      <c r="WYD45" s="19"/>
      <c r="WYE45" s="19"/>
      <c r="WYF45" s="19"/>
      <c r="WYG45" s="19"/>
      <c r="WYH45" s="19"/>
      <c r="WYI45" s="19"/>
      <c r="WYJ45" s="19"/>
      <c r="WYK45" s="19"/>
      <c r="WYL45" s="19"/>
      <c r="WYM45" s="19"/>
      <c r="WYN45" s="19"/>
      <c r="WYO45" s="19"/>
      <c r="WYP45" s="19"/>
      <c r="WYQ45" s="19"/>
      <c r="WYR45" s="19"/>
      <c r="WYS45" s="19"/>
      <c r="WYT45" s="19"/>
      <c r="WYU45" s="19"/>
      <c r="WYV45" s="19"/>
      <c r="WYW45" s="19"/>
      <c r="WYX45" s="19"/>
      <c r="WYY45" s="19"/>
      <c r="WYZ45" s="19"/>
      <c r="WZA45" s="19"/>
      <c r="WZB45" s="19"/>
      <c r="WZC45" s="19"/>
      <c r="WZD45" s="19"/>
      <c r="WZE45" s="19"/>
      <c r="WZF45" s="19"/>
      <c r="WZG45" s="19"/>
      <c r="WZH45" s="19"/>
      <c r="WZI45" s="19"/>
      <c r="WZJ45" s="19"/>
      <c r="WZK45" s="19"/>
      <c r="WZL45" s="19"/>
      <c r="WZM45" s="19"/>
      <c r="WZN45" s="19"/>
      <c r="WZO45" s="19"/>
      <c r="WZP45" s="19"/>
      <c r="WZQ45" s="19"/>
      <c r="WZR45" s="19"/>
      <c r="WZS45" s="19"/>
      <c r="WZT45" s="19"/>
      <c r="WZU45" s="19"/>
      <c r="WZV45" s="19"/>
      <c r="WZW45" s="19"/>
      <c r="WZX45" s="19"/>
      <c r="WZY45" s="19"/>
      <c r="WZZ45" s="19"/>
      <c r="XAA45" s="19"/>
      <c r="XAB45" s="19"/>
      <c r="XAC45" s="19"/>
      <c r="XAD45" s="19"/>
      <c r="XAE45" s="19"/>
      <c r="XAF45" s="19"/>
      <c r="XAG45" s="19"/>
      <c r="XAH45" s="19"/>
      <c r="XAI45" s="19"/>
      <c r="XAJ45" s="19"/>
      <c r="XAK45" s="19"/>
      <c r="XAL45" s="19"/>
      <c r="XAM45" s="19"/>
      <c r="XAN45" s="19"/>
      <c r="XAO45" s="19"/>
      <c r="XAP45" s="19"/>
      <c r="XAQ45" s="19"/>
      <c r="XAR45" s="19"/>
      <c r="XAS45" s="19"/>
      <c r="XAT45" s="19"/>
      <c r="XAU45" s="19"/>
      <c r="XAV45" s="19"/>
      <c r="XAW45" s="19"/>
      <c r="XAX45" s="19"/>
      <c r="XAY45" s="19"/>
      <c r="XAZ45" s="19"/>
      <c r="XBA45" s="19"/>
      <c r="XBB45" s="19"/>
      <c r="XBC45" s="19"/>
      <c r="XBD45" s="19"/>
      <c r="XBE45" s="19"/>
      <c r="XBF45" s="19"/>
      <c r="XBG45" s="19"/>
      <c r="XBH45" s="19"/>
      <c r="XBI45" s="19"/>
      <c r="XBJ45" s="19"/>
      <c r="XBK45" s="19"/>
      <c r="XBL45" s="19"/>
      <c r="XBM45" s="19"/>
      <c r="XBN45" s="19"/>
      <c r="XBO45" s="19"/>
      <c r="XBP45" s="19"/>
      <c r="XBQ45" s="19"/>
      <c r="XBR45" s="19"/>
      <c r="XBS45" s="19"/>
      <c r="XBT45" s="19"/>
      <c r="XBU45" s="19"/>
      <c r="XBV45" s="19"/>
      <c r="XBW45" s="19"/>
      <c r="XBX45" s="19"/>
      <c r="XBY45" s="19"/>
      <c r="XBZ45" s="19"/>
      <c r="XCA45" s="19"/>
      <c r="XCB45" s="19"/>
      <c r="XCC45" s="19"/>
      <c r="XCD45" s="19"/>
      <c r="XCE45" s="19"/>
      <c r="XCF45" s="19"/>
      <c r="XCG45" s="19"/>
      <c r="XCH45" s="19"/>
      <c r="XCI45" s="19"/>
      <c r="XCJ45" s="19"/>
      <c r="XCK45" s="19"/>
      <c r="XCL45" s="19"/>
      <c r="XCM45" s="19"/>
      <c r="XCN45" s="19"/>
      <c r="XCO45" s="19"/>
      <c r="XCP45" s="19"/>
      <c r="XCQ45" s="19"/>
      <c r="XCR45" s="19"/>
      <c r="XCS45" s="19"/>
      <c r="XCT45" s="19"/>
      <c r="XCU45" s="19"/>
      <c r="XCV45" s="19"/>
      <c r="XCW45" s="19"/>
      <c r="XCX45" s="19"/>
      <c r="XCY45" s="19"/>
      <c r="XCZ45" s="19"/>
      <c r="XDA45" s="19"/>
      <c r="XDB45" s="19"/>
      <c r="XDC45" s="19"/>
      <c r="XDD45" s="19"/>
      <c r="XDE45" s="19"/>
      <c r="XDF45" s="19"/>
      <c r="XDG45" s="19"/>
      <c r="XDH45" s="19"/>
      <c r="XDI45" s="19"/>
      <c r="XDJ45" s="19"/>
      <c r="XDK45" s="19"/>
      <c r="XDL45" s="19"/>
      <c r="XDM45" s="19"/>
      <c r="XDN45" s="19"/>
      <c r="XDO45" s="19"/>
      <c r="XDP45" s="19"/>
      <c r="XDQ45" s="19"/>
      <c r="XDR45" s="19"/>
      <c r="XDS45" s="19"/>
      <c r="XDT45" s="19"/>
      <c r="XDU45" s="19"/>
      <c r="XDV45" s="19"/>
      <c r="XDW45" s="19"/>
      <c r="XDX45" s="19"/>
      <c r="XDY45" s="19"/>
      <c r="XDZ45" s="19"/>
      <c r="XEA45" s="19"/>
      <c r="XEB45" s="19"/>
      <c r="XEC45" s="19"/>
      <c r="XED45" s="19"/>
      <c r="XEE45" s="19"/>
      <c r="XEF45" s="19"/>
      <c r="XEG45" s="19"/>
      <c r="XEH45" s="19"/>
      <c r="XEI45" s="19"/>
      <c r="XEJ45" s="19"/>
      <c r="XEK45" s="19"/>
      <c r="XEL45" s="19"/>
      <c r="XEM45" s="19"/>
      <c r="XEN45" s="19"/>
      <c r="XEO45" s="19"/>
      <c r="XEP45" s="19"/>
      <c r="XEQ45" s="19"/>
      <c r="XER45" s="19"/>
      <c r="XES45" s="19"/>
      <c r="XET45" s="19"/>
      <c r="XEU45" s="19"/>
      <c r="XEV45" s="19"/>
      <c r="XEW45" s="19"/>
      <c r="XEX45" s="19"/>
      <c r="XEY45" s="19"/>
      <c r="XEZ45" s="19"/>
      <c r="XFA45" s="19"/>
      <c r="XFB45" s="19"/>
    </row>
    <row r="46" spans="1:16382" s="18" customFormat="1" ht="15" customHeight="1" x14ac:dyDescent="0.25">
      <c r="B46" s="241"/>
      <c r="D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19"/>
      <c r="BZ46" s="19"/>
      <c r="CA46" s="19"/>
      <c r="CB46" s="19"/>
      <c r="CC46" s="19"/>
      <c r="CD46" s="19"/>
      <c r="CE46" s="19"/>
      <c r="CF46" s="19"/>
      <c r="CG46" s="19"/>
      <c r="CH46" s="19"/>
      <c r="CI46" s="19"/>
      <c r="CJ46" s="19"/>
      <c r="CK46" s="19"/>
      <c r="CL46" s="19"/>
      <c r="CM46" s="19"/>
      <c r="CN46" s="19"/>
      <c r="CO46" s="19"/>
      <c r="CP46" s="19"/>
      <c r="CQ46" s="19"/>
      <c r="CR46" s="19"/>
      <c r="CS46" s="19"/>
      <c r="CT46" s="19"/>
      <c r="CU46" s="19"/>
      <c r="CV46" s="19"/>
      <c r="CW46" s="19"/>
      <c r="CX46" s="19"/>
      <c r="CY46" s="19"/>
      <c r="CZ46" s="19"/>
      <c r="DA46" s="19"/>
      <c r="DB46" s="19"/>
      <c r="DC46" s="19"/>
      <c r="DD46" s="19"/>
      <c r="DE46" s="19"/>
      <c r="DF46" s="19"/>
      <c r="DG46" s="19"/>
      <c r="DH46" s="19"/>
      <c r="DI46" s="19"/>
      <c r="DJ46" s="19"/>
      <c r="DK46" s="19"/>
      <c r="DL46" s="19"/>
      <c r="DM46" s="19"/>
      <c r="DN46" s="19"/>
      <c r="DO46" s="19"/>
      <c r="DP46" s="19"/>
      <c r="DQ46" s="19"/>
      <c r="DR46" s="19"/>
      <c r="DS46" s="19"/>
      <c r="DT46" s="19"/>
      <c r="DU46" s="19"/>
      <c r="DV46" s="19"/>
      <c r="DW46" s="19"/>
      <c r="DX46" s="19"/>
      <c r="DY46" s="19"/>
      <c r="DZ46" s="19"/>
      <c r="EA46" s="19"/>
      <c r="EB46" s="19"/>
      <c r="EC46" s="19"/>
      <c r="ED46" s="19"/>
      <c r="EE46" s="19"/>
      <c r="EF46" s="19"/>
      <c r="EG46" s="19"/>
      <c r="EH46" s="19"/>
      <c r="EI46" s="19"/>
      <c r="EJ46" s="19"/>
      <c r="EK46" s="19"/>
      <c r="EL46" s="19"/>
      <c r="EM46" s="19"/>
      <c r="EN46" s="19"/>
      <c r="EO46" s="19"/>
      <c r="EP46" s="19"/>
      <c r="EQ46" s="19"/>
      <c r="ER46" s="19"/>
      <c r="ES46" s="19"/>
      <c r="ET46" s="19"/>
      <c r="EU46" s="19"/>
      <c r="EV46" s="19"/>
      <c r="EW46" s="19"/>
      <c r="EX46" s="19"/>
      <c r="EY46" s="19"/>
      <c r="EZ46" s="19"/>
      <c r="FA46" s="19"/>
      <c r="FB46" s="19"/>
      <c r="FC46" s="19"/>
      <c r="FD46" s="19"/>
      <c r="FE46" s="19"/>
      <c r="FF46" s="19"/>
      <c r="FG46" s="19"/>
      <c r="FH46" s="19"/>
      <c r="FI46" s="19"/>
      <c r="FJ46" s="19"/>
      <c r="FK46" s="19"/>
      <c r="FL46" s="19"/>
      <c r="FM46" s="19"/>
      <c r="FN46" s="19"/>
      <c r="FO46" s="19"/>
      <c r="FP46" s="19"/>
      <c r="FQ46" s="19"/>
      <c r="FR46" s="19"/>
      <c r="FS46" s="19"/>
      <c r="FT46" s="19"/>
      <c r="FU46" s="19"/>
      <c r="FV46" s="19"/>
      <c r="FW46" s="19"/>
      <c r="FX46" s="19"/>
      <c r="FY46" s="19"/>
      <c r="FZ46" s="19"/>
      <c r="GA46" s="19"/>
      <c r="GB46" s="19"/>
      <c r="GC46" s="19"/>
      <c r="GD46" s="19"/>
      <c r="GE46" s="19"/>
      <c r="GF46" s="19"/>
      <c r="GG46" s="19"/>
      <c r="GH46" s="19"/>
      <c r="GI46" s="19"/>
      <c r="GJ46" s="19"/>
      <c r="GK46" s="19"/>
      <c r="GL46" s="19"/>
      <c r="GM46" s="19"/>
      <c r="GN46" s="19"/>
      <c r="GO46" s="19"/>
      <c r="GP46" s="19"/>
      <c r="GQ46" s="19"/>
      <c r="GR46" s="19"/>
      <c r="GS46" s="19"/>
      <c r="GT46" s="19"/>
      <c r="GU46" s="19"/>
      <c r="GV46" s="19"/>
      <c r="GW46" s="19"/>
      <c r="GX46" s="19"/>
      <c r="GY46" s="19"/>
      <c r="GZ46" s="19"/>
      <c r="HA46" s="19"/>
      <c r="HB46" s="19"/>
      <c r="HC46" s="19"/>
      <c r="HD46" s="19"/>
      <c r="HE46" s="19"/>
      <c r="HF46" s="19"/>
      <c r="HG46" s="19"/>
      <c r="HH46" s="19"/>
      <c r="HI46" s="19"/>
      <c r="HJ46" s="19"/>
      <c r="HK46" s="19"/>
      <c r="HL46" s="19"/>
      <c r="HM46" s="19"/>
      <c r="HN46" s="19"/>
      <c r="HO46" s="19"/>
      <c r="HP46" s="19"/>
      <c r="HQ46" s="19"/>
      <c r="HR46" s="19"/>
      <c r="HS46" s="19"/>
      <c r="HT46" s="19"/>
      <c r="HU46" s="19"/>
      <c r="HV46" s="19"/>
      <c r="HW46" s="19"/>
      <c r="HX46" s="19"/>
      <c r="HY46" s="19"/>
      <c r="HZ46" s="19"/>
      <c r="IA46" s="19"/>
      <c r="IB46" s="19"/>
      <c r="IC46" s="19"/>
      <c r="ID46" s="19"/>
      <c r="IE46" s="19"/>
      <c r="IF46" s="19"/>
      <c r="IG46" s="19"/>
      <c r="IH46" s="19"/>
      <c r="II46" s="19"/>
      <c r="IJ46" s="19"/>
      <c r="IK46" s="19"/>
      <c r="IL46" s="19"/>
      <c r="IM46" s="19"/>
      <c r="IN46" s="19"/>
      <c r="IO46" s="19"/>
      <c r="IP46" s="19"/>
      <c r="IQ46" s="19"/>
      <c r="IR46" s="19"/>
      <c r="IS46" s="19"/>
      <c r="IT46" s="19"/>
      <c r="IU46" s="19"/>
      <c r="IV46" s="19"/>
      <c r="IW46" s="19"/>
      <c r="IX46" s="19"/>
      <c r="IY46" s="19"/>
      <c r="IZ46" s="19"/>
      <c r="JA46" s="19"/>
      <c r="JB46" s="19"/>
      <c r="JC46" s="19"/>
      <c r="JD46" s="19"/>
      <c r="JE46" s="19"/>
      <c r="JF46" s="19"/>
      <c r="JG46" s="19"/>
      <c r="JH46" s="19"/>
      <c r="JI46" s="19"/>
      <c r="JJ46" s="19"/>
      <c r="JK46" s="19"/>
      <c r="JL46" s="19"/>
      <c r="JM46" s="19"/>
      <c r="JN46" s="19"/>
      <c r="JO46" s="19"/>
      <c r="JP46" s="19"/>
      <c r="JQ46" s="19"/>
      <c r="JR46" s="19"/>
      <c r="JS46" s="19"/>
      <c r="JT46" s="19"/>
      <c r="JU46" s="19"/>
      <c r="JV46" s="19"/>
      <c r="JW46" s="19"/>
      <c r="JX46" s="19"/>
      <c r="JY46" s="19"/>
      <c r="JZ46" s="19"/>
      <c r="KA46" s="19"/>
      <c r="KB46" s="19"/>
      <c r="KC46" s="19"/>
      <c r="KD46" s="19"/>
      <c r="KE46" s="19"/>
      <c r="KF46" s="19"/>
      <c r="KG46" s="19"/>
      <c r="KH46" s="19"/>
      <c r="KI46" s="19"/>
      <c r="KJ46" s="19"/>
      <c r="KK46" s="19"/>
      <c r="KL46" s="19"/>
      <c r="KM46" s="19"/>
      <c r="KN46" s="19"/>
      <c r="KO46" s="19"/>
      <c r="KP46" s="19"/>
      <c r="KQ46" s="19"/>
      <c r="KR46" s="19"/>
      <c r="KS46" s="19"/>
      <c r="KT46" s="19"/>
      <c r="KU46" s="19"/>
      <c r="KV46" s="19"/>
      <c r="KW46" s="19"/>
      <c r="KX46" s="19"/>
      <c r="KY46" s="19"/>
      <c r="KZ46" s="19"/>
      <c r="LA46" s="19"/>
      <c r="LB46" s="19"/>
      <c r="LC46" s="19"/>
      <c r="LD46" s="19"/>
      <c r="LE46" s="19"/>
      <c r="LF46" s="19"/>
      <c r="LG46" s="19"/>
      <c r="LH46" s="19"/>
      <c r="LI46" s="19"/>
      <c r="LJ46" s="19"/>
      <c r="LK46" s="19"/>
      <c r="LL46" s="19"/>
      <c r="LM46" s="19"/>
      <c r="LN46" s="19"/>
      <c r="LO46" s="19"/>
      <c r="LP46" s="19"/>
      <c r="LQ46" s="19"/>
      <c r="LR46" s="19"/>
      <c r="LS46" s="19"/>
      <c r="LT46" s="19"/>
      <c r="LU46" s="19"/>
      <c r="LV46" s="19"/>
      <c r="LW46" s="19"/>
      <c r="LX46" s="19"/>
      <c r="LY46" s="19"/>
      <c r="LZ46" s="19"/>
      <c r="MA46" s="19"/>
      <c r="MB46" s="19"/>
      <c r="MC46" s="19"/>
      <c r="MD46" s="19"/>
      <c r="ME46" s="19"/>
      <c r="MF46" s="19"/>
      <c r="MG46" s="19"/>
      <c r="MH46" s="19"/>
      <c r="MI46" s="19"/>
      <c r="MJ46" s="19"/>
      <c r="MK46" s="19"/>
      <c r="ML46" s="19"/>
      <c r="MM46" s="19"/>
      <c r="MN46" s="19"/>
      <c r="MO46" s="19"/>
      <c r="MP46" s="19"/>
      <c r="MQ46" s="19"/>
      <c r="MR46" s="19"/>
      <c r="MS46" s="19"/>
      <c r="MT46" s="19"/>
      <c r="MU46" s="19"/>
      <c r="MV46" s="19"/>
      <c r="MW46" s="19"/>
      <c r="MX46" s="19"/>
      <c r="MY46" s="19"/>
      <c r="MZ46" s="19"/>
      <c r="NA46" s="19"/>
      <c r="NB46" s="19"/>
      <c r="NC46" s="19"/>
      <c r="ND46" s="19"/>
      <c r="NE46" s="19"/>
      <c r="NF46" s="19"/>
      <c r="NG46" s="19"/>
      <c r="NH46" s="19"/>
      <c r="NI46" s="19"/>
      <c r="NJ46" s="19"/>
      <c r="NK46" s="19"/>
      <c r="NL46" s="19"/>
      <c r="NM46" s="19"/>
      <c r="NN46" s="19"/>
      <c r="NO46" s="19"/>
      <c r="NP46" s="19"/>
      <c r="NQ46" s="19"/>
      <c r="NR46" s="19"/>
      <c r="NS46" s="19"/>
      <c r="NT46" s="19"/>
      <c r="NU46" s="19"/>
      <c r="NV46" s="19"/>
      <c r="NW46" s="19"/>
      <c r="NX46" s="19"/>
      <c r="NY46" s="19"/>
      <c r="NZ46" s="19"/>
      <c r="OA46" s="19"/>
      <c r="OB46" s="19"/>
      <c r="OC46" s="19"/>
      <c r="OD46" s="19"/>
      <c r="OE46" s="19"/>
      <c r="OF46" s="19"/>
      <c r="OG46" s="19"/>
      <c r="OH46" s="19"/>
      <c r="OI46" s="19"/>
      <c r="OJ46" s="19"/>
      <c r="OK46" s="19"/>
      <c r="OL46" s="19"/>
      <c r="OM46" s="19"/>
      <c r="ON46" s="19"/>
      <c r="OO46" s="19"/>
      <c r="OP46" s="19"/>
      <c r="OQ46" s="19"/>
      <c r="OR46" s="19"/>
      <c r="OS46" s="19"/>
      <c r="OT46" s="19"/>
      <c r="OU46" s="19"/>
      <c r="OV46" s="19"/>
      <c r="OW46" s="19"/>
      <c r="OX46" s="19"/>
      <c r="OY46" s="19"/>
      <c r="OZ46" s="19"/>
      <c r="PA46" s="19"/>
      <c r="PB46" s="19"/>
      <c r="PC46" s="19"/>
      <c r="PD46" s="19"/>
      <c r="PE46" s="19"/>
      <c r="PF46" s="19"/>
      <c r="PG46" s="19"/>
      <c r="PH46" s="19"/>
      <c r="PI46" s="19"/>
      <c r="PJ46" s="19"/>
      <c r="PK46" s="19"/>
      <c r="PL46" s="19"/>
      <c r="PM46" s="19"/>
      <c r="PN46" s="19"/>
      <c r="PO46" s="19"/>
      <c r="PP46" s="19"/>
      <c r="PQ46" s="19"/>
      <c r="PR46" s="19"/>
      <c r="PS46" s="19"/>
      <c r="PT46" s="19"/>
      <c r="PU46" s="19"/>
      <c r="PV46" s="19"/>
      <c r="PW46" s="19"/>
      <c r="PX46" s="19"/>
      <c r="PY46" s="19"/>
      <c r="PZ46" s="19"/>
      <c r="QA46" s="19"/>
      <c r="QB46" s="19"/>
      <c r="QC46" s="19"/>
      <c r="QD46" s="19"/>
      <c r="QE46" s="19"/>
      <c r="QF46" s="19"/>
      <c r="QG46" s="19"/>
      <c r="QH46" s="19"/>
      <c r="QI46" s="19"/>
      <c r="QJ46" s="19"/>
      <c r="QK46" s="19"/>
      <c r="QL46" s="19"/>
      <c r="QM46" s="19"/>
      <c r="QN46" s="19"/>
      <c r="QO46" s="19"/>
      <c r="QP46" s="19"/>
      <c r="QQ46" s="19"/>
      <c r="QR46" s="19"/>
      <c r="QS46" s="19"/>
      <c r="QT46" s="19"/>
      <c r="QU46" s="19"/>
      <c r="QV46" s="19"/>
      <c r="QW46" s="19"/>
      <c r="QX46" s="19"/>
      <c r="QY46" s="19"/>
      <c r="QZ46" s="19"/>
      <c r="RA46" s="19"/>
      <c r="RB46" s="19"/>
      <c r="RC46" s="19"/>
      <c r="RD46" s="19"/>
      <c r="RE46" s="19"/>
      <c r="RF46" s="19"/>
      <c r="RG46" s="19"/>
      <c r="RH46" s="19"/>
      <c r="RI46" s="19"/>
      <c r="RJ46" s="19"/>
      <c r="RK46" s="19"/>
      <c r="RL46" s="19"/>
      <c r="RM46" s="19"/>
      <c r="RN46" s="19"/>
      <c r="RO46" s="19"/>
      <c r="RP46" s="19"/>
      <c r="RQ46" s="19"/>
      <c r="RR46" s="19"/>
      <c r="RS46" s="19"/>
      <c r="RT46" s="19"/>
      <c r="RU46" s="19"/>
      <c r="RV46" s="19"/>
      <c r="RW46" s="19"/>
      <c r="RX46" s="19"/>
      <c r="RY46" s="19"/>
      <c r="RZ46" s="19"/>
      <c r="SA46" s="19"/>
      <c r="SB46" s="19"/>
      <c r="SC46" s="19"/>
      <c r="SD46" s="19"/>
      <c r="SE46" s="19"/>
      <c r="SF46" s="19"/>
      <c r="SG46" s="19"/>
      <c r="SH46" s="19"/>
      <c r="SI46" s="19"/>
      <c r="SJ46" s="19"/>
      <c r="SK46" s="19"/>
      <c r="SL46" s="19"/>
      <c r="SM46" s="19"/>
      <c r="SN46" s="19"/>
      <c r="SO46" s="19"/>
      <c r="SP46" s="19"/>
      <c r="SQ46" s="19"/>
      <c r="SR46" s="19"/>
      <c r="SS46" s="19"/>
      <c r="ST46" s="19"/>
      <c r="SU46" s="19"/>
      <c r="SV46" s="19"/>
      <c r="SW46" s="19"/>
      <c r="SX46" s="19"/>
      <c r="SY46" s="19"/>
      <c r="SZ46" s="19"/>
      <c r="TA46" s="19"/>
      <c r="TB46" s="19"/>
      <c r="TC46" s="19"/>
      <c r="TD46" s="19"/>
      <c r="TE46" s="19"/>
      <c r="TF46" s="19"/>
      <c r="TG46" s="19"/>
      <c r="TH46" s="19"/>
      <c r="TI46" s="19"/>
      <c r="TJ46" s="19"/>
      <c r="TK46" s="19"/>
      <c r="TL46" s="19"/>
      <c r="TM46" s="19"/>
      <c r="TN46" s="19"/>
      <c r="TO46" s="19"/>
      <c r="TP46" s="19"/>
      <c r="TQ46" s="19"/>
      <c r="TR46" s="19"/>
      <c r="TS46" s="19"/>
      <c r="TT46" s="19"/>
      <c r="TU46" s="19"/>
      <c r="TV46" s="19"/>
      <c r="TW46" s="19"/>
      <c r="TX46" s="19"/>
      <c r="TY46" s="19"/>
      <c r="TZ46" s="19"/>
      <c r="UA46" s="19"/>
      <c r="UB46" s="19"/>
      <c r="UC46" s="19"/>
      <c r="UD46" s="19"/>
      <c r="UE46" s="19"/>
      <c r="UF46" s="19"/>
      <c r="UG46" s="19"/>
      <c r="UH46" s="19"/>
      <c r="UI46" s="19"/>
      <c r="UJ46" s="19"/>
      <c r="UK46" s="19"/>
      <c r="UL46" s="19"/>
      <c r="UM46" s="19"/>
      <c r="UN46" s="19"/>
      <c r="UO46" s="19"/>
      <c r="UP46" s="19"/>
      <c r="UQ46" s="19"/>
      <c r="UR46" s="19"/>
      <c r="US46" s="19"/>
      <c r="UT46" s="19"/>
      <c r="UU46" s="19"/>
      <c r="UV46" s="19"/>
      <c r="UW46" s="19"/>
      <c r="UX46" s="19"/>
      <c r="UY46" s="19"/>
      <c r="UZ46" s="19"/>
      <c r="VA46" s="19"/>
      <c r="VB46" s="19"/>
      <c r="VC46" s="19"/>
      <c r="VD46" s="19"/>
      <c r="VE46" s="19"/>
      <c r="VF46" s="19"/>
      <c r="VG46" s="19"/>
      <c r="VH46" s="19"/>
      <c r="VI46" s="19"/>
      <c r="VJ46" s="19"/>
      <c r="VK46" s="19"/>
      <c r="VL46" s="19"/>
      <c r="VM46" s="19"/>
      <c r="VN46" s="19"/>
      <c r="VO46" s="19"/>
      <c r="VP46" s="19"/>
      <c r="VQ46" s="19"/>
      <c r="VR46" s="19"/>
      <c r="VS46" s="19"/>
      <c r="VT46" s="19"/>
      <c r="VU46" s="19"/>
      <c r="VV46" s="19"/>
      <c r="VW46" s="19"/>
      <c r="VX46" s="19"/>
      <c r="VY46" s="19"/>
      <c r="VZ46" s="19"/>
      <c r="WA46" s="19"/>
      <c r="WB46" s="19"/>
      <c r="WC46" s="19"/>
      <c r="WD46" s="19"/>
      <c r="WE46" s="19"/>
      <c r="WF46" s="19"/>
      <c r="WG46" s="19"/>
      <c r="WH46" s="19"/>
      <c r="WI46" s="19"/>
      <c r="WJ46" s="19"/>
      <c r="WK46" s="19"/>
      <c r="WL46" s="19"/>
      <c r="WM46" s="19"/>
      <c r="WN46" s="19"/>
      <c r="WO46" s="19"/>
      <c r="WP46" s="19"/>
      <c r="WQ46" s="19"/>
      <c r="WR46" s="19"/>
      <c r="WS46" s="19"/>
      <c r="WT46" s="19"/>
      <c r="WU46" s="19"/>
      <c r="WV46" s="19"/>
      <c r="WW46" s="19"/>
      <c r="WX46" s="19"/>
      <c r="WY46" s="19"/>
      <c r="WZ46" s="19"/>
      <c r="XA46" s="19"/>
      <c r="XB46" s="19"/>
      <c r="XC46" s="19"/>
      <c r="XD46" s="19"/>
      <c r="XE46" s="19"/>
      <c r="XF46" s="19"/>
      <c r="XG46" s="19"/>
      <c r="XH46" s="19"/>
      <c r="XI46" s="19"/>
      <c r="XJ46" s="19"/>
      <c r="XK46" s="19"/>
      <c r="XL46" s="19"/>
      <c r="XM46" s="19"/>
      <c r="XN46" s="19"/>
      <c r="XO46" s="19"/>
      <c r="XP46" s="19"/>
      <c r="XQ46" s="19"/>
      <c r="XR46" s="19"/>
      <c r="XS46" s="19"/>
      <c r="XT46" s="19"/>
      <c r="XU46" s="19"/>
      <c r="XV46" s="19"/>
      <c r="XW46" s="19"/>
      <c r="XX46" s="19"/>
      <c r="XY46" s="19"/>
      <c r="XZ46" s="19"/>
      <c r="YA46" s="19"/>
      <c r="YB46" s="19"/>
      <c r="YC46" s="19"/>
      <c r="YD46" s="19"/>
      <c r="YE46" s="19"/>
      <c r="YF46" s="19"/>
      <c r="YG46" s="19"/>
      <c r="YH46" s="19"/>
      <c r="YI46" s="19"/>
      <c r="YJ46" s="19"/>
      <c r="YK46" s="19"/>
      <c r="YL46" s="19"/>
      <c r="YM46" s="19"/>
      <c r="YN46" s="19"/>
      <c r="YO46" s="19"/>
      <c r="YP46" s="19"/>
      <c r="YQ46" s="19"/>
      <c r="YR46" s="19"/>
      <c r="YS46" s="19"/>
      <c r="YT46" s="19"/>
      <c r="YU46" s="19"/>
      <c r="YV46" s="19"/>
      <c r="YW46" s="19"/>
      <c r="YX46" s="19"/>
      <c r="YY46" s="19"/>
      <c r="YZ46" s="19"/>
      <c r="ZA46" s="19"/>
      <c r="ZB46" s="19"/>
      <c r="ZC46" s="19"/>
      <c r="ZD46" s="19"/>
      <c r="ZE46" s="19"/>
      <c r="ZF46" s="19"/>
      <c r="ZG46" s="19"/>
      <c r="ZH46" s="19"/>
      <c r="ZI46" s="19"/>
      <c r="ZJ46" s="19"/>
      <c r="ZK46" s="19"/>
      <c r="ZL46" s="19"/>
      <c r="ZM46" s="19"/>
      <c r="ZN46" s="19"/>
      <c r="ZO46" s="19"/>
      <c r="ZP46" s="19"/>
      <c r="ZQ46" s="19"/>
      <c r="ZR46" s="19"/>
      <c r="ZS46" s="19"/>
      <c r="ZT46" s="19"/>
      <c r="ZU46" s="19"/>
      <c r="ZV46" s="19"/>
      <c r="ZW46" s="19"/>
      <c r="ZX46" s="19"/>
      <c r="ZY46" s="19"/>
      <c r="ZZ46" s="19"/>
      <c r="AAA46" s="19"/>
      <c r="AAB46" s="19"/>
      <c r="AAC46" s="19"/>
      <c r="AAD46" s="19"/>
      <c r="AAE46" s="19"/>
      <c r="AAF46" s="19"/>
      <c r="AAG46" s="19"/>
      <c r="AAH46" s="19"/>
      <c r="AAI46" s="19"/>
      <c r="AAJ46" s="19"/>
      <c r="AAK46" s="19"/>
      <c r="AAL46" s="19"/>
      <c r="AAM46" s="19"/>
      <c r="AAN46" s="19"/>
      <c r="AAO46" s="19"/>
      <c r="AAP46" s="19"/>
      <c r="AAQ46" s="19"/>
      <c r="AAR46" s="19"/>
      <c r="AAS46" s="19"/>
      <c r="AAT46" s="19"/>
      <c r="AAU46" s="19"/>
      <c r="AAV46" s="19"/>
      <c r="AAW46" s="19"/>
      <c r="AAX46" s="19"/>
      <c r="AAY46" s="19"/>
      <c r="AAZ46" s="19"/>
      <c r="ABA46" s="19"/>
      <c r="ABB46" s="19"/>
      <c r="ABC46" s="19"/>
      <c r="ABD46" s="19"/>
      <c r="ABE46" s="19"/>
      <c r="ABF46" s="19"/>
      <c r="ABG46" s="19"/>
      <c r="ABH46" s="19"/>
      <c r="ABI46" s="19"/>
      <c r="ABJ46" s="19"/>
      <c r="ABK46" s="19"/>
      <c r="ABL46" s="19"/>
      <c r="ABM46" s="19"/>
      <c r="ABN46" s="19"/>
      <c r="ABO46" s="19"/>
      <c r="ABP46" s="19"/>
      <c r="ABQ46" s="19"/>
      <c r="ABR46" s="19"/>
      <c r="ABS46" s="19"/>
      <c r="ABT46" s="19"/>
      <c r="ABU46" s="19"/>
      <c r="ABV46" s="19"/>
      <c r="ABW46" s="19"/>
      <c r="ABX46" s="19"/>
      <c r="ABY46" s="19"/>
      <c r="ABZ46" s="19"/>
      <c r="ACA46" s="19"/>
      <c r="ACB46" s="19"/>
      <c r="ACC46" s="19"/>
      <c r="ACD46" s="19"/>
      <c r="ACE46" s="19"/>
      <c r="ACF46" s="19"/>
      <c r="ACG46" s="19"/>
      <c r="ACH46" s="19"/>
      <c r="ACI46" s="19"/>
      <c r="ACJ46" s="19"/>
      <c r="ACK46" s="19"/>
      <c r="ACL46" s="19"/>
      <c r="ACM46" s="19"/>
      <c r="ACN46" s="19"/>
      <c r="ACO46" s="19"/>
      <c r="ACP46" s="19"/>
      <c r="ACQ46" s="19"/>
      <c r="ACR46" s="19"/>
      <c r="ACS46" s="19"/>
      <c r="ACT46" s="19"/>
      <c r="ACU46" s="19"/>
      <c r="ACV46" s="19"/>
      <c r="ACW46" s="19"/>
      <c r="ACX46" s="19"/>
      <c r="ACY46" s="19"/>
      <c r="ACZ46" s="19"/>
      <c r="ADA46" s="19"/>
      <c r="ADB46" s="19"/>
      <c r="ADC46" s="19"/>
      <c r="ADD46" s="19"/>
      <c r="ADE46" s="19"/>
      <c r="ADF46" s="19"/>
      <c r="ADG46" s="19"/>
      <c r="ADH46" s="19"/>
      <c r="ADI46" s="19"/>
      <c r="ADJ46" s="19"/>
      <c r="ADK46" s="19"/>
      <c r="ADL46" s="19"/>
      <c r="ADM46" s="19"/>
      <c r="ADN46" s="19"/>
      <c r="ADO46" s="19"/>
      <c r="ADP46" s="19"/>
      <c r="ADQ46" s="19"/>
      <c r="ADR46" s="19"/>
      <c r="ADS46" s="19"/>
      <c r="ADT46" s="19"/>
      <c r="ADU46" s="19"/>
      <c r="ADV46" s="19"/>
      <c r="ADW46" s="19"/>
      <c r="ADX46" s="19"/>
      <c r="ADY46" s="19"/>
      <c r="ADZ46" s="19"/>
      <c r="AEA46" s="19"/>
      <c r="AEB46" s="19"/>
      <c r="AEC46" s="19"/>
      <c r="AED46" s="19"/>
      <c r="AEE46" s="19"/>
      <c r="AEF46" s="19"/>
      <c r="AEG46" s="19"/>
      <c r="AEH46" s="19"/>
      <c r="AEI46" s="19"/>
      <c r="AEJ46" s="19"/>
      <c r="AEK46" s="19"/>
      <c r="AEL46" s="19"/>
      <c r="AEM46" s="19"/>
      <c r="AEN46" s="19"/>
      <c r="AEO46" s="19"/>
      <c r="AEP46" s="19"/>
      <c r="AEQ46" s="19"/>
      <c r="AER46" s="19"/>
      <c r="AES46" s="19"/>
      <c r="AET46" s="19"/>
      <c r="AEU46" s="19"/>
      <c r="AEV46" s="19"/>
      <c r="AEW46" s="19"/>
      <c r="AEX46" s="19"/>
      <c r="AEY46" s="19"/>
      <c r="AEZ46" s="19"/>
      <c r="AFA46" s="19"/>
      <c r="AFB46" s="19"/>
      <c r="AFC46" s="19"/>
      <c r="AFD46" s="19"/>
      <c r="AFE46" s="19"/>
      <c r="AFF46" s="19"/>
      <c r="AFG46" s="19"/>
      <c r="AFH46" s="19"/>
      <c r="AFI46" s="19"/>
      <c r="AFJ46" s="19"/>
      <c r="AFK46" s="19"/>
      <c r="AFL46" s="19"/>
      <c r="AFM46" s="19"/>
      <c r="AFN46" s="19"/>
      <c r="AFO46" s="19"/>
      <c r="AFP46" s="19"/>
      <c r="AFQ46" s="19"/>
      <c r="AFR46" s="19"/>
      <c r="AFS46" s="19"/>
      <c r="AFT46" s="19"/>
      <c r="AFU46" s="19"/>
      <c r="AFV46" s="19"/>
      <c r="AFW46" s="19"/>
      <c r="AFX46" s="19"/>
      <c r="AFY46" s="19"/>
      <c r="AFZ46" s="19"/>
      <c r="AGA46" s="19"/>
      <c r="AGB46" s="19"/>
      <c r="AGC46" s="19"/>
      <c r="AGD46" s="19"/>
      <c r="AGE46" s="19"/>
      <c r="AGF46" s="19"/>
      <c r="AGG46" s="19"/>
      <c r="AGH46" s="19"/>
      <c r="AGI46" s="19"/>
      <c r="AGJ46" s="19"/>
      <c r="AGK46" s="19"/>
      <c r="AGL46" s="19"/>
      <c r="AGM46" s="19"/>
      <c r="AGN46" s="19"/>
      <c r="AGO46" s="19"/>
      <c r="AGP46" s="19"/>
      <c r="AGQ46" s="19"/>
      <c r="AGR46" s="19"/>
      <c r="AGS46" s="19"/>
      <c r="AGT46" s="19"/>
      <c r="AGU46" s="19"/>
      <c r="AGV46" s="19"/>
      <c r="AGW46" s="19"/>
      <c r="AGX46" s="19"/>
      <c r="AGY46" s="19"/>
      <c r="AGZ46" s="19"/>
      <c r="AHA46" s="19"/>
      <c r="AHB46" s="19"/>
      <c r="AHC46" s="19"/>
      <c r="AHD46" s="19"/>
      <c r="AHE46" s="19"/>
      <c r="AHF46" s="19"/>
      <c r="AHG46" s="19"/>
      <c r="AHH46" s="19"/>
      <c r="AHI46" s="19"/>
      <c r="AHJ46" s="19"/>
      <c r="AHK46" s="19"/>
      <c r="AHL46" s="19"/>
      <c r="AHM46" s="19"/>
      <c r="AHN46" s="19"/>
      <c r="AHO46" s="19"/>
      <c r="AHP46" s="19"/>
      <c r="AHQ46" s="19"/>
      <c r="AHR46" s="19"/>
      <c r="AHS46" s="19"/>
      <c r="AHT46" s="19"/>
      <c r="AHU46" s="19"/>
      <c r="AHV46" s="19"/>
      <c r="AHW46" s="19"/>
      <c r="AHX46" s="19"/>
      <c r="AHY46" s="19"/>
      <c r="AHZ46" s="19"/>
      <c r="AIA46" s="19"/>
      <c r="AIB46" s="19"/>
      <c r="AIC46" s="19"/>
      <c r="AID46" s="19"/>
      <c r="AIE46" s="19"/>
      <c r="AIF46" s="19"/>
      <c r="AIG46" s="19"/>
      <c r="AIH46" s="19"/>
      <c r="AII46" s="19"/>
      <c r="AIJ46" s="19"/>
      <c r="AIK46" s="19"/>
      <c r="AIL46" s="19"/>
      <c r="AIM46" s="19"/>
      <c r="AIN46" s="19"/>
      <c r="AIO46" s="19"/>
      <c r="AIP46" s="19"/>
      <c r="AIQ46" s="19"/>
      <c r="AIR46" s="19"/>
      <c r="AIS46" s="19"/>
      <c r="AIT46" s="19"/>
      <c r="AIU46" s="19"/>
      <c r="AIV46" s="19"/>
      <c r="AIW46" s="19"/>
      <c r="AIX46" s="19"/>
      <c r="AIY46" s="19"/>
      <c r="AIZ46" s="19"/>
      <c r="AJA46" s="19"/>
      <c r="AJB46" s="19"/>
      <c r="AJC46" s="19"/>
      <c r="AJD46" s="19"/>
      <c r="AJE46" s="19"/>
      <c r="AJF46" s="19"/>
      <c r="AJG46" s="19"/>
      <c r="AJH46" s="19"/>
      <c r="AJI46" s="19"/>
      <c r="AJJ46" s="19"/>
      <c r="AJK46" s="19"/>
      <c r="AJL46" s="19"/>
      <c r="AJM46" s="19"/>
      <c r="AJN46" s="19"/>
      <c r="AJO46" s="19"/>
      <c r="AJP46" s="19"/>
      <c r="AJQ46" s="19"/>
      <c r="AJR46" s="19"/>
      <c r="AJS46" s="19"/>
      <c r="AJT46" s="19"/>
      <c r="AJU46" s="19"/>
      <c r="AJV46" s="19"/>
      <c r="AJW46" s="19"/>
      <c r="AJX46" s="19"/>
      <c r="AJY46" s="19"/>
      <c r="AJZ46" s="19"/>
      <c r="AKA46" s="19"/>
      <c r="AKB46" s="19"/>
      <c r="AKC46" s="19"/>
      <c r="AKD46" s="19"/>
      <c r="AKE46" s="19"/>
      <c r="AKF46" s="19"/>
      <c r="AKG46" s="19"/>
      <c r="AKH46" s="19"/>
      <c r="AKI46" s="19"/>
      <c r="AKJ46" s="19"/>
      <c r="AKK46" s="19"/>
      <c r="AKL46" s="19"/>
      <c r="AKM46" s="19"/>
      <c r="AKN46" s="19"/>
      <c r="AKO46" s="19"/>
      <c r="AKP46" s="19"/>
      <c r="AKQ46" s="19"/>
      <c r="AKR46" s="19"/>
      <c r="AKS46" s="19"/>
      <c r="AKT46" s="19"/>
      <c r="AKU46" s="19"/>
      <c r="AKV46" s="19"/>
      <c r="AKW46" s="19"/>
      <c r="AKX46" s="19"/>
      <c r="AKY46" s="19"/>
      <c r="AKZ46" s="19"/>
      <c r="ALA46" s="19"/>
      <c r="ALB46" s="19"/>
      <c r="ALC46" s="19"/>
      <c r="ALD46" s="19"/>
      <c r="ALE46" s="19"/>
      <c r="ALF46" s="19"/>
      <c r="ALG46" s="19"/>
      <c r="ALH46" s="19"/>
      <c r="ALI46" s="19"/>
      <c r="ALJ46" s="19"/>
      <c r="ALK46" s="19"/>
      <c r="ALL46" s="19"/>
      <c r="ALM46" s="19"/>
      <c r="ALN46" s="19"/>
      <c r="ALO46" s="19"/>
      <c r="ALP46" s="19"/>
      <c r="ALQ46" s="19"/>
      <c r="ALR46" s="19"/>
      <c r="ALS46" s="19"/>
      <c r="ALT46" s="19"/>
      <c r="ALU46" s="19"/>
      <c r="ALV46" s="19"/>
      <c r="ALW46" s="19"/>
      <c r="ALX46" s="19"/>
      <c r="ALY46" s="19"/>
      <c r="ALZ46" s="19"/>
      <c r="AMA46" s="19"/>
      <c r="AMB46" s="19"/>
      <c r="AMC46" s="19"/>
      <c r="AMD46" s="19"/>
      <c r="AME46" s="19"/>
      <c r="AMF46" s="19"/>
      <c r="AMG46" s="19"/>
      <c r="AMH46" s="19"/>
      <c r="AMI46" s="19"/>
      <c r="AMJ46" s="19"/>
      <c r="AMK46" s="19"/>
      <c r="AML46" s="19"/>
      <c r="AMM46" s="19"/>
      <c r="AMN46" s="19"/>
      <c r="AMO46" s="19"/>
      <c r="AMP46" s="19"/>
      <c r="AMQ46" s="19"/>
      <c r="AMR46" s="19"/>
      <c r="AMS46" s="19"/>
      <c r="AMT46" s="19"/>
      <c r="AMU46" s="19"/>
      <c r="AMV46" s="19"/>
      <c r="AMW46" s="19"/>
      <c r="AMX46" s="19"/>
      <c r="AMY46" s="19"/>
      <c r="AMZ46" s="19"/>
      <c r="ANA46" s="19"/>
      <c r="ANB46" s="19"/>
      <c r="ANC46" s="19"/>
      <c r="AND46" s="19"/>
      <c r="ANE46" s="19"/>
      <c r="ANF46" s="19"/>
      <c r="ANG46" s="19"/>
      <c r="ANH46" s="19"/>
      <c r="ANI46" s="19"/>
      <c r="ANJ46" s="19"/>
      <c r="ANK46" s="19"/>
      <c r="ANL46" s="19"/>
      <c r="ANM46" s="19"/>
      <c r="ANN46" s="19"/>
      <c r="ANO46" s="19"/>
      <c r="ANP46" s="19"/>
      <c r="ANQ46" s="19"/>
      <c r="ANR46" s="19"/>
      <c r="ANS46" s="19"/>
      <c r="ANT46" s="19"/>
      <c r="ANU46" s="19"/>
      <c r="ANV46" s="19"/>
      <c r="ANW46" s="19"/>
      <c r="ANX46" s="19"/>
      <c r="ANY46" s="19"/>
      <c r="ANZ46" s="19"/>
      <c r="AOA46" s="19"/>
      <c r="AOB46" s="19"/>
      <c r="AOC46" s="19"/>
      <c r="AOD46" s="19"/>
      <c r="AOE46" s="19"/>
      <c r="AOF46" s="19"/>
      <c r="AOG46" s="19"/>
      <c r="AOH46" s="19"/>
      <c r="AOI46" s="19"/>
      <c r="AOJ46" s="19"/>
      <c r="AOK46" s="19"/>
      <c r="AOL46" s="19"/>
      <c r="AOM46" s="19"/>
      <c r="AON46" s="19"/>
      <c r="AOO46" s="19"/>
      <c r="AOP46" s="19"/>
      <c r="AOQ46" s="19"/>
      <c r="AOR46" s="19"/>
      <c r="AOS46" s="19"/>
      <c r="AOT46" s="19"/>
      <c r="AOU46" s="19"/>
      <c r="AOV46" s="19"/>
      <c r="AOW46" s="19"/>
      <c r="AOX46" s="19"/>
      <c r="AOY46" s="19"/>
      <c r="AOZ46" s="19"/>
      <c r="APA46" s="19"/>
      <c r="APB46" s="19"/>
      <c r="APC46" s="19"/>
      <c r="APD46" s="19"/>
      <c r="APE46" s="19"/>
      <c r="APF46" s="19"/>
      <c r="APG46" s="19"/>
      <c r="APH46" s="19"/>
      <c r="API46" s="19"/>
      <c r="APJ46" s="19"/>
      <c r="APK46" s="19"/>
      <c r="APL46" s="19"/>
      <c r="APM46" s="19"/>
      <c r="APN46" s="19"/>
      <c r="APO46" s="19"/>
      <c r="APP46" s="19"/>
      <c r="APQ46" s="19"/>
      <c r="APR46" s="19"/>
      <c r="APS46" s="19"/>
      <c r="APT46" s="19"/>
      <c r="APU46" s="19"/>
      <c r="APV46" s="19"/>
      <c r="APW46" s="19"/>
      <c r="APX46" s="19"/>
      <c r="APY46" s="19"/>
      <c r="APZ46" s="19"/>
      <c r="AQA46" s="19"/>
      <c r="AQB46" s="19"/>
      <c r="AQC46" s="19"/>
      <c r="AQD46" s="19"/>
      <c r="AQE46" s="19"/>
      <c r="AQF46" s="19"/>
      <c r="AQG46" s="19"/>
      <c r="AQH46" s="19"/>
      <c r="AQI46" s="19"/>
      <c r="AQJ46" s="19"/>
      <c r="AQK46" s="19"/>
      <c r="AQL46" s="19"/>
      <c r="AQM46" s="19"/>
      <c r="AQN46" s="19"/>
      <c r="AQO46" s="19"/>
      <c r="AQP46" s="19"/>
      <c r="AQQ46" s="19"/>
      <c r="AQR46" s="19"/>
      <c r="AQS46" s="19"/>
      <c r="AQT46" s="19"/>
      <c r="AQU46" s="19"/>
      <c r="AQV46" s="19"/>
      <c r="AQW46" s="19"/>
      <c r="AQX46" s="19"/>
      <c r="AQY46" s="19"/>
      <c r="AQZ46" s="19"/>
      <c r="ARA46" s="19"/>
      <c r="ARB46" s="19"/>
      <c r="ARC46" s="19"/>
      <c r="ARD46" s="19"/>
      <c r="ARE46" s="19"/>
      <c r="ARF46" s="19"/>
      <c r="ARG46" s="19"/>
      <c r="ARH46" s="19"/>
      <c r="ARI46" s="19"/>
      <c r="ARJ46" s="19"/>
      <c r="ARK46" s="19"/>
      <c r="ARL46" s="19"/>
      <c r="ARM46" s="19"/>
      <c r="ARN46" s="19"/>
      <c r="ARO46" s="19"/>
      <c r="ARP46" s="19"/>
      <c r="ARQ46" s="19"/>
      <c r="ARR46" s="19"/>
      <c r="ARS46" s="19"/>
      <c r="ART46" s="19"/>
      <c r="ARU46" s="19"/>
      <c r="ARV46" s="19"/>
      <c r="ARW46" s="19"/>
      <c r="ARX46" s="19"/>
      <c r="ARY46" s="19"/>
      <c r="ARZ46" s="19"/>
      <c r="ASA46" s="19"/>
      <c r="ASB46" s="19"/>
      <c r="ASC46" s="19"/>
      <c r="ASD46" s="19"/>
      <c r="ASE46" s="19"/>
      <c r="ASF46" s="19"/>
      <c r="ASG46" s="19"/>
      <c r="ASH46" s="19"/>
      <c r="ASI46" s="19"/>
      <c r="ASJ46" s="19"/>
      <c r="ASK46" s="19"/>
      <c r="ASL46" s="19"/>
      <c r="ASM46" s="19"/>
      <c r="ASN46" s="19"/>
      <c r="ASO46" s="19"/>
      <c r="ASP46" s="19"/>
      <c r="ASQ46" s="19"/>
      <c r="ASR46" s="19"/>
      <c r="ASS46" s="19"/>
      <c r="AST46" s="19"/>
      <c r="ASU46" s="19"/>
      <c r="ASV46" s="19"/>
      <c r="ASW46" s="19"/>
      <c r="ASX46" s="19"/>
      <c r="ASY46" s="19"/>
      <c r="ASZ46" s="19"/>
      <c r="ATA46" s="19"/>
      <c r="ATB46" s="19"/>
      <c r="ATC46" s="19"/>
      <c r="ATD46" s="19"/>
      <c r="ATE46" s="19"/>
      <c r="ATF46" s="19"/>
      <c r="ATG46" s="19"/>
      <c r="ATH46" s="19"/>
      <c r="ATI46" s="19"/>
      <c r="ATJ46" s="19"/>
      <c r="ATK46" s="19"/>
      <c r="ATL46" s="19"/>
      <c r="ATM46" s="19"/>
      <c r="ATN46" s="19"/>
      <c r="ATO46" s="19"/>
      <c r="ATP46" s="19"/>
      <c r="ATQ46" s="19"/>
      <c r="ATR46" s="19"/>
      <c r="ATS46" s="19"/>
      <c r="ATT46" s="19"/>
      <c r="ATU46" s="19"/>
      <c r="ATV46" s="19"/>
      <c r="ATW46" s="19"/>
      <c r="ATX46" s="19"/>
      <c r="ATY46" s="19"/>
      <c r="ATZ46" s="19"/>
      <c r="AUA46" s="19"/>
      <c r="AUB46" s="19"/>
      <c r="AUC46" s="19"/>
      <c r="AUD46" s="19"/>
      <c r="AUE46" s="19"/>
      <c r="AUF46" s="19"/>
      <c r="AUG46" s="19"/>
      <c r="AUH46" s="19"/>
      <c r="AUI46" s="19"/>
      <c r="AUJ46" s="19"/>
      <c r="AUK46" s="19"/>
      <c r="AUL46" s="19"/>
      <c r="AUM46" s="19"/>
      <c r="AUN46" s="19"/>
      <c r="AUO46" s="19"/>
      <c r="AUP46" s="19"/>
      <c r="AUQ46" s="19"/>
      <c r="AUR46" s="19"/>
      <c r="AUS46" s="19"/>
      <c r="AUT46" s="19"/>
      <c r="AUU46" s="19"/>
      <c r="AUV46" s="19"/>
      <c r="AUW46" s="19"/>
      <c r="AUX46" s="19"/>
      <c r="AUY46" s="19"/>
      <c r="AUZ46" s="19"/>
      <c r="AVA46" s="19"/>
      <c r="AVB46" s="19"/>
      <c r="AVC46" s="19"/>
      <c r="AVD46" s="19"/>
      <c r="AVE46" s="19"/>
      <c r="AVF46" s="19"/>
      <c r="AVG46" s="19"/>
      <c r="AVH46" s="19"/>
      <c r="AVI46" s="19"/>
      <c r="AVJ46" s="19"/>
      <c r="AVK46" s="19"/>
      <c r="AVL46" s="19"/>
      <c r="AVM46" s="19"/>
      <c r="AVN46" s="19"/>
      <c r="AVO46" s="19"/>
      <c r="AVP46" s="19"/>
      <c r="AVQ46" s="19"/>
      <c r="AVR46" s="19"/>
      <c r="AVS46" s="19"/>
      <c r="AVT46" s="19"/>
      <c r="AVU46" s="19"/>
      <c r="AVV46" s="19"/>
      <c r="AVW46" s="19"/>
      <c r="AVX46" s="19"/>
      <c r="AVY46" s="19"/>
      <c r="AVZ46" s="19"/>
      <c r="AWA46" s="19"/>
      <c r="AWB46" s="19"/>
      <c r="AWC46" s="19"/>
      <c r="AWD46" s="19"/>
      <c r="AWE46" s="19"/>
      <c r="AWF46" s="19"/>
      <c r="AWG46" s="19"/>
      <c r="AWH46" s="19"/>
      <c r="AWI46" s="19"/>
      <c r="AWJ46" s="19"/>
      <c r="AWK46" s="19"/>
      <c r="AWL46" s="19"/>
      <c r="AWM46" s="19"/>
      <c r="AWN46" s="19"/>
      <c r="AWO46" s="19"/>
      <c r="AWP46" s="19"/>
      <c r="AWQ46" s="19"/>
      <c r="AWR46" s="19"/>
      <c r="AWS46" s="19"/>
      <c r="AWT46" s="19"/>
      <c r="AWU46" s="19"/>
      <c r="AWV46" s="19"/>
      <c r="AWW46" s="19"/>
      <c r="AWX46" s="19"/>
      <c r="AWY46" s="19"/>
      <c r="AWZ46" s="19"/>
      <c r="AXA46" s="19"/>
      <c r="AXB46" s="19"/>
      <c r="AXC46" s="19"/>
      <c r="AXD46" s="19"/>
      <c r="AXE46" s="19"/>
      <c r="AXF46" s="19"/>
      <c r="AXG46" s="19"/>
      <c r="AXH46" s="19"/>
      <c r="AXI46" s="19"/>
      <c r="AXJ46" s="19"/>
      <c r="AXK46" s="19"/>
      <c r="AXL46" s="19"/>
      <c r="AXM46" s="19"/>
      <c r="AXN46" s="19"/>
      <c r="AXO46" s="19"/>
      <c r="AXP46" s="19"/>
      <c r="AXQ46" s="19"/>
      <c r="AXR46" s="19"/>
      <c r="AXS46" s="19"/>
      <c r="AXT46" s="19"/>
      <c r="AXU46" s="19"/>
      <c r="AXV46" s="19"/>
      <c r="AXW46" s="19"/>
      <c r="AXX46" s="19"/>
      <c r="AXY46" s="19"/>
      <c r="AXZ46" s="19"/>
      <c r="AYA46" s="19"/>
      <c r="AYB46" s="19"/>
      <c r="AYC46" s="19"/>
      <c r="AYD46" s="19"/>
      <c r="AYE46" s="19"/>
      <c r="AYF46" s="19"/>
      <c r="AYG46" s="19"/>
      <c r="AYH46" s="19"/>
      <c r="AYI46" s="19"/>
      <c r="AYJ46" s="19"/>
      <c r="AYK46" s="19"/>
      <c r="AYL46" s="19"/>
      <c r="AYM46" s="19"/>
      <c r="AYN46" s="19"/>
      <c r="AYO46" s="19"/>
      <c r="AYP46" s="19"/>
      <c r="AYQ46" s="19"/>
      <c r="AYR46" s="19"/>
      <c r="AYS46" s="19"/>
      <c r="AYT46" s="19"/>
      <c r="AYU46" s="19"/>
      <c r="AYV46" s="19"/>
      <c r="AYW46" s="19"/>
      <c r="AYX46" s="19"/>
      <c r="AYY46" s="19"/>
      <c r="AYZ46" s="19"/>
      <c r="AZA46" s="19"/>
      <c r="AZB46" s="19"/>
      <c r="AZC46" s="19"/>
      <c r="AZD46" s="19"/>
      <c r="AZE46" s="19"/>
      <c r="AZF46" s="19"/>
      <c r="AZG46" s="19"/>
      <c r="AZH46" s="19"/>
      <c r="AZI46" s="19"/>
      <c r="AZJ46" s="19"/>
      <c r="AZK46" s="19"/>
      <c r="AZL46" s="19"/>
      <c r="AZM46" s="19"/>
      <c r="AZN46" s="19"/>
      <c r="AZO46" s="19"/>
      <c r="AZP46" s="19"/>
      <c r="AZQ46" s="19"/>
      <c r="AZR46" s="19"/>
      <c r="AZS46" s="19"/>
      <c r="AZT46" s="19"/>
      <c r="AZU46" s="19"/>
      <c r="AZV46" s="19"/>
      <c r="AZW46" s="19"/>
      <c r="AZX46" s="19"/>
      <c r="AZY46" s="19"/>
      <c r="AZZ46" s="19"/>
      <c r="BAA46" s="19"/>
      <c r="BAB46" s="19"/>
      <c r="BAC46" s="19"/>
      <c r="BAD46" s="19"/>
      <c r="BAE46" s="19"/>
      <c r="BAF46" s="19"/>
      <c r="BAG46" s="19"/>
      <c r="BAH46" s="19"/>
      <c r="BAI46" s="19"/>
      <c r="BAJ46" s="19"/>
      <c r="BAK46" s="19"/>
      <c r="BAL46" s="19"/>
      <c r="BAM46" s="19"/>
      <c r="BAN46" s="19"/>
      <c r="BAO46" s="19"/>
      <c r="BAP46" s="19"/>
      <c r="BAQ46" s="19"/>
      <c r="BAR46" s="19"/>
      <c r="BAS46" s="19"/>
      <c r="BAT46" s="19"/>
      <c r="BAU46" s="19"/>
      <c r="BAV46" s="19"/>
      <c r="BAW46" s="19"/>
      <c r="BAX46" s="19"/>
      <c r="BAY46" s="19"/>
      <c r="BAZ46" s="19"/>
      <c r="BBA46" s="19"/>
      <c r="BBB46" s="19"/>
      <c r="BBC46" s="19"/>
      <c r="BBD46" s="19"/>
      <c r="BBE46" s="19"/>
      <c r="BBF46" s="19"/>
      <c r="BBG46" s="19"/>
      <c r="BBH46" s="19"/>
      <c r="BBI46" s="19"/>
      <c r="BBJ46" s="19"/>
      <c r="BBK46" s="19"/>
      <c r="BBL46" s="19"/>
      <c r="BBM46" s="19"/>
      <c r="BBN46" s="19"/>
      <c r="BBO46" s="19"/>
      <c r="BBP46" s="19"/>
      <c r="BBQ46" s="19"/>
      <c r="BBR46" s="19"/>
      <c r="BBS46" s="19"/>
      <c r="BBT46" s="19"/>
      <c r="BBU46" s="19"/>
      <c r="BBV46" s="19"/>
      <c r="BBW46" s="19"/>
      <c r="BBX46" s="19"/>
      <c r="BBY46" s="19"/>
      <c r="BBZ46" s="19"/>
      <c r="BCA46" s="19"/>
      <c r="BCB46" s="19"/>
      <c r="BCC46" s="19"/>
      <c r="BCD46" s="19"/>
      <c r="BCE46" s="19"/>
      <c r="BCF46" s="19"/>
      <c r="BCG46" s="19"/>
      <c r="BCH46" s="19"/>
      <c r="BCI46" s="19"/>
      <c r="BCJ46" s="19"/>
      <c r="BCK46" s="19"/>
      <c r="BCL46" s="19"/>
      <c r="BCM46" s="19"/>
      <c r="BCN46" s="19"/>
      <c r="BCO46" s="19"/>
      <c r="BCP46" s="19"/>
      <c r="BCQ46" s="19"/>
      <c r="BCR46" s="19"/>
      <c r="BCS46" s="19"/>
      <c r="BCT46" s="19"/>
      <c r="BCU46" s="19"/>
      <c r="BCV46" s="19"/>
      <c r="BCW46" s="19"/>
      <c r="BCX46" s="19"/>
      <c r="BCY46" s="19"/>
      <c r="BCZ46" s="19"/>
      <c r="BDA46" s="19"/>
      <c r="BDB46" s="19"/>
      <c r="BDC46" s="19"/>
      <c r="BDD46" s="19"/>
      <c r="BDE46" s="19"/>
      <c r="BDF46" s="19"/>
      <c r="BDG46" s="19"/>
      <c r="BDH46" s="19"/>
      <c r="BDI46" s="19"/>
      <c r="BDJ46" s="19"/>
      <c r="BDK46" s="19"/>
      <c r="BDL46" s="19"/>
      <c r="BDM46" s="19"/>
      <c r="BDN46" s="19"/>
      <c r="BDO46" s="19"/>
      <c r="BDP46" s="19"/>
      <c r="BDQ46" s="19"/>
      <c r="BDR46" s="19"/>
      <c r="BDS46" s="19"/>
      <c r="BDT46" s="19"/>
      <c r="BDU46" s="19"/>
      <c r="BDV46" s="19"/>
      <c r="BDW46" s="19"/>
      <c r="BDX46" s="19"/>
      <c r="BDY46" s="19"/>
      <c r="BDZ46" s="19"/>
      <c r="BEA46" s="19"/>
      <c r="BEB46" s="19"/>
      <c r="BEC46" s="19"/>
      <c r="BED46" s="19"/>
      <c r="BEE46" s="19"/>
      <c r="BEF46" s="19"/>
      <c r="BEG46" s="19"/>
      <c r="BEH46" s="19"/>
      <c r="BEI46" s="19"/>
      <c r="BEJ46" s="19"/>
      <c r="BEK46" s="19"/>
      <c r="BEL46" s="19"/>
      <c r="BEM46" s="19"/>
      <c r="BEN46" s="19"/>
      <c r="BEO46" s="19"/>
      <c r="BEP46" s="19"/>
      <c r="BEQ46" s="19"/>
      <c r="BER46" s="19"/>
      <c r="BES46" s="19"/>
      <c r="BET46" s="19"/>
      <c r="BEU46" s="19"/>
      <c r="BEV46" s="19"/>
      <c r="BEW46" s="19"/>
      <c r="BEX46" s="19"/>
      <c r="BEY46" s="19"/>
      <c r="BEZ46" s="19"/>
      <c r="BFA46" s="19"/>
      <c r="BFB46" s="19"/>
      <c r="BFC46" s="19"/>
      <c r="BFD46" s="19"/>
      <c r="BFE46" s="19"/>
      <c r="BFF46" s="19"/>
      <c r="BFG46" s="19"/>
      <c r="BFH46" s="19"/>
      <c r="BFI46" s="19"/>
      <c r="BFJ46" s="19"/>
      <c r="BFK46" s="19"/>
      <c r="BFL46" s="19"/>
      <c r="BFM46" s="19"/>
      <c r="BFN46" s="19"/>
      <c r="BFO46" s="19"/>
      <c r="BFP46" s="19"/>
      <c r="BFQ46" s="19"/>
      <c r="BFR46" s="19"/>
      <c r="BFS46" s="19"/>
      <c r="BFT46" s="19"/>
      <c r="BFU46" s="19"/>
      <c r="BFV46" s="19"/>
      <c r="BFW46" s="19"/>
      <c r="BFX46" s="19"/>
      <c r="BFY46" s="19"/>
      <c r="BFZ46" s="19"/>
      <c r="BGA46" s="19"/>
      <c r="BGB46" s="19"/>
      <c r="BGC46" s="19"/>
      <c r="BGD46" s="19"/>
      <c r="BGE46" s="19"/>
      <c r="BGF46" s="19"/>
      <c r="BGG46" s="19"/>
      <c r="BGH46" s="19"/>
      <c r="BGI46" s="19"/>
      <c r="BGJ46" s="19"/>
      <c r="BGK46" s="19"/>
      <c r="BGL46" s="19"/>
      <c r="BGM46" s="19"/>
      <c r="BGN46" s="19"/>
      <c r="BGO46" s="19"/>
      <c r="BGP46" s="19"/>
      <c r="BGQ46" s="19"/>
      <c r="BGR46" s="19"/>
      <c r="BGS46" s="19"/>
      <c r="BGT46" s="19"/>
      <c r="BGU46" s="19"/>
      <c r="BGV46" s="19"/>
      <c r="BGW46" s="19"/>
      <c r="BGX46" s="19"/>
      <c r="BGY46" s="19"/>
      <c r="BGZ46" s="19"/>
      <c r="BHA46" s="19"/>
      <c r="BHB46" s="19"/>
      <c r="BHC46" s="19"/>
      <c r="BHD46" s="19"/>
      <c r="BHE46" s="19"/>
      <c r="BHF46" s="19"/>
      <c r="BHG46" s="19"/>
      <c r="BHH46" s="19"/>
      <c r="BHI46" s="19"/>
      <c r="BHJ46" s="19"/>
      <c r="BHK46" s="19"/>
      <c r="BHL46" s="19"/>
      <c r="BHM46" s="19"/>
      <c r="BHN46" s="19"/>
      <c r="BHO46" s="19"/>
      <c r="BHP46" s="19"/>
      <c r="BHQ46" s="19"/>
      <c r="BHR46" s="19"/>
      <c r="BHS46" s="19"/>
      <c r="BHT46" s="19"/>
      <c r="BHU46" s="19"/>
      <c r="BHV46" s="19"/>
      <c r="BHW46" s="19"/>
      <c r="BHX46" s="19"/>
      <c r="BHY46" s="19"/>
      <c r="BHZ46" s="19"/>
      <c r="BIA46" s="19"/>
      <c r="BIB46" s="19"/>
      <c r="BIC46" s="19"/>
      <c r="BID46" s="19"/>
      <c r="BIE46" s="19"/>
      <c r="BIF46" s="19"/>
      <c r="BIG46" s="19"/>
      <c r="BIH46" s="19"/>
      <c r="BII46" s="19"/>
      <c r="BIJ46" s="19"/>
      <c r="BIK46" s="19"/>
      <c r="BIL46" s="19"/>
      <c r="BIM46" s="19"/>
      <c r="BIN46" s="19"/>
      <c r="BIO46" s="19"/>
      <c r="BIP46" s="19"/>
      <c r="BIQ46" s="19"/>
      <c r="BIR46" s="19"/>
      <c r="BIS46" s="19"/>
      <c r="BIT46" s="19"/>
      <c r="BIU46" s="19"/>
      <c r="BIV46" s="19"/>
      <c r="BIW46" s="19"/>
      <c r="BIX46" s="19"/>
      <c r="BIY46" s="19"/>
      <c r="BIZ46" s="19"/>
      <c r="BJA46" s="19"/>
      <c r="BJB46" s="19"/>
      <c r="BJC46" s="19"/>
      <c r="BJD46" s="19"/>
      <c r="BJE46" s="19"/>
      <c r="BJF46" s="19"/>
      <c r="BJG46" s="19"/>
      <c r="BJH46" s="19"/>
      <c r="BJI46" s="19"/>
      <c r="BJJ46" s="19"/>
      <c r="BJK46" s="19"/>
      <c r="BJL46" s="19"/>
      <c r="BJM46" s="19"/>
      <c r="BJN46" s="19"/>
      <c r="BJO46" s="19"/>
      <c r="BJP46" s="19"/>
      <c r="BJQ46" s="19"/>
      <c r="BJR46" s="19"/>
      <c r="BJS46" s="19"/>
      <c r="BJT46" s="19"/>
      <c r="BJU46" s="19"/>
      <c r="BJV46" s="19"/>
      <c r="BJW46" s="19"/>
      <c r="BJX46" s="19"/>
      <c r="BJY46" s="19"/>
      <c r="BJZ46" s="19"/>
      <c r="BKA46" s="19"/>
      <c r="BKB46" s="19"/>
      <c r="BKC46" s="19"/>
      <c r="BKD46" s="19"/>
      <c r="BKE46" s="19"/>
      <c r="BKF46" s="19"/>
      <c r="BKG46" s="19"/>
      <c r="BKH46" s="19"/>
      <c r="BKI46" s="19"/>
      <c r="BKJ46" s="19"/>
      <c r="BKK46" s="19"/>
      <c r="BKL46" s="19"/>
      <c r="BKM46" s="19"/>
      <c r="BKN46" s="19"/>
      <c r="BKO46" s="19"/>
      <c r="BKP46" s="19"/>
      <c r="BKQ46" s="19"/>
      <c r="BKR46" s="19"/>
      <c r="BKS46" s="19"/>
      <c r="BKT46" s="19"/>
      <c r="BKU46" s="19"/>
      <c r="BKV46" s="19"/>
      <c r="BKW46" s="19"/>
      <c r="BKX46" s="19"/>
      <c r="BKY46" s="19"/>
      <c r="BKZ46" s="19"/>
      <c r="BLA46" s="19"/>
      <c r="BLB46" s="19"/>
      <c r="BLC46" s="19"/>
      <c r="BLD46" s="19"/>
      <c r="BLE46" s="19"/>
      <c r="BLF46" s="19"/>
      <c r="BLG46" s="19"/>
      <c r="BLH46" s="19"/>
      <c r="BLI46" s="19"/>
      <c r="BLJ46" s="19"/>
      <c r="BLK46" s="19"/>
      <c r="BLL46" s="19"/>
      <c r="BLM46" s="19"/>
      <c r="BLN46" s="19"/>
      <c r="BLO46" s="19"/>
      <c r="BLP46" s="19"/>
      <c r="BLQ46" s="19"/>
      <c r="BLR46" s="19"/>
      <c r="BLS46" s="19"/>
      <c r="BLT46" s="19"/>
      <c r="BLU46" s="19"/>
      <c r="BLV46" s="19"/>
      <c r="BLW46" s="19"/>
      <c r="BLX46" s="19"/>
      <c r="BLY46" s="19"/>
      <c r="BLZ46" s="19"/>
      <c r="BMA46" s="19"/>
      <c r="BMB46" s="19"/>
      <c r="BMC46" s="19"/>
      <c r="BMD46" s="19"/>
      <c r="BME46" s="19"/>
      <c r="BMF46" s="19"/>
      <c r="BMG46" s="19"/>
      <c r="BMH46" s="19"/>
      <c r="BMI46" s="19"/>
      <c r="BMJ46" s="19"/>
      <c r="BMK46" s="19"/>
      <c r="BML46" s="19"/>
      <c r="BMM46" s="19"/>
      <c r="BMN46" s="19"/>
      <c r="BMO46" s="19"/>
      <c r="BMP46" s="19"/>
      <c r="BMQ46" s="19"/>
      <c r="BMR46" s="19"/>
      <c r="BMS46" s="19"/>
      <c r="BMT46" s="19"/>
      <c r="BMU46" s="19"/>
      <c r="BMV46" s="19"/>
      <c r="BMW46" s="19"/>
      <c r="BMX46" s="19"/>
      <c r="BMY46" s="19"/>
      <c r="BMZ46" s="19"/>
      <c r="BNA46" s="19"/>
      <c r="BNB46" s="19"/>
      <c r="BNC46" s="19"/>
      <c r="BND46" s="19"/>
      <c r="BNE46" s="19"/>
      <c r="BNF46" s="19"/>
      <c r="BNG46" s="19"/>
      <c r="BNH46" s="19"/>
      <c r="BNI46" s="19"/>
      <c r="BNJ46" s="19"/>
      <c r="BNK46" s="19"/>
      <c r="BNL46" s="19"/>
      <c r="BNM46" s="19"/>
      <c r="BNN46" s="19"/>
      <c r="BNO46" s="19"/>
      <c r="BNP46" s="19"/>
      <c r="BNQ46" s="19"/>
      <c r="BNR46" s="19"/>
      <c r="BNS46" s="19"/>
      <c r="BNT46" s="19"/>
      <c r="BNU46" s="19"/>
      <c r="BNV46" s="19"/>
      <c r="BNW46" s="19"/>
      <c r="BNX46" s="19"/>
      <c r="BNY46" s="19"/>
      <c r="BNZ46" s="19"/>
      <c r="BOA46" s="19"/>
      <c r="BOB46" s="19"/>
      <c r="BOC46" s="19"/>
      <c r="BOD46" s="19"/>
      <c r="BOE46" s="19"/>
      <c r="BOF46" s="19"/>
      <c r="BOG46" s="19"/>
      <c r="BOH46" s="19"/>
      <c r="BOI46" s="19"/>
      <c r="BOJ46" s="19"/>
      <c r="BOK46" s="19"/>
      <c r="BOL46" s="19"/>
      <c r="BOM46" s="19"/>
      <c r="BON46" s="19"/>
      <c r="BOO46" s="19"/>
      <c r="BOP46" s="19"/>
      <c r="BOQ46" s="19"/>
      <c r="BOR46" s="19"/>
      <c r="BOS46" s="19"/>
      <c r="BOT46" s="19"/>
      <c r="BOU46" s="19"/>
      <c r="BOV46" s="19"/>
      <c r="BOW46" s="19"/>
      <c r="BOX46" s="19"/>
      <c r="BOY46" s="19"/>
      <c r="BOZ46" s="19"/>
      <c r="BPA46" s="19"/>
      <c r="BPB46" s="19"/>
      <c r="BPC46" s="19"/>
      <c r="BPD46" s="19"/>
      <c r="BPE46" s="19"/>
      <c r="BPF46" s="19"/>
      <c r="BPG46" s="19"/>
      <c r="BPH46" s="19"/>
      <c r="BPI46" s="19"/>
      <c r="BPJ46" s="19"/>
      <c r="BPK46" s="19"/>
      <c r="BPL46" s="19"/>
      <c r="BPM46" s="19"/>
      <c r="BPN46" s="19"/>
      <c r="BPO46" s="19"/>
      <c r="BPP46" s="19"/>
      <c r="BPQ46" s="19"/>
      <c r="BPR46" s="19"/>
      <c r="BPS46" s="19"/>
      <c r="BPT46" s="19"/>
      <c r="BPU46" s="19"/>
      <c r="BPV46" s="19"/>
      <c r="BPW46" s="19"/>
      <c r="BPX46" s="19"/>
      <c r="BPY46" s="19"/>
      <c r="BPZ46" s="19"/>
      <c r="BQA46" s="19"/>
      <c r="BQB46" s="19"/>
      <c r="BQC46" s="19"/>
      <c r="BQD46" s="19"/>
      <c r="BQE46" s="19"/>
      <c r="BQF46" s="19"/>
      <c r="BQG46" s="19"/>
      <c r="BQH46" s="19"/>
      <c r="BQI46" s="19"/>
      <c r="BQJ46" s="19"/>
      <c r="BQK46" s="19"/>
      <c r="BQL46" s="19"/>
      <c r="BQM46" s="19"/>
      <c r="BQN46" s="19"/>
      <c r="BQO46" s="19"/>
      <c r="BQP46" s="19"/>
      <c r="BQQ46" s="19"/>
      <c r="BQR46" s="19"/>
      <c r="BQS46" s="19"/>
      <c r="BQT46" s="19"/>
      <c r="BQU46" s="19"/>
      <c r="BQV46" s="19"/>
      <c r="BQW46" s="19"/>
      <c r="BQX46" s="19"/>
      <c r="BQY46" s="19"/>
      <c r="BQZ46" s="19"/>
      <c r="BRA46" s="19"/>
      <c r="BRB46" s="19"/>
      <c r="BRC46" s="19"/>
      <c r="BRD46" s="19"/>
      <c r="BRE46" s="19"/>
      <c r="BRF46" s="19"/>
      <c r="BRG46" s="19"/>
      <c r="BRH46" s="19"/>
      <c r="BRI46" s="19"/>
      <c r="BRJ46" s="19"/>
      <c r="BRK46" s="19"/>
      <c r="BRL46" s="19"/>
      <c r="BRM46" s="19"/>
      <c r="BRN46" s="19"/>
      <c r="BRO46" s="19"/>
      <c r="BRP46" s="19"/>
      <c r="BRQ46" s="19"/>
      <c r="BRR46" s="19"/>
      <c r="BRS46" s="19"/>
      <c r="BRT46" s="19"/>
      <c r="BRU46" s="19"/>
      <c r="BRV46" s="19"/>
      <c r="BRW46" s="19"/>
      <c r="BRX46" s="19"/>
      <c r="BRY46" s="19"/>
      <c r="BRZ46" s="19"/>
      <c r="BSA46" s="19"/>
      <c r="BSB46" s="19"/>
      <c r="BSC46" s="19"/>
      <c r="BSD46" s="19"/>
      <c r="BSE46" s="19"/>
      <c r="BSF46" s="19"/>
      <c r="BSG46" s="19"/>
      <c r="BSH46" s="19"/>
      <c r="BSI46" s="19"/>
      <c r="BSJ46" s="19"/>
      <c r="BSK46" s="19"/>
      <c r="BSL46" s="19"/>
      <c r="BSM46" s="19"/>
      <c r="BSN46" s="19"/>
      <c r="BSO46" s="19"/>
      <c r="BSP46" s="19"/>
      <c r="BSQ46" s="19"/>
      <c r="BSR46" s="19"/>
      <c r="BSS46" s="19"/>
      <c r="BST46" s="19"/>
      <c r="BSU46" s="19"/>
      <c r="BSV46" s="19"/>
      <c r="BSW46" s="19"/>
      <c r="BSX46" s="19"/>
      <c r="BSY46" s="19"/>
      <c r="BSZ46" s="19"/>
      <c r="BTA46" s="19"/>
      <c r="BTB46" s="19"/>
      <c r="BTC46" s="19"/>
      <c r="BTD46" s="19"/>
      <c r="BTE46" s="19"/>
      <c r="BTF46" s="19"/>
      <c r="BTG46" s="19"/>
      <c r="BTH46" s="19"/>
      <c r="BTI46" s="19"/>
      <c r="BTJ46" s="19"/>
      <c r="BTK46" s="19"/>
      <c r="BTL46" s="19"/>
      <c r="BTM46" s="19"/>
      <c r="BTN46" s="19"/>
      <c r="BTO46" s="19"/>
      <c r="BTP46" s="19"/>
      <c r="BTQ46" s="19"/>
      <c r="BTR46" s="19"/>
      <c r="BTS46" s="19"/>
      <c r="BTT46" s="19"/>
      <c r="BTU46" s="19"/>
      <c r="BTV46" s="19"/>
      <c r="BTW46" s="19"/>
      <c r="BTX46" s="19"/>
      <c r="BTY46" s="19"/>
      <c r="BTZ46" s="19"/>
      <c r="BUA46" s="19"/>
      <c r="BUB46" s="19"/>
      <c r="BUC46" s="19"/>
      <c r="BUD46" s="19"/>
      <c r="BUE46" s="19"/>
      <c r="BUF46" s="19"/>
      <c r="BUG46" s="19"/>
      <c r="BUH46" s="19"/>
      <c r="BUI46" s="19"/>
      <c r="BUJ46" s="19"/>
      <c r="BUK46" s="19"/>
      <c r="BUL46" s="19"/>
      <c r="BUM46" s="19"/>
      <c r="BUN46" s="19"/>
      <c r="BUO46" s="19"/>
      <c r="BUP46" s="19"/>
      <c r="BUQ46" s="19"/>
      <c r="BUR46" s="19"/>
      <c r="BUS46" s="19"/>
      <c r="BUT46" s="19"/>
      <c r="BUU46" s="19"/>
      <c r="BUV46" s="19"/>
      <c r="BUW46" s="19"/>
      <c r="BUX46" s="19"/>
      <c r="BUY46" s="19"/>
      <c r="BUZ46" s="19"/>
      <c r="BVA46" s="19"/>
      <c r="BVB46" s="19"/>
      <c r="BVC46" s="19"/>
      <c r="BVD46" s="19"/>
      <c r="BVE46" s="19"/>
      <c r="BVF46" s="19"/>
      <c r="BVG46" s="19"/>
      <c r="BVH46" s="19"/>
      <c r="BVI46" s="19"/>
      <c r="BVJ46" s="19"/>
      <c r="BVK46" s="19"/>
      <c r="BVL46" s="19"/>
      <c r="BVM46" s="19"/>
      <c r="BVN46" s="19"/>
      <c r="BVO46" s="19"/>
      <c r="BVP46" s="19"/>
      <c r="BVQ46" s="19"/>
      <c r="BVR46" s="19"/>
      <c r="BVS46" s="19"/>
      <c r="BVT46" s="19"/>
      <c r="BVU46" s="19"/>
      <c r="BVV46" s="19"/>
      <c r="BVW46" s="19"/>
      <c r="BVX46" s="19"/>
      <c r="BVY46" s="19"/>
      <c r="BVZ46" s="19"/>
      <c r="BWA46" s="19"/>
      <c r="BWB46" s="19"/>
      <c r="BWC46" s="19"/>
      <c r="BWD46" s="19"/>
      <c r="BWE46" s="19"/>
      <c r="BWF46" s="19"/>
      <c r="BWG46" s="19"/>
      <c r="BWH46" s="19"/>
      <c r="BWI46" s="19"/>
      <c r="BWJ46" s="19"/>
      <c r="BWK46" s="19"/>
      <c r="BWL46" s="19"/>
      <c r="BWM46" s="19"/>
      <c r="BWN46" s="19"/>
      <c r="BWO46" s="19"/>
      <c r="BWP46" s="19"/>
      <c r="BWQ46" s="19"/>
      <c r="BWR46" s="19"/>
      <c r="BWS46" s="19"/>
      <c r="BWT46" s="19"/>
      <c r="BWU46" s="19"/>
      <c r="BWV46" s="19"/>
      <c r="BWW46" s="19"/>
      <c r="BWX46" s="19"/>
      <c r="BWY46" s="19"/>
      <c r="BWZ46" s="19"/>
      <c r="BXA46" s="19"/>
      <c r="BXB46" s="19"/>
      <c r="BXC46" s="19"/>
      <c r="BXD46" s="19"/>
      <c r="BXE46" s="19"/>
      <c r="BXF46" s="19"/>
      <c r="BXG46" s="19"/>
      <c r="BXH46" s="19"/>
      <c r="BXI46" s="19"/>
      <c r="BXJ46" s="19"/>
      <c r="BXK46" s="19"/>
      <c r="BXL46" s="19"/>
      <c r="BXM46" s="19"/>
      <c r="BXN46" s="19"/>
      <c r="BXO46" s="19"/>
      <c r="BXP46" s="19"/>
      <c r="BXQ46" s="19"/>
      <c r="BXR46" s="19"/>
      <c r="BXS46" s="19"/>
      <c r="BXT46" s="19"/>
      <c r="BXU46" s="19"/>
      <c r="BXV46" s="19"/>
      <c r="BXW46" s="19"/>
      <c r="BXX46" s="19"/>
      <c r="BXY46" s="19"/>
      <c r="BXZ46" s="19"/>
      <c r="BYA46" s="19"/>
      <c r="BYB46" s="19"/>
      <c r="BYC46" s="19"/>
      <c r="BYD46" s="19"/>
      <c r="BYE46" s="19"/>
      <c r="BYF46" s="19"/>
      <c r="BYG46" s="19"/>
      <c r="BYH46" s="19"/>
      <c r="BYI46" s="19"/>
      <c r="BYJ46" s="19"/>
      <c r="BYK46" s="19"/>
      <c r="BYL46" s="19"/>
      <c r="BYM46" s="19"/>
      <c r="BYN46" s="19"/>
      <c r="BYO46" s="19"/>
      <c r="BYP46" s="19"/>
      <c r="BYQ46" s="19"/>
      <c r="BYR46" s="19"/>
      <c r="BYS46" s="19"/>
      <c r="BYT46" s="19"/>
      <c r="BYU46" s="19"/>
      <c r="BYV46" s="19"/>
      <c r="BYW46" s="19"/>
      <c r="BYX46" s="19"/>
      <c r="BYY46" s="19"/>
      <c r="BYZ46" s="19"/>
      <c r="BZA46" s="19"/>
      <c r="BZB46" s="19"/>
      <c r="BZC46" s="19"/>
      <c r="BZD46" s="19"/>
      <c r="BZE46" s="19"/>
      <c r="BZF46" s="19"/>
      <c r="BZG46" s="19"/>
      <c r="BZH46" s="19"/>
      <c r="BZI46" s="19"/>
      <c r="BZJ46" s="19"/>
      <c r="BZK46" s="19"/>
      <c r="BZL46" s="19"/>
      <c r="BZM46" s="19"/>
      <c r="BZN46" s="19"/>
      <c r="BZO46" s="19"/>
      <c r="BZP46" s="19"/>
      <c r="BZQ46" s="19"/>
      <c r="BZR46" s="19"/>
      <c r="BZS46" s="19"/>
      <c r="BZT46" s="19"/>
      <c r="BZU46" s="19"/>
      <c r="BZV46" s="19"/>
      <c r="BZW46" s="19"/>
      <c r="BZX46" s="19"/>
      <c r="BZY46" s="19"/>
      <c r="BZZ46" s="19"/>
      <c r="CAA46" s="19"/>
      <c r="CAB46" s="19"/>
      <c r="CAC46" s="19"/>
      <c r="CAD46" s="19"/>
      <c r="CAE46" s="19"/>
      <c r="CAF46" s="19"/>
      <c r="CAG46" s="19"/>
      <c r="CAH46" s="19"/>
      <c r="CAI46" s="19"/>
      <c r="CAJ46" s="19"/>
      <c r="CAK46" s="19"/>
      <c r="CAL46" s="19"/>
      <c r="CAM46" s="19"/>
      <c r="CAN46" s="19"/>
      <c r="CAO46" s="19"/>
      <c r="CAP46" s="19"/>
      <c r="CAQ46" s="19"/>
      <c r="CAR46" s="19"/>
      <c r="CAS46" s="19"/>
      <c r="CAT46" s="19"/>
      <c r="CAU46" s="19"/>
      <c r="CAV46" s="19"/>
      <c r="CAW46" s="19"/>
      <c r="CAX46" s="19"/>
      <c r="CAY46" s="19"/>
      <c r="CAZ46" s="19"/>
      <c r="CBA46" s="19"/>
      <c r="CBB46" s="19"/>
      <c r="CBC46" s="19"/>
      <c r="CBD46" s="19"/>
      <c r="CBE46" s="19"/>
      <c r="CBF46" s="19"/>
      <c r="CBG46" s="19"/>
      <c r="CBH46" s="19"/>
      <c r="CBI46" s="19"/>
      <c r="CBJ46" s="19"/>
      <c r="CBK46" s="19"/>
      <c r="CBL46" s="19"/>
      <c r="CBM46" s="19"/>
      <c r="CBN46" s="19"/>
      <c r="CBO46" s="19"/>
      <c r="CBP46" s="19"/>
      <c r="CBQ46" s="19"/>
      <c r="CBR46" s="19"/>
      <c r="CBS46" s="19"/>
      <c r="CBT46" s="19"/>
      <c r="CBU46" s="19"/>
      <c r="CBV46" s="19"/>
      <c r="CBW46" s="19"/>
      <c r="CBX46" s="19"/>
      <c r="CBY46" s="19"/>
      <c r="CBZ46" s="19"/>
      <c r="CCA46" s="19"/>
      <c r="CCB46" s="19"/>
      <c r="CCC46" s="19"/>
      <c r="CCD46" s="19"/>
      <c r="CCE46" s="19"/>
      <c r="CCF46" s="19"/>
      <c r="CCG46" s="19"/>
      <c r="CCH46" s="19"/>
      <c r="CCI46" s="19"/>
      <c r="CCJ46" s="19"/>
      <c r="CCK46" s="19"/>
      <c r="CCL46" s="19"/>
      <c r="CCM46" s="19"/>
      <c r="CCN46" s="19"/>
      <c r="CCO46" s="19"/>
      <c r="CCP46" s="19"/>
      <c r="CCQ46" s="19"/>
      <c r="CCR46" s="19"/>
      <c r="CCS46" s="19"/>
      <c r="CCT46" s="19"/>
      <c r="CCU46" s="19"/>
      <c r="CCV46" s="19"/>
      <c r="CCW46" s="19"/>
      <c r="CCX46" s="19"/>
      <c r="CCY46" s="19"/>
      <c r="CCZ46" s="19"/>
      <c r="CDA46" s="19"/>
      <c r="CDB46" s="19"/>
      <c r="CDC46" s="19"/>
      <c r="CDD46" s="19"/>
      <c r="CDE46" s="19"/>
      <c r="CDF46" s="19"/>
      <c r="CDG46" s="19"/>
      <c r="CDH46" s="19"/>
      <c r="CDI46" s="19"/>
      <c r="CDJ46" s="19"/>
      <c r="CDK46" s="19"/>
      <c r="CDL46" s="19"/>
      <c r="CDM46" s="19"/>
      <c r="CDN46" s="19"/>
      <c r="CDO46" s="19"/>
      <c r="CDP46" s="19"/>
      <c r="CDQ46" s="19"/>
      <c r="CDR46" s="19"/>
      <c r="CDS46" s="19"/>
      <c r="CDT46" s="19"/>
      <c r="CDU46" s="19"/>
      <c r="CDV46" s="19"/>
      <c r="CDW46" s="19"/>
      <c r="CDX46" s="19"/>
      <c r="CDY46" s="19"/>
      <c r="CDZ46" s="19"/>
      <c r="CEA46" s="19"/>
      <c r="CEB46" s="19"/>
      <c r="CEC46" s="19"/>
      <c r="CED46" s="19"/>
      <c r="CEE46" s="19"/>
      <c r="CEF46" s="19"/>
      <c r="CEG46" s="19"/>
      <c r="CEH46" s="19"/>
      <c r="CEI46" s="19"/>
      <c r="CEJ46" s="19"/>
      <c r="CEK46" s="19"/>
      <c r="CEL46" s="19"/>
      <c r="CEM46" s="19"/>
      <c r="CEN46" s="19"/>
      <c r="CEO46" s="19"/>
      <c r="CEP46" s="19"/>
      <c r="CEQ46" s="19"/>
      <c r="CER46" s="19"/>
      <c r="CES46" s="19"/>
      <c r="CET46" s="19"/>
      <c r="CEU46" s="19"/>
      <c r="CEV46" s="19"/>
      <c r="CEW46" s="19"/>
      <c r="CEX46" s="19"/>
      <c r="CEY46" s="19"/>
      <c r="CEZ46" s="19"/>
      <c r="CFA46" s="19"/>
      <c r="CFB46" s="19"/>
      <c r="CFC46" s="19"/>
      <c r="CFD46" s="19"/>
      <c r="CFE46" s="19"/>
      <c r="CFF46" s="19"/>
      <c r="CFG46" s="19"/>
      <c r="CFH46" s="19"/>
      <c r="CFI46" s="19"/>
      <c r="CFJ46" s="19"/>
      <c r="CFK46" s="19"/>
      <c r="CFL46" s="19"/>
      <c r="CFM46" s="19"/>
      <c r="CFN46" s="19"/>
      <c r="CFO46" s="19"/>
      <c r="CFP46" s="19"/>
      <c r="CFQ46" s="19"/>
      <c r="CFR46" s="19"/>
      <c r="CFS46" s="19"/>
      <c r="CFT46" s="19"/>
      <c r="CFU46" s="19"/>
      <c r="CFV46" s="19"/>
      <c r="CFW46" s="19"/>
      <c r="CFX46" s="19"/>
      <c r="CFY46" s="19"/>
      <c r="CFZ46" s="19"/>
      <c r="CGA46" s="19"/>
      <c r="CGB46" s="19"/>
      <c r="CGC46" s="19"/>
      <c r="CGD46" s="19"/>
      <c r="CGE46" s="19"/>
      <c r="CGF46" s="19"/>
      <c r="CGG46" s="19"/>
      <c r="CGH46" s="19"/>
      <c r="CGI46" s="19"/>
      <c r="CGJ46" s="19"/>
      <c r="CGK46" s="19"/>
      <c r="CGL46" s="19"/>
      <c r="CGM46" s="19"/>
      <c r="CGN46" s="19"/>
      <c r="CGO46" s="19"/>
      <c r="CGP46" s="19"/>
      <c r="CGQ46" s="19"/>
      <c r="CGR46" s="19"/>
      <c r="CGS46" s="19"/>
      <c r="CGT46" s="19"/>
      <c r="CGU46" s="19"/>
      <c r="CGV46" s="19"/>
      <c r="CGW46" s="19"/>
      <c r="CGX46" s="19"/>
      <c r="CGY46" s="19"/>
      <c r="CGZ46" s="19"/>
      <c r="CHA46" s="19"/>
      <c r="CHB46" s="19"/>
      <c r="CHC46" s="19"/>
      <c r="CHD46" s="19"/>
      <c r="CHE46" s="19"/>
      <c r="CHF46" s="19"/>
      <c r="CHG46" s="19"/>
      <c r="CHH46" s="19"/>
      <c r="CHI46" s="19"/>
      <c r="CHJ46" s="19"/>
      <c r="CHK46" s="19"/>
      <c r="CHL46" s="19"/>
      <c r="CHM46" s="19"/>
      <c r="CHN46" s="19"/>
      <c r="CHO46" s="19"/>
      <c r="CHP46" s="19"/>
      <c r="CHQ46" s="19"/>
      <c r="CHR46" s="19"/>
      <c r="CHS46" s="19"/>
      <c r="CHT46" s="19"/>
      <c r="CHU46" s="19"/>
      <c r="CHV46" s="19"/>
      <c r="CHW46" s="19"/>
      <c r="CHX46" s="19"/>
      <c r="CHY46" s="19"/>
      <c r="CHZ46" s="19"/>
      <c r="CIA46" s="19"/>
      <c r="CIB46" s="19"/>
      <c r="CIC46" s="19"/>
      <c r="CID46" s="19"/>
      <c r="CIE46" s="19"/>
      <c r="CIF46" s="19"/>
      <c r="CIG46" s="19"/>
      <c r="CIH46" s="19"/>
      <c r="CII46" s="19"/>
      <c r="CIJ46" s="19"/>
      <c r="CIK46" s="19"/>
      <c r="CIL46" s="19"/>
      <c r="CIM46" s="19"/>
      <c r="CIN46" s="19"/>
      <c r="CIO46" s="19"/>
      <c r="CIP46" s="19"/>
      <c r="CIQ46" s="19"/>
      <c r="CIR46" s="19"/>
      <c r="CIS46" s="19"/>
      <c r="CIT46" s="19"/>
      <c r="CIU46" s="19"/>
      <c r="CIV46" s="19"/>
      <c r="CIW46" s="19"/>
      <c r="CIX46" s="19"/>
      <c r="CIY46" s="19"/>
      <c r="CIZ46" s="19"/>
      <c r="CJA46" s="19"/>
      <c r="CJB46" s="19"/>
      <c r="CJC46" s="19"/>
      <c r="CJD46" s="19"/>
      <c r="CJE46" s="19"/>
      <c r="CJF46" s="19"/>
      <c r="CJG46" s="19"/>
      <c r="CJH46" s="19"/>
      <c r="CJI46" s="19"/>
      <c r="CJJ46" s="19"/>
      <c r="CJK46" s="19"/>
      <c r="CJL46" s="19"/>
      <c r="CJM46" s="19"/>
      <c r="CJN46" s="19"/>
      <c r="CJO46" s="19"/>
      <c r="CJP46" s="19"/>
      <c r="CJQ46" s="19"/>
      <c r="CJR46" s="19"/>
      <c r="CJS46" s="19"/>
      <c r="CJT46" s="19"/>
      <c r="CJU46" s="19"/>
      <c r="CJV46" s="19"/>
      <c r="CJW46" s="19"/>
      <c r="CJX46" s="19"/>
      <c r="CJY46" s="19"/>
      <c r="CJZ46" s="19"/>
      <c r="CKA46" s="19"/>
      <c r="CKB46" s="19"/>
      <c r="CKC46" s="19"/>
      <c r="CKD46" s="19"/>
      <c r="CKE46" s="19"/>
      <c r="CKF46" s="19"/>
      <c r="CKG46" s="19"/>
      <c r="CKH46" s="19"/>
      <c r="CKI46" s="19"/>
      <c r="CKJ46" s="19"/>
      <c r="CKK46" s="19"/>
      <c r="CKL46" s="19"/>
      <c r="CKM46" s="19"/>
      <c r="CKN46" s="19"/>
      <c r="CKO46" s="19"/>
      <c r="CKP46" s="19"/>
      <c r="CKQ46" s="19"/>
      <c r="CKR46" s="19"/>
      <c r="CKS46" s="19"/>
      <c r="CKT46" s="19"/>
      <c r="CKU46" s="19"/>
      <c r="CKV46" s="19"/>
      <c r="CKW46" s="19"/>
      <c r="CKX46" s="19"/>
      <c r="CKY46" s="19"/>
      <c r="CKZ46" s="19"/>
      <c r="CLA46" s="19"/>
      <c r="CLB46" s="19"/>
      <c r="CLC46" s="19"/>
      <c r="CLD46" s="19"/>
      <c r="CLE46" s="19"/>
      <c r="CLF46" s="19"/>
      <c r="CLG46" s="19"/>
      <c r="CLH46" s="19"/>
      <c r="CLI46" s="19"/>
      <c r="CLJ46" s="19"/>
      <c r="CLK46" s="19"/>
      <c r="CLL46" s="19"/>
      <c r="CLM46" s="19"/>
      <c r="CLN46" s="19"/>
      <c r="CLO46" s="19"/>
      <c r="CLP46" s="19"/>
      <c r="CLQ46" s="19"/>
      <c r="CLR46" s="19"/>
      <c r="CLS46" s="19"/>
      <c r="CLT46" s="19"/>
      <c r="CLU46" s="19"/>
      <c r="CLV46" s="19"/>
      <c r="CLW46" s="19"/>
      <c r="CLX46" s="19"/>
      <c r="CLY46" s="19"/>
      <c r="CLZ46" s="19"/>
      <c r="CMA46" s="19"/>
      <c r="CMB46" s="19"/>
      <c r="CMC46" s="19"/>
      <c r="CMD46" s="19"/>
      <c r="CME46" s="19"/>
      <c r="CMF46" s="19"/>
      <c r="CMG46" s="19"/>
      <c r="CMH46" s="19"/>
      <c r="CMI46" s="19"/>
      <c r="CMJ46" s="19"/>
      <c r="CMK46" s="19"/>
      <c r="CML46" s="19"/>
      <c r="CMM46" s="19"/>
      <c r="CMN46" s="19"/>
      <c r="CMO46" s="19"/>
      <c r="CMP46" s="19"/>
      <c r="CMQ46" s="19"/>
      <c r="CMR46" s="19"/>
      <c r="CMS46" s="19"/>
      <c r="CMT46" s="19"/>
      <c r="CMU46" s="19"/>
      <c r="CMV46" s="19"/>
      <c r="CMW46" s="19"/>
      <c r="CMX46" s="19"/>
      <c r="CMY46" s="19"/>
      <c r="CMZ46" s="19"/>
      <c r="CNA46" s="19"/>
      <c r="CNB46" s="19"/>
      <c r="CNC46" s="19"/>
      <c r="CND46" s="19"/>
      <c r="CNE46" s="19"/>
      <c r="CNF46" s="19"/>
      <c r="CNG46" s="19"/>
      <c r="CNH46" s="19"/>
      <c r="CNI46" s="19"/>
      <c r="CNJ46" s="19"/>
      <c r="CNK46" s="19"/>
      <c r="CNL46" s="19"/>
      <c r="CNM46" s="19"/>
      <c r="CNN46" s="19"/>
      <c r="CNO46" s="19"/>
      <c r="CNP46" s="19"/>
      <c r="CNQ46" s="19"/>
      <c r="CNR46" s="19"/>
      <c r="CNS46" s="19"/>
      <c r="CNT46" s="19"/>
      <c r="CNU46" s="19"/>
      <c r="CNV46" s="19"/>
      <c r="CNW46" s="19"/>
      <c r="CNX46" s="19"/>
      <c r="CNY46" s="19"/>
      <c r="CNZ46" s="19"/>
      <c r="COA46" s="19"/>
      <c r="COB46" s="19"/>
      <c r="COC46" s="19"/>
      <c r="COD46" s="19"/>
      <c r="COE46" s="19"/>
      <c r="COF46" s="19"/>
      <c r="COG46" s="19"/>
      <c r="COH46" s="19"/>
      <c r="COI46" s="19"/>
      <c r="COJ46" s="19"/>
      <c r="COK46" s="19"/>
      <c r="COL46" s="19"/>
      <c r="COM46" s="19"/>
      <c r="CON46" s="19"/>
      <c r="COO46" s="19"/>
      <c r="COP46" s="19"/>
      <c r="COQ46" s="19"/>
      <c r="COR46" s="19"/>
      <c r="COS46" s="19"/>
      <c r="COT46" s="19"/>
      <c r="COU46" s="19"/>
      <c r="COV46" s="19"/>
      <c r="COW46" s="19"/>
      <c r="COX46" s="19"/>
      <c r="COY46" s="19"/>
      <c r="COZ46" s="19"/>
      <c r="CPA46" s="19"/>
      <c r="CPB46" s="19"/>
      <c r="CPC46" s="19"/>
      <c r="CPD46" s="19"/>
      <c r="CPE46" s="19"/>
      <c r="CPF46" s="19"/>
      <c r="CPG46" s="19"/>
      <c r="CPH46" s="19"/>
      <c r="CPI46" s="19"/>
      <c r="CPJ46" s="19"/>
      <c r="CPK46" s="19"/>
      <c r="CPL46" s="19"/>
      <c r="CPM46" s="19"/>
      <c r="CPN46" s="19"/>
      <c r="CPO46" s="19"/>
      <c r="CPP46" s="19"/>
      <c r="CPQ46" s="19"/>
      <c r="CPR46" s="19"/>
      <c r="CPS46" s="19"/>
      <c r="CPT46" s="19"/>
      <c r="CPU46" s="19"/>
      <c r="CPV46" s="19"/>
      <c r="CPW46" s="19"/>
      <c r="CPX46" s="19"/>
      <c r="CPY46" s="19"/>
      <c r="CPZ46" s="19"/>
      <c r="CQA46" s="19"/>
      <c r="CQB46" s="19"/>
      <c r="CQC46" s="19"/>
      <c r="CQD46" s="19"/>
      <c r="CQE46" s="19"/>
      <c r="CQF46" s="19"/>
      <c r="CQG46" s="19"/>
      <c r="CQH46" s="19"/>
      <c r="CQI46" s="19"/>
      <c r="CQJ46" s="19"/>
      <c r="CQK46" s="19"/>
      <c r="CQL46" s="19"/>
      <c r="CQM46" s="19"/>
      <c r="CQN46" s="19"/>
      <c r="CQO46" s="19"/>
      <c r="CQP46" s="19"/>
      <c r="CQQ46" s="19"/>
      <c r="CQR46" s="19"/>
      <c r="CQS46" s="19"/>
      <c r="CQT46" s="19"/>
      <c r="CQU46" s="19"/>
      <c r="CQV46" s="19"/>
      <c r="CQW46" s="19"/>
      <c r="CQX46" s="19"/>
      <c r="CQY46" s="19"/>
      <c r="CQZ46" s="19"/>
      <c r="CRA46" s="19"/>
      <c r="CRB46" s="19"/>
      <c r="CRC46" s="19"/>
      <c r="CRD46" s="19"/>
      <c r="CRE46" s="19"/>
      <c r="CRF46" s="19"/>
      <c r="CRG46" s="19"/>
      <c r="CRH46" s="19"/>
      <c r="CRI46" s="19"/>
      <c r="CRJ46" s="19"/>
      <c r="CRK46" s="19"/>
      <c r="CRL46" s="19"/>
      <c r="CRM46" s="19"/>
      <c r="CRN46" s="19"/>
      <c r="CRO46" s="19"/>
      <c r="CRP46" s="19"/>
      <c r="CRQ46" s="19"/>
      <c r="CRR46" s="19"/>
      <c r="CRS46" s="19"/>
      <c r="CRT46" s="19"/>
      <c r="CRU46" s="19"/>
      <c r="CRV46" s="19"/>
      <c r="CRW46" s="19"/>
      <c r="CRX46" s="19"/>
      <c r="CRY46" s="19"/>
      <c r="CRZ46" s="19"/>
      <c r="CSA46" s="19"/>
      <c r="CSB46" s="19"/>
      <c r="CSC46" s="19"/>
      <c r="CSD46" s="19"/>
      <c r="CSE46" s="19"/>
      <c r="CSF46" s="19"/>
      <c r="CSG46" s="19"/>
      <c r="CSH46" s="19"/>
      <c r="CSI46" s="19"/>
      <c r="CSJ46" s="19"/>
      <c r="CSK46" s="19"/>
      <c r="CSL46" s="19"/>
      <c r="CSM46" s="19"/>
      <c r="CSN46" s="19"/>
      <c r="CSO46" s="19"/>
      <c r="CSP46" s="19"/>
      <c r="CSQ46" s="19"/>
      <c r="CSR46" s="19"/>
      <c r="CSS46" s="19"/>
      <c r="CST46" s="19"/>
      <c r="CSU46" s="19"/>
      <c r="CSV46" s="19"/>
      <c r="CSW46" s="19"/>
      <c r="CSX46" s="19"/>
      <c r="CSY46" s="19"/>
      <c r="CSZ46" s="19"/>
      <c r="CTA46" s="19"/>
      <c r="CTB46" s="19"/>
      <c r="CTC46" s="19"/>
      <c r="CTD46" s="19"/>
      <c r="CTE46" s="19"/>
      <c r="CTF46" s="19"/>
      <c r="CTG46" s="19"/>
      <c r="CTH46" s="19"/>
      <c r="CTI46" s="19"/>
      <c r="CTJ46" s="19"/>
      <c r="CTK46" s="19"/>
      <c r="CTL46" s="19"/>
      <c r="CTM46" s="19"/>
      <c r="CTN46" s="19"/>
      <c r="CTO46" s="19"/>
      <c r="CTP46" s="19"/>
      <c r="CTQ46" s="19"/>
      <c r="CTR46" s="19"/>
      <c r="CTS46" s="19"/>
      <c r="CTT46" s="19"/>
      <c r="CTU46" s="19"/>
      <c r="CTV46" s="19"/>
      <c r="CTW46" s="19"/>
      <c r="CTX46" s="19"/>
      <c r="CTY46" s="19"/>
      <c r="CTZ46" s="19"/>
      <c r="CUA46" s="19"/>
      <c r="CUB46" s="19"/>
      <c r="CUC46" s="19"/>
      <c r="CUD46" s="19"/>
      <c r="CUE46" s="19"/>
      <c r="CUF46" s="19"/>
      <c r="CUG46" s="19"/>
      <c r="CUH46" s="19"/>
      <c r="CUI46" s="19"/>
      <c r="CUJ46" s="19"/>
      <c r="CUK46" s="19"/>
      <c r="CUL46" s="19"/>
      <c r="CUM46" s="19"/>
      <c r="CUN46" s="19"/>
      <c r="CUO46" s="19"/>
      <c r="CUP46" s="19"/>
      <c r="CUQ46" s="19"/>
      <c r="CUR46" s="19"/>
      <c r="CUS46" s="19"/>
      <c r="CUT46" s="19"/>
      <c r="CUU46" s="19"/>
      <c r="CUV46" s="19"/>
      <c r="CUW46" s="19"/>
      <c r="CUX46" s="19"/>
      <c r="CUY46" s="19"/>
      <c r="CUZ46" s="19"/>
      <c r="CVA46" s="19"/>
      <c r="CVB46" s="19"/>
      <c r="CVC46" s="19"/>
      <c r="CVD46" s="19"/>
      <c r="CVE46" s="19"/>
      <c r="CVF46" s="19"/>
      <c r="CVG46" s="19"/>
      <c r="CVH46" s="19"/>
      <c r="CVI46" s="19"/>
      <c r="CVJ46" s="19"/>
      <c r="CVK46" s="19"/>
      <c r="CVL46" s="19"/>
      <c r="CVM46" s="19"/>
      <c r="CVN46" s="19"/>
      <c r="CVO46" s="19"/>
      <c r="CVP46" s="19"/>
      <c r="CVQ46" s="19"/>
      <c r="CVR46" s="19"/>
      <c r="CVS46" s="19"/>
      <c r="CVT46" s="19"/>
      <c r="CVU46" s="19"/>
      <c r="CVV46" s="19"/>
      <c r="CVW46" s="19"/>
      <c r="CVX46" s="19"/>
      <c r="CVY46" s="19"/>
      <c r="CVZ46" s="19"/>
      <c r="CWA46" s="19"/>
      <c r="CWB46" s="19"/>
      <c r="CWC46" s="19"/>
      <c r="CWD46" s="19"/>
      <c r="CWE46" s="19"/>
      <c r="CWF46" s="19"/>
      <c r="CWG46" s="19"/>
      <c r="CWH46" s="19"/>
      <c r="CWI46" s="19"/>
      <c r="CWJ46" s="19"/>
      <c r="CWK46" s="19"/>
      <c r="CWL46" s="19"/>
      <c r="CWM46" s="19"/>
      <c r="CWN46" s="19"/>
      <c r="CWO46" s="19"/>
      <c r="CWP46" s="19"/>
      <c r="CWQ46" s="19"/>
      <c r="CWR46" s="19"/>
      <c r="CWS46" s="19"/>
      <c r="CWT46" s="19"/>
      <c r="CWU46" s="19"/>
      <c r="CWV46" s="19"/>
      <c r="CWW46" s="19"/>
      <c r="CWX46" s="19"/>
      <c r="CWY46" s="19"/>
      <c r="CWZ46" s="19"/>
      <c r="CXA46" s="19"/>
      <c r="CXB46" s="19"/>
      <c r="CXC46" s="19"/>
      <c r="CXD46" s="19"/>
      <c r="CXE46" s="19"/>
      <c r="CXF46" s="19"/>
      <c r="CXG46" s="19"/>
      <c r="CXH46" s="19"/>
      <c r="CXI46" s="19"/>
      <c r="CXJ46" s="19"/>
      <c r="CXK46" s="19"/>
      <c r="CXL46" s="19"/>
      <c r="CXM46" s="19"/>
      <c r="CXN46" s="19"/>
      <c r="CXO46" s="19"/>
      <c r="CXP46" s="19"/>
      <c r="CXQ46" s="19"/>
      <c r="CXR46" s="19"/>
      <c r="CXS46" s="19"/>
      <c r="CXT46" s="19"/>
      <c r="CXU46" s="19"/>
      <c r="CXV46" s="19"/>
      <c r="CXW46" s="19"/>
      <c r="CXX46" s="19"/>
      <c r="CXY46" s="19"/>
      <c r="CXZ46" s="19"/>
      <c r="CYA46" s="19"/>
      <c r="CYB46" s="19"/>
      <c r="CYC46" s="19"/>
      <c r="CYD46" s="19"/>
      <c r="CYE46" s="19"/>
      <c r="CYF46" s="19"/>
      <c r="CYG46" s="19"/>
      <c r="CYH46" s="19"/>
      <c r="CYI46" s="19"/>
      <c r="CYJ46" s="19"/>
      <c r="CYK46" s="19"/>
      <c r="CYL46" s="19"/>
      <c r="CYM46" s="19"/>
      <c r="CYN46" s="19"/>
      <c r="CYO46" s="19"/>
      <c r="CYP46" s="19"/>
      <c r="CYQ46" s="19"/>
      <c r="CYR46" s="19"/>
      <c r="CYS46" s="19"/>
      <c r="CYT46" s="19"/>
      <c r="CYU46" s="19"/>
      <c r="CYV46" s="19"/>
      <c r="CYW46" s="19"/>
      <c r="CYX46" s="19"/>
      <c r="CYY46" s="19"/>
      <c r="CYZ46" s="19"/>
      <c r="CZA46" s="19"/>
      <c r="CZB46" s="19"/>
      <c r="CZC46" s="19"/>
      <c r="CZD46" s="19"/>
      <c r="CZE46" s="19"/>
      <c r="CZF46" s="19"/>
      <c r="CZG46" s="19"/>
      <c r="CZH46" s="19"/>
      <c r="CZI46" s="19"/>
      <c r="CZJ46" s="19"/>
      <c r="CZK46" s="19"/>
      <c r="CZL46" s="19"/>
      <c r="CZM46" s="19"/>
      <c r="CZN46" s="19"/>
      <c r="CZO46" s="19"/>
      <c r="CZP46" s="19"/>
      <c r="CZQ46" s="19"/>
      <c r="CZR46" s="19"/>
      <c r="CZS46" s="19"/>
      <c r="CZT46" s="19"/>
      <c r="CZU46" s="19"/>
      <c r="CZV46" s="19"/>
      <c r="CZW46" s="19"/>
      <c r="CZX46" s="19"/>
      <c r="CZY46" s="19"/>
      <c r="CZZ46" s="19"/>
      <c r="DAA46" s="19"/>
      <c r="DAB46" s="19"/>
      <c r="DAC46" s="19"/>
      <c r="DAD46" s="19"/>
      <c r="DAE46" s="19"/>
      <c r="DAF46" s="19"/>
      <c r="DAG46" s="19"/>
      <c r="DAH46" s="19"/>
      <c r="DAI46" s="19"/>
      <c r="DAJ46" s="19"/>
      <c r="DAK46" s="19"/>
      <c r="DAL46" s="19"/>
      <c r="DAM46" s="19"/>
      <c r="DAN46" s="19"/>
      <c r="DAO46" s="19"/>
      <c r="DAP46" s="19"/>
      <c r="DAQ46" s="19"/>
      <c r="DAR46" s="19"/>
      <c r="DAS46" s="19"/>
      <c r="DAT46" s="19"/>
      <c r="DAU46" s="19"/>
      <c r="DAV46" s="19"/>
      <c r="DAW46" s="19"/>
      <c r="DAX46" s="19"/>
      <c r="DAY46" s="19"/>
      <c r="DAZ46" s="19"/>
      <c r="DBA46" s="19"/>
      <c r="DBB46" s="19"/>
      <c r="DBC46" s="19"/>
      <c r="DBD46" s="19"/>
      <c r="DBE46" s="19"/>
      <c r="DBF46" s="19"/>
      <c r="DBG46" s="19"/>
      <c r="DBH46" s="19"/>
      <c r="DBI46" s="19"/>
      <c r="DBJ46" s="19"/>
      <c r="DBK46" s="19"/>
      <c r="DBL46" s="19"/>
      <c r="DBM46" s="19"/>
      <c r="DBN46" s="19"/>
      <c r="DBO46" s="19"/>
      <c r="DBP46" s="19"/>
      <c r="DBQ46" s="19"/>
      <c r="DBR46" s="19"/>
      <c r="DBS46" s="19"/>
      <c r="DBT46" s="19"/>
      <c r="DBU46" s="19"/>
      <c r="DBV46" s="19"/>
      <c r="DBW46" s="19"/>
      <c r="DBX46" s="19"/>
      <c r="DBY46" s="19"/>
      <c r="DBZ46" s="19"/>
      <c r="DCA46" s="19"/>
      <c r="DCB46" s="19"/>
      <c r="DCC46" s="19"/>
      <c r="DCD46" s="19"/>
      <c r="DCE46" s="19"/>
      <c r="DCF46" s="19"/>
      <c r="DCG46" s="19"/>
      <c r="DCH46" s="19"/>
      <c r="DCI46" s="19"/>
      <c r="DCJ46" s="19"/>
      <c r="DCK46" s="19"/>
      <c r="DCL46" s="19"/>
      <c r="DCM46" s="19"/>
      <c r="DCN46" s="19"/>
      <c r="DCO46" s="19"/>
      <c r="DCP46" s="19"/>
      <c r="DCQ46" s="19"/>
      <c r="DCR46" s="19"/>
      <c r="DCS46" s="19"/>
      <c r="DCT46" s="19"/>
      <c r="DCU46" s="19"/>
      <c r="DCV46" s="19"/>
      <c r="DCW46" s="19"/>
      <c r="DCX46" s="19"/>
      <c r="DCY46" s="19"/>
      <c r="DCZ46" s="19"/>
      <c r="DDA46" s="19"/>
      <c r="DDB46" s="19"/>
      <c r="DDC46" s="19"/>
      <c r="DDD46" s="19"/>
      <c r="DDE46" s="19"/>
      <c r="DDF46" s="19"/>
      <c r="DDG46" s="19"/>
      <c r="DDH46" s="19"/>
      <c r="DDI46" s="19"/>
      <c r="DDJ46" s="19"/>
      <c r="DDK46" s="19"/>
      <c r="DDL46" s="19"/>
      <c r="DDM46" s="19"/>
      <c r="DDN46" s="19"/>
      <c r="DDO46" s="19"/>
      <c r="DDP46" s="19"/>
      <c r="DDQ46" s="19"/>
      <c r="DDR46" s="19"/>
      <c r="DDS46" s="19"/>
      <c r="DDT46" s="19"/>
      <c r="DDU46" s="19"/>
      <c r="DDV46" s="19"/>
      <c r="DDW46" s="19"/>
      <c r="DDX46" s="19"/>
      <c r="DDY46" s="19"/>
      <c r="DDZ46" s="19"/>
      <c r="DEA46" s="19"/>
      <c r="DEB46" s="19"/>
      <c r="DEC46" s="19"/>
      <c r="DED46" s="19"/>
      <c r="DEE46" s="19"/>
      <c r="DEF46" s="19"/>
      <c r="DEG46" s="19"/>
      <c r="DEH46" s="19"/>
      <c r="DEI46" s="19"/>
      <c r="DEJ46" s="19"/>
      <c r="DEK46" s="19"/>
      <c r="DEL46" s="19"/>
      <c r="DEM46" s="19"/>
      <c r="DEN46" s="19"/>
      <c r="DEO46" s="19"/>
      <c r="DEP46" s="19"/>
      <c r="DEQ46" s="19"/>
      <c r="DER46" s="19"/>
      <c r="DES46" s="19"/>
      <c r="DET46" s="19"/>
      <c r="DEU46" s="19"/>
      <c r="DEV46" s="19"/>
      <c r="DEW46" s="19"/>
      <c r="DEX46" s="19"/>
      <c r="DEY46" s="19"/>
      <c r="DEZ46" s="19"/>
      <c r="DFA46" s="19"/>
      <c r="DFB46" s="19"/>
      <c r="DFC46" s="19"/>
      <c r="DFD46" s="19"/>
      <c r="DFE46" s="19"/>
      <c r="DFF46" s="19"/>
      <c r="DFG46" s="19"/>
      <c r="DFH46" s="19"/>
      <c r="DFI46" s="19"/>
      <c r="DFJ46" s="19"/>
      <c r="DFK46" s="19"/>
      <c r="DFL46" s="19"/>
      <c r="DFM46" s="19"/>
      <c r="DFN46" s="19"/>
      <c r="DFO46" s="19"/>
      <c r="DFP46" s="19"/>
      <c r="DFQ46" s="19"/>
      <c r="DFR46" s="19"/>
      <c r="DFS46" s="19"/>
      <c r="DFT46" s="19"/>
      <c r="DFU46" s="19"/>
      <c r="DFV46" s="19"/>
      <c r="DFW46" s="19"/>
      <c r="DFX46" s="19"/>
      <c r="DFY46" s="19"/>
      <c r="DFZ46" s="19"/>
      <c r="DGA46" s="19"/>
      <c r="DGB46" s="19"/>
      <c r="DGC46" s="19"/>
      <c r="DGD46" s="19"/>
      <c r="DGE46" s="19"/>
      <c r="DGF46" s="19"/>
      <c r="DGG46" s="19"/>
      <c r="DGH46" s="19"/>
      <c r="DGI46" s="19"/>
      <c r="DGJ46" s="19"/>
      <c r="DGK46" s="19"/>
      <c r="DGL46" s="19"/>
      <c r="DGM46" s="19"/>
      <c r="DGN46" s="19"/>
      <c r="DGO46" s="19"/>
      <c r="DGP46" s="19"/>
      <c r="DGQ46" s="19"/>
      <c r="DGR46" s="19"/>
      <c r="DGS46" s="19"/>
      <c r="DGT46" s="19"/>
      <c r="DGU46" s="19"/>
      <c r="DGV46" s="19"/>
      <c r="DGW46" s="19"/>
      <c r="DGX46" s="19"/>
      <c r="DGY46" s="19"/>
      <c r="DGZ46" s="19"/>
      <c r="DHA46" s="19"/>
      <c r="DHB46" s="19"/>
      <c r="DHC46" s="19"/>
      <c r="DHD46" s="19"/>
      <c r="DHE46" s="19"/>
      <c r="DHF46" s="19"/>
      <c r="DHG46" s="19"/>
      <c r="DHH46" s="19"/>
      <c r="DHI46" s="19"/>
      <c r="DHJ46" s="19"/>
      <c r="DHK46" s="19"/>
      <c r="DHL46" s="19"/>
      <c r="DHM46" s="19"/>
      <c r="DHN46" s="19"/>
      <c r="DHO46" s="19"/>
      <c r="DHP46" s="19"/>
      <c r="DHQ46" s="19"/>
      <c r="DHR46" s="19"/>
      <c r="DHS46" s="19"/>
      <c r="DHT46" s="19"/>
      <c r="DHU46" s="19"/>
      <c r="DHV46" s="19"/>
      <c r="DHW46" s="19"/>
      <c r="DHX46" s="19"/>
      <c r="DHY46" s="19"/>
      <c r="DHZ46" s="19"/>
      <c r="DIA46" s="19"/>
      <c r="DIB46" s="19"/>
      <c r="DIC46" s="19"/>
      <c r="DID46" s="19"/>
      <c r="DIE46" s="19"/>
      <c r="DIF46" s="19"/>
      <c r="DIG46" s="19"/>
      <c r="DIH46" s="19"/>
      <c r="DII46" s="19"/>
      <c r="DIJ46" s="19"/>
      <c r="DIK46" s="19"/>
      <c r="DIL46" s="19"/>
      <c r="DIM46" s="19"/>
      <c r="DIN46" s="19"/>
      <c r="DIO46" s="19"/>
      <c r="DIP46" s="19"/>
      <c r="DIQ46" s="19"/>
      <c r="DIR46" s="19"/>
      <c r="DIS46" s="19"/>
      <c r="DIT46" s="19"/>
      <c r="DIU46" s="19"/>
      <c r="DIV46" s="19"/>
      <c r="DIW46" s="19"/>
      <c r="DIX46" s="19"/>
      <c r="DIY46" s="19"/>
      <c r="DIZ46" s="19"/>
      <c r="DJA46" s="19"/>
      <c r="DJB46" s="19"/>
      <c r="DJC46" s="19"/>
      <c r="DJD46" s="19"/>
      <c r="DJE46" s="19"/>
      <c r="DJF46" s="19"/>
      <c r="DJG46" s="19"/>
      <c r="DJH46" s="19"/>
      <c r="DJI46" s="19"/>
      <c r="DJJ46" s="19"/>
      <c r="DJK46" s="19"/>
      <c r="DJL46" s="19"/>
      <c r="DJM46" s="19"/>
      <c r="DJN46" s="19"/>
      <c r="DJO46" s="19"/>
      <c r="DJP46" s="19"/>
      <c r="DJQ46" s="19"/>
      <c r="DJR46" s="19"/>
      <c r="DJS46" s="19"/>
      <c r="DJT46" s="19"/>
      <c r="DJU46" s="19"/>
      <c r="DJV46" s="19"/>
      <c r="DJW46" s="19"/>
      <c r="DJX46" s="19"/>
      <c r="DJY46" s="19"/>
      <c r="DJZ46" s="19"/>
      <c r="DKA46" s="19"/>
      <c r="DKB46" s="19"/>
      <c r="DKC46" s="19"/>
      <c r="DKD46" s="19"/>
      <c r="DKE46" s="19"/>
      <c r="DKF46" s="19"/>
      <c r="DKG46" s="19"/>
      <c r="DKH46" s="19"/>
      <c r="DKI46" s="19"/>
      <c r="DKJ46" s="19"/>
      <c r="DKK46" s="19"/>
      <c r="DKL46" s="19"/>
      <c r="DKM46" s="19"/>
      <c r="DKN46" s="19"/>
      <c r="DKO46" s="19"/>
      <c r="DKP46" s="19"/>
      <c r="DKQ46" s="19"/>
      <c r="DKR46" s="19"/>
      <c r="DKS46" s="19"/>
      <c r="DKT46" s="19"/>
      <c r="DKU46" s="19"/>
      <c r="DKV46" s="19"/>
      <c r="DKW46" s="19"/>
      <c r="DKX46" s="19"/>
      <c r="DKY46" s="19"/>
      <c r="DKZ46" s="19"/>
      <c r="DLA46" s="19"/>
      <c r="DLB46" s="19"/>
      <c r="DLC46" s="19"/>
      <c r="DLD46" s="19"/>
      <c r="DLE46" s="19"/>
      <c r="DLF46" s="19"/>
      <c r="DLG46" s="19"/>
      <c r="DLH46" s="19"/>
      <c r="DLI46" s="19"/>
      <c r="DLJ46" s="19"/>
      <c r="DLK46" s="19"/>
      <c r="DLL46" s="19"/>
      <c r="DLM46" s="19"/>
      <c r="DLN46" s="19"/>
      <c r="DLO46" s="19"/>
      <c r="DLP46" s="19"/>
      <c r="DLQ46" s="19"/>
      <c r="DLR46" s="19"/>
      <c r="DLS46" s="19"/>
      <c r="DLT46" s="19"/>
      <c r="DLU46" s="19"/>
      <c r="DLV46" s="19"/>
      <c r="DLW46" s="19"/>
      <c r="DLX46" s="19"/>
      <c r="DLY46" s="19"/>
      <c r="DLZ46" s="19"/>
      <c r="DMA46" s="19"/>
      <c r="DMB46" s="19"/>
      <c r="DMC46" s="19"/>
      <c r="DMD46" s="19"/>
      <c r="DME46" s="19"/>
      <c r="DMF46" s="19"/>
      <c r="DMG46" s="19"/>
      <c r="DMH46" s="19"/>
      <c r="DMI46" s="19"/>
      <c r="DMJ46" s="19"/>
      <c r="DMK46" s="19"/>
      <c r="DML46" s="19"/>
      <c r="DMM46" s="19"/>
      <c r="DMN46" s="19"/>
      <c r="DMO46" s="19"/>
      <c r="DMP46" s="19"/>
      <c r="DMQ46" s="19"/>
      <c r="DMR46" s="19"/>
      <c r="DMS46" s="19"/>
      <c r="DMT46" s="19"/>
      <c r="DMU46" s="19"/>
      <c r="DMV46" s="19"/>
      <c r="DMW46" s="19"/>
      <c r="DMX46" s="19"/>
      <c r="DMY46" s="19"/>
      <c r="DMZ46" s="19"/>
      <c r="DNA46" s="19"/>
      <c r="DNB46" s="19"/>
      <c r="DNC46" s="19"/>
      <c r="DND46" s="19"/>
      <c r="DNE46" s="19"/>
      <c r="DNF46" s="19"/>
      <c r="DNG46" s="19"/>
      <c r="DNH46" s="19"/>
      <c r="DNI46" s="19"/>
      <c r="DNJ46" s="19"/>
      <c r="DNK46" s="19"/>
      <c r="DNL46" s="19"/>
      <c r="DNM46" s="19"/>
      <c r="DNN46" s="19"/>
      <c r="DNO46" s="19"/>
      <c r="DNP46" s="19"/>
      <c r="DNQ46" s="19"/>
      <c r="DNR46" s="19"/>
      <c r="DNS46" s="19"/>
      <c r="DNT46" s="19"/>
      <c r="DNU46" s="19"/>
      <c r="DNV46" s="19"/>
      <c r="DNW46" s="19"/>
      <c r="DNX46" s="19"/>
      <c r="DNY46" s="19"/>
      <c r="DNZ46" s="19"/>
      <c r="DOA46" s="19"/>
      <c r="DOB46" s="19"/>
      <c r="DOC46" s="19"/>
      <c r="DOD46" s="19"/>
      <c r="DOE46" s="19"/>
      <c r="DOF46" s="19"/>
      <c r="DOG46" s="19"/>
      <c r="DOH46" s="19"/>
      <c r="DOI46" s="19"/>
      <c r="DOJ46" s="19"/>
      <c r="DOK46" s="19"/>
      <c r="DOL46" s="19"/>
      <c r="DOM46" s="19"/>
      <c r="DON46" s="19"/>
      <c r="DOO46" s="19"/>
      <c r="DOP46" s="19"/>
      <c r="DOQ46" s="19"/>
      <c r="DOR46" s="19"/>
      <c r="DOS46" s="19"/>
      <c r="DOT46" s="19"/>
      <c r="DOU46" s="19"/>
      <c r="DOV46" s="19"/>
      <c r="DOW46" s="19"/>
      <c r="DOX46" s="19"/>
      <c r="DOY46" s="19"/>
      <c r="DOZ46" s="19"/>
      <c r="DPA46" s="19"/>
      <c r="DPB46" s="19"/>
      <c r="DPC46" s="19"/>
      <c r="DPD46" s="19"/>
      <c r="DPE46" s="19"/>
      <c r="DPF46" s="19"/>
      <c r="DPG46" s="19"/>
      <c r="DPH46" s="19"/>
      <c r="DPI46" s="19"/>
      <c r="DPJ46" s="19"/>
      <c r="DPK46" s="19"/>
      <c r="DPL46" s="19"/>
      <c r="DPM46" s="19"/>
      <c r="DPN46" s="19"/>
      <c r="DPO46" s="19"/>
      <c r="DPP46" s="19"/>
      <c r="DPQ46" s="19"/>
      <c r="DPR46" s="19"/>
      <c r="DPS46" s="19"/>
      <c r="DPT46" s="19"/>
      <c r="DPU46" s="19"/>
      <c r="DPV46" s="19"/>
      <c r="DPW46" s="19"/>
      <c r="DPX46" s="19"/>
      <c r="DPY46" s="19"/>
      <c r="DPZ46" s="19"/>
      <c r="DQA46" s="19"/>
      <c r="DQB46" s="19"/>
      <c r="DQC46" s="19"/>
      <c r="DQD46" s="19"/>
      <c r="DQE46" s="19"/>
      <c r="DQF46" s="19"/>
      <c r="DQG46" s="19"/>
      <c r="DQH46" s="19"/>
      <c r="DQI46" s="19"/>
      <c r="DQJ46" s="19"/>
      <c r="DQK46" s="19"/>
      <c r="DQL46" s="19"/>
      <c r="DQM46" s="19"/>
      <c r="DQN46" s="19"/>
      <c r="DQO46" s="19"/>
      <c r="DQP46" s="19"/>
      <c r="DQQ46" s="19"/>
      <c r="DQR46" s="19"/>
      <c r="DQS46" s="19"/>
      <c r="DQT46" s="19"/>
      <c r="DQU46" s="19"/>
      <c r="DQV46" s="19"/>
      <c r="DQW46" s="19"/>
      <c r="DQX46" s="19"/>
      <c r="DQY46" s="19"/>
      <c r="DQZ46" s="19"/>
      <c r="DRA46" s="19"/>
      <c r="DRB46" s="19"/>
      <c r="DRC46" s="19"/>
      <c r="DRD46" s="19"/>
      <c r="DRE46" s="19"/>
      <c r="DRF46" s="19"/>
      <c r="DRG46" s="19"/>
      <c r="DRH46" s="19"/>
      <c r="DRI46" s="19"/>
      <c r="DRJ46" s="19"/>
      <c r="DRK46" s="19"/>
      <c r="DRL46" s="19"/>
      <c r="DRM46" s="19"/>
      <c r="DRN46" s="19"/>
      <c r="DRO46" s="19"/>
      <c r="DRP46" s="19"/>
      <c r="DRQ46" s="19"/>
      <c r="DRR46" s="19"/>
      <c r="DRS46" s="19"/>
      <c r="DRT46" s="19"/>
      <c r="DRU46" s="19"/>
      <c r="DRV46" s="19"/>
      <c r="DRW46" s="19"/>
      <c r="DRX46" s="19"/>
      <c r="DRY46" s="19"/>
      <c r="DRZ46" s="19"/>
      <c r="DSA46" s="19"/>
      <c r="DSB46" s="19"/>
      <c r="DSC46" s="19"/>
      <c r="DSD46" s="19"/>
      <c r="DSE46" s="19"/>
      <c r="DSF46" s="19"/>
      <c r="DSG46" s="19"/>
      <c r="DSH46" s="19"/>
      <c r="DSI46" s="19"/>
      <c r="DSJ46" s="19"/>
      <c r="DSK46" s="19"/>
      <c r="DSL46" s="19"/>
      <c r="DSM46" s="19"/>
      <c r="DSN46" s="19"/>
      <c r="DSO46" s="19"/>
      <c r="DSP46" s="19"/>
      <c r="DSQ46" s="19"/>
      <c r="DSR46" s="19"/>
      <c r="DSS46" s="19"/>
      <c r="DST46" s="19"/>
      <c r="DSU46" s="19"/>
      <c r="DSV46" s="19"/>
      <c r="DSW46" s="19"/>
      <c r="DSX46" s="19"/>
      <c r="DSY46" s="19"/>
      <c r="DSZ46" s="19"/>
      <c r="DTA46" s="19"/>
      <c r="DTB46" s="19"/>
      <c r="DTC46" s="19"/>
      <c r="DTD46" s="19"/>
      <c r="DTE46" s="19"/>
      <c r="DTF46" s="19"/>
      <c r="DTG46" s="19"/>
      <c r="DTH46" s="19"/>
      <c r="DTI46" s="19"/>
      <c r="DTJ46" s="19"/>
      <c r="DTK46" s="19"/>
      <c r="DTL46" s="19"/>
      <c r="DTM46" s="19"/>
      <c r="DTN46" s="19"/>
      <c r="DTO46" s="19"/>
      <c r="DTP46" s="19"/>
      <c r="DTQ46" s="19"/>
      <c r="DTR46" s="19"/>
      <c r="DTS46" s="19"/>
      <c r="DTT46" s="19"/>
      <c r="DTU46" s="19"/>
      <c r="DTV46" s="19"/>
      <c r="DTW46" s="19"/>
      <c r="DTX46" s="19"/>
      <c r="DTY46" s="19"/>
      <c r="DTZ46" s="19"/>
      <c r="DUA46" s="19"/>
      <c r="DUB46" s="19"/>
      <c r="DUC46" s="19"/>
      <c r="DUD46" s="19"/>
      <c r="DUE46" s="19"/>
      <c r="DUF46" s="19"/>
      <c r="DUG46" s="19"/>
      <c r="DUH46" s="19"/>
      <c r="DUI46" s="19"/>
      <c r="DUJ46" s="19"/>
      <c r="DUK46" s="19"/>
      <c r="DUL46" s="19"/>
      <c r="DUM46" s="19"/>
      <c r="DUN46" s="19"/>
      <c r="DUO46" s="19"/>
      <c r="DUP46" s="19"/>
      <c r="DUQ46" s="19"/>
      <c r="DUR46" s="19"/>
      <c r="DUS46" s="19"/>
      <c r="DUT46" s="19"/>
      <c r="DUU46" s="19"/>
      <c r="DUV46" s="19"/>
      <c r="DUW46" s="19"/>
      <c r="DUX46" s="19"/>
      <c r="DUY46" s="19"/>
      <c r="DUZ46" s="19"/>
      <c r="DVA46" s="19"/>
      <c r="DVB46" s="19"/>
      <c r="DVC46" s="19"/>
      <c r="DVD46" s="19"/>
      <c r="DVE46" s="19"/>
      <c r="DVF46" s="19"/>
      <c r="DVG46" s="19"/>
      <c r="DVH46" s="19"/>
      <c r="DVI46" s="19"/>
      <c r="DVJ46" s="19"/>
      <c r="DVK46" s="19"/>
      <c r="DVL46" s="19"/>
      <c r="DVM46" s="19"/>
      <c r="DVN46" s="19"/>
      <c r="DVO46" s="19"/>
      <c r="DVP46" s="19"/>
      <c r="DVQ46" s="19"/>
      <c r="DVR46" s="19"/>
      <c r="DVS46" s="19"/>
      <c r="DVT46" s="19"/>
      <c r="DVU46" s="19"/>
      <c r="DVV46" s="19"/>
      <c r="DVW46" s="19"/>
      <c r="DVX46" s="19"/>
      <c r="DVY46" s="19"/>
      <c r="DVZ46" s="19"/>
      <c r="DWA46" s="19"/>
      <c r="DWB46" s="19"/>
      <c r="DWC46" s="19"/>
      <c r="DWD46" s="19"/>
      <c r="DWE46" s="19"/>
      <c r="DWF46" s="19"/>
      <c r="DWG46" s="19"/>
      <c r="DWH46" s="19"/>
      <c r="DWI46" s="19"/>
      <c r="DWJ46" s="19"/>
      <c r="DWK46" s="19"/>
      <c r="DWL46" s="19"/>
      <c r="DWM46" s="19"/>
      <c r="DWN46" s="19"/>
      <c r="DWO46" s="19"/>
      <c r="DWP46" s="19"/>
      <c r="DWQ46" s="19"/>
      <c r="DWR46" s="19"/>
      <c r="DWS46" s="19"/>
      <c r="DWT46" s="19"/>
      <c r="DWU46" s="19"/>
      <c r="DWV46" s="19"/>
      <c r="DWW46" s="19"/>
      <c r="DWX46" s="19"/>
      <c r="DWY46" s="19"/>
      <c r="DWZ46" s="19"/>
      <c r="DXA46" s="19"/>
      <c r="DXB46" s="19"/>
      <c r="DXC46" s="19"/>
      <c r="DXD46" s="19"/>
      <c r="DXE46" s="19"/>
      <c r="DXF46" s="19"/>
      <c r="DXG46" s="19"/>
      <c r="DXH46" s="19"/>
      <c r="DXI46" s="19"/>
      <c r="DXJ46" s="19"/>
      <c r="DXK46" s="19"/>
      <c r="DXL46" s="19"/>
      <c r="DXM46" s="19"/>
      <c r="DXN46" s="19"/>
      <c r="DXO46" s="19"/>
      <c r="DXP46" s="19"/>
      <c r="DXQ46" s="19"/>
      <c r="DXR46" s="19"/>
      <c r="DXS46" s="19"/>
      <c r="DXT46" s="19"/>
      <c r="DXU46" s="19"/>
      <c r="DXV46" s="19"/>
      <c r="DXW46" s="19"/>
      <c r="DXX46" s="19"/>
      <c r="DXY46" s="19"/>
      <c r="DXZ46" s="19"/>
      <c r="DYA46" s="19"/>
      <c r="DYB46" s="19"/>
      <c r="DYC46" s="19"/>
      <c r="DYD46" s="19"/>
      <c r="DYE46" s="19"/>
      <c r="DYF46" s="19"/>
      <c r="DYG46" s="19"/>
      <c r="DYH46" s="19"/>
      <c r="DYI46" s="19"/>
      <c r="DYJ46" s="19"/>
      <c r="DYK46" s="19"/>
      <c r="DYL46" s="19"/>
      <c r="DYM46" s="19"/>
      <c r="DYN46" s="19"/>
      <c r="DYO46" s="19"/>
      <c r="DYP46" s="19"/>
      <c r="DYQ46" s="19"/>
      <c r="DYR46" s="19"/>
      <c r="DYS46" s="19"/>
      <c r="DYT46" s="19"/>
      <c r="DYU46" s="19"/>
      <c r="DYV46" s="19"/>
      <c r="DYW46" s="19"/>
      <c r="DYX46" s="19"/>
      <c r="DYY46" s="19"/>
      <c r="DYZ46" s="19"/>
      <c r="DZA46" s="19"/>
      <c r="DZB46" s="19"/>
      <c r="DZC46" s="19"/>
      <c r="DZD46" s="19"/>
      <c r="DZE46" s="19"/>
      <c r="DZF46" s="19"/>
      <c r="DZG46" s="19"/>
      <c r="DZH46" s="19"/>
      <c r="DZI46" s="19"/>
      <c r="DZJ46" s="19"/>
      <c r="DZK46" s="19"/>
      <c r="DZL46" s="19"/>
      <c r="DZM46" s="19"/>
      <c r="DZN46" s="19"/>
      <c r="DZO46" s="19"/>
      <c r="DZP46" s="19"/>
      <c r="DZQ46" s="19"/>
      <c r="DZR46" s="19"/>
      <c r="DZS46" s="19"/>
      <c r="DZT46" s="19"/>
      <c r="DZU46" s="19"/>
      <c r="DZV46" s="19"/>
      <c r="DZW46" s="19"/>
      <c r="DZX46" s="19"/>
      <c r="DZY46" s="19"/>
      <c r="DZZ46" s="19"/>
      <c r="EAA46" s="19"/>
      <c r="EAB46" s="19"/>
      <c r="EAC46" s="19"/>
      <c r="EAD46" s="19"/>
      <c r="EAE46" s="19"/>
      <c r="EAF46" s="19"/>
      <c r="EAG46" s="19"/>
      <c r="EAH46" s="19"/>
      <c r="EAI46" s="19"/>
      <c r="EAJ46" s="19"/>
      <c r="EAK46" s="19"/>
      <c r="EAL46" s="19"/>
      <c r="EAM46" s="19"/>
      <c r="EAN46" s="19"/>
      <c r="EAO46" s="19"/>
      <c r="EAP46" s="19"/>
      <c r="EAQ46" s="19"/>
      <c r="EAR46" s="19"/>
      <c r="EAS46" s="19"/>
      <c r="EAT46" s="19"/>
      <c r="EAU46" s="19"/>
      <c r="EAV46" s="19"/>
      <c r="EAW46" s="19"/>
      <c r="EAX46" s="19"/>
      <c r="EAY46" s="19"/>
      <c r="EAZ46" s="19"/>
      <c r="EBA46" s="19"/>
      <c r="EBB46" s="19"/>
      <c r="EBC46" s="19"/>
      <c r="EBD46" s="19"/>
      <c r="EBE46" s="19"/>
      <c r="EBF46" s="19"/>
      <c r="EBG46" s="19"/>
      <c r="EBH46" s="19"/>
      <c r="EBI46" s="19"/>
      <c r="EBJ46" s="19"/>
      <c r="EBK46" s="19"/>
      <c r="EBL46" s="19"/>
      <c r="EBM46" s="19"/>
      <c r="EBN46" s="19"/>
      <c r="EBO46" s="19"/>
      <c r="EBP46" s="19"/>
      <c r="EBQ46" s="19"/>
      <c r="EBR46" s="19"/>
      <c r="EBS46" s="19"/>
      <c r="EBT46" s="19"/>
      <c r="EBU46" s="19"/>
      <c r="EBV46" s="19"/>
      <c r="EBW46" s="19"/>
      <c r="EBX46" s="19"/>
      <c r="EBY46" s="19"/>
      <c r="EBZ46" s="19"/>
      <c r="ECA46" s="19"/>
      <c r="ECB46" s="19"/>
      <c r="ECC46" s="19"/>
      <c r="ECD46" s="19"/>
      <c r="ECE46" s="19"/>
      <c r="ECF46" s="19"/>
      <c r="ECG46" s="19"/>
      <c r="ECH46" s="19"/>
      <c r="ECI46" s="19"/>
      <c r="ECJ46" s="19"/>
      <c r="ECK46" s="19"/>
      <c r="ECL46" s="19"/>
      <c r="ECM46" s="19"/>
      <c r="ECN46" s="19"/>
      <c r="ECO46" s="19"/>
      <c r="ECP46" s="19"/>
      <c r="ECQ46" s="19"/>
      <c r="ECR46" s="19"/>
      <c r="ECS46" s="19"/>
      <c r="ECT46" s="19"/>
      <c r="ECU46" s="19"/>
      <c r="ECV46" s="19"/>
      <c r="ECW46" s="19"/>
      <c r="ECX46" s="19"/>
      <c r="ECY46" s="19"/>
      <c r="ECZ46" s="19"/>
      <c r="EDA46" s="19"/>
      <c r="EDB46" s="19"/>
      <c r="EDC46" s="19"/>
      <c r="EDD46" s="19"/>
      <c r="EDE46" s="19"/>
      <c r="EDF46" s="19"/>
      <c r="EDG46" s="19"/>
      <c r="EDH46" s="19"/>
      <c r="EDI46" s="19"/>
      <c r="EDJ46" s="19"/>
      <c r="EDK46" s="19"/>
      <c r="EDL46" s="19"/>
      <c r="EDM46" s="19"/>
      <c r="EDN46" s="19"/>
      <c r="EDO46" s="19"/>
      <c r="EDP46" s="19"/>
      <c r="EDQ46" s="19"/>
      <c r="EDR46" s="19"/>
      <c r="EDS46" s="19"/>
      <c r="EDT46" s="19"/>
      <c r="EDU46" s="19"/>
      <c r="EDV46" s="19"/>
      <c r="EDW46" s="19"/>
      <c r="EDX46" s="19"/>
      <c r="EDY46" s="19"/>
      <c r="EDZ46" s="19"/>
      <c r="EEA46" s="19"/>
      <c r="EEB46" s="19"/>
      <c r="EEC46" s="19"/>
      <c r="EED46" s="19"/>
      <c r="EEE46" s="19"/>
      <c r="EEF46" s="19"/>
      <c r="EEG46" s="19"/>
      <c r="EEH46" s="19"/>
      <c r="EEI46" s="19"/>
      <c r="EEJ46" s="19"/>
      <c r="EEK46" s="19"/>
      <c r="EEL46" s="19"/>
      <c r="EEM46" s="19"/>
      <c r="EEN46" s="19"/>
      <c r="EEO46" s="19"/>
      <c r="EEP46" s="19"/>
      <c r="EEQ46" s="19"/>
      <c r="EER46" s="19"/>
      <c r="EES46" s="19"/>
      <c r="EET46" s="19"/>
      <c r="EEU46" s="19"/>
      <c r="EEV46" s="19"/>
      <c r="EEW46" s="19"/>
      <c r="EEX46" s="19"/>
      <c r="EEY46" s="19"/>
      <c r="EEZ46" s="19"/>
      <c r="EFA46" s="19"/>
      <c r="EFB46" s="19"/>
      <c r="EFC46" s="19"/>
      <c r="EFD46" s="19"/>
      <c r="EFE46" s="19"/>
      <c r="EFF46" s="19"/>
      <c r="EFG46" s="19"/>
      <c r="EFH46" s="19"/>
      <c r="EFI46" s="19"/>
      <c r="EFJ46" s="19"/>
      <c r="EFK46" s="19"/>
      <c r="EFL46" s="19"/>
      <c r="EFM46" s="19"/>
      <c r="EFN46" s="19"/>
      <c r="EFO46" s="19"/>
      <c r="EFP46" s="19"/>
      <c r="EFQ46" s="19"/>
      <c r="EFR46" s="19"/>
      <c r="EFS46" s="19"/>
      <c r="EFT46" s="19"/>
      <c r="EFU46" s="19"/>
      <c r="EFV46" s="19"/>
      <c r="EFW46" s="19"/>
      <c r="EFX46" s="19"/>
      <c r="EFY46" s="19"/>
      <c r="EFZ46" s="19"/>
      <c r="EGA46" s="19"/>
      <c r="EGB46" s="19"/>
      <c r="EGC46" s="19"/>
      <c r="EGD46" s="19"/>
      <c r="EGE46" s="19"/>
      <c r="EGF46" s="19"/>
      <c r="EGG46" s="19"/>
      <c r="EGH46" s="19"/>
      <c r="EGI46" s="19"/>
      <c r="EGJ46" s="19"/>
      <c r="EGK46" s="19"/>
      <c r="EGL46" s="19"/>
      <c r="EGM46" s="19"/>
      <c r="EGN46" s="19"/>
      <c r="EGO46" s="19"/>
      <c r="EGP46" s="19"/>
      <c r="EGQ46" s="19"/>
      <c r="EGR46" s="19"/>
      <c r="EGS46" s="19"/>
      <c r="EGT46" s="19"/>
      <c r="EGU46" s="19"/>
      <c r="EGV46" s="19"/>
      <c r="EGW46" s="19"/>
      <c r="EGX46" s="19"/>
      <c r="EGY46" s="19"/>
      <c r="EGZ46" s="19"/>
      <c r="EHA46" s="19"/>
      <c r="EHB46" s="19"/>
      <c r="EHC46" s="19"/>
      <c r="EHD46" s="19"/>
      <c r="EHE46" s="19"/>
      <c r="EHF46" s="19"/>
      <c r="EHG46" s="19"/>
      <c r="EHH46" s="19"/>
      <c r="EHI46" s="19"/>
      <c r="EHJ46" s="19"/>
      <c r="EHK46" s="19"/>
      <c r="EHL46" s="19"/>
      <c r="EHM46" s="19"/>
      <c r="EHN46" s="19"/>
      <c r="EHO46" s="19"/>
      <c r="EHP46" s="19"/>
      <c r="EHQ46" s="19"/>
      <c r="EHR46" s="19"/>
      <c r="EHS46" s="19"/>
      <c r="EHT46" s="19"/>
      <c r="EHU46" s="19"/>
      <c r="EHV46" s="19"/>
      <c r="EHW46" s="19"/>
      <c r="EHX46" s="19"/>
      <c r="EHY46" s="19"/>
      <c r="EHZ46" s="19"/>
      <c r="EIA46" s="19"/>
      <c r="EIB46" s="19"/>
      <c r="EIC46" s="19"/>
      <c r="EID46" s="19"/>
      <c r="EIE46" s="19"/>
      <c r="EIF46" s="19"/>
      <c r="EIG46" s="19"/>
      <c r="EIH46" s="19"/>
      <c r="EII46" s="19"/>
      <c r="EIJ46" s="19"/>
      <c r="EIK46" s="19"/>
      <c r="EIL46" s="19"/>
      <c r="EIM46" s="19"/>
      <c r="EIN46" s="19"/>
      <c r="EIO46" s="19"/>
      <c r="EIP46" s="19"/>
      <c r="EIQ46" s="19"/>
      <c r="EIR46" s="19"/>
      <c r="EIS46" s="19"/>
      <c r="EIT46" s="19"/>
      <c r="EIU46" s="19"/>
      <c r="EIV46" s="19"/>
      <c r="EIW46" s="19"/>
      <c r="EIX46" s="19"/>
      <c r="EIY46" s="19"/>
      <c r="EIZ46" s="19"/>
      <c r="EJA46" s="19"/>
      <c r="EJB46" s="19"/>
      <c r="EJC46" s="19"/>
      <c r="EJD46" s="19"/>
      <c r="EJE46" s="19"/>
      <c r="EJF46" s="19"/>
      <c r="EJG46" s="19"/>
      <c r="EJH46" s="19"/>
      <c r="EJI46" s="19"/>
      <c r="EJJ46" s="19"/>
      <c r="EJK46" s="19"/>
      <c r="EJL46" s="19"/>
      <c r="EJM46" s="19"/>
      <c r="EJN46" s="19"/>
      <c r="EJO46" s="19"/>
      <c r="EJP46" s="19"/>
      <c r="EJQ46" s="19"/>
      <c r="EJR46" s="19"/>
      <c r="EJS46" s="19"/>
      <c r="EJT46" s="19"/>
      <c r="EJU46" s="19"/>
      <c r="EJV46" s="19"/>
      <c r="EJW46" s="19"/>
      <c r="EJX46" s="19"/>
      <c r="EJY46" s="19"/>
      <c r="EJZ46" s="19"/>
      <c r="EKA46" s="19"/>
      <c r="EKB46" s="19"/>
      <c r="EKC46" s="19"/>
      <c r="EKD46" s="19"/>
      <c r="EKE46" s="19"/>
      <c r="EKF46" s="19"/>
      <c r="EKG46" s="19"/>
      <c r="EKH46" s="19"/>
      <c r="EKI46" s="19"/>
      <c r="EKJ46" s="19"/>
      <c r="EKK46" s="19"/>
      <c r="EKL46" s="19"/>
      <c r="EKM46" s="19"/>
      <c r="EKN46" s="19"/>
      <c r="EKO46" s="19"/>
      <c r="EKP46" s="19"/>
      <c r="EKQ46" s="19"/>
      <c r="EKR46" s="19"/>
      <c r="EKS46" s="19"/>
      <c r="EKT46" s="19"/>
      <c r="EKU46" s="19"/>
      <c r="EKV46" s="19"/>
      <c r="EKW46" s="19"/>
      <c r="EKX46" s="19"/>
      <c r="EKY46" s="19"/>
      <c r="EKZ46" s="19"/>
      <c r="ELA46" s="19"/>
      <c r="ELB46" s="19"/>
      <c r="ELC46" s="19"/>
      <c r="ELD46" s="19"/>
      <c r="ELE46" s="19"/>
      <c r="ELF46" s="19"/>
      <c r="ELG46" s="19"/>
      <c r="ELH46" s="19"/>
      <c r="ELI46" s="19"/>
      <c r="ELJ46" s="19"/>
      <c r="ELK46" s="19"/>
      <c r="ELL46" s="19"/>
      <c r="ELM46" s="19"/>
      <c r="ELN46" s="19"/>
      <c r="ELO46" s="19"/>
      <c r="ELP46" s="19"/>
      <c r="ELQ46" s="19"/>
      <c r="ELR46" s="19"/>
      <c r="ELS46" s="19"/>
      <c r="ELT46" s="19"/>
      <c r="ELU46" s="19"/>
      <c r="ELV46" s="19"/>
      <c r="ELW46" s="19"/>
      <c r="ELX46" s="19"/>
      <c r="ELY46" s="19"/>
      <c r="ELZ46" s="19"/>
      <c r="EMA46" s="19"/>
      <c r="EMB46" s="19"/>
      <c r="EMC46" s="19"/>
      <c r="EMD46" s="19"/>
      <c r="EME46" s="19"/>
      <c r="EMF46" s="19"/>
      <c r="EMG46" s="19"/>
      <c r="EMH46" s="19"/>
      <c r="EMI46" s="19"/>
      <c r="EMJ46" s="19"/>
      <c r="EMK46" s="19"/>
      <c r="EML46" s="19"/>
      <c r="EMM46" s="19"/>
      <c r="EMN46" s="19"/>
      <c r="EMO46" s="19"/>
      <c r="EMP46" s="19"/>
      <c r="EMQ46" s="19"/>
      <c r="EMR46" s="19"/>
      <c r="EMS46" s="19"/>
      <c r="EMT46" s="19"/>
      <c r="EMU46" s="19"/>
      <c r="EMV46" s="19"/>
      <c r="EMW46" s="19"/>
      <c r="EMX46" s="19"/>
      <c r="EMY46" s="19"/>
      <c r="EMZ46" s="19"/>
      <c r="ENA46" s="19"/>
      <c r="ENB46" s="19"/>
      <c r="ENC46" s="19"/>
      <c r="END46" s="19"/>
      <c r="ENE46" s="19"/>
      <c r="ENF46" s="19"/>
      <c r="ENG46" s="19"/>
      <c r="ENH46" s="19"/>
      <c r="ENI46" s="19"/>
      <c r="ENJ46" s="19"/>
      <c r="ENK46" s="19"/>
      <c r="ENL46" s="19"/>
      <c r="ENM46" s="19"/>
      <c r="ENN46" s="19"/>
      <c r="ENO46" s="19"/>
      <c r="ENP46" s="19"/>
      <c r="ENQ46" s="19"/>
      <c r="ENR46" s="19"/>
      <c r="ENS46" s="19"/>
      <c r="ENT46" s="19"/>
      <c r="ENU46" s="19"/>
      <c r="ENV46" s="19"/>
      <c r="ENW46" s="19"/>
      <c r="ENX46" s="19"/>
      <c r="ENY46" s="19"/>
      <c r="ENZ46" s="19"/>
      <c r="EOA46" s="19"/>
      <c r="EOB46" s="19"/>
      <c r="EOC46" s="19"/>
      <c r="EOD46" s="19"/>
      <c r="EOE46" s="19"/>
      <c r="EOF46" s="19"/>
      <c r="EOG46" s="19"/>
      <c r="EOH46" s="19"/>
      <c r="EOI46" s="19"/>
      <c r="EOJ46" s="19"/>
      <c r="EOK46" s="19"/>
      <c r="EOL46" s="19"/>
      <c r="EOM46" s="19"/>
      <c r="EON46" s="19"/>
      <c r="EOO46" s="19"/>
      <c r="EOP46" s="19"/>
      <c r="EOQ46" s="19"/>
      <c r="EOR46" s="19"/>
      <c r="EOS46" s="19"/>
      <c r="EOT46" s="19"/>
      <c r="EOU46" s="19"/>
      <c r="EOV46" s="19"/>
      <c r="EOW46" s="19"/>
      <c r="EOX46" s="19"/>
      <c r="EOY46" s="19"/>
      <c r="EOZ46" s="19"/>
      <c r="EPA46" s="19"/>
      <c r="EPB46" s="19"/>
      <c r="EPC46" s="19"/>
      <c r="EPD46" s="19"/>
      <c r="EPE46" s="19"/>
      <c r="EPF46" s="19"/>
      <c r="EPG46" s="19"/>
      <c r="EPH46" s="19"/>
      <c r="EPI46" s="19"/>
      <c r="EPJ46" s="19"/>
      <c r="EPK46" s="19"/>
      <c r="EPL46" s="19"/>
      <c r="EPM46" s="19"/>
      <c r="EPN46" s="19"/>
      <c r="EPO46" s="19"/>
      <c r="EPP46" s="19"/>
      <c r="EPQ46" s="19"/>
      <c r="EPR46" s="19"/>
      <c r="EPS46" s="19"/>
      <c r="EPT46" s="19"/>
      <c r="EPU46" s="19"/>
      <c r="EPV46" s="19"/>
      <c r="EPW46" s="19"/>
      <c r="EPX46" s="19"/>
      <c r="EPY46" s="19"/>
      <c r="EPZ46" s="19"/>
      <c r="EQA46" s="19"/>
      <c r="EQB46" s="19"/>
      <c r="EQC46" s="19"/>
      <c r="EQD46" s="19"/>
      <c r="EQE46" s="19"/>
      <c r="EQF46" s="19"/>
      <c r="EQG46" s="19"/>
      <c r="EQH46" s="19"/>
      <c r="EQI46" s="19"/>
      <c r="EQJ46" s="19"/>
      <c r="EQK46" s="19"/>
      <c r="EQL46" s="19"/>
      <c r="EQM46" s="19"/>
      <c r="EQN46" s="19"/>
      <c r="EQO46" s="19"/>
      <c r="EQP46" s="19"/>
      <c r="EQQ46" s="19"/>
      <c r="EQR46" s="19"/>
      <c r="EQS46" s="19"/>
      <c r="EQT46" s="19"/>
      <c r="EQU46" s="19"/>
      <c r="EQV46" s="19"/>
      <c r="EQW46" s="19"/>
      <c r="EQX46" s="19"/>
      <c r="EQY46" s="19"/>
      <c r="EQZ46" s="19"/>
      <c r="ERA46" s="19"/>
      <c r="ERB46" s="19"/>
      <c r="ERC46" s="19"/>
      <c r="ERD46" s="19"/>
      <c r="ERE46" s="19"/>
      <c r="ERF46" s="19"/>
      <c r="ERG46" s="19"/>
      <c r="ERH46" s="19"/>
      <c r="ERI46" s="19"/>
      <c r="ERJ46" s="19"/>
      <c r="ERK46" s="19"/>
      <c r="ERL46" s="19"/>
      <c r="ERM46" s="19"/>
      <c r="ERN46" s="19"/>
      <c r="ERO46" s="19"/>
      <c r="ERP46" s="19"/>
      <c r="ERQ46" s="19"/>
      <c r="ERR46" s="19"/>
      <c r="ERS46" s="19"/>
      <c r="ERT46" s="19"/>
      <c r="ERU46" s="19"/>
      <c r="ERV46" s="19"/>
      <c r="ERW46" s="19"/>
      <c r="ERX46" s="19"/>
      <c r="ERY46" s="19"/>
      <c r="ERZ46" s="19"/>
      <c r="ESA46" s="19"/>
      <c r="ESB46" s="19"/>
      <c r="ESC46" s="19"/>
      <c r="ESD46" s="19"/>
      <c r="ESE46" s="19"/>
      <c r="ESF46" s="19"/>
      <c r="ESG46" s="19"/>
      <c r="ESH46" s="19"/>
      <c r="ESI46" s="19"/>
      <c r="ESJ46" s="19"/>
      <c r="ESK46" s="19"/>
      <c r="ESL46" s="19"/>
      <c r="ESM46" s="19"/>
      <c r="ESN46" s="19"/>
      <c r="ESO46" s="19"/>
      <c r="ESP46" s="19"/>
      <c r="ESQ46" s="19"/>
      <c r="ESR46" s="19"/>
      <c r="ESS46" s="19"/>
      <c r="EST46" s="19"/>
      <c r="ESU46" s="19"/>
      <c r="ESV46" s="19"/>
      <c r="ESW46" s="19"/>
      <c r="ESX46" s="19"/>
      <c r="ESY46" s="19"/>
      <c r="ESZ46" s="19"/>
      <c r="ETA46" s="19"/>
      <c r="ETB46" s="19"/>
      <c r="ETC46" s="19"/>
      <c r="ETD46" s="19"/>
      <c r="ETE46" s="19"/>
      <c r="ETF46" s="19"/>
      <c r="ETG46" s="19"/>
      <c r="ETH46" s="19"/>
      <c r="ETI46" s="19"/>
      <c r="ETJ46" s="19"/>
      <c r="ETK46" s="19"/>
      <c r="ETL46" s="19"/>
      <c r="ETM46" s="19"/>
      <c r="ETN46" s="19"/>
      <c r="ETO46" s="19"/>
      <c r="ETP46" s="19"/>
      <c r="ETQ46" s="19"/>
      <c r="ETR46" s="19"/>
      <c r="ETS46" s="19"/>
      <c r="ETT46" s="19"/>
      <c r="ETU46" s="19"/>
      <c r="ETV46" s="19"/>
      <c r="ETW46" s="19"/>
      <c r="ETX46" s="19"/>
      <c r="ETY46" s="19"/>
      <c r="ETZ46" s="19"/>
      <c r="EUA46" s="19"/>
      <c r="EUB46" s="19"/>
      <c r="EUC46" s="19"/>
      <c r="EUD46" s="19"/>
      <c r="EUE46" s="19"/>
      <c r="EUF46" s="19"/>
      <c r="EUG46" s="19"/>
      <c r="EUH46" s="19"/>
      <c r="EUI46" s="19"/>
      <c r="EUJ46" s="19"/>
      <c r="EUK46" s="19"/>
      <c r="EUL46" s="19"/>
      <c r="EUM46" s="19"/>
      <c r="EUN46" s="19"/>
      <c r="EUO46" s="19"/>
      <c r="EUP46" s="19"/>
      <c r="EUQ46" s="19"/>
      <c r="EUR46" s="19"/>
      <c r="EUS46" s="19"/>
      <c r="EUT46" s="19"/>
      <c r="EUU46" s="19"/>
      <c r="EUV46" s="19"/>
      <c r="EUW46" s="19"/>
      <c r="EUX46" s="19"/>
      <c r="EUY46" s="19"/>
      <c r="EUZ46" s="19"/>
      <c r="EVA46" s="19"/>
      <c r="EVB46" s="19"/>
      <c r="EVC46" s="19"/>
      <c r="EVD46" s="19"/>
      <c r="EVE46" s="19"/>
      <c r="EVF46" s="19"/>
      <c r="EVG46" s="19"/>
      <c r="EVH46" s="19"/>
      <c r="EVI46" s="19"/>
      <c r="EVJ46" s="19"/>
      <c r="EVK46" s="19"/>
      <c r="EVL46" s="19"/>
      <c r="EVM46" s="19"/>
      <c r="EVN46" s="19"/>
      <c r="EVO46" s="19"/>
      <c r="EVP46" s="19"/>
      <c r="EVQ46" s="19"/>
      <c r="EVR46" s="19"/>
      <c r="EVS46" s="19"/>
      <c r="EVT46" s="19"/>
      <c r="EVU46" s="19"/>
      <c r="EVV46" s="19"/>
      <c r="EVW46" s="19"/>
      <c r="EVX46" s="19"/>
      <c r="EVY46" s="19"/>
      <c r="EVZ46" s="19"/>
      <c r="EWA46" s="19"/>
      <c r="EWB46" s="19"/>
      <c r="EWC46" s="19"/>
      <c r="EWD46" s="19"/>
      <c r="EWE46" s="19"/>
      <c r="EWF46" s="19"/>
      <c r="EWG46" s="19"/>
      <c r="EWH46" s="19"/>
      <c r="EWI46" s="19"/>
      <c r="EWJ46" s="19"/>
      <c r="EWK46" s="19"/>
      <c r="EWL46" s="19"/>
      <c r="EWM46" s="19"/>
      <c r="EWN46" s="19"/>
      <c r="EWO46" s="19"/>
      <c r="EWP46" s="19"/>
      <c r="EWQ46" s="19"/>
      <c r="EWR46" s="19"/>
      <c r="EWS46" s="19"/>
      <c r="EWT46" s="19"/>
      <c r="EWU46" s="19"/>
      <c r="EWV46" s="19"/>
      <c r="EWW46" s="19"/>
      <c r="EWX46" s="19"/>
      <c r="EWY46" s="19"/>
      <c r="EWZ46" s="19"/>
      <c r="EXA46" s="19"/>
      <c r="EXB46" s="19"/>
      <c r="EXC46" s="19"/>
      <c r="EXD46" s="19"/>
      <c r="EXE46" s="19"/>
      <c r="EXF46" s="19"/>
      <c r="EXG46" s="19"/>
      <c r="EXH46" s="19"/>
      <c r="EXI46" s="19"/>
      <c r="EXJ46" s="19"/>
      <c r="EXK46" s="19"/>
      <c r="EXL46" s="19"/>
      <c r="EXM46" s="19"/>
      <c r="EXN46" s="19"/>
      <c r="EXO46" s="19"/>
      <c r="EXP46" s="19"/>
      <c r="EXQ46" s="19"/>
      <c r="EXR46" s="19"/>
      <c r="EXS46" s="19"/>
      <c r="EXT46" s="19"/>
      <c r="EXU46" s="19"/>
      <c r="EXV46" s="19"/>
      <c r="EXW46" s="19"/>
      <c r="EXX46" s="19"/>
      <c r="EXY46" s="19"/>
      <c r="EXZ46" s="19"/>
      <c r="EYA46" s="19"/>
      <c r="EYB46" s="19"/>
      <c r="EYC46" s="19"/>
      <c r="EYD46" s="19"/>
      <c r="EYE46" s="19"/>
      <c r="EYF46" s="19"/>
      <c r="EYG46" s="19"/>
      <c r="EYH46" s="19"/>
      <c r="EYI46" s="19"/>
      <c r="EYJ46" s="19"/>
      <c r="EYK46" s="19"/>
      <c r="EYL46" s="19"/>
      <c r="EYM46" s="19"/>
      <c r="EYN46" s="19"/>
      <c r="EYO46" s="19"/>
      <c r="EYP46" s="19"/>
      <c r="EYQ46" s="19"/>
      <c r="EYR46" s="19"/>
      <c r="EYS46" s="19"/>
      <c r="EYT46" s="19"/>
      <c r="EYU46" s="19"/>
      <c r="EYV46" s="19"/>
      <c r="EYW46" s="19"/>
      <c r="EYX46" s="19"/>
      <c r="EYY46" s="19"/>
      <c r="EYZ46" s="19"/>
      <c r="EZA46" s="19"/>
      <c r="EZB46" s="19"/>
      <c r="EZC46" s="19"/>
      <c r="EZD46" s="19"/>
      <c r="EZE46" s="19"/>
      <c r="EZF46" s="19"/>
      <c r="EZG46" s="19"/>
      <c r="EZH46" s="19"/>
      <c r="EZI46" s="19"/>
      <c r="EZJ46" s="19"/>
      <c r="EZK46" s="19"/>
      <c r="EZL46" s="19"/>
      <c r="EZM46" s="19"/>
      <c r="EZN46" s="19"/>
      <c r="EZO46" s="19"/>
      <c r="EZP46" s="19"/>
      <c r="EZQ46" s="19"/>
      <c r="EZR46" s="19"/>
      <c r="EZS46" s="19"/>
      <c r="EZT46" s="19"/>
      <c r="EZU46" s="19"/>
      <c r="EZV46" s="19"/>
      <c r="EZW46" s="19"/>
      <c r="EZX46" s="19"/>
      <c r="EZY46" s="19"/>
      <c r="EZZ46" s="19"/>
      <c r="FAA46" s="19"/>
      <c r="FAB46" s="19"/>
      <c r="FAC46" s="19"/>
      <c r="FAD46" s="19"/>
      <c r="FAE46" s="19"/>
      <c r="FAF46" s="19"/>
      <c r="FAG46" s="19"/>
      <c r="FAH46" s="19"/>
      <c r="FAI46" s="19"/>
      <c r="FAJ46" s="19"/>
      <c r="FAK46" s="19"/>
      <c r="FAL46" s="19"/>
      <c r="FAM46" s="19"/>
      <c r="FAN46" s="19"/>
      <c r="FAO46" s="19"/>
      <c r="FAP46" s="19"/>
      <c r="FAQ46" s="19"/>
      <c r="FAR46" s="19"/>
      <c r="FAS46" s="19"/>
      <c r="FAT46" s="19"/>
      <c r="FAU46" s="19"/>
      <c r="FAV46" s="19"/>
      <c r="FAW46" s="19"/>
      <c r="FAX46" s="19"/>
      <c r="FAY46" s="19"/>
      <c r="FAZ46" s="19"/>
      <c r="FBA46" s="19"/>
      <c r="FBB46" s="19"/>
      <c r="FBC46" s="19"/>
      <c r="FBD46" s="19"/>
      <c r="FBE46" s="19"/>
      <c r="FBF46" s="19"/>
      <c r="FBG46" s="19"/>
      <c r="FBH46" s="19"/>
      <c r="FBI46" s="19"/>
      <c r="FBJ46" s="19"/>
      <c r="FBK46" s="19"/>
      <c r="FBL46" s="19"/>
      <c r="FBM46" s="19"/>
      <c r="FBN46" s="19"/>
      <c r="FBO46" s="19"/>
      <c r="FBP46" s="19"/>
      <c r="FBQ46" s="19"/>
      <c r="FBR46" s="19"/>
      <c r="FBS46" s="19"/>
      <c r="FBT46" s="19"/>
      <c r="FBU46" s="19"/>
      <c r="FBV46" s="19"/>
      <c r="FBW46" s="19"/>
      <c r="FBX46" s="19"/>
      <c r="FBY46" s="19"/>
      <c r="FBZ46" s="19"/>
      <c r="FCA46" s="19"/>
      <c r="FCB46" s="19"/>
      <c r="FCC46" s="19"/>
      <c r="FCD46" s="19"/>
      <c r="FCE46" s="19"/>
      <c r="FCF46" s="19"/>
      <c r="FCG46" s="19"/>
      <c r="FCH46" s="19"/>
      <c r="FCI46" s="19"/>
      <c r="FCJ46" s="19"/>
      <c r="FCK46" s="19"/>
      <c r="FCL46" s="19"/>
      <c r="FCM46" s="19"/>
      <c r="FCN46" s="19"/>
      <c r="FCO46" s="19"/>
      <c r="FCP46" s="19"/>
      <c r="FCQ46" s="19"/>
      <c r="FCR46" s="19"/>
      <c r="FCS46" s="19"/>
      <c r="FCT46" s="19"/>
      <c r="FCU46" s="19"/>
      <c r="FCV46" s="19"/>
      <c r="FCW46" s="19"/>
      <c r="FCX46" s="19"/>
      <c r="FCY46" s="19"/>
      <c r="FCZ46" s="19"/>
      <c r="FDA46" s="19"/>
      <c r="FDB46" s="19"/>
      <c r="FDC46" s="19"/>
      <c r="FDD46" s="19"/>
      <c r="FDE46" s="19"/>
      <c r="FDF46" s="19"/>
      <c r="FDG46" s="19"/>
      <c r="FDH46" s="19"/>
      <c r="FDI46" s="19"/>
      <c r="FDJ46" s="19"/>
      <c r="FDK46" s="19"/>
      <c r="FDL46" s="19"/>
      <c r="FDM46" s="19"/>
      <c r="FDN46" s="19"/>
      <c r="FDO46" s="19"/>
      <c r="FDP46" s="19"/>
      <c r="FDQ46" s="19"/>
      <c r="FDR46" s="19"/>
      <c r="FDS46" s="19"/>
      <c r="FDT46" s="19"/>
      <c r="FDU46" s="19"/>
      <c r="FDV46" s="19"/>
      <c r="FDW46" s="19"/>
      <c r="FDX46" s="19"/>
      <c r="FDY46" s="19"/>
      <c r="FDZ46" s="19"/>
      <c r="FEA46" s="19"/>
      <c r="FEB46" s="19"/>
      <c r="FEC46" s="19"/>
      <c r="FED46" s="19"/>
      <c r="FEE46" s="19"/>
      <c r="FEF46" s="19"/>
      <c r="FEG46" s="19"/>
      <c r="FEH46" s="19"/>
      <c r="FEI46" s="19"/>
      <c r="FEJ46" s="19"/>
      <c r="FEK46" s="19"/>
      <c r="FEL46" s="19"/>
      <c r="FEM46" s="19"/>
      <c r="FEN46" s="19"/>
      <c r="FEO46" s="19"/>
      <c r="FEP46" s="19"/>
      <c r="FEQ46" s="19"/>
      <c r="FER46" s="19"/>
      <c r="FES46" s="19"/>
      <c r="FET46" s="19"/>
      <c r="FEU46" s="19"/>
      <c r="FEV46" s="19"/>
      <c r="FEW46" s="19"/>
      <c r="FEX46" s="19"/>
      <c r="FEY46" s="19"/>
      <c r="FEZ46" s="19"/>
      <c r="FFA46" s="19"/>
      <c r="FFB46" s="19"/>
      <c r="FFC46" s="19"/>
      <c r="FFD46" s="19"/>
      <c r="FFE46" s="19"/>
      <c r="FFF46" s="19"/>
      <c r="FFG46" s="19"/>
      <c r="FFH46" s="19"/>
      <c r="FFI46" s="19"/>
      <c r="FFJ46" s="19"/>
      <c r="FFK46" s="19"/>
      <c r="FFL46" s="19"/>
      <c r="FFM46" s="19"/>
      <c r="FFN46" s="19"/>
      <c r="FFO46" s="19"/>
      <c r="FFP46" s="19"/>
      <c r="FFQ46" s="19"/>
      <c r="FFR46" s="19"/>
      <c r="FFS46" s="19"/>
      <c r="FFT46" s="19"/>
      <c r="FFU46" s="19"/>
      <c r="FFV46" s="19"/>
      <c r="FFW46" s="19"/>
      <c r="FFX46" s="19"/>
      <c r="FFY46" s="19"/>
      <c r="FFZ46" s="19"/>
      <c r="FGA46" s="19"/>
      <c r="FGB46" s="19"/>
      <c r="FGC46" s="19"/>
      <c r="FGD46" s="19"/>
      <c r="FGE46" s="19"/>
      <c r="FGF46" s="19"/>
      <c r="FGG46" s="19"/>
      <c r="FGH46" s="19"/>
      <c r="FGI46" s="19"/>
      <c r="FGJ46" s="19"/>
      <c r="FGK46" s="19"/>
      <c r="FGL46" s="19"/>
      <c r="FGM46" s="19"/>
      <c r="FGN46" s="19"/>
      <c r="FGO46" s="19"/>
      <c r="FGP46" s="19"/>
      <c r="FGQ46" s="19"/>
      <c r="FGR46" s="19"/>
      <c r="FGS46" s="19"/>
      <c r="FGT46" s="19"/>
      <c r="FGU46" s="19"/>
      <c r="FGV46" s="19"/>
      <c r="FGW46" s="19"/>
      <c r="FGX46" s="19"/>
      <c r="FGY46" s="19"/>
      <c r="FGZ46" s="19"/>
      <c r="FHA46" s="19"/>
      <c r="FHB46" s="19"/>
      <c r="FHC46" s="19"/>
      <c r="FHD46" s="19"/>
      <c r="FHE46" s="19"/>
      <c r="FHF46" s="19"/>
      <c r="FHG46" s="19"/>
      <c r="FHH46" s="19"/>
      <c r="FHI46" s="19"/>
      <c r="FHJ46" s="19"/>
      <c r="FHK46" s="19"/>
      <c r="FHL46" s="19"/>
      <c r="FHM46" s="19"/>
      <c r="FHN46" s="19"/>
      <c r="FHO46" s="19"/>
      <c r="FHP46" s="19"/>
      <c r="FHQ46" s="19"/>
      <c r="FHR46" s="19"/>
      <c r="FHS46" s="19"/>
      <c r="FHT46" s="19"/>
      <c r="FHU46" s="19"/>
      <c r="FHV46" s="19"/>
      <c r="FHW46" s="19"/>
      <c r="FHX46" s="19"/>
      <c r="FHY46" s="19"/>
      <c r="FHZ46" s="19"/>
      <c r="FIA46" s="19"/>
      <c r="FIB46" s="19"/>
      <c r="FIC46" s="19"/>
      <c r="FID46" s="19"/>
      <c r="FIE46" s="19"/>
      <c r="FIF46" s="19"/>
      <c r="FIG46" s="19"/>
      <c r="FIH46" s="19"/>
      <c r="FII46" s="19"/>
      <c r="FIJ46" s="19"/>
      <c r="FIK46" s="19"/>
      <c r="FIL46" s="19"/>
      <c r="FIM46" s="19"/>
      <c r="FIN46" s="19"/>
      <c r="FIO46" s="19"/>
      <c r="FIP46" s="19"/>
      <c r="FIQ46" s="19"/>
      <c r="FIR46" s="19"/>
      <c r="FIS46" s="19"/>
      <c r="FIT46" s="19"/>
      <c r="FIU46" s="19"/>
      <c r="FIV46" s="19"/>
      <c r="FIW46" s="19"/>
      <c r="FIX46" s="19"/>
      <c r="FIY46" s="19"/>
      <c r="FIZ46" s="19"/>
      <c r="FJA46" s="19"/>
      <c r="FJB46" s="19"/>
      <c r="FJC46" s="19"/>
      <c r="FJD46" s="19"/>
      <c r="FJE46" s="19"/>
      <c r="FJF46" s="19"/>
      <c r="FJG46" s="19"/>
      <c r="FJH46" s="19"/>
      <c r="FJI46" s="19"/>
      <c r="FJJ46" s="19"/>
      <c r="FJK46" s="19"/>
      <c r="FJL46" s="19"/>
      <c r="FJM46" s="19"/>
      <c r="FJN46" s="19"/>
      <c r="FJO46" s="19"/>
      <c r="FJP46" s="19"/>
      <c r="FJQ46" s="19"/>
      <c r="FJR46" s="19"/>
      <c r="FJS46" s="19"/>
      <c r="FJT46" s="19"/>
      <c r="FJU46" s="19"/>
      <c r="FJV46" s="19"/>
      <c r="FJW46" s="19"/>
      <c r="FJX46" s="19"/>
      <c r="FJY46" s="19"/>
      <c r="FJZ46" s="19"/>
      <c r="FKA46" s="19"/>
      <c r="FKB46" s="19"/>
      <c r="FKC46" s="19"/>
      <c r="FKD46" s="19"/>
      <c r="FKE46" s="19"/>
      <c r="FKF46" s="19"/>
      <c r="FKG46" s="19"/>
      <c r="FKH46" s="19"/>
      <c r="FKI46" s="19"/>
      <c r="FKJ46" s="19"/>
      <c r="FKK46" s="19"/>
      <c r="FKL46" s="19"/>
      <c r="FKM46" s="19"/>
      <c r="FKN46" s="19"/>
      <c r="FKO46" s="19"/>
      <c r="FKP46" s="19"/>
      <c r="FKQ46" s="19"/>
      <c r="FKR46" s="19"/>
      <c r="FKS46" s="19"/>
      <c r="FKT46" s="19"/>
      <c r="FKU46" s="19"/>
      <c r="FKV46" s="19"/>
      <c r="FKW46" s="19"/>
      <c r="FKX46" s="19"/>
      <c r="FKY46" s="19"/>
      <c r="FKZ46" s="19"/>
      <c r="FLA46" s="19"/>
      <c r="FLB46" s="19"/>
      <c r="FLC46" s="19"/>
      <c r="FLD46" s="19"/>
      <c r="FLE46" s="19"/>
      <c r="FLF46" s="19"/>
      <c r="FLG46" s="19"/>
      <c r="FLH46" s="19"/>
      <c r="FLI46" s="19"/>
      <c r="FLJ46" s="19"/>
      <c r="FLK46" s="19"/>
      <c r="FLL46" s="19"/>
      <c r="FLM46" s="19"/>
      <c r="FLN46" s="19"/>
      <c r="FLO46" s="19"/>
      <c r="FLP46" s="19"/>
      <c r="FLQ46" s="19"/>
      <c r="FLR46" s="19"/>
      <c r="FLS46" s="19"/>
      <c r="FLT46" s="19"/>
      <c r="FLU46" s="19"/>
      <c r="FLV46" s="19"/>
      <c r="FLW46" s="19"/>
      <c r="FLX46" s="19"/>
      <c r="FLY46" s="19"/>
      <c r="FLZ46" s="19"/>
      <c r="FMA46" s="19"/>
      <c r="FMB46" s="19"/>
      <c r="FMC46" s="19"/>
      <c r="FMD46" s="19"/>
      <c r="FME46" s="19"/>
      <c r="FMF46" s="19"/>
      <c r="FMG46" s="19"/>
      <c r="FMH46" s="19"/>
      <c r="FMI46" s="19"/>
      <c r="FMJ46" s="19"/>
      <c r="FMK46" s="19"/>
      <c r="FML46" s="19"/>
      <c r="FMM46" s="19"/>
      <c r="FMN46" s="19"/>
      <c r="FMO46" s="19"/>
      <c r="FMP46" s="19"/>
      <c r="FMQ46" s="19"/>
      <c r="FMR46" s="19"/>
      <c r="FMS46" s="19"/>
      <c r="FMT46" s="19"/>
      <c r="FMU46" s="19"/>
      <c r="FMV46" s="19"/>
      <c r="FMW46" s="19"/>
      <c r="FMX46" s="19"/>
      <c r="FMY46" s="19"/>
      <c r="FMZ46" s="19"/>
      <c r="FNA46" s="19"/>
      <c r="FNB46" s="19"/>
      <c r="FNC46" s="19"/>
      <c r="FND46" s="19"/>
      <c r="FNE46" s="19"/>
      <c r="FNF46" s="19"/>
      <c r="FNG46" s="19"/>
      <c r="FNH46" s="19"/>
      <c r="FNI46" s="19"/>
      <c r="FNJ46" s="19"/>
      <c r="FNK46" s="19"/>
      <c r="FNL46" s="19"/>
      <c r="FNM46" s="19"/>
      <c r="FNN46" s="19"/>
      <c r="FNO46" s="19"/>
      <c r="FNP46" s="19"/>
      <c r="FNQ46" s="19"/>
      <c r="FNR46" s="19"/>
      <c r="FNS46" s="19"/>
      <c r="FNT46" s="19"/>
      <c r="FNU46" s="19"/>
      <c r="FNV46" s="19"/>
      <c r="FNW46" s="19"/>
      <c r="FNX46" s="19"/>
      <c r="FNY46" s="19"/>
      <c r="FNZ46" s="19"/>
      <c r="FOA46" s="19"/>
      <c r="FOB46" s="19"/>
      <c r="FOC46" s="19"/>
      <c r="FOD46" s="19"/>
      <c r="FOE46" s="19"/>
      <c r="FOF46" s="19"/>
      <c r="FOG46" s="19"/>
      <c r="FOH46" s="19"/>
      <c r="FOI46" s="19"/>
      <c r="FOJ46" s="19"/>
      <c r="FOK46" s="19"/>
      <c r="FOL46" s="19"/>
      <c r="FOM46" s="19"/>
      <c r="FON46" s="19"/>
      <c r="FOO46" s="19"/>
      <c r="FOP46" s="19"/>
      <c r="FOQ46" s="19"/>
      <c r="FOR46" s="19"/>
      <c r="FOS46" s="19"/>
      <c r="FOT46" s="19"/>
      <c r="FOU46" s="19"/>
      <c r="FOV46" s="19"/>
      <c r="FOW46" s="19"/>
      <c r="FOX46" s="19"/>
      <c r="FOY46" s="19"/>
      <c r="FOZ46" s="19"/>
      <c r="FPA46" s="19"/>
      <c r="FPB46" s="19"/>
      <c r="FPC46" s="19"/>
      <c r="FPD46" s="19"/>
      <c r="FPE46" s="19"/>
      <c r="FPF46" s="19"/>
      <c r="FPG46" s="19"/>
      <c r="FPH46" s="19"/>
      <c r="FPI46" s="19"/>
      <c r="FPJ46" s="19"/>
      <c r="FPK46" s="19"/>
      <c r="FPL46" s="19"/>
      <c r="FPM46" s="19"/>
      <c r="FPN46" s="19"/>
      <c r="FPO46" s="19"/>
      <c r="FPP46" s="19"/>
      <c r="FPQ46" s="19"/>
      <c r="FPR46" s="19"/>
      <c r="FPS46" s="19"/>
      <c r="FPT46" s="19"/>
      <c r="FPU46" s="19"/>
      <c r="FPV46" s="19"/>
      <c r="FPW46" s="19"/>
      <c r="FPX46" s="19"/>
      <c r="FPY46" s="19"/>
      <c r="FPZ46" s="19"/>
      <c r="FQA46" s="19"/>
      <c r="FQB46" s="19"/>
      <c r="FQC46" s="19"/>
      <c r="FQD46" s="19"/>
      <c r="FQE46" s="19"/>
      <c r="FQF46" s="19"/>
      <c r="FQG46" s="19"/>
      <c r="FQH46" s="19"/>
      <c r="FQI46" s="19"/>
      <c r="FQJ46" s="19"/>
      <c r="FQK46" s="19"/>
      <c r="FQL46" s="19"/>
      <c r="FQM46" s="19"/>
      <c r="FQN46" s="19"/>
      <c r="FQO46" s="19"/>
      <c r="FQP46" s="19"/>
      <c r="FQQ46" s="19"/>
      <c r="FQR46" s="19"/>
      <c r="FQS46" s="19"/>
      <c r="FQT46" s="19"/>
      <c r="FQU46" s="19"/>
      <c r="FQV46" s="19"/>
      <c r="FQW46" s="19"/>
      <c r="FQX46" s="19"/>
      <c r="FQY46" s="19"/>
      <c r="FQZ46" s="19"/>
      <c r="FRA46" s="19"/>
      <c r="FRB46" s="19"/>
      <c r="FRC46" s="19"/>
      <c r="FRD46" s="19"/>
      <c r="FRE46" s="19"/>
      <c r="FRF46" s="19"/>
      <c r="FRG46" s="19"/>
      <c r="FRH46" s="19"/>
      <c r="FRI46" s="19"/>
      <c r="FRJ46" s="19"/>
      <c r="FRK46" s="19"/>
      <c r="FRL46" s="19"/>
      <c r="FRM46" s="19"/>
      <c r="FRN46" s="19"/>
      <c r="FRO46" s="19"/>
      <c r="FRP46" s="19"/>
      <c r="FRQ46" s="19"/>
      <c r="FRR46" s="19"/>
      <c r="FRS46" s="19"/>
      <c r="FRT46" s="19"/>
      <c r="FRU46" s="19"/>
      <c r="FRV46" s="19"/>
      <c r="FRW46" s="19"/>
      <c r="FRX46" s="19"/>
      <c r="FRY46" s="19"/>
      <c r="FRZ46" s="19"/>
      <c r="FSA46" s="19"/>
      <c r="FSB46" s="19"/>
      <c r="FSC46" s="19"/>
      <c r="FSD46" s="19"/>
      <c r="FSE46" s="19"/>
      <c r="FSF46" s="19"/>
      <c r="FSG46" s="19"/>
      <c r="FSH46" s="19"/>
      <c r="FSI46" s="19"/>
      <c r="FSJ46" s="19"/>
      <c r="FSK46" s="19"/>
      <c r="FSL46" s="19"/>
      <c r="FSM46" s="19"/>
      <c r="FSN46" s="19"/>
      <c r="FSO46" s="19"/>
      <c r="FSP46" s="19"/>
      <c r="FSQ46" s="19"/>
      <c r="FSR46" s="19"/>
      <c r="FSS46" s="19"/>
      <c r="FST46" s="19"/>
      <c r="FSU46" s="19"/>
      <c r="FSV46" s="19"/>
      <c r="FSW46" s="19"/>
      <c r="FSX46" s="19"/>
      <c r="FSY46" s="19"/>
      <c r="FSZ46" s="19"/>
      <c r="FTA46" s="19"/>
      <c r="FTB46" s="19"/>
      <c r="FTC46" s="19"/>
      <c r="FTD46" s="19"/>
      <c r="FTE46" s="19"/>
      <c r="FTF46" s="19"/>
      <c r="FTG46" s="19"/>
      <c r="FTH46" s="19"/>
      <c r="FTI46" s="19"/>
      <c r="FTJ46" s="19"/>
      <c r="FTK46" s="19"/>
      <c r="FTL46" s="19"/>
      <c r="FTM46" s="19"/>
      <c r="FTN46" s="19"/>
      <c r="FTO46" s="19"/>
      <c r="FTP46" s="19"/>
      <c r="FTQ46" s="19"/>
      <c r="FTR46" s="19"/>
      <c r="FTS46" s="19"/>
      <c r="FTT46" s="19"/>
      <c r="FTU46" s="19"/>
      <c r="FTV46" s="19"/>
      <c r="FTW46" s="19"/>
      <c r="FTX46" s="19"/>
      <c r="FTY46" s="19"/>
      <c r="FTZ46" s="19"/>
      <c r="FUA46" s="19"/>
      <c r="FUB46" s="19"/>
      <c r="FUC46" s="19"/>
      <c r="FUD46" s="19"/>
      <c r="FUE46" s="19"/>
      <c r="FUF46" s="19"/>
      <c r="FUG46" s="19"/>
      <c r="FUH46" s="19"/>
      <c r="FUI46" s="19"/>
      <c r="FUJ46" s="19"/>
      <c r="FUK46" s="19"/>
      <c r="FUL46" s="19"/>
      <c r="FUM46" s="19"/>
      <c r="FUN46" s="19"/>
      <c r="FUO46" s="19"/>
      <c r="FUP46" s="19"/>
      <c r="FUQ46" s="19"/>
      <c r="FUR46" s="19"/>
      <c r="FUS46" s="19"/>
      <c r="FUT46" s="19"/>
      <c r="FUU46" s="19"/>
      <c r="FUV46" s="19"/>
      <c r="FUW46" s="19"/>
      <c r="FUX46" s="19"/>
      <c r="FUY46" s="19"/>
      <c r="FUZ46" s="19"/>
      <c r="FVA46" s="19"/>
      <c r="FVB46" s="19"/>
      <c r="FVC46" s="19"/>
      <c r="FVD46" s="19"/>
      <c r="FVE46" s="19"/>
      <c r="FVF46" s="19"/>
      <c r="FVG46" s="19"/>
      <c r="FVH46" s="19"/>
      <c r="FVI46" s="19"/>
      <c r="FVJ46" s="19"/>
      <c r="FVK46" s="19"/>
      <c r="FVL46" s="19"/>
      <c r="FVM46" s="19"/>
      <c r="FVN46" s="19"/>
      <c r="FVO46" s="19"/>
      <c r="FVP46" s="19"/>
      <c r="FVQ46" s="19"/>
      <c r="FVR46" s="19"/>
      <c r="FVS46" s="19"/>
      <c r="FVT46" s="19"/>
      <c r="FVU46" s="19"/>
      <c r="FVV46" s="19"/>
      <c r="FVW46" s="19"/>
      <c r="FVX46" s="19"/>
      <c r="FVY46" s="19"/>
      <c r="FVZ46" s="19"/>
      <c r="FWA46" s="19"/>
      <c r="FWB46" s="19"/>
      <c r="FWC46" s="19"/>
      <c r="FWD46" s="19"/>
      <c r="FWE46" s="19"/>
      <c r="FWF46" s="19"/>
      <c r="FWG46" s="19"/>
      <c r="FWH46" s="19"/>
      <c r="FWI46" s="19"/>
      <c r="FWJ46" s="19"/>
      <c r="FWK46" s="19"/>
      <c r="FWL46" s="19"/>
      <c r="FWM46" s="19"/>
      <c r="FWN46" s="19"/>
      <c r="FWO46" s="19"/>
      <c r="FWP46" s="19"/>
      <c r="FWQ46" s="19"/>
      <c r="FWR46" s="19"/>
      <c r="FWS46" s="19"/>
      <c r="FWT46" s="19"/>
      <c r="FWU46" s="19"/>
      <c r="FWV46" s="19"/>
      <c r="FWW46" s="19"/>
      <c r="FWX46" s="19"/>
      <c r="FWY46" s="19"/>
      <c r="FWZ46" s="19"/>
      <c r="FXA46" s="19"/>
      <c r="FXB46" s="19"/>
      <c r="FXC46" s="19"/>
      <c r="FXD46" s="19"/>
      <c r="FXE46" s="19"/>
      <c r="FXF46" s="19"/>
      <c r="FXG46" s="19"/>
      <c r="FXH46" s="19"/>
      <c r="FXI46" s="19"/>
      <c r="FXJ46" s="19"/>
      <c r="FXK46" s="19"/>
      <c r="FXL46" s="19"/>
      <c r="FXM46" s="19"/>
      <c r="FXN46" s="19"/>
      <c r="FXO46" s="19"/>
      <c r="FXP46" s="19"/>
      <c r="FXQ46" s="19"/>
      <c r="FXR46" s="19"/>
      <c r="FXS46" s="19"/>
      <c r="FXT46" s="19"/>
      <c r="FXU46" s="19"/>
      <c r="FXV46" s="19"/>
      <c r="FXW46" s="19"/>
      <c r="FXX46" s="19"/>
      <c r="FXY46" s="19"/>
      <c r="FXZ46" s="19"/>
      <c r="FYA46" s="19"/>
      <c r="FYB46" s="19"/>
      <c r="FYC46" s="19"/>
      <c r="FYD46" s="19"/>
      <c r="FYE46" s="19"/>
      <c r="FYF46" s="19"/>
      <c r="FYG46" s="19"/>
      <c r="FYH46" s="19"/>
      <c r="FYI46" s="19"/>
      <c r="FYJ46" s="19"/>
      <c r="FYK46" s="19"/>
      <c r="FYL46" s="19"/>
      <c r="FYM46" s="19"/>
      <c r="FYN46" s="19"/>
      <c r="FYO46" s="19"/>
      <c r="FYP46" s="19"/>
      <c r="FYQ46" s="19"/>
      <c r="FYR46" s="19"/>
      <c r="FYS46" s="19"/>
      <c r="FYT46" s="19"/>
      <c r="FYU46" s="19"/>
      <c r="FYV46" s="19"/>
      <c r="FYW46" s="19"/>
      <c r="FYX46" s="19"/>
      <c r="FYY46" s="19"/>
      <c r="FYZ46" s="19"/>
      <c r="FZA46" s="19"/>
      <c r="FZB46" s="19"/>
      <c r="FZC46" s="19"/>
      <c r="FZD46" s="19"/>
      <c r="FZE46" s="19"/>
      <c r="FZF46" s="19"/>
      <c r="FZG46" s="19"/>
      <c r="FZH46" s="19"/>
      <c r="FZI46" s="19"/>
      <c r="FZJ46" s="19"/>
      <c r="FZK46" s="19"/>
      <c r="FZL46" s="19"/>
      <c r="FZM46" s="19"/>
      <c r="FZN46" s="19"/>
      <c r="FZO46" s="19"/>
      <c r="FZP46" s="19"/>
      <c r="FZQ46" s="19"/>
      <c r="FZR46" s="19"/>
      <c r="FZS46" s="19"/>
      <c r="FZT46" s="19"/>
      <c r="FZU46" s="19"/>
      <c r="FZV46" s="19"/>
      <c r="FZW46" s="19"/>
      <c r="FZX46" s="19"/>
      <c r="FZY46" s="19"/>
      <c r="FZZ46" s="19"/>
      <c r="GAA46" s="19"/>
      <c r="GAB46" s="19"/>
      <c r="GAC46" s="19"/>
      <c r="GAD46" s="19"/>
      <c r="GAE46" s="19"/>
      <c r="GAF46" s="19"/>
      <c r="GAG46" s="19"/>
      <c r="GAH46" s="19"/>
      <c r="GAI46" s="19"/>
      <c r="GAJ46" s="19"/>
      <c r="GAK46" s="19"/>
      <c r="GAL46" s="19"/>
      <c r="GAM46" s="19"/>
      <c r="GAN46" s="19"/>
      <c r="GAO46" s="19"/>
      <c r="GAP46" s="19"/>
      <c r="GAQ46" s="19"/>
      <c r="GAR46" s="19"/>
      <c r="GAS46" s="19"/>
      <c r="GAT46" s="19"/>
      <c r="GAU46" s="19"/>
      <c r="GAV46" s="19"/>
      <c r="GAW46" s="19"/>
      <c r="GAX46" s="19"/>
      <c r="GAY46" s="19"/>
      <c r="GAZ46" s="19"/>
      <c r="GBA46" s="19"/>
      <c r="GBB46" s="19"/>
      <c r="GBC46" s="19"/>
      <c r="GBD46" s="19"/>
      <c r="GBE46" s="19"/>
      <c r="GBF46" s="19"/>
      <c r="GBG46" s="19"/>
      <c r="GBH46" s="19"/>
      <c r="GBI46" s="19"/>
      <c r="GBJ46" s="19"/>
      <c r="GBK46" s="19"/>
      <c r="GBL46" s="19"/>
      <c r="GBM46" s="19"/>
      <c r="GBN46" s="19"/>
      <c r="GBO46" s="19"/>
      <c r="GBP46" s="19"/>
      <c r="GBQ46" s="19"/>
      <c r="GBR46" s="19"/>
      <c r="GBS46" s="19"/>
      <c r="GBT46" s="19"/>
      <c r="GBU46" s="19"/>
      <c r="GBV46" s="19"/>
      <c r="GBW46" s="19"/>
      <c r="GBX46" s="19"/>
      <c r="GBY46" s="19"/>
      <c r="GBZ46" s="19"/>
      <c r="GCA46" s="19"/>
      <c r="GCB46" s="19"/>
      <c r="GCC46" s="19"/>
      <c r="GCD46" s="19"/>
      <c r="GCE46" s="19"/>
      <c r="GCF46" s="19"/>
      <c r="GCG46" s="19"/>
      <c r="GCH46" s="19"/>
      <c r="GCI46" s="19"/>
      <c r="GCJ46" s="19"/>
      <c r="GCK46" s="19"/>
      <c r="GCL46" s="19"/>
      <c r="GCM46" s="19"/>
      <c r="GCN46" s="19"/>
      <c r="GCO46" s="19"/>
      <c r="GCP46" s="19"/>
      <c r="GCQ46" s="19"/>
      <c r="GCR46" s="19"/>
      <c r="GCS46" s="19"/>
      <c r="GCT46" s="19"/>
      <c r="GCU46" s="19"/>
      <c r="GCV46" s="19"/>
      <c r="GCW46" s="19"/>
      <c r="GCX46" s="19"/>
      <c r="GCY46" s="19"/>
      <c r="GCZ46" s="19"/>
      <c r="GDA46" s="19"/>
      <c r="GDB46" s="19"/>
      <c r="GDC46" s="19"/>
      <c r="GDD46" s="19"/>
      <c r="GDE46" s="19"/>
      <c r="GDF46" s="19"/>
      <c r="GDG46" s="19"/>
      <c r="GDH46" s="19"/>
      <c r="GDI46" s="19"/>
      <c r="GDJ46" s="19"/>
      <c r="GDK46" s="19"/>
      <c r="GDL46" s="19"/>
      <c r="GDM46" s="19"/>
      <c r="GDN46" s="19"/>
      <c r="GDO46" s="19"/>
      <c r="GDP46" s="19"/>
      <c r="GDQ46" s="19"/>
      <c r="GDR46" s="19"/>
      <c r="GDS46" s="19"/>
      <c r="GDT46" s="19"/>
      <c r="GDU46" s="19"/>
      <c r="GDV46" s="19"/>
      <c r="GDW46" s="19"/>
      <c r="GDX46" s="19"/>
      <c r="GDY46" s="19"/>
      <c r="GDZ46" s="19"/>
      <c r="GEA46" s="19"/>
      <c r="GEB46" s="19"/>
      <c r="GEC46" s="19"/>
      <c r="GED46" s="19"/>
      <c r="GEE46" s="19"/>
      <c r="GEF46" s="19"/>
      <c r="GEG46" s="19"/>
      <c r="GEH46" s="19"/>
      <c r="GEI46" s="19"/>
      <c r="GEJ46" s="19"/>
      <c r="GEK46" s="19"/>
      <c r="GEL46" s="19"/>
      <c r="GEM46" s="19"/>
      <c r="GEN46" s="19"/>
      <c r="GEO46" s="19"/>
      <c r="GEP46" s="19"/>
      <c r="GEQ46" s="19"/>
      <c r="GER46" s="19"/>
      <c r="GES46" s="19"/>
      <c r="GET46" s="19"/>
      <c r="GEU46" s="19"/>
      <c r="GEV46" s="19"/>
      <c r="GEW46" s="19"/>
      <c r="GEX46" s="19"/>
      <c r="GEY46" s="19"/>
      <c r="GEZ46" s="19"/>
      <c r="GFA46" s="19"/>
      <c r="GFB46" s="19"/>
      <c r="GFC46" s="19"/>
      <c r="GFD46" s="19"/>
      <c r="GFE46" s="19"/>
      <c r="GFF46" s="19"/>
      <c r="GFG46" s="19"/>
      <c r="GFH46" s="19"/>
      <c r="GFI46" s="19"/>
      <c r="GFJ46" s="19"/>
      <c r="GFK46" s="19"/>
      <c r="GFL46" s="19"/>
      <c r="GFM46" s="19"/>
      <c r="GFN46" s="19"/>
      <c r="GFO46" s="19"/>
      <c r="GFP46" s="19"/>
      <c r="GFQ46" s="19"/>
      <c r="GFR46" s="19"/>
      <c r="GFS46" s="19"/>
      <c r="GFT46" s="19"/>
      <c r="GFU46" s="19"/>
      <c r="GFV46" s="19"/>
      <c r="GFW46" s="19"/>
      <c r="GFX46" s="19"/>
      <c r="GFY46" s="19"/>
      <c r="GFZ46" s="19"/>
      <c r="GGA46" s="19"/>
      <c r="GGB46" s="19"/>
      <c r="GGC46" s="19"/>
      <c r="GGD46" s="19"/>
      <c r="GGE46" s="19"/>
      <c r="GGF46" s="19"/>
      <c r="GGG46" s="19"/>
      <c r="GGH46" s="19"/>
      <c r="GGI46" s="19"/>
      <c r="GGJ46" s="19"/>
      <c r="GGK46" s="19"/>
      <c r="GGL46" s="19"/>
      <c r="GGM46" s="19"/>
      <c r="GGN46" s="19"/>
      <c r="GGO46" s="19"/>
      <c r="GGP46" s="19"/>
      <c r="GGQ46" s="19"/>
      <c r="GGR46" s="19"/>
      <c r="GGS46" s="19"/>
      <c r="GGT46" s="19"/>
      <c r="GGU46" s="19"/>
      <c r="GGV46" s="19"/>
      <c r="GGW46" s="19"/>
      <c r="GGX46" s="19"/>
      <c r="GGY46" s="19"/>
      <c r="GGZ46" s="19"/>
      <c r="GHA46" s="19"/>
      <c r="GHB46" s="19"/>
      <c r="GHC46" s="19"/>
      <c r="GHD46" s="19"/>
      <c r="GHE46" s="19"/>
      <c r="GHF46" s="19"/>
      <c r="GHG46" s="19"/>
      <c r="GHH46" s="19"/>
      <c r="GHI46" s="19"/>
      <c r="GHJ46" s="19"/>
      <c r="GHK46" s="19"/>
      <c r="GHL46" s="19"/>
      <c r="GHM46" s="19"/>
      <c r="GHN46" s="19"/>
      <c r="GHO46" s="19"/>
      <c r="GHP46" s="19"/>
      <c r="GHQ46" s="19"/>
      <c r="GHR46" s="19"/>
      <c r="GHS46" s="19"/>
      <c r="GHT46" s="19"/>
      <c r="GHU46" s="19"/>
      <c r="GHV46" s="19"/>
      <c r="GHW46" s="19"/>
      <c r="GHX46" s="19"/>
      <c r="GHY46" s="19"/>
      <c r="GHZ46" s="19"/>
      <c r="GIA46" s="19"/>
      <c r="GIB46" s="19"/>
      <c r="GIC46" s="19"/>
      <c r="GID46" s="19"/>
      <c r="GIE46" s="19"/>
      <c r="GIF46" s="19"/>
      <c r="GIG46" s="19"/>
      <c r="GIH46" s="19"/>
      <c r="GII46" s="19"/>
      <c r="GIJ46" s="19"/>
      <c r="GIK46" s="19"/>
      <c r="GIL46" s="19"/>
      <c r="GIM46" s="19"/>
      <c r="GIN46" s="19"/>
      <c r="GIO46" s="19"/>
      <c r="GIP46" s="19"/>
      <c r="GIQ46" s="19"/>
      <c r="GIR46" s="19"/>
      <c r="GIS46" s="19"/>
      <c r="GIT46" s="19"/>
      <c r="GIU46" s="19"/>
      <c r="GIV46" s="19"/>
      <c r="GIW46" s="19"/>
      <c r="GIX46" s="19"/>
      <c r="GIY46" s="19"/>
      <c r="GIZ46" s="19"/>
      <c r="GJA46" s="19"/>
      <c r="GJB46" s="19"/>
      <c r="GJC46" s="19"/>
      <c r="GJD46" s="19"/>
      <c r="GJE46" s="19"/>
      <c r="GJF46" s="19"/>
      <c r="GJG46" s="19"/>
      <c r="GJH46" s="19"/>
      <c r="GJI46" s="19"/>
      <c r="GJJ46" s="19"/>
      <c r="GJK46" s="19"/>
      <c r="GJL46" s="19"/>
      <c r="GJM46" s="19"/>
      <c r="GJN46" s="19"/>
      <c r="GJO46" s="19"/>
      <c r="GJP46" s="19"/>
      <c r="GJQ46" s="19"/>
      <c r="GJR46" s="19"/>
      <c r="GJS46" s="19"/>
      <c r="GJT46" s="19"/>
      <c r="GJU46" s="19"/>
      <c r="GJV46" s="19"/>
      <c r="GJW46" s="19"/>
      <c r="GJX46" s="19"/>
      <c r="GJY46" s="19"/>
      <c r="GJZ46" s="19"/>
      <c r="GKA46" s="19"/>
      <c r="GKB46" s="19"/>
      <c r="GKC46" s="19"/>
      <c r="GKD46" s="19"/>
      <c r="GKE46" s="19"/>
      <c r="GKF46" s="19"/>
      <c r="GKG46" s="19"/>
      <c r="GKH46" s="19"/>
      <c r="GKI46" s="19"/>
      <c r="GKJ46" s="19"/>
      <c r="GKK46" s="19"/>
      <c r="GKL46" s="19"/>
      <c r="GKM46" s="19"/>
      <c r="GKN46" s="19"/>
      <c r="GKO46" s="19"/>
      <c r="GKP46" s="19"/>
      <c r="GKQ46" s="19"/>
      <c r="GKR46" s="19"/>
      <c r="GKS46" s="19"/>
      <c r="GKT46" s="19"/>
      <c r="GKU46" s="19"/>
      <c r="GKV46" s="19"/>
      <c r="GKW46" s="19"/>
      <c r="GKX46" s="19"/>
      <c r="GKY46" s="19"/>
      <c r="GKZ46" s="19"/>
      <c r="GLA46" s="19"/>
      <c r="GLB46" s="19"/>
      <c r="GLC46" s="19"/>
      <c r="GLD46" s="19"/>
      <c r="GLE46" s="19"/>
      <c r="GLF46" s="19"/>
      <c r="GLG46" s="19"/>
      <c r="GLH46" s="19"/>
      <c r="GLI46" s="19"/>
      <c r="GLJ46" s="19"/>
      <c r="GLK46" s="19"/>
      <c r="GLL46" s="19"/>
      <c r="GLM46" s="19"/>
      <c r="GLN46" s="19"/>
      <c r="GLO46" s="19"/>
      <c r="GLP46" s="19"/>
      <c r="GLQ46" s="19"/>
      <c r="GLR46" s="19"/>
      <c r="GLS46" s="19"/>
      <c r="GLT46" s="19"/>
      <c r="GLU46" s="19"/>
      <c r="GLV46" s="19"/>
      <c r="GLW46" s="19"/>
      <c r="GLX46" s="19"/>
      <c r="GLY46" s="19"/>
      <c r="GLZ46" s="19"/>
      <c r="GMA46" s="19"/>
      <c r="GMB46" s="19"/>
      <c r="GMC46" s="19"/>
      <c r="GMD46" s="19"/>
      <c r="GME46" s="19"/>
      <c r="GMF46" s="19"/>
      <c r="GMG46" s="19"/>
      <c r="GMH46" s="19"/>
      <c r="GMI46" s="19"/>
      <c r="GMJ46" s="19"/>
      <c r="GMK46" s="19"/>
      <c r="GML46" s="19"/>
      <c r="GMM46" s="19"/>
      <c r="GMN46" s="19"/>
      <c r="GMO46" s="19"/>
      <c r="GMP46" s="19"/>
      <c r="GMQ46" s="19"/>
      <c r="GMR46" s="19"/>
      <c r="GMS46" s="19"/>
      <c r="GMT46" s="19"/>
      <c r="GMU46" s="19"/>
      <c r="GMV46" s="19"/>
      <c r="GMW46" s="19"/>
      <c r="GMX46" s="19"/>
      <c r="GMY46" s="19"/>
      <c r="GMZ46" s="19"/>
      <c r="GNA46" s="19"/>
      <c r="GNB46" s="19"/>
      <c r="GNC46" s="19"/>
      <c r="GND46" s="19"/>
      <c r="GNE46" s="19"/>
      <c r="GNF46" s="19"/>
      <c r="GNG46" s="19"/>
      <c r="GNH46" s="19"/>
      <c r="GNI46" s="19"/>
      <c r="GNJ46" s="19"/>
      <c r="GNK46" s="19"/>
      <c r="GNL46" s="19"/>
      <c r="GNM46" s="19"/>
      <c r="GNN46" s="19"/>
      <c r="GNO46" s="19"/>
      <c r="GNP46" s="19"/>
      <c r="GNQ46" s="19"/>
      <c r="GNR46" s="19"/>
      <c r="GNS46" s="19"/>
      <c r="GNT46" s="19"/>
      <c r="GNU46" s="19"/>
      <c r="GNV46" s="19"/>
      <c r="GNW46" s="19"/>
      <c r="GNX46" s="19"/>
      <c r="GNY46" s="19"/>
      <c r="GNZ46" s="19"/>
      <c r="GOA46" s="19"/>
      <c r="GOB46" s="19"/>
      <c r="GOC46" s="19"/>
      <c r="GOD46" s="19"/>
      <c r="GOE46" s="19"/>
      <c r="GOF46" s="19"/>
      <c r="GOG46" s="19"/>
      <c r="GOH46" s="19"/>
      <c r="GOI46" s="19"/>
      <c r="GOJ46" s="19"/>
      <c r="GOK46" s="19"/>
      <c r="GOL46" s="19"/>
      <c r="GOM46" s="19"/>
      <c r="GON46" s="19"/>
      <c r="GOO46" s="19"/>
      <c r="GOP46" s="19"/>
      <c r="GOQ46" s="19"/>
      <c r="GOR46" s="19"/>
      <c r="GOS46" s="19"/>
      <c r="GOT46" s="19"/>
      <c r="GOU46" s="19"/>
      <c r="GOV46" s="19"/>
      <c r="GOW46" s="19"/>
      <c r="GOX46" s="19"/>
      <c r="GOY46" s="19"/>
      <c r="GOZ46" s="19"/>
      <c r="GPA46" s="19"/>
      <c r="GPB46" s="19"/>
      <c r="GPC46" s="19"/>
      <c r="GPD46" s="19"/>
      <c r="GPE46" s="19"/>
      <c r="GPF46" s="19"/>
      <c r="GPG46" s="19"/>
      <c r="GPH46" s="19"/>
      <c r="GPI46" s="19"/>
      <c r="GPJ46" s="19"/>
      <c r="GPK46" s="19"/>
      <c r="GPL46" s="19"/>
      <c r="GPM46" s="19"/>
      <c r="GPN46" s="19"/>
      <c r="GPO46" s="19"/>
      <c r="GPP46" s="19"/>
      <c r="GPQ46" s="19"/>
      <c r="GPR46" s="19"/>
      <c r="GPS46" s="19"/>
      <c r="GPT46" s="19"/>
      <c r="GPU46" s="19"/>
      <c r="GPV46" s="19"/>
      <c r="GPW46" s="19"/>
      <c r="GPX46" s="19"/>
      <c r="GPY46" s="19"/>
      <c r="GPZ46" s="19"/>
      <c r="GQA46" s="19"/>
      <c r="GQB46" s="19"/>
      <c r="GQC46" s="19"/>
      <c r="GQD46" s="19"/>
      <c r="GQE46" s="19"/>
      <c r="GQF46" s="19"/>
      <c r="GQG46" s="19"/>
      <c r="GQH46" s="19"/>
      <c r="GQI46" s="19"/>
      <c r="GQJ46" s="19"/>
      <c r="GQK46" s="19"/>
      <c r="GQL46" s="19"/>
      <c r="GQM46" s="19"/>
      <c r="GQN46" s="19"/>
      <c r="GQO46" s="19"/>
      <c r="GQP46" s="19"/>
      <c r="GQQ46" s="19"/>
      <c r="GQR46" s="19"/>
      <c r="GQS46" s="19"/>
      <c r="GQT46" s="19"/>
      <c r="GQU46" s="19"/>
      <c r="GQV46" s="19"/>
      <c r="GQW46" s="19"/>
      <c r="GQX46" s="19"/>
      <c r="GQY46" s="19"/>
      <c r="GQZ46" s="19"/>
      <c r="GRA46" s="19"/>
      <c r="GRB46" s="19"/>
      <c r="GRC46" s="19"/>
      <c r="GRD46" s="19"/>
      <c r="GRE46" s="19"/>
      <c r="GRF46" s="19"/>
      <c r="GRG46" s="19"/>
      <c r="GRH46" s="19"/>
      <c r="GRI46" s="19"/>
      <c r="GRJ46" s="19"/>
      <c r="GRK46" s="19"/>
      <c r="GRL46" s="19"/>
      <c r="GRM46" s="19"/>
      <c r="GRN46" s="19"/>
      <c r="GRO46" s="19"/>
      <c r="GRP46" s="19"/>
      <c r="GRQ46" s="19"/>
      <c r="GRR46" s="19"/>
      <c r="GRS46" s="19"/>
      <c r="GRT46" s="19"/>
      <c r="GRU46" s="19"/>
      <c r="GRV46" s="19"/>
      <c r="GRW46" s="19"/>
      <c r="GRX46" s="19"/>
      <c r="GRY46" s="19"/>
      <c r="GRZ46" s="19"/>
      <c r="GSA46" s="19"/>
      <c r="GSB46" s="19"/>
      <c r="GSC46" s="19"/>
      <c r="GSD46" s="19"/>
      <c r="GSE46" s="19"/>
      <c r="GSF46" s="19"/>
      <c r="GSG46" s="19"/>
      <c r="GSH46" s="19"/>
      <c r="GSI46" s="19"/>
      <c r="GSJ46" s="19"/>
      <c r="GSK46" s="19"/>
      <c r="GSL46" s="19"/>
      <c r="GSM46" s="19"/>
      <c r="GSN46" s="19"/>
      <c r="GSO46" s="19"/>
      <c r="GSP46" s="19"/>
      <c r="GSQ46" s="19"/>
      <c r="GSR46" s="19"/>
      <c r="GSS46" s="19"/>
      <c r="GST46" s="19"/>
      <c r="GSU46" s="19"/>
      <c r="GSV46" s="19"/>
      <c r="GSW46" s="19"/>
      <c r="GSX46" s="19"/>
      <c r="GSY46" s="19"/>
      <c r="GSZ46" s="19"/>
      <c r="GTA46" s="19"/>
      <c r="GTB46" s="19"/>
      <c r="GTC46" s="19"/>
      <c r="GTD46" s="19"/>
      <c r="GTE46" s="19"/>
      <c r="GTF46" s="19"/>
      <c r="GTG46" s="19"/>
      <c r="GTH46" s="19"/>
      <c r="GTI46" s="19"/>
      <c r="GTJ46" s="19"/>
      <c r="GTK46" s="19"/>
      <c r="GTL46" s="19"/>
      <c r="GTM46" s="19"/>
      <c r="GTN46" s="19"/>
      <c r="GTO46" s="19"/>
      <c r="GTP46" s="19"/>
      <c r="GTQ46" s="19"/>
      <c r="GTR46" s="19"/>
      <c r="GTS46" s="19"/>
      <c r="GTT46" s="19"/>
      <c r="GTU46" s="19"/>
      <c r="GTV46" s="19"/>
      <c r="GTW46" s="19"/>
      <c r="GTX46" s="19"/>
      <c r="GTY46" s="19"/>
      <c r="GTZ46" s="19"/>
      <c r="GUA46" s="19"/>
      <c r="GUB46" s="19"/>
      <c r="GUC46" s="19"/>
      <c r="GUD46" s="19"/>
      <c r="GUE46" s="19"/>
      <c r="GUF46" s="19"/>
      <c r="GUG46" s="19"/>
      <c r="GUH46" s="19"/>
      <c r="GUI46" s="19"/>
      <c r="GUJ46" s="19"/>
      <c r="GUK46" s="19"/>
      <c r="GUL46" s="19"/>
      <c r="GUM46" s="19"/>
      <c r="GUN46" s="19"/>
      <c r="GUO46" s="19"/>
      <c r="GUP46" s="19"/>
      <c r="GUQ46" s="19"/>
      <c r="GUR46" s="19"/>
      <c r="GUS46" s="19"/>
      <c r="GUT46" s="19"/>
      <c r="GUU46" s="19"/>
      <c r="GUV46" s="19"/>
      <c r="GUW46" s="19"/>
      <c r="GUX46" s="19"/>
      <c r="GUY46" s="19"/>
      <c r="GUZ46" s="19"/>
      <c r="GVA46" s="19"/>
      <c r="GVB46" s="19"/>
      <c r="GVC46" s="19"/>
      <c r="GVD46" s="19"/>
      <c r="GVE46" s="19"/>
      <c r="GVF46" s="19"/>
      <c r="GVG46" s="19"/>
      <c r="GVH46" s="19"/>
      <c r="GVI46" s="19"/>
      <c r="GVJ46" s="19"/>
      <c r="GVK46" s="19"/>
      <c r="GVL46" s="19"/>
      <c r="GVM46" s="19"/>
      <c r="GVN46" s="19"/>
      <c r="GVO46" s="19"/>
      <c r="GVP46" s="19"/>
      <c r="GVQ46" s="19"/>
      <c r="GVR46" s="19"/>
      <c r="GVS46" s="19"/>
      <c r="GVT46" s="19"/>
      <c r="GVU46" s="19"/>
      <c r="GVV46" s="19"/>
      <c r="GVW46" s="19"/>
      <c r="GVX46" s="19"/>
      <c r="GVY46" s="19"/>
      <c r="GVZ46" s="19"/>
      <c r="GWA46" s="19"/>
      <c r="GWB46" s="19"/>
      <c r="GWC46" s="19"/>
      <c r="GWD46" s="19"/>
      <c r="GWE46" s="19"/>
      <c r="GWF46" s="19"/>
      <c r="GWG46" s="19"/>
      <c r="GWH46" s="19"/>
      <c r="GWI46" s="19"/>
      <c r="GWJ46" s="19"/>
      <c r="GWK46" s="19"/>
      <c r="GWL46" s="19"/>
      <c r="GWM46" s="19"/>
      <c r="GWN46" s="19"/>
      <c r="GWO46" s="19"/>
      <c r="GWP46" s="19"/>
      <c r="GWQ46" s="19"/>
      <c r="GWR46" s="19"/>
      <c r="GWS46" s="19"/>
      <c r="GWT46" s="19"/>
      <c r="GWU46" s="19"/>
      <c r="GWV46" s="19"/>
      <c r="GWW46" s="19"/>
      <c r="GWX46" s="19"/>
      <c r="GWY46" s="19"/>
      <c r="GWZ46" s="19"/>
      <c r="GXA46" s="19"/>
      <c r="GXB46" s="19"/>
      <c r="GXC46" s="19"/>
      <c r="GXD46" s="19"/>
      <c r="GXE46" s="19"/>
      <c r="GXF46" s="19"/>
      <c r="GXG46" s="19"/>
      <c r="GXH46" s="19"/>
      <c r="GXI46" s="19"/>
      <c r="GXJ46" s="19"/>
      <c r="GXK46" s="19"/>
      <c r="GXL46" s="19"/>
      <c r="GXM46" s="19"/>
      <c r="GXN46" s="19"/>
      <c r="GXO46" s="19"/>
      <c r="GXP46" s="19"/>
      <c r="GXQ46" s="19"/>
      <c r="GXR46" s="19"/>
      <c r="GXS46" s="19"/>
      <c r="GXT46" s="19"/>
      <c r="GXU46" s="19"/>
      <c r="GXV46" s="19"/>
      <c r="GXW46" s="19"/>
      <c r="GXX46" s="19"/>
      <c r="GXY46" s="19"/>
      <c r="GXZ46" s="19"/>
      <c r="GYA46" s="19"/>
      <c r="GYB46" s="19"/>
      <c r="GYC46" s="19"/>
      <c r="GYD46" s="19"/>
      <c r="GYE46" s="19"/>
      <c r="GYF46" s="19"/>
      <c r="GYG46" s="19"/>
      <c r="GYH46" s="19"/>
      <c r="GYI46" s="19"/>
      <c r="GYJ46" s="19"/>
      <c r="GYK46" s="19"/>
      <c r="GYL46" s="19"/>
      <c r="GYM46" s="19"/>
      <c r="GYN46" s="19"/>
      <c r="GYO46" s="19"/>
      <c r="GYP46" s="19"/>
      <c r="GYQ46" s="19"/>
      <c r="GYR46" s="19"/>
      <c r="GYS46" s="19"/>
      <c r="GYT46" s="19"/>
      <c r="GYU46" s="19"/>
      <c r="GYV46" s="19"/>
      <c r="GYW46" s="19"/>
      <c r="GYX46" s="19"/>
      <c r="GYY46" s="19"/>
      <c r="GYZ46" s="19"/>
      <c r="GZA46" s="19"/>
      <c r="GZB46" s="19"/>
      <c r="GZC46" s="19"/>
      <c r="GZD46" s="19"/>
      <c r="GZE46" s="19"/>
      <c r="GZF46" s="19"/>
      <c r="GZG46" s="19"/>
      <c r="GZH46" s="19"/>
      <c r="GZI46" s="19"/>
      <c r="GZJ46" s="19"/>
      <c r="GZK46" s="19"/>
      <c r="GZL46" s="19"/>
      <c r="GZM46" s="19"/>
      <c r="GZN46" s="19"/>
      <c r="GZO46" s="19"/>
      <c r="GZP46" s="19"/>
      <c r="GZQ46" s="19"/>
      <c r="GZR46" s="19"/>
      <c r="GZS46" s="19"/>
      <c r="GZT46" s="19"/>
      <c r="GZU46" s="19"/>
      <c r="GZV46" s="19"/>
      <c r="GZW46" s="19"/>
      <c r="GZX46" s="19"/>
      <c r="GZY46" s="19"/>
      <c r="GZZ46" s="19"/>
      <c r="HAA46" s="19"/>
      <c r="HAB46" s="19"/>
      <c r="HAC46" s="19"/>
      <c r="HAD46" s="19"/>
      <c r="HAE46" s="19"/>
      <c r="HAF46" s="19"/>
      <c r="HAG46" s="19"/>
      <c r="HAH46" s="19"/>
      <c r="HAI46" s="19"/>
      <c r="HAJ46" s="19"/>
      <c r="HAK46" s="19"/>
      <c r="HAL46" s="19"/>
      <c r="HAM46" s="19"/>
      <c r="HAN46" s="19"/>
      <c r="HAO46" s="19"/>
      <c r="HAP46" s="19"/>
      <c r="HAQ46" s="19"/>
      <c r="HAR46" s="19"/>
      <c r="HAS46" s="19"/>
      <c r="HAT46" s="19"/>
      <c r="HAU46" s="19"/>
      <c r="HAV46" s="19"/>
      <c r="HAW46" s="19"/>
      <c r="HAX46" s="19"/>
      <c r="HAY46" s="19"/>
      <c r="HAZ46" s="19"/>
      <c r="HBA46" s="19"/>
      <c r="HBB46" s="19"/>
      <c r="HBC46" s="19"/>
      <c r="HBD46" s="19"/>
      <c r="HBE46" s="19"/>
      <c r="HBF46" s="19"/>
      <c r="HBG46" s="19"/>
      <c r="HBH46" s="19"/>
      <c r="HBI46" s="19"/>
      <c r="HBJ46" s="19"/>
      <c r="HBK46" s="19"/>
      <c r="HBL46" s="19"/>
      <c r="HBM46" s="19"/>
      <c r="HBN46" s="19"/>
      <c r="HBO46" s="19"/>
      <c r="HBP46" s="19"/>
      <c r="HBQ46" s="19"/>
      <c r="HBR46" s="19"/>
      <c r="HBS46" s="19"/>
      <c r="HBT46" s="19"/>
      <c r="HBU46" s="19"/>
      <c r="HBV46" s="19"/>
      <c r="HBW46" s="19"/>
      <c r="HBX46" s="19"/>
      <c r="HBY46" s="19"/>
      <c r="HBZ46" s="19"/>
      <c r="HCA46" s="19"/>
      <c r="HCB46" s="19"/>
      <c r="HCC46" s="19"/>
      <c r="HCD46" s="19"/>
      <c r="HCE46" s="19"/>
      <c r="HCF46" s="19"/>
      <c r="HCG46" s="19"/>
      <c r="HCH46" s="19"/>
      <c r="HCI46" s="19"/>
      <c r="HCJ46" s="19"/>
      <c r="HCK46" s="19"/>
      <c r="HCL46" s="19"/>
      <c r="HCM46" s="19"/>
      <c r="HCN46" s="19"/>
      <c r="HCO46" s="19"/>
      <c r="HCP46" s="19"/>
      <c r="HCQ46" s="19"/>
      <c r="HCR46" s="19"/>
      <c r="HCS46" s="19"/>
      <c r="HCT46" s="19"/>
      <c r="HCU46" s="19"/>
      <c r="HCV46" s="19"/>
      <c r="HCW46" s="19"/>
      <c r="HCX46" s="19"/>
      <c r="HCY46" s="19"/>
      <c r="HCZ46" s="19"/>
      <c r="HDA46" s="19"/>
      <c r="HDB46" s="19"/>
      <c r="HDC46" s="19"/>
      <c r="HDD46" s="19"/>
      <c r="HDE46" s="19"/>
      <c r="HDF46" s="19"/>
      <c r="HDG46" s="19"/>
      <c r="HDH46" s="19"/>
      <c r="HDI46" s="19"/>
      <c r="HDJ46" s="19"/>
      <c r="HDK46" s="19"/>
      <c r="HDL46" s="19"/>
      <c r="HDM46" s="19"/>
      <c r="HDN46" s="19"/>
      <c r="HDO46" s="19"/>
      <c r="HDP46" s="19"/>
      <c r="HDQ46" s="19"/>
      <c r="HDR46" s="19"/>
      <c r="HDS46" s="19"/>
      <c r="HDT46" s="19"/>
      <c r="HDU46" s="19"/>
      <c r="HDV46" s="19"/>
      <c r="HDW46" s="19"/>
      <c r="HDX46" s="19"/>
      <c r="HDY46" s="19"/>
      <c r="HDZ46" s="19"/>
      <c r="HEA46" s="19"/>
      <c r="HEB46" s="19"/>
      <c r="HEC46" s="19"/>
      <c r="HED46" s="19"/>
      <c r="HEE46" s="19"/>
      <c r="HEF46" s="19"/>
      <c r="HEG46" s="19"/>
      <c r="HEH46" s="19"/>
      <c r="HEI46" s="19"/>
      <c r="HEJ46" s="19"/>
      <c r="HEK46" s="19"/>
      <c r="HEL46" s="19"/>
      <c r="HEM46" s="19"/>
      <c r="HEN46" s="19"/>
      <c r="HEO46" s="19"/>
      <c r="HEP46" s="19"/>
      <c r="HEQ46" s="19"/>
      <c r="HER46" s="19"/>
      <c r="HES46" s="19"/>
      <c r="HET46" s="19"/>
      <c r="HEU46" s="19"/>
      <c r="HEV46" s="19"/>
      <c r="HEW46" s="19"/>
      <c r="HEX46" s="19"/>
      <c r="HEY46" s="19"/>
      <c r="HEZ46" s="19"/>
      <c r="HFA46" s="19"/>
      <c r="HFB46" s="19"/>
      <c r="HFC46" s="19"/>
      <c r="HFD46" s="19"/>
      <c r="HFE46" s="19"/>
      <c r="HFF46" s="19"/>
      <c r="HFG46" s="19"/>
      <c r="HFH46" s="19"/>
      <c r="HFI46" s="19"/>
      <c r="HFJ46" s="19"/>
      <c r="HFK46" s="19"/>
      <c r="HFL46" s="19"/>
      <c r="HFM46" s="19"/>
      <c r="HFN46" s="19"/>
      <c r="HFO46" s="19"/>
      <c r="HFP46" s="19"/>
      <c r="HFQ46" s="19"/>
      <c r="HFR46" s="19"/>
      <c r="HFS46" s="19"/>
      <c r="HFT46" s="19"/>
      <c r="HFU46" s="19"/>
      <c r="HFV46" s="19"/>
      <c r="HFW46" s="19"/>
      <c r="HFX46" s="19"/>
      <c r="HFY46" s="19"/>
      <c r="HFZ46" s="19"/>
      <c r="HGA46" s="19"/>
      <c r="HGB46" s="19"/>
      <c r="HGC46" s="19"/>
      <c r="HGD46" s="19"/>
      <c r="HGE46" s="19"/>
      <c r="HGF46" s="19"/>
      <c r="HGG46" s="19"/>
      <c r="HGH46" s="19"/>
      <c r="HGI46" s="19"/>
      <c r="HGJ46" s="19"/>
      <c r="HGK46" s="19"/>
      <c r="HGL46" s="19"/>
      <c r="HGM46" s="19"/>
      <c r="HGN46" s="19"/>
      <c r="HGO46" s="19"/>
      <c r="HGP46" s="19"/>
      <c r="HGQ46" s="19"/>
      <c r="HGR46" s="19"/>
      <c r="HGS46" s="19"/>
      <c r="HGT46" s="19"/>
      <c r="HGU46" s="19"/>
      <c r="HGV46" s="19"/>
      <c r="HGW46" s="19"/>
      <c r="HGX46" s="19"/>
      <c r="HGY46" s="19"/>
      <c r="HGZ46" s="19"/>
      <c r="HHA46" s="19"/>
      <c r="HHB46" s="19"/>
      <c r="HHC46" s="19"/>
      <c r="HHD46" s="19"/>
      <c r="HHE46" s="19"/>
      <c r="HHF46" s="19"/>
      <c r="HHG46" s="19"/>
      <c r="HHH46" s="19"/>
      <c r="HHI46" s="19"/>
      <c r="HHJ46" s="19"/>
      <c r="HHK46" s="19"/>
      <c r="HHL46" s="19"/>
      <c r="HHM46" s="19"/>
      <c r="HHN46" s="19"/>
      <c r="HHO46" s="19"/>
      <c r="HHP46" s="19"/>
      <c r="HHQ46" s="19"/>
      <c r="HHR46" s="19"/>
      <c r="HHS46" s="19"/>
      <c r="HHT46" s="19"/>
      <c r="HHU46" s="19"/>
      <c r="HHV46" s="19"/>
      <c r="HHW46" s="19"/>
      <c r="HHX46" s="19"/>
      <c r="HHY46" s="19"/>
      <c r="HHZ46" s="19"/>
      <c r="HIA46" s="19"/>
      <c r="HIB46" s="19"/>
      <c r="HIC46" s="19"/>
      <c r="HID46" s="19"/>
      <c r="HIE46" s="19"/>
      <c r="HIF46" s="19"/>
      <c r="HIG46" s="19"/>
      <c r="HIH46" s="19"/>
      <c r="HII46" s="19"/>
      <c r="HIJ46" s="19"/>
      <c r="HIK46" s="19"/>
      <c r="HIL46" s="19"/>
      <c r="HIM46" s="19"/>
      <c r="HIN46" s="19"/>
      <c r="HIO46" s="19"/>
      <c r="HIP46" s="19"/>
      <c r="HIQ46" s="19"/>
      <c r="HIR46" s="19"/>
      <c r="HIS46" s="19"/>
      <c r="HIT46" s="19"/>
      <c r="HIU46" s="19"/>
      <c r="HIV46" s="19"/>
      <c r="HIW46" s="19"/>
      <c r="HIX46" s="19"/>
      <c r="HIY46" s="19"/>
      <c r="HIZ46" s="19"/>
      <c r="HJA46" s="19"/>
      <c r="HJB46" s="19"/>
      <c r="HJC46" s="19"/>
      <c r="HJD46" s="19"/>
      <c r="HJE46" s="19"/>
      <c r="HJF46" s="19"/>
      <c r="HJG46" s="19"/>
      <c r="HJH46" s="19"/>
      <c r="HJI46" s="19"/>
      <c r="HJJ46" s="19"/>
      <c r="HJK46" s="19"/>
      <c r="HJL46" s="19"/>
      <c r="HJM46" s="19"/>
      <c r="HJN46" s="19"/>
      <c r="HJO46" s="19"/>
      <c r="HJP46" s="19"/>
      <c r="HJQ46" s="19"/>
      <c r="HJR46" s="19"/>
      <c r="HJS46" s="19"/>
      <c r="HJT46" s="19"/>
      <c r="HJU46" s="19"/>
      <c r="HJV46" s="19"/>
      <c r="HJW46" s="19"/>
      <c r="HJX46" s="19"/>
      <c r="HJY46" s="19"/>
      <c r="HJZ46" s="19"/>
      <c r="HKA46" s="19"/>
      <c r="HKB46" s="19"/>
      <c r="HKC46" s="19"/>
      <c r="HKD46" s="19"/>
      <c r="HKE46" s="19"/>
      <c r="HKF46" s="19"/>
      <c r="HKG46" s="19"/>
      <c r="HKH46" s="19"/>
      <c r="HKI46" s="19"/>
      <c r="HKJ46" s="19"/>
      <c r="HKK46" s="19"/>
      <c r="HKL46" s="19"/>
      <c r="HKM46" s="19"/>
      <c r="HKN46" s="19"/>
      <c r="HKO46" s="19"/>
      <c r="HKP46" s="19"/>
      <c r="HKQ46" s="19"/>
      <c r="HKR46" s="19"/>
      <c r="HKS46" s="19"/>
      <c r="HKT46" s="19"/>
      <c r="HKU46" s="19"/>
      <c r="HKV46" s="19"/>
      <c r="HKW46" s="19"/>
      <c r="HKX46" s="19"/>
      <c r="HKY46" s="19"/>
      <c r="HKZ46" s="19"/>
      <c r="HLA46" s="19"/>
      <c r="HLB46" s="19"/>
      <c r="HLC46" s="19"/>
      <c r="HLD46" s="19"/>
      <c r="HLE46" s="19"/>
      <c r="HLF46" s="19"/>
      <c r="HLG46" s="19"/>
      <c r="HLH46" s="19"/>
      <c r="HLI46" s="19"/>
      <c r="HLJ46" s="19"/>
      <c r="HLK46" s="19"/>
      <c r="HLL46" s="19"/>
      <c r="HLM46" s="19"/>
      <c r="HLN46" s="19"/>
      <c r="HLO46" s="19"/>
      <c r="HLP46" s="19"/>
      <c r="HLQ46" s="19"/>
      <c r="HLR46" s="19"/>
      <c r="HLS46" s="19"/>
      <c r="HLT46" s="19"/>
      <c r="HLU46" s="19"/>
      <c r="HLV46" s="19"/>
      <c r="HLW46" s="19"/>
      <c r="HLX46" s="19"/>
      <c r="HLY46" s="19"/>
      <c r="HLZ46" s="19"/>
      <c r="HMA46" s="19"/>
      <c r="HMB46" s="19"/>
      <c r="HMC46" s="19"/>
      <c r="HMD46" s="19"/>
      <c r="HME46" s="19"/>
      <c r="HMF46" s="19"/>
      <c r="HMG46" s="19"/>
      <c r="HMH46" s="19"/>
      <c r="HMI46" s="19"/>
      <c r="HMJ46" s="19"/>
      <c r="HMK46" s="19"/>
      <c r="HML46" s="19"/>
      <c r="HMM46" s="19"/>
      <c r="HMN46" s="19"/>
      <c r="HMO46" s="19"/>
      <c r="HMP46" s="19"/>
      <c r="HMQ46" s="19"/>
      <c r="HMR46" s="19"/>
      <c r="HMS46" s="19"/>
      <c r="HMT46" s="19"/>
      <c r="HMU46" s="19"/>
      <c r="HMV46" s="19"/>
      <c r="HMW46" s="19"/>
      <c r="HMX46" s="19"/>
      <c r="HMY46" s="19"/>
      <c r="HMZ46" s="19"/>
      <c r="HNA46" s="19"/>
      <c r="HNB46" s="19"/>
      <c r="HNC46" s="19"/>
      <c r="HND46" s="19"/>
      <c r="HNE46" s="19"/>
      <c r="HNF46" s="19"/>
      <c r="HNG46" s="19"/>
      <c r="HNH46" s="19"/>
      <c r="HNI46" s="19"/>
      <c r="HNJ46" s="19"/>
      <c r="HNK46" s="19"/>
      <c r="HNL46" s="19"/>
      <c r="HNM46" s="19"/>
      <c r="HNN46" s="19"/>
      <c r="HNO46" s="19"/>
      <c r="HNP46" s="19"/>
      <c r="HNQ46" s="19"/>
      <c r="HNR46" s="19"/>
      <c r="HNS46" s="19"/>
      <c r="HNT46" s="19"/>
      <c r="HNU46" s="19"/>
      <c r="HNV46" s="19"/>
      <c r="HNW46" s="19"/>
      <c r="HNX46" s="19"/>
      <c r="HNY46" s="19"/>
      <c r="HNZ46" s="19"/>
      <c r="HOA46" s="19"/>
      <c r="HOB46" s="19"/>
      <c r="HOC46" s="19"/>
      <c r="HOD46" s="19"/>
      <c r="HOE46" s="19"/>
      <c r="HOF46" s="19"/>
      <c r="HOG46" s="19"/>
      <c r="HOH46" s="19"/>
      <c r="HOI46" s="19"/>
      <c r="HOJ46" s="19"/>
      <c r="HOK46" s="19"/>
      <c r="HOL46" s="19"/>
      <c r="HOM46" s="19"/>
      <c r="HON46" s="19"/>
      <c r="HOO46" s="19"/>
      <c r="HOP46" s="19"/>
      <c r="HOQ46" s="19"/>
      <c r="HOR46" s="19"/>
      <c r="HOS46" s="19"/>
      <c r="HOT46" s="19"/>
      <c r="HOU46" s="19"/>
      <c r="HOV46" s="19"/>
      <c r="HOW46" s="19"/>
      <c r="HOX46" s="19"/>
      <c r="HOY46" s="19"/>
      <c r="HOZ46" s="19"/>
      <c r="HPA46" s="19"/>
      <c r="HPB46" s="19"/>
      <c r="HPC46" s="19"/>
      <c r="HPD46" s="19"/>
      <c r="HPE46" s="19"/>
      <c r="HPF46" s="19"/>
      <c r="HPG46" s="19"/>
      <c r="HPH46" s="19"/>
      <c r="HPI46" s="19"/>
      <c r="HPJ46" s="19"/>
      <c r="HPK46" s="19"/>
      <c r="HPL46" s="19"/>
      <c r="HPM46" s="19"/>
      <c r="HPN46" s="19"/>
      <c r="HPO46" s="19"/>
      <c r="HPP46" s="19"/>
      <c r="HPQ46" s="19"/>
      <c r="HPR46" s="19"/>
      <c r="HPS46" s="19"/>
      <c r="HPT46" s="19"/>
      <c r="HPU46" s="19"/>
      <c r="HPV46" s="19"/>
      <c r="HPW46" s="19"/>
      <c r="HPX46" s="19"/>
      <c r="HPY46" s="19"/>
      <c r="HPZ46" s="19"/>
      <c r="HQA46" s="19"/>
      <c r="HQB46" s="19"/>
      <c r="HQC46" s="19"/>
      <c r="HQD46" s="19"/>
      <c r="HQE46" s="19"/>
      <c r="HQF46" s="19"/>
      <c r="HQG46" s="19"/>
      <c r="HQH46" s="19"/>
      <c r="HQI46" s="19"/>
      <c r="HQJ46" s="19"/>
      <c r="HQK46" s="19"/>
      <c r="HQL46" s="19"/>
      <c r="HQM46" s="19"/>
      <c r="HQN46" s="19"/>
      <c r="HQO46" s="19"/>
      <c r="HQP46" s="19"/>
      <c r="HQQ46" s="19"/>
      <c r="HQR46" s="19"/>
      <c r="HQS46" s="19"/>
      <c r="HQT46" s="19"/>
      <c r="HQU46" s="19"/>
      <c r="HQV46" s="19"/>
      <c r="HQW46" s="19"/>
      <c r="HQX46" s="19"/>
      <c r="HQY46" s="19"/>
      <c r="HQZ46" s="19"/>
      <c r="HRA46" s="19"/>
      <c r="HRB46" s="19"/>
      <c r="HRC46" s="19"/>
      <c r="HRD46" s="19"/>
      <c r="HRE46" s="19"/>
      <c r="HRF46" s="19"/>
      <c r="HRG46" s="19"/>
      <c r="HRH46" s="19"/>
      <c r="HRI46" s="19"/>
      <c r="HRJ46" s="19"/>
      <c r="HRK46" s="19"/>
      <c r="HRL46" s="19"/>
      <c r="HRM46" s="19"/>
      <c r="HRN46" s="19"/>
      <c r="HRO46" s="19"/>
      <c r="HRP46" s="19"/>
      <c r="HRQ46" s="19"/>
      <c r="HRR46" s="19"/>
      <c r="HRS46" s="19"/>
      <c r="HRT46" s="19"/>
      <c r="HRU46" s="19"/>
      <c r="HRV46" s="19"/>
      <c r="HRW46" s="19"/>
      <c r="HRX46" s="19"/>
      <c r="HRY46" s="19"/>
      <c r="HRZ46" s="19"/>
      <c r="HSA46" s="19"/>
      <c r="HSB46" s="19"/>
      <c r="HSC46" s="19"/>
      <c r="HSD46" s="19"/>
      <c r="HSE46" s="19"/>
      <c r="HSF46" s="19"/>
      <c r="HSG46" s="19"/>
      <c r="HSH46" s="19"/>
      <c r="HSI46" s="19"/>
      <c r="HSJ46" s="19"/>
      <c r="HSK46" s="19"/>
      <c r="HSL46" s="19"/>
      <c r="HSM46" s="19"/>
      <c r="HSN46" s="19"/>
      <c r="HSO46" s="19"/>
      <c r="HSP46" s="19"/>
      <c r="HSQ46" s="19"/>
      <c r="HSR46" s="19"/>
      <c r="HSS46" s="19"/>
      <c r="HST46" s="19"/>
      <c r="HSU46" s="19"/>
      <c r="HSV46" s="19"/>
      <c r="HSW46" s="19"/>
      <c r="HSX46" s="19"/>
      <c r="HSY46" s="19"/>
      <c r="HSZ46" s="19"/>
      <c r="HTA46" s="19"/>
      <c r="HTB46" s="19"/>
      <c r="HTC46" s="19"/>
      <c r="HTD46" s="19"/>
      <c r="HTE46" s="19"/>
      <c r="HTF46" s="19"/>
      <c r="HTG46" s="19"/>
      <c r="HTH46" s="19"/>
      <c r="HTI46" s="19"/>
      <c r="HTJ46" s="19"/>
      <c r="HTK46" s="19"/>
      <c r="HTL46" s="19"/>
      <c r="HTM46" s="19"/>
      <c r="HTN46" s="19"/>
      <c r="HTO46" s="19"/>
      <c r="HTP46" s="19"/>
      <c r="HTQ46" s="19"/>
      <c r="HTR46" s="19"/>
      <c r="HTS46" s="19"/>
      <c r="HTT46" s="19"/>
      <c r="HTU46" s="19"/>
      <c r="HTV46" s="19"/>
      <c r="HTW46" s="19"/>
      <c r="HTX46" s="19"/>
      <c r="HTY46" s="19"/>
      <c r="HTZ46" s="19"/>
      <c r="HUA46" s="19"/>
      <c r="HUB46" s="19"/>
      <c r="HUC46" s="19"/>
      <c r="HUD46" s="19"/>
      <c r="HUE46" s="19"/>
      <c r="HUF46" s="19"/>
      <c r="HUG46" s="19"/>
      <c r="HUH46" s="19"/>
      <c r="HUI46" s="19"/>
      <c r="HUJ46" s="19"/>
      <c r="HUK46" s="19"/>
      <c r="HUL46" s="19"/>
      <c r="HUM46" s="19"/>
      <c r="HUN46" s="19"/>
      <c r="HUO46" s="19"/>
      <c r="HUP46" s="19"/>
      <c r="HUQ46" s="19"/>
      <c r="HUR46" s="19"/>
      <c r="HUS46" s="19"/>
      <c r="HUT46" s="19"/>
      <c r="HUU46" s="19"/>
      <c r="HUV46" s="19"/>
      <c r="HUW46" s="19"/>
      <c r="HUX46" s="19"/>
      <c r="HUY46" s="19"/>
      <c r="HUZ46" s="19"/>
      <c r="HVA46" s="19"/>
      <c r="HVB46" s="19"/>
      <c r="HVC46" s="19"/>
      <c r="HVD46" s="19"/>
      <c r="HVE46" s="19"/>
      <c r="HVF46" s="19"/>
      <c r="HVG46" s="19"/>
      <c r="HVH46" s="19"/>
      <c r="HVI46" s="19"/>
      <c r="HVJ46" s="19"/>
      <c r="HVK46" s="19"/>
      <c r="HVL46" s="19"/>
      <c r="HVM46" s="19"/>
      <c r="HVN46" s="19"/>
      <c r="HVO46" s="19"/>
      <c r="HVP46" s="19"/>
      <c r="HVQ46" s="19"/>
      <c r="HVR46" s="19"/>
      <c r="HVS46" s="19"/>
      <c r="HVT46" s="19"/>
      <c r="HVU46" s="19"/>
      <c r="HVV46" s="19"/>
      <c r="HVW46" s="19"/>
      <c r="HVX46" s="19"/>
      <c r="HVY46" s="19"/>
      <c r="HVZ46" s="19"/>
      <c r="HWA46" s="19"/>
      <c r="HWB46" s="19"/>
      <c r="HWC46" s="19"/>
      <c r="HWD46" s="19"/>
      <c r="HWE46" s="19"/>
      <c r="HWF46" s="19"/>
      <c r="HWG46" s="19"/>
      <c r="HWH46" s="19"/>
      <c r="HWI46" s="19"/>
      <c r="HWJ46" s="19"/>
      <c r="HWK46" s="19"/>
      <c r="HWL46" s="19"/>
      <c r="HWM46" s="19"/>
      <c r="HWN46" s="19"/>
      <c r="HWO46" s="19"/>
      <c r="HWP46" s="19"/>
      <c r="HWQ46" s="19"/>
      <c r="HWR46" s="19"/>
      <c r="HWS46" s="19"/>
      <c r="HWT46" s="19"/>
      <c r="HWU46" s="19"/>
      <c r="HWV46" s="19"/>
      <c r="HWW46" s="19"/>
      <c r="HWX46" s="19"/>
      <c r="HWY46" s="19"/>
      <c r="HWZ46" s="19"/>
      <c r="HXA46" s="19"/>
      <c r="HXB46" s="19"/>
      <c r="HXC46" s="19"/>
      <c r="HXD46" s="19"/>
      <c r="HXE46" s="19"/>
      <c r="HXF46" s="19"/>
      <c r="HXG46" s="19"/>
      <c r="HXH46" s="19"/>
      <c r="HXI46" s="19"/>
      <c r="HXJ46" s="19"/>
      <c r="HXK46" s="19"/>
      <c r="HXL46" s="19"/>
      <c r="HXM46" s="19"/>
      <c r="HXN46" s="19"/>
      <c r="HXO46" s="19"/>
      <c r="HXP46" s="19"/>
      <c r="HXQ46" s="19"/>
      <c r="HXR46" s="19"/>
      <c r="HXS46" s="19"/>
      <c r="HXT46" s="19"/>
      <c r="HXU46" s="19"/>
      <c r="HXV46" s="19"/>
      <c r="HXW46" s="19"/>
      <c r="HXX46" s="19"/>
      <c r="HXY46" s="19"/>
      <c r="HXZ46" s="19"/>
      <c r="HYA46" s="19"/>
      <c r="HYB46" s="19"/>
      <c r="HYC46" s="19"/>
      <c r="HYD46" s="19"/>
      <c r="HYE46" s="19"/>
      <c r="HYF46" s="19"/>
      <c r="HYG46" s="19"/>
      <c r="HYH46" s="19"/>
      <c r="HYI46" s="19"/>
      <c r="HYJ46" s="19"/>
      <c r="HYK46" s="19"/>
      <c r="HYL46" s="19"/>
      <c r="HYM46" s="19"/>
      <c r="HYN46" s="19"/>
      <c r="HYO46" s="19"/>
      <c r="HYP46" s="19"/>
      <c r="HYQ46" s="19"/>
      <c r="HYR46" s="19"/>
      <c r="HYS46" s="19"/>
      <c r="HYT46" s="19"/>
      <c r="HYU46" s="19"/>
      <c r="HYV46" s="19"/>
      <c r="HYW46" s="19"/>
      <c r="HYX46" s="19"/>
      <c r="HYY46" s="19"/>
      <c r="HYZ46" s="19"/>
      <c r="HZA46" s="19"/>
      <c r="HZB46" s="19"/>
      <c r="HZC46" s="19"/>
      <c r="HZD46" s="19"/>
      <c r="HZE46" s="19"/>
      <c r="HZF46" s="19"/>
      <c r="HZG46" s="19"/>
      <c r="HZH46" s="19"/>
      <c r="HZI46" s="19"/>
      <c r="HZJ46" s="19"/>
      <c r="HZK46" s="19"/>
      <c r="HZL46" s="19"/>
      <c r="HZM46" s="19"/>
      <c r="HZN46" s="19"/>
      <c r="HZO46" s="19"/>
      <c r="HZP46" s="19"/>
      <c r="HZQ46" s="19"/>
      <c r="HZR46" s="19"/>
      <c r="HZS46" s="19"/>
      <c r="HZT46" s="19"/>
      <c r="HZU46" s="19"/>
      <c r="HZV46" s="19"/>
      <c r="HZW46" s="19"/>
      <c r="HZX46" s="19"/>
      <c r="HZY46" s="19"/>
      <c r="HZZ46" s="19"/>
      <c r="IAA46" s="19"/>
      <c r="IAB46" s="19"/>
      <c r="IAC46" s="19"/>
      <c r="IAD46" s="19"/>
      <c r="IAE46" s="19"/>
      <c r="IAF46" s="19"/>
      <c r="IAG46" s="19"/>
      <c r="IAH46" s="19"/>
      <c r="IAI46" s="19"/>
      <c r="IAJ46" s="19"/>
      <c r="IAK46" s="19"/>
      <c r="IAL46" s="19"/>
      <c r="IAM46" s="19"/>
      <c r="IAN46" s="19"/>
      <c r="IAO46" s="19"/>
      <c r="IAP46" s="19"/>
      <c r="IAQ46" s="19"/>
      <c r="IAR46" s="19"/>
      <c r="IAS46" s="19"/>
      <c r="IAT46" s="19"/>
      <c r="IAU46" s="19"/>
      <c r="IAV46" s="19"/>
      <c r="IAW46" s="19"/>
      <c r="IAX46" s="19"/>
      <c r="IAY46" s="19"/>
      <c r="IAZ46" s="19"/>
      <c r="IBA46" s="19"/>
      <c r="IBB46" s="19"/>
      <c r="IBC46" s="19"/>
      <c r="IBD46" s="19"/>
      <c r="IBE46" s="19"/>
      <c r="IBF46" s="19"/>
      <c r="IBG46" s="19"/>
      <c r="IBH46" s="19"/>
      <c r="IBI46" s="19"/>
      <c r="IBJ46" s="19"/>
      <c r="IBK46" s="19"/>
      <c r="IBL46" s="19"/>
      <c r="IBM46" s="19"/>
      <c r="IBN46" s="19"/>
      <c r="IBO46" s="19"/>
      <c r="IBP46" s="19"/>
      <c r="IBQ46" s="19"/>
      <c r="IBR46" s="19"/>
      <c r="IBS46" s="19"/>
      <c r="IBT46" s="19"/>
      <c r="IBU46" s="19"/>
      <c r="IBV46" s="19"/>
      <c r="IBW46" s="19"/>
      <c r="IBX46" s="19"/>
      <c r="IBY46" s="19"/>
      <c r="IBZ46" s="19"/>
      <c r="ICA46" s="19"/>
      <c r="ICB46" s="19"/>
      <c r="ICC46" s="19"/>
      <c r="ICD46" s="19"/>
      <c r="ICE46" s="19"/>
      <c r="ICF46" s="19"/>
      <c r="ICG46" s="19"/>
      <c r="ICH46" s="19"/>
      <c r="ICI46" s="19"/>
      <c r="ICJ46" s="19"/>
      <c r="ICK46" s="19"/>
      <c r="ICL46" s="19"/>
      <c r="ICM46" s="19"/>
      <c r="ICN46" s="19"/>
      <c r="ICO46" s="19"/>
      <c r="ICP46" s="19"/>
      <c r="ICQ46" s="19"/>
      <c r="ICR46" s="19"/>
      <c r="ICS46" s="19"/>
      <c r="ICT46" s="19"/>
      <c r="ICU46" s="19"/>
      <c r="ICV46" s="19"/>
      <c r="ICW46" s="19"/>
      <c r="ICX46" s="19"/>
      <c r="ICY46" s="19"/>
      <c r="ICZ46" s="19"/>
      <c r="IDA46" s="19"/>
      <c r="IDB46" s="19"/>
      <c r="IDC46" s="19"/>
      <c r="IDD46" s="19"/>
      <c r="IDE46" s="19"/>
      <c r="IDF46" s="19"/>
      <c r="IDG46" s="19"/>
      <c r="IDH46" s="19"/>
      <c r="IDI46" s="19"/>
      <c r="IDJ46" s="19"/>
      <c r="IDK46" s="19"/>
      <c r="IDL46" s="19"/>
      <c r="IDM46" s="19"/>
      <c r="IDN46" s="19"/>
      <c r="IDO46" s="19"/>
      <c r="IDP46" s="19"/>
      <c r="IDQ46" s="19"/>
      <c r="IDR46" s="19"/>
      <c r="IDS46" s="19"/>
      <c r="IDT46" s="19"/>
      <c r="IDU46" s="19"/>
      <c r="IDV46" s="19"/>
      <c r="IDW46" s="19"/>
      <c r="IDX46" s="19"/>
      <c r="IDY46" s="19"/>
      <c r="IDZ46" s="19"/>
      <c r="IEA46" s="19"/>
      <c r="IEB46" s="19"/>
      <c r="IEC46" s="19"/>
      <c r="IED46" s="19"/>
      <c r="IEE46" s="19"/>
      <c r="IEF46" s="19"/>
      <c r="IEG46" s="19"/>
      <c r="IEH46" s="19"/>
      <c r="IEI46" s="19"/>
      <c r="IEJ46" s="19"/>
      <c r="IEK46" s="19"/>
      <c r="IEL46" s="19"/>
      <c r="IEM46" s="19"/>
      <c r="IEN46" s="19"/>
      <c r="IEO46" s="19"/>
      <c r="IEP46" s="19"/>
      <c r="IEQ46" s="19"/>
      <c r="IER46" s="19"/>
      <c r="IES46" s="19"/>
      <c r="IET46" s="19"/>
      <c r="IEU46" s="19"/>
      <c r="IEV46" s="19"/>
      <c r="IEW46" s="19"/>
      <c r="IEX46" s="19"/>
      <c r="IEY46" s="19"/>
      <c r="IEZ46" s="19"/>
      <c r="IFA46" s="19"/>
      <c r="IFB46" s="19"/>
      <c r="IFC46" s="19"/>
      <c r="IFD46" s="19"/>
      <c r="IFE46" s="19"/>
      <c r="IFF46" s="19"/>
      <c r="IFG46" s="19"/>
      <c r="IFH46" s="19"/>
      <c r="IFI46" s="19"/>
      <c r="IFJ46" s="19"/>
      <c r="IFK46" s="19"/>
      <c r="IFL46" s="19"/>
      <c r="IFM46" s="19"/>
      <c r="IFN46" s="19"/>
      <c r="IFO46" s="19"/>
      <c r="IFP46" s="19"/>
      <c r="IFQ46" s="19"/>
      <c r="IFR46" s="19"/>
      <c r="IFS46" s="19"/>
      <c r="IFT46" s="19"/>
      <c r="IFU46" s="19"/>
      <c r="IFV46" s="19"/>
      <c r="IFW46" s="19"/>
      <c r="IFX46" s="19"/>
      <c r="IFY46" s="19"/>
      <c r="IFZ46" s="19"/>
      <c r="IGA46" s="19"/>
      <c r="IGB46" s="19"/>
      <c r="IGC46" s="19"/>
      <c r="IGD46" s="19"/>
      <c r="IGE46" s="19"/>
      <c r="IGF46" s="19"/>
      <c r="IGG46" s="19"/>
      <c r="IGH46" s="19"/>
      <c r="IGI46" s="19"/>
      <c r="IGJ46" s="19"/>
      <c r="IGK46" s="19"/>
      <c r="IGL46" s="19"/>
      <c r="IGM46" s="19"/>
      <c r="IGN46" s="19"/>
      <c r="IGO46" s="19"/>
      <c r="IGP46" s="19"/>
      <c r="IGQ46" s="19"/>
      <c r="IGR46" s="19"/>
      <c r="IGS46" s="19"/>
      <c r="IGT46" s="19"/>
      <c r="IGU46" s="19"/>
      <c r="IGV46" s="19"/>
      <c r="IGW46" s="19"/>
      <c r="IGX46" s="19"/>
      <c r="IGY46" s="19"/>
      <c r="IGZ46" s="19"/>
      <c r="IHA46" s="19"/>
      <c r="IHB46" s="19"/>
      <c r="IHC46" s="19"/>
      <c r="IHD46" s="19"/>
      <c r="IHE46" s="19"/>
      <c r="IHF46" s="19"/>
      <c r="IHG46" s="19"/>
      <c r="IHH46" s="19"/>
      <c r="IHI46" s="19"/>
      <c r="IHJ46" s="19"/>
      <c r="IHK46" s="19"/>
      <c r="IHL46" s="19"/>
      <c r="IHM46" s="19"/>
      <c r="IHN46" s="19"/>
      <c r="IHO46" s="19"/>
      <c r="IHP46" s="19"/>
      <c r="IHQ46" s="19"/>
      <c r="IHR46" s="19"/>
      <c r="IHS46" s="19"/>
      <c r="IHT46" s="19"/>
      <c r="IHU46" s="19"/>
      <c r="IHV46" s="19"/>
      <c r="IHW46" s="19"/>
      <c r="IHX46" s="19"/>
      <c r="IHY46" s="19"/>
      <c r="IHZ46" s="19"/>
      <c r="IIA46" s="19"/>
      <c r="IIB46" s="19"/>
      <c r="IIC46" s="19"/>
      <c r="IID46" s="19"/>
      <c r="IIE46" s="19"/>
      <c r="IIF46" s="19"/>
      <c r="IIG46" s="19"/>
      <c r="IIH46" s="19"/>
      <c r="III46" s="19"/>
      <c r="IIJ46" s="19"/>
      <c r="IIK46" s="19"/>
      <c r="IIL46" s="19"/>
      <c r="IIM46" s="19"/>
      <c r="IIN46" s="19"/>
      <c r="IIO46" s="19"/>
      <c r="IIP46" s="19"/>
      <c r="IIQ46" s="19"/>
      <c r="IIR46" s="19"/>
      <c r="IIS46" s="19"/>
      <c r="IIT46" s="19"/>
      <c r="IIU46" s="19"/>
      <c r="IIV46" s="19"/>
      <c r="IIW46" s="19"/>
      <c r="IIX46" s="19"/>
      <c r="IIY46" s="19"/>
      <c r="IIZ46" s="19"/>
      <c r="IJA46" s="19"/>
      <c r="IJB46" s="19"/>
      <c r="IJC46" s="19"/>
      <c r="IJD46" s="19"/>
      <c r="IJE46" s="19"/>
      <c r="IJF46" s="19"/>
      <c r="IJG46" s="19"/>
      <c r="IJH46" s="19"/>
      <c r="IJI46" s="19"/>
      <c r="IJJ46" s="19"/>
      <c r="IJK46" s="19"/>
      <c r="IJL46" s="19"/>
      <c r="IJM46" s="19"/>
      <c r="IJN46" s="19"/>
      <c r="IJO46" s="19"/>
      <c r="IJP46" s="19"/>
      <c r="IJQ46" s="19"/>
      <c r="IJR46" s="19"/>
      <c r="IJS46" s="19"/>
      <c r="IJT46" s="19"/>
      <c r="IJU46" s="19"/>
      <c r="IJV46" s="19"/>
      <c r="IJW46" s="19"/>
      <c r="IJX46" s="19"/>
      <c r="IJY46" s="19"/>
      <c r="IJZ46" s="19"/>
      <c r="IKA46" s="19"/>
      <c r="IKB46" s="19"/>
      <c r="IKC46" s="19"/>
      <c r="IKD46" s="19"/>
      <c r="IKE46" s="19"/>
      <c r="IKF46" s="19"/>
      <c r="IKG46" s="19"/>
      <c r="IKH46" s="19"/>
      <c r="IKI46" s="19"/>
      <c r="IKJ46" s="19"/>
      <c r="IKK46" s="19"/>
      <c r="IKL46" s="19"/>
      <c r="IKM46" s="19"/>
      <c r="IKN46" s="19"/>
      <c r="IKO46" s="19"/>
      <c r="IKP46" s="19"/>
      <c r="IKQ46" s="19"/>
      <c r="IKR46" s="19"/>
      <c r="IKS46" s="19"/>
      <c r="IKT46" s="19"/>
      <c r="IKU46" s="19"/>
      <c r="IKV46" s="19"/>
      <c r="IKW46" s="19"/>
      <c r="IKX46" s="19"/>
      <c r="IKY46" s="19"/>
      <c r="IKZ46" s="19"/>
      <c r="ILA46" s="19"/>
      <c r="ILB46" s="19"/>
      <c r="ILC46" s="19"/>
      <c r="ILD46" s="19"/>
      <c r="ILE46" s="19"/>
      <c r="ILF46" s="19"/>
      <c r="ILG46" s="19"/>
      <c r="ILH46" s="19"/>
      <c r="ILI46" s="19"/>
      <c r="ILJ46" s="19"/>
      <c r="ILK46" s="19"/>
      <c r="ILL46" s="19"/>
      <c r="ILM46" s="19"/>
      <c r="ILN46" s="19"/>
      <c r="ILO46" s="19"/>
      <c r="ILP46" s="19"/>
      <c r="ILQ46" s="19"/>
      <c r="ILR46" s="19"/>
      <c r="ILS46" s="19"/>
      <c r="ILT46" s="19"/>
      <c r="ILU46" s="19"/>
      <c r="ILV46" s="19"/>
      <c r="ILW46" s="19"/>
      <c r="ILX46" s="19"/>
      <c r="ILY46" s="19"/>
      <c r="ILZ46" s="19"/>
      <c r="IMA46" s="19"/>
      <c r="IMB46" s="19"/>
      <c r="IMC46" s="19"/>
      <c r="IMD46" s="19"/>
      <c r="IME46" s="19"/>
      <c r="IMF46" s="19"/>
      <c r="IMG46" s="19"/>
      <c r="IMH46" s="19"/>
      <c r="IMI46" s="19"/>
      <c r="IMJ46" s="19"/>
      <c r="IMK46" s="19"/>
      <c r="IML46" s="19"/>
      <c r="IMM46" s="19"/>
      <c r="IMN46" s="19"/>
      <c r="IMO46" s="19"/>
      <c r="IMP46" s="19"/>
      <c r="IMQ46" s="19"/>
      <c r="IMR46" s="19"/>
      <c r="IMS46" s="19"/>
      <c r="IMT46" s="19"/>
      <c r="IMU46" s="19"/>
      <c r="IMV46" s="19"/>
      <c r="IMW46" s="19"/>
      <c r="IMX46" s="19"/>
      <c r="IMY46" s="19"/>
      <c r="IMZ46" s="19"/>
      <c r="INA46" s="19"/>
      <c r="INB46" s="19"/>
      <c r="INC46" s="19"/>
      <c r="IND46" s="19"/>
      <c r="INE46" s="19"/>
      <c r="INF46" s="19"/>
      <c r="ING46" s="19"/>
      <c r="INH46" s="19"/>
      <c r="INI46" s="19"/>
      <c r="INJ46" s="19"/>
      <c r="INK46" s="19"/>
      <c r="INL46" s="19"/>
      <c r="INM46" s="19"/>
      <c r="INN46" s="19"/>
      <c r="INO46" s="19"/>
      <c r="INP46" s="19"/>
      <c r="INQ46" s="19"/>
      <c r="INR46" s="19"/>
      <c r="INS46" s="19"/>
      <c r="INT46" s="19"/>
      <c r="INU46" s="19"/>
      <c r="INV46" s="19"/>
      <c r="INW46" s="19"/>
      <c r="INX46" s="19"/>
      <c r="INY46" s="19"/>
      <c r="INZ46" s="19"/>
      <c r="IOA46" s="19"/>
      <c r="IOB46" s="19"/>
      <c r="IOC46" s="19"/>
      <c r="IOD46" s="19"/>
      <c r="IOE46" s="19"/>
      <c r="IOF46" s="19"/>
      <c r="IOG46" s="19"/>
      <c r="IOH46" s="19"/>
      <c r="IOI46" s="19"/>
      <c r="IOJ46" s="19"/>
      <c r="IOK46" s="19"/>
      <c r="IOL46" s="19"/>
      <c r="IOM46" s="19"/>
      <c r="ION46" s="19"/>
      <c r="IOO46" s="19"/>
      <c r="IOP46" s="19"/>
      <c r="IOQ46" s="19"/>
      <c r="IOR46" s="19"/>
      <c r="IOS46" s="19"/>
      <c r="IOT46" s="19"/>
      <c r="IOU46" s="19"/>
      <c r="IOV46" s="19"/>
      <c r="IOW46" s="19"/>
      <c r="IOX46" s="19"/>
      <c r="IOY46" s="19"/>
      <c r="IOZ46" s="19"/>
      <c r="IPA46" s="19"/>
      <c r="IPB46" s="19"/>
      <c r="IPC46" s="19"/>
      <c r="IPD46" s="19"/>
      <c r="IPE46" s="19"/>
      <c r="IPF46" s="19"/>
      <c r="IPG46" s="19"/>
      <c r="IPH46" s="19"/>
      <c r="IPI46" s="19"/>
      <c r="IPJ46" s="19"/>
      <c r="IPK46" s="19"/>
      <c r="IPL46" s="19"/>
      <c r="IPM46" s="19"/>
      <c r="IPN46" s="19"/>
      <c r="IPO46" s="19"/>
      <c r="IPP46" s="19"/>
      <c r="IPQ46" s="19"/>
      <c r="IPR46" s="19"/>
      <c r="IPS46" s="19"/>
      <c r="IPT46" s="19"/>
      <c r="IPU46" s="19"/>
      <c r="IPV46" s="19"/>
      <c r="IPW46" s="19"/>
      <c r="IPX46" s="19"/>
      <c r="IPY46" s="19"/>
      <c r="IPZ46" s="19"/>
      <c r="IQA46" s="19"/>
      <c r="IQB46" s="19"/>
      <c r="IQC46" s="19"/>
      <c r="IQD46" s="19"/>
      <c r="IQE46" s="19"/>
      <c r="IQF46" s="19"/>
      <c r="IQG46" s="19"/>
      <c r="IQH46" s="19"/>
      <c r="IQI46" s="19"/>
      <c r="IQJ46" s="19"/>
      <c r="IQK46" s="19"/>
      <c r="IQL46" s="19"/>
      <c r="IQM46" s="19"/>
      <c r="IQN46" s="19"/>
      <c r="IQO46" s="19"/>
      <c r="IQP46" s="19"/>
      <c r="IQQ46" s="19"/>
      <c r="IQR46" s="19"/>
      <c r="IQS46" s="19"/>
      <c r="IQT46" s="19"/>
      <c r="IQU46" s="19"/>
      <c r="IQV46" s="19"/>
      <c r="IQW46" s="19"/>
      <c r="IQX46" s="19"/>
      <c r="IQY46" s="19"/>
      <c r="IQZ46" s="19"/>
      <c r="IRA46" s="19"/>
      <c r="IRB46" s="19"/>
      <c r="IRC46" s="19"/>
      <c r="IRD46" s="19"/>
      <c r="IRE46" s="19"/>
      <c r="IRF46" s="19"/>
      <c r="IRG46" s="19"/>
      <c r="IRH46" s="19"/>
      <c r="IRI46" s="19"/>
      <c r="IRJ46" s="19"/>
      <c r="IRK46" s="19"/>
      <c r="IRL46" s="19"/>
      <c r="IRM46" s="19"/>
      <c r="IRN46" s="19"/>
      <c r="IRO46" s="19"/>
      <c r="IRP46" s="19"/>
      <c r="IRQ46" s="19"/>
      <c r="IRR46" s="19"/>
      <c r="IRS46" s="19"/>
      <c r="IRT46" s="19"/>
      <c r="IRU46" s="19"/>
      <c r="IRV46" s="19"/>
      <c r="IRW46" s="19"/>
      <c r="IRX46" s="19"/>
      <c r="IRY46" s="19"/>
      <c r="IRZ46" s="19"/>
      <c r="ISA46" s="19"/>
      <c r="ISB46" s="19"/>
      <c r="ISC46" s="19"/>
      <c r="ISD46" s="19"/>
      <c r="ISE46" s="19"/>
      <c r="ISF46" s="19"/>
      <c r="ISG46" s="19"/>
      <c r="ISH46" s="19"/>
      <c r="ISI46" s="19"/>
      <c r="ISJ46" s="19"/>
      <c r="ISK46" s="19"/>
      <c r="ISL46" s="19"/>
      <c r="ISM46" s="19"/>
      <c r="ISN46" s="19"/>
      <c r="ISO46" s="19"/>
      <c r="ISP46" s="19"/>
      <c r="ISQ46" s="19"/>
      <c r="ISR46" s="19"/>
      <c r="ISS46" s="19"/>
      <c r="IST46" s="19"/>
      <c r="ISU46" s="19"/>
      <c r="ISV46" s="19"/>
      <c r="ISW46" s="19"/>
      <c r="ISX46" s="19"/>
      <c r="ISY46" s="19"/>
      <c r="ISZ46" s="19"/>
      <c r="ITA46" s="19"/>
      <c r="ITB46" s="19"/>
      <c r="ITC46" s="19"/>
      <c r="ITD46" s="19"/>
      <c r="ITE46" s="19"/>
      <c r="ITF46" s="19"/>
      <c r="ITG46" s="19"/>
      <c r="ITH46" s="19"/>
      <c r="ITI46" s="19"/>
      <c r="ITJ46" s="19"/>
      <c r="ITK46" s="19"/>
      <c r="ITL46" s="19"/>
      <c r="ITM46" s="19"/>
      <c r="ITN46" s="19"/>
      <c r="ITO46" s="19"/>
      <c r="ITP46" s="19"/>
      <c r="ITQ46" s="19"/>
      <c r="ITR46" s="19"/>
      <c r="ITS46" s="19"/>
      <c r="ITT46" s="19"/>
      <c r="ITU46" s="19"/>
      <c r="ITV46" s="19"/>
      <c r="ITW46" s="19"/>
      <c r="ITX46" s="19"/>
      <c r="ITY46" s="19"/>
      <c r="ITZ46" s="19"/>
      <c r="IUA46" s="19"/>
      <c r="IUB46" s="19"/>
      <c r="IUC46" s="19"/>
      <c r="IUD46" s="19"/>
      <c r="IUE46" s="19"/>
      <c r="IUF46" s="19"/>
      <c r="IUG46" s="19"/>
      <c r="IUH46" s="19"/>
      <c r="IUI46" s="19"/>
      <c r="IUJ46" s="19"/>
      <c r="IUK46" s="19"/>
      <c r="IUL46" s="19"/>
      <c r="IUM46" s="19"/>
      <c r="IUN46" s="19"/>
      <c r="IUO46" s="19"/>
      <c r="IUP46" s="19"/>
      <c r="IUQ46" s="19"/>
      <c r="IUR46" s="19"/>
      <c r="IUS46" s="19"/>
      <c r="IUT46" s="19"/>
      <c r="IUU46" s="19"/>
      <c r="IUV46" s="19"/>
      <c r="IUW46" s="19"/>
      <c r="IUX46" s="19"/>
      <c r="IUY46" s="19"/>
      <c r="IUZ46" s="19"/>
      <c r="IVA46" s="19"/>
      <c r="IVB46" s="19"/>
      <c r="IVC46" s="19"/>
      <c r="IVD46" s="19"/>
      <c r="IVE46" s="19"/>
      <c r="IVF46" s="19"/>
      <c r="IVG46" s="19"/>
      <c r="IVH46" s="19"/>
      <c r="IVI46" s="19"/>
      <c r="IVJ46" s="19"/>
      <c r="IVK46" s="19"/>
      <c r="IVL46" s="19"/>
      <c r="IVM46" s="19"/>
      <c r="IVN46" s="19"/>
      <c r="IVO46" s="19"/>
      <c r="IVP46" s="19"/>
      <c r="IVQ46" s="19"/>
      <c r="IVR46" s="19"/>
      <c r="IVS46" s="19"/>
      <c r="IVT46" s="19"/>
      <c r="IVU46" s="19"/>
      <c r="IVV46" s="19"/>
      <c r="IVW46" s="19"/>
      <c r="IVX46" s="19"/>
      <c r="IVY46" s="19"/>
      <c r="IVZ46" s="19"/>
      <c r="IWA46" s="19"/>
      <c r="IWB46" s="19"/>
      <c r="IWC46" s="19"/>
      <c r="IWD46" s="19"/>
      <c r="IWE46" s="19"/>
      <c r="IWF46" s="19"/>
      <c r="IWG46" s="19"/>
      <c r="IWH46" s="19"/>
      <c r="IWI46" s="19"/>
      <c r="IWJ46" s="19"/>
      <c r="IWK46" s="19"/>
      <c r="IWL46" s="19"/>
      <c r="IWM46" s="19"/>
      <c r="IWN46" s="19"/>
      <c r="IWO46" s="19"/>
      <c r="IWP46" s="19"/>
      <c r="IWQ46" s="19"/>
      <c r="IWR46" s="19"/>
      <c r="IWS46" s="19"/>
      <c r="IWT46" s="19"/>
      <c r="IWU46" s="19"/>
      <c r="IWV46" s="19"/>
      <c r="IWW46" s="19"/>
      <c r="IWX46" s="19"/>
      <c r="IWY46" s="19"/>
      <c r="IWZ46" s="19"/>
      <c r="IXA46" s="19"/>
      <c r="IXB46" s="19"/>
      <c r="IXC46" s="19"/>
      <c r="IXD46" s="19"/>
      <c r="IXE46" s="19"/>
      <c r="IXF46" s="19"/>
      <c r="IXG46" s="19"/>
      <c r="IXH46" s="19"/>
      <c r="IXI46" s="19"/>
      <c r="IXJ46" s="19"/>
      <c r="IXK46" s="19"/>
      <c r="IXL46" s="19"/>
      <c r="IXM46" s="19"/>
      <c r="IXN46" s="19"/>
      <c r="IXO46" s="19"/>
      <c r="IXP46" s="19"/>
      <c r="IXQ46" s="19"/>
      <c r="IXR46" s="19"/>
      <c r="IXS46" s="19"/>
      <c r="IXT46" s="19"/>
      <c r="IXU46" s="19"/>
      <c r="IXV46" s="19"/>
      <c r="IXW46" s="19"/>
      <c r="IXX46" s="19"/>
      <c r="IXY46" s="19"/>
      <c r="IXZ46" s="19"/>
      <c r="IYA46" s="19"/>
      <c r="IYB46" s="19"/>
      <c r="IYC46" s="19"/>
      <c r="IYD46" s="19"/>
      <c r="IYE46" s="19"/>
      <c r="IYF46" s="19"/>
      <c r="IYG46" s="19"/>
      <c r="IYH46" s="19"/>
      <c r="IYI46" s="19"/>
      <c r="IYJ46" s="19"/>
      <c r="IYK46" s="19"/>
      <c r="IYL46" s="19"/>
      <c r="IYM46" s="19"/>
      <c r="IYN46" s="19"/>
      <c r="IYO46" s="19"/>
      <c r="IYP46" s="19"/>
      <c r="IYQ46" s="19"/>
      <c r="IYR46" s="19"/>
      <c r="IYS46" s="19"/>
      <c r="IYT46" s="19"/>
      <c r="IYU46" s="19"/>
      <c r="IYV46" s="19"/>
      <c r="IYW46" s="19"/>
      <c r="IYX46" s="19"/>
      <c r="IYY46" s="19"/>
      <c r="IYZ46" s="19"/>
      <c r="IZA46" s="19"/>
      <c r="IZB46" s="19"/>
      <c r="IZC46" s="19"/>
      <c r="IZD46" s="19"/>
      <c r="IZE46" s="19"/>
      <c r="IZF46" s="19"/>
      <c r="IZG46" s="19"/>
      <c r="IZH46" s="19"/>
      <c r="IZI46" s="19"/>
      <c r="IZJ46" s="19"/>
      <c r="IZK46" s="19"/>
      <c r="IZL46" s="19"/>
      <c r="IZM46" s="19"/>
      <c r="IZN46" s="19"/>
      <c r="IZO46" s="19"/>
      <c r="IZP46" s="19"/>
      <c r="IZQ46" s="19"/>
      <c r="IZR46" s="19"/>
      <c r="IZS46" s="19"/>
      <c r="IZT46" s="19"/>
      <c r="IZU46" s="19"/>
      <c r="IZV46" s="19"/>
      <c r="IZW46" s="19"/>
      <c r="IZX46" s="19"/>
      <c r="IZY46" s="19"/>
      <c r="IZZ46" s="19"/>
      <c r="JAA46" s="19"/>
      <c r="JAB46" s="19"/>
      <c r="JAC46" s="19"/>
      <c r="JAD46" s="19"/>
      <c r="JAE46" s="19"/>
      <c r="JAF46" s="19"/>
      <c r="JAG46" s="19"/>
      <c r="JAH46" s="19"/>
      <c r="JAI46" s="19"/>
      <c r="JAJ46" s="19"/>
      <c r="JAK46" s="19"/>
      <c r="JAL46" s="19"/>
      <c r="JAM46" s="19"/>
      <c r="JAN46" s="19"/>
      <c r="JAO46" s="19"/>
      <c r="JAP46" s="19"/>
      <c r="JAQ46" s="19"/>
      <c r="JAR46" s="19"/>
      <c r="JAS46" s="19"/>
      <c r="JAT46" s="19"/>
      <c r="JAU46" s="19"/>
      <c r="JAV46" s="19"/>
      <c r="JAW46" s="19"/>
      <c r="JAX46" s="19"/>
      <c r="JAY46" s="19"/>
      <c r="JAZ46" s="19"/>
      <c r="JBA46" s="19"/>
      <c r="JBB46" s="19"/>
      <c r="JBC46" s="19"/>
      <c r="JBD46" s="19"/>
      <c r="JBE46" s="19"/>
      <c r="JBF46" s="19"/>
      <c r="JBG46" s="19"/>
      <c r="JBH46" s="19"/>
      <c r="JBI46" s="19"/>
      <c r="JBJ46" s="19"/>
      <c r="JBK46" s="19"/>
      <c r="JBL46" s="19"/>
      <c r="JBM46" s="19"/>
      <c r="JBN46" s="19"/>
      <c r="JBO46" s="19"/>
      <c r="JBP46" s="19"/>
      <c r="JBQ46" s="19"/>
      <c r="JBR46" s="19"/>
      <c r="JBS46" s="19"/>
      <c r="JBT46" s="19"/>
      <c r="JBU46" s="19"/>
      <c r="JBV46" s="19"/>
      <c r="JBW46" s="19"/>
      <c r="JBX46" s="19"/>
      <c r="JBY46" s="19"/>
      <c r="JBZ46" s="19"/>
      <c r="JCA46" s="19"/>
      <c r="JCB46" s="19"/>
      <c r="JCC46" s="19"/>
      <c r="JCD46" s="19"/>
      <c r="JCE46" s="19"/>
      <c r="JCF46" s="19"/>
      <c r="JCG46" s="19"/>
      <c r="JCH46" s="19"/>
      <c r="JCI46" s="19"/>
      <c r="JCJ46" s="19"/>
      <c r="JCK46" s="19"/>
      <c r="JCL46" s="19"/>
      <c r="JCM46" s="19"/>
      <c r="JCN46" s="19"/>
      <c r="JCO46" s="19"/>
      <c r="JCP46" s="19"/>
      <c r="JCQ46" s="19"/>
      <c r="JCR46" s="19"/>
      <c r="JCS46" s="19"/>
      <c r="JCT46" s="19"/>
      <c r="JCU46" s="19"/>
      <c r="JCV46" s="19"/>
      <c r="JCW46" s="19"/>
      <c r="JCX46" s="19"/>
      <c r="JCY46" s="19"/>
      <c r="JCZ46" s="19"/>
      <c r="JDA46" s="19"/>
      <c r="JDB46" s="19"/>
      <c r="JDC46" s="19"/>
      <c r="JDD46" s="19"/>
      <c r="JDE46" s="19"/>
      <c r="JDF46" s="19"/>
      <c r="JDG46" s="19"/>
      <c r="JDH46" s="19"/>
      <c r="JDI46" s="19"/>
      <c r="JDJ46" s="19"/>
      <c r="JDK46" s="19"/>
      <c r="JDL46" s="19"/>
      <c r="JDM46" s="19"/>
      <c r="JDN46" s="19"/>
      <c r="JDO46" s="19"/>
      <c r="JDP46" s="19"/>
      <c r="JDQ46" s="19"/>
      <c r="JDR46" s="19"/>
      <c r="JDS46" s="19"/>
      <c r="JDT46" s="19"/>
      <c r="JDU46" s="19"/>
      <c r="JDV46" s="19"/>
      <c r="JDW46" s="19"/>
      <c r="JDX46" s="19"/>
      <c r="JDY46" s="19"/>
      <c r="JDZ46" s="19"/>
      <c r="JEA46" s="19"/>
      <c r="JEB46" s="19"/>
      <c r="JEC46" s="19"/>
      <c r="JED46" s="19"/>
      <c r="JEE46" s="19"/>
      <c r="JEF46" s="19"/>
      <c r="JEG46" s="19"/>
      <c r="JEH46" s="19"/>
      <c r="JEI46" s="19"/>
      <c r="JEJ46" s="19"/>
      <c r="JEK46" s="19"/>
      <c r="JEL46" s="19"/>
      <c r="JEM46" s="19"/>
      <c r="JEN46" s="19"/>
      <c r="JEO46" s="19"/>
      <c r="JEP46" s="19"/>
      <c r="JEQ46" s="19"/>
      <c r="JER46" s="19"/>
      <c r="JES46" s="19"/>
      <c r="JET46" s="19"/>
      <c r="JEU46" s="19"/>
      <c r="JEV46" s="19"/>
      <c r="JEW46" s="19"/>
      <c r="JEX46" s="19"/>
      <c r="JEY46" s="19"/>
      <c r="JEZ46" s="19"/>
      <c r="JFA46" s="19"/>
      <c r="JFB46" s="19"/>
      <c r="JFC46" s="19"/>
      <c r="JFD46" s="19"/>
      <c r="JFE46" s="19"/>
      <c r="JFF46" s="19"/>
      <c r="JFG46" s="19"/>
      <c r="JFH46" s="19"/>
      <c r="JFI46" s="19"/>
      <c r="JFJ46" s="19"/>
      <c r="JFK46" s="19"/>
      <c r="JFL46" s="19"/>
      <c r="JFM46" s="19"/>
      <c r="JFN46" s="19"/>
      <c r="JFO46" s="19"/>
      <c r="JFP46" s="19"/>
      <c r="JFQ46" s="19"/>
      <c r="JFR46" s="19"/>
      <c r="JFS46" s="19"/>
      <c r="JFT46" s="19"/>
      <c r="JFU46" s="19"/>
      <c r="JFV46" s="19"/>
      <c r="JFW46" s="19"/>
      <c r="JFX46" s="19"/>
      <c r="JFY46" s="19"/>
      <c r="JFZ46" s="19"/>
      <c r="JGA46" s="19"/>
      <c r="JGB46" s="19"/>
      <c r="JGC46" s="19"/>
      <c r="JGD46" s="19"/>
      <c r="JGE46" s="19"/>
      <c r="JGF46" s="19"/>
      <c r="JGG46" s="19"/>
      <c r="JGH46" s="19"/>
      <c r="JGI46" s="19"/>
      <c r="JGJ46" s="19"/>
      <c r="JGK46" s="19"/>
      <c r="JGL46" s="19"/>
      <c r="JGM46" s="19"/>
      <c r="JGN46" s="19"/>
      <c r="JGO46" s="19"/>
      <c r="JGP46" s="19"/>
      <c r="JGQ46" s="19"/>
      <c r="JGR46" s="19"/>
      <c r="JGS46" s="19"/>
      <c r="JGT46" s="19"/>
      <c r="JGU46" s="19"/>
      <c r="JGV46" s="19"/>
      <c r="JGW46" s="19"/>
      <c r="JGX46" s="19"/>
      <c r="JGY46" s="19"/>
      <c r="JGZ46" s="19"/>
      <c r="JHA46" s="19"/>
      <c r="JHB46" s="19"/>
      <c r="JHC46" s="19"/>
      <c r="JHD46" s="19"/>
      <c r="JHE46" s="19"/>
      <c r="JHF46" s="19"/>
      <c r="JHG46" s="19"/>
      <c r="JHH46" s="19"/>
      <c r="JHI46" s="19"/>
      <c r="JHJ46" s="19"/>
      <c r="JHK46" s="19"/>
      <c r="JHL46" s="19"/>
      <c r="JHM46" s="19"/>
      <c r="JHN46" s="19"/>
      <c r="JHO46" s="19"/>
      <c r="JHP46" s="19"/>
      <c r="JHQ46" s="19"/>
      <c r="JHR46" s="19"/>
      <c r="JHS46" s="19"/>
      <c r="JHT46" s="19"/>
      <c r="JHU46" s="19"/>
      <c r="JHV46" s="19"/>
      <c r="JHW46" s="19"/>
      <c r="JHX46" s="19"/>
      <c r="JHY46" s="19"/>
      <c r="JHZ46" s="19"/>
      <c r="JIA46" s="19"/>
      <c r="JIB46" s="19"/>
      <c r="JIC46" s="19"/>
      <c r="JID46" s="19"/>
      <c r="JIE46" s="19"/>
      <c r="JIF46" s="19"/>
      <c r="JIG46" s="19"/>
      <c r="JIH46" s="19"/>
      <c r="JII46" s="19"/>
      <c r="JIJ46" s="19"/>
      <c r="JIK46" s="19"/>
      <c r="JIL46" s="19"/>
      <c r="JIM46" s="19"/>
      <c r="JIN46" s="19"/>
      <c r="JIO46" s="19"/>
      <c r="JIP46" s="19"/>
      <c r="JIQ46" s="19"/>
      <c r="JIR46" s="19"/>
      <c r="JIS46" s="19"/>
      <c r="JIT46" s="19"/>
      <c r="JIU46" s="19"/>
      <c r="JIV46" s="19"/>
      <c r="JIW46" s="19"/>
      <c r="JIX46" s="19"/>
      <c r="JIY46" s="19"/>
      <c r="JIZ46" s="19"/>
      <c r="JJA46" s="19"/>
      <c r="JJB46" s="19"/>
      <c r="JJC46" s="19"/>
      <c r="JJD46" s="19"/>
      <c r="JJE46" s="19"/>
      <c r="JJF46" s="19"/>
      <c r="JJG46" s="19"/>
      <c r="JJH46" s="19"/>
      <c r="JJI46" s="19"/>
      <c r="JJJ46" s="19"/>
      <c r="JJK46" s="19"/>
      <c r="JJL46" s="19"/>
      <c r="JJM46" s="19"/>
      <c r="JJN46" s="19"/>
      <c r="JJO46" s="19"/>
      <c r="JJP46" s="19"/>
      <c r="JJQ46" s="19"/>
      <c r="JJR46" s="19"/>
      <c r="JJS46" s="19"/>
      <c r="JJT46" s="19"/>
      <c r="JJU46" s="19"/>
      <c r="JJV46" s="19"/>
      <c r="JJW46" s="19"/>
      <c r="JJX46" s="19"/>
      <c r="JJY46" s="19"/>
      <c r="JJZ46" s="19"/>
      <c r="JKA46" s="19"/>
      <c r="JKB46" s="19"/>
      <c r="JKC46" s="19"/>
      <c r="JKD46" s="19"/>
      <c r="JKE46" s="19"/>
      <c r="JKF46" s="19"/>
      <c r="JKG46" s="19"/>
      <c r="JKH46" s="19"/>
      <c r="JKI46" s="19"/>
      <c r="JKJ46" s="19"/>
      <c r="JKK46" s="19"/>
      <c r="JKL46" s="19"/>
      <c r="JKM46" s="19"/>
      <c r="JKN46" s="19"/>
      <c r="JKO46" s="19"/>
      <c r="JKP46" s="19"/>
      <c r="JKQ46" s="19"/>
      <c r="JKR46" s="19"/>
      <c r="JKS46" s="19"/>
      <c r="JKT46" s="19"/>
      <c r="JKU46" s="19"/>
      <c r="JKV46" s="19"/>
      <c r="JKW46" s="19"/>
      <c r="JKX46" s="19"/>
      <c r="JKY46" s="19"/>
      <c r="JKZ46" s="19"/>
      <c r="JLA46" s="19"/>
      <c r="JLB46" s="19"/>
      <c r="JLC46" s="19"/>
      <c r="JLD46" s="19"/>
      <c r="JLE46" s="19"/>
      <c r="JLF46" s="19"/>
      <c r="JLG46" s="19"/>
      <c r="JLH46" s="19"/>
      <c r="JLI46" s="19"/>
      <c r="JLJ46" s="19"/>
      <c r="JLK46" s="19"/>
      <c r="JLL46" s="19"/>
      <c r="JLM46" s="19"/>
      <c r="JLN46" s="19"/>
      <c r="JLO46" s="19"/>
      <c r="JLP46" s="19"/>
      <c r="JLQ46" s="19"/>
      <c r="JLR46" s="19"/>
      <c r="JLS46" s="19"/>
      <c r="JLT46" s="19"/>
      <c r="JLU46" s="19"/>
      <c r="JLV46" s="19"/>
      <c r="JLW46" s="19"/>
      <c r="JLX46" s="19"/>
      <c r="JLY46" s="19"/>
      <c r="JLZ46" s="19"/>
      <c r="JMA46" s="19"/>
      <c r="JMB46" s="19"/>
      <c r="JMC46" s="19"/>
      <c r="JMD46" s="19"/>
      <c r="JME46" s="19"/>
      <c r="JMF46" s="19"/>
      <c r="JMG46" s="19"/>
      <c r="JMH46" s="19"/>
      <c r="JMI46" s="19"/>
      <c r="JMJ46" s="19"/>
      <c r="JMK46" s="19"/>
      <c r="JML46" s="19"/>
      <c r="JMM46" s="19"/>
      <c r="JMN46" s="19"/>
      <c r="JMO46" s="19"/>
      <c r="JMP46" s="19"/>
      <c r="JMQ46" s="19"/>
      <c r="JMR46" s="19"/>
      <c r="JMS46" s="19"/>
      <c r="JMT46" s="19"/>
      <c r="JMU46" s="19"/>
      <c r="JMV46" s="19"/>
      <c r="JMW46" s="19"/>
      <c r="JMX46" s="19"/>
      <c r="JMY46" s="19"/>
      <c r="JMZ46" s="19"/>
      <c r="JNA46" s="19"/>
      <c r="JNB46" s="19"/>
      <c r="JNC46" s="19"/>
      <c r="JND46" s="19"/>
      <c r="JNE46" s="19"/>
      <c r="JNF46" s="19"/>
      <c r="JNG46" s="19"/>
      <c r="JNH46" s="19"/>
      <c r="JNI46" s="19"/>
      <c r="JNJ46" s="19"/>
      <c r="JNK46" s="19"/>
      <c r="JNL46" s="19"/>
      <c r="JNM46" s="19"/>
      <c r="JNN46" s="19"/>
      <c r="JNO46" s="19"/>
      <c r="JNP46" s="19"/>
      <c r="JNQ46" s="19"/>
      <c r="JNR46" s="19"/>
      <c r="JNS46" s="19"/>
      <c r="JNT46" s="19"/>
      <c r="JNU46" s="19"/>
      <c r="JNV46" s="19"/>
      <c r="JNW46" s="19"/>
      <c r="JNX46" s="19"/>
      <c r="JNY46" s="19"/>
      <c r="JNZ46" s="19"/>
      <c r="JOA46" s="19"/>
      <c r="JOB46" s="19"/>
      <c r="JOC46" s="19"/>
      <c r="JOD46" s="19"/>
      <c r="JOE46" s="19"/>
      <c r="JOF46" s="19"/>
      <c r="JOG46" s="19"/>
      <c r="JOH46" s="19"/>
      <c r="JOI46" s="19"/>
      <c r="JOJ46" s="19"/>
      <c r="JOK46" s="19"/>
      <c r="JOL46" s="19"/>
      <c r="JOM46" s="19"/>
      <c r="JON46" s="19"/>
      <c r="JOO46" s="19"/>
      <c r="JOP46" s="19"/>
      <c r="JOQ46" s="19"/>
      <c r="JOR46" s="19"/>
      <c r="JOS46" s="19"/>
      <c r="JOT46" s="19"/>
      <c r="JOU46" s="19"/>
      <c r="JOV46" s="19"/>
      <c r="JOW46" s="19"/>
      <c r="JOX46" s="19"/>
      <c r="JOY46" s="19"/>
      <c r="JOZ46" s="19"/>
      <c r="JPA46" s="19"/>
      <c r="JPB46" s="19"/>
      <c r="JPC46" s="19"/>
      <c r="JPD46" s="19"/>
      <c r="JPE46" s="19"/>
      <c r="JPF46" s="19"/>
      <c r="JPG46" s="19"/>
      <c r="JPH46" s="19"/>
      <c r="JPI46" s="19"/>
      <c r="JPJ46" s="19"/>
      <c r="JPK46" s="19"/>
      <c r="JPL46" s="19"/>
      <c r="JPM46" s="19"/>
      <c r="JPN46" s="19"/>
      <c r="JPO46" s="19"/>
      <c r="JPP46" s="19"/>
      <c r="JPQ46" s="19"/>
      <c r="JPR46" s="19"/>
      <c r="JPS46" s="19"/>
      <c r="JPT46" s="19"/>
      <c r="JPU46" s="19"/>
      <c r="JPV46" s="19"/>
      <c r="JPW46" s="19"/>
      <c r="JPX46" s="19"/>
      <c r="JPY46" s="19"/>
      <c r="JPZ46" s="19"/>
      <c r="JQA46" s="19"/>
      <c r="JQB46" s="19"/>
      <c r="JQC46" s="19"/>
      <c r="JQD46" s="19"/>
      <c r="JQE46" s="19"/>
      <c r="JQF46" s="19"/>
      <c r="JQG46" s="19"/>
      <c r="JQH46" s="19"/>
      <c r="JQI46" s="19"/>
      <c r="JQJ46" s="19"/>
      <c r="JQK46" s="19"/>
      <c r="JQL46" s="19"/>
      <c r="JQM46" s="19"/>
      <c r="JQN46" s="19"/>
      <c r="JQO46" s="19"/>
      <c r="JQP46" s="19"/>
      <c r="JQQ46" s="19"/>
      <c r="JQR46" s="19"/>
      <c r="JQS46" s="19"/>
      <c r="JQT46" s="19"/>
      <c r="JQU46" s="19"/>
      <c r="JQV46" s="19"/>
      <c r="JQW46" s="19"/>
      <c r="JQX46" s="19"/>
      <c r="JQY46" s="19"/>
      <c r="JQZ46" s="19"/>
      <c r="JRA46" s="19"/>
      <c r="JRB46" s="19"/>
      <c r="JRC46" s="19"/>
      <c r="JRD46" s="19"/>
      <c r="JRE46" s="19"/>
      <c r="JRF46" s="19"/>
      <c r="JRG46" s="19"/>
      <c r="JRH46" s="19"/>
      <c r="JRI46" s="19"/>
      <c r="JRJ46" s="19"/>
      <c r="JRK46" s="19"/>
      <c r="JRL46" s="19"/>
      <c r="JRM46" s="19"/>
      <c r="JRN46" s="19"/>
      <c r="JRO46" s="19"/>
      <c r="JRP46" s="19"/>
      <c r="JRQ46" s="19"/>
      <c r="JRR46" s="19"/>
      <c r="JRS46" s="19"/>
      <c r="JRT46" s="19"/>
      <c r="JRU46" s="19"/>
      <c r="JRV46" s="19"/>
      <c r="JRW46" s="19"/>
      <c r="JRX46" s="19"/>
      <c r="JRY46" s="19"/>
      <c r="JRZ46" s="19"/>
      <c r="JSA46" s="19"/>
      <c r="JSB46" s="19"/>
      <c r="JSC46" s="19"/>
      <c r="JSD46" s="19"/>
      <c r="JSE46" s="19"/>
      <c r="JSF46" s="19"/>
      <c r="JSG46" s="19"/>
      <c r="JSH46" s="19"/>
      <c r="JSI46" s="19"/>
      <c r="JSJ46" s="19"/>
      <c r="JSK46" s="19"/>
      <c r="JSL46" s="19"/>
      <c r="JSM46" s="19"/>
      <c r="JSN46" s="19"/>
      <c r="JSO46" s="19"/>
      <c r="JSP46" s="19"/>
      <c r="JSQ46" s="19"/>
      <c r="JSR46" s="19"/>
      <c r="JSS46" s="19"/>
      <c r="JST46" s="19"/>
      <c r="JSU46" s="19"/>
      <c r="JSV46" s="19"/>
      <c r="JSW46" s="19"/>
      <c r="JSX46" s="19"/>
      <c r="JSY46" s="19"/>
      <c r="JSZ46" s="19"/>
      <c r="JTA46" s="19"/>
      <c r="JTB46" s="19"/>
      <c r="JTC46" s="19"/>
      <c r="JTD46" s="19"/>
      <c r="JTE46" s="19"/>
      <c r="JTF46" s="19"/>
      <c r="JTG46" s="19"/>
      <c r="JTH46" s="19"/>
      <c r="JTI46" s="19"/>
      <c r="JTJ46" s="19"/>
      <c r="JTK46" s="19"/>
      <c r="JTL46" s="19"/>
      <c r="JTM46" s="19"/>
      <c r="JTN46" s="19"/>
      <c r="JTO46" s="19"/>
      <c r="JTP46" s="19"/>
      <c r="JTQ46" s="19"/>
      <c r="JTR46" s="19"/>
      <c r="JTS46" s="19"/>
      <c r="JTT46" s="19"/>
      <c r="JTU46" s="19"/>
      <c r="JTV46" s="19"/>
      <c r="JTW46" s="19"/>
      <c r="JTX46" s="19"/>
      <c r="JTY46" s="19"/>
      <c r="JTZ46" s="19"/>
      <c r="JUA46" s="19"/>
      <c r="JUB46" s="19"/>
      <c r="JUC46" s="19"/>
      <c r="JUD46" s="19"/>
      <c r="JUE46" s="19"/>
      <c r="JUF46" s="19"/>
      <c r="JUG46" s="19"/>
      <c r="JUH46" s="19"/>
      <c r="JUI46" s="19"/>
      <c r="JUJ46" s="19"/>
      <c r="JUK46" s="19"/>
      <c r="JUL46" s="19"/>
      <c r="JUM46" s="19"/>
      <c r="JUN46" s="19"/>
      <c r="JUO46" s="19"/>
      <c r="JUP46" s="19"/>
      <c r="JUQ46" s="19"/>
      <c r="JUR46" s="19"/>
      <c r="JUS46" s="19"/>
      <c r="JUT46" s="19"/>
      <c r="JUU46" s="19"/>
      <c r="JUV46" s="19"/>
      <c r="JUW46" s="19"/>
      <c r="JUX46" s="19"/>
      <c r="JUY46" s="19"/>
      <c r="JUZ46" s="19"/>
      <c r="JVA46" s="19"/>
      <c r="JVB46" s="19"/>
      <c r="JVC46" s="19"/>
      <c r="JVD46" s="19"/>
      <c r="JVE46" s="19"/>
      <c r="JVF46" s="19"/>
      <c r="JVG46" s="19"/>
      <c r="JVH46" s="19"/>
      <c r="JVI46" s="19"/>
      <c r="JVJ46" s="19"/>
      <c r="JVK46" s="19"/>
      <c r="JVL46" s="19"/>
      <c r="JVM46" s="19"/>
      <c r="JVN46" s="19"/>
      <c r="JVO46" s="19"/>
      <c r="JVP46" s="19"/>
      <c r="JVQ46" s="19"/>
      <c r="JVR46" s="19"/>
      <c r="JVS46" s="19"/>
      <c r="JVT46" s="19"/>
      <c r="JVU46" s="19"/>
      <c r="JVV46" s="19"/>
      <c r="JVW46" s="19"/>
      <c r="JVX46" s="19"/>
      <c r="JVY46" s="19"/>
      <c r="JVZ46" s="19"/>
      <c r="JWA46" s="19"/>
      <c r="JWB46" s="19"/>
      <c r="JWC46" s="19"/>
      <c r="JWD46" s="19"/>
      <c r="JWE46" s="19"/>
      <c r="JWF46" s="19"/>
      <c r="JWG46" s="19"/>
      <c r="JWH46" s="19"/>
      <c r="JWI46" s="19"/>
      <c r="JWJ46" s="19"/>
      <c r="JWK46" s="19"/>
      <c r="JWL46" s="19"/>
      <c r="JWM46" s="19"/>
      <c r="JWN46" s="19"/>
      <c r="JWO46" s="19"/>
      <c r="JWP46" s="19"/>
      <c r="JWQ46" s="19"/>
      <c r="JWR46" s="19"/>
      <c r="JWS46" s="19"/>
      <c r="JWT46" s="19"/>
      <c r="JWU46" s="19"/>
      <c r="JWV46" s="19"/>
      <c r="JWW46" s="19"/>
      <c r="JWX46" s="19"/>
      <c r="JWY46" s="19"/>
      <c r="JWZ46" s="19"/>
      <c r="JXA46" s="19"/>
      <c r="JXB46" s="19"/>
      <c r="JXC46" s="19"/>
      <c r="JXD46" s="19"/>
      <c r="JXE46" s="19"/>
      <c r="JXF46" s="19"/>
      <c r="JXG46" s="19"/>
      <c r="JXH46" s="19"/>
      <c r="JXI46" s="19"/>
      <c r="JXJ46" s="19"/>
      <c r="JXK46" s="19"/>
      <c r="JXL46" s="19"/>
      <c r="JXM46" s="19"/>
      <c r="JXN46" s="19"/>
      <c r="JXO46" s="19"/>
      <c r="JXP46" s="19"/>
      <c r="JXQ46" s="19"/>
      <c r="JXR46" s="19"/>
      <c r="JXS46" s="19"/>
      <c r="JXT46" s="19"/>
      <c r="JXU46" s="19"/>
      <c r="JXV46" s="19"/>
      <c r="JXW46" s="19"/>
      <c r="JXX46" s="19"/>
      <c r="JXY46" s="19"/>
      <c r="JXZ46" s="19"/>
      <c r="JYA46" s="19"/>
      <c r="JYB46" s="19"/>
      <c r="JYC46" s="19"/>
      <c r="JYD46" s="19"/>
      <c r="JYE46" s="19"/>
      <c r="JYF46" s="19"/>
      <c r="JYG46" s="19"/>
      <c r="JYH46" s="19"/>
      <c r="JYI46" s="19"/>
      <c r="JYJ46" s="19"/>
      <c r="JYK46" s="19"/>
      <c r="JYL46" s="19"/>
      <c r="JYM46" s="19"/>
      <c r="JYN46" s="19"/>
      <c r="JYO46" s="19"/>
      <c r="JYP46" s="19"/>
      <c r="JYQ46" s="19"/>
      <c r="JYR46" s="19"/>
      <c r="JYS46" s="19"/>
      <c r="JYT46" s="19"/>
      <c r="JYU46" s="19"/>
      <c r="JYV46" s="19"/>
      <c r="JYW46" s="19"/>
      <c r="JYX46" s="19"/>
      <c r="JYY46" s="19"/>
      <c r="JYZ46" s="19"/>
      <c r="JZA46" s="19"/>
      <c r="JZB46" s="19"/>
      <c r="JZC46" s="19"/>
      <c r="JZD46" s="19"/>
      <c r="JZE46" s="19"/>
      <c r="JZF46" s="19"/>
      <c r="JZG46" s="19"/>
      <c r="JZH46" s="19"/>
      <c r="JZI46" s="19"/>
      <c r="JZJ46" s="19"/>
      <c r="JZK46" s="19"/>
      <c r="JZL46" s="19"/>
      <c r="JZM46" s="19"/>
      <c r="JZN46" s="19"/>
      <c r="JZO46" s="19"/>
      <c r="JZP46" s="19"/>
      <c r="JZQ46" s="19"/>
      <c r="JZR46" s="19"/>
      <c r="JZS46" s="19"/>
      <c r="JZT46" s="19"/>
      <c r="JZU46" s="19"/>
      <c r="JZV46" s="19"/>
      <c r="JZW46" s="19"/>
      <c r="JZX46" s="19"/>
      <c r="JZY46" s="19"/>
      <c r="JZZ46" s="19"/>
      <c r="KAA46" s="19"/>
      <c r="KAB46" s="19"/>
      <c r="KAC46" s="19"/>
      <c r="KAD46" s="19"/>
      <c r="KAE46" s="19"/>
      <c r="KAF46" s="19"/>
      <c r="KAG46" s="19"/>
      <c r="KAH46" s="19"/>
      <c r="KAI46" s="19"/>
      <c r="KAJ46" s="19"/>
      <c r="KAK46" s="19"/>
      <c r="KAL46" s="19"/>
      <c r="KAM46" s="19"/>
      <c r="KAN46" s="19"/>
      <c r="KAO46" s="19"/>
      <c r="KAP46" s="19"/>
      <c r="KAQ46" s="19"/>
      <c r="KAR46" s="19"/>
      <c r="KAS46" s="19"/>
      <c r="KAT46" s="19"/>
      <c r="KAU46" s="19"/>
      <c r="KAV46" s="19"/>
      <c r="KAW46" s="19"/>
      <c r="KAX46" s="19"/>
      <c r="KAY46" s="19"/>
      <c r="KAZ46" s="19"/>
      <c r="KBA46" s="19"/>
      <c r="KBB46" s="19"/>
      <c r="KBC46" s="19"/>
      <c r="KBD46" s="19"/>
      <c r="KBE46" s="19"/>
      <c r="KBF46" s="19"/>
      <c r="KBG46" s="19"/>
      <c r="KBH46" s="19"/>
      <c r="KBI46" s="19"/>
      <c r="KBJ46" s="19"/>
      <c r="KBK46" s="19"/>
      <c r="KBL46" s="19"/>
      <c r="KBM46" s="19"/>
      <c r="KBN46" s="19"/>
      <c r="KBO46" s="19"/>
      <c r="KBP46" s="19"/>
      <c r="KBQ46" s="19"/>
      <c r="KBR46" s="19"/>
      <c r="KBS46" s="19"/>
      <c r="KBT46" s="19"/>
      <c r="KBU46" s="19"/>
      <c r="KBV46" s="19"/>
      <c r="KBW46" s="19"/>
      <c r="KBX46" s="19"/>
      <c r="KBY46" s="19"/>
      <c r="KBZ46" s="19"/>
      <c r="KCA46" s="19"/>
      <c r="KCB46" s="19"/>
      <c r="KCC46" s="19"/>
      <c r="KCD46" s="19"/>
      <c r="KCE46" s="19"/>
      <c r="KCF46" s="19"/>
      <c r="KCG46" s="19"/>
      <c r="KCH46" s="19"/>
      <c r="KCI46" s="19"/>
      <c r="KCJ46" s="19"/>
      <c r="KCK46" s="19"/>
      <c r="KCL46" s="19"/>
      <c r="KCM46" s="19"/>
      <c r="KCN46" s="19"/>
      <c r="KCO46" s="19"/>
      <c r="KCP46" s="19"/>
      <c r="KCQ46" s="19"/>
      <c r="KCR46" s="19"/>
      <c r="KCS46" s="19"/>
      <c r="KCT46" s="19"/>
      <c r="KCU46" s="19"/>
      <c r="KCV46" s="19"/>
      <c r="KCW46" s="19"/>
      <c r="KCX46" s="19"/>
      <c r="KCY46" s="19"/>
      <c r="KCZ46" s="19"/>
      <c r="KDA46" s="19"/>
      <c r="KDB46" s="19"/>
      <c r="KDC46" s="19"/>
      <c r="KDD46" s="19"/>
      <c r="KDE46" s="19"/>
      <c r="KDF46" s="19"/>
      <c r="KDG46" s="19"/>
      <c r="KDH46" s="19"/>
      <c r="KDI46" s="19"/>
      <c r="KDJ46" s="19"/>
      <c r="KDK46" s="19"/>
      <c r="KDL46" s="19"/>
      <c r="KDM46" s="19"/>
      <c r="KDN46" s="19"/>
      <c r="KDO46" s="19"/>
      <c r="KDP46" s="19"/>
      <c r="KDQ46" s="19"/>
      <c r="KDR46" s="19"/>
      <c r="KDS46" s="19"/>
      <c r="KDT46" s="19"/>
      <c r="KDU46" s="19"/>
      <c r="KDV46" s="19"/>
      <c r="KDW46" s="19"/>
      <c r="KDX46" s="19"/>
      <c r="KDY46" s="19"/>
      <c r="KDZ46" s="19"/>
      <c r="KEA46" s="19"/>
      <c r="KEB46" s="19"/>
      <c r="KEC46" s="19"/>
      <c r="KED46" s="19"/>
      <c r="KEE46" s="19"/>
      <c r="KEF46" s="19"/>
      <c r="KEG46" s="19"/>
      <c r="KEH46" s="19"/>
      <c r="KEI46" s="19"/>
      <c r="KEJ46" s="19"/>
      <c r="KEK46" s="19"/>
      <c r="KEL46" s="19"/>
      <c r="KEM46" s="19"/>
      <c r="KEN46" s="19"/>
      <c r="KEO46" s="19"/>
      <c r="KEP46" s="19"/>
      <c r="KEQ46" s="19"/>
      <c r="KER46" s="19"/>
      <c r="KES46" s="19"/>
      <c r="KET46" s="19"/>
      <c r="KEU46" s="19"/>
      <c r="KEV46" s="19"/>
      <c r="KEW46" s="19"/>
      <c r="KEX46" s="19"/>
      <c r="KEY46" s="19"/>
      <c r="KEZ46" s="19"/>
      <c r="KFA46" s="19"/>
      <c r="KFB46" s="19"/>
      <c r="KFC46" s="19"/>
      <c r="KFD46" s="19"/>
      <c r="KFE46" s="19"/>
      <c r="KFF46" s="19"/>
      <c r="KFG46" s="19"/>
      <c r="KFH46" s="19"/>
      <c r="KFI46" s="19"/>
      <c r="KFJ46" s="19"/>
      <c r="KFK46" s="19"/>
      <c r="KFL46" s="19"/>
      <c r="KFM46" s="19"/>
      <c r="KFN46" s="19"/>
      <c r="KFO46" s="19"/>
      <c r="KFP46" s="19"/>
      <c r="KFQ46" s="19"/>
      <c r="KFR46" s="19"/>
      <c r="KFS46" s="19"/>
      <c r="KFT46" s="19"/>
      <c r="KFU46" s="19"/>
      <c r="KFV46" s="19"/>
      <c r="KFW46" s="19"/>
      <c r="KFX46" s="19"/>
      <c r="KFY46" s="19"/>
      <c r="KFZ46" s="19"/>
      <c r="KGA46" s="19"/>
      <c r="KGB46" s="19"/>
      <c r="KGC46" s="19"/>
      <c r="KGD46" s="19"/>
      <c r="KGE46" s="19"/>
      <c r="KGF46" s="19"/>
      <c r="KGG46" s="19"/>
      <c r="KGH46" s="19"/>
      <c r="KGI46" s="19"/>
      <c r="KGJ46" s="19"/>
      <c r="KGK46" s="19"/>
      <c r="KGL46" s="19"/>
      <c r="KGM46" s="19"/>
      <c r="KGN46" s="19"/>
      <c r="KGO46" s="19"/>
      <c r="KGP46" s="19"/>
      <c r="KGQ46" s="19"/>
      <c r="KGR46" s="19"/>
      <c r="KGS46" s="19"/>
      <c r="KGT46" s="19"/>
      <c r="KGU46" s="19"/>
      <c r="KGV46" s="19"/>
      <c r="KGW46" s="19"/>
      <c r="KGX46" s="19"/>
      <c r="KGY46" s="19"/>
      <c r="KGZ46" s="19"/>
      <c r="KHA46" s="19"/>
      <c r="KHB46" s="19"/>
      <c r="KHC46" s="19"/>
      <c r="KHD46" s="19"/>
      <c r="KHE46" s="19"/>
      <c r="KHF46" s="19"/>
      <c r="KHG46" s="19"/>
      <c r="KHH46" s="19"/>
      <c r="KHI46" s="19"/>
      <c r="KHJ46" s="19"/>
      <c r="KHK46" s="19"/>
      <c r="KHL46" s="19"/>
      <c r="KHM46" s="19"/>
      <c r="KHN46" s="19"/>
      <c r="KHO46" s="19"/>
      <c r="KHP46" s="19"/>
      <c r="KHQ46" s="19"/>
      <c r="KHR46" s="19"/>
      <c r="KHS46" s="19"/>
      <c r="KHT46" s="19"/>
      <c r="KHU46" s="19"/>
      <c r="KHV46" s="19"/>
      <c r="KHW46" s="19"/>
      <c r="KHX46" s="19"/>
      <c r="KHY46" s="19"/>
      <c r="KHZ46" s="19"/>
      <c r="KIA46" s="19"/>
      <c r="KIB46" s="19"/>
      <c r="KIC46" s="19"/>
      <c r="KID46" s="19"/>
      <c r="KIE46" s="19"/>
      <c r="KIF46" s="19"/>
      <c r="KIG46" s="19"/>
      <c r="KIH46" s="19"/>
      <c r="KII46" s="19"/>
      <c r="KIJ46" s="19"/>
      <c r="KIK46" s="19"/>
      <c r="KIL46" s="19"/>
      <c r="KIM46" s="19"/>
      <c r="KIN46" s="19"/>
      <c r="KIO46" s="19"/>
      <c r="KIP46" s="19"/>
      <c r="KIQ46" s="19"/>
      <c r="KIR46" s="19"/>
      <c r="KIS46" s="19"/>
      <c r="KIT46" s="19"/>
      <c r="KIU46" s="19"/>
      <c r="KIV46" s="19"/>
      <c r="KIW46" s="19"/>
      <c r="KIX46" s="19"/>
      <c r="KIY46" s="19"/>
      <c r="KIZ46" s="19"/>
      <c r="KJA46" s="19"/>
      <c r="KJB46" s="19"/>
      <c r="KJC46" s="19"/>
      <c r="KJD46" s="19"/>
      <c r="KJE46" s="19"/>
      <c r="KJF46" s="19"/>
      <c r="KJG46" s="19"/>
      <c r="KJH46" s="19"/>
      <c r="KJI46" s="19"/>
      <c r="KJJ46" s="19"/>
      <c r="KJK46" s="19"/>
      <c r="KJL46" s="19"/>
      <c r="KJM46" s="19"/>
      <c r="KJN46" s="19"/>
      <c r="KJO46" s="19"/>
      <c r="KJP46" s="19"/>
      <c r="KJQ46" s="19"/>
      <c r="KJR46" s="19"/>
      <c r="KJS46" s="19"/>
      <c r="KJT46" s="19"/>
      <c r="KJU46" s="19"/>
      <c r="KJV46" s="19"/>
      <c r="KJW46" s="19"/>
      <c r="KJX46" s="19"/>
      <c r="KJY46" s="19"/>
      <c r="KJZ46" s="19"/>
      <c r="KKA46" s="19"/>
      <c r="KKB46" s="19"/>
      <c r="KKC46" s="19"/>
      <c r="KKD46" s="19"/>
      <c r="KKE46" s="19"/>
      <c r="KKF46" s="19"/>
      <c r="KKG46" s="19"/>
      <c r="KKH46" s="19"/>
      <c r="KKI46" s="19"/>
      <c r="KKJ46" s="19"/>
      <c r="KKK46" s="19"/>
      <c r="KKL46" s="19"/>
      <c r="KKM46" s="19"/>
      <c r="KKN46" s="19"/>
      <c r="KKO46" s="19"/>
      <c r="KKP46" s="19"/>
      <c r="KKQ46" s="19"/>
      <c r="KKR46" s="19"/>
      <c r="KKS46" s="19"/>
      <c r="KKT46" s="19"/>
      <c r="KKU46" s="19"/>
      <c r="KKV46" s="19"/>
      <c r="KKW46" s="19"/>
      <c r="KKX46" s="19"/>
      <c r="KKY46" s="19"/>
      <c r="KKZ46" s="19"/>
      <c r="KLA46" s="19"/>
      <c r="KLB46" s="19"/>
      <c r="KLC46" s="19"/>
      <c r="KLD46" s="19"/>
      <c r="KLE46" s="19"/>
      <c r="KLF46" s="19"/>
      <c r="KLG46" s="19"/>
      <c r="KLH46" s="19"/>
      <c r="KLI46" s="19"/>
      <c r="KLJ46" s="19"/>
      <c r="KLK46" s="19"/>
      <c r="KLL46" s="19"/>
      <c r="KLM46" s="19"/>
      <c r="KLN46" s="19"/>
      <c r="KLO46" s="19"/>
      <c r="KLP46" s="19"/>
      <c r="KLQ46" s="19"/>
      <c r="KLR46" s="19"/>
      <c r="KLS46" s="19"/>
      <c r="KLT46" s="19"/>
      <c r="KLU46" s="19"/>
      <c r="KLV46" s="19"/>
      <c r="KLW46" s="19"/>
      <c r="KLX46" s="19"/>
      <c r="KLY46" s="19"/>
      <c r="KLZ46" s="19"/>
      <c r="KMA46" s="19"/>
      <c r="KMB46" s="19"/>
      <c r="KMC46" s="19"/>
      <c r="KMD46" s="19"/>
      <c r="KME46" s="19"/>
      <c r="KMF46" s="19"/>
      <c r="KMG46" s="19"/>
      <c r="KMH46" s="19"/>
      <c r="KMI46" s="19"/>
      <c r="KMJ46" s="19"/>
      <c r="KMK46" s="19"/>
      <c r="KML46" s="19"/>
      <c r="KMM46" s="19"/>
      <c r="KMN46" s="19"/>
      <c r="KMO46" s="19"/>
      <c r="KMP46" s="19"/>
      <c r="KMQ46" s="19"/>
      <c r="KMR46" s="19"/>
      <c r="KMS46" s="19"/>
      <c r="KMT46" s="19"/>
      <c r="KMU46" s="19"/>
      <c r="KMV46" s="19"/>
      <c r="KMW46" s="19"/>
      <c r="KMX46" s="19"/>
      <c r="KMY46" s="19"/>
      <c r="KMZ46" s="19"/>
      <c r="KNA46" s="19"/>
      <c r="KNB46" s="19"/>
      <c r="KNC46" s="19"/>
      <c r="KND46" s="19"/>
      <c r="KNE46" s="19"/>
      <c r="KNF46" s="19"/>
      <c r="KNG46" s="19"/>
      <c r="KNH46" s="19"/>
      <c r="KNI46" s="19"/>
      <c r="KNJ46" s="19"/>
      <c r="KNK46" s="19"/>
      <c r="KNL46" s="19"/>
      <c r="KNM46" s="19"/>
      <c r="KNN46" s="19"/>
      <c r="KNO46" s="19"/>
      <c r="KNP46" s="19"/>
      <c r="KNQ46" s="19"/>
      <c r="KNR46" s="19"/>
      <c r="KNS46" s="19"/>
      <c r="KNT46" s="19"/>
      <c r="KNU46" s="19"/>
      <c r="KNV46" s="19"/>
      <c r="KNW46" s="19"/>
      <c r="KNX46" s="19"/>
      <c r="KNY46" s="19"/>
      <c r="KNZ46" s="19"/>
      <c r="KOA46" s="19"/>
      <c r="KOB46" s="19"/>
      <c r="KOC46" s="19"/>
      <c r="KOD46" s="19"/>
      <c r="KOE46" s="19"/>
      <c r="KOF46" s="19"/>
      <c r="KOG46" s="19"/>
      <c r="KOH46" s="19"/>
      <c r="KOI46" s="19"/>
      <c r="KOJ46" s="19"/>
      <c r="KOK46" s="19"/>
      <c r="KOL46" s="19"/>
      <c r="KOM46" s="19"/>
      <c r="KON46" s="19"/>
      <c r="KOO46" s="19"/>
      <c r="KOP46" s="19"/>
      <c r="KOQ46" s="19"/>
      <c r="KOR46" s="19"/>
      <c r="KOS46" s="19"/>
      <c r="KOT46" s="19"/>
      <c r="KOU46" s="19"/>
      <c r="KOV46" s="19"/>
      <c r="KOW46" s="19"/>
      <c r="KOX46" s="19"/>
      <c r="KOY46" s="19"/>
      <c r="KOZ46" s="19"/>
      <c r="KPA46" s="19"/>
      <c r="KPB46" s="19"/>
      <c r="KPC46" s="19"/>
      <c r="KPD46" s="19"/>
      <c r="KPE46" s="19"/>
      <c r="KPF46" s="19"/>
      <c r="KPG46" s="19"/>
      <c r="KPH46" s="19"/>
      <c r="KPI46" s="19"/>
      <c r="KPJ46" s="19"/>
      <c r="KPK46" s="19"/>
      <c r="KPL46" s="19"/>
      <c r="KPM46" s="19"/>
      <c r="KPN46" s="19"/>
      <c r="KPO46" s="19"/>
      <c r="KPP46" s="19"/>
      <c r="KPQ46" s="19"/>
      <c r="KPR46" s="19"/>
      <c r="KPS46" s="19"/>
      <c r="KPT46" s="19"/>
      <c r="KPU46" s="19"/>
      <c r="KPV46" s="19"/>
      <c r="KPW46" s="19"/>
      <c r="KPX46" s="19"/>
      <c r="KPY46" s="19"/>
      <c r="KPZ46" s="19"/>
      <c r="KQA46" s="19"/>
      <c r="KQB46" s="19"/>
      <c r="KQC46" s="19"/>
      <c r="KQD46" s="19"/>
      <c r="KQE46" s="19"/>
      <c r="KQF46" s="19"/>
      <c r="KQG46" s="19"/>
      <c r="KQH46" s="19"/>
      <c r="KQI46" s="19"/>
      <c r="KQJ46" s="19"/>
      <c r="KQK46" s="19"/>
      <c r="KQL46" s="19"/>
      <c r="KQM46" s="19"/>
      <c r="KQN46" s="19"/>
      <c r="KQO46" s="19"/>
      <c r="KQP46" s="19"/>
      <c r="KQQ46" s="19"/>
      <c r="KQR46" s="19"/>
      <c r="KQS46" s="19"/>
      <c r="KQT46" s="19"/>
      <c r="KQU46" s="19"/>
      <c r="KQV46" s="19"/>
      <c r="KQW46" s="19"/>
      <c r="KQX46" s="19"/>
      <c r="KQY46" s="19"/>
      <c r="KQZ46" s="19"/>
      <c r="KRA46" s="19"/>
      <c r="KRB46" s="19"/>
      <c r="KRC46" s="19"/>
      <c r="KRD46" s="19"/>
      <c r="KRE46" s="19"/>
      <c r="KRF46" s="19"/>
      <c r="KRG46" s="19"/>
      <c r="KRH46" s="19"/>
      <c r="KRI46" s="19"/>
      <c r="KRJ46" s="19"/>
      <c r="KRK46" s="19"/>
      <c r="KRL46" s="19"/>
      <c r="KRM46" s="19"/>
      <c r="KRN46" s="19"/>
      <c r="KRO46" s="19"/>
      <c r="KRP46" s="19"/>
      <c r="KRQ46" s="19"/>
      <c r="KRR46" s="19"/>
      <c r="KRS46" s="19"/>
      <c r="KRT46" s="19"/>
      <c r="KRU46" s="19"/>
      <c r="KRV46" s="19"/>
      <c r="KRW46" s="19"/>
      <c r="KRX46" s="19"/>
      <c r="KRY46" s="19"/>
      <c r="KRZ46" s="19"/>
      <c r="KSA46" s="19"/>
      <c r="KSB46" s="19"/>
      <c r="KSC46" s="19"/>
      <c r="KSD46" s="19"/>
      <c r="KSE46" s="19"/>
      <c r="KSF46" s="19"/>
      <c r="KSG46" s="19"/>
      <c r="KSH46" s="19"/>
      <c r="KSI46" s="19"/>
      <c r="KSJ46" s="19"/>
      <c r="KSK46" s="19"/>
      <c r="KSL46" s="19"/>
      <c r="KSM46" s="19"/>
      <c r="KSN46" s="19"/>
      <c r="KSO46" s="19"/>
      <c r="KSP46" s="19"/>
      <c r="KSQ46" s="19"/>
      <c r="KSR46" s="19"/>
      <c r="KSS46" s="19"/>
      <c r="KST46" s="19"/>
      <c r="KSU46" s="19"/>
      <c r="KSV46" s="19"/>
      <c r="KSW46" s="19"/>
      <c r="KSX46" s="19"/>
      <c r="KSY46" s="19"/>
      <c r="KSZ46" s="19"/>
      <c r="KTA46" s="19"/>
      <c r="KTB46" s="19"/>
      <c r="KTC46" s="19"/>
      <c r="KTD46" s="19"/>
      <c r="KTE46" s="19"/>
      <c r="KTF46" s="19"/>
      <c r="KTG46" s="19"/>
      <c r="KTH46" s="19"/>
      <c r="KTI46" s="19"/>
      <c r="KTJ46" s="19"/>
      <c r="KTK46" s="19"/>
      <c r="KTL46" s="19"/>
      <c r="KTM46" s="19"/>
      <c r="KTN46" s="19"/>
      <c r="KTO46" s="19"/>
      <c r="KTP46" s="19"/>
      <c r="KTQ46" s="19"/>
      <c r="KTR46" s="19"/>
      <c r="KTS46" s="19"/>
      <c r="KTT46" s="19"/>
      <c r="KTU46" s="19"/>
      <c r="KTV46" s="19"/>
      <c r="KTW46" s="19"/>
      <c r="KTX46" s="19"/>
      <c r="KTY46" s="19"/>
      <c r="KTZ46" s="19"/>
      <c r="KUA46" s="19"/>
      <c r="KUB46" s="19"/>
      <c r="KUC46" s="19"/>
      <c r="KUD46" s="19"/>
      <c r="KUE46" s="19"/>
      <c r="KUF46" s="19"/>
      <c r="KUG46" s="19"/>
      <c r="KUH46" s="19"/>
      <c r="KUI46" s="19"/>
      <c r="KUJ46" s="19"/>
      <c r="KUK46" s="19"/>
      <c r="KUL46" s="19"/>
      <c r="KUM46" s="19"/>
      <c r="KUN46" s="19"/>
      <c r="KUO46" s="19"/>
      <c r="KUP46" s="19"/>
      <c r="KUQ46" s="19"/>
      <c r="KUR46" s="19"/>
      <c r="KUS46" s="19"/>
      <c r="KUT46" s="19"/>
      <c r="KUU46" s="19"/>
      <c r="KUV46" s="19"/>
      <c r="KUW46" s="19"/>
      <c r="KUX46" s="19"/>
      <c r="KUY46" s="19"/>
      <c r="KUZ46" s="19"/>
      <c r="KVA46" s="19"/>
      <c r="KVB46" s="19"/>
      <c r="KVC46" s="19"/>
      <c r="KVD46" s="19"/>
      <c r="KVE46" s="19"/>
      <c r="KVF46" s="19"/>
      <c r="KVG46" s="19"/>
      <c r="KVH46" s="19"/>
      <c r="KVI46" s="19"/>
      <c r="KVJ46" s="19"/>
      <c r="KVK46" s="19"/>
      <c r="KVL46" s="19"/>
      <c r="KVM46" s="19"/>
      <c r="KVN46" s="19"/>
      <c r="KVO46" s="19"/>
      <c r="KVP46" s="19"/>
      <c r="KVQ46" s="19"/>
      <c r="KVR46" s="19"/>
      <c r="KVS46" s="19"/>
      <c r="KVT46" s="19"/>
      <c r="KVU46" s="19"/>
      <c r="KVV46" s="19"/>
      <c r="KVW46" s="19"/>
      <c r="KVX46" s="19"/>
      <c r="KVY46" s="19"/>
      <c r="KVZ46" s="19"/>
      <c r="KWA46" s="19"/>
      <c r="KWB46" s="19"/>
      <c r="KWC46" s="19"/>
      <c r="KWD46" s="19"/>
      <c r="KWE46" s="19"/>
      <c r="KWF46" s="19"/>
      <c r="KWG46" s="19"/>
      <c r="KWH46" s="19"/>
      <c r="KWI46" s="19"/>
      <c r="KWJ46" s="19"/>
      <c r="KWK46" s="19"/>
      <c r="KWL46" s="19"/>
      <c r="KWM46" s="19"/>
      <c r="KWN46" s="19"/>
      <c r="KWO46" s="19"/>
      <c r="KWP46" s="19"/>
      <c r="KWQ46" s="19"/>
      <c r="KWR46" s="19"/>
      <c r="KWS46" s="19"/>
      <c r="KWT46" s="19"/>
      <c r="KWU46" s="19"/>
      <c r="KWV46" s="19"/>
      <c r="KWW46" s="19"/>
      <c r="KWX46" s="19"/>
      <c r="KWY46" s="19"/>
      <c r="KWZ46" s="19"/>
      <c r="KXA46" s="19"/>
      <c r="KXB46" s="19"/>
      <c r="KXC46" s="19"/>
      <c r="KXD46" s="19"/>
      <c r="KXE46" s="19"/>
      <c r="KXF46" s="19"/>
      <c r="KXG46" s="19"/>
      <c r="KXH46" s="19"/>
      <c r="KXI46" s="19"/>
      <c r="KXJ46" s="19"/>
      <c r="KXK46" s="19"/>
      <c r="KXL46" s="19"/>
      <c r="KXM46" s="19"/>
      <c r="KXN46" s="19"/>
      <c r="KXO46" s="19"/>
      <c r="KXP46" s="19"/>
      <c r="KXQ46" s="19"/>
      <c r="KXR46" s="19"/>
      <c r="KXS46" s="19"/>
      <c r="KXT46" s="19"/>
      <c r="KXU46" s="19"/>
      <c r="KXV46" s="19"/>
      <c r="KXW46" s="19"/>
      <c r="KXX46" s="19"/>
      <c r="KXY46" s="19"/>
      <c r="KXZ46" s="19"/>
      <c r="KYA46" s="19"/>
      <c r="KYB46" s="19"/>
      <c r="KYC46" s="19"/>
      <c r="KYD46" s="19"/>
      <c r="KYE46" s="19"/>
      <c r="KYF46" s="19"/>
      <c r="KYG46" s="19"/>
      <c r="KYH46" s="19"/>
      <c r="KYI46" s="19"/>
      <c r="KYJ46" s="19"/>
      <c r="KYK46" s="19"/>
      <c r="KYL46" s="19"/>
      <c r="KYM46" s="19"/>
      <c r="KYN46" s="19"/>
      <c r="KYO46" s="19"/>
      <c r="KYP46" s="19"/>
      <c r="KYQ46" s="19"/>
      <c r="KYR46" s="19"/>
      <c r="KYS46" s="19"/>
      <c r="KYT46" s="19"/>
      <c r="KYU46" s="19"/>
      <c r="KYV46" s="19"/>
      <c r="KYW46" s="19"/>
      <c r="KYX46" s="19"/>
      <c r="KYY46" s="19"/>
      <c r="KYZ46" s="19"/>
      <c r="KZA46" s="19"/>
      <c r="KZB46" s="19"/>
      <c r="KZC46" s="19"/>
      <c r="KZD46" s="19"/>
      <c r="KZE46" s="19"/>
      <c r="KZF46" s="19"/>
      <c r="KZG46" s="19"/>
      <c r="KZH46" s="19"/>
      <c r="KZI46" s="19"/>
      <c r="KZJ46" s="19"/>
      <c r="KZK46" s="19"/>
      <c r="KZL46" s="19"/>
      <c r="KZM46" s="19"/>
      <c r="KZN46" s="19"/>
      <c r="KZO46" s="19"/>
      <c r="KZP46" s="19"/>
      <c r="KZQ46" s="19"/>
      <c r="KZR46" s="19"/>
      <c r="KZS46" s="19"/>
      <c r="KZT46" s="19"/>
      <c r="KZU46" s="19"/>
      <c r="KZV46" s="19"/>
      <c r="KZW46" s="19"/>
      <c r="KZX46" s="19"/>
      <c r="KZY46" s="19"/>
      <c r="KZZ46" s="19"/>
      <c r="LAA46" s="19"/>
      <c r="LAB46" s="19"/>
      <c r="LAC46" s="19"/>
      <c r="LAD46" s="19"/>
      <c r="LAE46" s="19"/>
      <c r="LAF46" s="19"/>
      <c r="LAG46" s="19"/>
      <c r="LAH46" s="19"/>
      <c r="LAI46" s="19"/>
      <c r="LAJ46" s="19"/>
      <c r="LAK46" s="19"/>
      <c r="LAL46" s="19"/>
      <c r="LAM46" s="19"/>
      <c r="LAN46" s="19"/>
      <c r="LAO46" s="19"/>
      <c r="LAP46" s="19"/>
      <c r="LAQ46" s="19"/>
      <c r="LAR46" s="19"/>
      <c r="LAS46" s="19"/>
      <c r="LAT46" s="19"/>
      <c r="LAU46" s="19"/>
      <c r="LAV46" s="19"/>
      <c r="LAW46" s="19"/>
      <c r="LAX46" s="19"/>
      <c r="LAY46" s="19"/>
      <c r="LAZ46" s="19"/>
      <c r="LBA46" s="19"/>
      <c r="LBB46" s="19"/>
      <c r="LBC46" s="19"/>
      <c r="LBD46" s="19"/>
      <c r="LBE46" s="19"/>
      <c r="LBF46" s="19"/>
      <c r="LBG46" s="19"/>
      <c r="LBH46" s="19"/>
      <c r="LBI46" s="19"/>
      <c r="LBJ46" s="19"/>
      <c r="LBK46" s="19"/>
      <c r="LBL46" s="19"/>
      <c r="LBM46" s="19"/>
      <c r="LBN46" s="19"/>
      <c r="LBO46" s="19"/>
      <c r="LBP46" s="19"/>
      <c r="LBQ46" s="19"/>
      <c r="LBR46" s="19"/>
      <c r="LBS46" s="19"/>
      <c r="LBT46" s="19"/>
      <c r="LBU46" s="19"/>
      <c r="LBV46" s="19"/>
      <c r="LBW46" s="19"/>
      <c r="LBX46" s="19"/>
      <c r="LBY46" s="19"/>
      <c r="LBZ46" s="19"/>
      <c r="LCA46" s="19"/>
      <c r="LCB46" s="19"/>
      <c r="LCC46" s="19"/>
      <c r="LCD46" s="19"/>
      <c r="LCE46" s="19"/>
      <c r="LCF46" s="19"/>
      <c r="LCG46" s="19"/>
      <c r="LCH46" s="19"/>
      <c r="LCI46" s="19"/>
      <c r="LCJ46" s="19"/>
      <c r="LCK46" s="19"/>
      <c r="LCL46" s="19"/>
      <c r="LCM46" s="19"/>
      <c r="LCN46" s="19"/>
      <c r="LCO46" s="19"/>
      <c r="LCP46" s="19"/>
      <c r="LCQ46" s="19"/>
      <c r="LCR46" s="19"/>
      <c r="LCS46" s="19"/>
      <c r="LCT46" s="19"/>
      <c r="LCU46" s="19"/>
      <c r="LCV46" s="19"/>
      <c r="LCW46" s="19"/>
      <c r="LCX46" s="19"/>
      <c r="LCY46" s="19"/>
      <c r="LCZ46" s="19"/>
      <c r="LDA46" s="19"/>
      <c r="LDB46" s="19"/>
      <c r="LDC46" s="19"/>
      <c r="LDD46" s="19"/>
      <c r="LDE46" s="19"/>
      <c r="LDF46" s="19"/>
      <c r="LDG46" s="19"/>
      <c r="LDH46" s="19"/>
      <c r="LDI46" s="19"/>
      <c r="LDJ46" s="19"/>
      <c r="LDK46" s="19"/>
      <c r="LDL46" s="19"/>
      <c r="LDM46" s="19"/>
      <c r="LDN46" s="19"/>
      <c r="LDO46" s="19"/>
      <c r="LDP46" s="19"/>
      <c r="LDQ46" s="19"/>
      <c r="LDR46" s="19"/>
      <c r="LDS46" s="19"/>
      <c r="LDT46" s="19"/>
      <c r="LDU46" s="19"/>
      <c r="LDV46" s="19"/>
      <c r="LDW46" s="19"/>
      <c r="LDX46" s="19"/>
      <c r="LDY46" s="19"/>
      <c r="LDZ46" s="19"/>
      <c r="LEA46" s="19"/>
      <c r="LEB46" s="19"/>
      <c r="LEC46" s="19"/>
      <c r="LED46" s="19"/>
      <c r="LEE46" s="19"/>
      <c r="LEF46" s="19"/>
      <c r="LEG46" s="19"/>
      <c r="LEH46" s="19"/>
      <c r="LEI46" s="19"/>
      <c r="LEJ46" s="19"/>
      <c r="LEK46" s="19"/>
      <c r="LEL46" s="19"/>
      <c r="LEM46" s="19"/>
      <c r="LEN46" s="19"/>
      <c r="LEO46" s="19"/>
      <c r="LEP46" s="19"/>
      <c r="LEQ46" s="19"/>
      <c r="LER46" s="19"/>
      <c r="LES46" s="19"/>
      <c r="LET46" s="19"/>
      <c r="LEU46" s="19"/>
      <c r="LEV46" s="19"/>
      <c r="LEW46" s="19"/>
      <c r="LEX46" s="19"/>
      <c r="LEY46" s="19"/>
      <c r="LEZ46" s="19"/>
      <c r="LFA46" s="19"/>
      <c r="LFB46" s="19"/>
      <c r="LFC46" s="19"/>
      <c r="LFD46" s="19"/>
      <c r="LFE46" s="19"/>
      <c r="LFF46" s="19"/>
      <c r="LFG46" s="19"/>
      <c r="LFH46" s="19"/>
      <c r="LFI46" s="19"/>
      <c r="LFJ46" s="19"/>
      <c r="LFK46" s="19"/>
      <c r="LFL46" s="19"/>
      <c r="LFM46" s="19"/>
      <c r="LFN46" s="19"/>
      <c r="LFO46" s="19"/>
      <c r="LFP46" s="19"/>
      <c r="LFQ46" s="19"/>
      <c r="LFR46" s="19"/>
      <c r="LFS46" s="19"/>
      <c r="LFT46" s="19"/>
      <c r="LFU46" s="19"/>
      <c r="LFV46" s="19"/>
      <c r="LFW46" s="19"/>
      <c r="LFX46" s="19"/>
      <c r="LFY46" s="19"/>
      <c r="LFZ46" s="19"/>
      <c r="LGA46" s="19"/>
      <c r="LGB46" s="19"/>
      <c r="LGC46" s="19"/>
      <c r="LGD46" s="19"/>
      <c r="LGE46" s="19"/>
      <c r="LGF46" s="19"/>
      <c r="LGG46" s="19"/>
      <c r="LGH46" s="19"/>
      <c r="LGI46" s="19"/>
      <c r="LGJ46" s="19"/>
      <c r="LGK46" s="19"/>
      <c r="LGL46" s="19"/>
      <c r="LGM46" s="19"/>
      <c r="LGN46" s="19"/>
      <c r="LGO46" s="19"/>
      <c r="LGP46" s="19"/>
      <c r="LGQ46" s="19"/>
      <c r="LGR46" s="19"/>
      <c r="LGS46" s="19"/>
      <c r="LGT46" s="19"/>
      <c r="LGU46" s="19"/>
      <c r="LGV46" s="19"/>
      <c r="LGW46" s="19"/>
      <c r="LGX46" s="19"/>
      <c r="LGY46" s="19"/>
      <c r="LGZ46" s="19"/>
      <c r="LHA46" s="19"/>
      <c r="LHB46" s="19"/>
      <c r="LHC46" s="19"/>
      <c r="LHD46" s="19"/>
      <c r="LHE46" s="19"/>
      <c r="LHF46" s="19"/>
      <c r="LHG46" s="19"/>
      <c r="LHH46" s="19"/>
      <c r="LHI46" s="19"/>
      <c r="LHJ46" s="19"/>
      <c r="LHK46" s="19"/>
      <c r="LHL46" s="19"/>
      <c r="LHM46" s="19"/>
      <c r="LHN46" s="19"/>
      <c r="LHO46" s="19"/>
      <c r="LHP46" s="19"/>
      <c r="LHQ46" s="19"/>
      <c r="LHR46" s="19"/>
      <c r="LHS46" s="19"/>
      <c r="LHT46" s="19"/>
      <c r="LHU46" s="19"/>
      <c r="LHV46" s="19"/>
      <c r="LHW46" s="19"/>
      <c r="LHX46" s="19"/>
      <c r="LHY46" s="19"/>
      <c r="LHZ46" s="19"/>
      <c r="LIA46" s="19"/>
      <c r="LIB46" s="19"/>
      <c r="LIC46" s="19"/>
      <c r="LID46" s="19"/>
      <c r="LIE46" s="19"/>
      <c r="LIF46" s="19"/>
      <c r="LIG46" s="19"/>
      <c r="LIH46" s="19"/>
      <c r="LII46" s="19"/>
      <c r="LIJ46" s="19"/>
      <c r="LIK46" s="19"/>
      <c r="LIL46" s="19"/>
      <c r="LIM46" s="19"/>
      <c r="LIN46" s="19"/>
      <c r="LIO46" s="19"/>
      <c r="LIP46" s="19"/>
      <c r="LIQ46" s="19"/>
      <c r="LIR46" s="19"/>
      <c r="LIS46" s="19"/>
      <c r="LIT46" s="19"/>
      <c r="LIU46" s="19"/>
      <c r="LIV46" s="19"/>
      <c r="LIW46" s="19"/>
      <c r="LIX46" s="19"/>
      <c r="LIY46" s="19"/>
      <c r="LIZ46" s="19"/>
      <c r="LJA46" s="19"/>
      <c r="LJB46" s="19"/>
      <c r="LJC46" s="19"/>
      <c r="LJD46" s="19"/>
      <c r="LJE46" s="19"/>
      <c r="LJF46" s="19"/>
      <c r="LJG46" s="19"/>
      <c r="LJH46" s="19"/>
      <c r="LJI46" s="19"/>
      <c r="LJJ46" s="19"/>
      <c r="LJK46" s="19"/>
      <c r="LJL46" s="19"/>
      <c r="LJM46" s="19"/>
      <c r="LJN46" s="19"/>
      <c r="LJO46" s="19"/>
      <c r="LJP46" s="19"/>
      <c r="LJQ46" s="19"/>
      <c r="LJR46" s="19"/>
      <c r="LJS46" s="19"/>
      <c r="LJT46" s="19"/>
      <c r="LJU46" s="19"/>
      <c r="LJV46" s="19"/>
      <c r="LJW46" s="19"/>
      <c r="LJX46" s="19"/>
      <c r="LJY46" s="19"/>
      <c r="LJZ46" s="19"/>
      <c r="LKA46" s="19"/>
      <c r="LKB46" s="19"/>
      <c r="LKC46" s="19"/>
      <c r="LKD46" s="19"/>
      <c r="LKE46" s="19"/>
      <c r="LKF46" s="19"/>
      <c r="LKG46" s="19"/>
      <c r="LKH46" s="19"/>
      <c r="LKI46" s="19"/>
      <c r="LKJ46" s="19"/>
      <c r="LKK46" s="19"/>
      <c r="LKL46" s="19"/>
      <c r="LKM46" s="19"/>
      <c r="LKN46" s="19"/>
      <c r="LKO46" s="19"/>
      <c r="LKP46" s="19"/>
      <c r="LKQ46" s="19"/>
      <c r="LKR46" s="19"/>
      <c r="LKS46" s="19"/>
      <c r="LKT46" s="19"/>
      <c r="LKU46" s="19"/>
      <c r="LKV46" s="19"/>
      <c r="LKW46" s="19"/>
      <c r="LKX46" s="19"/>
      <c r="LKY46" s="19"/>
      <c r="LKZ46" s="19"/>
      <c r="LLA46" s="19"/>
      <c r="LLB46" s="19"/>
      <c r="LLC46" s="19"/>
      <c r="LLD46" s="19"/>
      <c r="LLE46" s="19"/>
      <c r="LLF46" s="19"/>
      <c r="LLG46" s="19"/>
      <c r="LLH46" s="19"/>
      <c r="LLI46" s="19"/>
      <c r="LLJ46" s="19"/>
      <c r="LLK46" s="19"/>
      <c r="LLL46" s="19"/>
      <c r="LLM46" s="19"/>
      <c r="LLN46" s="19"/>
      <c r="LLO46" s="19"/>
      <c r="LLP46" s="19"/>
      <c r="LLQ46" s="19"/>
      <c r="LLR46" s="19"/>
      <c r="LLS46" s="19"/>
      <c r="LLT46" s="19"/>
      <c r="LLU46" s="19"/>
      <c r="LLV46" s="19"/>
      <c r="LLW46" s="19"/>
      <c r="LLX46" s="19"/>
      <c r="LLY46" s="19"/>
      <c r="LLZ46" s="19"/>
      <c r="LMA46" s="19"/>
      <c r="LMB46" s="19"/>
      <c r="LMC46" s="19"/>
      <c r="LMD46" s="19"/>
      <c r="LME46" s="19"/>
      <c r="LMF46" s="19"/>
      <c r="LMG46" s="19"/>
      <c r="LMH46" s="19"/>
      <c r="LMI46" s="19"/>
      <c r="LMJ46" s="19"/>
      <c r="LMK46" s="19"/>
      <c r="LML46" s="19"/>
      <c r="LMM46" s="19"/>
      <c r="LMN46" s="19"/>
      <c r="LMO46" s="19"/>
      <c r="LMP46" s="19"/>
      <c r="LMQ46" s="19"/>
      <c r="LMR46" s="19"/>
      <c r="LMS46" s="19"/>
      <c r="LMT46" s="19"/>
      <c r="LMU46" s="19"/>
      <c r="LMV46" s="19"/>
      <c r="LMW46" s="19"/>
      <c r="LMX46" s="19"/>
      <c r="LMY46" s="19"/>
      <c r="LMZ46" s="19"/>
      <c r="LNA46" s="19"/>
      <c r="LNB46" s="19"/>
      <c r="LNC46" s="19"/>
      <c r="LND46" s="19"/>
      <c r="LNE46" s="19"/>
      <c r="LNF46" s="19"/>
      <c r="LNG46" s="19"/>
      <c r="LNH46" s="19"/>
      <c r="LNI46" s="19"/>
      <c r="LNJ46" s="19"/>
      <c r="LNK46" s="19"/>
      <c r="LNL46" s="19"/>
      <c r="LNM46" s="19"/>
      <c r="LNN46" s="19"/>
      <c r="LNO46" s="19"/>
      <c r="LNP46" s="19"/>
      <c r="LNQ46" s="19"/>
      <c r="LNR46" s="19"/>
      <c r="LNS46" s="19"/>
      <c r="LNT46" s="19"/>
      <c r="LNU46" s="19"/>
      <c r="LNV46" s="19"/>
      <c r="LNW46" s="19"/>
      <c r="LNX46" s="19"/>
      <c r="LNY46" s="19"/>
      <c r="LNZ46" s="19"/>
      <c r="LOA46" s="19"/>
      <c r="LOB46" s="19"/>
      <c r="LOC46" s="19"/>
      <c r="LOD46" s="19"/>
      <c r="LOE46" s="19"/>
      <c r="LOF46" s="19"/>
      <c r="LOG46" s="19"/>
      <c r="LOH46" s="19"/>
      <c r="LOI46" s="19"/>
      <c r="LOJ46" s="19"/>
      <c r="LOK46" s="19"/>
      <c r="LOL46" s="19"/>
      <c r="LOM46" s="19"/>
      <c r="LON46" s="19"/>
      <c r="LOO46" s="19"/>
      <c r="LOP46" s="19"/>
      <c r="LOQ46" s="19"/>
      <c r="LOR46" s="19"/>
      <c r="LOS46" s="19"/>
      <c r="LOT46" s="19"/>
      <c r="LOU46" s="19"/>
      <c r="LOV46" s="19"/>
      <c r="LOW46" s="19"/>
      <c r="LOX46" s="19"/>
      <c r="LOY46" s="19"/>
      <c r="LOZ46" s="19"/>
      <c r="LPA46" s="19"/>
      <c r="LPB46" s="19"/>
      <c r="LPC46" s="19"/>
      <c r="LPD46" s="19"/>
      <c r="LPE46" s="19"/>
      <c r="LPF46" s="19"/>
      <c r="LPG46" s="19"/>
      <c r="LPH46" s="19"/>
      <c r="LPI46" s="19"/>
      <c r="LPJ46" s="19"/>
      <c r="LPK46" s="19"/>
      <c r="LPL46" s="19"/>
      <c r="LPM46" s="19"/>
      <c r="LPN46" s="19"/>
      <c r="LPO46" s="19"/>
      <c r="LPP46" s="19"/>
      <c r="LPQ46" s="19"/>
      <c r="LPR46" s="19"/>
      <c r="LPS46" s="19"/>
      <c r="LPT46" s="19"/>
      <c r="LPU46" s="19"/>
      <c r="LPV46" s="19"/>
      <c r="LPW46" s="19"/>
      <c r="LPX46" s="19"/>
      <c r="LPY46" s="19"/>
      <c r="LPZ46" s="19"/>
      <c r="LQA46" s="19"/>
      <c r="LQB46" s="19"/>
      <c r="LQC46" s="19"/>
      <c r="LQD46" s="19"/>
      <c r="LQE46" s="19"/>
      <c r="LQF46" s="19"/>
      <c r="LQG46" s="19"/>
      <c r="LQH46" s="19"/>
      <c r="LQI46" s="19"/>
      <c r="LQJ46" s="19"/>
      <c r="LQK46" s="19"/>
      <c r="LQL46" s="19"/>
      <c r="LQM46" s="19"/>
      <c r="LQN46" s="19"/>
      <c r="LQO46" s="19"/>
      <c r="LQP46" s="19"/>
      <c r="LQQ46" s="19"/>
      <c r="LQR46" s="19"/>
      <c r="LQS46" s="19"/>
      <c r="LQT46" s="19"/>
      <c r="LQU46" s="19"/>
      <c r="LQV46" s="19"/>
      <c r="LQW46" s="19"/>
      <c r="LQX46" s="19"/>
      <c r="LQY46" s="19"/>
      <c r="LQZ46" s="19"/>
      <c r="LRA46" s="19"/>
      <c r="LRB46" s="19"/>
      <c r="LRC46" s="19"/>
      <c r="LRD46" s="19"/>
      <c r="LRE46" s="19"/>
      <c r="LRF46" s="19"/>
      <c r="LRG46" s="19"/>
      <c r="LRH46" s="19"/>
      <c r="LRI46" s="19"/>
      <c r="LRJ46" s="19"/>
      <c r="LRK46" s="19"/>
      <c r="LRL46" s="19"/>
      <c r="LRM46" s="19"/>
      <c r="LRN46" s="19"/>
      <c r="LRO46" s="19"/>
      <c r="LRP46" s="19"/>
      <c r="LRQ46" s="19"/>
      <c r="LRR46" s="19"/>
      <c r="LRS46" s="19"/>
      <c r="LRT46" s="19"/>
      <c r="LRU46" s="19"/>
      <c r="LRV46" s="19"/>
      <c r="LRW46" s="19"/>
      <c r="LRX46" s="19"/>
      <c r="LRY46" s="19"/>
      <c r="LRZ46" s="19"/>
      <c r="LSA46" s="19"/>
      <c r="LSB46" s="19"/>
      <c r="LSC46" s="19"/>
      <c r="LSD46" s="19"/>
      <c r="LSE46" s="19"/>
      <c r="LSF46" s="19"/>
      <c r="LSG46" s="19"/>
      <c r="LSH46" s="19"/>
      <c r="LSI46" s="19"/>
      <c r="LSJ46" s="19"/>
      <c r="LSK46" s="19"/>
      <c r="LSL46" s="19"/>
      <c r="LSM46" s="19"/>
      <c r="LSN46" s="19"/>
      <c r="LSO46" s="19"/>
      <c r="LSP46" s="19"/>
      <c r="LSQ46" s="19"/>
      <c r="LSR46" s="19"/>
      <c r="LSS46" s="19"/>
      <c r="LST46" s="19"/>
      <c r="LSU46" s="19"/>
      <c r="LSV46" s="19"/>
      <c r="LSW46" s="19"/>
      <c r="LSX46" s="19"/>
      <c r="LSY46" s="19"/>
      <c r="LSZ46" s="19"/>
      <c r="LTA46" s="19"/>
      <c r="LTB46" s="19"/>
      <c r="LTC46" s="19"/>
      <c r="LTD46" s="19"/>
      <c r="LTE46" s="19"/>
      <c r="LTF46" s="19"/>
      <c r="LTG46" s="19"/>
      <c r="LTH46" s="19"/>
      <c r="LTI46" s="19"/>
      <c r="LTJ46" s="19"/>
      <c r="LTK46" s="19"/>
      <c r="LTL46" s="19"/>
      <c r="LTM46" s="19"/>
      <c r="LTN46" s="19"/>
      <c r="LTO46" s="19"/>
      <c r="LTP46" s="19"/>
      <c r="LTQ46" s="19"/>
      <c r="LTR46" s="19"/>
      <c r="LTS46" s="19"/>
      <c r="LTT46" s="19"/>
      <c r="LTU46" s="19"/>
      <c r="LTV46" s="19"/>
      <c r="LTW46" s="19"/>
      <c r="LTX46" s="19"/>
      <c r="LTY46" s="19"/>
      <c r="LTZ46" s="19"/>
      <c r="LUA46" s="19"/>
      <c r="LUB46" s="19"/>
      <c r="LUC46" s="19"/>
      <c r="LUD46" s="19"/>
      <c r="LUE46" s="19"/>
      <c r="LUF46" s="19"/>
      <c r="LUG46" s="19"/>
      <c r="LUH46" s="19"/>
      <c r="LUI46" s="19"/>
      <c r="LUJ46" s="19"/>
      <c r="LUK46" s="19"/>
      <c r="LUL46" s="19"/>
      <c r="LUM46" s="19"/>
      <c r="LUN46" s="19"/>
      <c r="LUO46" s="19"/>
      <c r="LUP46" s="19"/>
      <c r="LUQ46" s="19"/>
      <c r="LUR46" s="19"/>
      <c r="LUS46" s="19"/>
      <c r="LUT46" s="19"/>
      <c r="LUU46" s="19"/>
      <c r="LUV46" s="19"/>
      <c r="LUW46" s="19"/>
      <c r="LUX46" s="19"/>
      <c r="LUY46" s="19"/>
      <c r="LUZ46" s="19"/>
      <c r="LVA46" s="19"/>
      <c r="LVB46" s="19"/>
      <c r="LVC46" s="19"/>
      <c r="LVD46" s="19"/>
      <c r="LVE46" s="19"/>
      <c r="LVF46" s="19"/>
      <c r="LVG46" s="19"/>
      <c r="LVH46" s="19"/>
      <c r="LVI46" s="19"/>
      <c r="LVJ46" s="19"/>
      <c r="LVK46" s="19"/>
      <c r="LVL46" s="19"/>
      <c r="LVM46" s="19"/>
      <c r="LVN46" s="19"/>
      <c r="LVO46" s="19"/>
      <c r="LVP46" s="19"/>
      <c r="LVQ46" s="19"/>
      <c r="LVR46" s="19"/>
      <c r="LVS46" s="19"/>
      <c r="LVT46" s="19"/>
      <c r="LVU46" s="19"/>
      <c r="LVV46" s="19"/>
      <c r="LVW46" s="19"/>
      <c r="LVX46" s="19"/>
      <c r="LVY46" s="19"/>
      <c r="LVZ46" s="19"/>
      <c r="LWA46" s="19"/>
      <c r="LWB46" s="19"/>
      <c r="LWC46" s="19"/>
      <c r="LWD46" s="19"/>
      <c r="LWE46" s="19"/>
      <c r="LWF46" s="19"/>
      <c r="LWG46" s="19"/>
      <c r="LWH46" s="19"/>
      <c r="LWI46" s="19"/>
      <c r="LWJ46" s="19"/>
      <c r="LWK46" s="19"/>
      <c r="LWL46" s="19"/>
      <c r="LWM46" s="19"/>
      <c r="LWN46" s="19"/>
      <c r="LWO46" s="19"/>
      <c r="LWP46" s="19"/>
      <c r="LWQ46" s="19"/>
      <c r="LWR46" s="19"/>
      <c r="LWS46" s="19"/>
      <c r="LWT46" s="19"/>
      <c r="LWU46" s="19"/>
      <c r="LWV46" s="19"/>
      <c r="LWW46" s="19"/>
      <c r="LWX46" s="19"/>
      <c r="LWY46" s="19"/>
      <c r="LWZ46" s="19"/>
      <c r="LXA46" s="19"/>
      <c r="LXB46" s="19"/>
      <c r="LXC46" s="19"/>
      <c r="LXD46" s="19"/>
      <c r="LXE46" s="19"/>
      <c r="LXF46" s="19"/>
      <c r="LXG46" s="19"/>
      <c r="LXH46" s="19"/>
      <c r="LXI46" s="19"/>
      <c r="LXJ46" s="19"/>
      <c r="LXK46" s="19"/>
      <c r="LXL46" s="19"/>
      <c r="LXM46" s="19"/>
      <c r="LXN46" s="19"/>
      <c r="LXO46" s="19"/>
      <c r="LXP46" s="19"/>
      <c r="LXQ46" s="19"/>
      <c r="LXR46" s="19"/>
      <c r="LXS46" s="19"/>
      <c r="LXT46" s="19"/>
      <c r="LXU46" s="19"/>
      <c r="LXV46" s="19"/>
      <c r="LXW46" s="19"/>
      <c r="LXX46" s="19"/>
      <c r="LXY46" s="19"/>
      <c r="LXZ46" s="19"/>
      <c r="LYA46" s="19"/>
      <c r="LYB46" s="19"/>
      <c r="LYC46" s="19"/>
      <c r="LYD46" s="19"/>
      <c r="LYE46" s="19"/>
      <c r="LYF46" s="19"/>
      <c r="LYG46" s="19"/>
      <c r="LYH46" s="19"/>
      <c r="LYI46" s="19"/>
      <c r="LYJ46" s="19"/>
      <c r="LYK46" s="19"/>
      <c r="LYL46" s="19"/>
      <c r="LYM46" s="19"/>
      <c r="LYN46" s="19"/>
      <c r="LYO46" s="19"/>
      <c r="LYP46" s="19"/>
      <c r="LYQ46" s="19"/>
      <c r="LYR46" s="19"/>
      <c r="LYS46" s="19"/>
      <c r="LYT46" s="19"/>
      <c r="LYU46" s="19"/>
      <c r="LYV46" s="19"/>
      <c r="LYW46" s="19"/>
      <c r="LYX46" s="19"/>
      <c r="LYY46" s="19"/>
      <c r="LYZ46" s="19"/>
      <c r="LZA46" s="19"/>
      <c r="LZB46" s="19"/>
      <c r="LZC46" s="19"/>
      <c r="LZD46" s="19"/>
      <c r="LZE46" s="19"/>
      <c r="LZF46" s="19"/>
      <c r="LZG46" s="19"/>
      <c r="LZH46" s="19"/>
      <c r="LZI46" s="19"/>
      <c r="LZJ46" s="19"/>
      <c r="LZK46" s="19"/>
      <c r="LZL46" s="19"/>
      <c r="LZM46" s="19"/>
      <c r="LZN46" s="19"/>
      <c r="LZO46" s="19"/>
      <c r="LZP46" s="19"/>
      <c r="LZQ46" s="19"/>
      <c r="LZR46" s="19"/>
      <c r="LZS46" s="19"/>
      <c r="LZT46" s="19"/>
      <c r="LZU46" s="19"/>
      <c r="LZV46" s="19"/>
      <c r="LZW46" s="19"/>
      <c r="LZX46" s="19"/>
      <c r="LZY46" s="19"/>
      <c r="LZZ46" s="19"/>
      <c r="MAA46" s="19"/>
      <c r="MAB46" s="19"/>
      <c r="MAC46" s="19"/>
      <c r="MAD46" s="19"/>
      <c r="MAE46" s="19"/>
      <c r="MAF46" s="19"/>
      <c r="MAG46" s="19"/>
      <c r="MAH46" s="19"/>
      <c r="MAI46" s="19"/>
      <c r="MAJ46" s="19"/>
      <c r="MAK46" s="19"/>
      <c r="MAL46" s="19"/>
      <c r="MAM46" s="19"/>
      <c r="MAN46" s="19"/>
      <c r="MAO46" s="19"/>
      <c r="MAP46" s="19"/>
      <c r="MAQ46" s="19"/>
      <c r="MAR46" s="19"/>
      <c r="MAS46" s="19"/>
      <c r="MAT46" s="19"/>
      <c r="MAU46" s="19"/>
      <c r="MAV46" s="19"/>
      <c r="MAW46" s="19"/>
      <c r="MAX46" s="19"/>
      <c r="MAY46" s="19"/>
      <c r="MAZ46" s="19"/>
      <c r="MBA46" s="19"/>
      <c r="MBB46" s="19"/>
      <c r="MBC46" s="19"/>
      <c r="MBD46" s="19"/>
      <c r="MBE46" s="19"/>
      <c r="MBF46" s="19"/>
      <c r="MBG46" s="19"/>
      <c r="MBH46" s="19"/>
      <c r="MBI46" s="19"/>
      <c r="MBJ46" s="19"/>
      <c r="MBK46" s="19"/>
      <c r="MBL46" s="19"/>
      <c r="MBM46" s="19"/>
      <c r="MBN46" s="19"/>
      <c r="MBO46" s="19"/>
      <c r="MBP46" s="19"/>
      <c r="MBQ46" s="19"/>
      <c r="MBR46" s="19"/>
      <c r="MBS46" s="19"/>
      <c r="MBT46" s="19"/>
      <c r="MBU46" s="19"/>
      <c r="MBV46" s="19"/>
      <c r="MBW46" s="19"/>
      <c r="MBX46" s="19"/>
      <c r="MBY46" s="19"/>
      <c r="MBZ46" s="19"/>
      <c r="MCA46" s="19"/>
      <c r="MCB46" s="19"/>
      <c r="MCC46" s="19"/>
      <c r="MCD46" s="19"/>
      <c r="MCE46" s="19"/>
      <c r="MCF46" s="19"/>
      <c r="MCG46" s="19"/>
      <c r="MCH46" s="19"/>
      <c r="MCI46" s="19"/>
      <c r="MCJ46" s="19"/>
      <c r="MCK46" s="19"/>
      <c r="MCL46" s="19"/>
      <c r="MCM46" s="19"/>
      <c r="MCN46" s="19"/>
      <c r="MCO46" s="19"/>
      <c r="MCP46" s="19"/>
      <c r="MCQ46" s="19"/>
      <c r="MCR46" s="19"/>
      <c r="MCS46" s="19"/>
      <c r="MCT46" s="19"/>
      <c r="MCU46" s="19"/>
      <c r="MCV46" s="19"/>
      <c r="MCW46" s="19"/>
      <c r="MCX46" s="19"/>
      <c r="MCY46" s="19"/>
      <c r="MCZ46" s="19"/>
      <c r="MDA46" s="19"/>
      <c r="MDB46" s="19"/>
      <c r="MDC46" s="19"/>
      <c r="MDD46" s="19"/>
      <c r="MDE46" s="19"/>
      <c r="MDF46" s="19"/>
      <c r="MDG46" s="19"/>
      <c r="MDH46" s="19"/>
      <c r="MDI46" s="19"/>
      <c r="MDJ46" s="19"/>
      <c r="MDK46" s="19"/>
      <c r="MDL46" s="19"/>
      <c r="MDM46" s="19"/>
      <c r="MDN46" s="19"/>
      <c r="MDO46" s="19"/>
      <c r="MDP46" s="19"/>
      <c r="MDQ46" s="19"/>
      <c r="MDR46" s="19"/>
      <c r="MDS46" s="19"/>
      <c r="MDT46" s="19"/>
      <c r="MDU46" s="19"/>
      <c r="MDV46" s="19"/>
      <c r="MDW46" s="19"/>
      <c r="MDX46" s="19"/>
      <c r="MDY46" s="19"/>
      <c r="MDZ46" s="19"/>
      <c r="MEA46" s="19"/>
      <c r="MEB46" s="19"/>
      <c r="MEC46" s="19"/>
      <c r="MED46" s="19"/>
      <c r="MEE46" s="19"/>
      <c r="MEF46" s="19"/>
      <c r="MEG46" s="19"/>
      <c r="MEH46" s="19"/>
      <c r="MEI46" s="19"/>
      <c r="MEJ46" s="19"/>
      <c r="MEK46" s="19"/>
      <c r="MEL46" s="19"/>
      <c r="MEM46" s="19"/>
      <c r="MEN46" s="19"/>
      <c r="MEO46" s="19"/>
      <c r="MEP46" s="19"/>
      <c r="MEQ46" s="19"/>
      <c r="MER46" s="19"/>
      <c r="MES46" s="19"/>
      <c r="MET46" s="19"/>
      <c r="MEU46" s="19"/>
      <c r="MEV46" s="19"/>
      <c r="MEW46" s="19"/>
      <c r="MEX46" s="19"/>
      <c r="MEY46" s="19"/>
      <c r="MEZ46" s="19"/>
      <c r="MFA46" s="19"/>
      <c r="MFB46" s="19"/>
      <c r="MFC46" s="19"/>
      <c r="MFD46" s="19"/>
      <c r="MFE46" s="19"/>
      <c r="MFF46" s="19"/>
      <c r="MFG46" s="19"/>
      <c r="MFH46" s="19"/>
      <c r="MFI46" s="19"/>
      <c r="MFJ46" s="19"/>
      <c r="MFK46" s="19"/>
      <c r="MFL46" s="19"/>
      <c r="MFM46" s="19"/>
      <c r="MFN46" s="19"/>
      <c r="MFO46" s="19"/>
      <c r="MFP46" s="19"/>
      <c r="MFQ46" s="19"/>
      <c r="MFR46" s="19"/>
      <c r="MFS46" s="19"/>
      <c r="MFT46" s="19"/>
      <c r="MFU46" s="19"/>
      <c r="MFV46" s="19"/>
      <c r="MFW46" s="19"/>
      <c r="MFX46" s="19"/>
      <c r="MFY46" s="19"/>
      <c r="MFZ46" s="19"/>
      <c r="MGA46" s="19"/>
      <c r="MGB46" s="19"/>
      <c r="MGC46" s="19"/>
      <c r="MGD46" s="19"/>
      <c r="MGE46" s="19"/>
      <c r="MGF46" s="19"/>
      <c r="MGG46" s="19"/>
      <c r="MGH46" s="19"/>
      <c r="MGI46" s="19"/>
      <c r="MGJ46" s="19"/>
      <c r="MGK46" s="19"/>
      <c r="MGL46" s="19"/>
      <c r="MGM46" s="19"/>
      <c r="MGN46" s="19"/>
      <c r="MGO46" s="19"/>
      <c r="MGP46" s="19"/>
      <c r="MGQ46" s="19"/>
      <c r="MGR46" s="19"/>
      <c r="MGS46" s="19"/>
      <c r="MGT46" s="19"/>
      <c r="MGU46" s="19"/>
      <c r="MGV46" s="19"/>
      <c r="MGW46" s="19"/>
      <c r="MGX46" s="19"/>
      <c r="MGY46" s="19"/>
      <c r="MGZ46" s="19"/>
      <c r="MHA46" s="19"/>
      <c r="MHB46" s="19"/>
      <c r="MHC46" s="19"/>
      <c r="MHD46" s="19"/>
      <c r="MHE46" s="19"/>
      <c r="MHF46" s="19"/>
      <c r="MHG46" s="19"/>
      <c r="MHH46" s="19"/>
      <c r="MHI46" s="19"/>
      <c r="MHJ46" s="19"/>
      <c r="MHK46" s="19"/>
      <c r="MHL46" s="19"/>
      <c r="MHM46" s="19"/>
      <c r="MHN46" s="19"/>
      <c r="MHO46" s="19"/>
      <c r="MHP46" s="19"/>
      <c r="MHQ46" s="19"/>
      <c r="MHR46" s="19"/>
      <c r="MHS46" s="19"/>
      <c r="MHT46" s="19"/>
      <c r="MHU46" s="19"/>
      <c r="MHV46" s="19"/>
      <c r="MHW46" s="19"/>
      <c r="MHX46" s="19"/>
      <c r="MHY46" s="19"/>
      <c r="MHZ46" s="19"/>
      <c r="MIA46" s="19"/>
      <c r="MIB46" s="19"/>
      <c r="MIC46" s="19"/>
      <c r="MID46" s="19"/>
      <c r="MIE46" s="19"/>
      <c r="MIF46" s="19"/>
      <c r="MIG46" s="19"/>
      <c r="MIH46" s="19"/>
      <c r="MII46" s="19"/>
      <c r="MIJ46" s="19"/>
      <c r="MIK46" s="19"/>
      <c r="MIL46" s="19"/>
      <c r="MIM46" s="19"/>
      <c r="MIN46" s="19"/>
      <c r="MIO46" s="19"/>
      <c r="MIP46" s="19"/>
      <c r="MIQ46" s="19"/>
      <c r="MIR46" s="19"/>
      <c r="MIS46" s="19"/>
      <c r="MIT46" s="19"/>
      <c r="MIU46" s="19"/>
      <c r="MIV46" s="19"/>
      <c r="MIW46" s="19"/>
      <c r="MIX46" s="19"/>
      <c r="MIY46" s="19"/>
      <c r="MIZ46" s="19"/>
      <c r="MJA46" s="19"/>
      <c r="MJB46" s="19"/>
      <c r="MJC46" s="19"/>
      <c r="MJD46" s="19"/>
      <c r="MJE46" s="19"/>
      <c r="MJF46" s="19"/>
      <c r="MJG46" s="19"/>
      <c r="MJH46" s="19"/>
      <c r="MJI46" s="19"/>
      <c r="MJJ46" s="19"/>
      <c r="MJK46" s="19"/>
      <c r="MJL46" s="19"/>
      <c r="MJM46" s="19"/>
      <c r="MJN46" s="19"/>
      <c r="MJO46" s="19"/>
      <c r="MJP46" s="19"/>
      <c r="MJQ46" s="19"/>
      <c r="MJR46" s="19"/>
      <c r="MJS46" s="19"/>
      <c r="MJT46" s="19"/>
      <c r="MJU46" s="19"/>
      <c r="MJV46" s="19"/>
      <c r="MJW46" s="19"/>
      <c r="MJX46" s="19"/>
      <c r="MJY46" s="19"/>
      <c r="MJZ46" s="19"/>
      <c r="MKA46" s="19"/>
      <c r="MKB46" s="19"/>
      <c r="MKC46" s="19"/>
      <c r="MKD46" s="19"/>
      <c r="MKE46" s="19"/>
      <c r="MKF46" s="19"/>
      <c r="MKG46" s="19"/>
      <c r="MKH46" s="19"/>
      <c r="MKI46" s="19"/>
      <c r="MKJ46" s="19"/>
      <c r="MKK46" s="19"/>
      <c r="MKL46" s="19"/>
      <c r="MKM46" s="19"/>
      <c r="MKN46" s="19"/>
      <c r="MKO46" s="19"/>
      <c r="MKP46" s="19"/>
      <c r="MKQ46" s="19"/>
      <c r="MKR46" s="19"/>
      <c r="MKS46" s="19"/>
      <c r="MKT46" s="19"/>
      <c r="MKU46" s="19"/>
      <c r="MKV46" s="19"/>
      <c r="MKW46" s="19"/>
      <c r="MKX46" s="19"/>
      <c r="MKY46" s="19"/>
      <c r="MKZ46" s="19"/>
      <c r="MLA46" s="19"/>
      <c r="MLB46" s="19"/>
      <c r="MLC46" s="19"/>
      <c r="MLD46" s="19"/>
      <c r="MLE46" s="19"/>
      <c r="MLF46" s="19"/>
      <c r="MLG46" s="19"/>
      <c r="MLH46" s="19"/>
      <c r="MLI46" s="19"/>
      <c r="MLJ46" s="19"/>
      <c r="MLK46" s="19"/>
      <c r="MLL46" s="19"/>
      <c r="MLM46" s="19"/>
      <c r="MLN46" s="19"/>
      <c r="MLO46" s="19"/>
      <c r="MLP46" s="19"/>
      <c r="MLQ46" s="19"/>
      <c r="MLR46" s="19"/>
      <c r="MLS46" s="19"/>
      <c r="MLT46" s="19"/>
      <c r="MLU46" s="19"/>
      <c r="MLV46" s="19"/>
      <c r="MLW46" s="19"/>
      <c r="MLX46" s="19"/>
      <c r="MLY46" s="19"/>
      <c r="MLZ46" s="19"/>
      <c r="MMA46" s="19"/>
      <c r="MMB46" s="19"/>
      <c r="MMC46" s="19"/>
      <c r="MMD46" s="19"/>
      <c r="MME46" s="19"/>
      <c r="MMF46" s="19"/>
      <c r="MMG46" s="19"/>
      <c r="MMH46" s="19"/>
      <c r="MMI46" s="19"/>
      <c r="MMJ46" s="19"/>
      <c r="MMK46" s="19"/>
      <c r="MML46" s="19"/>
      <c r="MMM46" s="19"/>
      <c r="MMN46" s="19"/>
      <c r="MMO46" s="19"/>
      <c r="MMP46" s="19"/>
      <c r="MMQ46" s="19"/>
      <c r="MMR46" s="19"/>
      <c r="MMS46" s="19"/>
      <c r="MMT46" s="19"/>
      <c r="MMU46" s="19"/>
      <c r="MMV46" s="19"/>
      <c r="MMW46" s="19"/>
      <c r="MMX46" s="19"/>
      <c r="MMY46" s="19"/>
      <c r="MMZ46" s="19"/>
      <c r="MNA46" s="19"/>
      <c r="MNB46" s="19"/>
      <c r="MNC46" s="19"/>
      <c r="MND46" s="19"/>
      <c r="MNE46" s="19"/>
      <c r="MNF46" s="19"/>
      <c r="MNG46" s="19"/>
      <c r="MNH46" s="19"/>
      <c r="MNI46" s="19"/>
      <c r="MNJ46" s="19"/>
      <c r="MNK46" s="19"/>
      <c r="MNL46" s="19"/>
      <c r="MNM46" s="19"/>
      <c r="MNN46" s="19"/>
      <c r="MNO46" s="19"/>
      <c r="MNP46" s="19"/>
      <c r="MNQ46" s="19"/>
      <c r="MNR46" s="19"/>
      <c r="MNS46" s="19"/>
      <c r="MNT46" s="19"/>
      <c r="MNU46" s="19"/>
      <c r="MNV46" s="19"/>
      <c r="MNW46" s="19"/>
      <c r="MNX46" s="19"/>
      <c r="MNY46" s="19"/>
      <c r="MNZ46" s="19"/>
      <c r="MOA46" s="19"/>
      <c r="MOB46" s="19"/>
      <c r="MOC46" s="19"/>
      <c r="MOD46" s="19"/>
      <c r="MOE46" s="19"/>
      <c r="MOF46" s="19"/>
      <c r="MOG46" s="19"/>
      <c r="MOH46" s="19"/>
      <c r="MOI46" s="19"/>
      <c r="MOJ46" s="19"/>
      <c r="MOK46" s="19"/>
      <c r="MOL46" s="19"/>
      <c r="MOM46" s="19"/>
      <c r="MON46" s="19"/>
      <c r="MOO46" s="19"/>
      <c r="MOP46" s="19"/>
      <c r="MOQ46" s="19"/>
      <c r="MOR46" s="19"/>
      <c r="MOS46" s="19"/>
      <c r="MOT46" s="19"/>
      <c r="MOU46" s="19"/>
      <c r="MOV46" s="19"/>
      <c r="MOW46" s="19"/>
      <c r="MOX46" s="19"/>
      <c r="MOY46" s="19"/>
      <c r="MOZ46" s="19"/>
      <c r="MPA46" s="19"/>
      <c r="MPB46" s="19"/>
      <c r="MPC46" s="19"/>
      <c r="MPD46" s="19"/>
      <c r="MPE46" s="19"/>
      <c r="MPF46" s="19"/>
      <c r="MPG46" s="19"/>
      <c r="MPH46" s="19"/>
      <c r="MPI46" s="19"/>
      <c r="MPJ46" s="19"/>
      <c r="MPK46" s="19"/>
      <c r="MPL46" s="19"/>
      <c r="MPM46" s="19"/>
      <c r="MPN46" s="19"/>
      <c r="MPO46" s="19"/>
      <c r="MPP46" s="19"/>
      <c r="MPQ46" s="19"/>
      <c r="MPR46" s="19"/>
      <c r="MPS46" s="19"/>
      <c r="MPT46" s="19"/>
      <c r="MPU46" s="19"/>
      <c r="MPV46" s="19"/>
      <c r="MPW46" s="19"/>
      <c r="MPX46" s="19"/>
      <c r="MPY46" s="19"/>
      <c r="MPZ46" s="19"/>
      <c r="MQA46" s="19"/>
      <c r="MQB46" s="19"/>
      <c r="MQC46" s="19"/>
      <c r="MQD46" s="19"/>
      <c r="MQE46" s="19"/>
      <c r="MQF46" s="19"/>
      <c r="MQG46" s="19"/>
      <c r="MQH46" s="19"/>
      <c r="MQI46" s="19"/>
      <c r="MQJ46" s="19"/>
      <c r="MQK46" s="19"/>
      <c r="MQL46" s="19"/>
      <c r="MQM46" s="19"/>
      <c r="MQN46" s="19"/>
      <c r="MQO46" s="19"/>
      <c r="MQP46" s="19"/>
      <c r="MQQ46" s="19"/>
      <c r="MQR46" s="19"/>
      <c r="MQS46" s="19"/>
      <c r="MQT46" s="19"/>
      <c r="MQU46" s="19"/>
      <c r="MQV46" s="19"/>
      <c r="MQW46" s="19"/>
      <c r="MQX46" s="19"/>
      <c r="MQY46" s="19"/>
      <c r="MQZ46" s="19"/>
      <c r="MRA46" s="19"/>
      <c r="MRB46" s="19"/>
      <c r="MRC46" s="19"/>
      <c r="MRD46" s="19"/>
      <c r="MRE46" s="19"/>
      <c r="MRF46" s="19"/>
      <c r="MRG46" s="19"/>
      <c r="MRH46" s="19"/>
      <c r="MRI46" s="19"/>
      <c r="MRJ46" s="19"/>
      <c r="MRK46" s="19"/>
      <c r="MRL46" s="19"/>
      <c r="MRM46" s="19"/>
      <c r="MRN46" s="19"/>
      <c r="MRO46" s="19"/>
      <c r="MRP46" s="19"/>
      <c r="MRQ46" s="19"/>
      <c r="MRR46" s="19"/>
      <c r="MRS46" s="19"/>
      <c r="MRT46" s="19"/>
      <c r="MRU46" s="19"/>
      <c r="MRV46" s="19"/>
      <c r="MRW46" s="19"/>
      <c r="MRX46" s="19"/>
      <c r="MRY46" s="19"/>
      <c r="MRZ46" s="19"/>
      <c r="MSA46" s="19"/>
      <c r="MSB46" s="19"/>
      <c r="MSC46" s="19"/>
      <c r="MSD46" s="19"/>
      <c r="MSE46" s="19"/>
      <c r="MSF46" s="19"/>
      <c r="MSG46" s="19"/>
      <c r="MSH46" s="19"/>
      <c r="MSI46" s="19"/>
      <c r="MSJ46" s="19"/>
      <c r="MSK46" s="19"/>
      <c r="MSL46" s="19"/>
      <c r="MSM46" s="19"/>
      <c r="MSN46" s="19"/>
      <c r="MSO46" s="19"/>
      <c r="MSP46" s="19"/>
      <c r="MSQ46" s="19"/>
      <c r="MSR46" s="19"/>
      <c r="MSS46" s="19"/>
      <c r="MST46" s="19"/>
      <c r="MSU46" s="19"/>
      <c r="MSV46" s="19"/>
      <c r="MSW46" s="19"/>
      <c r="MSX46" s="19"/>
      <c r="MSY46" s="19"/>
      <c r="MSZ46" s="19"/>
      <c r="MTA46" s="19"/>
      <c r="MTB46" s="19"/>
      <c r="MTC46" s="19"/>
      <c r="MTD46" s="19"/>
      <c r="MTE46" s="19"/>
      <c r="MTF46" s="19"/>
      <c r="MTG46" s="19"/>
      <c r="MTH46" s="19"/>
      <c r="MTI46" s="19"/>
      <c r="MTJ46" s="19"/>
      <c r="MTK46" s="19"/>
      <c r="MTL46" s="19"/>
      <c r="MTM46" s="19"/>
      <c r="MTN46" s="19"/>
      <c r="MTO46" s="19"/>
      <c r="MTP46" s="19"/>
      <c r="MTQ46" s="19"/>
      <c r="MTR46" s="19"/>
      <c r="MTS46" s="19"/>
      <c r="MTT46" s="19"/>
      <c r="MTU46" s="19"/>
      <c r="MTV46" s="19"/>
      <c r="MTW46" s="19"/>
      <c r="MTX46" s="19"/>
      <c r="MTY46" s="19"/>
      <c r="MTZ46" s="19"/>
      <c r="MUA46" s="19"/>
      <c r="MUB46" s="19"/>
      <c r="MUC46" s="19"/>
      <c r="MUD46" s="19"/>
      <c r="MUE46" s="19"/>
      <c r="MUF46" s="19"/>
      <c r="MUG46" s="19"/>
      <c r="MUH46" s="19"/>
      <c r="MUI46" s="19"/>
      <c r="MUJ46" s="19"/>
      <c r="MUK46" s="19"/>
      <c r="MUL46" s="19"/>
      <c r="MUM46" s="19"/>
      <c r="MUN46" s="19"/>
      <c r="MUO46" s="19"/>
      <c r="MUP46" s="19"/>
      <c r="MUQ46" s="19"/>
      <c r="MUR46" s="19"/>
      <c r="MUS46" s="19"/>
      <c r="MUT46" s="19"/>
      <c r="MUU46" s="19"/>
      <c r="MUV46" s="19"/>
      <c r="MUW46" s="19"/>
      <c r="MUX46" s="19"/>
      <c r="MUY46" s="19"/>
      <c r="MUZ46" s="19"/>
      <c r="MVA46" s="19"/>
      <c r="MVB46" s="19"/>
      <c r="MVC46" s="19"/>
      <c r="MVD46" s="19"/>
      <c r="MVE46" s="19"/>
      <c r="MVF46" s="19"/>
      <c r="MVG46" s="19"/>
      <c r="MVH46" s="19"/>
      <c r="MVI46" s="19"/>
      <c r="MVJ46" s="19"/>
      <c r="MVK46" s="19"/>
      <c r="MVL46" s="19"/>
      <c r="MVM46" s="19"/>
      <c r="MVN46" s="19"/>
      <c r="MVO46" s="19"/>
      <c r="MVP46" s="19"/>
      <c r="MVQ46" s="19"/>
      <c r="MVR46" s="19"/>
      <c r="MVS46" s="19"/>
      <c r="MVT46" s="19"/>
      <c r="MVU46" s="19"/>
      <c r="MVV46" s="19"/>
      <c r="MVW46" s="19"/>
      <c r="MVX46" s="19"/>
      <c r="MVY46" s="19"/>
      <c r="MVZ46" s="19"/>
      <c r="MWA46" s="19"/>
      <c r="MWB46" s="19"/>
      <c r="MWC46" s="19"/>
      <c r="MWD46" s="19"/>
      <c r="MWE46" s="19"/>
      <c r="MWF46" s="19"/>
      <c r="MWG46" s="19"/>
      <c r="MWH46" s="19"/>
      <c r="MWI46" s="19"/>
      <c r="MWJ46" s="19"/>
      <c r="MWK46" s="19"/>
      <c r="MWL46" s="19"/>
      <c r="MWM46" s="19"/>
      <c r="MWN46" s="19"/>
      <c r="MWO46" s="19"/>
      <c r="MWP46" s="19"/>
      <c r="MWQ46" s="19"/>
      <c r="MWR46" s="19"/>
      <c r="MWS46" s="19"/>
      <c r="MWT46" s="19"/>
      <c r="MWU46" s="19"/>
      <c r="MWV46" s="19"/>
      <c r="MWW46" s="19"/>
      <c r="MWX46" s="19"/>
      <c r="MWY46" s="19"/>
      <c r="MWZ46" s="19"/>
      <c r="MXA46" s="19"/>
      <c r="MXB46" s="19"/>
      <c r="MXC46" s="19"/>
      <c r="MXD46" s="19"/>
      <c r="MXE46" s="19"/>
      <c r="MXF46" s="19"/>
      <c r="MXG46" s="19"/>
      <c r="MXH46" s="19"/>
      <c r="MXI46" s="19"/>
      <c r="MXJ46" s="19"/>
      <c r="MXK46" s="19"/>
      <c r="MXL46" s="19"/>
      <c r="MXM46" s="19"/>
      <c r="MXN46" s="19"/>
      <c r="MXO46" s="19"/>
      <c r="MXP46" s="19"/>
      <c r="MXQ46" s="19"/>
      <c r="MXR46" s="19"/>
      <c r="MXS46" s="19"/>
      <c r="MXT46" s="19"/>
      <c r="MXU46" s="19"/>
      <c r="MXV46" s="19"/>
      <c r="MXW46" s="19"/>
      <c r="MXX46" s="19"/>
      <c r="MXY46" s="19"/>
      <c r="MXZ46" s="19"/>
      <c r="MYA46" s="19"/>
      <c r="MYB46" s="19"/>
      <c r="MYC46" s="19"/>
      <c r="MYD46" s="19"/>
      <c r="MYE46" s="19"/>
      <c r="MYF46" s="19"/>
      <c r="MYG46" s="19"/>
      <c r="MYH46" s="19"/>
      <c r="MYI46" s="19"/>
      <c r="MYJ46" s="19"/>
      <c r="MYK46" s="19"/>
      <c r="MYL46" s="19"/>
      <c r="MYM46" s="19"/>
      <c r="MYN46" s="19"/>
      <c r="MYO46" s="19"/>
      <c r="MYP46" s="19"/>
      <c r="MYQ46" s="19"/>
      <c r="MYR46" s="19"/>
      <c r="MYS46" s="19"/>
      <c r="MYT46" s="19"/>
      <c r="MYU46" s="19"/>
      <c r="MYV46" s="19"/>
      <c r="MYW46" s="19"/>
      <c r="MYX46" s="19"/>
      <c r="MYY46" s="19"/>
      <c r="MYZ46" s="19"/>
      <c r="MZA46" s="19"/>
      <c r="MZB46" s="19"/>
      <c r="MZC46" s="19"/>
      <c r="MZD46" s="19"/>
      <c r="MZE46" s="19"/>
      <c r="MZF46" s="19"/>
      <c r="MZG46" s="19"/>
      <c r="MZH46" s="19"/>
      <c r="MZI46" s="19"/>
      <c r="MZJ46" s="19"/>
      <c r="MZK46" s="19"/>
      <c r="MZL46" s="19"/>
      <c r="MZM46" s="19"/>
      <c r="MZN46" s="19"/>
      <c r="MZO46" s="19"/>
      <c r="MZP46" s="19"/>
      <c r="MZQ46" s="19"/>
      <c r="MZR46" s="19"/>
      <c r="MZS46" s="19"/>
      <c r="MZT46" s="19"/>
      <c r="MZU46" s="19"/>
      <c r="MZV46" s="19"/>
      <c r="MZW46" s="19"/>
      <c r="MZX46" s="19"/>
      <c r="MZY46" s="19"/>
      <c r="MZZ46" s="19"/>
      <c r="NAA46" s="19"/>
      <c r="NAB46" s="19"/>
      <c r="NAC46" s="19"/>
      <c r="NAD46" s="19"/>
      <c r="NAE46" s="19"/>
      <c r="NAF46" s="19"/>
      <c r="NAG46" s="19"/>
      <c r="NAH46" s="19"/>
      <c r="NAI46" s="19"/>
      <c r="NAJ46" s="19"/>
      <c r="NAK46" s="19"/>
      <c r="NAL46" s="19"/>
      <c r="NAM46" s="19"/>
      <c r="NAN46" s="19"/>
      <c r="NAO46" s="19"/>
      <c r="NAP46" s="19"/>
      <c r="NAQ46" s="19"/>
      <c r="NAR46" s="19"/>
      <c r="NAS46" s="19"/>
      <c r="NAT46" s="19"/>
      <c r="NAU46" s="19"/>
      <c r="NAV46" s="19"/>
      <c r="NAW46" s="19"/>
      <c r="NAX46" s="19"/>
      <c r="NAY46" s="19"/>
      <c r="NAZ46" s="19"/>
      <c r="NBA46" s="19"/>
      <c r="NBB46" s="19"/>
      <c r="NBC46" s="19"/>
      <c r="NBD46" s="19"/>
      <c r="NBE46" s="19"/>
      <c r="NBF46" s="19"/>
      <c r="NBG46" s="19"/>
      <c r="NBH46" s="19"/>
      <c r="NBI46" s="19"/>
      <c r="NBJ46" s="19"/>
      <c r="NBK46" s="19"/>
      <c r="NBL46" s="19"/>
      <c r="NBM46" s="19"/>
      <c r="NBN46" s="19"/>
      <c r="NBO46" s="19"/>
      <c r="NBP46" s="19"/>
      <c r="NBQ46" s="19"/>
      <c r="NBR46" s="19"/>
      <c r="NBS46" s="19"/>
      <c r="NBT46" s="19"/>
      <c r="NBU46" s="19"/>
      <c r="NBV46" s="19"/>
      <c r="NBW46" s="19"/>
      <c r="NBX46" s="19"/>
      <c r="NBY46" s="19"/>
      <c r="NBZ46" s="19"/>
      <c r="NCA46" s="19"/>
      <c r="NCB46" s="19"/>
      <c r="NCC46" s="19"/>
      <c r="NCD46" s="19"/>
      <c r="NCE46" s="19"/>
      <c r="NCF46" s="19"/>
      <c r="NCG46" s="19"/>
      <c r="NCH46" s="19"/>
      <c r="NCI46" s="19"/>
      <c r="NCJ46" s="19"/>
      <c r="NCK46" s="19"/>
      <c r="NCL46" s="19"/>
      <c r="NCM46" s="19"/>
      <c r="NCN46" s="19"/>
      <c r="NCO46" s="19"/>
      <c r="NCP46" s="19"/>
      <c r="NCQ46" s="19"/>
      <c r="NCR46" s="19"/>
      <c r="NCS46" s="19"/>
      <c r="NCT46" s="19"/>
      <c r="NCU46" s="19"/>
      <c r="NCV46" s="19"/>
      <c r="NCW46" s="19"/>
      <c r="NCX46" s="19"/>
      <c r="NCY46" s="19"/>
      <c r="NCZ46" s="19"/>
      <c r="NDA46" s="19"/>
      <c r="NDB46" s="19"/>
      <c r="NDC46" s="19"/>
      <c r="NDD46" s="19"/>
      <c r="NDE46" s="19"/>
      <c r="NDF46" s="19"/>
      <c r="NDG46" s="19"/>
      <c r="NDH46" s="19"/>
      <c r="NDI46" s="19"/>
      <c r="NDJ46" s="19"/>
      <c r="NDK46" s="19"/>
      <c r="NDL46" s="19"/>
      <c r="NDM46" s="19"/>
      <c r="NDN46" s="19"/>
      <c r="NDO46" s="19"/>
      <c r="NDP46" s="19"/>
      <c r="NDQ46" s="19"/>
      <c r="NDR46" s="19"/>
      <c r="NDS46" s="19"/>
      <c r="NDT46" s="19"/>
      <c r="NDU46" s="19"/>
      <c r="NDV46" s="19"/>
      <c r="NDW46" s="19"/>
      <c r="NDX46" s="19"/>
      <c r="NDY46" s="19"/>
      <c r="NDZ46" s="19"/>
      <c r="NEA46" s="19"/>
      <c r="NEB46" s="19"/>
      <c r="NEC46" s="19"/>
      <c r="NED46" s="19"/>
      <c r="NEE46" s="19"/>
      <c r="NEF46" s="19"/>
      <c r="NEG46" s="19"/>
      <c r="NEH46" s="19"/>
      <c r="NEI46" s="19"/>
      <c r="NEJ46" s="19"/>
      <c r="NEK46" s="19"/>
      <c r="NEL46" s="19"/>
      <c r="NEM46" s="19"/>
      <c r="NEN46" s="19"/>
      <c r="NEO46" s="19"/>
      <c r="NEP46" s="19"/>
      <c r="NEQ46" s="19"/>
      <c r="NER46" s="19"/>
      <c r="NES46" s="19"/>
      <c r="NET46" s="19"/>
      <c r="NEU46" s="19"/>
      <c r="NEV46" s="19"/>
      <c r="NEW46" s="19"/>
      <c r="NEX46" s="19"/>
      <c r="NEY46" s="19"/>
      <c r="NEZ46" s="19"/>
      <c r="NFA46" s="19"/>
      <c r="NFB46" s="19"/>
      <c r="NFC46" s="19"/>
      <c r="NFD46" s="19"/>
      <c r="NFE46" s="19"/>
      <c r="NFF46" s="19"/>
      <c r="NFG46" s="19"/>
      <c r="NFH46" s="19"/>
      <c r="NFI46" s="19"/>
      <c r="NFJ46" s="19"/>
      <c r="NFK46" s="19"/>
      <c r="NFL46" s="19"/>
      <c r="NFM46" s="19"/>
      <c r="NFN46" s="19"/>
      <c r="NFO46" s="19"/>
      <c r="NFP46" s="19"/>
      <c r="NFQ46" s="19"/>
      <c r="NFR46" s="19"/>
      <c r="NFS46" s="19"/>
      <c r="NFT46" s="19"/>
      <c r="NFU46" s="19"/>
      <c r="NFV46" s="19"/>
      <c r="NFW46" s="19"/>
      <c r="NFX46" s="19"/>
      <c r="NFY46" s="19"/>
      <c r="NFZ46" s="19"/>
      <c r="NGA46" s="19"/>
      <c r="NGB46" s="19"/>
      <c r="NGC46" s="19"/>
      <c r="NGD46" s="19"/>
      <c r="NGE46" s="19"/>
      <c r="NGF46" s="19"/>
      <c r="NGG46" s="19"/>
      <c r="NGH46" s="19"/>
      <c r="NGI46" s="19"/>
      <c r="NGJ46" s="19"/>
      <c r="NGK46" s="19"/>
      <c r="NGL46" s="19"/>
      <c r="NGM46" s="19"/>
      <c r="NGN46" s="19"/>
      <c r="NGO46" s="19"/>
      <c r="NGP46" s="19"/>
      <c r="NGQ46" s="19"/>
      <c r="NGR46" s="19"/>
      <c r="NGS46" s="19"/>
      <c r="NGT46" s="19"/>
      <c r="NGU46" s="19"/>
      <c r="NGV46" s="19"/>
      <c r="NGW46" s="19"/>
      <c r="NGX46" s="19"/>
      <c r="NGY46" s="19"/>
      <c r="NGZ46" s="19"/>
      <c r="NHA46" s="19"/>
      <c r="NHB46" s="19"/>
      <c r="NHC46" s="19"/>
      <c r="NHD46" s="19"/>
      <c r="NHE46" s="19"/>
      <c r="NHF46" s="19"/>
      <c r="NHG46" s="19"/>
      <c r="NHH46" s="19"/>
      <c r="NHI46" s="19"/>
      <c r="NHJ46" s="19"/>
      <c r="NHK46" s="19"/>
      <c r="NHL46" s="19"/>
      <c r="NHM46" s="19"/>
      <c r="NHN46" s="19"/>
      <c r="NHO46" s="19"/>
      <c r="NHP46" s="19"/>
      <c r="NHQ46" s="19"/>
      <c r="NHR46" s="19"/>
      <c r="NHS46" s="19"/>
      <c r="NHT46" s="19"/>
      <c r="NHU46" s="19"/>
      <c r="NHV46" s="19"/>
      <c r="NHW46" s="19"/>
      <c r="NHX46" s="19"/>
      <c r="NHY46" s="19"/>
      <c r="NHZ46" s="19"/>
      <c r="NIA46" s="19"/>
      <c r="NIB46" s="19"/>
      <c r="NIC46" s="19"/>
      <c r="NID46" s="19"/>
      <c r="NIE46" s="19"/>
      <c r="NIF46" s="19"/>
      <c r="NIG46" s="19"/>
      <c r="NIH46" s="19"/>
      <c r="NII46" s="19"/>
      <c r="NIJ46" s="19"/>
      <c r="NIK46" s="19"/>
      <c r="NIL46" s="19"/>
      <c r="NIM46" s="19"/>
      <c r="NIN46" s="19"/>
      <c r="NIO46" s="19"/>
      <c r="NIP46" s="19"/>
      <c r="NIQ46" s="19"/>
      <c r="NIR46" s="19"/>
      <c r="NIS46" s="19"/>
      <c r="NIT46" s="19"/>
      <c r="NIU46" s="19"/>
      <c r="NIV46" s="19"/>
      <c r="NIW46" s="19"/>
      <c r="NIX46" s="19"/>
      <c r="NIY46" s="19"/>
      <c r="NIZ46" s="19"/>
      <c r="NJA46" s="19"/>
      <c r="NJB46" s="19"/>
      <c r="NJC46" s="19"/>
      <c r="NJD46" s="19"/>
      <c r="NJE46" s="19"/>
      <c r="NJF46" s="19"/>
      <c r="NJG46" s="19"/>
      <c r="NJH46" s="19"/>
      <c r="NJI46" s="19"/>
      <c r="NJJ46" s="19"/>
      <c r="NJK46" s="19"/>
      <c r="NJL46" s="19"/>
      <c r="NJM46" s="19"/>
      <c r="NJN46" s="19"/>
      <c r="NJO46" s="19"/>
      <c r="NJP46" s="19"/>
      <c r="NJQ46" s="19"/>
      <c r="NJR46" s="19"/>
      <c r="NJS46" s="19"/>
      <c r="NJT46" s="19"/>
      <c r="NJU46" s="19"/>
      <c r="NJV46" s="19"/>
      <c r="NJW46" s="19"/>
      <c r="NJX46" s="19"/>
      <c r="NJY46" s="19"/>
      <c r="NJZ46" s="19"/>
      <c r="NKA46" s="19"/>
      <c r="NKB46" s="19"/>
      <c r="NKC46" s="19"/>
      <c r="NKD46" s="19"/>
      <c r="NKE46" s="19"/>
      <c r="NKF46" s="19"/>
      <c r="NKG46" s="19"/>
      <c r="NKH46" s="19"/>
      <c r="NKI46" s="19"/>
      <c r="NKJ46" s="19"/>
      <c r="NKK46" s="19"/>
      <c r="NKL46" s="19"/>
      <c r="NKM46" s="19"/>
      <c r="NKN46" s="19"/>
      <c r="NKO46" s="19"/>
      <c r="NKP46" s="19"/>
      <c r="NKQ46" s="19"/>
      <c r="NKR46" s="19"/>
      <c r="NKS46" s="19"/>
      <c r="NKT46" s="19"/>
      <c r="NKU46" s="19"/>
      <c r="NKV46" s="19"/>
      <c r="NKW46" s="19"/>
      <c r="NKX46" s="19"/>
      <c r="NKY46" s="19"/>
      <c r="NKZ46" s="19"/>
      <c r="NLA46" s="19"/>
      <c r="NLB46" s="19"/>
      <c r="NLC46" s="19"/>
      <c r="NLD46" s="19"/>
      <c r="NLE46" s="19"/>
      <c r="NLF46" s="19"/>
      <c r="NLG46" s="19"/>
      <c r="NLH46" s="19"/>
      <c r="NLI46" s="19"/>
      <c r="NLJ46" s="19"/>
      <c r="NLK46" s="19"/>
      <c r="NLL46" s="19"/>
      <c r="NLM46" s="19"/>
      <c r="NLN46" s="19"/>
      <c r="NLO46" s="19"/>
      <c r="NLP46" s="19"/>
      <c r="NLQ46" s="19"/>
      <c r="NLR46" s="19"/>
      <c r="NLS46" s="19"/>
      <c r="NLT46" s="19"/>
      <c r="NLU46" s="19"/>
      <c r="NLV46" s="19"/>
      <c r="NLW46" s="19"/>
      <c r="NLX46" s="19"/>
      <c r="NLY46" s="19"/>
      <c r="NLZ46" s="19"/>
      <c r="NMA46" s="19"/>
      <c r="NMB46" s="19"/>
      <c r="NMC46" s="19"/>
      <c r="NMD46" s="19"/>
      <c r="NME46" s="19"/>
      <c r="NMF46" s="19"/>
      <c r="NMG46" s="19"/>
      <c r="NMH46" s="19"/>
      <c r="NMI46" s="19"/>
      <c r="NMJ46" s="19"/>
      <c r="NMK46" s="19"/>
      <c r="NML46" s="19"/>
      <c r="NMM46" s="19"/>
      <c r="NMN46" s="19"/>
      <c r="NMO46" s="19"/>
      <c r="NMP46" s="19"/>
      <c r="NMQ46" s="19"/>
      <c r="NMR46" s="19"/>
      <c r="NMS46" s="19"/>
      <c r="NMT46" s="19"/>
      <c r="NMU46" s="19"/>
      <c r="NMV46" s="19"/>
      <c r="NMW46" s="19"/>
      <c r="NMX46" s="19"/>
      <c r="NMY46" s="19"/>
      <c r="NMZ46" s="19"/>
      <c r="NNA46" s="19"/>
      <c r="NNB46" s="19"/>
      <c r="NNC46" s="19"/>
      <c r="NND46" s="19"/>
      <c r="NNE46" s="19"/>
      <c r="NNF46" s="19"/>
      <c r="NNG46" s="19"/>
      <c r="NNH46" s="19"/>
      <c r="NNI46" s="19"/>
      <c r="NNJ46" s="19"/>
      <c r="NNK46" s="19"/>
      <c r="NNL46" s="19"/>
      <c r="NNM46" s="19"/>
      <c r="NNN46" s="19"/>
      <c r="NNO46" s="19"/>
      <c r="NNP46" s="19"/>
      <c r="NNQ46" s="19"/>
      <c r="NNR46" s="19"/>
      <c r="NNS46" s="19"/>
      <c r="NNT46" s="19"/>
      <c r="NNU46" s="19"/>
      <c r="NNV46" s="19"/>
      <c r="NNW46" s="19"/>
      <c r="NNX46" s="19"/>
      <c r="NNY46" s="19"/>
      <c r="NNZ46" s="19"/>
      <c r="NOA46" s="19"/>
      <c r="NOB46" s="19"/>
      <c r="NOC46" s="19"/>
      <c r="NOD46" s="19"/>
      <c r="NOE46" s="19"/>
      <c r="NOF46" s="19"/>
      <c r="NOG46" s="19"/>
      <c r="NOH46" s="19"/>
      <c r="NOI46" s="19"/>
      <c r="NOJ46" s="19"/>
      <c r="NOK46" s="19"/>
      <c r="NOL46" s="19"/>
      <c r="NOM46" s="19"/>
      <c r="NON46" s="19"/>
      <c r="NOO46" s="19"/>
      <c r="NOP46" s="19"/>
      <c r="NOQ46" s="19"/>
      <c r="NOR46" s="19"/>
      <c r="NOS46" s="19"/>
      <c r="NOT46" s="19"/>
      <c r="NOU46" s="19"/>
      <c r="NOV46" s="19"/>
      <c r="NOW46" s="19"/>
      <c r="NOX46" s="19"/>
      <c r="NOY46" s="19"/>
      <c r="NOZ46" s="19"/>
      <c r="NPA46" s="19"/>
      <c r="NPB46" s="19"/>
      <c r="NPC46" s="19"/>
      <c r="NPD46" s="19"/>
      <c r="NPE46" s="19"/>
      <c r="NPF46" s="19"/>
      <c r="NPG46" s="19"/>
      <c r="NPH46" s="19"/>
      <c r="NPI46" s="19"/>
      <c r="NPJ46" s="19"/>
      <c r="NPK46" s="19"/>
      <c r="NPL46" s="19"/>
      <c r="NPM46" s="19"/>
      <c r="NPN46" s="19"/>
      <c r="NPO46" s="19"/>
      <c r="NPP46" s="19"/>
      <c r="NPQ46" s="19"/>
      <c r="NPR46" s="19"/>
      <c r="NPS46" s="19"/>
      <c r="NPT46" s="19"/>
      <c r="NPU46" s="19"/>
      <c r="NPV46" s="19"/>
      <c r="NPW46" s="19"/>
      <c r="NPX46" s="19"/>
      <c r="NPY46" s="19"/>
      <c r="NPZ46" s="19"/>
      <c r="NQA46" s="19"/>
      <c r="NQB46" s="19"/>
      <c r="NQC46" s="19"/>
      <c r="NQD46" s="19"/>
      <c r="NQE46" s="19"/>
      <c r="NQF46" s="19"/>
      <c r="NQG46" s="19"/>
      <c r="NQH46" s="19"/>
      <c r="NQI46" s="19"/>
      <c r="NQJ46" s="19"/>
      <c r="NQK46" s="19"/>
      <c r="NQL46" s="19"/>
      <c r="NQM46" s="19"/>
      <c r="NQN46" s="19"/>
      <c r="NQO46" s="19"/>
      <c r="NQP46" s="19"/>
      <c r="NQQ46" s="19"/>
      <c r="NQR46" s="19"/>
      <c r="NQS46" s="19"/>
      <c r="NQT46" s="19"/>
      <c r="NQU46" s="19"/>
      <c r="NQV46" s="19"/>
      <c r="NQW46" s="19"/>
      <c r="NQX46" s="19"/>
      <c r="NQY46" s="19"/>
      <c r="NQZ46" s="19"/>
      <c r="NRA46" s="19"/>
      <c r="NRB46" s="19"/>
      <c r="NRC46" s="19"/>
      <c r="NRD46" s="19"/>
      <c r="NRE46" s="19"/>
      <c r="NRF46" s="19"/>
      <c r="NRG46" s="19"/>
      <c r="NRH46" s="19"/>
      <c r="NRI46" s="19"/>
      <c r="NRJ46" s="19"/>
      <c r="NRK46" s="19"/>
      <c r="NRL46" s="19"/>
      <c r="NRM46" s="19"/>
      <c r="NRN46" s="19"/>
      <c r="NRO46" s="19"/>
      <c r="NRP46" s="19"/>
      <c r="NRQ46" s="19"/>
      <c r="NRR46" s="19"/>
      <c r="NRS46" s="19"/>
      <c r="NRT46" s="19"/>
      <c r="NRU46" s="19"/>
      <c r="NRV46" s="19"/>
      <c r="NRW46" s="19"/>
      <c r="NRX46" s="19"/>
      <c r="NRY46" s="19"/>
      <c r="NRZ46" s="19"/>
      <c r="NSA46" s="19"/>
      <c r="NSB46" s="19"/>
      <c r="NSC46" s="19"/>
      <c r="NSD46" s="19"/>
      <c r="NSE46" s="19"/>
      <c r="NSF46" s="19"/>
      <c r="NSG46" s="19"/>
      <c r="NSH46" s="19"/>
      <c r="NSI46" s="19"/>
      <c r="NSJ46" s="19"/>
      <c r="NSK46" s="19"/>
      <c r="NSL46" s="19"/>
      <c r="NSM46" s="19"/>
      <c r="NSN46" s="19"/>
      <c r="NSO46" s="19"/>
      <c r="NSP46" s="19"/>
      <c r="NSQ46" s="19"/>
      <c r="NSR46" s="19"/>
      <c r="NSS46" s="19"/>
      <c r="NST46" s="19"/>
      <c r="NSU46" s="19"/>
      <c r="NSV46" s="19"/>
      <c r="NSW46" s="19"/>
      <c r="NSX46" s="19"/>
      <c r="NSY46" s="19"/>
      <c r="NSZ46" s="19"/>
      <c r="NTA46" s="19"/>
      <c r="NTB46" s="19"/>
      <c r="NTC46" s="19"/>
      <c r="NTD46" s="19"/>
      <c r="NTE46" s="19"/>
      <c r="NTF46" s="19"/>
      <c r="NTG46" s="19"/>
      <c r="NTH46" s="19"/>
      <c r="NTI46" s="19"/>
      <c r="NTJ46" s="19"/>
      <c r="NTK46" s="19"/>
      <c r="NTL46" s="19"/>
      <c r="NTM46" s="19"/>
      <c r="NTN46" s="19"/>
      <c r="NTO46" s="19"/>
      <c r="NTP46" s="19"/>
      <c r="NTQ46" s="19"/>
      <c r="NTR46" s="19"/>
      <c r="NTS46" s="19"/>
      <c r="NTT46" s="19"/>
      <c r="NTU46" s="19"/>
      <c r="NTV46" s="19"/>
      <c r="NTW46" s="19"/>
      <c r="NTX46" s="19"/>
      <c r="NTY46" s="19"/>
      <c r="NTZ46" s="19"/>
      <c r="NUA46" s="19"/>
      <c r="NUB46" s="19"/>
      <c r="NUC46" s="19"/>
      <c r="NUD46" s="19"/>
      <c r="NUE46" s="19"/>
      <c r="NUF46" s="19"/>
      <c r="NUG46" s="19"/>
      <c r="NUH46" s="19"/>
      <c r="NUI46" s="19"/>
      <c r="NUJ46" s="19"/>
      <c r="NUK46" s="19"/>
      <c r="NUL46" s="19"/>
      <c r="NUM46" s="19"/>
      <c r="NUN46" s="19"/>
      <c r="NUO46" s="19"/>
      <c r="NUP46" s="19"/>
      <c r="NUQ46" s="19"/>
      <c r="NUR46" s="19"/>
      <c r="NUS46" s="19"/>
      <c r="NUT46" s="19"/>
      <c r="NUU46" s="19"/>
      <c r="NUV46" s="19"/>
      <c r="NUW46" s="19"/>
      <c r="NUX46" s="19"/>
      <c r="NUY46" s="19"/>
      <c r="NUZ46" s="19"/>
      <c r="NVA46" s="19"/>
      <c r="NVB46" s="19"/>
      <c r="NVC46" s="19"/>
      <c r="NVD46" s="19"/>
      <c r="NVE46" s="19"/>
      <c r="NVF46" s="19"/>
      <c r="NVG46" s="19"/>
      <c r="NVH46" s="19"/>
      <c r="NVI46" s="19"/>
      <c r="NVJ46" s="19"/>
      <c r="NVK46" s="19"/>
      <c r="NVL46" s="19"/>
      <c r="NVM46" s="19"/>
      <c r="NVN46" s="19"/>
      <c r="NVO46" s="19"/>
      <c r="NVP46" s="19"/>
      <c r="NVQ46" s="19"/>
      <c r="NVR46" s="19"/>
      <c r="NVS46" s="19"/>
      <c r="NVT46" s="19"/>
      <c r="NVU46" s="19"/>
      <c r="NVV46" s="19"/>
      <c r="NVW46" s="19"/>
      <c r="NVX46" s="19"/>
      <c r="NVY46" s="19"/>
      <c r="NVZ46" s="19"/>
      <c r="NWA46" s="19"/>
      <c r="NWB46" s="19"/>
      <c r="NWC46" s="19"/>
      <c r="NWD46" s="19"/>
      <c r="NWE46" s="19"/>
      <c r="NWF46" s="19"/>
      <c r="NWG46" s="19"/>
      <c r="NWH46" s="19"/>
      <c r="NWI46" s="19"/>
      <c r="NWJ46" s="19"/>
      <c r="NWK46" s="19"/>
      <c r="NWL46" s="19"/>
      <c r="NWM46" s="19"/>
      <c r="NWN46" s="19"/>
      <c r="NWO46" s="19"/>
      <c r="NWP46" s="19"/>
      <c r="NWQ46" s="19"/>
      <c r="NWR46" s="19"/>
      <c r="NWS46" s="19"/>
      <c r="NWT46" s="19"/>
      <c r="NWU46" s="19"/>
      <c r="NWV46" s="19"/>
      <c r="NWW46" s="19"/>
      <c r="NWX46" s="19"/>
      <c r="NWY46" s="19"/>
      <c r="NWZ46" s="19"/>
      <c r="NXA46" s="19"/>
      <c r="NXB46" s="19"/>
      <c r="NXC46" s="19"/>
      <c r="NXD46" s="19"/>
      <c r="NXE46" s="19"/>
      <c r="NXF46" s="19"/>
      <c r="NXG46" s="19"/>
      <c r="NXH46" s="19"/>
      <c r="NXI46" s="19"/>
      <c r="NXJ46" s="19"/>
      <c r="NXK46" s="19"/>
      <c r="NXL46" s="19"/>
      <c r="NXM46" s="19"/>
      <c r="NXN46" s="19"/>
      <c r="NXO46" s="19"/>
      <c r="NXP46" s="19"/>
      <c r="NXQ46" s="19"/>
      <c r="NXR46" s="19"/>
      <c r="NXS46" s="19"/>
      <c r="NXT46" s="19"/>
      <c r="NXU46" s="19"/>
      <c r="NXV46" s="19"/>
      <c r="NXW46" s="19"/>
      <c r="NXX46" s="19"/>
      <c r="NXY46" s="19"/>
      <c r="NXZ46" s="19"/>
      <c r="NYA46" s="19"/>
      <c r="NYB46" s="19"/>
      <c r="NYC46" s="19"/>
      <c r="NYD46" s="19"/>
      <c r="NYE46" s="19"/>
      <c r="NYF46" s="19"/>
      <c r="NYG46" s="19"/>
      <c r="NYH46" s="19"/>
      <c r="NYI46" s="19"/>
      <c r="NYJ46" s="19"/>
      <c r="NYK46" s="19"/>
      <c r="NYL46" s="19"/>
      <c r="NYM46" s="19"/>
      <c r="NYN46" s="19"/>
      <c r="NYO46" s="19"/>
      <c r="NYP46" s="19"/>
      <c r="NYQ46" s="19"/>
      <c r="NYR46" s="19"/>
      <c r="NYS46" s="19"/>
      <c r="NYT46" s="19"/>
      <c r="NYU46" s="19"/>
      <c r="NYV46" s="19"/>
      <c r="NYW46" s="19"/>
      <c r="NYX46" s="19"/>
      <c r="NYY46" s="19"/>
      <c r="NYZ46" s="19"/>
      <c r="NZA46" s="19"/>
      <c r="NZB46" s="19"/>
      <c r="NZC46" s="19"/>
      <c r="NZD46" s="19"/>
      <c r="NZE46" s="19"/>
      <c r="NZF46" s="19"/>
      <c r="NZG46" s="19"/>
      <c r="NZH46" s="19"/>
      <c r="NZI46" s="19"/>
      <c r="NZJ46" s="19"/>
      <c r="NZK46" s="19"/>
      <c r="NZL46" s="19"/>
      <c r="NZM46" s="19"/>
      <c r="NZN46" s="19"/>
      <c r="NZO46" s="19"/>
      <c r="NZP46" s="19"/>
      <c r="NZQ46" s="19"/>
      <c r="NZR46" s="19"/>
      <c r="NZS46" s="19"/>
      <c r="NZT46" s="19"/>
      <c r="NZU46" s="19"/>
      <c r="NZV46" s="19"/>
      <c r="NZW46" s="19"/>
      <c r="NZX46" s="19"/>
      <c r="NZY46" s="19"/>
      <c r="NZZ46" s="19"/>
      <c r="OAA46" s="19"/>
      <c r="OAB46" s="19"/>
      <c r="OAC46" s="19"/>
      <c r="OAD46" s="19"/>
      <c r="OAE46" s="19"/>
      <c r="OAF46" s="19"/>
      <c r="OAG46" s="19"/>
      <c r="OAH46" s="19"/>
      <c r="OAI46" s="19"/>
      <c r="OAJ46" s="19"/>
      <c r="OAK46" s="19"/>
      <c r="OAL46" s="19"/>
      <c r="OAM46" s="19"/>
      <c r="OAN46" s="19"/>
      <c r="OAO46" s="19"/>
      <c r="OAP46" s="19"/>
      <c r="OAQ46" s="19"/>
      <c r="OAR46" s="19"/>
      <c r="OAS46" s="19"/>
      <c r="OAT46" s="19"/>
      <c r="OAU46" s="19"/>
      <c r="OAV46" s="19"/>
      <c r="OAW46" s="19"/>
      <c r="OAX46" s="19"/>
      <c r="OAY46" s="19"/>
      <c r="OAZ46" s="19"/>
      <c r="OBA46" s="19"/>
      <c r="OBB46" s="19"/>
      <c r="OBC46" s="19"/>
      <c r="OBD46" s="19"/>
      <c r="OBE46" s="19"/>
      <c r="OBF46" s="19"/>
      <c r="OBG46" s="19"/>
      <c r="OBH46" s="19"/>
      <c r="OBI46" s="19"/>
      <c r="OBJ46" s="19"/>
      <c r="OBK46" s="19"/>
      <c r="OBL46" s="19"/>
      <c r="OBM46" s="19"/>
      <c r="OBN46" s="19"/>
      <c r="OBO46" s="19"/>
      <c r="OBP46" s="19"/>
      <c r="OBQ46" s="19"/>
      <c r="OBR46" s="19"/>
      <c r="OBS46" s="19"/>
      <c r="OBT46" s="19"/>
      <c r="OBU46" s="19"/>
      <c r="OBV46" s="19"/>
      <c r="OBW46" s="19"/>
      <c r="OBX46" s="19"/>
      <c r="OBY46" s="19"/>
      <c r="OBZ46" s="19"/>
      <c r="OCA46" s="19"/>
      <c r="OCB46" s="19"/>
      <c r="OCC46" s="19"/>
      <c r="OCD46" s="19"/>
      <c r="OCE46" s="19"/>
      <c r="OCF46" s="19"/>
      <c r="OCG46" s="19"/>
      <c r="OCH46" s="19"/>
      <c r="OCI46" s="19"/>
      <c r="OCJ46" s="19"/>
      <c r="OCK46" s="19"/>
      <c r="OCL46" s="19"/>
      <c r="OCM46" s="19"/>
      <c r="OCN46" s="19"/>
      <c r="OCO46" s="19"/>
      <c r="OCP46" s="19"/>
      <c r="OCQ46" s="19"/>
      <c r="OCR46" s="19"/>
      <c r="OCS46" s="19"/>
      <c r="OCT46" s="19"/>
      <c r="OCU46" s="19"/>
      <c r="OCV46" s="19"/>
      <c r="OCW46" s="19"/>
      <c r="OCX46" s="19"/>
      <c r="OCY46" s="19"/>
      <c r="OCZ46" s="19"/>
      <c r="ODA46" s="19"/>
      <c r="ODB46" s="19"/>
      <c r="ODC46" s="19"/>
      <c r="ODD46" s="19"/>
      <c r="ODE46" s="19"/>
      <c r="ODF46" s="19"/>
      <c r="ODG46" s="19"/>
      <c r="ODH46" s="19"/>
      <c r="ODI46" s="19"/>
      <c r="ODJ46" s="19"/>
      <c r="ODK46" s="19"/>
      <c r="ODL46" s="19"/>
      <c r="ODM46" s="19"/>
      <c r="ODN46" s="19"/>
      <c r="ODO46" s="19"/>
      <c r="ODP46" s="19"/>
      <c r="ODQ46" s="19"/>
      <c r="ODR46" s="19"/>
      <c r="ODS46" s="19"/>
      <c r="ODT46" s="19"/>
      <c r="ODU46" s="19"/>
      <c r="ODV46" s="19"/>
      <c r="ODW46" s="19"/>
      <c r="ODX46" s="19"/>
      <c r="ODY46" s="19"/>
      <c r="ODZ46" s="19"/>
      <c r="OEA46" s="19"/>
      <c r="OEB46" s="19"/>
      <c r="OEC46" s="19"/>
      <c r="OED46" s="19"/>
      <c r="OEE46" s="19"/>
      <c r="OEF46" s="19"/>
      <c r="OEG46" s="19"/>
      <c r="OEH46" s="19"/>
      <c r="OEI46" s="19"/>
      <c r="OEJ46" s="19"/>
      <c r="OEK46" s="19"/>
      <c r="OEL46" s="19"/>
      <c r="OEM46" s="19"/>
      <c r="OEN46" s="19"/>
      <c r="OEO46" s="19"/>
      <c r="OEP46" s="19"/>
      <c r="OEQ46" s="19"/>
      <c r="OER46" s="19"/>
      <c r="OES46" s="19"/>
      <c r="OET46" s="19"/>
      <c r="OEU46" s="19"/>
      <c r="OEV46" s="19"/>
      <c r="OEW46" s="19"/>
      <c r="OEX46" s="19"/>
      <c r="OEY46" s="19"/>
      <c r="OEZ46" s="19"/>
      <c r="OFA46" s="19"/>
      <c r="OFB46" s="19"/>
      <c r="OFC46" s="19"/>
      <c r="OFD46" s="19"/>
      <c r="OFE46" s="19"/>
      <c r="OFF46" s="19"/>
      <c r="OFG46" s="19"/>
      <c r="OFH46" s="19"/>
      <c r="OFI46" s="19"/>
      <c r="OFJ46" s="19"/>
      <c r="OFK46" s="19"/>
      <c r="OFL46" s="19"/>
      <c r="OFM46" s="19"/>
      <c r="OFN46" s="19"/>
      <c r="OFO46" s="19"/>
      <c r="OFP46" s="19"/>
      <c r="OFQ46" s="19"/>
      <c r="OFR46" s="19"/>
      <c r="OFS46" s="19"/>
      <c r="OFT46" s="19"/>
      <c r="OFU46" s="19"/>
      <c r="OFV46" s="19"/>
      <c r="OFW46" s="19"/>
      <c r="OFX46" s="19"/>
      <c r="OFY46" s="19"/>
      <c r="OFZ46" s="19"/>
      <c r="OGA46" s="19"/>
      <c r="OGB46" s="19"/>
      <c r="OGC46" s="19"/>
      <c r="OGD46" s="19"/>
      <c r="OGE46" s="19"/>
      <c r="OGF46" s="19"/>
      <c r="OGG46" s="19"/>
      <c r="OGH46" s="19"/>
      <c r="OGI46" s="19"/>
      <c r="OGJ46" s="19"/>
      <c r="OGK46" s="19"/>
      <c r="OGL46" s="19"/>
      <c r="OGM46" s="19"/>
      <c r="OGN46" s="19"/>
      <c r="OGO46" s="19"/>
      <c r="OGP46" s="19"/>
      <c r="OGQ46" s="19"/>
      <c r="OGR46" s="19"/>
      <c r="OGS46" s="19"/>
      <c r="OGT46" s="19"/>
      <c r="OGU46" s="19"/>
      <c r="OGV46" s="19"/>
      <c r="OGW46" s="19"/>
      <c r="OGX46" s="19"/>
      <c r="OGY46" s="19"/>
      <c r="OGZ46" s="19"/>
      <c r="OHA46" s="19"/>
      <c r="OHB46" s="19"/>
      <c r="OHC46" s="19"/>
      <c r="OHD46" s="19"/>
      <c r="OHE46" s="19"/>
      <c r="OHF46" s="19"/>
      <c r="OHG46" s="19"/>
      <c r="OHH46" s="19"/>
      <c r="OHI46" s="19"/>
      <c r="OHJ46" s="19"/>
      <c r="OHK46" s="19"/>
      <c r="OHL46" s="19"/>
      <c r="OHM46" s="19"/>
      <c r="OHN46" s="19"/>
      <c r="OHO46" s="19"/>
      <c r="OHP46" s="19"/>
      <c r="OHQ46" s="19"/>
      <c r="OHR46" s="19"/>
      <c r="OHS46" s="19"/>
      <c r="OHT46" s="19"/>
      <c r="OHU46" s="19"/>
      <c r="OHV46" s="19"/>
      <c r="OHW46" s="19"/>
      <c r="OHX46" s="19"/>
      <c r="OHY46" s="19"/>
      <c r="OHZ46" s="19"/>
      <c r="OIA46" s="19"/>
      <c r="OIB46" s="19"/>
      <c r="OIC46" s="19"/>
      <c r="OID46" s="19"/>
      <c r="OIE46" s="19"/>
      <c r="OIF46" s="19"/>
      <c r="OIG46" s="19"/>
      <c r="OIH46" s="19"/>
      <c r="OII46" s="19"/>
      <c r="OIJ46" s="19"/>
      <c r="OIK46" s="19"/>
      <c r="OIL46" s="19"/>
      <c r="OIM46" s="19"/>
      <c r="OIN46" s="19"/>
      <c r="OIO46" s="19"/>
      <c r="OIP46" s="19"/>
      <c r="OIQ46" s="19"/>
      <c r="OIR46" s="19"/>
      <c r="OIS46" s="19"/>
      <c r="OIT46" s="19"/>
      <c r="OIU46" s="19"/>
      <c r="OIV46" s="19"/>
      <c r="OIW46" s="19"/>
      <c r="OIX46" s="19"/>
      <c r="OIY46" s="19"/>
      <c r="OIZ46" s="19"/>
      <c r="OJA46" s="19"/>
      <c r="OJB46" s="19"/>
      <c r="OJC46" s="19"/>
      <c r="OJD46" s="19"/>
      <c r="OJE46" s="19"/>
      <c r="OJF46" s="19"/>
      <c r="OJG46" s="19"/>
      <c r="OJH46" s="19"/>
      <c r="OJI46" s="19"/>
      <c r="OJJ46" s="19"/>
      <c r="OJK46" s="19"/>
      <c r="OJL46" s="19"/>
      <c r="OJM46" s="19"/>
      <c r="OJN46" s="19"/>
      <c r="OJO46" s="19"/>
      <c r="OJP46" s="19"/>
      <c r="OJQ46" s="19"/>
      <c r="OJR46" s="19"/>
      <c r="OJS46" s="19"/>
      <c r="OJT46" s="19"/>
      <c r="OJU46" s="19"/>
      <c r="OJV46" s="19"/>
      <c r="OJW46" s="19"/>
      <c r="OJX46" s="19"/>
      <c r="OJY46" s="19"/>
      <c r="OJZ46" s="19"/>
      <c r="OKA46" s="19"/>
      <c r="OKB46" s="19"/>
      <c r="OKC46" s="19"/>
      <c r="OKD46" s="19"/>
      <c r="OKE46" s="19"/>
      <c r="OKF46" s="19"/>
      <c r="OKG46" s="19"/>
      <c r="OKH46" s="19"/>
      <c r="OKI46" s="19"/>
      <c r="OKJ46" s="19"/>
      <c r="OKK46" s="19"/>
      <c r="OKL46" s="19"/>
      <c r="OKM46" s="19"/>
      <c r="OKN46" s="19"/>
      <c r="OKO46" s="19"/>
      <c r="OKP46" s="19"/>
      <c r="OKQ46" s="19"/>
      <c r="OKR46" s="19"/>
      <c r="OKS46" s="19"/>
      <c r="OKT46" s="19"/>
      <c r="OKU46" s="19"/>
      <c r="OKV46" s="19"/>
      <c r="OKW46" s="19"/>
      <c r="OKX46" s="19"/>
      <c r="OKY46" s="19"/>
      <c r="OKZ46" s="19"/>
      <c r="OLA46" s="19"/>
      <c r="OLB46" s="19"/>
      <c r="OLC46" s="19"/>
      <c r="OLD46" s="19"/>
      <c r="OLE46" s="19"/>
      <c r="OLF46" s="19"/>
      <c r="OLG46" s="19"/>
      <c r="OLH46" s="19"/>
      <c r="OLI46" s="19"/>
      <c r="OLJ46" s="19"/>
      <c r="OLK46" s="19"/>
      <c r="OLL46" s="19"/>
      <c r="OLM46" s="19"/>
      <c r="OLN46" s="19"/>
      <c r="OLO46" s="19"/>
      <c r="OLP46" s="19"/>
      <c r="OLQ46" s="19"/>
      <c r="OLR46" s="19"/>
      <c r="OLS46" s="19"/>
      <c r="OLT46" s="19"/>
      <c r="OLU46" s="19"/>
      <c r="OLV46" s="19"/>
      <c r="OLW46" s="19"/>
      <c r="OLX46" s="19"/>
      <c r="OLY46" s="19"/>
      <c r="OLZ46" s="19"/>
      <c r="OMA46" s="19"/>
      <c r="OMB46" s="19"/>
      <c r="OMC46" s="19"/>
      <c r="OMD46" s="19"/>
      <c r="OME46" s="19"/>
      <c r="OMF46" s="19"/>
      <c r="OMG46" s="19"/>
      <c r="OMH46" s="19"/>
      <c r="OMI46" s="19"/>
      <c r="OMJ46" s="19"/>
      <c r="OMK46" s="19"/>
      <c r="OML46" s="19"/>
      <c r="OMM46" s="19"/>
      <c r="OMN46" s="19"/>
      <c r="OMO46" s="19"/>
      <c r="OMP46" s="19"/>
      <c r="OMQ46" s="19"/>
      <c r="OMR46" s="19"/>
      <c r="OMS46" s="19"/>
      <c r="OMT46" s="19"/>
      <c r="OMU46" s="19"/>
      <c r="OMV46" s="19"/>
      <c r="OMW46" s="19"/>
      <c r="OMX46" s="19"/>
      <c r="OMY46" s="19"/>
      <c r="OMZ46" s="19"/>
      <c r="ONA46" s="19"/>
      <c r="ONB46" s="19"/>
      <c r="ONC46" s="19"/>
      <c r="OND46" s="19"/>
      <c r="ONE46" s="19"/>
      <c r="ONF46" s="19"/>
      <c r="ONG46" s="19"/>
      <c r="ONH46" s="19"/>
      <c r="ONI46" s="19"/>
      <c r="ONJ46" s="19"/>
      <c r="ONK46" s="19"/>
      <c r="ONL46" s="19"/>
      <c r="ONM46" s="19"/>
      <c r="ONN46" s="19"/>
      <c r="ONO46" s="19"/>
      <c r="ONP46" s="19"/>
      <c r="ONQ46" s="19"/>
      <c r="ONR46" s="19"/>
      <c r="ONS46" s="19"/>
      <c r="ONT46" s="19"/>
      <c r="ONU46" s="19"/>
      <c r="ONV46" s="19"/>
      <c r="ONW46" s="19"/>
      <c r="ONX46" s="19"/>
      <c r="ONY46" s="19"/>
      <c r="ONZ46" s="19"/>
      <c r="OOA46" s="19"/>
      <c r="OOB46" s="19"/>
      <c r="OOC46" s="19"/>
      <c r="OOD46" s="19"/>
      <c r="OOE46" s="19"/>
      <c r="OOF46" s="19"/>
      <c r="OOG46" s="19"/>
      <c r="OOH46" s="19"/>
      <c r="OOI46" s="19"/>
      <c r="OOJ46" s="19"/>
      <c r="OOK46" s="19"/>
      <c r="OOL46" s="19"/>
      <c r="OOM46" s="19"/>
      <c r="OON46" s="19"/>
      <c r="OOO46" s="19"/>
      <c r="OOP46" s="19"/>
      <c r="OOQ46" s="19"/>
      <c r="OOR46" s="19"/>
      <c r="OOS46" s="19"/>
      <c r="OOT46" s="19"/>
      <c r="OOU46" s="19"/>
      <c r="OOV46" s="19"/>
      <c r="OOW46" s="19"/>
      <c r="OOX46" s="19"/>
      <c r="OOY46" s="19"/>
      <c r="OOZ46" s="19"/>
      <c r="OPA46" s="19"/>
      <c r="OPB46" s="19"/>
      <c r="OPC46" s="19"/>
      <c r="OPD46" s="19"/>
      <c r="OPE46" s="19"/>
      <c r="OPF46" s="19"/>
      <c r="OPG46" s="19"/>
      <c r="OPH46" s="19"/>
      <c r="OPI46" s="19"/>
      <c r="OPJ46" s="19"/>
      <c r="OPK46" s="19"/>
      <c r="OPL46" s="19"/>
      <c r="OPM46" s="19"/>
      <c r="OPN46" s="19"/>
      <c r="OPO46" s="19"/>
      <c r="OPP46" s="19"/>
      <c r="OPQ46" s="19"/>
      <c r="OPR46" s="19"/>
      <c r="OPS46" s="19"/>
      <c r="OPT46" s="19"/>
      <c r="OPU46" s="19"/>
      <c r="OPV46" s="19"/>
      <c r="OPW46" s="19"/>
      <c r="OPX46" s="19"/>
      <c r="OPY46" s="19"/>
      <c r="OPZ46" s="19"/>
      <c r="OQA46" s="19"/>
      <c r="OQB46" s="19"/>
      <c r="OQC46" s="19"/>
      <c r="OQD46" s="19"/>
      <c r="OQE46" s="19"/>
      <c r="OQF46" s="19"/>
      <c r="OQG46" s="19"/>
      <c r="OQH46" s="19"/>
      <c r="OQI46" s="19"/>
      <c r="OQJ46" s="19"/>
      <c r="OQK46" s="19"/>
      <c r="OQL46" s="19"/>
      <c r="OQM46" s="19"/>
      <c r="OQN46" s="19"/>
      <c r="OQO46" s="19"/>
      <c r="OQP46" s="19"/>
      <c r="OQQ46" s="19"/>
      <c r="OQR46" s="19"/>
      <c r="OQS46" s="19"/>
      <c r="OQT46" s="19"/>
      <c r="OQU46" s="19"/>
      <c r="OQV46" s="19"/>
      <c r="OQW46" s="19"/>
      <c r="OQX46" s="19"/>
      <c r="OQY46" s="19"/>
      <c r="OQZ46" s="19"/>
      <c r="ORA46" s="19"/>
      <c r="ORB46" s="19"/>
      <c r="ORC46" s="19"/>
      <c r="ORD46" s="19"/>
      <c r="ORE46" s="19"/>
      <c r="ORF46" s="19"/>
      <c r="ORG46" s="19"/>
      <c r="ORH46" s="19"/>
      <c r="ORI46" s="19"/>
      <c r="ORJ46" s="19"/>
      <c r="ORK46" s="19"/>
      <c r="ORL46" s="19"/>
      <c r="ORM46" s="19"/>
      <c r="ORN46" s="19"/>
      <c r="ORO46" s="19"/>
      <c r="ORP46" s="19"/>
      <c r="ORQ46" s="19"/>
      <c r="ORR46" s="19"/>
      <c r="ORS46" s="19"/>
      <c r="ORT46" s="19"/>
      <c r="ORU46" s="19"/>
      <c r="ORV46" s="19"/>
      <c r="ORW46" s="19"/>
      <c r="ORX46" s="19"/>
      <c r="ORY46" s="19"/>
      <c r="ORZ46" s="19"/>
      <c r="OSA46" s="19"/>
      <c r="OSB46" s="19"/>
      <c r="OSC46" s="19"/>
      <c r="OSD46" s="19"/>
      <c r="OSE46" s="19"/>
      <c r="OSF46" s="19"/>
      <c r="OSG46" s="19"/>
      <c r="OSH46" s="19"/>
      <c r="OSI46" s="19"/>
      <c r="OSJ46" s="19"/>
      <c r="OSK46" s="19"/>
      <c r="OSL46" s="19"/>
      <c r="OSM46" s="19"/>
      <c r="OSN46" s="19"/>
      <c r="OSO46" s="19"/>
      <c r="OSP46" s="19"/>
      <c r="OSQ46" s="19"/>
      <c r="OSR46" s="19"/>
      <c r="OSS46" s="19"/>
      <c r="OST46" s="19"/>
      <c r="OSU46" s="19"/>
      <c r="OSV46" s="19"/>
      <c r="OSW46" s="19"/>
      <c r="OSX46" s="19"/>
      <c r="OSY46" s="19"/>
      <c r="OSZ46" s="19"/>
      <c r="OTA46" s="19"/>
      <c r="OTB46" s="19"/>
      <c r="OTC46" s="19"/>
      <c r="OTD46" s="19"/>
      <c r="OTE46" s="19"/>
      <c r="OTF46" s="19"/>
      <c r="OTG46" s="19"/>
      <c r="OTH46" s="19"/>
      <c r="OTI46" s="19"/>
      <c r="OTJ46" s="19"/>
      <c r="OTK46" s="19"/>
      <c r="OTL46" s="19"/>
      <c r="OTM46" s="19"/>
      <c r="OTN46" s="19"/>
      <c r="OTO46" s="19"/>
      <c r="OTP46" s="19"/>
      <c r="OTQ46" s="19"/>
      <c r="OTR46" s="19"/>
      <c r="OTS46" s="19"/>
      <c r="OTT46" s="19"/>
      <c r="OTU46" s="19"/>
      <c r="OTV46" s="19"/>
      <c r="OTW46" s="19"/>
      <c r="OTX46" s="19"/>
      <c r="OTY46" s="19"/>
      <c r="OTZ46" s="19"/>
      <c r="OUA46" s="19"/>
      <c r="OUB46" s="19"/>
      <c r="OUC46" s="19"/>
      <c r="OUD46" s="19"/>
      <c r="OUE46" s="19"/>
      <c r="OUF46" s="19"/>
      <c r="OUG46" s="19"/>
      <c r="OUH46" s="19"/>
      <c r="OUI46" s="19"/>
      <c r="OUJ46" s="19"/>
      <c r="OUK46" s="19"/>
      <c r="OUL46" s="19"/>
      <c r="OUM46" s="19"/>
      <c r="OUN46" s="19"/>
      <c r="OUO46" s="19"/>
      <c r="OUP46" s="19"/>
      <c r="OUQ46" s="19"/>
      <c r="OUR46" s="19"/>
      <c r="OUS46" s="19"/>
      <c r="OUT46" s="19"/>
      <c r="OUU46" s="19"/>
      <c r="OUV46" s="19"/>
      <c r="OUW46" s="19"/>
      <c r="OUX46" s="19"/>
      <c r="OUY46" s="19"/>
      <c r="OUZ46" s="19"/>
      <c r="OVA46" s="19"/>
      <c r="OVB46" s="19"/>
      <c r="OVC46" s="19"/>
      <c r="OVD46" s="19"/>
      <c r="OVE46" s="19"/>
      <c r="OVF46" s="19"/>
      <c r="OVG46" s="19"/>
      <c r="OVH46" s="19"/>
      <c r="OVI46" s="19"/>
      <c r="OVJ46" s="19"/>
      <c r="OVK46" s="19"/>
      <c r="OVL46" s="19"/>
      <c r="OVM46" s="19"/>
      <c r="OVN46" s="19"/>
      <c r="OVO46" s="19"/>
      <c r="OVP46" s="19"/>
      <c r="OVQ46" s="19"/>
      <c r="OVR46" s="19"/>
      <c r="OVS46" s="19"/>
      <c r="OVT46" s="19"/>
      <c r="OVU46" s="19"/>
      <c r="OVV46" s="19"/>
      <c r="OVW46" s="19"/>
      <c r="OVX46" s="19"/>
      <c r="OVY46" s="19"/>
      <c r="OVZ46" s="19"/>
      <c r="OWA46" s="19"/>
      <c r="OWB46" s="19"/>
      <c r="OWC46" s="19"/>
      <c r="OWD46" s="19"/>
      <c r="OWE46" s="19"/>
      <c r="OWF46" s="19"/>
      <c r="OWG46" s="19"/>
      <c r="OWH46" s="19"/>
      <c r="OWI46" s="19"/>
      <c r="OWJ46" s="19"/>
      <c r="OWK46" s="19"/>
      <c r="OWL46" s="19"/>
      <c r="OWM46" s="19"/>
      <c r="OWN46" s="19"/>
      <c r="OWO46" s="19"/>
      <c r="OWP46" s="19"/>
      <c r="OWQ46" s="19"/>
      <c r="OWR46" s="19"/>
      <c r="OWS46" s="19"/>
      <c r="OWT46" s="19"/>
      <c r="OWU46" s="19"/>
      <c r="OWV46" s="19"/>
      <c r="OWW46" s="19"/>
      <c r="OWX46" s="19"/>
      <c r="OWY46" s="19"/>
      <c r="OWZ46" s="19"/>
      <c r="OXA46" s="19"/>
      <c r="OXB46" s="19"/>
      <c r="OXC46" s="19"/>
      <c r="OXD46" s="19"/>
      <c r="OXE46" s="19"/>
      <c r="OXF46" s="19"/>
      <c r="OXG46" s="19"/>
      <c r="OXH46" s="19"/>
      <c r="OXI46" s="19"/>
      <c r="OXJ46" s="19"/>
      <c r="OXK46" s="19"/>
      <c r="OXL46" s="19"/>
      <c r="OXM46" s="19"/>
      <c r="OXN46" s="19"/>
      <c r="OXO46" s="19"/>
      <c r="OXP46" s="19"/>
      <c r="OXQ46" s="19"/>
      <c r="OXR46" s="19"/>
      <c r="OXS46" s="19"/>
      <c r="OXT46" s="19"/>
      <c r="OXU46" s="19"/>
      <c r="OXV46" s="19"/>
      <c r="OXW46" s="19"/>
      <c r="OXX46" s="19"/>
      <c r="OXY46" s="19"/>
      <c r="OXZ46" s="19"/>
      <c r="OYA46" s="19"/>
      <c r="OYB46" s="19"/>
      <c r="OYC46" s="19"/>
      <c r="OYD46" s="19"/>
      <c r="OYE46" s="19"/>
      <c r="OYF46" s="19"/>
      <c r="OYG46" s="19"/>
      <c r="OYH46" s="19"/>
      <c r="OYI46" s="19"/>
      <c r="OYJ46" s="19"/>
      <c r="OYK46" s="19"/>
      <c r="OYL46" s="19"/>
      <c r="OYM46" s="19"/>
      <c r="OYN46" s="19"/>
      <c r="OYO46" s="19"/>
      <c r="OYP46" s="19"/>
      <c r="OYQ46" s="19"/>
      <c r="OYR46" s="19"/>
      <c r="OYS46" s="19"/>
      <c r="OYT46" s="19"/>
      <c r="OYU46" s="19"/>
      <c r="OYV46" s="19"/>
      <c r="OYW46" s="19"/>
      <c r="OYX46" s="19"/>
      <c r="OYY46" s="19"/>
      <c r="OYZ46" s="19"/>
      <c r="OZA46" s="19"/>
      <c r="OZB46" s="19"/>
      <c r="OZC46" s="19"/>
      <c r="OZD46" s="19"/>
      <c r="OZE46" s="19"/>
      <c r="OZF46" s="19"/>
      <c r="OZG46" s="19"/>
      <c r="OZH46" s="19"/>
      <c r="OZI46" s="19"/>
      <c r="OZJ46" s="19"/>
      <c r="OZK46" s="19"/>
      <c r="OZL46" s="19"/>
      <c r="OZM46" s="19"/>
      <c r="OZN46" s="19"/>
      <c r="OZO46" s="19"/>
      <c r="OZP46" s="19"/>
      <c r="OZQ46" s="19"/>
      <c r="OZR46" s="19"/>
      <c r="OZS46" s="19"/>
      <c r="OZT46" s="19"/>
      <c r="OZU46" s="19"/>
      <c r="OZV46" s="19"/>
      <c r="OZW46" s="19"/>
      <c r="OZX46" s="19"/>
      <c r="OZY46" s="19"/>
      <c r="OZZ46" s="19"/>
      <c r="PAA46" s="19"/>
      <c r="PAB46" s="19"/>
      <c r="PAC46" s="19"/>
      <c r="PAD46" s="19"/>
      <c r="PAE46" s="19"/>
      <c r="PAF46" s="19"/>
      <c r="PAG46" s="19"/>
      <c r="PAH46" s="19"/>
      <c r="PAI46" s="19"/>
      <c r="PAJ46" s="19"/>
      <c r="PAK46" s="19"/>
      <c r="PAL46" s="19"/>
      <c r="PAM46" s="19"/>
      <c r="PAN46" s="19"/>
      <c r="PAO46" s="19"/>
      <c r="PAP46" s="19"/>
      <c r="PAQ46" s="19"/>
      <c r="PAR46" s="19"/>
      <c r="PAS46" s="19"/>
      <c r="PAT46" s="19"/>
      <c r="PAU46" s="19"/>
      <c r="PAV46" s="19"/>
      <c r="PAW46" s="19"/>
      <c r="PAX46" s="19"/>
      <c r="PAY46" s="19"/>
      <c r="PAZ46" s="19"/>
      <c r="PBA46" s="19"/>
      <c r="PBB46" s="19"/>
      <c r="PBC46" s="19"/>
      <c r="PBD46" s="19"/>
      <c r="PBE46" s="19"/>
      <c r="PBF46" s="19"/>
      <c r="PBG46" s="19"/>
      <c r="PBH46" s="19"/>
      <c r="PBI46" s="19"/>
      <c r="PBJ46" s="19"/>
      <c r="PBK46" s="19"/>
      <c r="PBL46" s="19"/>
      <c r="PBM46" s="19"/>
      <c r="PBN46" s="19"/>
      <c r="PBO46" s="19"/>
      <c r="PBP46" s="19"/>
      <c r="PBQ46" s="19"/>
      <c r="PBR46" s="19"/>
      <c r="PBS46" s="19"/>
      <c r="PBT46" s="19"/>
      <c r="PBU46" s="19"/>
      <c r="PBV46" s="19"/>
      <c r="PBW46" s="19"/>
      <c r="PBX46" s="19"/>
      <c r="PBY46" s="19"/>
      <c r="PBZ46" s="19"/>
      <c r="PCA46" s="19"/>
      <c r="PCB46" s="19"/>
      <c r="PCC46" s="19"/>
      <c r="PCD46" s="19"/>
      <c r="PCE46" s="19"/>
      <c r="PCF46" s="19"/>
      <c r="PCG46" s="19"/>
      <c r="PCH46" s="19"/>
      <c r="PCI46" s="19"/>
      <c r="PCJ46" s="19"/>
      <c r="PCK46" s="19"/>
      <c r="PCL46" s="19"/>
      <c r="PCM46" s="19"/>
      <c r="PCN46" s="19"/>
      <c r="PCO46" s="19"/>
      <c r="PCP46" s="19"/>
      <c r="PCQ46" s="19"/>
      <c r="PCR46" s="19"/>
      <c r="PCS46" s="19"/>
      <c r="PCT46" s="19"/>
      <c r="PCU46" s="19"/>
      <c r="PCV46" s="19"/>
      <c r="PCW46" s="19"/>
      <c r="PCX46" s="19"/>
      <c r="PCY46" s="19"/>
      <c r="PCZ46" s="19"/>
      <c r="PDA46" s="19"/>
      <c r="PDB46" s="19"/>
      <c r="PDC46" s="19"/>
      <c r="PDD46" s="19"/>
      <c r="PDE46" s="19"/>
      <c r="PDF46" s="19"/>
      <c r="PDG46" s="19"/>
      <c r="PDH46" s="19"/>
      <c r="PDI46" s="19"/>
      <c r="PDJ46" s="19"/>
      <c r="PDK46" s="19"/>
      <c r="PDL46" s="19"/>
      <c r="PDM46" s="19"/>
      <c r="PDN46" s="19"/>
      <c r="PDO46" s="19"/>
      <c r="PDP46" s="19"/>
      <c r="PDQ46" s="19"/>
      <c r="PDR46" s="19"/>
      <c r="PDS46" s="19"/>
      <c r="PDT46" s="19"/>
      <c r="PDU46" s="19"/>
      <c r="PDV46" s="19"/>
      <c r="PDW46" s="19"/>
      <c r="PDX46" s="19"/>
      <c r="PDY46" s="19"/>
      <c r="PDZ46" s="19"/>
      <c r="PEA46" s="19"/>
      <c r="PEB46" s="19"/>
      <c r="PEC46" s="19"/>
      <c r="PED46" s="19"/>
      <c r="PEE46" s="19"/>
      <c r="PEF46" s="19"/>
      <c r="PEG46" s="19"/>
      <c r="PEH46" s="19"/>
      <c r="PEI46" s="19"/>
      <c r="PEJ46" s="19"/>
      <c r="PEK46" s="19"/>
      <c r="PEL46" s="19"/>
      <c r="PEM46" s="19"/>
      <c r="PEN46" s="19"/>
      <c r="PEO46" s="19"/>
      <c r="PEP46" s="19"/>
      <c r="PEQ46" s="19"/>
      <c r="PER46" s="19"/>
      <c r="PES46" s="19"/>
      <c r="PET46" s="19"/>
      <c r="PEU46" s="19"/>
      <c r="PEV46" s="19"/>
      <c r="PEW46" s="19"/>
      <c r="PEX46" s="19"/>
      <c r="PEY46" s="19"/>
      <c r="PEZ46" s="19"/>
      <c r="PFA46" s="19"/>
      <c r="PFB46" s="19"/>
      <c r="PFC46" s="19"/>
      <c r="PFD46" s="19"/>
      <c r="PFE46" s="19"/>
      <c r="PFF46" s="19"/>
      <c r="PFG46" s="19"/>
      <c r="PFH46" s="19"/>
      <c r="PFI46" s="19"/>
      <c r="PFJ46" s="19"/>
      <c r="PFK46" s="19"/>
      <c r="PFL46" s="19"/>
      <c r="PFM46" s="19"/>
      <c r="PFN46" s="19"/>
      <c r="PFO46" s="19"/>
      <c r="PFP46" s="19"/>
      <c r="PFQ46" s="19"/>
      <c r="PFR46" s="19"/>
      <c r="PFS46" s="19"/>
      <c r="PFT46" s="19"/>
      <c r="PFU46" s="19"/>
      <c r="PFV46" s="19"/>
      <c r="PFW46" s="19"/>
      <c r="PFX46" s="19"/>
      <c r="PFY46" s="19"/>
      <c r="PFZ46" s="19"/>
      <c r="PGA46" s="19"/>
      <c r="PGB46" s="19"/>
      <c r="PGC46" s="19"/>
      <c r="PGD46" s="19"/>
      <c r="PGE46" s="19"/>
      <c r="PGF46" s="19"/>
      <c r="PGG46" s="19"/>
      <c r="PGH46" s="19"/>
      <c r="PGI46" s="19"/>
      <c r="PGJ46" s="19"/>
      <c r="PGK46" s="19"/>
      <c r="PGL46" s="19"/>
      <c r="PGM46" s="19"/>
      <c r="PGN46" s="19"/>
      <c r="PGO46" s="19"/>
      <c r="PGP46" s="19"/>
      <c r="PGQ46" s="19"/>
      <c r="PGR46" s="19"/>
      <c r="PGS46" s="19"/>
      <c r="PGT46" s="19"/>
      <c r="PGU46" s="19"/>
      <c r="PGV46" s="19"/>
      <c r="PGW46" s="19"/>
      <c r="PGX46" s="19"/>
      <c r="PGY46" s="19"/>
      <c r="PGZ46" s="19"/>
      <c r="PHA46" s="19"/>
      <c r="PHB46" s="19"/>
      <c r="PHC46" s="19"/>
      <c r="PHD46" s="19"/>
      <c r="PHE46" s="19"/>
      <c r="PHF46" s="19"/>
      <c r="PHG46" s="19"/>
      <c r="PHH46" s="19"/>
      <c r="PHI46" s="19"/>
      <c r="PHJ46" s="19"/>
      <c r="PHK46" s="19"/>
      <c r="PHL46" s="19"/>
      <c r="PHM46" s="19"/>
      <c r="PHN46" s="19"/>
      <c r="PHO46" s="19"/>
      <c r="PHP46" s="19"/>
      <c r="PHQ46" s="19"/>
      <c r="PHR46" s="19"/>
      <c r="PHS46" s="19"/>
      <c r="PHT46" s="19"/>
      <c r="PHU46" s="19"/>
      <c r="PHV46" s="19"/>
      <c r="PHW46" s="19"/>
      <c r="PHX46" s="19"/>
      <c r="PHY46" s="19"/>
      <c r="PHZ46" s="19"/>
      <c r="PIA46" s="19"/>
      <c r="PIB46" s="19"/>
      <c r="PIC46" s="19"/>
      <c r="PID46" s="19"/>
      <c r="PIE46" s="19"/>
      <c r="PIF46" s="19"/>
      <c r="PIG46" s="19"/>
      <c r="PIH46" s="19"/>
      <c r="PII46" s="19"/>
      <c r="PIJ46" s="19"/>
      <c r="PIK46" s="19"/>
      <c r="PIL46" s="19"/>
      <c r="PIM46" s="19"/>
      <c r="PIN46" s="19"/>
      <c r="PIO46" s="19"/>
      <c r="PIP46" s="19"/>
      <c r="PIQ46" s="19"/>
      <c r="PIR46" s="19"/>
      <c r="PIS46" s="19"/>
      <c r="PIT46" s="19"/>
      <c r="PIU46" s="19"/>
      <c r="PIV46" s="19"/>
      <c r="PIW46" s="19"/>
      <c r="PIX46" s="19"/>
      <c r="PIY46" s="19"/>
      <c r="PIZ46" s="19"/>
      <c r="PJA46" s="19"/>
      <c r="PJB46" s="19"/>
      <c r="PJC46" s="19"/>
      <c r="PJD46" s="19"/>
      <c r="PJE46" s="19"/>
      <c r="PJF46" s="19"/>
      <c r="PJG46" s="19"/>
      <c r="PJH46" s="19"/>
      <c r="PJI46" s="19"/>
      <c r="PJJ46" s="19"/>
      <c r="PJK46" s="19"/>
      <c r="PJL46" s="19"/>
      <c r="PJM46" s="19"/>
      <c r="PJN46" s="19"/>
      <c r="PJO46" s="19"/>
      <c r="PJP46" s="19"/>
      <c r="PJQ46" s="19"/>
      <c r="PJR46" s="19"/>
      <c r="PJS46" s="19"/>
      <c r="PJT46" s="19"/>
      <c r="PJU46" s="19"/>
      <c r="PJV46" s="19"/>
      <c r="PJW46" s="19"/>
      <c r="PJX46" s="19"/>
      <c r="PJY46" s="19"/>
      <c r="PJZ46" s="19"/>
      <c r="PKA46" s="19"/>
      <c r="PKB46" s="19"/>
      <c r="PKC46" s="19"/>
      <c r="PKD46" s="19"/>
      <c r="PKE46" s="19"/>
      <c r="PKF46" s="19"/>
      <c r="PKG46" s="19"/>
      <c r="PKH46" s="19"/>
      <c r="PKI46" s="19"/>
      <c r="PKJ46" s="19"/>
      <c r="PKK46" s="19"/>
      <c r="PKL46" s="19"/>
      <c r="PKM46" s="19"/>
      <c r="PKN46" s="19"/>
      <c r="PKO46" s="19"/>
      <c r="PKP46" s="19"/>
      <c r="PKQ46" s="19"/>
      <c r="PKR46" s="19"/>
      <c r="PKS46" s="19"/>
      <c r="PKT46" s="19"/>
      <c r="PKU46" s="19"/>
      <c r="PKV46" s="19"/>
      <c r="PKW46" s="19"/>
      <c r="PKX46" s="19"/>
      <c r="PKY46" s="19"/>
      <c r="PKZ46" s="19"/>
      <c r="PLA46" s="19"/>
      <c r="PLB46" s="19"/>
      <c r="PLC46" s="19"/>
      <c r="PLD46" s="19"/>
      <c r="PLE46" s="19"/>
      <c r="PLF46" s="19"/>
      <c r="PLG46" s="19"/>
      <c r="PLH46" s="19"/>
      <c r="PLI46" s="19"/>
      <c r="PLJ46" s="19"/>
      <c r="PLK46" s="19"/>
      <c r="PLL46" s="19"/>
      <c r="PLM46" s="19"/>
      <c r="PLN46" s="19"/>
      <c r="PLO46" s="19"/>
      <c r="PLP46" s="19"/>
      <c r="PLQ46" s="19"/>
      <c r="PLR46" s="19"/>
      <c r="PLS46" s="19"/>
      <c r="PLT46" s="19"/>
      <c r="PLU46" s="19"/>
      <c r="PLV46" s="19"/>
      <c r="PLW46" s="19"/>
      <c r="PLX46" s="19"/>
      <c r="PLY46" s="19"/>
      <c r="PLZ46" s="19"/>
      <c r="PMA46" s="19"/>
      <c r="PMB46" s="19"/>
      <c r="PMC46" s="19"/>
      <c r="PMD46" s="19"/>
      <c r="PME46" s="19"/>
      <c r="PMF46" s="19"/>
      <c r="PMG46" s="19"/>
      <c r="PMH46" s="19"/>
      <c r="PMI46" s="19"/>
      <c r="PMJ46" s="19"/>
      <c r="PMK46" s="19"/>
      <c r="PML46" s="19"/>
      <c r="PMM46" s="19"/>
      <c r="PMN46" s="19"/>
      <c r="PMO46" s="19"/>
      <c r="PMP46" s="19"/>
      <c r="PMQ46" s="19"/>
      <c r="PMR46" s="19"/>
      <c r="PMS46" s="19"/>
      <c r="PMT46" s="19"/>
      <c r="PMU46" s="19"/>
      <c r="PMV46" s="19"/>
      <c r="PMW46" s="19"/>
      <c r="PMX46" s="19"/>
      <c r="PMY46" s="19"/>
      <c r="PMZ46" s="19"/>
      <c r="PNA46" s="19"/>
      <c r="PNB46" s="19"/>
      <c r="PNC46" s="19"/>
      <c r="PND46" s="19"/>
      <c r="PNE46" s="19"/>
      <c r="PNF46" s="19"/>
      <c r="PNG46" s="19"/>
      <c r="PNH46" s="19"/>
      <c r="PNI46" s="19"/>
      <c r="PNJ46" s="19"/>
      <c r="PNK46" s="19"/>
      <c r="PNL46" s="19"/>
      <c r="PNM46" s="19"/>
      <c r="PNN46" s="19"/>
      <c r="PNO46" s="19"/>
      <c r="PNP46" s="19"/>
      <c r="PNQ46" s="19"/>
      <c r="PNR46" s="19"/>
      <c r="PNS46" s="19"/>
      <c r="PNT46" s="19"/>
      <c r="PNU46" s="19"/>
      <c r="PNV46" s="19"/>
      <c r="PNW46" s="19"/>
      <c r="PNX46" s="19"/>
      <c r="PNY46" s="19"/>
      <c r="PNZ46" s="19"/>
      <c r="POA46" s="19"/>
      <c r="POB46" s="19"/>
      <c r="POC46" s="19"/>
      <c r="POD46" s="19"/>
      <c r="POE46" s="19"/>
      <c r="POF46" s="19"/>
      <c r="POG46" s="19"/>
      <c r="POH46" s="19"/>
      <c r="POI46" s="19"/>
      <c r="POJ46" s="19"/>
      <c r="POK46" s="19"/>
      <c r="POL46" s="19"/>
      <c r="POM46" s="19"/>
      <c r="PON46" s="19"/>
      <c r="POO46" s="19"/>
      <c r="POP46" s="19"/>
      <c r="POQ46" s="19"/>
      <c r="POR46" s="19"/>
      <c r="POS46" s="19"/>
      <c r="POT46" s="19"/>
      <c r="POU46" s="19"/>
      <c r="POV46" s="19"/>
      <c r="POW46" s="19"/>
      <c r="POX46" s="19"/>
      <c r="POY46" s="19"/>
      <c r="POZ46" s="19"/>
      <c r="PPA46" s="19"/>
      <c r="PPB46" s="19"/>
      <c r="PPC46" s="19"/>
      <c r="PPD46" s="19"/>
      <c r="PPE46" s="19"/>
      <c r="PPF46" s="19"/>
      <c r="PPG46" s="19"/>
      <c r="PPH46" s="19"/>
      <c r="PPI46" s="19"/>
      <c r="PPJ46" s="19"/>
      <c r="PPK46" s="19"/>
      <c r="PPL46" s="19"/>
      <c r="PPM46" s="19"/>
      <c r="PPN46" s="19"/>
      <c r="PPO46" s="19"/>
      <c r="PPP46" s="19"/>
      <c r="PPQ46" s="19"/>
      <c r="PPR46" s="19"/>
      <c r="PPS46" s="19"/>
      <c r="PPT46" s="19"/>
      <c r="PPU46" s="19"/>
      <c r="PPV46" s="19"/>
      <c r="PPW46" s="19"/>
      <c r="PPX46" s="19"/>
      <c r="PPY46" s="19"/>
      <c r="PPZ46" s="19"/>
      <c r="PQA46" s="19"/>
      <c r="PQB46" s="19"/>
      <c r="PQC46" s="19"/>
      <c r="PQD46" s="19"/>
      <c r="PQE46" s="19"/>
      <c r="PQF46" s="19"/>
      <c r="PQG46" s="19"/>
      <c r="PQH46" s="19"/>
      <c r="PQI46" s="19"/>
      <c r="PQJ46" s="19"/>
      <c r="PQK46" s="19"/>
      <c r="PQL46" s="19"/>
      <c r="PQM46" s="19"/>
      <c r="PQN46" s="19"/>
      <c r="PQO46" s="19"/>
      <c r="PQP46" s="19"/>
      <c r="PQQ46" s="19"/>
      <c r="PQR46" s="19"/>
      <c r="PQS46" s="19"/>
      <c r="PQT46" s="19"/>
      <c r="PQU46" s="19"/>
      <c r="PQV46" s="19"/>
      <c r="PQW46" s="19"/>
      <c r="PQX46" s="19"/>
      <c r="PQY46" s="19"/>
      <c r="PQZ46" s="19"/>
      <c r="PRA46" s="19"/>
      <c r="PRB46" s="19"/>
      <c r="PRC46" s="19"/>
      <c r="PRD46" s="19"/>
      <c r="PRE46" s="19"/>
      <c r="PRF46" s="19"/>
      <c r="PRG46" s="19"/>
      <c r="PRH46" s="19"/>
      <c r="PRI46" s="19"/>
      <c r="PRJ46" s="19"/>
      <c r="PRK46" s="19"/>
      <c r="PRL46" s="19"/>
      <c r="PRM46" s="19"/>
      <c r="PRN46" s="19"/>
      <c r="PRO46" s="19"/>
      <c r="PRP46" s="19"/>
      <c r="PRQ46" s="19"/>
      <c r="PRR46" s="19"/>
      <c r="PRS46" s="19"/>
      <c r="PRT46" s="19"/>
      <c r="PRU46" s="19"/>
      <c r="PRV46" s="19"/>
      <c r="PRW46" s="19"/>
      <c r="PRX46" s="19"/>
      <c r="PRY46" s="19"/>
      <c r="PRZ46" s="19"/>
      <c r="PSA46" s="19"/>
      <c r="PSB46" s="19"/>
      <c r="PSC46" s="19"/>
      <c r="PSD46" s="19"/>
      <c r="PSE46" s="19"/>
      <c r="PSF46" s="19"/>
      <c r="PSG46" s="19"/>
      <c r="PSH46" s="19"/>
      <c r="PSI46" s="19"/>
      <c r="PSJ46" s="19"/>
      <c r="PSK46" s="19"/>
      <c r="PSL46" s="19"/>
      <c r="PSM46" s="19"/>
      <c r="PSN46" s="19"/>
      <c r="PSO46" s="19"/>
      <c r="PSP46" s="19"/>
      <c r="PSQ46" s="19"/>
      <c r="PSR46" s="19"/>
      <c r="PSS46" s="19"/>
      <c r="PST46" s="19"/>
      <c r="PSU46" s="19"/>
      <c r="PSV46" s="19"/>
      <c r="PSW46" s="19"/>
      <c r="PSX46" s="19"/>
      <c r="PSY46" s="19"/>
      <c r="PSZ46" s="19"/>
      <c r="PTA46" s="19"/>
      <c r="PTB46" s="19"/>
      <c r="PTC46" s="19"/>
      <c r="PTD46" s="19"/>
      <c r="PTE46" s="19"/>
      <c r="PTF46" s="19"/>
      <c r="PTG46" s="19"/>
      <c r="PTH46" s="19"/>
      <c r="PTI46" s="19"/>
      <c r="PTJ46" s="19"/>
      <c r="PTK46" s="19"/>
      <c r="PTL46" s="19"/>
      <c r="PTM46" s="19"/>
      <c r="PTN46" s="19"/>
      <c r="PTO46" s="19"/>
      <c r="PTP46" s="19"/>
      <c r="PTQ46" s="19"/>
      <c r="PTR46" s="19"/>
      <c r="PTS46" s="19"/>
      <c r="PTT46" s="19"/>
      <c r="PTU46" s="19"/>
      <c r="PTV46" s="19"/>
      <c r="PTW46" s="19"/>
      <c r="PTX46" s="19"/>
      <c r="PTY46" s="19"/>
      <c r="PTZ46" s="19"/>
      <c r="PUA46" s="19"/>
      <c r="PUB46" s="19"/>
      <c r="PUC46" s="19"/>
      <c r="PUD46" s="19"/>
      <c r="PUE46" s="19"/>
      <c r="PUF46" s="19"/>
      <c r="PUG46" s="19"/>
      <c r="PUH46" s="19"/>
      <c r="PUI46" s="19"/>
      <c r="PUJ46" s="19"/>
      <c r="PUK46" s="19"/>
      <c r="PUL46" s="19"/>
      <c r="PUM46" s="19"/>
      <c r="PUN46" s="19"/>
      <c r="PUO46" s="19"/>
      <c r="PUP46" s="19"/>
      <c r="PUQ46" s="19"/>
      <c r="PUR46" s="19"/>
      <c r="PUS46" s="19"/>
      <c r="PUT46" s="19"/>
      <c r="PUU46" s="19"/>
      <c r="PUV46" s="19"/>
      <c r="PUW46" s="19"/>
      <c r="PUX46" s="19"/>
      <c r="PUY46" s="19"/>
      <c r="PUZ46" s="19"/>
      <c r="PVA46" s="19"/>
      <c r="PVB46" s="19"/>
      <c r="PVC46" s="19"/>
      <c r="PVD46" s="19"/>
      <c r="PVE46" s="19"/>
      <c r="PVF46" s="19"/>
      <c r="PVG46" s="19"/>
      <c r="PVH46" s="19"/>
      <c r="PVI46" s="19"/>
      <c r="PVJ46" s="19"/>
      <c r="PVK46" s="19"/>
      <c r="PVL46" s="19"/>
      <c r="PVM46" s="19"/>
      <c r="PVN46" s="19"/>
      <c r="PVO46" s="19"/>
      <c r="PVP46" s="19"/>
      <c r="PVQ46" s="19"/>
      <c r="PVR46" s="19"/>
      <c r="PVS46" s="19"/>
      <c r="PVT46" s="19"/>
      <c r="PVU46" s="19"/>
      <c r="PVV46" s="19"/>
      <c r="PVW46" s="19"/>
      <c r="PVX46" s="19"/>
      <c r="PVY46" s="19"/>
      <c r="PVZ46" s="19"/>
      <c r="PWA46" s="19"/>
      <c r="PWB46" s="19"/>
      <c r="PWC46" s="19"/>
      <c r="PWD46" s="19"/>
      <c r="PWE46" s="19"/>
      <c r="PWF46" s="19"/>
      <c r="PWG46" s="19"/>
      <c r="PWH46" s="19"/>
      <c r="PWI46" s="19"/>
      <c r="PWJ46" s="19"/>
      <c r="PWK46" s="19"/>
      <c r="PWL46" s="19"/>
      <c r="PWM46" s="19"/>
      <c r="PWN46" s="19"/>
      <c r="PWO46" s="19"/>
      <c r="PWP46" s="19"/>
      <c r="PWQ46" s="19"/>
      <c r="PWR46" s="19"/>
      <c r="PWS46" s="19"/>
      <c r="PWT46" s="19"/>
      <c r="PWU46" s="19"/>
      <c r="PWV46" s="19"/>
      <c r="PWW46" s="19"/>
      <c r="PWX46" s="19"/>
      <c r="PWY46" s="19"/>
      <c r="PWZ46" s="19"/>
      <c r="PXA46" s="19"/>
      <c r="PXB46" s="19"/>
      <c r="PXC46" s="19"/>
      <c r="PXD46" s="19"/>
      <c r="PXE46" s="19"/>
      <c r="PXF46" s="19"/>
      <c r="PXG46" s="19"/>
      <c r="PXH46" s="19"/>
      <c r="PXI46" s="19"/>
      <c r="PXJ46" s="19"/>
      <c r="PXK46" s="19"/>
      <c r="PXL46" s="19"/>
      <c r="PXM46" s="19"/>
      <c r="PXN46" s="19"/>
      <c r="PXO46" s="19"/>
      <c r="PXP46" s="19"/>
      <c r="PXQ46" s="19"/>
      <c r="PXR46" s="19"/>
      <c r="PXS46" s="19"/>
      <c r="PXT46" s="19"/>
      <c r="PXU46" s="19"/>
      <c r="PXV46" s="19"/>
      <c r="PXW46" s="19"/>
      <c r="PXX46" s="19"/>
      <c r="PXY46" s="19"/>
      <c r="PXZ46" s="19"/>
      <c r="PYA46" s="19"/>
      <c r="PYB46" s="19"/>
      <c r="PYC46" s="19"/>
      <c r="PYD46" s="19"/>
      <c r="PYE46" s="19"/>
      <c r="PYF46" s="19"/>
      <c r="PYG46" s="19"/>
      <c r="PYH46" s="19"/>
      <c r="PYI46" s="19"/>
      <c r="PYJ46" s="19"/>
      <c r="PYK46" s="19"/>
      <c r="PYL46" s="19"/>
      <c r="PYM46" s="19"/>
      <c r="PYN46" s="19"/>
      <c r="PYO46" s="19"/>
      <c r="PYP46" s="19"/>
      <c r="PYQ46" s="19"/>
      <c r="PYR46" s="19"/>
      <c r="PYS46" s="19"/>
      <c r="PYT46" s="19"/>
      <c r="PYU46" s="19"/>
      <c r="PYV46" s="19"/>
      <c r="PYW46" s="19"/>
      <c r="PYX46" s="19"/>
      <c r="PYY46" s="19"/>
      <c r="PYZ46" s="19"/>
      <c r="PZA46" s="19"/>
      <c r="PZB46" s="19"/>
      <c r="PZC46" s="19"/>
      <c r="PZD46" s="19"/>
      <c r="PZE46" s="19"/>
      <c r="PZF46" s="19"/>
      <c r="PZG46" s="19"/>
      <c r="PZH46" s="19"/>
      <c r="PZI46" s="19"/>
      <c r="PZJ46" s="19"/>
      <c r="PZK46" s="19"/>
      <c r="PZL46" s="19"/>
      <c r="PZM46" s="19"/>
      <c r="PZN46" s="19"/>
      <c r="PZO46" s="19"/>
      <c r="PZP46" s="19"/>
      <c r="PZQ46" s="19"/>
      <c r="PZR46" s="19"/>
      <c r="PZS46" s="19"/>
      <c r="PZT46" s="19"/>
      <c r="PZU46" s="19"/>
      <c r="PZV46" s="19"/>
      <c r="PZW46" s="19"/>
      <c r="PZX46" s="19"/>
      <c r="PZY46" s="19"/>
      <c r="PZZ46" s="19"/>
      <c r="QAA46" s="19"/>
      <c r="QAB46" s="19"/>
      <c r="QAC46" s="19"/>
      <c r="QAD46" s="19"/>
      <c r="QAE46" s="19"/>
      <c r="QAF46" s="19"/>
      <c r="QAG46" s="19"/>
      <c r="QAH46" s="19"/>
      <c r="QAI46" s="19"/>
      <c r="QAJ46" s="19"/>
      <c r="QAK46" s="19"/>
      <c r="QAL46" s="19"/>
      <c r="QAM46" s="19"/>
      <c r="QAN46" s="19"/>
      <c r="QAO46" s="19"/>
      <c r="QAP46" s="19"/>
      <c r="QAQ46" s="19"/>
      <c r="QAR46" s="19"/>
      <c r="QAS46" s="19"/>
      <c r="QAT46" s="19"/>
      <c r="QAU46" s="19"/>
      <c r="QAV46" s="19"/>
      <c r="QAW46" s="19"/>
      <c r="QAX46" s="19"/>
      <c r="QAY46" s="19"/>
      <c r="QAZ46" s="19"/>
      <c r="QBA46" s="19"/>
      <c r="QBB46" s="19"/>
      <c r="QBC46" s="19"/>
      <c r="QBD46" s="19"/>
      <c r="QBE46" s="19"/>
      <c r="QBF46" s="19"/>
      <c r="QBG46" s="19"/>
      <c r="QBH46" s="19"/>
      <c r="QBI46" s="19"/>
      <c r="QBJ46" s="19"/>
      <c r="QBK46" s="19"/>
      <c r="QBL46" s="19"/>
      <c r="QBM46" s="19"/>
      <c r="QBN46" s="19"/>
      <c r="QBO46" s="19"/>
      <c r="QBP46" s="19"/>
      <c r="QBQ46" s="19"/>
      <c r="QBR46" s="19"/>
      <c r="QBS46" s="19"/>
      <c r="QBT46" s="19"/>
      <c r="QBU46" s="19"/>
      <c r="QBV46" s="19"/>
      <c r="QBW46" s="19"/>
      <c r="QBX46" s="19"/>
      <c r="QBY46" s="19"/>
      <c r="QBZ46" s="19"/>
      <c r="QCA46" s="19"/>
      <c r="QCB46" s="19"/>
      <c r="QCC46" s="19"/>
      <c r="QCD46" s="19"/>
      <c r="QCE46" s="19"/>
      <c r="QCF46" s="19"/>
      <c r="QCG46" s="19"/>
      <c r="QCH46" s="19"/>
      <c r="QCI46" s="19"/>
      <c r="QCJ46" s="19"/>
      <c r="QCK46" s="19"/>
      <c r="QCL46" s="19"/>
      <c r="QCM46" s="19"/>
      <c r="QCN46" s="19"/>
      <c r="QCO46" s="19"/>
      <c r="QCP46" s="19"/>
      <c r="QCQ46" s="19"/>
      <c r="QCR46" s="19"/>
      <c r="QCS46" s="19"/>
      <c r="QCT46" s="19"/>
      <c r="QCU46" s="19"/>
      <c r="QCV46" s="19"/>
      <c r="QCW46" s="19"/>
      <c r="QCX46" s="19"/>
      <c r="QCY46" s="19"/>
      <c r="QCZ46" s="19"/>
      <c r="QDA46" s="19"/>
      <c r="QDB46" s="19"/>
      <c r="QDC46" s="19"/>
      <c r="QDD46" s="19"/>
      <c r="QDE46" s="19"/>
      <c r="QDF46" s="19"/>
      <c r="QDG46" s="19"/>
      <c r="QDH46" s="19"/>
      <c r="QDI46" s="19"/>
      <c r="QDJ46" s="19"/>
      <c r="QDK46" s="19"/>
      <c r="QDL46" s="19"/>
      <c r="QDM46" s="19"/>
      <c r="QDN46" s="19"/>
      <c r="QDO46" s="19"/>
      <c r="QDP46" s="19"/>
      <c r="QDQ46" s="19"/>
      <c r="QDR46" s="19"/>
      <c r="QDS46" s="19"/>
      <c r="QDT46" s="19"/>
      <c r="QDU46" s="19"/>
      <c r="QDV46" s="19"/>
      <c r="QDW46" s="19"/>
      <c r="QDX46" s="19"/>
      <c r="QDY46" s="19"/>
      <c r="QDZ46" s="19"/>
      <c r="QEA46" s="19"/>
      <c r="QEB46" s="19"/>
      <c r="QEC46" s="19"/>
      <c r="QED46" s="19"/>
      <c r="QEE46" s="19"/>
      <c r="QEF46" s="19"/>
      <c r="QEG46" s="19"/>
      <c r="QEH46" s="19"/>
      <c r="QEI46" s="19"/>
      <c r="QEJ46" s="19"/>
      <c r="QEK46" s="19"/>
      <c r="QEL46" s="19"/>
      <c r="QEM46" s="19"/>
      <c r="QEN46" s="19"/>
      <c r="QEO46" s="19"/>
      <c r="QEP46" s="19"/>
      <c r="QEQ46" s="19"/>
      <c r="QER46" s="19"/>
      <c r="QES46" s="19"/>
      <c r="QET46" s="19"/>
      <c r="QEU46" s="19"/>
      <c r="QEV46" s="19"/>
      <c r="QEW46" s="19"/>
      <c r="QEX46" s="19"/>
      <c r="QEY46" s="19"/>
      <c r="QEZ46" s="19"/>
      <c r="QFA46" s="19"/>
      <c r="QFB46" s="19"/>
      <c r="QFC46" s="19"/>
      <c r="QFD46" s="19"/>
      <c r="QFE46" s="19"/>
      <c r="QFF46" s="19"/>
      <c r="QFG46" s="19"/>
      <c r="QFH46" s="19"/>
      <c r="QFI46" s="19"/>
      <c r="QFJ46" s="19"/>
      <c r="QFK46" s="19"/>
      <c r="QFL46" s="19"/>
      <c r="QFM46" s="19"/>
      <c r="QFN46" s="19"/>
      <c r="QFO46" s="19"/>
      <c r="QFP46" s="19"/>
      <c r="QFQ46" s="19"/>
      <c r="QFR46" s="19"/>
      <c r="QFS46" s="19"/>
      <c r="QFT46" s="19"/>
      <c r="QFU46" s="19"/>
      <c r="QFV46" s="19"/>
      <c r="QFW46" s="19"/>
      <c r="QFX46" s="19"/>
      <c r="QFY46" s="19"/>
      <c r="QFZ46" s="19"/>
      <c r="QGA46" s="19"/>
      <c r="QGB46" s="19"/>
      <c r="QGC46" s="19"/>
      <c r="QGD46" s="19"/>
      <c r="QGE46" s="19"/>
      <c r="QGF46" s="19"/>
      <c r="QGG46" s="19"/>
      <c r="QGH46" s="19"/>
      <c r="QGI46" s="19"/>
      <c r="QGJ46" s="19"/>
      <c r="QGK46" s="19"/>
      <c r="QGL46" s="19"/>
      <c r="QGM46" s="19"/>
      <c r="QGN46" s="19"/>
      <c r="QGO46" s="19"/>
      <c r="QGP46" s="19"/>
      <c r="QGQ46" s="19"/>
      <c r="QGR46" s="19"/>
      <c r="QGS46" s="19"/>
      <c r="QGT46" s="19"/>
      <c r="QGU46" s="19"/>
      <c r="QGV46" s="19"/>
      <c r="QGW46" s="19"/>
      <c r="QGX46" s="19"/>
      <c r="QGY46" s="19"/>
      <c r="QGZ46" s="19"/>
      <c r="QHA46" s="19"/>
      <c r="QHB46" s="19"/>
      <c r="QHC46" s="19"/>
      <c r="QHD46" s="19"/>
      <c r="QHE46" s="19"/>
      <c r="QHF46" s="19"/>
      <c r="QHG46" s="19"/>
      <c r="QHH46" s="19"/>
      <c r="QHI46" s="19"/>
      <c r="QHJ46" s="19"/>
      <c r="QHK46" s="19"/>
      <c r="QHL46" s="19"/>
      <c r="QHM46" s="19"/>
      <c r="QHN46" s="19"/>
      <c r="QHO46" s="19"/>
      <c r="QHP46" s="19"/>
      <c r="QHQ46" s="19"/>
      <c r="QHR46" s="19"/>
      <c r="QHS46" s="19"/>
      <c r="QHT46" s="19"/>
      <c r="QHU46" s="19"/>
      <c r="QHV46" s="19"/>
      <c r="QHW46" s="19"/>
      <c r="QHX46" s="19"/>
      <c r="QHY46" s="19"/>
      <c r="QHZ46" s="19"/>
      <c r="QIA46" s="19"/>
      <c r="QIB46" s="19"/>
      <c r="QIC46" s="19"/>
      <c r="QID46" s="19"/>
      <c r="QIE46" s="19"/>
      <c r="QIF46" s="19"/>
      <c r="QIG46" s="19"/>
      <c r="QIH46" s="19"/>
      <c r="QII46" s="19"/>
      <c r="QIJ46" s="19"/>
      <c r="QIK46" s="19"/>
      <c r="QIL46" s="19"/>
      <c r="QIM46" s="19"/>
      <c r="QIN46" s="19"/>
      <c r="QIO46" s="19"/>
      <c r="QIP46" s="19"/>
      <c r="QIQ46" s="19"/>
      <c r="QIR46" s="19"/>
      <c r="QIS46" s="19"/>
      <c r="QIT46" s="19"/>
      <c r="QIU46" s="19"/>
      <c r="QIV46" s="19"/>
      <c r="QIW46" s="19"/>
      <c r="QIX46" s="19"/>
      <c r="QIY46" s="19"/>
      <c r="QIZ46" s="19"/>
      <c r="QJA46" s="19"/>
      <c r="QJB46" s="19"/>
      <c r="QJC46" s="19"/>
      <c r="QJD46" s="19"/>
      <c r="QJE46" s="19"/>
      <c r="QJF46" s="19"/>
      <c r="QJG46" s="19"/>
      <c r="QJH46" s="19"/>
      <c r="QJI46" s="19"/>
      <c r="QJJ46" s="19"/>
      <c r="QJK46" s="19"/>
      <c r="QJL46" s="19"/>
      <c r="QJM46" s="19"/>
      <c r="QJN46" s="19"/>
      <c r="QJO46" s="19"/>
      <c r="QJP46" s="19"/>
      <c r="QJQ46" s="19"/>
      <c r="QJR46" s="19"/>
      <c r="QJS46" s="19"/>
      <c r="QJT46" s="19"/>
      <c r="QJU46" s="19"/>
      <c r="QJV46" s="19"/>
      <c r="QJW46" s="19"/>
      <c r="QJX46" s="19"/>
      <c r="QJY46" s="19"/>
      <c r="QJZ46" s="19"/>
      <c r="QKA46" s="19"/>
      <c r="QKB46" s="19"/>
      <c r="QKC46" s="19"/>
      <c r="QKD46" s="19"/>
      <c r="QKE46" s="19"/>
      <c r="QKF46" s="19"/>
      <c r="QKG46" s="19"/>
      <c r="QKH46" s="19"/>
      <c r="QKI46" s="19"/>
      <c r="QKJ46" s="19"/>
      <c r="QKK46" s="19"/>
      <c r="QKL46" s="19"/>
      <c r="QKM46" s="19"/>
      <c r="QKN46" s="19"/>
      <c r="QKO46" s="19"/>
      <c r="QKP46" s="19"/>
      <c r="QKQ46" s="19"/>
      <c r="QKR46" s="19"/>
      <c r="QKS46" s="19"/>
      <c r="QKT46" s="19"/>
      <c r="QKU46" s="19"/>
      <c r="QKV46" s="19"/>
      <c r="QKW46" s="19"/>
      <c r="QKX46" s="19"/>
      <c r="QKY46" s="19"/>
      <c r="QKZ46" s="19"/>
      <c r="QLA46" s="19"/>
      <c r="QLB46" s="19"/>
      <c r="QLC46" s="19"/>
      <c r="QLD46" s="19"/>
      <c r="QLE46" s="19"/>
      <c r="QLF46" s="19"/>
      <c r="QLG46" s="19"/>
      <c r="QLH46" s="19"/>
      <c r="QLI46" s="19"/>
      <c r="QLJ46" s="19"/>
      <c r="QLK46" s="19"/>
      <c r="QLL46" s="19"/>
      <c r="QLM46" s="19"/>
      <c r="QLN46" s="19"/>
      <c r="QLO46" s="19"/>
      <c r="QLP46" s="19"/>
      <c r="QLQ46" s="19"/>
      <c r="QLR46" s="19"/>
      <c r="QLS46" s="19"/>
      <c r="QLT46" s="19"/>
      <c r="QLU46" s="19"/>
      <c r="QLV46" s="19"/>
      <c r="QLW46" s="19"/>
      <c r="QLX46" s="19"/>
      <c r="QLY46" s="19"/>
      <c r="QLZ46" s="19"/>
      <c r="QMA46" s="19"/>
      <c r="QMB46" s="19"/>
      <c r="QMC46" s="19"/>
      <c r="QMD46" s="19"/>
      <c r="QME46" s="19"/>
      <c r="QMF46" s="19"/>
      <c r="QMG46" s="19"/>
      <c r="QMH46" s="19"/>
      <c r="QMI46" s="19"/>
      <c r="QMJ46" s="19"/>
      <c r="QMK46" s="19"/>
      <c r="QML46" s="19"/>
      <c r="QMM46" s="19"/>
      <c r="QMN46" s="19"/>
      <c r="QMO46" s="19"/>
      <c r="QMP46" s="19"/>
      <c r="QMQ46" s="19"/>
      <c r="QMR46" s="19"/>
      <c r="QMS46" s="19"/>
      <c r="QMT46" s="19"/>
      <c r="QMU46" s="19"/>
      <c r="QMV46" s="19"/>
      <c r="QMW46" s="19"/>
      <c r="QMX46" s="19"/>
      <c r="QMY46" s="19"/>
      <c r="QMZ46" s="19"/>
      <c r="QNA46" s="19"/>
      <c r="QNB46" s="19"/>
      <c r="QNC46" s="19"/>
      <c r="QND46" s="19"/>
      <c r="QNE46" s="19"/>
      <c r="QNF46" s="19"/>
      <c r="QNG46" s="19"/>
      <c r="QNH46" s="19"/>
      <c r="QNI46" s="19"/>
      <c r="QNJ46" s="19"/>
      <c r="QNK46" s="19"/>
      <c r="QNL46" s="19"/>
      <c r="QNM46" s="19"/>
      <c r="QNN46" s="19"/>
      <c r="QNO46" s="19"/>
      <c r="QNP46" s="19"/>
      <c r="QNQ46" s="19"/>
      <c r="QNR46" s="19"/>
      <c r="QNS46" s="19"/>
      <c r="QNT46" s="19"/>
      <c r="QNU46" s="19"/>
      <c r="QNV46" s="19"/>
      <c r="QNW46" s="19"/>
      <c r="QNX46" s="19"/>
      <c r="QNY46" s="19"/>
      <c r="QNZ46" s="19"/>
      <c r="QOA46" s="19"/>
      <c r="QOB46" s="19"/>
      <c r="QOC46" s="19"/>
      <c r="QOD46" s="19"/>
      <c r="QOE46" s="19"/>
      <c r="QOF46" s="19"/>
      <c r="QOG46" s="19"/>
      <c r="QOH46" s="19"/>
      <c r="QOI46" s="19"/>
      <c r="QOJ46" s="19"/>
      <c r="QOK46" s="19"/>
      <c r="QOL46" s="19"/>
      <c r="QOM46" s="19"/>
      <c r="QON46" s="19"/>
      <c r="QOO46" s="19"/>
      <c r="QOP46" s="19"/>
      <c r="QOQ46" s="19"/>
      <c r="QOR46" s="19"/>
      <c r="QOS46" s="19"/>
      <c r="QOT46" s="19"/>
      <c r="QOU46" s="19"/>
      <c r="QOV46" s="19"/>
      <c r="QOW46" s="19"/>
      <c r="QOX46" s="19"/>
      <c r="QOY46" s="19"/>
      <c r="QOZ46" s="19"/>
      <c r="QPA46" s="19"/>
      <c r="QPB46" s="19"/>
      <c r="QPC46" s="19"/>
      <c r="QPD46" s="19"/>
      <c r="QPE46" s="19"/>
      <c r="QPF46" s="19"/>
      <c r="QPG46" s="19"/>
      <c r="QPH46" s="19"/>
      <c r="QPI46" s="19"/>
      <c r="QPJ46" s="19"/>
      <c r="QPK46" s="19"/>
      <c r="QPL46" s="19"/>
      <c r="QPM46" s="19"/>
      <c r="QPN46" s="19"/>
      <c r="QPO46" s="19"/>
      <c r="QPP46" s="19"/>
      <c r="QPQ46" s="19"/>
      <c r="QPR46" s="19"/>
      <c r="QPS46" s="19"/>
      <c r="QPT46" s="19"/>
      <c r="QPU46" s="19"/>
      <c r="QPV46" s="19"/>
      <c r="QPW46" s="19"/>
      <c r="QPX46" s="19"/>
      <c r="QPY46" s="19"/>
      <c r="QPZ46" s="19"/>
      <c r="QQA46" s="19"/>
      <c r="QQB46" s="19"/>
      <c r="QQC46" s="19"/>
      <c r="QQD46" s="19"/>
      <c r="QQE46" s="19"/>
      <c r="QQF46" s="19"/>
      <c r="QQG46" s="19"/>
      <c r="QQH46" s="19"/>
      <c r="QQI46" s="19"/>
      <c r="QQJ46" s="19"/>
      <c r="QQK46" s="19"/>
      <c r="QQL46" s="19"/>
      <c r="QQM46" s="19"/>
      <c r="QQN46" s="19"/>
      <c r="QQO46" s="19"/>
      <c r="QQP46" s="19"/>
      <c r="QQQ46" s="19"/>
      <c r="QQR46" s="19"/>
      <c r="QQS46" s="19"/>
      <c r="QQT46" s="19"/>
      <c r="QQU46" s="19"/>
      <c r="QQV46" s="19"/>
      <c r="QQW46" s="19"/>
      <c r="QQX46" s="19"/>
      <c r="QQY46" s="19"/>
      <c r="QQZ46" s="19"/>
      <c r="QRA46" s="19"/>
      <c r="QRB46" s="19"/>
      <c r="QRC46" s="19"/>
      <c r="QRD46" s="19"/>
      <c r="QRE46" s="19"/>
      <c r="QRF46" s="19"/>
      <c r="QRG46" s="19"/>
      <c r="QRH46" s="19"/>
      <c r="QRI46" s="19"/>
      <c r="QRJ46" s="19"/>
      <c r="QRK46" s="19"/>
      <c r="QRL46" s="19"/>
      <c r="QRM46" s="19"/>
      <c r="QRN46" s="19"/>
      <c r="QRO46" s="19"/>
      <c r="QRP46" s="19"/>
      <c r="QRQ46" s="19"/>
      <c r="QRR46" s="19"/>
      <c r="QRS46" s="19"/>
      <c r="QRT46" s="19"/>
      <c r="QRU46" s="19"/>
      <c r="QRV46" s="19"/>
      <c r="QRW46" s="19"/>
      <c r="QRX46" s="19"/>
      <c r="QRY46" s="19"/>
      <c r="QRZ46" s="19"/>
      <c r="QSA46" s="19"/>
      <c r="QSB46" s="19"/>
      <c r="QSC46" s="19"/>
      <c r="QSD46" s="19"/>
      <c r="QSE46" s="19"/>
      <c r="QSF46" s="19"/>
      <c r="QSG46" s="19"/>
      <c r="QSH46" s="19"/>
      <c r="QSI46" s="19"/>
      <c r="QSJ46" s="19"/>
      <c r="QSK46" s="19"/>
      <c r="QSL46" s="19"/>
      <c r="QSM46" s="19"/>
      <c r="QSN46" s="19"/>
      <c r="QSO46" s="19"/>
      <c r="QSP46" s="19"/>
      <c r="QSQ46" s="19"/>
      <c r="QSR46" s="19"/>
      <c r="QSS46" s="19"/>
      <c r="QST46" s="19"/>
      <c r="QSU46" s="19"/>
      <c r="QSV46" s="19"/>
      <c r="QSW46" s="19"/>
      <c r="QSX46" s="19"/>
      <c r="QSY46" s="19"/>
      <c r="QSZ46" s="19"/>
      <c r="QTA46" s="19"/>
      <c r="QTB46" s="19"/>
      <c r="QTC46" s="19"/>
      <c r="QTD46" s="19"/>
      <c r="QTE46" s="19"/>
      <c r="QTF46" s="19"/>
      <c r="QTG46" s="19"/>
      <c r="QTH46" s="19"/>
      <c r="QTI46" s="19"/>
      <c r="QTJ46" s="19"/>
      <c r="QTK46" s="19"/>
      <c r="QTL46" s="19"/>
      <c r="QTM46" s="19"/>
      <c r="QTN46" s="19"/>
      <c r="QTO46" s="19"/>
      <c r="QTP46" s="19"/>
      <c r="QTQ46" s="19"/>
      <c r="QTR46" s="19"/>
      <c r="QTS46" s="19"/>
      <c r="QTT46" s="19"/>
      <c r="QTU46" s="19"/>
      <c r="QTV46" s="19"/>
      <c r="QTW46" s="19"/>
      <c r="QTX46" s="19"/>
      <c r="QTY46" s="19"/>
      <c r="QTZ46" s="19"/>
      <c r="QUA46" s="19"/>
      <c r="QUB46" s="19"/>
      <c r="QUC46" s="19"/>
      <c r="QUD46" s="19"/>
      <c r="QUE46" s="19"/>
      <c r="QUF46" s="19"/>
      <c r="QUG46" s="19"/>
      <c r="QUH46" s="19"/>
      <c r="QUI46" s="19"/>
      <c r="QUJ46" s="19"/>
      <c r="QUK46" s="19"/>
      <c r="QUL46" s="19"/>
      <c r="QUM46" s="19"/>
      <c r="QUN46" s="19"/>
      <c r="QUO46" s="19"/>
      <c r="QUP46" s="19"/>
      <c r="QUQ46" s="19"/>
      <c r="QUR46" s="19"/>
      <c r="QUS46" s="19"/>
      <c r="QUT46" s="19"/>
      <c r="QUU46" s="19"/>
      <c r="QUV46" s="19"/>
      <c r="QUW46" s="19"/>
      <c r="QUX46" s="19"/>
      <c r="QUY46" s="19"/>
      <c r="QUZ46" s="19"/>
      <c r="QVA46" s="19"/>
      <c r="QVB46" s="19"/>
      <c r="QVC46" s="19"/>
      <c r="QVD46" s="19"/>
      <c r="QVE46" s="19"/>
      <c r="QVF46" s="19"/>
      <c r="QVG46" s="19"/>
      <c r="QVH46" s="19"/>
      <c r="QVI46" s="19"/>
      <c r="QVJ46" s="19"/>
      <c r="QVK46" s="19"/>
      <c r="QVL46" s="19"/>
      <c r="QVM46" s="19"/>
      <c r="QVN46" s="19"/>
      <c r="QVO46" s="19"/>
      <c r="QVP46" s="19"/>
      <c r="QVQ46" s="19"/>
      <c r="QVR46" s="19"/>
      <c r="QVS46" s="19"/>
      <c r="QVT46" s="19"/>
      <c r="QVU46" s="19"/>
      <c r="QVV46" s="19"/>
      <c r="QVW46" s="19"/>
      <c r="QVX46" s="19"/>
      <c r="QVY46" s="19"/>
      <c r="QVZ46" s="19"/>
      <c r="QWA46" s="19"/>
      <c r="QWB46" s="19"/>
      <c r="QWC46" s="19"/>
      <c r="QWD46" s="19"/>
      <c r="QWE46" s="19"/>
      <c r="QWF46" s="19"/>
      <c r="QWG46" s="19"/>
      <c r="QWH46" s="19"/>
      <c r="QWI46" s="19"/>
      <c r="QWJ46" s="19"/>
      <c r="QWK46" s="19"/>
      <c r="QWL46" s="19"/>
      <c r="QWM46" s="19"/>
      <c r="QWN46" s="19"/>
      <c r="QWO46" s="19"/>
      <c r="QWP46" s="19"/>
      <c r="QWQ46" s="19"/>
      <c r="QWR46" s="19"/>
      <c r="QWS46" s="19"/>
      <c r="QWT46" s="19"/>
      <c r="QWU46" s="19"/>
      <c r="QWV46" s="19"/>
      <c r="QWW46" s="19"/>
      <c r="QWX46" s="19"/>
      <c r="QWY46" s="19"/>
      <c r="QWZ46" s="19"/>
      <c r="QXA46" s="19"/>
      <c r="QXB46" s="19"/>
      <c r="QXC46" s="19"/>
      <c r="QXD46" s="19"/>
      <c r="QXE46" s="19"/>
      <c r="QXF46" s="19"/>
      <c r="QXG46" s="19"/>
      <c r="QXH46" s="19"/>
      <c r="QXI46" s="19"/>
      <c r="QXJ46" s="19"/>
      <c r="QXK46" s="19"/>
      <c r="QXL46" s="19"/>
      <c r="QXM46" s="19"/>
      <c r="QXN46" s="19"/>
      <c r="QXO46" s="19"/>
      <c r="QXP46" s="19"/>
      <c r="QXQ46" s="19"/>
      <c r="QXR46" s="19"/>
      <c r="QXS46" s="19"/>
      <c r="QXT46" s="19"/>
      <c r="QXU46" s="19"/>
      <c r="QXV46" s="19"/>
      <c r="QXW46" s="19"/>
      <c r="QXX46" s="19"/>
      <c r="QXY46" s="19"/>
      <c r="QXZ46" s="19"/>
      <c r="QYA46" s="19"/>
      <c r="QYB46" s="19"/>
      <c r="QYC46" s="19"/>
      <c r="QYD46" s="19"/>
      <c r="QYE46" s="19"/>
      <c r="QYF46" s="19"/>
      <c r="QYG46" s="19"/>
      <c r="QYH46" s="19"/>
      <c r="QYI46" s="19"/>
      <c r="QYJ46" s="19"/>
      <c r="QYK46" s="19"/>
      <c r="QYL46" s="19"/>
      <c r="QYM46" s="19"/>
      <c r="QYN46" s="19"/>
      <c r="QYO46" s="19"/>
      <c r="QYP46" s="19"/>
      <c r="QYQ46" s="19"/>
      <c r="QYR46" s="19"/>
      <c r="QYS46" s="19"/>
      <c r="QYT46" s="19"/>
      <c r="QYU46" s="19"/>
      <c r="QYV46" s="19"/>
      <c r="QYW46" s="19"/>
      <c r="QYX46" s="19"/>
      <c r="QYY46" s="19"/>
      <c r="QYZ46" s="19"/>
      <c r="QZA46" s="19"/>
      <c r="QZB46" s="19"/>
      <c r="QZC46" s="19"/>
      <c r="QZD46" s="19"/>
      <c r="QZE46" s="19"/>
      <c r="QZF46" s="19"/>
      <c r="QZG46" s="19"/>
      <c r="QZH46" s="19"/>
      <c r="QZI46" s="19"/>
      <c r="QZJ46" s="19"/>
      <c r="QZK46" s="19"/>
      <c r="QZL46" s="19"/>
      <c r="QZM46" s="19"/>
      <c r="QZN46" s="19"/>
      <c r="QZO46" s="19"/>
      <c r="QZP46" s="19"/>
      <c r="QZQ46" s="19"/>
      <c r="QZR46" s="19"/>
      <c r="QZS46" s="19"/>
      <c r="QZT46" s="19"/>
      <c r="QZU46" s="19"/>
      <c r="QZV46" s="19"/>
      <c r="QZW46" s="19"/>
      <c r="QZX46" s="19"/>
      <c r="QZY46" s="19"/>
      <c r="QZZ46" s="19"/>
      <c r="RAA46" s="19"/>
      <c r="RAB46" s="19"/>
      <c r="RAC46" s="19"/>
      <c r="RAD46" s="19"/>
      <c r="RAE46" s="19"/>
      <c r="RAF46" s="19"/>
      <c r="RAG46" s="19"/>
      <c r="RAH46" s="19"/>
      <c r="RAI46" s="19"/>
      <c r="RAJ46" s="19"/>
      <c r="RAK46" s="19"/>
      <c r="RAL46" s="19"/>
      <c r="RAM46" s="19"/>
      <c r="RAN46" s="19"/>
      <c r="RAO46" s="19"/>
      <c r="RAP46" s="19"/>
      <c r="RAQ46" s="19"/>
      <c r="RAR46" s="19"/>
      <c r="RAS46" s="19"/>
      <c r="RAT46" s="19"/>
      <c r="RAU46" s="19"/>
      <c r="RAV46" s="19"/>
      <c r="RAW46" s="19"/>
      <c r="RAX46" s="19"/>
      <c r="RAY46" s="19"/>
      <c r="RAZ46" s="19"/>
      <c r="RBA46" s="19"/>
      <c r="RBB46" s="19"/>
      <c r="RBC46" s="19"/>
      <c r="RBD46" s="19"/>
      <c r="RBE46" s="19"/>
      <c r="RBF46" s="19"/>
      <c r="RBG46" s="19"/>
      <c r="RBH46" s="19"/>
      <c r="RBI46" s="19"/>
      <c r="RBJ46" s="19"/>
      <c r="RBK46" s="19"/>
      <c r="RBL46" s="19"/>
      <c r="RBM46" s="19"/>
      <c r="RBN46" s="19"/>
      <c r="RBO46" s="19"/>
      <c r="RBP46" s="19"/>
      <c r="RBQ46" s="19"/>
      <c r="RBR46" s="19"/>
      <c r="RBS46" s="19"/>
      <c r="RBT46" s="19"/>
      <c r="RBU46" s="19"/>
      <c r="RBV46" s="19"/>
      <c r="RBW46" s="19"/>
      <c r="RBX46" s="19"/>
      <c r="RBY46" s="19"/>
      <c r="RBZ46" s="19"/>
      <c r="RCA46" s="19"/>
      <c r="RCB46" s="19"/>
      <c r="RCC46" s="19"/>
      <c r="RCD46" s="19"/>
      <c r="RCE46" s="19"/>
      <c r="RCF46" s="19"/>
      <c r="RCG46" s="19"/>
      <c r="RCH46" s="19"/>
      <c r="RCI46" s="19"/>
      <c r="RCJ46" s="19"/>
      <c r="RCK46" s="19"/>
      <c r="RCL46" s="19"/>
      <c r="RCM46" s="19"/>
      <c r="RCN46" s="19"/>
      <c r="RCO46" s="19"/>
      <c r="RCP46" s="19"/>
      <c r="RCQ46" s="19"/>
      <c r="RCR46" s="19"/>
      <c r="RCS46" s="19"/>
      <c r="RCT46" s="19"/>
      <c r="RCU46" s="19"/>
      <c r="RCV46" s="19"/>
      <c r="RCW46" s="19"/>
      <c r="RCX46" s="19"/>
      <c r="RCY46" s="19"/>
      <c r="RCZ46" s="19"/>
      <c r="RDA46" s="19"/>
      <c r="RDB46" s="19"/>
      <c r="RDC46" s="19"/>
      <c r="RDD46" s="19"/>
      <c r="RDE46" s="19"/>
      <c r="RDF46" s="19"/>
      <c r="RDG46" s="19"/>
      <c r="RDH46" s="19"/>
      <c r="RDI46" s="19"/>
      <c r="RDJ46" s="19"/>
      <c r="RDK46" s="19"/>
      <c r="RDL46" s="19"/>
      <c r="RDM46" s="19"/>
      <c r="RDN46" s="19"/>
      <c r="RDO46" s="19"/>
      <c r="RDP46" s="19"/>
      <c r="RDQ46" s="19"/>
      <c r="RDR46" s="19"/>
      <c r="RDS46" s="19"/>
      <c r="RDT46" s="19"/>
      <c r="RDU46" s="19"/>
      <c r="RDV46" s="19"/>
      <c r="RDW46" s="19"/>
      <c r="RDX46" s="19"/>
      <c r="RDY46" s="19"/>
      <c r="RDZ46" s="19"/>
      <c r="REA46" s="19"/>
      <c r="REB46" s="19"/>
      <c r="REC46" s="19"/>
      <c r="RED46" s="19"/>
      <c r="REE46" s="19"/>
      <c r="REF46" s="19"/>
      <c r="REG46" s="19"/>
      <c r="REH46" s="19"/>
      <c r="REI46" s="19"/>
      <c r="REJ46" s="19"/>
      <c r="REK46" s="19"/>
      <c r="REL46" s="19"/>
      <c r="REM46" s="19"/>
      <c r="REN46" s="19"/>
      <c r="REO46" s="19"/>
      <c r="REP46" s="19"/>
      <c r="REQ46" s="19"/>
      <c r="RER46" s="19"/>
      <c r="RES46" s="19"/>
      <c r="RET46" s="19"/>
      <c r="REU46" s="19"/>
      <c r="REV46" s="19"/>
      <c r="REW46" s="19"/>
      <c r="REX46" s="19"/>
      <c r="REY46" s="19"/>
      <c r="REZ46" s="19"/>
      <c r="RFA46" s="19"/>
      <c r="RFB46" s="19"/>
      <c r="RFC46" s="19"/>
      <c r="RFD46" s="19"/>
      <c r="RFE46" s="19"/>
      <c r="RFF46" s="19"/>
      <c r="RFG46" s="19"/>
      <c r="RFH46" s="19"/>
      <c r="RFI46" s="19"/>
      <c r="RFJ46" s="19"/>
      <c r="RFK46" s="19"/>
      <c r="RFL46" s="19"/>
      <c r="RFM46" s="19"/>
      <c r="RFN46" s="19"/>
      <c r="RFO46" s="19"/>
      <c r="RFP46" s="19"/>
      <c r="RFQ46" s="19"/>
      <c r="RFR46" s="19"/>
      <c r="RFS46" s="19"/>
      <c r="RFT46" s="19"/>
      <c r="RFU46" s="19"/>
      <c r="RFV46" s="19"/>
      <c r="RFW46" s="19"/>
      <c r="RFX46" s="19"/>
      <c r="RFY46" s="19"/>
      <c r="RFZ46" s="19"/>
      <c r="RGA46" s="19"/>
      <c r="RGB46" s="19"/>
      <c r="RGC46" s="19"/>
      <c r="RGD46" s="19"/>
      <c r="RGE46" s="19"/>
      <c r="RGF46" s="19"/>
      <c r="RGG46" s="19"/>
      <c r="RGH46" s="19"/>
      <c r="RGI46" s="19"/>
      <c r="RGJ46" s="19"/>
      <c r="RGK46" s="19"/>
      <c r="RGL46" s="19"/>
      <c r="RGM46" s="19"/>
      <c r="RGN46" s="19"/>
      <c r="RGO46" s="19"/>
      <c r="RGP46" s="19"/>
      <c r="RGQ46" s="19"/>
      <c r="RGR46" s="19"/>
      <c r="RGS46" s="19"/>
      <c r="RGT46" s="19"/>
      <c r="RGU46" s="19"/>
      <c r="RGV46" s="19"/>
      <c r="RGW46" s="19"/>
      <c r="RGX46" s="19"/>
      <c r="RGY46" s="19"/>
      <c r="RGZ46" s="19"/>
      <c r="RHA46" s="19"/>
      <c r="RHB46" s="19"/>
      <c r="RHC46" s="19"/>
      <c r="RHD46" s="19"/>
      <c r="RHE46" s="19"/>
      <c r="RHF46" s="19"/>
      <c r="RHG46" s="19"/>
      <c r="RHH46" s="19"/>
      <c r="RHI46" s="19"/>
      <c r="RHJ46" s="19"/>
      <c r="RHK46" s="19"/>
      <c r="RHL46" s="19"/>
      <c r="RHM46" s="19"/>
      <c r="RHN46" s="19"/>
      <c r="RHO46" s="19"/>
      <c r="RHP46" s="19"/>
      <c r="RHQ46" s="19"/>
      <c r="RHR46" s="19"/>
      <c r="RHS46" s="19"/>
      <c r="RHT46" s="19"/>
      <c r="RHU46" s="19"/>
      <c r="RHV46" s="19"/>
      <c r="RHW46" s="19"/>
      <c r="RHX46" s="19"/>
      <c r="RHY46" s="19"/>
      <c r="RHZ46" s="19"/>
      <c r="RIA46" s="19"/>
      <c r="RIB46" s="19"/>
      <c r="RIC46" s="19"/>
      <c r="RID46" s="19"/>
      <c r="RIE46" s="19"/>
      <c r="RIF46" s="19"/>
      <c r="RIG46" s="19"/>
      <c r="RIH46" s="19"/>
      <c r="RII46" s="19"/>
      <c r="RIJ46" s="19"/>
      <c r="RIK46" s="19"/>
      <c r="RIL46" s="19"/>
      <c r="RIM46" s="19"/>
      <c r="RIN46" s="19"/>
      <c r="RIO46" s="19"/>
      <c r="RIP46" s="19"/>
      <c r="RIQ46" s="19"/>
      <c r="RIR46" s="19"/>
      <c r="RIS46" s="19"/>
      <c r="RIT46" s="19"/>
      <c r="RIU46" s="19"/>
      <c r="RIV46" s="19"/>
      <c r="RIW46" s="19"/>
      <c r="RIX46" s="19"/>
      <c r="RIY46" s="19"/>
      <c r="RIZ46" s="19"/>
      <c r="RJA46" s="19"/>
      <c r="RJB46" s="19"/>
      <c r="RJC46" s="19"/>
      <c r="RJD46" s="19"/>
      <c r="RJE46" s="19"/>
      <c r="RJF46" s="19"/>
      <c r="RJG46" s="19"/>
      <c r="RJH46" s="19"/>
      <c r="RJI46" s="19"/>
      <c r="RJJ46" s="19"/>
      <c r="RJK46" s="19"/>
      <c r="RJL46" s="19"/>
      <c r="RJM46" s="19"/>
      <c r="RJN46" s="19"/>
      <c r="RJO46" s="19"/>
      <c r="RJP46" s="19"/>
      <c r="RJQ46" s="19"/>
      <c r="RJR46" s="19"/>
      <c r="RJS46" s="19"/>
      <c r="RJT46" s="19"/>
      <c r="RJU46" s="19"/>
      <c r="RJV46" s="19"/>
      <c r="RJW46" s="19"/>
      <c r="RJX46" s="19"/>
      <c r="RJY46" s="19"/>
      <c r="RJZ46" s="19"/>
      <c r="RKA46" s="19"/>
      <c r="RKB46" s="19"/>
      <c r="RKC46" s="19"/>
      <c r="RKD46" s="19"/>
      <c r="RKE46" s="19"/>
      <c r="RKF46" s="19"/>
      <c r="RKG46" s="19"/>
      <c r="RKH46" s="19"/>
      <c r="RKI46" s="19"/>
      <c r="RKJ46" s="19"/>
      <c r="RKK46" s="19"/>
      <c r="RKL46" s="19"/>
      <c r="RKM46" s="19"/>
      <c r="RKN46" s="19"/>
      <c r="RKO46" s="19"/>
      <c r="RKP46" s="19"/>
      <c r="RKQ46" s="19"/>
      <c r="RKR46" s="19"/>
      <c r="RKS46" s="19"/>
      <c r="RKT46" s="19"/>
      <c r="RKU46" s="19"/>
      <c r="RKV46" s="19"/>
      <c r="RKW46" s="19"/>
      <c r="RKX46" s="19"/>
      <c r="RKY46" s="19"/>
      <c r="RKZ46" s="19"/>
      <c r="RLA46" s="19"/>
      <c r="RLB46" s="19"/>
      <c r="RLC46" s="19"/>
      <c r="RLD46" s="19"/>
      <c r="RLE46" s="19"/>
      <c r="RLF46" s="19"/>
      <c r="RLG46" s="19"/>
      <c r="RLH46" s="19"/>
      <c r="RLI46" s="19"/>
      <c r="RLJ46" s="19"/>
      <c r="RLK46" s="19"/>
      <c r="RLL46" s="19"/>
      <c r="RLM46" s="19"/>
      <c r="RLN46" s="19"/>
      <c r="RLO46" s="19"/>
      <c r="RLP46" s="19"/>
      <c r="RLQ46" s="19"/>
      <c r="RLR46" s="19"/>
      <c r="RLS46" s="19"/>
      <c r="RLT46" s="19"/>
      <c r="RLU46" s="19"/>
      <c r="RLV46" s="19"/>
      <c r="RLW46" s="19"/>
      <c r="RLX46" s="19"/>
      <c r="RLY46" s="19"/>
      <c r="RLZ46" s="19"/>
      <c r="RMA46" s="19"/>
      <c r="RMB46" s="19"/>
      <c r="RMC46" s="19"/>
      <c r="RMD46" s="19"/>
      <c r="RME46" s="19"/>
      <c r="RMF46" s="19"/>
      <c r="RMG46" s="19"/>
      <c r="RMH46" s="19"/>
      <c r="RMI46" s="19"/>
      <c r="RMJ46" s="19"/>
      <c r="RMK46" s="19"/>
      <c r="RML46" s="19"/>
      <c r="RMM46" s="19"/>
      <c r="RMN46" s="19"/>
      <c r="RMO46" s="19"/>
      <c r="RMP46" s="19"/>
      <c r="RMQ46" s="19"/>
      <c r="RMR46" s="19"/>
      <c r="RMS46" s="19"/>
      <c r="RMT46" s="19"/>
      <c r="RMU46" s="19"/>
      <c r="RMV46" s="19"/>
      <c r="RMW46" s="19"/>
      <c r="RMX46" s="19"/>
      <c r="RMY46" s="19"/>
      <c r="RMZ46" s="19"/>
      <c r="RNA46" s="19"/>
      <c r="RNB46" s="19"/>
      <c r="RNC46" s="19"/>
      <c r="RND46" s="19"/>
      <c r="RNE46" s="19"/>
      <c r="RNF46" s="19"/>
      <c r="RNG46" s="19"/>
      <c r="RNH46" s="19"/>
      <c r="RNI46" s="19"/>
      <c r="RNJ46" s="19"/>
      <c r="RNK46" s="19"/>
      <c r="RNL46" s="19"/>
      <c r="RNM46" s="19"/>
      <c r="RNN46" s="19"/>
      <c r="RNO46" s="19"/>
      <c r="RNP46" s="19"/>
      <c r="RNQ46" s="19"/>
      <c r="RNR46" s="19"/>
      <c r="RNS46" s="19"/>
      <c r="RNT46" s="19"/>
      <c r="RNU46" s="19"/>
      <c r="RNV46" s="19"/>
      <c r="RNW46" s="19"/>
      <c r="RNX46" s="19"/>
      <c r="RNY46" s="19"/>
      <c r="RNZ46" s="19"/>
      <c r="ROA46" s="19"/>
      <c r="ROB46" s="19"/>
      <c r="ROC46" s="19"/>
      <c r="ROD46" s="19"/>
      <c r="ROE46" s="19"/>
      <c r="ROF46" s="19"/>
      <c r="ROG46" s="19"/>
      <c r="ROH46" s="19"/>
      <c r="ROI46" s="19"/>
      <c r="ROJ46" s="19"/>
      <c r="ROK46" s="19"/>
      <c r="ROL46" s="19"/>
      <c r="ROM46" s="19"/>
      <c r="RON46" s="19"/>
      <c r="ROO46" s="19"/>
      <c r="ROP46" s="19"/>
      <c r="ROQ46" s="19"/>
      <c r="ROR46" s="19"/>
      <c r="ROS46" s="19"/>
      <c r="ROT46" s="19"/>
      <c r="ROU46" s="19"/>
      <c r="ROV46" s="19"/>
      <c r="ROW46" s="19"/>
      <c r="ROX46" s="19"/>
      <c r="ROY46" s="19"/>
      <c r="ROZ46" s="19"/>
      <c r="RPA46" s="19"/>
      <c r="RPB46" s="19"/>
      <c r="RPC46" s="19"/>
      <c r="RPD46" s="19"/>
      <c r="RPE46" s="19"/>
      <c r="RPF46" s="19"/>
      <c r="RPG46" s="19"/>
      <c r="RPH46" s="19"/>
      <c r="RPI46" s="19"/>
      <c r="RPJ46" s="19"/>
      <c r="RPK46" s="19"/>
      <c r="RPL46" s="19"/>
      <c r="RPM46" s="19"/>
      <c r="RPN46" s="19"/>
      <c r="RPO46" s="19"/>
      <c r="RPP46" s="19"/>
      <c r="RPQ46" s="19"/>
      <c r="RPR46" s="19"/>
      <c r="RPS46" s="19"/>
      <c r="RPT46" s="19"/>
      <c r="RPU46" s="19"/>
      <c r="RPV46" s="19"/>
      <c r="RPW46" s="19"/>
      <c r="RPX46" s="19"/>
      <c r="RPY46" s="19"/>
      <c r="RPZ46" s="19"/>
      <c r="RQA46" s="19"/>
      <c r="RQB46" s="19"/>
      <c r="RQC46" s="19"/>
      <c r="RQD46" s="19"/>
      <c r="RQE46" s="19"/>
      <c r="RQF46" s="19"/>
      <c r="RQG46" s="19"/>
      <c r="RQH46" s="19"/>
      <c r="RQI46" s="19"/>
      <c r="RQJ46" s="19"/>
      <c r="RQK46" s="19"/>
      <c r="RQL46" s="19"/>
      <c r="RQM46" s="19"/>
      <c r="RQN46" s="19"/>
      <c r="RQO46" s="19"/>
      <c r="RQP46" s="19"/>
      <c r="RQQ46" s="19"/>
      <c r="RQR46" s="19"/>
      <c r="RQS46" s="19"/>
      <c r="RQT46" s="19"/>
      <c r="RQU46" s="19"/>
      <c r="RQV46" s="19"/>
      <c r="RQW46" s="19"/>
      <c r="RQX46" s="19"/>
      <c r="RQY46" s="19"/>
      <c r="RQZ46" s="19"/>
      <c r="RRA46" s="19"/>
      <c r="RRB46" s="19"/>
      <c r="RRC46" s="19"/>
      <c r="RRD46" s="19"/>
      <c r="RRE46" s="19"/>
      <c r="RRF46" s="19"/>
      <c r="RRG46" s="19"/>
      <c r="RRH46" s="19"/>
      <c r="RRI46" s="19"/>
      <c r="RRJ46" s="19"/>
      <c r="RRK46" s="19"/>
      <c r="RRL46" s="19"/>
      <c r="RRM46" s="19"/>
      <c r="RRN46" s="19"/>
      <c r="RRO46" s="19"/>
      <c r="RRP46" s="19"/>
      <c r="RRQ46" s="19"/>
      <c r="RRR46" s="19"/>
      <c r="RRS46" s="19"/>
      <c r="RRT46" s="19"/>
      <c r="RRU46" s="19"/>
      <c r="RRV46" s="19"/>
      <c r="RRW46" s="19"/>
      <c r="RRX46" s="19"/>
      <c r="RRY46" s="19"/>
      <c r="RRZ46" s="19"/>
      <c r="RSA46" s="19"/>
      <c r="RSB46" s="19"/>
      <c r="RSC46" s="19"/>
      <c r="RSD46" s="19"/>
      <c r="RSE46" s="19"/>
      <c r="RSF46" s="19"/>
      <c r="RSG46" s="19"/>
      <c r="RSH46" s="19"/>
      <c r="RSI46" s="19"/>
      <c r="RSJ46" s="19"/>
      <c r="RSK46" s="19"/>
      <c r="RSL46" s="19"/>
      <c r="RSM46" s="19"/>
      <c r="RSN46" s="19"/>
      <c r="RSO46" s="19"/>
      <c r="RSP46" s="19"/>
      <c r="RSQ46" s="19"/>
      <c r="RSR46" s="19"/>
      <c r="RSS46" s="19"/>
      <c r="RST46" s="19"/>
      <c r="RSU46" s="19"/>
      <c r="RSV46" s="19"/>
      <c r="RSW46" s="19"/>
      <c r="RSX46" s="19"/>
      <c r="RSY46" s="19"/>
      <c r="RSZ46" s="19"/>
      <c r="RTA46" s="19"/>
      <c r="RTB46" s="19"/>
      <c r="RTC46" s="19"/>
      <c r="RTD46" s="19"/>
      <c r="RTE46" s="19"/>
      <c r="RTF46" s="19"/>
      <c r="RTG46" s="19"/>
      <c r="RTH46" s="19"/>
      <c r="RTI46" s="19"/>
      <c r="RTJ46" s="19"/>
      <c r="RTK46" s="19"/>
      <c r="RTL46" s="19"/>
      <c r="RTM46" s="19"/>
      <c r="RTN46" s="19"/>
      <c r="RTO46" s="19"/>
      <c r="RTP46" s="19"/>
      <c r="RTQ46" s="19"/>
      <c r="RTR46" s="19"/>
      <c r="RTS46" s="19"/>
      <c r="RTT46" s="19"/>
      <c r="RTU46" s="19"/>
      <c r="RTV46" s="19"/>
      <c r="RTW46" s="19"/>
      <c r="RTX46" s="19"/>
      <c r="RTY46" s="19"/>
      <c r="RTZ46" s="19"/>
      <c r="RUA46" s="19"/>
      <c r="RUB46" s="19"/>
      <c r="RUC46" s="19"/>
      <c r="RUD46" s="19"/>
      <c r="RUE46" s="19"/>
      <c r="RUF46" s="19"/>
      <c r="RUG46" s="19"/>
      <c r="RUH46" s="19"/>
      <c r="RUI46" s="19"/>
      <c r="RUJ46" s="19"/>
      <c r="RUK46" s="19"/>
      <c r="RUL46" s="19"/>
      <c r="RUM46" s="19"/>
      <c r="RUN46" s="19"/>
      <c r="RUO46" s="19"/>
      <c r="RUP46" s="19"/>
      <c r="RUQ46" s="19"/>
      <c r="RUR46" s="19"/>
      <c r="RUS46" s="19"/>
      <c r="RUT46" s="19"/>
      <c r="RUU46" s="19"/>
      <c r="RUV46" s="19"/>
      <c r="RUW46" s="19"/>
      <c r="RUX46" s="19"/>
      <c r="RUY46" s="19"/>
      <c r="RUZ46" s="19"/>
      <c r="RVA46" s="19"/>
      <c r="RVB46" s="19"/>
      <c r="RVC46" s="19"/>
      <c r="RVD46" s="19"/>
      <c r="RVE46" s="19"/>
      <c r="RVF46" s="19"/>
      <c r="RVG46" s="19"/>
      <c r="RVH46" s="19"/>
      <c r="RVI46" s="19"/>
      <c r="RVJ46" s="19"/>
      <c r="RVK46" s="19"/>
      <c r="RVL46" s="19"/>
      <c r="RVM46" s="19"/>
      <c r="RVN46" s="19"/>
      <c r="RVO46" s="19"/>
      <c r="RVP46" s="19"/>
      <c r="RVQ46" s="19"/>
      <c r="RVR46" s="19"/>
      <c r="RVS46" s="19"/>
      <c r="RVT46" s="19"/>
      <c r="RVU46" s="19"/>
      <c r="RVV46" s="19"/>
      <c r="RVW46" s="19"/>
      <c r="RVX46" s="19"/>
      <c r="RVY46" s="19"/>
      <c r="RVZ46" s="19"/>
      <c r="RWA46" s="19"/>
      <c r="RWB46" s="19"/>
      <c r="RWC46" s="19"/>
      <c r="RWD46" s="19"/>
      <c r="RWE46" s="19"/>
      <c r="RWF46" s="19"/>
      <c r="RWG46" s="19"/>
      <c r="RWH46" s="19"/>
      <c r="RWI46" s="19"/>
      <c r="RWJ46" s="19"/>
      <c r="RWK46" s="19"/>
      <c r="RWL46" s="19"/>
      <c r="RWM46" s="19"/>
      <c r="RWN46" s="19"/>
      <c r="RWO46" s="19"/>
      <c r="RWP46" s="19"/>
      <c r="RWQ46" s="19"/>
      <c r="RWR46" s="19"/>
      <c r="RWS46" s="19"/>
      <c r="RWT46" s="19"/>
      <c r="RWU46" s="19"/>
      <c r="RWV46" s="19"/>
      <c r="RWW46" s="19"/>
      <c r="RWX46" s="19"/>
      <c r="RWY46" s="19"/>
      <c r="RWZ46" s="19"/>
      <c r="RXA46" s="19"/>
      <c r="RXB46" s="19"/>
      <c r="RXC46" s="19"/>
      <c r="RXD46" s="19"/>
      <c r="RXE46" s="19"/>
      <c r="RXF46" s="19"/>
      <c r="RXG46" s="19"/>
      <c r="RXH46" s="19"/>
      <c r="RXI46" s="19"/>
      <c r="RXJ46" s="19"/>
      <c r="RXK46" s="19"/>
      <c r="RXL46" s="19"/>
      <c r="RXM46" s="19"/>
      <c r="RXN46" s="19"/>
      <c r="RXO46" s="19"/>
      <c r="RXP46" s="19"/>
      <c r="RXQ46" s="19"/>
      <c r="RXR46" s="19"/>
      <c r="RXS46" s="19"/>
      <c r="RXT46" s="19"/>
      <c r="RXU46" s="19"/>
      <c r="RXV46" s="19"/>
      <c r="RXW46" s="19"/>
      <c r="RXX46" s="19"/>
      <c r="RXY46" s="19"/>
      <c r="RXZ46" s="19"/>
      <c r="RYA46" s="19"/>
      <c r="RYB46" s="19"/>
      <c r="RYC46" s="19"/>
      <c r="RYD46" s="19"/>
      <c r="RYE46" s="19"/>
      <c r="RYF46" s="19"/>
      <c r="RYG46" s="19"/>
      <c r="RYH46" s="19"/>
      <c r="RYI46" s="19"/>
      <c r="RYJ46" s="19"/>
      <c r="RYK46" s="19"/>
      <c r="RYL46" s="19"/>
      <c r="RYM46" s="19"/>
      <c r="RYN46" s="19"/>
      <c r="RYO46" s="19"/>
      <c r="RYP46" s="19"/>
      <c r="RYQ46" s="19"/>
      <c r="RYR46" s="19"/>
      <c r="RYS46" s="19"/>
      <c r="RYT46" s="19"/>
      <c r="RYU46" s="19"/>
      <c r="RYV46" s="19"/>
      <c r="RYW46" s="19"/>
      <c r="RYX46" s="19"/>
      <c r="RYY46" s="19"/>
      <c r="RYZ46" s="19"/>
      <c r="RZA46" s="19"/>
      <c r="RZB46" s="19"/>
      <c r="RZC46" s="19"/>
      <c r="RZD46" s="19"/>
      <c r="RZE46" s="19"/>
      <c r="RZF46" s="19"/>
      <c r="RZG46" s="19"/>
      <c r="RZH46" s="19"/>
      <c r="RZI46" s="19"/>
      <c r="RZJ46" s="19"/>
      <c r="RZK46" s="19"/>
      <c r="RZL46" s="19"/>
      <c r="RZM46" s="19"/>
      <c r="RZN46" s="19"/>
      <c r="RZO46" s="19"/>
      <c r="RZP46" s="19"/>
      <c r="RZQ46" s="19"/>
      <c r="RZR46" s="19"/>
      <c r="RZS46" s="19"/>
      <c r="RZT46" s="19"/>
      <c r="RZU46" s="19"/>
      <c r="RZV46" s="19"/>
      <c r="RZW46" s="19"/>
      <c r="RZX46" s="19"/>
      <c r="RZY46" s="19"/>
      <c r="RZZ46" s="19"/>
      <c r="SAA46" s="19"/>
      <c r="SAB46" s="19"/>
      <c r="SAC46" s="19"/>
      <c r="SAD46" s="19"/>
      <c r="SAE46" s="19"/>
      <c r="SAF46" s="19"/>
      <c r="SAG46" s="19"/>
      <c r="SAH46" s="19"/>
      <c r="SAI46" s="19"/>
      <c r="SAJ46" s="19"/>
      <c r="SAK46" s="19"/>
      <c r="SAL46" s="19"/>
      <c r="SAM46" s="19"/>
      <c r="SAN46" s="19"/>
      <c r="SAO46" s="19"/>
      <c r="SAP46" s="19"/>
      <c r="SAQ46" s="19"/>
      <c r="SAR46" s="19"/>
      <c r="SAS46" s="19"/>
      <c r="SAT46" s="19"/>
      <c r="SAU46" s="19"/>
      <c r="SAV46" s="19"/>
      <c r="SAW46" s="19"/>
      <c r="SAX46" s="19"/>
      <c r="SAY46" s="19"/>
      <c r="SAZ46" s="19"/>
      <c r="SBA46" s="19"/>
      <c r="SBB46" s="19"/>
      <c r="SBC46" s="19"/>
      <c r="SBD46" s="19"/>
      <c r="SBE46" s="19"/>
      <c r="SBF46" s="19"/>
      <c r="SBG46" s="19"/>
      <c r="SBH46" s="19"/>
      <c r="SBI46" s="19"/>
      <c r="SBJ46" s="19"/>
      <c r="SBK46" s="19"/>
      <c r="SBL46" s="19"/>
      <c r="SBM46" s="19"/>
      <c r="SBN46" s="19"/>
      <c r="SBO46" s="19"/>
      <c r="SBP46" s="19"/>
      <c r="SBQ46" s="19"/>
      <c r="SBR46" s="19"/>
      <c r="SBS46" s="19"/>
      <c r="SBT46" s="19"/>
      <c r="SBU46" s="19"/>
      <c r="SBV46" s="19"/>
      <c r="SBW46" s="19"/>
      <c r="SBX46" s="19"/>
      <c r="SBY46" s="19"/>
      <c r="SBZ46" s="19"/>
      <c r="SCA46" s="19"/>
      <c r="SCB46" s="19"/>
      <c r="SCC46" s="19"/>
      <c r="SCD46" s="19"/>
      <c r="SCE46" s="19"/>
      <c r="SCF46" s="19"/>
      <c r="SCG46" s="19"/>
      <c r="SCH46" s="19"/>
      <c r="SCI46" s="19"/>
      <c r="SCJ46" s="19"/>
      <c r="SCK46" s="19"/>
      <c r="SCL46" s="19"/>
      <c r="SCM46" s="19"/>
      <c r="SCN46" s="19"/>
      <c r="SCO46" s="19"/>
      <c r="SCP46" s="19"/>
      <c r="SCQ46" s="19"/>
      <c r="SCR46" s="19"/>
      <c r="SCS46" s="19"/>
      <c r="SCT46" s="19"/>
      <c r="SCU46" s="19"/>
      <c r="SCV46" s="19"/>
      <c r="SCW46" s="19"/>
      <c r="SCX46" s="19"/>
      <c r="SCY46" s="19"/>
      <c r="SCZ46" s="19"/>
      <c r="SDA46" s="19"/>
      <c r="SDB46" s="19"/>
      <c r="SDC46" s="19"/>
      <c r="SDD46" s="19"/>
      <c r="SDE46" s="19"/>
      <c r="SDF46" s="19"/>
      <c r="SDG46" s="19"/>
      <c r="SDH46" s="19"/>
      <c r="SDI46" s="19"/>
      <c r="SDJ46" s="19"/>
      <c r="SDK46" s="19"/>
      <c r="SDL46" s="19"/>
      <c r="SDM46" s="19"/>
      <c r="SDN46" s="19"/>
      <c r="SDO46" s="19"/>
      <c r="SDP46" s="19"/>
      <c r="SDQ46" s="19"/>
      <c r="SDR46" s="19"/>
      <c r="SDS46" s="19"/>
      <c r="SDT46" s="19"/>
      <c r="SDU46" s="19"/>
      <c r="SDV46" s="19"/>
      <c r="SDW46" s="19"/>
      <c r="SDX46" s="19"/>
      <c r="SDY46" s="19"/>
      <c r="SDZ46" s="19"/>
      <c r="SEA46" s="19"/>
      <c r="SEB46" s="19"/>
      <c r="SEC46" s="19"/>
      <c r="SED46" s="19"/>
      <c r="SEE46" s="19"/>
      <c r="SEF46" s="19"/>
      <c r="SEG46" s="19"/>
      <c r="SEH46" s="19"/>
      <c r="SEI46" s="19"/>
      <c r="SEJ46" s="19"/>
      <c r="SEK46" s="19"/>
      <c r="SEL46" s="19"/>
      <c r="SEM46" s="19"/>
      <c r="SEN46" s="19"/>
      <c r="SEO46" s="19"/>
      <c r="SEP46" s="19"/>
      <c r="SEQ46" s="19"/>
      <c r="SER46" s="19"/>
      <c r="SES46" s="19"/>
      <c r="SET46" s="19"/>
      <c r="SEU46" s="19"/>
      <c r="SEV46" s="19"/>
      <c r="SEW46" s="19"/>
      <c r="SEX46" s="19"/>
      <c r="SEY46" s="19"/>
      <c r="SEZ46" s="19"/>
      <c r="SFA46" s="19"/>
      <c r="SFB46" s="19"/>
      <c r="SFC46" s="19"/>
      <c r="SFD46" s="19"/>
      <c r="SFE46" s="19"/>
      <c r="SFF46" s="19"/>
      <c r="SFG46" s="19"/>
      <c r="SFH46" s="19"/>
      <c r="SFI46" s="19"/>
      <c r="SFJ46" s="19"/>
      <c r="SFK46" s="19"/>
      <c r="SFL46" s="19"/>
      <c r="SFM46" s="19"/>
      <c r="SFN46" s="19"/>
      <c r="SFO46" s="19"/>
      <c r="SFP46" s="19"/>
      <c r="SFQ46" s="19"/>
      <c r="SFR46" s="19"/>
      <c r="SFS46" s="19"/>
      <c r="SFT46" s="19"/>
      <c r="SFU46" s="19"/>
      <c r="SFV46" s="19"/>
      <c r="SFW46" s="19"/>
      <c r="SFX46" s="19"/>
      <c r="SFY46" s="19"/>
      <c r="SFZ46" s="19"/>
      <c r="SGA46" s="19"/>
      <c r="SGB46" s="19"/>
      <c r="SGC46" s="19"/>
      <c r="SGD46" s="19"/>
      <c r="SGE46" s="19"/>
      <c r="SGF46" s="19"/>
      <c r="SGG46" s="19"/>
      <c r="SGH46" s="19"/>
      <c r="SGI46" s="19"/>
      <c r="SGJ46" s="19"/>
      <c r="SGK46" s="19"/>
      <c r="SGL46" s="19"/>
      <c r="SGM46" s="19"/>
      <c r="SGN46" s="19"/>
      <c r="SGO46" s="19"/>
      <c r="SGP46" s="19"/>
      <c r="SGQ46" s="19"/>
      <c r="SGR46" s="19"/>
      <c r="SGS46" s="19"/>
      <c r="SGT46" s="19"/>
      <c r="SGU46" s="19"/>
      <c r="SGV46" s="19"/>
      <c r="SGW46" s="19"/>
      <c r="SGX46" s="19"/>
      <c r="SGY46" s="19"/>
      <c r="SGZ46" s="19"/>
      <c r="SHA46" s="19"/>
      <c r="SHB46" s="19"/>
      <c r="SHC46" s="19"/>
      <c r="SHD46" s="19"/>
      <c r="SHE46" s="19"/>
      <c r="SHF46" s="19"/>
      <c r="SHG46" s="19"/>
      <c r="SHH46" s="19"/>
      <c r="SHI46" s="19"/>
      <c r="SHJ46" s="19"/>
      <c r="SHK46" s="19"/>
      <c r="SHL46" s="19"/>
      <c r="SHM46" s="19"/>
      <c r="SHN46" s="19"/>
      <c r="SHO46" s="19"/>
      <c r="SHP46" s="19"/>
      <c r="SHQ46" s="19"/>
      <c r="SHR46" s="19"/>
      <c r="SHS46" s="19"/>
      <c r="SHT46" s="19"/>
      <c r="SHU46" s="19"/>
      <c r="SHV46" s="19"/>
      <c r="SHW46" s="19"/>
      <c r="SHX46" s="19"/>
      <c r="SHY46" s="19"/>
      <c r="SHZ46" s="19"/>
      <c r="SIA46" s="19"/>
      <c r="SIB46" s="19"/>
      <c r="SIC46" s="19"/>
      <c r="SID46" s="19"/>
      <c r="SIE46" s="19"/>
      <c r="SIF46" s="19"/>
      <c r="SIG46" s="19"/>
      <c r="SIH46" s="19"/>
      <c r="SII46" s="19"/>
      <c r="SIJ46" s="19"/>
      <c r="SIK46" s="19"/>
      <c r="SIL46" s="19"/>
      <c r="SIM46" s="19"/>
      <c r="SIN46" s="19"/>
      <c r="SIO46" s="19"/>
      <c r="SIP46" s="19"/>
      <c r="SIQ46" s="19"/>
      <c r="SIR46" s="19"/>
      <c r="SIS46" s="19"/>
      <c r="SIT46" s="19"/>
      <c r="SIU46" s="19"/>
      <c r="SIV46" s="19"/>
      <c r="SIW46" s="19"/>
      <c r="SIX46" s="19"/>
      <c r="SIY46" s="19"/>
      <c r="SIZ46" s="19"/>
      <c r="SJA46" s="19"/>
      <c r="SJB46" s="19"/>
      <c r="SJC46" s="19"/>
      <c r="SJD46" s="19"/>
      <c r="SJE46" s="19"/>
      <c r="SJF46" s="19"/>
      <c r="SJG46" s="19"/>
      <c r="SJH46" s="19"/>
      <c r="SJI46" s="19"/>
      <c r="SJJ46" s="19"/>
      <c r="SJK46" s="19"/>
      <c r="SJL46" s="19"/>
      <c r="SJM46" s="19"/>
      <c r="SJN46" s="19"/>
      <c r="SJO46" s="19"/>
      <c r="SJP46" s="19"/>
      <c r="SJQ46" s="19"/>
      <c r="SJR46" s="19"/>
      <c r="SJS46" s="19"/>
      <c r="SJT46" s="19"/>
      <c r="SJU46" s="19"/>
      <c r="SJV46" s="19"/>
      <c r="SJW46" s="19"/>
      <c r="SJX46" s="19"/>
      <c r="SJY46" s="19"/>
      <c r="SJZ46" s="19"/>
      <c r="SKA46" s="19"/>
      <c r="SKB46" s="19"/>
      <c r="SKC46" s="19"/>
      <c r="SKD46" s="19"/>
      <c r="SKE46" s="19"/>
      <c r="SKF46" s="19"/>
      <c r="SKG46" s="19"/>
      <c r="SKH46" s="19"/>
      <c r="SKI46" s="19"/>
      <c r="SKJ46" s="19"/>
      <c r="SKK46" s="19"/>
      <c r="SKL46" s="19"/>
      <c r="SKM46" s="19"/>
      <c r="SKN46" s="19"/>
      <c r="SKO46" s="19"/>
      <c r="SKP46" s="19"/>
      <c r="SKQ46" s="19"/>
      <c r="SKR46" s="19"/>
      <c r="SKS46" s="19"/>
      <c r="SKT46" s="19"/>
      <c r="SKU46" s="19"/>
      <c r="SKV46" s="19"/>
      <c r="SKW46" s="19"/>
      <c r="SKX46" s="19"/>
      <c r="SKY46" s="19"/>
      <c r="SKZ46" s="19"/>
      <c r="SLA46" s="19"/>
      <c r="SLB46" s="19"/>
      <c r="SLC46" s="19"/>
      <c r="SLD46" s="19"/>
      <c r="SLE46" s="19"/>
      <c r="SLF46" s="19"/>
      <c r="SLG46" s="19"/>
      <c r="SLH46" s="19"/>
      <c r="SLI46" s="19"/>
      <c r="SLJ46" s="19"/>
      <c r="SLK46" s="19"/>
      <c r="SLL46" s="19"/>
      <c r="SLM46" s="19"/>
      <c r="SLN46" s="19"/>
      <c r="SLO46" s="19"/>
      <c r="SLP46" s="19"/>
      <c r="SLQ46" s="19"/>
      <c r="SLR46" s="19"/>
      <c r="SLS46" s="19"/>
      <c r="SLT46" s="19"/>
      <c r="SLU46" s="19"/>
      <c r="SLV46" s="19"/>
      <c r="SLW46" s="19"/>
      <c r="SLX46" s="19"/>
      <c r="SLY46" s="19"/>
      <c r="SLZ46" s="19"/>
      <c r="SMA46" s="19"/>
      <c r="SMB46" s="19"/>
      <c r="SMC46" s="19"/>
      <c r="SMD46" s="19"/>
      <c r="SME46" s="19"/>
      <c r="SMF46" s="19"/>
      <c r="SMG46" s="19"/>
      <c r="SMH46" s="19"/>
      <c r="SMI46" s="19"/>
      <c r="SMJ46" s="19"/>
      <c r="SMK46" s="19"/>
      <c r="SML46" s="19"/>
      <c r="SMM46" s="19"/>
      <c r="SMN46" s="19"/>
      <c r="SMO46" s="19"/>
      <c r="SMP46" s="19"/>
      <c r="SMQ46" s="19"/>
      <c r="SMR46" s="19"/>
      <c r="SMS46" s="19"/>
      <c r="SMT46" s="19"/>
      <c r="SMU46" s="19"/>
      <c r="SMV46" s="19"/>
      <c r="SMW46" s="19"/>
      <c r="SMX46" s="19"/>
      <c r="SMY46" s="19"/>
      <c r="SMZ46" s="19"/>
      <c r="SNA46" s="19"/>
      <c r="SNB46" s="19"/>
      <c r="SNC46" s="19"/>
      <c r="SND46" s="19"/>
      <c r="SNE46" s="19"/>
      <c r="SNF46" s="19"/>
      <c r="SNG46" s="19"/>
      <c r="SNH46" s="19"/>
      <c r="SNI46" s="19"/>
      <c r="SNJ46" s="19"/>
      <c r="SNK46" s="19"/>
      <c r="SNL46" s="19"/>
      <c r="SNM46" s="19"/>
      <c r="SNN46" s="19"/>
      <c r="SNO46" s="19"/>
      <c r="SNP46" s="19"/>
      <c r="SNQ46" s="19"/>
      <c r="SNR46" s="19"/>
      <c r="SNS46" s="19"/>
      <c r="SNT46" s="19"/>
      <c r="SNU46" s="19"/>
      <c r="SNV46" s="19"/>
      <c r="SNW46" s="19"/>
      <c r="SNX46" s="19"/>
      <c r="SNY46" s="19"/>
      <c r="SNZ46" s="19"/>
      <c r="SOA46" s="19"/>
      <c r="SOB46" s="19"/>
      <c r="SOC46" s="19"/>
      <c r="SOD46" s="19"/>
      <c r="SOE46" s="19"/>
      <c r="SOF46" s="19"/>
      <c r="SOG46" s="19"/>
      <c r="SOH46" s="19"/>
      <c r="SOI46" s="19"/>
      <c r="SOJ46" s="19"/>
      <c r="SOK46" s="19"/>
      <c r="SOL46" s="19"/>
      <c r="SOM46" s="19"/>
      <c r="SON46" s="19"/>
      <c r="SOO46" s="19"/>
      <c r="SOP46" s="19"/>
      <c r="SOQ46" s="19"/>
      <c r="SOR46" s="19"/>
      <c r="SOS46" s="19"/>
      <c r="SOT46" s="19"/>
      <c r="SOU46" s="19"/>
      <c r="SOV46" s="19"/>
      <c r="SOW46" s="19"/>
      <c r="SOX46" s="19"/>
      <c r="SOY46" s="19"/>
      <c r="SOZ46" s="19"/>
      <c r="SPA46" s="19"/>
      <c r="SPB46" s="19"/>
      <c r="SPC46" s="19"/>
      <c r="SPD46" s="19"/>
      <c r="SPE46" s="19"/>
      <c r="SPF46" s="19"/>
      <c r="SPG46" s="19"/>
      <c r="SPH46" s="19"/>
      <c r="SPI46" s="19"/>
      <c r="SPJ46" s="19"/>
      <c r="SPK46" s="19"/>
      <c r="SPL46" s="19"/>
      <c r="SPM46" s="19"/>
      <c r="SPN46" s="19"/>
      <c r="SPO46" s="19"/>
      <c r="SPP46" s="19"/>
      <c r="SPQ46" s="19"/>
      <c r="SPR46" s="19"/>
      <c r="SPS46" s="19"/>
      <c r="SPT46" s="19"/>
      <c r="SPU46" s="19"/>
      <c r="SPV46" s="19"/>
      <c r="SPW46" s="19"/>
      <c r="SPX46" s="19"/>
      <c r="SPY46" s="19"/>
      <c r="SPZ46" s="19"/>
      <c r="SQA46" s="19"/>
      <c r="SQB46" s="19"/>
      <c r="SQC46" s="19"/>
      <c r="SQD46" s="19"/>
      <c r="SQE46" s="19"/>
      <c r="SQF46" s="19"/>
      <c r="SQG46" s="19"/>
      <c r="SQH46" s="19"/>
      <c r="SQI46" s="19"/>
      <c r="SQJ46" s="19"/>
      <c r="SQK46" s="19"/>
      <c r="SQL46" s="19"/>
      <c r="SQM46" s="19"/>
      <c r="SQN46" s="19"/>
      <c r="SQO46" s="19"/>
      <c r="SQP46" s="19"/>
      <c r="SQQ46" s="19"/>
      <c r="SQR46" s="19"/>
      <c r="SQS46" s="19"/>
      <c r="SQT46" s="19"/>
      <c r="SQU46" s="19"/>
      <c r="SQV46" s="19"/>
      <c r="SQW46" s="19"/>
      <c r="SQX46" s="19"/>
      <c r="SQY46" s="19"/>
      <c r="SQZ46" s="19"/>
      <c r="SRA46" s="19"/>
      <c r="SRB46" s="19"/>
      <c r="SRC46" s="19"/>
      <c r="SRD46" s="19"/>
      <c r="SRE46" s="19"/>
      <c r="SRF46" s="19"/>
      <c r="SRG46" s="19"/>
      <c r="SRH46" s="19"/>
      <c r="SRI46" s="19"/>
      <c r="SRJ46" s="19"/>
      <c r="SRK46" s="19"/>
      <c r="SRL46" s="19"/>
      <c r="SRM46" s="19"/>
      <c r="SRN46" s="19"/>
      <c r="SRO46" s="19"/>
      <c r="SRP46" s="19"/>
      <c r="SRQ46" s="19"/>
      <c r="SRR46" s="19"/>
      <c r="SRS46" s="19"/>
      <c r="SRT46" s="19"/>
      <c r="SRU46" s="19"/>
      <c r="SRV46" s="19"/>
      <c r="SRW46" s="19"/>
      <c r="SRX46" s="19"/>
      <c r="SRY46" s="19"/>
      <c r="SRZ46" s="19"/>
      <c r="SSA46" s="19"/>
      <c r="SSB46" s="19"/>
      <c r="SSC46" s="19"/>
      <c r="SSD46" s="19"/>
      <c r="SSE46" s="19"/>
      <c r="SSF46" s="19"/>
      <c r="SSG46" s="19"/>
      <c r="SSH46" s="19"/>
      <c r="SSI46" s="19"/>
      <c r="SSJ46" s="19"/>
      <c r="SSK46" s="19"/>
      <c r="SSL46" s="19"/>
      <c r="SSM46" s="19"/>
      <c r="SSN46" s="19"/>
      <c r="SSO46" s="19"/>
      <c r="SSP46" s="19"/>
      <c r="SSQ46" s="19"/>
      <c r="SSR46" s="19"/>
      <c r="SSS46" s="19"/>
      <c r="SST46" s="19"/>
      <c r="SSU46" s="19"/>
      <c r="SSV46" s="19"/>
      <c r="SSW46" s="19"/>
      <c r="SSX46" s="19"/>
      <c r="SSY46" s="19"/>
      <c r="SSZ46" s="19"/>
      <c r="STA46" s="19"/>
      <c r="STB46" s="19"/>
      <c r="STC46" s="19"/>
      <c r="STD46" s="19"/>
      <c r="STE46" s="19"/>
      <c r="STF46" s="19"/>
      <c r="STG46" s="19"/>
      <c r="STH46" s="19"/>
      <c r="STI46" s="19"/>
      <c r="STJ46" s="19"/>
      <c r="STK46" s="19"/>
      <c r="STL46" s="19"/>
      <c r="STM46" s="19"/>
      <c r="STN46" s="19"/>
      <c r="STO46" s="19"/>
      <c r="STP46" s="19"/>
      <c r="STQ46" s="19"/>
      <c r="STR46" s="19"/>
      <c r="STS46" s="19"/>
      <c r="STT46" s="19"/>
      <c r="STU46" s="19"/>
      <c r="STV46" s="19"/>
      <c r="STW46" s="19"/>
      <c r="STX46" s="19"/>
      <c r="STY46" s="19"/>
      <c r="STZ46" s="19"/>
      <c r="SUA46" s="19"/>
      <c r="SUB46" s="19"/>
      <c r="SUC46" s="19"/>
      <c r="SUD46" s="19"/>
      <c r="SUE46" s="19"/>
      <c r="SUF46" s="19"/>
      <c r="SUG46" s="19"/>
      <c r="SUH46" s="19"/>
      <c r="SUI46" s="19"/>
      <c r="SUJ46" s="19"/>
      <c r="SUK46" s="19"/>
      <c r="SUL46" s="19"/>
      <c r="SUM46" s="19"/>
      <c r="SUN46" s="19"/>
      <c r="SUO46" s="19"/>
      <c r="SUP46" s="19"/>
      <c r="SUQ46" s="19"/>
      <c r="SUR46" s="19"/>
      <c r="SUS46" s="19"/>
      <c r="SUT46" s="19"/>
      <c r="SUU46" s="19"/>
      <c r="SUV46" s="19"/>
      <c r="SUW46" s="19"/>
      <c r="SUX46" s="19"/>
      <c r="SUY46" s="19"/>
      <c r="SUZ46" s="19"/>
      <c r="SVA46" s="19"/>
      <c r="SVB46" s="19"/>
      <c r="SVC46" s="19"/>
      <c r="SVD46" s="19"/>
      <c r="SVE46" s="19"/>
      <c r="SVF46" s="19"/>
      <c r="SVG46" s="19"/>
      <c r="SVH46" s="19"/>
      <c r="SVI46" s="19"/>
      <c r="SVJ46" s="19"/>
      <c r="SVK46" s="19"/>
      <c r="SVL46" s="19"/>
      <c r="SVM46" s="19"/>
      <c r="SVN46" s="19"/>
      <c r="SVO46" s="19"/>
      <c r="SVP46" s="19"/>
      <c r="SVQ46" s="19"/>
      <c r="SVR46" s="19"/>
      <c r="SVS46" s="19"/>
      <c r="SVT46" s="19"/>
      <c r="SVU46" s="19"/>
      <c r="SVV46" s="19"/>
      <c r="SVW46" s="19"/>
      <c r="SVX46" s="19"/>
      <c r="SVY46" s="19"/>
      <c r="SVZ46" s="19"/>
      <c r="SWA46" s="19"/>
      <c r="SWB46" s="19"/>
      <c r="SWC46" s="19"/>
      <c r="SWD46" s="19"/>
      <c r="SWE46" s="19"/>
      <c r="SWF46" s="19"/>
      <c r="SWG46" s="19"/>
      <c r="SWH46" s="19"/>
      <c r="SWI46" s="19"/>
      <c r="SWJ46" s="19"/>
      <c r="SWK46" s="19"/>
      <c r="SWL46" s="19"/>
      <c r="SWM46" s="19"/>
      <c r="SWN46" s="19"/>
      <c r="SWO46" s="19"/>
      <c r="SWP46" s="19"/>
      <c r="SWQ46" s="19"/>
      <c r="SWR46" s="19"/>
      <c r="SWS46" s="19"/>
      <c r="SWT46" s="19"/>
      <c r="SWU46" s="19"/>
      <c r="SWV46" s="19"/>
      <c r="SWW46" s="19"/>
      <c r="SWX46" s="19"/>
      <c r="SWY46" s="19"/>
      <c r="SWZ46" s="19"/>
      <c r="SXA46" s="19"/>
      <c r="SXB46" s="19"/>
      <c r="SXC46" s="19"/>
      <c r="SXD46" s="19"/>
      <c r="SXE46" s="19"/>
      <c r="SXF46" s="19"/>
      <c r="SXG46" s="19"/>
      <c r="SXH46" s="19"/>
      <c r="SXI46" s="19"/>
      <c r="SXJ46" s="19"/>
      <c r="SXK46" s="19"/>
      <c r="SXL46" s="19"/>
      <c r="SXM46" s="19"/>
      <c r="SXN46" s="19"/>
      <c r="SXO46" s="19"/>
      <c r="SXP46" s="19"/>
      <c r="SXQ46" s="19"/>
      <c r="SXR46" s="19"/>
      <c r="SXS46" s="19"/>
      <c r="SXT46" s="19"/>
      <c r="SXU46" s="19"/>
      <c r="SXV46" s="19"/>
      <c r="SXW46" s="19"/>
      <c r="SXX46" s="19"/>
      <c r="SXY46" s="19"/>
      <c r="SXZ46" s="19"/>
      <c r="SYA46" s="19"/>
      <c r="SYB46" s="19"/>
      <c r="SYC46" s="19"/>
      <c r="SYD46" s="19"/>
      <c r="SYE46" s="19"/>
      <c r="SYF46" s="19"/>
      <c r="SYG46" s="19"/>
      <c r="SYH46" s="19"/>
      <c r="SYI46" s="19"/>
      <c r="SYJ46" s="19"/>
      <c r="SYK46" s="19"/>
      <c r="SYL46" s="19"/>
      <c r="SYM46" s="19"/>
      <c r="SYN46" s="19"/>
      <c r="SYO46" s="19"/>
      <c r="SYP46" s="19"/>
      <c r="SYQ46" s="19"/>
      <c r="SYR46" s="19"/>
      <c r="SYS46" s="19"/>
      <c r="SYT46" s="19"/>
      <c r="SYU46" s="19"/>
      <c r="SYV46" s="19"/>
      <c r="SYW46" s="19"/>
      <c r="SYX46" s="19"/>
      <c r="SYY46" s="19"/>
      <c r="SYZ46" s="19"/>
      <c r="SZA46" s="19"/>
      <c r="SZB46" s="19"/>
      <c r="SZC46" s="19"/>
      <c r="SZD46" s="19"/>
      <c r="SZE46" s="19"/>
      <c r="SZF46" s="19"/>
      <c r="SZG46" s="19"/>
      <c r="SZH46" s="19"/>
      <c r="SZI46" s="19"/>
      <c r="SZJ46" s="19"/>
      <c r="SZK46" s="19"/>
      <c r="SZL46" s="19"/>
      <c r="SZM46" s="19"/>
      <c r="SZN46" s="19"/>
      <c r="SZO46" s="19"/>
      <c r="SZP46" s="19"/>
      <c r="SZQ46" s="19"/>
      <c r="SZR46" s="19"/>
      <c r="SZS46" s="19"/>
      <c r="SZT46" s="19"/>
      <c r="SZU46" s="19"/>
      <c r="SZV46" s="19"/>
      <c r="SZW46" s="19"/>
      <c r="SZX46" s="19"/>
      <c r="SZY46" s="19"/>
      <c r="SZZ46" s="19"/>
      <c r="TAA46" s="19"/>
      <c r="TAB46" s="19"/>
      <c r="TAC46" s="19"/>
      <c r="TAD46" s="19"/>
      <c r="TAE46" s="19"/>
      <c r="TAF46" s="19"/>
      <c r="TAG46" s="19"/>
      <c r="TAH46" s="19"/>
      <c r="TAI46" s="19"/>
      <c r="TAJ46" s="19"/>
      <c r="TAK46" s="19"/>
      <c r="TAL46" s="19"/>
      <c r="TAM46" s="19"/>
      <c r="TAN46" s="19"/>
      <c r="TAO46" s="19"/>
      <c r="TAP46" s="19"/>
      <c r="TAQ46" s="19"/>
      <c r="TAR46" s="19"/>
      <c r="TAS46" s="19"/>
      <c r="TAT46" s="19"/>
      <c r="TAU46" s="19"/>
      <c r="TAV46" s="19"/>
      <c r="TAW46" s="19"/>
      <c r="TAX46" s="19"/>
      <c r="TAY46" s="19"/>
      <c r="TAZ46" s="19"/>
      <c r="TBA46" s="19"/>
      <c r="TBB46" s="19"/>
      <c r="TBC46" s="19"/>
      <c r="TBD46" s="19"/>
      <c r="TBE46" s="19"/>
      <c r="TBF46" s="19"/>
      <c r="TBG46" s="19"/>
      <c r="TBH46" s="19"/>
      <c r="TBI46" s="19"/>
      <c r="TBJ46" s="19"/>
      <c r="TBK46" s="19"/>
      <c r="TBL46" s="19"/>
      <c r="TBM46" s="19"/>
      <c r="TBN46" s="19"/>
      <c r="TBO46" s="19"/>
      <c r="TBP46" s="19"/>
      <c r="TBQ46" s="19"/>
      <c r="TBR46" s="19"/>
      <c r="TBS46" s="19"/>
      <c r="TBT46" s="19"/>
      <c r="TBU46" s="19"/>
      <c r="TBV46" s="19"/>
      <c r="TBW46" s="19"/>
      <c r="TBX46" s="19"/>
      <c r="TBY46" s="19"/>
      <c r="TBZ46" s="19"/>
      <c r="TCA46" s="19"/>
      <c r="TCB46" s="19"/>
      <c r="TCC46" s="19"/>
      <c r="TCD46" s="19"/>
      <c r="TCE46" s="19"/>
      <c r="TCF46" s="19"/>
      <c r="TCG46" s="19"/>
      <c r="TCH46" s="19"/>
      <c r="TCI46" s="19"/>
      <c r="TCJ46" s="19"/>
      <c r="TCK46" s="19"/>
      <c r="TCL46" s="19"/>
      <c r="TCM46" s="19"/>
      <c r="TCN46" s="19"/>
      <c r="TCO46" s="19"/>
      <c r="TCP46" s="19"/>
      <c r="TCQ46" s="19"/>
      <c r="TCR46" s="19"/>
      <c r="TCS46" s="19"/>
      <c r="TCT46" s="19"/>
      <c r="TCU46" s="19"/>
      <c r="TCV46" s="19"/>
      <c r="TCW46" s="19"/>
      <c r="TCX46" s="19"/>
      <c r="TCY46" s="19"/>
      <c r="TCZ46" s="19"/>
      <c r="TDA46" s="19"/>
      <c r="TDB46" s="19"/>
      <c r="TDC46" s="19"/>
      <c r="TDD46" s="19"/>
      <c r="TDE46" s="19"/>
      <c r="TDF46" s="19"/>
      <c r="TDG46" s="19"/>
      <c r="TDH46" s="19"/>
      <c r="TDI46" s="19"/>
      <c r="TDJ46" s="19"/>
      <c r="TDK46" s="19"/>
      <c r="TDL46" s="19"/>
      <c r="TDM46" s="19"/>
      <c r="TDN46" s="19"/>
      <c r="TDO46" s="19"/>
      <c r="TDP46" s="19"/>
      <c r="TDQ46" s="19"/>
      <c r="TDR46" s="19"/>
      <c r="TDS46" s="19"/>
      <c r="TDT46" s="19"/>
      <c r="TDU46" s="19"/>
      <c r="TDV46" s="19"/>
      <c r="TDW46" s="19"/>
      <c r="TDX46" s="19"/>
      <c r="TDY46" s="19"/>
      <c r="TDZ46" s="19"/>
      <c r="TEA46" s="19"/>
      <c r="TEB46" s="19"/>
      <c r="TEC46" s="19"/>
      <c r="TED46" s="19"/>
      <c r="TEE46" s="19"/>
      <c r="TEF46" s="19"/>
      <c r="TEG46" s="19"/>
      <c r="TEH46" s="19"/>
      <c r="TEI46" s="19"/>
      <c r="TEJ46" s="19"/>
      <c r="TEK46" s="19"/>
      <c r="TEL46" s="19"/>
      <c r="TEM46" s="19"/>
      <c r="TEN46" s="19"/>
      <c r="TEO46" s="19"/>
      <c r="TEP46" s="19"/>
      <c r="TEQ46" s="19"/>
      <c r="TER46" s="19"/>
      <c r="TES46" s="19"/>
      <c r="TET46" s="19"/>
      <c r="TEU46" s="19"/>
      <c r="TEV46" s="19"/>
      <c r="TEW46" s="19"/>
      <c r="TEX46" s="19"/>
      <c r="TEY46" s="19"/>
      <c r="TEZ46" s="19"/>
      <c r="TFA46" s="19"/>
      <c r="TFB46" s="19"/>
      <c r="TFC46" s="19"/>
      <c r="TFD46" s="19"/>
      <c r="TFE46" s="19"/>
      <c r="TFF46" s="19"/>
      <c r="TFG46" s="19"/>
      <c r="TFH46" s="19"/>
      <c r="TFI46" s="19"/>
      <c r="TFJ46" s="19"/>
      <c r="TFK46" s="19"/>
      <c r="TFL46" s="19"/>
      <c r="TFM46" s="19"/>
      <c r="TFN46" s="19"/>
      <c r="TFO46" s="19"/>
      <c r="TFP46" s="19"/>
      <c r="TFQ46" s="19"/>
      <c r="TFR46" s="19"/>
      <c r="TFS46" s="19"/>
      <c r="TFT46" s="19"/>
      <c r="TFU46" s="19"/>
      <c r="TFV46" s="19"/>
      <c r="TFW46" s="19"/>
      <c r="TFX46" s="19"/>
      <c r="TFY46" s="19"/>
      <c r="TFZ46" s="19"/>
      <c r="TGA46" s="19"/>
      <c r="TGB46" s="19"/>
      <c r="TGC46" s="19"/>
      <c r="TGD46" s="19"/>
      <c r="TGE46" s="19"/>
      <c r="TGF46" s="19"/>
      <c r="TGG46" s="19"/>
      <c r="TGH46" s="19"/>
      <c r="TGI46" s="19"/>
      <c r="TGJ46" s="19"/>
      <c r="TGK46" s="19"/>
      <c r="TGL46" s="19"/>
      <c r="TGM46" s="19"/>
      <c r="TGN46" s="19"/>
      <c r="TGO46" s="19"/>
      <c r="TGP46" s="19"/>
      <c r="TGQ46" s="19"/>
      <c r="TGR46" s="19"/>
      <c r="TGS46" s="19"/>
      <c r="TGT46" s="19"/>
      <c r="TGU46" s="19"/>
      <c r="TGV46" s="19"/>
      <c r="TGW46" s="19"/>
      <c r="TGX46" s="19"/>
      <c r="TGY46" s="19"/>
      <c r="TGZ46" s="19"/>
      <c r="THA46" s="19"/>
      <c r="THB46" s="19"/>
      <c r="THC46" s="19"/>
      <c r="THD46" s="19"/>
      <c r="THE46" s="19"/>
      <c r="THF46" s="19"/>
      <c r="THG46" s="19"/>
      <c r="THH46" s="19"/>
      <c r="THI46" s="19"/>
      <c r="THJ46" s="19"/>
      <c r="THK46" s="19"/>
      <c r="THL46" s="19"/>
      <c r="THM46" s="19"/>
      <c r="THN46" s="19"/>
      <c r="THO46" s="19"/>
      <c r="THP46" s="19"/>
      <c r="THQ46" s="19"/>
      <c r="THR46" s="19"/>
      <c r="THS46" s="19"/>
      <c r="THT46" s="19"/>
      <c r="THU46" s="19"/>
      <c r="THV46" s="19"/>
      <c r="THW46" s="19"/>
      <c r="THX46" s="19"/>
      <c r="THY46" s="19"/>
      <c r="THZ46" s="19"/>
      <c r="TIA46" s="19"/>
      <c r="TIB46" s="19"/>
      <c r="TIC46" s="19"/>
      <c r="TID46" s="19"/>
      <c r="TIE46" s="19"/>
      <c r="TIF46" s="19"/>
      <c r="TIG46" s="19"/>
      <c r="TIH46" s="19"/>
      <c r="TII46" s="19"/>
      <c r="TIJ46" s="19"/>
      <c r="TIK46" s="19"/>
      <c r="TIL46" s="19"/>
      <c r="TIM46" s="19"/>
      <c r="TIN46" s="19"/>
      <c r="TIO46" s="19"/>
      <c r="TIP46" s="19"/>
      <c r="TIQ46" s="19"/>
      <c r="TIR46" s="19"/>
      <c r="TIS46" s="19"/>
      <c r="TIT46" s="19"/>
      <c r="TIU46" s="19"/>
      <c r="TIV46" s="19"/>
      <c r="TIW46" s="19"/>
      <c r="TIX46" s="19"/>
      <c r="TIY46" s="19"/>
      <c r="TIZ46" s="19"/>
      <c r="TJA46" s="19"/>
      <c r="TJB46" s="19"/>
      <c r="TJC46" s="19"/>
      <c r="TJD46" s="19"/>
      <c r="TJE46" s="19"/>
      <c r="TJF46" s="19"/>
      <c r="TJG46" s="19"/>
      <c r="TJH46" s="19"/>
      <c r="TJI46" s="19"/>
      <c r="TJJ46" s="19"/>
      <c r="TJK46" s="19"/>
      <c r="TJL46" s="19"/>
      <c r="TJM46" s="19"/>
      <c r="TJN46" s="19"/>
      <c r="TJO46" s="19"/>
      <c r="TJP46" s="19"/>
      <c r="TJQ46" s="19"/>
      <c r="TJR46" s="19"/>
      <c r="TJS46" s="19"/>
      <c r="TJT46" s="19"/>
      <c r="TJU46" s="19"/>
      <c r="TJV46" s="19"/>
      <c r="TJW46" s="19"/>
      <c r="TJX46" s="19"/>
      <c r="TJY46" s="19"/>
      <c r="TJZ46" s="19"/>
      <c r="TKA46" s="19"/>
      <c r="TKB46" s="19"/>
      <c r="TKC46" s="19"/>
      <c r="TKD46" s="19"/>
      <c r="TKE46" s="19"/>
      <c r="TKF46" s="19"/>
      <c r="TKG46" s="19"/>
      <c r="TKH46" s="19"/>
      <c r="TKI46" s="19"/>
      <c r="TKJ46" s="19"/>
      <c r="TKK46" s="19"/>
      <c r="TKL46" s="19"/>
      <c r="TKM46" s="19"/>
      <c r="TKN46" s="19"/>
      <c r="TKO46" s="19"/>
      <c r="TKP46" s="19"/>
      <c r="TKQ46" s="19"/>
      <c r="TKR46" s="19"/>
      <c r="TKS46" s="19"/>
      <c r="TKT46" s="19"/>
      <c r="TKU46" s="19"/>
      <c r="TKV46" s="19"/>
      <c r="TKW46" s="19"/>
      <c r="TKX46" s="19"/>
      <c r="TKY46" s="19"/>
      <c r="TKZ46" s="19"/>
      <c r="TLA46" s="19"/>
      <c r="TLB46" s="19"/>
      <c r="TLC46" s="19"/>
      <c r="TLD46" s="19"/>
      <c r="TLE46" s="19"/>
      <c r="TLF46" s="19"/>
      <c r="TLG46" s="19"/>
      <c r="TLH46" s="19"/>
      <c r="TLI46" s="19"/>
      <c r="TLJ46" s="19"/>
      <c r="TLK46" s="19"/>
      <c r="TLL46" s="19"/>
      <c r="TLM46" s="19"/>
      <c r="TLN46" s="19"/>
      <c r="TLO46" s="19"/>
      <c r="TLP46" s="19"/>
      <c r="TLQ46" s="19"/>
      <c r="TLR46" s="19"/>
      <c r="TLS46" s="19"/>
      <c r="TLT46" s="19"/>
      <c r="TLU46" s="19"/>
      <c r="TLV46" s="19"/>
      <c r="TLW46" s="19"/>
      <c r="TLX46" s="19"/>
      <c r="TLY46" s="19"/>
      <c r="TLZ46" s="19"/>
      <c r="TMA46" s="19"/>
      <c r="TMB46" s="19"/>
      <c r="TMC46" s="19"/>
      <c r="TMD46" s="19"/>
      <c r="TME46" s="19"/>
      <c r="TMF46" s="19"/>
      <c r="TMG46" s="19"/>
      <c r="TMH46" s="19"/>
      <c r="TMI46" s="19"/>
      <c r="TMJ46" s="19"/>
      <c r="TMK46" s="19"/>
      <c r="TML46" s="19"/>
      <c r="TMM46" s="19"/>
      <c r="TMN46" s="19"/>
      <c r="TMO46" s="19"/>
      <c r="TMP46" s="19"/>
      <c r="TMQ46" s="19"/>
      <c r="TMR46" s="19"/>
      <c r="TMS46" s="19"/>
      <c r="TMT46" s="19"/>
      <c r="TMU46" s="19"/>
      <c r="TMV46" s="19"/>
      <c r="TMW46" s="19"/>
      <c r="TMX46" s="19"/>
      <c r="TMY46" s="19"/>
      <c r="TMZ46" s="19"/>
      <c r="TNA46" s="19"/>
      <c r="TNB46" s="19"/>
      <c r="TNC46" s="19"/>
      <c r="TND46" s="19"/>
      <c r="TNE46" s="19"/>
      <c r="TNF46" s="19"/>
      <c r="TNG46" s="19"/>
      <c r="TNH46" s="19"/>
      <c r="TNI46" s="19"/>
      <c r="TNJ46" s="19"/>
      <c r="TNK46" s="19"/>
      <c r="TNL46" s="19"/>
      <c r="TNM46" s="19"/>
      <c r="TNN46" s="19"/>
      <c r="TNO46" s="19"/>
      <c r="TNP46" s="19"/>
      <c r="TNQ46" s="19"/>
      <c r="TNR46" s="19"/>
      <c r="TNS46" s="19"/>
      <c r="TNT46" s="19"/>
      <c r="TNU46" s="19"/>
      <c r="TNV46" s="19"/>
      <c r="TNW46" s="19"/>
      <c r="TNX46" s="19"/>
      <c r="TNY46" s="19"/>
      <c r="TNZ46" s="19"/>
      <c r="TOA46" s="19"/>
      <c r="TOB46" s="19"/>
      <c r="TOC46" s="19"/>
      <c r="TOD46" s="19"/>
      <c r="TOE46" s="19"/>
      <c r="TOF46" s="19"/>
      <c r="TOG46" s="19"/>
      <c r="TOH46" s="19"/>
      <c r="TOI46" s="19"/>
      <c r="TOJ46" s="19"/>
      <c r="TOK46" s="19"/>
      <c r="TOL46" s="19"/>
      <c r="TOM46" s="19"/>
      <c r="TON46" s="19"/>
      <c r="TOO46" s="19"/>
      <c r="TOP46" s="19"/>
      <c r="TOQ46" s="19"/>
      <c r="TOR46" s="19"/>
      <c r="TOS46" s="19"/>
      <c r="TOT46" s="19"/>
      <c r="TOU46" s="19"/>
      <c r="TOV46" s="19"/>
      <c r="TOW46" s="19"/>
      <c r="TOX46" s="19"/>
      <c r="TOY46" s="19"/>
      <c r="TOZ46" s="19"/>
      <c r="TPA46" s="19"/>
      <c r="TPB46" s="19"/>
      <c r="TPC46" s="19"/>
      <c r="TPD46" s="19"/>
      <c r="TPE46" s="19"/>
      <c r="TPF46" s="19"/>
      <c r="TPG46" s="19"/>
      <c r="TPH46" s="19"/>
      <c r="TPI46" s="19"/>
      <c r="TPJ46" s="19"/>
      <c r="TPK46" s="19"/>
      <c r="TPL46" s="19"/>
      <c r="TPM46" s="19"/>
      <c r="TPN46" s="19"/>
      <c r="TPO46" s="19"/>
      <c r="TPP46" s="19"/>
      <c r="TPQ46" s="19"/>
      <c r="TPR46" s="19"/>
      <c r="TPS46" s="19"/>
      <c r="TPT46" s="19"/>
      <c r="TPU46" s="19"/>
      <c r="TPV46" s="19"/>
      <c r="TPW46" s="19"/>
      <c r="TPX46" s="19"/>
      <c r="TPY46" s="19"/>
      <c r="TPZ46" s="19"/>
      <c r="TQA46" s="19"/>
      <c r="TQB46" s="19"/>
      <c r="TQC46" s="19"/>
      <c r="TQD46" s="19"/>
      <c r="TQE46" s="19"/>
      <c r="TQF46" s="19"/>
      <c r="TQG46" s="19"/>
      <c r="TQH46" s="19"/>
      <c r="TQI46" s="19"/>
      <c r="TQJ46" s="19"/>
      <c r="TQK46" s="19"/>
      <c r="TQL46" s="19"/>
      <c r="TQM46" s="19"/>
      <c r="TQN46" s="19"/>
      <c r="TQO46" s="19"/>
      <c r="TQP46" s="19"/>
      <c r="TQQ46" s="19"/>
      <c r="TQR46" s="19"/>
      <c r="TQS46" s="19"/>
      <c r="TQT46" s="19"/>
      <c r="TQU46" s="19"/>
      <c r="TQV46" s="19"/>
      <c r="TQW46" s="19"/>
      <c r="TQX46" s="19"/>
      <c r="TQY46" s="19"/>
      <c r="TQZ46" s="19"/>
      <c r="TRA46" s="19"/>
      <c r="TRB46" s="19"/>
      <c r="TRC46" s="19"/>
      <c r="TRD46" s="19"/>
      <c r="TRE46" s="19"/>
      <c r="TRF46" s="19"/>
      <c r="TRG46" s="19"/>
      <c r="TRH46" s="19"/>
      <c r="TRI46" s="19"/>
      <c r="TRJ46" s="19"/>
      <c r="TRK46" s="19"/>
      <c r="TRL46" s="19"/>
      <c r="TRM46" s="19"/>
      <c r="TRN46" s="19"/>
      <c r="TRO46" s="19"/>
      <c r="TRP46" s="19"/>
      <c r="TRQ46" s="19"/>
      <c r="TRR46" s="19"/>
      <c r="TRS46" s="19"/>
      <c r="TRT46" s="19"/>
      <c r="TRU46" s="19"/>
      <c r="TRV46" s="19"/>
      <c r="TRW46" s="19"/>
      <c r="TRX46" s="19"/>
      <c r="TRY46" s="19"/>
      <c r="TRZ46" s="19"/>
      <c r="TSA46" s="19"/>
      <c r="TSB46" s="19"/>
      <c r="TSC46" s="19"/>
      <c r="TSD46" s="19"/>
      <c r="TSE46" s="19"/>
      <c r="TSF46" s="19"/>
      <c r="TSG46" s="19"/>
      <c r="TSH46" s="19"/>
      <c r="TSI46" s="19"/>
      <c r="TSJ46" s="19"/>
      <c r="TSK46" s="19"/>
      <c r="TSL46" s="19"/>
      <c r="TSM46" s="19"/>
      <c r="TSN46" s="19"/>
      <c r="TSO46" s="19"/>
      <c r="TSP46" s="19"/>
      <c r="TSQ46" s="19"/>
      <c r="TSR46" s="19"/>
      <c r="TSS46" s="19"/>
      <c r="TST46" s="19"/>
      <c r="TSU46" s="19"/>
      <c r="TSV46" s="19"/>
      <c r="TSW46" s="19"/>
      <c r="TSX46" s="19"/>
      <c r="TSY46" s="19"/>
      <c r="TSZ46" s="19"/>
      <c r="TTA46" s="19"/>
      <c r="TTB46" s="19"/>
      <c r="TTC46" s="19"/>
      <c r="TTD46" s="19"/>
      <c r="TTE46" s="19"/>
      <c r="TTF46" s="19"/>
      <c r="TTG46" s="19"/>
      <c r="TTH46" s="19"/>
      <c r="TTI46" s="19"/>
      <c r="TTJ46" s="19"/>
      <c r="TTK46" s="19"/>
      <c r="TTL46" s="19"/>
      <c r="TTM46" s="19"/>
      <c r="TTN46" s="19"/>
      <c r="TTO46" s="19"/>
      <c r="TTP46" s="19"/>
      <c r="TTQ46" s="19"/>
      <c r="TTR46" s="19"/>
      <c r="TTS46" s="19"/>
      <c r="TTT46" s="19"/>
      <c r="TTU46" s="19"/>
      <c r="TTV46" s="19"/>
      <c r="TTW46" s="19"/>
      <c r="TTX46" s="19"/>
      <c r="TTY46" s="19"/>
      <c r="TTZ46" s="19"/>
      <c r="TUA46" s="19"/>
      <c r="TUB46" s="19"/>
      <c r="TUC46" s="19"/>
      <c r="TUD46" s="19"/>
      <c r="TUE46" s="19"/>
      <c r="TUF46" s="19"/>
      <c r="TUG46" s="19"/>
      <c r="TUH46" s="19"/>
      <c r="TUI46" s="19"/>
      <c r="TUJ46" s="19"/>
      <c r="TUK46" s="19"/>
      <c r="TUL46" s="19"/>
      <c r="TUM46" s="19"/>
      <c r="TUN46" s="19"/>
      <c r="TUO46" s="19"/>
      <c r="TUP46" s="19"/>
      <c r="TUQ46" s="19"/>
      <c r="TUR46" s="19"/>
      <c r="TUS46" s="19"/>
      <c r="TUT46" s="19"/>
      <c r="TUU46" s="19"/>
      <c r="TUV46" s="19"/>
      <c r="TUW46" s="19"/>
      <c r="TUX46" s="19"/>
      <c r="TUY46" s="19"/>
      <c r="TUZ46" s="19"/>
      <c r="TVA46" s="19"/>
      <c r="TVB46" s="19"/>
      <c r="TVC46" s="19"/>
      <c r="TVD46" s="19"/>
      <c r="TVE46" s="19"/>
      <c r="TVF46" s="19"/>
      <c r="TVG46" s="19"/>
      <c r="TVH46" s="19"/>
      <c r="TVI46" s="19"/>
      <c r="TVJ46" s="19"/>
      <c r="TVK46" s="19"/>
      <c r="TVL46" s="19"/>
      <c r="TVM46" s="19"/>
      <c r="TVN46" s="19"/>
      <c r="TVO46" s="19"/>
      <c r="TVP46" s="19"/>
      <c r="TVQ46" s="19"/>
      <c r="TVR46" s="19"/>
      <c r="TVS46" s="19"/>
      <c r="TVT46" s="19"/>
      <c r="TVU46" s="19"/>
      <c r="TVV46" s="19"/>
      <c r="TVW46" s="19"/>
      <c r="TVX46" s="19"/>
      <c r="TVY46" s="19"/>
      <c r="TVZ46" s="19"/>
      <c r="TWA46" s="19"/>
      <c r="TWB46" s="19"/>
      <c r="TWC46" s="19"/>
      <c r="TWD46" s="19"/>
      <c r="TWE46" s="19"/>
      <c r="TWF46" s="19"/>
      <c r="TWG46" s="19"/>
      <c r="TWH46" s="19"/>
      <c r="TWI46" s="19"/>
      <c r="TWJ46" s="19"/>
      <c r="TWK46" s="19"/>
      <c r="TWL46" s="19"/>
      <c r="TWM46" s="19"/>
      <c r="TWN46" s="19"/>
      <c r="TWO46" s="19"/>
      <c r="TWP46" s="19"/>
      <c r="TWQ46" s="19"/>
      <c r="TWR46" s="19"/>
      <c r="TWS46" s="19"/>
      <c r="TWT46" s="19"/>
      <c r="TWU46" s="19"/>
      <c r="TWV46" s="19"/>
      <c r="TWW46" s="19"/>
      <c r="TWX46" s="19"/>
      <c r="TWY46" s="19"/>
      <c r="TWZ46" s="19"/>
      <c r="TXA46" s="19"/>
      <c r="TXB46" s="19"/>
      <c r="TXC46" s="19"/>
      <c r="TXD46" s="19"/>
      <c r="TXE46" s="19"/>
      <c r="TXF46" s="19"/>
      <c r="TXG46" s="19"/>
      <c r="TXH46" s="19"/>
      <c r="TXI46" s="19"/>
      <c r="TXJ46" s="19"/>
      <c r="TXK46" s="19"/>
      <c r="TXL46" s="19"/>
      <c r="TXM46" s="19"/>
      <c r="TXN46" s="19"/>
      <c r="TXO46" s="19"/>
      <c r="TXP46" s="19"/>
      <c r="TXQ46" s="19"/>
      <c r="TXR46" s="19"/>
      <c r="TXS46" s="19"/>
      <c r="TXT46" s="19"/>
      <c r="TXU46" s="19"/>
      <c r="TXV46" s="19"/>
      <c r="TXW46" s="19"/>
      <c r="TXX46" s="19"/>
      <c r="TXY46" s="19"/>
      <c r="TXZ46" s="19"/>
      <c r="TYA46" s="19"/>
      <c r="TYB46" s="19"/>
      <c r="TYC46" s="19"/>
      <c r="TYD46" s="19"/>
      <c r="TYE46" s="19"/>
      <c r="TYF46" s="19"/>
      <c r="TYG46" s="19"/>
      <c r="TYH46" s="19"/>
      <c r="TYI46" s="19"/>
      <c r="TYJ46" s="19"/>
      <c r="TYK46" s="19"/>
      <c r="TYL46" s="19"/>
      <c r="TYM46" s="19"/>
      <c r="TYN46" s="19"/>
      <c r="TYO46" s="19"/>
      <c r="TYP46" s="19"/>
      <c r="TYQ46" s="19"/>
      <c r="TYR46" s="19"/>
      <c r="TYS46" s="19"/>
      <c r="TYT46" s="19"/>
      <c r="TYU46" s="19"/>
      <c r="TYV46" s="19"/>
      <c r="TYW46" s="19"/>
      <c r="TYX46" s="19"/>
      <c r="TYY46" s="19"/>
      <c r="TYZ46" s="19"/>
      <c r="TZA46" s="19"/>
      <c r="TZB46" s="19"/>
      <c r="TZC46" s="19"/>
      <c r="TZD46" s="19"/>
      <c r="TZE46" s="19"/>
      <c r="TZF46" s="19"/>
      <c r="TZG46" s="19"/>
      <c r="TZH46" s="19"/>
      <c r="TZI46" s="19"/>
      <c r="TZJ46" s="19"/>
      <c r="TZK46" s="19"/>
      <c r="TZL46" s="19"/>
      <c r="TZM46" s="19"/>
      <c r="TZN46" s="19"/>
      <c r="TZO46" s="19"/>
      <c r="TZP46" s="19"/>
      <c r="TZQ46" s="19"/>
      <c r="TZR46" s="19"/>
      <c r="TZS46" s="19"/>
      <c r="TZT46" s="19"/>
      <c r="TZU46" s="19"/>
      <c r="TZV46" s="19"/>
      <c r="TZW46" s="19"/>
      <c r="TZX46" s="19"/>
      <c r="TZY46" s="19"/>
      <c r="TZZ46" s="19"/>
      <c r="UAA46" s="19"/>
      <c r="UAB46" s="19"/>
      <c r="UAC46" s="19"/>
      <c r="UAD46" s="19"/>
      <c r="UAE46" s="19"/>
      <c r="UAF46" s="19"/>
      <c r="UAG46" s="19"/>
      <c r="UAH46" s="19"/>
      <c r="UAI46" s="19"/>
      <c r="UAJ46" s="19"/>
      <c r="UAK46" s="19"/>
      <c r="UAL46" s="19"/>
      <c r="UAM46" s="19"/>
      <c r="UAN46" s="19"/>
      <c r="UAO46" s="19"/>
      <c r="UAP46" s="19"/>
      <c r="UAQ46" s="19"/>
      <c r="UAR46" s="19"/>
      <c r="UAS46" s="19"/>
      <c r="UAT46" s="19"/>
      <c r="UAU46" s="19"/>
      <c r="UAV46" s="19"/>
      <c r="UAW46" s="19"/>
      <c r="UAX46" s="19"/>
      <c r="UAY46" s="19"/>
      <c r="UAZ46" s="19"/>
      <c r="UBA46" s="19"/>
      <c r="UBB46" s="19"/>
      <c r="UBC46" s="19"/>
      <c r="UBD46" s="19"/>
      <c r="UBE46" s="19"/>
      <c r="UBF46" s="19"/>
      <c r="UBG46" s="19"/>
      <c r="UBH46" s="19"/>
      <c r="UBI46" s="19"/>
      <c r="UBJ46" s="19"/>
      <c r="UBK46" s="19"/>
      <c r="UBL46" s="19"/>
      <c r="UBM46" s="19"/>
      <c r="UBN46" s="19"/>
      <c r="UBO46" s="19"/>
      <c r="UBP46" s="19"/>
      <c r="UBQ46" s="19"/>
      <c r="UBR46" s="19"/>
      <c r="UBS46" s="19"/>
      <c r="UBT46" s="19"/>
      <c r="UBU46" s="19"/>
      <c r="UBV46" s="19"/>
      <c r="UBW46" s="19"/>
      <c r="UBX46" s="19"/>
      <c r="UBY46" s="19"/>
      <c r="UBZ46" s="19"/>
      <c r="UCA46" s="19"/>
      <c r="UCB46" s="19"/>
      <c r="UCC46" s="19"/>
      <c r="UCD46" s="19"/>
      <c r="UCE46" s="19"/>
      <c r="UCF46" s="19"/>
      <c r="UCG46" s="19"/>
      <c r="UCH46" s="19"/>
      <c r="UCI46" s="19"/>
      <c r="UCJ46" s="19"/>
      <c r="UCK46" s="19"/>
      <c r="UCL46" s="19"/>
      <c r="UCM46" s="19"/>
      <c r="UCN46" s="19"/>
      <c r="UCO46" s="19"/>
      <c r="UCP46" s="19"/>
      <c r="UCQ46" s="19"/>
      <c r="UCR46" s="19"/>
      <c r="UCS46" s="19"/>
      <c r="UCT46" s="19"/>
      <c r="UCU46" s="19"/>
      <c r="UCV46" s="19"/>
      <c r="UCW46" s="19"/>
      <c r="UCX46" s="19"/>
      <c r="UCY46" s="19"/>
      <c r="UCZ46" s="19"/>
      <c r="UDA46" s="19"/>
      <c r="UDB46" s="19"/>
      <c r="UDC46" s="19"/>
      <c r="UDD46" s="19"/>
      <c r="UDE46" s="19"/>
      <c r="UDF46" s="19"/>
      <c r="UDG46" s="19"/>
      <c r="UDH46" s="19"/>
      <c r="UDI46" s="19"/>
      <c r="UDJ46" s="19"/>
      <c r="UDK46" s="19"/>
      <c r="UDL46" s="19"/>
      <c r="UDM46" s="19"/>
      <c r="UDN46" s="19"/>
      <c r="UDO46" s="19"/>
      <c r="UDP46" s="19"/>
      <c r="UDQ46" s="19"/>
      <c r="UDR46" s="19"/>
      <c r="UDS46" s="19"/>
      <c r="UDT46" s="19"/>
      <c r="UDU46" s="19"/>
      <c r="UDV46" s="19"/>
      <c r="UDW46" s="19"/>
      <c r="UDX46" s="19"/>
      <c r="UDY46" s="19"/>
      <c r="UDZ46" s="19"/>
      <c r="UEA46" s="19"/>
      <c r="UEB46" s="19"/>
      <c r="UEC46" s="19"/>
      <c r="UED46" s="19"/>
      <c r="UEE46" s="19"/>
      <c r="UEF46" s="19"/>
      <c r="UEG46" s="19"/>
      <c r="UEH46" s="19"/>
      <c r="UEI46" s="19"/>
      <c r="UEJ46" s="19"/>
      <c r="UEK46" s="19"/>
      <c r="UEL46" s="19"/>
      <c r="UEM46" s="19"/>
      <c r="UEN46" s="19"/>
      <c r="UEO46" s="19"/>
      <c r="UEP46" s="19"/>
      <c r="UEQ46" s="19"/>
      <c r="UER46" s="19"/>
      <c r="UES46" s="19"/>
      <c r="UET46" s="19"/>
      <c r="UEU46" s="19"/>
      <c r="UEV46" s="19"/>
      <c r="UEW46" s="19"/>
      <c r="UEX46" s="19"/>
      <c r="UEY46" s="19"/>
      <c r="UEZ46" s="19"/>
      <c r="UFA46" s="19"/>
      <c r="UFB46" s="19"/>
      <c r="UFC46" s="19"/>
      <c r="UFD46" s="19"/>
      <c r="UFE46" s="19"/>
      <c r="UFF46" s="19"/>
      <c r="UFG46" s="19"/>
      <c r="UFH46" s="19"/>
      <c r="UFI46" s="19"/>
      <c r="UFJ46" s="19"/>
      <c r="UFK46" s="19"/>
      <c r="UFL46" s="19"/>
      <c r="UFM46" s="19"/>
      <c r="UFN46" s="19"/>
      <c r="UFO46" s="19"/>
      <c r="UFP46" s="19"/>
      <c r="UFQ46" s="19"/>
      <c r="UFR46" s="19"/>
      <c r="UFS46" s="19"/>
      <c r="UFT46" s="19"/>
      <c r="UFU46" s="19"/>
      <c r="UFV46" s="19"/>
      <c r="UFW46" s="19"/>
      <c r="UFX46" s="19"/>
      <c r="UFY46" s="19"/>
      <c r="UFZ46" s="19"/>
      <c r="UGA46" s="19"/>
      <c r="UGB46" s="19"/>
      <c r="UGC46" s="19"/>
      <c r="UGD46" s="19"/>
      <c r="UGE46" s="19"/>
      <c r="UGF46" s="19"/>
      <c r="UGG46" s="19"/>
      <c r="UGH46" s="19"/>
      <c r="UGI46" s="19"/>
      <c r="UGJ46" s="19"/>
      <c r="UGK46" s="19"/>
      <c r="UGL46" s="19"/>
      <c r="UGM46" s="19"/>
      <c r="UGN46" s="19"/>
      <c r="UGO46" s="19"/>
      <c r="UGP46" s="19"/>
      <c r="UGQ46" s="19"/>
      <c r="UGR46" s="19"/>
      <c r="UGS46" s="19"/>
      <c r="UGT46" s="19"/>
      <c r="UGU46" s="19"/>
      <c r="UGV46" s="19"/>
      <c r="UGW46" s="19"/>
      <c r="UGX46" s="19"/>
      <c r="UGY46" s="19"/>
      <c r="UGZ46" s="19"/>
      <c r="UHA46" s="19"/>
      <c r="UHB46" s="19"/>
      <c r="UHC46" s="19"/>
      <c r="UHD46" s="19"/>
      <c r="UHE46" s="19"/>
      <c r="UHF46" s="19"/>
      <c r="UHG46" s="19"/>
      <c r="UHH46" s="19"/>
      <c r="UHI46" s="19"/>
      <c r="UHJ46" s="19"/>
      <c r="UHK46" s="19"/>
      <c r="UHL46" s="19"/>
      <c r="UHM46" s="19"/>
      <c r="UHN46" s="19"/>
      <c r="UHO46" s="19"/>
      <c r="UHP46" s="19"/>
      <c r="UHQ46" s="19"/>
      <c r="UHR46" s="19"/>
      <c r="UHS46" s="19"/>
      <c r="UHT46" s="19"/>
      <c r="UHU46" s="19"/>
      <c r="UHV46" s="19"/>
      <c r="UHW46" s="19"/>
      <c r="UHX46" s="19"/>
      <c r="UHY46" s="19"/>
      <c r="UHZ46" s="19"/>
      <c r="UIA46" s="19"/>
      <c r="UIB46" s="19"/>
      <c r="UIC46" s="19"/>
      <c r="UID46" s="19"/>
      <c r="UIE46" s="19"/>
      <c r="UIF46" s="19"/>
      <c r="UIG46" s="19"/>
      <c r="UIH46" s="19"/>
      <c r="UII46" s="19"/>
      <c r="UIJ46" s="19"/>
      <c r="UIK46" s="19"/>
      <c r="UIL46" s="19"/>
      <c r="UIM46" s="19"/>
      <c r="UIN46" s="19"/>
      <c r="UIO46" s="19"/>
      <c r="UIP46" s="19"/>
      <c r="UIQ46" s="19"/>
      <c r="UIR46" s="19"/>
      <c r="UIS46" s="19"/>
      <c r="UIT46" s="19"/>
      <c r="UIU46" s="19"/>
      <c r="UIV46" s="19"/>
      <c r="UIW46" s="19"/>
      <c r="UIX46" s="19"/>
      <c r="UIY46" s="19"/>
      <c r="UIZ46" s="19"/>
      <c r="UJA46" s="19"/>
      <c r="UJB46" s="19"/>
      <c r="UJC46" s="19"/>
      <c r="UJD46" s="19"/>
      <c r="UJE46" s="19"/>
      <c r="UJF46" s="19"/>
      <c r="UJG46" s="19"/>
      <c r="UJH46" s="19"/>
      <c r="UJI46" s="19"/>
      <c r="UJJ46" s="19"/>
      <c r="UJK46" s="19"/>
      <c r="UJL46" s="19"/>
      <c r="UJM46" s="19"/>
      <c r="UJN46" s="19"/>
      <c r="UJO46" s="19"/>
      <c r="UJP46" s="19"/>
      <c r="UJQ46" s="19"/>
      <c r="UJR46" s="19"/>
      <c r="UJS46" s="19"/>
      <c r="UJT46" s="19"/>
      <c r="UJU46" s="19"/>
      <c r="UJV46" s="19"/>
      <c r="UJW46" s="19"/>
      <c r="UJX46" s="19"/>
      <c r="UJY46" s="19"/>
      <c r="UJZ46" s="19"/>
      <c r="UKA46" s="19"/>
      <c r="UKB46" s="19"/>
      <c r="UKC46" s="19"/>
      <c r="UKD46" s="19"/>
      <c r="UKE46" s="19"/>
      <c r="UKF46" s="19"/>
      <c r="UKG46" s="19"/>
      <c r="UKH46" s="19"/>
      <c r="UKI46" s="19"/>
      <c r="UKJ46" s="19"/>
      <c r="UKK46" s="19"/>
      <c r="UKL46" s="19"/>
      <c r="UKM46" s="19"/>
      <c r="UKN46" s="19"/>
      <c r="UKO46" s="19"/>
      <c r="UKP46" s="19"/>
      <c r="UKQ46" s="19"/>
      <c r="UKR46" s="19"/>
      <c r="UKS46" s="19"/>
      <c r="UKT46" s="19"/>
      <c r="UKU46" s="19"/>
      <c r="UKV46" s="19"/>
      <c r="UKW46" s="19"/>
      <c r="UKX46" s="19"/>
      <c r="UKY46" s="19"/>
      <c r="UKZ46" s="19"/>
      <c r="ULA46" s="19"/>
      <c r="ULB46" s="19"/>
      <c r="ULC46" s="19"/>
      <c r="ULD46" s="19"/>
      <c r="ULE46" s="19"/>
      <c r="ULF46" s="19"/>
      <c r="ULG46" s="19"/>
      <c r="ULH46" s="19"/>
      <c r="ULI46" s="19"/>
      <c r="ULJ46" s="19"/>
      <c r="ULK46" s="19"/>
      <c r="ULL46" s="19"/>
      <c r="ULM46" s="19"/>
      <c r="ULN46" s="19"/>
      <c r="ULO46" s="19"/>
      <c r="ULP46" s="19"/>
      <c r="ULQ46" s="19"/>
      <c r="ULR46" s="19"/>
      <c r="ULS46" s="19"/>
      <c r="ULT46" s="19"/>
      <c r="ULU46" s="19"/>
      <c r="ULV46" s="19"/>
      <c r="ULW46" s="19"/>
      <c r="ULX46" s="19"/>
      <c r="ULY46" s="19"/>
      <c r="ULZ46" s="19"/>
      <c r="UMA46" s="19"/>
      <c r="UMB46" s="19"/>
      <c r="UMC46" s="19"/>
      <c r="UMD46" s="19"/>
      <c r="UME46" s="19"/>
      <c r="UMF46" s="19"/>
      <c r="UMG46" s="19"/>
      <c r="UMH46" s="19"/>
      <c r="UMI46" s="19"/>
      <c r="UMJ46" s="19"/>
      <c r="UMK46" s="19"/>
      <c r="UML46" s="19"/>
      <c r="UMM46" s="19"/>
      <c r="UMN46" s="19"/>
      <c r="UMO46" s="19"/>
      <c r="UMP46" s="19"/>
      <c r="UMQ46" s="19"/>
      <c r="UMR46" s="19"/>
      <c r="UMS46" s="19"/>
      <c r="UMT46" s="19"/>
      <c r="UMU46" s="19"/>
      <c r="UMV46" s="19"/>
      <c r="UMW46" s="19"/>
      <c r="UMX46" s="19"/>
      <c r="UMY46" s="19"/>
      <c r="UMZ46" s="19"/>
      <c r="UNA46" s="19"/>
      <c r="UNB46" s="19"/>
      <c r="UNC46" s="19"/>
      <c r="UND46" s="19"/>
      <c r="UNE46" s="19"/>
      <c r="UNF46" s="19"/>
      <c r="UNG46" s="19"/>
      <c r="UNH46" s="19"/>
      <c r="UNI46" s="19"/>
      <c r="UNJ46" s="19"/>
      <c r="UNK46" s="19"/>
      <c r="UNL46" s="19"/>
      <c r="UNM46" s="19"/>
      <c r="UNN46" s="19"/>
      <c r="UNO46" s="19"/>
      <c r="UNP46" s="19"/>
      <c r="UNQ46" s="19"/>
      <c r="UNR46" s="19"/>
      <c r="UNS46" s="19"/>
      <c r="UNT46" s="19"/>
      <c r="UNU46" s="19"/>
      <c r="UNV46" s="19"/>
      <c r="UNW46" s="19"/>
      <c r="UNX46" s="19"/>
      <c r="UNY46" s="19"/>
      <c r="UNZ46" s="19"/>
      <c r="UOA46" s="19"/>
      <c r="UOB46" s="19"/>
      <c r="UOC46" s="19"/>
      <c r="UOD46" s="19"/>
      <c r="UOE46" s="19"/>
      <c r="UOF46" s="19"/>
      <c r="UOG46" s="19"/>
      <c r="UOH46" s="19"/>
      <c r="UOI46" s="19"/>
      <c r="UOJ46" s="19"/>
      <c r="UOK46" s="19"/>
      <c r="UOL46" s="19"/>
      <c r="UOM46" s="19"/>
      <c r="UON46" s="19"/>
      <c r="UOO46" s="19"/>
      <c r="UOP46" s="19"/>
      <c r="UOQ46" s="19"/>
      <c r="UOR46" s="19"/>
      <c r="UOS46" s="19"/>
      <c r="UOT46" s="19"/>
      <c r="UOU46" s="19"/>
      <c r="UOV46" s="19"/>
      <c r="UOW46" s="19"/>
      <c r="UOX46" s="19"/>
      <c r="UOY46" s="19"/>
      <c r="UOZ46" s="19"/>
      <c r="UPA46" s="19"/>
      <c r="UPB46" s="19"/>
      <c r="UPC46" s="19"/>
      <c r="UPD46" s="19"/>
      <c r="UPE46" s="19"/>
      <c r="UPF46" s="19"/>
      <c r="UPG46" s="19"/>
      <c r="UPH46" s="19"/>
      <c r="UPI46" s="19"/>
      <c r="UPJ46" s="19"/>
      <c r="UPK46" s="19"/>
      <c r="UPL46" s="19"/>
      <c r="UPM46" s="19"/>
      <c r="UPN46" s="19"/>
      <c r="UPO46" s="19"/>
      <c r="UPP46" s="19"/>
      <c r="UPQ46" s="19"/>
      <c r="UPR46" s="19"/>
      <c r="UPS46" s="19"/>
      <c r="UPT46" s="19"/>
      <c r="UPU46" s="19"/>
      <c r="UPV46" s="19"/>
      <c r="UPW46" s="19"/>
      <c r="UPX46" s="19"/>
      <c r="UPY46" s="19"/>
      <c r="UPZ46" s="19"/>
      <c r="UQA46" s="19"/>
      <c r="UQB46" s="19"/>
      <c r="UQC46" s="19"/>
      <c r="UQD46" s="19"/>
      <c r="UQE46" s="19"/>
      <c r="UQF46" s="19"/>
      <c r="UQG46" s="19"/>
      <c r="UQH46" s="19"/>
      <c r="UQI46" s="19"/>
      <c r="UQJ46" s="19"/>
      <c r="UQK46" s="19"/>
      <c r="UQL46" s="19"/>
      <c r="UQM46" s="19"/>
      <c r="UQN46" s="19"/>
      <c r="UQO46" s="19"/>
      <c r="UQP46" s="19"/>
      <c r="UQQ46" s="19"/>
      <c r="UQR46" s="19"/>
      <c r="UQS46" s="19"/>
      <c r="UQT46" s="19"/>
      <c r="UQU46" s="19"/>
      <c r="UQV46" s="19"/>
      <c r="UQW46" s="19"/>
      <c r="UQX46" s="19"/>
      <c r="UQY46" s="19"/>
      <c r="UQZ46" s="19"/>
      <c r="URA46" s="19"/>
      <c r="URB46" s="19"/>
      <c r="URC46" s="19"/>
      <c r="URD46" s="19"/>
      <c r="URE46" s="19"/>
      <c r="URF46" s="19"/>
      <c r="URG46" s="19"/>
      <c r="URH46" s="19"/>
      <c r="URI46" s="19"/>
      <c r="URJ46" s="19"/>
      <c r="URK46" s="19"/>
      <c r="URL46" s="19"/>
      <c r="URM46" s="19"/>
      <c r="URN46" s="19"/>
      <c r="URO46" s="19"/>
      <c r="URP46" s="19"/>
      <c r="URQ46" s="19"/>
      <c r="URR46" s="19"/>
      <c r="URS46" s="19"/>
      <c r="URT46" s="19"/>
      <c r="URU46" s="19"/>
      <c r="URV46" s="19"/>
      <c r="URW46" s="19"/>
      <c r="URX46" s="19"/>
      <c r="URY46" s="19"/>
      <c r="URZ46" s="19"/>
      <c r="USA46" s="19"/>
      <c r="USB46" s="19"/>
      <c r="USC46" s="19"/>
      <c r="USD46" s="19"/>
      <c r="USE46" s="19"/>
      <c r="USF46" s="19"/>
      <c r="USG46" s="19"/>
      <c r="USH46" s="19"/>
      <c r="USI46" s="19"/>
      <c r="USJ46" s="19"/>
      <c r="USK46" s="19"/>
      <c r="USL46" s="19"/>
      <c r="USM46" s="19"/>
      <c r="USN46" s="19"/>
      <c r="USO46" s="19"/>
      <c r="USP46" s="19"/>
      <c r="USQ46" s="19"/>
      <c r="USR46" s="19"/>
      <c r="USS46" s="19"/>
      <c r="UST46" s="19"/>
      <c r="USU46" s="19"/>
      <c r="USV46" s="19"/>
      <c r="USW46" s="19"/>
      <c r="USX46" s="19"/>
      <c r="USY46" s="19"/>
      <c r="USZ46" s="19"/>
      <c r="UTA46" s="19"/>
      <c r="UTB46" s="19"/>
      <c r="UTC46" s="19"/>
      <c r="UTD46" s="19"/>
      <c r="UTE46" s="19"/>
      <c r="UTF46" s="19"/>
      <c r="UTG46" s="19"/>
      <c r="UTH46" s="19"/>
      <c r="UTI46" s="19"/>
      <c r="UTJ46" s="19"/>
      <c r="UTK46" s="19"/>
      <c r="UTL46" s="19"/>
      <c r="UTM46" s="19"/>
      <c r="UTN46" s="19"/>
      <c r="UTO46" s="19"/>
      <c r="UTP46" s="19"/>
      <c r="UTQ46" s="19"/>
      <c r="UTR46" s="19"/>
      <c r="UTS46" s="19"/>
      <c r="UTT46" s="19"/>
      <c r="UTU46" s="19"/>
      <c r="UTV46" s="19"/>
      <c r="UTW46" s="19"/>
      <c r="UTX46" s="19"/>
      <c r="UTY46" s="19"/>
      <c r="UTZ46" s="19"/>
      <c r="UUA46" s="19"/>
      <c r="UUB46" s="19"/>
      <c r="UUC46" s="19"/>
      <c r="UUD46" s="19"/>
      <c r="UUE46" s="19"/>
      <c r="UUF46" s="19"/>
      <c r="UUG46" s="19"/>
      <c r="UUH46" s="19"/>
      <c r="UUI46" s="19"/>
      <c r="UUJ46" s="19"/>
      <c r="UUK46" s="19"/>
      <c r="UUL46" s="19"/>
      <c r="UUM46" s="19"/>
      <c r="UUN46" s="19"/>
      <c r="UUO46" s="19"/>
      <c r="UUP46" s="19"/>
      <c r="UUQ46" s="19"/>
      <c r="UUR46" s="19"/>
      <c r="UUS46" s="19"/>
      <c r="UUT46" s="19"/>
      <c r="UUU46" s="19"/>
      <c r="UUV46" s="19"/>
      <c r="UUW46" s="19"/>
      <c r="UUX46" s="19"/>
      <c r="UUY46" s="19"/>
      <c r="UUZ46" s="19"/>
      <c r="UVA46" s="19"/>
      <c r="UVB46" s="19"/>
      <c r="UVC46" s="19"/>
      <c r="UVD46" s="19"/>
      <c r="UVE46" s="19"/>
      <c r="UVF46" s="19"/>
      <c r="UVG46" s="19"/>
      <c r="UVH46" s="19"/>
      <c r="UVI46" s="19"/>
      <c r="UVJ46" s="19"/>
      <c r="UVK46" s="19"/>
      <c r="UVL46" s="19"/>
      <c r="UVM46" s="19"/>
      <c r="UVN46" s="19"/>
      <c r="UVO46" s="19"/>
      <c r="UVP46" s="19"/>
      <c r="UVQ46" s="19"/>
      <c r="UVR46" s="19"/>
      <c r="UVS46" s="19"/>
      <c r="UVT46" s="19"/>
      <c r="UVU46" s="19"/>
      <c r="UVV46" s="19"/>
      <c r="UVW46" s="19"/>
      <c r="UVX46" s="19"/>
      <c r="UVY46" s="19"/>
      <c r="UVZ46" s="19"/>
      <c r="UWA46" s="19"/>
      <c r="UWB46" s="19"/>
      <c r="UWC46" s="19"/>
      <c r="UWD46" s="19"/>
      <c r="UWE46" s="19"/>
      <c r="UWF46" s="19"/>
      <c r="UWG46" s="19"/>
      <c r="UWH46" s="19"/>
      <c r="UWI46" s="19"/>
      <c r="UWJ46" s="19"/>
      <c r="UWK46" s="19"/>
      <c r="UWL46" s="19"/>
      <c r="UWM46" s="19"/>
      <c r="UWN46" s="19"/>
      <c r="UWO46" s="19"/>
      <c r="UWP46" s="19"/>
      <c r="UWQ46" s="19"/>
      <c r="UWR46" s="19"/>
      <c r="UWS46" s="19"/>
      <c r="UWT46" s="19"/>
      <c r="UWU46" s="19"/>
      <c r="UWV46" s="19"/>
      <c r="UWW46" s="19"/>
      <c r="UWX46" s="19"/>
      <c r="UWY46" s="19"/>
      <c r="UWZ46" s="19"/>
      <c r="UXA46" s="19"/>
      <c r="UXB46" s="19"/>
      <c r="UXC46" s="19"/>
      <c r="UXD46" s="19"/>
      <c r="UXE46" s="19"/>
      <c r="UXF46" s="19"/>
      <c r="UXG46" s="19"/>
      <c r="UXH46" s="19"/>
      <c r="UXI46" s="19"/>
      <c r="UXJ46" s="19"/>
      <c r="UXK46" s="19"/>
      <c r="UXL46" s="19"/>
      <c r="UXM46" s="19"/>
      <c r="UXN46" s="19"/>
      <c r="UXO46" s="19"/>
      <c r="UXP46" s="19"/>
      <c r="UXQ46" s="19"/>
      <c r="UXR46" s="19"/>
      <c r="UXS46" s="19"/>
      <c r="UXT46" s="19"/>
      <c r="UXU46" s="19"/>
      <c r="UXV46" s="19"/>
      <c r="UXW46" s="19"/>
      <c r="UXX46" s="19"/>
      <c r="UXY46" s="19"/>
      <c r="UXZ46" s="19"/>
      <c r="UYA46" s="19"/>
      <c r="UYB46" s="19"/>
      <c r="UYC46" s="19"/>
      <c r="UYD46" s="19"/>
      <c r="UYE46" s="19"/>
      <c r="UYF46" s="19"/>
      <c r="UYG46" s="19"/>
      <c r="UYH46" s="19"/>
      <c r="UYI46" s="19"/>
      <c r="UYJ46" s="19"/>
      <c r="UYK46" s="19"/>
      <c r="UYL46" s="19"/>
      <c r="UYM46" s="19"/>
      <c r="UYN46" s="19"/>
      <c r="UYO46" s="19"/>
      <c r="UYP46" s="19"/>
      <c r="UYQ46" s="19"/>
      <c r="UYR46" s="19"/>
      <c r="UYS46" s="19"/>
      <c r="UYT46" s="19"/>
      <c r="UYU46" s="19"/>
      <c r="UYV46" s="19"/>
      <c r="UYW46" s="19"/>
      <c r="UYX46" s="19"/>
      <c r="UYY46" s="19"/>
      <c r="UYZ46" s="19"/>
      <c r="UZA46" s="19"/>
      <c r="UZB46" s="19"/>
      <c r="UZC46" s="19"/>
      <c r="UZD46" s="19"/>
      <c r="UZE46" s="19"/>
      <c r="UZF46" s="19"/>
      <c r="UZG46" s="19"/>
      <c r="UZH46" s="19"/>
      <c r="UZI46" s="19"/>
      <c r="UZJ46" s="19"/>
      <c r="UZK46" s="19"/>
      <c r="UZL46" s="19"/>
      <c r="UZM46" s="19"/>
      <c r="UZN46" s="19"/>
      <c r="UZO46" s="19"/>
      <c r="UZP46" s="19"/>
      <c r="UZQ46" s="19"/>
      <c r="UZR46" s="19"/>
      <c r="UZS46" s="19"/>
      <c r="UZT46" s="19"/>
      <c r="UZU46" s="19"/>
      <c r="UZV46" s="19"/>
      <c r="UZW46" s="19"/>
      <c r="UZX46" s="19"/>
      <c r="UZY46" s="19"/>
      <c r="UZZ46" s="19"/>
      <c r="VAA46" s="19"/>
      <c r="VAB46" s="19"/>
      <c r="VAC46" s="19"/>
      <c r="VAD46" s="19"/>
      <c r="VAE46" s="19"/>
      <c r="VAF46" s="19"/>
      <c r="VAG46" s="19"/>
      <c r="VAH46" s="19"/>
      <c r="VAI46" s="19"/>
      <c r="VAJ46" s="19"/>
      <c r="VAK46" s="19"/>
      <c r="VAL46" s="19"/>
      <c r="VAM46" s="19"/>
      <c r="VAN46" s="19"/>
      <c r="VAO46" s="19"/>
      <c r="VAP46" s="19"/>
      <c r="VAQ46" s="19"/>
      <c r="VAR46" s="19"/>
      <c r="VAS46" s="19"/>
      <c r="VAT46" s="19"/>
      <c r="VAU46" s="19"/>
      <c r="VAV46" s="19"/>
      <c r="VAW46" s="19"/>
      <c r="VAX46" s="19"/>
      <c r="VAY46" s="19"/>
      <c r="VAZ46" s="19"/>
      <c r="VBA46" s="19"/>
      <c r="VBB46" s="19"/>
      <c r="VBC46" s="19"/>
      <c r="VBD46" s="19"/>
      <c r="VBE46" s="19"/>
      <c r="VBF46" s="19"/>
      <c r="VBG46" s="19"/>
      <c r="VBH46" s="19"/>
      <c r="VBI46" s="19"/>
      <c r="VBJ46" s="19"/>
      <c r="VBK46" s="19"/>
      <c r="VBL46" s="19"/>
      <c r="VBM46" s="19"/>
      <c r="VBN46" s="19"/>
      <c r="VBO46" s="19"/>
      <c r="VBP46" s="19"/>
      <c r="VBQ46" s="19"/>
      <c r="VBR46" s="19"/>
      <c r="VBS46" s="19"/>
      <c r="VBT46" s="19"/>
      <c r="VBU46" s="19"/>
      <c r="VBV46" s="19"/>
      <c r="VBW46" s="19"/>
      <c r="VBX46" s="19"/>
      <c r="VBY46" s="19"/>
      <c r="VBZ46" s="19"/>
      <c r="VCA46" s="19"/>
      <c r="VCB46" s="19"/>
      <c r="VCC46" s="19"/>
      <c r="VCD46" s="19"/>
      <c r="VCE46" s="19"/>
      <c r="VCF46" s="19"/>
      <c r="VCG46" s="19"/>
      <c r="VCH46" s="19"/>
      <c r="VCI46" s="19"/>
      <c r="VCJ46" s="19"/>
      <c r="VCK46" s="19"/>
      <c r="VCL46" s="19"/>
      <c r="VCM46" s="19"/>
      <c r="VCN46" s="19"/>
      <c r="VCO46" s="19"/>
      <c r="VCP46" s="19"/>
      <c r="VCQ46" s="19"/>
      <c r="VCR46" s="19"/>
      <c r="VCS46" s="19"/>
      <c r="VCT46" s="19"/>
      <c r="VCU46" s="19"/>
      <c r="VCV46" s="19"/>
      <c r="VCW46" s="19"/>
      <c r="VCX46" s="19"/>
      <c r="VCY46" s="19"/>
      <c r="VCZ46" s="19"/>
      <c r="VDA46" s="19"/>
      <c r="VDB46" s="19"/>
      <c r="VDC46" s="19"/>
      <c r="VDD46" s="19"/>
      <c r="VDE46" s="19"/>
      <c r="VDF46" s="19"/>
      <c r="VDG46" s="19"/>
      <c r="VDH46" s="19"/>
      <c r="VDI46" s="19"/>
      <c r="VDJ46" s="19"/>
      <c r="VDK46" s="19"/>
      <c r="VDL46" s="19"/>
      <c r="VDM46" s="19"/>
      <c r="VDN46" s="19"/>
      <c r="VDO46" s="19"/>
      <c r="VDP46" s="19"/>
      <c r="VDQ46" s="19"/>
      <c r="VDR46" s="19"/>
      <c r="VDS46" s="19"/>
      <c r="VDT46" s="19"/>
      <c r="VDU46" s="19"/>
      <c r="VDV46" s="19"/>
      <c r="VDW46" s="19"/>
      <c r="VDX46" s="19"/>
      <c r="VDY46" s="19"/>
      <c r="VDZ46" s="19"/>
      <c r="VEA46" s="19"/>
      <c r="VEB46" s="19"/>
      <c r="VEC46" s="19"/>
      <c r="VED46" s="19"/>
      <c r="VEE46" s="19"/>
      <c r="VEF46" s="19"/>
      <c r="VEG46" s="19"/>
      <c r="VEH46" s="19"/>
      <c r="VEI46" s="19"/>
      <c r="VEJ46" s="19"/>
      <c r="VEK46" s="19"/>
      <c r="VEL46" s="19"/>
      <c r="VEM46" s="19"/>
      <c r="VEN46" s="19"/>
      <c r="VEO46" s="19"/>
      <c r="VEP46" s="19"/>
      <c r="VEQ46" s="19"/>
      <c r="VER46" s="19"/>
      <c r="VES46" s="19"/>
      <c r="VET46" s="19"/>
      <c r="VEU46" s="19"/>
      <c r="VEV46" s="19"/>
      <c r="VEW46" s="19"/>
      <c r="VEX46" s="19"/>
      <c r="VEY46" s="19"/>
      <c r="VEZ46" s="19"/>
      <c r="VFA46" s="19"/>
      <c r="VFB46" s="19"/>
      <c r="VFC46" s="19"/>
      <c r="VFD46" s="19"/>
      <c r="VFE46" s="19"/>
      <c r="VFF46" s="19"/>
      <c r="VFG46" s="19"/>
      <c r="VFH46" s="19"/>
      <c r="VFI46" s="19"/>
      <c r="VFJ46" s="19"/>
      <c r="VFK46" s="19"/>
      <c r="VFL46" s="19"/>
      <c r="VFM46" s="19"/>
      <c r="VFN46" s="19"/>
      <c r="VFO46" s="19"/>
      <c r="VFP46" s="19"/>
      <c r="VFQ46" s="19"/>
      <c r="VFR46" s="19"/>
      <c r="VFS46" s="19"/>
      <c r="VFT46" s="19"/>
      <c r="VFU46" s="19"/>
      <c r="VFV46" s="19"/>
      <c r="VFW46" s="19"/>
      <c r="VFX46" s="19"/>
      <c r="VFY46" s="19"/>
      <c r="VFZ46" s="19"/>
      <c r="VGA46" s="19"/>
      <c r="VGB46" s="19"/>
      <c r="VGC46" s="19"/>
      <c r="VGD46" s="19"/>
      <c r="VGE46" s="19"/>
      <c r="VGF46" s="19"/>
      <c r="VGG46" s="19"/>
      <c r="VGH46" s="19"/>
      <c r="VGI46" s="19"/>
      <c r="VGJ46" s="19"/>
      <c r="VGK46" s="19"/>
      <c r="VGL46" s="19"/>
      <c r="VGM46" s="19"/>
      <c r="VGN46" s="19"/>
      <c r="VGO46" s="19"/>
      <c r="VGP46" s="19"/>
      <c r="VGQ46" s="19"/>
      <c r="VGR46" s="19"/>
      <c r="VGS46" s="19"/>
      <c r="VGT46" s="19"/>
      <c r="VGU46" s="19"/>
      <c r="VGV46" s="19"/>
      <c r="VGW46" s="19"/>
      <c r="VGX46" s="19"/>
      <c r="VGY46" s="19"/>
      <c r="VGZ46" s="19"/>
      <c r="VHA46" s="19"/>
      <c r="VHB46" s="19"/>
      <c r="VHC46" s="19"/>
      <c r="VHD46" s="19"/>
      <c r="VHE46" s="19"/>
      <c r="VHF46" s="19"/>
      <c r="VHG46" s="19"/>
      <c r="VHH46" s="19"/>
      <c r="VHI46" s="19"/>
      <c r="VHJ46" s="19"/>
      <c r="VHK46" s="19"/>
      <c r="VHL46" s="19"/>
      <c r="VHM46" s="19"/>
      <c r="VHN46" s="19"/>
      <c r="VHO46" s="19"/>
      <c r="VHP46" s="19"/>
      <c r="VHQ46" s="19"/>
      <c r="VHR46" s="19"/>
      <c r="VHS46" s="19"/>
      <c r="VHT46" s="19"/>
      <c r="VHU46" s="19"/>
      <c r="VHV46" s="19"/>
      <c r="VHW46" s="19"/>
      <c r="VHX46" s="19"/>
      <c r="VHY46" s="19"/>
      <c r="VHZ46" s="19"/>
      <c r="VIA46" s="19"/>
      <c r="VIB46" s="19"/>
      <c r="VIC46" s="19"/>
      <c r="VID46" s="19"/>
      <c r="VIE46" s="19"/>
      <c r="VIF46" s="19"/>
      <c r="VIG46" s="19"/>
      <c r="VIH46" s="19"/>
      <c r="VII46" s="19"/>
      <c r="VIJ46" s="19"/>
      <c r="VIK46" s="19"/>
      <c r="VIL46" s="19"/>
      <c r="VIM46" s="19"/>
      <c r="VIN46" s="19"/>
      <c r="VIO46" s="19"/>
      <c r="VIP46" s="19"/>
      <c r="VIQ46" s="19"/>
      <c r="VIR46" s="19"/>
      <c r="VIS46" s="19"/>
      <c r="VIT46" s="19"/>
      <c r="VIU46" s="19"/>
      <c r="VIV46" s="19"/>
      <c r="VIW46" s="19"/>
      <c r="VIX46" s="19"/>
      <c r="VIY46" s="19"/>
      <c r="VIZ46" s="19"/>
      <c r="VJA46" s="19"/>
      <c r="VJB46" s="19"/>
      <c r="VJC46" s="19"/>
      <c r="VJD46" s="19"/>
      <c r="VJE46" s="19"/>
      <c r="VJF46" s="19"/>
      <c r="VJG46" s="19"/>
      <c r="VJH46" s="19"/>
      <c r="VJI46" s="19"/>
      <c r="VJJ46" s="19"/>
      <c r="VJK46" s="19"/>
      <c r="VJL46" s="19"/>
      <c r="VJM46" s="19"/>
      <c r="VJN46" s="19"/>
      <c r="VJO46" s="19"/>
      <c r="VJP46" s="19"/>
      <c r="VJQ46" s="19"/>
      <c r="VJR46" s="19"/>
      <c r="VJS46" s="19"/>
      <c r="VJT46" s="19"/>
      <c r="VJU46" s="19"/>
      <c r="VJV46" s="19"/>
      <c r="VJW46" s="19"/>
      <c r="VJX46" s="19"/>
      <c r="VJY46" s="19"/>
      <c r="VJZ46" s="19"/>
      <c r="VKA46" s="19"/>
      <c r="VKB46" s="19"/>
      <c r="VKC46" s="19"/>
      <c r="VKD46" s="19"/>
      <c r="VKE46" s="19"/>
      <c r="VKF46" s="19"/>
      <c r="VKG46" s="19"/>
      <c r="VKH46" s="19"/>
      <c r="VKI46" s="19"/>
      <c r="VKJ46" s="19"/>
      <c r="VKK46" s="19"/>
      <c r="VKL46" s="19"/>
      <c r="VKM46" s="19"/>
      <c r="VKN46" s="19"/>
      <c r="VKO46" s="19"/>
      <c r="VKP46" s="19"/>
      <c r="VKQ46" s="19"/>
      <c r="VKR46" s="19"/>
      <c r="VKS46" s="19"/>
      <c r="VKT46" s="19"/>
      <c r="VKU46" s="19"/>
      <c r="VKV46" s="19"/>
      <c r="VKW46" s="19"/>
      <c r="VKX46" s="19"/>
      <c r="VKY46" s="19"/>
      <c r="VKZ46" s="19"/>
      <c r="VLA46" s="19"/>
      <c r="VLB46" s="19"/>
      <c r="VLC46" s="19"/>
      <c r="VLD46" s="19"/>
      <c r="VLE46" s="19"/>
      <c r="VLF46" s="19"/>
      <c r="VLG46" s="19"/>
      <c r="VLH46" s="19"/>
      <c r="VLI46" s="19"/>
      <c r="VLJ46" s="19"/>
      <c r="VLK46" s="19"/>
      <c r="VLL46" s="19"/>
      <c r="VLM46" s="19"/>
      <c r="VLN46" s="19"/>
      <c r="VLO46" s="19"/>
      <c r="VLP46" s="19"/>
      <c r="VLQ46" s="19"/>
      <c r="VLR46" s="19"/>
      <c r="VLS46" s="19"/>
      <c r="VLT46" s="19"/>
      <c r="VLU46" s="19"/>
      <c r="VLV46" s="19"/>
      <c r="VLW46" s="19"/>
      <c r="VLX46" s="19"/>
      <c r="VLY46" s="19"/>
      <c r="VLZ46" s="19"/>
      <c r="VMA46" s="19"/>
      <c r="VMB46" s="19"/>
      <c r="VMC46" s="19"/>
      <c r="VMD46" s="19"/>
      <c r="VME46" s="19"/>
      <c r="VMF46" s="19"/>
      <c r="VMG46" s="19"/>
      <c r="VMH46" s="19"/>
      <c r="VMI46" s="19"/>
      <c r="VMJ46" s="19"/>
      <c r="VMK46" s="19"/>
      <c r="VML46" s="19"/>
      <c r="VMM46" s="19"/>
      <c r="VMN46" s="19"/>
      <c r="VMO46" s="19"/>
      <c r="VMP46" s="19"/>
      <c r="VMQ46" s="19"/>
      <c r="VMR46" s="19"/>
      <c r="VMS46" s="19"/>
      <c r="VMT46" s="19"/>
      <c r="VMU46" s="19"/>
      <c r="VMV46" s="19"/>
      <c r="VMW46" s="19"/>
      <c r="VMX46" s="19"/>
      <c r="VMY46" s="19"/>
      <c r="VMZ46" s="19"/>
      <c r="VNA46" s="19"/>
      <c r="VNB46" s="19"/>
      <c r="VNC46" s="19"/>
      <c r="VND46" s="19"/>
      <c r="VNE46" s="19"/>
      <c r="VNF46" s="19"/>
      <c r="VNG46" s="19"/>
      <c r="VNH46" s="19"/>
      <c r="VNI46" s="19"/>
      <c r="VNJ46" s="19"/>
      <c r="VNK46" s="19"/>
      <c r="VNL46" s="19"/>
      <c r="VNM46" s="19"/>
      <c r="VNN46" s="19"/>
      <c r="VNO46" s="19"/>
      <c r="VNP46" s="19"/>
      <c r="VNQ46" s="19"/>
      <c r="VNR46" s="19"/>
      <c r="VNS46" s="19"/>
      <c r="VNT46" s="19"/>
      <c r="VNU46" s="19"/>
      <c r="VNV46" s="19"/>
      <c r="VNW46" s="19"/>
      <c r="VNX46" s="19"/>
      <c r="VNY46" s="19"/>
      <c r="VNZ46" s="19"/>
      <c r="VOA46" s="19"/>
      <c r="VOB46" s="19"/>
      <c r="VOC46" s="19"/>
      <c r="VOD46" s="19"/>
      <c r="VOE46" s="19"/>
      <c r="VOF46" s="19"/>
      <c r="VOG46" s="19"/>
      <c r="VOH46" s="19"/>
      <c r="VOI46" s="19"/>
      <c r="VOJ46" s="19"/>
      <c r="VOK46" s="19"/>
      <c r="VOL46" s="19"/>
      <c r="VOM46" s="19"/>
      <c r="VON46" s="19"/>
      <c r="VOO46" s="19"/>
      <c r="VOP46" s="19"/>
      <c r="VOQ46" s="19"/>
      <c r="VOR46" s="19"/>
      <c r="VOS46" s="19"/>
      <c r="VOT46" s="19"/>
      <c r="VOU46" s="19"/>
      <c r="VOV46" s="19"/>
      <c r="VOW46" s="19"/>
      <c r="VOX46" s="19"/>
      <c r="VOY46" s="19"/>
      <c r="VOZ46" s="19"/>
      <c r="VPA46" s="19"/>
      <c r="VPB46" s="19"/>
      <c r="VPC46" s="19"/>
      <c r="VPD46" s="19"/>
      <c r="VPE46" s="19"/>
      <c r="VPF46" s="19"/>
      <c r="VPG46" s="19"/>
      <c r="VPH46" s="19"/>
      <c r="VPI46" s="19"/>
      <c r="VPJ46" s="19"/>
      <c r="VPK46" s="19"/>
      <c r="VPL46" s="19"/>
      <c r="VPM46" s="19"/>
      <c r="VPN46" s="19"/>
      <c r="VPO46" s="19"/>
      <c r="VPP46" s="19"/>
      <c r="VPQ46" s="19"/>
      <c r="VPR46" s="19"/>
      <c r="VPS46" s="19"/>
      <c r="VPT46" s="19"/>
      <c r="VPU46" s="19"/>
      <c r="VPV46" s="19"/>
      <c r="VPW46" s="19"/>
      <c r="VPX46" s="19"/>
      <c r="VPY46" s="19"/>
      <c r="VPZ46" s="19"/>
      <c r="VQA46" s="19"/>
      <c r="VQB46" s="19"/>
      <c r="VQC46" s="19"/>
      <c r="VQD46" s="19"/>
      <c r="VQE46" s="19"/>
      <c r="VQF46" s="19"/>
      <c r="VQG46" s="19"/>
      <c r="VQH46" s="19"/>
      <c r="VQI46" s="19"/>
      <c r="VQJ46" s="19"/>
      <c r="VQK46" s="19"/>
      <c r="VQL46" s="19"/>
      <c r="VQM46" s="19"/>
      <c r="VQN46" s="19"/>
      <c r="VQO46" s="19"/>
      <c r="VQP46" s="19"/>
      <c r="VQQ46" s="19"/>
      <c r="VQR46" s="19"/>
      <c r="VQS46" s="19"/>
      <c r="VQT46" s="19"/>
      <c r="VQU46" s="19"/>
      <c r="VQV46" s="19"/>
      <c r="VQW46" s="19"/>
      <c r="VQX46" s="19"/>
      <c r="VQY46" s="19"/>
      <c r="VQZ46" s="19"/>
      <c r="VRA46" s="19"/>
      <c r="VRB46" s="19"/>
      <c r="VRC46" s="19"/>
      <c r="VRD46" s="19"/>
      <c r="VRE46" s="19"/>
      <c r="VRF46" s="19"/>
      <c r="VRG46" s="19"/>
      <c r="VRH46" s="19"/>
      <c r="VRI46" s="19"/>
      <c r="VRJ46" s="19"/>
      <c r="VRK46" s="19"/>
      <c r="VRL46" s="19"/>
      <c r="VRM46" s="19"/>
      <c r="VRN46" s="19"/>
      <c r="VRO46" s="19"/>
      <c r="VRP46" s="19"/>
      <c r="VRQ46" s="19"/>
      <c r="VRR46" s="19"/>
      <c r="VRS46" s="19"/>
      <c r="VRT46" s="19"/>
      <c r="VRU46" s="19"/>
      <c r="VRV46" s="19"/>
      <c r="VRW46" s="19"/>
      <c r="VRX46" s="19"/>
      <c r="VRY46" s="19"/>
      <c r="VRZ46" s="19"/>
      <c r="VSA46" s="19"/>
      <c r="VSB46" s="19"/>
      <c r="VSC46" s="19"/>
      <c r="VSD46" s="19"/>
      <c r="VSE46" s="19"/>
      <c r="VSF46" s="19"/>
      <c r="VSG46" s="19"/>
      <c r="VSH46" s="19"/>
      <c r="VSI46" s="19"/>
      <c r="VSJ46" s="19"/>
      <c r="VSK46" s="19"/>
      <c r="VSL46" s="19"/>
      <c r="VSM46" s="19"/>
      <c r="VSN46" s="19"/>
      <c r="VSO46" s="19"/>
      <c r="VSP46" s="19"/>
      <c r="VSQ46" s="19"/>
      <c r="VSR46" s="19"/>
      <c r="VSS46" s="19"/>
      <c r="VST46" s="19"/>
      <c r="VSU46" s="19"/>
      <c r="VSV46" s="19"/>
      <c r="VSW46" s="19"/>
      <c r="VSX46" s="19"/>
      <c r="VSY46" s="19"/>
      <c r="VSZ46" s="19"/>
      <c r="VTA46" s="19"/>
      <c r="VTB46" s="19"/>
      <c r="VTC46" s="19"/>
      <c r="VTD46" s="19"/>
      <c r="VTE46" s="19"/>
      <c r="VTF46" s="19"/>
      <c r="VTG46" s="19"/>
      <c r="VTH46" s="19"/>
      <c r="VTI46" s="19"/>
      <c r="VTJ46" s="19"/>
      <c r="VTK46" s="19"/>
      <c r="VTL46" s="19"/>
      <c r="VTM46" s="19"/>
      <c r="VTN46" s="19"/>
      <c r="VTO46" s="19"/>
      <c r="VTP46" s="19"/>
      <c r="VTQ46" s="19"/>
      <c r="VTR46" s="19"/>
      <c r="VTS46" s="19"/>
      <c r="VTT46" s="19"/>
      <c r="VTU46" s="19"/>
      <c r="VTV46" s="19"/>
      <c r="VTW46" s="19"/>
      <c r="VTX46" s="19"/>
      <c r="VTY46" s="19"/>
      <c r="VTZ46" s="19"/>
      <c r="VUA46" s="19"/>
      <c r="VUB46" s="19"/>
      <c r="VUC46" s="19"/>
      <c r="VUD46" s="19"/>
      <c r="VUE46" s="19"/>
      <c r="VUF46" s="19"/>
      <c r="VUG46" s="19"/>
      <c r="VUH46" s="19"/>
      <c r="VUI46" s="19"/>
      <c r="VUJ46" s="19"/>
      <c r="VUK46" s="19"/>
      <c r="VUL46" s="19"/>
      <c r="VUM46" s="19"/>
      <c r="VUN46" s="19"/>
      <c r="VUO46" s="19"/>
      <c r="VUP46" s="19"/>
      <c r="VUQ46" s="19"/>
      <c r="VUR46" s="19"/>
      <c r="VUS46" s="19"/>
      <c r="VUT46" s="19"/>
      <c r="VUU46" s="19"/>
      <c r="VUV46" s="19"/>
      <c r="VUW46" s="19"/>
      <c r="VUX46" s="19"/>
      <c r="VUY46" s="19"/>
      <c r="VUZ46" s="19"/>
      <c r="VVA46" s="19"/>
      <c r="VVB46" s="19"/>
      <c r="VVC46" s="19"/>
      <c r="VVD46" s="19"/>
      <c r="VVE46" s="19"/>
      <c r="VVF46" s="19"/>
      <c r="VVG46" s="19"/>
      <c r="VVH46" s="19"/>
      <c r="VVI46" s="19"/>
      <c r="VVJ46" s="19"/>
      <c r="VVK46" s="19"/>
      <c r="VVL46" s="19"/>
      <c r="VVM46" s="19"/>
      <c r="VVN46" s="19"/>
      <c r="VVO46" s="19"/>
      <c r="VVP46" s="19"/>
      <c r="VVQ46" s="19"/>
      <c r="VVR46" s="19"/>
      <c r="VVS46" s="19"/>
      <c r="VVT46" s="19"/>
      <c r="VVU46" s="19"/>
      <c r="VVV46" s="19"/>
      <c r="VVW46" s="19"/>
      <c r="VVX46" s="19"/>
      <c r="VVY46" s="19"/>
      <c r="VVZ46" s="19"/>
      <c r="VWA46" s="19"/>
      <c r="VWB46" s="19"/>
      <c r="VWC46" s="19"/>
      <c r="VWD46" s="19"/>
      <c r="VWE46" s="19"/>
      <c r="VWF46" s="19"/>
      <c r="VWG46" s="19"/>
      <c r="VWH46" s="19"/>
      <c r="VWI46" s="19"/>
      <c r="VWJ46" s="19"/>
      <c r="VWK46" s="19"/>
      <c r="VWL46" s="19"/>
      <c r="VWM46" s="19"/>
      <c r="VWN46" s="19"/>
      <c r="VWO46" s="19"/>
      <c r="VWP46" s="19"/>
      <c r="VWQ46" s="19"/>
      <c r="VWR46" s="19"/>
      <c r="VWS46" s="19"/>
      <c r="VWT46" s="19"/>
      <c r="VWU46" s="19"/>
      <c r="VWV46" s="19"/>
      <c r="VWW46" s="19"/>
      <c r="VWX46" s="19"/>
      <c r="VWY46" s="19"/>
      <c r="VWZ46" s="19"/>
      <c r="VXA46" s="19"/>
      <c r="VXB46" s="19"/>
      <c r="VXC46" s="19"/>
      <c r="VXD46" s="19"/>
      <c r="VXE46" s="19"/>
      <c r="VXF46" s="19"/>
      <c r="VXG46" s="19"/>
      <c r="VXH46" s="19"/>
      <c r="VXI46" s="19"/>
      <c r="VXJ46" s="19"/>
      <c r="VXK46" s="19"/>
      <c r="VXL46" s="19"/>
      <c r="VXM46" s="19"/>
      <c r="VXN46" s="19"/>
      <c r="VXO46" s="19"/>
      <c r="VXP46" s="19"/>
      <c r="VXQ46" s="19"/>
      <c r="VXR46" s="19"/>
      <c r="VXS46" s="19"/>
      <c r="VXT46" s="19"/>
      <c r="VXU46" s="19"/>
      <c r="VXV46" s="19"/>
      <c r="VXW46" s="19"/>
      <c r="VXX46" s="19"/>
      <c r="VXY46" s="19"/>
      <c r="VXZ46" s="19"/>
      <c r="VYA46" s="19"/>
      <c r="VYB46" s="19"/>
      <c r="VYC46" s="19"/>
      <c r="VYD46" s="19"/>
      <c r="VYE46" s="19"/>
      <c r="VYF46" s="19"/>
      <c r="VYG46" s="19"/>
      <c r="VYH46" s="19"/>
      <c r="VYI46" s="19"/>
      <c r="VYJ46" s="19"/>
      <c r="VYK46" s="19"/>
      <c r="VYL46" s="19"/>
      <c r="VYM46" s="19"/>
      <c r="VYN46" s="19"/>
      <c r="VYO46" s="19"/>
      <c r="VYP46" s="19"/>
      <c r="VYQ46" s="19"/>
      <c r="VYR46" s="19"/>
      <c r="VYS46" s="19"/>
      <c r="VYT46" s="19"/>
      <c r="VYU46" s="19"/>
      <c r="VYV46" s="19"/>
      <c r="VYW46" s="19"/>
      <c r="VYX46" s="19"/>
      <c r="VYY46" s="19"/>
      <c r="VYZ46" s="19"/>
      <c r="VZA46" s="19"/>
      <c r="VZB46" s="19"/>
      <c r="VZC46" s="19"/>
      <c r="VZD46" s="19"/>
      <c r="VZE46" s="19"/>
      <c r="VZF46" s="19"/>
      <c r="VZG46" s="19"/>
      <c r="VZH46" s="19"/>
      <c r="VZI46" s="19"/>
      <c r="VZJ46" s="19"/>
      <c r="VZK46" s="19"/>
      <c r="VZL46" s="19"/>
      <c r="VZM46" s="19"/>
      <c r="VZN46" s="19"/>
      <c r="VZO46" s="19"/>
      <c r="VZP46" s="19"/>
      <c r="VZQ46" s="19"/>
      <c r="VZR46" s="19"/>
      <c r="VZS46" s="19"/>
      <c r="VZT46" s="19"/>
      <c r="VZU46" s="19"/>
      <c r="VZV46" s="19"/>
      <c r="VZW46" s="19"/>
      <c r="VZX46" s="19"/>
      <c r="VZY46" s="19"/>
      <c r="VZZ46" s="19"/>
      <c r="WAA46" s="19"/>
      <c r="WAB46" s="19"/>
      <c r="WAC46" s="19"/>
      <c r="WAD46" s="19"/>
      <c r="WAE46" s="19"/>
      <c r="WAF46" s="19"/>
      <c r="WAG46" s="19"/>
      <c r="WAH46" s="19"/>
      <c r="WAI46" s="19"/>
      <c r="WAJ46" s="19"/>
      <c r="WAK46" s="19"/>
      <c r="WAL46" s="19"/>
      <c r="WAM46" s="19"/>
      <c r="WAN46" s="19"/>
      <c r="WAO46" s="19"/>
      <c r="WAP46" s="19"/>
      <c r="WAQ46" s="19"/>
      <c r="WAR46" s="19"/>
      <c r="WAS46" s="19"/>
      <c r="WAT46" s="19"/>
      <c r="WAU46" s="19"/>
      <c r="WAV46" s="19"/>
      <c r="WAW46" s="19"/>
      <c r="WAX46" s="19"/>
      <c r="WAY46" s="19"/>
      <c r="WAZ46" s="19"/>
      <c r="WBA46" s="19"/>
      <c r="WBB46" s="19"/>
      <c r="WBC46" s="19"/>
      <c r="WBD46" s="19"/>
      <c r="WBE46" s="19"/>
      <c r="WBF46" s="19"/>
      <c r="WBG46" s="19"/>
      <c r="WBH46" s="19"/>
      <c r="WBI46" s="19"/>
      <c r="WBJ46" s="19"/>
      <c r="WBK46" s="19"/>
      <c r="WBL46" s="19"/>
      <c r="WBM46" s="19"/>
      <c r="WBN46" s="19"/>
      <c r="WBO46" s="19"/>
      <c r="WBP46" s="19"/>
      <c r="WBQ46" s="19"/>
      <c r="WBR46" s="19"/>
      <c r="WBS46" s="19"/>
      <c r="WBT46" s="19"/>
      <c r="WBU46" s="19"/>
      <c r="WBV46" s="19"/>
      <c r="WBW46" s="19"/>
      <c r="WBX46" s="19"/>
      <c r="WBY46" s="19"/>
      <c r="WBZ46" s="19"/>
      <c r="WCA46" s="19"/>
      <c r="WCB46" s="19"/>
      <c r="WCC46" s="19"/>
      <c r="WCD46" s="19"/>
      <c r="WCE46" s="19"/>
      <c r="WCF46" s="19"/>
      <c r="WCG46" s="19"/>
      <c r="WCH46" s="19"/>
      <c r="WCI46" s="19"/>
      <c r="WCJ46" s="19"/>
      <c r="WCK46" s="19"/>
      <c r="WCL46" s="19"/>
      <c r="WCM46" s="19"/>
      <c r="WCN46" s="19"/>
      <c r="WCO46" s="19"/>
      <c r="WCP46" s="19"/>
      <c r="WCQ46" s="19"/>
      <c r="WCR46" s="19"/>
      <c r="WCS46" s="19"/>
      <c r="WCT46" s="19"/>
      <c r="WCU46" s="19"/>
      <c r="WCV46" s="19"/>
      <c r="WCW46" s="19"/>
      <c r="WCX46" s="19"/>
      <c r="WCY46" s="19"/>
      <c r="WCZ46" s="19"/>
      <c r="WDA46" s="19"/>
      <c r="WDB46" s="19"/>
      <c r="WDC46" s="19"/>
      <c r="WDD46" s="19"/>
      <c r="WDE46" s="19"/>
      <c r="WDF46" s="19"/>
      <c r="WDG46" s="19"/>
      <c r="WDH46" s="19"/>
      <c r="WDI46" s="19"/>
      <c r="WDJ46" s="19"/>
      <c r="WDK46" s="19"/>
      <c r="WDL46" s="19"/>
      <c r="WDM46" s="19"/>
      <c r="WDN46" s="19"/>
      <c r="WDO46" s="19"/>
      <c r="WDP46" s="19"/>
      <c r="WDQ46" s="19"/>
      <c r="WDR46" s="19"/>
      <c r="WDS46" s="19"/>
      <c r="WDT46" s="19"/>
      <c r="WDU46" s="19"/>
      <c r="WDV46" s="19"/>
      <c r="WDW46" s="19"/>
      <c r="WDX46" s="19"/>
      <c r="WDY46" s="19"/>
      <c r="WDZ46" s="19"/>
      <c r="WEA46" s="19"/>
      <c r="WEB46" s="19"/>
      <c r="WEC46" s="19"/>
      <c r="WED46" s="19"/>
      <c r="WEE46" s="19"/>
      <c r="WEF46" s="19"/>
      <c r="WEG46" s="19"/>
      <c r="WEH46" s="19"/>
      <c r="WEI46" s="19"/>
      <c r="WEJ46" s="19"/>
      <c r="WEK46" s="19"/>
      <c r="WEL46" s="19"/>
      <c r="WEM46" s="19"/>
      <c r="WEN46" s="19"/>
      <c r="WEO46" s="19"/>
      <c r="WEP46" s="19"/>
      <c r="WEQ46" s="19"/>
      <c r="WER46" s="19"/>
      <c r="WES46" s="19"/>
      <c r="WET46" s="19"/>
      <c r="WEU46" s="19"/>
      <c r="WEV46" s="19"/>
      <c r="WEW46" s="19"/>
      <c r="WEX46" s="19"/>
      <c r="WEY46" s="19"/>
      <c r="WEZ46" s="19"/>
      <c r="WFA46" s="19"/>
      <c r="WFB46" s="19"/>
      <c r="WFC46" s="19"/>
      <c r="WFD46" s="19"/>
      <c r="WFE46" s="19"/>
      <c r="WFF46" s="19"/>
      <c r="WFG46" s="19"/>
      <c r="WFH46" s="19"/>
      <c r="WFI46" s="19"/>
      <c r="WFJ46" s="19"/>
      <c r="WFK46" s="19"/>
      <c r="WFL46" s="19"/>
      <c r="WFM46" s="19"/>
      <c r="WFN46" s="19"/>
      <c r="WFO46" s="19"/>
      <c r="WFP46" s="19"/>
      <c r="WFQ46" s="19"/>
      <c r="WFR46" s="19"/>
      <c r="WFS46" s="19"/>
      <c r="WFT46" s="19"/>
      <c r="WFU46" s="19"/>
      <c r="WFV46" s="19"/>
      <c r="WFW46" s="19"/>
      <c r="WFX46" s="19"/>
      <c r="WFY46" s="19"/>
      <c r="WFZ46" s="19"/>
      <c r="WGA46" s="19"/>
      <c r="WGB46" s="19"/>
      <c r="WGC46" s="19"/>
      <c r="WGD46" s="19"/>
      <c r="WGE46" s="19"/>
      <c r="WGF46" s="19"/>
      <c r="WGG46" s="19"/>
      <c r="WGH46" s="19"/>
      <c r="WGI46" s="19"/>
      <c r="WGJ46" s="19"/>
      <c r="WGK46" s="19"/>
      <c r="WGL46" s="19"/>
      <c r="WGM46" s="19"/>
      <c r="WGN46" s="19"/>
      <c r="WGO46" s="19"/>
      <c r="WGP46" s="19"/>
      <c r="WGQ46" s="19"/>
      <c r="WGR46" s="19"/>
      <c r="WGS46" s="19"/>
      <c r="WGT46" s="19"/>
      <c r="WGU46" s="19"/>
      <c r="WGV46" s="19"/>
      <c r="WGW46" s="19"/>
      <c r="WGX46" s="19"/>
      <c r="WGY46" s="19"/>
      <c r="WGZ46" s="19"/>
      <c r="WHA46" s="19"/>
      <c r="WHB46" s="19"/>
      <c r="WHC46" s="19"/>
      <c r="WHD46" s="19"/>
      <c r="WHE46" s="19"/>
      <c r="WHF46" s="19"/>
      <c r="WHG46" s="19"/>
      <c r="WHH46" s="19"/>
      <c r="WHI46" s="19"/>
      <c r="WHJ46" s="19"/>
      <c r="WHK46" s="19"/>
      <c r="WHL46" s="19"/>
      <c r="WHM46" s="19"/>
      <c r="WHN46" s="19"/>
      <c r="WHO46" s="19"/>
      <c r="WHP46" s="19"/>
      <c r="WHQ46" s="19"/>
      <c r="WHR46" s="19"/>
      <c r="WHS46" s="19"/>
      <c r="WHT46" s="19"/>
      <c r="WHU46" s="19"/>
      <c r="WHV46" s="19"/>
      <c r="WHW46" s="19"/>
      <c r="WHX46" s="19"/>
      <c r="WHY46" s="19"/>
      <c r="WHZ46" s="19"/>
      <c r="WIA46" s="19"/>
      <c r="WIB46" s="19"/>
      <c r="WIC46" s="19"/>
      <c r="WID46" s="19"/>
      <c r="WIE46" s="19"/>
      <c r="WIF46" s="19"/>
      <c r="WIG46" s="19"/>
      <c r="WIH46" s="19"/>
      <c r="WII46" s="19"/>
      <c r="WIJ46" s="19"/>
      <c r="WIK46" s="19"/>
      <c r="WIL46" s="19"/>
      <c r="WIM46" s="19"/>
      <c r="WIN46" s="19"/>
      <c r="WIO46" s="19"/>
      <c r="WIP46" s="19"/>
      <c r="WIQ46" s="19"/>
      <c r="WIR46" s="19"/>
      <c r="WIS46" s="19"/>
      <c r="WIT46" s="19"/>
      <c r="WIU46" s="19"/>
      <c r="WIV46" s="19"/>
      <c r="WIW46" s="19"/>
      <c r="WIX46" s="19"/>
      <c r="WIY46" s="19"/>
      <c r="WIZ46" s="19"/>
      <c r="WJA46" s="19"/>
      <c r="WJB46" s="19"/>
      <c r="WJC46" s="19"/>
      <c r="WJD46" s="19"/>
      <c r="WJE46" s="19"/>
      <c r="WJF46" s="19"/>
      <c r="WJG46" s="19"/>
      <c r="WJH46" s="19"/>
      <c r="WJI46" s="19"/>
      <c r="WJJ46" s="19"/>
      <c r="WJK46" s="19"/>
      <c r="WJL46" s="19"/>
      <c r="WJM46" s="19"/>
      <c r="WJN46" s="19"/>
      <c r="WJO46" s="19"/>
      <c r="WJP46" s="19"/>
      <c r="WJQ46" s="19"/>
      <c r="WJR46" s="19"/>
      <c r="WJS46" s="19"/>
      <c r="WJT46" s="19"/>
      <c r="WJU46" s="19"/>
      <c r="WJV46" s="19"/>
      <c r="WJW46" s="19"/>
      <c r="WJX46" s="19"/>
      <c r="WJY46" s="19"/>
      <c r="WJZ46" s="19"/>
      <c r="WKA46" s="19"/>
      <c r="WKB46" s="19"/>
      <c r="WKC46" s="19"/>
      <c r="WKD46" s="19"/>
      <c r="WKE46" s="19"/>
      <c r="WKF46" s="19"/>
      <c r="WKG46" s="19"/>
      <c r="WKH46" s="19"/>
      <c r="WKI46" s="19"/>
      <c r="WKJ46" s="19"/>
      <c r="WKK46" s="19"/>
      <c r="WKL46" s="19"/>
      <c r="WKM46" s="19"/>
      <c r="WKN46" s="19"/>
      <c r="WKO46" s="19"/>
      <c r="WKP46" s="19"/>
      <c r="WKQ46" s="19"/>
      <c r="WKR46" s="19"/>
      <c r="WKS46" s="19"/>
      <c r="WKT46" s="19"/>
      <c r="WKU46" s="19"/>
      <c r="WKV46" s="19"/>
      <c r="WKW46" s="19"/>
      <c r="WKX46" s="19"/>
      <c r="WKY46" s="19"/>
      <c r="WKZ46" s="19"/>
      <c r="WLA46" s="19"/>
      <c r="WLB46" s="19"/>
      <c r="WLC46" s="19"/>
      <c r="WLD46" s="19"/>
      <c r="WLE46" s="19"/>
      <c r="WLF46" s="19"/>
      <c r="WLG46" s="19"/>
      <c r="WLH46" s="19"/>
      <c r="WLI46" s="19"/>
      <c r="WLJ46" s="19"/>
      <c r="WLK46" s="19"/>
      <c r="WLL46" s="19"/>
      <c r="WLM46" s="19"/>
      <c r="WLN46" s="19"/>
      <c r="WLO46" s="19"/>
      <c r="WLP46" s="19"/>
      <c r="WLQ46" s="19"/>
      <c r="WLR46" s="19"/>
      <c r="WLS46" s="19"/>
      <c r="WLT46" s="19"/>
      <c r="WLU46" s="19"/>
      <c r="WLV46" s="19"/>
      <c r="WLW46" s="19"/>
      <c r="WLX46" s="19"/>
      <c r="WLY46" s="19"/>
      <c r="WLZ46" s="19"/>
      <c r="WMA46" s="19"/>
      <c r="WMB46" s="19"/>
      <c r="WMC46" s="19"/>
      <c r="WMD46" s="19"/>
      <c r="WME46" s="19"/>
      <c r="WMF46" s="19"/>
      <c r="WMG46" s="19"/>
      <c r="WMH46" s="19"/>
      <c r="WMI46" s="19"/>
      <c r="WMJ46" s="19"/>
      <c r="WMK46" s="19"/>
      <c r="WML46" s="19"/>
      <c r="WMM46" s="19"/>
      <c r="WMN46" s="19"/>
      <c r="WMO46" s="19"/>
      <c r="WMP46" s="19"/>
      <c r="WMQ46" s="19"/>
      <c r="WMR46" s="19"/>
      <c r="WMS46" s="19"/>
      <c r="WMT46" s="19"/>
      <c r="WMU46" s="19"/>
      <c r="WMV46" s="19"/>
      <c r="WMW46" s="19"/>
      <c r="WMX46" s="19"/>
      <c r="WMY46" s="19"/>
      <c r="WMZ46" s="19"/>
      <c r="WNA46" s="19"/>
      <c r="WNB46" s="19"/>
      <c r="WNC46" s="19"/>
      <c r="WND46" s="19"/>
      <c r="WNE46" s="19"/>
      <c r="WNF46" s="19"/>
      <c r="WNG46" s="19"/>
      <c r="WNH46" s="19"/>
      <c r="WNI46" s="19"/>
      <c r="WNJ46" s="19"/>
      <c r="WNK46" s="19"/>
      <c r="WNL46" s="19"/>
      <c r="WNM46" s="19"/>
      <c r="WNN46" s="19"/>
      <c r="WNO46" s="19"/>
      <c r="WNP46" s="19"/>
      <c r="WNQ46" s="19"/>
      <c r="WNR46" s="19"/>
      <c r="WNS46" s="19"/>
      <c r="WNT46" s="19"/>
      <c r="WNU46" s="19"/>
      <c r="WNV46" s="19"/>
      <c r="WNW46" s="19"/>
      <c r="WNX46" s="19"/>
      <c r="WNY46" s="19"/>
      <c r="WNZ46" s="19"/>
      <c r="WOA46" s="19"/>
      <c r="WOB46" s="19"/>
      <c r="WOC46" s="19"/>
      <c r="WOD46" s="19"/>
      <c r="WOE46" s="19"/>
      <c r="WOF46" s="19"/>
      <c r="WOG46" s="19"/>
      <c r="WOH46" s="19"/>
      <c r="WOI46" s="19"/>
      <c r="WOJ46" s="19"/>
      <c r="WOK46" s="19"/>
      <c r="WOL46" s="19"/>
      <c r="WOM46" s="19"/>
      <c r="WON46" s="19"/>
      <c r="WOO46" s="19"/>
      <c r="WOP46" s="19"/>
      <c r="WOQ46" s="19"/>
      <c r="WOR46" s="19"/>
      <c r="WOS46" s="19"/>
      <c r="WOT46" s="19"/>
      <c r="WOU46" s="19"/>
      <c r="WOV46" s="19"/>
      <c r="WOW46" s="19"/>
      <c r="WOX46" s="19"/>
      <c r="WOY46" s="19"/>
      <c r="WOZ46" s="19"/>
      <c r="WPA46" s="19"/>
      <c r="WPB46" s="19"/>
      <c r="WPC46" s="19"/>
      <c r="WPD46" s="19"/>
      <c r="WPE46" s="19"/>
      <c r="WPF46" s="19"/>
      <c r="WPG46" s="19"/>
      <c r="WPH46" s="19"/>
      <c r="WPI46" s="19"/>
      <c r="WPJ46" s="19"/>
      <c r="WPK46" s="19"/>
      <c r="WPL46" s="19"/>
      <c r="WPM46" s="19"/>
      <c r="WPN46" s="19"/>
      <c r="WPO46" s="19"/>
      <c r="WPP46" s="19"/>
      <c r="WPQ46" s="19"/>
      <c r="WPR46" s="19"/>
      <c r="WPS46" s="19"/>
      <c r="WPT46" s="19"/>
      <c r="WPU46" s="19"/>
      <c r="WPV46" s="19"/>
      <c r="WPW46" s="19"/>
      <c r="WPX46" s="19"/>
      <c r="WPY46" s="19"/>
      <c r="WPZ46" s="19"/>
      <c r="WQA46" s="19"/>
      <c r="WQB46" s="19"/>
      <c r="WQC46" s="19"/>
      <c r="WQD46" s="19"/>
      <c r="WQE46" s="19"/>
      <c r="WQF46" s="19"/>
      <c r="WQG46" s="19"/>
      <c r="WQH46" s="19"/>
      <c r="WQI46" s="19"/>
      <c r="WQJ46" s="19"/>
      <c r="WQK46" s="19"/>
      <c r="WQL46" s="19"/>
      <c r="WQM46" s="19"/>
      <c r="WQN46" s="19"/>
      <c r="WQO46" s="19"/>
      <c r="WQP46" s="19"/>
      <c r="WQQ46" s="19"/>
      <c r="WQR46" s="19"/>
      <c r="WQS46" s="19"/>
      <c r="WQT46" s="19"/>
      <c r="WQU46" s="19"/>
      <c r="WQV46" s="19"/>
      <c r="WQW46" s="19"/>
      <c r="WQX46" s="19"/>
      <c r="WQY46" s="19"/>
      <c r="WQZ46" s="19"/>
      <c r="WRA46" s="19"/>
      <c r="WRB46" s="19"/>
      <c r="WRC46" s="19"/>
      <c r="WRD46" s="19"/>
      <c r="WRE46" s="19"/>
      <c r="WRF46" s="19"/>
      <c r="WRG46" s="19"/>
      <c r="WRH46" s="19"/>
      <c r="WRI46" s="19"/>
      <c r="WRJ46" s="19"/>
      <c r="WRK46" s="19"/>
      <c r="WRL46" s="19"/>
      <c r="WRM46" s="19"/>
      <c r="WRN46" s="19"/>
      <c r="WRO46" s="19"/>
      <c r="WRP46" s="19"/>
      <c r="WRQ46" s="19"/>
      <c r="WRR46" s="19"/>
      <c r="WRS46" s="19"/>
      <c r="WRT46" s="19"/>
      <c r="WRU46" s="19"/>
      <c r="WRV46" s="19"/>
      <c r="WRW46" s="19"/>
      <c r="WRX46" s="19"/>
      <c r="WRY46" s="19"/>
      <c r="WRZ46" s="19"/>
      <c r="WSA46" s="19"/>
      <c r="WSB46" s="19"/>
      <c r="WSC46" s="19"/>
      <c r="WSD46" s="19"/>
      <c r="WSE46" s="19"/>
      <c r="WSF46" s="19"/>
      <c r="WSG46" s="19"/>
      <c r="WSH46" s="19"/>
      <c r="WSI46" s="19"/>
      <c r="WSJ46" s="19"/>
      <c r="WSK46" s="19"/>
      <c r="WSL46" s="19"/>
      <c r="WSM46" s="19"/>
      <c r="WSN46" s="19"/>
      <c r="WSO46" s="19"/>
      <c r="WSP46" s="19"/>
      <c r="WSQ46" s="19"/>
      <c r="WSR46" s="19"/>
      <c r="WSS46" s="19"/>
      <c r="WST46" s="19"/>
      <c r="WSU46" s="19"/>
      <c r="WSV46" s="19"/>
      <c r="WSW46" s="19"/>
      <c r="WSX46" s="19"/>
      <c r="WSY46" s="19"/>
      <c r="WSZ46" s="19"/>
      <c r="WTA46" s="19"/>
      <c r="WTB46" s="19"/>
      <c r="WTC46" s="19"/>
      <c r="WTD46" s="19"/>
      <c r="WTE46" s="19"/>
      <c r="WTF46" s="19"/>
      <c r="WTG46" s="19"/>
      <c r="WTH46" s="19"/>
      <c r="WTI46" s="19"/>
      <c r="WTJ46" s="19"/>
      <c r="WTK46" s="19"/>
      <c r="WTL46" s="19"/>
      <c r="WTM46" s="19"/>
      <c r="WTN46" s="19"/>
      <c r="WTO46" s="19"/>
      <c r="WTP46" s="19"/>
      <c r="WTQ46" s="19"/>
      <c r="WTR46" s="19"/>
      <c r="WTS46" s="19"/>
      <c r="WTT46" s="19"/>
      <c r="WTU46" s="19"/>
      <c r="WTV46" s="19"/>
      <c r="WTW46" s="19"/>
      <c r="WTX46" s="19"/>
      <c r="WTY46" s="19"/>
      <c r="WTZ46" s="19"/>
      <c r="WUA46" s="19"/>
      <c r="WUB46" s="19"/>
      <c r="WUC46" s="19"/>
      <c r="WUD46" s="19"/>
      <c r="WUE46" s="19"/>
      <c r="WUF46" s="19"/>
      <c r="WUG46" s="19"/>
      <c r="WUH46" s="19"/>
      <c r="WUI46" s="19"/>
      <c r="WUJ46" s="19"/>
      <c r="WUK46" s="19"/>
      <c r="WUL46" s="19"/>
      <c r="WUM46" s="19"/>
      <c r="WUN46" s="19"/>
      <c r="WUO46" s="19"/>
      <c r="WUP46" s="19"/>
      <c r="WUQ46" s="19"/>
      <c r="WUR46" s="19"/>
      <c r="WUS46" s="19"/>
      <c r="WUT46" s="19"/>
      <c r="WUU46" s="19"/>
      <c r="WUV46" s="19"/>
      <c r="WUW46" s="19"/>
      <c r="WUX46" s="19"/>
      <c r="WUY46" s="19"/>
      <c r="WUZ46" s="19"/>
      <c r="WVA46" s="19"/>
      <c r="WVB46" s="19"/>
      <c r="WVC46" s="19"/>
      <c r="WVD46" s="19"/>
      <c r="WVE46" s="19"/>
      <c r="WVF46" s="19"/>
      <c r="WVG46" s="19"/>
      <c r="WVH46" s="19"/>
      <c r="WVI46" s="19"/>
      <c r="WVJ46" s="19"/>
      <c r="WVK46" s="19"/>
      <c r="WVL46" s="19"/>
      <c r="WVM46" s="19"/>
      <c r="WVN46" s="19"/>
      <c r="WVO46" s="19"/>
      <c r="WVP46" s="19"/>
      <c r="WVQ46" s="19"/>
      <c r="WVR46" s="19"/>
      <c r="WVS46" s="19"/>
      <c r="WVT46" s="19"/>
      <c r="WVU46" s="19"/>
      <c r="WVV46" s="19"/>
      <c r="WVW46" s="19"/>
      <c r="WVX46" s="19"/>
      <c r="WVY46" s="19"/>
      <c r="WVZ46" s="19"/>
      <c r="WWA46" s="19"/>
      <c r="WWB46" s="19"/>
      <c r="WWC46" s="19"/>
      <c r="WWD46" s="19"/>
      <c r="WWE46" s="19"/>
      <c r="WWF46" s="19"/>
      <c r="WWG46" s="19"/>
      <c r="WWH46" s="19"/>
      <c r="WWI46" s="19"/>
      <c r="WWJ46" s="19"/>
      <c r="WWK46" s="19"/>
      <c r="WWL46" s="19"/>
      <c r="WWM46" s="19"/>
      <c r="WWN46" s="19"/>
      <c r="WWO46" s="19"/>
      <c r="WWP46" s="19"/>
      <c r="WWQ46" s="19"/>
      <c r="WWR46" s="19"/>
      <c r="WWS46" s="19"/>
      <c r="WWT46" s="19"/>
      <c r="WWU46" s="19"/>
      <c r="WWV46" s="19"/>
      <c r="WWW46" s="19"/>
      <c r="WWX46" s="19"/>
      <c r="WWY46" s="19"/>
      <c r="WWZ46" s="19"/>
      <c r="WXA46" s="19"/>
      <c r="WXB46" s="19"/>
      <c r="WXC46" s="19"/>
      <c r="WXD46" s="19"/>
      <c r="WXE46" s="19"/>
      <c r="WXF46" s="19"/>
      <c r="WXG46" s="19"/>
      <c r="WXH46" s="19"/>
      <c r="WXI46" s="19"/>
      <c r="WXJ46" s="19"/>
      <c r="WXK46" s="19"/>
      <c r="WXL46" s="19"/>
      <c r="WXM46" s="19"/>
      <c r="WXN46" s="19"/>
      <c r="WXO46" s="19"/>
      <c r="WXP46" s="19"/>
      <c r="WXQ46" s="19"/>
      <c r="WXR46" s="19"/>
      <c r="WXS46" s="19"/>
      <c r="WXT46" s="19"/>
      <c r="WXU46" s="19"/>
      <c r="WXV46" s="19"/>
      <c r="WXW46" s="19"/>
      <c r="WXX46" s="19"/>
      <c r="WXY46" s="19"/>
      <c r="WXZ46" s="19"/>
      <c r="WYA46" s="19"/>
      <c r="WYB46" s="19"/>
      <c r="WYC46" s="19"/>
      <c r="WYD46" s="19"/>
      <c r="WYE46" s="19"/>
      <c r="WYF46" s="19"/>
      <c r="WYG46" s="19"/>
      <c r="WYH46" s="19"/>
      <c r="WYI46" s="19"/>
      <c r="WYJ46" s="19"/>
      <c r="WYK46" s="19"/>
      <c r="WYL46" s="19"/>
      <c r="WYM46" s="19"/>
      <c r="WYN46" s="19"/>
      <c r="WYO46" s="19"/>
      <c r="WYP46" s="19"/>
      <c r="WYQ46" s="19"/>
      <c r="WYR46" s="19"/>
      <c r="WYS46" s="19"/>
      <c r="WYT46" s="19"/>
      <c r="WYU46" s="19"/>
      <c r="WYV46" s="19"/>
      <c r="WYW46" s="19"/>
      <c r="WYX46" s="19"/>
      <c r="WYY46" s="19"/>
      <c r="WYZ46" s="19"/>
      <c r="WZA46" s="19"/>
      <c r="WZB46" s="19"/>
      <c r="WZC46" s="19"/>
      <c r="WZD46" s="19"/>
      <c r="WZE46" s="19"/>
      <c r="WZF46" s="19"/>
      <c r="WZG46" s="19"/>
      <c r="WZH46" s="19"/>
      <c r="WZI46" s="19"/>
      <c r="WZJ46" s="19"/>
      <c r="WZK46" s="19"/>
      <c r="WZL46" s="19"/>
      <c r="WZM46" s="19"/>
      <c r="WZN46" s="19"/>
      <c r="WZO46" s="19"/>
      <c r="WZP46" s="19"/>
      <c r="WZQ46" s="19"/>
      <c r="WZR46" s="19"/>
      <c r="WZS46" s="19"/>
      <c r="WZT46" s="19"/>
      <c r="WZU46" s="19"/>
      <c r="WZV46" s="19"/>
      <c r="WZW46" s="19"/>
      <c r="WZX46" s="19"/>
      <c r="WZY46" s="19"/>
      <c r="WZZ46" s="19"/>
      <c r="XAA46" s="19"/>
      <c r="XAB46" s="19"/>
      <c r="XAC46" s="19"/>
      <c r="XAD46" s="19"/>
      <c r="XAE46" s="19"/>
      <c r="XAF46" s="19"/>
      <c r="XAG46" s="19"/>
      <c r="XAH46" s="19"/>
      <c r="XAI46" s="19"/>
      <c r="XAJ46" s="19"/>
      <c r="XAK46" s="19"/>
      <c r="XAL46" s="19"/>
      <c r="XAM46" s="19"/>
      <c r="XAN46" s="19"/>
      <c r="XAO46" s="19"/>
      <c r="XAP46" s="19"/>
      <c r="XAQ46" s="19"/>
      <c r="XAR46" s="19"/>
      <c r="XAS46" s="19"/>
      <c r="XAT46" s="19"/>
      <c r="XAU46" s="19"/>
      <c r="XAV46" s="19"/>
      <c r="XAW46" s="19"/>
      <c r="XAX46" s="19"/>
      <c r="XAY46" s="19"/>
      <c r="XAZ46" s="19"/>
      <c r="XBA46" s="19"/>
      <c r="XBB46" s="19"/>
      <c r="XBC46" s="19"/>
      <c r="XBD46" s="19"/>
      <c r="XBE46" s="19"/>
      <c r="XBF46" s="19"/>
      <c r="XBG46" s="19"/>
      <c r="XBH46" s="19"/>
      <c r="XBI46" s="19"/>
      <c r="XBJ46" s="19"/>
      <c r="XBK46" s="19"/>
      <c r="XBL46" s="19"/>
      <c r="XBM46" s="19"/>
      <c r="XBN46" s="19"/>
      <c r="XBO46" s="19"/>
      <c r="XBP46" s="19"/>
      <c r="XBQ46" s="19"/>
      <c r="XBR46" s="19"/>
      <c r="XBS46" s="19"/>
      <c r="XBT46" s="19"/>
      <c r="XBU46" s="19"/>
      <c r="XBV46" s="19"/>
      <c r="XBW46" s="19"/>
      <c r="XBX46" s="19"/>
      <c r="XBY46" s="19"/>
      <c r="XBZ46" s="19"/>
      <c r="XCA46" s="19"/>
      <c r="XCB46" s="19"/>
      <c r="XCC46" s="19"/>
      <c r="XCD46" s="19"/>
      <c r="XCE46" s="19"/>
      <c r="XCF46" s="19"/>
      <c r="XCG46" s="19"/>
      <c r="XCH46" s="19"/>
      <c r="XCI46" s="19"/>
      <c r="XCJ46" s="19"/>
      <c r="XCK46" s="19"/>
      <c r="XCL46" s="19"/>
      <c r="XCM46" s="19"/>
      <c r="XCN46" s="19"/>
      <c r="XCO46" s="19"/>
      <c r="XCP46" s="19"/>
      <c r="XCQ46" s="19"/>
      <c r="XCR46" s="19"/>
      <c r="XCS46" s="19"/>
      <c r="XCT46" s="19"/>
      <c r="XCU46" s="19"/>
      <c r="XCV46" s="19"/>
      <c r="XCW46" s="19"/>
      <c r="XCX46" s="19"/>
      <c r="XCY46" s="19"/>
      <c r="XCZ46" s="19"/>
      <c r="XDA46" s="19"/>
      <c r="XDB46" s="19"/>
      <c r="XDC46" s="19"/>
      <c r="XDD46" s="19"/>
      <c r="XDE46" s="19"/>
      <c r="XDF46" s="19"/>
      <c r="XDG46" s="19"/>
      <c r="XDH46" s="19"/>
      <c r="XDI46" s="19"/>
      <c r="XDJ46" s="19"/>
      <c r="XDK46" s="19"/>
      <c r="XDL46" s="19"/>
      <c r="XDM46" s="19"/>
      <c r="XDN46" s="19"/>
      <c r="XDO46" s="19"/>
      <c r="XDP46" s="19"/>
      <c r="XDQ46" s="19"/>
      <c r="XDR46" s="19"/>
      <c r="XDS46" s="19"/>
      <c r="XDT46" s="19"/>
      <c r="XDU46" s="19"/>
      <c r="XDV46" s="19"/>
      <c r="XDW46" s="19"/>
      <c r="XDX46" s="19"/>
      <c r="XDY46" s="19"/>
      <c r="XDZ46" s="19"/>
      <c r="XEA46" s="19"/>
      <c r="XEB46" s="19"/>
      <c r="XEC46" s="19"/>
      <c r="XED46" s="19"/>
      <c r="XEE46" s="19"/>
      <c r="XEF46" s="19"/>
      <c r="XEG46" s="19"/>
      <c r="XEH46" s="19"/>
      <c r="XEI46" s="19"/>
      <c r="XEJ46" s="19"/>
      <c r="XEK46" s="19"/>
      <c r="XEL46" s="19"/>
      <c r="XEM46" s="19"/>
      <c r="XEN46" s="19"/>
      <c r="XEO46" s="19"/>
      <c r="XEP46" s="19"/>
      <c r="XEQ46" s="19"/>
      <c r="XER46" s="19"/>
      <c r="XES46" s="19"/>
      <c r="XET46" s="19"/>
      <c r="XEU46" s="19"/>
      <c r="XEV46" s="19"/>
      <c r="XEW46" s="19"/>
      <c r="XEX46" s="19"/>
      <c r="XEY46" s="19"/>
      <c r="XEZ46" s="19"/>
      <c r="XFA46" s="19"/>
      <c r="XFB46" s="19"/>
    </row>
    <row r="47" spans="1:16382" s="18" customFormat="1" ht="15" customHeight="1" thickBot="1" x14ac:dyDescent="0.3">
      <c r="B47" s="174">
        <f>B38/B27</f>
        <v>0.53380104472490186</v>
      </c>
      <c r="D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19"/>
      <c r="BZ47" s="19"/>
      <c r="CA47" s="19"/>
      <c r="CB47" s="19"/>
      <c r="CC47" s="19"/>
      <c r="CD47" s="19"/>
      <c r="CE47" s="19"/>
      <c r="CF47" s="19"/>
      <c r="CG47" s="19"/>
      <c r="CH47" s="19"/>
      <c r="CI47" s="19"/>
      <c r="CJ47" s="19"/>
      <c r="CK47" s="19"/>
      <c r="CL47" s="19"/>
      <c r="CM47" s="19"/>
      <c r="CN47" s="19"/>
      <c r="CO47" s="19"/>
      <c r="CP47" s="19"/>
      <c r="CQ47" s="19"/>
      <c r="CR47" s="19"/>
      <c r="CS47" s="19"/>
      <c r="CT47" s="19"/>
      <c r="CU47" s="19"/>
      <c r="CV47" s="19"/>
      <c r="CW47" s="19"/>
      <c r="CX47" s="19"/>
      <c r="CY47" s="19"/>
      <c r="CZ47" s="19"/>
      <c r="DA47" s="19"/>
      <c r="DB47" s="19"/>
      <c r="DC47" s="19"/>
      <c r="DD47" s="19"/>
      <c r="DE47" s="19"/>
      <c r="DF47" s="19"/>
      <c r="DG47" s="19"/>
      <c r="DH47" s="19"/>
      <c r="DI47" s="19"/>
      <c r="DJ47" s="19"/>
      <c r="DK47" s="19"/>
      <c r="DL47" s="19"/>
      <c r="DM47" s="19"/>
      <c r="DN47" s="19"/>
      <c r="DO47" s="19"/>
      <c r="DP47" s="19"/>
      <c r="DQ47" s="19"/>
      <c r="DR47" s="19"/>
      <c r="DS47" s="19"/>
      <c r="DT47" s="19"/>
      <c r="DU47" s="19"/>
      <c r="DV47" s="19"/>
      <c r="DW47" s="19"/>
      <c r="DX47" s="19"/>
      <c r="DY47" s="19"/>
      <c r="DZ47" s="19"/>
      <c r="EA47" s="19"/>
      <c r="EB47" s="19"/>
      <c r="EC47" s="19"/>
      <c r="ED47" s="19"/>
      <c r="EE47" s="19"/>
      <c r="EF47" s="19"/>
      <c r="EG47" s="19"/>
      <c r="EH47" s="19"/>
      <c r="EI47" s="19"/>
      <c r="EJ47" s="19"/>
      <c r="EK47" s="19"/>
      <c r="EL47" s="19"/>
      <c r="EM47" s="19"/>
      <c r="EN47" s="19"/>
      <c r="EO47" s="19"/>
      <c r="EP47" s="19"/>
      <c r="EQ47" s="19"/>
      <c r="ER47" s="19"/>
      <c r="ES47" s="19"/>
      <c r="ET47" s="19"/>
      <c r="EU47" s="19"/>
      <c r="EV47" s="19"/>
      <c r="EW47" s="19"/>
      <c r="EX47" s="19"/>
      <c r="EY47" s="19"/>
      <c r="EZ47" s="19"/>
      <c r="FA47" s="19"/>
      <c r="FB47" s="19"/>
      <c r="FC47" s="19"/>
      <c r="FD47" s="19"/>
      <c r="FE47" s="19"/>
      <c r="FF47" s="19"/>
      <c r="FG47" s="19"/>
      <c r="FH47" s="19"/>
      <c r="FI47" s="19"/>
      <c r="FJ47" s="19"/>
      <c r="FK47" s="19"/>
      <c r="FL47" s="19"/>
      <c r="FM47" s="19"/>
      <c r="FN47" s="19"/>
      <c r="FO47" s="19"/>
      <c r="FP47" s="19"/>
      <c r="FQ47" s="19"/>
      <c r="FR47" s="19"/>
      <c r="FS47" s="19"/>
      <c r="FT47" s="19"/>
      <c r="FU47" s="19"/>
      <c r="FV47" s="19"/>
      <c r="FW47" s="19"/>
      <c r="FX47" s="19"/>
      <c r="FY47" s="19"/>
      <c r="FZ47" s="19"/>
      <c r="GA47" s="19"/>
      <c r="GB47" s="19"/>
      <c r="GC47" s="19"/>
      <c r="GD47" s="19"/>
      <c r="GE47" s="19"/>
      <c r="GF47" s="19"/>
      <c r="GG47" s="19"/>
      <c r="GH47" s="19"/>
      <c r="GI47" s="19"/>
      <c r="GJ47" s="19"/>
      <c r="GK47" s="19"/>
      <c r="GL47" s="19"/>
      <c r="GM47" s="19"/>
      <c r="GN47" s="19"/>
      <c r="GO47" s="19"/>
      <c r="GP47" s="19"/>
      <c r="GQ47" s="19"/>
      <c r="GR47" s="19"/>
      <c r="GS47" s="19"/>
      <c r="GT47" s="19"/>
      <c r="GU47" s="19"/>
      <c r="GV47" s="19"/>
      <c r="GW47" s="19"/>
      <c r="GX47" s="19"/>
      <c r="GY47" s="19"/>
      <c r="GZ47" s="19"/>
      <c r="HA47" s="19"/>
      <c r="HB47" s="19"/>
      <c r="HC47" s="19"/>
      <c r="HD47" s="19"/>
      <c r="HE47" s="19"/>
      <c r="HF47" s="19"/>
      <c r="HG47" s="19"/>
      <c r="HH47" s="19"/>
      <c r="HI47" s="19"/>
      <c r="HJ47" s="19"/>
      <c r="HK47" s="19"/>
      <c r="HL47" s="19"/>
      <c r="HM47" s="19"/>
      <c r="HN47" s="19"/>
      <c r="HO47" s="19"/>
      <c r="HP47" s="19"/>
      <c r="HQ47" s="19"/>
      <c r="HR47" s="19"/>
      <c r="HS47" s="19"/>
      <c r="HT47" s="19"/>
      <c r="HU47" s="19"/>
      <c r="HV47" s="19"/>
      <c r="HW47" s="19"/>
      <c r="HX47" s="19"/>
      <c r="HY47" s="19"/>
      <c r="HZ47" s="19"/>
      <c r="IA47" s="19"/>
      <c r="IB47" s="19"/>
      <c r="IC47" s="19"/>
      <c r="ID47" s="19"/>
      <c r="IE47" s="19"/>
      <c r="IF47" s="19"/>
      <c r="IG47" s="19"/>
      <c r="IH47" s="19"/>
      <c r="II47" s="19"/>
      <c r="IJ47" s="19"/>
      <c r="IK47" s="19"/>
      <c r="IL47" s="19"/>
      <c r="IM47" s="19"/>
      <c r="IN47" s="19"/>
      <c r="IO47" s="19"/>
      <c r="IP47" s="19"/>
      <c r="IQ47" s="19"/>
      <c r="IR47" s="19"/>
      <c r="IS47" s="19"/>
      <c r="IT47" s="19"/>
      <c r="IU47" s="19"/>
      <c r="IV47" s="19"/>
      <c r="IW47" s="19"/>
      <c r="IX47" s="19"/>
      <c r="IY47" s="19"/>
      <c r="IZ47" s="19"/>
      <c r="JA47" s="19"/>
      <c r="JB47" s="19"/>
      <c r="JC47" s="19"/>
      <c r="JD47" s="19"/>
      <c r="JE47" s="19"/>
      <c r="JF47" s="19"/>
      <c r="JG47" s="19"/>
      <c r="JH47" s="19"/>
      <c r="JI47" s="19"/>
      <c r="JJ47" s="19"/>
      <c r="JK47" s="19"/>
      <c r="JL47" s="19"/>
      <c r="JM47" s="19"/>
      <c r="JN47" s="19"/>
      <c r="JO47" s="19"/>
      <c r="JP47" s="19"/>
      <c r="JQ47" s="19"/>
      <c r="JR47" s="19"/>
      <c r="JS47" s="19"/>
      <c r="JT47" s="19"/>
      <c r="JU47" s="19"/>
      <c r="JV47" s="19"/>
      <c r="JW47" s="19"/>
      <c r="JX47" s="19"/>
      <c r="JY47" s="19"/>
      <c r="JZ47" s="19"/>
      <c r="KA47" s="19"/>
      <c r="KB47" s="19"/>
      <c r="KC47" s="19"/>
      <c r="KD47" s="19"/>
      <c r="KE47" s="19"/>
      <c r="KF47" s="19"/>
      <c r="KG47" s="19"/>
      <c r="KH47" s="19"/>
      <c r="KI47" s="19"/>
      <c r="KJ47" s="19"/>
      <c r="KK47" s="19"/>
      <c r="KL47" s="19"/>
      <c r="KM47" s="19"/>
      <c r="KN47" s="19"/>
      <c r="KO47" s="19"/>
      <c r="KP47" s="19"/>
      <c r="KQ47" s="19"/>
      <c r="KR47" s="19"/>
      <c r="KS47" s="19"/>
      <c r="KT47" s="19"/>
      <c r="KU47" s="19"/>
      <c r="KV47" s="19"/>
      <c r="KW47" s="19"/>
      <c r="KX47" s="19"/>
      <c r="KY47" s="19"/>
      <c r="KZ47" s="19"/>
      <c r="LA47" s="19"/>
      <c r="LB47" s="19"/>
      <c r="LC47" s="19"/>
      <c r="LD47" s="19"/>
      <c r="LE47" s="19"/>
      <c r="LF47" s="19"/>
      <c r="LG47" s="19"/>
      <c r="LH47" s="19"/>
      <c r="LI47" s="19"/>
      <c r="LJ47" s="19"/>
      <c r="LK47" s="19"/>
      <c r="LL47" s="19"/>
      <c r="LM47" s="19"/>
      <c r="LN47" s="19"/>
      <c r="LO47" s="19"/>
      <c r="LP47" s="19"/>
      <c r="LQ47" s="19"/>
      <c r="LR47" s="19"/>
      <c r="LS47" s="19"/>
      <c r="LT47" s="19"/>
      <c r="LU47" s="19"/>
      <c r="LV47" s="19"/>
      <c r="LW47" s="19"/>
      <c r="LX47" s="19"/>
      <c r="LY47" s="19"/>
      <c r="LZ47" s="19"/>
      <c r="MA47" s="19"/>
      <c r="MB47" s="19"/>
      <c r="MC47" s="19"/>
      <c r="MD47" s="19"/>
      <c r="ME47" s="19"/>
      <c r="MF47" s="19"/>
      <c r="MG47" s="19"/>
      <c r="MH47" s="19"/>
      <c r="MI47" s="19"/>
      <c r="MJ47" s="19"/>
      <c r="MK47" s="19"/>
      <c r="ML47" s="19"/>
      <c r="MM47" s="19"/>
      <c r="MN47" s="19"/>
      <c r="MO47" s="19"/>
      <c r="MP47" s="19"/>
      <c r="MQ47" s="19"/>
      <c r="MR47" s="19"/>
      <c r="MS47" s="19"/>
      <c r="MT47" s="19"/>
      <c r="MU47" s="19"/>
      <c r="MV47" s="19"/>
      <c r="MW47" s="19"/>
      <c r="MX47" s="19"/>
      <c r="MY47" s="19"/>
      <c r="MZ47" s="19"/>
      <c r="NA47" s="19"/>
      <c r="NB47" s="19"/>
      <c r="NC47" s="19"/>
      <c r="ND47" s="19"/>
      <c r="NE47" s="19"/>
      <c r="NF47" s="19"/>
      <c r="NG47" s="19"/>
      <c r="NH47" s="19"/>
      <c r="NI47" s="19"/>
      <c r="NJ47" s="19"/>
      <c r="NK47" s="19"/>
      <c r="NL47" s="19"/>
      <c r="NM47" s="19"/>
      <c r="NN47" s="19"/>
      <c r="NO47" s="19"/>
      <c r="NP47" s="19"/>
      <c r="NQ47" s="19"/>
      <c r="NR47" s="19"/>
      <c r="NS47" s="19"/>
      <c r="NT47" s="19"/>
      <c r="NU47" s="19"/>
      <c r="NV47" s="19"/>
      <c r="NW47" s="19"/>
      <c r="NX47" s="19"/>
      <c r="NY47" s="19"/>
      <c r="NZ47" s="19"/>
      <c r="OA47" s="19"/>
      <c r="OB47" s="19"/>
      <c r="OC47" s="19"/>
      <c r="OD47" s="19"/>
      <c r="OE47" s="19"/>
      <c r="OF47" s="19"/>
      <c r="OG47" s="19"/>
      <c r="OH47" s="19"/>
      <c r="OI47" s="19"/>
      <c r="OJ47" s="19"/>
      <c r="OK47" s="19"/>
      <c r="OL47" s="19"/>
      <c r="OM47" s="19"/>
      <c r="ON47" s="19"/>
      <c r="OO47" s="19"/>
      <c r="OP47" s="19"/>
      <c r="OQ47" s="19"/>
      <c r="OR47" s="19"/>
      <c r="OS47" s="19"/>
      <c r="OT47" s="19"/>
      <c r="OU47" s="19"/>
      <c r="OV47" s="19"/>
      <c r="OW47" s="19"/>
      <c r="OX47" s="19"/>
      <c r="OY47" s="19"/>
      <c r="OZ47" s="19"/>
      <c r="PA47" s="19"/>
      <c r="PB47" s="19"/>
      <c r="PC47" s="19"/>
      <c r="PD47" s="19"/>
      <c r="PE47" s="19"/>
      <c r="PF47" s="19"/>
      <c r="PG47" s="19"/>
      <c r="PH47" s="19"/>
      <c r="PI47" s="19"/>
      <c r="PJ47" s="19"/>
      <c r="PK47" s="19"/>
      <c r="PL47" s="19"/>
      <c r="PM47" s="19"/>
      <c r="PN47" s="19"/>
      <c r="PO47" s="19"/>
      <c r="PP47" s="19"/>
      <c r="PQ47" s="19"/>
      <c r="PR47" s="19"/>
      <c r="PS47" s="19"/>
      <c r="PT47" s="19"/>
      <c r="PU47" s="19"/>
      <c r="PV47" s="19"/>
      <c r="PW47" s="19"/>
      <c r="PX47" s="19"/>
      <c r="PY47" s="19"/>
      <c r="PZ47" s="19"/>
      <c r="QA47" s="19"/>
      <c r="QB47" s="19"/>
      <c r="QC47" s="19"/>
      <c r="QD47" s="19"/>
      <c r="QE47" s="19"/>
      <c r="QF47" s="19"/>
      <c r="QG47" s="19"/>
      <c r="QH47" s="19"/>
      <c r="QI47" s="19"/>
      <c r="QJ47" s="19"/>
      <c r="QK47" s="19"/>
      <c r="QL47" s="19"/>
      <c r="QM47" s="19"/>
      <c r="QN47" s="19"/>
      <c r="QO47" s="19"/>
      <c r="QP47" s="19"/>
      <c r="QQ47" s="19"/>
      <c r="QR47" s="19"/>
      <c r="QS47" s="19"/>
      <c r="QT47" s="19"/>
      <c r="QU47" s="19"/>
      <c r="QV47" s="19"/>
      <c r="QW47" s="19"/>
      <c r="QX47" s="19"/>
      <c r="QY47" s="19"/>
      <c r="QZ47" s="19"/>
      <c r="RA47" s="19"/>
      <c r="RB47" s="19"/>
      <c r="RC47" s="19"/>
      <c r="RD47" s="19"/>
      <c r="RE47" s="19"/>
      <c r="RF47" s="19"/>
      <c r="RG47" s="19"/>
      <c r="RH47" s="19"/>
      <c r="RI47" s="19"/>
      <c r="RJ47" s="19"/>
      <c r="RK47" s="19"/>
      <c r="RL47" s="19"/>
      <c r="RM47" s="19"/>
      <c r="RN47" s="19"/>
      <c r="RO47" s="19"/>
      <c r="RP47" s="19"/>
      <c r="RQ47" s="19"/>
      <c r="RR47" s="19"/>
      <c r="RS47" s="19"/>
      <c r="RT47" s="19"/>
      <c r="RU47" s="19"/>
      <c r="RV47" s="19"/>
      <c r="RW47" s="19"/>
      <c r="RX47" s="19"/>
      <c r="RY47" s="19"/>
      <c r="RZ47" s="19"/>
      <c r="SA47" s="19"/>
      <c r="SB47" s="19"/>
      <c r="SC47" s="19"/>
      <c r="SD47" s="19"/>
      <c r="SE47" s="19"/>
      <c r="SF47" s="19"/>
      <c r="SG47" s="19"/>
      <c r="SH47" s="19"/>
      <c r="SI47" s="19"/>
      <c r="SJ47" s="19"/>
      <c r="SK47" s="19"/>
      <c r="SL47" s="19"/>
      <c r="SM47" s="19"/>
      <c r="SN47" s="19"/>
      <c r="SO47" s="19"/>
      <c r="SP47" s="19"/>
      <c r="SQ47" s="19"/>
      <c r="SR47" s="19"/>
      <c r="SS47" s="19"/>
      <c r="ST47" s="19"/>
      <c r="SU47" s="19"/>
      <c r="SV47" s="19"/>
      <c r="SW47" s="19"/>
      <c r="SX47" s="19"/>
      <c r="SY47" s="19"/>
      <c r="SZ47" s="19"/>
      <c r="TA47" s="19"/>
      <c r="TB47" s="19"/>
      <c r="TC47" s="19"/>
      <c r="TD47" s="19"/>
      <c r="TE47" s="19"/>
      <c r="TF47" s="19"/>
      <c r="TG47" s="19"/>
      <c r="TH47" s="19"/>
      <c r="TI47" s="19"/>
      <c r="TJ47" s="19"/>
      <c r="TK47" s="19"/>
      <c r="TL47" s="19"/>
      <c r="TM47" s="19"/>
      <c r="TN47" s="19"/>
      <c r="TO47" s="19"/>
      <c r="TP47" s="19"/>
      <c r="TQ47" s="19"/>
      <c r="TR47" s="19"/>
      <c r="TS47" s="19"/>
      <c r="TT47" s="19"/>
      <c r="TU47" s="19"/>
      <c r="TV47" s="19"/>
      <c r="TW47" s="19"/>
      <c r="TX47" s="19"/>
      <c r="TY47" s="19"/>
      <c r="TZ47" s="19"/>
      <c r="UA47" s="19"/>
      <c r="UB47" s="19"/>
      <c r="UC47" s="19"/>
      <c r="UD47" s="19"/>
      <c r="UE47" s="19"/>
      <c r="UF47" s="19"/>
      <c r="UG47" s="19"/>
      <c r="UH47" s="19"/>
      <c r="UI47" s="19"/>
      <c r="UJ47" s="19"/>
      <c r="UK47" s="19"/>
      <c r="UL47" s="19"/>
      <c r="UM47" s="19"/>
      <c r="UN47" s="19"/>
      <c r="UO47" s="19"/>
      <c r="UP47" s="19"/>
      <c r="UQ47" s="19"/>
      <c r="UR47" s="19"/>
      <c r="US47" s="19"/>
      <c r="UT47" s="19"/>
      <c r="UU47" s="19"/>
      <c r="UV47" s="19"/>
      <c r="UW47" s="19"/>
      <c r="UX47" s="19"/>
      <c r="UY47" s="19"/>
      <c r="UZ47" s="19"/>
      <c r="VA47" s="19"/>
      <c r="VB47" s="19"/>
      <c r="VC47" s="19"/>
      <c r="VD47" s="19"/>
      <c r="VE47" s="19"/>
      <c r="VF47" s="19"/>
      <c r="VG47" s="19"/>
      <c r="VH47" s="19"/>
      <c r="VI47" s="19"/>
      <c r="VJ47" s="19"/>
      <c r="VK47" s="19"/>
      <c r="VL47" s="19"/>
      <c r="VM47" s="19"/>
      <c r="VN47" s="19"/>
      <c r="VO47" s="19"/>
      <c r="VP47" s="19"/>
      <c r="VQ47" s="19"/>
      <c r="VR47" s="19"/>
      <c r="VS47" s="19"/>
      <c r="VT47" s="19"/>
      <c r="VU47" s="19"/>
      <c r="VV47" s="19"/>
      <c r="VW47" s="19"/>
      <c r="VX47" s="19"/>
      <c r="VY47" s="19"/>
      <c r="VZ47" s="19"/>
      <c r="WA47" s="19"/>
      <c r="WB47" s="19"/>
      <c r="WC47" s="19"/>
      <c r="WD47" s="19"/>
      <c r="WE47" s="19"/>
      <c r="WF47" s="19"/>
      <c r="WG47" s="19"/>
      <c r="WH47" s="19"/>
      <c r="WI47" s="19"/>
      <c r="WJ47" s="19"/>
      <c r="WK47" s="19"/>
      <c r="WL47" s="19"/>
      <c r="WM47" s="19"/>
      <c r="WN47" s="19"/>
      <c r="WO47" s="19"/>
      <c r="WP47" s="19"/>
      <c r="WQ47" s="19"/>
      <c r="WR47" s="19"/>
      <c r="WS47" s="19"/>
      <c r="WT47" s="19"/>
      <c r="WU47" s="19"/>
      <c r="WV47" s="19"/>
      <c r="WW47" s="19"/>
      <c r="WX47" s="19"/>
      <c r="WY47" s="19"/>
      <c r="WZ47" s="19"/>
      <c r="XA47" s="19"/>
      <c r="XB47" s="19"/>
      <c r="XC47" s="19"/>
      <c r="XD47" s="19"/>
      <c r="XE47" s="19"/>
      <c r="XF47" s="19"/>
      <c r="XG47" s="19"/>
      <c r="XH47" s="19"/>
      <c r="XI47" s="19"/>
      <c r="XJ47" s="19"/>
      <c r="XK47" s="19"/>
      <c r="XL47" s="19"/>
      <c r="XM47" s="19"/>
      <c r="XN47" s="19"/>
      <c r="XO47" s="19"/>
      <c r="XP47" s="19"/>
      <c r="XQ47" s="19"/>
      <c r="XR47" s="19"/>
      <c r="XS47" s="19"/>
      <c r="XT47" s="19"/>
      <c r="XU47" s="19"/>
      <c r="XV47" s="19"/>
      <c r="XW47" s="19"/>
      <c r="XX47" s="19"/>
      <c r="XY47" s="19"/>
      <c r="XZ47" s="19"/>
      <c r="YA47" s="19"/>
      <c r="YB47" s="19"/>
      <c r="YC47" s="19"/>
      <c r="YD47" s="19"/>
      <c r="YE47" s="19"/>
      <c r="YF47" s="19"/>
      <c r="YG47" s="19"/>
      <c r="YH47" s="19"/>
      <c r="YI47" s="19"/>
      <c r="YJ47" s="19"/>
      <c r="YK47" s="19"/>
      <c r="YL47" s="19"/>
      <c r="YM47" s="19"/>
      <c r="YN47" s="19"/>
      <c r="YO47" s="19"/>
      <c r="YP47" s="19"/>
      <c r="YQ47" s="19"/>
      <c r="YR47" s="19"/>
      <c r="YS47" s="19"/>
      <c r="YT47" s="19"/>
      <c r="YU47" s="19"/>
      <c r="YV47" s="19"/>
      <c r="YW47" s="19"/>
      <c r="YX47" s="19"/>
      <c r="YY47" s="19"/>
      <c r="YZ47" s="19"/>
      <c r="ZA47" s="19"/>
      <c r="ZB47" s="19"/>
      <c r="ZC47" s="19"/>
      <c r="ZD47" s="19"/>
      <c r="ZE47" s="19"/>
      <c r="ZF47" s="19"/>
      <c r="ZG47" s="19"/>
      <c r="ZH47" s="19"/>
      <c r="ZI47" s="19"/>
      <c r="ZJ47" s="19"/>
      <c r="ZK47" s="19"/>
      <c r="ZL47" s="19"/>
      <c r="ZM47" s="19"/>
      <c r="ZN47" s="19"/>
      <c r="ZO47" s="19"/>
      <c r="ZP47" s="19"/>
      <c r="ZQ47" s="19"/>
      <c r="ZR47" s="19"/>
      <c r="ZS47" s="19"/>
      <c r="ZT47" s="19"/>
      <c r="ZU47" s="19"/>
      <c r="ZV47" s="19"/>
      <c r="ZW47" s="19"/>
      <c r="ZX47" s="19"/>
      <c r="ZY47" s="19"/>
      <c r="ZZ47" s="19"/>
      <c r="AAA47" s="19"/>
      <c r="AAB47" s="19"/>
      <c r="AAC47" s="19"/>
      <c r="AAD47" s="19"/>
      <c r="AAE47" s="19"/>
      <c r="AAF47" s="19"/>
      <c r="AAG47" s="19"/>
      <c r="AAH47" s="19"/>
      <c r="AAI47" s="19"/>
      <c r="AAJ47" s="19"/>
      <c r="AAK47" s="19"/>
      <c r="AAL47" s="19"/>
      <c r="AAM47" s="19"/>
      <c r="AAN47" s="19"/>
      <c r="AAO47" s="19"/>
      <c r="AAP47" s="19"/>
      <c r="AAQ47" s="19"/>
      <c r="AAR47" s="19"/>
      <c r="AAS47" s="19"/>
      <c r="AAT47" s="19"/>
      <c r="AAU47" s="19"/>
      <c r="AAV47" s="19"/>
      <c r="AAW47" s="19"/>
      <c r="AAX47" s="19"/>
      <c r="AAY47" s="19"/>
      <c r="AAZ47" s="19"/>
      <c r="ABA47" s="19"/>
      <c r="ABB47" s="19"/>
      <c r="ABC47" s="19"/>
      <c r="ABD47" s="19"/>
      <c r="ABE47" s="19"/>
      <c r="ABF47" s="19"/>
      <c r="ABG47" s="19"/>
      <c r="ABH47" s="19"/>
      <c r="ABI47" s="19"/>
      <c r="ABJ47" s="19"/>
      <c r="ABK47" s="19"/>
      <c r="ABL47" s="19"/>
      <c r="ABM47" s="19"/>
      <c r="ABN47" s="19"/>
      <c r="ABO47" s="19"/>
      <c r="ABP47" s="19"/>
      <c r="ABQ47" s="19"/>
      <c r="ABR47" s="19"/>
      <c r="ABS47" s="19"/>
      <c r="ABT47" s="19"/>
      <c r="ABU47" s="19"/>
      <c r="ABV47" s="19"/>
      <c r="ABW47" s="19"/>
      <c r="ABX47" s="19"/>
      <c r="ABY47" s="19"/>
      <c r="ABZ47" s="19"/>
      <c r="ACA47" s="19"/>
      <c r="ACB47" s="19"/>
      <c r="ACC47" s="19"/>
      <c r="ACD47" s="19"/>
      <c r="ACE47" s="19"/>
      <c r="ACF47" s="19"/>
      <c r="ACG47" s="19"/>
      <c r="ACH47" s="19"/>
      <c r="ACI47" s="19"/>
      <c r="ACJ47" s="19"/>
      <c r="ACK47" s="19"/>
      <c r="ACL47" s="19"/>
      <c r="ACM47" s="19"/>
      <c r="ACN47" s="19"/>
      <c r="ACO47" s="19"/>
      <c r="ACP47" s="19"/>
      <c r="ACQ47" s="19"/>
      <c r="ACR47" s="19"/>
      <c r="ACS47" s="19"/>
      <c r="ACT47" s="19"/>
      <c r="ACU47" s="19"/>
      <c r="ACV47" s="19"/>
      <c r="ACW47" s="19"/>
      <c r="ACX47" s="19"/>
      <c r="ACY47" s="19"/>
      <c r="ACZ47" s="19"/>
      <c r="ADA47" s="19"/>
      <c r="ADB47" s="19"/>
      <c r="ADC47" s="19"/>
      <c r="ADD47" s="19"/>
      <c r="ADE47" s="19"/>
      <c r="ADF47" s="19"/>
      <c r="ADG47" s="19"/>
      <c r="ADH47" s="19"/>
      <c r="ADI47" s="19"/>
      <c r="ADJ47" s="19"/>
      <c r="ADK47" s="19"/>
      <c r="ADL47" s="19"/>
      <c r="ADM47" s="19"/>
      <c r="ADN47" s="19"/>
      <c r="ADO47" s="19"/>
      <c r="ADP47" s="19"/>
      <c r="ADQ47" s="19"/>
      <c r="ADR47" s="19"/>
      <c r="ADS47" s="19"/>
      <c r="ADT47" s="19"/>
      <c r="ADU47" s="19"/>
      <c r="ADV47" s="19"/>
      <c r="ADW47" s="19"/>
      <c r="ADX47" s="19"/>
      <c r="ADY47" s="19"/>
      <c r="ADZ47" s="19"/>
      <c r="AEA47" s="19"/>
      <c r="AEB47" s="19"/>
      <c r="AEC47" s="19"/>
      <c r="AED47" s="19"/>
      <c r="AEE47" s="19"/>
      <c r="AEF47" s="19"/>
      <c r="AEG47" s="19"/>
      <c r="AEH47" s="19"/>
      <c r="AEI47" s="19"/>
      <c r="AEJ47" s="19"/>
      <c r="AEK47" s="19"/>
      <c r="AEL47" s="19"/>
      <c r="AEM47" s="19"/>
      <c r="AEN47" s="19"/>
      <c r="AEO47" s="19"/>
      <c r="AEP47" s="19"/>
      <c r="AEQ47" s="19"/>
      <c r="AER47" s="19"/>
      <c r="AES47" s="19"/>
      <c r="AET47" s="19"/>
      <c r="AEU47" s="19"/>
      <c r="AEV47" s="19"/>
      <c r="AEW47" s="19"/>
      <c r="AEX47" s="19"/>
      <c r="AEY47" s="19"/>
      <c r="AEZ47" s="19"/>
      <c r="AFA47" s="19"/>
      <c r="AFB47" s="19"/>
      <c r="AFC47" s="19"/>
      <c r="AFD47" s="19"/>
      <c r="AFE47" s="19"/>
      <c r="AFF47" s="19"/>
      <c r="AFG47" s="19"/>
      <c r="AFH47" s="19"/>
      <c r="AFI47" s="19"/>
      <c r="AFJ47" s="19"/>
      <c r="AFK47" s="19"/>
      <c r="AFL47" s="19"/>
      <c r="AFM47" s="19"/>
      <c r="AFN47" s="19"/>
      <c r="AFO47" s="19"/>
      <c r="AFP47" s="19"/>
      <c r="AFQ47" s="19"/>
      <c r="AFR47" s="19"/>
      <c r="AFS47" s="19"/>
      <c r="AFT47" s="19"/>
      <c r="AFU47" s="19"/>
      <c r="AFV47" s="19"/>
      <c r="AFW47" s="19"/>
      <c r="AFX47" s="19"/>
      <c r="AFY47" s="19"/>
      <c r="AFZ47" s="19"/>
      <c r="AGA47" s="19"/>
      <c r="AGB47" s="19"/>
      <c r="AGC47" s="19"/>
      <c r="AGD47" s="19"/>
      <c r="AGE47" s="19"/>
      <c r="AGF47" s="19"/>
      <c r="AGG47" s="19"/>
      <c r="AGH47" s="19"/>
      <c r="AGI47" s="19"/>
      <c r="AGJ47" s="19"/>
      <c r="AGK47" s="19"/>
      <c r="AGL47" s="19"/>
      <c r="AGM47" s="19"/>
      <c r="AGN47" s="19"/>
      <c r="AGO47" s="19"/>
      <c r="AGP47" s="19"/>
      <c r="AGQ47" s="19"/>
      <c r="AGR47" s="19"/>
      <c r="AGS47" s="19"/>
      <c r="AGT47" s="19"/>
      <c r="AGU47" s="19"/>
      <c r="AGV47" s="19"/>
      <c r="AGW47" s="19"/>
      <c r="AGX47" s="19"/>
      <c r="AGY47" s="19"/>
      <c r="AGZ47" s="19"/>
      <c r="AHA47" s="19"/>
      <c r="AHB47" s="19"/>
      <c r="AHC47" s="19"/>
      <c r="AHD47" s="19"/>
      <c r="AHE47" s="19"/>
      <c r="AHF47" s="19"/>
      <c r="AHG47" s="19"/>
      <c r="AHH47" s="19"/>
      <c r="AHI47" s="19"/>
      <c r="AHJ47" s="19"/>
      <c r="AHK47" s="19"/>
      <c r="AHL47" s="19"/>
      <c r="AHM47" s="19"/>
      <c r="AHN47" s="19"/>
      <c r="AHO47" s="19"/>
      <c r="AHP47" s="19"/>
      <c r="AHQ47" s="19"/>
      <c r="AHR47" s="19"/>
      <c r="AHS47" s="19"/>
      <c r="AHT47" s="19"/>
      <c r="AHU47" s="19"/>
      <c r="AHV47" s="19"/>
      <c r="AHW47" s="19"/>
      <c r="AHX47" s="19"/>
      <c r="AHY47" s="19"/>
      <c r="AHZ47" s="19"/>
      <c r="AIA47" s="19"/>
      <c r="AIB47" s="19"/>
      <c r="AIC47" s="19"/>
      <c r="AID47" s="19"/>
      <c r="AIE47" s="19"/>
      <c r="AIF47" s="19"/>
      <c r="AIG47" s="19"/>
      <c r="AIH47" s="19"/>
      <c r="AII47" s="19"/>
      <c r="AIJ47" s="19"/>
      <c r="AIK47" s="19"/>
      <c r="AIL47" s="19"/>
      <c r="AIM47" s="19"/>
      <c r="AIN47" s="19"/>
      <c r="AIO47" s="19"/>
      <c r="AIP47" s="19"/>
      <c r="AIQ47" s="19"/>
      <c r="AIR47" s="19"/>
      <c r="AIS47" s="19"/>
      <c r="AIT47" s="19"/>
      <c r="AIU47" s="19"/>
      <c r="AIV47" s="19"/>
      <c r="AIW47" s="19"/>
      <c r="AIX47" s="19"/>
      <c r="AIY47" s="19"/>
      <c r="AIZ47" s="19"/>
      <c r="AJA47" s="19"/>
      <c r="AJB47" s="19"/>
      <c r="AJC47" s="19"/>
      <c r="AJD47" s="19"/>
      <c r="AJE47" s="19"/>
      <c r="AJF47" s="19"/>
      <c r="AJG47" s="19"/>
      <c r="AJH47" s="19"/>
      <c r="AJI47" s="19"/>
      <c r="AJJ47" s="19"/>
      <c r="AJK47" s="19"/>
      <c r="AJL47" s="19"/>
      <c r="AJM47" s="19"/>
      <c r="AJN47" s="19"/>
      <c r="AJO47" s="19"/>
      <c r="AJP47" s="19"/>
      <c r="AJQ47" s="19"/>
      <c r="AJR47" s="19"/>
      <c r="AJS47" s="19"/>
      <c r="AJT47" s="19"/>
      <c r="AJU47" s="19"/>
      <c r="AJV47" s="19"/>
      <c r="AJW47" s="19"/>
      <c r="AJX47" s="19"/>
      <c r="AJY47" s="19"/>
      <c r="AJZ47" s="19"/>
      <c r="AKA47" s="19"/>
      <c r="AKB47" s="19"/>
      <c r="AKC47" s="19"/>
      <c r="AKD47" s="19"/>
      <c r="AKE47" s="19"/>
      <c r="AKF47" s="19"/>
      <c r="AKG47" s="19"/>
      <c r="AKH47" s="19"/>
      <c r="AKI47" s="19"/>
      <c r="AKJ47" s="19"/>
      <c r="AKK47" s="19"/>
      <c r="AKL47" s="19"/>
      <c r="AKM47" s="19"/>
      <c r="AKN47" s="19"/>
      <c r="AKO47" s="19"/>
      <c r="AKP47" s="19"/>
      <c r="AKQ47" s="19"/>
      <c r="AKR47" s="19"/>
      <c r="AKS47" s="19"/>
      <c r="AKT47" s="19"/>
      <c r="AKU47" s="19"/>
      <c r="AKV47" s="19"/>
      <c r="AKW47" s="19"/>
      <c r="AKX47" s="19"/>
      <c r="AKY47" s="19"/>
      <c r="AKZ47" s="19"/>
      <c r="ALA47" s="19"/>
      <c r="ALB47" s="19"/>
      <c r="ALC47" s="19"/>
      <c r="ALD47" s="19"/>
      <c r="ALE47" s="19"/>
      <c r="ALF47" s="19"/>
      <c r="ALG47" s="19"/>
      <c r="ALH47" s="19"/>
      <c r="ALI47" s="19"/>
      <c r="ALJ47" s="19"/>
      <c r="ALK47" s="19"/>
      <c r="ALL47" s="19"/>
      <c r="ALM47" s="19"/>
      <c r="ALN47" s="19"/>
      <c r="ALO47" s="19"/>
      <c r="ALP47" s="19"/>
      <c r="ALQ47" s="19"/>
      <c r="ALR47" s="19"/>
      <c r="ALS47" s="19"/>
      <c r="ALT47" s="19"/>
      <c r="ALU47" s="19"/>
      <c r="ALV47" s="19"/>
      <c r="ALW47" s="19"/>
      <c r="ALX47" s="19"/>
      <c r="ALY47" s="19"/>
      <c r="ALZ47" s="19"/>
      <c r="AMA47" s="19"/>
      <c r="AMB47" s="19"/>
      <c r="AMC47" s="19"/>
      <c r="AMD47" s="19"/>
      <c r="AME47" s="19"/>
      <c r="AMF47" s="19"/>
      <c r="AMG47" s="19"/>
      <c r="AMH47" s="19"/>
      <c r="AMI47" s="19"/>
      <c r="AMJ47" s="19"/>
      <c r="AMK47" s="19"/>
      <c r="AML47" s="19"/>
      <c r="AMM47" s="19"/>
      <c r="AMN47" s="19"/>
      <c r="AMO47" s="19"/>
      <c r="AMP47" s="19"/>
      <c r="AMQ47" s="19"/>
      <c r="AMR47" s="19"/>
      <c r="AMS47" s="19"/>
      <c r="AMT47" s="19"/>
      <c r="AMU47" s="19"/>
      <c r="AMV47" s="19"/>
      <c r="AMW47" s="19"/>
      <c r="AMX47" s="19"/>
      <c r="AMY47" s="19"/>
      <c r="AMZ47" s="19"/>
      <c r="ANA47" s="19"/>
      <c r="ANB47" s="19"/>
      <c r="ANC47" s="19"/>
      <c r="AND47" s="19"/>
      <c r="ANE47" s="19"/>
      <c r="ANF47" s="19"/>
      <c r="ANG47" s="19"/>
      <c r="ANH47" s="19"/>
      <c r="ANI47" s="19"/>
      <c r="ANJ47" s="19"/>
      <c r="ANK47" s="19"/>
      <c r="ANL47" s="19"/>
      <c r="ANM47" s="19"/>
      <c r="ANN47" s="19"/>
      <c r="ANO47" s="19"/>
      <c r="ANP47" s="19"/>
      <c r="ANQ47" s="19"/>
      <c r="ANR47" s="19"/>
      <c r="ANS47" s="19"/>
      <c r="ANT47" s="19"/>
      <c r="ANU47" s="19"/>
      <c r="ANV47" s="19"/>
      <c r="ANW47" s="19"/>
      <c r="ANX47" s="19"/>
      <c r="ANY47" s="19"/>
      <c r="ANZ47" s="19"/>
      <c r="AOA47" s="19"/>
      <c r="AOB47" s="19"/>
      <c r="AOC47" s="19"/>
      <c r="AOD47" s="19"/>
      <c r="AOE47" s="19"/>
      <c r="AOF47" s="19"/>
      <c r="AOG47" s="19"/>
      <c r="AOH47" s="19"/>
      <c r="AOI47" s="19"/>
      <c r="AOJ47" s="19"/>
      <c r="AOK47" s="19"/>
      <c r="AOL47" s="19"/>
      <c r="AOM47" s="19"/>
      <c r="AON47" s="19"/>
      <c r="AOO47" s="19"/>
      <c r="AOP47" s="19"/>
      <c r="AOQ47" s="19"/>
      <c r="AOR47" s="19"/>
      <c r="AOS47" s="19"/>
      <c r="AOT47" s="19"/>
      <c r="AOU47" s="19"/>
      <c r="AOV47" s="19"/>
      <c r="AOW47" s="19"/>
      <c r="AOX47" s="19"/>
      <c r="AOY47" s="19"/>
      <c r="AOZ47" s="19"/>
      <c r="APA47" s="19"/>
      <c r="APB47" s="19"/>
      <c r="APC47" s="19"/>
      <c r="APD47" s="19"/>
      <c r="APE47" s="19"/>
      <c r="APF47" s="19"/>
      <c r="APG47" s="19"/>
      <c r="APH47" s="19"/>
      <c r="API47" s="19"/>
      <c r="APJ47" s="19"/>
      <c r="APK47" s="19"/>
      <c r="APL47" s="19"/>
      <c r="APM47" s="19"/>
      <c r="APN47" s="19"/>
      <c r="APO47" s="19"/>
      <c r="APP47" s="19"/>
      <c r="APQ47" s="19"/>
      <c r="APR47" s="19"/>
      <c r="APS47" s="19"/>
      <c r="APT47" s="19"/>
      <c r="APU47" s="19"/>
      <c r="APV47" s="19"/>
      <c r="APW47" s="19"/>
      <c r="APX47" s="19"/>
      <c r="APY47" s="19"/>
      <c r="APZ47" s="19"/>
      <c r="AQA47" s="19"/>
      <c r="AQB47" s="19"/>
      <c r="AQC47" s="19"/>
      <c r="AQD47" s="19"/>
      <c r="AQE47" s="19"/>
      <c r="AQF47" s="19"/>
      <c r="AQG47" s="19"/>
      <c r="AQH47" s="19"/>
      <c r="AQI47" s="19"/>
      <c r="AQJ47" s="19"/>
      <c r="AQK47" s="19"/>
      <c r="AQL47" s="19"/>
      <c r="AQM47" s="19"/>
      <c r="AQN47" s="19"/>
      <c r="AQO47" s="19"/>
      <c r="AQP47" s="19"/>
      <c r="AQQ47" s="19"/>
      <c r="AQR47" s="19"/>
      <c r="AQS47" s="19"/>
      <c r="AQT47" s="19"/>
      <c r="AQU47" s="19"/>
      <c r="AQV47" s="19"/>
      <c r="AQW47" s="19"/>
      <c r="AQX47" s="19"/>
      <c r="AQY47" s="19"/>
      <c r="AQZ47" s="19"/>
      <c r="ARA47" s="19"/>
      <c r="ARB47" s="19"/>
      <c r="ARC47" s="19"/>
      <c r="ARD47" s="19"/>
      <c r="ARE47" s="19"/>
      <c r="ARF47" s="19"/>
      <c r="ARG47" s="19"/>
      <c r="ARH47" s="19"/>
      <c r="ARI47" s="19"/>
      <c r="ARJ47" s="19"/>
      <c r="ARK47" s="19"/>
      <c r="ARL47" s="19"/>
      <c r="ARM47" s="19"/>
      <c r="ARN47" s="19"/>
      <c r="ARO47" s="19"/>
      <c r="ARP47" s="19"/>
      <c r="ARQ47" s="19"/>
      <c r="ARR47" s="19"/>
      <c r="ARS47" s="19"/>
      <c r="ART47" s="19"/>
      <c r="ARU47" s="19"/>
      <c r="ARV47" s="19"/>
      <c r="ARW47" s="19"/>
      <c r="ARX47" s="19"/>
      <c r="ARY47" s="19"/>
      <c r="ARZ47" s="19"/>
      <c r="ASA47" s="19"/>
      <c r="ASB47" s="19"/>
      <c r="ASC47" s="19"/>
      <c r="ASD47" s="19"/>
      <c r="ASE47" s="19"/>
      <c r="ASF47" s="19"/>
      <c r="ASG47" s="19"/>
      <c r="ASH47" s="19"/>
      <c r="ASI47" s="19"/>
      <c r="ASJ47" s="19"/>
      <c r="ASK47" s="19"/>
      <c r="ASL47" s="19"/>
      <c r="ASM47" s="19"/>
      <c r="ASN47" s="19"/>
      <c r="ASO47" s="19"/>
      <c r="ASP47" s="19"/>
      <c r="ASQ47" s="19"/>
      <c r="ASR47" s="19"/>
      <c r="ASS47" s="19"/>
      <c r="AST47" s="19"/>
      <c r="ASU47" s="19"/>
      <c r="ASV47" s="19"/>
      <c r="ASW47" s="19"/>
      <c r="ASX47" s="19"/>
      <c r="ASY47" s="19"/>
      <c r="ASZ47" s="19"/>
      <c r="ATA47" s="19"/>
      <c r="ATB47" s="19"/>
      <c r="ATC47" s="19"/>
      <c r="ATD47" s="19"/>
      <c r="ATE47" s="19"/>
      <c r="ATF47" s="19"/>
      <c r="ATG47" s="19"/>
      <c r="ATH47" s="19"/>
      <c r="ATI47" s="19"/>
      <c r="ATJ47" s="19"/>
      <c r="ATK47" s="19"/>
      <c r="ATL47" s="19"/>
      <c r="ATM47" s="19"/>
      <c r="ATN47" s="19"/>
      <c r="ATO47" s="19"/>
      <c r="ATP47" s="19"/>
      <c r="ATQ47" s="19"/>
      <c r="ATR47" s="19"/>
      <c r="ATS47" s="19"/>
      <c r="ATT47" s="19"/>
      <c r="ATU47" s="19"/>
      <c r="ATV47" s="19"/>
      <c r="ATW47" s="19"/>
      <c r="ATX47" s="19"/>
      <c r="ATY47" s="19"/>
      <c r="ATZ47" s="19"/>
      <c r="AUA47" s="19"/>
      <c r="AUB47" s="19"/>
      <c r="AUC47" s="19"/>
      <c r="AUD47" s="19"/>
      <c r="AUE47" s="19"/>
      <c r="AUF47" s="19"/>
      <c r="AUG47" s="19"/>
      <c r="AUH47" s="19"/>
      <c r="AUI47" s="19"/>
      <c r="AUJ47" s="19"/>
      <c r="AUK47" s="19"/>
      <c r="AUL47" s="19"/>
      <c r="AUM47" s="19"/>
      <c r="AUN47" s="19"/>
      <c r="AUO47" s="19"/>
      <c r="AUP47" s="19"/>
      <c r="AUQ47" s="19"/>
      <c r="AUR47" s="19"/>
      <c r="AUS47" s="19"/>
      <c r="AUT47" s="19"/>
      <c r="AUU47" s="19"/>
      <c r="AUV47" s="19"/>
      <c r="AUW47" s="19"/>
      <c r="AUX47" s="19"/>
      <c r="AUY47" s="19"/>
      <c r="AUZ47" s="19"/>
      <c r="AVA47" s="19"/>
      <c r="AVB47" s="19"/>
      <c r="AVC47" s="19"/>
      <c r="AVD47" s="19"/>
      <c r="AVE47" s="19"/>
      <c r="AVF47" s="19"/>
      <c r="AVG47" s="19"/>
      <c r="AVH47" s="19"/>
      <c r="AVI47" s="19"/>
      <c r="AVJ47" s="19"/>
      <c r="AVK47" s="19"/>
      <c r="AVL47" s="19"/>
      <c r="AVM47" s="19"/>
      <c r="AVN47" s="19"/>
      <c r="AVO47" s="19"/>
      <c r="AVP47" s="19"/>
      <c r="AVQ47" s="19"/>
      <c r="AVR47" s="19"/>
      <c r="AVS47" s="19"/>
      <c r="AVT47" s="19"/>
      <c r="AVU47" s="19"/>
      <c r="AVV47" s="19"/>
      <c r="AVW47" s="19"/>
      <c r="AVX47" s="19"/>
      <c r="AVY47" s="19"/>
      <c r="AVZ47" s="19"/>
      <c r="AWA47" s="19"/>
      <c r="AWB47" s="19"/>
      <c r="AWC47" s="19"/>
      <c r="AWD47" s="19"/>
      <c r="AWE47" s="19"/>
      <c r="AWF47" s="19"/>
      <c r="AWG47" s="19"/>
      <c r="AWH47" s="19"/>
      <c r="AWI47" s="19"/>
      <c r="AWJ47" s="19"/>
      <c r="AWK47" s="19"/>
      <c r="AWL47" s="19"/>
      <c r="AWM47" s="19"/>
      <c r="AWN47" s="19"/>
      <c r="AWO47" s="19"/>
      <c r="AWP47" s="19"/>
      <c r="AWQ47" s="19"/>
      <c r="AWR47" s="19"/>
      <c r="AWS47" s="19"/>
      <c r="AWT47" s="19"/>
      <c r="AWU47" s="19"/>
      <c r="AWV47" s="19"/>
      <c r="AWW47" s="19"/>
      <c r="AWX47" s="19"/>
      <c r="AWY47" s="19"/>
      <c r="AWZ47" s="19"/>
      <c r="AXA47" s="19"/>
      <c r="AXB47" s="19"/>
      <c r="AXC47" s="19"/>
      <c r="AXD47" s="19"/>
      <c r="AXE47" s="19"/>
      <c r="AXF47" s="19"/>
      <c r="AXG47" s="19"/>
      <c r="AXH47" s="19"/>
      <c r="AXI47" s="19"/>
      <c r="AXJ47" s="19"/>
      <c r="AXK47" s="19"/>
      <c r="AXL47" s="19"/>
      <c r="AXM47" s="19"/>
      <c r="AXN47" s="19"/>
      <c r="AXO47" s="19"/>
      <c r="AXP47" s="19"/>
      <c r="AXQ47" s="19"/>
      <c r="AXR47" s="19"/>
      <c r="AXS47" s="19"/>
      <c r="AXT47" s="19"/>
      <c r="AXU47" s="19"/>
      <c r="AXV47" s="19"/>
      <c r="AXW47" s="19"/>
      <c r="AXX47" s="19"/>
      <c r="AXY47" s="19"/>
      <c r="AXZ47" s="19"/>
      <c r="AYA47" s="19"/>
      <c r="AYB47" s="19"/>
      <c r="AYC47" s="19"/>
      <c r="AYD47" s="19"/>
      <c r="AYE47" s="19"/>
      <c r="AYF47" s="19"/>
      <c r="AYG47" s="19"/>
      <c r="AYH47" s="19"/>
      <c r="AYI47" s="19"/>
      <c r="AYJ47" s="19"/>
      <c r="AYK47" s="19"/>
      <c r="AYL47" s="19"/>
      <c r="AYM47" s="19"/>
      <c r="AYN47" s="19"/>
      <c r="AYO47" s="19"/>
      <c r="AYP47" s="19"/>
      <c r="AYQ47" s="19"/>
      <c r="AYR47" s="19"/>
      <c r="AYS47" s="19"/>
      <c r="AYT47" s="19"/>
      <c r="AYU47" s="19"/>
      <c r="AYV47" s="19"/>
      <c r="AYW47" s="19"/>
      <c r="AYX47" s="19"/>
      <c r="AYY47" s="19"/>
      <c r="AYZ47" s="19"/>
      <c r="AZA47" s="19"/>
      <c r="AZB47" s="19"/>
      <c r="AZC47" s="19"/>
      <c r="AZD47" s="19"/>
      <c r="AZE47" s="19"/>
      <c r="AZF47" s="19"/>
      <c r="AZG47" s="19"/>
      <c r="AZH47" s="19"/>
      <c r="AZI47" s="19"/>
      <c r="AZJ47" s="19"/>
      <c r="AZK47" s="19"/>
      <c r="AZL47" s="19"/>
      <c r="AZM47" s="19"/>
      <c r="AZN47" s="19"/>
      <c r="AZO47" s="19"/>
      <c r="AZP47" s="19"/>
      <c r="AZQ47" s="19"/>
      <c r="AZR47" s="19"/>
      <c r="AZS47" s="19"/>
      <c r="AZT47" s="19"/>
      <c r="AZU47" s="19"/>
      <c r="AZV47" s="19"/>
      <c r="AZW47" s="19"/>
      <c r="AZX47" s="19"/>
      <c r="AZY47" s="19"/>
      <c r="AZZ47" s="19"/>
      <c r="BAA47" s="19"/>
      <c r="BAB47" s="19"/>
      <c r="BAC47" s="19"/>
      <c r="BAD47" s="19"/>
      <c r="BAE47" s="19"/>
      <c r="BAF47" s="19"/>
      <c r="BAG47" s="19"/>
      <c r="BAH47" s="19"/>
      <c r="BAI47" s="19"/>
      <c r="BAJ47" s="19"/>
      <c r="BAK47" s="19"/>
      <c r="BAL47" s="19"/>
      <c r="BAM47" s="19"/>
      <c r="BAN47" s="19"/>
      <c r="BAO47" s="19"/>
      <c r="BAP47" s="19"/>
      <c r="BAQ47" s="19"/>
      <c r="BAR47" s="19"/>
      <c r="BAS47" s="19"/>
      <c r="BAT47" s="19"/>
      <c r="BAU47" s="19"/>
      <c r="BAV47" s="19"/>
      <c r="BAW47" s="19"/>
      <c r="BAX47" s="19"/>
      <c r="BAY47" s="19"/>
      <c r="BAZ47" s="19"/>
      <c r="BBA47" s="19"/>
      <c r="BBB47" s="19"/>
      <c r="BBC47" s="19"/>
      <c r="BBD47" s="19"/>
      <c r="BBE47" s="19"/>
      <c r="BBF47" s="19"/>
      <c r="BBG47" s="19"/>
      <c r="BBH47" s="19"/>
      <c r="BBI47" s="19"/>
      <c r="BBJ47" s="19"/>
      <c r="BBK47" s="19"/>
      <c r="BBL47" s="19"/>
      <c r="BBM47" s="19"/>
      <c r="BBN47" s="19"/>
      <c r="BBO47" s="19"/>
      <c r="BBP47" s="19"/>
      <c r="BBQ47" s="19"/>
      <c r="BBR47" s="19"/>
      <c r="BBS47" s="19"/>
      <c r="BBT47" s="19"/>
      <c r="BBU47" s="19"/>
      <c r="BBV47" s="19"/>
      <c r="BBW47" s="19"/>
      <c r="BBX47" s="19"/>
      <c r="BBY47" s="19"/>
      <c r="BBZ47" s="19"/>
      <c r="BCA47" s="19"/>
      <c r="BCB47" s="19"/>
      <c r="BCC47" s="19"/>
      <c r="BCD47" s="19"/>
      <c r="BCE47" s="19"/>
      <c r="BCF47" s="19"/>
      <c r="BCG47" s="19"/>
      <c r="BCH47" s="19"/>
      <c r="BCI47" s="19"/>
      <c r="BCJ47" s="19"/>
      <c r="BCK47" s="19"/>
      <c r="BCL47" s="19"/>
      <c r="BCM47" s="19"/>
      <c r="BCN47" s="19"/>
      <c r="BCO47" s="19"/>
      <c r="BCP47" s="19"/>
      <c r="BCQ47" s="19"/>
      <c r="BCR47" s="19"/>
      <c r="BCS47" s="19"/>
      <c r="BCT47" s="19"/>
      <c r="BCU47" s="19"/>
      <c r="BCV47" s="19"/>
      <c r="BCW47" s="19"/>
      <c r="BCX47" s="19"/>
      <c r="BCY47" s="19"/>
      <c r="BCZ47" s="19"/>
      <c r="BDA47" s="19"/>
      <c r="BDB47" s="19"/>
      <c r="BDC47" s="19"/>
      <c r="BDD47" s="19"/>
      <c r="BDE47" s="19"/>
      <c r="BDF47" s="19"/>
      <c r="BDG47" s="19"/>
      <c r="BDH47" s="19"/>
      <c r="BDI47" s="19"/>
      <c r="BDJ47" s="19"/>
      <c r="BDK47" s="19"/>
      <c r="BDL47" s="19"/>
      <c r="BDM47" s="19"/>
      <c r="BDN47" s="19"/>
      <c r="BDO47" s="19"/>
      <c r="BDP47" s="19"/>
      <c r="BDQ47" s="19"/>
      <c r="BDR47" s="19"/>
      <c r="BDS47" s="19"/>
      <c r="BDT47" s="19"/>
      <c r="BDU47" s="19"/>
      <c r="BDV47" s="19"/>
      <c r="BDW47" s="19"/>
      <c r="BDX47" s="19"/>
      <c r="BDY47" s="19"/>
      <c r="BDZ47" s="19"/>
      <c r="BEA47" s="19"/>
      <c r="BEB47" s="19"/>
      <c r="BEC47" s="19"/>
      <c r="BED47" s="19"/>
      <c r="BEE47" s="19"/>
      <c r="BEF47" s="19"/>
      <c r="BEG47" s="19"/>
      <c r="BEH47" s="19"/>
      <c r="BEI47" s="19"/>
      <c r="BEJ47" s="19"/>
      <c r="BEK47" s="19"/>
      <c r="BEL47" s="19"/>
      <c r="BEM47" s="19"/>
      <c r="BEN47" s="19"/>
      <c r="BEO47" s="19"/>
      <c r="BEP47" s="19"/>
      <c r="BEQ47" s="19"/>
      <c r="BER47" s="19"/>
      <c r="BES47" s="19"/>
      <c r="BET47" s="19"/>
      <c r="BEU47" s="19"/>
      <c r="BEV47" s="19"/>
      <c r="BEW47" s="19"/>
      <c r="BEX47" s="19"/>
      <c r="BEY47" s="19"/>
      <c r="BEZ47" s="19"/>
      <c r="BFA47" s="19"/>
      <c r="BFB47" s="19"/>
      <c r="BFC47" s="19"/>
      <c r="BFD47" s="19"/>
      <c r="BFE47" s="19"/>
      <c r="BFF47" s="19"/>
      <c r="BFG47" s="19"/>
      <c r="BFH47" s="19"/>
      <c r="BFI47" s="19"/>
      <c r="BFJ47" s="19"/>
      <c r="BFK47" s="19"/>
      <c r="BFL47" s="19"/>
      <c r="BFM47" s="19"/>
      <c r="BFN47" s="19"/>
      <c r="BFO47" s="19"/>
      <c r="BFP47" s="19"/>
      <c r="BFQ47" s="19"/>
      <c r="BFR47" s="19"/>
      <c r="BFS47" s="19"/>
      <c r="BFT47" s="19"/>
      <c r="BFU47" s="19"/>
      <c r="BFV47" s="19"/>
      <c r="BFW47" s="19"/>
      <c r="BFX47" s="19"/>
      <c r="BFY47" s="19"/>
      <c r="BFZ47" s="19"/>
      <c r="BGA47" s="19"/>
      <c r="BGB47" s="19"/>
      <c r="BGC47" s="19"/>
      <c r="BGD47" s="19"/>
      <c r="BGE47" s="19"/>
      <c r="BGF47" s="19"/>
      <c r="BGG47" s="19"/>
      <c r="BGH47" s="19"/>
      <c r="BGI47" s="19"/>
      <c r="BGJ47" s="19"/>
      <c r="BGK47" s="19"/>
      <c r="BGL47" s="19"/>
      <c r="BGM47" s="19"/>
      <c r="BGN47" s="19"/>
      <c r="BGO47" s="19"/>
      <c r="BGP47" s="19"/>
      <c r="BGQ47" s="19"/>
      <c r="BGR47" s="19"/>
      <c r="BGS47" s="19"/>
      <c r="BGT47" s="19"/>
      <c r="BGU47" s="19"/>
      <c r="BGV47" s="19"/>
      <c r="BGW47" s="19"/>
      <c r="BGX47" s="19"/>
      <c r="BGY47" s="19"/>
      <c r="BGZ47" s="19"/>
      <c r="BHA47" s="19"/>
      <c r="BHB47" s="19"/>
      <c r="BHC47" s="19"/>
      <c r="BHD47" s="19"/>
      <c r="BHE47" s="19"/>
      <c r="BHF47" s="19"/>
      <c r="BHG47" s="19"/>
      <c r="BHH47" s="19"/>
      <c r="BHI47" s="19"/>
      <c r="BHJ47" s="19"/>
      <c r="BHK47" s="19"/>
      <c r="BHL47" s="19"/>
      <c r="BHM47" s="19"/>
      <c r="BHN47" s="19"/>
      <c r="BHO47" s="19"/>
      <c r="BHP47" s="19"/>
      <c r="BHQ47" s="19"/>
      <c r="BHR47" s="19"/>
      <c r="BHS47" s="19"/>
      <c r="BHT47" s="19"/>
      <c r="BHU47" s="19"/>
      <c r="BHV47" s="19"/>
      <c r="BHW47" s="19"/>
      <c r="BHX47" s="19"/>
      <c r="BHY47" s="19"/>
      <c r="BHZ47" s="19"/>
      <c r="BIA47" s="19"/>
      <c r="BIB47" s="19"/>
      <c r="BIC47" s="19"/>
      <c r="BID47" s="19"/>
      <c r="BIE47" s="19"/>
      <c r="BIF47" s="19"/>
      <c r="BIG47" s="19"/>
      <c r="BIH47" s="19"/>
      <c r="BII47" s="19"/>
      <c r="BIJ47" s="19"/>
      <c r="BIK47" s="19"/>
      <c r="BIL47" s="19"/>
      <c r="BIM47" s="19"/>
      <c r="BIN47" s="19"/>
      <c r="BIO47" s="19"/>
      <c r="BIP47" s="19"/>
      <c r="BIQ47" s="19"/>
      <c r="BIR47" s="19"/>
      <c r="BIS47" s="19"/>
      <c r="BIT47" s="19"/>
      <c r="BIU47" s="19"/>
      <c r="BIV47" s="19"/>
      <c r="BIW47" s="19"/>
      <c r="BIX47" s="19"/>
      <c r="BIY47" s="19"/>
      <c r="BIZ47" s="19"/>
      <c r="BJA47" s="19"/>
      <c r="BJB47" s="19"/>
      <c r="BJC47" s="19"/>
      <c r="BJD47" s="19"/>
      <c r="BJE47" s="19"/>
      <c r="BJF47" s="19"/>
      <c r="BJG47" s="19"/>
      <c r="BJH47" s="19"/>
      <c r="BJI47" s="19"/>
      <c r="BJJ47" s="19"/>
      <c r="BJK47" s="19"/>
      <c r="BJL47" s="19"/>
      <c r="BJM47" s="19"/>
      <c r="BJN47" s="19"/>
      <c r="BJO47" s="19"/>
      <c r="BJP47" s="19"/>
      <c r="BJQ47" s="19"/>
      <c r="BJR47" s="19"/>
      <c r="BJS47" s="19"/>
      <c r="BJT47" s="19"/>
      <c r="BJU47" s="19"/>
      <c r="BJV47" s="19"/>
      <c r="BJW47" s="19"/>
      <c r="BJX47" s="19"/>
      <c r="BJY47" s="19"/>
      <c r="BJZ47" s="19"/>
      <c r="BKA47" s="19"/>
      <c r="BKB47" s="19"/>
      <c r="BKC47" s="19"/>
      <c r="BKD47" s="19"/>
      <c r="BKE47" s="19"/>
      <c r="BKF47" s="19"/>
      <c r="BKG47" s="19"/>
      <c r="BKH47" s="19"/>
      <c r="BKI47" s="19"/>
      <c r="BKJ47" s="19"/>
      <c r="BKK47" s="19"/>
      <c r="BKL47" s="19"/>
      <c r="BKM47" s="19"/>
      <c r="BKN47" s="19"/>
      <c r="BKO47" s="19"/>
      <c r="BKP47" s="19"/>
      <c r="BKQ47" s="19"/>
      <c r="BKR47" s="19"/>
      <c r="BKS47" s="19"/>
      <c r="BKT47" s="19"/>
      <c r="BKU47" s="19"/>
      <c r="BKV47" s="19"/>
      <c r="BKW47" s="19"/>
      <c r="BKX47" s="19"/>
      <c r="BKY47" s="19"/>
      <c r="BKZ47" s="19"/>
      <c r="BLA47" s="19"/>
      <c r="BLB47" s="19"/>
      <c r="BLC47" s="19"/>
      <c r="BLD47" s="19"/>
      <c r="BLE47" s="19"/>
      <c r="BLF47" s="19"/>
      <c r="BLG47" s="19"/>
      <c r="BLH47" s="19"/>
      <c r="BLI47" s="19"/>
      <c r="BLJ47" s="19"/>
      <c r="BLK47" s="19"/>
      <c r="BLL47" s="19"/>
      <c r="BLM47" s="19"/>
      <c r="BLN47" s="19"/>
      <c r="BLO47" s="19"/>
      <c r="BLP47" s="19"/>
      <c r="BLQ47" s="19"/>
      <c r="BLR47" s="19"/>
      <c r="BLS47" s="19"/>
      <c r="BLT47" s="19"/>
      <c r="BLU47" s="19"/>
      <c r="BLV47" s="19"/>
      <c r="BLW47" s="19"/>
      <c r="BLX47" s="19"/>
      <c r="BLY47" s="19"/>
      <c r="BLZ47" s="19"/>
      <c r="BMA47" s="19"/>
      <c r="BMB47" s="19"/>
      <c r="BMC47" s="19"/>
      <c r="BMD47" s="19"/>
      <c r="BME47" s="19"/>
      <c r="BMF47" s="19"/>
      <c r="BMG47" s="19"/>
      <c r="BMH47" s="19"/>
      <c r="BMI47" s="19"/>
      <c r="BMJ47" s="19"/>
      <c r="BMK47" s="19"/>
      <c r="BML47" s="19"/>
      <c r="BMM47" s="19"/>
      <c r="BMN47" s="19"/>
      <c r="BMO47" s="19"/>
      <c r="BMP47" s="19"/>
      <c r="BMQ47" s="19"/>
      <c r="BMR47" s="19"/>
      <c r="BMS47" s="19"/>
      <c r="BMT47" s="19"/>
      <c r="BMU47" s="19"/>
      <c r="BMV47" s="19"/>
      <c r="BMW47" s="19"/>
      <c r="BMX47" s="19"/>
      <c r="BMY47" s="19"/>
      <c r="BMZ47" s="19"/>
      <c r="BNA47" s="19"/>
      <c r="BNB47" s="19"/>
      <c r="BNC47" s="19"/>
      <c r="BND47" s="19"/>
      <c r="BNE47" s="19"/>
      <c r="BNF47" s="19"/>
      <c r="BNG47" s="19"/>
      <c r="BNH47" s="19"/>
      <c r="BNI47" s="19"/>
      <c r="BNJ47" s="19"/>
      <c r="BNK47" s="19"/>
      <c r="BNL47" s="19"/>
      <c r="BNM47" s="19"/>
      <c r="BNN47" s="19"/>
      <c r="BNO47" s="19"/>
      <c r="BNP47" s="19"/>
      <c r="BNQ47" s="19"/>
      <c r="BNR47" s="19"/>
      <c r="BNS47" s="19"/>
      <c r="BNT47" s="19"/>
      <c r="BNU47" s="19"/>
      <c r="BNV47" s="19"/>
      <c r="BNW47" s="19"/>
      <c r="BNX47" s="19"/>
      <c r="BNY47" s="19"/>
      <c r="BNZ47" s="19"/>
      <c r="BOA47" s="19"/>
      <c r="BOB47" s="19"/>
      <c r="BOC47" s="19"/>
      <c r="BOD47" s="19"/>
      <c r="BOE47" s="19"/>
      <c r="BOF47" s="19"/>
      <c r="BOG47" s="19"/>
      <c r="BOH47" s="19"/>
      <c r="BOI47" s="19"/>
      <c r="BOJ47" s="19"/>
      <c r="BOK47" s="19"/>
      <c r="BOL47" s="19"/>
      <c r="BOM47" s="19"/>
      <c r="BON47" s="19"/>
      <c r="BOO47" s="19"/>
      <c r="BOP47" s="19"/>
      <c r="BOQ47" s="19"/>
      <c r="BOR47" s="19"/>
      <c r="BOS47" s="19"/>
      <c r="BOT47" s="19"/>
      <c r="BOU47" s="19"/>
      <c r="BOV47" s="19"/>
      <c r="BOW47" s="19"/>
      <c r="BOX47" s="19"/>
      <c r="BOY47" s="19"/>
      <c r="BOZ47" s="19"/>
      <c r="BPA47" s="19"/>
      <c r="BPB47" s="19"/>
      <c r="BPC47" s="19"/>
      <c r="BPD47" s="19"/>
      <c r="BPE47" s="19"/>
      <c r="BPF47" s="19"/>
      <c r="BPG47" s="19"/>
      <c r="BPH47" s="19"/>
      <c r="BPI47" s="19"/>
      <c r="BPJ47" s="19"/>
      <c r="BPK47" s="19"/>
      <c r="BPL47" s="19"/>
      <c r="BPM47" s="19"/>
      <c r="BPN47" s="19"/>
      <c r="BPO47" s="19"/>
      <c r="BPP47" s="19"/>
      <c r="BPQ47" s="19"/>
      <c r="BPR47" s="19"/>
      <c r="BPS47" s="19"/>
      <c r="BPT47" s="19"/>
      <c r="BPU47" s="19"/>
      <c r="BPV47" s="19"/>
      <c r="BPW47" s="19"/>
      <c r="BPX47" s="19"/>
      <c r="BPY47" s="19"/>
      <c r="BPZ47" s="19"/>
      <c r="BQA47" s="19"/>
      <c r="BQB47" s="19"/>
      <c r="BQC47" s="19"/>
      <c r="BQD47" s="19"/>
      <c r="BQE47" s="19"/>
      <c r="BQF47" s="19"/>
      <c r="BQG47" s="19"/>
      <c r="BQH47" s="19"/>
      <c r="BQI47" s="19"/>
      <c r="BQJ47" s="19"/>
      <c r="BQK47" s="19"/>
      <c r="BQL47" s="19"/>
      <c r="BQM47" s="19"/>
      <c r="BQN47" s="19"/>
      <c r="BQO47" s="19"/>
      <c r="BQP47" s="19"/>
      <c r="BQQ47" s="19"/>
      <c r="BQR47" s="19"/>
      <c r="BQS47" s="19"/>
      <c r="BQT47" s="19"/>
      <c r="BQU47" s="19"/>
      <c r="BQV47" s="19"/>
      <c r="BQW47" s="19"/>
      <c r="BQX47" s="19"/>
      <c r="BQY47" s="19"/>
      <c r="BQZ47" s="19"/>
      <c r="BRA47" s="19"/>
      <c r="BRB47" s="19"/>
      <c r="BRC47" s="19"/>
      <c r="BRD47" s="19"/>
      <c r="BRE47" s="19"/>
      <c r="BRF47" s="19"/>
      <c r="BRG47" s="19"/>
      <c r="BRH47" s="19"/>
      <c r="BRI47" s="19"/>
      <c r="BRJ47" s="19"/>
      <c r="BRK47" s="19"/>
      <c r="BRL47" s="19"/>
      <c r="BRM47" s="19"/>
      <c r="BRN47" s="19"/>
      <c r="BRO47" s="19"/>
      <c r="BRP47" s="19"/>
      <c r="BRQ47" s="19"/>
      <c r="BRR47" s="19"/>
      <c r="BRS47" s="19"/>
      <c r="BRT47" s="19"/>
      <c r="BRU47" s="19"/>
      <c r="BRV47" s="19"/>
      <c r="BRW47" s="19"/>
      <c r="BRX47" s="19"/>
      <c r="BRY47" s="19"/>
      <c r="BRZ47" s="19"/>
      <c r="BSA47" s="19"/>
      <c r="BSB47" s="19"/>
      <c r="BSC47" s="19"/>
      <c r="BSD47" s="19"/>
      <c r="BSE47" s="19"/>
      <c r="BSF47" s="19"/>
      <c r="BSG47" s="19"/>
      <c r="BSH47" s="19"/>
      <c r="BSI47" s="19"/>
      <c r="BSJ47" s="19"/>
      <c r="BSK47" s="19"/>
      <c r="BSL47" s="19"/>
      <c r="BSM47" s="19"/>
      <c r="BSN47" s="19"/>
      <c r="BSO47" s="19"/>
      <c r="BSP47" s="19"/>
      <c r="BSQ47" s="19"/>
      <c r="BSR47" s="19"/>
      <c r="BSS47" s="19"/>
      <c r="BST47" s="19"/>
      <c r="BSU47" s="19"/>
      <c r="BSV47" s="19"/>
      <c r="BSW47" s="19"/>
      <c r="BSX47" s="19"/>
      <c r="BSY47" s="19"/>
      <c r="BSZ47" s="19"/>
      <c r="BTA47" s="19"/>
      <c r="BTB47" s="19"/>
      <c r="BTC47" s="19"/>
      <c r="BTD47" s="19"/>
      <c r="BTE47" s="19"/>
      <c r="BTF47" s="19"/>
      <c r="BTG47" s="19"/>
      <c r="BTH47" s="19"/>
      <c r="BTI47" s="19"/>
      <c r="BTJ47" s="19"/>
      <c r="BTK47" s="19"/>
      <c r="BTL47" s="19"/>
      <c r="BTM47" s="19"/>
      <c r="BTN47" s="19"/>
      <c r="BTO47" s="19"/>
      <c r="BTP47" s="19"/>
      <c r="BTQ47" s="19"/>
      <c r="BTR47" s="19"/>
      <c r="BTS47" s="19"/>
      <c r="BTT47" s="19"/>
      <c r="BTU47" s="19"/>
      <c r="BTV47" s="19"/>
      <c r="BTW47" s="19"/>
      <c r="BTX47" s="19"/>
      <c r="BTY47" s="19"/>
      <c r="BTZ47" s="19"/>
      <c r="BUA47" s="19"/>
      <c r="BUB47" s="19"/>
      <c r="BUC47" s="19"/>
      <c r="BUD47" s="19"/>
      <c r="BUE47" s="19"/>
      <c r="BUF47" s="19"/>
      <c r="BUG47" s="19"/>
      <c r="BUH47" s="19"/>
      <c r="BUI47" s="19"/>
      <c r="BUJ47" s="19"/>
      <c r="BUK47" s="19"/>
      <c r="BUL47" s="19"/>
      <c r="BUM47" s="19"/>
      <c r="BUN47" s="19"/>
      <c r="BUO47" s="19"/>
      <c r="BUP47" s="19"/>
      <c r="BUQ47" s="19"/>
      <c r="BUR47" s="19"/>
      <c r="BUS47" s="19"/>
      <c r="BUT47" s="19"/>
      <c r="BUU47" s="19"/>
      <c r="BUV47" s="19"/>
      <c r="BUW47" s="19"/>
      <c r="BUX47" s="19"/>
      <c r="BUY47" s="19"/>
      <c r="BUZ47" s="19"/>
      <c r="BVA47" s="19"/>
      <c r="BVB47" s="19"/>
      <c r="BVC47" s="19"/>
      <c r="BVD47" s="19"/>
      <c r="BVE47" s="19"/>
      <c r="BVF47" s="19"/>
      <c r="BVG47" s="19"/>
      <c r="BVH47" s="19"/>
      <c r="BVI47" s="19"/>
      <c r="BVJ47" s="19"/>
      <c r="BVK47" s="19"/>
      <c r="BVL47" s="19"/>
      <c r="BVM47" s="19"/>
      <c r="BVN47" s="19"/>
      <c r="BVO47" s="19"/>
      <c r="BVP47" s="19"/>
      <c r="BVQ47" s="19"/>
      <c r="BVR47" s="19"/>
      <c r="BVS47" s="19"/>
      <c r="BVT47" s="19"/>
      <c r="BVU47" s="19"/>
      <c r="BVV47" s="19"/>
      <c r="BVW47" s="19"/>
      <c r="BVX47" s="19"/>
      <c r="BVY47" s="19"/>
      <c r="BVZ47" s="19"/>
      <c r="BWA47" s="19"/>
      <c r="BWB47" s="19"/>
      <c r="BWC47" s="19"/>
      <c r="BWD47" s="19"/>
      <c r="BWE47" s="19"/>
      <c r="BWF47" s="19"/>
      <c r="BWG47" s="19"/>
      <c r="BWH47" s="19"/>
      <c r="BWI47" s="19"/>
      <c r="BWJ47" s="19"/>
      <c r="BWK47" s="19"/>
      <c r="BWL47" s="19"/>
      <c r="BWM47" s="19"/>
      <c r="BWN47" s="19"/>
      <c r="BWO47" s="19"/>
      <c r="BWP47" s="19"/>
      <c r="BWQ47" s="19"/>
      <c r="BWR47" s="19"/>
      <c r="BWS47" s="19"/>
      <c r="BWT47" s="19"/>
      <c r="BWU47" s="19"/>
      <c r="BWV47" s="19"/>
      <c r="BWW47" s="19"/>
      <c r="BWX47" s="19"/>
      <c r="BWY47" s="19"/>
      <c r="BWZ47" s="19"/>
      <c r="BXA47" s="19"/>
      <c r="BXB47" s="19"/>
      <c r="BXC47" s="19"/>
      <c r="BXD47" s="19"/>
      <c r="BXE47" s="19"/>
      <c r="BXF47" s="19"/>
      <c r="BXG47" s="19"/>
      <c r="BXH47" s="19"/>
      <c r="BXI47" s="19"/>
      <c r="BXJ47" s="19"/>
      <c r="BXK47" s="19"/>
      <c r="BXL47" s="19"/>
      <c r="BXM47" s="19"/>
      <c r="BXN47" s="19"/>
      <c r="BXO47" s="19"/>
      <c r="BXP47" s="19"/>
      <c r="BXQ47" s="19"/>
      <c r="BXR47" s="19"/>
      <c r="BXS47" s="19"/>
      <c r="BXT47" s="19"/>
      <c r="BXU47" s="19"/>
      <c r="BXV47" s="19"/>
      <c r="BXW47" s="19"/>
      <c r="BXX47" s="19"/>
      <c r="BXY47" s="19"/>
      <c r="BXZ47" s="19"/>
      <c r="BYA47" s="19"/>
      <c r="BYB47" s="19"/>
      <c r="BYC47" s="19"/>
      <c r="BYD47" s="19"/>
      <c r="BYE47" s="19"/>
      <c r="BYF47" s="19"/>
      <c r="BYG47" s="19"/>
      <c r="BYH47" s="19"/>
      <c r="BYI47" s="19"/>
      <c r="BYJ47" s="19"/>
      <c r="BYK47" s="19"/>
      <c r="BYL47" s="19"/>
      <c r="BYM47" s="19"/>
      <c r="BYN47" s="19"/>
      <c r="BYO47" s="19"/>
      <c r="BYP47" s="19"/>
      <c r="BYQ47" s="19"/>
      <c r="BYR47" s="19"/>
      <c r="BYS47" s="19"/>
      <c r="BYT47" s="19"/>
      <c r="BYU47" s="19"/>
      <c r="BYV47" s="19"/>
      <c r="BYW47" s="19"/>
      <c r="BYX47" s="19"/>
      <c r="BYY47" s="19"/>
      <c r="BYZ47" s="19"/>
      <c r="BZA47" s="19"/>
      <c r="BZB47" s="19"/>
      <c r="BZC47" s="19"/>
      <c r="BZD47" s="19"/>
      <c r="BZE47" s="19"/>
      <c r="BZF47" s="19"/>
      <c r="BZG47" s="19"/>
      <c r="BZH47" s="19"/>
      <c r="BZI47" s="19"/>
      <c r="BZJ47" s="19"/>
      <c r="BZK47" s="19"/>
      <c r="BZL47" s="19"/>
      <c r="BZM47" s="19"/>
      <c r="BZN47" s="19"/>
      <c r="BZO47" s="19"/>
      <c r="BZP47" s="19"/>
      <c r="BZQ47" s="19"/>
      <c r="BZR47" s="19"/>
      <c r="BZS47" s="19"/>
      <c r="BZT47" s="19"/>
      <c r="BZU47" s="19"/>
      <c r="BZV47" s="19"/>
      <c r="BZW47" s="19"/>
      <c r="BZX47" s="19"/>
      <c r="BZY47" s="19"/>
      <c r="BZZ47" s="19"/>
      <c r="CAA47" s="19"/>
      <c r="CAB47" s="19"/>
      <c r="CAC47" s="19"/>
      <c r="CAD47" s="19"/>
      <c r="CAE47" s="19"/>
      <c r="CAF47" s="19"/>
      <c r="CAG47" s="19"/>
      <c r="CAH47" s="19"/>
      <c r="CAI47" s="19"/>
      <c r="CAJ47" s="19"/>
      <c r="CAK47" s="19"/>
      <c r="CAL47" s="19"/>
      <c r="CAM47" s="19"/>
      <c r="CAN47" s="19"/>
      <c r="CAO47" s="19"/>
      <c r="CAP47" s="19"/>
      <c r="CAQ47" s="19"/>
      <c r="CAR47" s="19"/>
      <c r="CAS47" s="19"/>
      <c r="CAT47" s="19"/>
      <c r="CAU47" s="19"/>
      <c r="CAV47" s="19"/>
      <c r="CAW47" s="19"/>
      <c r="CAX47" s="19"/>
      <c r="CAY47" s="19"/>
      <c r="CAZ47" s="19"/>
      <c r="CBA47" s="19"/>
      <c r="CBB47" s="19"/>
      <c r="CBC47" s="19"/>
      <c r="CBD47" s="19"/>
      <c r="CBE47" s="19"/>
      <c r="CBF47" s="19"/>
      <c r="CBG47" s="19"/>
      <c r="CBH47" s="19"/>
      <c r="CBI47" s="19"/>
      <c r="CBJ47" s="19"/>
      <c r="CBK47" s="19"/>
      <c r="CBL47" s="19"/>
      <c r="CBM47" s="19"/>
      <c r="CBN47" s="19"/>
      <c r="CBO47" s="19"/>
      <c r="CBP47" s="19"/>
      <c r="CBQ47" s="19"/>
      <c r="CBR47" s="19"/>
      <c r="CBS47" s="19"/>
      <c r="CBT47" s="19"/>
      <c r="CBU47" s="19"/>
      <c r="CBV47" s="19"/>
      <c r="CBW47" s="19"/>
      <c r="CBX47" s="19"/>
      <c r="CBY47" s="19"/>
      <c r="CBZ47" s="19"/>
      <c r="CCA47" s="19"/>
      <c r="CCB47" s="19"/>
      <c r="CCC47" s="19"/>
      <c r="CCD47" s="19"/>
      <c r="CCE47" s="19"/>
      <c r="CCF47" s="19"/>
      <c r="CCG47" s="19"/>
      <c r="CCH47" s="19"/>
      <c r="CCI47" s="19"/>
      <c r="CCJ47" s="19"/>
      <c r="CCK47" s="19"/>
      <c r="CCL47" s="19"/>
      <c r="CCM47" s="19"/>
      <c r="CCN47" s="19"/>
      <c r="CCO47" s="19"/>
      <c r="CCP47" s="19"/>
      <c r="CCQ47" s="19"/>
      <c r="CCR47" s="19"/>
      <c r="CCS47" s="19"/>
      <c r="CCT47" s="19"/>
      <c r="CCU47" s="19"/>
      <c r="CCV47" s="19"/>
      <c r="CCW47" s="19"/>
      <c r="CCX47" s="19"/>
      <c r="CCY47" s="19"/>
      <c r="CCZ47" s="19"/>
      <c r="CDA47" s="19"/>
      <c r="CDB47" s="19"/>
      <c r="CDC47" s="19"/>
      <c r="CDD47" s="19"/>
      <c r="CDE47" s="19"/>
      <c r="CDF47" s="19"/>
      <c r="CDG47" s="19"/>
      <c r="CDH47" s="19"/>
      <c r="CDI47" s="19"/>
      <c r="CDJ47" s="19"/>
      <c r="CDK47" s="19"/>
      <c r="CDL47" s="19"/>
      <c r="CDM47" s="19"/>
      <c r="CDN47" s="19"/>
      <c r="CDO47" s="19"/>
      <c r="CDP47" s="19"/>
      <c r="CDQ47" s="19"/>
      <c r="CDR47" s="19"/>
      <c r="CDS47" s="19"/>
      <c r="CDT47" s="19"/>
      <c r="CDU47" s="19"/>
      <c r="CDV47" s="19"/>
      <c r="CDW47" s="19"/>
      <c r="CDX47" s="19"/>
      <c r="CDY47" s="19"/>
      <c r="CDZ47" s="19"/>
      <c r="CEA47" s="19"/>
      <c r="CEB47" s="19"/>
      <c r="CEC47" s="19"/>
      <c r="CED47" s="19"/>
      <c r="CEE47" s="19"/>
      <c r="CEF47" s="19"/>
      <c r="CEG47" s="19"/>
      <c r="CEH47" s="19"/>
      <c r="CEI47" s="19"/>
      <c r="CEJ47" s="19"/>
      <c r="CEK47" s="19"/>
      <c r="CEL47" s="19"/>
      <c r="CEM47" s="19"/>
      <c r="CEN47" s="19"/>
      <c r="CEO47" s="19"/>
      <c r="CEP47" s="19"/>
      <c r="CEQ47" s="19"/>
      <c r="CER47" s="19"/>
      <c r="CES47" s="19"/>
      <c r="CET47" s="19"/>
      <c r="CEU47" s="19"/>
      <c r="CEV47" s="19"/>
      <c r="CEW47" s="19"/>
      <c r="CEX47" s="19"/>
      <c r="CEY47" s="19"/>
      <c r="CEZ47" s="19"/>
      <c r="CFA47" s="19"/>
      <c r="CFB47" s="19"/>
      <c r="CFC47" s="19"/>
      <c r="CFD47" s="19"/>
      <c r="CFE47" s="19"/>
      <c r="CFF47" s="19"/>
      <c r="CFG47" s="19"/>
      <c r="CFH47" s="19"/>
      <c r="CFI47" s="19"/>
      <c r="CFJ47" s="19"/>
      <c r="CFK47" s="19"/>
      <c r="CFL47" s="19"/>
      <c r="CFM47" s="19"/>
      <c r="CFN47" s="19"/>
      <c r="CFO47" s="19"/>
      <c r="CFP47" s="19"/>
      <c r="CFQ47" s="19"/>
      <c r="CFR47" s="19"/>
      <c r="CFS47" s="19"/>
      <c r="CFT47" s="19"/>
      <c r="CFU47" s="19"/>
      <c r="CFV47" s="19"/>
      <c r="CFW47" s="19"/>
      <c r="CFX47" s="19"/>
      <c r="CFY47" s="19"/>
      <c r="CFZ47" s="19"/>
      <c r="CGA47" s="19"/>
      <c r="CGB47" s="19"/>
      <c r="CGC47" s="19"/>
      <c r="CGD47" s="19"/>
      <c r="CGE47" s="19"/>
      <c r="CGF47" s="19"/>
      <c r="CGG47" s="19"/>
      <c r="CGH47" s="19"/>
      <c r="CGI47" s="19"/>
      <c r="CGJ47" s="19"/>
      <c r="CGK47" s="19"/>
      <c r="CGL47" s="19"/>
      <c r="CGM47" s="19"/>
      <c r="CGN47" s="19"/>
      <c r="CGO47" s="19"/>
      <c r="CGP47" s="19"/>
      <c r="CGQ47" s="19"/>
      <c r="CGR47" s="19"/>
      <c r="CGS47" s="19"/>
      <c r="CGT47" s="19"/>
      <c r="CGU47" s="19"/>
      <c r="CGV47" s="19"/>
      <c r="CGW47" s="19"/>
      <c r="CGX47" s="19"/>
      <c r="CGY47" s="19"/>
      <c r="CGZ47" s="19"/>
      <c r="CHA47" s="19"/>
      <c r="CHB47" s="19"/>
      <c r="CHC47" s="19"/>
      <c r="CHD47" s="19"/>
      <c r="CHE47" s="19"/>
      <c r="CHF47" s="19"/>
      <c r="CHG47" s="19"/>
      <c r="CHH47" s="19"/>
      <c r="CHI47" s="19"/>
      <c r="CHJ47" s="19"/>
      <c r="CHK47" s="19"/>
      <c r="CHL47" s="19"/>
      <c r="CHM47" s="19"/>
      <c r="CHN47" s="19"/>
      <c r="CHO47" s="19"/>
      <c r="CHP47" s="19"/>
      <c r="CHQ47" s="19"/>
      <c r="CHR47" s="19"/>
      <c r="CHS47" s="19"/>
      <c r="CHT47" s="19"/>
      <c r="CHU47" s="19"/>
      <c r="CHV47" s="19"/>
      <c r="CHW47" s="19"/>
      <c r="CHX47" s="19"/>
      <c r="CHY47" s="19"/>
      <c r="CHZ47" s="19"/>
      <c r="CIA47" s="19"/>
      <c r="CIB47" s="19"/>
      <c r="CIC47" s="19"/>
      <c r="CID47" s="19"/>
      <c r="CIE47" s="19"/>
      <c r="CIF47" s="19"/>
      <c r="CIG47" s="19"/>
      <c r="CIH47" s="19"/>
      <c r="CII47" s="19"/>
      <c r="CIJ47" s="19"/>
      <c r="CIK47" s="19"/>
      <c r="CIL47" s="19"/>
      <c r="CIM47" s="19"/>
      <c r="CIN47" s="19"/>
      <c r="CIO47" s="19"/>
      <c r="CIP47" s="19"/>
      <c r="CIQ47" s="19"/>
      <c r="CIR47" s="19"/>
      <c r="CIS47" s="19"/>
      <c r="CIT47" s="19"/>
      <c r="CIU47" s="19"/>
      <c r="CIV47" s="19"/>
      <c r="CIW47" s="19"/>
      <c r="CIX47" s="19"/>
      <c r="CIY47" s="19"/>
      <c r="CIZ47" s="19"/>
      <c r="CJA47" s="19"/>
      <c r="CJB47" s="19"/>
      <c r="CJC47" s="19"/>
      <c r="CJD47" s="19"/>
      <c r="CJE47" s="19"/>
      <c r="CJF47" s="19"/>
      <c r="CJG47" s="19"/>
      <c r="CJH47" s="19"/>
      <c r="CJI47" s="19"/>
      <c r="CJJ47" s="19"/>
      <c r="CJK47" s="19"/>
      <c r="CJL47" s="19"/>
      <c r="CJM47" s="19"/>
      <c r="CJN47" s="19"/>
      <c r="CJO47" s="19"/>
      <c r="CJP47" s="19"/>
      <c r="CJQ47" s="19"/>
      <c r="CJR47" s="19"/>
      <c r="CJS47" s="19"/>
      <c r="CJT47" s="19"/>
      <c r="CJU47" s="19"/>
      <c r="CJV47" s="19"/>
      <c r="CJW47" s="19"/>
      <c r="CJX47" s="19"/>
      <c r="CJY47" s="19"/>
      <c r="CJZ47" s="19"/>
      <c r="CKA47" s="19"/>
      <c r="CKB47" s="19"/>
      <c r="CKC47" s="19"/>
      <c r="CKD47" s="19"/>
      <c r="CKE47" s="19"/>
      <c r="CKF47" s="19"/>
      <c r="CKG47" s="19"/>
      <c r="CKH47" s="19"/>
      <c r="CKI47" s="19"/>
      <c r="CKJ47" s="19"/>
      <c r="CKK47" s="19"/>
      <c r="CKL47" s="19"/>
      <c r="CKM47" s="19"/>
      <c r="CKN47" s="19"/>
      <c r="CKO47" s="19"/>
      <c r="CKP47" s="19"/>
      <c r="CKQ47" s="19"/>
      <c r="CKR47" s="19"/>
      <c r="CKS47" s="19"/>
      <c r="CKT47" s="19"/>
      <c r="CKU47" s="19"/>
      <c r="CKV47" s="19"/>
      <c r="CKW47" s="19"/>
      <c r="CKX47" s="19"/>
      <c r="CKY47" s="19"/>
      <c r="CKZ47" s="19"/>
      <c r="CLA47" s="19"/>
      <c r="CLB47" s="19"/>
      <c r="CLC47" s="19"/>
      <c r="CLD47" s="19"/>
      <c r="CLE47" s="19"/>
      <c r="CLF47" s="19"/>
      <c r="CLG47" s="19"/>
      <c r="CLH47" s="19"/>
      <c r="CLI47" s="19"/>
      <c r="CLJ47" s="19"/>
      <c r="CLK47" s="19"/>
      <c r="CLL47" s="19"/>
      <c r="CLM47" s="19"/>
      <c r="CLN47" s="19"/>
      <c r="CLO47" s="19"/>
      <c r="CLP47" s="19"/>
      <c r="CLQ47" s="19"/>
      <c r="CLR47" s="19"/>
      <c r="CLS47" s="19"/>
      <c r="CLT47" s="19"/>
      <c r="CLU47" s="19"/>
      <c r="CLV47" s="19"/>
      <c r="CLW47" s="19"/>
      <c r="CLX47" s="19"/>
      <c r="CLY47" s="19"/>
      <c r="CLZ47" s="19"/>
      <c r="CMA47" s="19"/>
      <c r="CMB47" s="19"/>
      <c r="CMC47" s="19"/>
      <c r="CMD47" s="19"/>
      <c r="CME47" s="19"/>
      <c r="CMF47" s="19"/>
      <c r="CMG47" s="19"/>
      <c r="CMH47" s="19"/>
      <c r="CMI47" s="19"/>
      <c r="CMJ47" s="19"/>
      <c r="CMK47" s="19"/>
      <c r="CML47" s="19"/>
      <c r="CMM47" s="19"/>
      <c r="CMN47" s="19"/>
      <c r="CMO47" s="19"/>
      <c r="CMP47" s="19"/>
      <c r="CMQ47" s="19"/>
      <c r="CMR47" s="19"/>
      <c r="CMS47" s="19"/>
      <c r="CMT47" s="19"/>
      <c r="CMU47" s="19"/>
      <c r="CMV47" s="19"/>
      <c r="CMW47" s="19"/>
      <c r="CMX47" s="19"/>
      <c r="CMY47" s="19"/>
      <c r="CMZ47" s="19"/>
      <c r="CNA47" s="19"/>
      <c r="CNB47" s="19"/>
      <c r="CNC47" s="19"/>
      <c r="CND47" s="19"/>
      <c r="CNE47" s="19"/>
      <c r="CNF47" s="19"/>
      <c r="CNG47" s="19"/>
      <c r="CNH47" s="19"/>
      <c r="CNI47" s="19"/>
      <c r="CNJ47" s="19"/>
      <c r="CNK47" s="19"/>
      <c r="CNL47" s="19"/>
      <c r="CNM47" s="19"/>
      <c r="CNN47" s="19"/>
      <c r="CNO47" s="19"/>
      <c r="CNP47" s="19"/>
      <c r="CNQ47" s="19"/>
      <c r="CNR47" s="19"/>
      <c r="CNS47" s="19"/>
      <c r="CNT47" s="19"/>
      <c r="CNU47" s="19"/>
      <c r="CNV47" s="19"/>
      <c r="CNW47" s="19"/>
      <c r="CNX47" s="19"/>
      <c r="CNY47" s="19"/>
      <c r="CNZ47" s="19"/>
      <c r="COA47" s="19"/>
      <c r="COB47" s="19"/>
      <c r="COC47" s="19"/>
      <c r="COD47" s="19"/>
      <c r="COE47" s="19"/>
      <c r="COF47" s="19"/>
      <c r="COG47" s="19"/>
      <c r="COH47" s="19"/>
      <c r="COI47" s="19"/>
      <c r="COJ47" s="19"/>
      <c r="COK47" s="19"/>
      <c r="COL47" s="19"/>
      <c r="COM47" s="19"/>
      <c r="CON47" s="19"/>
      <c r="COO47" s="19"/>
      <c r="COP47" s="19"/>
      <c r="COQ47" s="19"/>
      <c r="COR47" s="19"/>
      <c r="COS47" s="19"/>
      <c r="COT47" s="19"/>
      <c r="COU47" s="19"/>
      <c r="COV47" s="19"/>
      <c r="COW47" s="19"/>
      <c r="COX47" s="19"/>
      <c r="COY47" s="19"/>
      <c r="COZ47" s="19"/>
      <c r="CPA47" s="19"/>
      <c r="CPB47" s="19"/>
      <c r="CPC47" s="19"/>
      <c r="CPD47" s="19"/>
      <c r="CPE47" s="19"/>
      <c r="CPF47" s="19"/>
      <c r="CPG47" s="19"/>
      <c r="CPH47" s="19"/>
      <c r="CPI47" s="19"/>
      <c r="CPJ47" s="19"/>
      <c r="CPK47" s="19"/>
      <c r="CPL47" s="19"/>
      <c r="CPM47" s="19"/>
      <c r="CPN47" s="19"/>
      <c r="CPO47" s="19"/>
      <c r="CPP47" s="19"/>
      <c r="CPQ47" s="19"/>
      <c r="CPR47" s="19"/>
      <c r="CPS47" s="19"/>
      <c r="CPT47" s="19"/>
      <c r="CPU47" s="19"/>
      <c r="CPV47" s="19"/>
      <c r="CPW47" s="19"/>
      <c r="CPX47" s="19"/>
      <c r="CPY47" s="19"/>
      <c r="CPZ47" s="19"/>
      <c r="CQA47" s="19"/>
      <c r="CQB47" s="19"/>
      <c r="CQC47" s="19"/>
      <c r="CQD47" s="19"/>
      <c r="CQE47" s="19"/>
      <c r="CQF47" s="19"/>
      <c r="CQG47" s="19"/>
      <c r="CQH47" s="19"/>
      <c r="CQI47" s="19"/>
      <c r="CQJ47" s="19"/>
      <c r="CQK47" s="19"/>
      <c r="CQL47" s="19"/>
      <c r="CQM47" s="19"/>
      <c r="CQN47" s="19"/>
      <c r="CQO47" s="19"/>
      <c r="CQP47" s="19"/>
      <c r="CQQ47" s="19"/>
      <c r="CQR47" s="19"/>
      <c r="CQS47" s="19"/>
      <c r="CQT47" s="19"/>
      <c r="CQU47" s="19"/>
      <c r="CQV47" s="19"/>
      <c r="CQW47" s="19"/>
      <c r="CQX47" s="19"/>
      <c r="CQY47" s="19"/>
      <c r="CQZ47" s="19"/>
      <c r="CRA47" s="19"/>
      <c r="CRB47" s="19"/>
      <c r="CRC47" s="19"/>
      <c r="CRD47" s="19"/>
      <c r="CRE47" s="19"/>
      <c r="CRF47" s="19"/>
      <c r="CRG47" s="19"/>
      <c r="CRH47" s="19"/>
      <c r="CRI47" s="19"/>
      <c r="CRJ47" s="19"/>
      <c r="CRK47" s="19"/>
      <c r="CRL47" s="19"/>
      <c r="CRM47" s="19"/>
      <c r="CRN47" s="19"/>
      <c r="CRO47" s="19"/>
      <c r="CRP47" s="19"/>
      <c r="CRQ47" s="19"/>
      <c r="CRR47" s="19"/>
      <c r="CRS47" s="19"/>
      <c r="CRT47" s="19"/>
      <c r="CRU47" s="19"/>
      <c r="CRV47" s="19"/>
      <c r="CRW47" s="19"/>
      <c r="CRX47" s="19"/>
      <c r="CRY47" s="19"/>
      <c r="CRZ47" s="19"/>
      <c r="CSA47" s="19"/>
      <c r="CSB47" s="19"/>
      <c r="CSC47" s="19"/>
      <c r="CSD47" s="19"/>
      <c r="CSE47" s="19"/>
      <c r="CSF47" s="19"/>
      <c r="CSG47" s="19"/>
      <c r="CSH47" s="19"/>
      <c r="CSI47" s="19"/>
      <c r="CSJ47" s="19"/>
      <c r="CSK47" s="19"/>
      <c r="CSL47" s="19"/>
      <c r="CSM47" s="19"/>
      <c r="CSN47" s="19"/>
      <c r="CSO47" s="19"/>
      <c r="CSP47" s="19"/>
      <c r="CSQ47" s="19"/>
      <c r="CSR47" s="19"/>
      <c r="CSS47" s="19"/>
      <c r="CST47" s="19"/>
      <c r="CSU47" s="19"/>
      <c r="CSV47" s="19"/>
      <c r="CSW47" s="19"/>
      <c r="CSX47" s="19"/>
      <c r="CSY47" s="19"/>
      <c r="CSZ47" s="19"/>
      <c r="CTA47" s="19"/>
      <c r="CTB47" s="19"/>
      <c r="CTC47" s="19"/>
      <c r="CTD47" s="19"/>
      <c r="CTE47" s="19"/>
      <c r="CTF47" s="19"/>
      <c r="CTG47" s="19"/>
      <c r="CTH47" s="19"/>
      <c r="CTI47" s="19"/>
      <c r="CTJ47" s="19"/>
      <c r="CTK47" s="19"/>
      <c r="CTL47" s="19"/>
      <c r="CTM47" s="19"/>
      <c r="CTN47" s="19"/>
      <c r="CTO47" s="19"/>
      <c r="CTP47" s="19"/>
      <c r="CTQ47" s="19"/>
      <c r="CTR47" s="19"/>
      <c r="CTS47" s="19"/>
      <c r="CTT47" s="19"/>
      <c r="CTU47" s="19"/>
      <c r="CTV47" s="19"/>
      <c r="CTW47" s="19"/>
      <c r="CTX47" s="19"/>
      <c r="CTY47" s="19"/>
      <c r="CTZ47" s="19"/>
      <c r="CUA47" s="19"/>
      <c r="CUB47" s="19"/>
      <c r="CUC47" s="19"/>
      <c r="CUD47" s="19"/>
      <c r="CUE47" s="19"/>
      <c r="CUF47" s="19"/>
      <c r="CUG47" s="19"/>
      <c r="CUH47" s="19"/>
      <c r="CUI47" s="19"/>
      <c r="CUJ47" s="19"/>
      <c r="CUK47" s="19"/>
      <c r="CUL47" s="19"/>
      <c r="CUM47" s="19"/>
      <c r="CUN47" s="19"/>
      <c r="CUO47" s="19"/>
      <c r="CUP47" s="19"/>
      <c r="CUQ47" s="19"/>
      <c r="CUR47" s="19"/>
      <c r="CUS47" s="19"/>
      <c r="CUT47" s="19"/>
      <c r="CUU47" s="19"/>
      <c r="CUV47" s="19"/>
      <c r="CUW47" s="19"/>
      <c r="CUX47" s="19"/>
      <c r="CUY47" s="19"/>
      <c r="CUZ47" s="19"/>
      <c r="CVA47" s="19"/>
      <c r="CVB47" s="19"/>
      <c r="CVC47" s="19"/>
      <c r="CVD47" s="19"/>
      <c r="CVE47" s="19"/>
      <c r="CVF47" s="19"/>
      <c r="CVG47" s="19"/>
      <c r="CVH47" s="19"/>
      <c r="CVI47" s="19"/>
      <c r="CVJ47" s="19"/>
      <c r="CVK47" s="19"/>
      <c r="CVL47" s="19"/>
      <c r="CVM47" s="19"/>
      <c r="CVN47" s="19"/>
      <c r="CVO47" s="19"/>
      <c r="CVP47" s="19"/>
      <c r="CVQ47" s="19"/>
      <c r="CVR47" s="19"/>
      <c r="CVS47" s="19"/>
      <c r="CVT47" s="19"/>
      <c r="CVU47" s="19"/>
      <c r="CVV47" s="19"/>
      <c r="CVW47" s="19"/>
      <c r="CVX47" s="19"/>
      <c r="CVY47" s="19"/>
      <c r="CVZ47" s="19"/>
      <c r="CWA47" s="19"/>
      <c r="CWB47" s="19"/>
      <c r="CWC47" s="19"/>
      <c r="CWD47" s="19"/>
      <c r="CWE47" s="19"/>
      <c r="CWF47" s="19"/>
      <c r="CWG47" s="19"/>
      <c r="CWH47" s="19"/>
      <c r="CWI47" s="19"/>
      <c r="CWJ47" s="19"/>
      <c r="CWK47" s="19"/>
      <c r="CWL47" s="19"/>
      <c r="CWM47" s="19"/>
      <c r="CWN47" s="19"/>
      <c r="CWO47" s="19"/>
      <c r="CWP47" s="19"/>
      <c r="CWQ47" s="19"/>
      <c r="CWR47" s="19"/>
      <c r="CWS47" s="19"/>
      <c r="CWT47" s="19"/>
      <c r="CWU47" s="19"/>
      <c r="CWV47" s="19"/>
      <c r="CWW47" s="19"/>
      <c r="CWX47" s="19"/>
      <c r="CWY47" s="19"/>
      <c r="CWZ47" s="19"/>
      <c r="CXA47" s="19"/>
      <c r="CXB47" s="19"/>
      <c r="CXC47" s="19"/>
      <c r="CXD47" s="19"/>
      <c r="CXE47" s="19"/>
      <c r="CXF47" s="19"/>
      <c r="CXG47" s="19"/>
      <c r="CXH47" s="19"/>
      <c r="CXI47" s="19"/>
      <c r="CXJ47" s="19"/>
      <c r="CXK47" s="19"/>
      <c r="CXL47" s="19"/>
      <c r="CXM47" s="19"/>
      <c r="CXN47" s="19"/>
      <c r="CXO47" s="19"/>
      <c r="CXP47" s="19"/>
      <c r="CXQ47" s="19"/>
      <c r="CXR47" s="19"/>
      <c r="CXS47" s="19"/>
      <c r="CXT47" s="19"/>
      <c r="CXU47" s="19"/>
      <c r="CXV47" s="19"/>
      <c r="CXW47" s="19"/>
      <c r="CXX47" s="19"/>
      <c r="CXY47" s="19"/>
      <c r="CXZ47" s="19"/>
      <c r="CYA47" s="19"/>
      <c r="CYB47" s="19"/>
      <c r="CYC47" s="19"/>
      <c r="CYD47" s="19"/>
      <c r="CYE47" s="19"/>
      <c r="CYF47" s="19"/>
      <c r="CYG47" s="19"/>
      <c r="CYH47" s="19"/>
      <c r="CYI47" s="19"/>
      <c r="CYJ47" s="19"/>
      <c r="CYK47" s="19"/>
      <c r="CYL47" s="19"/>
      <c r="CYM47" s="19"/>
      <c r="CYN47" s="19"/>
      <c r="CYO47" s="19"/>
      <c r="CYP47" s="19"/>
      <c r="CYQ47" s="19"/>
      <c r="CYR47" s="19"/>
      <c r="CYS47" s="19"/>
      <c r="CYT47" s="19"/>
      <c r="CYU47" s="19"/>
      <c r="CYV47" s="19"/>
      <c r="CYW47" s="19"/>
      <c r="CYX47" s="19"/>
      <c r="CYY47" s="19"/>
      <c r="CYZ47" s="19"/>
      <c r="CZA47" s="19"/>
      <c r="CZB47" s="19"/>
      <c r="CZC47" s="19"/>
      <c r="CZD47" s="19"/>
      <c r="CZE47" s="19"/>
      <c r="CZF47" s="19"/>
      <c r="CZG47" s="19"/>
      <c r="CZH47" s="19"/>
      <c r="CZI47" s="19"/>
      <c r="CZJ47" s="19"/>
      <c r="CZK47" s="19"/>
      <c r="CZL47" s="19"/>
      <c r="CZM47" s="19"/>
      <c r="CZN47" s="19"/>
      <c r="CZO47" s="19"/>
      <c r="CZP47" s="19"/>
      <c r="CZQ47" s="19"/>
      <c r="CZR47" s="19"/>
      <c r="CZS47" s="19"/>
      <c r="CZT47" s="19"/>
      <c r="CZU47" s="19"/>
      <c r="CZV47" s="19"/>
      <c r="CZW47" s="19"/>
      <c r="CZX47" s="19"/>
      <c r="CZY47" s="19"/>
      <c r="CZZ47" s="19"/>
      <c r="DAA47" s="19"/>
      <c r="DAB47" s="19"/>
      <c r="DAC47" s="19"/>
      <c r="DAD47" s="19"/>
      <c r="DAE47" s="19"/>
      <c r="DAF47" s="19"/>
      <c r="DAG47" s="19"/>
      <c r="DAH47" s="19"/>
      <c r="DAI47" s="19"/>
      <c r="DAJ47" s="19"/>
      <c r="DAK47" s="19"/>
      <c r="DAL47" s="19"/>
      <c r="DAM47" s="19"/>
      <c r="DAN47" s="19"/>
      <c r="DAO47" s="19"/>
      <c r="DAP47" s="19"/>
      <c r="DAQ47" s="19"/>
      <c r="DAR47" s="19"/>
      <c r="DAS47" s="19"/>
      <c r="DAT47" s="19"/>
      <c r="DAU47" s="19"/>
      <c r="DAV47" s="19"/>
      <c r="DAW47" s="19"/>
      <c r="DAX47" s="19"/>
      <c r="DAY47" s="19"/>
      <c r="DAZ47" s="19"/>
      <c r="DBA47" s="19"/>
      <c r="DBB47" s="19"/>
      <c r="DBC47" s="19"/>
      <c r="DBD47" s="19"/>
      <c r="DBE47" s="19"/>
      <c r="DBF47" s="19"/>
      <c r="DBG47" s="19"/>
      <c r="DBH47" s="19"/>
      <c r="DBI47" s="19"/>
      <c r="DBJ47" s="19"/>
      <c r="DBK47" s="19"/>
      <c r="DBL47" s="19"/>
      <c r="DBM47" s="19"/>
      <c r="DBN47" s="19"/>
      <c r="DBO47" s="19"/>
      <c r="DBP47" s="19"/>
      <c r="DBQ47" s="19"/>
      <c r="DBR47" s="19"/>
      <c r="DBS47" s="19"/>
      <c r="DBT47" s="19"/>
      <c r="DBU47" s="19"/>
      <c r="DBV47" s="19"/>
      <c r="DBW47" s="19"/>
      <c r="DBX47" s="19"/>
      <c r="DBY47" s="19"/>
      <c r="DBZ47" s="19"/>
      <c r="DCA47" s="19"/>
      <c r="DCB47" s="19"/>
      <c r="DCC47" s="19"/>
      <c r="DCD47" s="19"/>
      <c r="DCE47" s="19"/>
      <c r="DCF47" s="19"/>
      <c r="DCG47" s="19"/>
      <c r="DCH47" s="19"/>
      <c r="DCI47" s="19"/>
      <c r="DCJ47" s="19"/>
      <c r="DCK47" s="19"/>
      <c r="DCL47" s="19"/>
      <c r="DCM47" s="19"/>
      <c r="DCN47" s="19"/>
      <c r="DCO47" s="19"/>
      <c r="DCP47" s="19"/>
      <c r="DCQ47" s="19"/>
      <c r="DCR47" s="19"/>
      <c r="DCS47" s="19"/>
      <c r="DCT47" s="19"/>
      <c r="DCU47" s="19"/>
      <c r="DCV47" s="19"/>
      <c r="DCW47" s="19"/>
      <c r="DCX47" s="19"/>
      <c r="DCY47" s="19"/>
      <c r="DCZ47" s="19"/>
      <c r="DDA47" s="19"/>
      <c r="DDB47" s="19"/>
      <c r="DDC47" s="19"/>
      <c r="DDD47" s="19"/>
      <c r="DDE47" s="19"/>
      <c r="DDF47" s="19"/>
      <c r="DDG47" s="19"/>
      <c r="DDH47" s="19"/>
      <c r="DDI47" s="19"/>
      <c r="DDJ47" s="19"/>
      <c r="DDK47" s="19"/>
      <c r="DDL47" s="19"/>
      <c r="DDM47" s="19"/>
      <c r="DDN47" s="19"/>
      <c r="DDO47" s="19"/>
      <c r="DDP47" s="19"/>
      <c r="DDQ47" s="19"/>
      <c r="DDR47" s="19"/>
      <c r="DDS47" s="19"/>
      <c r="DDT47" s="19"/>
      <c r="DDU47" s="19"/>
      <c r="DDV47" s="19"/>
      <c r="DDW47" s="19"/>
      <c r="DDX47" s="19"/>
      <c r="DDY47" s="19"/>
      <c r="DDZ47" s="19"/>
      <c r="DEA47" s="19"/>
      <c r="DEB47" s="19"/>
      <c r="DEC47" s="19"/>
      <c r="DED47" s="19"/>
      <c r="DEE47" s="19"/>
      <c r="DEF47" s="19"/>
      <c r="DEG47" s="19"/>
      <c r="DEH47" s="19"/>
      <c r="DEI47" s="19"/>
      <c r="DEJ47" s="19"/>
      <c r="DEK47" s="19"/>
      <c r="DEL47" s="19"/>
      <c r="DEM47" s="19"/>
      <c r="DEN47" s="19"/>
      <c r="DEO47" s="19"/>
      <c r="DEP47" s="19"/>
      <c r="DEQ47" s="19"/>
      <c r="DER47" s="19"/>
      <c r="DES47" s="19"/>
      <c r="DET47" s="19"/>
      <c r="DEU47" s="19"/>
      <c r="DEV47" s="19"/>
      <c r="DEW47" s="19"/>
      <c r="DEX47" s="19"/>
      <c r="DEY47" s="19"/>
      <c r="DEZ47" s="19"/>
      <c r="DFA47" s="19"/>
      <c r="DFB47" s="19"/>
      <c r="DFC47" s="19"/>
      <c r="DFD47" s="19"/>
      <c r="DFE47" s="19"/>
      <c r="DFF47" s="19"/>
      <c r="DFG47" s="19"/>
      <c r="DFH47" s="19"/>
      <c r="DFI47" s="19"/>
      <c r="DFJ47" s="19"/>
      <c r="DFK47" s="19"/>
      <c r="DFL47" s="19"/>
      <c r="DFM47" s="19"/>
      <c r="DFN47" s="19"/>
      <c r="DFO47" s="19"/>
      <c r="DFP47" s="19"/>
      <c r="DFQ47" s="19"/>
      <c r="DFR47" s="19"/>
      <c r="DFS47" s="19"/>
      <c r="DFT47" s="19"/>
      <c r="DFU47" s="19"/>
      <c r="DFV47" s="19"/>
      <c r="DFW47" s="19"/>
      <c r="DFX47" s="19"/>
      <c r="DFY47" s="19"/>
      <c r="DFZ47" s="19"/>
      <c r="DGA47" s="19"/>
      <c r="DGB47" s="19"/>
      <c r="DGC47" s="19"/>
      <c r="DGD47" s="19"/>
      <c r="DGE47" s="19"/>
      <c r="DGF47" s="19"/>
      <c r="DGG47" s="19"/>
      <c r="DGH47" s="19"/>
      <c r="DGI47" s="19"/>
      <c r="DGJ47" s="19"/>
      <c r="DGK47" s="19"/>
      <c r="DGL47" s="19"/>
      <c r="DGM47" s="19"/>
      <c r="DGN47" s="19"/>
      <c r="DGO47" s="19"/>
      <c r="DGP47" s="19"/>
      <c r="DGQ47" s="19"/>
      <c r="DGR47" s="19"/>
      <c r="DGS47" s="19"/>
      <c r="DGT47" s="19"/>
      <c r="DGU47" s="19"/>
      <c r="DGV47" s="19"/>
      <c r="DGW47" s="19"/>
      <c r="DGX47" s="19"/>
      <c r="DGY47" s="19"/>
      <c r="DGZ47" s="19"/>
      <c r="DHA47" s="19"/>
      <c r="DHB47" s="19"/>
      <c r="DHC47" s="19"/>
      <c r="DHD47" s="19"/>
      <c r="DHE47" s="19"/>
      <c r="DHF47" s="19"/>
      <c r="DHG47" s="19"/>
      <c r="DHH47" s="19"/>
      <c r="DHI47" s="19"/>
      <c r="DHJ47" s="19"/>
      <c r="DHK47" s="19"/>
      <c r="DHL47" s="19"/>
      <c r="DHM47" s="19"/>
      <c r="DHN47" s="19"/>
      <c r="DHO47" s="19"/>
      <c r="DHP47" s="19"/>
      <c r="DHQ47" s="19"/>
      <c r="DHR47" s="19"/>
      <c r="DHS47" s="19"/>
      <c r="DHT47" s="19"/>
      <c r="DHU47" s="19"/>
      <c r="DHV47" s="19"/>
      <c r="DHW47" s="19"/>
      <c r="DHX47" s="19"/>
      <c r="DHY47" s="19"/>
      <c r="DHZ47" s="19"/>
      <c r="DIA47" s="19"/>
      <c r="DIB47" s="19"/>
      <c r="DIC47" s="19"/>
      <c r="DID47" s="19"/>
      <c r="DIE47" s="19"/>
      <c r="DIF47" s="19"/>
      <c r="DIG47" s="19"/>
      <c r="DIH47" s="19"/>
      <c r="DII47" s="19"/>
      <c r="DIJ47" s="19"/>
      <c r="DIK47" s="19"/>
      <c r="DIL47" s="19"/>
      <c r="DIM47" s="19"/>
      <c r="DIN47" s="19"/>
      <c r="DIO47" s="19"/>
      <c r="DIP47" s="19"/>
      <c r="DIQ47" s="19"/>
      <c r="DIR47" s="19"/>
      <c r="DIS47" s="19"/>
      <c r="DIT47" s="19"/>
      <c r="DIU47" s="19"/>
      <c r="DIV47" s="19"/>
      <c r="DIW47" s="19"/>
      <c r="DIX47" s="19"/>
      <c r="DIY47" s="19"/>
      <c r="DIZ47" s="19"/>
      <c r="DJA47" s="19"/>
      <c r="DJB47" s="19"/>
      <c r="DJC47" s="19"/>
      <c r="DJD47" s="19"/>
      <c r="DJE47" s="19"/>
      <c r="DJF47" s="19"/>
      <c r="DJG47" s="19"/>
      <c r="DJH47" s="19"/>
      <c r="DJI47" s="19"/>
      <c r="DJJ47" s="19"/>
      <c r="DJK47" s="19"/>
      <c r="DJL47" s="19"/>
      <c r="DJM47" s="19"/>
      <c r="DJN47" s="19"/>
      <c r="DJO47" s="19"/>
      <c r="DJP47" s="19"/>
      <c r="DJQ47" s="19"/>
      <c r="DJR47" s="19"/>
      <c r="DJS47" s="19"/>
      <c r="DJT47" s="19"/>
      <c r="DJU47" s="19"/>
      <c r="DJV47" s="19"/>
      <c r="DJW47" s="19"/>
      <c r="DJX47" s="19"/>
      <c r="DJY47" s="19"/>
      <c r="DJZ47" s="19"/>
      <c r="DKA47" s="19"/>
      <c r="DKB47" s="19"/>
      <c r="DKC47" s="19"/>
      <c r="DKD47" s="19"/>
      <c r="DKE47" s="19"/>
      <c r="DKF47" s="19"/>
      <c r="DKG47" s="19"/>
      <c r="DKH47" s="19"/>
      <c r="DKI47" s="19"/>
      <c r="DKJ47" s="19"/>
      <c r="DKK47" s="19"/>
      <c r="DKL47" s="19"/>
      <c r="DKM47" s="19"/>
      <c r="DKN47" s="19"/>
      <c r="DKO47" s="19"/>
      <c r="DKP47" s="19"/>
      <c r="DKQ47" s="19"/>
      <c r="DKR47" s="19"/>
      <c r="DKS47" s="19"/>
      <c r="DKT47" s="19"/>
      <c r="DKU47" s="19"/>
      <c r="DKV47" s="19"/>
      <c r="DKW47" s="19"/>
      <c r="DKX47" s="19"/>
      <c r="DKY47" s="19"/>
      <c r="DKZ47" s="19"/>
      <c r="DLA47" s="19"/>
      <c r="DLB47" s="19"/>
      <c r="DLC47" s="19"/>
      <c r="DLD47" s="19"/>
      <c r="DLE47" s="19"/>
      <c r="DLF47" s="19"/>
      <c r="DLG47" s="19"/>
      <c r="DLH47" s="19"/>
      <c r="DLI47" s="19"/>
      <c r="DLJ47" s="19"/>
      <c r="DLK47" s="19"/>
      <c r="DLL47" s="19"/>
      <c r="DLM47" s="19"/>
      <c r="DLN47" s="19"/>
      <c r="DLO47" s="19"/>
      <c r="DLP47" s="19"/>
      <c r="DLQ47" s="19"/>
      <c r="DLR47" s="19"/>
      <c r="DLS47" s="19"/>
      <c r="DLT47" s="19"/>
      <c r="DLU47" s="19"/>
      <c r="DLV47" s="19"/>
      <c r="DLW47" s="19"/>
      <c r="DLX47" s="19"/>
      <c r="DLY47" s="19"/>
      <c r="DLZ47" s="19"/>
      <c r="DMA47" s="19"/>
      <c r="DMB47" s="19"/>
      <c r="DMC47" s="19"/>
      <c r="DMD47" s="19"/>
      <c r="DME47" s="19"/>
      <c r="DMF47" s="19"/>
      <c r="DMG47" s="19"/>
      <c r="DMH47" s="19"/>
      <c r="DMI47" s="19"/>
      <c r="DMJ47" s="19"/>
      <c r="DMK47" s="19"/>
      <c r="DML47" s="19"/>
      <c r="DMM47" s="19"/>
      <c r="DMN47" s="19"/>
      <c r="DMO47" s="19"/>
      <c r="DMP47" s="19"/>
      <c r="DMQ47" s="19"/>
      <c r="DMR47" s="19"/>
      <c r="DMS47" s="19"/>
      <c r="DMT47" s="19"/>
      <c r="DMU47" s="19"/>
      <c r="DMV47" s="19"/>
      <c r="DMW47" s="19"/>
      <c r="DMX47" s="19"/>
      <c r="DMY47" s="19"/>
      <c r="DMZ47" s="19"/>
      <c r="DNA47" s="19"/>
      <c r="DNB47" s="19"/>
      <c r="DNC47" s="19"/>
      <c r="DND47" s="19"/>
      <c r="DNE47" s="19"/>
      <c r="DNF47" s="19"/>
      <c r="DNG47" s="19"/>
      <c r="DNH47" s="19"/>
      <c r="DNI47" s="19"/>
      <c r="DNJ47" s="19"/>
      <c r="DNK47" s="19"/>
      <c r="DNL47" s="19"/>
      <c r="DNM47" s="19"/>
      <c r="DNN47" s="19"/>
      <c r="DNO47" s="19"/>
      <c r="DNP47" s="19"/>
      <c r="DNQ47" s="19"/>
      <c r="DNR47" s="19"/>
      <c r="DNS47" s="19"/>
      <c r="DNT47" s="19"/>
      <c r="DNU47" s="19"/>
      <c r="DNV47" s="19"/>
      <c r="DNW47" s="19"/>
      <c r="DNX47" s="19"/>
      <c r="DNY47" s="19"/>
      <c r="DNZ47" s="19"/>
      <c r="DOA47" s="19"/>
      <c r="DOB47" s="19"/>
      <c r="DOC47" s="19"/>
      <c r="DOD47" s="19"/>
      <c r="DOE47" s="19"/>
      <c r="DOF47" s="19"/>
      <c r="DOG47" s="19"/>
      <c r="DOH47" s="19"/>
      <c r="DOI47" s="19"/>
      <c r="DOJ47" s="19"/>
      <c r="DOK47" s="19"/>
      <c r="DOL47" s="19"/>
      <c r="DOM47" s="19"/>
      <c r="DON47" s="19"/>
      <c r="DOO47" s="19"/>
      <c r="DOP47" s="19"/>
      <c r="DOQ47" s="19"/>
      <c r="DOR47" s="19"/>
      <c r="DOS47" s="19"/>
      <c r="DOT47" s="19"/>
      <c r="DOU47" s="19"/>
      <c r="DOV47" s="19"/>
      <c r="DOW47" s="19"/>
      <c r="DOX47" s="19"/>
      <c r="DOY47" s="19"/>
      <c r="DOZ47" s="19"/>
      <c r="DPA47" s="19"/>
      <c r="DPB47" s="19"/>
      <c r="DPC47" s="19"/>
      <c r="DPD47" s="19"/>
      <c r="DPE47" s="19"/>
      <c r="DPF47" s="19"/>
      <c r="DPG47" s="19"/>
      <c r="DPH47" s="19"/>
      <c r="DPI47" s="19"/>
      <c r="DPJ47" s="19"/>
      <c r="DPK47" s="19"/>
      <c r="DPL47" s="19"/>
      <c r="DPM47" s="19"/>
      <c r="DPN47" s="19"/>
      <c r="DPO47" s="19"/>
      <c r="DPP47" s="19"/>
      <c r="DPQ47" s="19"/>
      <c r="DPR47" s="19"/>
      <c r="DPS47" s="19"/>
      <c r="DPT47" s="19"/>
      <c r="DPU47" s="19"/>
      <c r="DPV47" s="19"/>
      <c r="DPW47" s="19"/>
      <c r="DPX47" s="19"/>
      <c r="DPY47" s="19"/>
      <c r="DPZ47" s="19"/>
      <c r="DQA47" s="19"/>
      <c r="DQB47" s="19"/>
      <c r="DQC47" s="19"/>
      <c r="DQD47" s="19"/>
      <c r="DQE47" s="19"/>
      <c r="DQF47" s="19"/>
      <c r="DQG47" s="19"/>
      <c r="DQH47" s="19"/>
      <c r="DQI47" s="19"/>
      <c r="DQJ47" s="19"/>
      <c r="DQK47" s="19"/>
      <c r="DQL47" s="19"/>
      <c r="DQM47" s="19"/>
      <c r="DQN47" s="19"/>
      <c r="DQO47" s="19"/>
      <c r="DQP47" s="19"/>
      <c r="DQQ47" s="19"/>
      <c r="DQR47" s="19"/>
      <c r="DQS47" s="19"/>
      <c r="DQT47" s="19"/>
      <c r="DQU47" s="19"/>
      <c r="DQV47" s="19"/>
      <c r="DQW47" s="19"/>
      <c r="DQX47" s="19"/>
      <c r="DQY47" s="19"/>
      <c r="DQZ47" s="19"/>
      <c r="DRA47" s="19"/>
      <c r="DRB47" s="19"/>
      <c r="DRC47" s="19"/>
      <c r="DRD47" s="19"/>
      <c r="DRE47" s="19"/>
      <c r="DRF47" s="19"/>
      <c r="DRG47" s="19"/>
      <c r="DRH47" s="19"/>
      <c r="DRI47" s="19"/>
      <c r="DRJ47" s="19"/>
      <c r="DRK47" s="19"/>
      <c r="DRL47" s="19"/>
      <c r="DRM47" s="19"/>
      <c r="DRN47" s="19"/>
      <c r="DRO47" s="19"/>
      <c r="DRP47" s="19"/>
      <c r="DRQ47" s="19"/>
      <c r="DRR47" s="19"/>
      <c r="DRS47" s="19"/>
      <c r="DRT47" s="19"/>
      <c r="DRU47" s="19"/>
      <c r="DRV47" s="19"/>
      <c r="DRW47" s="19"/>
      <c r="DRX47" s="19"/>
      <c r="DRY47" s="19"/>
      <c r="DRZ47" s="19"/>
      <c r="DSA47" s="19"/>
      <c r="DSB47" s="19"/>
      <c r="DSC47" s="19"/>
      <c r="DSD47" s="19"/>
      <c r="DSE47" s="19"/>
      <c r="DSF47" s="19"/>
      <c r="DSG47" s="19"/>
      <c r="DSH47" s="19"/>
      <c r="DSI47" s="19"/>
      <c r="DSJ47" s="19"/>
      <c r="DSK47" s="19"/>
      <c r="DSL47" s="19"/>
      <c r="DSM47" s="19"/>
      <c r="DSN47" s="19"/>
      <c r="DSO47" s="19"/>
      <c r="DSP47" s="19"/>
      <c r="DSQ47" s="19"/>
      <c r="DSR47" s="19"/>
      <c r="DSS47" s="19"/>
      <c r="DST47" s="19"/>
      <c r="DSU47" s="19"/>
      <c r="DSV47" s="19"/>
      <c r="DSW47" s="19"/>
      <c r="DSX47" s="19"/>
      <c r="DSY47" s="19"/>
      <c r="DSZ47" s="19"/>
      <c r="DTA47" s="19"/>
      <c r="DTB47" s="19"/>
      <c r="DTC47" s="19"/>
      <c r="DTD47" s="19"/>
      <c r="DTE47" s="19"/>
      <c r="DTF47" s="19"/>
      <c r="DTG47" s="19"/>
      <c r="DTH47" s="19"/>
      <c r="DTI47" s="19"/>
      <c r="DTJ47" s="19"/>
      <c r="DTK47" s="19"/>
      <c r="DTL47" s="19"/>
      <c r="DTM47" s="19"/>
      <c r="DTN47" s="19"/>
      <c r="DTO47" s="19"/>
      <c r="DTP47" s="19"/>
      <c r="DTQ47" s="19"/>
      <c r="DTR47" s="19"/>
      <c r="DTS47" s="19"/>
      <c r="DTT47" s="19"/>
      <c r="DTU47" s="19"/>
      <c r="DTV47" s="19"/>
      <c r="DTW47" s="19"/>
      <c r="DTX47" s="19"/>
      <c r="DTY47" s="19"/>
      <c r="DTZ47" s="19"/>
      <c r="DUA47" s="19"/>
      <c r="DUB47" s="19"/>
      <c r="DUC47" s="19"/>
      <c r="DUD47" s="19"/>
      <c r="DUE47" s="19"/>
      <c r="DUF47" s="19"/>
      <c r="DUG47" s="19"/>
      <c r="DUH47" s="19"/>
      <c r="DUI47" s="19"/>
      <c r="DUJ47" s="19"/>
      <c r="DUK47" s="19"/>
      <c r="DUL47" s="19"/>
      <c r="DUM47" s="19"/>
      <c r="DUN47" s="19"/>
      <c r="DUO47" s="19"/>
      <c r="DUP47" s="19"/>
      <c r="DUQ47" s="19"/>
      <c r="DUR47" s="19"/>
      <c r="DUS47" s="19"/>
      <c r="DUT47" s="19"/>
      <c r="DUU47" s="19"/>
      <c r="DUV47" s="19"/>
      <c r="DUW47" s="19"/>
      <c r="DUX47" s="19"/>
      <c r="DUY47" s="19"/>
      <c r="DUZ47" s="19"/>
      <c r="DVA47" s="19"/>
      <c r="DVB47" s="19"/>
      <c r="DVC47" s="19"/>
      <c r="DVD47" s="19"/>
      <c r="DVE47" s="19"/>
      <c r="DVF47" s="19"/>
      <c r="DVG47" s="19"/>
      <c r="DVH47" s="19"/>
      <c r="DVI47" s="19"/>
      <c r="DVJ47" s="19"/>
      <c r="DVK47" s="19"/>
      <c r="DVL47" s="19"/>
      <c r="DVM47" s="19"/>
      <c r="DVN47" s="19"/>
      <c r="DVO47" s="19"/>
      <c r="DVP47" s="19"/>
      <c r="DVQ47" s="19"/>
      <c r="DVR47" s="19"/>
      <c r="DVS47" s="19"/>
      <c r="DVT47" s="19"/>
      <c r="DVU47" s="19"/>
      <c r="DVV47" s="19"/>
      <c r="DVW47" s="19"/>
      <c r="DVX47" s="19"/>
      <c r="DVY47" s="19"/>
      <c r="DVZ47" s="19"/>
      <c r="DWA47" s="19"/>
      <c r="DWB47" s="19"/>
      <c r="DWC47" s="19"/>
      <c r="DWD47" s="19"/>
      <c r="DWE47" s="19"/>
      <c r="DWF47" s="19"/>
      <c r="DWG47" s="19"/>
      <c r="DWH47" s="19"/>
      <c r="DWI47" s="19"/>
      <c r="DWJ47" s="19"/>
      <c r="DWK47" s="19"/>
      <c r="DWL47" s="19"/>
      <c r="DWM47" s="19"/>
      <c r="DWN47" s="19"/>
      <c r="DWO47" s="19"/>
      <c r="DWP47" s="19"/>
      <c r="DWQ47" s="19"/>
      <c r="DWR47" s="19"/>
      <c r="DWS47" s="19"/>
      <c r="DWT47" s="19"/>
      <c r="DWU47" s="19"/>
      <c r="DWV47" s="19"/>
      <c r="DWW47" s="19"/>
      <c r="DWX47" s="19"/>
      <c r="DWY47" s="19"/>
      <c r="DWZ47" s="19"/>
      <c r="DXA47" s="19"/>
      <c r="DXB47" s="19"/>
      <c r="DXC47" s="19"/>
      <c r="DXD47" s="19"/>
      <c r="DXE47" s="19"/>
      <c r="DXF47" s="19"/>
      <c r="DXG47" s="19"/>
      <c r="DXH47" s="19"/>
      <c r="DXI47" s="19"/>
      <c r="DXJ47" s="19"/>
      <c r="DXK47" s="19"/>
      <c r="DXL47" s="19"/>
      <c r="DXM47" s="19"/>
      <c r="DXN47" s="19"/>
      <c r="DXO47" s="19"/>
      <c r="DXP47" s="19"/>
      <c r="DXQ47" s="19"/>
      <c r="DXR47" s="19"/>
      <c r="DXS47" s="19"/>
      <c r="DXT47" s="19"/>
      <c r="DXU47" s="19"/>
      <c r="DXV47" s="19"/>
      <c r="DXW47" s="19"/>
      <c r="DXX47" s="19"/>
      <c r="DXY47" s="19"/>
      <c r="DXZ47" s="19"/>
      <c r="DYA47" s="19"/>
      <c r="DYB47" s="19"/>
      <c r="DYC47" s="19"/>
      <c r="DYD47" s="19"/>
      <c r="DYE47" s="19"/>
      <c r="DYF47" s="19"/>
      <c r="DYG47" s="19"/>
      <c r="DYH47" s="19"/>
      <c r="DYI47" s="19"/>
      <c r="DYJ47" s="19"/>
      <c r="DYK47" s="19"/>
      <c r="DYL47" s="19"/>
      <c r="DYM47" s="19"/>
      <c r="DYN47" s="19"/>
      <c r="DYO47" s="19"/>
      <c r="DYP47" s="19"/>
      <c r="DYQ47" s="19"/>
      <c r="DYR47" s="19"/>
      <c r="DYS47" s="19"/>
      <c r="DYT47" s="19"/>
      <c r="DYU47" s="19"/>
      <c r="DYV47" s="19"/>
      <c r="DYW47" s="19"/>
      <c r="DYX47" s="19"/>
      <c r="DYY47" s="19"/>
      <c r="DYZ47" s="19"/>
      <c r="DZA47" s="19"/>
      <c r="DZB47" s="19"/>
      <c r="DZC47" s="19"/>
      <c r="DZD47" s="19"/>
      <c r="DZE47" s="19"/>
      <c r="DZF47" s="19"/>
      <c r="DZG47" s="19"/>
      <c r="DZH47" s="19"/>
      <c r="DZI47" s="19"/>
      <c r="DZJ47" s="19"/>
      <c r="DZK47" s="19"/>
      <c r="DZL47" s="19"/>
      <c r="DZM47" s="19"/>
      <c r="DZN47" s="19"/>
      <c r="DZO47" s="19"/>
      <c r="DZP47" s="19"/>
      <c r="DZQ47" s="19"/>
      <c r="DZR47" s="19"/>
      <c r="DZS47" s="19"/>
      <c r="DZT47" s="19"/>
      <c r="DZU47" s="19"/>
      <c r="DZV47" s="19"/>
      <c r="DZW47" s="19"/>
      <c r="DZX47" s="19"/>
      <c r="DZY47" s="19"/>
      <c r="DZZ47" s="19"/>
      <c r="EAA47" s="19"/>
      <c r="EAB47" s="19"/>
      <c r="EAC47" s="19"/>
      <c r="EAD47" s="19"/>
      <c r="EAE47" s="19"/>
      <c r="EAF47" s="19"/>
      <c r="EAG47" s="19"/>
      <c r="EAH47" s="19"/>
      <c r="EAI47" s="19"/>
      <c r="EAJ47" s="19"/>
      <c r="EAK47" s="19"/>
      <c r="EAL47" s="19"/>
      <c r="EAM47" s="19"/>
      <c r="EAN47" s="19"/>
      <c r="EAO47" s="19"/>
      <c r="EAP47" s="19"/>
      <c r="EAQ47" s="19"/>
      <c r="EAR47" s="19"/>
      <c r="EAS47" s="19"/>
      <c r="EAT47" s="19"/>
      <c r="EAU47" s="19"/>
      <c r="EAV47" s="19"/>
      <c r="EAW47" s="19"/>
      <c r="EAX47" s="19"/>
      <c r="EAY47" s="19"/>
      <c r="EAZ47" s="19"/>
      <c r="EBA47" s="19"/>
      <c r="EBB47" s="19"/>
      <c r="EBC47" s="19"/>
      <c r="EBD47" s="19"/>
      <c r="EBE47" s="19"/>
      <c r="EBF47" s="19"/>
      <c r="EBG47" s="19"/>
      <c r="EBH47" s="19"/>
      <c r="EBI47" s="19"/>
      <c r="EBJ47" s="19"/>
      <c r="EBK47" s="19"/>
      <c r="EBL47" s="19"/>
      <c r="EBM47" s="19"/>
      <c r="EBN47" s="19"/>
      <c r="EBO47" s="19"/>
      <c r="EBP47" s="19"/>
      <c r="EBQ47" s="19"/>
      <c r="EBR47" s="19"/>
      <c r="EBS47" s="19"/>
      <c r="EBT47" s="19"/>
      <c r="EBU47" s="19"/>
      <c r="EBV47" s="19"/>
      <c r="EBW47" s="19"/>
      <c r="EBX47" s="19"/>
      <c r="EBY47" s="19"/>
      <c r="EBZ47" s="19"/>
      <c r="ECA47" s="19"/>
      <c r="ECB47" s="19"/>
      <c r="ECC47" s="19"/>
      <c r="ECD47" s="19"/>
      <c r="ECE47" s="19"/>
      <c r="ECF47" s="19"/>
      <c r="ECG47" s="19"/>
      <c r="ECH47" s="19"/>
      <c r="ECI47" s="19"/>
      <c r="ECJ47" s="19"/>
      <c r="ECK47" s="19"/>
      <c r="ECL47" s="19"/>
      <c r="ECM47" s="19"/>
      <c r="ECN47" s="19"/>
      <c r="ECO47" s="19"/>
      <c r="ECP47" s="19"/>
      <c r="ECQ47" s="19"/>
      <c r="ECR47" s="19"/>
      <c r="ECS47" s="19"/>
      <c r="ECT47" s="19"/>
      <c r="ECU47" s="19"/>
      <c r="ECV47" s="19"/>
      <c r="ECW47" s="19"/>
      <c r="ECX47" s="19"/>
      <c r="ECY47" s="19"/>
      <c r="ECZ47" s="19"/>
      <c r="EDA47" s="19"/>
      <c r="EDB47" s="19"/>
      <c r="EDC47" s="19"/>
      <c r="EDD47" s="19"/>
      <c r="EDE47" s="19"/>
      <c r="EDF47" s="19"/>
      <c r="EDG47" s="19"/>
      <c r="EDH47" s="19"/>
      <c r="EDI47" s="19"/>
      <c r="EDJ47" s="19"/>
      <c r="EDK47" s="19"/>
      <c r="EDL47" s="19"/>
      <c r="EDM47" s="19"/>
      <c r="EDN47" s="19"/>
      <c r="EDO47" s="19"/>
      <c r="EDP47" s="19"/>
      <c r="EDQ47" s="19"/>
      <c r="EDR47" s="19"/>
      <c r="EDS47" s="19"/>
      <c r="EDT47" s="19"/>
      <c r="EDU47" s="19"/>
      <c r="EDV47" s="19"/>
      <c r="EDW47" s="19"/>
      <c r="EDX47" s="19"/>
      <c r="EDY47" s="19"/>
      <c r="EDZ47" s="19"/>
      <c r="EEA47" s="19"/>
      <c r="EEB47" s="19"/>
      <c r="EEC47" s="19"/>
      <c r="EED47" s="19"/>
      <c r="EEE47" s="19"/>
      <c r="EEF47" s="19"/>
      <c r="EEG47" s="19"/>
      <c r="EEH47" s="19"/>
      <c r="EEI47" s="19"/>
      <c r="EEJ47" s="19"/>
      <c r="EEK47" s="19"/>
      <c r="EEL47" s="19"/>
      <c r="EEM47" s="19"/>
      <c r="EEN47" s="19"/>
      <c r="EEO47" s="19"/>
      <c r="EEP47" s="19"/>
      <c r="EEQ47" s="19"/>
      <c r="EER47" s="19"/>
      <c r="EES47" s="19"/>
      <c r="EET47" s="19"/>
      <c r="EEU47" s="19"/>
      <c r="EEV47" s="19"/>
      <c r="EEW47" s="19"/>
      <c r="EEX47" s="19"/>
      <c r="EEY47" s="19"/>
      <c r="EEZ47" s="19"/>
      <c r="EFA47" s="19"/>
      <c r="EFB47" s="19"/>
      <c r="EFC47" s="19"/>
      <c r="EFD47" s="19"/>
      <c r="EFE47" s="19"/>
      <c r="EFF47" s="19"/>
      <c r="EFG47" s="19"/>
      <c r="EFH47" s="19"/>
      <c r="EFI47" s="19"/>
      <c r="EFJ47" s="19"/>
      <c r="EFK47" s="19"/>
      <c r="EFL47" s="19"/>
      <c r="EFM47" s="19"/>
      <c r="EFN47" s="19"/>
      <c r="EFO47" s="19"/>
      <c r="EFP47" s="19"/>
      <c r="EFQ47" s="19"/>
      <c r="EFR47" s="19"/>
      <c r="EFS47" s="19"/>
      <c r="EFT47" s="19"/>
      <c r="EFU47" s="19"/>
      <c r="EFV47" s="19"/>
      <c r="EFW47" s="19"/>
      <c r="EFX47" s="19"/>
      <c r="EFY47" s="19"/>
      <c r="EFZ47" s="19"/>
      <c r="EGA47" s="19"/>
      <c r="EGB47" s="19"/>
      <c r="EGC47" s="19"/>
      <c r="EGD47" s="19"/>
      <c r="EGE47" s="19"/>
      <c r="EGF47" s="19"/>
      <c r="EGG47" s="19"/>
      <c r="EGH47" s="19"/>
      <c r="EGI47" s="19"/>
      <c r="EGJ47" s="19"/>
      <c r="EGK47" s="19"/>
      <c r="EGL47" s="19"/>
      <c r="EGM47" s="19"/>
      <c r="EGN47" s="19"/>
      <c r="EGO47" s="19"/>
      <c r="EGP47" s="19"/>
      <c r="EGQ47" s="19"/>
      <c r="EGR47" s="19"/>
      <c r="EGS47" s="19"/>
      <c r="EGT47" s="19"/>
      <c r="EGU47" s="19"/>
      <c r="EGV47" s="19"/>
      <c r="EGW47" s="19"/>
      <c r="EGX47" s="19"/>
      <c r="EGY47" s="19"/>
      <c r="EGZ47" s="19"/>
      <c r="EHA47" s="19"/>
      <c r="EHB47" s="19"/>
      <c r="EHC47" s="19"/>
      <c r="EHD47" s="19"/>
      <c r="EHE47" s="19"/>
      <c r="EHF47" s="19"/>
      <c r="EHG47" s="19"/>
      <c r="EHH47" s="19"/>
      <c r="EHI47" s="19"/>
      <c r="EHJ47" s="19"/>
      <c r="EHK47" s="19"/>
      <c r="EHL47" s="19"/>
      <c r="EHM47" s="19"/>
      <c r="EHN47" s="19"/>
      <c r="EHO47" s="19"/>
      <c r="EHP47" s="19"/>
      <c r="EHQ47" s="19"/>
      <c r="EHR47" s="19"/>
      <c r="EHS47" s="19"/>
      <c r="EHT47" s="19"/>
      <c r="EHU47" s="19"/>
      <c r="EHV47" s="19"/>
      <c r="EHW47" s="19"/>
      <c r="EHX47" s="19"/>
      <c r="EHY47" s="19"/>
      <c r="EHZ47" s="19"/>
      <c r="EIA47" s="19"/>
      <c r="EIB47" s="19"/>
      <c r="EIC47" s="19"/>
      <c r="EID47" s="19"/>
      <c r="EIE47" s="19"/>
      <c r="EIF47" s="19"/>
      <c r="EIG47" s="19"/>
      <c r="EIH47" s="19"/>
      <c r="EII47" s="19"/>
      <c r="EIJ47" s="19"/>
      <c r="EIK47" s="19"/>
      <c r="EIL47" s="19"/>
      <c r="EIM47" s="19"/>
      <c r="EIN47" s="19"/>
      <c r="EIO47" s="19"/>
      <c r="EIP47" s="19"/>
      <c r="EIQ47" s="19"/>
      <c r="EIR47" s="19"/>
      <c r="EIS47" s="19"/>
      <c r="EIT47" s="19"/>
      <c r="EIU47" s="19"/>
      <c r="EIV47" s="19"/>
      <c r="EIW47" s="19"/>
      <c r="EIX47" s="19"/>
      <c r="EIY47" s="19"/>
      <c r="EIZ47" s="19"/>
      <c r="EJA47" s="19"/>
      <c r="EJB47" s="19"/>
      <c r="EJC47" s="19"/>
      <c r="EJD47" s="19"/>
      <c r="EJE47" s="19"/>
      <c r="EJF47" s="19"/>
      <c r="EJG47" s="19"/>
      <c r="EJH47" s="19"/>
      <c r="EJI47" s="19"/>
      <c r="EJJ47" s="19"/>
      <c r="EJK47" s="19"/>
      <c r="EJL47" s="19"/>
      <c r="EJM47" s="19"/>
      <c r="EJN47" s="19"/>
      <c r="EJO47" s="19"/>
      <c r="EJP47" s="19"/>
      <c r="EJQ47" s="19"/>
      <c r="EJR47" s="19"/>
      <c r="EJS47" s="19"/>
      <c r="EJT47" s="19"/>
      <c r="EJU47" s="19"/>
      <c r="EJV47" s="19"/>
      <c r="EJW47" s="19"/>
      <c r="EJX47" s="19"/>
      <c r="EJY47" s="19"/>
      <c r="EJZ47" s="19"/>
      <c r="EKA47" s="19"/>
      <c r="EKB47" s="19"/>
      <c r="EKC47" s="19"/>
      <c r="EKD47" s="19"/>
      <c r="EKE47" s="19"/>
      <c r="EKF47" s="19"/>
      <c r="EKG47" s="19"/>
      <c r="EKH47" s="19"/>
      <c r="EKI47" s="19"/>
      <c r="EKJ47" s="19"/>
      <c r="EKK47" s="19"/>
      <c r="EKL47" s="19"/>
      <c r="EKM47" s="19"/>
      <c r="EKN47" s="19"/>
      <c r="EKO47" s="19"/>
      <c r="EKP47" s="19"/>
      <c r="EKQ47" s="19"/>
      <c r="EKR47" s="19"/>
      <c r="EKS47" s="19"/>
      <c r="EKT47" s="19"/>
      <c r="EKU47" s="19"/>
      <c r="EKV47" s="19"/>
      <c r="EKW47" s="19"/>
      <c r="EKX47" s="19"/>
      <c r="EKY47" s="19"/>
      <c r="EKZ47" s="19"/>
      <c r="ELA47" s="19"/>
      <c r="ELB47" s="19"/>
      <c r="ELC47" s="19"/>
      <c r="ELD47" s="19"/>
      <c r="ELE47" s="19"/>
      <c r="ELF47" s="19"/>
      <c r="ELG47" s="19"/>
      <c r="ELH47" s="19"/>
      <c r="ELI47" s="19"/>
      <c r="ELJ47" s="19"/>
      <c r="ELK47" s="19"/>
      <c r="ELL47" s="19"/>
      <c r="ELM47" s="19"/>
      <c r="ELN47" s="19"/>
      <c r="ELO47" s="19"/>
      <c r="ELP47" s="19"/>
      <c r="ELQ47" s="19"/>
      <c r="ELR47" s="19"/>
      <c r="ELS47" s="19"/>
      <c r="ELT47" s="19"/>
      <c r="ELU47" s="19"/>
      <c r="ELV47" s="19"/>
      <c r="ELW47" s="19"/>
      <c r="ELX47" s="19"/>
      <c r="ELY47" s="19"/>
      <c r="ELZ47" s="19"/>
      <c r="EMA47" s="19"/>
      <c r="EMB47" s="19"/>
      <c r="EMC47" s="19"/>
      <c r="EMD47" s="19"/>
      <c r="EME47" s="19"/>
      <c r="EMF47" s="19"/>
      <c r="EMG47" s="19"/>
      <c r="EMH47" s="19"/>
      <c r="EMI47" s="19"/>
      <c r="EMJ47" s="19"/>
      <c r="EMK47" s="19"/>
      <c r="EML47" s="19"/>
      <c r="EMM47" s="19"/>
      <c r="EMN47" s="19"/>
      <c r="EMO47" s="19"/>
      <c r="EMP47" s="19"/>
      <c r="EMQ47" s="19"/>
      <c r="EMR47" s="19"/>
      <c r="EMS47" s="19"/>
      <c r="EMT47" s="19"/>
      <c r="EMU47" s="19"/>
      <c r="EMV47" s="19"/>
      <c r="EMW47" s="19"/>
      <c r="EMX47" s="19"/>
      <c r="EMY47" s="19"/>
      <c r="EMZ47" s="19"/>
      <c r="ENA47" s="19"/>
      <c r="ENB47" s="19"/>
      <c r="ENC47" s="19"/>
      <c r="END47" s="19"/>
      <c r="ENE47" s="19"/>
      <c r="ENF47" s="19"/>
      <c r="ENG47" s="19"/>
      <c r="ENH47" s="19"/>
      <c r="ENI47" s="19"/>
      <c r="ENJ47" s="19"/>
      <c r="ENK47" s="19"/>
      <c r="ENL47" s="19"/>
      <c r="ENM47" s="19"/>
      <c r="ENN47" s="19"/>
      <c r="ENO47" s="19"/>
      <c r="ENP47" s="19"/>
      <c r="ENQ47" s="19"/>
      <c r="ENR47" s="19"/>
      <c r="ENS47" s="19"/>
      <c r="ENT47" s="19"/>
      <c r="ENU47" s="19"/>
      <c r="ENV47" s="19"/>
      <c r="ENW47" s="19"/>
      <c r="ENX47" s="19"/>
      <c r="ENY47" s="19"/>
      <c r="ENZ47" s="19"/>
      <c r="EOA47" s="19"/>
      <c r="EOB47" s="19"/>
      <c r="EOC47" s="19"/>
      <c r="EOD47" s="19"/>
      <c r="EOE47" s="19"/>
      <c r="EOF47" s="19"/>
      <c r="EOG47" s="19"/>
      <c r="EOH47" s="19"/>
      <c r="EOI47" s="19"/>
      <c r="EOJ47" s="19"/>
      <c r="EOK47" s="19"/>
      <c r="EOL47" s="19"/>
      <c r="EOM47" s="19"/>
      <c r="EON47" s="19"/>
      <c r="EOO47" s="19"/>
      <c r="EOP47" s="19"/>
      <c r="EOQ47" s="19"/>
      <c r="EOR47" s="19"/>
      <c r="EOS47" s="19"/>
      <c r="EOT47" s="19"/>
      <c r="EOU47" s="19"/>
      <c r="EOV47" s="19"/>
      <c r="EOW47" s="19"/>
      <c r="EOX47" s="19"/>
      <c r="EOY47" s="19"/>
      <c r="EOZ47" s="19"/>
      <c r="EPA47" s="19"/>
      <c r="EPB47" s="19"/>
      <c r="EPC47" s="19"/>
      <c r="EPD47" s="19"/>
      <c r="EPE47" s="19"/>
      <c r="EPF47" s="19"/>
      <c r="EPG47" s="19"/>
      <c r="EPH47" s="19"/>
      <c r="EPI47" s="19"/>
      <c r="EPJ47" s="19"/>
      <c r="EPK47" s="19"/>
      <c r="EPL47" s="19"/>
      <c r="EPM47" s="19"/>
      <c r="EPN47" s="19"/>
      <c r="EPO47" s="19"/>
      <c r="EPP47" s="19"/>
      <c r="EPQ47" s="19"/>
      <c r="EPR47" s="19"/>
      <c r="EPS47" s="19"/>
      <c r="EPT47" s="19"/>
      <c r="EPU47" s="19"/>
      <c r="EPV47" s="19"/>
      <c r="EPW47" s="19"/>
      <c r="EPX47" s="19"/>
      <c r="EPY47" s="19"/>
      <c r="EPZ47" s="19"/>
      <c r="EQA47" s="19"/>
      <c r="EQB47" s="19"/>
      <c r="EQC47" s="19"/>
      <c r="EQD47" s="19"/>
      <c r="EQE47" s="19"/>
      <c r="EQF47" s="19"/>
      <c r="EQG47" s="19"/>
      <c r="EQH47" s="19"/>
      <c r="EQI47" s="19"/>
      <c r="EQJ47" s="19"/>
      <c r="EQK47" s="19"/>
      <c r="EQL47" s="19"/>
      <c r="EQM47" s="19"/>
      <c r="EQN47" s="19"/>
      <c r="EQO47" s="19"/>
      <c r="EQP47" s="19"/>
      <c r="EQQ47" s="19"/>
      <c r="EQR47" s="19"/>
      <c r="EQS47" s="19"/>
      <c r="EQT47" s="19"/>
      <c r="EQU47" s="19"/>
      <c r="EQV47" s="19"/>
      <c r="EQW47" s="19"/>
      <c r="EQX47" s="19"/>
      <c r="EQY47" s="19"/>
      <c r="EQZ47" s="19"/>
      <c r="ERA47" s="19"/>
      <c r="ERB47" s="19"/>
      <c r="ERC47" s="19"/>
      <c r="ERD47" s="19"/>
      <c r="ERE47" s="19"/>
      <c r="ERF47" s="19"/>
      <c r="ERG47" s="19"/>
      <c r="ERH47" s="19"/>
      <c r="ERI47" s="19"/>
      <c r="ERJ47" s="19"/>
      <c r="ERK47" s="19"/>
      <c r="ERL47" s="19"/>
      <c r="ERM47" s="19"/>
      <c r="ERN47" s="19"/>
      <c r="ERO47" s="19"/>
      <c r="ERP47" s="19"/>
      <c r="ERQ47" s="19"/>
      <c r="ERR47" s="19"/>
      <c r="ERS47" s="19"/>
      <c r="ERT47" s="19"/>
      <c r="ERU47" s="19"/>
      <c r="ERV47" s="19"/>
      <c r="ERW47" s="19"/>
      <c r="ERX47" s="19"/>
      <c r="ERY47" s="19"/>
      <c r="ERZ47" s="19"/>
      <c r="ESA47" s="19"/>
      <c r="ESB47" s="19"/>
      <c r="ESC47" s="19"/>
      <c r="ESD47" s="19"/>
      <c r="ESE47" s="19"/>
      <c r="ESF47" s="19"/>
      <c r="ESG47" s="19"/>
      <c r="ESH47" s="19"/>
      <c r="ESI47" s="19"/>
      <c r="ESJ47" s="19"/>
      <c r="ESK47" s="19"/>
      <c r="ESL47" s="19"/>
      <c r="ESM47" s="19"/>
      <c r="ESN47" s="19"/>
      <c r="ESO47" s="19"/>
      <c r="ESP47" s="19"/>
      <c r="ESQ47" s="19"/>
      <c r="ESR47" s="19"/>
      <c r="ESS47" s="19"/>
      <c r="EST47" s="19"/>
      <c r="ESU47" s="19"/>
      <c r="ESV47" s="19"/>
      <c r="ESW47" s="19"/>
      <c r="ESX47" s="19"/>
      <c r="ESY47" s="19"/>
      <c r="ESZ47" s="19"/>
      <c r="ETA47" s="19"/>
      <c r="ETB47" s="19"/>
      <c r="ETC47" s="19"/>
      <c r="ETD47" s="19"/>
      <c r="ETE47" s="19"/>
      <c r="ETF47" s="19"/>
      <c r="ETG47" s="19"/>
      <c r="ETH47" s="19"/>
      <c r="ETI47" s="19"/>
      <c r="ETJ47" s="19"/>
      <c r="ETK47" s="19"/>
      <c r="ETL47" s="19"/>
      <c r="ETM47" s="19"/>
      <c r="ETN47" s="19"/>
      <c r="ETO47" s="19"/>
      <c r="ETP47" s="19"/>
      <c r="ETQ47" s="19"/>
      <c r="ETR47" s="19"/>
      <c r="ETS47" s="19"/>
      <c r="ETT47" s="19"/>
      <c r="ETU47" s="19"/>
      <c r="ETV47" s="19"/>
      <c r="ETW47" s="19"/>
      <c r="ETX47" s="19"/>
      <c r="ETY47" s="19"/>
      <c r="ETZ47" s="19"/>
      <c r="EUA47" s="19"/>
      <c r="EUB47" s="19"/>
      <c r="EUC47" s="19"/>
      <c r="EUD47" s="19"/>
      <c r="EUE47" s="19"/>
      <c r="EUF47" s="19"/>
      <c r="EUG47" s="19"/>
      <c r="EUH47" s="19"/>
      <c r="EUI47" s="19"/>
      <c r="EUJ47" s="19"/>
      <c r="EUK47" s="19"/>
      <c r="EUL47" s="19"/>
      <c r="EUM47" s="19"/>
      <c r="EUN47" s="19"/>
      <c r="EUO47" s="19"/>
      <c r="EUP47" s="19"/>
      <c r="EUQ47" s="19"/>
      <c r="EUR47" s="19"/>
      <c r="EUS47" s="19"/>
      <c r="EUT47" s="19"/>
      <c r="EUU47" s="19"/>
      <c r="EUV47" s="19"/>
      <c r="EUW47" s="19"/>
      <c r="EUX47" s="19"/>
      <c r="EUY47" s="19"/>
      <c r="EUZ47" s="19"/>
      <c r="EVA47" s="19"/>
      <c r="EVB47" s="19"/>
      <c r="EVC47" s="19"/>
      <c r="EVD47" s="19"/>
      <c r="EVE47" s="19"/>
      <c r="EVF47" s="19"/>
      <c r="EVG47" s="19"/>
      <c r="EVH47" s="19"/>
      <c r="EVI47" s="19"/>
      <c r="EVJ47" s="19"/>
      <c r="EVK47" s="19"/>
      <c r="EVL47" s="19"/>
      <c r="EVM47" s="19"/>
      <c r="EVN47" s="19"/>
      <c r="EVO47" s="19"/>
      <c r="EVP47" s="19"/>
      <c r="EVQ47" s="19"/>
      <c r="EVR47" s="19"/>
      <c r="EVS47" s="19"/>
      <c r="EVT47" s="19"/>
      <c r="EVU47" s="19"/>
      <c r="EVV47" s="19"/>
      <c r="EVW47" s="19"/>
      <c r="EVX47" s="19"/>
      <c r="EVY47" s="19"/>
      <c r="EVZ47" s="19"/>
      <c r="EWA47" s="19"/>
      <c r="EWB47" s="19"/>
      <c r="EWC47" s="19"/>
      <c r="EWD47" s="19"/>
      <c r="EWE47" s="19"/>
      <c r="EWF47" s="19"/>
      <c r="EWG47" s="19"/>
      <c r="EWH47" s="19"/>
      <c r="EWI47" s="19"/>
      <c r="EWJ47" s="19"/>
      <c r="EWK47" s="19"/>
      <c r="EWL47" s="19"/>
      <c r="EWM47" s="19"/>
      <c r="EWN47" s="19"/>
      <c r="EWO47" s="19"/>
      <c r="EWP47" s="19"/>
      <c r="EWQ47" s="19"/>
      <c r="EWR47" s="19"/>
      <c r="EWS47" s="19"/>
      <c r="EWT47" s="19"/>
      <c r="EWU47" s="19"/>
      <c r="EWV47" s="19"/>
      <c r="EWW47" s="19"/>
      <c r="EWX47" s="19"/>
      <c r="EWY47" s="19"/>
      <c r="EWZ47" s="19"/>
      <c r="EXA47" s="19"/>
      <c r="EXB47" s="19"/>
      <c r="EXC47" s="19"/>
      <c r="EXD47" s="19"/>
      <c r="EXE47" s="19"/>
      <c r="EXF47" s="19"/>
      <c r="EXG47" s="19"/>
      <c r="EXH47" s="19"/>
      <c r="EXI47" s="19"/>
      <c r="EXJ47" s="19"/>
      <c r="EXK47" s="19"/>
      <c r="EXL47" s="19"/>
      <c r="EXM47" s="19"/>
      <c r="EXN47" s="19"/>
      <c r="EXO47" s="19"/>
      <c r="EXP47" s="19"/>
      <c r="EXQ47" s="19"/>
      <c r="EXR47" s="19"/>
      <c r="EXS47" s="19"/>
      <c r="EXT47" s="19"/>
      <c r="EXU47" s="19"/>
      <c r="EXV47" s="19"/>
      <c r="EXW47" s="19"/>
      <c r="EXX47" s="19"/>
      <c r="EXY47" s="19"/>
      <c r="EXZ47" s="19"/>
      <c r="EYA47" s="19"/>
      <c r="EYB47" s="19"/>
      <c r="EYC47" s="19"/>
      <c r="EYD47" s="19"/>
      <c r="EYE47" s="19"/>
      <c r="EYF47" s="19"/>
      <c r="EYG47" s="19"/>
      <c r="EYH47" s="19"/>
      <c r="EYI47" s="19"/>
      <c r="EYJ47" s="19"/>
      <c r="EYK47" s="19"/>
      <c r="EYL47" s="19"/>
      <c r="EYM47" s="19"/>
      <c r="EYN47" s="19"/>
      <c r="EYO47" s="19"/>
      <c r="EYP47" s="19"/>
      <c r="EYQ47" s="19"/>
      <c r="EYR47" s="19"/>
      <c r="EYS47" s="19"/>
      <c r="EYT47" s="19"/>
      <c r="EYU47" s="19"/>
      <c r="EYV47" s="19"/>
      <c r="EYW47" s="19"/>
      <c r="EYX47" s="19"/>
      <c r="EYY47" s="19"/>
      <c r="EYZ47" s="19"/>
      <c r="EZA47" s="19"/>
      <c r="EZB47" s="19"/>
      <c r="EZC47" s="19"/>
      <c r="EZD47" s="19"/>
      <c r="EZE47" s="19"/>
      <c r="EZF47" s="19"/>
      <c r="EZG47" s="19"/>
      <c r="EZH47" s="19"/>
      <c r="EZI47" s="19"/>
      <c r="EZJ47" s="19"/>
      <c r="EZK47" s="19"/>
      <c r="EZL47" s="19"/>
      <c r="EZM47" s="19"/>
      <c r="EZN47" s="19"/>
      <c r="EZO47" s="19"/>
      <c r="EZP47" s="19"/>
      <c r="EZQ47" s="19"/>
      <c r="EZR47" s="19"/>
      <c r="EZS47" s="19"/>
      <c r="EZT47" s="19"/>
      <c r="EZU47" s="19"/>
      <c r="EZV47" s="19"/>
      <c r="EZW47" s="19"/>
      <c r="EZX47" s="19"/>
      <c r="EZY47" s="19"/>
      <c r="EZZ47" s="19"/>
      <c r="FAA47" s="19"/>
      <c r="FAB47" s="19"/>
      <c r="FAC47" s="19"/>
      <c r="FAD47" s="19"/>
      <c r="FAE47" s="19"/>
      <c r="FAF47" s="19"/>
      <c r="FAG47" s="19"/>
      <c r="FAH47" s="19"/>
      <c r="FAI47" s="19"/>
      <c r="FAJ47" s="19"/>
      <c r="FAK47" s="19"/>
      <c r="FAL47" s="19"/>
      <c r="FAM47" s="19"/>
      <c r="FAN47" s="19"/>
      <c r="FAO47" s="19"/>
      <c r="FAP47" s="19"/>
      <c r="FAQ47" s="19"/>
      <c r="FAR47" s="19"/>
      <c r="FAS47" s="19"/>
      <c r="FAT47" s="19"/>
      <c r="FAU47" s="19"/>
      <c r="FAV47" s="19"/>
      <c r="FAW47" s="19"/>
      <c r="FAX47" s="19"/>
      <c r="FAY47" s="19"/>
      <c r="FAZ47" s="19"/>
      <c r="FBA47" s="19"/>
      <c r="FBB47" s="19"/>
      <c r="FBC47" s="19"/>
      <c r="FBD47" s="19"/>
      <c r="FBE47" s="19"/>
      <c r="FBF47" s="19"/>
      <c r="FBG47" s="19"/>
      <c r="FBH47" s="19"/>
      <c r="FBI47" s="19"/>
      <c r="FBJ47" s="19"/>
      <c r="FBK47" s="19"/>
      <c r="FBL47" s="19"/>
      <c r="FBM47" s="19"/>
      <c r="FBN47" s="19"/>
      <c r="FBO47" s="19"/>
      <c r="FBP47" s="19"/>
      <c r="FBQ47" s="19"/>
      <c r="FBR47" s="19"/>
      <c r="FBS47" s="19"/>
      <c r="FBT47" s="19"/>
      <c r="FBU47" s="19"/>
      <c r="FBV47" s="19"/>
      <c r="FBW47" s="19"/>
      <c r="FBX47" s="19"/>
      <c r="FBY47" s="19"/>
      <c r="FBZ47" s="19"/>
      <c r="FCA47" s="19"/>
      <c r="FCB47" s="19"/>
      <c r="FCC47" s="19"/>
      <c r="FCD47" s="19"/>
      <c r="FCE47" s="19"/>
      <c r="FCF47" s="19"/>
      <c r="FCG47" s="19"/>
      <c r="FCH47" s="19"/>
      <c r="FCI47" s="19"/>
      <c r="FCJ47" s="19"/>
      <c r="FCK47" s="19"/>
      <c r="FCL47" s="19"/>
      <c r="FCM47" s="19"/>
      <c r="FCN47" s="19"/>
      <c r="FCO47" s="19"/>
      <c r="FCP47" s="19"/>
      <c r="FCQ47" s="19"/>
      <c r="FCR47" s="19"/>
      <c r="FCS47" s="19"/>
      <c r="FCT47" s="19"/>
      <c r="FCU47" s="19"/>
      <c r="FCV47" s="19"/>
      <c r="FCW47" s="19"/>
      <c r="FCX47" s="19"/>
      <c r="FCY47" s="19"/>
      <c r="FCZ47" s="19"/>
      <c r="FDA47" s="19"/>
      <c r="FDB47" s="19"/>
      <c r="FDC47" s="19"/>
      <c r="FDD47" s="19"/>
      <c r="FDE47" s="19"/>
      <c r="FDF47" s="19"/>
      <c r="FDG47" s="19"/>
      <c r="FDH47" s="19"/>
      <c r="FDI47" s="19"/>
      <c r="FDJ47" s="19"/>
      <c r="FDK47" s="19"/>
      <c r="FDL47" s="19"/>
      <c r="FDM47" s="19"/>
      <c r="FDN47" s="19"/>
      <c r="FDO47" s="19"/>
      <c r="FDP47" s="19"/>
      <c r="FDQ47" s="19"/>
      <c r="FDR47" s="19"/>
      <c r="FDS47" s="19"/>
      <c r="FDT47" s="19"/>
      <c r="FDU47" s="19"/>
      <c r="FDV47" s="19"/>
      <c r="FDW47" s="19"/>
      <c r="FDX47" s="19"/>
      <c r="FDY47" s="19"/>
      <c r="FDZ47" s="19"/>
      <c r="FEA47" s="19"/>
      <c r="FEB47" s="19"/>
      <c r="FEC47" s="19"/>
      <c r="FED47" s="19"/>
      <c r="FEE47" s="19"/>
      <c r="FEF47" s="19"/>
      <c r="FEG47" s="19"/>
      <c r="FEH47" s="19"/>
      <c r="FEI47" s="19"/>
      <c r="FEJ47" s="19"/>
      <c r="FEK47" s="19"/>
      <c r="FEL47" s="19"/>
      <c r="FEM47" s="19"/>
      <c r="FEN47" s="19"/>
      <c r="FEO47" s="19"/>
      <c r="FEP47" s="19"/>
      <c r="FEQ47" s="19"/>
      <c r="FER47" s="19"/>
      <c r="FES47" s="19"/>
      <c r="FET47" s="19"/>
      <c r="FEU47" s="19"/>
      <c r="FEV47" s="19"/>
      <c r="FEW47" s="19"/>
      <c r="FEX47" s="19"/>
      <c r="FEY47" s="19"/>
      <c r="FEZ47" s="19"/>
      <c r="FFA47" s="19"/>
      <c r="FFB47" s="19"/>
      <c r="FFC47" s="19"/>
      <c r="FFD47" s="19"/>
      <c r="FFE47" s="19"/>
      <c r="FFF47" s="19"/>
      <c r="FFG47" s="19"/>
      <c r="FFH47" s="19"/>
      <c r="FFI47" s="19"/>
      <c r="FFJ47" s="19"/>
      <c r="FFK47" s="19"/>
      <c r="FFL47" s="19"/>
      <c r="FFM47" s="19"/>
      <c r="FFN47" s="19"/>
      <c r="FFO47" s="19"/>
      <c r="FFP47" s="19"/>
      <c r="FFQ47" s="19"/>
      <c r="FFR47" s="19"/>
      <c r="FFS47" s="19"/>
      <c r="FFT47" s="19"/>
      <c r="FFU47" s="19"/>
      <c r="FFV47" s="19"/>
      <c r="FFW47" s="19"/>
      <c r="FFX47" s="19"/>
      <c r="FFY47" s="19"/>
      <c r="FFZ47" s="19"/>
      <c r="FGA47" s="19"/>
      <c r="FGB47" s="19"/>
      <c r="FGC47" s="19"/>
      <c r="FGD47" s="19"/>
      <c r="FGE47" s="19"/>
      <c r="FGF47" s="19"/>
      <c r="FGG47" s="19"/>
      <c r="FGH47" s="19"/>
      <c r="FGI47" s="19"/>
      <c r="FGJ47" s="19"/>
      <c r="FGK47" s="19"/>
      <c r="FGL47" s="19"/>
      <c r="FGM47" s="19"/>
      <c r="FGN47" s="19"/>
      <c r="FGO47" s="19"/>
      <c r="FGP47" s="19"/>
      <c r="FGQ47" s="19"/>
      <c r="FGR47" s="19"/>
      <c r="FGS47" s="19"/>
      <c r="FGT47" s="19"/>
      <c r="FGU47" s="19"/>
      <c r="FGV47" s="19"/>
      <c r="FGW47" s="19"/>
      <c r="FGX47" s="19"/>
      <c r="FGY47" s="19"/>
      <c r="FGZ47" s="19"/>
      <c r="FHA47" s="19"/>
      <c r="FHB47" s="19"/>
      <c r="FHC47" s="19"/>
      <c r="FHD47" s="19"/>
      <c r="FHE47" s="19"/>
      <c r="FHF47" s="19"/>
      <c r="FHG47" s="19"/>
      <c r="FHH47" s="19"/>
      <c r="FHI47" s="19"/>
      <c r="FHJ47" s="19"/>
      <c r="FHK47" s="19"/>
      <c r="FHL47" s="19"/>
      <c r="FHM47" s="19"/>
      <c r="FHN47" s="19"/>
      <c r="FHO47" s="19"/>
      <c r="FHP47" s="19"/>
      <c r="FHQ47" s="19"/>
      <c r="FHR47" s="19"/>
      <c r="FHS47" s="19"/>
      <c r="FHT47" s="19"/>
      <c r="FHU47" s="19"/>
      <c r="FHV47" s="19"/>
      <c r="FHW47" s="19"/>
      <c r="FHX47" s="19"/>
      <c r="FHY47" s="19"/>
      <c r="FHZ47" s="19"/>
      <c r="FIA47" s="19"/>
      <c r="FIB47" s="19"/>
      <c r="FIC47" s="19"/>
      <c r="FID47" s="19"/>
      <c r="FIE47" s="19"/>
      <c r="FIF47" s="19"/>
      <c r="FIG47" s="19"/>
      <c r="FIH47" s="19"/>
      <c r="FII47" s="19"/>
      <c r="FIJ47" s="19"/>
      <c r="FIK47" s="19"/>
      <c r="FIL47" s="19"/>
      <c r="FIM47" s="19"/>
      <c r="FIN47" s="19"/>
      <c r="FIO47" s="19"/>
      <c r="FIP47" s="19"/>
      <c r="FIQ47" s="19"/>
      <c r="FIR47" s="19"/>
      <c r="FIS47" s="19"/>
      <c r="FIT47" s="19"/>
      <c r="FIU47" s="19"/>
      <c r="FIV47" s="19"/>
      <c r="FIW47" s="19"/>
      <c r="FIX47" s="19"/>
      <c r="FIY47" s="19"/>
      <c r="FIZ47" s="19"/>
      <c r="FJA47" s="19"/>
      <c r="FJB47" s="19"/>
      <c r="FJC47" s="19"/>
      <c r="FJD47" s="19"/>
      <c r="FJE47" s="19"/>
      <c r="FJF47" s="19"/>
      <c r="FJG47" s="19"/>
      <c r="FJH47" s="19"/>
      <c r="FJI47" s="19"/>
      <c r="FJJ47" s="19"/>
      <c r="FJK47" s="19"/>
      <c r="FJL47" s="19"/>
      <c r="FJM47" s="19"/>
      <c r="FJN47" s="19"/>
      <c r="FJO47" s="19"/>
      <c r="FJP47" s="19"/>
      <c r="FJQ47" s="19"/>
      <c r="FJR47" s="19"/>
      <c r="FJS47" s="19"/>
      <c r="FJT47" s="19"/>
      <c r="FJU47" s="19"/>
      <c r="FJV47" s="19"/>
      <c r="FJW47" s="19"/>
      <c r="FJX47" s="19"/>
      <c r="FJY47" s="19"/>
      <c r="FJZ47" s="19"/>
      <c r="FKA47" s="19"/>
      <c r="FKB47" s="19"/>
      <c r="FKC47" s="19"/>
      <c r="FKD47" s="19"/>
      <c r="FKE47" s="19"/>
      <c r="FKF47" s="19"/>
      <c r="FKG47" s="19"/>
      <c r="FKH47" s="19"/>
      <c r="FKI47" s="19"/>
      <c r="FKJ47" s="19"/>
      <c r="FKK47" s="19"/>
      <c r="FKL47" s="19"/>
      <c r="FKM47" s="19"/>
      <c r="FKN47" s="19"/>
      <c r="FKO47" s="19"/>
      <c r="FKP47" s="19"/>
      <c r="FKQ47" s="19"/>
      <c r="FKR47" s="19"/>
      <c r="FKS47" s="19"/>
      <c r="FKT47" s="19"/>
      <c r="FKU47" s="19"/>
      <c r="FKV47" s="19"/>
      <c r="FKW47" s="19"/>
      <c r="FKX47" s="19"/>
      <c r="FKY47" s="19"/>
      <c r="FKZ47" s="19"/>
      <c r="FLA47" s="19"/>
      <c r="FLB47" s="19"/>
      <c r="FLC47" s="19"/>
      <c r="FLD47" s="19"/>
      <c r="FLE47" s="19"/>
      <c r="FLF47" s="19"/>
      <c r="FLG47" s="19"/>
      <c r="FLH47" s="19"/>
      <c r="FLI47" s="19"/>
      <c r="FLJ47" s="19"/>
      <c r="FLK47" s="19"/>
      <c r="FLL47" s="19"/>
      <c r="FLM47" s="19"/>
      <c r="FLN47" s="19"/>
      <c r="FLO47" s="19"/>
      <c r="FLP47" s="19"/>
      <c r="FLQ47" s="19"/>
      <c r="FLR47" s="19"/>
      <c r="FLS47" s="19"/>
      <c r="FLT47" s="19"/>
      <c r="FLU47" s="19"/>
      <c r="FLV47" s="19"/>
      <c r="FLW47" s="19"/>
      <c r="FLX47" s="19"/>
      <c r="FLY47" s="19"/>
      <c r="FLZ47" s="19"/>
      <c r="FMA47" s="19"/>
      <c r="FMB47" s="19"/>
      <c r="FMC47" s="19"/>
      <c r="FMD47" s="19"/>
      <c r="FME47" s="19"/>
      <c r="FMF47" s="19"/>
      <c r="FMG47" s="19"/>
      <c r="FMH47" s="19"/>
      <c r="FMI47" s="19"/>
      <c r="FMJ47" s="19"/>
      <c r="FMK47" s="19"/>
      <c r="FML47" s="19"/>
      <c r="FMM47" s="19"/>
      <c r="FMN47" s="19"/>
      <c r="FMO47" s="19"/>
      <c r="FMP47" s="19"/>
      <c r="FMQ47" s="19"/>
      <c r="FMR47" s="19"/>
      <c r="FMS47" s="19"/>
      <c r="FMT47" s="19"/>
      <c r="FMU47" s="19"/>
      <c r="FMV47" s="19"/>
      <c r="FMW47" s="19"/>
      <c r="FMX47" s="19"/>
      <c r="FMY47" s="19"/>
      <c r="FMZ47" s="19"/>
      <c r="FNA47" s="19"/>
      <c r="FNB47" s="19"/>
      <c r="FNC47" s="19"/>
      <c r="FND47" s="19"/>
      <c r="FNE47" s="19"/>
      <c r="FNF47" s="19"/>
      <c r="FNG47" s="19"/>
      <c r="FNH47" s="19"/>
      <c r="FNI47" s="19"/>
      <c r="FNJ47" s="19"/>
      <c r="FNK47" s="19"/>
      <c r="FNL47" s="19"/>
      <c r="FNM47" s="19"/>
      <c r="FNN47" s="19"/>
      <c r="FNO47" s="19"/>
      <c r="FNP47" s="19"/>
      <c r="FNQ47" s="19"/>
      <c r="FNR47" s="19"/>
      <c r="FNS47" s="19"/>
      <c r="FNT47" s="19"/>
      <c r="FNU47" s="19"/>
      <c r="FNV47" s="19"/>
      <c r="FNW47" s="19"/>
      <c r="FNX47" s="19"/>
      <c r="FNY47" s="19"/>
      <c r="FNZ47" s="19"/>
      <c r="FOA47" s="19"/>
      <c r="FOB47" s="19"/>
      <c r="FOC47" s="19"/>
      <c r="FOD47" s="19"/>
      <c r="FOE47" s="19"/>
      <c r="FOF47" s="19"/>
      <c r="FOG47" s="19"/>
      <c r="FOH47" s="19"/>
      <c r="FOI47" s="19"/>
      <c r="FOJ47" s="19"/>
      <c r="FOK47" s="19"/>
      <c r="FOL47" s="19"/>
      <c r="FOM47" s="19"/>
      <c r="FON47" s="19"/>
      <c r="FOO47" s="19"/>
      <c r="FOP47" s="19"/>
      <c r="FOQ47" s="19"/>
      <c r="FOR47" s="19"/>
      <c r="FOS47" s="19"/>
      <c r="FOT47" s="19"/>
      <c r="FOU47" s="19"/>
      <c r="FOV47" s="19"/>
      <c r="FOW47" s="19"/>
      <c r="FOX47" s="19"/>
      <c r="FOY47" s="19"/>
      <c r="FOZ47" s="19"/>
      <c r="FPA47" s="19"/>
      <c r="FPB47" s="19"/>
      <c r="FPC47" s="19"/>
      <c r="FPD47" s="19"/>
      <c r="FPE47" s="19"/>
      <c r="FPF47" s="19"/>
      <c r="FPG47" s="19"/>
      <c r="FPH47" s="19"/>
      <c r="FPI47" s="19"/>
      <c r="FPJ47" s="19"/>
      <c r="FPK47" s="19"/>
      <c r="FPL47" s="19"/>
      <c r="FPM47" s="19"/>
      <c r="FPN47" s="19"/>
      <c r="FPO47" s="19"/>
      <c r="FPP47" s="19"/>
      <c r="FPQ47" s="19"/>
      <c r="FPR47" s="19"/>
      <c r="FPS47" s="19"/>
      <c r="FPT47" s="19"/>
      <c r="FPU47" s="19"/>
      <c r="FPV47" s="19"/>
      <c r="FPW47" s="19"/>
      <c r="FPX47" s="19"/>
      <c r="FPY47" s="19"/>
      <c r="FPZ47" s="19"/>
      <c r="FQA47" s="19"/>
      <c r="FQB47" s="19"/>
      <c r="FQC47" s="19"/>
      <c r="FQD47" s="19"/>
      <c r="FQE47" s="19"/>
      <c r="FQF47" s="19"/>
      <c r="FQG47" s="19"/>
      <c r="FQH47" s="19"/>
      <c r="FQI47" s="19"/>
      <c r="FQJ47" s="19"/>
      <c r="FQK47" s="19"/>
      <c r="FQL47" s="19"/>
      <c r="FQM47" s="19"/>
      <c r="FQN47" s="19"/>
      <c r="FQO47" s="19"/>
      <c r="FQP47" s="19"/>
      <c r="FQQ47" s="19"/>
      <c r="FQR47" s="19"/>
      <c r="FQS47" s="19"/>
      <c r="FQT47" s="19"/>
      <c r="FQU47" s="19"/>
      <c r="FQV47" s="19"/>
      <c r="FQW47" s="19"/>
      <c r="FQX47" s="19"/>
      <c r="FQY47" s="19"/>
      <c r="FQZ47" s="19"/>
      <c r="FRA47" s="19"/>
      <c r="FRB47" s="19"/>
      <c r="FRC47" s="19"/>
      <c r="FRD47" s="19"/>
      <c r="FRE47" s="19"/>
      <c r="FRF47" s="19"/>
      <c r="FRG47" s="19"/>
      <c r="FRH47" s="19"/>
      <c r="FRI47" s="19"/>
      <c r="FRJ47" s="19"/>
      <c r="FRK47" s="19"/>
      <c r="FRL47" s="19"/>
      <c r="FRM47" s="19"/>
      <c r="FRN47" s="19"/>
      <c r="FRO47" s="19"/>
      <c r="FRP47" s="19"/>
      <c r="FRQ47" s="19"/>
      <c r="FRR47" s="19"/>
      <c r="FRS47" s="19"/>
      <c r="FRT47" s="19"/>
      <c r="FRU47" s="19"/>
      <c r="FRV47" s="19"/>
      <c r="FRW47" s="19"/>
      <c r="FRX47" s="19"/>
      <c r="FRY47" s="19"/>
      <c r="FRZ47" s="19"/>
      <c r="FSA47" s="19"/>
      <c r="FSB47" s="19"/>
      <c r="FSC47" s="19"/>
      <c r="FSD47" s="19"/>
      <c r="FSE47" s="19"/>
      <c r="FSF47" s="19"/>
      <c r="FSG47" s="19"/>
      <c r="FSH47" s="19"/>
      <c r="FSI47" s="19"/>
      <c r="FSJ47" s="19"/>
      <c r="FSK47" s="19"/>
      <c r="FSL47" s="19"/>
      <c r="FSM47" s="19"/>
      <c r="FSN47" s="19"/>
      <c r="FSO47" s="19"/>
      <c r="FSP47" s="19"/>
      <c r="FSQ47" s="19"/>
      <c r="FSR47" s="19"/>
      <c r="FSS47" s="19"/>
      <c r="FST47" s="19"/>
      <c r="FSU47" s="19"/>
      <c r="FSV47" s="19"/>
      <c r="FSW47" s="19"/>
      <c r="FSX47" s="19"/>
      <c r="FSY47" s="19"/>
      <c r="FSZ47" s="19"/>
      <c r="FTA47" s="19"/>
      <c r="FTB47" s="19"/>
      <c r="FTC47" s="19"/>
      <c r="FTD47" s="19"/>
      <c r="FTE47" s="19"/>
      <c r="FTF47" s="19"/>
      <c r="FTG47" s="19"/>
      <c r="FTH47" s="19"/>
      <c r="FTI47" s="19"/>
      <c r="FTJ47" s="19"/>
      <c r="FTK47" s="19"/>
      <c r="FTL47" s="19"/>
      <c r="FTM47" s="19"/>
      <c r="FTN47" s="19"/>
      <c r="FTO47" s="19"/>
      <c r="FTP47" s="19"/>
      <c r="FTQ47" s="19"/>
      <c r="FTR47" s="19"/>
      <c r="FTS47" s="19"/>
      <c r="FTT47" s="19"/>
      <c r="FTU47" s="19"/>
      <c r="FTV47" s="19"/>
      <c r="FTW47" s="19"/>
      <c r="FTX47" s="19"/>
      <c r="FTY47" s="19"/>
      <c r="FTZ47" s="19"/>
      <c r="FUA47" s="19"/>
      <c r="FUB47" s="19"/>
      <c r="FUC47" s="19"/>
      <c r="FUD47" s="19"/>
      <c r="FUE47" s="19"/>
      <c r="FUF47" s="19"/>
      <c r="FUG47" s="19"/>
      <c r="FUH47" s="19"/>
      <c r="FUI47" s="19"/>
      <c r="FUJ47" s="19"/>
      <c r="FUK47" s="19"/>
      <c r="FUL47" s="19"/>
      <c r="FUM47" s="19"/>
      <c r="FUN47" s="19"/>
      <c r="FUO47" s="19"/>
      <c r="FUP47" s="19"/>
      <c r="FUQ47" s="19"/>
      <c r="FUR47" s="19"/>
      <c r="FUS47" s="19"/>
      <c r="FUT47" s="19"/>
      <c r="FUU47" s="19"/>
      <c r="FUV47" s="19"/>
      <c r="FUW47" s="19"/>
      <c r="FUX47" s="19"/>
      <c r="FUY47" s="19"/>
      <c r="FUZ47" s="19"/>
      <c r="FVA47" s="19"/>
      <c r="FVB47" s="19"/>
      <c r="FVC47" s="19"/>
      <c r="FVD47" s="19"/>
      <c r="FVE47" s="19"/>
      <c r="FVF47" s="19"/>
      <c r="FVG47" s="19"/>
      <c r="FVH47" s="19"/>
      <c r="FVI47" s="19"/>
      <c r="FVJ47" s="19"/>
      <c r="FVK47" s="19"/>
      <c r="FVL47" s="19"/>
      <c r="FVM47" s="19"/>
      <c r="FVN47" s="19"/>
      <c r="FVO47" s="19"/>
      <c r="FVP47" s="19"/>
      <c r="FVQ47" s="19"/>
      <c r="FVR47" s="19"/>
      <c r="FVS47" s="19"/>
      <c r="FVT47" s="19"/>
      <c r="FVU47" s="19"/>
      <c r="FVV47" s="19"/>
      <c r="FVW47" s="19"/>
      <c r="FVX47" s="19"/>
      <c r="FVY47" s="19"/>
      <c r="FVZ47" s="19"/>
      <c r="FWA47" s="19"/>
      <c r="FWB47" s="19"/>
      <c r="FWC47" s="19"/>
      <c r="FWD47" s="19"/>
      <c r="FWE47" s="19"/>
      <c r="FWF47" s="19"/>
      <c r="FWG47" s="19"/>
      <c r="FWH47" s="19"/>
      <c r="FWI47" s="19"/>
      <c r="FWJ47" s="19"/>
      <c r="FWK47" s="19"/>
      <c r="FWL47" s="19"/>
      <c r="FWM47" s="19"/>
      <c r="FWN47" s="19"/>
      <c r="FWO47" s="19"/>
      <c r="FWP47" s="19"/>
      <c r="FWQ47" s="19"/>
      <c r="FWR47" s="19"/>
      <c r="FWS47" s="19"/>
      <c r="FWT47" s="19"/>
      <c r="FWU47" s="19"/>
      <c r="FWV47" s="19"/>
      <c r="FWW47" s="19"/>
      <c r="FWX47" s="19"/>
      <c r="FWY47" s="19"/>
      <c r="FWZ47" s="19"/>
      <c r="FXA47" s="19"/>
      <c r="FXB47" s="19"/>
      <c r="FXC47" s="19"/>
      <c r="FXD47" s="19"/>
      <c r="FXE47" s="19"/>
      <c r="FXF47" s="19"/>
      <c r="FXG47" s="19"/>
      <c r="FXH47" s="19"/>
      <c r="FXI47" s="19"/>
      <c r="FXJ47" s="19"/>
      <c r="FXK47" s="19"/>
      <c r="FXL47" s="19"/>
      <c r="FXM47" s="19"/>
      <c r="FXN47" s="19"/>
      <c r="FXO47" s="19"/>
      <c r="FXP47" s="19"/>
      <c r="FXQ47" s="19"/>
      <c r="FXR47" s="19"/>
      <c r="FXS47" s="19"/>
      <c r="FXT47" s="19"/>
      <c r="FXU47" s="19"/>
      <c r="FXV47" s="19"/>
      <c r="FXW47" s="19"/>
      <c r="FXX47" s="19"/>
      <c r="FXY47" s="19"/>
      <c r="FXZ47" s="19"/>
      <c r="FYA47" s="19"/>
      <c r="FYB47" s="19"/>
      <c r="FYC47" s="19"/>
      <c r="FYD47" s="19"/>
      <c r="FYE47" s="19"/>
      <c r="FYF47" s="19"/>
      <c r="FYG47" s="19"/>
      <c r="FYH47" s="19"/>
      <c r="FYI47" s="19"/>
      <c r="FYJ47" s="19"/>
      <c r="FYK47" s="19"/>
      <c r="FYL47" s="19"/>
      <c r="FYM47" s="19"/>
      <c r="FYN47" s="19"/>
      <c r="FYO47" s="19"/>
      <c r="FYP47" s="19"/>
      <c r="FYQ47" s="19"/>
      <c r="FYR47" s="19"/>
      <c r="FYS47" s="19"/>
      <c r="FYT47" s="19"/>
      <c r="FYU47" s="19"/>
      <c r="FYV47" s="19"/>
      <c r="FYW47" s="19"/>
      <c r="FYX47" s="19"/>
      <c r="FYY47" s="19"/>
      <c r="FYZ47" s="19"/>
      <c r="FZA47" s="19"/>
      <c r="FZB47" s="19"/>
      <c r="FZC47" s="19"/>
      <c r="FZD47" s="19"/>
      <c r="FZE47" s="19"/>
      <c r="FZF47" s="19"/>
      <c r="FZG47" s="19"/>
      <c r="FZH47" s="19"/>
      <c r="FZI47" s="19"/>
      <c r="FZJ47" s="19"/>
      <c r="FZK47" s="19"/>
      <c r="FZL47" s="19"/>
      <c r="FZM47" s="19"/>
      <c r="FZN47" s="19"/>
      <c r="FZO47" s="19"/>
      <c r="FZP47" s="19"/>
      <c r="FZQ47" s="19"/>
      <c r="FZR47" s="19"/>
      <c r="FZS47" s="19"/>
      <c r="FZT47" s="19"/>
      <c r="FZU47" s="19"/>
      <c r="FZV47" s="19"/>
      <c r="FZW47" s="19"/>
      <c r="FZX47" s="19"/>
      <c r="FZY47" s="19"/>
      <c r="FZZ47" s="19"/>
      <c r="GAA47" s="19"/>
      <c r="GAB47" s="19"/>
      <c r="GAC47" s="19"/>
      <c r="GAD47" s="19"/>
      <c r="GAE47" s="19"/>
      <c r="GAF47" s="19"/>
      <c r="GAG47" s="19"/>
      <c r="GAH47" s="19"/>
      <c r="GAI47" s="19"/>
      <c r="GAJ47" s="19"/>
      <c r="GAK47" s="19"/>
      <c r="GAL47" s="19"/>
      <c r="GAM47" s="19"/>
      <c r="GAN47" s="19"/>
      <c r="GAO47" s="19"/>
      <c r="GAP47" s="19"/>
      <c r="GAQ47" s="19"/>
      <c r="GAR47" s="19"/>
      <c r="GAS47" s="19"/>
      <c r="GAT47" s="19"/>
      <c r="GAU47" s="19"/>
      <c r="GAV47" s="19"/>
      <c r="GAW47" s="19"/>
      <c r="GAX47" s="19"/>
      <c r="GAY47" s="19"/>
      <c r="GAZ47" s="19"/>
      <c r="GBA47" s="19"/>
      <c r="GBB47" s="19"/>
      <c r="GBC47" s="19"/>
      <c r="GBD47" s="19"/>
      <c r="GBE47" s="19"/>
      <c r="GBF47" s="19"/>
      <c r="GBG47" s="19"/>
      <c r="GBH47" s="19"/>
      <c r="GBI47" s="19"/>
      <c r="GBJ47" s="19"/>
      <c r="GBK47" s="19"/>
      <c r="GBL47" s="19"/>
      <c r="GBM47" s="19"/>
      <c r="GBN47" s="19"/>
      <c r="GBO47" s="19"/>
      <c r="GBP47" s="19"/>
      <c r="GBQ47" s="19"/>
      <c r="GBR47" s="19"/>
      <c r="GBS47" s="19"/>
      <c r="GBT47" s="19"/>
      <c r="GBU47" s="19"/>
      <c r="GBV47" s="19"/>
      <c r="GBW47" s="19"/>
      <c r="GBX47" s="19"/>
      <c r="GBY47" s="19"/>
      <c r="GBZ47" s="19"/>
      <c r="GCA47" s="19"/>
      <c r="GCB47" s="19"/>
      <c r="GCC47" s="19"/>
      <c r="GCD47" s="19"/>
      <c r="GCE47" s="19"/>
      <c r="GCF47" s="19"/>
      <c r="GCG47" s="19"/>
      <c r="GCH47" s="19"/>
      <c r="GCI47" s="19"/>
      <c r="GCJ47" s="19"/>
      <c r="GCK47" s="19"/>
      <c r="GCL47" s="19"/>
      <c r="GCM47" s="19"/>
      <c r="GCN47" s="19"/>
      <c r="GCO47" s="19"/>
      <c r="GCP47" s="19"/>
      <c r="GCQ47" s="19"/>
      <c r="GCR47" s="19"/>
      <c r="GCS47" s="19"/>
      <c r="GCT47" s="19"/>
      <c r="GCU47" s="19"/>
      <c r="GCV47" s="19"/>
      <c r="GCW47" s="19"/>
      <c r="GCX47" s="19"/>
      <c r="GCY47" s="19"/>
      <c r="GCZ47" s="19"/>
      <c r="GDA47" s="19"/>
      <c r="GDB47" s="19"/>
      <c r="GDC47" s="19"/>
      <c r="GDD47" s="19"/>
      <c r="GDE47" s="19"/>
      <c r="GDF47" s="19"/>
      <c r="GDG47" s="19"/>
      <c r="GDH47" s="19"/>
      <c r="GDI47" s="19"/>
      <c r="GDJ47" s="19"/>
      <c r="GDK47" s="19"/>
      <c r="GDL47" s="19"/>
      <c r="GDM47" s="19"/>
      <c r="GDN47" s="19"/>
      <c r="GDO47" s="19"/>
      <c r="GDP47" s="19"/>
      <c r="GDQ47" s="19"/>
      <c r="GDR47" s="19"/>
      <c r="GDS47" s="19"/>
      <c r="GDT47" s="19"/>
      <c r="GDU47" s="19"/>
      <c r="GDV47" s="19"/>
      <c r="GDW47" s="19"/>
      <c r="GDX47" s="19"/>
      <c r="GDY47" s="19"/>
      <c r="GDZ47" s="19"/>
      <c r="GEA47" s="19"/>
      <c r="GEB47" s="19"/>
      <c r="GEC47" s="19"/>
      <c r="GED47" s="19"/>
      <c r="GEE47" s="19"/>
      <c r="GEF47" s="19"/>
      <c r="GEG47" s="19"/>
      <c r="GEH47" s="19"/>
      <c r="GEI47" s="19"/>
      <c r="GEJ47" s="19"/>
      <c r="GEK47" s="19"/>
      <c r="GEL47" s="19"/>
      <c r="GEM47" s="19"/>
      <c r="GEN47" s="19"/>
      <c r="GEO47" s="19"/>
      <c r="GEP47" s="19"/>
      <c r="GEQ47" s="19"/>
      <c r="GER47" s="19"/>
      <c r="GES47" s="19"/>
      <c r="GET47" s="19"/>
      <c r="GEU47" s="19"/>
      <c r="GEV47" s="19"/>
      <c r="GEW47" s="19"/>
      <c r="GEX47" s="19"/>
      <c r="GEY47" s="19"/>
      <c r="GEZ47" s="19"/>
      <c r="GFA47" s="19"/>
      <c r="GFB47" s="19"/>
      <c r="GFC47" s="19"/>
      <c r="GFD47" s="19"/>
      <c r="GFE47" s="19"/>
      <c r="GFF47" s="19"/>
      <c r="GFG47" s="19"/>
      <c r="GFH47" s="19"/>
      <c r="GFI47" s="19"/>
      <c r="GFJ47" s="19"/>
      <c r="GFK47" s="19"/>
      <c r="GFL47" s="19"/>
      <c r="GFM47" s="19"/>
      <c r="GFN47" s="19"/>
      <c r="GFO47" s="19"/>
      <c r="GFP47" s="19"/>
      <c r="GFQ47" s="19"/>
      <c r="GFR47" s="19"/>
      <c r="GFS47" s="19"/>
      <c r="GFT47" s="19"/>
      <c r="GFU47" s="19"/>
      <c r="GFV47" s="19"/>
      <c r="GFW47" s="19"/>
      <c r="GFX47" s="19"/>
      <c r="GFY47" s="19"/>
      <c r="GFZ47" s="19"/>
      <c r="GGA47" s="19"/>
      <c r="GGB47" s="19"/>
      <c r="GGC47" s="19"/>
      <c r="GGD47" s="19"/>
      <c r="GGE47" s="19"/>
      <c r="GGF47" s="19"/>
      <c r="GGG47" s="19"/>
      <c r="GGH47" s="19"/>
      <c r="GGI47" s="19"/>
      <c r="GGJ47" s="19"/>
      <c r="GGK47" s="19"/>
      <c r="GGL47" s="19"/>
      <c r="GGM47" s="19"/>
      <c r="GGN47" s="19"/>
      <c r="GGO47" s="19"/>
      <c r="GGP47" s="19"/>
      <c r="GGQ47" s="19"/>
      <c r="GGR47" s="19"/>
      <c r="GGS47" s="19"/>
      <c r="GGT47" s="19"/>
      <c r="GGU47" s="19"/>
      <c r="GGV47" s="19"/>
      <c r="GGW47" s="19"/>
      <c r="GGX47" s="19"/>
      <c r="GGY47" s="19"/>
      <c r="GGZ47" s="19"/>
      <c r="GHA47" s="19"/>
      <c r="GHB47" s="19"/>
      <c r="GHC47" s="19"/>
      <c r="GHD47" s="19"/>
      <c r="GHE47" s="19"/>
      <c r="GHF47" s="19"/>
      <c r="GHG47" s="19"/>
      <c r="GHH47" s="19"/>
      <c r="GHI47" s="19"/>
      <c r="GHJ47" s="19"/>
      <c r="GHK47" s="19"/>
      <c r="GHL47" s="19"/>
      <c r="GHM47" s="19"/>
      <c r="GHN47" s="19"/>
      <c r="GHO47" s="19"/>
      <c r="GHP47" s="19"/>
      <c r="GHQ47" s="19"/>
      <c r="GHR47" s="19"/>
      <c r="GHS47" s="19"/>
      <c r="GHT47" s="19"/>
      <c r="GHU47" s="19"/>
      <c r="GHV47" s="19"/>
      <c r="GHW47" s="19"/>
      <c r="GHX47" s="19"/>
      <c r="GHY47" s="19"/>
      <c r="GHZ47" s="19"/>
      <c r="GIA47" s="19"/>
      <c r="GIB47" s="19"/>
      <c r="GIC47" s="19"/>
      <c r="GID47" s="19"/>
      <c r="GIE47" s="19"/>
      <c r="GIF47" s="19"/>
      <c r="GIG47" s="19"/>
      <c r="GIH47" s="19"/>
      <c r="GII47" s="19"/>
      <c r="GIJ47" s="19"/>
      <c r="GIK47" s="19"/>
      <c r="GIL47" s="19"/>
      <c r="GIM47" s="19"/>
      <c r="GIN47" s="19"/>
      <c r="GIO47" s="19"/>
      <c r="GIP47" s="19"/>
      <c r="GIQ47" s="19"/>
      <c r="GIR47" s="19"/>
      <c r="GIS47" s="19"/>
      <c r="GIT47" s="19"/>
      <c r="GIU47" s="19"/>
      <c r="GIV47" s="19"/>
      <c r="GIW47" s="19"/>
      <c r="GIX47" s="19"/>
      <c r="GIY47" s="19"/>
      <c r="GIZ47" s="19"/>
      <c r="GJA47" s="19"/>
      <c r="GJB47" s="19"/>
      <c r="GJC47" s="19"/>
      <c r="GJD47" s="19"/>
      <c r="GJE47" s="19"/>
      <c r="GJF47" s="19"/>
      <c r="GJG47" s="19"/>
      <c r="GJH47" s="19"/>
      <c r="GJI47" s="19"/>
      <c r="GJJ47" s="19"/>
      <c r="GJK47" s="19"/>
      <c r="GJL47" s="19"/>
      <c r="GJM47" s="19"/>
      <c r="GJN47" s="19"/>
      <c r="GJO47" s="19"/>
      <c r="GJP47" s="19"/>
      <c r="GJQ47" s="19"/>
      <c r="GJR47" s="19"/>
      <c r="GJS47" s="19"/>
      <c r="GJT47" s="19"/>
      <c r="GJU47" s="19"/>
      <c r="GJV47" s="19"/>
      <c r="GJW47" s="19"/>
      <c r="GJX47" s="19"/>
      <c r="GJY47" s="19"/>
      <c r="GJZ47" s="19"/>
      <c r="GKA47" s="19"/>
      <c r="GKB47" s="19"/>
      <c r="GKC47" s="19"/>
      <c r="GKD47" s="19"/>
      <c r="GKE47" s="19"/>
      <c r="GKF47" s="19"/>
      <c r="GKG47" s="19"/>
      <c r="GKH47" s="19"/>
      <c r="GKI47" s="19"/>
      <c r="GKJ47" s="19"/>
      <c r="GKK47" s="19"/>
      <c r="GKL47" s="19"/>
      <c r="GKM47" s="19"/>
      <c r="GKN47" s="19"/>
      <c r="GKO47" s="19"/>
      <c r="GKP47" s="19"/>
      <c r="GKQ47" s="19"/>
      <c r="GKR47" s="19"/>
      <c r="GKS47" s="19"/>
      <c r="GKT47" s="19"/>
      <c r="GKU47" s="19"/>
      <c r="GKV47" s="19"/>
      <c r="GKW47" s="19"/>
      <c r="GKX47" s="19"/>
      <c r="GKY47" s="19"/>
      <c r="GKZ47" s="19"/>
      <c r="GLA47" s="19"/>
      <c r="GLB47" s="19"/>
      <c r="GLC47" s="19"/>
      <c r="GLD47" s="19"/>
      <c r="GLE47" s="19"/>
      <c r="GLF47" s="19"/>
      <c r="GLG47" s="19"/>
      <c r="GLH47" s="19"/>
      <c r="GLI47" s="19"/>
      <c r="GLJ47" s="19"/>
      <c r="GLK47" s="19"/>
      <c r="GLL47" s="19"/>
      <c r="GLM47" s="19"/>
      <c r="GLN47" s="19"/>
      <c r="GLO47" s="19"/>
      <c r="GLP47" s="19"/>
      <c r="GLQ47" s="19"/>
      <c r="GLR47" s="19"/>
      <c r="GLS47" s="19"/>
      <c r="GLT47" s="19"/>
      <c r="GLU47" s="19"/>
      <c r="GLV47" s="19"/>
      <c r="GLW47" s="19"/>
      <c r="GLX47" s="19"/>
      <c r="GLY47" s="19"/>
      <c r="GLZ47" s="19"/>
      <c r="GMA47" s="19"/>
      <c r="GMB47" s="19"/>
      <c r="GMC47" s="19"/>
      <c r="GMD47" s="19"/>
      <c r="GME47" s="19"/>
      <c r="GMF47" s="19"/>
      <c r="GMG47" s="19"/>
      <c r="GMH47" s="19"/>
      <c r="GMI47" s="19"/>
      <c r="GMJ47" s="19"/>
      <c r="GMK47" s="19"/>
      <c r="GML47" s="19"/>
      <c r="GMM47" s="19"/>
      <c r="GMN47" s="19"/>
      <c r="GMO47" s="19"/>
      <c r="GMP47" s="19"/>
      <c r="GMQ47" s="19"/>
      <c r="GMR47" s="19"/>
      <c r="GMS47" s="19"/>
      <c r="GMT47" s="19"/>
      <c r="GMU47" s="19"/>
      <c r="GMV47" s="19"/>
      <c r="GMW47" s="19"/>
      <c r="GMX47" s="19"/>
      <c r="GMY47" s="19"/>
      <c r="GMZ47" s="19"/>
      <c r="GNA47" s="19"/>
      <c r="GNB47" s="19"/>
      <c r="GNC47" s="19"/>
      <c r="GND47" s="19"/>
      <c r="GNE47" s="19"/>
      <c r="GNF47" s="19"/>
      <c r="GNG47" s="19"/>
      <c r="GNH47" s="19"/>
      <c r="GNI47" s="19"/>
      <c r="GNJ47" s="19"/>
      <c r="GNK47" s="19"/>
      <c r="GNL47" s="19"/>
      <c r="GNM47" s="19"/>
      <c r="GNN47" s="19"/>
      <c r="GNO47" s="19"/>
      <c r="GNP47" s="19"/>
      <c r="GNQ47" s="19"/>
      <c r="GNR47" s="19"/>
      <c r="GNS47" s="19"/>
      <c r="GNT47" s="19"/>
      <c r="GNU47" s="19"/>
      <c r="GNV47" s="19"/>
      <c r="GNW47" s="19"/>
      <c r="GNX47" s="19"/>
      <c r="GNY47" s="19"/>
      <c r="GNZ47" s="19"/>
      <c r="GOA47" s="19"/>
      <c r="GOB47" s="19"/>
      <c r="GOC47" s="19"/>
      <c r="GOD47" s="19"/>
      <c r="GOE47" s="19"/>
      <c r="GOF47" s="19"/>
      <c r="GOG47" s="19"/>
      <c r="GOH47" s="19"/>
      <c r="GOI47" s="19"/>
      <c r="GOJ47" s="19"/>
      <c r="GOK47" s="19"/>
      <c r="GOL47" s="19"/>
      <c r="GOM47" s="19"/>
      <c r="GON47" s="19"/>
      <c r="GOO47" s="19"/>
      <c r="GOP47" s="19"/>
      <c r="GOQ47" s="19"/>
      <c r="GOR47" s="19"/>
      <c r="GOS47" s="19"/>
      <c r="GOT47" s="19"/>
      <c r="GOU47" s="19"/>
      <c r="GOV47" s="19"/>
      <c r="GOW47" s="19"/>
      <c r="GOX47" s="19"/>
      <c r="GOY47" s="19"/>
      <c r="GOZ47" s="19"/>
      <c r="GPA47" s="19"/>
      <c r="GPB47" s="19"/>
      <c r="GPC47" s="19"/>
      <c r="GPD47" s="19"/>
      <c r="GPE47" s="19"/>
      <c r="GPF47" s="19"/>
      <c r="GPG47" s="19"/>
      <c r="GPH47" s="19"/>
      <c r="GPI47" s="19"/>
      <c r="GPJ47" s="19"/>
      <c r="GPK47" s="19"/>
      <c r="GPL47" s="19"/>
      <c r="GPM47" s="19"/>
      <c r="GPN47" s="19"/>
      <c r="GPO47" s="19"/>
      <c r="GPP47" s="19"/>
      <c r="GPQ47" s="19"/>
      <c r="GPR47" s="19"/>
      <c r="GPS47" s="19"/>
      <c r="GPT47" s="19"/>
      <c r="GPU47" s="19"/>
      <c r="GPV47" s="19"/>
      <c r="GPW47" s="19"/>
      <c r="GPX47" s="19"/>
      <c r="GPY47" s="19"/>
      <c r="GPZ47" s="19"/>
      <c r="GQA47" s="19"/>
      <c r="GQB47" s="19"/>
      <c r="GQC47" s="19"/>
      <c r="GQD47" s="19"/>
      <c r="GQE47" s="19"/>
      <c r="GQF47" s="19"/>
      <c r="GQG47" s="19"/>
      <c r="GQH47" s="19"/>
      <c r="GQI47" s="19"/>
      <c r="GQJ47" s="19"/>
      <c r="GQK47" s="19"/>
      <c r="GQL47" s="19"/>
      <c r="GQM47" s="19"/>
      <c r="GQN47" s="19"/>
      <c r="GQO47" s="19"/>
      <c r="GQP47" s="19"/>
      <c r="GQQ47" s="19"/>
      <c r="GQR47" s="19"/>
      <c r="GQS47" s="19"/>
      <c r="GQT47" s="19"/>
      <c r="GQU47" s="19"/>
      <c r="GQV47" s="19"/>
      <c r="GQW47" s="19"/>
      <c r="GQX47" s="19"/>
      <c r="GQY47" s="19"/>
      <c r="GQZ47" s="19"/>
      <c r="GRA47" s="19"/>
      <c r="GRB47" s="19"/>
      <c r="GRC47" s="19"/>
      <c r="GRD47" s="19"/>
      <c r="GRE47" s="19"/>
      <c r="GRF47" s="19"/>
      <c r="GRG47" s="19"/>
      <c r="GRH47" s="19"/>
      <c r="GRI47" s="19"/>
      <c r="GRJ47" s="19"/>
      <c r="GRK47" s="19"/>
      <c r="GRL47" s="19"/>
      <c r="GRM47" s="19"/>
      <c r="GRN47" s="19"/>
      <c r="GRO47" s="19"/>
      <c r="GRP47" s="19"/>
      <c r="GRQ47" s="19"/>
      <c r="GRR47" s="19"/>
      <c r="GRS47" s="19"/>
      <c r="GRT47" s="19"/>
      <c r="GRU47" s="19"/>
      <c r="GRV47" s="19"/>
      <c r="GRW47" s="19"/>
      <c r="GRX47" s="19"/>
      <c r="GRY47" s="19"/>
      <c r="GRZ47" s="19"/>
      <c r="GSA47" s="19"/>
      <c r="GSB47" s="19"/>
      <c r="GSC47" s="19"/>
      <c r="GSD47" s="19"/>
      <c r="GSE47" s="19"/>
      <c r="GSF47" s="19"/>
      <c r="GSG47" s="19"/>
      <c r="GSH47" s="19"/>
      <c r="GSI47" s="19"/>
      <c r="GSJ47" s="19"/>
      <c r="GSK47" s="19"/>
      <c r="GSL47" s="19"/>
      <c r="GSM47" s="19"/>
      <c r="GSN47" s="19"/>
      <c r="GSO47" s="19"/>
      <c r="GSP47" s="19"/>
      <c r="GSQ47" s="19"/>
      <c r="GSR47" s="19"/>
      <c r="GSS47" s="19"/>
      <c r="GST47" s="19"/>
      <c r="GSU47" s="19"/>
      <c r="GSV47" s="19"/>
      <c r="GSW47" s="19"/>
      <c r="GSX47" s="19"/>
      <c r="GSY47" s="19"/>
      <c r="GSZ47" s="19"/>
      <c r="GTA47" s="19"/>
      <c r="GTB47" s="19"/>
      <c r="GTC47" s="19"/>
      <c r="GTD47" s="19"/>
      <c r="GTE47" s="19"/>
      <c r="GTF47" s="19"/>
      <c r="GTG47" s="19"/>
      <c r="GTH47" s="19"/>
      <c r="GTI47" s="19"/>
      <c r="GTJ47" s="19"/>
      <c r="GTK47" s="19"/>
      <c r="GTL47" s="19"/>
      <c r="GTM47" s="19"/>
      <c r="GTN47" s="19"/>
      <c r="GTO47" s="19"/>
      <c r="GTP47" s="19"/>
      <c r="GTQ47" s="19"/>
      <c r="GTR47" s="19"/>
      <c r="GTS47" s="19"/>
      <c r="GTT47" s="19"/>
      <c r="GTU47" s="19"/>
      <c r="GTV47" s="19"/>
      <c r="GTW47" s="19"/>
      <c r="GTX47" s="19"/>
      <c r="GTY47" s="19"/>
      <c r="GTZ47" s="19"/>
      <c r="GUA47" s="19"/>
      <c r="GUB47" s="19"/>
      <c r="GUC47" s="19"/>
      <c r="GUD47" s="19"/>
      <c r="GUE47" s="19"/>
      <c r="GUF47" s="19"/>
      <c r="GUG47" s="19"/>
      <c r="GUH47" s="19"/>
      <c r="GUI47" s="19"/>
      <c r="GUJ47" s="19"/>
      <c r="GUK47" s="19"/>
      <c r="GUL47" s="19"/>
      <c r="GUM47" s="19"/>
      <c r="GUN47" s="19"/>
      <c r="GUO47" s="19"/>
      <c r="GUP47" s="19"/>
      <c r="GUQ47" s="19"/>
      <c r="GUR47" s="19"/>
      <c r="GUS47" s="19"/>
      <c r="GUT47" s="19"/>
      <c r="GUU47" s="19"/>
      <c r="GUV47" s="19"/>
      <c r="GUW47" s="19"/>
      <c r="GUX47" s="19"/>
      <c r="GUY47" s="19"/>
      <c r="GUZ47" s="19"/>
      <c r="GVA47" s="19"/>
      <c r="GVB47" s="19"/>
      <c r="GVC47" s="19"/>
      <c r="GVD47" s="19"/>
      <c r="GVE47" s="19"/>
      <c r="GVF47" s="19"/>
      <c r="GVG47" s="19"/>
      <c r="GVH47" s="19"/>
      <c r="GVI47" s="19"/>
      <c r="GVJ47" s="19"/>
      <c r="GVK47" s="19"/>
      <c r="GVL47" s="19"/>
      <c r="GVM47" s="19"/>
      <c r="GVN47" s="19"/>
      <c r="GVO47" s="19"/>
      <c r="GVP47" s="19"/>
      <c r="GVQ47" s="19"/>
      <c r="GVR47" s="19"/>
      <c r="GVS47" s="19"/>
      <c r="GVT47" s="19"/>
      <c r="GVU47" s="19"/>
      <c r="GVV47" s="19"/>
      <c r="GVW47" s="19"/>
      <c r="GVX47" s="19"/>
      <c r="GVY47" s="19"/>
      <c r="GVZ47" s="19"/>
      <c r="GWA47" s="19"/>
      <c r="GWB47" s="19"/>
      <c r="GWC47" s="19"/>
      <c r="GWD47" s="19"/>
      <c r="GWE47" s="19"/>
      <c r="GWF47" s="19"/>
      <c r="GWG47" s="19"/>
      <c r="GWH47" s="19"/>
      <c r="GWI47" s="19"/>
      <c r="GWJ47" s="19"/>
      <c r="GWK47" s="19"/>
      <c r="GWL47" s="19"/>
      <c r="GWM47" s="19"/>
      <c r="GWN47" s="19"/>
      <c r="GWO47" s="19"/>
      <c r="GWP47" s="19"/>
      <c r="GWQ47" s="19"/>
      <c r="GWR47" s="19"/>
      <c r="GWS47" s="19"/>
      <c r="GWT47" s="19"/>
      <c r="GWU47" s="19"/>
      <c r="GWV47" s="19"/>
      <c r="GWW47" s="19"/>
      <c r="GWX47" s="19"/>
      <c r="GWY47" s="19"/>
      <c r="GWZ47" s="19"/>
      <c r="GXA47" s="19"/>
      <c r="GXB47" s="19"/>
      <c r="GXC47" s="19"/>
      <c r="GXD47" s="19"/>
      <c r="GXE47" s="19"/>
      <c r="GXF47" s="19"/>
      <c r="GXG47" s="19"/>
      <c r="GXH47" s="19"/>
      <c r="GXI47" s="19"/>
      <c r="GXJ47" s="19"/>
      <c r="GXK47" s="19"/>
      <c r="GXL47" s="19"/>
      <c r="GXM47" s="19"/>
      <c r="GXN47" s="19"/>
      <c r="GXO47" s="19"/>
      <c r="GXP47" s="19"/>
      <c r="GXQ47" s="19"/>
      <c r="GXR47" s="19"/>
      <c r="GXS47" s="19"/>
      <c r="GXT47" s="19"/>
      <c r="GXU47" s="19"/>
      <c r="GXV47" s="19"/>
      <c r="GXW47" s="19"/>
      <c r="GXX47" s="19"/>
      <c r="GXY47" s="19"/>
      <c r="GXZ47" s="19"/>
      <c r="GYA47" s="19"/>
      <c r="GYB47" s="19"/>
      <c r="GYC47" s="19"/>
      <c r="GYD47" s="19"/>
      <c r="GYE47" s="19"/>
      <c r="GYF47" s="19"/>
      <c r="GYG47" s="19"/>
      <c r="GYH47" s="19"/>
      <c r="GYI47" s="19"/>
      <c r="GYJ47" s="19"/>
      <c r="GYK47" s="19"/>
      <c r="GYL47" s="19"/>
      <c r="GYM47" s="19"/>
      <c r="GYN47" s="19"/>
      <c r="GYO47" s="19"/>
      <c r="GYP47" s="19"/>
      <c r="GYQ47" s="19"/>
      <c r="GYR47" s="19"/>
      <c r="GYS47" s="19"/>
      <c r="GYT47" s="19"/>
      <c r="GYU47" s="19"/>
      <c r="GYV47" s="19"/>
      <c r="GYW47" s="19"/>
      <c r="GYX47" s="19"/>
      <c r="GYY47" s="19"/>
      <c r="GYZ47" s="19"/>
      <c r="GZA47" s="19"/>
      <c r="GZB47" s="19"/>
      <c r="GZC47" s="19"/>
      <c r="GZD47" s="19"/>
      <c r="GZE47" s="19"/>
      <c r="GZF47" s="19"/>
      <c r="GZG47" s="19"/>
      <c r="GZH47" s="19"/>
      <c r="GZI47" s="19"/>
      <c r="GZJ47" s="19"/>
      <c r="GZK47" s="19"/>
      <c r="GZL47" s="19"/>
      <c r="GZM47" s="19"/>
      <c r="GZN47" s="19"/>
      <c r="GZO47" s="19"/>
      <c r="GZP47" s="19"/>
      <c r="GZQ47" s="19"/>
      <c r="GZR47" s="19"/>
      <c r="GZS47" s="19"/>
      <c r="GZT47" s="19"/>
      <c r="GZU47" s="19"/>
      <c r="GZV47" s="19"/>
      <c r="GZW47" s="19"/>
      <c r="GZX47" s="19"/>
      <c r="GZY47" s="19"/>
      <c r="GZZ47" s="19"/>
      <c r="HAA47" s="19"/>
      <c r="HAB47" s="19"/>
      <c r="HAC47" s="19"/>
      <c r="HAD47" s="19"/>
      <c r="HAE47" s="19"/>
      <c r="HAF47" s="19"/>
      <c r="HAG47" s="19"/>
      <c r="HAH47" s="19"/>
      <c r="HAI47" s="19"/>
      <c r="HAJ47" s="19"/>
      <c r="HAK47" s="19"/>
      <c r="HAL47" s="19"/>
      <c r="HAM47" s="19"/>
      <c r="HAN47" s="19"/>
      <c r="HAO47" s="19"/>
      <c r="HAP47" s="19"/>
      <c r="HAQ47" s="19"/>
      <c r="HAR47" s="19"/>
      <c r="HAS47" s="19"/>
      <c r="HAT47" s="19"/>
      <c r="HAU47" s="19"/>
      <c r="HAV47" s="19"/>
      <c r="HAW47" s="19"/>
      <c r="HAX47" s="19"/>
      <c r="HAY47" s="19"/>
      <c r="HAZ47" s="19"/>
      <c r="HBA47" s="19"/>
      <c r="HBB47" s="19"/>
      <c r="HBC47" s="19"/>
      <c r="HBD47" s="19"/>
      <c r="HBE47" s="19"/>
      <c r="HBF47" s="19"/>
      <c r="HBG47" s="19"/>
      <c r="HBH47" s="19"/>
      <c r="HBI47" s="19"/>
      <c r="HBJ47" s="19"/>
      <c r="HBK47" s="19"/>
      <c r="HBL47" s="19"/>
      <c r="HBM47" s="19"/>
      <c r="HBN47" s="19"/>
      <c r="HBO47" s="19"/>
      <c r="HBP47" s="19"/>
      <c r="HBQ47" s="19"/>
      <c r="HBR47" s="19"/>
      <c r="HBS47" s="19"/>
      <c r="HBT47" s="19"/>
      <c r="HBU47" s="19"/>
      <c r="HBV47" s="19"/>
      <c r="HBW47" s="19"/>
      <c r="HBX47" s="19"/>
      <c r="HBY47" s="19"/>
      <c r="HBZ47" s="19"/>
      <c r="HCA47" s="19"/>
      <c r="HCB47" s="19"/>
      <c r="HCC47" s="19"/>
      <c r="HCD47" s="19"/>
      <c r="HCE47" s="19"/>
      <c r="HCF47" s="19"/>
      <c r="HCG47" s="19"/>
      <c r="HCH47" s="19"/>
      <c r="HCI47" s="19"/>
      <c r="HCJ47" s="19"/>
      <c r="HCK47" s="19"/>
      <c r="HCL47" s="19"/>
      <c r="HCM47" s="19"/>
      <c r="HCN47" s="19"/>
      <c r="HCO47" s="19"/>
      <c r="HCP47" s="19"/>
      <c r="HCQ47" s="19"/>
      <c r="HCR47" s="19"/>
      <c r="HCS47" s="19"/>
      <c r="HCT47" s="19"/>
      <c r="HCU47" s="19"/>
      <c r="HCV47" s="19"/>
      <c r="HCW47" s="19"/>
      <c r="HCX47" s="19"/>
      <c r="HCY47" s="19"/>
      <c r="HCZ47" s="19"/>
      <c r="HDA47" s="19"/>
      <c r="HDB47" s="19"/>
      <c r="HDC47" s="19"/>
      <c r="HDD47" s="19"/>
      <c r="HDE47" s="19"/>
      <c r="HDF47" s="19"/>
      <c r="HDG47" s="19"/>
      <c r="HDH47" s="19"/>
      <c r="HDI47" s="19"/>
      <c r="HDJ47" s="19"/>
      <c r="HDK47" s="19"/>
      <c r="HDL47" s="19"/>
      <c r="HDM47" s="19"/>
      <c r="HDN47" s="19"/>
      <c r="HDO47" s="19"/>
      <c r="HDP47" s="19"/>
      <c r="HDQ47" s="19"/>
      <c r="HDR47" s="19"/>
      <c r="HDS47" s="19"/>
      <c r="HDT47" s="19"/>
      <c r="HDU47" s="19"/>
      <c r="HDV47" s="19"/>
      <c r="HDW47" s="19"/>
      <c r="HDX47" s="19"/>
      <c r="HDY47" s="19"/>
      <c r="HDZ47" s="19"/>
      <c r="HEA47" s="19"/>
      <c r="HEB47" s="19"/>
      <c r="HEC47" s="19"/>
      <c r="HED47" s="19"/>
      <c r="HEE47" s="19"/>
      <c r="HEF47" s="19"/>
      <c r="HEG47" s="19"/>
      <c r="HEH47" s="19"/>
      <c r="HEI47" s="19"/>
      <c r="HEJ47" s="19"/>
      <c r="HEK47" s="19"/>
      <c r="HEL47" s="19"/>
      <c r="HEM47" s="19"/>
      <c r="HEN47" s="19"/>
      <c r="HEO47" s="19"/>
      <c r="HEP47" s="19"/>
      <c r="HEQ47" s="19"/>
      <c r="HER47" s="19"/>
      <c r="HES47" s="19"/>
      <c r="HET47" s="19"/>
      <c r="HEU47" s="19"/>
      <c r="HEV47" s="19"/>
      <c r="HEW47" s="19"/>
      <c r="HEX47" s="19"/>
      <c r="HEY47" s="19"/>
      <c r="HEZ47" s="19"/>
      <c r="HFA47" s="19"/>
      <c r="HFB47" s="19"/>
      <c r="HFC47" s="19"/>
      <c r="HFD47" s="19"/>
      <c r="HFE47" s="19"/>
      <c r="HFF47" s="19"/>
      <c r="HFG47" s="19"/>
      <c r="HFH47" s="19"/>
      <c r="HFI47" s="19"/>
      <c r="HFJ47" s="19"/>
      <c r="HFK47" s="19"/>
      <c r="HFL47" s="19"/>
      <c r="HFM47" s="19"/>
      <c r="HFN47" s="19"/>
      <c r="HFO47" s="19"/>
      <c r="HFP47" s="19"/>
      <c r="HFQ47" s="19"/>
      <c r="HFR47" s="19"/>
      <c r="HFS47" s="19"/>
      <c r="HFT47" s="19"/>
      <c r="HFU47" s="19"/>
      <c r="HFV47" s="19"/>
      <c r="HFW47" s="19"/>
      <c r="HFX47" s="19"/>
      <c r="HFY47" s="19"/>
      <c r="HFZ47" s="19"/>
      <c r="HGA47" s="19"/>
      <c r="HGB47" s="19"/>
      <c r="HGC47" s="19"/>
      <c r="HGD47" s="19"/>
      <c r="HGE47" s="19"/>
      <c r="HGF47" s="19"/>
      <c r="HGG47" s="19"/>
      <c r="HGH47" s="19"/>
      <c r="HGI47" s="19"/>
      <c r="HGJ47" s="19"/>
      <c r="HGK47" s="19"/>
      <c r="HGL47" s="19"/>
      <c r="HGM47" s="19"/>
      <c r="HGN47" s="19"/>
      <c r="HGO47" s="19"/>
      <c r="HGP47" s="19"/>
      <c r="HGQ47" s="19"/>
      <c r="HGR47" s="19"/>
      <c r="HGS47" s="19"/>
      <c r="HGT47" s="19"/>
      <c r="HGU47" s="19"/>
      <c r="HGV47" s="19"/>
      <c r="HGW47" s="19"/>
      <c r="HGX47" s="19"/>
      <c r="HGY47" s="19"/>
      <c r="HGZ47" s="19"/>
      <c r="HHA47" s="19"/>
      <c r="HHB47" s="19"/>
      <c r="HHC47" s="19"/>
      <c r="HHD47" s="19"/>
      <c r="HHE47" s="19"/>
      <c r="HHF47" s="19"/>
      <c r="HHG47" s="19"/>
      <c r="HHH47" s="19"/>
      <c r="HHI47" s="19"/>
      <c r="HHJ47" s="19"/>
      <c r="HHK47" s="19"/>
      <c r="HHL47" s="19"/>
      <c r="HHM47" s="19"/>
      <c r="HHN47" s="19"/>
      <c r="HHO47" s="19"/>
      <c r="HHP47" s="19"/>
      <c r="HHQ47" s="19"/>
      <c r="HHR47" s="19"/>
      <c r="HHS47" s="19"/>
      <c r="HHT47" s="19"/>
      <c r="HHU47" s="19"/>
      <c r="HHV47" s="19"/>
      <c r="HHW47" s="19"/>
      <c r="HHX47" s="19"/>
      <c r="HHY47" s="19"/>
      <c r="HHZ47" s="19"/>
      <c r="HIA47" s="19"/>
      <c r="HIB47" s="19"/>
      <c r="HIC47" s="19"/>
      <c r="HID47" s="19"/>
      <c r="HIE47" s="19"/>
      <c r="HIF47" s="19"/>
      <c r="HIG47" s="19"/>
      <c r="HIH47" s="19"/>
      <c r="HII47" s="19"/>
      <c r="HIJ47" s="19"/>
      <c r="HIK47" s="19"/>
      <c r="HIL47" s="19"/>
      <c r="HIM47" s="19"/>
      <c r="HIN47" s="19"/>
      <c r="HIO47" s="19"/>
      <c r="HIP47" s="19"/>
      <c r="HIQ47" s="19"/>
      <c r="HIR47" s="19"/>
      <c r="HIS47" s="19"/>
      <c r="HIT47" s="19"/>
      <c r="HIU47" s="19"/>
      <c r="HIV47" s="19"/>
      <c r="HIW47" s="19"/>
      <c r="HIX47" s="19"/>
      <c r="HIY47" s="19"/>
      <c r="HIZ47" s="19"/>
      <c r="HJA47" s="19"/>
      <c r="HJB47" s="19"/>
      <c r="HJC47" s="19"/>
      <c r="HJD47" s="19"/>
      <c r="HJE47" s="19"/>
      <c r="HJF47" s="19"/>
      <c r="HJG47" s="19"/>
      <c r="HJH47" s="19"/>
      <c r="HJI47" s="19"/>
      <c r="HJJ47" s="19"/>
      <c r="HJK47" s="19"/>
      <c r="HJL47" s="19"/>
      <c r="HJM47" s="19"/>
      <c r="HJN47" s="19"/>
      <c r="HJO47" s="19"/>
      <c r="HJP47" s="19"/>
      <c r="HJQ47" s="19"/>
      <c r="HJR47" s="19"/>
      <c r="HJS47" s="19"/>
      <c r="HJT47" s="19"/>
      <c r="HJU47" s="19"/>
      <c r="HJV47" s="19"/>
      <c r="HJW47" s="19"/>
      <c r="HJX47" s="19"/>
      <c r="HJY47" s="19"/>
      <c r="HJZ47" s="19"/>
      <c r="HKA47" s="19"/>
      <c r="HKB47" s="19"/>
      <c r="HKC47" s="19"/>
      <c r="HKD47" s="19"/>
      <c r="HKE47" s="19"/>
      <c r="HKF47" s="19"/>
      <c r="HKG47" s="19"/>
      <c r="HKH47" s="19"/>
      <c r="HKI47" s="19"/>
      <c r="HKJ47" s="19"/>
      <c r="HKK47" s="19"/>
      <c r="HKL47" s="19"/>
      <c r="HKM47" s="19"/>
      <c r="HKN47" s="19"/>
      <c r="HKO47" s="19"/>
      <c r="HKP47" s="19"/>
      <c r="HKQ47" s="19"/>
      <c r="HKR47" s="19"/>
      <c r="HKS47" s="19"/>
      <c r="HKT47" s="19"/>
      <c r="HKU47" s="19"/>
      <c r="HKV47" s="19"/>
      <c r="HKW47" s="19"/>
      <c r="HKX47" s="19"/>
      <c r="HKY47" s="19"/>
      <c r="HKZ47" s="19"/>
      <c r="HLA47" s="19"/>
      <c r="HLB47" s="19"/>
      <c r="HLC47" s="19"/>
      <c r="HLD47" s="19"/>
      <c r="HLE47" s="19"/>
      <c r="HLF47" s="19"/>
      <c r="HLG47" s="19"/>
      <c r="HLH47" s="19"/>
      <c r="HLI47" s="19"/>
      <c r="HLJ47" s="19"/>
      <c r="HLK47" s="19"/>
      <c r="HLL47" s="19"/>
      <c r="HLM47" s="19"/>
      <c r="HLN47" s="19"/>
      <c r="HLO47" s="19"/>
      <c r="HLP47" s="19"/>
      <c r="HLQ47" s="19"/>
      <c r="HLR47" s="19"/>
      <c r="HLS47" s="19"/>
      <c r="HLT47" s="19"/>
      <c r="HLU47" s="19"/>
      <c r="HLV47" s="19"/>
      <c r="HLW47" s="19"/>
      <c r="HLX47" s="19"/>
      <c r="HLY47" s="19"/>
      <c r="HLZ47" s="19"/>
      <c r="HMA47" s="19"/>
      <c r="HMB47" s="19"/>
      <c r="HMC47" s="19"/>
      <c r="HMD47" s="19"/>
      <c r="HME47" s="19"/>
      <c r="HMF47" s="19"/>
      <c r="HMG47" s="19"/>
      <c r="HMH47" s="19"/>
      <c r="HMI47" s="19"/>
      <c r="HMJ47" s="19"/>
      <c r="HMK47" s="19"/>
      <c r="HML47" s="19"/>
      <c r="HMM47" s="19"/>
      <c r="HMN47" s="19"/>
      <c r="HMO47" s="19"/>
      <c r="HMP47" s="19"/>
      <c r="HMQ47" s="19"/>
      <c r="HMR47" s="19"/>
      <c r="HMS47" s="19"/>
      <c r="HMT47" s="19"/>
      <c r="HMU47" s="19"/>
      <c r="HMV47" s="19"/>
      <c r="HMW47" s="19"/>
      <c r="HMX47" s="19"/>
      <c r="HMY47" s="19"/>
      <c r="HMZ47" s="19"/>
      <c r="HNA47" s="19"/>
      <c r="HNB47" s="19"/>
      <c r="HNC47" s="19"/>
      <c r="HND47" s="19"/>
      <c r="HNE47" s="19"/>
      <c r="HNF47" s="19"/>
      <c r="HNG47" s="19"/>
      <c r="HNH47" s="19"/>
      <c r="HNI47" s="19"/>
      <c r="HNJ47" s="19"/>
      <c r="HNK47" s="19"/>
      <c r="HNL47" s="19"/>
      <c r="HNM47" s="19"/>
      <c r="HNN47" s="19"/>
      <c r="HNO47" s="19"/>
      <c r="HNP47" s="19"/>
      <c r="HNQ47" s="19"/>
      <c r="HNR47" s="19"/>
      <c r="HNS47" s="19"/>
      <c r="HNT47" s="19"/>
      <c r="HNU47" s="19"/>
      <c r="HNV47" s="19"/>
      <c r="HNW47" s="19"/>
      <c r="HNX47" s="19"/>
      <c r="HNY47" s="19"/>
      <c r="HNZ47" s="19"/>
      <c r="HOA47" s="19"/>
      <c r="HOB47" s="19"/>
      <c r="HOC47" s="19"/>
      <c r="HOD47" s="19"/>
      <c r="HOE47" s="19"/>
      <c r="HOF47" s="19"/>
      <c r="HOG47" s="19"/>
      <c r="HOH47" s="19"/>
      <c r="HOI47" s="19"/>
      <c r="HOJ47" s="19"/>
      <c r="HOK47" s="19"/>
      <c r="HOL47" s="19"/>
      <c r="HOM47" s="19"/>
      <c r="HON47" s="19"/>
      <c r="HOO47" s="19"/>
      <c r="HOP47" s="19"/>
      <c r="HOQ47" s="19"/>
      <c r="HOR47" s="19"/>
      <c r="HOS47" s="19"/>
      <c r="HOT47" s="19"/>
      <c r="HOU47" s="19"/>
      <c r="HOV47" s="19"/>
      <c r="HOW47" s="19"/>
      <c r="HOX47" s="19"/>
      <c r="HOY47" s="19"/>
      <c r="HOZ47" s="19"/>
      <c r="HPA47" s="19"/>
      <c r="HPB47" s="19"/>
      <c r="HPC47" s="19"/>
      <c r="HPD47" s="19"/>
      <c r="HPE47" s="19"/>
      <c r="HPF47" s="19"/>
      <c r="HPG47" s="19"/>
      <c r="HPH47" s="19"/>
      <c r="HPI47" s="19"/>
      <c r="HPJ47" s="19"/>
      <c r="HPK47" s="19"/>
      <c r="HPL47" s="19"/>
      <c r="HPM47" s="19"/>
      <c r="HPN47" s="19"/>
      <c r="HPO47" s="19"/>
      <c r="HPP47" s="19"/>
      <c r="HPQ47" s="19"/>
      <c r="HPR47" s="19"/>
      <c r="HPS47" s="19"/>
      <c r="HPT47" s="19"/>
      <c r="HPU47" s="19"/>
      <c r="HPV47" s="19"/>
      <c r="HPW47" s="19"/>
      <c r="HPX47" s="19"/>
      <c r="HPY47" s="19"/>
      <c r="HPZ47" s="19"/>
      <c r="HQA47" s="19"/>
      <c r="HQB47" s="19"/>
      <c r="HQC47" s="19"/>
      <c r="HQD47" s="19"/>
      <c r="HQE47" s="19"/>
      <c r="HQF47" s="19"/>
      <c r="HQG47" s="19"/>
      <c r="HQH47" s="19"/>
      <c r="HQI47" s="19"/>
      <c r="HQJ47" s="19"/>
      <c r="HQK47" s="19"/>
      <c r="HQL47" s="19"/>
      <c r="HQM47" s="19"/>
      <c r="HQN47" s="19"/>
      <c r="HQO47" s="19"/>
      <c r="HQP47" s="19"/>
      <c r="HQQ47" s="19"/>
      <c r="HQR47" s="19"/>
      <c r="HQS47" s="19"/>
      <c r="HQT47" s="19"/>
      <c r="HQU47" s="19"/>
      <c r="HQV47" s="19"/>
      <c r="HQW47" s="19"/>
      <c r="HQX47" s="19"/>
      <c r="HQY47" s="19"/>
      <c r="HQZ47" s="19"/>
      <c r="HRA47" s="19"/>
      <c r="HRB47" s="19"/>
      <c r="HRC47" s="19"/>
      <c r="HRD47" s="19"/>
      <c r="HRE47" s="19"/>
      <c r="HRF47" s="19"/>
      <c r="HRG47" s="19"/>
      <c r="HRH47" s="19"/>
      <c r="HRI47" s="19"/>
      <c r="HRJ47" s="19"/>
      <c r="HRK47" s="19"/>
      <c r="HRL47" s="19"/>
      <c r="HRM47" s="19"/>
      <c r="HRN47" s="19"/>
      <c r="HRO47" s="19"/>
      <c r="HRP47" s="19"/>
      <c r="HRQ47" s="19"/>
      <c r="HRR47" s="19"/>
      <c r="HRS47" s="19"/>
      <c r="HRT47" s="19"/>
      <c r="HRU47" s="19"/>
      <c r="HRV47" s="19"/>
      <c r="HRW47" s="19"/>
      <c r="HRX47" s="19"/>
      <c r="HRY47" s="19"/>
      <c r="HRZ47" s="19"/>
      <c r="HSA47" s="19"/>
      <c r="HSB47" s="19"/>
      <c r="HSC47" s="19"/>
      <c r="HSD47" s="19"/>
      <c r="HSE47" s="19"/>
      <c r="HSF47" s="19"/>
      <c r="HSG47" s="19"/>
      <c r="HSH47" s="19"/>
      <c r="HSI47" s="19"/>
      <c r="HSJ47" s="19"/>
      <c r="HSK47" s="19"/>
      <c r="HSL47" s="19"/>
      <c r="HSM47" s="19"/>
      <c r="HSN47" s="19"/>
      <c r="HSO47" s="19"/>
      <c r="HSP47" s="19"/>
      <c r="HSQ47" s="19"/>
      <c r="HSR47" s="19"/>
      <c r="HSS47" s="19"/>
      <c r="HST47" s="19"/>
      <c r="HSU47" s="19"/>
      <c r="HSV47" s="19"/>
      <c r="HSW47" s="19"/>
      <c r="HSX47" s="19"/>
      <c r="HSY47" s="19"/>
      <c r="HSZ47" s="19"/>
      <c r="HTA47" s="19"/>
      <c r="HTB47" s="19"/>
      <c r="HTC47" s="19"/>
      <c r="HTD47" s="19"/>
      <c r="HTE47" s="19"/>
      <c r="HTF47" s="19"/>
      <c r="HTG47" s="19"/>
      <c r="HTH47" s="19"/>
      <c r="HTI47" s="19"/>
      <c r="HTJ47" s="19"/>
      <c r="HTK47" s="19"/>
      <c r="HTL47" s="19"/>
      <c r="HTM47" s="19"/>
      <c r="HTN47" s="19"/>
      <c r="HTO47" s="19"/>
      <c r="HTP47" s="19"/>
      <c r="HTQ47" s="19"/>
      <c r="HTR47" s="19"/>
      <c r="HTS47" s="19"/>
      <c r="HTT47" s="19"/>
      <c r="HTU47" s="19"/>
      <c r="HTV47" s="19"/>
      <c r="HTW47" s="19"/>
      <c r="HTX47" s="19"/>
      <c r="HTY47" s="19"/>
      <c r="HTZ47" s="19"/>
      <c r="HUA47" s="19"/>
      <c r="HUB47" s="19"/>
      <c r="HUC47" s="19"/>
      <c r="HUD47" s="19"/>
      <c r="HUE47" s="19"/>
      <c r="HUF47" s="19"/>
      <c r="HUG47" s="19"/>
      <c r="HUH47" s="19"/>
      <c r="HUI47" s="19"/>
      <c r="HUJ47" s="19"/>
      <c r="HUK47" s="19"/>
      <c r="HUL47" s="19"/>
      <c r="HUM47" s="19"/>
      <c r="HUN47" s="19"/>
      <c r="HUO47" s="19"/>
      <c r="HUP47" s="19"/>
      <c r="HUQ47" s="19"/>
      <c r="HUR47" s="19"/>
      <c r="HUS47" s="19"/>
      <c r="HUT47" s="19"/>
      <c r="HUU47" s="19"/>
      <c r="HUV47" s="19"/>
      <c r="HUW47" s="19"/>
      <c r="HUX47" s="19"/>
      <c r="HUY47" s="19"/>
      <c r="HUZ47" s="19"/>
      <c r="HVA47" s="19"/>
      <c r="HVB47" s="19"/>
      <c r="HVC47" s="19"/>
      <c r="HVD47" s="19"/>
      <c r="HVE47" s="19"/>
      <c r="HVF47" s="19"/>
      <c r="HVG47" s="19"/>
      <c r="HVH47" s="19"/>
      <c r="HVI47" s="19"/>
      <c r="HVJ47" s="19"/>
      <c r="HVK47" s="19"/>
      <c r="HVL47" s="19"/>
      <c r="HVM47" s="19"/>
      <c r="HVN47" s="19"/>
      <c r="HVO47" s="19"/>
      <c r="HVP47" s="19"/>
      <c r="HVQ47" s="19"/>
      <c r="HVR47" s="19"/>
      <c r="HVS47" s="19"/>
      <c r="HVT47" s="19"/>
      <c r="HVU47" s="19"/>
      <c r="HVV47" s="19"/>
      <c r="HVW47" s="19"/>
      <c r="HVX47" s="19"/>
      <c r="HVY47" s="19"/>
      <c r="HVZ47" s="19"/>
      <c r="HWA47" s="19"/>
      <c r="HWB47" s="19"/>
      <c r="HWC47" s="19"/>
      <c r="HWD47" s="19"/>
      <c r="HWE47" s="19"/>
      <c r="HWF47" s="19"/>
      <c r="HWG47" s="19"/>
      <c r="HWH47" s="19"/>
      <c r="HWI47" s="19"/>
      <c r="HWJ47" s="19"/>
      <c r="HWK47" s="19"/>
      <c r="HWL47" s="19"/>
      <c r="HWM47" s="19"/>
      <c r="HWN47" s="19"/>
      <c r="HWO47" s="19"/>
      <c r="HWP47" s="19"/>
      <c r="HWQ47" s="19"/>
      <c r="HWR47" s="19"/>
      <c r="HWS47" s="19"/>
      <c r="HWT47" s="19"/>
      <c r="HWU47" s="19"/>
      <c r="HWV47" s="19"/>
      <c r="HWW47" s="19"/>
      <c r="HWX47" s="19"/>
      <c r="HWY47" s="19"/>
      <c r="HWZ47" s="19"/>
      <c r="HXA47" s="19"/>
      <c r="HXB47" s="19"/>
      <c r="HXC47" s="19"/>
      <c r="HXD47" s="19"/>
      <c r="HXE47" s="19"/>
      <c r="HXF47" s="19"/>
      <c r="HXG47" s="19"/>
      <c r="HXH47" s="19"/>
      <c r="HXI47" s="19"/>
      <c r="HXJ47" s="19"/>
      <c r="HXK47" s="19"/>
      <c r="HXL47" s="19"/>
      <c r="HXM47" s="19"/>
      <c r="HXN47" s="19"/>
      <c r="HXO47" s="19"/>
      <c r="HXP47" s="19"/>
      <c r="HXQ47" s="19"/>
      <c r="HXR47" s="19"/>
      <c r="HXS47" s="19"/>
      <c r="HXT47" s="19"/>
      <c r="HXU47" s="19"/>
      <c r="HXV47" s="19"/>
      <c r="HXW47" s="19"/>
      <c r="HXX47" s="19"/>
      <c r="HXY47" s="19"/>
      <c r="HXZ47" s="19"/>
      <c r="HYA47" s="19"/>
      <c r="HYB47" s="19"/>
      <c r="HYC47" s="19"/>
      <c r="HYD47" s="19"/>
      <c r="HYE47" s="19"/>
      <c r="HYF47" s="19"/>
      <c r="HYG47" s="19"/>
      <c r="HYH47" s="19"/>
      <c r="HYI47" s="19"/>
      <c r="HYJ47" s="19"/>
      <c r="HYK47" s="19"/>
      <c r="HYL47" s="19"/>
      <c r="HYM47" s="19"/>
      <c r="HYN47" s="19"/>
      <c r="HYO47" s="19"/>
      <c r="HYP47" s="19"/>
      <c r="HYQ47" s="19"/>
      <c r="HYR47" s="19"/>
      <c r="HYS47" s="19"/>
      <c r="HYT47" s="19"/>
      <c r="HYU47" s="19"/>
      <c r="HYV47" s="19"/>
      <c r="HYW47" s="19"/>
      <c r="HYX47" s="19"/>
      <c r="HYY47" s="19"/>
      <c r="HYZ47" s="19"/>
      <c r="HZA47" s="19"/>
      <c r="HZB47" s="19"/>
      <c r="HZC47" s="19"/>
      <c r="HZD47" s="19"/>
      <c r="HZE47" s="19"/>
      <c r="HZF47" s="19"/>
      <c r="HZG47" s="19"/>
      <c r="HZH47" s="19"/>
      <c r="HZI47" s="19"/>
      <c r="HZJ47" s="19"/>
      <c r="HZK47" s="19"/>
      <c r="HZL47" s="19"/>
      <c r="HZM47" s="19"/>
      <c r="HZN47" s="19"/>
      <c r="HZO47" s="19"/>
      <c r="HZP47" s="19"/>
      <c r="HZQ47" s="19"/>
      <c r="HZR47" s="19"/>
      <c r="HZS47" s="19"/>
      <c r="HZT47" s="19"/>
      <c r="HZU47" s="19"/>
      <c r="HZV47" s="19"/>
      <c r="HZW47" s="19"/>
      <c r="HZX47" s="19"/>
      <c r="HZY47" s="19"/>
      <c r="HZZ47" s="19"/>
      <c r="IAA47" s="19"/>
      <c r="IAB47" s="19"/>
      <c r="IAC47" s="19"/>
      <c r="IAD47" s="19"/>
      <c r="IAE47" s="19"/>
      <c r="IAF47" s="19"/>
      <c r="IAG47" s="19"/>
      <c r="IAH47" s="19"/>
      <c r="IAI47" s="19"/>
      <c r="IAJ47" s="19"/>
      <c r="IAK47" s="19"/>
      <c r="IAL47" s="19"/>
      <c r="IAM47" s="19"/>
      <c r="IAN47" s="19"/>
      <c r="IAO47" s="19"/>
      <c r="IAP47" s="19"/>
      <c r="IAQ47" s="19"/>
      <c r="IAR47" s="19"/>
      <c r="IAS47" s="19"/>
      <c r="IAT47" s="19"/>
      <c r="IAU47" s="19"/>
      <c r="IAV47" s="19"/>
      <c r="IAW47" s="19"/>
      <c r="IAX47" s="19"/>
      <c r="IAY47" s="19"/>
      <c r="IAZ47" s="19"/>
      <c r="IBA47" s="19"/>
      <c r="IBB47" s="19"/>
      <c r="IBC47" s="19"/>
      <c r="IBD47" s="19"/>
      <c r="IBE47" s="19"/>
      <c r="IBF47" s="19"/>
      <c r="IBG47" s="19"/>
      <c r="IBH47" s="19"/>
      <c r="IBI47" s="19"/>
      <c r="IBJ47" s="19"/>
      <c r="IBK47" s="19"/>
      <c r="IBL47" s="19"/>
      <c r="IBM47" s="19"/>
      <c r="IBN47" s="19"/>
      <c r="IBO47" s="19"/>
      <c r="IBP47" s="19"/>
      <c r="IBQ47" s="19"/>
      <c r="IBR47" s="19"/>
      <c r="IBS47" s="19"/>
      <c r="IBT47" s="19"/>
      <c r="IBU47" s="19"/>
      <c r="IBV47" s="19"/>
      <c r="IBW47" s="19"/>
      <c r="IBX47" s="19"/>
      <c r="IBY47" s="19"/>
      <c r="IBZ47" s="19"/>
      <c r="ICA47" s="19"/>
      <c r="ICB47" s="19"/>
      <c r="ICC47" s="19"/>
      <c r="ICD47" s="19"/>
      <c r="ICE47" s="19"/>
      <c r="ICF47" s="19"/>
      <c r="ICG47" s="19"/>
      <c r="ICH47" s="19"/>
      <c r="ICI47" s="19"/>
      <c r="ICJ47" s="19"/>
      <c r="ICK47" s="19"/>
      <c r="ICL47" s="19"/>
      <c r="ICM47" s="19"/>
      <c r="ICN47" s="19"/>
      <c r="ICO47" s="19"/>
      <c r="ICP47" s="19"/>
      <c r="ICQ47" s="19"/>
      <c r="ICR47" s="19"/>
      <c r="ICS47" s="19"/>
      <c r="ICT47" s="19"/>
      <c r="ICU47" s="19"/>
      <c r="ICV47" s="19"/>
      <c r="ICW47" s="19"/>
      <c r="ICX47" s="19"/>
      <c r="ICY47" s="19"/>
      <c r="ICZ47" s="19"/>
      <c r="IDA47" s="19"/>
      <c r="IDB47" s="19"/>
      <c r="IDC47" s="19"/>
      <c r="IDD47" s="19"/>
      <c r="IDE47" s="19"/>
      <c r="IDF47" s="19"/>
      <c r="IDG47" s="19"/>
      <c r="IDH47" s="19"/>
      <c r="IDI47" s="19"/>
      <c r="IDJ47" s="19"/>
      <c r="IDK47" s="19"/>
      <c r="IDL47" s="19"/>
      <c r="IDM47" s="19"/>
      <c r="IDN47" s="19"/>
      <c r="IDO47" s="19"/>
      <c r="IDP47" s="19"/>
      <c r="IDQ47" s="19"/>
      <c r="IDR47" s="19"/>
      <c r="IDS47" s="19"/>
      <c r="IDT47" s="19"/>
      <c r="IDU47" s="19"/>
      <c r="IDV47" s="19"/>
      <c r="IDW47" s="19"/>
      <c r="IDX47" s="19"/>
      <c r="IDY47" s="19"/>
      <c r="IDZ47" s="19"/>
      <c r="IEA47" s="19"/>
      <c r="IEB47" s="19"/>
      <c r="IEC47" s="19"/>
      <c r="IED47" s="19"/>
      <c r="IEE47" s="19"/>
      <c r="IEF47" s="19"/>
      <c r="IEG47" s="19"/>
      <c r="IEH47" s="19"/>
      <c r="IEI47" s="19"/>
      <c r="IEJ47" s="19"/>
      <c r="IEK47" s="19"/>
      <c r="IEL47" s="19"/>
      <c r="IEM47" s="19"/>
      <c r="IEN47" s="19"/>
      <c r="IEO47" s="19"/>
      <c r="IEP47" s="19"/>
      <c r="IEQ47" s="19"/>
      <c r="IER47" s="19"/>
      <c r="IES47" s="19"/>
      <c r="IET47" s="19"/>
      <c r="IEU47" s="19"/>
      <c r="IEV47" s="19"/>
      <c r="IEW47" s="19"/>
      <c r="IEX47" s="19"/>
      <c r="IEY47" s="19"/>
      <c r="IEZ47" s="19"/>
      <c r="IFA47" s="19"/>
      <c r="IFB47" s="19"/>
      <c r="IFC47" s="19"/>
      <c r="IFD47" s="19"/>
      <c r="IFE47" s="19"/>
      <c r="IFF47" s="19"/>
      <c r="IFG47" s="19"/>
      <c r="IFH47" s="19"/>
      <c r="IFI47" s="19"/>
      <c r="IFJ47" s="19"/>
      <c r="IFK47" s="19"/>
      <c r="IFL47" s="19"/>
      <c r="IFM47" s="19"/>
      <c r="IFN47" s="19"/>
      <c r="IFO47" s="19"/>
      <c r="IFP47" s="19"/>
      <c r="IFQ47" s="19"/>
      <c r="IFR47" s="19"/>
      <c r="IFS47" s="19"/>
      <c r="IFT47" s="19"/>
      <c r="IFU47" s="19"/>
      <c r="IFV47" s="19"/>
      <c r="IFW47" s="19"/>
      <c r="IFX47" s="19"/>
      <c r="IFY47" s="19"/>
      <c r="IFZ47" s="19"/>
      <c r="IGA47" s="19"/>
      <c r="IGB47" s="19"/>
      <c r="IGC47" s="19"/>
      <c r="IGD47" s="19"/>
      <c r="IGE47" s="19"/>
      <c r="IGF47" s="19"/>
      <c r="IGG47" s="19"/>
      <c r="IGH47" s="19"/>
      <c r="IGI47" s="19"/>
      <c r="IGJ47" s="19"/>
      <c r="IGK47" s="19"/>
      <c r="IGL47" s="19"/>
      <c r="IGM47" s="19"/>
      <c r="IGN47" s="19"/>
      <c r="IGO47" s="19"/>
      <c r="IGP47" s="19"/>
      <c r="IGQ47" s="19"/>
      <c r="IGR47" s="19"/>
      <c r="IGS47" s="19"/>
      <c r="IGT47" s="19"/>
      <c r="IGU47" s="19"/>
      <c r="IGV47" s="19"/>
      <c r="IGW47" s="19"/>
      <c r="IGX47" s="19"/>
      <c r="IGY47" s="19"/>
      <c r="IGZ47" s="19"/>
      <c r="IHA47" s="19"/>
      <c r="IHB47" s="19"/>
      <c r="IHC47" s="19"/>
      <c r="IHD47" s="19"/>
      <c r="IHE47" s="19"/>
      <c r="IHF47" s="19"/>
      <c r="IHG47" s="19"/>
      <c r="IHH47" s="19"/>
      <c r="IHI47" s="19"/>
      <c r="IHJ47" s="19"/>
      <c r="IHK47" s="19"/>
      <c r="IHL47" s="19"/>
      <c r="IHM47" s="19"/>
      <c r="IHN47" s="19"/>
      <c r="IHO47" s="19"/>
      <c r="IHP47" s="19"/>
      <c r="IHQ47" s="19"/>
      <c r="IHR47" s="19"/>
      <c r="IHS47" s="19"/>
      <c r="IHT47" s="19"/>
      <c r="IHU47" s="19"/>
      <c r="IHV47" s="19"/>
      <c r="IHW47" s="19"/>
      <c r="IHX47" s="19"/>
      <c r="IHY47" s="19"/>
      <c r="IHZ47" s="19"/>
      <c r="IIA47" s="19"/>
      <c r="IIB47" s="19"/>
      <c r="IIC47" s="19"/>
      <c r="IID47" s="19"/>
      <c r="IIE47" s="19"/>
      <c r="IIF47" s="19"/>
      <c r="IIG47" s="19"/>
      <c r="IIH47" s="19"/>
      <c r="III47" s="19"/>
      <c r="IIJ47" s="19"/>
      <c r="IIK47" s="19"/>
      <c r="IIL47" s="19"/>
      <c r="IIM47" s="19"/>
      <c r="IIN47" s="19"/>
      <c r="IIO47" s="19"/>
      <c r="IIP47" s="19"/>
      <c r="IIQ47" s="19"/>
      <c r="IIR47" s="19"/>
      <c r="IIS47" s="19"/>
      <c r="IIT47" s="19"/>
      <c r="IIU47" s="19"/>
      <c r="IIV47" s="19"/>
      <c r="IIW47" s="19"/>
      <c r="IIX47" s="19"/>
      <c r="IIY47" s="19"/>
      <c r="IIZ47" s="19"/>
      <c r="IJA47" s="19"/>
      <c r="IJB47" s="19"/>
      <c r="IJC47" s="19"/>
      <c r="IJD47" s="19"/>
      <c r="IJE47" s="19"/>
      <c r="IJF47" s="19"/>
      <c r="IJG47" s="19"/>
      <c r="IJH47" s="19"/>
      <c r="IJI47" s="19"/>
      <c r="IJJ47" s="19"/>
      <c r="IJK47" s="19"/>
      <c r="IJL47" s="19"/>
      <c r="IJM47" s="19"/>
      <c r="IJN47" s="19"/>
      <c r="IJO47" s="19"/>
      <c r="IJP47" s="19"/>
      <c r="IJQ47" s="19"/>
      <c r="IJR47" s="19"/>
      <c r="IJS47" s="19"/>
      <c r="IJT47" s="19"/>
      <c r="IJU47" s="19"/>
      <c r="IJV47" s="19"/>
      <c r="IJW47" s="19"/>
      <c r="IJX47" s="19"/>
      <c r="IJY47" s="19"/>
      <c r="IJZ47" s="19"/>
      <c r="IKA47" s="19"/>
      <c r="IKB47" s="19"/>
      <c r="IKC47" s="19"/>
      <c r="IKD47" s="19"/>
      <c r="IKE47" s="19"/>
      <c r="IKF47" s="19"/>
      <c r="IKG47" s="19"/>
      <c r="IKH47" s="19"/>
      <c r="IKI47" s="19"/>
      <c r="IKJ47" s="19"/>
      <c r="IKK47" s="19"/>
      <c r="IKL47" s="19"/>
      <c r="IKM47" s="19"/>
      <c r="IKN47" s="19"/>
      <c r="IKO47" s="19"/>
      <c r="IKP47" s="19"/>
      <c r="IKQ47" s="19"/>
      <c r="IKR47" s="19"/>
      <c r="IKS47" s="19"/>
      <c r="IKT47" s="19"/>
      <c r="IKU47" s="19"/>
      <c r="IKV47" s="19"/>
      <c r="IKW47" s="19"/>
      <c r="IKX47" s="19"/>
      <c r="IKY47" s="19"/>
      <c r="IKZ47" s="19"/>
      <c r="ILA47" s="19"/>
      <c r="ILB47" s="19"/>
      <c r="ILC47" s="19"/>
      <c r="ILD47" s="19"/>
      <c r="ILE47" s="19"/>
      <c r="ILF47" s="19"/>
      <c r="ILG47" s="19"/>
      <c r="ILH47" s="19"/>
      <c r="ILI47" s="19"/>
      <c r="ILJ47" s="19"/>
      <c r="ILK47" s="19"/>
      <c r="ILL47" s="19"/>
      <c r="ILM47" s="19"/>
      <c r="ILN47" s="19"/>
      <c r="ILO47" s="19"/>
      <c r="ILP47" s="19"/>
      <c r="ILQ47" s="19"/>
      <c r="ILR47" s="19"/>
      <c r="ILS47" s="19"/>
      <c r="ILT47" s="19"/>
      <c r="ILU47" s="19"/>
      <c r="ILV47" s="19"/>
      <c r="ILW47" s="19"/>
      <c r="ILX47" s="19"/>
      <c r="ILY47" s="19"/>
      <c r="ILZ47" s="19"/>
      <c r="IMA47" s="19"/>
      <c r="IMB47" s="19"/>
      <c r="IMC47" s="19"/>
      <c r="IMD47" s="19"/>
      <c r="IME47" s="19"/>
      <c r="IMF47" s="19"/>
      <c r="IMG47" s="19"/>
      <c r="IMH47" s="19"/>
      <c r="IMI47" s="19"/>
      <c r="IMJ47" s="19"/>
      <c r="IMK47" s="19"/>
      <c r="IML47" s="19"/>
      <c r="IMM47" s="19"/>
      <c r="IMN47" s="19"/>
      <c r="IMO47" s="19"/>
      <c r="IMP47" s="19"/>
      <c r="IMQ47" s="19"/>
      <c r="IMR47" s="19"/>
      <c r="IMS47" s="19"/>
      <c r="IMT47" s="19"/>
      <c r="IMU47" s="19"/>
      <c r="IMV47" s="19"/>
      <c r="IMW47" s="19"/>
      <c r="IMX47" s="19"/>
      <c r="IMY47" s="19"/>
      <c r="IMZ47" s="19"/>
      <c r="INA47" s="19"/>
      <c r="INB47" s="19"/>
      <c r="INC47" s="19"/>
      <c r="IND47" s="19"/>
      <c r="INE47" s="19"/>
      <c r="INF47" s="19"/>
      <c r="ING47" s="19"/>
      <c r="INH47" s="19"/>
      <c r="INI47" s="19"/>
      <c r="INJ47" s="19"/>
      <c r="INK47" s="19"/>
      <c r="INL47" s="19"/>
      <c r="INM47" s="19"/>
      <c r="INN47" s="19"/>
      <c r="INO47" s="19"/>
      <c r="INP47" s="19"/>
      <c r="INQ47" s="19"/>
      <c r="INR47" s="19"/>
      <c r="INS47" s="19"/>
      <c r="INT47" s="19"/>
      <c r="INU47" s="19"/>
      <c r="INV47" s="19"/>
      <c r="INW47" s="19"/>
      <c r="INX47" s="19"/>
      <c r="INY47" s="19"/>
      <c r="INZ47" s="19"/>
      <c r="IOA47" s="19"/>
      <c r="IOB47" s="19"/>
      <c r="IOC47" s="19"/>
      <c r="IOD47" s="19"/>
      <c r="IOE47" s="19"/>
      <c r="IOF47" s="19"/>
      <c r="IOG47" s="19"/>
      <c r="IOH47" s="19"/>
      <c r="IOI47" s="19"/>
      <c r="IOJ47" s="19"/>
      <c r="IOK47" s="19"/>
      <c r="IOL47" s="19"/>
      <c r="IOM47" s="19"/>
      <c r="ION47" s="19"/>
      <c r="IOO47" s="19"/>
      <c r="IOP47" s="19"/>
      <c r="IOQ47" s="19"/>
      <c r="IOR47" s="19"/>
      <c r="IOS47" s="19"/>
      <c r="IOT47" s="19"/>
      <c r="IOU47" s="19"/>
      <c r="IOV47" s="19"/>
      <c r="IOW47" s="19"/>
      <c r="IOX47" s="19"/>
      <c r="IOY47" s="19"/>
      <c r="IOZ47" s="19"/>
      <c r="IPA47" s="19"/>
      <c r="IPB47" s="19"/>
      <c r="IPC47" s="19"/>
      <c r="IPD47" s="19"/>
      <c r="IPE47" s="19"/>
      <c r="IPF47" s="19"/>
      <c r="IPG47" s="19"/>
      <c r="IPH47" s="19"/>
      <c r="IPI47" s="19"/>
      <c r="IPJ47" s="19"/>
      <c r="IPK47" s="19"/>
      <c r="IPL47" s="19"/>
      <c r="IPM47" s="19"/>
      <c r="IPN47" s="19"/>
      <c r="IPO47" s="19"/>
      <c r="IPP47" s="19"/>
      <c r="IPQ47" s="19"/>
      <c r="IPR47" s="19"/>
      <c r="IPS47" s="19"/>
      <c r="IPT47" s="19"/>
      <c r="IPU47" s="19"/>
      <c r="IPV47" s="19"/>
      <c r="IPW47" s="19"/>
      <c r="IPX47" s="19"/>
      <c r="IPY47" s="19"/>
      <c r="IPZ47" s="19"/>
      <c r="IQA47" s="19"/>
      <c r="IQB47" s="19"/>
      <c r="IQC47" s="19"/>
      <c r="IQD47" s="19"/>
      <c r="IQE47" s="19"/>
      <c r="IQF47" s="19"/>
      <c r="IQG47" s="19"/>
      <c r="IQH47" s="19"/>
      <c r="IQI47" s="19"/>
      <c r="IQJ47" s="19"/>
      <c r="IQK47" s="19"/>
      <c r="IQL47" s="19"/>
      <c r="IQM47" s="19"/>
      <c r="IQN47" s="19"/>
      <c r="IQO47" s="19"/>
      <c r="IQP47" s="19"/>
      <c r="IQQ47" s="19"/>
      <c r="IQR47" s="19"/>
      <c r="IQS47" s="19"/>
      <c r="IQT47" s="19"/>
      <c r="IQU47" s="19"/>
      <c r="IQV47" s="19"/>
      <c r="IQW47" s="19"/>
      <c r="IQX47" s="19"/>
      <c r="IQY47" s="19"/>
      <c r="IQZ47" s="19"/>
      <c r="IRA47" s="19"/>
      <c r="IRB47" s="19"/>
      <c r="IRC47" s="19"/>
      <c r="IRD47" s="19"/>
      <c r="IRE47" s="19"/>
      <c r="IRF47" s="19"/>
      <c r="IRG47" s="19"/>
      <c r="IRH47" s="19"/>
      <c r="IRI47" s="19"/>
      <c r="IRJ47" s="19"/>
      <c r="IRK47" s="19"/>
      <c r="IRL47" s="19"/>
      <c r="IRM47" s="19"/>
      <c r="IRN47" s="19"/>
      <c r="IRO47" s="19"/>
      <c r="IRP47" s="19"/>
      <c r="IRQ47" s="19"/>
      <c r="IRR47" s="19"/>
      <c r="IRS47" s="19"/>
      <c r="IRT47" s="19"/>
      <c r="IRU47" s="19"/>
      <c r="IRV47" s="19"/>
      <c r="IRW47" s="19"/>
      <c r="IRX47" s="19"/>
      <c r="IRY47" s="19"/>
      <c r="IRZ47" s="19"/>
      <c r="ISA47" s="19"/>
      <c r="ISB47" s="19"/>
      <c r="ISC47" s="19"/>
      <c r="ISD47" s="19"/>
      <c r="ISE47" s="19"/>
      <c r="ISF47" s="19"/>
      <c r="ISG47" s="19"/>
      <c r="ISH47" s="19"/>
      <c r="ISI47" s="19"/>
      <c r="ISJ47" s="19"/>
      <c r="ISK47" s="19"/>
      <c r="ISL47" s="19"/>
      <c r="ISM47" s="19"/>
      <c r="ISN47" s="19"/>
      <c r="ISO47" s="19"/>
      <c r="ISP47" s="19"/>
      <c r="ISQ47" s="19"/>
      <c r="ISR47" s="19"/>
      <c r="ISS47" s="19"/>
      <c r="IST47" s="19"/>
      <c r="ISU47" s="19"/>
      <c r="ISV47" s="19"/>
      <c r="ISW47" s="19"/>
      <c r="ISX47" s="19"/>
      <c r="ISY47" s="19"/>
      <c r="ISZ47" s="19"/>
      <c r="ITA47" s="19"/>
      <c r="ITB47" s="19"/>
      <c r="ITC47" s="19"/>
      <c r="ITD47" s="19"/>
      <c r="ITE47" s="19"/>
      <c r="ITF47" s="19"/>
      <c r="ITG47" s="19"/>
      <c r="ITH47" s="19"/>
      <c r="ITI47" s="19"/>
      <c r="ITJ47" s="19"/>
      <c r="ITK47" s="19"/>
      <c r="ITL47" s="19"/>
      <c r="ITM47" s="19"/>
      <c r="ITN47" s="19"/>
      <c r="ITO47" s="19"/>
      <c r="ITP47" s="19"/>
      <c r="ITQ47" s="19"/>
      <c r="ITR47" s="19"/>
      <c r="ITS47" s="19"/>
      <c r="ITT47" s="19"/>
      <c r="ITU47" s="19"/>
      <c r="ITV47" s="19"/>
      <c r="ITW47" s="19"/>
      <c r="ITX47" s="19"/>
      <c r="ITY47" s="19"/>
      <c r="ITZ47" s="19"/>
      <c r="IUA47" s="19"/>
      <c r="IUB47" s="19"/>
      <c r="IUC47" s="19"/>
      <c r="IUD47" s="19"/>
      <c r="IUE47" s="19"/>
      <c r="IUF47" s="19"/>
      <c r="IUG47" s="19"/>
      <c r="IUH47" s="19"/>
      <c r="IUI47" s="19"/>
      <c r="IUJ47" s="19"/>
      <c r="IUK47" s="19"/>
      <c r="IUL47" s="19"/>
      <c r="IUM47" s="19"/>
      <c r="IUN47" s="19"/>
      <c r="IUO47" s="19"/>
      <c r="IUP47" s="19"/>
      <c r="IUQ47" s="19"/>
      <c r="IUR47" s="19"/>
      <c r="IUS47" s="19"/>
      <c r="IUT47" s="19"/>
      <c r="IUU47" s="19"/>
      <c r="IUV47" s="19"/>
      <c r="IUW47" s="19"/>
      <c r="IUX47" s="19"/>
      <c r="IUY47" s="19"/>
      <c r="IUZ47" s="19"/>
      <c r="IVA47" s="19"/>
      <c r="IVB47" s="19"/>
      <c r="IVC47" s="19"/>
      <c r="IVD47" s="19"/>
      <c r="IVE47" s="19"/>
      <c r="IVF47" s="19"/>
      <c r="IVG47" s="19"/>
      <c r="IVH47" s="19"/>
      <c r="IVI47" s="19"/>
      <c r="IVJ47" s="19"/>
      <c r="IVK47" s="19"/>
      <c r="IVL47" s="19"/>
      <c r="IVM47" s="19"/>
      <c r="IVN47" s="19"/>
      <c r="IVO47" s="19"/>
      <c r="IVP47" s="19"/>
      <c r="IVQ47" s="19"/>
      <c r="IVR47" s="19"/>
      <c r="IVS47" s="19"/>
      <c r="IVT47" s="19"/>
      <c r="IVU47" s="19"/>
      <c r="IVV47" s="19"/>
      <c r="IVW47" s="19"/>
      <c r="IVX47" s="19"/>
      <c r="IVY47" s="19"/>
      <c r="IVZ47" s="19"/>
      <c r="IWA47" s="19"/>
      <c r="IWB47" s="19"/>
      <c r="IWC47" s="19"/>
      <c r="IWD47" s="19"/>
      <c r="IWE47" s="19"/>
      <c r="IWF47" s="19"/>
      <c r="IWG47" s="19"/>
      <c r="IWH47" s="19"/>
      <c r="IWI47" s="19"/>
      <c r="IWJ47" s="19"/>
      <c r="IWK47" s="19"/>
      <c r="IWL47" s="19"/>
      <c r="IWM47" s="19"/>
      <c r="IWN47" s="19"/>
      <c r="IWO47" s="19"/>
      <c r="IWP47" s="19"/>
      <c r="IWQ47" s="19"/>
      <c r="IWR47" s="19"/>
      <c r="IWS47" s="19"/>
      <c r="IWT47" s="19"/>
      <c r="IWU47" s="19"/>
      <c r="IWV47" s="19"/>
      <c r="IWW47" s="19"/>
      <c r="IWX47" s="19"/>
      <c r="IWY47" s="19"/>
      <c r="IWZ47" s="19"/>
      <c r="IXA47" s="19"/>
      <c r="IXB47" s="19"/>
      <c r="IXC47" s="19"/>
      <c r="IXD47" s="19"/>
      <c r="IXE47" s="19"/>
      <c r="IXF47" s="19"/>
      <c r="IXG47" s="19"/>
      <c r="IXH47" s="19"/>
      <c r="IXI47" s="19"/>
      <c r="IXJ47" s="19"/>
      <c r="IXK47" s="19"/>
      <c r="IXL47" s="19"/>
      <c r="IXM47" s="19"/>
      <c r="IXN47" s="19"/>
      <c r="IXO47" s="19"/>
      <c r="IXP47" s="19"/>
      <c r="IXQ47" s="19"/>
      <c r="IXR47" s="19"/>
      <c r="IXS47" s="19"/>
      <c r="IXT47" s="19"/>
      <c r="IXU47" s="19"/>
      <c r="IXV47" s="19"/>
      <c r="IXW47" s="19"/>
      <c r="IXX47" s="19"/>
      <c r="IXY47" s="19"/>
      <c r="IXZ47" s="19"/>
      <c r="IYA47" s="19"/>
      <c r="IYB47" s="19"/>
      <c r="IYC47" s="19"/>
      <c r="IYD47" s="19"/>
      <c r="IYE47" s="19"/>
      <c r="IYF47" s="19"/>
      <c r="IYG47" s="19"/>
      <c r="IYH47" s="19"/>
      <c r="IYI47" s="19"/>
      <c r="IYJ47" s="19"/>
      <c r="IYK47" s="19"/>
      <c r="IYL47" s="19"/>
      <c r="IYM47" s="19"/>
      <c r="IYN47" s="19"/>
      <c r="IYO47" s="19"/>
      <c r="IYP47" s="19"/>
      <c r="IYQ47" s="19"/>
      <c r="IYR47" s="19"/>
      <c r="IYS47" s="19"/>
      <c r="IYT47" s="19"/>
      <c r="IYU47" s="19"/>
      <c r="IYV47" s="19"/>
      <c r="IYW47" s="19"/>
      <c r="IYX47" s="19"/>
      <c r="IYY47" s="19"/>
      <c r="IYZ47" s="19"/>
      <c r="IZA47" s="19"/>
      <c r="IZB47" s="19"/>
      <c r="IZC47" s="19"/>
      <c r="IZD47" s="19"/>
      <c r="IZE47" s="19"/>
      <c r="IZF47" s="19"/>
      <c r="IZG47" s="19"/>
      <c r="IZH47" s="19"/>
      <c r="IZI47" s="19"/>
      <c r="IZJ47" s="19"/>
      <c r="IZK47" s="19"/>
      <c r="IZL47" s="19"/>
      <c r="IZM47" s="19"/>
      <c r="IZN47" s="19"/>
      <c r="IZO47" s="19"/>
      <c r="IZP47" s="19"/>
      <c r="IZQ47" s="19"/>
      <c r="IZR47" s="19"/>
      <c r="IZS47" s="19"/>
      <c r="IZT47" s="19"/>
      <c r="IZU47" s="19"/>
      <c r="IZV47" s="19"/>
      <c r="IZW47" s="19"/>
      <c r="IZX47" s="19"/>
      <c r="IZY47" s="19"/>
      <c r="IZZ47" s="19"/>
      <c r="JAA47" s="19"/>
      <c r="JAB47" s="19"/>
      <c r="JAC47" s="19"/>
      <c r="JAD47" s="19"/>
      <c r="JAE47" s="19"/>
      <c r="JAF47" s="19"/>
      <c r="JAG47" s="19"/>
      <c r="JAH47" s="19"/>
      <c r="JAI47" s="19"/>
      <c r="JAJ47" s="19"/>
      <c r="JAK47" s="19"/>
      <c r="JAL47" s="19"/>
      <c r="JAM47" s="19"/>
      <c r="JAN47" s="19"/>
      <c r="JAO47" s="19"/>
      <c r="JAP47" s="19"/>
      <c r="JAQ47" s="19"/>
      <c r="JAR47" s="19"/>
      <c r="JAS47" s="19"/>
      <c r="JAT47" s="19"/>
      <c r="JAU47" s="19"/>
      <c r="JAV47" s="19"/>
      <c r="JAW47" s="19"/>
      <c r="JAX47" s="19"/>
      <c r="JAY47" s="19"/>
      <c r="JAZ47" s="19"/>
      <c r="JBA47" s="19"/>
      <c r="JBB47" s="19"/>
      <c r="JBC47" s="19"/>
      <c r="JBD47" s="19"/>
      <c r="JBE47" s="19"/>
      <c r="JBF47" s="19"/>
      <c r="JBG47" s="19"/>
      <c r="JBH47" s="19"/>
      <c r="JBI47" s="19"/>
      <c r="JBJ47" s="19"/>
      <c r="JBK47" s="19"/>
      <c r="JBL47" s="19"/>
      <c r="JBM47" s="19"/>
      <c r="JBN47" s="19"/>
      <c r="JBO47" s="19"/>
      <c r="JBP47" s="19"/>
      <c r="JBQ47" s="19"/>
      <c r="JBR47" s="19"/>
      <c r="JBS47" s="19"/>
      <c r="JBT47" s="19"/>
      <c r="JBU47" s="19"/>
      <c r="JBV47" s="19"/>
      <c r="JBW47" s="19"/>
      <c r="JBX47" s="19"/>
      <c r="JBY47" s="19"/>
      <c r="JBZ47" s="19"/>
      <c r="JCA47" s="19"/>
      <c r="JCB47" s="19"/>
      <c r="JCC47" s="19"/>
      <c r="JCD47" s="19"/>
      <c r="JCE47" s="19"/>
      <c r="JCF47" s="19"/>
      <c r="JCG47" s="19"/>
      <c r="JCH47" s="19"/>
      <c r="JCI47" s="19"/>
      <c r="JCJ47" s="19"/>
      <c r="JCK47" s="19"/>
      <c r="JCL47" s="19"/>
      <c r="JCM47" s="19"/>
      <c r="JCN47" s="19"/>
      <c r="JCO47" s="19"/>
      <c r="JCP47" s="19"/>
      <c r="JCQ47" s="19"/>
      <c r="JCR47" s="19"/>
      <c r="JCS47" s="19"/>
      <c r="JCT47" s="19"/>
      <c r="JCU47" s="19"/>
      <c r="JCV47" s="19"/>
      <c r="JCW47" s="19"/>
      <c r="JCX47" s="19"/>
      <c r="JCY47" s="19"/>
      <c r="JCZ47" s="19"/>
      <c r="JDA47" s="19"/>
      <c r="JDB47" s="19"/>
      <c r="JDC47" s="19"/>
      <c r="JDD47" s="19"/>
      <c r="JDE47" s="19"/>
      <c r="JDF47" s="19"/>
      <c r="JDG47" s="19"/>
      <c r="JDH47" s="19"/>
      <c r="JDI47" s="19"/>
      <c r="JDJ47" s="19"/>
      <c r="JDK47" s="19"/>
      <c r="JDL47" s="19"/>
      <c r="JDM47" s="19"/>
      <c r="JDN47" s="19"/>
      <c r="JDO47" s="19"/>
      <c r="JDP47" s="19"/>
      <c r="JDQ47" s="19"/>
      <c r="JDR47" s="19"/>
      <c r="JDS47" s="19"/>
      <c r="JDT47" s="19"/>
      <c r="JDU47" s="19"/>
      <c r="JDV47" s="19"/>
      <c r="JDW47" s="19"/>
      <c r="JDX47" s="19"/>
      <c r="JDY47" s="19"/>
      <c r="JDZ47" s="19"/>
      <c r="JEA47" s="19"/>
      <c r="JEB47" s="19"/>
      <c r="JEC47" s="19"/>
      <c r="JED47" s="19"/>
      <c r="JEE47" s="19"/>
      <c r="JEF47" s="19"/>
      <c r="JEG47" s="19"/>
      <c r="JEH47" s="19"/>
      <c r="JEI47" s="19"/>
      <c r="JEJ47" s="19"/>
      <c r="JEK47" s="19"/>
      <c r="JEL47" s="19"/>
      <c r="JEM47" s="19"/>
      <c r="JEN47" s="19"/>
      <c r="JEO47" s="19"/>
      <c r="JEP47" s="19"/>
      <c r="JEQ47" s="19"/>
      <c r="JER47" s="19"/>
      <c r="JES47" s="19"/>
      <c r="JET47" s="19"/>
      <c r="JEU47" s="19"/>
      <c r="JEV47" s="19"/>
      <c r="JEW47" s="19"/>
      <c r="JEX47" s="19"/>
      <c r="JEY47" s="19"/>
      <c r="JEZ47" s="19"/>
      <c r="JFA47" s="19"/>
      <c r="JFB47" s="19"/>
      <c r="JFC47" s="19"/>
      <c r="JFD47" s="19"/>
      <c r="JFE47" s="19"/>
      <c r="JFF47" s="19"/>
      <c r="JFG47" s="19"/>
      <c r="JFH47" s="19"/>
      <c r="JFI47" s="19"/>
      <c r="JFJ47" s="19"/>
      <c r="JFK47" s="19"/>
      <c r="JFL47" s="19"/>
      <c r="JFM47" s="19"/>
      <c r="JFN47" s="19"/>
      <c r="JFO47" s="19"/>
      <c r="JFP47" s="19"/>
      <c r="JFQ47" s="19"/>
      <c r="JFR47" s="19"/>
      <c r="JFS47" s="19"/>
      <c r="JFT47" s="19"/>
      <c r="JFU47" s="19"/>
      <c r="JFV47" s="19"/>
      <c r="JFW47" s="19"/>
      <c r="JFX47" s="19"/>
      <c r="JFY47" s="19"/>
      <c r="JFZ47" s="19"/>
      <c r="JGA47" s="19"/>
      <c r="JGB47" s="19"/>
      <c r="JGC47" s="19"/>
      <c r="JGD47" s="19"/>
      <c r="JGE47" s="19"/>
      <c r="JGF47" s="19"/>
      <c r="JGG47" s="19"/>
      <c r="JGH47" s="19"/>
      <c r="JGI47" s="19"/>
      <c r="JGJ47" s="19"/>
      <c r="JGK47" s="19"/>
      <c r="JGL47" s="19"/>
      <c r="JGM47" s="19"/>
      <c r="JGN47" s="19"/>
      <c r="JGO47" s="19"/>
      <c r="JGP47" s="19"/>
      <c r="JGQ47" s="19"/>
      <c r="JGR47" s="19"/>
      <c r="JGS47" s="19"/>
      <c r="JGT47" s="19"/>
      <c r="JGU47" s="19"/>
      <c r="JGV47" s="19"/>
      <c r="JGW47" s="19"/>
      <c r="JGX47" s="19"/>
      <c r="JGY47" s="19"/>
      <c r="JGZ47" s="19"/>
      <c r="JHA47" s="19"/>
      <c r="JHB47" s="19"/>
      <c r="JHC47" s="19"/>
      <c r="JHD47" s="19"/>
      <c r="JHE47" s="19"/>
      <c r="JHF47" s="19"/>
      <c r="JHG47" s="19"/>
      <c r="JHH47" s="19"/>
      <c r="JHI47" s="19"/>
      <c r="JHJ47" s="19"/>
      <c r="JHK47" s="19"/>
      <c r="JHL47" s="19"/>
      <c r="JHM47" s="19"/>
      <c r="JHN47" s="19"/>
      <c r="JHO47" s="19"/>
      <c r="JHP47" s="19"/>
      <c r="JHQ47" s="19"/>
      <c r="JHR47" s="19"/>
      <c r="JHS47" s="19"/>
      <c r="JHT47" s="19"/>
      <c r="JHU47" s="19"/>
      <c r="JHV47" s="19"/>
      <c r="JHW47" s="19"/>
      <c r="JHX47" s="19"/>
      <c r="JHY47" s="19"/>
      <c r="JHZ47" s="19"/>
      <c r="JIA47" s="19"/>
      <c r="JIB47" s="19"/>
      <c r="JIC47" s="19"/>
      <c r="JID47" s="19"/>
      <c r="JIE47" s="19"/>
      <c r="JIF47" s="19"/>
      <c r="JIG47" s="19"/>
      <c r="JIH47" s="19"/>
      <c r="JII47" s="19"/>
      <c r="JIJ47" s="19"/>
      <c r="JIK47" s="19"/>
      <c r="JIL47" s="19"/>
      <c r="JIM47" s="19"/>
      <c r="JIN47" s="19"/>
      <c r="JIO47" s="19"/>
      <c r="JIP47" s="19"/>
      <c r="JIQ47" s="19"/>
      <c r="JIR47" s="19"/>
      <c r="JIS47" s="19"/>
      <c r="JIT47" s="19"/>
      <c r="JIU47" s="19"/>
      <c r="JIV47" s="19"/>
      <c r="JIW47" s="19"/>
      <c r="JIX47" s="19"/>
      <c r="JIY47" s="19"/>
      <c r="JIZ47" s="19"/>
      <c r="JJA47" s="19"/>
      <c r="JJB47" s="19"/>
      <c r="JJC47" s="19"/>
      <c r="JJD47" s="19"/>
      <c r="JJE47" s="19"/>
      <c r="JJF47" s="19"/>
      <c r="JJG47" s="19"/>
      <c r="JJH47" s="19"/>
      <c r="JJI47" s="19"/>
      <c r="JJJ47" s="19"/>
      <c r="JJK47" s="19"/>
      <c r="JJL47" s="19"/>
      <c r="JJM47" s="19"/>
      <c r="JJN47" s="19"/>
      <c r="JJO47" s="19"/>
      <c r="JJP47" s="19"/>
      <c r="JJQ47" s="19"/>
      <c r="JJR47" s="19"/>
      <c r="JJS47" s="19"/>
      <c r="JJT47" s="19"/>
      <c r="JJU47" s="19"/>
      <c r="JJV47" s="19"/>
      <c r="JJW47" s="19"/>
      <c r="JJX47" s="19"/>
      <c r="JJY47" s="19"/>
      <c r="JJZ47" s="19"/>
      <c r="JKA47" s="19"/>
      <c r="JKB47" s="19"/>
      <c r="JKC47" s="19"/>
      <c r="JKD47" s="19"/>
      <c r="JKE47" s="19"/>
      <c r="JKF47" s="19"/>
      <c r="JKG47" s="19"/>
      <c r="JKH47" s="19"/>
      <c r="JKI47" s="19"/>
      <c r="JKJ47" s="19"/>
      <c r="JKK47" s="19"/>
      <c r="JKL47" s="19"/>
      <c r="JKM47" s="19"/>
      <c r="JKN47" s="19"/>
      <c r="JKO47" s="19"/>
      <c r="JKP47" s="19"/>
      <c r="JKQ47" s="19"/>
      <c r="JKR47" s="19"/>
      <c r="JKS47" s="19"/>
      <c r="JKT47" s="19"/>
      <c r="JKU47" s="19"/>
      <c r="JKV47" s="19"/>
      <c r="JKW47" s="19"/>
      <c r="JKX47" s="19"/>
      <c r="JKY47" s="19"/>
      <c r="JKZ47" s="19"/>
      <c r="JLA47" s="19"/>
      <c r="JLB47" s="19"/>
      <c r="JLC47" s="19"/>
      <c r="JLD47" s="19"/>
      <c r="JLE47" s="19"/>
      <c r="JLF47" s="19"/>
      <c r="JLG47" s="19"/>
      <c r="JLH47" s="19"/>
      <c r="JLI47" s="19"/>
      <c r="JLJ47" s="19"/>
      <c r="JLK47" s="19"/>
      <c r="JLL47" s="19"/>
      <c r="JLM47" s="19"/>
      <c r="JLN47" s="19"/>
      <c r="JLO47" s="19"/>
      <c r="JLP47" s="19"/>
      <c r="JLQ47" s="19"/>
      <c r="JLR47" s="19"/>
      <c r="JLS47" s="19"/>
      <c r="JLT47" s="19"/>
      <c r="JLU47" s="19"/>
      <c r="JLV47" s="19"/>
      <c r="JLW47" s="19"/>
      <c r="JLX47" s="19"/>
      <c r="JLY47" s="19"/>
      <c r="JLZ47" s="19"/>
      <c r="JMA47" s="19"/>
      <c r="JMB47" s="19"/>
      <c r="JMC47" s="19"/>
      <c r="JMD47" s="19"/>
      <c r="JME47" s="19"/>
      <c r="JMF47" s="19"/>
      <c r="JMG47" s="19"/>
      <c r="JMH47" s="19"/>
      <c r="JMI47" s="19"/>
      <c r="JMJ47" s="19"/>
      <c r="JMK47" s="19"/>
      <c r="JML47" s="19"/>
      <c r="JMM47" s="19"/>
      <c r="JMN47" s="19"/>
      <c r="JMO47" s="19"/>
      <c r="JMP47" s="19"/>
      <c r="JMQ47" s="19"/>
      <c r="JMR47" s="19"/>
      <c r="JMS47" s="19"/>
      <c r="JMT47" s="19"/>
      <c r="JMU47" s="19"/>
      <c r="JMV47" s="19"/>
      <c r="JMW47" s="19"/>
      <c r="JMX47" s="19"/>
      <c r="JMY47" s="19"/>
      <c r="JMZ47" s="19"/>
      <c r="JNA47" s="19"/>
      <c r="JNB47" s="19"/>
      <c r="JNC47" s="19"/>
      <c r="JND47" s="19"/>
      <c r="JNE47" s="19"/>
      <c r="JNF47" s="19"/>
      <c r="JNG47" s="19"/>
      <c r="JNH47" s="19"/>
      <c r="JNI47" s="19"/>
      <c r="JNJ47" s="19"/>
      <c r="JNK47" s="19"/>
      <c r="JNL47" s="19"/>
      <c r="JNM47" s="19"/>
      <c r="JNN47" s="19"/>
      <c r="JNO47" s="19"/>
      <c r="JNP47" s="19"/>
      <c r="JNQ47" s="19"/>
      <c r="JNR47" s="19"/>
      <c r="JNS47" s="19"/>
      <c r="JNT47" s="19"/>
      <c r="JNU47" s="19"/>
      <c r="JNV47" s="19"/>
      <c r="JNW47" s="19"/>
      <c r="JNX47" s="19"/>
      <c r="JNY47" s="19"/>
      <c r="JNZ47" s="19"/>
      <c r="JOA47" s="19"/>
      <c r="JOB47" s="19"/>
      <c r="JOC47" s="19"/>
      <c r="JOD47" s="19"/>
      <c r="JOE47" s="19"/>
      <c r="JOF47" s="19"/>
      <c r="JOG47" s="19"/>
      <c r="JOH47" s="19"/>
      <c r="JOI47" s="19"/>
      <c r="JOJ47" s="19"/>
      <c r="JOK47" s="19"/>
      <c r="JOL47" s="19"/>
      <c r="JOM47" s="19"/>
      <c r="JON47" s="19"/>
      <c r="JOO47" s="19"/>
      <c r="JOP47" s="19"/>
      <c r="JOQ47" s="19"/>
      <c r="JOR47" s="19"/>
      <c r="JOS47" s="19"/>
      <c r="JOT47" s="19"/>
      <c r="JOU47" s="19"/>
      <c r="JOV47" s="19"/>
      <c r="JOW47" s="19"/>
      <c r="JOX47" s="19"/>
      <c r="JOY47" s="19"/>
      <c r="JOZ47" s="19"/>
      <c r="JPA47" s="19"/>
      <c r="JPB47" s="19"/>
      <c r="JPC47" s="19"/>
      <c r="JPD47" s="19"/>
      <c r="JPE47" s="19"/>
      <c r="JPF47" s="19"/>
      <c r="JPG47" s="19"/>
      <c r="JPH47" s="19"/>
      <c r="JPI47" s="19"/>
      <c r="JPJ47" s="19"/>
      <c r="JPK47" s="19"/>
      <c r="JPL47" s="19"/>
      <c r="JPM47" s="19"/>
      <c r="JPN47" s="19"/>
      <c r="JPO47" s="19"/>
      <c r="JPP47" s="19"/>
      <c r="JPQ47" s="19"/>
      <c r="JPR47" s="19"/>
      <c r="JPS47" s="19"/>
      <c r="JPT47" s="19"/>
      <c r="JPU47" s="19"/>
      <c r="JPV47" s="19"/>
      <c r="JPW47" s="19"/>
      <c r="JPX47" s="19"/>
      <c r="JPY47" s="19"/>
      <c r="JPZ47" s="19"/>
      <c r="JQA47" s="19"/>
      <c r="JQB47" s="19"/>
      <c r="JQC47" s="19"/>
      <c r="JQD47" s="19"/>
      <c r="JQE47" s="19"/>
      <c r="JQF47" s="19"/>
      <c r="JQG47" s="19"/>
      <c r="JQH47" s="19"/>
      <c r="JQI47" s="19"/>
      <c r="JQJ47" s="19"/>
      <c r="JQK47" s="19"/>
      <c r="JQL47" s="19"/>
      <c r="JQM47" s="19"/>
      <c r="JQN47" s="19"/>
      <c r="JQO47" s="19"/>
      <c r="JQP47" s="19"/>
      <c r="JQQ47" s="19"/>
      <c r="JQR47" s="19"/>
      <c r="JQS47" s="19"/>
      <c r="JQT47" s="19"/>
      <c r="JQU47" s="19"/>
      <c r="JQV47" s="19"/>
      <c r="JQW47" s="19"/>
      <c r="JQX47" s="19"/>
      <c r="JQY47" s="19"/>
      <c r="JQZ47" s="19"/>
      <c r="JRA47" s="19"/>
      <c r="JRB47" s="19"/>
      <c r="JRC47" s="19"/>
      <c r="JRD47" s="19"/>
      <c r="JRE47" s="19"/>
      <c r="JRF47" s="19"/>
      <c r="JRG47" s="19"/>
      <c r="JRH47" s="19"/>
      <c r="JRI47" s="19"/>
      <c r="JRJ47" s="19"/>
      <c r="JRK47" s="19"/>
      <c r="JRL47" s="19"/>
      <c r="JRM47" s="19"/>
      <c r="JRN47" s="19"/>
      <c r="JRO47" s="19"/>
      <c r="JRP47" s="19"/>
      <c r="JRQ47" s="19"/>
      <c r="JRR47" s="19"/>
      <c r="JRS47" s="19"/>
      <c r="JRT47" s="19"/>
      <c r="JRU47" s="19"/>
      <c r="JRV47" s="19"/>
      <c r="JRW47" s="19"/>
      <c r="JRX47" s="19"/>
      <c r="JRY47" s="19"/>
      <c r="JRZ47" s="19"/>
      <c r="JSA47" s="19"/>
      <c r="JSB47" s="19"/>
      <c r="JSC47" s="19"/>
      <c r="JSD47" s="19"/>
      <c r="JSE47" s="19"/>
      <c r="JSF47" s="19"/>
      <c r="JSG47" s="19"/>
      <c r="JSH47" s="19"/>
      <c r="JSI47" s="19"/>
      <c r="JSJ47" s="19"/>
      <c r="JSK47" s="19"/>
      <c r="JSL47" s="19"/>
      <c r="JSM47" s="19"/>
      <c r="JSN47" s="19"/>
      <c r="JSO47" s="19"/>
      <c r="JSP47" s="19"/>
      <c r="JSQ47" s="19"/>
      <c r="JSR47" s="19"/>
      <c r="JSS47" s="19"/>
      <c r="JST47" s="19"/>
      <c r="JSU47" s="19"/>
      <c r="JSV47" s="19"/>
      <c r="JSW47" s="19"/>
      <c r="JSX47" s="19"/>
      <c r="JSY47" s="19"/>
      <c r="JSZ47" s="19"/>
      <c r="JTA47" s="19"/>
      <c r="JTB47" s="19"/>
      <c r="JTC47" s="19"/>
      <c r="JTD47" s="19"/>
      <c r="JTE47" s="19"/>
      <c r="JTF47" s="19"/>
      <c r="JTG47" s="19"/>
      <c r="JTH47" s="19"/>
      <c r="JTI47" s="19"/>
      <c r="JTJ47" s="19"/>
      <c r="JTK47" s="19"/>
      <c r="JTL47" s="19"/>
      <c r="JTM47" s="19"/>
      <c r="JTN47" s="19"/>
      <c r="JTO47" s="19"/>
      <c r="JTP47" s="19"/>
      <c r="JTQ47" s="19"/>
      <c r="JTR47" s="19"/>
      <c r="JTS47" s="19"/>
      <c r="JTT47" s="19"/>
      <c r="JTU47" s="19"/>
      <c r="JTV47" s="19"/>
      <c r="JTW47" s="19"/>
      <c r="JTX47" s="19"/>
      <c r="JTY47" s="19"/>
      <c r="JTZ47" s="19"/>
      <c r="JUA47" s="19"/>
      <c r="JUB47" s="19"/>
      <c r="JUC47" s="19"/>
      <c r="JUD47" s="19"/>
      <c r="JUE47" s="19"/>
      <c r="JUF47" s="19"/>
      <c r="JUG47" s="19"/>
      <c r="JUH47" s="19"/>
      <c r="JUI47" s="19"/>
      <c r="JUJ47" s="19"/>
      <c r="JUK47" s="19"/>
      <c r="JUL47" s="19"/>
      <c r="JUM47" s="19"/>
      <c r="JUN47" s="19"/>
      <c r="JUO47" s="19"/>
      <c r="JUP47" s="19"/>
      <c r="JUQ47" s="19"/>
      <c r="JUR47" s="19"/>
      <c r="JUS47" s="19"/>
      <c r="JUT47" s="19"/>
      <c r="JUU47" s="19"/>
      <c r="JUV47" s="19"/>
      <c r="JUW47" s="19"/>
      <c r="JUX47" s="19"/>
      <c r="JUY47" s="19"/>
      <c r="JUZ47" s="19"/>
      <c r="JVA47" s="19"/>
      <c r="JVB47" s="19"/>
      <c r="JVC47" s="19"/>
      <c r="JVD47" s="19"/>
      <c r="JVE47" s="19"/>
      <c r="JVF47" s="19"/>
      <c r="JVG47" s="19"/>
      <c r="JVH47" s="19"/>
      <c r="JVI47" s="19"/>
      <c r="JVJ47" s="19"/>
      <c r="JVK47" s="19"/>
      <c r="JVL47" s="19"/>
      <c r="JVM47" s="19"/>
      <c r="JVN47" s="19"/>
      <c r="JVO47" s="19"/>
      <c r="JVP47" s="19"/>
      <c r="JVQ47" s="19"/>
      <c r="JVR47" s="19"/>
      <c r="JVS47" s="19"/>
      <c r="JVT47" s="19"/>
      <c r="JVU47" s="19"/>
      <c r="JVV47" s="19"/>
      <c r="JVW47" s="19"/>
      <c r="JVX47" s="19"/>
      <c r="JVY47" s="19"/>
      <c r="JVZ47" s="19"/>
      <c r="JWA47" s="19"/>
      <c r="JWB47" s="19"/>
      <c r="JWC47" s="19"/>
      <c r="JWD47" s="19"/>
      <c r="JWE47" s="19"/>
      <c r="JWF47" s="19"/>
      <c r="JWG47" s="19"/>
      <c r="JWH47" s="19"/>
      <c r="JWI47" s="19"/>
      <c r="JWJ47" s="19"/>
      <c r="JWK47" s="19"/>
      <c r="JWL47" s="19"/>
      <c r="JWM47" s="19"/>
      <c r="JWN47" s="19"/>
      <c r="JWO47" s="19"/>
      <c r="JWP47" s="19"/>
      <c r="JWQ47" s="19"/>
      <c r="JWR47" s="19"/>
      <c r="JWS47" s="19"/>
      <c r="JWT47" s="19"/>
      <c r="JWU47" s="19"/>
      <c r="JWV47" s="19"/>
      <c r="JWW47" s="19"/>
      <c r="JWX47" s="19"/>
      <c r="JWY47" s="19"/>
      <c r="JWZ47" s="19"/>
      <c r="JXA47" s="19"/>
      <c r="JXB47" s="19"/>
      <c r="JXC47" s="19"/>
      <c r="JXD47" s="19"/>
      <c r="JXE47" s="19"/>
      <c r="JXF47" s="19"/>
      <c r="JXG47" s="19"/>
      <c r="JXH47" s="19"/>
      <c r="JXI47" s="19"/>
      <c r="JXJ47" s="19"/>
      <c r="JXK47" s="19"/>
      <c r="JXL47" s="19"/>
      <c r="JXM47" s="19"/>
      <c r="JXN47" s="19"/>
      <c r="JXO47" s="19"/>
      <c r="JXP47" s="19"/>
      <c r="JXQ47" s="19"/>
      <c r="JXR47" s="19"/>
      <c r="JXS47" s="19"/>
      <c r="JXT47" s="19"/>
      <c r="JXU47" s="19"/>
      <c r="JXV47" s="19"/>
      <c r="JXW47" s="19"/>
      <c r="JXX47" s="19"/>
      <c r="JXY47" s="19"/>
      <c r="JXZ47" s="19"/>
      <c r="JYA47" s="19"/>
      <c r="JYB47" s="19"/>
      <c r="JYC47" s="19"/>
      <c r="JYD47" s="19"/>
      <c r="JYE47" s="19"/>
      <c r="JYF47" s="19"/>
      <c r="JYG47" s="19"/>
      <c r="JYH47" s="19"/>
      <c r="JYI47" s="19"/>
      <c r="JYJ47" s="19"/>
      <c r="JYK47" s="19"/>
      <c r="JYL47" s="19"/>
      <c r="JYM47" s="19"/>
      <c r="JYN47" s="19"/>
      <c r="JYO47" s="19"/>
      <c r="JYP47" s="19"/>
      <c r="JYQ47" s="19"/>
      <c r="JYR47" s="19"/>
      <c r="JYS47" s="19"/>
      <c r="JYT47" s="19"/>
      <c r="JYU47" s="19"/>
      <c r="JYV47" s="19"/>
      <c r="JYW47" s="19"/>
      <c r="JYX47" s="19"/>
      <c r="JYY47" s="19"/>
      <c r="JYZ47" s="19"/>
      <c r="JZA47" s="19"/>
      <c r="JZB47" s="19"/>
      <c r="JZC47" s="19"/>
      <c r="JZD47" s="19"/>
      <c r="JZE47" s="19"/>
      <c r="JZF47" s="19"/>
      <c r="JZG47" s="19"/>
      <c r="JZH47" s="19"/>
      <c r="JZI47" s="19"/>
      <c r="JZJ47" s="19"/>
      <c r="JZK47" s="19"/>
      <c r="JZL47" s="19"/>
      <c r="JZM47" s="19"/>
      <c r="JZN47" s="19"/>
      <c r="JZO47" s="19"/>
      <c r="JZP47" s="19"/>
      <c r="JZQ47" s="19"/>
      <c r="JZR47" s="19"/>
      <c r="JZS47" s="19"/>
      <c r="JZT47" s="19"/>
      <c r="JZU47" s="19"/>
      <c r="JZV47" s="19"/>
      <c r="JZW47" s="19"/>
      <c r="JZX47" s="19"/>
      <c r="JZY47" s="19"/>
      <c r="JZZ47" s="19"/>
      <c r="KAA47" s="19"/>
      <c r="KAB47" s="19"/>
      <c r="KAC47" s="19"/>
      <c r="KAD47" s="19"/>
      <c r="KAE47" s="19"/>
      <c r="KAF47" s="19"/>
      <c r="KAG47" s="19"/>
      <c r="KAH47" s="19"/>
      <c r="KAI47" s="19"/>
      <c r="KAJ47" s="19"/>
      <c r="KAK47" s="19"/>
      <c r="KAL47" s="19"/>
      <c r="KAM47" s="19"/>
      <c r="KAN47" s="19"/>
      <c r="KAO47" s="19"/>
      <c r="KAP47" s="19"/>
      <c r="KAQ47" s="19"/>
      <c r="KAR47" s="19"/>
      <c r="KAS47" s="19"/>
      <c r="KAT47" s="19"/>
      <c r="KAU47" s="19"/>
      <c r="KAV47" s="19"/>
      <c r="KAW47" s="19"/>
      <c r="KAX47" s="19"/>
      <c r="KAY47" s="19"/>
      <c r="KAZ47" s="19"/>
      <c r="KBA47" s="19"/>
      <c r="KBB47" s="19"/>
      <c r="KBC47" s="19"/>
      <c r="KBD47" s="19"/>
      <c r="KBE47" s="19"/>
      <c r="KBF47" s="19"/>
      <c r="KBG47" s="19"/>
      <c r="KBH47" s="19"/>
      <c r="KBI47" s="19"/>
      <c r="KBJ47" s="19"/>
      <c r="KBK47" s="19"/>
      <c r="KBL47" s="19"/>
      <c r="KBM47" s="19"/>
      <c r="KBN47" s="19"/>
      <c r="KBO47" s="19"/>
      <c r="KBP47" s="19"/>
      <c r="KBQ47" s="19"/>
      <c r="KBR47" s="19"/>
      <c r="KBS47" s="19"/>
      <c r="KBT47" s="19"/>
      <c r="KBU47" s="19"/>
      <c r="KBV47" s="19"/>
      <c r="KBW47" s="19"/>
      <c r="KBX47" s="19"/>
      <c r="KBY47" s="19"/>
      <c r="KBZ47" s="19"/>
      <c r="KCA47" s="19"/>
      <c r="KCB47" s="19"/>
      <c r="KCC47" s="19"/>
      <c r="KCD47" s="19"/>
      <c r="KCE47" s="19"/>
      <c r="KCF47" s="19"/>
      <c r="KCG47" s="19"/>
      <c r="KCH47" s="19"/>
      <c r="KCI47" s="19"/>
      <c r="KCJ47" s="19"/>
      <c r="KCK47" s="19"/>
      <c r="KCL47" s="19"/>
      <c r="KCM47" s="19"/>
      <c r="KCN47" s="19"/>
      <c r="KCO47" s="19"/>
      <c r="KCP47" s="19"/>
      <c r="KCQ47" s="19"/>
      <c r="KCR47" s="19"/>
      <c r="KCS47" s="19"/>
      <c r="KCT47" s="19"/>
      <c r="KCU47" s="19"/>
      <c r="KCV47" s="19"/>
      <c r="KCW47" s="19"/>
      <c r="KCX47" s="19"/>
      <c r="KCY47" s="19"/>
      <c r="KCZ47" s="19"/>
      <c r="KDA47" s="19"/>
      <c r="KDB47" s="19"/>
      <c r="KDC47" s="19"/>
      <c r="KDD47" s="19"/>
      <c r="KDE47" s="19"/>
      <c r="KDF47" s="19"/>
      <c r="KDG47" s="19"/>
      <c r="KDH47" s="19"/>
      <c r="KDI47" s="19"/>
      <c r="KDJ47" s="19"/>
      <c r="KDK47" s="19"/>
      <c r="KDL47" s="19"/>
      <c r="KDM47" s="19"/>
      <c r="KDN47" s="19"/>
      <c r="KDO47" s="19"/>
      <c r="KDP47" s="19"/>
      <c r="KDQ47" s="19"/>
      <c r="KDR47" s="19"/>
      <c r="KDS47" s="19"/>
      <c r="KDT47" s="19"/>
      <c r="KDU47" s="19"/>
      <c r="KDV47" s="19"/>
      <c r="KDW47" s="19"/>
      <c r="KDX47" s="19"/>
      <c r="KDY47" s="19"/>
      <c r="KDZ47" s="19"/>
      <c r="KEA47" s="19"/>
      <c r="KEB47" s="19"/>
      <c r="KEC47" s="19"/>
      <c r="KED47" s="19"/>
      <c r="KEE47" s="19"/>
      <c r="KEF47" s="19"/>
      <c r="KEG47" s="19"/>
      <c r="KEH47" s="19"/>
      <c r="KEI47" s="19"/>
      <c r="KEJ47" s="19"/>
      <c r="KEK47" s="19"/>
      <c r="KEL47" s="19"/>
      <c r="KEM47" s="19"/>
      <c r="KEN47" s="19"/>
      <c r="KEO47" s="19"/>
      <c r="KEP47" s="19"/>
      <c r="KEQ47" s="19"/>
      <c r="KER47" s="19"/>
      <c r="KES47" s="19"/>
      <c r="KET47" s="19"/>
      <c r="KEU47" s="19"/>
      <c r="KEV47" s="19"/>
      <c r="KEW47" s="19"/>
      <c r="KEX47" s="19"/>
      <c r="KEY47" s="19"/>
      <c r="KEZ47" s="19"/>
      <c r="KFA47" s="19"/>
      <c r="KFB47" s="19"/>
      <c r="KFC47" s="19"/>
      <c r="KFD47" s="19"/>
      <c r="KFE47" s="19"/>
      <c r="KFF47" s="19"/>
      <c r="KFG47" s="19"/>
      <c r="KFH47" s="19"/>
      <c r="KFI47" s="19"/>
      <c r="KFJ47" s="19"/>
      <c r="KFK47" s="19"/>
      <c r="KFL47" s="19"/>
      <c r="KFM47" s="19"/>
      <c r="KFN47" s="19"/>
      <c r="KFO47" s="19"/>
      <c r="KFP47" s="19"/>
      <c r="KFQ47" s="19"/>
      <c r="KFR47" s="19"/>
      <c r="KFS47" s="19"/>
      <c r="KFT47" s="19"/>
      <c r="KFU47" s="19"/>
      <c r="KFV47" s="19"/>
      <c r="KFW47" s="19"/>
      <c r="KFX47" s="19"/>
      <c r="KFY47" s="19"/>
      <c r="KFZ47" s="19"/>
      <c r="KGA47" s="19"/>
      <c r="KGB47" s="19"/>
      <c r="KGC47" s="19"/>
      <c r="KGD47" s="19"/>
      <c r="KGE47" s="19"/>
      <c r="KGF47" s="19"/>
      <c r="KGG47" s="19"/>
      <c r="KGH47" s="19"/>
      <c r="KGI47" s="19"/>
      <c r="KGJ47" s="19"/>
      <c r="KGK47" s="19"/>
      <c r="KGL47" s="19"/>
      <c r="KGM47" s="19"/>
      <c r="KGN47" s="19"/>
      <c r="KGO47" s="19"/>
      <c r="KGP47" s="19"/>
      <c r="KGQ47" s="19"/>
      <c r="KGR47" s="19"/>
      <c r="KGS47" s="19"/>
      <c r="KGT47" s="19"/>
      <c r="KGU47" s="19"/>
      <c r="KGV47" s="19"/>
      <c r="KGW47" s="19"/>
      <c r="KGX47" s="19"/>
      <c r="KGY47" s="19"/>
      <c r="KGZ47" s="19"/>
      <c r="KHA47" s="19"/>
      <c r="KHB47" s="19"/>
      <c r="KHC47" s="19"/>
      <c r="KHD47" s="19"/>
      <c r="KHE47" s="19"/>
      <c r="KHF47" s="19"/>
      <c r="KHG47" s="19"/>
      <c r="KHH47" s="19"/>
      <c r="KHI47" s="19"/>
      <c r="KHJ47" s="19"/>
      <c r="KHK47" s="19"/>
      <c r="KHL47" s="19"/>
      <c r="KHM47" s="19"/>
      <c r="KHN47" s="19"/>
      <c r="KHO47" s="19"/>
      <c r="KHP47" s="19"/>
      <c r="KHQ47" s="19"/>
      <c r="KHR47" s="19"/>
      <c r="KHS47" s="19"/>
      <c r="KHT47" s="19"/>
      <c r="KHU47" s="19"/>
      <c r="KHV47" s="19"/>
      <c r="KHW47" s="19"/>
      <c r="KHX47" s="19"/>
      <c r="KHY47" s="19"/>
      <c r="KHZ47" s="19"/>
      <c r="KIA47" s="19"/>
      <c r="KIB47" s="19"/>
      <c r="KIC47" s="19"/>
      <c r="KID47" s="19"/>
      <c r="KIE47" s="19"/>
      <c r="KIF47" s="19"/>
      <c r="KIG47" s="19"/>
      <c r="KIH47" s="19"/>
      <c r="KII47" s="19"/>
      <c r="KIJ47" s="19"/>
      <c r="KIK47" s="19"/>
      <c r="KIL47" s="19"/>
      <c r="KIM47" s="19"/>
      <c r="KIN47" s="19"/>
      <c r="KIO47" s="19"/>
      <c r="KIP47" s="19"/>
      <c r="KIQ47" s="19"/>
      <c r="KIR47" s="19"/>
      <c r="KIS47" s="19"/>
      <c r="KIT47" s="19"/>
      <c r="KIU47" s="19"/>
      <c r="KIV47" s="19"/>
      <c r="KIW47" s="19"/>
      <c r="KIX47" s="19"/>
      <c r="KIY47" s="19"/>
      <c r="KIZ47" s="19"/>
      <c r="KJA47" s="19"/>
      <c r="KJB47" s="19"/>
      <c r="KJC47" s="19"/>
      <c r="KJD47" s="19"/>
      <c r="KJE47" s="19"/>
      <c r="KJF47" s="19"/>
      <c r="KJG47" s="19"/>
      <c r="KJH47" s="19"/>
      <c r="KJI47" s="19"/>
      <c r="KJJ47" s="19"/>
      <c r="KJK47" s="19"/>
      <c r="KJL47" s="19"/>
      <c r="KJM47" s="19"/>
      <c r="KJN47" s="19"/>
      <c r="KJO47" s="19"/>
      <c r="KJP47" s="19"/>
      <c r="KJQ47" s="19"/>
      <c r="KJR47" s="19"/>
      <c r="KJS47" s="19"/>
      <c r="KJT47" s="19"/>
      <c r="KJU47" s="19"/>
      <c r="KJV47" s="19"/>
      <c r="KJW47" s="19"/>
      <c r="KJX47" s="19"/>
      <c r="KJY47" s="19"/>
      <c r="KJZ47" s="19"/>
      <c r="KKA47" s="19"/>
      <c r="KKB47" s="19"/>
      <c r="KKC47" s="19"/>
      <c r="KKD47" s="19"/>
      <c r="KKE47" s="19"/>
      <c r="KKF47" s="19"/>
      <c r="KKG47" s="19"/>
      <c r="KKH47" s="19"/>
      <c r="KKI47" s="19"/>
      <c r="KKJ47" s="19"/>
      <c r="KKK47" s="19"/>
      <c r="KKL47" s="19"/>
      <c r="KKM47" s="19"/>
      <c r="KKN47" s="19"/>
      <c r="KKO47" s="19"/>
      <c r="KKP47" s="19"/>
      <c r="KKQ47" s="19"/>
      <c r="KKR47" s="19"/>
      <c r="KKS47" s="19"/>
      <c r="KKT47" s="19"/>
      <c r="KKU47" s="19"/>
      <c r="KKV47" s="19"/>
      <c r="KKW47" s="19"/>
      <c r="KKX47" s="19"/>
      <c r="KKY47" s="19"/>
      <c r="KKZ47" s="19"/>
      <c r="KLA47" s="19"/>
      <c r="KLB47" s="19"/>
      <c r="KLC47" s="19"/>
      <c r="KLD47" s="19"/>
      <c r="KLE47" s="19"/>
      <c r="KLF47" s="19"/>
      <c r="KLG47" s="19"/>
      <c r="KLH47" s="19"/>
      <c r="KLI47" s="19"/>
      <c r="KLJ47" s="19"/>
      <c r="KLK47" s="19"/>
      <c r="KLL47" s="19"/>
      <c r="KLM47" s="19"/>
      <c r="KLN47" s="19"/>
      <c r="KLO47" s="19"/>
      <c r="KLP47" s="19"/>
      <c r="KLQ47" s="19"/>
      <c r="KLR47" s="19"/>
      <c r="KLS47" s="19"/>
      <c r="KLT47" s="19"/>
      <c r="KLU47" s="19"/>
      <c r="KLV47" s="19"/>
      <c r="KLW47" s="19"/>
      <c r="KLX47" s="19"/>
      <c r="KLY47" s="19"/>
      <c r="KLZ47" s="19"/>
      <c r="KMA47" s="19"/>
      <c r="KMB47" s="19"/>
      <c r="KMC47" s="19"/>
      <c r="KMD47" s="19"/>
      <c r="KME47" s="19"/>
      <c r="KMF47" s="19"/>
      <c r="KMG47" s="19"/>
      <c r="KMH47" s="19"/>
      <c r="KMI47" s="19"/>
      <c r="KMJ47" s="19"/>
      <c r="KMK47" s="19"/>
      <c r="KML47" s="19"/>
      <c r="KMM47" s="19"/>
      <c r="KMN47" s="19"/>
      <c r="KMO47" s="19"/>
      <c r="KMP47" s="19"/>
      <c r="KMQ47" s="19"/>
      <c r="KMR47" s="19"/>
      <c r="KMS47" s="19"/>
      <c r="KMT47" s="19"/>
      <c r="KMU47" s="19"/>
      <c r="KMV47" s="19"/>
      <c r="KMW47" s="19"/>
      <c r="KMX47" s="19"/>
      <c r="KMY47" s="19"/>
      <c r="KMZ47" s="19"/>
      <c r="KNA47" s="19"/>
      <c r="KNB47" s="19"/>
      <c r="KNC47" s="19"/>
      <c r="KND47" s="19"/>
      <c r="KNE47" s="19"/>
      <c r="KNF47" s="19"/>
      <c r="KNG47" s="19"/>
      <c r="KNH47" s="19"/>
      <c r="KNI47" s="19"/>
      <c r="KNJ47" s="19"/>
      <c r="KNK47" s="19"/>
      <c r="KNL47" s="19"/>
      <c r="KNM47" s="19"/>
      <c r="KNN47" s="19"/>
      <c r="KNO47" s="19"/>
      <c r="KNP47" s="19"/>
      <c r="KNQ47" s="19"/>
      <c r="KNR47" s="19"/>
      <c r="KNS47" s="19"/>
      <c r="KNT47" s="19"/>
      <c r="KNU47" s="19"/>
      <c r="KNV47" s="19"/>
      <c r="KNW47" s="19"/>
      <c r="KNX47" s="19"/>
      <c r="KNY47" s="19"/>
      <c r="KNZ47" s="19"/>
      <c r="KOA47" s="19"/>
      <c r="KOB47" s="19"/>
      <c r="KOC47" s="19"/>
      <c r="KOD47" s="19"/>
      <c r="KOE47" s="19"/>
      <c r="KOF47" s="19"/>
      <c r="KOG47" s="19"/>
      <c r="KOH47" s="19"/>
      <c r="KOI47" s="19"/>
      <c r="KOJ47" s="19"/>
      <c r="KOK47" s="19"/>
      <c r="KOL47" s="19"/>
      <c r="KOM47" s="19"/>
      <c r="KON47" s="19"/>
      <c r="KOO47" s="19"/>
      <c r="KOP47" s="19"/>
      <c r="KOQ47" s="19"/>
      <c r="KOR47" s="19"/>
      <c r="KOS47" s="19"/>
      <c r="KOT47" s="19"/>
      <c r="KOU47" s="19"/>
      <c r="KOV47" s="19"/>
      <c r="KOW47" s="19"/>
      <c r="KOX47" s="19"/>
      <c r="KOY47" s="19"/>
      <c r="KOZ47" s="19"/>
      <c r="KPA47" s="19"/>
      <c r="KPB47" s="19"/>
      <c r="KPC47" s="19"/>
      <c r="KPD47" s="19"/>
      <c r="KPE47" s="19"/>
      <c r="KPF47" s="19"/>
      <c r="KPG47" s="19"/>
      <c r="KPH47" s="19"/>
      <c r="KPI47" s="19"/>
      <c r="KPJ47" s="19"/>
      <c r="KPK47" s="19"/>
      <c r="KPL47" s="19"/>
      <c r="KPM47" s="19"/>
      <c r="KPN47" s="19"/>
      <c r="KPO47" s="19"/>
      <c r="KPP47" s="19"/>
      <c r="KPQ47" s="19"/>
      <c r="KPR47" s="19"/>
      <c r="KPS47" s="19"/>
      <c r="KPT47" s="19"/>
      <c r="KPU47" s="19"/>
      <c r="KPV47" s="19"/>
      <c r="KPW47" s="19"/>
      <c r="KPX47" s="19"/>
      <c r="KPY47" s="19"/>
      <c r="KPZ47" s="19"/>
      <c r="KQA47" s="19"/>
      <c r="KQB47" s="19"/>
      <c r="KQC47" s="19"/>
      <c r="KQD47" s="19"/>
      <c r="KQE47" s="19"/>
      <c r="KQF47" s="19"/>
      <c r="KQG47" s="19"/>
      <c r="KQH47" s="19"/>
      <c r="KQI47" s="19"/>
      <c r="KQJ47" s="19"/>
      <c r="KQK47" s="19"/>
      <c r="KQL47" s="19"/>
      <c r="KQM47" s="19"/>
      <c r="KQN47" s="19"/>
      <c r="KQO47" s="19"/>
      <c r="KQP47" s="19"/>
      <c r="KQQ47" s="19"/>
      <c r="KQR47" s="19"/>
      <c r="KQS47" s="19"/>
      <c r="KQT47" s="19"/>
      <c r="KQU47" s="19"/>
      <c r="KQV47" s="19"/>
      <c r="KQW47" s="19"/>
      <c r="KQX47" s="19"/>
      <c r="KQY47" s="19"/>
      <c r="KQZ47" s="19"/>
      <c r="KRA47" s="19"/>
      <c r="KRB47" s="19"/>
      <c r="KRC47" s="19"/>
      <c r="KRD47" s="19"/>
      <c r="KRE47" s="19"/>
      <c r="KRF47" s="19"/>
      <c r="KRG47" s="19"/>
      <c r="KRH47" s="19"/>
      <c r="KRI47" s="19"/>
      <c r="KRJ47" s="19"/>
      <c r="KRK47" s="19"/>
      <c r="KRL47" s="19"/>
      <c r="KRM47" s="19"/>
      <c r="KRN47" s="19"/>
      <c r="KRO47" s="19"/>
      <c r="KRP47" s="19"/>
      <c r="KRQ47" s="19"/>
      <c r="KRR47" s="19"/>
      <c r="KRS47" s="19"/>
      <c r="KRT47" s="19"/>
      <c r="KRU47" s="19"/>
      <c r="KRV47" s="19"/>
      <c r="KRW47" s="19"/>
      <c r="KRX47" s="19"/>
      <c r="KRY47" s="19"/>
      <c r="KRZ47" s="19"/>
      <c r="KSA47" s="19"/>
      <c r="KSB47" s="19"/>
      <c r="KSC47" s="19"/>
      <c r="KSD47" s="19"/>
      <c r="KSE47" s="19"/>
      <c r="KSF47" s="19"/>
      <c r="KSG47" s="19"/>
      <c r="KSH47" s="19"/>
      <c r="KSI47" s="19"/>
      <c r="KSJ47" s="19"/>
      <c r="KSK47" s="19"/>
      <c r="KSL47" s="19"/>
      <c r="KSM47" s="19"/>
      <c r="KSN47" s="19"/>
      <c r="KSO47" s="19"/>
      <c r="KSP47" s="19"/>
      <c r="KSQ47" s="19"/>
      <c r="KSR47" s="19"/>
      <c r="KSS47" s="19"/>
      <c r="KST47" s="19"/>
      <c r="KSU47" s="19"/>
      <c r="KSV47" s="19"/>
      <c r="KSW47" s="19"/>
      <c r="KSX47" s="19"/>
      <c r="KSY47" s="19"/>
      <c r="KSZ47" s="19"/>
      <c r="KTA47" s="19"/>
      <c r="KTB47" s="19"/>
      <c r="KTC47" s="19"/>
      <c r="KTD47" s="19"/>
      <c r="KTE47" s="19"/>
      <c r="KTF47" s="19"/>
      <c r="KTG47" s="19"/>
      <c r="KTH47" s="19"/>
      <c r="KTI47" s="19"/>
      <c r="KTJ47" s="19"/>
      <c r="KTK47" s="19"/>
      <c r="KTL47" s="19"/>
      <c r="KTM47" s="19"/>
      <c r="KTN47" s="19"/>
      <c r="KTO47" s="19"/>
      <c r="KTP47" s="19"/>
      <c r="KTQ47" s="19"/>
      <c r="KTR47" s="19"/>
      <c r="KTS47" s="19"/>
      <c r="KTT47" s="19"/>
      <c r="KTU47" s="19"/>
      <c r="KTV47" s="19"/>
      <c r="KTW47" s="19"/>
      <c r="KTX47" s="19"/>
      <c r="KTY47" s="19"/>
      <c r="KTZ47" s="19"/>
      <c r="KUA47" s="19"/>
      <c r="KUB47" s="19"/>
      <c r="KUC47" s="19"/>
      <c r="KUD47" s="19"/>
      <c r="KUE47" s="19"/>
      <c r="KUF47" s="19"/>
      <c r="KUG47" s="19"/>
      <c r="KUH47" s="19"/>
      <c r="KUI47" s="19"/>
      <c r="KUJ47" s="19"/>
      <c r="KUK47" s="19"/>
      <c r="KUL47" s="19"/>
      <c r="KUM47" s="19"/>
      <c r="KUN47" s="19"/>
      <c r="KUO47" s="19"/>
      <c r="KUP47" s="19"/>
      <c r="KUQ47" s="19"/>
      <c r="KUR47" s="19"/>
      <c r="KUS47" s="19"/>
      <c r="KUT47" s="19"/>
      <c r="KUU47" s="19"/>
      <c r="KUV47" s="19"/>
      <c r="KUW47" s="19"/>
      <c r="KUX47" s="19"/>
      <c r="KUY47" s="19"/>
      <c r="KUZ47" s="19"/>
      <c r="KVA47" s="19"/>
      <c r="KVB47" s="19"/>
      <c r="KVC47" s="19"/>
      <c r="KVD47" s="19"/>
      <c r="KVE47" s="19"/>
      <c r="KVF47" s="19"/>
      <c r="KVG47" s="19"/>
      <c r="KVH47" s="19"/>
      <c r="KVI47" s="19"/>
      <c r="KVJ47" s="19"/>
      <c r="KVK47" s="19"/>
      <c r="KVL47" s="19"/>
      <c r="KVM47" s="19"/>
      <c r="KVN47" s="19"/>
      <c r="KVO47" s="19"/>
      <c r="KVP47" s="19"/>
      <c r="KVQ47" s="19"/>
      <c r="KVR47" s="19"/>
      <c r="KVS47" s="19"/>
      <c r="KVT47" s="19"/>
      <c r="KVU47" s="19"/>
      <c r="KVV47" s="19"/>
      <c r="KVW47" s="19"/>
      <c r="KVX47" s="19"/>
      <c r="KVY47" s="19"/>
      <c r="KVZ47" s="19"/>
      <c r="KWA47" s="19"/>
      <c r="KWB47" s="19"/>
      <c r="KWC47" s="19"/>
      <c r="KWD47" s="19"/>
      <c r="KWE47" s="19"/>
      <c r="KWF47" s="19"/>
      <c r="KWG47" s="19"/>
      <c r="KWH47" s="19"/>
      <c r="KWI47" s="19"/>
      <c r="KWJ47" s="19"/>
      <c r="KWK47" s="19"/>
      <c r="KWL47" s="19"/>
      <c r="KWM47" s="19"/>
      <c r="KWN47" s="19"/>
      <c r="KWO47" s="19"/>
      <c r="KWP47" s="19"/>
      <c r="KWQ47" s="19"/>
      <c r="KWR47" s="19"/>
      <c r="KWS47" s="19"/>
      <c r="KWT47" s="19"/>
      <c r="KWU47" s="19"/>
      <c r="KWV47" s="19"/>
      <c r="KWW47" s="19"/>
      <c r="KWX47" s="19"/>
      <c r="KWY47" s="19"/>
      <c r="KWZ47" s="19"/>
      <c r="KXA47" s="19"/>
      <c r="KXB47" s="19"/>
      <c r="KXC47" s="19"/>
      <c r="KXD47" s="19"/>
      <c r="KXE47" s="19"/>
      <c r="KXF47" s="19"/>
      <c r="KXG47" s="19"/>
      <c r="KXH47" s="19"/>
      <c r="KXI47" s="19"/>
      <c r="KXJ47" s="19"/>
      <c r="KXK47" s="19"/>
      <c r="KXL47" s="19"/>
      <c r="KXM47" s="19"/>
      <c r="KXN47" s="19"/>
      <c r="KXO47" s="19"/>
      <c r="KXP47" s="19"/>
      <c r="KXQ47" s="19"/>
      <c r="KXR47" s="19"/>
      <c r="KXS47" s="19"/>
      <c r="KXT47" s="19"/>
      <c r="KXU47" s="19"/>
      <c r="KXV47" s="19"/>
      <c r="KXW47" s="19"/>
      <c r="KXX47" s="19"/>
      <c r="KXY47" s="19"/>
      <c r="KXZ47" s="19"/>
      <c r="KYA47" s="19"/>
      <c r="KYB47" s="19"/>
      <c r="KYC47" s="19"/>
      <c r="KYD47" s="19"/>
      <c r="KYE47" s="19"/>
      <c r="KYF47" s="19"/>
      <c r="KYG47" s="19"/>
      <c r="KYH47" s="19"/>
      <c r="KYI47" s="19"/>
      <c r="KYJ47" s="19"/>
      <c r="KYK47" s="19"/>
      <c r="KYL47" s="19"/>
      <c r="KYM47" s="19"/>
      <c r="KYN47" s="19"/>
      <c r="KYO47" s="19"/>
      <c r="KYP47" s="19"/>
      <c r="KYQ47" s="19"/>
      <c r="KYR47" s="19"/>
      <c r="KYS47" s="19"/>
      <c r="KYT47" s="19"/>
      <c r="KYU47" s="19"/>
      <c r="KYV47" s="19"/>
      <c r="KYW47" s="19"/>
      <c r="KYX47" s="19"/>
      <c r="KYY47" s="19"/>
      <c r="KYZ47" s="19"/>
      <c r="KZA47" s="19"/>
      <c r="KZB47" s="19"/>
      <c r="KZC47" s="19"/>
      <c r="KZD47" s="19"/>
      <c r="KZE47" s="19"/>
      <c r="KZF47" s="19"/>
      <c r="KZG47" s="19"/>
      <c r="KZH47" s="19"/>
      <c r="KZI47" s="19"/>
      <c r="KZJ47" s="19"/>
      <c r="KZK47" s="19"/>
      <c r="KZL47" s="19"/>
      <c r="KZM47" s="19"/>
      <c r="KZN47" s="19"/>
      <c r="KZO47" s="19"/>
      <c r="KZP47" s="19"/>
      <c r="KZQ47" s="19"/>
      <c r="KZR47" s="19"/>
      <c r="KZS47" s="19"/>
      <c r="KZT47" s="19"/>
      <c r="KZU47" s="19"/>
      <c r="KZV47" s="19"/>
      <c r="KZW47" s="19"/>
      <c r="KZX47" s="19"/>
      <c r="KZY47" s="19"/>
      <c r="KZZ47" s="19"/>
      <c r="LAA47" s="19"/>
      <c r="LAB47" s="19"/>
      <c r="LAC47" s="19"/>
      <c r="LAD47" s="19"/>
      <c r="LAE47" s="19"/>
      <c r="LAF47" s="19"/>
      <c r="LAG47" s="19"/>
      <c r="LAH47" s="19"/>
      <c r="LAI47" s="19"/>
      <c r="LAJ47" s="19"/>
      <c r="LAK47" s="19"/>
      <c r="LAL47" s="19"/>
      <c r="LAM47" s="19"/>
      <c r="LAN47" s="19"/>
      <c r="LAO47" s="19"/>
      <c r="LAP47" s="19"/>
      <c r="LAQ47" s="19"/>
      <c r="LAR47" s="19"/>
      <c r="LAS47" s="19"/>
      <c r="LAT47" s="19"/>
      <c r="LAU47" s="19"/>
      <c r="LAV47" s="19"/>
      <c r="LAW47" s="19"/>
      <c r="LAX47" s="19"/>
      <c r="LAY47" s="19"/>
      <c r="LAZ47" s="19"/>
      <c r="LBA47" s="19"/>
      <c r="LBB47" s="19"/>
      <c r="LBC47" s="19"/>
      <c r="LBD47" s="19"/>
      <c r="LBE47" s="19"/>
      <c r="LBF47" s="19"/>
      <c r="LBG47" s="19"/>
      <c r="LBH47" s="19"/>
      <c r="LBI47" s="19"/>
      <c r="LBJ47" s="19"/>
      <c r="LBK47" s="19"/>
      <c r="LBL47" s="19"/>
      <c r="LBM47" s="19"/>
      <c r="LBN47" s="19"/>
      <c r="LBO47" s="19"/>
      <c r="LBP47" s="19"/>
      <c r="LBQ47" s="19"/>
      <c r="LBR47" s="19"/>
      <c r="LBS47" s="19"/>
      <c r="LBT47" s="19"/>
      <c r="LBU47" s="19"/>
      <c r="LBV47" s="19"/>
      <c r="LBW47" s="19"/>
      <c r="LBX47" s="19"/>
      <c r="LBY47" s="19"/>
      <c r="LBZ47" s="19"/>
      <c r="LCA47" s="19"/>
      <c r="LCB47" s="19"/>
      <c r="LCC47" s="19"/>
      <c r="LCD47" s="19"/>
      <c r="LCE47" s="19"/>
      <c r="LCF47" s="19"/>
      <c r="LCG47" s="19"/>
      <c r="LCH47" s="19"/>
      <c r="LCI47" s="19"/>
      <c r="LCJ47" s="19"/>
      <c r="LCK47" s="19"/>
      <c r="LCL47" s="19"/>
      <c r="LCM47" s="19"/>
      <c r="LCN47" s="19"/>
      <c r="LCO47" s="19"/>
      <c r="LCP47" s="19"/>
      <c r="LCQ47" s="19"/>
      <c r="LCR47" s="19"/>
      <c r="LCS47" s="19"/>
      <c r="LCT47" s="19"/>
      <c r="LCU47" s="19"/>
      <c r="LCV47" s="19"/>
      <c r="LCW47" s="19"/>
      <c r="LCX47" s="19"/>
      <c r="LCY47" s="19"/>
      <c r="LCZ47" s="19"/>
      <c r="LDA47" s="19"/>
      <c r="LDB47" s="19"/>
      <c r="LDC47" s="19"/>
      <c r="LDD47" s="19"/>
      <c r="LDE47" s="19"/>
      <c r="LDF47" s="19"/>
      <c r="LDG47" s="19"/>
      <c r="LDH47" s="19"/>
      <c r="LDI47" s="19"/>
      <c r="LDJ47" s="19"/>
      <c r="LDK47" s="19"/>
      <c r="LDL47" s="19"/>
      <c r="LDM47" s="19"/>
      <c r="LDN47" s="19"/>
      <c r="LDO47" s="19"/>
      <c r="LDP47" s="19"/>
      <c r="LDQ47" s="19"/>
      <c r="LDR47" s="19"/>
      <c r="LDS47" s="19"/>
      <c r="LDT47" s="19"/>
      <c r="LDU47" s="19"/>
      <c r="LDV47" s="19"/>
      <c r="LDW47" s="19"/>
      <c r="LDX47" s="19"/>
      <c r="LDY47" s="19"/>
      <c r="LDZ47" s="19"/>
      <c r="LEA47" s="19"/>
      <c r="LEB47" s="19"/>
      <c r="LEC47" s="19"/>
      <c r="LED47" s="19"/>
      <c r="LEE47" s="19"/>
      <c r="LEF47" s="19"/>
      <c r="LEG47" s="19"/>
      <c r="LEH47" s="19"/>
      <c r="LEI47" s="19"/>
      <c r="LEJ47" s="19"/>
      <c r="LEK47" s="19"/>
      <c r="LEL47" s="19"/>
      <c r="LEM47" s="19"/>
      <c r="LEN47" s="19"/>
      <c r="LEO47" s="19"/>
      <c r="LEP47" s="19"/>
      <c r="LEQ47" s="19"/>
      <c r="LER47" s="19"/>
      <c r="LES47" s="19"/>
      <c r="LET47" s="19"/>
      <c r="LEU47" s="19"/>
      <c r="LEV47" s="19"/>
      <c r="LEW47" s="19"/>
      <c r="LEX47" s="19"/>
      <c r="LEY47" s="19"/>
      <c r="LEZ47" s="19"/>
      <c r="LFA47" s="19"/>
      <c r="LFB47" s="19"/>
      <c r="LFC47" s="19"/>
      <c r="LFD47" s="19"/>
      <c r="LFE47" s="19"/>
      <c r="LFF47" s="19"/>
      <c r="LFG47" s="19"/>
      <c r="LFH47" s="19"/>
      <c r="LFI47" s="19"/>
      <c r="LFJ47" s="19"/>
      <c r="LFK47" s="19"/>
      <c r="LFL47" s="19"/>
      <c r="LFM47" s="19"/>
      <c r="LFN47" s="19"/>
      <c r="LFO47" s="19"/>
      <c r="LFP47" s="19"/>
      <c r="LFQ47" s="19"/>
      <c r="LFR47" s="19"/>
      <c r="LFS47" s="19"/>
      <c r="LFT47" s="19"/>
      <c r="LFU47" s="19"/>
      <c r="LFV47" s="19"/>
      <c r="LFW47" s="19"/>
      <c r="LFX47" s="19"/>
      <c r="LFY47" s="19"/>
      <c r="LFZ47" s="19"/>
      <c r="LGA47" s="19"/>
      <c r="LGB47" s="19"/>
      <c r="LGC47" s="19"/>
      <c r="LGD47" s="19"/>
      <c r="LGE47" s="19"/>
      <c r="LGF47" s="19"/>
      <c r="LGG47" s="19"/>
      <c r="LGH47" s="19"/>
      <c r="LGI47" s="19"/>
      <c r="LGJ47" s="19"/>
      <c r="LGK47" s="19"/>
      <c r="LGL47" s="19"/>
      <c r="LGM47" s="19"/>
      <c r="LGN47" s="19"/>
      <c r="LGO47" s="19"/>
      <c r="LGP47" s="19"/>
      <c r="LGQ47" s="19"/>
      <c r="LGR47" s="19"/>
      <c r="LGS47" s="19"/>
      <c r="LGT47" s="19"/>
      <c r="LGU47" s="19"/>
      <c r="LGV47" s="19"/>
      <c r="LGW47" s="19"/>
      <c r="LGX47" s="19"/>
      <c r="LGY47" s="19"/>
      <c r="LGZ47" s="19"/>
      <c r="LHA47" s="19"/>
      <c r="LHB47" s="19"/>
      <c r="LHC47" s="19"/>
      <c r="LHD47" s="19"/>
      <c r="LHE47" s="19"/>
      <c r="LHF47" s="19"/>
      <c r="LHG47" s="19"/>
      <c r="LHH47" s="19"/>
      <c r="LHI47" s="19"/>
      <c r="LHJ47" s="19"/>
      <c r="LHK47" s="19"/>
      <c r="LHL47" s="19"/>
      <c r="LHM47" s="19"/>
      <c r="LHN47" s="19"/>
      <c r="LHO47" s="19"/>
      <c r="LHP47" s="19"/>
      <c r="LHQ47" s="19"/>
      <c r="LHR47" s="19"/>
      <c r="LHS47" s="19"/>
      <c r="LHT47" s="19"/>
      <c r="LHU47" s="19"/>
      <c r="LHV47" s="19"/>
      <c r="LHW47" s="19"/>
      <c r="LHX47" s="19"/>
      <c r="LHY47" s="19"/>
      <c r="LHZ47" s="19"/>
      <c r="LIA47" s="19"/>
      <c r="LIB47" s="19"/>
      <c r="LIC47" s="19"/>
      <c r="LID47" s="19"/>
      <c r="LIE47" s="19"/>
      <c r="LIF47" s="19"/>
      <c r="LIG47" s="19"/>
      <c r="LIH47" s="19"/>
      <c r="LII47" s="19"/>
      <c r="LIJ47" s="19"/>
      <c r="LIK47" s="19"/>
      <c r="LIL47" s="19"/>
      <c r="LIM47" s="19"/>
      <c r="LIN47" s="19"/>
      <c r="LIO47" s="19"/>
      <c r="LIP47" s="19"/>
      <c r="LIQ47" s="19"/>
      <c r="LIR47" s="19"/>
      <c r="LIS47" s="19"/>
      <c r="LIT47" s="19"/>
      <c r="LIU47" s="19"/>
      <c r="LIV47" s="19"/>
      <c r="LIW47" s="19"/>
      <c r="LIX47" s="19"/>
      <c r="LIY47" s="19"/>
      <c r="LIZ47" s="19"/>
      <c r="LJA47" s="19"/>
      <c r="LJB47" s="19"/>
      <c r="LJC47" s="19"/>
      <c r="LJD47" s="19"/>
      <c r="LJE47" s="19"/>
      <c r="LJF47" s="19"/>
      <c r="LJG47" s="19"/>
      <c r="LJH47" s="19"/>
      <c r="LJI47" s="19"/>
      <c r="LJJ47" s="19"/>
      <c r="LJK47" s="19"/>
      <c r="LJL47" s="19"/>
      <c r="LJM47" s="19"/>
      <c r="LJN47" s="19"/>
      <c r="LJO47" s="19"/>
      <c r="LJP47" s="19"/>
      <c r="LJQ47" s="19"/>
      <c r="LJR47" s="19"/>
      <c r="LJS47" s="19"/>
      <c r="LJT47" s="19"/>
      <c r="LJU47" s="19"/>
      <c r="LJV47" s="19"/>
      <c r="LJW47" s="19"/>
      <c r="LJX47" s="19"/>
      <c r="LJY47" s="19"/>
      <c r="LJZ47" s="19"/>
      <c r="LKA47" s="19"/>
      <c r="LKB47" s="19"/>
      <c r="LKC47" s="19"/>
      <c r="LKD47" s="19"/>
      <c r="LKE47" s="19"/>
      <c r="LKF47" s="19"/>
      <c r="LKG47" s="19"/>
      <c r="LKH47" s="19"/>
      <c r="LKI47" s="19"/>
      <c r="LKJ47" s="19"/>
      <c r="LKK47" s="19"/>
      <c r="LKL47" s="19"/>
      <c r="LKM47" s="19"/>
      <c r="LKN47" s="19"/>
      <c r="LKO47" s="19"/>
      <c r="LKP47" s="19"/>
      <c r="LKQ47" s="19"/>
      <c r="LKR47" s="19"/>
      <c r="LKS47" s="19"/>
      <c r="LKT47" s="19"/>
      <c r="LKU47" s="19"/>
      <c r="LKV47" s="19"/>
      <c r="LKW47" s="19"/>
      <c r="LKX47" s="19"/>
      <c r="LKY47" s="19"/>
      <c r="LKZ47" s="19"/>
      <c r="LLA47" s="19"/>
      <c r="LLB47" s="19"/>
      <c r="LLC47" s="19"/>
      <c r="LLD47" s="19"/>
      <c r="LLE47" s="19"/>
      <c r="LLF47" s="19"/>
      <c r="LLG47" s="19"/>
      <c r="LLH47" s="19"/>
      <c r="LLI47" s="19"/>
      <c r="LLJ47" s="19"/>
      <c r="LLK47" s="19"/>
      <c r="LLL47" s="19"/>
      <c r="LLM47" s="19"/>
      <c r="LLN47" s="19"/>
      <c r="LLO47" s="19"/>
      <c r="LLP47" s="19"/>
      <c r="LLQ47" s="19"/>
      <c r="LLR47" s="19"/>
      <c r="LLS47" s="19"/>
      <c r="LLT47" s="19"/>
      <c r="LLU47" s="19"/>
      <c r="LLV47" s="19"/>
      <c r="LLW47" s="19"/>
      <c r="LLX47" s="19"/>
      <c r="LLY47" s="19"/>
      <c r="LLZ47" s="19"/>
      <c r="LMA47" s="19"/>
      <c r="LMB47" s="19"/>
      <c r="LMC47" s="19"/>
      <c r="LMD47" s="19"/>
      <c r="LME47" s="19"/>
      <c r="LMF47" s="19"/>
      <c r="LMG47" s="19"/>
      <c r="LMH47" s="19"/>
      <c r="LMI47" s="19"/>
      <c r="LMJ47" s="19"/>
      <c r="LMK47" s="19"/>
      <c r="LML47" s="19"/>
      <c r="LMM47" s="19"/>
      <c r="LMN47" s="19"/>
      <c r="LMO47" s="19"/>
      <c r="LMP47" s="19"/>
      <c r="LMQ47" s="19"/>
      <c r="LMR47" s="19"/>
      <c r="LMS47" s="19"/>
      <c r="LMT47" s="19"/>
      <c r="LMU47" s="19"/>
      <c r="LMV47" s="19"/>
      <c r="LMW47" s="19"/>
      <c r="LMX47" s="19"/>
      <c r="LMY47" s="19"/>
      <c r="LMZ47" s="19"/>
      <c r="LNA47" s="19"/>
      <c r="LNB47" s="19"/>
      <c r="LNC47" s="19"/>
      <c r="LND47" s="19"/>
      <c r="LNE47" s="19"/>
      <c r="LNF47" s="19"/>
      <c r="LNG47" s="19"/>
      <c r="LNH47" s="19"/>
      <c r="LNI47" s="19"/>
      <c r="LNJ47" s="19"/>
      <c r="LNK47" s="19"/>
      <c r="LNL47" s="19"/>
      <c r="LNM47" s="19"/>
      <c r="LNN47" s="19"/>
      <c r="LNO47" s="19"/>
      <c r="LNP47" s="19"/>
      <c r="LNQ47" s="19"/>
      <c r="LNR47" s="19"/>
      <c r="LNS47" s="19"/>
      <c r="LNT47" s="19"/>
      <c r="LNU47" s="19"/>
      <c r="LNV47" s="19"/>
      <c r="LNW47" s="19"/>
      <c r="LNX47" s="19"/>
      <c r="LNY47" s="19"/>
      <c r="LNZ47" s="19"/>
      <c r="LOA47" s="19"/>
      <c r="LOB47" s="19"/>
      <c r="LOC47" s="19"/>
      <c r="LOD47" s="19"/>
      <c r="LOE47" s="19"/>
      <c r="LOF47" s="19"/>
      <c r="LOG47" s="19"/>
      <c r="LOH47" s="19"/>
      <c r="LOI47" s="19"/>
      <c r="LOJ47" s="19"/>
      <c r="LOK47" s="19"/>
      <c r="LOL47" s="19"/>
      <c r="LOM47" s="19"/>
      <c r="LON47" s="19"/>
      <c r="LOO47" s="19"/>
      <c r="LOP47" s="19"/>
      <c r="LOQ47" s="19"/>
      <c r="LOR47" s="19"/>
      <c r="LOS47" s="19"/>
      <c r="LOT47" s="19"/>
      <c r="LOU47" s="19"/>
      <c r="LOV47" s="19"/>
      <c r="LOW47" s="19"/>
      <c r="LOX47" s="19"/>
      <c r="LOY47" s="19"/>
      <c r="LOZ47" s="19"/>
      <c r="LPA47" s="19"/>
      <c r="LPB47" s="19"/>
      <c r="LPC47" s="19"/>
      <c r="LPD47" s="19"/>
      <c r="LPE47" s="19"/>
      <c r="LPF47" s="19"/>
      <c r="LPG47" s="19"/>
      <c r="LPH47" s="19"/>
      <c r="LPI47" s="19"/>
      <c r="LPJ47" s="19"/>
      <c r="LPK47" s="19"/>
      <c r="LPL47" s="19"/>
      <c r="LPM47" s="19"/>
      <c r="LPN47" s="19"/>
      <c r="LPO47" s="19"/>
      <c r="LPP47" s="19"/>
      <c r="LPQ47" s="19"/>
      <c r="LPR47" s="19"/>
      <c r="LPS47" s="19"/>
      <c r="LPT47" s="19"/>
      <c r="LPU47" s="19"/>
      <c r="LPV47" s="19"/>
      <c r="LPW47" s="19"/>
      <c r="LPX47" s="19"/>
      <c r="LPY47" s="19"/>
      <c r="LPZ47" s="19"/>
      <c r="LQA47" s="19"/>
      <c r="LQB47" s="19"/>
      <c r="LQC47" s="19"/>
      <c r="LQD47" s="19"/>
      <c r="LQE47" s="19"/>
      <c r="LQF47" s="19"/>
      <c r="LQG47" s="19"/>
      <c r="LQH47" s="19"/>
      <c r="LQI47" s="19"/>
      <c r="LQJ47" s="19"/>
      <c r="LQK47" s="19"/>
      <c r="LQL47" s="19"/>
      <c r="LQM47" s="19"/>
      <c r="LQN47" s="19"/>
      <c r="LQO47" s="19"/>
      <c r="LQP47" s="19"/>
      <c r="LQQ47" s="19"/>
      <c r="LQR47" s="19"/>
      <c r="LQS47" s="19"/>
      <c r="LQT47" s="19"/>
      <c r="LQU47" s="19"/>
      <c r="LQV47" s="19"/>
      <c r="LQW47" s="19"/>
      <c r="LQX47" s="19"/>
      <c r="LQY47" s="19"/>
      <c r="LQZ47" s="19"/>
      <c r="LRA47" s="19"/>
      <c r="LRB47" s="19"/>
      <c r="LRC47" s="19"/>
      <c r="LRD47" s="19"/>
      <c r="LRE47" s="19"/>
      <c r="LRF47" s="19"/>
      <c r="LRG47" s="19"/>
      <c r="LRH47" s="19"/>
      <c r="LRI47" s="19"/>
      <c r="LRJ47" s="19"/>
      <c r="LRK47" s="19"/>
      <c r="LRL47" s="19"/>
      <c r="LRM47" s="19"/>
      <c r="LRN47" s="19"/>
      <c r="LRO47" s="19"/>
      <c r="LRP47" s="19"/>
      <c r="LRQ47" s="19"/>
      <c r="LRR47" s="19"/>
      <c r="LRS47" s="19"/>
      <c r="LRT47" s="19"/>
      <c r="LRU47" s="19"/>
      <c r="LRV47" s="19"/>
      <c r="LRW47" s="19"/>
      <c r="LRX47" s="19"/>
      <c r="LRY47" s="19"/>
      <c r="LRZ47" s="19"/>
      <c r="LSA47" s="19"/>
      <c r="LSB47" s="19"/>
      <c r="LSC47" s="19"/>
      <c r="LSD47" s="19"/>
      <c r="LSE47" s="19"/>
      <c r="LSF47" s="19"/>
      <c r="LSG47" s="19"/>
      <c r="LSH47" s="19"/>
      <c r="LSI47" s="19"/>
      <c r="LSJ47" s="19"/>
      <c r="LSK47" s="19"/>
      <c r="LSL47" s="19"/>
      <c r="LSM47" s="19"/>
      <c r="LSN47" s="19"/>
      <c r="LSO47" s="19"/>
      <c r="LSP47" s="19"/>
      <c r="LSQ47" s="19"/>
      <c r="LSR47" s="19"/>
      <c r="LSS47" s="19"/>
      <c r="LST47" s="19"/>
      <c r="LSU47" s="19"/>
      <c r="LSV47" s="19"/>
      <c r="LSW47" s="19"/>
      <c r="LSX47" s="19"/>
      <c r="LSY47" s="19"/>
      <c r="LSZ47" s="19"/>
      <c r="LTA47" s="19"/>
      <c r="LTB47" s="19"/>
      <c r="LTC47" s="19"/>
      <c r="LTD47" s="19"/>
      <c r="LTE47" s="19"/>
      <c r="LTF47" s="19"/>
      <c r="LTG47" s="19"/>
      <c r="LTH47" s="19"/>
      <c r="LTI47" s="19"/>
      <c r="LTJ47" s="19"/>
      <c r="LTK47" s="19"/>
      <c r="LTL47" s="19"/>
      <c r="LTM47" s="19"/>
      <c r="LTN47" s="19"/>
      <c r="LTO47" s="19"/>
      <c r="LTP47" s="19"/>
      <c r="LTQ47" s="19"/>
      <c r="LTR47" s="19"/>
      <c r="LTS47" s="19"/>
      <c r="LTT47" s="19"/>
      <c r="LTU47" s="19"/>
      <c r="LTV47" s="19"/>
      <c r="LTW47" s="19"/>
      <c r="LTX47" s="19"/>
      <c r="LTY47" s="19"/>
      <c r="LTZ47" s="19"/>
      <c r="LUA47" s="19"/>
      <c r="LUB47" s="19"/>
      <c r="LUC47" s="19"/>
      <c r="LUD47" s="19"/>
      <c r="LUE47" s="19"/>
      <c r="LUF47" s="19"/>
      <c r="LUG47" s="19"/>
      <c r="LUH47" s="19"/>
      <c r="LUI47" s="19"/>
      <c r="LUJ47" s="19"/>
      <c r="LUK47" s="19"/>
      <c r="LUL47" s="19"/>
      <c r="LUM47" s="19"/>
      <c r="LUN47" s="19"/>
      <c r="LUO47" s="19"/>
      <c r="LUP47" s="19"/>
      <c r="LUQ47" s="19"/>
      <c r="LUR47" s="19"/>
      <c r="LUS47" s="19"/>
      <c r="LUT47" s="19"/>
      <c r="LUU47" s="19"/>
      <c r="LUV47" s="19"/>
      <c r="LUW47" s="19"/>
      <c r="LUX47" s="19"/>
      <c r="LUY47" s="19"/>
      <c r="LUZ47" s="19"/>
      <c r="LVA47" s="19"/>
      <c r="LVB47" s="19"/>
      <c r="LVC47" s="19"/>
      <c r="LVD47" s="19"/>
      <c r="LVE47" s="19"/>
      <c r="LVF47" s="19"/>
      <c r="LVG47" s="19"/>
      <c r="LVH47" s="19"/>
      <c r="LVI47" s="19"/>
      <c r="LVJ47" s="19"/>
      <c r="LVK47" s="19"/>
      <c r="LVL47" s="19"/>
      <c r="LVM47" s="19"/>
      <c r="LVN47" s="19"/>
      <c r="LVO47" s="19"/>
      <c r="LVP47" s="19"/>
      <c r="LVQ47" s="19"/>
      <c r="LVR47" s="19"/>
      <c r="LVS47" s="19"/>
      <c r="LVT47" s="19"/>
      <c r="LVU47" s="19"/>
      <c r="LVV47" s="19"/>
      <c r="LVW47" s="19"/>
      <c r="LVX47" s="19"/>
      <c r="LVY47" s="19"/>
      <c r="LVZ47" s="19"/>
      <c r="LWA47" s="19"/>
      <c r="LWB47" s="19"/>
      <c r="LWC47" s="19"/>
      <c r="LWD47" s="19"/>
      <c r="LWE47" s="19"/>
      <c r="LWF47" s="19"/>
      <c r="LWG47" s="19"/>
      <c r="LWH47" s="19"/>
      <c r="LWI47" s="19"/>
      <c r="LWJ47" s="19"/>
      <c r="LWK47" s="19"/>
      <c r="LWL47" s="19"/>
      <c r="LWM47" s="19"/>
      <c r="LWN47" s="19"/>
      <c r="LWO47" s="19"/>
      <c r="LWP47" s="19"/>
      <c r="LWQ47" s="19"/>
      <c r="LWR47" s="19"/>
      <c r="LWS47" s="19"/>
      <c r="LWT47" s="19"/>
      <c r="LWU47" s="19"/>
      <c r="LWV47" s="19"/>
      <c r="LWW47" s="19"/>
      <c r="LWX47" s="19"/>
      <c r="LWY47" s="19"/>
      <c r="LWZ47" s="19"/>
      <c r="LXA47" s="19"/>
      <c r="LXB47" s="19"/>
      <c r="LXC47" s="19"/>
      <c r="LXD47" s="19"/>
      <c r="LXE47" s="19"/>
      <c r="LXF47" s="19"/>
      <c r="LXG47" s="19"/>
      <c r="LXH47" s="19"/>
      <c r="LXI47" s="19"/>
      <c r="LXJ47" s="19"/>
      <c r="LXK47" s="19"/>
      <c r="LXL47" s="19"/>
      <c r="LXM47" s="19"/>
      <c r="LXN47" s="19"/>
      <c r="LXO47" s="19"/>
      <c r="LXP47" s="19"/>
      <c r="LXQ47" s="19"/>
      <c r="LXR47" s="19"/>
      <c r="LXS47" s="19"/>
      <c r="LXT47" s="19"/>
      <c r="LXU47" s="19"/>
      <c r="LXV47" s="19"/>
      <c r="LXW47" s="19"/>
      <c r="LXX47" s="19"/>
      <c r="LXY47" s="19"/>
      <c r="LXZ47" s="19"/>
      <c r="LYA47" s="19"/>
      <c r="LYB47" s="19"/>
      <c r="LYC47" s="19"/>
      <c r="LYD47" s="19"/>
      <c r="LYE47" s="19"/>
      <c r="LYF47" s="19"/>
      <c r="LYG47" s="19"/>
      <c r="LYH47" s="19"/>
      <c r="LYI47" s="19"/>
      <c r="LYJ47" s="19"/>
      <c r="LYK47" s="19"/>
      <c r="LYL47" s="19"/>
      <c r="LYM47" s="19"/>
      <c r="LYN47" s="19"/>
      <c r="LYO47" s="19"/>
      <c r="LYP47" s="19"/>
      <c r="LYQ47" s="19"/>
      <c r="LYR47" s="19"/>
      <c r="LYS47" s="19"/>
      <c r="LYT47" s="19"/>
      <c r="LYU47" s="19"/>
      <c r="LYV47" s="19"/>
      <c r="LYW47" s="19"/>
      <c r="LYX47" s="19"/>
      <c r="LYY47" s="19"/>
      <c r="LYZ47" s="19"/>
      <c r="LZA47" s="19"/>
      <c r="LZB47" s="19"/>
      <c r="LZC47" s="19"/>
      <c r="LZD47" s="19"/>
      <c r="LZE47" s="19"/>
      <c r="LZF47" s="19"/>
      <c r="LZG47" s="19"/>
      <c r="LZH47" s="19"/>
      <c r="LZI47" s="19"/>
      <c r="LZJ47" s="19"/>
      <c r="LZK47" s="19"/>
      <c r="LZL47" s="19"/>
      <c r="LZM47" s="19"/>
      <c r="LZN47" s="19"/>
      <c r="LZO47" s="19"/>
      <c r="LZP47" s="19"/>
      <c r="LZQ47" s="19"/>
      <c r="LZR47" s="19"/>
      <c r="LZS47" s="19"/>
      <c r="LZT47" s="19"/>
      <c r="LZU47" s="19"/>
      <c r="LZV47" s="19"/>
      <c r="LZW47" s="19"/>
      <c r="LZX47" s="19"/>
      <c r="LZY47" s="19"/>
      <c r="LZZ47" s="19"/>
      <c r="MAA47" s="19"/>
      <c r="MAB47" s="19"/>
      <c r="MAC47" s="19"/>
      <c r="MAD47" s="19"/>
      <c r="MAE47" s="19"/>
      <c r="MAF47" s="19"/>
      <c r="MAG47" s="19"/>
      <c r="MAH47" s="19"/>
      <c r="MAI47" s="19"/>
      <c r="MAJ47" s="19"/>
      <c r="MAK47" s="19"/>
      <c r="MAL47" s="19"/>
      <c r="MAM47" s="19"/>
      <c r="MAN47" s="19"/>
      <c r="MAO47" s="19"/>
      <c r="MAP47" s="19"/>
      <c r="MAQ47" s="19"/>
      <c r="MAR47" s="19"/>
      <c r="MAS47" s="19"/>
      <c r="MAT47" s="19"/>
      <c r="MAU47" s="19"/>
      <c r="MAV47" s="19"/>
      <c r="MAW47" s="19"/>
      <c r="MAX47" s="19"/>
      <c r="MAY47" s="19"/>
      <c r="MAZ47" s="19"/>
      <c r="MBA47" s="19"/>
      <c r="MBB47" s="19"/>
      <c r="MBC47" s="19"/>
      <c r="MBD47" s="19"/>
      <c r="MBE47" s="19"/>
      <c r="MBF47" s="19"/>
      <c r="MBG47" s="19"/>
      <c r="MBH47" s="19"/>
      <c r="MBI47" s="19"/>
      <c r="MBJ47" s="19"/>
      <c r="MBK47" s="19"/>
      <c r="MBL47" s="19"/>
      <c r="MBM47" s="19"/>
      <c r="MBN47" s="19"/>
      <c r="MBO47" s="19"/>
      <c r="MBP47" s="19"/>
      <c r="MBQ47" s="19"/>
      <c r="MBR47" s="19"/>
      <c r="MBS47" s="19"/>
      <c r="MBT47" s="19"/>
      <c r="MBU47" s="19"/>
      <c r="MBV47" s="19"/>
      <c r="MBW47" s="19"/>
      <c r="MBX47" s="19"/>
      <c r="MBY47" s="19"/>
      <c r="MBZ47" s="19"/>
      <c r="MCA47" s="19"/>
      <c r="MCB47" s="19"/>
      <c r="MCC47" s="19"/>
      <c r="MCD47" s="19"/>
      <c r="MCE47" s="19"/>
      <c r="MCF47" s="19"/>
      <c r="MCG47" s="19"/>
      <c r="MCH47" s="19"/>
      <c r="MCI47" s="19"/>
      <c r="MCJ47" s="19"/>
      <c r="MCK47" s="19"/>
      <c r="MCL47" s="19"/>
      <c r="MCM47" s="19"/>
      <c r="MCN47" s="19"/>
      <c r="MCO47" s="19"/>
      <c r="MCP47" s="19"/>
      <c r="MCQ47" s="19"/>
      <c r="MCR47" s="19"/>
      <c r="MCS47" s="19"/>
      <c r="MCT47" s="19"/>
      <c r="MCU47" s="19"/>
      <c r="MCV47" s="19"/>
      <c r="MCW47" s="19"/>
      <c r="MCX47" s="19"/>
      <c r="MCY47" s="19"/>
      <c r="MCZ47" s="19"/>
      <c r="MDA47" s="19"/>
      <c r="MDB47" s="19"/>
      <c r="MDC47" s="19"/>
      <c r="MDD47" s="19"/>
      <c r="MDE47" s="19"/>
      <c r="MDF47" s="19"/>
      <c r="MDG47" s="19"/>
      <c r="MDH47" s="19"/>
      <c r="MDI47" s="19"/>
      <c r="MDJ47" s="19"/>
      <c r="MDK47" s="19"/>
      <c r="MDL47" s="19"/>
      <c r="MDM47" s="19"/>
      <c r="MDN47" s="19"/>
      <c r="MDO47" s="19"/>
      <c r="MDP47" s="19"/>
      <c r="MDQ47" s="19"/>
      <c r="MDR47" s="19"/>
      <c r="MDS47" s="19"/>
      <c r="MDT47" s="19"/>
      <c r="MDU47" s="19"/>
      <c r="MDV47" s="19"/>
      <c r="MDW47" s="19"/>
      <c r="MDX47" s="19"/>
      <c r="MDY47" s="19"/>
      <c r="MDZ47" s="19"/>
      <c r="MEA47" s="19"/>
      <c r="MEB47" s="19"/>
      <c r="MEC47" s="19"/>
      <c r="MED47" s="19"/>
      <c r="MEE47" s="19"/>
      <c r="MEF47" s="19"/>
      <c r="MEG47" s="19"/>
      <c r="MEH47" s="19"/>
      <c r="MEI47" s="19"/>
      <c r="MEJ47" s="19"/>
      <c r="MEK47" s="19"/>
      <c r="MEL47" s="19"/>
      <c r="MEM47" s="19"/>
      <c r="MEN47" s="19"/>
      <c r="MEO47" s="19"/>
      <c r="MEP47" s="19"/>
      <c r="MEQ47" s="19"/>
      <c r="MER47" s="19"/>
      <c r="MES47" s="19"/>
      <c r="MET47" s="19"/>
      <c r="MEU47" s="19"/>
      <c r="MEV47" s="19"/>
      <c r="MEW47" s="19"/>
      <c r="MEX47" s="19"/>
      <c r="MEY47" s="19"/>
      <c r="MEZ47" s="19"/>
      <c r="MFA47" s="19"/>
      <c r="MFB47" s="19"/>
      <c r="MFC47" s="19"/>
      <c r="MFD47" s="19"/>
      <c r="MFE47" s="19"/>
      <c r="MFF47" s="19"/>
      <c r="MFG47" s="19"/>
      <c r="MFH47" s="19"/>
      <c r="MFI47" s="19"/>
      <c r="MFJ47" s="19"/>
      <c r="MFK47" s="19"/>
      <c r="MFL47" s="19"/>
      <c r="MFM47" s="19"/>
      <c r="MFN47" s="19"/>
      <c r="MFO47" s="19"/>
      <c r="MFP47" s="19"/>
      <c r="MFQ47" s="19"/>
      <c r="MFR47" s="19"/>
      <c r="MFS47" s="19"/>
      <c r="MFT47" s="19"/>
      <c r="MFU47" s="19"/>
      <c r="MFV47" s="19"/>
      <c r="MFW47" s="19"/>
      <c r="MFX47" s="19"/>
      <c r="MFY47" s="19"/>
      <c r="MFZ47" s="19"/>
      <c r="MGA47" s="19"/>
      <c r="MGB47" s="19"/>
      <c r="MGC47" s="19"/>
      <c r="MGD47" s="19"/>
      <c r="MGE47" s="19"/>
      <c r="MGF47" s="19"/>
      <c r="MGG47" s="19"/>
      <c r="MGH47" s="19"/>
      <c r="MGI47" s="19"/>
      <c r="MGJ47" s="19"/>
      <c r="MGK47" s="19"/>
      <c r="MGL47" s="19"/>
      <c r="MGM47" s="19"/>
      <c r="MGN47" s="19"/>
      <c r="MGO47" s="19"/>
      <c r="MGP47" s="19"/>
      <c r="MGQ47" s="19"/>
      <c r="MGR47" s="19"/>
      <c r="MGS47" s="19"/>
      <c r="MGT47" s="19"/>
      <c r="MGU47" s="19"/>
      <c r="MGV47" s="19"/>
      <c r="MGW47" s="19"/>
      <c r="MGX47" s="19"/>
      <c r="MGY47" s="19"/>
      <c r="MGZ47" s="19"/>
      <c r="MHA47" s="19"/>
      <c r="MHB47" s="19"/>
      <c r="MHC47" s="19"/>
      <c r="MHD47" s="19"/>
      <c r="MHE47" s="19"/>
      <c r="MHF47" s="19"/>
      <c r="MHG47" s="19"/>
      <c r="MHH47" s="19"/>
      <c r="MHI47" s="19"/>
      <c r="MHJ47" s="19"/>
      <c r="MHK47" s="19"/>
      <c r="MHL47" s="19"/>
      <c r="MHM47" s="19"/>
      <c r="MHN47" s="19"/>
      <c r="MHO47" s="19"/>
      <c r="MHP47" s="19"/>
      <c r="MHQ47" s="19"/>
      <c r="MHR47" s="19"/>
      <c r="MHS47" s="19"/>
      <c r="MHT47" s="19"/>
      <c r="MHU47" s="19"/>
      <c r="MHV47" s="19"/>
      <c r="MHW47" s="19"/>
      <c r="MHX47" s="19"/>
      <c r="MHY47" s="19"/>
      <c r="MHZ47" s="19"/>
      <c r="MIA47" s="19"/>
      <c r="MIB47" s="19"/>
      <c r="MIC47" s="19"/>
      <c r="MID47" s="19"/>
      <c r="MIE47" s="19"/>
      <c r="MIF47" s="19"/>
      <c r="MIG47" s="19"/>
      <c r="MIH47" s="19"/>
      <c r="MII47" s="19"/>
      <c r="MIJ47" s="19"/>
      <c r="MIK47" s="19"/>
      <c r="MIL47" s="19"/>
      <c r="MIM47" s="19"/>
      <c r="MIN47" s="19"/>
      <c r="MIO47" s="19"/>
      <c r="MIP47" s="19"/>
      <c r="MIQ47" s="19"/>
      <c r="MIR47" s="19"/>
      <c r="MIS47" s="19"/>
      <c r="MIT47" s="19"/>
      <c r="MIU47" s="19"/>
      <c r="MIV47" s="19"/>
      <c r="MIW47" s="19"/>
      <c r="MIX47" s="19"/>
      <c r="MIY47" s="19"/>
      <c r="MIZ47" s="19"/>
      <c r="MJA47" s="19"/>
      <c r="MJB47" s="19"/>
      <c r="MJC47" s="19"/>
      <c r="MJD47" s="19"/>
      <c r="MJE47" s="19"/>
      <c r="MJF47" s="19"/>
      <c r="MJG47" s="19"/>
      <c r="MJH47" s="19"/>
      <c r="MJI47" s="19"/>
      <c r="MJJ47" s="19"/>
      <c r="MJK47" s="19"/>
      <c r="MJL47" s="19"/>
      <c r="MJM47" s="19"/>
      <c r="MJN47" s="19"/>
      <c r="MJO47" s="19"/>
      <c r="MJP47" s="19"/>
      <c r="MJQ47" s="19"/>
      <c r="MJR47" s="19"/>
      <c r="MJS47" s="19"/>
      <c r="MJT47" s="19"/>
      <c r="MJU47" s="19"/>
      <c r="MJV47" s="19"/>
      <c r="MJW47" s="19"/>
      <c r="MJX47" s="19"/>
      <c r="MJY47" s="19"/>
      <c r="MJZ47" s="19"/>
      <c r="MKA47" s="19"/>
      <c r="MKB47" s="19"/>
      <c r="MKC47" s="19"/>
      <c r="MKD47" s="19"/>
      <c r="MKE47" s="19"/>
      <c r="MKF47" s="19"/>
      <c r="MKG47" s="19"/>
      <c r="MKH47" s="19"/>
      <c r="MKI47" s="19"/>
      <c r="MKJ47" s="19"/>
      <c r="MKK47" s="19"/>
      <c r="MKL47" s="19"/>
      <c r="MKM47" s="19"/>
      <c r="MKN47" s="19"/>
      <c r="MKO47" s="19"/>
      <c r="MKP47" s="19"/>
      <c r="MKQ47" s="19"/>
      <c r="MKR47" s="19"/>
      <c r="MKS47" s="19"/>
      <c r="MKT47" s="19"/>
      <c r="MKU47" s="19"/>
      <c r="MKV47" s="19"/>
      <c r="MKW47" s="19"/>
      <c r="MKX47" s="19"/>
      <c r="MKY47" s="19"/>
      <c r="MKZ47" s="19"/>
      <c r="MLA47" s="19"/>
      <c r="MLB47" s="19"/>
      <c r="MLC47" s="19"/>
      <c r="MLD47" s="19"/>
      <c r="MLE47" s="19"/>
      <c r="MLF47" s="19"/>
      <c r="MLG47" s="19"/>
      <c r="MLH47" s="19"/>
      <c r="MLI47" s="19"/>
      <c r="MLJ47" s="19"/>
      <c r="MLK47" s="19"/>
      <c r="MLL47" s="19"/>
      <c r="MLM47" s="19"/>
      <c r="MLN47" s="19"/>
      <c r="MLO47" s="19"/>
      <c r="MLP47" s="19"/>
      <c r="MLQ47" s="19"/>
      <c r="MLR47" s="19"/>
      <c r="MLS47" s="19"/>
      <c r="MLT47" s="19"/>
      <c r="MLU47" s="19"/>
      <c r="MLV47" s="19"/>
      <c r="MLW47" s="19"/>
      <c r="MLX47" s="19"/>
      <c r="MLY47" s="19"/>
      <c r="MLZ47" s="19"/>
      <c r="MMA47" s="19"/>
      <c r="MMB47" s="19"/>
      <c r="MMC47" s="19"/>
      <c r="MMD47" s="19"/>
      <c r="MME47" s="19"/>
      <c r="MMF47" s="19"/>
      <c r="MMG47" s="19"/>
      <c r="MMH47" s="19"/>
      <c r="MMI47" s="19"/>
      <c r="MMJ47" s="19"/>
      <c r="MMK47" s="19"/>
      <c r="MML47" s="19"/>
      <c r="MMM47" s="19"/>
      <c r="MMN47" s="19"/>
      <c r="MMO47" s="19"/>
      <c r="MMP47" s="19"/>
      <c r="MMQ47" s="19"/>
      <c r="MMR47" s="19"/>
      <c r="MMS47" s="19"/>
      <c r="MMT47" s="19"/>
      <c r="MMU47" s="19"/>
      <c r="MMV47" s="19"/>
      <c r="MMW47" s="19"/>
      <c r="MMX47" s="19"/>
      <c r="MMY47" s="19"/>
      <c r="MMZ47" s="19"/>
      <c r="MNA47" s="19"/>
      <c r="MNB47" s="19"/>
      <c r="MNC47" s="19"/>
      <c r="MND47" s="19"/>
      <c r="MNE47" s="19"/>
      <c r="MNF47" s="19"/>
      <c r="MNG47" s="19"/>
      <c r="MNH47" s="19"/>
      <c r="MNI47" s="19"/>
      <c r="MNJ47" s="19"/>
      <c r="MNK47" s="19"/>
      <c r="MNL47" s="19"/>
      <c r="MNM47" s="19"/>
      <c r="MNN47" s="19"/>
      <c r="MNO47" s="19"/>
      <c r="MNP47" s="19"/>
      <c r="MNQ47" s="19"/>
      <c r="MNR47" s="19"/>
      <c r="MNS47" s="19"/>
      <c r="MNT47" s="19"/>
      <c r="MNU47" s="19"/>
      <c r="MNV47" s="19"/>
      <c r="MNW47" s="19"/>
      <c r="MNX47" s="19"/>
      <c r="MNY47" s="19"/>
      <c r="MNZ47" s="19"/>
      <c r="MOA47" s="19"/>
      <c r="MOB47" s="19"/>
      <c r="MOC47" s="19"/>
      <c r="MOD47" s="19"/>
      <c r="MOE47" s="19"/>
      <c r="MOF47" s="19"/>
      <c r="MOG47" s="19"/>
      <c r="MOH47" s="19"/>
      <c r="MOI47" s="19"/>
      <c r="MOJ47" s="19"/>
      <c r="MOK47" s="19"/>
      <c r="MOL47" s="19"/>
      <c r="MOM47" s="19"/>
      <c r="MON47" s="19"/>
      <c r="MOO47" s="19"/>
      <c r="MOP47" s="19"/>
      <c r="MOQ47" s="19"/>
      <c r="MOR47" s="19"/>
      <c r="MOS47" s="19"/>
      <c r="MOT47" s="19"/>
      <c r="MOU47" s="19"/>
      <c r="MOV47" s="19"/>
      <c r="MOW47" s="19"/>
      <c r="MOX47" s="19"/>
      <c r="MOY47" s="19"/>
      <c r="MOZ47" s="19"/>
      <c r="MPA47" s="19"/>
      <c r="MPB47" s="19"/>
      <c r="MPC47" s="19"/>
      <c r="MPD47" s="19"/>
      <c r="MPE47" s="19"/>
      <c r="MPF47" s="19"/>
      <c r="MPG47" s="19"/>
      <c r="MPH47" s="19"/>
      <c r="MPI47" s="19"/>
      <c r="MPJ47" s="19"/>
      <c r="MPK47" s="19"/>
      <c r="MPL47" s="19"/>
      <c r="MPM47" s="19"/>
      <c r="MPN47" s="19"/>
      <c r="MPO47" s="19"/>
      <c r="MPP47" s="19"/>
      <c r="MPQ47" s="19"/>
      <c r="MPR47" s="19"/>
      <c r="MPS47" s="19"/>
      <c r="MPT47" s="19"/>
      <c r="MPU47" s="19"/>
      <c r="MPV47" s="19"/>
      <c r="MPW47" s="19"/>
      <c r="MPX47" s="19"/>
      <c r="MPY47" s="19"/>
      <c r="MPZ47" s="19"/>
      <c r="MQA47" s="19"/>
      <c r="MQB47" s="19"/>
      <c r="MQC47" s="19"/>
      <c r="MQD47" s="19"/>
      <c r="MQE47" s="19"/>
      <c r="MQF47" s="19"/>
      <c r="MQG47" s="19"/>
      <c r="MQH47" s="19"/>
      <c r="MQI47" s="19"/>
      <c r="MQJ47" s="19"/>
      <c r="MQK47" s="19"/>
      <c r="MQL47" s="19"/>
      <c r="MQM47" s="19"/>
      <c r="MQN47" s="19"/>
      <c r="MQO47" s="19"/>
      <c r="MQP47" s="19"/>
      <c r="MQQ47" s="19"/>
      <c r="MQR47" s="19"/>
      <c r="MQS47" s="19"/>
      <c r="MQT47" s="19"/>
      <c r="MQU47" s="19"/>
      <c r="MQV47" s="19"/>
      <c r="MQW47" s="19"/>
      <c r="MQX47" s="19"/>
      <c r="MQY47" s="19"/>
      <c r="MQZ47" s="19"/>
      <c r="MRA47" s="19"/>
      <c r="MRB47" s="19"/>
      <c r="MRC47" s="19"/>
      <c r="MRD47" s="19"/>
      <c r="MRE47" s="19"/>
      <c r="MRF47" s="19"/>
      <c r="MRG47" s="19"/>
      <c r="MRH47" s="19"/>
      <c r="MRI47" s="19"/>
      <c r="MRJ47" s="19"/>
      <c r="MRK47" s="19"/>
      <c r="MRL47" s="19"/>
      <c r="MRM47" s="19"/>
      <c r="MRN47" s="19"/>
      <c r="MRO47" s="19"/>
      <c r="MRP47" s="19"/>
      <c r="MRQ47" s="19"/>
      <c r="MRR47" s="19"/>
      <c r="MRS47" s="19"/>
      <c r="MRT47" s="19"/>
      <c r="MRU47" s="19"/>
      <c r="MRV47" s="19"/>
      <c r="MRW47" s="19"/>
      <c r="MRX47" s="19"/>
      <c r="MRY47" s="19"/>
      <c r="MRZ47" s="19"/>
      <c r="MSA47" s="19"/>
      <c r="MSB47" s="19"/>
      <c r="MSC47" s="19"/>
      <c r="MSD47" s="19"/>
      <c r="MSE47" s="19"/>
      <c r="MSF47" s="19"/>
      <c r="MSG47" s="19"/>
      <c r="MSH47" s="19"/>
      <c r="MSI47" s="19"/>
      <c r="MSJ47" s="19"/>
      <c r="MSK47" s="19"/>
      <c r="MSL47" s="19"/>
      <c r="MSM47" s="19"/>
      <c r="MSN47" s="19"/>
      <c r="MSO47" s="19"/>
      <c r="MSP47" s="19"/>
      <c r="MSQ47" s="19"/>
      <c r="MSR47" s="19"/>
      <c r="MSS47" s="19"/>
      <c r="MST47" s="19"/>
      <c r="MSU47" s="19"/>
      <c r="MSV47" s="19"/>
      <c r="MSW47" s="19"/>
      <c r="MSX47" s="19"/>
      <c r="MSY47" s="19"/>
      <c r="MSZ47" s="19"/>
      <c r="MTA47" s="19"/>
      <c r="MTB47" s="19"/>
      <c r="MTC47" s="19"/>
      <c r="MTD47" s="19"/>
      <c r="MTE47" s="19"/>
      <c r="MTF47" s="19"/>
      <c r="MTG47" s="19"/>
      <c r="MTH47" s="19"/>
      <c r="MTI47" s="19"/>
      <c r="MTJ47" s="19"/>
      <c r="MTK47" s="19"/>
      <c r="MTL47" s="19"/>
      <c r="MTM47" s="19"/>
      <c r="MTN47" s="19"/>
      <c r="MTO47" s="19"/>
      <c r="MTP47" s="19"/>
      <c r="MTQ47" s="19"/>
      <c r="MTR47" s="19"/>
      <c r="MTS47" s="19"/>
      <c r="MTT47" s="19"/>
      <c r="MTU47" s="19"/>
      <c r="MTV47" s="19"/>
      <c r="MTW47" s="19"/>
      <c r="MTX47" s="19"/>
      <c r="MTY47" s="19"/>
      <c r="MTZ47" s="19"/>
      <c r="MUA47" s="19"/>
      <c r="MUB47" s="19"/>
      <c r="MUC47" s="19"/>
      <c r="MUD47" s="19"/>
      <c r="MUE47" s="19"/>
      <c r="MUF47" s="19"/>
      <c r="MUG47" s="19"/>
      <c r="MUH47" s="19"/>
      <c r="MUI47" s="19"/>
      <c r="MUJ47" s="19"/>
      <c r="MUK47" s="19"/>
      <c r="MUL47" s="19"/>
      <c r="MUM47" s="19"/>
      <c r="MUN47" s="19"/>
      <c r="MUO47" s="19"/>
      <c r="MUP47" s="19"/>
      <c r="MUQ47" s="19"/>
      <c r="MUR47" s="19"/>
      <c r="MUS47" s="19"/>
      <c r="MUT47" s="19"/>
      <c r="MUU47" s="19"/>
      <c r="MUV47" s="19"/>
      <c r="MUW47" s="19"/>
      <c r="MUX47" s="19"/>
      <c r="MUY47" s="19"/>
      <c r="MUZ47" s="19"/>
      <c r="MVA47" s="19"/>
      <c r="MVB47" s="19"/>
      <c r="MVC47" s="19"/>
      <c r="MVD47" s="19"/>
      <c r="MVE47" s="19"/>
      <c r="MVF47" s="19"/>
      <c r="MVG47" s="19"/>
      <c r="MVH47" s="19"/>
      <c r="MVI47" s="19"/>
      <c r="MVJ47" s="19"/>
      <c r="MVK47" s="19"/>
      <c r="MVL47" s="19"/>
      <c r="MVM47" s="19"/>
      <c r="MVN47" s="19"/>
      <c r="MVO47" s="19"/>
      <c r="MVP47" s="19"/>
      <c r="MVQ47" s="19"/>
      <c r="MVR47" s="19"/>
      <c r="MVS47" s="19"/>
      <c r="MVT47" s="19"/>
      <c r="MVU47" s="19"/>
      <c r="MVV47" s="19"/>
      <c r="MVW47" s="19"/>
      <c r="MVX47" s="19"/>
      <c r="MVY47" s="19"/>
      <c r="MVZ47" s="19"/>
      <c r="MWA47" s="19"/>
      <c r="MWB47" s="19"/>
      <c r="MWC47" s="19"/>
      <c r="MWD47" s="19"/>
      <c r="MWE47" s="19"/>
      <c r="MWF47" s="19"/>
      <c r="MWG47" s="19"/>
      <c r="MWH47" s="19"/>
      <c r="MWI47" s="19"/>
      <c r="MWJ47" s="19"/>
      <c r="MWK47" s="19"/>
      <c r="MWL47" s="19"/>
      <c r="MWM47" s="19"/>
      <c r="MWN47" s="19"/>
      <c r="MWO47" s="19"/>
      <c r="MWP47" s="19"/>
      <c r="MWQ47" s="19"/>
      <c r="MWR47" s="19"/>
      <c r="MWS47" s="19"/>
      <c r="MWT47" s="19"/>
      <c r="MWU47" s="19"/>
      <c r="MWV47" s="19"/>
      <c r="MWW47" s="19"/>
      <c r="MWX47" s="19"/>
      <c r="MWY47" s="19"/>
      <c r="MWZ47" s="19"/>
      <c r="MXA47" s="19"/>
      <c r="MXB47" s="19"/>
      <c r="MXC47" s="19"/>
      <c r="MXD47" s="19"/>
      <c r="MXE47" s="19"/>
      <c r="MXF47" s="19"/>
      <c r="MXG47" s="19"/>
      <c r="MXH47" s="19"/>
      <c r="MXI47" s="19"/>
      <c r="MXJ47" s="19"/>
      <c r="MXK47" s="19"/>
      <c r="MXL47" s="19"/>
      <c r="MXM47" s="19"/>
      <c r="MXN47" s="19"/>
      <c r="MXO47" s="19"/>
      <c r="MXP47" s="19"/>
      <c r="MXQ47" s="19"/>
      <c r="MXR47" s="19"/>
      <c r="MXS47" s="19"/>
      <c r="MXT47" s="19"/>
      <c r="MXU47" s="19"/>
      <c r="MXV47" s="19"/>
      <c r="MXW47" s="19"/>
      <c r="MXX47" s="19"/>
      <c r="MXY47" s="19"/>
      <c r="MXZ47" s="19"/>
      <c r="MYA47" s="19"/>
      <c r="MYB47" s="19"/>
      <c r="MYC47" s="19"/>
      <c r="MYD47" s="19"/>
      <c r="MYE47" s="19"/>
      <c r="MYF47" s="19"/>
      <c r="MYG47" s="19"/>
      <c r="MYH47" s="19"/>
      <c r="MYI47" s="19"/>
      <c r="MYJ47" s="19"/>
      <c r="MYK47" s="19"/>
      <c r="MYL47" s="19"/>
      <c r="MYM47" s="19"/>
      <c r="MYN47" s="19"/>
      <c r="MYO47" s="19"/>
      <c r="MYP47" s="19"/>
      <c r="MYQ47" s="19"/>
      <c r="MYR47" s="19"/>
      <c r="MYS47" s="19"/>
      <c r="MYT47" s="19"/>
      <c r="MYU47" s="19"/>
      <c r="MYV47" s="19"/>
      <c r="MYW47" s="19"/>
      <c r="MYX47" s="19"/>
      <c r="MYY47" s="19"/>
      <c r="MYZ47" s="19"/>
      <c r="MZA47" s="19"/>
      <c r="MZB47" s="19"/>
      <c r="MZC47" s="19"/>
      <c r="MZD47" s="19"/>
      <c r="MZE47" s="19"/>
      <c r="MZF47" s="19"/>
      <c r="MZG47" s="19"/>
      <c r="MZH47" s="19"/>
      <c r="MZI47" s="19"/>
      <c r="MZJ47" s="19"/>
      <c r="MZK47" s="19"/>
      <c r="MZL47" s="19"/>
      <c r="MZM47" s="19"/>
      <c r="MZN47" s="19"/>
      <c r="MZO47" s="19"/>
      <c r="MZP47" s="19"/>
      <c r="MZQ47" s="19"/>
      <c r="MZR47" s="19"/>
      <c r="MZS47" s="19"/>
      <c r="MZT47" s="19"/>
      <c r="MZU47" s="19"/>
      <c r="MZV47" s="19"/>
      <c r="MZW47" s="19"/>
      <c r="MZX47" s="19"/>
      <c r="MZY47" s="19"/>
      <c r="MZZ47" s="19"/>
      <c r="NAA47" s="19"/>
      <c r="NAB47" s="19"/>
      <c r="NAC47" s="19"/>
      <c r="NAD47" s="19"/>
      <c r="NAE47" s="19"/>
      <c r="NAF47" s="19"/>
      <c r="NAG47" s="19"/>
      <c r="NAH47" s="19"/>
      <c r="NAI47" s="19"/>
      <c r="NAJ47" s="19"/>
      <c r="NAK47" s="19"/>
      <c r="NAL47" s="19"/>
      <c r="NAM47" s="19"/>
      <c r="NAN47" s="19"/>
      <c r="NAO47" s="19"/>
      <c r="NAP47" s="19"/>
      <c r="NAQ47" s="19"/>
      <c r="NAR47" s="19"/>
      <c r="NAS47" s="19"/>
      <c r="NAT47" s="19"/>
      <c r="NAU47" s="19"/>
      <c r="NAV47" s="19"/>
      <c r="NAW47" s="19"/>
      <c r="NAX47" s="19"/>
      <c r="NAY47" s="19"/>
      <c r="NAZ47" s="19"/>
      <c r="NBA47" s="19"/>
      <c r="NBB47" s="19"/>
      <c r="NBC47" s="19"/>
      <c r="NBD47" s="19"/>
      <c r="NBE47" s="19"/>
      <c r="NBF47" s="19"/>
      <c r="NBG47" s="19"/>
      <c r="NBH47" s="19"/>
      <c r="NBI47" s="19"/>
      <c r="NBJ47" s="19"/>
      <c r="NBK47" s="19"/>
      <c r="NBL47" s="19"/>
      <c r="NBM47" s="19"/>
      <c r="NBN47" s="19"/>
      <c r="NBO47" s="19"/>
      <c r="NBP47" s="19"/>
      <c r="NBQ47" s="19"/>
      <c r="NBR47" s="19"/>
      <c r="NBS47" s="19"/>
      <c r="NBT47" s="19"/>
      <c r="NBU47" s="19"/>
      <c r="NBV47" s="19"/>
      <c r="NBW47" s="19"/>
      <c r="NBX47" s="19"/>
      <c r="NBY47" s="19"/>
      <c r="NBZ47" s="19"/>
      <c r="NCA47" s="19"/>
      <c r="NCB47" s="19"/>
      <c r="NCC47" s="19"/>
      <c r="NCD47" s="19"/>
      <c r="NCE47" s="19"/>
      <c r="NCF47" s="19"/>
      <c r="NCG47" s="19"/>
      <c r="NCH47" s="19"/>
      <c r="NCI47" s="19"/>
      <c r="NCJ47" s="19"/>
      <c r="NCK47" s="19"/>
      <c r="NCL47" s="19"/>
      <c r="NCM47" s="19"/>
      <c r="NCN47" s="19"/>
      <c r="NCO47" s="19"/>
      <c r="NCP47" s="19"/>
      <c r="NCQ47" s="19"/>
      <c r="NCR47" s="19"/>
      <c r="NCS47" s="19"/>
      <c r="NCT47" s="19"/>
      <c r="NCU47" s="19"/>
      <c r="NCV47" s="19"/>
      <c r="NCW47" s="19"/>
      <c r="NCX47" s="19"/>
      <c r="NCY47" s="19"/>
      <c r="NCZ47" s="19"/>
      <c r="NDA47" s="19"/>
      <c r="NDB47" s="19"/>
      <c r="NDC47" s="19"/>
      <c r="NDD47" s="19"/>
      <c r="NDE47" s="19"/>
      <c r="NDF47" s="19"/>
      <c r="NDG47" s="19"/>
      <c r="NDH47" s="19"/>
      <c r="NDI47" s="19"/>
      <c r="NDJ47" s="19"/>
      <c r="NDK47" s="19"/>
      <c r="NDL47" s="19"/>
      <c r="NDM47" s="19"/>
      <c r="NDN47" s="19"/>
      <c r="NDO47" s="19"/>
      <c r="NDP47" s="19"/>
      <c r="NDQ47" s="19"/>
      <c r="NDR47" s="19"/>
      <c r="NDS47" s="19"/>
      <c r="NDT47" s="19"/>
      <c r="NDU47" s="19"/>
      <c r="NDV47" s="19"/>
      <c r="NDW47" s="19"/>
      <c r="NDX47" s="19"/>
      <c r="NDY47" s="19"/>
      <c r="NDZ47" s="19"/>
      <c r="NEA47" s="19"/>
      <c r="NEB47" s="19"/>
      <c r="NEC47" s="19"/>
      <c r="NED47" s="19"/>
      <c r="NEE47" s="19"/>
      <c r="NEF47" s="19"/>
      <c r="NEG47" s="19"/>
      <c r="NEH47" s="19"/>
      <c r="NEI47" s="19"/>
      <c r="NEJ47" s="19"/>
      <c r="NEK47" s="19"/>
      <c r="NEL47" s="19"/>
      <c r="NEM47" s="19"/>
      <c r="NEN47" s="19"/>
      <c r="NEO47" s="19"/>
      <c r="NEP47" s="19"/>
      <c r="NEQ47" s="19"/>
      <c r="NER47" s="19"/>
      <c r="NES47" s="19"/>
      <c r="NET47" s="19"/>
      <c r="NEU47" s="19"/>
      <c r="NEV47" s="19"/>
      <c r="NEW47" s="19"/>
      <c r="NEX47" s="19"/>
      <c r="NEY47" s="19"/>
      <c r="NEZ47" s="19"/>
      <c r="NFA47" s="19"/>
      <c r="NFB47" s="19"/>
      <c r="NFC47" s="19"/>
      <c r="NFD47" s="19"/>
      <c r="NFE47" s="19"/>
      <c r="NFF47" s="19"/>
      <c r="NFG47" s="19"/>
      <c r="NFH47" s="19"/>
      <c r="NFI47" s="19"/>
      <c r="NFJ47" s="19"/>
      <c r="NFK47" s="19"/>
      <c r="NFL47" s="19"/>
      <c r="NFM47" s="19"/>
      <c r="NFN47" s="19"/>
      <c r="NFO47" s="19"/>
      <c r="NFP47" s="19"/>
      <c r="NFQ47" s="19"/>
      <c r="NFR47" s="19"/>
      <c r="NFS47" s="19"/>
      <c r="NFT47" s="19"/>
      <c r="NFU47" s="19"/>
      <c r="NFV47" s="19"/>
      <c r="NFW47" s="19"/>
      <c r="NFX47" s="19"/>
      <c r="NFY47" s="19"/>
      <c r="NFZ47" s="19"/>
      <c r="NGA47" s="19"/>
      <c r="NGB47" s="19"/>
      <c r="NGC47" s="19"/>
      <c r="NGD47" s="19"/>
      <c r="NGE47" s="19"/>
      <c r="NGF47" s="19"/>
      <c r="NGG47" s="19"/>
      <c r="NGH47" s="19"/>
      <c r="NGI47" s="19"/>
      <c r="NGJ47" s="19"/>
      <c r="NGK47" s="19"/>
      <c r="NGL47" s="19"/>
      <c r="NGM47" s="19"/>
      <c r="NGN47" s="19"/>
      <c r="NGO47" s="19"/>
      <c r="NGP47" s="19"/>
      <c r="NGQ47" s="19"/>
      <c r="NGR47" s="19"/>
      <c r="NGS47" s="19"/>
      <c r="NGT47" s="19"/>
      <c r="NGU47" s="19"/>
      <c r="NGV47" s="19"/>
      <c r="NGW47" s="19"/>
      <c r="NGX47" s="19"/>
      <c r="NGY47" s="19"/>
      <c r="NGZ47" s="19"/>
      <c r="NHA47" s="19"/>
      <c r="NHB47" s="19"/>
      <c r="NHC47" s="19"/>
      <c r="NHD47" s="19"/>
      <c r="NHE47" s="19"/>
      <c r="NHF47" s="19"/>
      <c r="NHG47" s="19"/>
      <c r="NHH47" s="19"/>
      <c r="NHI47" s="19"/>
      <c r="NHJ47" s="19"/>
      <c r="NHK47" s="19"/>
      <c r="NHL47" s="19"/>
      <c r="NHM47" s="19"/>
      <c r="NHN47" s="19"/>
      <c r="NHO47" s="19"/>
      <c r="NHP47" s="19"/>
      <c r="NHQ47" s="19"/>
      <c r="NHR47" s="19"/>
      <c r="NHS47" s="19"/>
      <c r="NHT47" s="19"/>
      <c r="NHU47" s="19"/>
      <c r="NHV47" s="19"/>
      <c r="NHW47" s="19"/>
      <c r="NHX47" s="19"/>
      <c r="NHY47" s="19"/>
      <c r="NHZ47" s="19"/>
      <c r="NIA47" s="19"/>
      <c r="NIB47" s="19"/>
      <c r="NIC47" s="19"/>
      <c r="NID47" s="19"/>
      <c r="NIE47" s="19"/>
      <c r="NIF47" s="19"/>
      <c r="NIG47" s="19"/>
      <c r="NIH47" s="19"/>
      <c r="NII47" s="19"/>
      <c r="NIJ47" s="19"/>
      <c r="NIK47" s="19"/>
      <c r="NIL47" s="19"/>
      <c r="NIM47" s="19"/>
      <c r="NIN47" s="19"/>
      <c r="NIO47" s="19"/>
      <c r="NIP47" s="19"/>
      <c r="NIQ47" s="19"/>
      <c r="NIR47" s="19"/>
      <c r="NIS47" s="19"/>
      <c r="NIT47" s="19"/>
      <c r="NIU47" s="19"/>
      <c r="NIV47" s="19"/>
      <c r="NIW47" s="19"/>
      <c r="NIX47" s="19"/>
      <c r="NIY47" s="19"/>
      <c r="NIZ47" s="19"/>
      <c r="NJA47" s="19"/>
      <c r="NJB47" s="19"/>
      <c r="NJC47" s="19"/>
      <c r="NJD47" s="19"/>
      <c r="NJE47" s="19"/>
      <c r="NJF47" s="19"/>
      <c r="NJG47" s="19"/>
      <c r="NJH47" s="19"/>
      <c r="NJI47" s="19"/>
      <c r="NJJ47" s="19"/>
      <c r="NJK47" s="19"/>
      <c r="NJL47" s="19"/>
      <c r="NJM47" s="19"/>
      <c r="NJN47" s="19"/>
      <c r="NJO47" s="19"/>
      <c r="NJP47" s="19"/>
      <c r="NJQ47" s="19"/>
      <c r="NJR47" s="19"/>
      <c r="NJS47" s="19"/>
      <c r="NJT47" s="19"/>
      <c r="NJU47" s="19"/>
      <c r="NJV47" s="19"/>
      <c r="NJW47" s="19"/>
      <c r="NJX47" s="19"/>
      <c r="NJY47" s="19"/>
      <c r="NJZ47" s="19"/>
      <c r="NKA47" s="19"/>
      <c r="NKB47" s="19"/>
      <c r="NKC47" s="19"/>
      <c r="NKD47" s="19"/>
      <c r="NKE47" s="19"/>
      <c r="NKF47" s="19"/>
      <c r="NKG47" s="19"/>
      <c r="NKH47" s="19"/>
      <c r="NKI47" s="19"/>
      <c r="NKJ47" s="19"/>
      <c r="NKK47" s="19"/>
      <c r="NKL47" s="19"/>
      <c r="NKM47" s="19"/>
      <c r="NKN47" s="19"/>
      <c r="NKO47" s="19"/>
      <c r="NKP47" s="19"/>
      <c r="NKQ47" s="19"/>
      <c r="NKR47" s="19"/>
      <c r="NKS47" s="19"/>
      <c r="NKT47" s="19"/>
      <c r="NKU47" s="19"/>
      <c r="NKV47" s="19"/>
      <c r="NKW47" s="19"/>
      <c r="NKX47" s="19"/>
      <c r="NKY47" s="19"/>
      <c r="NKZ47" s="19"/>
      <c r="NLA47" s="19"/>
      <c r="NLB47" s="19"/>
      <c r="NLC47" s="19"/>
      <c r="NLD47" s="19"/>
      <c r="NLE47" s="19"/>
      <c r="NLF47" s="19"/>
      <c r="NLG47" s="19"/>
      <c r="NLH47" s="19"/>
      <c r="NLI47" s="19"/>
      <c r="NLJ47" s="19"/>
      <c r="NLK47" s="19"/>
      <c r="NLL47" s="19"/>
      <c r="NLM47" s="19"/>
      <c r="NLN47" s="19"/>
      <c r="NLO47" s="19"/>
      <c r="NLP47" s="19"/>
      <c r="NLQ47" s="19"/>
      <c r="NLR47" s="19"/>
      <c r="NLS47" s="19"/>
      <c r="NLT47" s="19"/>
      <c r="NLU47" s="19"/>
      <c r="NLV47" s="19"/>
      <c r="NLW47" s="19"/>
      <c r="NLX47" s="19"/>
      <c r="NLY47" s="19"/>
      <c r="NLZ47" s="19"/>
      <c r="NMA47" s="19"/>
      <c r="NMB47" s="19"/>
      <c r="NMC47" s="19"/>
      <c r="NMD47" s="19"/>
      <c r="NME47" s="19"/>
      <c r="NMF47" s="19"/>
      <c r="NMG47" s="19"/>
      <c r="NMH47" s="19"/>
      <c r="NMI47" s="19"/>
      <c r="NMJ47" s="19"/>
      <c r="NMK47" s="19"/>
      <c r="NML47" s="19"/>
      <c r="NMM47" s="19"/>
      <c r="NMN47" s="19"/>
      <c r="NMO47" s="19"/>
      <c r="NMP47" s="19"/>
      <c r="NMQ47" s="19"/>
      <c r="NMR47" s="19"/>
      <c r="NMS47" s="19"/>
      <c r="NMT47" s="19"/>
      <c r="NMU47" s="19"/>
      <c r="NMV47" s="19"/>
      <c r="NMW47" s="19"/>
      <c r="NMX47" s="19"/>
      <c r="NMY47" s="19"/>
      <c r="NMZ47" s="19"/>
      <c r="NNA47" s="19"/>
      <c r="NNB47" s="19"/>
      <c r="NNC47" s="19"/>
      <c r="NND47" s="19"/>
      <c r="NNE47" s="19"/>
      <c r="NNF47" s="19"/>
      <c r="NNG47" s="19"/>
      <c r="NNH47" s="19"/>
      <c r="NNI47" s="19"/>
      <c r="NNJ47" s="19"/>
      <c r="NNK47" s="19"/>
      <c r="NNL47" s="19"/>
      <c r="NNM47" s="19"/>
      <c r="NNN47" s="19"/>
      <c r="NNO47" s="19"/>
      <c r="NNP47" s="19"/>
      <c r="NNQ47" s="19"/>
      <c r="NNR47" s="19"/>
      <c r="NNS47" s="19"/>
      <c r="NNT47" s="19"/>
      <c r="NNU47" s="19"/>
      <c r="NNV47" s="19"/>
      <c r="NNW47" s="19"/>
      <c r="NNX47" s="19"/>
      <c r="NNY47" s="19"/>
      <c r="NNZ47" s="19"/>
      <c r="NOA47" s="19"/>
      <c r="NOB47" s="19"/>
      <c r="NOC47" s="19"/>
      <c r="NOD47" s="19"/>
      <c r="NOE47" s="19"/>
      <c r="NOF47" s="19"/>
      <c r="NOG47" s="19"/>
      <c r="NOH47" s="19"/>
      <c r="NOI47" s="19"/>
      <c r="NOJ47" s="19"/>
      <c r="NOK47" s="19"/>
      <c r="NOL47" s="19"/>
      <c r="NOM47" s="19"/>
      <c r="NON47" s="19"/>
      <c r="NOO47" s="19"/>
      <c r="NOP47" s="19"/>
      <c r="NOQ47" s="19"/>
      <c r="NOR47" s="19"/>
      <c r="NOS47" s="19"/>
      <c r="NOT47" s="19"/>
      <c r="NOU47" s="19"/>
      <c r="NOV47" s="19"/>
      <c r="NOW47" s="19"/>
      <c r="NOX47" s="19"/>
      <c r="NOY47" s="19"/>
      <c r="NOZ47" s="19"/>
      <c r="NPA47" s="19"/>
      <c r="NPB47" s="19"/>
      <c r="NPC47" s="19"/>
      <c r="NPD47" s="19"/>
      <c r="NPE47" s="19"/>
      <c r="NPF47" s="19"/>
      <c r="NPG47" s="19"/>
      <c r="NPH47" s="19"/>
      <c r="NPI47" s="19"/>
      <c r="NPJ47" s="19"/>
      <c r="NPK47" s="19"/>
      <c r="NPL47" s="19"/>
      <c r="NPM47" s="19"/>
      <c r="NPN47" s="19"/>
      <c r="NPO47" s="19"/>
      <c r="NPP47" s="19"/>
      <c r="NPQ47" s="19"/>
      <c r="NPR47" s="19"/>
      <c r="NPS47" s="19"/>
      <c r="NPT47" s="19"/>
      <c r="NPU47" s="19"/>
      <c r="NPV47" s="19"/>
      <c r="NPW47" s="19"/>
      <c r="NPX47" s="19"/>
      <c r="NPY47" s="19"/>
      <c r="NPZ47" s="19"/>
      <c r="NQA47" s="19"/>
      <c r="NQB47" s="19"/>
      <c r="NQC47" s="19"/>
      <c r="NQD47" s="19"/>
      <c r="NQE47" s="19"/>
      <c r="NQF47" s="19"/>
      <c r="NQG47" s="19"/>
      <c r="NQH47" s="19"/>
      <c r="NQI47" s="19"/>
      <c r="NQJ47" s="19"/>
      <c r="NQK47" s="19"/>
      <c r="NQL47" s="19"/>
      <c r="NQM47" s="19"/>
      <c r="NQN47" s="19"/>
      <c r="NQO47" s="19"/>
      <c r="NQP47" s="19"/>
      <c r="NQQ47" s="19"/>
      <c r="NQR47" s="19"/>
      <c r="NQS47" s="19"/>
      <c r="NQT47" s="19"/>
      <c r="NQU47" s="19"/>
      <c r="NQV47" s="19"/>
      <c r="NQW47" s="19"/>
      <c r="NQX47" s="19"/>
      <c r="NQY47" s="19"/>
      <c r="NQZ47" s="19"/>
      <c r="NRA47" s="19"/>
      <c r="NRB47" s="19"/>
      <c r="NRC47" s="19"/>
      <c r="NRD47" s="19"/>
      <c r="NRE47" s="19"/>
      <c r="NRF47" s="19"/>
      <c r="NRG47" s="19"/>
      <c r="NRH47" s="19"/>
      <c r="NRI47" s="19"/>
      <c r="NRJ47" s="19"/>
      <c r="NRK47" s="19"/>
      <c r="NRL47" s="19"/>
      <c r="NRM47" s="19"/>
      <c r="NRN47" s="19"/>
      <c r="NRO47" s="19"/>
      <c r="NRP47" s="19"/>
      <c r="NRQ47" s="19"/>
      <c r="NRR47" s="19"/>
      <c r="NRS47" s="19"/>
      <c r="NRT47" s="19"/>
      <c r="NRU47" s="19"/>
      <c r="NRV47" s="19"/>
      <c r="NRW47" s="19"/>
      <c r="NRX47" s="19"/>
      <c r="NRY47" s="19"/>
      <c r="NRZ47" s="19"/>
      <c r="NSA47" s="19"/>
      <c r="NSB47" s="19"/>
      <c r="NSC47" s="19"/>
      <c r="NSD47" s="19"/>
      <c r="NSE47" s="19"/>
      <c r="NSF47" s="19"/>
      <c r="NSG47" s="19"/>
      <c r="NSH47" s="19"/>
      <c r="NSI47" s="19"/>
      <c r="NSJ47" s="19"/>
      <c r="NSK47" s="19"/>
      <c r="NSL47" s="19"/>
      <c r="NSM47" s="19"/>
      <c r="NSN47" s="19"/>
      <c r="NSO47" s="19"/>
      <c r="NSP47" s="19"/>
      <c r="NSQ47" s="19"/>
      <c r="NSR47" s="19"/>
      <c r="NSS47" s="19"/>
      <c r="NST47" s="19"/>
      <c r="NSU47" s="19"/>
      <c r="NSV47" s="19"/>
      <c r="NSW47" s="19"/>
      <c r="NSX47" s="19"/>
      <c r="NSY47" s="19"/>
      <c r="NSZ47" s="19"/>
      <c r="NTA47" s="19"/>
      <c r="NTB47" s="19"/>
      <c r="NTC47" s="19"/>
      <c r="NTD47" s="19"/>
      <c r="NTE47" s="19"/>
      <c r="NTF47" s="19"/>
      <c r="NTG47" s="19"/>
      <c r="NTH47" s="19"/>
      <c r="NTI47" s="19"/>
      <c r="NTJ47" s="19"/>
      <c r="NTK47" s="19"/>
      <c r="NTL47" s="19"/>
      <c r="NTM47" s="19"/>
      <c r="NTN47" s="19"/>
      <c r="NTO47" s="19"/>
      <c r="NTP47" s="19"/>
      <c r="NTQ47" s="19"/>
      <c r="NTR47" s="19"/>
      <c r="NTS47" s="19"/>
      <c r="NTT47" s="19"/>
      <c r="NTU47" s="19"/>
      <c r="NTV47" s="19"/>
      <c r="NTW47" s="19"/>
      <c r="NTX47" s="19"/>
      <c r="NTY47" s="19"/>
      <c r="NTZ47" s="19"/>
      <c r="NUA47" s="19"/>
      <c r="NUB47" s="19"/>
      <c r="NUC47" s="19"/>
      <c r="NUD47" s="19"/>
      <c r="NUE47" s="19"/>
      <c r="NUF47" s="19"/>
      <c r="NUG47" s="19"/>
      <c r="NUH47" s="19"/>
      <c r="NUI47" s="19"/>
      <c r="NUJ47" s="19"/>
      <c r="NUK47" s="19"/>
      <c r="NUL47" s="19"/>
      <c r="NUM47" s="19"/>
      <c r="NUN47" s="19"/>
      <c r="NUO47" s="19"/>
      <c r="NUP47" s="19"/>
      <c r="NUQ47" s="19"/>
      <c r="NUR47" s="19"/>
      <c r="NUS47" s="19"/>
      <c r="NUT47" s="19"/>
      <c r="NUU47" s="19"/>
      <c r="NUV47" s="19"/>
      <c r="NUW47" s="19"/>
      <c r="NUX47" s="19"/>
      <c r="NUY47" s="19"/>
      <c r="NUZ47" s="19"/>
      <c r="NVA47" s="19"/>
      <c r="NVB47" s="19"/>
      <c r="NVC47" s="19"/>
      <c r="NVD47" s="19"/>
      <c r="NVE47" s="19"/>
      <c r="NVF47" s="19"/>
      <c r="NVG47" s="19"/>
      <c r="NVH47" s="19"/>
      <c r="NVI47" s="19"/>
      <c r="NVJ47" s="19"/>
      <c r="NVK47" s="19"/>
      <c r="NVL47" s="19"/>
      <c r="NVM47" s="19"/>
      <c r="NVN47" s="19"/>
      <c r="NVO47" s="19"/>
      <c r="NVP47" s="19"/>
      <c r="NVQ47" s="19"/>
      <c r="NVR47" s="19"/>
      <c r="NVS47" s="19"/>
      <c r="NVT47" s="19"/>
      <c r="NVU47" s="19"/>
      <c r="NVV47" s="19"/>
      <c r="NVW47" s="19"/>
      <c r="NVX47" s="19"/>
      <c r="NVY47" s="19"/>
      <c r="NVZ47" s="19"/>
      <c r="NWA47" s="19"/>
      <c r="NWB47" s="19"/>
      <c r="NWC47" s="19"/>
      <c r="NWD47" s="19"/>
      <c r="NWE47" s="19"/>
      <c r="NWF47" s="19"/>
      <c r="NWG47" s="19"/>
      <c r="NWH47" s="19"/>
      <c r="NWI47" s="19"/>
      <c r="NWJ47" s="19"/>
      <c r="NWK47" s="19"/>
      <c r="NWL47" s="19"/>
      <c r="NWM47" s="19"/>
      <c r="NWN47" s="19"/>
      <c r="NWO47" s="19"/>
      <c r="NWP47" s="19"/>
      <c r="NWQ47" s="19"/>
      <c r="NWR47" s="19"/>
      <c r="NWS47" s="19"/>
      <c r="NWT47" s="19"/>
      <c r="NWU47" s="19"/>
      <c r="NWV47" s="19"/>
      <c r="NWW47" s="19"/>
      <c r="NWX47" s="19"/>
      <c r="NWY47" s="19"/>
      <c r="NWZ47" s="19"/>
      <c r="NXA47" s="19"/>
      <c r="NXB47" s="19"/>
      <c r="NXC47" s="19"/>
      <c r="NXD47" s="19"/>
      <c r="NXE47" s="19"/>
      <c r="NXF47" s="19"/>
      <c r="NXG47" s="19"/>
      <c r="NXH47" s="19"/>
      <c r="NXI47" s="19"/>
      <c r="NXJ47" s="19"/>
      <c r="NXK47" s="19"/>
      <c r="NXL47" s="19"/>
      <c r="NXM47" s="19"/>
      <c r="NXN47" s="19"/>
      <c r="NXO47" s="19"/>
      <c r="NXP47" s="19"/>
      <c r="NXQ47" s="19"/>
      <c r="NXR47" s="19"/>
      <c r="NXS47" s="19"/>
      <c r="NXT47" s="19"/>
      <c r="NXU47" s="19"/>
      <c r="NXV47" s="19"/>
      <c r="NXW47" s="19"/>
      <c r="NXX47" s="19"/>
      <c r="NXY47" s="19"/>
      <c r="NXZ47" s="19"/>
      <c r="NYA47" s="19"/>
      <c r="NYB47" s="19"/>
      <c r="NYC47" s="19"/>
      <c r="NYD47" s="19"/>
      <c r="NYE47" s="19"/>
      <c r="NYF47" s="19"/>
      <c r="NYG47" s="19"/>
      <c r="NYH47" s="19"/>
      <c r="NYI47" s="19"/>
      <c r="NYJ47" s="19"/>
      <c r="NYK47" s="19"/>
      <c r="NYL47" s="19"/>
      <c r="NYM47" s="19"/>
      <c r="NYN47" s="19"/>
      <c r="NYO47" s="19"/>
      <c r="NYP47" s="19"/>
      <c r="NYQ47" s="19"/>
      <c r="NYR47" s="19"/>
      <c r="NYS47" s="19"/>
      <c r="NYT47" s="19"/>
      <c r="NYU47" s="19"/>
      <c r="NYV47" s="19"/>
      <c r="NYW47" s="19"/>
      <c r="NYX47" s="19"/>
      <c r="NYY47" s="19"/>
      <c r="NYZ47" s="19"/>
      <c r="NZA47" s="19"/>
      <c r="NZB47" s="19"/>
      <c r="NZC47" s="19"/>
      <c r="NZD47" s="19"/>
      <c r="NZE47" s="19"/>
      <c r="NZF47" s="19"/>
      <c r="NZG47" s="19"/>
      <c r="NZH47" s="19"/>
      <c r="NZI47" s="19"/>
      <c r="NZJ47" s="19"/>
      <c r="NZK47" s="19"/>
      <c r="NZL47" s="19"/>
      <c r="NZM47" s="19"/>
      <c r="NZN47" s="19"/>
      <c r="NZO47" s="19"/>
      <c r="NZP47" s="19"/>
      <c r="NZQ47" s="19"/>
      <c r="NZR47" s="19"/>
      <c r="NZS47" s="19"/>
      <c r="NZT47" s="19"/>
      <c r="NZU47" s="19"/>
      <c r="NZV47" s="19"/>
      <c r="NZW47" s="19"/>
      <c r="NZX47" s="19"/>
      <c r="NZY47" s="19"/>
      <c r="NZZ47" s="19"/>
      <c r="OAA47" s="19"/>
      <c r="OAB47" s="19"/>
      <c r="OAC47" s="19"/>
      <c r="OAD47" s="19"/>
      <c r="OAE47" s="19"/>
      <c r="OAF47" s="19"/>
      <c r="OAG47" s="19"/>
      <c r="OAH47" s="19"/>
      <c r="OAI47" s="19"/>
      <c r="OAJ47" s="19"/>
      <c r="OAK47" s="19"/>
      <c r="OAL47" s="19"/>
      <c r="OAM47" s="19"/>
      <c r="OAN47" s="19"/>
      <c r="OAO47" s="19"/>
      <c r="OAP47" s="19"/>
      <c r="OAQ47" s="19"/>
      <c r="OAR47" s="19"/>
      <c r="OAS47" s="19"/>
      <c r="OAT47" s="19"/>
      <c r="OAU47" s="19"/>
      <c r="OAV47" s="19"/>
      <c r="OAW47" s="19"/>
      <c r="OAX47" s="19"/>
      <c r="OAY47" s="19"/>
      <c r="OAZ47" s="19"/>
      <c r="OBA47" s="19"/>
      <c r="OBB47" s="19"/>
      <c r="OBC47" s="19"/>
      <c r="OBD47" s="19"/>
      <c r="OBE47" s="19"/>
      <c r="OBF47" s="19"/>
      <c r="OBG47" s="19"/>
      <c r="OBH47" s="19"/>
      <c r="OBI47" s="19"/>
      <c r="OBJ47" s="19"/>
      <c r="OBK47" s="19"/>
      <c r="OBL47" s="19"/>
      <c r="OBM47" s="19"/>
      <c r="OBN47" s="19"/>
      <c r="OBO47" s="19"/>
      <c r="OBP47" s="19"/>
      <c r="OBQ47" s="19"/>
      <c r="OBR47" s="19"/>
      <c r="OBS47" s="19"/>
      <c r="OBT47" s="19"/>
      <c r="OBU47" s="19"/>
      <c r="OBV47" s="19"/>
      <c r="OBW47" s="19"/>
      <c r="OBX47" s="19"/>
      <c r="OBY47" s="19"/>
      <c r="OBZ47" s="19"/>
      <c r="OCA47" s="19"/>
      <c r="OCB47" s="19"/>
      <c r="OCC47" s="19"/>
      <c r="OCD47" s="19"/>
      <c r="OCE47" s="19"/>
      <c r="OCF47" s="19"/>
      <c r="OCG47" s="19"/>
      <c r="OCH47" s="19"/>
      <c r="OCI47" s="19"/>
      <c r="OCJ47" s="19"/>
      <c r="OCK47" s="19"/>
      <c r="OCL47" s="19"/>
      <c r="OCM47" s="19"/>
      <c r="OCN47" s="19"/>
      <c r="OCO47" s="19"/>
      <c r="OCP47" s="19"/>
      <c r="OCQ47" s="19"/>
      <c r="OCR47" s="19"/>
      <c r="OCS47" s="19"/>
      <c r="OCT47" s="19"/>
      <c r="OCU47" s="19"/>
      <c r="OCV47" s="19"/>
      <c r="OCW47" s="19"/>
      <c r="OCX47" s="19"/>
      <c r="OCY47" s="19"/>
      <c r="OCZ47" s="19"/>
      <c r="ODA47" s="19"/>
      <c r="ODB47" s="19"/>
      <c r="ODC47" s="19"/>
      <c r="ODD47" s="19"/>
      <c r="ODE47" s="19"/>
      <c r="ODF47" s="19"/>
      <c r="ODG47" s="19"/>
      <c r="ODH47" s="19"/>
      <c r="ODI47" s="19"/>
      <c r="ODJ47" s="19"/>
      <c r="ODK47" s="19"/>
      <c r="ODL47" s="19"/>
      <c r="ODM47" s="19"/>
      <c r="ODN47" s="19"/>
      <c r="ODO47" s="19"/>
      <c r="ODP47" s="19"/>
      <c r="ODQ47" s="19"/>
      <c r="ODR47" s="19"/>
      <c r="ODS47" s="19"/>
      <c r="ODT47" s="19"/>
      <c r="ODU47" s="19"/>
      <c r="ODV47" s="19"/>
      <c r="ODW47" s="19"/>
      <c r="ODX47" s="19"/>
      <c r="ODY47" s="19"/>
      <c r="ODZ47" s="19"/>
      <c r="OEA47" s="19"/>
      <c r="OEB47" s="19"/>
      <c r="OEC47" s="19"/>
      <c r="OED47" s="19"/>
      <c r="OEE47" s="19"/>
      <c r="OEF47" s="19"/>
      <c r="OEG47" s="19"/>
      <c r="OEH47" s="19"/>
      <c r="OEI47" s="19"/>
      <c r="OEJ47" s="19"/>
      <c r="OEK47" s="19"/>
      <c r="OEL47" s="19"/>
      <c r="OEM47" s="19"/>
      <c r="OEN47" s="19"/>
      <c r="OEO47" s="19"/>
      <c r="OEP47" s="19"/>
      <c r="OEQ47" s="19"/>
      <c r="OER47" s="19"/>
      <c r="OES47" s="19"/>
      <c r="OET47" s="19"/>
      <c r="OEU47" s="19"/>
      <c r="OEV47" s="19"/>
      <c r="OEW47" s="19"/>
      <c r="OEX47" s="19"/>
      <c r="OEY47" s="19"/>
      <c r="OEZ47" s="19"/>
      <c r="OFA47" s="19"/>
      <c r="OFB47" s="19"/>
      <c r="OFC47" s="19"/>
      <c r="OFD47" s="19"/>
      <c r="OFE47" s="19"/>
      <c r="OFF47" s="19"/>
      <c r="OFG47" s="19"/>
      <c r="OFH47" s="19"/>
      <c r="OFI47" s="19"/>
      <c r="OFJ47" s="19"/>
      <c r="OFK47" s="19"/>
      <c r="OFL47" s="19"/>
      <c r="OFM47" s="19"/>
      <c r="OFN47" s="19"/>
      <c r="OFO47" s="19"/>
      <c r="OFP47" s="19"/>
      <c r="OFQ47" s="19"/>
      <c r="OFR47" s="19"/>
      <c r="OFS47" s="19"/>
      <c r="OFT47" s="19"/>
      <c r="OFU47" s="19"/>
      <c r="OFV47" s="19"/>
      <c r="OFW47" s="19"/>
      <c r="OFX47" s="19"/>
      <c r="OFY47" s="19"/>
      <c r="OFZ47" s="19"/>
      <c r="OGA47" s="19"/>
      <c r="OGB47" s="19"/>
      <c r="OGC47" s="19"/>
      <c r="OGD47" s="19"/>
      <c r="OGE47" s="19"/>
      <c r="OGF47" s="19"/>
      <c r="OGG47" s="19"/>
      <c r="OGH47" s="19"/>
      <c r="OGI47" s="19"/>
      <c r="OGJ47" s="19"/>
      <c r="OGK47" s="19"/>
      <c r="OGL47" s="19"/>
      <c r="OGM47" s="19"/>
      <c r="OGN47" s="19"/>
      <c r="OGO47" s="19"/>
      <c r="OGP47" s="19"/>
      <c r="OGQ47" s="19"/>
      <c r="OGR47" s="19"/>
      <c r="OGS47" s="19"/>
      <c r="OGT47" s="19"/>
      <c r="OGU47" s="19"/>
      <c r="OGV47" s="19"/>
      <c r="OGW47" s="19"/>
      <c r="OGX47" s="19"/>
      <c r="OGY47" s="19"/>
      <c r="OGZ47" s="19"/>
      <c r="OHA47" s="19"/>
      <c r="OHB47" s="19"/>
      <c r="OHC47" s="19"/>
      <c r="OHD47" s="19"/>
      <c r="OHE47" s="19"/>
      <c r="OHF47" s="19"/>
      <c r="OHG47" s="19"/>
      <c r="OHH47" s="19"/>
      <c r="OHI47" s="19"/>
      <c r="OHJ47" s="19"/>
      <c r="OHK47" s="19"/>
      <c r="OHL47" s="19"/>
      <c r="OHM47" s="19"/>
      <c r="OHN47" s="19"/>
      <c r="OHO47" s="19"/>
      <c r="OHP47" s="19"/>
      <c r="OHQ47" s="19"/>
      <c r="OHR47" s="19"/>
      <c r="OHS47" s="19"/>
      <c r="OHT47" s="19"/>
      <c r="OHU47" s="19"/>
      <c r="OHV47" s="19"/>
      <c r="OHW47" s="19"/>
      <c r="OHX47" s="19"/>
      <c r="OHY47" s="19"/>
      <c r="OHZ47" s="19"/>
      <c r="OIA47" s="19"/>
      <c r="OIB47" s="19"/>
      <c r="OIC47" s="19"/>
      <c r="OID47" s="19"/>
      <c r="OIE47" s="19"/>
      <c r="OIF47" s="19"/>
      <c r="OIG47" s="19"/>
      <c r="OIH47" s="19"/>
      <c r="OII47" s="19"/>
      <c r="OIJ47" s="19"/>
      <c r="OIK47" s="19"/>
      <c r="OIL47" s="19"/>
      <c r="OIM47" s="19"/>
      <c r="OIN47" s="19"/>
      <c r="OIO47" s="19"/>
      <c r="OIP47" s="19"/>
      <c r="OIQ47" s="19"/>
      <c r="OIR47" s="19"/>
      <c r="OIS47" s="19"/>
      <c r="OIT47" s="19"/>
      <c r="OIU47" s="19"/>
      <c r="OIV47" s="19"/>
      <c r="OIW47" s="19"/>
      <c r="OIX47" s="19"/>
      <c r="OIY47" s="19"/>
      <c r="OIZ47" s="19"/>
      <c r="OJA47" s="19"/>
      <c r="OJB47" s="19"/>
      <c r="OJC47" s="19"/>
      <c r="OJD47" s="19"/>
      <c r="OJE47" s="19"/>
      <c r="OJF47" s="19"/>
      <c r="OJG47" s="19"/>
      <c r="OJH47" s="19"/>
      <c r="OJI47" s="19"/>
      <c r="OJJ47" s="19"/>
      <c r="OJK47" s="19"/>
      <c r="OJL47" s="19"/>
      <c r="OJM47" s="19"/>
      <c r="OJN47" s="19"/>
      <c r="OJO47" s="19"/>
      <c r="OJP47" s="19"/>
      <c r="OJQ47" s="19"/>
      <c r="OJR47" s="19"/>
      <c r="OJS47" s="19"/>
      <c r="OJT47" s="19"/>
      <c r="OJU47" s="19"/>
      <c r="OJV47" s="19"/>
      <c r="OJW47" s="19"/>
      <c r="OJX47" s="19"/>
      <c r="OJY47" s="19"/>
      <c r="OJZ47" s="19"/>
      <c r="OKA47" s="19"/>
      <c r="OKB47" s="19"/>
      <c r="OKC47" s="19"/>
      <c r="OKD47" s="19"/>
      <c r="OKE47" s="19"/>
      <c r="OKF47" s="19"/>
      <c r="OKG47" s="19"/>
      <c r="OKH47" s="19"/>
      <c r="OKI47" s="19"/>
      <c r="OKJ47" s="19"/>
      <c r="OKK47" s="19"/>
      <c r="OKL47" s="19"/>
      <c r="OKM47" s="19"/>
      <c r="OKN47" s="19"/>
      <c r="OKO47" s="19"/>
      <c r="OKP47" s="19"/>
      <c r="OKQ47" s="19"/>
      <c r="OKR47" s="19"/>
      <c r="OKS47" s="19"/>
      <c r="OKT47" s="19"/>
      <c r="OKU47" s="19"/>
      <c r="OKV47" s="19"/>
      <c r="OKW47" s="19"/>
      <c r="OKX47" s="19"/>
      <c r="OKY47" s="19"/>
      <c r="OKZ47" s="19"/>
      <c r="OLA47" s="19"/>
      <c r="OLB47" s="19"/>
      <c r="OLC47" s="19"/>
      <c r="OLD47" s="19"/>
      <c r="OLE47" s="19"/>
      <c r="OLF47" s="19"/>
      <c r="OLG47" s="19"/>
      <c r="OLH47" s="19"/>
      <c r="OLI47" s="19"/>
      <c r="OLJ47" s="19"/>
      <c r="OLK47" s="19"/>
      <c r="OLL47" s="19"/>
      <c r="OLM47" s="19"/>
      <c r="OLN47" s="19"/>
      <c r="OLO47" s="19"/>
      <c r="OLP47" s="19"/>
      <c r="OLQ47" s="19"/>
      <c r="OLR47" s="19"/>
      <c r="OLS47" s="19"/>
      <c r="OLT47" s="19"/>
      <c r="OLU47" s="19"/>
      <c r="OLV47" s="19"/>
      <c r="OLW47" s="19"/>
      <c r="OLX47" s="19"/>
      <c r="OLY47" s="19"/>
      <c r="OLZ47" s="19"/>
      <c r="OMA47" s="19"/>
      <c r="OMB47" s="19"/>
      <c r="OMC47" s="19"/>
      <c r="OMD47" s="19"/>
      <c r="OME47" s="19"/>
      <c r="OMF47" s="19"/>
      <c r="OMG47" s="19"/>
      <c r="OMH47" s="19"/>
      <c r="OMI47" s="19"/>
      <c r="OMJ47" s="19"/>
      <c r="OMK47" s="19"/>
      <c r="OML47" s="19"/>
      <c r="OMM47" s="19"/>
      <c r="OMN47" s="19"/>
      <c r="OMO47" s="19"/>
      <c r="OMP47" s="19"/>
      <c r="OMQ47" s="19"/>
      <c r="OMR47" s="19"/>
      <c r="OMS47" s="19"/>
      <c r="OMT47" s="19"/>
      <c r="OMU47" s="19"/>
      <c r="OMV47" s="19"/>
      <c r="OMW47" s="19"/>
      <c r="OMX47" s="19"/>
      <c r="OMY47" s="19"/>
      <c r="OMZ47" s="19"/>
      <c r="ONA47" s="19"/>
      <c r="ONB47" s="19"/>
      <c r="ONC47" s="19"/>
      <c r="OND47" s="19"/>
      <c r="ONE47" s="19"/>
      <c r="ONF47" s="19"/>
      <c r="ONG47" s="19"/>
      <c r="ONH47" s="19"/>
      <c r="ONI47" s="19"/>
      <c r="ONJ47" s="19"/>
      <c r="ONK47" s="19"/>
      <c r="ONL47" s="19"/>
      <c r="ONM47" s="19"/>
      <c r="ONN47" s="19"/>
      <c r="ONO47" s="19"/>
      <c r="ONP47" s="19"/>
      <c r="ONQ47" s="19"/>
      <c r="ONR47" s="19"/>
      <c r="ONS47" s="19"/>
      <c r="ONT47" s="19"/>
      <c r="ONU47" s="19"/>
      <c r="ONV47" s="19"/>
      <c r="ONW47" s="19"/>
      <c r="ONX47" s="19"/>
      <c r="ONY47" s="19"/>
      <c r="ONZ47" s="19"/>
      <c r="OOA47" s="19"/>
      <c r="OOB47" s="19"/>
      <c r="OOC47" s="19"/>
      <c r="OOD47" s="19"/>
      <c r="OOE47" s="19"/>
      <c r="OOF47" s="19"/>
      <c r="OOG47" s="19"/>
      <c r="OOH47" s="19"/>
      <c r="OOI47" s="19"/>
      <c r="OOJ47" s="19"/>
      <c r="OOK47" s="19"/>
      <c r="OOL47" s="19"/>
      <c r="OOM47" s="19"/>
      <c r="OON47" s="19"/>
      <c r="OOO47" s="19"/>
      <c r="OOP47" s="19"/>
      <c r="OOQ47" s="19"/>
      <c r="OOR47" s="19"/>
      <c r="OOS47" s="19"/>
      <c r="OOT47" s="19"/>
      <c r="OOU47" s="19"/>
      <c r="OOV47" s="19"/>
      <c r="OOW47" s="19"/>
      <c r="OOX47" s="19"/>
      <c r="OOY47" s="19"/>
      <c r="OOZ47" s="19"/>
      <c r="OPA47" s="19"/>
      <c r="OPB47" s="19"/>
      <c r="OPC47" s="19"/>
      <c r="OPD47" s="19"/>
      <c r="OPE47" s="19"/>
      <c r="OPF47" s="19"/>
      <c r="OPG47" s="19"/>
      <c r="OPH47" s="19"/>
      <c r="OPI47" s="19"/>
      <c r="OPJ47" s="19"/>
      <c r="OPK47" s="19"/>
      <c r="OPL47" s="19"/>
      <c r="OPM47" s="19"/>
      <c r="OPN47" s="19"/>
      <c r="OPO47" s="19"/>
      <c r="OPP47" s="19"/>
      <c r="OPQ47" s="19"/>
      <c r="OPR47" s="19"/>
      <c r="OPS47" s="19"/>
      <c r="OPT47" s="19"/>
      <c r="OPU47" s="19"/>
      <c r="OPV47" s="19"/>
      <c r="OPW47" s="19"/>
      <c r="OPX47" s="19"/>
      <c r="OPY47" s="19"/>
      <c r="OPZ47" s="19"/>
      <c r="OQA47" s="19"/>
      <c r="OQB47" s="19"/>
      <c r="OQC47" s="19"/>
      <c r="OQD47" s="19"/>
      <c r="OQE47" s="19"/>
      <c r="OQF47" s="19"/>
      <c r="OQG47" s="19"/>
      <c r="OQH47" s="19"/>
      <c r="OQI47" s="19"/>
      <c r="OQJ47" s="19"/>
      <c r="OQK47" s="19"/>
      <c r="OQL47" s="19"/>
      <c r="OQM47" s="19"/>
      <c r="OQN47" s="19"/>
      <c r="OQO47" s="19"/>
      <c r="OQP47" s="19"/>
      <c r="OQQ47" s="19"/>
      <c r="OQR47" s="19"/>
      <c r="OQS47" s="19"/>
      <c r="OQT47" s="19"/>
      <c r="OQU47" s="19"/>
      <c r="OQV47" s="19"/>
      <c r="OQW47" s="19"/>
      <c r="OQX47" s="19"/>
      <c r="OQY47" s="19"/>
      <c r="OQZ47" s="19"/>
      <c r="ORA47" s="19"/>
      <c r="ORB47" s="19"/>
      <c r="ORC47" s="19"/>
      <c r="ORD47" s="19"/>
      <c r="ORE47" s="19"/>
      <c r="ORF47" s="19"/>
      <c r="ORG47" s="19"/>
      <c r="ORH47" s="19"/>
      <c r="ORI47" s="19"/>
      <c r="ORJ47" s="19"/>
      <c r="ORK47" s="19"/>
      <c r="ORL47" s="19"/>
      <c r="ORM47" s="19"/>
      <c r="ORN47" s="19"/>
      <c r="ORO47" s="19"/>
      <c r="ORP47" s="19"/>
      <c r="ORQ47" s="19"/>
      <c r="ORR47" s="19"/>
      <c r="ORS47" s="19"/>
      <c r="ORT47" s="19"/>
      <c r="ORU47" s="19"/>
      <c r="ORV47" s="19"/>
      <c r="ORW47" s="19"/>
      <c r="ORX47" s="19"/>
      <c r="ORY47" s="19"/>
      <c r="ORZ47" s="19"/>
      <c r="OSA47" s="19"/>
      <c r="OSB47" s="19"/>
      <c r="OSC47" s="19"/>
      <c r="OSD47" s="19"/>
      <c r="OSE47" s="19"/>
      <c r="OSF47" s="19"/>
      <c r="OSG47" s="19"/>
      <c r="OSH47" s="19"/>
      <c r="OSI47" s="19"/>
      <c r="OSJ47" s="19"/>
      <c r="OSK47" s="19"/>
      <c r="OSL47" s="19"/>
      <c r="OSM47" s="19"/>
      <c r="OSN47" s="19"/>
      <c r="OSO47" s="19"/>
      <c r="OSP47" s="19"/>
      <c r="OSQ47" s="19"/>
      <c r="OSR47" s="19"/>
      <c r="OSS47" s="19"/>
      <c r="OST47" s="19"/>
      <c r="OSU47" s="19"/>
      <c r="OSV47" s="19"/>
      <c r="OSW47" s="19"/>
      <c r="OSX47" s="19"/>
      <c r="OSY47" s="19"/>
      <c r="OSZ47" s="19"/>
      <c r="OTA47" s="19"/>
      <c r="OTB47" s="19"/>
      <c r="OTC47" s="19"/>
      <c r="OTD47" s="19"/>
      <c r="OTE47" s="19"/>
      <c r="OTF47" s="19"/>
      <c r="OTG47" s="19"/>
      <c r="OTH47" s="19"/>
      <c r="OTI47" s="19"/>
      <c r="OTJ47" s="19"/>
      <c r="OTK47" s="19"/>
      <c r="OTL47" s="19"/>
      <c r="OTM47" s="19"/>
      <c r="OTN47" s="19"/>
      <c r="OTO47" s="19"/>
      <c r="OTP47" s="19"/>
      <c r="OTQ47" s="19"/>
      <c r="OTR47" s="19"/>
      <c r="OTS47" s="19"/>
      <c r="OTT47" s="19"/>
      <c r="OTU47" s="19"/>
      <c r="OTV47" s="19"/>
      <c r="OTW47" s="19"/>
      <c r="OTX47" s="19"/>
      <c r="OTY47" s="19"/>
      <c r="OTZ47" s="19"/>
      <c r="OUA47" s="19"/>
      <c r="OUB47" s="19"/>
      <c r="OUC47" s="19"/>
      <c r="OUD47" s="19"/>
      <c r="OUE47" s="19"/>
      <c r="OUF47" s="19"/>
      <c r="OUG47" s="19"/>
      <c r="OUH47" s="19"/>
      <c r="OUI47" s="19"/>
      <c r="OUJ47" s="19"/>
      <c r="OUK47" s="19"/>
      <c r="OUL47" s="19"/>
      <c r="OUM47" s="19"/>
      <c r="OUN47" s="19"/>
      <c r="OUO47" s="19"/>
      <c r="OUP47" s="19"/>
      <c r="OUQ47" s="19"/>
      <c r="OUR47" s="19"/>
      <c r="OUS47" s="19"/>
      <c r="OUT47" s="19"/>
      <c r="OUU47" s="19"/>
      <c r="OUV47" s="19"/>
      <c r="OUW47" s="19"/>
      <c r="OUX47" s="19"/>
      <c r="OUY47" s="19"/>
      <c r="OUZ47" s="19"/>
      <c r="OVA47" s="19"/>
      <c r="OVB47" s="19"/>
      <c r="OVC47" s="19"/>
      <c r="OVD47" s="19"/>
      <c r="OVE47" s="19"/>
      <c r="OVF47" s="19"/>
      <c r="OVG47" s="19"/>
      <c r="OVH47" s="19"/>
      <c r="OVI47" s="19"/>
      <c r="OVJ47" s="19"/>
      <c r="OVK47" s="19"/>
      <c r="OVL47" s="19"/>
      <c r="OVM47" s="19"/>
      <c r="OVN47" s="19"/>
      <c r="OVO47" s="19"/>
      <c r="OVP47" s="19"/>
      <c r="OVQ47" s="19"/>
      <c r="OVR47" s="19"/>
      <c r="OVS47" s="19"/>
      <c r="OVT47" s="19"/>
      <c r="OVU47" s="19"/>
      <c r="OVV47" s="19"/>
      <c r="OVW47" s="19"/>
      <c r="OVX47" s="19"/>
      <c r="OVY47" s="19"/>
      <c r="OVZ47" s="19"/>
      <c r="OWA47" s="19"/>
      <c r="OWB47" s="19"/>
      <c r="OWC47" s="19"/>
      <c r="OWD47" s="19"/>
      <c r="OWE47" s="19"/>
      <c r="OWF47" s="19"/>
      <c r="OWG47" s="19"/>
      <c r="OWH47" s="19"/>
      <c r="OWI47" s="19"/>
      <c r="OWJ47" s="19"/>
      <c r="OWK47" s="19"/>
      <c r="OWL47" s="19"/>
      <c r="OWM47" s="19"/>
      <c r="OWN47" s="19"/>
      <c r="OWO47" s="19"/>
      <c r="OWP47" s="19"/>
      <c r="OWQ47" s="19"/>
      <c r="OWR47" s="19"/>
      <c r="OWS47" s="19"/>
      <c r="OWT47" s="19"/>
      <c r="OWU47" s="19"/>
      <c r="OWV47" s="19"/>
      <c r="OWW47" s="19"/>
      <c r="OWX47" s="19"/>
      <c r="OWY47" s="19"/>
      <c r="OWZ47" s="19"/>
      <c r="OXA47" s="19"/>
      <c r="OXB47" s="19"/>
      <c r="OXC47" s="19"/>
      <c r="OXD47" s="19"/>
      <c r="OXE47" s="19"/>
      <c r="OXF47" s="19"/>
      <c r="OXG47" s="19"/>
      <c r="OXH47" s="19"/>
      <c r="OXI47" s="19"/>
      <c r="OXJ47" s="19"/>
      <c r="OXK47" s="19"/>
      <c r="OXL47" s="19"/>
      <c r="OXM47" s="19"/>
      <c r="OXN47" s="19"/>
      <c r="OXO47" s="19"/>
      <c r="OXP47" s="19"/>
      <c r="OXQ47" s="19"/>
      <c r="OXR47" s="19"/>
      <c r="OXS47" s="19"/>
      <c r="OXT47" s="19"/>
      <c r="OXU47" s="19"/>
      <c r="OXV47" s="19"/>
      <c r="OXW47" s="19"/>
      <c r="OXX47" s="19"/>
      <c r="OXY47" s="19"/>
      <c r="OXZ47" s="19"/>
      <c r="OYA47" s="19"/>
      <c r="OYB47" s="19"/>
      <c r="OYC47" s="19"/>
      <c r="OYD47" s="19"/>
      <c r="OYE47" s="19"/>
      <c r="OYF47" s="19"/>
      <c r="OYG47" s="19"/>
      <c r="OYH47" s="19"/>
      <c r="OYI47" s="19"/>
      <c r="OYJ47" s="19"/>
      <c r="OYK47" s="19"/>
      <c r="OYL47" s="19"/>
      <c r="OYM47" s="19"/>
      <c r="OYN47" s="19"/>
      <c r="OYO47" s="19"/>
      <c r="OYP47" s="19"/>
      <c r="OYQ47" s="19"/>
      <c r="OYR47" s="19"/>
      <c r="OYS47" s="19"/>
      <c r="OYT47" s="19"/>
      <c r="OYU47" s="19"/>
      <c r="OYV47" s="19"/>
      <c r="OYW47" s="19"/>
      <c r="OYX47" s="19"/>
      <c r="OYY47" s="19"/>
      <c r="OYZ47" s="19"/>
      <c r="OZA47" s="19"/>
      <c r="OZB47" s="19"/>
      <c r="OZC47" s="19"/>
      <c r="OZD47" s="19"/>
      <c r="OZE47" s="19"/>
      <c r="OZF47" s="19"/>
      <c r="OZG47" s="19"/>
      <c r="OZH47" s="19"/>
      <c r="OZI47" s="19"/>
      <c r="OZJ47" s="19"/>
      <c r="OZK47" s="19"/>
      <c r="OZL47" s="19"/>
      <c r="OZM47" s="19"/>
      <c r="OZN47" s="19"/>
      <c r="OZO47" s="19"/>
      <c r="OZP47" s="19"/>
      <c r="OZQ47" s="19"/>
      <c r="OZR47" s="19"/>
      <c r="OZS47" s="19"/>
      <c r="OZT47" s="19"/>
      <c r="OZU47" s="19"/>
      <c r="OZV47" s="19"/>
      <c r="OZW47" s="19"/>
      <c r="OZX47" s="19"/>
      <c r="OZY47" s="19"/>
      <c r="OZZ47" s="19"/>
      <c r="PAA47" s="19"/>
      <c r="PAB47" s="19"/>
      <c r="PAC47" s="19"/>
      <c r="PAD47" s="19"/>
      <c r="PAE47" s="19"/>
      <c r="PAF47" s="19"/>
      <c r="PAG47" s="19"/>
      <c r="PAH47" s="19"/>
      <c r="PAI47" s="19"/>
      <c r="PAJ47" s="19"/>
      <c r="PAK47" s="19"/>
      <c r="PAL47" s="19"/>
      <c r="PAM47" s="19"/>
      <c r="PAN47" s="19"/>
      <c r="PAO47" s="19"/>
      <c r="PAP47" s="19"/>
      <c r="PAQ47" s="19"/>
      <c r="PAR47" s="19"/>
      <c r="PAS47" s="19"/>
      <c r="PAT47" s="19"/>
      <c r="PAU47" s="19"/>
      <c r="PAV47" s="19"/>
      <c r="PAW47" s="19"/>
      <c r="PAX47" s="19"/>
      <c r="PAY47" s="19"/>
      <c r="PAZ47" s="19"/>
      <c r="PBA47" s="19"/>
      <c r="PBB47" s="19"/>
      <c r="PBC47" s="19"/>
      <c r="PBD47" s="19"/>
      <c r="PBE47" s="19"/>
      <c r="PBF47" s="19"/>
      <c r="PBG47" s="19"/>
      <c r="PBH47" s="19"/>
      <c r="PBI47" s="19"/>
      <c r="PBJ47" s="19"/>
      <c r="PBK47" s="19"/>
      <c r="PBL47" s="19"/>
      <c r="PBM47" s="19"/>
      <c r="PBN47" s="19"/>
      <c r="PBO47" s="19"/>
      <c r="PBP47" s="19"/>
      <c r="PBQ47" s="19"/>
      <c r="PBR47" s="19"/>
      <c r="PBS47" s="19"/>
      <c r="PBT47" s="19"/>
      <c r="PBU47" s="19"/>
      <c r="PBV47" s="19"/>
      <c r="PBW47" s="19"/>
      <c r="PBX47" s="19"/>
      <c r="PBY47" s="19"/>
      <c r="PBZ47" s="19"/>
      <c r="PCA47" s="19"/>
      <c r="PCB47" s="19"/>
      <c r="PCC47" s="19"/>
      <c r="PCD47" s="19"/>
      <c r="PCE47" s="19"/>
      <c r="PCF47" s="19"/>
      <c r="PCG47" s="19"/>
      <c r="PCH47" s="19"/>
      <c r="PCI47" s="19"/>
      <c r="PCJ47" s="19"/>
      <c r="PCK47" s="19"/>
      <c r="PCL47" s="19"/>
      <c r="PCM47" s="19"/>
      <c r="PCN47" s="19"/>
      <c r="PCO47" s="19"/>
      <c r="PCP47" s="19"/>
      <c r="PCQ47" s="19"/>
      <c r="PCR47" s="19"/>
      <c r="PCS47" s="19"/>
      <c r="PCT47" s="19"/>
      <c r="PCU47" s="19"/>
      <c r="PCV47" s="19"/>
      <c r="PCW47" s="19"/>
      <c r="PCX47" s="19"/>
      <c r="PCY47" s="19"/>
      <c r="PCZ47" s="19"/>
      <c r="PDA47" s="19"/>
      <c r="PDB47" s="19"/>
      <c r="PDC47" s="19"/>
      <c r="PDD47" s="19"/>
      <c r="PDE47" s="19"/>
      <c r="PDF47" s="19"/>
      <c r="PDG47" s="19"/>
      <c r="PDH47" s="19"/>
      <c r="PDI47" s="19"/>
      <c r="PDJ47" s="19"/>
      <c r="PDK47" s="19"/>
      <c r="PDL47" s="19"/>
      <c r="PDM47" s="19"/>
      <c r="PDN47" s="19"/>
      <c r="PDO47" s="19"/>
      <c r="PDP47" s="19"/>
      <c r="PDQ47" s="19"/>
      <c r="PDR47" s="19"/>
      <c r="PDS47" s="19"/>
      <c r="PDT47" s="19"/>
      <c r="PDU47" s="19"/>
      <c r="PDV47" s="19"/>
      <c r="PDW47" s="19"/>
      <c r="PDX47" s="19"/>
      <c r="PDY47" s="19"/>
      <c r="PDZ47" s="19"/>
      <c r="PEA47" s="19"/>
      <c r="PEB47" s="19"/>
      <c r="PEC47" s="19"/>
      <c r="PED47" s="19"/>
      <c r="PEE47" s="19"/>
      <c r="PEF47" s="19"/>
      <c r="PEG47" s="19"/>
      <c r="PEH47" s="19"/>
      <c r="PEI47" s="19"/>
      <c r="PEJ47" s="19"/>
      <c r="PEK47" s="19"/>
      <c r="PEL47" s="19"/>
      <c r="PEM47" s="19"/>
      <c r="PEN47" s="19"/>
      <c r="PEO47" s="19"/>
      <c r="PEP47" s="19"/>
      <c r="PEQ47" s="19"/>
      <c r="PER47" s="19"/>
      <c r="PES47" s="19"/>
      <c r="PET47" s="19"/>
      <c r="PEU47" s="19"/>
      <c r="PEV47" s="19"/>
      <c r="PEW47" s="19"/>
      <c r="PEX47" s="19"/>
      <c r="PEY47" s="19"/>
      <c r="PEZ47" s="19"/>
      <c r="PFA47" s="19"/>
      <c r="PFB47" s="19"/>
      <c r="PFC47" s="19"/>
      <c r="PFD47" s="19"/>
      <c r="PFE47" s="19"/>
      <c r="PFF47" s="19"/>
      <c r="PFG47" s="19"/>
      <c r="PFH47" s="19"/>
      <c r="PFI47" s="19"/>
      <c r="PFJ47" s="19"/>
      <c r="PFK47" s="19"/>
      <c r="PFL47" s="19"/>
      <c r="PFM47" s="19"/>
      <c r="PFN47" s="19"/>
      <c r="PFO47" s="19"/>
      <c r="PFP47" s="19"/>
      <c r="PFQ47" s="19"/>
      <c r="PFR47" s="19"/>
      <c r="PFS47" s="19"/>
      <c r="PFT47" s="19"/>
      <c r="PFU47" s="19"/>
      <c r="PFV47" s="19"/>
      <c r="PFW47" s="19"/>
      <c r="PFX47" s="19"/>
      <c r="PFY47" s="19"/>
      <c r="PFZ47" s="19"/>
      <c r="PGA47" s="19"/>
      <c r="PGB47" s="19"/>
      <c r="PGC47" s="19"/>
      <c r="PGD47" s="19"/>
      <c r="PGE47" s="19"/>
      <c r="PGF47" s="19"/>
      <c r="PGG47" s="19"/>
      <c r="PGH47" s="19"/>
      <c r="PGI47" s="19"/>
      <c r="PGJ47" s="19"/>
      <c r="PGK47" s="19"/>
      <c r="PGL47" s="19"/>
      <c r="PGM47" s="19"/>
      <c r="PGN47" s="19"/>
      <c r="PGO47" s="19"/>
      <c r="PGP47" s="19"/>
      <c r="PGQ47" s="19"/>
      <c r="PGR47" s="19"/>
      <c r="PGS47" s="19"/>
      <c r="PGT47" s="19"/>
      <c r="PGU47" s="19"/>
      <c r="PGV47" s="19"/>
      <c r="PGW47" s="19"/>
      <c r="PGX47" s="19"/>
      <c r="PGY47" s="19"/>
      <c r="PGZ47" s="19"/>
      <c r="PHA47" s="19"/>
      <c r="PHB47" s="19"/>
      <c r="PHC47" s="19"/>
      <c r="PHD47" s="19"/>
      <c r="PHE47" s="19"/>
      <c r="PHF47" s="19"/>
      <c r="PHG47" s="19"/>
      <c r="PHH47" s="19"/>
      <c r="PHI47" s="19"/>
      <c r="PHJ47" s="19"/>
      <c r="PHK47" s="19"/>
      <c r="PHL47" s="19"/>
      <c r="PHM47" s="19"/>
      <c r="PHN47" s="19"/>
      <c r="PHO47" s="19"/>
      <c r="PHP47" s="19"/>
      <c r="PHQ47" s="19"/>
      <c r="PHR47" s="19"/>
      <c r="PHS47" s="19"/>
      <c r="PHT47" s="19"/>
      <c r="PHU47" s="19"/>
      <c r="PHV47" s="19"/>
      <c r="PHW47" s="19"/>
      <c r="PHX47" s="19"/>
      <c r="PHY47" s="19"/>
      <c r="PHZ47" s="19"/>
      <c r="PIA47" s="19"/>
      <c r="PIB47" s="19"/>
      <c r="PIC47" s="19"/>
      <c r="PID47" s="19"/>
      <c r="PIE47" s="19"/>
      <c r="PIF47" s="19"/>
      <c r="PIG47" s="19"/>
      <c r="PIH47" s="19"/>
      <c r="PII47" s="19"/>
      <c r="PIJ47" s="19"/>
      <c r="PIK47" s="19"/>
      <c r="PIL47" s="19"/>
      <c r="PIM47" s="19"/>
      <c r="PIN47" s="19"/>
      <c r="PIO47" s="19"/>
      <c r="PIP47" s="19"/>
      <c r="PIQ47" s="19"/>
      <c r="PIR47" s="19"/>
      <c r="PIS47" s="19"/>
      <c r="PIT47" s="19"/>
      <c r="PIU47" s="19"/>
      <c r="PIV47" s="19"/>
      <c r="PIW47" s="19"/>
      <c r="PIX47" s="19"/>
      <c r="PIY47" s="19"/>
      <c r="PIZ47" s="19"/>
      <c r="PJA47" s="19"/>
      <c r="PJB47" s="19"/>
      <c r="PJC47" s="19"/>
      <c r="PJD47" s="19"/>
      <c r="PJE47" s="19"/>
      <c r="PJF47" s="19"/>
      <c r="PJG47" s="19"/>
      <c r="PJH47" s="19"/>
      <c r="PJI47" s="19"/>
      <c r="PJJ47" s="19"/>
      <c r="PJK47" s="19"/>
      <c r="PJL47" s="19"/>
      <c r="PJM47" s="19"/>
      <c r="PJN47" s="19"/>
      <c r="PJO47" s="19"/>
      <c r="PJP47" s="19"/>
      <c r="PJQ47" s="19"/>
      <c r="PJR47" s="19"/>
      <c r="PJS47" s="19"/>
      <c r="PJT47" s="19"/>
      <c r="PJU47" s="19"/>
      <c r="PJV47" s="19"/>
      <c r="PJW47" s="19"/>
      <c r="PJX47" s="19"/>
      <c r="PJY47" s="19"/>
      <c r="PJZ47" s="19"/>
      <c r="PKA47" s="19"/>
      <c r="PKB47" s="19"/>
      <c r="PKC47" s="19"/>
      <c r="PKD47" s="19"/>
      <c r="PKE47" s="19"/>
      <c r="PKF47" s="19"/>
      <c r="PKG47" s="19"/>
      <c r="PKH47" s="19"/>
      <c r="PKI47" s="19"/>
      <c r="PKJ47" s="19"/>
      <c r="PKK47" s="19"/>
      <c r="PKL47" s="19"/>
      <c r="PKM47" s="19"/>
      <c r="PKN47" s="19"/>
      <c r="PKO47" s="19"/>
      <c r="PKP47" s="19"/>
      <c r="PKQ47" s="19"/>
      <c r="PKR47" s="19"/>
      <c r="PKS47" s="19"/>
      <c r="PKT47" s="19"/>
      <c r="PKU47" s="19"/>
      <c r="PKV47" s="19"/>
      <c r="PKW47" s="19"/>
      <c r="PKX47" s="19"/>
      <c r="PKY47" s="19"/>
      <c r="PKZ47" s="19"/>
      <c r="PLA47" s="19"/>
      <c r="PLB47" s="19"/>
      <c r="PLC47" s="19"/>
      <c r="PLD47" s="19"/>
      <c r="PLE47" s="19"/>
      <c r="PLF47" s="19"/>
      <c r="PLG47" s="19"/>
      <c r="PLH47" s="19"/>
      <c r="PLI47" s="19"/>
      <c r="PLJ47" s="19"/>
      <c r="PLK47" s="19"/>
      <c r="PLL47" s="19"/>
      <c r="PLM47" s="19"/>
      <c r="PLN47" s="19"/>
      <c r="PLO47" s="19"/>
      <c r="PLP47" s="19"/>
      <c r="PLQ47" s="19"/>
      <c r="PLR47" s="19"/>
      <c r="PLS47" s="19"/>
      <c r="PLT47" s="19"/>
      <c r="PLU47" s="19"/>
      <c r="PLV47" s="19"/>
      <c r="PLW47" s="19"/>
      <c r="PLX47" s="19"/>
      <c r="PLY47" s="19"/>
      <c r="PLZ47" s="19"/>
      <c r="PMA47" s="19"/>
      <c r="PMB47" s="19"/>
      <c r="PMC47" s="19"/>
      <c r="PMD47" s="19"/>
      <c r="PME47" s="19"/>
      <c r="PMF47" s="19"/>
      <c r="PMG47" s="19"/>
      <c r="PMH47" s="19"/>
      <c r="PMI47" s="19"/>
      <c r="PMJ47" s="19"/>
      <c r="PMK47" s="19"/>
      <c r="PML47" s="19"/>
      <c r="PMM47" s="19"/>
      <c r="PMN47" s="19"/>
      <c r="PMO47" s="19"/>
      <c r="PMP47" s="19"/>
      <c r="PMQ47" s="19"/>
      <c r="PMR47" s="19"/>
      <c r="PMS47" s="19"/>
      <c r="PMT47" s="19"/>
      <c r="PMU47" s="19"/>
      <c r="PMV47" s="19"/>
      <c r="PMW47" s="19"/>
      <c r="PMX47" s="19"/>
      <c r="PMY47" s="19"/>
      <c r="PMZ47" s="19"/>
      <c r="PNA47" s="19"/>
      <c r="PNB47" s="19"/>
      <c r="PNC47" s="19"/>
      <c r="PND47" s="19"/>
      <c r="PNE47" s="19"/>
      <c r="PNF47" s="19"/>
      <c r="PNG47" s="19"/>
      <c r="PNH47" s="19"/>
      <c r="PNI47" s="19"/>
      <c r="PNJ47" s="19"/>
      <c r="PNK47" s="19"/>
      <c r="PNL47" s="19"/>
      <c r="PNM47" s="19"/>
      <c r="PNN47" s="19"/>
      <c r="PNO47" s="19"/>
      <c r="PNP47" s="19"/>
      <c r="PNQ47" s="19"/>
      <c r="PNR47" s="19"/>
      <c r="PNS47" s="19"/>
      <c r="PNT47" s="19"/>
      <c r="PNU47" s="19"/>
      <c r="PNV47" s="19"/>
      <c r="PNW47" s="19"/>
      <c r="PNX47" s="19"/>
      <c r="PNY47" s="19"/>
      <c r="PNZ47" s="19"/>
      <c r="POA47" s="19"/>
      <c r="POB47" s="19"/>
      <c r="POC47" s="19"/>
      <c r="POD47" s="19"/>
      <c r="POE47" s="19"/>
      <c r="POF47" s="19"/>
      <c r="POG47" s="19"/>
      <c r="POH47" s="19"/>
      <c r="POI47" s="19"/>
      <c r="POJ47" s="19"/>
      <c r="POK47" s="19"/>
      <c r="POL47" s="19"/>
      <c r="POM47" s="19"/>
      <c r="PON47" s="19"/>
      <c r="POO47" s="19"/>
      <c r="POP47" s="19"/>
      <c r="POQ47" s="19"/>
      <c r="POR47" s="19"/>
      <c r="POS47" s="19"/>
      <c r="POT47" s="19"/>
      <c r="POU47" s="19"/>
      <c r="POV47" s="19"/>
      <c r="POW47" s="19"/>
      <c r="POX47" s="19"/>
      <c r="POY47" s="19"/>
      <c r="POZ47" s="19"/>
      <c r="PPA47" s="19"/>
      <c r="PPB47" s="19"/>
      <c r="PPC47" s="19"/>
      <c r="PPD47" s="19"/>
      <c r="PPE47" s="19"/>
      <c r="PPF47" s="19"/>
      <c r="PPG47" s="19"/>
      <c r="PPH47" s="19"/>
      <c r="PPI47" s="19"/>
      <c r="PPJ47" s="19"/>
      <c r="PPK47" s="19"/>
      <c r="PPL47" s="19"/>
      <c r="PPM47" s="19"/>
      <c r="PPN47" s="19"/>
      <c r="PPO47" s="19"/>
      <c r="PPP47" s="19"/>
      <c r="PPQ47" s="19"/>
      <c r="PPR47" s="19"/>
      <c r="PPS47" s="19"/>
      <c r="PPT47" s="19"/>
      <c r="PPU47" s="19"/>
      <c r="PPV47" s="19"/>
      <c r="PPW47" s="19"/>
      <c r="PPX47" s="19"/>
      <c r="PPY47" s="19"/>
      <c r="PPZ47" s="19"/>
      <c r="PQA47" s="19"/>
      <c r="PQB47" s="19"/>
      <c r="PQC47" s="19"/>
      <c r="PQD47" s="19"/>
      <c r="PQE47" s="19"/>
      <c r="PQF47" s="19"/>
      <c r="PQG47" s="19"/>
      <c r="PQH47" s="19"/>
      <c r="PQI47" s="19"/>
      <c r="PQJ47" s="19"/>
      <c r="PQK47" s="19"/>
      <c r="PQL47" s="19"/>
      <c r="PQM47" s="19"/>
      <c r="PQN47" s="19"/>
      <c r="PQO47" s="19"/>
      <c r="PQP47" s="19"/>
      <c r="PQQ47" s="19"/>
      <c r="PQR47" s="19"/>
      <c r="PQS47" s="19"/>
      <c r="PQT47" s="19"/>
      <c r="PQU47" s="19"/>
      <c r="PQV47" s="19"/>
      <c r="PQW47" s="19"/>
      <c r="PQX47" s="19"/>
      <c r="PQY47" s="19"/>
      <c r="PQZ47" s="19"/>
      <c r="PRA47" s="19"/>
      <c r="PRB47" s="19"/>
      <c r="PRC47" s="19"/>
      <c r="PRD47" s="19"/>
      <c r="PRE47" s="19"/>
      <c r="PRF47" s="19"/>
      <c r="PRG47" s="19"/>
      <c r="PRH47" s="19"/>
      <c r="PRI47" s="19"/>
      <c r="PRJ47" s="19"/>
      <c r="PRK47" s="19"/>
      <c r="PRL47" s="19"/>
      <c r="PRM47" s="19"/>
      <c r="PRN47" s="19"/>
      <c r="PRO47" s="19"/>
      <c r="PRP47" s="19"/>
      <c r="PRQ47" s="19"/>
      <c r="PRR47" s="19"/>
      <c r="PRS47" s="19"/>
      <c r="PRT47" s="19"/>
      <c r="PRU47" s="19"/>
      <c r="PRV47" s="19"/>
      <c r="PRW47" s="19"/>
      <c r="PRX47" s="19"/>
      <c r="PRY47" s="19"/>
      <c r="PRZ47" s="19"/>
      <c r="PSA47" s="19"/>
      <c r="PSB47" s="19"/>
      <c r="PSC47" s="19"/>
      <c r="PSD47" s="19"/>
      <c r="PSE47" s="19"/>
      <c r="PSF47" s="19"/>
      <c r="PSG47" s="19"/>
      <c r="PSH47" s="19"/>
      <c r="PSI47" s="19"/>
      <c r="PSJ47" s="19"/>
      <c r="PSK47" s="19"/>
      <c r="PSL47" s="19"/>
      <c r="PSM47" s="19"/>
      <c r="PSN47" s="19"/>
      <c r="PSO47" s="19"/>
      <c r="PSP47" s="19"/>
      <c r="PSQ47" s="19"/>
      <c r="PSR47" s="19"/>
      <c r="PSS47" s="19"/>
      <c r="PST47" s="19"/>
      <c r="PSU47" s="19"/>
      <c r="PSV47" s="19"/>
      <c r="PSW47" s="19"/>
      <c r="PSX47" s="19"/>
      <c r="PSY47" s="19"/>
      <c r="PSZ47" s="19"/>
      <c r="PTA47" s="19"/>
      <c r="PTB47" s="19"/>
      <c r="PTC47" s="19"/>
      <c r="PTD47" s="19"/>
      <c r="PTE47" s="19"/>
      <c r="PTF47" s="19"/>
      <c r="PTG47" s="19"/>
      <c r="PTH47" s="19"/>
      <c r="PTI47" s="19"/>
      <c r="PTJ47" s="19"/>
      <c r="PTK47" s="19"/>
      <c r="PTL47" s="19"/>
      <c r="PTM47" s="19"/>
      <c r="PTN47" s="19"/>
      <c r="PTO47" s="19"/>
      <c r="PTP47" s="19"/>
      <c r="PTQ47" s="19"/>
      <c r="PTR47" s="19"/>
      <c r="PTS47" s="19"/>
      <c r="PTT47" s="19"/>
      <c r="PTU47" s="19"/>
      <c r="PTV47" s="19"/>
      <c r="PTW47" s="19"/>
      <c r="PTX47" s="19"/>
      <c r="PTY47" s="19"/>
      <c r="PTZ47" s="19"/>
      <c r="PUA47" s="19"/>
      <c r="PUB47" s="19"/>
      <c r="PUC47" s="19"/>
      <c r="PUD47" s="19"/>
      <c r="PUE47" s="19"/>
      <c r="PUF47" s="19"/>
      <c r="PUG47" s="19"/>
      <c r="PUH47" s="19"/>
      <c r="PUI47" s="19"/>
      <c r="PUJ47" s="19"/>
      <c r="PUK47" s="19"/>
      <c r="PUL47" s="19"/>
      <c r="PUM47" s="19"/>
      <c r="PUN47" s="19"/>
      <c r="PUO47" s="19"/>
      <c r="PUP47" s="19"/>
      <c r="PUQ47" s="19"/>
      <c r="PUR47" s="19"/>
      <c r="PUS47" s="19"/>
      <c r="PUT47" s="19"/>
      <c r="PUU47" s="19"/>
      <c r="PUV47" s="19"/>
      <c r="PUW47" s="19"/>
      <c r="PUX47" s="19"/>
      <c r="PUY47" s="19"/>
      <c r="PUZ47" s="19"/>
      <c r="PVA47" s="19"/>
      <c r="PVB47" s="19"/>
      <c r="PVC47" s="19"/>
      <c r="PVD47" s="19"/>
      <c r="PVE47" s="19"/>
      <c r="PVF47" s="19"/>
      <c r="PVG47" s="19"/>
      <c r="PVH47" s="19"/>
      <c r="PVI47" s="19"/>
      <c r="PVJ47" s="19"/>
      <c r="PVK47" s="19"/>
      <c r="PVL47" s="19"/>
      <c r="PVM47" s="19"/>
      <c r="PVN47" s="19"/>
      <c r="PVO47" s="19"/>
      <c r="PVP47" s="19"/>
      <c r="PVQ47" s="19"/>
      <c r="PVR47" s="19"/>
      <c r="PVS47" s="19"/>
      <c r="PVT47" s="19"/>
      <c r="PVU47" s="19"/>
      <c r="PVV47" s="19"/>
      <c r="PVW47" s="19"/>
      <c r="PVX47" s="19"/>
      <c r="PVY47" s="19"/>
      <c r="PVZ47" s="19"/>
      <c r="PWA47" s="19"/>
      <c r="PWB47" s="19"/>
      <c r="PWC47" s="19"/>
      <c r="PWD47" s="19"/>
      <c r="PWE47" s="19"/>
      <c r="PWF47" s="19"/>
      <c r="PWG47" s="19"/>
      <c r="PWH47" s="19"/>
      <c r="PWI47" s="19"/>
      <c r="PWJ47" s="19"/>
      <c r="PWK47" s="19"/>
      <c r="PWL47" s="19"/>
      <c r="PWM47" s="19"/>
      <c r="PWN47" s="19"/>
      <c r="PWO47" s="19"/>
      <c r="PWP47" s="19"/>
      <c r="PWQ47" s="19"/>
      <c r="PWR47" s="19"/>
      <c r="PWS47" s="19"/>
      <c r="PWT47" s="19"/>
      <c r="PWU47" s="19"/>
      <c r="PWV47" s="19"/>
      <c r="PWW47" s="19"/>
      <c r="PWX47" s="19"/>
      <c r="PWY47" s="19"/>
      <c r="PWZ47" s="19"/>
      <c r="PXA47" s="19"/>
      <c r="PXB47" s="19"/>
      <c r="PXC47" s="19"/>
      <c r="PXD47" s="19"/>
      <c r="PXE47" s="19"/>
      <c r="PXF47" s="19"/>
      <c r="PXG47" s="19"/>
      <c r="PXH47" s="19"/>
      <c r="PXI47" s="19"/>
      <c r="PXJ47" s="19"/>
      <c r="PXK47" s="19"/>
      <c r="PXL47" s="19"/>
      <c r="PXM47" s="19"/>
      <c r="PXN47" s="19"/>
      <c r="PXO47" s="19"/>
      <c r="PXP47" s="19"/>
      <c r="PXQ47" s="19"/>
      <c r="PXR47" s="19"/>
      <c r="PXS47" s="19"/>
      <c r="PXT47" s="19"/>
      <c r="PXU47" s="19"/>
      <c r="PXV47" s="19"/>
      <c r="PXW47" s="19"/>
      <c r="PXX47" s="19"/>
      <c r="PXY47" s="19"/>
      <c r="PXZ47" s="19"/>
      <c r="PYA47" s="19"/>
      <c r="PYB47" s="19"/>
      <c r="PYC47" s="19"/>
      <c r="PYD47" s="19"/>
      <c r="PYE47" s="19"/>
      <c r="PYF47" s="19"/>
      <c r="PYG47" s="19"/>
      <c r="PYH47" s="19"/>
      <c r="PYI47" s="19"/>
      <c r="PYJ47" s="19"/>
      <c r="PYK47" s="19"/>
      <c r="PYL47" s="19"/>
      <c r="PYM47" s="19"/>
      <c r="PYN47" s="19"/>
      <c r="PYO47" s="19"/>
      <c r="PYP47" s="19"/>
      <c r="PYQ47" s="19"/>
      <c r="PYR47" s="19"/>
      <c r="PYS47" s="19"/>
      <c r="PYT47" s="19"/>
      <c r="PYU47" s="19"/>
      <c r="PYV47" s="19"/>
      <c r="PYW47" s="19"/>
      <c r="PYX47" s="19"/>
      <c r="PYY47" s="19"/>
      <c r="PYZ47" s="19"/>
      <c r="PZA47" s="19"/>
      <c r="PZB47" s="19"/>
      <c r="PZC47" s="19"/>
      <c r="PZD47" s="19"/>
      <c r="PZE47" s="19"/>
      <c r="PZF47" s="19"/>
      <c r="PZG47" s="19"/>
      <c r="PZH47" s="19"/>
      <c r="PZI47" s="19"/>
      <c r="PZJ47" s="19"/>
      <c r="PZK47" s="19"/>
      <c r="PZL47" s="19"/>
      <c r="PZM47" s="19"/>
      <c r="PZN47" s="19"/>
      <c r="PZO47" s="19"/>
      <c r="PZP47" s="19"/>
      <c r="PZQ47" s="19"/>
      <c r="PZR47" s="19"/>
      <c r="PZS47" s="19"/>
      <c r="PZT47" s="19"/>
      <c r="PZU47" s="19"/>
      <c r="PZV47" s="19"/>
      <c r="PZW47" s="19"/>
      <c r="PZX47" s="19"/>
      <c r="PZY47" s="19"/>
      <c r="PZZ47" s="19"/>
      <c r="QAA47" s="19"/>
      <c r="QAB47" s="19"/>
      <c r="QAC47" s="19"/>
      <c r="QAD47" s="19"/>
      <c r="QAE47" s="19"/>
      <c r="QAF47" s="19"/>
      <c r="QAG47" s="19"/>
      <c r="QAH47" s="19"/>
      <c r="QAI47" s="19"/>
      <c r="QAJ47" s="19"/>
      <c r="QAK47" s="19"/>
      <c r="QAL47" s="19"/>
      <c r="QAM47" s="19"/>
      <c r="QAN47" s="19"/>
      <c r="QAO47" s="19"/>
      <c r="QAP47" s="19"/>
      <c r="QAQ47" s="19"/>
      <c r="QAR47" s="19"/>
      <c r="QAS47" s="19"/>
      <c r="QAT47" s="19"/>
      <c r="QAU47" s="19"/>
      <c r="QAV47" s="19"/>
      <c r="QAW47" s="19"/>
      <c r="QAX47" s="19"/>
      <c r="QAY47" s="19"/>
      <c r="QAZ47" s="19"/>
      <c r="QBA47" s="19"/>
      <c r="QBB47" s="19"/>
      <c r="QBC47" s="19"/>
      <c r="QBD47" s="19"/>
      <c r="QBE47" s="19"/>
      <c r="QBF47" s="19"/>
      <c r="QBG47" s="19"/>
      <c r="QBH47" s="19"/>
      <c r="QBI47" s="19"/>
      <c r="QBJ47" s="19"/>
      <c r="QBK47" s="19"/>
      <c r="QBL47" s="19"/>
      <c r="QBM47" s="19"/>
      <c r="QBN47" s="19"/>
      <c r="QBO47" s="19"/>
      <c r="QBP47" s="19"/>
      <c r="QBQ47" s="19"/>
      <c r="QBR47" s="19"/>
      <c r="QBS47" s="19"/>
      <c r="QBT47" s="19"/>
      <c r="QBU47" s="19"/>
      <c r="QBV47" s="19"/>
      <c r="QBW47" s="19"/>
      <c r="QBX47" s="19"/>
      <c r="QBY47" s="19"/>
      <c r="QBZ47" s="19"/>
      <c r="QCA47" s="19"/>
      <c r="QCB47" s="19"/>
      <c r="QCC47" s="19"/>
      <c r="QCD47" s="19"/>
      <c r="QCE47" s="19"/>
      <c r="QCF47" s="19"/>
      <c r="QCG47" s="19"/>
      <c r="QCH47" s="19"/>
      <c r="QCI47" s="19"/>
      <c r="QCJ47" s="19"/>
      <c r="QCK47" s="19"/>
      <c r="QCL47" s="19"/>
      <c r="QCM47" s="19"/>
      <c r="QCN47" s="19"/>
      <c r="QCO47" s="19"/>
      <c r="QCP47" s="19"/>
      <c r="QCQ47" s="19"/>
      <c r="QCR47" s="19"/>
      <c r="QCS47" s="19"/>
      <c r="QCT47" s="19"/>
      <c r="QCU47" s="19"/>
      <c r="QCV47" s="19"/>
      <c r="QCW47" s="19"/>
      <c r="QCX47" s="19"/>
      <c r="QCY47" s="19"/>
      <c r="QCZ47" s="19"/>
      <c r="QDA47" s="19"/>
      <c r="QDB47" s="19"/>
      <c r="QDC47" s="19"/>
      <c r="QDD47" s="19"/>
      <c r="QDE47" s="19"/>
      <c r="QDF47" s="19"/>
      <c r="QDG47" s="19"/>
      <c r="QDH47" s="19"/>
      <c r="QDI47" s="19"/>
      <c r="QDJ47" s="19"/>
      <c r="QDK47" s="19"/>
      <c r="QDL47" s="19"/>
      <c r="QDM47" s="19"/>
      <c r="QDN47" s="19"/>
      <c r="QDO47" s="19"/>
      <c r="QDP47" s="19"/>
      <c r="QDQ47" s="19"/>
      <c r="QDR47" s="19"/>
      <c r="QDS47" s="19"/>
      <c r="QDT47" s="19"/>
      <c r="QDU47" s="19"/>
      <c r="QDV47" s="19"/>
      <c r="QDW47" s="19"/>
      <c r="QDX47" s="19"/>
      <c r="QDY47" s="19"/>
      <c r="QDZ47" s="19"/>
      <c r="QEA47" s="19"/>
      <c r="QEB47" s="19"/>
      <c r="QEC47" s="19"/>
      <c r="QED47" s="19"/>
      <c r="QEE47" s="19"/>
      <c r="QEF47" s="19"/>
      <c r="QEG47" s="19"/>
      <c r="QEH47" s="19"/>
      <c r="QEI47" s="19"/>
      <c r="QEJ47" s="19"/>
      <c r="QEK47" s="19"/>
      <c r="QEL47" s="19"/>
      <c r="QEM47" s="19"/>
      <c r="QEN47" s="19"/>
      <c r="QEO47" s="19"/>
      <c r="QEP47" s="19"/>
      <c r="QEQ47" s="19"/>
      <c r="QER47" s="19"/>
      <c r="QES47" s="19"/>
      <c r="QET47" s="19"/>
      <c r="QEU47" s="19"/>
      <c r="QEV47" s="19"/>
      <c r="QEW47" s="19"/>
      <c r="QEX47" s="19"/>
      <c r="QEY47" s="19"/>
      <c r="QEZ47" s="19"/>
      <c r="QFA47" s="19"/>
      <c r="QFB47" s="19"/>
      <c r="QFC47" s="19"/>
      <c r="QFD47" s="19"/>
      <c r="QFE47" s="19"/>
      <c r="QFF47" s="19"/>
      <c r="QFG47" s="19"/>
      <c r="QFH47" s="19"/>
      <c r="QFI47" s="19"/>
      <c r="QFJ47" s="19"/>
      <c r="QFK47" s="19"/>
      <c r="QFL47" s="19"/>
      <c r="QFM47" s="19"/>
      <c r="QFN47" s="19"/>
      <c r="QFO47" s="19"/>
      <c r="QFP47" s="19"/>
      <c r="QFQ47" s="19"/>
      <c r="QFR47" s="19"/>
      <c r="QFS47" s="19"/>
      <c r="QFT47" s="19"/>
      <c r="QFU47" s="19"/>
      <c r="QFV47" s="19"/>
      <c r="QFW47" s="19"/>
      <c r="QFX47" s="19"/>
      <c r="QFY47" s="19"/>
      <c r="QFZ47" s="19"/>
      <c r="QGA47" s="19"/>
      <c r="QGB47" s="19"/>
      <c r="QGC47" s="19"/>
      <c r="QGD47" s="19"/>
      <c r="QGE47" s="19"/>
      <c r="QGF47" s="19"/>
      <c r="QGG47" s="19"/>
      <c r="QGH47" s="19"/>
      <c r="QGI47" s="19"/>
      <c r="QGJ47" s="19"/>
      <c r="QGK47" s="19"/>
      <c r="QGL47" s="19"/>
      <c r="QGM47" s="19"/>
      <c r="QGN47" s="19"/>
      <c r="QGO47" s="19"/>
      <c r="QGP47" s="19"/>
      <c r="QGQ47" s="19"/>
      <c r="QGR47" s="19"/>
      <c r="QGS47" s="19"/>
      <c r="QGT47" s="19"/>
      <c r="QGU47" s="19"/>
      <c r="QGV47" s="19"/>
      <c r="QGW47" s="19"/>
      <c r="QGX47" s="19"/>
      <c r="QGY47" s="19"/>
      <c r="QGZ47" s="19"/>
      <c r="QHA47" s="19"/>
      <c r="QHB47" s="19"/>
      <c r="QHC47" s="19"/>
      <c r="QHD47" s="19"/>
      <c r="QHE47" s="19"/>
      <c r="QHF47" s="19"/>
      <c r="QHG47" s="19"/>
      <c r="QHH47" s="19"/>
      <c r="QHI47" s="19"/>
      <c r="QHJ47" s="19"/>
      <c r="QHK47" s="19"/>
      <c r="QHL47" s="19"/>
      <c r="QHM47" s="19"/>
      <c r="QHN47" s="19"/>
      <c r="QHO47" s="19"/>
      <c r="QHP47" s="19"/>
      <c r="QHQ47" s="19"/>
      <c r="QHR47" s="19"/>
      <c r="QHS47" s="19"/>
      <c r="QHT47" s="19"/>
      <c r="QHU47" s="19"/>
      <c r="QHV47" s="19"/>
      <c r="QHW47" s="19"/>
      <c r="QHX47" s="19"/>
      <c r="QHY47" s="19"/>
      <c r="QHZ47" s="19"/>
      <c r="QIA47" s="19"/>
      <c r="QIB47" s="19"/>
      <c r="QIC47" s="19"/>
      <c r="QID47" s="19"/>
      <c r="QIE47" s="19"/>
      <c r="QIF47" s="19"/>
      <c r="QIG47" s="19"/>
      <c r="QIH47" s="19"/>
      <c r="QII47" s="19"/>
      <c r="QIJ47" s="19"/>
      <c r="QIK47" s="19"/>
      <c r="QIL47" s="19"/>
      <c r="QIM47" s="19"/>
      <c r="QIN47" s="19"/>
      <c r="QIO47" s="19"/>
      <c r="QIP47" s="19"/>
      <c r="QIQ47" s="19"/>
      <c r="QIR47" s="19"/>
      <c r="QIS47" s="19"/>
      <c r="QIT47" s="19"/>
      <c r="QIU47" s="19"/>
      <c r="QIV47" s="19"/>
      <c r="QIW47" s="19"/>
      <c r="QIX47" s="19"/>
      <c r="QIY47" s="19"/>
      <c r="QIZ47" s="19"/>
      <c r="QJA47" s="19"/>
      <c r="QJB47" s="19"/>
      <c r="QJC47" s="19"/>
      <c r="QJD47" s="19"/>
      <c r="QJE47" s="19"/>
      <c r="QJF47" s="19"/>
      <c r="QJG47" s="19"/>
      <c r="QJH47" s="19"/>
      <c r="QJI47" s="19"/>
      <c r="QJJ47" s="19"/>
      <c r="QJK47" s="19"/>
      <c r="QJL47" s="19"/>
      <c r="QJM47" s="19"/>
      <c r="QJN47" s="19"/>
      <c r="QJO47" s="19"/>
      <c r="QJP47" s="19"/>
      <c r="QJQ47" s="19"/>
      <c r="QJR47" s="19"/>
      <c r="QJS47" s="19"/>
      <c r="QJT47" s="19"/>
      <c r="QJU47" s="19"/>
      <c r="QJV47" s="19"/>
      <c r="QJW47" s="19"/>
      <c r="QJX47" s="19"/>
      <c r="QJY47" s="19"/>
      <c r="QJZ47" s="19"/>
      <c r="QKA47" s="19"/>
      <c r="QKB47" s="19"/>
      <c r="QKC47" s="19"/>
      <c r="QKD47" s="19"/>
      <c r="QKE47" s="19"/>
      <c r="QKF47" s="19"/>
      <c r="QKG47" s="19"/>
      <c r="QKH47" s="19"/>
      <c r="QKI47" s="19"/>
      <c r="QKJ47" s="19"/>
      <c r="QKK47" s="19"/>
      <c r="QKL47" s="19"/>
      <c r="QKM47" s="19"/>
      <c r="QKN47" s="19"/>
      <c r="QKO47" s="19"/>
      <c r="QKP47" s="19"/>
      <c r="QKQ47" s="19"/>
      <c r="QKR47" s="19"/>
      <c r="QKS47" s="19"/>
      <c r="QKT47" s="19"/>
      <c r="QKU47" s="19"/>
      <c r="QKV47" s="19"/>
      <c r="QKW47" s="19"/>
      <c r="QKX47" s="19"/>
      <c r="QKY47" s="19"/>
      <c r="QKZ47" s="19"/>
      <c r="QLA47" s="19"/>
      <c r="QLB47" s="19"/>
      <c r="QLC47" s="19"/>
      <c r="QLD47" s="19"/>
      <c r="QLE47" s="19"/>
      <c r="QLF47" s="19"/>
      <c r="QLG47" s="19"/>
      <c r="QLH47" s="19"/>
      <c r="QLI47" s="19"/>
      <c r="QLJ47" s="19"/>
      <c r="QLK47" s="19"/>
      <c r="QLL47" s="19"/>
      <c r="QLM47" s="19"/>
      <c r="QLN47" s="19"/>
      <c r="QLO47" s="19"/>
      <c r="QLP47" s="19"/>
      <c r="QLQ47" s="19"/>
      <c r="QLR47" s="19"/>
      <c r="QLS47" s="19"/>
      <c r="QLT47" s="19"/>
      <c r="QLU47" s="19"/>
      <c r="QLV47" s="19"/>
      <c r="QLW47" s="19"/>
      <c r="QLX47" s="19"/>
      <c r="QLY47" s="19"/>
      <c r="QLZ47" s="19"/>
      <c r="QMA47" s="19"/>
      <c r="QMB47" s="19"/>
      <c r="QMC47" s="19"/>
      <c r="QMD47" s="19"/>
      <c r="QME47" s="19"/>
      <c r="QMF47" s="19"/>
      <c r="QMG47" s="19"/>
      <c r="QMH47" s="19"/>
      <c r="QMI47" s="19"/>
      <c r="QMJ47" s="19"/>
      <c r="QMK47" s="19"/>
      <c r="QML47" s="19"/>
      <c r="QMM47" s="19"/>
      <c r="QMN47" s="19"/>
      <c r="QMO47" s="19"/>
      <c r="QMP47" s="19"/>
      <c r="QMQ47" s="19"/>
      <c r="QMR47" s="19"/>
      <c r="QMS47" s="19"/>
      <c r="QMT47" s="19"/>
      <c r="QMU47" s="19"/>
      <c r="QMV47" s="19"/>
      <c r="QMW47" s="19"/>
      <c r="QMX47" s="19"/>
      <c r="QMY47" s="19"/>
      <c r="QMZ47" s="19"/>
      <c r="QNA47" s="19"/>
      <c r="QNB47" s="19"/>
      <c r="QNC47" s="19"/>
      <c r="QND47" s="19"/>
      <c r="QNE47" s="19"/>
      <c r="QNF47" s="19"/>
      <c r="QNG47" s="19"/>
      <c r="QNH47" s="19"/>
      <c r="QNI47" s="19"/>
      <c r="QNJ47" s="19"/>
      <c r="QNK47" s="19"/>
      <c r="QNL47" s="19"/>
      <c r="QNM47" s="19"/>
      <c r="QNN47" s="19"/>
      <c r="QNO47" s="19"/>
      <c r="QNP47" s="19"/>
      <c r="QNQ47" s="19"/>
      <c r="QNR47" s="19"/>
      <c r="QNS47" s="19"/>
      <c r="QNT47" s="19"/>
      <c r="QNU47" s="19"/>
      <c r="QNV47" s="19"/>
      <c r="QNW47" s="19"/>
      <c r="QNX47" s="19"/>
      <c r="QNY47" s="19"/>
      <c r="QNZ47" s="19"/>
      <c r="QOA47" s="19"/>
      <c r="QOB47" s="19"/>
      <c r="QOC47" s="19"/>
      <c r="QOD47" s="19"/>
      <c r="QOE47" s="19"/>
      <c r="QOF47" s="19"/>
      <c r="QOG47" s="19"/>
      <c r="QOH47" s="19"/>
      <c r="QOI47" s="19"/>
      <c r="QOJ47" s="19"/>
      <c r="QOK47" s="19"/>
      <c r="QOL47" s="19"/>
      <c r="QOM47" s="19"/>
      <c r="QON47" s="19"/>
      <c r="QOO47" s="19"/>
      <c r="QOP47" s="19"/>
      <c r="QOQ47" s="19"/>
      <c r="QOR47" s="19"/>
      <c r="QOS47" s="19"/>
      <c r="QOT47" s="19"/>
      <c r="QOU47" s="19"/>
      <c r="QOV47" s="19"/>
      <c r="QOW47" s="19"/>
      <c r="QOX47" s="19"/>
      <c r="QOY47" s="19"/>
      <c r="QOZ47" s="19"/>
      <c r="QPA47" s="19"/>
      <c r="QPB47" s="19"/>
      <c r="QPC47" s="19"/>
      <c r="QPD47" s="19"/>
      <c r="QPE47" s="19"/>
      <c r="QPF47" s="19"/>
      <c r="QPG47" s="19"/>
      <c r="QPH47" s="19"/>
      <c r="QPI47" s="19"/>
      <c r="QPJ47" s="19"/>
      <c r="QPK47" s="19"/>
      <c r="QPL47" s="19"/>
      <c r="QPM47" s="19"/>
      <c r="QPN47" s="19"/>
      <c r="QPO47" s="19"/>
      <c r="QPP47" s="19"/>
      <c r="QPQ47" s="19"/>
      <c r="QPR47" s="19"/>
      <c r="QPS47" s="19"/>
      <c r="QPT47" s="19"/>
      <c r="QPU47" s="19"/>
      <c r="QPV47" s="19"/>
      <c r="QPW47" s="19"/>
      <c r="QPX47" s="19"/>
      <c r="QPY47" s="19"/>
      <c r="QPZ47" s="19"/>
      <c r="QQA47" s="19"/>
      <c r="QQB47" s="19"/>
      <c r="QQC47" s="19"/>
      <c r="QQD47" s="19"/>
      <c r="QQE47" s="19"/>
      <c r="QQF47" s="19"/>
      <c r="QQG47" s="19"/>
      <c r="QQH47" s="19"/>
      <c r="QQI47" s="19"/>
      <c r="QQJ47" s="19"/>
      <c r="QQK47" s="19"/>
      <c r="QQL47" s="19"/>
      <c r="QQM47" s="19"/>
      <c r="QQN47" s="19"/>
      <c r="QQO47" s="19"/>
      <c r="QQP47" s="19"/>
      <c r="QQQ47" s="19"/>
      <c r="QQR47" s="19"/>
      <c r="QQS47" s="19"/>
      <c r="QQT47" s="19"/>
      <c r="QQU47" s="19"/>
      <c r="QQV47" s="19"/>
      <c r="QQW47" s="19"/>
      <c r="QQX47" s="19"/>
      <c r="QQY47" s="19"/>
      <c r="QQZ47" s="19"/>
      <c r="QRA47" s="19"/>
      <c r="QRB47" s="19"/>
      <c r="QRC47" s="19"/>
      <c r="QRD47" s="19"/>
      <c r="QRE47" s="19"/>
      <c r="QRF47" s="19"/>
      <c r="QRG47" s="19"/>
      <c r="QRH47" s="19"/>
      <c r="QRI47" s="19"/>
      <c r="QRJ47" s="19"/>
      <c r="QRK47" s="19"/>
      <c r="QRL47" s="19"/>
      <c r="QRM47" s="19"/>
      <c r="QRN47" s="19"/>
      <c r="QRO47" s="19"/>
      <c r="QRP47" s="19"/>
      <c r="QRQ47" s="19"/>
      <c r="QRR47" s="19"/>
      <c r="QRS47" s="19"/>
      <c r="QRT47" s="19"/>
      <c r="QRU47" s="19"/>
      <c r="QRV47" s="19"/>
      <c r="QRW47" s="19"/>
      <c r="QRX47" s="19"/>
      <c r="QRY47" s="19"/>
      <c r="QRZ47" s="19"/>
      <c r="QSA47" s="19"/>
      <c r="QSB47" s="19"/>
      <c r="QSC47" s="19"/>
      <c r="QSD47" s="19"/>
      <c r="QSE47" s="19"/>
      <c r="QSF47" s="19"/>
      <c r="QSG47" s="19"/>
      <c r="QSH47" s="19"/>
      <c r="QSI47" s="19"/>
      <c r="QSJ47" s="19"/>
      <c r="QSK47" s="19"/>
      <c r="QSL47" s="19"/>
      <c r="QSM47" s="19"/>
      <c r="QSN47" s="19"/>
      <c r="QSO47" s="19"/>
      <c r="QSP47" s="19"/>
      <c r="QSQ47" s="19"/>
      <c r="QSR47" s="19"/>
      <c r="QSS47" s="19"/>
      <c r="QST47" s="19"/>
      <c r="QSU47" s="19"/>
      <c r="QSV47" s="19"/>
      <c r="QSW47" s="19"/>
      <c r="QSX47" s="19"/>
      <c r="QSY47" s="19"/>
      <c r="QSZ47" s="19"/>
      <c r="QTA47" s="19"/>
      <c r="QTB47" s="19"/>
      <c r="QTC47" s="19"/>
      <c r="QTD47" s="19"/>
      <c r="QTE47" s="19"/>
      <c r="QTF47" s="19"/>
      <c r="QTG47" s="19"/>
      <c r="QTH47" s="19"/>
      <c r="QTI47" s="19"/>
      <c r="QTJ47" s="19"/>
      <c r="QTK47" s="19"/>
      <c r="QTL47" s="19"/>
      <c r="QTM47" s="19"/>
      <c r="QTN47" s="19"/>
      <c r="QTO47" s="19"/>
      <c r="QTP47" s="19"/>
      <c r="QTQ47" s="19"/>
      <c r="QTR47" s="19"/>
      <c r="QTS47" s="19"/>
      <c r="QTT47" s="19"/>
      <c r="QTU47" s="19"/>
      <c r="QTV47" s="19"/>
      <c r="QTW47" s="19"/>
      <c r="QTX47" s="19"/>
      <c r="QTY47" s="19"/>
      <c r="QTZ47" s="19"/>
      <c r="QUA47" s="19"/>
      <c r="QUB47" s="19"/>
      <c r="QUC47" s="19"/>
      <c r="QUD47" s="19"/>
      <c r="QUE47" s="19"/>
      <c r="QUF47" s="19"/>
      <c r="QUG47" s="19"/>
      <c r="QUH47" s="19"/>
      <c r="QUI47" s="19"/>
      <c r="QUJ47" s="19"/>
      <c r="QUK47" s="19"/>
      <c r="QUL47" s="19"/>
      <c r="QUM47" s="19"/>
      <c r="QUN47" s="19"/>
      <c r="QUO47" s="19"/>
      <c r="QUP47" s="19"/>
      <c r="QUQ47" s="19"/>
      <c r="QUR47" s="19"/>
      <c r="QUS47" s="19"/>
      <c r="QUT47" s="19"/>
      <c r="QUU47" s="19"/>
      <c r="QUV47" s="19"/>
      <c r="QUW47" s="19"/>
      <c r="QUX47" s="19"/>
      <c r="QUY47" s="19"/>
      <c r="QUZ47" s="19"/>
      <c r="QVA47" s="19"/>
      <c r="QVB47" s="19"/>
      <c r="QVC47" s="19"/>
      <c r="QVD47" s="19"/>
      <c r="QVE47" s="19"/>
      <c r="QVF47" s="19"/>
      <c r="QVG47" s="19"/>
      <c r="QVH47" s="19"/>
      <c r="QVI47" s="19"/>
      <c r="QVJ47" s="19"/>
      <c r="QVK47" s="19"/>
      <c r="QVL47" s="19"/>
      <c r="QVM47" s="19"/>
      <c r="QVN47" s="19"/>
      <c r="QVO47" s="19"/>
      <c r="QVP47" s="19"/>
      <c r="QVQ47" s="19"/>
      <c r="QVR47" s="19"/>
      <c r="QVS47" s="19"/>
      <c r="QVT47" s="19"/>
      <c r="QVU47" s="19"/>
      <c r="QVV47" s="19"/>
      <c r="QVW47" s="19"/>
      <c r="QVX47" s="19"/>
      <c r="QVY47" s="19"/>
      <c r="QVZ47" s="19"/>
      <c r="QWA47" s="19"/>
      <c r="QWB47" s="19"/>
      <c r="QWC47" s="19"/>
      <c r="QWD47" s="19"/>
      <c r="QWE47" s="19"/>
      <c r="QWF47" s="19"/>
      <c r="QWG47" s="19"/>
      <c r="QWH47" s="19"/>
      <c r="QWI47" s="19"/>
      <c r="QWJ47" s="19"/>
      <c r="QWK47" s="19"/>
      <c r="QWL47" s="19"/>
      <c r="QWM47" s="19"/>
      <c r="QWN47" s="19"/>
      <c r="QWO47" s="19"/>
      <c r="QWP47" s="19"/>
      <c r="QWQ47" s="19"/>
      <c r="QWR47" s="19"/>
      <c r="QWS47" s="19"/>
      <c r="QWT47" s="19"/>
      <c r="QWU47" s="19"/>
      <c r="QWV47" s="19"/>
      <c r="QWW47" s="19"/>
      <c r="QWX47" s="19"/>
      <c r="QWY47" s="19"/>
      <c r="QWZ47" s="19"/>
      <c r="QXA47" s="19"/>
      <c r="QXB47" s="19"/>
      <c r="QXC47" s="19"/>
      <c r="QXD47" s="19"/>
      <c r="QXE47" s="19"/>
      <c r="QXF47" s="19"/>
      <c r="QXG47" s="19"/>
      <c r="QXH47" s="19"/>
      <c r="QXI47" s="19"/>
      <c r="QXJ47" s="19"/>
      <c r="QXK47" s="19"/>
      <c r="QXL47" s="19"/>
      <c r="QXM47" s="19"/>
      <c r="QXN47" s="19"/>
      <c r="QXO47" s="19"/>
      <c r="QXP47" s="19"/>
      <c r="QXQ47" s="19"/>
      <c r="QXR47" s="19"/>
      <c r="QXS47" s="19"/>
      <c r="QXT47" s="19"/>
      <c r="QXU47" s="19"/>
      <c r="QXV47" s="19"/>
      <c r="QXW47" s="19"/>
      <c r="QXX47" s="19"/>
      <c r="QXY47" s="19"/>
      <c r="QXZ47" s="19"/>
      <c r="QYA47" s="19"/>
      <c r="QYB47" s="19"/>
      <c r="QYC47" s="19"/>
      <c r="QYD47" s="19"/>
      <c r="QYE47" s="19"/>
      <c r="QYF47" s="19"/>
      <c r="QYG47" s="19"/>
      <c r="QYH47" s="19"/>
      <c r="QYI47" s="19"/>
      <c r="QYJ47" s="19"/>
      <c r="QYK47" s="19"/>
      <c r="QYL47" s="19"/>
      <c r="QYM47" s="19"/>
      <c r="QYN47" s="19"/>
      <c r="QYO47" s="19"/>
      <c r="QYP47" s="19"/>
      <c r="QYQ47" s="19"/>
      <c r="QYR47" s="19"/>
      <c r="QYS47" s="19"/>
      <c r="QYT47" s="19"/>
      <c r="QYU47" s="19"/>
      <c r="QYV47" s="19"/>
      <c r="QYW47" s="19"/>
      <c r="QYX47" s="19"/>
      <c r="QYY47" s="19"/>
      <c r="QYZ47" s="19"/>
      <c r="QZA47" s="19"/>
      <c r="QZB47" s="19"/>
      <c r="QZC47" s="19"/>
      <c r="QZD47" s="19"/>
      <c r="QZE47" s="19"/>
      <c r="QZF47" s="19"/>
      <c r="QZG47" s="19"/>
      <c r="QZH47" s="19"/>
      <c r="QZI47" s="19"/>
      <c r="QZJ47" s="19"/>
      <c r="QZK47" s="19"/>
      <c r="QZL47" s="19"/>
      <c r="QZM47" s="19"/>
      <c r="QZN47" s="19"/>
      <c r="QZO47" s="19"/>
      <c r="QZP47" s="19"/>
      <c r="QZQ47" s="19"/>
      <c r="QZR47" s="19"/>
      <c r="QZS47" s="19"/>
      <c r="QZT47" s="19"/>
      <c r="QZU47" s="19"/>
      <c r="QZV47" s="19"/>
      <c r="QZW47" s="19"/>
      <c r="QZX47" s="19"/>
      <c r="QZY47" s="19"/>
      <c r="QZZ47" s="19"/>
      <c r="RAA47" s="19"/>
      <c r="RAB47" s="19"/>
      <c r="RAC47" s="19"/>
      <c r="RAD47" s="19"/>
      <c r="RAE47" s="19"/>
      <c r="RAF47" s="19"/>
      <c r="RAG47" s="19"/>
      <c r="RAH47" s="19"/>
      <c r="RAI47" s="19"/>
      <c r="RAJ47" s="19"/>
      <c r="RAK47" s="19"/>
      <c r="RAL47" s="19"/>
      <c r="RAM47" s="19"/>
      <c r="RAN47" s="19"/>
      <c r="RAO47" s="19"/>
      <c r="RAP47" s="19"/>
      <c r="RAQ47" s="19"/>
      <c r="RAR47" s="19"/>
      <c r="RAS47" s="19"/>
      <c r="RAT47" s="19"/>
      <c r="RAU47" s="19"/>
      <c r="RAV47" s="19"/>
      <c r="RAW47" s="19"/>
      <c r="RAX47" s="19"/>
      <c r="RAY47" s="19"/>
      <c r="RAZ47" s="19"/>
      <c r="RBA47" s="19"/>
      <c r="RBB47" s="19"/>
      <c r="RBC47" s="19"/>
      <c r="RBD47" s="19"/>
      <c r="RBE47" s="19"/>
      <c r="RBF47" s="19"/>
      <c r="RBG47" s="19"/>
      <c r="RBH47" s="19"/>
      <c r="RBI47" s="19"/>
      <c r="RBJ47" s="19"/>
      <c r="RBK47" s="19"/>
      <c r="RBL47" s="19"/>
      <c r="RBM47" s="19"/>
      <c r="RBN47" s="19"/>
      <c r="RBO47" s="19"/>
      <c r="RBP47" s="19"/>
      <c r="RBQ47" s="19"/>
      <c r="RBR47" s="19"/>
      <c r="RBS47" s="19"/>
      <c r="RBT47" s="19"/>
      <c r="RBU47" s="19"/>
      <c r="RBV47" s="19"/>
      <c r="RBW47" s="19"/>
      <c r="RBX47" s="19"/>
      <c r="RBY47" s="19"/>
      <c r="RBZ47" s="19"/>
      <c r="RCA47" s="19"/>
      <c r="RCB47" s="19"/>
      <c r="RCC47" s="19"/>
      <c r="RCD47" s="19"/>
      <c r="RCE47" s="19"/>
      <c r="RCF47" s="19"/>
      <c r="RCG47" s="19"/>
      <c r="RCH47" s="19"/>
      <c r="RCI47" s="19"/>
      <c r="RCJ47" s="19"/>
      <c r="RCK47" s="19"/>
      <c r="RCL47" s="19"/>
      <c r="RCM47" s="19"/>
      <c r="RCN47" s="19"/>
      <c r="RCO47" s="19"/>
      <c r="RCP47" s="19"/>
      <c r="RCQ47" s="19"/>
      <c r="RCR47" s="19"/>
      <c r="RCS47" s="19"/>
      <c r="RCT47" s="19"/>
      <c r="RCU47" s="19"/>
      <c r="RCV47" s="19"/>
      <c r="RCW47" s="19"/>
      <c r="RCX47" s="19"/>
      <c r="RCY47" s="19"/>
      <c r="RCZ47" s="19"/>
      <c r="RDA47" s="19"/>
      <c r="RDB47" s="19"/>
      <c r="RDC47" s="19"/>
      <c r="RDD47" s="19"/>
      <c r="RDE47" s="19"/>
      <c r="RDF47" s="19"/>
      <c r="RDG47" s="19"/>
      <c r="RDH47" s="19"/>
      <c r="RDI47" s="19"/>
      <c r="RDJ47" s="19"/>
      <c r="RDK47" s="19"/>
      <c r="RDL47" s="19"/>
      <c r="RDM47" s="19"/>
      <c r="RDN47" s="19"/>
      <c r="RDO47" s="19"/>
      <c r="RDP47" s="19"/>
      <c r="RDQ47" s="19"/>
      <c r="RDR47" s="19"/>
      <c r="RDS47" s="19"/>
      <c r="RDT47" s="19"/>
      <c r="RDU47" s="19"/>
      <c r="RDV47" s="19"/>
      <c r="RDW47" s="19"/>
      <c r="RDX47" s="19"/>
      <c r="RDY47" s="19"/>
      <c r="RDZ47" s="19"/>
      <c r="REA47" s="19"/>
      <c r="REB47" s="19"/>
      <c r="REC47" s="19"/>
      <c r="RED47" s="19"/>
      <c r="REE47" s="19"/>
      <c r="REF47" s="19"/>
      <c r="REG47" s="19"/>
      <c r="REH47" s="19"/>
      <c r="REI47" s="19"/>
      <c r="REJ47" s="19"/>
      <c r="REK47" s="19"/>
      <c r="REL47" s="19"/>
      <c r="REM47" s="19"/>
      <c r="REN47" s="19"/>
      <c r="REO47" s="19"/>
      <c r="REP47" s="19"/>
      <c r="REQ47" s="19"/>
      <c r="RER47" s="19"/>
      <c r="RES47" s="19"/>
      <c r="RET47" s="19"/>
      <c r="REU47" s="19"/>
      <c r="REV47" s="19"/>
      <c r="REW47" s="19"/>
      <c r="REX47" s="19"/>
      <c r="REY47" s="19"/>
      <c r="REZ47" s="19"/>
      <c r="RFA47" s="19"/>
      <c r="RFB47" s="19"/>
      <c r="RFC47" s="19"/>
      <c r="RFD47" s="19"/>
      <c r="RFE47" s="19"/>
      <c r="RFF47" s="19"/>
      <c r="RFG47" s="19"/>
      <c r="RFH47" s="19"/>
      <c r="RFI47" s="19"/>
      <c r="RFJ47" s="19"/>
      <c r="RFK47" s="19"/>
      <c r="RFL47" s="19"/>
      <c r="RFM47" s="19"/>
      <c r="RFN47" s="19"/>
      <c r="RFO47" s="19"/>
      <c r="RFP47" s="19"/>
      <c r="RFQ47" s="19"/>
      <c r="RFR47" s="19"/>
      <c r="RFS47" s="19"/>
      <c r="RFT47" s="19"/>
      <c r="RFU47" s="19"/>
      <c r="RFV47" s="19"/>
      <c r="RFW47" s="19"/>
      <c r="RFX47" s="19"/>
      <c r="RFY47" s="19"/>
      <c r="RFZ47" s="19"/>
      <c r="RGA47" s="19"/>
      <c r="RGB47" s="19"/>
      <c r="RGC47" s="19"/>
      <c r="RGD47" s="19"/>
      <c r="RGE47" s="19"/>
      <c r="RGF47" s="19"/>
      <c r="RGG47" s="19"/>
      <c r="RGH47" s="19"/>
      <c r="RGI47" s="19"/>
      <c r="RGJ47" s="19"/>
      <c r="RGK47" s="19"/>
      <c r="RGL47" s="19"/>
      <c r="RGM47" s="19"/>
      <c r="RGN47" s="19"/>
      <c r="RGO47" s="19"/>
      <c r="RGP47" s="19"/>
      <c r="RGQ47" s="19"/>
      <c r="RGR47" s="19"/>
      <c r="RGS47" s="19"/>
      <c r="RGT47" s="19"/>
      <c r="RGU47" s="19"/>
      <c r="RGV47" s="19"/>
      <c r="RGW47" s="19"/>
      <c r="RGX47" s="19"/>
      <c r="RGY47" s="19"/>
      <c r="RGZ47" s="19"/>
      <c r="RHA47" s="19"/>
      <c r="RHB47" s="19"/>
      <c r="RHC47" s="19"/>
      <c r="RHD47" s="19"/>
      <c r="RHE47" s="19"/>
      <c r="RHF47" s="19"/>
      <c r="RHG47" s="19"/>
      <c r="RHH47" s="19"/>
      <c r="RHI47" s="19"/>
      <c r="RHJ47" s="19"/>
      <c r="RHK47" s="19"/>
      <c r="RHL47" s="19"/>
      <c r="RHM47" s="19"/>
      <c r="RHN47" s="19"/>
      <c r="RHO47" s="19"/>
      <c r="RHP47" s="19"/>
      <c r="RHQ47" s="19"/>
      <c r="RHR47" s="19"/>
      <c r="RHS47" s="19"/>
      <c r="RHT47" s="19"/>
      <c r="RHU47" s="19"/>
      <c r="RHV47" s="19"/>
      <c r="RHW47" s="19"/>
      <c r="RHX47" s="19"/>
      <c r="RHY47" s="19"/>
      <c r="RHZ47" s="19"/>
      <c r="RIA47" s="19"/>
      <c r="RIB47" s="19"/>
      <c r="RIC47" s="19"/>
      <c r="RID47" s="19"/>
      <c r="RIE47" s="19"/>
      <c r="RIF47" s="19"/>
      <c r="RIG47" s="19"/>
      <c r="RIH47" s="19"/>
      <c r="RII47" s="19"/>
      <c r="RIJ47" s="19"/>
      <c r="RIK47" s="19"/>
      <c r="RIL47" s="19"/>
      <c r="RIM47" s="19"/>
      <c r="RIN47" s="19"/>
      <c r="RIO47" s="19"/>
      <c r="RIP47" s="19"/>
      <c r="RIQ47" s="19"/>
      <c r="RIR47" s="19"/>
      <c r="RIS47" s="19"/>
      <c r="RIT47" s="19"/>
      <c r="RIU47" s="19"/>
      <c r="RIV47" s="19"/>
      <c r="RIW47" s="19"/>
      <c r="RIX47" s="19"/>
      <c r="RIY47" s="19"/>
      <c r="RIZ47" s="19"/>
      <c r="RJA47" s="19"/>
      <c r="RJB47" s="19"/>
      <c r="RJC47" s="19"/>
      <c r="RJD47" s="19"/>
      <c r="RJE47" s="19"/>
      <c r="RJF47" s="19"/>
      <c r="RJG47" s="19"/>
      <c r="RJH47" s="19"/>
      <c r="RJI47" s="19"/>
      <c r="RJJ47" s="19"/>
      <c r="RJK47" s="19"/>
      <c r="RJL47" s="19"/>
      <c r="RJM47" s="19"/>
      <c r="RJN47" s="19"/>
      <c r="RJO47" s="19"/>
      <c r="RJP47" s="19"/>
      <c r="RJQ47" s="19"/>
      <c r="RJR47" s="19"/>
      <c r="RJS47" s="19"/>
      <c r="RJT47" s="19"/>
      <c r="RJU47" s="19"/>
      <c r="RJV47" s="19"/>
      <c r="RJW47" s="19"/>
      <c r="RJX47" s="19"/>
      <c r="RJY47" s="19"/>
      <c r="RJZ47" s="19"/>
      <c r="RKA47" s="19"/>
      <c r="RKB47" s="19"/>
      <c r="RKC47" s="19"/>
      <c r="RKD47" s="19"/>
      <c r="RKE47" s="19"/>
      <c r="RKF47" s="19"/>
      <c r="RKG47" s="19"/>
      <c r="RKH47" s="19"/>
      <c r="RKI47" s="19"/>
      <c r="RKJ47" s="19"/>
      <c r="RKK47" s="19"/>
      <c r="RKL47" s="19"/>
      <c r="RKM47" s="19"/>
      <c r="RKN47" s="19"/>
      <c r="RKO47" s="19"/>
      <c r="RKP47" s="19"/>
      <c r="RKQ47" s="19"/>
      <c r="RKR47" s="19"/>
      <c r="RKS47" s="19"/>
      <c r="RKT47" s="19"/>
      <c r="RKU47" s="19"/>
      <c r="RKV47" s="19"/>
      <c r="RKW47" s="19"/>
      <c r="RKX47" s="19"/>
      <c r="RKY47" s="19"/>
      <c r="RKZ47" s="19"/>
      <c r="RLA47" s="19"/>
      <c r="RLB47" s="19"/>
      <c r="RLC47" s="19"/>
      <c r="RLD47" s="19"/>
      <c r="RLE47" s="19"/>
      <c r="RLF47" s="19"/>
      <c r="RLG47" s="19"/>
      <c r="RLH47" s="19"/>
      <c r="RLI47" s="19"/>
      <c r="RLJ47" s="19"/>
      <c r="RLK47" s="19"/>
      <c r="RLL47" s="19"/>
      <c r="RLM47" s="19"/>
      <c r="RLN47" s="19"/>
      <c r="RLO47" s="19"/>
      <c r="RLP47" s="19"/>
      <c r="RLQ47" s="19"/>
      <c r="RLR47" s="19"/>
      <c r="RLS47" s="19"/>
      <c r="RLT47" s="19"/>
      <c r="RLU47" s="19"/>
      <c r="RLV47" s="19"/>
      <c r="RLW47" s="19"/>
      <c r="RLX47" s="19"/>
      <c r="RLY47" s="19"/>
      <c r="RLZ47" s="19"/>
      <c r="RMA47" s="19"/>
      <c r="RMB47" s="19"/>
      <c r="RMC47" s="19"/>
      <c r="RMD47" s="19"/>
      <c r="RME47" s="19"/>
      <c r="RMF47" s="19"/>
      <c r="RMG47" s="19"/>
      <c r="RMH47" s="19"/>
      <c r="RMI47" s="19"/>
      <c r="RMJ47" s="19"/>
      <c r="RMK47" s="19"/>
      <c r="RML47" s="19"/>
      <c r="RMM47" s="19"/>
      <c r="RMN47" s="19"/>
      <c r="RMO47" s="19"/>
      <c r="RMP47" s="19"/>
      <c r="RMQ47" s="19"/>
      <c r="RMR47" s="19"/>
      <c r="RMS47" s="19"/>
      <c r="RMT47" s="19"/>
      <c r="RMU47" s="19"/>
      <c r="RMV47" s="19"/>
      <c r="RMW47" s="19"/>
      <c r="RMX47" s="19"/>
      <c r="RMY47" s="19"/>
      <c r="RMZ47" s="19"/>
      <c r="RNA47" s="19"/>
      <c r="RNB47" s="19"/>
      <c r="RNC47" s="19"/>
      <c r="RND47" s="19"/>
      <c r="RNE47" s="19"/>
      <c r="RNF47" s="19"/>
      <c r="RNG47" s="19"/>
      <c r="RNH47" s="19"/>
      <c r="RNI47" s="19"/>
      <c r="RNJ47" s="19"/>
      <c r="RNK47" s="19"/>
      <c r="RNL47" s="19"/>
      <c r="RNM47" s="19"/>
      <c r="RNN47" s="19"/>
      <c r="RNO47" s="19"/>
      <c r="RNP47" s="19"/>
      <c r="RNQ47" s="19"/>
      <c r="RNR47" s="19"/>
      <c r="RNS47" s="19"/>
      <c r="RNT47" s="19"/>
      <c r="RNU47" s="19"/>
      <c r="RNV47" s="19"/>
      <c r="RNW47" s="19"/>
      <c r="RNX47" s="19"/>
      <c r="RNY47" s="19"/>
      <c r="RNZ47" s="19"/>
      <c r="ROA47" s="19"/>
      <c r="ROB47" s="19"/>
      <c r="ROC47" s="19"/>
      <c r="ROD47" s="19"/>
      <c r="ROE47" s="19"/>
      <c r="ROF47" s="19"/>
      <c r="ROG47" s="19"/>
      <c r="ROH47" s="19"/>
      <c r="ROI47" s="19"/>
      <c r="ROJ47" s="19"/>
      <c r="ROK47" s="19"/>
      <c r="ROL47" s="19"/>
      <c r="ROM47" s="19"/>
      <c r="RON47" s="19"/>
      <c r="ROO47" s="19"/>
      <c r="ROP47" s="19"/>
      <c r="ROQ47" s="19"/>
      <c r="ROR47" s="19"/>
      <c r="ROS47" s="19"/>
      <c r="ROT47" s="19"/>
      <c r="ROU47" s="19"/>
      <c r="ROV47" s="19"/>
      <c r="ROW47" s="19"/>
      <c r="ROX47" s="19"/>
      <c r="ROY47" s="19"/>
      <c r="ROZ47" s="19"/>
      <c r="RPA47" s="19"/>
      <c r="RPB47" s="19"/>
      <c r="RPC47" s="19"/>
      <c r="RPD47" s="19"/>
      <c r="RPE47" s="19"/>
      <c r="RPF47" s="19"/>
      <c r="RPG47" s="19"/>
      <c r="RPH47" s="19"/>
      <c r="RPI47" s="19"/>
      <c r="RPJ47" s="19"/>
      <c r="RPK47" s="19"/>
      <c r="RPL47" s="19"/>
      <c r="RPM47" s="19"/>
      <c r="RPN47" s="19"/>
      <c r="RPO47" s="19"/>
      <c r="RPP47" s="19"/>
      <c r="RPQ47" s="19"/>
      <c r="RPR47" s="19"/>
      <c r="RPS47" s="19"/>
      <c r="RPT47" s="19"/>
      <c r="RPU47" s="19"/>
      <c r="RPV47" s="19"/>
      <c r="RPW47" s="19"/>
      <c r="RPX47" s="19"/>
      <c r="RPY47" s="19"/>
      <c r="RPZ47" s="19"/>
      <c r="RQA47" s="19"/>
      <c r="RQB47" s="19"/>
      <c r="RQC47" s="19"/>
      <c r="RQD47" s="19"/>
      <c r="RQE47" s="19"/>
      <c r="RQF47" s="19"/>
      <c r="RQG47" s="19"/>
      <c r="RQH47" s="19"/>
      <c r="RQI47" s="19"/>
      <c r="RQJ47" s="19"/>
      <c r="RQK47" s="19"/>
      <c r="RQL47" s="19"/>
      <c r="RQM47" s="19"/>
      <c r="RQN47" s="19"/>
      <c r="RQO47" s="19"/>
      <c r="RQP47" s="19"/>
      <c r="RQQ47" s="19"/>
      <c r="RQR47" s="19"/>
      <c r="RQS47" s="19"/>
      <c r="RQT47" s="19"/>
      <c r="RQU47" s="19"/>
      <c r="RQV47" s="19"/>
      <c r="RQW47" s="19"/>
      <c r="RQX47" s="19"/>
      <c r="RQY47" s="19"/>
      <c r="RQZ47" s="19"/>
      <c r="RRA47" s="19"/>
      <c r="RRB47" s="19"/>
      <c r="RRC47" s="19"/>
      <c r="RRD47" s="19"/>
      <c r="RRE47" s="19"/>
      <c r="RRF47" s="19"/>
      <c r="RRG47" s="19"/>
      <c r="RRH47" s="19"/>
      <c r="RRI47" s="19"/>
      <c r="RRJ47" s="19"/>
      <c r="RRK47" s="19"/>
      <c r="RRL47" s="19"/>
      <c r="RRM47" s="19"/>
      <c r="RRN47" s="19"/>
      <c r="RRO47" s="19"/>
      <c r="RRP47" s="19"/>
      <c r="RRQ47" s="19"/>
      <c r="RRR47" s="19"/>
      <c r="RRS47" s="19"/>
      <c r="RRT47" s="19"/>
      <c r="RRU47" s="19"/>
      <c r="RRV47" s="19"/>
      <c r="RRW47" s="19"/>
      <c r="RRX47" s="19"/>
      <c r="RRY47" s="19"/>
      <c r="RRZ47" s="19"/>
      <c r="RSA47" s="19"/>
      <c r="RSB47" s="19"/>
      <c r="RSC47" s="19"/>
      <c r="RSD47" s="19"/>
      <c r="RSE47" s="19"/>
      <c r="RSF47" s="19"/>
      <c r="RSG47" s="19"/>
      <c r="RSH47" s="19"/>
      <c r="RSI47" s="19"/>
      <c r="RSJ47" s="19"/>
      <c r="RSK47" s="19"/>
      <c r="RSL47" s="19"/>
      <c r="RSM47" s="19"/>
      <c r="RSN47" s="19"/>
      <c r="RSO47" s="19"/>
      <c r="RSP47" s="19"/>
      <c r="RSQ47" s="19"/>
      <c r="RSR47" s="19"/>
      <c r="RSS47" s="19"/>
      <c r="RST47" s="19"/>
      <c r="RSU47" s="19"/>
      <c r="RSV47" s="19"/>
      <c r="RSW47" s="19"/>
      <c r="RSX47" s="19"/>
      <c r="RSY47" s="19"/>
      <c r="RSZ47" s="19"/>
      <c r="RTA47" s="19"/>
      <c r="RTB47" s="19"/>
      <c r="RTC47" s="19"/>
      <c r="RTD47" s="19"/>
      <c r="RTE47" s="19"/>
      <c r="RTF47" s="19"/>
      <c r="RTG47" s="19"/>
      <c r="RTH47" s="19"/>
      <c r="RTI47" s="19"/>
      <c r="RTJ47" s="19"/>
      <c r="RTK47" s="19"/>
      <c r="RTL47" s="19"/>
      <c r="RTM47" s="19"/>
      <c r="RTN47" s="19"/>
      <c r="RTO47" s="19"/>
      <c r="RTP47" s="19"/>
      <c r="RTQ47" s="19"/>
      <c r="RTR47" s="19"/>
      <c r="RTS47" s="19"/>
      <c r="RTT47" s="19"/>
      <c r="RTU47" s="19"/>
      <c r="RTV47" s="19"/>
      <c r="RTW47" s="19"/>
      <c r="RTX47" s="19"/>
      <c r="RTY47" s="19"/>
      <c r="RTZ47" s="19"/>
      <c r="RUA47" s="19"/>
      <c r="RUB47" s="19"/>
      <c r="RUC47" s="19"/>
      <c r="RUD47" s="19"/>
      <c r="RUE47" s="19"/>
      <c r="RUF47" s="19"/>
      <c r="RUG47" s="19"/>
      <c r="RUH47" s="19"/>
      <c r="RUI47" s="19"/>
      <c r="RUJ47" s="19"/>
      <c r="RUK47" s="19"/>
      <c r="RUL47" s="19"/>
      <c r="RUM47" s="19"/>
      <c r="RUN47" s="19"/>
      <c r="RUO47" s="19"/>
      <c r="RUP47" s="19"/>
      <c r="RUQ47" s="19"/>
      <c r="RUR47" s="19"/>
      <c r="RUS47" s="19"/>
      <c r="RUT47" s="19"/>
      <c r="RUU47" s="19"/>
      <c r="RUV47" s="19"/>
      <c r="RUW47" s="19"/>
      <c r="RUX47" s="19"/>
      <c r="RUY47" s="19"/>
      <c r="RUZ47" s="19"/>
      <c r="RVA47" s="19"/>
      <c r="RVB47" s="19"/>
      <c r="RVC47" s="19"/>
      <c r="RVD47" s="19"/>
      <c r="RVE47" s="19"/>
      <c r="RVF47" s="19"/>
      <c r="RVG47" s="19"/>
      <c r="RVH47" s="19"/>
      <c r="RVI47" s="19"/>
      <c r="RVJ47" s="19"/>
      <c r="RVK47" s="19"/>
      <c r="RVL47" s="19"/>
      <c r="RVM47" s="19"/>
      <c r="RVN47" s="19"/>
      <c r="RVO47" s="19"/>
      <c r="RVP47" s="19"/>
      <c r="RVQ47" s="19"/>
      <c r="RVR47" s="19"/>
      <c r="RVS47" s="19"/>
      <c r="RVT47" s="19"/>
      <c r="RVU47" s="19"/>
      <c r="RVV47" s="19"/>
      <c r="RVW47" s="19"/>
      <c r="RVX47" s="19"/>
      <c r="RVY47" s="19"/>
      <c r="RVZ47" s="19"/>
      <c r="RWA47" s="19"/>
      <c r="RWB47" s="19"/>
      <c r="RWC47" s="19"/>
      <c r="RWD47" s="19"/>
      <c r="RWE47" s="19"/>
      <c r="RWF47" s="19"/>
      <c r="RWG47" s="19"/>
      <c r="RWH47" s="19"/>
      <c r="RWI47" s="19"/>
      <c r="RWJ47" s="19"/>
      <c r="RWK47" s="19"/>
      <c r="RWL47" s="19"/>
      <c r="RWM47" s="19"/>
      <c r="RWN47" s="19"/>
      <c r="RWO47" s="19"/>
      <c r="RWP47" s="19"/>
      <c r="RWQ47" s="19"/>
      <c r="RWR47" s="19"/>
      <c r="RWS47" s="19"/>
      <c r="RWT47" s="19"/>
      <c r="RWU47" s="19"/>
      <c r="RWV47" s="19"/>
      <c r="RWW47" s="19"/>
      <c r="RWX47" s="19"/>
      <c r="RWY47" s="19"/>
      <c r="RWZ47" s="19"/>
      <c r="RXA47" s="19"/>
      <c r="RXB47" s="19"/>
      <c r="RXC47" s="19"/>
      <c r="RXD47" s="19"/>
      <c r="RXE47" s="19"/>
      <c r="RXF47" s="19"/>
      <c r="RXG47" s="19"/>
      <c r="RXH47" s="19"/>
      <c r="RXI47" s="19"/>
      <c r="RXJ47" s="19"/>
      <c r="RXK47" s="19"/>
      <c r="RXL47" s="19"/>
      <c r="RXM47" s="19"/>
      <c r="RXN47" s="19"/>
      <c r="RXO47" s="19"/>
      <c r="RXP47" s="19"/>
      <c r="RXQ47" s="19"/>
      <c r="RXR47" s="19"/>
      <c r="RXS47" s="19"/>
      <c r="RXT47" s="19"/>
      <c r="RXU47" s="19"/>
      <c r="RXV47" s="19"/>
      <c r="RXW47" s="19"/>
      <c r="RXX47" s="19"/>
      <c r="RXY47" s="19"/>
      <c r="RXZ47" s="19"/>
      <c r="RYA47" s="19"/>
      <c r="RYB47" s="19"/>
      <c r="RYC47" s="19"/>
      <c r="RYD47" s="19"/>
      <c r="RYE47" s="19"/>
      <c r="RYF47" s="19"/>
      <c r="RYG47" s="19"/>
      <c r="RYH47" s="19"/>
      <c r="RYI47" s="19"/>
      <c r="RYJ47" s="19"/>
      <c r="RYK47" s="19"/>
      <c r="RYL47" s="19"/>
      <c r="RYM47" s="19"/>
      <c r="RYN47" s="19"/>
      <c r="RYO47" s="19"/>
      <c r="RYP47" s="19"/>
      <c r="RYQ47" s="19"/>
      <c r="RYR47" s="19"/>
      <c r="RYS47" s="19"/>
      <c r="RYT47" s="19"/>
      <c r="RYU47" s="19"/>
      <c r="RYV47" s="19"/>
      <c r="RYW47" s="19"/>
      <c r="RYX47" s="19"/>
      <c r="RYY47" s="19"/>
      <c r="RYZ47" s="19"/>
      <c r="RZA47" s="19"/>
      <c r="RZB47" s="19"/>
      <c r="RZC47" s="19"/>
      <c r="RZD47" s="19"/>
      <c r="RZE47" s="19"/>
      <c r="RZF47" s="19"/>
      <c r="RZG47" s="19"/>
      <c r="RZH47" s="19"/>
      <c r="RZI47" s="19"/>
      <c r="RZJ47" s="19"/>
      <c r="RZK47" s="19"/>
      <c r="RZL47" s="19"/>
      <c r="RZM47" s="19"/>
      <c r="RZN47" s="19"/>
      <c r="RZO47" s="19"/>
      <c r="RZP47" s="19"/>
      <c r="RZQ47" s="19"/>
      <c r="RZR47" s="19"/>
      <c r="RZS47" s="19"/>
      <c r="RZT47" s="19"/>
      <c r="RZU47" s="19"/>
      <c r="RZV47" s="19"/>
      <c r="RZW47" s="19"/>
      <c r="RZX47" s="19"/>
      <c r="RZY47" s="19"/>
      <c r="RZZ47" s="19"/>
      <c r="SAA47" s="19"/>
      <c r="SAB47" s="19"/>
      <c r="SAC47" s="19"/>
      <c r="SAD47" s="19"/>
      <c r="SAE47" s="19"/>
      <c r="SAF47" s="19"/>
      <c r="SAG47" s="19"/>
      <c r="SAH47" s="19"/>
      <c r="SAI47" s="19"/>
      <c r="SAJ47" s="19"/>
      <c r="SAK47" s="19"/>
      <c r="SAL47" s="19"/>
      <c r="SAM47" s="19"/>
      <c r="SAN47" s="19"/>
      <c r="SAO47" s="19"/>
      <c r="SAP47" s="19"/>
      <c r="SAQ47" s="19"/>
      <c r="SAR47" s="19"/>
      <c r="SAS47" s="19"/>
      <c r="SAT47" s="19"/>
      <c r="SAU47" s="19"/>
      <c r="SAV47" s="19"/>
      <c r="SAW47" s="19"/>
      <c r="SAX47" s="19"/>
      <c r="SAY47" s="19"/>
      <c r="SAZ47" s="19"/>
      <c r="SBA47" s="19"/>
      <c r="SBB47" s="19"/>
      <c r="SBC47" s="19"/>
      <c r="SBD47" s="19"/>
      <c r="SBE47" s="19"/>
      <c r="SBF47" s="19"/>
      <c r="SBG47" s="19"/>
      <c r="SBH47" s="19"/>
      <c r="SBI47" s="19"/>
      <c r="SBJ47" s="19"/>
      <c r="SBK47" s="19"/>
      <c r="SBL47" s="19"/>
      <c r="SBM47" s="19"/>
      <c r="SBN47" s="19"/>
      <c r="SBO47" s="19"/>
      <c r="SBP47" s="19"/>
      <c r="SBQ47" s="19"/>
      <c r="SBR47" s="19"/>
      <c r="SBS47" s="19"/>
      <c r="SBT47" s="19"/>
      <c r="SBU47" s="19"/>
      <c r="SBV47" s="19"/>
      <c r="SBW47" s="19"/>
      <c r="SBX47" s="19"/>
      <c r="SBY47" s="19"/>
      <c r="SBZ47" s="19"/>
      <c r="SCA47" s="19"/>
      <c r="SCB47" s="19"/>
      <c r="SCC47" s="19"/>
      <c r="SCD47" s="19"/>
      <c r="SCE47" s="19"/>
      <c r="SCF47" s="19"/>
      <c r="SCG47" s="19"/>
      <c r="SCH47" s="19"/>
      <c r="SCI47" s="19"/>
      <c r="SCJ47" s="19"/>
      <c r="SCK47" s="19"/>
      <c r="SCL47" s="19"/>
      <c r="SCM47" s="19"/>
      <c r="SCN47" s="19"/>
      <c r="SCO47" s="19"/>
      <c r="SCP47" s="19"/>
      <c r="SCQ47" s="19"/>
      <c r="SCR47" s="19"/>
      <c r="SCS47" s="19"/>
      <c r="SCT47" s="19"/>
      <c r="SCU47" s="19"/>
      <c r="SCV47" s="19"/>
      <c r="SCW47" s="19"/>
      <c r="SCX47" s="19"/>
      <c r="SCY47" s="19"/>
      <c r="SCZ47" s="19"/>
      <c r="SDA47" s="19"/>
      <c r="SDB47" s="19"/>
      <c r="SDC47" s="19"/>
      <c r="SDD47" s="19"/>
      <c r="SDE47" s="19"/>
      <c r="SDF47" s="19"/>
      <c r="SDG47" s="19"/>
      <c r="SDH47" s="19"/>
      <c r="SDI47" s="19"/>
      <c r="SDJ47" s="19"/>
      <c r="SDK47" s="19"/>
      <c r="SDL47" s="19"/>
      <c r="SDM47" s="19"/>
      <c r="SDN47" s="19"/>
      <c r="SDO47" s="19"/>
      <c r="SDP47" s="19"/>
      <c r="SDQ47" s="19"/>
      <c r="SDR47" s="19"/>
      <c r="SDS47" s="19"/>
      <c r="SDT47" s="19"/>
      <c r="SDU47" s="19"/>
      <c r="SDV47" s="19"/>
      <c r="SDW47" s="19"/>
      <c r="SDX47" s="19"/>
      <c r="SDY47" s="19"/>
      <c r="SDZ47" s="19"/>
      <c r="SEA47" s="19"/>
      <c r="SEB47" s="19"/>
      <c r="SEC47" s="19"/>
      <c r="SED47" s="19"/>
      <c r="SEE47" s="19"/>
      <c r="SEF47" s="19"/>
      <c r="SEG47" s="19"/>
      <c r="SEH47" s="19"/>
      <c r="SEI47" s="19"/>
      <c r="SEJ47" s="19"/>
      <c r="SEK47" s="19"/>
      <c r="SEL47" s="19"/>
      <c r="SEM47" s="19"/>
      <c r="SEN47" s="19"/>
      <c r="SEO47" s="19"/>
      <c r="SEP47" s="19"/>
      <c r="SEQ47" s="19"/>
      <c r="SER47" s="19"/>
      <c r="SES47" s="19"/>
      <c r="SET47" s="19"/>
      <c r="SEU47" s="19"/>
      <c r="SEV47" s="19"/>
      <c r="SEW47" s="19"/>
      <c r="SEX47" s="19"/>
      <c r="SEY47" s="19"/>
      <c r="SEZ47" s="19"/>
      <c r="SFA47" s="19"/>
      <c r="SFB47" s="19"/>
      <c r="SFC47" s="19"/>
      <c r="SFD47" s="19"/>
      <c r="SFE47" s="19"/>
      <c r="SFF47" s="19"/>
      <c r="SFG47" s="19"/>
      <c r="SFH47" s="19"/>
      <c r="SFI47" s="19"/>
      <c r="SFJ47" s="19"/>
      <c r="SFK47" s="19"/>
      <c r="SFL47" s="19"/>
      <c r="SFM47" s="19"/>
      <c r="SFN47" s="19"/>
      <c r="SFO47" s="19"/>
      <c r="SFP47" s="19"/>
      <c r="SFQ47" s="19"/>
      <c r="SFR47" s="19"/>
      <c r="SFS47" s="19"/>
      <c r="SFT47" s="19"/>
      <c r="SFU47" s="19"/>
      <c r="SFV47" s="19"/>
      <c r="SFW47" s="19"/>
      <c r="SFX47" s="19"/>
      <c r="SFY47" s="19"/>
      <c r="SFZ47" s="19"/>
      <c r="SGA47" s="19"/>
      <c r="SGB47" s="19"/>
      <c r="SGC47" s="19"/>
      <c r="SGD47" s="19"/>
      <c r="SGE47" s="19"/>
      <c r="SGF47" s="19"/>
      <c r="SGG47" s="19"/>
      <c r="SGH47" s="19"/>
      <c r="SGI47" s="19"/>
      <c r="SGJ47" s="19"/>
      <c r="SGK47" s="19"/>
      <c r="SGL47" s="19"/>
      <c r="SGM47" s="19"/>
      <c r="SGN47" s="19"/>
      <c r="SGO47" s="19"/>
      <c r="SGP47" s="19"/>
      <c r="SGQ47" s="19"/>
      <c r="SGR47" s="19"/>
      <c r="SGS47" s="19"/>
      <c r="SGT47" s="19"/>
      <c r="SGU47" s="19"/>
      <c r="SGV47" s="19"/>
      <c r="SGW47" s="19"/>
      <c r="SGX47" s="19"/>
      <c r="SGY47" s="19"/>
      <c r="SGZ47" s="19"/>
      <c r="SHA47" s="19"/>
      <c r="SHB47" s="19"/>
      <c r="SHC47" s="19"/>
      <c r="SHD47" s="19"/>
      <c r="SHE47" s="19"/>
      <c r="SHF47" s="19"/>
      <c r="SHG47" s="19"/>
      <c r="SHH47" s="19"/>
      <c r="SHI47" s="19"/>
      <c r="SHJ47" s="19"/>
      <c r="SHK47" s="19"/>
      <c r="SHL47" s="19"/>
      <c r="SHM47" s="19"/>
      <c r="SHN47" s="19"/>
      <c r="SHO47" s="19"/>
      <c r="SHP47" s="19"/>
      <c r="SHQ47" s="19"/>
      <c r="SHR47" s="19"/>
      <c r="SHS47" s="19"/>
      <c r="SHT47" s="19"/>
      <c r="SHU47" s="19"/>
      <c r="SHV47" s="19"/>
      <c r="SHW47" s="19"/>
      <c r="SHX47" s="19"/>
      <c r="SHY47" s="19"/>
      <c r="SHZ47" s="19"/>
      <c r="SIA47" s="19"/>
      <c r="SIB47" s="19"/>
      <c r="SIC47" s="19"/>
      <c r="SID47" s="19"/>
      <c r="SIE47" s="19"/>
      <c r="SIF47" s="19"/>
      <c r="SIG47" s="19"/>
      <c r="SIH47" s="19"/>
      <c r="SII47" s="19"/>
      <c r="SIJ47" s="19"/>
      <c r="SIK47" s="19"/>
      <c r="SIL47" s="19"/>
      <c r="SIM47" s="19"/>
      <c r="SIN47" s="19"/>
      <c r="SIO47" s="19"/>
      <c r="SIP47" s="19"/>
      <c r="SIQ47" s="19"/>
      <c r="SIR47" s="19"/>
      <c r="SIS47" s="19"/>
      <c r="SIT47" s="19"/>
      <c r="SIU47" s="19"/>
      <c r="SIV47" s="19"/>
      <c r="SIW47" s="19"/>
      <c r="SIX47" s="19"/>
      <c r="SIY47" s="19"/>
      <c r="SIZ47" s="19"/>
      <c r="SJA47" s="19"/>
      <c r="SJB47" s="19"/>
      <c r="SJC47" s="19"/>
      <c r="SJD47" s="19"/>
      <c r="SJE47" s="19"/>
      <c r="SJF47" s="19"/>
      <c r="SJG47" s="19"/>
      <c r="SJH47" s="19"/>
      <c r="SJI47" s="19"/>
      <c r="SJJ47" s="19"/>
      <c r="SJK47" s="19"/>
      <c r="SJL47" s="19"/>
      <c r="SJM47" s="19"/>
      <c r="SJN47" s="19"/>
      <c r="SJO47" s="19"/>
      <c r="SJP47" s="19"/>
      <c r="SJQ47" s="19"/>
      <c r="SJR47" s="19"/>
      <c r="SJS47" s="19"/>
      <c r="SJT47" s="19"/>
      <c r="SJU47" s="19"/>
      <c r="SJV47" s="19"/>
      <c r="SJW47" s="19"/>
      <c r="SJX47" s="19"/>
      <c r="SJY47" s="19"/>
      <c r="SJZ47" s="19"/>
      <c r="SKA47" s="19"/>
      <c r="SKB47" s="19"/>
      <c r="SKC47" s="19"/>
      <c r="SKD47" s="19"/>
      <c r="SKE47" s="19"/>
      <c r="SKF47" s="19"/>
      <c r="SKG47" s="19"/>
      <c r="SKH47" s="19"/>
      <c r="SKI47" s="19"/>
      <c r="SKJ47" s="19"/>
      <c r="SKK47" s="19"/>
      <c r="SKL47" s="19"/>
      <c r="SKM47" s="19"/>
      <c r="SKN47" s="19"/>
      <c r="SKO47" s="19"/>
      <c r="SKP47" s="19"/>
      <c r="SKQ47" s="19"/>
      <c r="SKR47" s="19"/>
      <c r="SKS47" s="19"/>
      <c r="SKT47" s="19"/>
      <c r="SKU47" s="19"/>
      <c r="SKV47" s="19"/>
      <c r="SKW47" s="19"/>
      <c r="SKX47" s="19"/>
      <c r="SKY47" s="19"/>
      <c r="SKZ47" s="19"/>
      <c r="SLA47" s="19"/>
      <c r="SLB47" s="19"/>
      <c r="SLC47" s="19"/>
      <c r="SLD47" s="19"/>
      <c r="SLE47" s="19"/>
      <c r="SLF47" s="19"/>
      <c r="SLG47" s="19"/>
      <c r="SLH47" s="19"/>
      <c r="SLI47" s="19"/>
      <c r="SLJ47" s="19"/>
      <c r="SLK47" s="19"/>
      <c r="SLL47" s="19"/>
      <c r="SLM47" s="19"/>
      <c r="SLN47" s="19"/>
      <c r="SLO47" s="19"/>
      <c r="SLP47" s="19"/>
      <c r="SLQ47" s="19"/>
      <c r="SLR47" s="19"/>
      <c r="SLS47" s="19"/>
      <c r="SLT47" s="19"/>
      <c r="SLU47" s="19"/>
      <c r="SLV47" s="19"/>
      <c r="SLW47" s="19"/>
      <c r="SLX47" s="19"/>
      <c r="SLY47" s="19"/>
      <c r="SLZ47" s="19"/>
      <c r="SMA47" s="19"/>
      <c r="SMB47" s="19"/>
      <c r="SMC47" s="19"/>
      <c r="SMD47" s="19"/>
      <c r="SME47" s="19"/>
      <c r="SMF47" s="19"/>
      <c r="SMG47" s="19"/>
      <c r="SMH47" s="19"/>
      <c r="SMI47" s="19"/>
      <c r="SMJ47" s="19"/>
      <c r="SMK47" s="19"/>
      <c r="SML47" s="19"/>
      <c r="SMM47" s="19"/>
      <c r="SMN47" s="19"/>
      <c r="SMO47" s="19"/>
      <c r="SMP47" s="19"/>
      <c r="SMQ47" s="19"/>
      <c r="SMR47" s="19"/>
      <c r="SMS47" s="19"/>
      <c r="SMT47" s="19"/>
      <c r="SMU47" s="19"/>
      <c r="SMV47" s="19"/>
      <c r="SMW47" s="19"/>
      <c r="SMX47" s="19"/>
      <c r="SMY47" s="19"/>
      <c r="SMZ47" s="19"/>
      <c r="SNA47" s="19"/>
      <c r="SNB47" s="19"/>
      <c r="SNC47" s="19"/>
      <c r="SND47" s="19"/>
      <c r="SNE47" s="19"/>
      <c r="SNF47" s="19"/>
      <c r="SNG47" s="19"/>
      <c r="SNH47" s="19"/>
      <c r="SNI47" s="19"/>
      <c r="SNJ47" s="19"/>
      <c r="SNK47" s="19"/>
      <c r="SNL47" s="19"/>
      <c r="SNM47" s="19"/>
      <c r="SNN47" s="19"/>
      <c r="SNO47" s="19"/>
      <c r="SNP47" s="19"/>
      <c r="SNQ47" s="19"/>
      <c r="SNR47" s="19"/>
      <c r="SNS47" s="19"/>
      <c r="SNT47" s="19"/>
      <c r="SNU47" s="19"/>
      <c r="SNV47" s="19"/>
      <c r="SNW47" s="19"/>
      <c r="SNX47" s="19"/>
      <c r="SNY47" s="19"/>
      <c r="SNZ47" s="19"/>
      <c r="SOA47" s="19"/>
      <c r="SOB47" s="19"/>
      <c r="SOC47" s="19"/>
      <c r="SOD47" s="19"/>
      <c r="SOE47" s="19"/>
      <c r="SOF47" s="19"/>
      <c r="SOG47" s="19"/>
      <c r="SOH47" s="19"/>
      <c r="SOI47" s="19"/>
      <c r="SOJ47" s="19"/>
      <c r="SOK47" s="19"/>
      <c r="SOL47" s="19"/>
      <c r="SOM47" s="19"/>
      <c r="SON47" s="19"/>
      <c r="SOO47" s="19"/>
      <c r="SOP47" s="19"/>
      <c r="SOQ47" s="19"/>
      <c r="SOR47" s="19"/>
      <c r="SOS47" s="19"/>
      <c r="SOT47" s="19"/>
      <c r="SOU47" s="19"/>
      <c r="SOV47" s="19"/>
      <c r="SOW47" s="19"/>
      <c r="SOX47" s="19"/>
      <c r="SOY47" s="19"/>
      <c r="SOZ47" s="19"/>
      <c r="SPA47" s="19"/>
      <c r="SPB47" s="19"/>
      <c r="SPC47" s="19"/>
      <c r="SPD47" s="19"/>
      <c r="SPE47" s="19"/>
      <c r="SPF47" s="19"/>
      <c r="SPG47" s="19"/>
      <c r="SPH47" s="19"/>
      <c r="SPI47" s="19"/>
      <c r="SPJ47" s="19"/>
      <c r="SPK47" s="19"/>
      <c r="SPL47" s="19"/>
      <c r="SPM47" s="19"/>
      <c r="SPN47" s="19"/>
      <c r="SPO47" s="19"/>
      <c r="SPP47" s="19"/>
      <c r="SPQ47" s="19"/>
      <c r="SPR47" s="19"/>
      <c r="SPS47" s="19"/>
      <c r="SPT47" s="19"/>
      <c r="SPU47" s="19"/>
      <c r="SPV47" s="19"/>
      <c r="SPW47" s="19"/>
      <c r="SPX47" s="19"/>
      <c r="SPY47" s="19"/>
      <c r="SPZ47" s="19"/>
      <c r="SQA47" s="19"/>
      <c r="SQB47" s="19"/>
      <c r="SQC47" s="19"/>
      <c r="SQD47" s="19"/>
      <c r="SQE47" s="19"/>
      <c r="SQF47" s="19"/>
      <c r="SQG47" s="19"/>
      <c r="SQH47" s="19"/>
      <c r="SQI47" s="19"/>
      <c r="SQJ47" s="19"/>
      <c r="SQK47" s="19"/>
      <c r="SQL47" s="19"/>
      <c r="SQM47" s="19"/>
      <c r="SQN47" s="19"/>
      <c r="SQO47" s="19"/>
      <c r="SQP47" s="19"/>
      <c r="SQQ47" s="19"/>
      <c r="SQR47" s="19"/>
      <c r="SQS47" s="19"/>
      <c r="SQT47" s="19"/>
      <c r="SQU47" s="19"/>
      <c r="SQV47" s="19"/>
      <c r="SQW47" s="19"/>
      <c r="SQX47" s="19"/>
      <c r="SQY47" s="19"/>
      <c r="SQZ47" s="19"/>
      <c r="SRA47" s="19"/>
      <c r="SRB47" s="19"/>
      <c r="SRC47" s="19"/>
      <c r="SRD47" s="19"/>
      <c r="SRE47" s="19"/>
      <c r="SRF47" s="19"/>
      <c r="SRG47" s="19"/>
      <c r="SRH47" s="19"/>
      <c r="SRI47" s="19"/>
      <c r="SRJ47" s="19"/>
      <c r="SRK47" s="19"/>
      <c r="SRL47" s="19"/>
      <c r="SRM47" s="19"/>
      <c r="SRN47" s="19"/>
      <c r="SRO47" s="19"/>
      <c r="SRP47" s="19"/>
      <c r="SRQ47" s="19"/>
      <c r="SRR47" s="19"/>
      <c r="SRS47" s="19"/>
      <c r="SRT47" s="19"/>
      <c r="SRU47" s="19"/>
      <c r="SRV47" s="19"/>
      <c r="SRW47" s="19"/>
      <c r="SRX47" s="19"/>
      <c r="SRY47" s="19"/>
      <c r="SRZ47" s="19"/>
      <c r="SSA47" s="19"/>
      <c r="SSB47" s="19"/>
      <c r="SSC47" s="19"/>
      <c r="SSD47" s="19"/>
      <c r="SSE47" s="19"/>
      <c r="SSF47" s="19"/>
      <c r="SSG47" s="19"/>
      <c r="SSH47" s="19"/>
      <c r="SSI47" s="19"/>
      <c r="SSJ47" s="19"/>
      <c r="SSK47" s="19"/>
      <c r="SSL47" s="19"/>
      <c r="SSM47" s="19"/>
      <c r="SSN47" s="19"/>
      <c r="SSO47" s="19"/>
      <c r="SSP47" s="19"/>
      <c r="SSQ47" s="19"/>
      <c r="SSR47" s="19"/>
      <c r="SSS47" s="19"/>
      <c r="SST47" s="19"/>
      <c r="SSU47" s="19"/>
      <c r="SSV47" s="19"/>
      <c r="SSW47" s="19"/>
      <c r="SSX47" s="19"/>
      <c r="SSY47" s="19"/>
      <c r="SSZ47" s="19"/>
      <c r="STA47" s="19"/>
      <c r="STB47" s="19"/>
      <c r="STC47" s="19"/>
      <c r="STD47" s="19"/>
      <c r="STE47" s="19"/>
      <c r="STF47" s="19"/>
      <c r="STG47" s="19"/>
      <c r="STH47" s="19"/>
      <c r="STI47" s="19"/>
      <c r="STJ47" s="19"/>
      <c r="STK47" s="19"/>
      <c r="STL47" s="19"/>
      <c r="STM47" s="19"/>
      <c r="STN47" s="19"/>
      <c r="STO47" s="19"/>
      <c r="STP47" s="19"/>
      <c r="STQ47" s="19"/>
      <c r="STR47" s="19"/>
      <c r="STS47" s="19"/>
      <c r="STT47" s="19"/>
      <c r="STU47" s="19"/>
      <c r="STV47" s="19"/>
      <c r="STW47" s="19"/>
      <c r="STX47" s="19"/>
      <c r="STY47" s="19"/>
      <c r="STZ47" s="19"/>
      <c r="SUA47" s="19"/>
      <c r="SUB47" s="19"/>
      <c r="SUC47" s="19"/>
      <c r="SUD47" s="19"/>
      <c r="SUE47" s="19"/>
      <c r="SUF47" s="19"/>
      <c r="SUG47" s="19"/>
      <c r="SUH47" s="19"/>
      <c r="SUI47" s="19"/>
      <c r="SUJ47" s="19"/>
      <c r="SUK47" s="19"/>
      <c r="SUL47" s="19"/>
      <c r="SUM47" s="19"/>
      <c r="SUN47" s="19"/>
      <c r="SUO47" s="19"/>
      <c r="SUP47" s="19"/>
      <c r="SUQ47" s="19"/>
      <c r="SUR47" s="19"/>
      <c r="SUS47" s="19"/>
      <c r="SUT47" s="19"/>
      <c r="SUU47" s="19"/>
      <c r="SUV47" s="19"/>
      <c r="SUW47" s="19"/>
      <c r="SUX47" s="19"/>
      <c r="SUY47" s="19"/>
      <c r="SUZ47" s="19"/>
      <c r="SVA47" s="19"/>
      <c r="SVB47" s="19"/>
      <c r="SVC47" s="19"/>
      <c r="SVD47" s="19"/>
      <c r="SVE47" s="19"/>
      <c r="SVF47" s="19"/>
      <c r="SVG47" s="19"/>
      <c r="SVH47" s="19"/>
      <c r="SVI47" s="19"/>
      <c r="SVJ47" s="19"/>
      <c r="SVK47" s="19"/>
      <c r="SVL47" s="19"/>
      <c r="SVM47" s="19"/>
      <c r="SVN47" s="19"/>
      <c r="SVO47" s="19"/>
      <c r="SVP47" s="19"/>
      <c r="SVQ47" s="19"/>
      <c r="SVR47" s="19"/>
      <c r="SVS47" s="19"/>
      <c r="SVT47" s="19"/>
      <c r="SVU47" s="19"/>
      <c r="SVV47" s="19"/>
      <c r="SVW47" s="19"/>
      <c r="SVX47" s="19"/>
      <c r="SVY47" s="19"/>
      <c r="SVZ47" s="19"/>
      <c r="SWA47" s="19"/>
      <c r="SWB47" s="19"/>
      <c r="SWC47" s="19"/>
      <c r="SWD47" s="19"/>
      <c r="SWE47" s="19"/>
      <c r="SWF47" s="19"/>
      <c r="SWG47" s="19"/>
      <c r="SWH47" s="19"/>
      <c r="SWI47" s="19"/>
      <c r="SWJ47" s="19"/>
      <c r="SWK47" s="19"/>
      <c r="SWL47" s="19"/>
      <c r="SWM47" s="19"/>
      <c r="SWN47" s="19"/>
      <c r="SWO47" s="19"/>
      <c r="SWP47" s="19"/>
      <c r="SWQ47" s="19"/>
      <c r="SWR47" s="19"/>
      <c r="SWS47" s="19"/>
      <c r="SWT47" s="19"/>
      <c r="SWU47" s="19"/>
      <c r="SWV47" s="19"/>
      <c r="SWW47" s="19"/>
      <c r="SWX47" s="19"/>
      <c r="SWY47" s="19"/>
      <c r="SWZ47" s="19"/>
      <c r="SXA47" s="19"/>
      <c r="SXB47" s="19"/>
      <c r="SXC47" s="19"/>
      <c r="SXD47" s="19"/>
      <c r="SXE47" s="19"/>
      <c r="SXF47" s="19"/>
      <c r="SXG47" s="19"/>
      <c r="SXH47" s="19"/>
      <c r="SXI47" s="19"/>
      <c r="SXJ47" s="19"/>
      <c r="SXK47" s="19"/>
      <c r="SXL47" s="19"/>
      <c r="SXM47" s="19"/>
      <c r="SXN47" s="19"/>
      <c r="SXO47" s="19"/>
      <c r="SXP47" s="19"/>
      <c r="SXQ47" s="19"/>
      <c r="SXR47" s="19"/>
      <c r="SXS47" s="19"/>
      <c r="SXT47" s="19"/>
      <c r="SXU47" s="19"/>
      <c r="SXV47" s="19"/>
      <c r="SXW47" s="19"/>
      <c r="SXX47" s="19"/>
      <c r="SXY47" s="19"/>
      <c r="SXZ47" s="19"/>
      <c r="SYA47" s="19"/>
      <c r="SYB47" s="19"/>
      <c r="SYC47" s="19"/>
      <c r="SYD47" s="19"/>
      <c r="SYE47" s="19"/>
      <c r="SYF47" s="19"/>
      <c r="SYG47" s="19"/>
      <c r="SYH47" s="19"/>
      <c r="SYI47" s="19"/>
      <c r="SYJ47" s="19"/>
      <c r="SYK47" s="19"/>
      <c r="SYL47" s="19"/>
      <c r="SYM47" s="19"/>
      <c r="SYN47" s="19"/>
      <c r="SYO47" s="19"/>
      <c r="SYP47" s="19"/>
      <c r="SYQ47" s="19"/>
      <c r="SYR47" s="19"/>
      <c r="SYS47" s="19"/>
      <c r="SYT47" s="19"/>
      <c r="SYU47" s="19"/>
      <c r="SYV47" s="19"/>
      <c r="SYW47" s="19"/>
      <c r="SYX47" s="19"/>
      <c r="SYY47" s="19"/>
      <c r="SYZ47" s="19"/>
      <c r="SZA47" s="19"/>
      <c r="SZB47" s="19"/>
      <c r="SZC47" s="19"/>
      <c r="SZD47" s="19"/>
      <c r="SZE47" s="19"/>
      <c r="SZF47" s="19"/>
      <c r="SZG47" s="19"/>
      <c r="SZH47" s="19"/>
      <c r="SZI47" s="19"/>
      <c r="SZJ47" s="19"/>
      <c r="SZK47" s="19"/>
      <c r="SZL47" s="19"/>
      <c r="SZM47" s="19"/>
      <c r="SZN47" s="19"/>
      <c r="SZO47" s="19"/>
      <c r="SZP47" s="19"/>
      <c r="SZQ47" s="19"/>
      <c r="SZR47" s="19"/>
      <c r="SZS47" s="19"/>
      <c r="SZT47" s="19"/>
      <c r="SZU47" s="19"/>
      <c r="SZV47" s="19"/>
      <c r="SZW47" s="19"/>
      <c r="SZX47" s="19"/>
      <c r="SZY47" s="19"/>
      <c r="SZZ47" s="19"/>
      <c r="TAA47" s="19"/>
      <c r="TAB47" s="19"/>
      <c r="TAC47" s="19"/>
      <c r="TAD47" s="19"/>
      <c r="TAE47" s="19"/>
      <c r="TAF47" s="19"/>
      <c r="TAG47" s="19"/>
      <c r="TAH47" s="19"/>
      <c r="TAI47" s="19"/>
      <c r="TAJ47" s="19"/>
      <c r="TAK47" s="19"/>
      <c r="TAL47" s="19"/>
      <c r="TAM47" s="19"/>
      <c r="TAN47" s="19"/>
      <c r="TAO47" s="19"/>
      <c r="TAP47" s="19"/>
      <c r="TAQ47" s="19"/>
      <c r="TAR47" s="19"/>
      <c r="TAS47" s="19"/>
      <c r="TAT47" s="19"/>
      <c r="TAU47" s="19"/>
      <c r="TAV47" s="19"/>
      <c r="TAW47" s="19"/>
      <c r="TAX47" s="19"/>
      <c r="TAY47" s="19"/>
      <c r="TAZ47" s="19"/>
      <c r="TBA47" s="19"/>
      <c r="TBB47" s="19"/>
      <c r="TBC47" s="19"/>
      <c r="TBD47" s="19"/>
      <c r="TBE47" s="19"/>
      <c r="TBF47" s="19"/>
      <c r="TBG47" s="19"/>
      <c r="TBH47" s="19"/>
      <c r="TBI47" s="19"/>
      <c r="TBJ47" s="19"/>
      <c r="TBK47" s="19"/>
      <c r="TBL47" s="19"/>
      <c r="TBM47" s="19"/>
      <c r="TBN47" s="19"/>
      <c r="TBO47" s="19"/>
      <c r="TBP47" s="19"/>
      <c r="TBQ47" s="19"/>
      <c r="TBR47" s="19"/>
      <c r="TBS47" s="19"/>
      <c r="TBT47" s="19"/>
      <c r="TBU47" s="19"/>
      <c r="TBV47" s="19"/>
      <c r="TBW47" s="19"/>
      <c r="TBX47" s="19"/>
      <c r="TBY47" s="19"/>
      <c r="TBZ47" s="19"/>
      <c r="TCA47" s="19"/>
      <c r="TCB47" s="19"/>
      <c r="TCC47" s="19"/>
      <c r="TCD47" s="19"/>
      <c r="TCE47" s="19"/>
      <c r="TCF47" s="19"/>
      <c r="TCG47" s="19"/>
      <c r="TCH47" s="19"/>
      <c r="TCI47" s="19"/>
      <c r="TCJ47" s="19"/>
      <c r="TCK47" s="19"/>
      <c r="TCL47" s="19"/>
      <c r="TCM47" s="19"/>
      <c r="TCN47" s="19"/>
      <c r="TCO47" s="19"/>
      <c r="TCP47" s="19"/>
      <c r="TCQ47" s="19"/>
      <c r="TCR47" s="19"/>
      <c r="TCS47" s="19"/>
      <c r="TCT47" s="19"/>
      <c r="TCU47" s="19"/>
      <c r="TCV47" s="19"/>
      <c r="TCW47" s="19"/>
      <c r="TCX47" s="19"/>
      <c r="TCY47" s="19"/>
      <c r="TCZ47" s="19"/>
      <c r="TDA47" s="19"/>
      <c r="TDB47" s="19"/>
      <c r="TDC47" s="19"/>
      <c r="TDD47" s="19"/>
      <c r="TDE47" s="19"/>
      <c r="TDF47" s="19"/>
      <c r="TDG47" s="19"/>
      <c r="TDH47" s="19"/>
      <c r="TDI47" s="19"/>
      <c r="TDJ47" s="19"/>
      <c r="TDK47" s="19"/>
      <c r="TDL47" s="19"/>
      <c r="TDM47" s="19"/>
      <c r="TDN47" s="19"/>
      <c r="TDO47" s="19"/>
      <c r="TDP47" s="19"/>
      <c r="TDQ47" s="19"/>
      <c r="TDR47" s="19"/>
      <c r="TDS47" s="19"/>
      <c r="TDT47" s="19"/>
      <c r="TDU47" s="19"/>
      <c r="TDV47" s="19"/>
      <c r="TDW47" s="19"/>
      <c r="TDX47" s="19"/>
      <c r="TDY47" s="19"/>
      <c r="TDZ47" s="19"/>
      <c r="TEA47" s="19"/>
      <c r="TEB47" s="19"/>
      <c r="TEC47" s="19"/>
      <c r="TED47" s="19"/>
      <c r="TEE47" s="19"/>
      <c r="TEF47" s="19"/>
      <c r="TEG47" s="19"/>
      <c r="TEH47" s="19"/>
      <c r="TEI47" s="19"/>
      <c r="TEJ47" s="19"/>
      <c r="TEK47" s="19"/>
      <c r="TEL47" s="19"/>
      <c r="TEM47" s="19"/>
      <c r="TEN47" s="19"/>
      <c r="TEO47" s="19"/>
      <c r="TEP47" s="19"/>
      <c r="TEQ47" s="19"/>
      <c r="TER47" s="19"/>
      <c r="TES47" s="19"/>
      <c r="TET47" s="19"/>
      <c r="TEU47" s="19"/>
      <c r="TEV47" s="19"/>
      <c r="TEW47" s="19"/>
      <c r="TEX47" s="19"/>
      <c r="TEY47" s="19"/>
      <c r="TEZ47" s="19"/>
      <c r="TFA47" s="19"/>
      <c r="TFB47" s="19"/>
      <c r="TFC47" s="19"/>
      <c r="TFD47" s="19"/>
      <c r="TFE47" s="19"/>
      <c r="TFF47" s="19"/>
      <c r="TFG47" s="19"/>
      <c r="TFH47" s="19"/>
      <c r="TFI47" s="19"/>
      <c r="TFJ47" s="19"/>
      <c r="TFK47" s="19"/>
      <c r="TFL47" s="19"/>
      <c r="TFM47" s="19"/>
      <c r="TFN47" s="19"/>
      <c r="TFO47" s="19"/>
      <c r="TFP47" s="19"/>
      <c r="TFQ47" s="19"/>
      <c r="TFR47" s="19"/>
      <c r="TFS47" s="19"/>
      <c r="TFT47" s="19"/>
      <c r="TFU47" s="19"/>
      <c r="TFV47" s="19"/>
      <c r="TFW47" s="19"/>
      <c r="TFX47" s="19"/>
      <c r="TFY47" s="19"/>
      <c r="TFZ47" s="19"/>
      <c r="TGA47" s="19"/>
      <c r="TGB47" s="19"/>
      <c r="TGC47" s="19"/>
      <c r="TGD47" s="19"/>
      <c r="TGE47" s="19"/>
      <c r="TGF47" s="19"/>
      <c r="TGG47" s="19"/>
      <c r="TGH47" s="19"/>
      <c r="TGI47" s="19"/>
      <c r="TGJ47" s="19"/>
      <c r="TGK47" s="19"/>
      <c r="TGL47" s="19"/>
      <c r="TGM47" s="19"/>
      <c r="TGN47" s="19"/>
      <c r="TGO47" s="19"/>
      <c r="TGP47" s="19"/>
      <c r="TGQ47" s="19"/>
      <c r="TGR47" s="19"/>
      <c r="TGS47" s="19"/>
      <c r="TGT47" s="19"/>
      <c r="TGU47" s="19"/>
      <c r="TGV47" s="19"/>
      <c r="TGW47" s="19"/>
      <c r="TGX47" s="19"/>
      <c r="TGY47" s="19"/>
      <c r="TGZ47" s="19"/>
      <c r="THA47" s="19"/>
      <c r="THB47" s="19"/>
      <c r="THC47" s="19"/>
      <c r="THD47" s="19"/>
      <c r="THE47" s="19"/>
      <c r="THF47" s="19"/>
      <c r="THG47" s="19"/>
      <c r="THH47" s="19"/>
      <c r="THI47" s="19"/>
      <c r="THJ47" s="19"/>
      <c r="THK47" s="19"/>
      <c r="THL47" s="19"/>
      <c r="THM47" s="19"/>
      <c r="THN47" s="19"/>
      <c r="THO47" s="19"/>
      <c r="THP47" s="19"/>
      <c r="THQ47" s="19"/>
      <c r="THR47" s="19"/>
      <c r="THS47" s="19"/>
      <c r="THT47" s="19"/>
      <c r="THU47" s="19"/>
      <c r="THV47" s="19"/>
      <c r="THW47" s="19"/>
      <c r="THX47" s="19"/>
      <c r="THY47" s="19"/>
      <c r="THZ47" s="19"/>
      <c r="TIA47" s="19"/>
      <c r="TIB47" s="19"/>
      <c r="TIC47" s="19"/>
      <c r="TID47" s="19"/>
      <c r="TIE47" s="19"/>
      <c r="TIF47" s="19"/>
      <c r="TIG47" s="19"/>
      <c r="TIH47" s="19"/>
      <c r="TII47" s="19"/>
      <c r="TIJ47" s="19"/>
      <c r="TIK47" s="19"/>
      <c r="TIL47" s="19"/>
      <c r="TIM47" s="19"/>
      <c r="TIN47" s="19"/>
      <c r="TIO47" s="19"/>
      <c r="TIP47" s="19"/>
      <c r="TIQ47" s="19"/>
      <c r="TIR47" s="19"/>
      <c r="TIS47" s="19"/>
      <c r="TIT47" s="19"/>
      <c r="TIU47" s="19"/>
      <c r="TIV47" s="19"/>
      <c r="TIW47" s="19"/>
      <c r="TIX47" s="19"/>
      <c r="TIY47" s="19"/>
      <c r="TIZ47" s="19"/>
      <c r="TJA47" s="19"/>
      <c r="TJB47" s="19"/>
      <c r="TJC47" s="19"/>
      <c r="TJD47" s="19"/>
      <c r="TJE47" s="19"/>
      <c r="TJF47" s="19"/>
      <c r="TJG47" s="19"/>
      <c r="TJH47" s="19"/>
      <c r="TJI47" s="19"/>
      <c r="TJJ47" s="19"/>
      <c r="TJK47" s="19"/>
      <c r="TJL47" s="19"/>
      <c r="TJM47" s="19"/>
      <c r="TJN47" s="19"/>
      <c r="TJO47" s="19"/>
      <c r="TJP47" s="19"/>
      <c r="TJQ47" s="19"/>
      <c r="TJR47" s="19"/>
      <c r="TJS47" s="19"/>
      <c r="TJT47" s="19"/>
      <c r="TJU47" s="19"/>
      <c r="TJV47" s="19"/>
      <c r="TJW47" s="19"/>
      <c r="TJX47" s="19"/>
      <c r="TJY47" s="19"/>
      <c r="TJZ47" s="19"/>
      <c r="TKA47" s="19"/>
      <c r="TKB47" s="19"/>
      <c r="TKC47" s="19"/>
      <c r="TKD47" s="19"/>
      <c r="TKE47" s="19"/>
      <c r="TKF47" s="19"/>
      <c r="TKG47" s="19"/>
      <c r="TKH47" s="19"/>
      <c r="TKI47" s="19"/>
      <c r="TKJ47" s="19"/>
      <c r="TKK47" s="19"/>
      <c r="TKL47" s="19"/>
      <c r="TKM47" s="19"/>
      <c r="TKN47" s="19"/>
      <c r="TKO47" s="19"/>
      <c r="TKP47" s="19"/>
      <c r="TKQ47" s="19"/>
      <c r="TKR47" s="19"/>
      <c r="TKS47" s="19"/>
      <c r="TKT47" s="19"/>
      <c r="TKU47" s="19"/>
      <c r="TKV47" s="19"/>
      <c r="TKW47" s="19"/>
      <c r="TKX47" s="19"/>
      <c r="TKY47" s="19"/>
      <c r="TKZ47" s="19"/>
      <c r="TLA47" s="19"/>
      <c r="TLB47" s="19"/>
      <c r="TLC47" s="19"/>
      <c r="TLD47" s="19"/>
      <c r="TLE47" s="19"/>
      <c r="TLF47" s="19"/>
      <c r="TLG47" s="19"/>
      <c r="TLH47" s="19"/>
      <c r="TLI47" s="19"/>
      <c r="TLJ47" s="19"/>
      <c r="TLK47" s="19"/>
      <c r="TLL47" s="19"/>
      <c r="TLM47" s="19"/>
      <c r="TLN47" s="19"/>
      <c r="TLO47" s="19"/>
      <c r="TLP47" s="19"/>
      <c r="TLQ47" s="19"/>
      <c r="TLR47" s="19"/>
      <c r="TLS47" s="19"/>
      <c r="TLT47" s="19"/>
      <c r="TLU47" s="19"/>
      <c r="TLV47" s="19"/>
      <c r="TLW47" s="19"/>
      <c r="TLX47" s="19"/>
      <c r="TLY47" s="19"/>
      <c r="TLZ47" s="19"/>
      <c r="TMA47" s="19"/>
      <c r="TMB47" s="19"/>
      <c r="TMC47" s="19"/>
      <c r="TMD47" s="19"/>
      <c r="TME47" s="19"/>
      <c r="TMF47" s="19"/>
      <c r="TMG47" s="19"/>
      <c r="TMH47" s="19"/>
      <c r="TMI47" s="19"/>
      <c r="TMJ47" s="19"/>
      <c r="TMK47" s="19"/>
      <c r="TML47" s="19"/>
      <c r="TMM47" s="19"/>
      <c r="TMN47" s="19"/>
      <c r="TMO47" s="19"/>
      <c r="TMP47" s="19"/>
      <c r="TMQ47" s="19"/>
      <c r="TMR47" s="19"/>
      <c r="TMS47" s="19"/>
      <c r="TMT47" s="19"/>
      <c r="TMU47" s="19"/>
      <c r="TMV47" s="19"/>
      <c r="TMW47" s="19"/>
      <c r="TMX47" s="19"/>
      <c r="TMY47" s="19"/>
      <c r="TMZ47" s="19"/>
      <c r="TNA47" s="19"/>
      <c r="TNB47" s="19"/>
      <c r="TNC47" s="19"/>
      <c r="TND47" s="19"/>
      <c r="TNE47" s="19"/>
      <c r="TNF47" s="19"/>
      <c r="TNG47" s="19"/>
      <c r="TNH47" s="19"/>
      <c r="TNI47" s="19"/>
      <c r="TNJ47" s="19"/>
      <c r="TNK47" s="19"/>
      <c r="TNL47" s="19"/>
      <c r="TNM47" s="19"/>
      <c r="TNN47" s="19"/>
      <c r="TNO47" s="19"/>
      <c r="TNP47" s="19"/>
      <c r="TNQ47" s="19"/>
      <c r="TNR47" s="19"/>
      <c r="TNS47" s="19"/>
      <c r="TNT47" s="19"/>
      <c r="TNU47" s="19"/>
      <c r="TNV47" s="19"/>
      <c r="TNW47" s="19"/>
      <c r="TNX47" s="19"/>
      <c r="TNY47" s="19"/>
      <c r="TNZ47" s="19"/>
      <c r="TOA47" s="19"/>
      <c r="TOB47" s="19"/>
      <c r="TOC47" s="19"/>
      <c r="TOD47" s="19"/>
      <c r="TOE47" s="19"/>
      <c r="TOF47" s="19"/>
      <c r="TOG47" s="19"/>
      <c r="TOH47" s="19"/>
      <c r="TOI47" s="19"/>
      <c r="TOJ47" s="19"/>
      <c r="TOK47" s="19"/>
      <c r="TOL47" s="19"/>
      <c r="TOM47" s="19"/>
      <c r="TON47" s="19"/>
      <c r="TOO47" s="19"/>
      <c r="TOP47" s="19"/>
      <c r="TOQ47" s="19"/>
      <c r="TOR47" s="19"/>
      <c r="TOS47" s="19"/>
      <c r="TOT47" s="19"/>
      <c r="TOU47" s="19"/>
      <c r="TOV47" s="19"/>
      <c r="TOW47" s="19"/>
      <c r="TOX47" s="19"/>
      <c r="TOY47" s="19"/>
      <c r="TOZ47" s="19"/>
      <c r="TPA47" s="19"/>
      <c r="TPB47" s="19"/>
      <c r="TPC47" s="19"/>
      <c r="TPD47" s="19"/>
      <c r="TPE47" s="19"/>
      <c r="TPF47" s="19"/>
      <c r="TPG47" s="19"/>
      <c r="TPH47" s="19"/>
      <c r="TPI47" s="19"/>
      <c r="TPJ47" s="19"/>
      <c r="TPK47" s="19"/>
      <c r="TPL47" s="19"/>
      <c r="TPM47" s="19"/>
      <c r="TPN47" s="19"/>
      <c r="TPO47" s="19"/>
      <c r="TPP47" s="19"/>
      <c r="TPQ47" s="19"/>
      <c r="TPR47" s="19"/>
      <c r="TPS47" s="19"/>
      <c r="TPT47" s="19"/>
      <c r="TPU47" s="19"/>
      <c r="TPV47" s="19"/>
      <c r="TPW47" s="19"/>
      <c r="TPX47" s="19"/>
      <c r="TPY47" s="19"/>
      <c r="TPZ47" s="19"/>
      <c r="TQA47" s="19"/>
      <c r="TQB47" s="19"/>
      <c r="TQC47" s="19"/>
      <c r="TQD47" s="19"/>
      <c r="TQE47" s="19"/>
      <c r="TQF47" s="19"/>
      <c r="TQG47" s="19"/>
      <c r="TQH47" s="19"/>
      <c r="TQI47" s="19"/>
      <c r="TQJ47" s="19"/>
      <c r="TQK47" s="19"/>
      <c r="TQL47" s="19"/>
      <c r="TQM47" s="19"/>
      <c r="TQN47" s="19"/>
      <c r="TQO47" s="19"/>
      <c r="TQP47" s="19"/>
      <c r="TQQ47" s="19"/>
      <c r="TQR47" s="19"/>
      <c r="TQS47" s="19"/>
      <c r="TQT47" s="19"/>
      <c r="TQU47" s="19"/>
      <c r="TQV47" s="19"/>
      <c r="TQW47" s="19"/>
      <c r="TQX47" s="19"/>
      <c r="TQY47" s="19"/>
      <c r="TQZ47" s="19"/>
      <c r="TRA47" s="19"/>
      <c r="TRB47" s="19"/>
      <c r="TRC47" s="19"/>
      <c r="TRD47" s="19"/>
      <c r="TRE47" s="19"/>
      <c r="TRF47" s="19"/>
      <c r="TRG47" s="19"/>
      <c r="TRH47" s="19"/>
      <c r="TRI47" s="19"/>
      <c r="TRJ47" s="19"/>
      <c r="TRK47" s="19"/>
      <c r="TRL47" s="19"/>
      <c r="TRM47" s="19"/>
      <c r="TRN47" s="19"/>
      <c r="TRO47" s="19"/>
      <c r="TRP47" s="19"/>
      <c r="TRQ47" s="19"/>
      <c r="TRR47" s="19"/>
      <c r="TRS47" s="19"/>
      <c r="TRT47" s="19"/>
      <c r="TRU47" s="19"/>
      <c r="TRV47" s="19"/>
      <c r="TRW47" s="19"/>
      <c r="TRX47" s="19"/>
      <c r="TRY47" s="19"/>
      <c r="TRZ47" s="19"/>
      <c r="TSA47" s="19"/>
      <c r="TSB47" s="19"/>
      <c r="TSC47" s="19"/>
      <c r="TSD47" s="19"/>
      <c r="TSE47" s="19"/>
      <c r="TSF47" s="19"/>
      <c r="TSG47" s="19"/>
      <c r="TSH47" s="19"/>
      <c r="TSI47" s="19"/>
      <c r="TSJ47" s="19"/>
      <c r="TSK47" s="19"/>
      <c r="TSL47" s="19"/>
      <c r="TSM47" s="19"/>
      <c r="TSN47" s="19"/>
      <c r="TSO47" s="19"/>
      <c r="TSP47" s="19"/>
      <c r="TSQ47" s="19"/>
      <c r="TSR47" s="19"/>
      <c r="TSS47" s="19"/>
      <c r="TST47" s="19"/>
      <c r="TSU47" s="19"/>
      <c r="TSV47" s="19"/>
      <c r="TSW47" s="19"/>
      <c r="TSX47" s="19"/>
      <c r="TSY47" s="19"/>
      <c r="TSZ47" s="19"/>
      <c r="TTA47" s="19"/>
      <c r="TTB47" s="19"/>
      <c r="TTC47" s="19"/>
      <c r="TTD47" s="19"/>
      <c r="TTE47" s="19"/>
      <c r="TTF47" s="19"/>
      <c r="TTG47" s="19"/>
      <c r="TTH47" s="19"/>
      <c r="TTI47" s="19"/>
      <c r="TTJ47" s="19"/>
      <c r="TTK47" s="19"/>
      <c r="TTL47" s="19"/>
      <c r="TTM47" s="19"/>
      <c r="TTN47" s="19"/>
      <c r="TTO47" s="19"/>
      <c r="TTP47" s="19"/>
      <c r="TTQ47" s="19"/>
      <c r="TTR47" s="19"/>
      <c r="TTS47" s="19"/>
      <c r="TTT47" s="19"/>
      <c r="TTU47" s="19"/>
      <c r="TTV47" s="19"/>
      <c r="TTW47" s="19"/>
      <c r="TTX47" s="19"/>
      <c r="TTY47" s="19"/>
      <c r="TTZ47" s="19"/>
      <c r="TUA47" s="19"/>
      <c r="TUB47" s="19"/>
      <c r="TUC47" s="19"/>
      <c r="TUD47" s="19"/>
      <c r="TUE47" s="19"/>
      <c r="TUF47" s="19"/>
      <c r="TUG47" s="19"/>
      <c r="TUH47" s="19"/>
      <c r="TUI47" s="19"/>
      <c r="TUJ47" s="19"/>
      <c r="TUK47" s="19"/>
      <c r="TUL47" s="19"/>
      <c r="TUM47" s="19"/>
      <c r="TUN47" s="19"/>
      <c r="TUO47" s="19"/>
      <c r="TUP47" s="19"/>
      <c r="TUQ47" s="19"/>
      <c r="TUR47" s="19"/>
      <c r="TUS47" s="19"/>
      <c r="TUT47" s="19"/>
      <c r="TUU47" s="19"/>
      <c r="TUV47" s="19"/>
      <c r="TUW47" s="19"/>
      <c r="TUX47" s="19"/>
      <c r="TUY47" s="19"/>
      <c r="TUZ47" s="19"/>
      <c r="TVA47" s="19"/>
      <c r="TVB47" s="19"/>
      <c r="TVC47" s="19"/>
      <c r="TVD47" s="19"/>
      <c r="TVE47" s="19"/>
      <c r="TVF47" s="19"/>
      <c r="TVG47" s="19"/>
      <c r="TVH47" s="19"/>
      <c r="TVI47" s="19"/>
      <c r="TVJ47" s="19"/>
      <c r="TVK47" s="19"/>
      <c r="TVL47" s="19"/>
      <c r="TVM47" s="19"/>
      <c r="TVN47" s="19"/>
      <c r="TVO47" s="19"/>
      <c r="TVP47" s="19"/>
      <c r="TVQ47" s="19"/>
      <c r="TVR47" s="19"/>
      <c r="TVS47" s="19"/>
      <c r="TVT47" s="19"/>
      <c r="TVU47" s="19"/>
      <c r="TVV47" s="19"/>
      <c r="TVW47" s="19"/>
      <c r="TVX47" s="19"/>
      <c r="TVY47" s="19"/>
      <c r="TVZ47" s="19"/>
      <c r="TWA47" s="19"/>
      <c r="TWB47" s="19"/>
      <c r="TWC47" s="19"/>
      <c r="TWD47" s="19"/>
      <c r="TWE47" s="19"/>
      <c r="TWF47" s="19"/>
      <c r="TWG47" s="19"/>
      <c r="TWH47" s="19"/>
      <c r="TWI47" s="19"/>
      <c r="TWJ47" s="19"/>
      <c r="TWK47" s="19"/>
      <c r="TWL47" s="19"/>
      <c r="TWM47" s="19"/>
      <c r="TWN47" s="19"/>
      <c r="TWO47" s="19"/>
      <c r="TWP47" s="19"/>
      <c r="TWQ47" s="19"/>
      <c r="TWR47" s="19"/>
      <c r="TWS47" s="19"/>
      <c r="TWT47" s="19"/>
      <c r="TWU47" s="19"/>
      <c r="TWV47" s="19"/>
      <c r="TWW47" s="19"/>
      <c r="TWX47" s="19"/>
      <c r="TWY47" s="19"/>
      <c r="TWZ47" s="19"/>
      <c r="TXA47" s="19"/>
      <c r="TXB47" s="19"/>
      <c r="TXC47" s="19"/>
      <c r="TXD47" s="19"/>
      <c r="TXE47" s="19"/>
      <c r="TXF47" s="19"/>
      <c r="TXG47" s="19"/>
      <c r="TXH47" s="19"/>
      <c r="TXI47" s="19"/>
      <c r="TXJ47" s="19"/>
      <c r="TXK47" s="19"/>
      <c r="TXL47" s="19"/>
      <c r="TXM47" s="19"/>
      <c r="TXN47" s="19"/>
      <c r="TXO47" s="19"/>
      <c r="TXP47" s="19"/>
      <c r="TXQ47" s="19"/>
      <c r="TXR47" s="19"/>
      <c r="TXS47" s="19"/>
      <c r="TXT47" s="19"/>
      <c r="TXU47" s="19"/>
      <c r="TXV47" s="19"/>
      <c r="TXW47" s="19"/>
      <c r="TXX47" s="19"/>
      <c r="TXY47" s="19"/>
      <c r="TXZ47" s="19"/>
      <c r="TYA47" s="19"/>
      <c r="TYB47" s="19"/>
      <c r="TYC47" s="19"/>
      <c r="TYD47" s="19"/>
      <c r="TYE47" s="19"/>
      <c r="TYF47" s="19"/>
      <c r="TYG47" s="19"/>
      <c r="TYH47" s="19"/>
      <c r="TYI47" s="19"/>
      <c r="TYJ47" s="19"/>
      <c r="TYK47" s="19"/>
      <c r="TYL47" s="19"/>
      <c r="TYM47" s="19"/>
      <c r="TYN47" s="19"/>
      <c r="TYO47" s="19"/>
      <c r="TYP47" s="19"/>
      <c r="TYQ47" s="19"/>
      <c r="TYR47" s="19"/>
      <c r="TYS47" s="19"/>
      <c r="TYT47" s="19"/>
      <c r="TYU47" s="19"/>
      <c r="TYV47" s="19"/>
      <c r="TYW47" s="19"/>
      <c r="TYX47" s="19"/>
      <c r="TYY47" s="19"/>
      <c r="TYZ47" s="19"/>
      <c r="TZA47" s="19"/>
      <c r="TZB47" s="19"/>
      <c r="TZC47" s="19"/>
      <c r="TZD47" s="19"/>
      <c r="TZE47" s="19"/>
      <c r="TZF47" s="19"/>
      <c r="TZG47" s="19"/>
      <c r="TZH47" s="19"/>
      <c r="TZI47" s="19"/>
      <c r="TZJ47" s="19"/>
      <c r="TZK47" s="19"/>
      <c r="TZL47" s="19"/>
      <c r="TZM47" s="19"/>
      <c r="TZN47" s="19"/>
      <c r="TZO47" s="19"/>
      <c r="TZP47" s="19"/>
      <c r="TZQ47" s="19"/>
      <c r="TZR47" s="19"/>
      <c r="TZS47" s="19"/>
      <c r="TZT47" s="19"/>
      <c r="TZU47" s="19"/>
      <c r="TZV47" s="19"/>
      <c r="TZW47" s="19"/>
      <c r="TZX47" s="19"/>
      <c r="TZY47" s="19"/>
      <c r="TZZ47" s="19"/>
      <c r="UAA47" s="19"/>
      <c r="UAB47" s="19"/>
      <c r="UAC47" s="19"/>
      <c r="UAD47" s="19"/>
      <c r="UAE47" s="19"/>
      <c r="UAF47" s="19"/>
      <c r="UAG47" s="19"/>
      <c r="UAH47" s="19"/>
      <c r="UAI47" s="19"/>
      <c r="UAJ47" s="19"/>
      <c r="UAK47" s="19"/>
      <c r="UAL47" s="19"/>
      <c r="UAM47" s="19"/>
      <c r="UAN47" s="19"/>
      <c r="UAO47" s="19"/>
      <c r="UAP47" s="19"/>
      <c r="UAQ47" s="19"/>
      <c r="UAR47" s="19"/>
      <c r="UAS47" s="19"/>
      <c r="UAT47" s="19"/>
      <c r="UAU47" s="19"/>
      <c r="UAV47" s="19"/>
      <c r="UAW47" s="19"/>
      <c r="UAX47" s="19"/>
      <c r="UAY47" s="19"/>
      <c r="UAZ47" s="19"/>
      <c r="UBA47" s="19"/>
      <c r="UBB47" s="19"/>
      <c r="UBC47" s="19"/>
      <c r="UBD47" s="19"/>
      <c r="UBE47" s="19"/>
      <c r="UBF47" s="19"/>
      <c r="UBG47" s="19"/>
      <c r="UBH47" s="19"/>
      <c r="UBI47" s="19"/>
      <c r="UBJ47" s="19"/>
      <c r="UBK47" s="19"/>
      <c r="UBL47" s="19"/>
      <c r="UBM47" s="19"/>
      <c r="UBN47" s="19"/>
      <c r="UBO47" s="19"/>
      <c r="UBP47" s="19"/>
      <c r="UBQ47" s="19"/>
      <c r="UBR47" s="19"/>
      <c r="UBS47" s="19"/>
      <c r="UBT47" s="19"/>
      <c r="UBU47" s="19"/>
      <c r="UBV47" s="19"/>
      <c r="UBW47" s="19"/>
      <c r="UBX47" s="19"/>
      <c r="UBY47" s="19"/>
      <c r="UBZ47" s="19"/>
      <c r="UCA47" s="19"/>
      <c r="UCB47" s="19"/>
      <c r="UCC47" s="19"/>
      <c r="UCD47" s="19"/>
      <c r="UCE47" s="19"/>
      <c r="UCF47" s="19"/>
      <c r="UCG47" s="19"/>
      <c r="UCH47" s="19"/>
      <c r="UCI47" s="19"/>
      <c r="UCJ47" s="19"/>
      <c r="UCK47" s="19"/>
      <c r="UCL47" s="19"/>
      <c r="UCM47" s="19"/>
      <c r="UCN47" s="19"/>
      <c r="UCO47" s="19"/>
      <c r="UCP47" s="19"/>
      <c r="UCQ47" s="19"/>
      <c r="UCR47" s="19"/>
      <c r="UCS47" s="19"/>
      <c r="UCT47" s="19"/>
      <c r="UCU47" s="19"/>
      <c r="UCV47" s="19"/>
      <c r="UCW47" s="19"/>
      <c r="UCX47" s="19"/>
      <c r="UCY47" s="19"/>
      <c r="UCZ47" s="19"/>
      <c r="UDA47" s="19"/>
      <c r="UDB47" s="19"/>
      <c r="UDC47" s="19"/>
      <c r="UDD47" s="19"/>
      <c r="UDE47" s="19"/>
      <c r="UDF47" s="19"/>
      <c r="UDG47" s="19"/>
      <c r="UDH47" s="19"/>
      <c r="UDI47" s="19"/>
      <c r="UDJ47" s="19"/>
      <c r="UDK47" s="19"/>
      <c r="UDL47" s="19"/>
      <c r="UDM47" s="19"/>
      <c r="UDN47" s="19"/>
      <c r="UDO47" s="19"/>
      <c r="UDP47" s="19"/>
      <c r="UDQ47" s="19"/>
      <c r="UDR47" s="19"/>
      <c r="UDS47" s="19"/>
      <c r="UDT47" s="19"/>
      <c r="UDU47" s="19"/>
      <c r="UDV47" s="19"/>
      <c r="UDW47" s="19"/>
      <c r="UDX47" s="19"/>
      <c r="UDY47" s="19"/>
      <c r="UDZ47" s="19"/>
      <c r="UEA47" s="19"/>
      <c r="UEB47" s="19"/>
      <c r="UEC47" s="19"/>
      <c r="UED47" s="19"/>
      <c r="UEE47" s="19"/>
      <c r="UEF47" s="19"/>
      <c r="UEG47" s="19"/>
      <c r="UEH47" s="19"/>
      <c r="UEI47" s="19"/>
      <c r="UEJ47" s="19"/>
      <c r="UEK47" s="19"/>
      <c r="UEL47" s="19"/>
      <c r="UEM47" s="19"/>
      <c r="UEN47" s="19"/>
      <c r="UEO47" s="19"/>
      <c r="UEP47" s="19"/>
      <c r="UEQ47" s="19"/>
      <c r="UER47" s="19"/>
      <c r="UES47" s="19"/>
      <c r="UET47" s="19"/>
      <c r="UEU47" s="19"/>
      <c r="UEV47" s="19"/>
      <c r="UEW47" s="19"/>
      <c r="UEX47" s="19"/>
      <c r="UEY47" s="19"/>
      <c r="UEZ47" s="19"/>
      <c r="UFA47" s="19"/>
      <c r="UFB47" s="19"/>
      <c r="UFC47" s="19"/>
      <c r="UFD47" s="19"/>
      <c r="UFE47" s="19"/>
      <c r="UFF47" s="19"/>
      <c r="UFG47" s="19"/>
      <c r="UFH47" s="19"/>
      <c r="UFI47" s="19"/>
      <c r="UFJ47" s="19"/>
      <c r="UFK47" s="19"/>
      <c r="UFL47" s="19"/>
      <c r="UFM47" s="19"/>
      <c r="UFN47" s="19"/>
      <c r="UFO47" s="19"/>
      <c r="UFP47" s="19"/>
      <c r="UFQ47" s="19"/>
      <c r="UFR47" s="19"/>
      <c r="UFS47" s="19"/>
      <c r="UFT47" s="19"/>
      <c r="UFU47" s="19"/>
      <c r="UFV47" s="19"/>
      <c r="UFW47" s="19"/>
      <c r="UFX47" s="19"/>
      <c r="UFY47" s="19"/>
      <c r="UFZ47" s="19"/>
      <c r="UGA47" s="19"/>
      <c r="UGB47" s="19"/>
      <c r="UGC47" s="19"/>
      <c r="UGD47" s="19"/>
      <c r="UGE47" s="19"/>
      <c r="UGF47" s="19"/>
      <c r="UGG47" s="19"/>
      <c r="UGH47" s="19"/>
      <c r="UGI47" s="19"/>
      <c r="UGJ47" s="19"/>
      <c r="UGK47" s="19"/>
      <c r="UGL47" s="19"/>
      <c r="UGM47" s="19"/>
      <c r="UGN47" s="19"/>
      <c r="UGO47" s="19"/>
      <c r="UGP47" s="19"/>
      <c r="UGQ47" s="19"/>
      <c r="UGR47" s="19"/>
      <c r="UGS47" s="19"/>
      <c r="UGT47" s="19"/>
      <c r="UGU47" s="19"/>
      <c r="UGV47" s="19"/>
      <c r="UGW47" s="19"/>
      <c r="UGX47" s="19"/>
      <c r="UGY47" s="19"/>
      <c r="UGZ47" s="19"/>
      <c r="UHA47" s="19"/>
      <c r="UHB47" s="19"/>
      <c r="UHC47" s="19"/>
      <c r="UHD47" s="19"/>
      <c r="UHE47" s="19"/>
      <c r="UHF47" s="19"/>
      <c r="UHG47" s="19"/>
      <c r="UHH47" s="19"/>
      <c r="UHI47" s="19"/>
      <c r="UHJ47" s="19"/>
      <c r="UHK47" s="19"/>
      <c r="UHL47" s="19"/>
      <c r="UHM47" s="19"/>
      <c r="UHN47" s="19"/>
      <c r="UHO47" s="19"/>
      <c r="UHP47" s="19"/>
      <c r="UHQ47" s="19"/>
      <c r="UHR47" s="19"/>
      <c r="UHS47" s="19"/>
      <c r="UHT47" s="19"/>
      <c r="UHU47" s="19"/>
      <c r="UHV47" s="19"/>
      <c r="UHW47" s="19"/>
      <c r="UHX47" s="19"/>
      <c r="UHY47" s="19"/>
      <c r="UHZ47" s="19"/>
      <c r="UIA47" s="19"/>
      <c r="UIB47" s="19"/>
      <c r="UIC47" s="19"/>
      <c r="UID47" s="19"/>
      <c r="UIE47" s="19"/>
      <c r="UIF47" s="19"/>
      <c r="UIG47" s="19"/>
      <c r="UIH47" s="19"/>
      <c r="UII47" s="19"/>
      <c r="UIJ47" s="19"/>
      <c r="UIK47" s="19"/>
      <c r="UIL47" s="19"/>
      <c r="UIM47" s="19"/>
      <c r="UIN47" s="19"/>
      <c r="UIO47" s="19"/>
      <c r="UIP47" s="19"/>
      <c r="UIQ47" s="19"/>
      <c r="UIR47" s="19"/>
      <c r="UIS47" s="19"/>
      <c r="UIT47" s="19"/>
      <c r="UIU47" s="19"/>
      <c r="UIV47" s="19"/>
      <c r="UIW47" s="19"/>
      <c r="UIX47" s="19"/>
      <c r="UIY47" s="19"/>
      <c r="UIZ47" s="19"/>
      <c r="UJA47" s="19"/>
      <c r="UJB47" s="19"/>
      <c r="UJC47" s="19"/>
      <c r="UJD47" s="19"/>
      <c r="UJE47" s="19"/>
      <c r="UJF47" s="19"/>
      <c r="UJG47" s="19"/>
      <c r="UJH47" s="19"/>
      <c r="UJI47" s="19"/>
      <c r="UJJ47" s="19"/>
      <c r="UJK47" s="19"/>
      <c r="UJL47" s="19"/>
      <c r="UJM47" s="19"/>
      <c r="UJN47" s="19"/>
      <c r="UJO47" s="19"/>
      <c r="UJP47" s="19"/>
      <c r="UJQ47" s="19"/>
      <c r="UJR47" s="19"/>
      <c r="UJS47" s="19"/>
      <c r="UJT47" s="19"/>
      <c r="UJU47" s="19"/>
      <c r="UJV47" s="19"/>
      <c r="UJW47" s="19"/>
      <c r="UJX47" s="19"/>
      <c r="UJY47" s="19"/>
      <c r="UJZ47" s="19"/>
      <c r="UKA47" s="19"/>
      <c r="UKB47" s="19"/>
      <c r="UKC47" s="19"/>
      <c r="UKD47" s="19"/>
      <c r="UKE47" s="19"/>
      <c r="UKF47" s="19"/>
      <c r="UKG47" s="19"/>
      <c r="UKH47" s="19"/>
      <c r="UKI47" s="19"/>
      <c r="UKJ47" s="19"/>
      <c r="UKK47" s="19"/>
      <c r="UKL47" s="19"/>
      <c r="UKM47" s="19"/>
      <c r="UKN47" s="19"/>
      <c r="UKO47" s="19"/>
      <c r="UKP47" s="19"/>
      <c r="UKQ47" s="19"/>
      <c r="UKR47" s="19"/>
      <c r="UKS47" s="19"/>
      <c r="UKT47" s="19"/>
      <c r="UKU47" s="19"/>
      <c r="UKV47" s="19"/>
      <c r="UKW47" s="19"/>
      <c r="UKX47" s="19"/>
      <c r="UKY47" s="19"/>
      <c r="UKZ47" s="19"/>
      <c r="ULA47" s="19"/>
      <c r="ULB47" s="19"/>
      <c r="ULC47" s="19"/>
      <c r="ULD47" s="19"/>
      <c r="ULE47" s="19"/>
      <c r="ULF47" s="19"/>
      <c r="ULG47" s="19"/>
      <c r="ULH47" s="19"/>
      <c r="ULI47" s="19"/>
      <c r="ULJ47" s="19"/>
      <c r="ULK47" s="19"/>
      <c r="ULL47" s="19"/>
      <c r="ULM47" s="19"/>
      <c r="ULN47" s="19"/>
      <c r="ULO47" s="19"/>
      <c r="ULP47" s="19"/>
      <c r="ULQ47" s="19"/>
      <c r="ULR47" s="19"/>
      <c r="ULS47" s="19"/>
      <c r="ULT47" s="19"/>
      <c r="ULU47" s="19"/>
      <c r="ULV47" s="19"/>
      <c r="ULW47" s="19"/>
      <c r="ULX47" s="19"/>
      <c r="ULY47" s="19"/>
      <c r="ULZ47" s="19"/>
      <c r="UMA47" s="19"/>
      <c r="UMB47" s="19"/>
      <c r="UMC47" s="19"/>
      <c r="UMD47" s="19"/>
      <c r="UME47" s="19"/>
      <c r="UMF47" s="19"/>
      <c r="UMG47" s="19"/>
      <c r="UMH47" s="19"/>
      <c r="UMI47" s="19"/>
      <c r="UMJ47" s="19"/>
      <c r="UMK47" s="19"/>
      <c r="UML47" s="19"/>
      <c r="UMM47" s="19"/>
      <c r="UMN47" s="19"/>
      <c r="UMO47" s="19"/>
      <c r="UMP47" s="19"/>
      <c r="UMQ47" s="19"/>
      <c r="UMR47" s="19"/>
      <c r="UMS47" s="19"/>
      <c r="UMT47" s="19"/>
      <c r="UMU47" s="19"/>
      <c r="UMV47" s="19"/>
      <c r="UMW47" s="19"/>
      <c r="UMX47" s="19"/>
      <c r="UMY47" s="19"/>
      <c r="UMZ47" s="19"/>
      <c r="UNA47" s="19"/>
      <c r="UNB47" s="19"/>
      <c r="UNC47" s="19"/>
      <c r="UND47" s="19"/>
      <c r="UNE47" s="19"/>
      <c r="UNF47" s="19"/>
      <c r="UNG47" s="19"/>
      <c r="UNH47" s="19"/>
      <c r="UNI47" s="19"/>
      <c r="UNJ47" s="19"/>
      <c r="UNK47" s="19"/>
      <c r="UNL47" s="19"/>
      <c r="UNM47" s="19"/>
      <c r="UNN47" s="19"/>
      <c r="UNO47" s="19"/>
      <c r="UNP47" s="19"/>
      <c r="UNQ47" s="19"/>
      <c r="UNR47" s="19"/>
      <c r="UNS47" s="19"/>
      <c r="UNT47" s="19"/>
      <c r="UNU47" s="19"/>
      <c r="UNV47" s="19"/>
      <c r="UNW47" s="19"/>
      <c r="UNX47" s="19"/>
      <c r="UNY47" s="19"/>
      <c r="UNZ47" s="19"/>
      <c r="UOA47" s="19"/>
      <c r="UOB47" s="19"/>
      <c r="UOC47" s="19"/>
      <c r="UOD47" s="19"/>
      <c r="UOE47" s="19"/>
      <c r="UOF47" s="19"/>
      <c r="UOG47" s="19"/>
      <c r="UOH47" s="19"/>
      <c r="UOI47" s="19"/>
      <c r="UOJ47" s="19"/>
      <c r="UOK47" s="19"/>
      <c r="UOL47" s="19"/>
      <c r="UOM47" s="19"/>
      <c r="UON47" s="19"/>
      <c r="UOO47" s="19"/>
      <c r="UOP47" s="19"/>
      <c r="UOQ47" s="19"/>
      <c r="UOR47" s="19"/>
      <c r="UOS47" s="19"/>
      <c r="UOT47" s="19"/>
      <c r="UOU47" s="19"/>
      <c r="UOV47" s="19"/>
      <c r="UOW47" s="19"/>
      <c r="UOX47" s="19"/>
      <c r="UOY47" s="19"/>
      <c r="UOZ47" s="19"/>
      <c r="UPA47" s="19"/>
      <c r="UPB47" s="19"/>
      <c r="UPC47" s="19"/>
      <c r="UPD47" s="19"/>
      <c r="UPE47" s="19"/>
      <c r="UPF47" s="19"/>
      <c r="UPG47" s="19"/>
      <c r="UPH47" s="19"/>
      <c r="UPI47" s="19"/>
      <c r="UPJ47" s="19"/>
      <c r="UPK47" s="19"/>
      <c r="UPL47" s="19"/>
      <c r="UPM47" s="19"/>
      <c r="UPN47" s="19"/>
      <c r="UPO47" s="19"/>
      <c r="UPP47" s="19"/>
      <c r="UPQ47" s="19"/>
      <c r="UPR47" s="19"/>
      <c r="UPS47" s="19"/>
      <c r="UPT47" s="19"/>
      <c r="UPU47" s="19"/>
      <c r="UPV47" s="19"/>
      <c r="UPW47" s="19"/>
      <c r="UPX47" s="19"/>
      <c r="UPY47" s="19"/>
      <c r="UPZ47" s="19"/>
      <c r="UQA47" s="19"/>
      <c r="UQB47" s="19"/>
      <c r="UQC47" s="19"/>
      <c r="UQD47" s="19"/>
      <c r="UQE47" s="19"/>
      <c r="UQF47" s="19"/>
      <c r="UQG47" s="19"/>
      <c r="UQH47" s="19"/>
      <c r="UQI47" s="19"/>
      <c r="UQJ47" s="19"/>
      <c r="UQK47" s="19"/>
      <c r="UQL47" s="19"/>
      <c r="UQM47" s="19"/>
      <c r="UQN47" s="19"/>
      <c r="UQO47" s="19"/>
      <c r="UQP47" s="19"/>
      <c r="UQQ47" s="19"/>
      <c r="UQR47" s="19"/>
      <c r="UQS47" s="19"/>
      <c r="UQT47" s="19"/>
      <c r="UQU47" s="19"/>
      <c r="UQV47" s="19"/>
      <c r="UQW47" s="19"/>
      <c r="UQX47" s="19"/>
      <c r="UQY47" s="19"/>
      <c r="UQZ47" s="19"/>
      <c r="URA47" s="19"/>
      <c r="URB47" s="19"/>
      <c r="URC47" s="19"/>
      <c r="URD47" s="19"/>
      <c r="URE47" s="19"/>
      <c r="URF47" s="19"/>
      <c r="URG47" s="19"/>
      <c r="URH47" s="19"/>
      <c r="URI47" s="19"/>
      <c r="URJ47" s="19"/>
      <c r="URK47" s="19"/>
      <c r="URL47" s="19"/>
      <c r="URM47" s="19"/>
      <c r="URN47" s="19"/>
      <c r="URO47" s="19"/>
      <c r="URP47" s="19"/>
      <c r="URQ47" s="19"/>
      <c r="URR47" s="19"/>
      <c r="URS47" s="19"/>
      <c r="URT47" s="19"/>
      <c r="URU47" s="19"/>
      <c r="URV47" s="19"/>
      <c r="URW47" s="19"/>
      <c r="URX47" s="19"/>
      <c r="URY47" s="19"/>
      <c r="URZ47" s="19"/>
      <c r="USA47" s="19"/>
      <c r="USB47" s="19"/>
      <c r="USC47" s="19"/>
      <c r="USD47" s="19"/>
      <c r="USE47" s="19"/>
      <c r="USF47" s="19"/>
      <c r="USG47" s="19"/>
      <c r="USH47" s="19"/>
      <c r="USI47" s="19"/>
      <c r="USJ47" s="19"/>
      <c r="USK47" s="19"/>
      <c r="USL47" s="19"/>
      <c r="USM47" s="19"/>
      <c r="USN47" s="19"/>
      <c r="USO47" s="19"/>
      <c r="USP47" s="19"/>
      <c r="USQ47" s="19"/>
      <c r="USR47" s="19"/>
      <c r="USS47" s="19"/>
      <c r="UST47" s="19"/>
      <c r="USU47" s="19"/>
      <c r="USV47" s="19"/>
      <c r="USW47" s="19"/>
      <c r="USX47" s="19"/>
      <c r="USY47" s="19"/>
      <c r="USZ47" s="19"/>
      <c r="UTA47" s="19"/>
      <c r="UTB47" s="19"/>
      <c r="UTC47" s="19"/>
      <c r="UTD47" s="19"/>
      <c r="UTE47" s="19"/>
      <c r="UTF47" s="19"/>
      <c r="UTG47" s="19"/>
      <c r="UTH47" s="19"/>
      <c r="UTI47" s="19"/>
      <c r="UTJ47" s="19"/>
      <c r="UTK47" s="19"/>
      <c r="UTL47" s="19"/>
      <c r="UTM47" s="19"/>
      <c r="UTN47" s="19"/>
      <c r="UTO47" s="19"/>
      <c r="UTP47" s="19"/>
      <c r="UTQ47" s="19"/>
      <c r="UTR47" s="19"/>
      <c r="UTS47" s="19"/>
      <c r="UTT47" s="19"/>
      <c r="UTU47" s="19"/>
      <c r="UTV47" s="19"/>
      <c r="UTW47" s="19"/>
      <c r="UTX47" s="19"/>
      <c r="UTY47" s="19"/>
      <c r="UTZ47" s="19"/>
      <c r="UUA47" s="19"/>
      <c r="UUB47" s="19"/>
      <c r="UUC47" s="19"/>
      <c r="UUD47" s="19"/>
      <c r="UUE47" s="19"/>
      <c r="UUF47" s="19"/>
      <c r="UUG47" s="19"/>
      <c r="UUH47" s="19"/>
      <c r="UUI47" s="19"/>
      <c r="UUJ47" s="19"/>
      <c r="UUK47" s="19"/>
      <c r="UUL47" s="19"/>
      <c r="UUM47" s="19"/>
      <c r="UUN47" s="19"/>
      <c r="UUO47" s="19"/>
      <c r="UUP47" s="19"/>
      <c r="UUQ47" s="19"/>
      <c r="UUR47" s="19"/>
      <c r="UUS47" s="19"/>
      <c r="UUT47" s="19"/>
      <c r="UUU47" s="19"/>
      <c r="UUV47" s="19"/>
      <c r="UUW47" s="19"/>
      <c r="UUX47" s="19"/>
      <c r="UUY47" s="19"/>
      <c r="UUZ47" s="19"/>
      <c r="UVA47" s="19"/>
      <c r="UVB47" s="19"/>
      <c r="UVC47" s="19"/>
      <c r="UVD47" s="19"/>
      <c r="UVE47" s="19"/>
      <c r="UVF47" s="19"/>
      <c r="UVG47" s="19"/>
      <c r="UVH47" s="19"/>
      <c r="UVI47" s="19"/>
      <c r="UVJ47" s="19"/>
      <c r="UVK47" s="19"/>
      <c r="UVL47" s="19"/>
      <c r="UVM47" s="19"/>
      <c r="UVN47" s="19"/>
      <c r="UVO47" s="19"/>
      <c r="UVP47" s="19"/>
      <c r="UVQ47" s="19"/>
      <c r="UVR47" s="19"/>
      <c r="UVS47" s="19"/>
      <c r="UVT47" s="19"/>
      <c r="UVU47" s="19"/>
      <c r="UVV47" s="19"/>
      <c r="UVW47" s="19"/>
      <c r="UVX47" s="19"/>
      <c r="UVY47" s="19"/>
      <c r="UVZ47" s="19"/>
      <c r="UWA47" s="19"/>
      <c r="UWB47" s="19"/>
      <c r="UWC47" s="19"/>
      <c r="UWD47" s="19"/>
      <c r="UWE47" s="19"/>
      <c r="UWF47" s="19"/>
      <c r="UWG47" s="19"/>
      <c r="UWH47" s="19"/>
      <c r="UWI47" s="19"/>
      <c r="UWJ47" s="19"/>
      <c r="UWK47" s="19"/>
      <c r="UWL47" s="19"/>
      <c r="UWM47" s="19"/>
      <c r="UWN47" s="19"/>
      <c r="UWO47" s="19"/>
      <c r="UWP47" s="19"/>
      <c r="UWQ47" s="19"/>
      <c r="UWR47" s="19"/>
      <c r="UWS47" s="19"/>
      <c r="UWT47" s="19"/>
      <c r="UWU47" s="19"/>
      <c r="UWV47" s="19"/>
      <c r="UWW47" s="19"/>
      <c r="UWX47" s="19"/>
      <c r="UWY47" s="19"/>
      <c r="UWZ47" s="19"/>
      <c r="UXA47" s="19"/>
      <c r="UXB47" s="19"/>
      <c r="UXC47" s="19"/>
      <c r="UXD47" s="19"/>
      <c r="UXE47" s="19"/>
      <c r="UXF47" s="19"/>
      <c r="UXG47" s="19"/>
      <c r="UXH47" s="19"/>
      <c r="UXI47" s="19"/>
      <c r="UXJ47" s="19"/>
      <c r="UXK47" s="19"/>
      <c r="UXL47" s="19"/>
      <c r="UXM47" s="19"/>
      <c r="UXN47" s="19"/>
      <c r="UXO47" s="19"/>
      <c r="UXP47" s="19"/>
      <c r="UXQ47" s="19"/>
      <c r="UXR47" s="19"/>
      <c r="UXS47" s="19"/>
      <c r="UXT47" s="19"/>
      <c r="UXU47" s="19"/>
      <c r="UXV47" s="19"/>
      <c r="UXW47" s="19"/>
      <c r="UXX47" s="19"/>
      <c r="UXY47" s="19"/>
      <c r="UXZ47" s="19"/>
      <c r="UYA47" s="19"/>
      <c r="UYB47" s="19"/>
      <c r="UYC47" s="19"/>
      <c r="UYD47" s="19"/>
      <c r="UYE47" s="19"/>
      <c r="UYF47" s="19"/>
      <c r="UYG47" s="19"/>
      <c r="UYH47" s="19"/>
      <c r="UYI47" s="19"/>
      <c r="UYJ47" s="19"/>
      <c r="UYK47" s="19"/>
      <c r="UYL47" s="19"/>
      <c r="UYM47" s="19"/>
      <c r="UYN47" s="19"/>
      <c r="UYO47" s="19"/>
      <c r="UYP47" s="19"/>
      <c r="UYQ47" s="19"/>
      <c r="UYR47" s="19"/>
      <c r="UYS47" s="19"/>
      <c r="UYT47" s="19"/>
      <c r="UYU47" s="19"/>
      <c r="UYV47" s="19"/>
      <c r="UYW47" s="19"/>
      <c r="UYX47" s="19"/>
      <c r="UYY47" s="19"/>
      <c r="UYZ47" s="19"/>
      <c r="UZA47" s="19"/>
      <c r="UZB47" s="19"/>
      <c r="UZC47" s="19"/>
      <c r="UZD47" s="19"/>
      <c r="UZE47" s="19"/>
      <c r="UZF47" s="19"/>
      <c r="UZG47" s="19"/>
      <c r="UZH47" s="19"/>
      <c r="UZI47" s="19"/>
      <c r="UZJ47" s="19"/>
      <c r="UZK47" s="19"/>
      <c r="UZL47" s="19"/>
      <c r="UZM47" s="19"/>
      <c r="UZN47" s="19"/>
      <c r="UZO47" s="19"/>
      <c r="UZP47" s="19"/>
      <c r="UZQ47" s="19"/>
      <c r="UZR47" s="19"/>
      <c r="UZS47" s="19"/>
      <c r="UZT47" s="19"/>
      <c r="UZU47" s="19"/>
      <c r="UZV47" s="19"/>
      <c r="UZW47" s="19"/>
      <c r="UZX47" s="19"/>
      <c r="UZY47" s="19"/>
      <c r="UZZ47" s="19"/>
      <c r="VAA47" s="19"/>
      <c r="VAB47" s="19"/>
      <c r="VAC47" s="19"/>
      <c r="VAD47" s="19"/>
      <c r="VAE47" s="19"/>
      <c r="VAF47" s="19"/>
      <c r="VAG47" s="19"/>
      <c r="VAH47" s="19"/>
      <c r="VAI47" s="19"/>
      <c r="VAJ47" s="19"/>
      <c r="VAK47" s="19"/>
      <c r="VAL47" s="19"/>
      <c r="VAM47" s="19"/>
      <c r="VAN47" s="19"/>
      <c r="VAO47" s="19"/>
      <c r="VAP47" s="19"/>
      <c r="VAQ47" s="19"/>
      <c r="VAR47" s="19"/>
      <c r="VAS47" s="19"/>
      <c r="VAT47" s="19"/>
      <c r="VAU47" s="19"/>
      <c r="VAV47" s="19"/>
      <c r="VAW47" s="19"/>
      <c r="VAX47" s="19"/>
      <c r="VAY47" s="19"/>
      <c r="VAZ47" s="19"/>
      <c r="VBA47" s="19"/>
      <c r="VBB47" s="19"/>
      <c r="VBC47" s="19"/>
      <c r="VBD47" s="19"/>
      <c r="VBE47" s="19"/>
      <c r="VBF47" s="19"/>
      <c r="VBG47" s="19"/>
      <c r="VBH47" s="19"/>
      <c r="VBI47" s="19"/>
      <c r="VBJ47" s="19"/>
      <c r="VBK47" s="19"/>
      <c r="VBL47" s="19"/>
      <c r="VBM47" s="19"/>
      <c r="VBN47" s="19"/>
      <c r="VBO47" s="19"/>
      <c r="VBP47" s="19"/>
      <c r="VBQ47" s="19"/>
      <c r="VBR47" s="19"/>
      <c r="VBS47" s="19"/>
      <c r="VBT47" s="19"/>
      <c r="VBU47" s="19"/>
      <c r="VBV47" s="19"/>
      <c r="VBW47" s="19"/>
      <c r="VBX47" s="19"/>
      <c r="VBY47" s="19"/>
      <c r="VBZ47" s="19"/>
      <c r="VCA47" s="19"/>
      <c r="VCB47" s="19"/>
      <c r="VCC47" s="19"/>
      <c r="VCD47" s="19"/>
      <c r="VCE47" s="19"/>
      <c r="VCF47" s="19"/>
      <c r="VCG47" s="19"/>
      <c r="VCH47" s="19"/>
      <c r="VCI47" s="19"/>
      <c r="VCJ47" s="19"/>
      <c r="VCK47" s="19"/>
      <c r="VCL47" s="19"/>
      <c r="VCM47" s="19"/>
      <c r="VCN47" s="19"/>
      <c r="VCO47" s="19"/>
      <c r="VCP47" s="19"/>
      <c r="VCQ47" s="19"/>
      <c r="VCR47" s="19"/>
      <c r="VCS47" s="19"/>
      <c r="VCT47" s="19"/>
      <c r="VCU47" s="19"/>
      <c r="VCV47" s="19"/>
      <c r="VCW47" s="19"/>
      <c r="VCX47" s="19"/>
      <c r="VCY47" s="19"/>
      <c r="VCZ47" s="19"/>
      <c r="VDA47" s="19"/>
      <c r="VDB47" s="19"/>
      <c r="VDC47" s="19"/>
      <c r="VDD47" s="19"/>
      <c r="VDE47" s="19"/>
      <c r="VDF47" s="19"/>
      <c r="VDG47" s="19"/>
      <c r="VDH47" s="19"/>
      <c r="VDI47" s="19"/>
      <c r="VDJ47" s="19"/>
      <c r="VDK47" s="19"/>
      <c r="VDL47" s="19"/>
      <c r="VDM47" s="19"/>
      <c r="VDN47" s="19"/>
      <c r="VDO47" s="19"/>
      <c r="VDP47" s="19"/>
      <c r="VDQ47" s="19"/>
      <c r="VDR47" s="19"/>
      <c r="VDS47" s="19"/>
      <c r="VDT47" s="19"/>
      <c r="VDU47" s="19"/>
      <c r="VDV47" s="19"/>
      <c r="VDW47" s="19"/>
      <c r="VDX47" s="19"/>
      <c r="VDY47" s="19"/>
      <c r="VDZ47" s="19"/>
      <c r="VEA47" s="19"/>
      <c r="VEB47" s="19"/>
      <c r="VEC47" s="19"/>
      <c r="VED47" s="19"/>
      <c r="VEE47" s="19"/>
      <c r="VEF47" s="19"/>
      <c r="VEG47" s="19"/>
      <c r="VEH47" s="19"/>
      <c r="VEI47" s="19"/>
      <c r="VEJ47" s="19"/>
      <c r="VEK47" s="19"/>
      <c r="VEL47" s="19"/>
      <c r="VEM47" s="19"/>
      <c r="VEN47" s="19"/>
      <c r="VEO47" s="19"/>
      <c r="VEP47" s="19"/>
      <c r="VEQ47" s="19"/>
      <c r="VER47" s="19"/>
      <c r="VES47" s="19"/>
      <c r="VET47" s="19"/>
      <c r="VEU47" s="19"/>
      <c r="VEV47" s="19"/>
      <c r="VEW47" s="19"/>
      <c r="VEX47" s="19"/>
      <c r="VEY47" s="19"/>
      <c r="VEZ47" s="19"/>
      <c r="VFA47" s="19"/>
      <c r="VFB47" s="19"/>
      <c r="VFC47" s="19"/>
      <c r="VFD47" s="19"/>
      <c r="VFE47" s="19"/>
      <c r="VFF47" s="19"/>
      <c r="VFG47" s="19"/>
      <c r="VFH47" s="19"/>
      <c r="VFI47" s="19"/>
      <c r="VFJ47" s="19"/>
      <c r="VFK47" s="19"/>
      <c r="VFL47" s="19"/>
      <c r="VFM47" s="19"/>
      <c r="VFN47" s="19"/>
      <c r="VFO47" s="19"/>
      <c r="VFP47" s="19"/>
      <c r="VFQ47" s="19"/>
      <c r="VFR47" s="19"/>
      <c r="VFS47" s="19"/>
      <c r="VFT47" s="19"/>
      <c r="VFU47" s="19"/>
      <c r="VFV47" s="19"/>
      <c r="VFW47" s="19"/>
      <c r="VFX47" s="19"/>
      <c r="VFY47" s="19"/>
      <c r="VFZ47" s="19"/>
      <c r="VGA47" s="19"/>
      <c r="VGB47" s="19"/>
      <c r="VGC47" s="19"/>
      <c r="VGD47" s="19"/>
      <c r="VGE47" s="19"/>
      <c r="VGF47" s="19"/>
      <c r="VGG47" s="19"/>
      <c r="VGH47" s="19"/>
      <c r="VGI47" s="19"/>
      <c r="VGJ47" s="19"/>
      <c r="VGK47" s="19"/>
      <c r="VGL47" s="19"/>
      <c r="VGM47" s="19"/>
      <c r="VGN47" s="19"/>
      <c r="VGO47" s="19"/>
      <c r="VGP47" s="19"/>
      <c r="VGQ47" s="19"/>
      <c r="VGR47" s="19"/>
      <c r="VGS47" s="19"/>
      <c r="VGT47" s="19"/>
      <c r="VGU47" s="19"/>
      <c r="VGV47" s="19"/>
      <c r="VGW47" s="19"/>
      <c r="VGX47" s="19"/>
      <c r="VGY47" s="19"/>
      <c r="VGZ47" s="19"/>
      <c r="VHA47" s="19"/>
      <c r="VHB47" s="19"/>
      <c r="VHC47" s="19"/>
      <c r="VHD47" s="19"/>
      <c r="VHE47" s="19"/>
      <c r="VHF47" s="19"/>
      <c r="VHG47" s="19"/>
      <c r="VHH47" s="19"/>
      <c r="VHI47" s="19"/>
      <c r="VHJ47" s="19"/>
      <c r="VHK47" s="19"/>
      <c r="VHL47" s="19"/>
      <c r="VHM47" s="19"/>
      <c r="VHN47" s="19"/>
      <c r="VHO47" s="19"/>
      <c r="VHP47" s="19"/>
      <c r="VHQ47" s="19"/>
      <c r="VHR47" s="19"/>
      <c r="VHS47" s="19"/>
      <c r="VHT47" s="19"/>
      <c r="VHU47" s="19"/>
      <c r="VHV47" s="19"/>
      <c r="VHW47" s="19"/>
      <c r="VHX47" s="19"/>
      <c r="VHY47" s="19"/>
      <c r="VHZ47" s="19"/>
      <c r="VIA47" s="19"/>
      <c r="VIB47" s="19"/>
      <c r="VIC47" s="19"/>
      <c r="VID47" s="19"/>
      <c r="VIE47" s="19"/>
      <c r="VIF47" s="19"/>
      <c r="VIG47" s="19"/>
      <c r="VIH47" s="19"/>
      <c r="VII47" s="19"/>
      <c r="VIJ47" s="19"/>
      <c r="VIK47" s="19"/>
      <c r="VIL47" s="19"/>
      <c r="VIM47" s="19"/>
      <c r="VIN47" s="19"/>
      <c r="VIO47" s="19"/>
      <c r="VIP47" s="19"/>
      <c r="VIQ47" s="19"/>
      <c r="VIR47" s="19"/>
      <c r="VIS47" s="19"/>
      <c r="VIT47" s="19"/>
      <c r="VIU47" s="19"/>
      <c r="VIV47" s="19"/>
      <c r="VIW47" s="19"/>
      <c r="VIX47" s="19"/>
      <c r="VIY47" s="19"/>
      <c r="VIZ47" s="19"/>
      <c r="VJA47" s="19"/>
      <c r="VJB47" s="19"/>
      <c r="VJC47" s="19"/>
      <c r="VJD47" s="19"/>
      <c r="VJE47" s="19"/>
      <c r="VJF47" s="19"/>
      <c r="VJG47" s="19"/>
      <c r="VJH47" s="19"/>
      <c r="VJI47" s="19"/>
      <c r="VJJ47" s="19"/>
      <c r="VJK47" s="19"/>
      <c r="VJL47" s="19"/>
      <c r="VJM47" s="19"/>
      <c r="VJN47" s="19"/>
      <c r="VJO47" s="19"/>
      <c r="VJP47" s="19"/>
      <c r="VJQ47" s="19"/>
      <c r="VJR47" s="19"/>
      <c r="VJS47" s="19"/>
      <c r="VJT47" s="19"/>
      <c r="VJU47" s="19"/>
      <c r="VJV47" s="19"/>
      <c r="VJW47" s="19"/>
      <c r="VJX47" s="19"/>
      <c r="VJY47" s="19"/>
      <c r="VJZ47" s="19"/>
      <c r="VKA47" s="19"/>
      <c r="VKB47" s="19"/>
      <c r="VKC47" s="19"/>
      <c r="VKD47" s="19"/>
      <c r="VKE47" s="19"/>
      <c r="VKF47" s="19"/>
      <c r="VKG47" s="19"/>
      <c r="VKH47" s="19"/>
      <c r="VKI47" s="19"/>
      <c r="VKJ47" s="19"/>
      <c r="VKK47" s="19"/>
      <c r="VKL47" s="19"/>
      <c r="VKM47" s="19"/>
      <c r="VKN47" s="19"/>
      <c r="VKO47" s="19"/>
      <c r="VKP47" s="19"/>
      <c r="VKQ47" s="19"/>
      <c r="VKR47" s="19"/>
      <c r="VKS47" s="19"/>
      <c r="VKT47" s="19"/>
      <c r="VKU47" s="19"/>
      <c r="VKV47" s="19"/>
      <c r="VKW47" s="19"/>
      <c r="VKX47" s="19"/>
      <c r="VKY47" s="19"/>
      <c r="VKZ47" s="19"/>
      <c r="VLA47" s="19"/>
      <c r="VLB47" s="19"/>
      <c r="VLC47" s="19"/>
      <c r="VLD47" s="19"/>
      <c r="VLE47" s="19"/>
      <c r="VLF47" s="19"/>
      <c r="VLG47" s="19"/>
      <c r="VLH47" s="19"/>
      <c r="VLI47" s="19"/>
      <c r="VLJ47" s="19"/>
      <c r="VLK47" s="19"/>
      <c r="VLL47" s="19"/>
      <c r="VLM47" s="19"/>
      <c r="VLN47" s="19"/>
      <c r="VLO47" s="19"/>
      <c r="VLP47" s="19"/>
      <c r="VLQ47" s="19"/>
      <c r="VLR47" s="19"/>
      <c r="VLS47" s="19"/>
      <c r="VLT47" s="19"/>
      <c r="VLU47" s="19"/>
      <c r="VLV47" s="19"/>
      <c r="VLW47" s="19"/>
      <c r="VLX47" s="19"/>
      <c r="VLY47" s="19"/>
      <c r="VLZ47" s="19"/>
      <c r="VMA47" s="19"/>
      <c r="VMB47" s="19"/>
      <c r="VMC47" s="19"/>
      <c r="VMD47" s="19"/>
      <c r="VME47" s="19"/>
      <c r="VMF47" s="19"/>
      <c r="VMG47" s="19"/>
      <c r="VMH47" s="19"/>
      <c r="VMI47" s="19"/>
      <c r="VMJ47" s="19"/>
      <c r="VMK47" s="19"/>
      <c r="VML47" s="19"/>
      <c r="VMM47" s="19"/>
      <c r="VMN47" s="19"/>
      <c r="VMO47" s="19"/>
      <c r="VMP47" s="19"/>
      <c r="VMQ47" s="19"/>
      <c r="VMR47" s="19"/>
      <c r="VMS47" s="19"/>
      <c r="VMT47" s="19"/>
      <c r="VMU47" s="19"/>
      <c r="VMV47" s="19"/>
      <c r="VMW47" s="19"/>
      <c r="VMX47" s="19"/>
      <c r="VMY47" s="19"/>
      <c r="VMZ47" s="19"/>
      <c r="VNA47" s="19"/>
      <c r="VNB47" s="19"/>
      <c r="VNC47" s="19"/>
      <c r="VND47" s="19"/>
      <c r="VNE47" s="19"/>
      <c r="VNF47" s="19"/>
      <c r="VNG47" s="19"/>
      <c r="VNH47" s="19"/>
      <c r="VNI47" s="19"/>
      <c r="VNJ47" s="19"/>
      <c r="VNK47" s="19"/>
      <c r="VNL47" s="19"/>
      <c r="VNM47" s="19"/>
      <c r="VNN47" s="19"/>
      <c r="VNO47" s="19"/>
      <c r="VNP47" s="19"/>
      <c r="VNQ47" s="19"/>
      <c r="VNR47" s="19"/>
      <c r="VNS47" s="19"/>
      <c r="VNT47" s="19"/>
      <c r="VNU47" s="19"/>
      <c r="VNV47" s="19"/>
      <c r="VNW47" s="19"/>
      <c r="VNX47" s="19"/>
      <c r="VNY47" s="19"/>
      <c r="VNZ47" s="19"/>
      <c r="VOA47" s="19"/>
      <c r="VOB47" s="19"/>
      <c r="VOC47" s="19"/>
      <c r="VOD47" s="19"/>
      <c r="VOE47" s="19"/>
      <c r="VOF47" s="19"/>
      <c r="VOG47" s="19"/>
      <c r="VOH47" s="19"/>
      <c r="VOI47" s="19"/>
      <c r="VOJ47" s="19"/>
      <c r="VOK47" s="19"/>
      <c r="VOL47" s="19"/>
      <c r="VOM47" s="19"/>
      <c r="VON47" s="19"/>
      <c r="VOO47" s="19"/>
      <c r="VOP47" s="19"/>
      <c r="VOQ47" s="19"/>
      <c r="VOR47" s="19"/>
      <c r="VOS47" s="19"/>
      <c r="VOT47" s="19"/>
      <c r="VOU47" s="19"/>
      <c r="VOV47" s="19"/>
      <c r="VOW47" s="19"/>
      <c r="VOX47" s="19"/>
      <c r="VOY47" s="19"/>
      <c r="VOZ47" s="19"/>
      <c r="VPA47" s="19"/>
      <c r="VPB47" s="19"/>
      <c r="VPC47" s="19"/>
      <c r="VPD47" s="19"/>
      <c r="VPE47" s="19"/>
      <c r="VPF47" s="19"/>
      <c r="VPG47" s="19"/>
      <c r="VPH47" s="19"/>
      <c r="VPI47" s="19"/>
      <c r="VPJ47" s="19"/>
      <c r="VPK47" s="19"/>
      <c r="VPL47" s="19"/>
      <c r="VPM47" s="19"/>
      <c r="VPN47" s="19"/>
      <c r="VPO47" s="19"/>
      <c r="VPP47" s="19"/>
      <c r="VPQ47" s="19"/>
      <c r="VPR47" s="19"/>
      <c r="VPS47" s="19"/>
      <c r="VPT47" s="19"/>
      <c r="VPU47" s="19"/>
      <c r="VPV47" s="19"/>
      <c r="VPW47" s="19"/>
      <c r="VPX47" s="19"/>
      <c r="VPY47" s="19"/>
      <c r="VPZ47" s="19"/>
      <c r="VQA47" s="19"/>
      <c r="VQB47" s="19"/>
      <c r="VQC47" s="19"/>
      <c r="VQD47" s="19"/>
      <c r="VQE47" s="19"/>
      <c r="VQF47" s="19"/>
      <c r="VQG47" s="19"/>
      <c r="VQH47" s="19"/>
      <c r="VQI47" s="19"/>
      <c r="VQJ47" s="19"/>
      <c r="VQK47" s="19"/>
      <c r="VQL47" s="19"/>
      <c r="VQM47" s="19"/>
      <c r="VQN47" s="19"/>
      <c r="VQO47" s="19"/>
      <c r="VQP47" s="19"/>
      <c r="VQQ47" s="19"/>
      <c r="VQR47" s="19"/>
      <c r="VQS47" s="19"/>
      <c r="VQT47" s="19"/>
      <c r="VQU47" s="19"/>
      <c r="VQV47" s="19"/>
      <c r="VQW47" s="19"/>
      <c r="VQX47" s="19"/>
      <c r="VQY47" s="19"/>
      <c r="VQZ47" s="19"/>
      <c r="VRA47" s="19"/>
      <c r="VRB47" s="19"/>
      <c r="VRC47" s="19"/>
      <c r="VRD47" s="19"/>
      <c r="VRE47" s="19"/>
      <c r="VRF47" s="19"/>
      <c r="VRG47" s="19"/>
      <c r="VRH47" s="19"/>
      <c r="VRI47" s="19"/>
      <c r="VRJ47" s="19"/>
      <c r="VRK47" s="19"/>
      <c r="VRL47" s="19"/>
      <c r="VRM47" s="19"/>
      <c r="VRN47" s="19"/>
      <c r="VRO47" s="19"/>
      <c r="VRP47" s="19"/>
      <c r="VRQ47" s="19"/>
      <c r="VRR47" s="19"/>
      <c r="VRS47" s="19"/>
      <c r="VRT47" s="19"/>
      <c r="VRU47" s="19"/>
      <c r="VRV47" s="19"/>
      <c r="VRW47" s="19"/>
      <c r="VRX47" s="19"/>
      <c r="VRY47" s="19"/>
      <c r="VRZ47" s="19"/>
      <c r="VSA47" s="19"/>
      <c r="VSB47" s="19"/>
      <c r="VSC47" s="19"/>
      <c r="VSD47" s="19"/>
      <c r="VSE47" s="19"/>
      <c r="VSF47" s="19"/>
      <c r="VSG47" s="19"/>
      <c r="VSH47" s="19"/>
      <c r="VSI47" s="19"/>
      <c r="VSJ47" s="19"/>
      <c r="VSK47" s="19"/>
      <c r="VSL47" s="19"/>
      <c r="VSM47" s="19"/>
      <c r="VSN47" s="19"/>
      <c r="VSO47" s="19"/>
      <c r="VSP47" s="19"/>
      <c r="VSQ47" s="19"/>
      <c r="VSR47" s="19"/>
      <c r="VSS47" s="19"/>
      <c r="VST47" s="19"/>
      <c r="VSU47" s="19"/>
      <c r="VSV47" s="19"/>
      <c r="VSW47" s="19"/>
      <c r="VSX47" s="19"/>
      <c r="VSY47" s="19"/>
      <c r="VSZ47" s="19"/>
      <c r="VTA47" s="19"/>
      <c r="VTB47" s="19"/>
      <c r="VTC47" s="19"/>
      <c r="VTD47" s="19"/>
      <c r="VTE47" s="19"/>
      <c r="VTF47" s="19"/>
      <c r="VTG47" s="19"/>
      <c r="VTH47" s="19"/>
      <c r="VTI47" s="19"/>
      <c r="VTJ47" s="19"/>
      <c r="VTK47" s="19"/>
      <c r="VTL47" s="19"/>
      <c r="VTM47" s="19"/>
      <c r="VTN47" s="19"/>
      <c r="VTO47" s="19"/>
      <c r="VTP47" s="19"/>
      <c r="VTQ47" s="19"/>
      <c r="VTR47" s="19"/>
      <c r="VTS47" s="19"/>
      <c r="VTT47" s="19"/>
      <c r="VTU47" s="19"/>
      <c r="VTV47" s="19"/>
      <c r="VTW47" s="19"/>
      <c r="VTX47" s="19"/>
      <c r="VTY47" s="19"/>
      <c r="VTZ47" s="19"/>
      <c r="VUA47" s="19"/>
      <c r="VUB47" s="19"/>
      <c r="VUC47" s="19"/>
      <c r="VUD47" s="19"/>
      <c r="VUE47" s="19"/>
      <c r="VUF47" s="19"/>
      <c r="VUG47" s="19"/>
      <c r="VUH47" s="19"/>
      <c r="VUI47" s="19"/>
      <c r="VUJ47" s="19"/>
      <c r="VUK47" s="19"/>
      <c r="VUL47" s="19"/>
      <c r="VUM47" s="19"/>
      <c r="VUN47" s="19"/>
      <c r="VUO47" s="19"/>
      <c r="VUP47" s="19"/>
      <c r="VUQ47" s="19"/>
      <c r="VUR47" s="19"/>
      <c r="VUS47" s="19"/>
      <c r="VUT47" s="19"/>
      <c r="VUU47" s="19"/>
      <c r="VUV47" s="19"/>
      <c r="VUW47" s="19"/>
      <c r="VUX47" s="19"/>
      <c r="VUY47" s="19"/>
      <c r="VUZ47" s="19"/>
      <c r="VVA47" s="19"/>
      <c r="VVB47" s="19"/>
      <c r="VVC47" s="19"/>
      <c r="VVD47" s="19"/>
      <c r="VVE47" s="19"/>
      <c r="VVF47" s="19"/>
      <c r="VVG47" s="19"/>
      <c r="VVH47" s="19"/>
      <c r="VVI47" s="19"/>
      <c r="VVJ47" s="19"/>
      <c r="VVK47" s="19"/>
      <c r="VVL47" s="19"/>
      <c r="VVM47" s="19"/>
      <c r="VVN47" s="19"/>
      <c r="VVO47" s="19"/>
      <c r="VVP47" s="19"/>
      <c r="VVQ47" s="19"/>
      <c r="VVR47" s="19"/>
      <c r="VVS47" s="19"/>
      <c r="VVT47" s="19"/>
      <c r="VVU47" s="19"/>
      <c r="VVV47" s="19"/>
      <c r="VVW47" s="19"/>
      <c r="VVX47" s="19"/>
      <c r="VVY47" s="19"/>
      <c r="VVZ47" s="19"/>
      <c r="VWA47" s="19"/>
      <c r="VWB47" s="19"/>
      <c r="VWC47" s="19"/>
      <c r="VWD47" s="19"/>
      <c r="VWE47" s="19"/>
      <c r="VWF47" s="19"/>
      <c r="VWG47" s="19"/>
      <c r="VWH47" s="19"/>
      <c r="VWI47" s="19"/>
      <c r="VWJ47" s="19"/>
      <c r="VWK47" s="19"/>
      <c r="VWL47" s="19"/>
      <c r="VWM47" s="19"/>
      <c r="VWN47" s="19"/>
      <c r="VWO47" s="19"/>
      <c r="VWP47" s="19"/>
      <c r="VWQ47" s="19"/>
      <c r="VWR47" s="19"/>
      <c r="VWS47" s="19"/>
      <c r="VWT47" s="19"/>
      <c r="VWU47" s="19"/>
      <c r="VWV47" s="19"/>
      <c r="VWW47" s="19"/>
      <c r="VWX47" s="19"/>
      <c r="VWY47" s="19"/>
      <c r="VWZ47" s="19"/>
      <c r="VXA47" s="19"/>
      <c r="VXB47" s="19"/>
      <c r="VXC47" s="19"/>
      <c r="VXD47" s="19"/>
      <c r="VXE47" s="19"/>
      <c r="VXF47" s="19"/>
      <c r="VXG47" s="19"/>
      <c r="VXH47" s="19"/>
      <c r="VXI47" s="19"/>
      <c r="VXJ47" s="19"/>
      <c r="VXK47" s="19"/>
      <c r="VXL47" s="19"/>
      <c r="VXM47" s="19"/>
      <c r="VXN47" s="19"/>
      <c r="VXO47" s="19"/>
      <c r="VXP47" s="19"/>
      <c r="VXQ47" s="19"/>
      <c r="VXR47" s="19"/>
      <c r="VXS47" s="19"/>
      <c r="VXT47" s="19"/>
      <c r="VXU47" s="19"/>
      <c r="VXV47" s="19"/>
      <c r="VXW47" s="19"/>
      <c r="VXX47" s="19"/>
      <c r="VXY47" s="19"/>
      <c r="VXZ47" s="19"/>
      <c r="VYA47" s="19"/>
      <c r="VYB47" s="19"/>
      <c r="VYC47" s="19"/>
      <c r="VYD47" s="19"/>
      <c r="VYE47" s="19"/>
      <c r="VYF47" s="19"/>
      <c r="VYG47" s="19"/>
      <c r="VYH47" s="19"/>
      <c r="VYI47" s="19"/>
      <c r="VYJ47" s="19"/>
      <c r="VYK47" s="19"/>
      <c r="VYL47" s="19"/>
      <c r="VYM47" s="19"/>
      <c r="VYN47" s="19"/>
      <c r="VYO47" s="19"/>
      <c r="VYP47" s="19"/>
      <c r="VYQ47" s="19"/>
      <c r="VYR47" s="19"/>
      <c r="VYS47" s="19"/>
      <c r="VYT47" s="19"/>
      <c r="VYU47" s="19"/>
      <c r="VYV47" s="19"/>
      <c r="VYW47" s="19"/>
      <c r="VYX47" s="19"/>
      <c r="VYY47" s="19"/>
      <c r="VYZ47" s="19"/>
      <c r="VZA47" s="19"/>
      <c r="VZB47" s="19"/>
      <c r="VZC47" s="19"/>
      <c r="VZD47" s="19"/>
      <c r="VZE47" s="19"/>
      <c r="VZF47" s="19"/>
      <c r="VZG47" s="19"/>
      <c r="VZH47" s="19"/>
      <c r="VZI47" s="19"/>
      <c r="VZJ47" s="19"/>
      <c r="VZK47" s="19"/>
      <c r="VZL47" s="19"/>
      <c r="VZM47" s="19"/>
      <c r="VZN47" s="19"/>
      <c r="VZO47" s="19"/>
      <c r="VZP47" s="19"/>
      <c r="VZQ47" s="19"/>
      <c r="VZR47" s="19"/>
      <c r="VZS47" s="19"/>
      <c r="VZT47" s="19"/>
      <c r="VZU47" s="19"/>
      <c r="VZV47" s="19"/>
      <c r="VZW47" s="19"/>
      <c r="VZX47" s="19"/>
      <c r="VZY47" s="19"/>
      <c r="VZZ47" s="19"/>
      <c r="WAA47" s="19"/>
      <c r="WAB47" s="19"/>
      <c r="WAC47" s="19"/>
      <c r="WAD47" s="19"/>
      <c r="WAE47" s="19"/>
      <c r="WAF47" s="19"/>
      <c r="WAG47" s="19"/>
      <c r="WAH47" s="19"/>
      <c r="WAI47" s="19"/>
      <c r="WAJ47" s="19"/>
      <c r="WAK47" s="19"/>
      <c r="WAL47" s="19"/>
      <c r="WAM47" s="19"/>
      <c r="WAN47" s="19"/>
      <c r="WAO47" s="19"/>
      <c r="WAP47" s="19"/>
      <c r="WAQ47" s="19"/>
      <c r="WAR47" s="19"/>
      <c r="WAS47" s="19"/>
      <c r="WAT47" s="19"/>
      <c r="WAU47" s="19"/>
      <c r="WAV47" s="19"/>
      <c r="WAW47" s="19"/>
      <c r="WAX47" s="19"/>
      <c r="WAY47" s="19"/>
      <c r="WAZ47" s="19"/>
      <c r="WBA47" s="19"/>
      <c r="WBB47" s="19"/>
      <c r="WBC47" s="19"/>
      <c r="WBD47" s="19"/>
      <c r="WBE47" s="19"/>
      <c r="WBF47" s="19"/>
      <c r="WBG47" s="19"/>
      <c r="WBH47" s="19"/>
      <c r="WBI47" s="19"/>
      <c r="WBJ47" s="19"/>
      <c r="WBK47" s="19"/>
      <c r="WBL47" s="19"/>
      <c r="WBM47" s="19"/>
      <c r="WBN47" s="19"/>
      <c r="WBO47" s="19"/>
      <c r="WBP47" s="19"/>
      <c r="WBQ47" s="19"/>
      <c r="WBR47" s="19"/>
      <c r="WBS47" s="19"/>
      <c r="WBT47" s="19"/>
      <c r="WBU47" s="19"/>
      <c r="WBV47" s="19"/>
      <c r="WBW47" s="19"/>
      <c r="WBX47" s="19"/>
      <c r="WBY47" s="19"/>
      <c r="WBZ47" s="19"/>
      <c r="WCA47" s="19"/>
      <c r="WCB47" s="19"/>
      <c r="WCC47" s="19"/>
      <c r="WCD47" s="19"/>
      <c r="WCE47" s="19"/>
      <c r="WCF47" s="19"/>
      <c r="WCG47" s="19"/>
      <c r="WCH47" s="19"/>
      <c r="WCI47" s="19"/>
      <c r="WCJ47" s="19"/>
      <c r="WCK47" s="19"/>
      <c r="WCL47" s="19"/>
      <c r="WCM47" s="19"/>
      <c r="WCN47" s="19"/>
      <c r="WCO47" s="19"/>
      <c r="WCP47" s="19"/>
      <c r="WCQ47" s="19"/>
      <c r="WCR47" s="19"/>
      <c r="WCS47" s="19"/>
      <c r="WCT47" s="19"/>
      <c r="WCU47" s="19"/>
      <c r="WCV47" s="19"/>
      <c r="WCW47" s="19"/>
      <c r="WCX47" s="19"/>
      <c r="WCY47" s="19"/>
      <c r="WCZ47" s="19"/>
      <c r="WDA47" s="19"/>
      <c r="WDB47" s="19"/>
      <c r="WDC47" s="19"/>
      <c r="WDD47" s="19"/>
      <c r="WDE47" s="19"/>
      <c r="WDF47" s="19"/>
      <c r="WDG47" s="19"/>
      <c r="WDH47" s="19"/>
      <c r="WDI47" s="19"/>
      <c r="WDJ47" s="19"/>
      <c r="WDK47" s="19"/>
      <c r="WDL47" s="19"/>
      <c r="WDM47" s="19"/>
      <c r="WDN47" s="19"/>
      <c r="WDO47" s="19"/>
      <c r="WDP47" s="19"/>
      <c r="WDQ47" s="19"/>
      <c r="WDR47" s="19"/>
      <c r="WDS47" s="19"/>
      <c r="WDT47" s="19"/>
      <c r="WDU47" s="19"/>
      <c r="WDV47" s="19"/>
      <c r="WDW47" s="19"/>
      <c r="WDX47" s="19"/>
      <c r="WDY47" s="19"/>
      <c r="WDZ47" s="19"/>
      <c r="WEA47" s="19"/>
      <c r="WEB47" s="19"/>
      <c r="WEC47" s="19"/>
      <c r="WED47" s="19"/>
      <c r="WEE47" s="19"/>
      <c r="WEF47" s="19"/>
      <c r="WEG47" s="19"/>
      <c r="WEH47" s="19"/>
      <c r="WEI47" s="19"/>
      <c r="WEJ47" s="19"/>
      <c r="WEK47" s="19"/>
      <c r="WEL47" s="19"/>
      <c r="WEM47" s="19"/>
      <c r="WEN47" s="19"/>
      <c r="WEO47" s="19"/>
      <c r="WEP47" s="19"/>
      <c r="WEQ47" s="19"/>
      <c r="WER47" s="19"/>
      <c r="WES47" s="19"/>
      <c r="WET47" s="19"/>
      <c r="WEU47" s="19"/>
      <c r="WEV47" s="19"/>
      <c r="WEW47" s="19"/>
      <c r="WEX47" s="19"/>
      <c r="WEY47" s="19"/>
      <c r="WEZ47" s="19"/>
      <c r="WFA47" s="19"/>
      <c r="WFB47" s="19"/>
      <c r="WFC47" s="19"/>
      <c r="WFD47" s="19"/>
      <c r="WFE47" s="19"/>
      <c r="WFF47" s="19"/>
      <c r="WFG47" s="19"/>
      <c r="WFH47" s="19"/>
      <c r="WFI47" s="19"/>
      <c r="WFJ47" s="19"/>
      <c r="WFK47" s="19"/>
      <c r="WFL47" s="19"/>
      <c r="WFM47" s="19"/>
      <c r="WFN47" s="19"/>
      <c r="WFO47" s="19"/>
      <c r="WFP47" s="19"/>
      <c r="WFQ47" s="19"/>
      <c r="WFR47" s="19"/>
      <c r="WFS47" s="19"/>
      <c r="WFT47" s="19"/>
      <c r="WFU47" s="19"/>
      <c r="WFV47" s="19"/>
      <c r="WFW47" s="19"/>
      <c r="WFX47" s="19"/>
      <c r="WFY47" s="19"/>
      <c r="WFZ47" s="19"/>
      <c r="WGA47" s="19"/>
      <c r="WGB47" s="19"/>
      <c r="WGC47" s="19"/>
      <c r="WGD47" s="19"/>
      <c r="WGE47" s="19"/>
      <c r="WGF47" s="19"/>
      <c r="WGG47" s="19"/>
      <c r="WGH47" s="19"/>
      <c r="WGI47" s="19"/>
      <c r="WGJ47" s="19"/>
      <c r="WGK47" s="19"/>
      <c r="WGL47" s="19"/>
      <c r="WGM47" s="19"/>
      <c r="WGN47" s="19"/>
      <c r="WGO47" s="19"/>
      <c r="WGP47" s="19"/>
      <c r="WGQ47" s="19"/>
      <c r="WGR47" s="19"/>
      <c r="WGS47" s="19"/>
      <c r="WGT47" s="19"/>
      <c r="WGU47" s="19"/>
      <c r="WGV47" s="19"/>
      <c r="WGW47" s="19"/>
      <c r="WGX47" s="19"/>
      <c r="WGY47" s="19"/>
      <c r="WGZ47" s="19"/>
      <c r="WHA47" s="19"/>
      <c r="WHB47" s="19"/>
      <c r="WHC47" s="19"/>
      <c r="WHD47" s="19"/>
      <c r="WHE47" s="19"/>
      <c r="WHF47" s="19"/>
      <c r="WHG47" s="19"/>
      <c r="WHH47" s="19"/>
      <c r="WHI47" s="19"/>
      <c r="WHJ47" s="19"/>
      <c r="WHK47" s="19"/>
      <c r="WHL47" s="19"/>
      <c r="WHM47" s="19"/>
      <c r="WHN47" s="19"/>
      <c r="WHO47" s="19"/>
      <c r="WHP47" s="19"/>
      <c r="WHQ47" s="19"/>
      <c r="WHR47" s="19"/>
      <c r="WHS47" s="19"/>
      <c r="WHT47" s="19"/>
      <c r="WHU47" s="19"/>
      <c r="WHV47" s="19"/>
      <c r="WHW47" s="19"/>
      <c r="WHX47" s="19"/>
      <c r="WHY47" s="19"/>
      <c r="WHZ47" s="19"/>
      <c r="WIA47" s="19"/>
      <c r="WIB47" s="19"/>
      <c r="WIC47" s="19"/>
      <c r="WID47" s="19"/>
      <c r="WIE47" s="19"/>
      <c r="WIF47" s="19"/>
      <c r="WIG47" s="19"/>
      <c r="WIH47" s="19"/>
      <c r="WII47" s="19"/>
      <c r="WIJ47" s="19"/>
      <c r="WIK47" s="19"/>
      <c r="WIL47" s="19"/>
      <c r="WIM47" s="19"/>
      <c r="WIN47" s="19"/>
      <c r="WIO47" s="19"/>
      <c r="WIP47" s="19"/>
      <c r="WIQ47" s="19"/>
      <c r="WIR47" s="19"/>
      <c r="WIS47" s="19"/>
      <c r="WIT47" s="19"/>
      <c r="WIU47" s="19"/>
      <c r="WIV47" s="19"/>
      <c r="WIW47" s="19"/>
      <c r="WIX47" s="19"/>
      <c r="WIY47" s="19"/>
      <c r="WIZ47" s="19"/>
      <c r="WJA47" s="19"/>
      <c r="WJB47" s="19"/>
      <c r="WJC47" s="19"/>
      <c r="WJD47" s="19"/>
      <c r="WJE47" s="19"/>
      <c r="WJF47" s="19"/>
      <c r="WJG47" s="19"/>
      <c r="WJH47" s="19"/>
      <c r="WJI47" s="19"/>
      <c r="WJJ47" s="19"/>
      <c r="WJK47" s="19"/>
      <c r="WJL47" s="19"/>
      <c r="WJM47" s="19"/>
      <c r="WJN47" s="19"/>
      <c r="WJO47" s="19"/>
      <c r="WJP47" s="19"/>
      <c r="WJQ47" s="19"/>
      <c r="WJR47" s="19"/>
      <c r="WJS47" s="19"/>
      <c r="WJT47" s="19"/>
      <c r="WJU47" s="19"/>
      <c r="WJV47" s="19"/>
      <c r="WJW47" s="19"/>
      <c r="WJX47" s="19"/>
      <c r="WJY47" s="19"/>
      <c r="WJZ47" s="19"/>
      <c r="WKA47" s="19"/>
      <c r="WKB47" s="19"/>
      <c r="WKC47" s="19"/>
      <c r="WKD47" s="19"/>
      <c r="WKE47" s="19"/>
      <c r="WKF47" s="19"/>
      <c r="WKG47" s="19"/>
      <c r="WKH47" s="19"/>
      <c r="WKI47" s="19"/>
      <c r="WKJ47" s="19"/>
      <c r="WKK47" s="19"/>
      <c r="WKL47" s="19"/>
      <c r="WKM47" s="19"/>
      <c r="WKN47" s="19"/>
      <c r="WKO47" s="19"/>
      <c r="WKP47" s="19"/>
      <c r="WKQ47" s="19"/>
      <c r="WKR47" s="19"/>
      <c r="WKS47" s="19"/>
      <c r="WKT47" s="19"/>
      <c r="WKU47" s="19"/>
      <c r="WKV47" s="19"/>
      <c r="WKW47" s="19"/>
      <c r="WKX47" s="19"/>
      <c r="WKY47" s="19"/>
      <c r="WKZ47" s="19"/>
      <c r="WLA47" s="19"/>
      <c r="WLB47" s="19"/>
      <c r="WLC47" s="19"/>
      <c r="WLD47" s="19"/>
      <c r="WLE47" s="19"/>
      <c r="WLF47" s="19"/>
      <c r="WLG47" s="19"/>
      <c r="WLH47" s="19"/>
      <c r="WLI47" s="19"/>
      <c r="WLJ47" s="19"/>
      <c r="WLK47" s="19"/>
      <c r="WLL47" s="19"/>
      <c r="WLM47" s="19"/>
      <c r="WLN47" s="19"/>
      <c r="WLO47" s="19"/>
      <c r="WLP47" s="19"/>
      <c r="WLQ47" s="19"/>
      <c r="WLR47" s="19"/>
      <c r="WLS47" s="19"/>
      <c r="WLT47" s="19"/>
      <c r="WLU47" s="19"/>
      <c r="WLV47" s="19"/>
      <c r="WLW47" s="19"/>
      <c r="WLX47" s="19"/>
      <c r="WLY47" s="19"/>
      <c r="WLZ47" s="19"/>
      <c r="WMA47" s="19"/>
      <c r="WMB47" s="19"/>
      <c r="WMC47" s="19"/>
      <c r="WMD47" s="19"/>
      <c r="WME47" s="19"/>
      <c r="WMF47" s="19"/>
      <c r="WMG47" s="19"/>
      <c r="WMH47" s="19"/>
      <c r="WMI47" s="19"/>
      <c r="WMJ47" s="19"/>
      <c r="WMK47" s="19"/>
      <c r="WML47" s="19"/>
      <c r="WMM47" s="19"/>
      <c r="WMN47" s="19"/>
      <c r="WMO47" s="19"/>
      <c r="WMP47" s="19"/>
      <c r="WMQ47" s="19"/>
      <c r="WMR47" s="19"/>
      <c r="WMS47" s="19"/>
      <c r="WMT47" s="19"/>
      <c r="WMU47" s="19"/>
      <c r="WMV47" s="19"/>
      <c r="WMW47" s="19"/>
      <c r="WMX47" s="19"/>
      <c r="WMY47" s="19"/>
      <c r="WMZ47" s="19"/>
      <c r="WNA47" s="19"/>
      <c r="WNB47" s="19"/>
      <c r="WNC47" s="19"/>
      <c r="WND47" s="19"/>
      <c r="WNE47" s="19"/>
      <c r="WNF47" s="19"/>
      <c r="WNG47" s="19"/>
      <c r="WNH47" s="19"/>
      <c r="WNI47" s="19"/>
      <c r="WNJ47" s="19"/>
      <c r="WNK47" s="19"/>
      <c r="WNL47" s="19"/>
      <c r="WNM47" s="19"/>
      <c r="WNN47" s="19"/>
      <c r="WNO47" s="19"/>
      <c r="WNP47" s="19"/>
      <c r="WNQ47" s="19"/>
      <c r="WNR47" s="19"/>
      <c r="WNS47" s="19"/>
      <c r="WNT47" s="19"/>
      <c r="WNU47" s="19"/>
      <c r="WNV47" s="19"/>
      <c r="WNW47" s="19"/>
      <c r="WNX47" s="19"/>
      <c r="WNY47" s="19"/>
      <c r="WNZ47" s="19"/>
      <c r="WOA47" s="19"/>
      <c r="WOB47" s="19"/>
      <c r="WOC47" s="19"/>
      <c r="WOD47" s="19"/>
      <c r="WOE47" s="19"/>
      <c r="WOF47" s="19"/>
      <c r="WOG47" s="19"/>
      <c r="WOH47" s="19"/>
      <c r="WOI47" s="19"/>
      <c r="WOJ47" s="19"/>
      <c r="WOK47" s="19"/>
      <c r="WOL47" s="19"/>
      <c r="WOM47" s="19"/>
      <c r="WON47" s="19"/>
      <c r="WOO47" s="19"/>
      <c r="WOP47" s="19"/>
      <c r="WOQ47" s="19"/>
      <c r="WOR47" s="19"/>
      <c r="WOS47" s="19"/>
      <c r="WOT47" s="19"/>
      <c r="WOU47" s="19"/>
      <c r="WOV47" s="19"/>
      <c r="WOW47" s="19"/>
      <c r="WOX47" s="19"/>
      <c r="WOY47" s="19"/>
      <c r="WOZ47" s="19"/>
      <c r="WPA47" s="19"/>
      <c r="WPB47" s="19"/>
      <c r="WPC47" s="19"/>
      <c r="WPD47" s="19"/>
      <c r="WPE47" s="19"/>
      <c r="WPF47" s="19"/>
      <c r="WPG47" s="19"/>
      <c r="WPH47" s="19"/>
      <c r="WPI47" s="19"/>
      <c r="WPJ47" s="19"/>
      <c r="WPK47" s="19"/>
      <c r="WPL47" s="19"/>
      <c r="WPM47" s="19"/>
      <c r="WPN47" s="19"/>
      <c r="WPO47" s="19"/>
      <c r="WPP47" s="19"/>
      <c r="WPQ47" s="19"/>
      <c r="WPR47" s="19"/>
      <c r="WPS47" s="19"/>
      <c r="WPT47" s="19"/>
      <c r="WPU47" s="19"/>
      <c r="WPV47" s="19"/>
      <c r="WPW47" s="19"/>
      <c r="WPX47" s="19"/>
      <c r="WPY47" s="19"/>
      <c r="WPZ47" s="19"/>
      <c r="WQA47" s="19"/>
      <c r="WQB47" s="19"/>
      <c r="WQC47" s="19"/>
      <c r="WQD47" s="19"/>
      <c r="WQE47" s="19"/>
      <c r="WQF47" s="19"/>
      <c r="WQG47" s="19"/>
      <c r="WQH47" s="19"/>
      <c r="WQI47" s="19"/>
      <c r="WQJ47" s="19"/>
      <c r="WQK47" s="19"/>
      <c r="WQL47" s="19"/>
      <c r="WQM47" s="19"/>
      <c r="WQN47" s="19"/>
      <c r="WQO47" s="19"/>
      <c r="WQP47" s="19"/>
      <c r="WQQ47" s="19"/>
      <c r="WQR47" s="19"/>
      <c r="WQS47" s="19"/>
      <c r="WQT47" s="19"/>
      <c r="WQU47" s="19"/>
      <c r="WQV47" s="19"/>
      <c r="WQW47" s="19"/>
      <c r="WQX47" s="19"/>
      <c r="WQY47" s="19"/>
      <c r="WQZ47" s="19"/>
      <c r="WRA47" s="19"/>
      <c r="WRB47" s="19"/>
      <c r="WRC47" s="19"/>
      <c r="WRD47" s="19"/>
      <c r="WRE47" s="19"/>
      <c r="WRF47" s="19"/>
      <c r="WRG47" s="19"/>
      <c r="WRH47" s="19"/>
      <c r="WRI47" s="19"/>
      <c r="WRJ47" s="19"/>
      <c r="WRK47" s="19"/>
      <c r="WRL47" s="19"/>
      <c r="WRM47" s="19"/>
      <c r="WRN47" s="19"/>
      <c r="WRO47" s="19"/>
      <c r="WRP47" s="19"/>
      <c r="WRQ47" s="19"/>
      <c r="WRR47" s="19"/>
      <c r="WRS47" s="19"/>
      <c r="WRT47" s="19"/>
      <c r="WRU47" s="19"/>
      <c r="WRV47" s="19"/>
      <c r="WRW47" s="19"/>
      <c r="WRX47" s="19"/>
      <c r="WRY47" s="19"/>
      <c r="WRZ47" s="19"/>
      <c r="WSA47" s="19"/>
      <c r="WSB47" s="19"/>
      <c r="WSC47" s="19"/>
      <c r="WSD47" s="19"/>
      <c r="WSE47" s="19"/>
      <c r="WSF47" s="19"/>
      <c r="WSG47" s="19"/>
      <c r="WSH47" s="19"/>
      <c r="WSI47" s="19"/>
      <c r="WSJ47" s="19"/>
      <c r="WSK47" s="19"/>
      <c r="WSL47" s="19"/>
      <c r="WSM47" s="19"/>
      <c r="WSN47" s="19"/>
      <c r="WSO47" s="19"/>
      <c r="WSP47" s="19"/>
      <c r="WSQ47" s="19"/>
      <c r="WSR47" s="19"/>
      <c r="WSS47" s="19"/>
      <c r="WST47" s="19"/>
      <c r="WSU47" s="19"/>
      <c r="WSV47" s="19"/>
      <c r="WSW47" s="19"/>
      <c r="WSX47" s="19"/>
      <c r="WSY47" s="19"/>
      <c r="WSZ47" s="19"/>
      <c r="WTA47" s="19"/>
      <c r="WTB47" s="19"/>
      <c r="WTC47" s="19"/>
      <c r="WTD47" s="19"/>
      <c r="WTE47" s="19"/>
      <c r="WTF47" s="19"/>
      <c r="WTG47" s="19"/>
      <c r="WTH47" s="19"/>
      <c r="WTI47" s="19"/>
      <c r="WTJ47" s="19"/>
      <c r="WTK47" s="19"/>
      <c r="WTL47" s="19"/>
      <c r="WTM47" s="19"/>
      <c r="WTN47" s="19"/>
      <c r="WTO47" s="19"/>
      <c r="WTP47" s="19"/>
      <c r="WTQ47" s="19"/>
      <c r="WTR47" s="19"/>
      <c r="WTS47" s="19"/>
      <c r="WTT47" s="19"/>
      <c r="WTU47" s="19"/>
      <c r="WTV47" s="19"/>
      <c r="WTW47" s="19"/>
      <c r="WTX47" s="19"/>
      <c r="WTY47" s="19"/>
      <c r="WTZ47" s="19"/>
      <c r="WUA47" s="19"/>
      <c r="WUB47" s="19"/>
      <c r="WUC47" s="19"/>
      <c r="WUD47" s="19"/>
      <c r="WUE47" s="19"/>
      <c r="WUF47" s="19"/>
      <c r="WUG47" s="19"/>
      <c r="WUH47" s="19"/>
      <c r="WUI47" s="19"/>
      <c r="WUJ47" s="19"/>
      <c r="WUK47" s="19"/>
      <c r="WUL47" s="19"/>
      <c r="WUM47" s="19"/>
      <c r="WUN47" s="19"/>
      <c r="WUO47" s="19"/>
      <c r="WUP47" s="19"/>
      <c r="WUQ47" s="19"/>
      <c r="WUR47" s="19"/>
      <c r="WUS47" s="19"/>
      <c r="WUT47" s="19"/>
      <c r="WUU47" s="19"/>
      <c r="WUV47" s="19"/>
      <c r="WUW47" s="19"/>
      <c r="WUX47" s="19"/>
      <c r="WUY47" s="19"/>
      <c r="WUZ47" s="19"/>
      <c r="WVA47" s="19"/>
      <c r="WVB47" s="19"/>
      <c r="WVC47" s="19"/>
      <c r="WVD47" s="19"/>
      <c r="WVE47" s="19"/>
      <c r="WVF47" s="19"/>
      <c r="WVG47" s="19"/>
      <c r="WVH47" s="19"/>
      <c r="WVI47" s="19"/>
      <c r="WVJ47" s="19"/>
      <c r="WVK47" s="19"/>
      <c r="WVL47" s="19"/>
      <c r="WVM47" s="19"/>
      <c r="WVN47" s="19"/>
      <c r="WVO47" s="19"/>
      <c r="WVP47" s="19"/>
      <c r="WVQ47" s="19"/>
      <c r="WVR47" s="19"/>
      <c r="WVS47" s="19"/>
      <c r="WVT47" s="19"/>
      <c r="WVU47" s="19"/>
      <c r="WVV47" s="19"/>
      <c r="WVW47" s="19"/>
      <c r="WVX47" s="19"/>
      <c r="WVY47" s="19"/>
      <c r="WVZ47" s="19"/>
      <c r="WWA47" s="19"/>
      <c r="WWB47" s="19"/>
      <c r="WWC47" s="19"/>
      <c r="WWD47" s="19"/>
      <c r="WWE47" s="19"/>
      <c r="WWF47" s="19"/>
      <c r="WWG47" s="19"/>
      <c r="WWH47" s="19"/>
      <c r="WWI47" s="19"/>
      <c r="WWJ47" s="19"/>
      <c r="WWK47" s="19"/>
      <c r="WWL47" s="19"/>
      <c r="WWM47" s="19"/>
      <c r="WWN47" s="19"/>
      <c r="WWO47" s="19"/>
      <c r="WWP47" s="19"/>
      <c r="WWQ47" s="19"/>
      <c r="WWR47" s="19"/>
      <c r="WWS47" s="19"/>
      <c r="WWT47" s="19"/>
      <c r="WWU47" s="19"/>
      <c r="WWV47" s="19"/>
      <c r="WWW47" s="19"/>
      <c r="WWX47" s="19"/>
      <c r="WWY47" s="19"/>
      <c r="WWZ47" s="19"/>
      <c r="WXA47" s="19"/>
      <c r="WXB47" s="19"/>
      <c r="WXC47" s="19"/>
      <c r="WXD47" s="19"/>
      <c r="WXE47" s="19"/>
      <c r="WXF47" s="19"/>
      <c r="WXG47" s="19"/>
      <c r="WXH47" s="19"/>
      <c r="WXI47" s="19"/>
      <c r="WXJ47" s="19"/>
      <c r="WXK47" s="19"/>
      <c r="WXL47" s="19"/>
      <c r="WXM47" s="19"/>
      <c r="WXN47" s="19"/>
      <c r="WXO47" s="19"/>
      <c r="WXP47" s="19"/>
      <c r="WXQ47" s="19"/>
      <c r="WXR47" s="19"/>
      <c r="WXS47" s="19"/>
      <c r="WXT47" s="19"/>
      <c r="WXU47" s="19"/>
      <c r="WXV47" s="19"/>
      <c r="WXW47" s="19"/>
      <c r="WXX47" s="19"/>
      <c r="WXY47" s="19"/>
      <c r="WXZ47" s="19"/>
      <c r="WYA47" s="19"/>
      <c r="WYB47" s="19"/>
      <c r="WYC47" s="19"/>
      <c r="WYD47" s="19"/>
      <c r="WYE47" s="19"/>
      <c r="WYF47" s="19"/>
      <c r="WYG47" s="19"/>
      <c r="WYH47" s="19"/>
      <c r="WYI47" s="19"/>
      <c r="WYJ47" s="19"/>
      <c r="WYK47" s="19"/>
      <c r="WYL47" s="19"/>
      <c r="WYM47" s="19"/>
      <c r="WYN47" s="19"/>
      <c r="WYO47" s="19"/>
      <c r="WYP47" s="19"/>
      <c r="WYQ47" s="19"/>
      <c r="WYR47" s="19"/>
      <c r="WYS47" s="19"/>
      <c r="WYT47" s="19"/>
      <c r="WYU47" s="19"/>
      <c r="WYV47" s="19"/>
      <c r="WYW47" s="19"/>
      <c r="WYX47" s="19"/>
      <c r="WYY47" s="19"/>
      <c r="WYZ47" s="19"/>
      <c r="WZA47" s="19"/>
      <c r="WZB47" s="19"/>
      <c r="WZC47" s="19"/>
      <c r="WZD47" s="19"/>
      <c r="WZE47" s="19"/>
      <c r="WZF47" s="19"/>
      <c r="WZG47" s="19"/>
      <c r="WZH47" s="19"/>
      <c r="WZI47" s="19"/>
      <c r="WZJ47" s="19"/>
      <c r="WZK47" s="19"/>
      <c r="WZL47" s="19"/>
      <c r="WZM47" s="19"/>
      <c r="WZN47" s="19"/>
      <c r="WZO47" s="19"/>
      <c r="WZP47" s="19"/>
      <c r="WZQ47" s="19"/>
      <c r="WZR47" s="19"/>
      <c r="WZS47" s="19"/>
      <c r="WZT47" s="19"/>
      <c r="WZU47" s="19"/>
      <c r="WZV47" s="19"/>
      <c r="WZW47" s="19"/>
      <c r="WZX47" s="19"/>
      <c r="WZY47" s="19"/>
      <c r="WZZ47" s="19"/>
      <c r="XAA47" s="19"/>
      <c r="XAB47" s="19"/>
      <c r="XAC47" s="19"/>
      <c r="XAD47" s="19"/>
      <c r="XAE47" s="19"/>
      <c r="XAF47" s="19"/>
      <c r="XAG47" s="19"/>
      <c r="XAH47" s="19"/>
      <c r="XAI47" s="19"/>
      <c r="XAJ47" s="19"/>
      <c r="XAK47" s="19"/>
      <c r="XAL47" s="19"/>
      <c r="XAM47" s="19"/>
      <c r="XAN47" s="19"/>
      <c r="XAO47" s="19"/>
      <c r="XAP47" s="19"/>
      <c r="XAQ47" s="19"/>
      <c r="XAR47" s="19"/>
      <c r="XAS47" s="19"/>
      <c r="XAT47" s="19"/>
      <c r="XAU47" s="19"/>
      <c r="XAV47" s="19"/>
      <c r="XAW47" s="19"/>
      <c r="XAX47" s="19"/>
      <c r="XAY47" s="19"/>
      <c r="XAZ47" s="19"/>
      <c r="XBA47" s="19"/>
      <c r="XBB47" s="19"/>
      <c r="XBC47" s="19"/>
      <c r="XBD47" s="19"/>
      <c r="XBE47" s="19"/>
      <c r="XBF47" s="19"/>
      <c r="XBG47" s="19"/>
      <c r="XBH47" s="19"/>
      <c r="XBI47" s="19"/>
      <c r="XBJ47" s="19"/>
      <c r="XBK47" s="19"/>
      <c r="XBL47" s="19"/>
      <c r="XBM47" s="19"/>
      <c r="XBN47" s="19"/>
      <c r="XBO47" s="19"/>
      <c r="XBP47" s="19"/>
      <c r="XBQ47" s="19"/>
      <c r="XBR47" s="19"/>
      <c r="XBS47" s="19"/>
      <c r="XBT47" s="19"/>
      <c r="XBU47" s="19"/>
      <c r="XBV47" s="19"/>
      <c r="XBW47" s="19"/>
      <c r="XBX47" s="19"/>
      <c r="XBY47" s="19"/>
      <c r="XBZ47" s="19"/>
      <c r="XCA47" s="19"/>
      <c r="XCB47" s="19"/>
      <c r="XCC47" s="19"/>
      <c r="XCD47" s="19"/>
      <c r="XCE47" s="19"/>
      <c r="XCF47" s="19"/>
      <c r="XCG47" s="19"/>
      <c r="XCH47" s="19"/>
      <c r="XCI47" s="19"/>
      <c r="XCJ47" s="19"/>
      <c r="XCK47" s="19"/>
      <c r="XCL47" s="19"/>
      <c r="XCM47" s="19"/>
      <c r="XCN47" s="19"/>
      <c r="XCO47" s="19"/>
      <c r="XCP47" s="19"/>
      <c r="XCQ47" s="19"/>
      <c r="XCR47" s="19"/>
      <c r="XCS47" s="19"/>
      <c r="XCT47" s="19"/>
      <c r="XCU47" s="19"/>
      <c r="XCV47" s="19"/>
      <c r="XCW47" s="19"/>
      <c r="XCX47" s="19"/>
      <c r="XCY47" s="19"/>
      <c r="XCZ47" s="19"/>
      <c r="XDA47" s="19"/>
      <c r="XDB47" s="19"/>
      <c r="XDC47" s="19"/>
      <c r="XDD47" s="19"/>
      <c r="XDE47" s="19"/>
      <c r="XDF47" s="19"/>
      <c r="XDG47" s="19"/>
      <c r="XDH47" s="19"/>
      <c r="XDI47" s="19"/>
      <c r="XDJ47" s="19"/>
      <c r="XDK47" s="19"/>
      <c r="XDL47" s="19"/>
      <c r="XDM47" s="19"/>
      <c r="XDN47" s="19"/>
      <c r="XDO47" s="19"/>
      <c r="XDP47" s="19"/>
      <c r="XDQ47" s="19"/>
      <c r="XDR47" s="19"/>
      <c r="XDS47" s="19"/>
      <c r="XDT47" s="19"/>
      <c r="XDU47" s="19"/>
      <c r="XDV47" s="19"/>
      <c r="XDW47" s="19"/>
      <c r="XDX47" s="19"/>
      <c r="XDY47" s="19"/>
      <c r="XDZ47" s="19"/>
      <c r="XEA47" s="19"/>
      <c r="XEB47" s="19"/>
      <c r="XEC47" s="19"/>
      <c r="XED47" s="19"/>
      <c r="XEE47" s="19"/>
      <c r="XEF47" s="19"/>
      <c r="XEG47" s="19"/>
      <c r="XEH47" s="19"/>
      <c r="XEI47" s="19"/>
      <c r="XEJ47" s="19"/>
      <c r="XEK47" s="19"/>
      <c r="XEL47" s="19"/>
      <c r="XEM47" s="19"/>
      <c r="XEN47" s="19"/>
      <c r="XEO47" s="19"/>
      <c r="XEP47" s="19"/>
      <c r="XEQ47" s="19"/>
      <c r="XER47" s="19"/>
      <c r="XES47" s="19"/>
      <c r="XET47" s="19"/>
      <c r="XEU47" s="19"/>
      <c r="XEV47" s="19"/>
      <c r="XEW47" s="19"/>
      <c r="XEX47" s="19"/>
      <c r="XEY47" s="19"/>
      <c r="XEZ47" s="19"/>
      <c r="XFA47" s="19"/>
      <c r="XFB47" s="19"/>
    </row>
    <row r="48" spans="1:16382" s="18" customFormat="1" ht="15" customHeight="1" x14ac:dyDescent="0.25">
      <c r="D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19"/>
      <c r="BV48" s="19"/>
      <c r="BW48" s="19"/>
      <c r="BX48" s="19"/>
      <c r="BY48" s="19"/>
      <c r="BZ48" s="19"/>
      <c r="CA48" s="19"/>
      <c r="CB48" s="19"/>
      <c r="CC48" s="19"/>
      <c r="CD48" s="19"/>
      <c r="CE48" s="19"/>
      <c r="CF48" s="19"/>
      <c r="CG48" s="19"/>
      <c r="CH48" s="19"/>
      <c r="CI48" s="19"/>
      <c r="CJ48" s="19"/>
      <c r="CK48" s="19"/>
      <c r="CL48" s="19"/>
      <c r="CM48" s="19"/>
      <c r="CN48" s="19"/>
      <c r="CO48" s="19"/>
      <c r="CP48" s="19"/>
      <c r="CQ48" s="19"/>
      <c r="CR48" s="19"/>
      <c r="CS48" s="19"/>
      <c r="CT48" s="19"/>
      <c r="CU48" s="19"/>
      <c r="CV48" s="19"/>
      <c r="CW48" s="19"/>
      <c r="CX48" s="19"/>
      <c r="CY48" s="19"/>
      <c r="CZ48" s="19"/>
      <c r="DA48" s="19"/>
      <c r="DB48" s="19"/>
      <c r="DC48" s="19"/>
      <c r="DD48" s="19"/>
      <c r="DE48" s="19"/>
      <c r="DF48" s="19"/>
      <c r="DG48" s="19"/>
      <c r="DH48" s="19"/>
      <c r="DI48" s="19"/>
      <c r="DJ48" s="19"/>
      <c r="DK48" s="19"/>
      <c r="DL48" s="19"/>
      <c r="DM48" s="19"/>
      <c r="DN48" s="19"/>
      <c r="DO48" s="19"/>
      <c r="DP48" s="19"/>
      <c r="DQ48" s="19"/>
      <c r="DR48" s="19"/>
      <c r="DS48" s="19"/>
      <c r="DT48" s="19"/>
      <c r="DU48" s="19"/>
      <c r="DV48" s="19"/>
      <c r="DW48" s="19"/>
      <c r="DX48" s="19"/>
      <c r="DY48" s="19"/>
      <c r="DZ48" s="19"/>
      <c r="EA48" s="19"/>
      <c r="EB48" s="19"/>
      <c r="EC48" s="19"/>
      <c r="ED48" s="19"/>
      <c r="EE48" s="19"/>
      <c r="EF48" s="19"/>
      <c r="EG48" s="19"/>
      <c r="EH48" s="19"/>
      <c r="EI48" s="19"/>
      <c r="EJ48" s="19"/>
      <c r="EK48" s="19"/>
      <c r="EL48" s="19"/>
      <c r="EM48" s="19"/>
      <c r="EN48" s="19"/>
      <c r="EO48" s="19"/>
      <c r="EP48" s="19"/>
      <c r="EQ48" s="19"/>
      <c r="ER48" s="19"/>
      <c r="ES48" s="19"/>
      <c r="ET48" s="19"/>
      <c r="EU48" s="19"/>
      <c r="EV48" s="19"/>
      <c r="EW48" s="19"/>
      <c r="EX48" s="19"/>
      <c r="EY48" s="19"/>
      <c r="EZ48" s="19"/>
      <c r="FA48" s="19"/>
      <c r="FB48" s="19"/>
      <c r="FC48" s="19"/>
      <c r="FD48" s="19"/>
      <c r="FE48" s="19"/>
      <c r="FF48" s="19"/>
      <c r="FG48" s="19"/>
      <c r="FH48" s="19"/>
      <c r="FI48" s="19"/>
      <c r="FJ48" s="19"/>
      <c r="FK48" s="19"/>
      <c r="FL48" s="19"/>
      <c r="FM48" s="19"/>
      <c r="FN48" s="19"/>
      <c r="FO48" s="19"/>
      <c r="FP48" s="19"/>
      <c r="FQ48" s="19"/>
      <c r="FR48" s="19"/>
      <c r="FS48" s="19"/>
      <c r="FT48" s="19"/>
      <c r="FU48" s="19"/>
      <c r="FV48" s="19"/>
      <c r="FW48" s="19"/>
      <c r="FX48" s="19"/>
      <c r="FY48" s="19"/>
      <c r="FZ48" s="19"/>
      <c r="GA48" s="19"/>
      <c r="GB48" s="19"/>
      <c r="GC48" s="19"/>
      <c r="GD48" s="19"/>
      <c r="GE48" s="19"/>
      <c r="GF48" s="19"/>
      <c r="GG48" s="19"/>
      <c r="GH48" s="19"/>
      <c r="GI48" s="19"/>
      <c r="GJ48" s="19"/>
      <c r="GK48" s="19"/>
      <c r="GL48" s="19"/>
      <c r="GM48" s="19"/>
      <c r="GN48" s="19"/>
      <c r="GO48" s="19"/>
      <c r="GP48" s="19"/>
      <c r="GQ48" s="19"/>
      <c r="GR48" s="19"/>
      <c r="GS48" s="19"/>
      <c r="GT48" s="19"/>
      <c r="GU48" s="19"/>
      <c r="GV48" s="19"/>
      <c r="GW48" s="19"/>
      <c r="GX48" s="19"/>
      <c r="GY48" s="19"/>
      <c r="GZ48" s="19"/>
      <c r="HA48" s="19"/>
      <c r="HB48" s="19"/>
      <c r="HC48" s="19"/>
      <c r="HD48" s="19"/>
      <c r="HE48" s="19"/>
      <c r="HF48" s="19"/>
      <c r="HG48" s="19"/>
      <c r="HH48" s="19"/>
      <c r="HI48" s="19"/>
      <c r="HJ48" s="19"/>
      <c r="HK48" s="19"/>
      <c r="HL48" s="19"/>
      <c r="HM48" s="19"/>
      <c r="HN48" s="19"/>
      <c r="HO48" s="19"/>
      <c r="HP48" s="19"/>
      <c r="HQ48" s="19"/>
      <c r="HR48" s="19"/>
      <c r="HS48" s="19"/>
      <c r="HT48" s="19"/>
      <c r="HU48" s="19"/>
      <c r="HV48" s="19"/>
      <c r="HW48" s="19"/>
      <c r="HX48" s="19"/>
      <c r="HY48" s="19"/>
      <c r="HZ48" s="19"/>
      <c r="IA48" s="19"/>
      <c r="IB48" s="19"/>
      <c r="IC48" s="19"/>
      <c r="ID48" s="19"/>
      <c r="IE48" s="19"/>
      <c r="IF48" s="19"/>
      <c r="IG48" s="19"/>
      <c r="IH48" s="19"/>
      <c r="II48" s="19"/>
      <c r="IJ48" s="19"/>
      <c r="IK48" s="19"/>
      <c r="IL48" s="19"/>
      <c r="IM48" s="19"/>
      <c r="IN48" s="19"/>
      <c r="IO48" s="19"/>
      <c r="IP48" s="19"/>
      <c r="IQ48" s="19"/>
      <c r="IR48" s="19"/>
      <c r="IS48" s="19"/>
      <c r="IT48" s="19"/>
      <c r="IU48" s="19"/>
      <c r="IV48" s="19"/>
      <c r="IW48" s="19"/>
      <c r="IX48" s="19"/>
      <c r="IY48" s="19"/>
      <c r="IZ48" s="19"/>
      <c r="JA48" s="19"/>
      <c r="JB48" s="19"/>
      <c r="JC48" s="19"/>
      <c r="JD48" s="19"/>
      <c r="JE48" s="19"/>
      <c r="JF48" s="19"/>
      <c r="JG48" s="19"/>
      <c r="JH48" s="19"/>
      <c r="JI48" s="19"/>
      <c r="JJ48" s="19"/>
      <c r="JK48" s="19"/>
      <c r="JL48" s="19"/>
      <c r="JM48" s="19"/>
      <c r="JN48" s="19"/>
      <c r="JO48" s="19"/>
      <c r="JP48" s="19"/>
      <c r="JQ48" s="19"/>
      <c r="JR48" s="19"/>
      <c r="JS48" s="19"/>
      <c r="JT48" s="19"/>
      <c r="JU48" s="19"/>
      <c r="JV48" s="19"/>
      <c r="JW48" s="19"/>
      <c r="JX48" s="19"/>
      <c r="JY48" s="19"/>
      <c r="JZ48" s="19"/>
      <c r="KA48" s="19"/>
      <c r="KB48" s="19"/>
      <c r="KC48" s="19"/>
      <c r="KD48" s="19"/>
      <c r="KE48" s="19"/>
      <c r="KF48" s="19"/>
      <c r="KG48" s="19"/>
      <c r="KH48" s="19"/>
      <c r="KI48" s="19"/>
      <c r="KJ48" s="19"/>
      <c r="KK48" s="19"/>
      <c r="KL48" s="19"/>
      <c r="KM48" s="19"/>
      <c r="KN48" s="19"/>
      <c r="KO48" s="19"/>
      <c r="KP48" s="19"/>
      <c r="KQ48" s="19"/>
      <c r="KR48" s="19"/>
      <c r="KS48" s="19"/>
      <c r="KT48" s="19"/>
      <c r="KU48" s="19"/>
      <c r="KV48" s="19"/>
      <c r="KW48" s="19"/>
      <c r="KX48" s="19"/>
      <c r="KY48" s="19"/>
      <c r="KZ48" s="19"/>
      <c r="LA48" s="19"/>
      <c r="LB48" s="19"/>
      <c r="LC48" s="19"/>
      <c r="LD48" s="19"/>
      <c r="LE48" s="19"/>
      <c r="LF48" s="19"/>
      <c r="LG48" s="19"/>
      <c r="LH48" s="19"/>
      <c r="LI48" s="19"/>
      <c r="LJ48" s="19"/>
      <c r="LK48" s="19"/>
      <c r="LL48" s="19"/>
      <c r="LM48" s="19"/>
      <c r="LN48" s="19"/>
      <c r="LO48" s="19"/>
      <c r="LP48" s="19"/>
      <c r="LQ48" s="19"/>
      <c r="LR48" s="19"/>
      <c r="LS48" s="19"/>
      <c r="LT48" s="19"/>
      <c r="LU48" s="19"/>
      <c r="LV48" s="19"/>
      <c r="LW48" s="19"/>
      <c r="LX48" s="19"/>
      <c r="LY48" s="19"/>
      <c r="LZ48" s="19"/>
      <c r="MA48" s="19"/>
      <c r="MB48" s="19"/>
      <c r="MC48" s="19"/>
      <c r="MD48" s="19"/>
      <c r="ME48" s="19"/>
      <c r="MF48" s="19"/>
      <c r="MG48" s="19"/>
      <c r="MH48" s="19"/>
      <c r="MI48" s="19"/>
      <c r="MJ48" s="19"/>
      <c r="MK48" s="19"/>
      <c r="ML48" s="19"/>
      <c r="MM48" s="19"/>
      <c r="MN48" s="19"/>
      <c r="MO48" s="19"/>
      <c r="MP48" s="19"/>
      <c r="MQ48" s="19"/>
      <c r="MR48" s="19"/>
      <c r="MS48" s="19"/>
      <c r="MT48" s="19"/>
      <c r="MU48" s="19"/>
      <c r="MV48" s="19"/>
      <c r="MW48" s="19"/>
      <c r="MX48" s="19"/>
      <c r="MY48" s="19"/>
      <c r="MZ48" s="19"/>
      <c r="NA48" s="19"/>
      <c r="NB48" s="19"/>
      <c r="NC48" s="19"/>
      <c r="ND48" s="19"/>
      <c r="NE48" s="19"/>
      <c r="NF48" s="19"/>
      <c r="NG48" s="19"/>
      <c r="NH48" s="19"/>
      <c r="NI48" s="19"/>
      <c r="NJ48" s="19"/>
      <c r="NK48" s="19"/>
      <c r="NL48" s="19"/>
      <c r="NM48" s="19"/>
      <c r="NN48" s="19"/>
      <c r="NO48" s="19"/>
      <c r="NP48" s="19"/>
      <c r="NQ48" s="19"/>
      <c r="NR48" s="19"/>
      <c r="NS48" s="19"/>
      <c r="NT48" s="19"/>
      <c r="NU48" s="19"/>
      <c r="NV48" s="19"/>
      <c r="NW48" s="19"/>
      <c r="NX48" s="19"/>
      <c r="NY48" s="19"/>
      <c r="NZ48" s="19"/>
      <c r="OA48" s="19"/>
      <c r="OB48" s="19"/>
      <c r="OC48" s="19"/>
      <c r="OD48" s="19"/>
      <c r="OE48" s="19"/>
      <c r="OF48" s="19"/>
      <c r="OG48" s="19"/>
      <c r="OH48" s="19"/>
      <c r="OI48" s="19"/>
      <c r="OJ48" s="19"/>
      <c r="OK48" s="19"/>
      <c r="OL48" s="19"/>
      <c r="OM48" s="19"/>
      <c r="ON48" s="19"/>
      <c r="OO48" s="19"/>
      <c r="OP48" s="19"/>
      <c r="OQ48" s="19"/>
      <c r="OR48" s="19"/>
      <c r="OS48" s="19"/>
      <c r="OT48" s="19"/>
      <c r="OU48" s="19"/>
      <c r="OV48" s="19"/>
      <c r="OW48" s="19"/>
      <c r="OX48" s="19"/>
      <c r="OY48" s="19"/>
      <c r="OZ48" s="19"/>
      <c r="PA48" s="19"/>
      <c r="PB48" s="19"/>
      <c r="PC48" s="19"/>
      <c r="PD48" s="19"/>
      <c r="PE48" s="19"/>
      <c r="PF48" s="19"/>
      <c r="PG48" s="19"/>
      <c r="PH48" s="19"/>
      <c r="PI48" s="19"/>
      <c r="PJ48" s="19"/>
      <c r="PK48" s="19"/>
      <c r="PL48" s="19"/>
      <c r="PM48" s="19"/>
      <c r="PN48" s="19"/>
      <c r="PO48" s="19"/>
      <c r="PP48" s="19"/>
      <c r="PQ48" s="19"/>
      <c r="PR48" s="19"/>
      <c r="PS48" s="19"/>
      <c r="PT48" s="19"/>
      <c r="PU48" s="19"/>
      <c r="PV48" s="19"/>
      <c r="PW48" s="19"/>
      <c r="PX48" s="19"/>
      <c r="PY48" s="19"/>
      <c r="PZ48" s="19"/>
      <c r="QA48" s="19"/>
      <c r="QB48" s="19"/>
      <c r="QC48" s="19"/>
      <c r="QD48" s="19"/>
      <c r="QE48" s="19"/>
      <c r="QF48" s="19"/>
      <c r="QG48" s="19"/>
      <c r="QH48" s="19"/>
      <c r="QI48" s="19"/>
      <c r="QJ48" s="19"/>
      <c r="QK48" s="19"/>
      <c r="QL48" s="19"/>
      <c r="QM48" s="19"/>
      <c r="QN48" s="19"/>
      <c r="QO48" s="19"/>
      <c r="QP48" s="19"/>
      <c r="QQ48" s="19"/>
      <c r="QR48" s="19"/>
      <c r="QS48" s="19"/>
      <c r="QT48" s="19"/>
      <c r="QU48" s="19"/>
      <c r="QV48" s="19"/>
      <c r="QW48" s="19"/>
      <c r="QX48" s="19"/>
      <c r="QY48" s="19"/>
      <c r="QZ48" s="19"/>
      <c r="RA48" s="19"/>
      <c r="RB48" s="19"/>
      <c r="RC48" s="19"/>
      <c r="RD48" s="19"/>
      <c r="RE48" s="19"/>
      <c r="RF48" s="19"/>
      <c r="RG48" s="19"/>
      <c r="RH48" s="19"/>
      <c r="RI48" s="19"/>
      <c r="RJ48" s="19"/>
      <c r="RK48" s="19"/>
      <c r="RL48" s="19"/>
      <c r="RM48" s="19"/>
      <c r="RN48" s="19"/>
      <c r="RO48" s="19"/>
      <c r="RP48" s="19"/>
      <c r="RQ48" s="19"/>
      <c r="RR48" s="19"/>
      <c r="RS48" s="19"/>
      <c r="RT48" s="19"/>
      <c r="RU48" s="19"/>
      <c r="RV48" s="19"/>
      <c r="RW48" s="19"/>
      <c r="RX48" s="19"/>
      <c r="RY48" s="19"/>
      <c r="RZ48" s="19"/>
      <c r="SA48" s="19"/>
      <c r="SB48" s="19"/>
      <c r="SC48" s="19"/>
      <c r="SD48" s="19"/>
      <c r="SE48" s="19"/>
      <c r="SF48" s="19"/>
      <c r="SG48" s="19"/>
      <c r="SH48" s="19"/>
      <c r="SI48" s="19"/>
      <c r="SJ48" s="19"/>
      <c r="SK48" s="19"/>
      <c r="SL48" s="19"/>
      <c r="SM48" s="19"/>
      <c r="SN48" s="19"/>
      <c r="SO48" s="19"/>
      <c r="SP48" s="19"/>
      <c r="SQ48" s="19"/>
      <c r="SR48" s="19"/>
      <c r="SS48" s="19"/>
      <c r="ST48" s="19"/>
      <c r="SU48" s="19"/>
      <c r="SV48" s="19"/>
      <c r="SW48" s="19"/>
      <c r="SX48" s="19"/>
      <c r="SY48" s="19"/>
      <c r="SZ48" s="19"/>
      <c r="TA48" s="19"/>
      <c r="TB48" s="19"/>
      <c r="TC48" s="19"/>
      <c r="TD48" s="19"/>
      <c r="TE48" s="19"/>
      <c r="TF48" s="19"/>
      <c r="TG48" s="19"/>
      <c r="TH48" s="19"/>
      <c r="TI48" s="19"/>
      <c r="TJ48" s="19"/>
      <c r="TK48" s="19"/>
      <c r="TL48" s="19"/>
      <c r="TM48" s="19"/>
      <c r="TN48" s="19"/>
      <c r="TO48" s="19"/>
      <c r="TP48" s="19"/>
      <c r="TQ48" s="19"/>
      <c r="TR48" s="19"/>
      <c r="TS48" s="19"/>
      <c r="TT48" s="19"/>
      <c r="TU48" s="19"/>
      <c r="TV48" s="19"/>
      <c r="TW48" s="19"/>
      <c r="TX48" s="19"/>
      <c r="TY48" s="19"/>
      <c r="TZ48" s="19"/>
      <c r="UA48" s="19"/>
      <c r="UB48" s="19"/>
      <c r="UC48" s="19"/>
      <c r="UD48" s="19"/>
      <c r="UE48" s="19"/>
      <c r="UF48" s="19"/>
      <c r="UG48" s="19"/>
      <c r="UH48" s="19"/>
      <c r="UI48" s="19"/>
      <c r="UJ48" s="19"/>
      <c r="UK48" s="19"/>
      <c r="UL48" s="19"/>
      <c r="UM48" s="19"/>
      <c r="UN48" s="19"/>
      <c r="UO48" s="19"/>
      <c r="UP48" s="19"/>
      <c r="UQ48" s="19"/>
      <c r="UR48" s="19"/>
      <c r="US48" s="19"/>
      <c r="UT48" s="19"/>
      <c r="UU48" s="19"/>
      <c r="UV48" s="19"/>
      <c r="UW48" s="19"/>
      <c r="UX48" s="19"/>
      <c r="UY48" s="19"/>
      <c r="UZ48" s="19"/>
      <c r="VA48" s="19"/>
      <c r="VB48" s="19"/>
      <c r="VC48" s="19"/>
      <c r="VD48" s="19"/>
      <c r="VE48" s="19"/>
      <c r="VF48" s="19"/>
      <c r="VG48" s="19"/>
      <c r="VH48" s="19"/>
      <c r="VI48" s="19"/>
      <c r="VJ48" s="19"/>
      <c r="VK48" s="19"/>
      <c r="VL48" s="19"/>
      <c r="VM48" s="19"/>
      <c r="VN48" s="19"/>
      <c r="VO48" s="19"/>
      <c r="VP48" s="19"/>
      <c r="VQ48" s="19"/>
      <c r="VR48" s="19"/>
      <c r="VS48" s="19"/>
      <c r="VT48" s="19"/>
      <c r="VU48" s="19"/>
      <c r="VV48" s="19"/>
      <c r="VW48" s="19"/>
      <c r="VX48" s="19"/>
      <c r="VY48" s="19"/>
      <c r="VZ48" s="19"/>
      <c r="WA48" s="19"/>
      <c r="WB48" s="19"/>
      <c r="WC48" s="19"/>
      <c r="WD48" s="19"/>
      <c r="WE48" s="19"/>
      <c r="WF48" s="19"/>
      <c r="WG48" s="19"/>
      <c r="WH48" s="19"/>
      <c r="WI48" s="19"/>
      <c r="WJ48" s="19"/>
      <c r="WK48" s="19"/>
      <c r="WL48" s="19"/>
      <c r="WM48" s="19"/>
      <c r="WN48" s="19"/>
      <c r="WO48" s="19"/>
      <c r="WP48" s="19"/>
      <c r="WQ48" s="19"/>
      <c r="WR48" s="19"/>
      <c r="WS48" s="19"/>
      <c r="WT48" s="19"/>
      <c r="WU48" s="19"/>
      <c r="WV48" s="19"/>
      <c r="WW48" s="19"/>
      <c r="WX48" s="19"/>
      <c r="WY48" s="19"/>
      <c r="WZ48" s="19"/>
      <c r="XA48" s="19"/>
      <c r="XB48" s="19"/>
      <c r="XC48" s="19"/>
      <c r="XD48" s="19"/>
      <c r="XE48" s="19"/>
      <c r="XF48" s="19"/>
      <c r="XG48" s="19"/>
      <c r="XH48" s="19"/>
      <c r="XI48" s="19"/>
      <c r="XJ48" s="19"/>
      <c r="XK48" s="19"/>
      <c r="XL48" s="19"/>
      <c r="XM48" s="19"/>
      <c r="XN48" s="19"/>
      <c r="XO48" s="19"/>
      <c r="XP48" s="19"/>
      <c r="XQ48" s="19"/>
      <c r="XR48" s="19"/>
      <c r="XS48" s="19"/>
      <c r="XT48" s="19"/>
      <c r="XU48" s="19"/>
      <c r="XV48" s="19"/>
      <c r="XW48" s="19"/>
      <c r="XX48" s="19"/>
      <c r="XY48" s="19"/>
      <c r="XZ48" s="19"/>
      <c r="YA48" s="19"/>
      <c r="YB48" s="19"/>
      <c r="YC48" s="19"/>
      <c r="YD48" s="19"/>
      <c r="YE48" s="19"/>
      <c r="YF48" s="19"/>
      <c r="YG48" s="19"/>
      <c r="YH48" s="19"/>
      <c r="YI48" s="19"/>
      <c r="YJ48" s="19"/>
      <c r="YK48" s="19"/>
      <c r="YL48" s="19"/>
      <c r="YM48" s="19"/>
      <c r="YN48" s="19"/>
      <c r="YO48" s="19"/>
      <c r="YP48" s="19"/>
      <c r="YQ48" s="19"/>
      <c r="YR48" s="19"/>
      <c r="YS48" s="19"/>
      <c r="YT48" s="19"/>
      <c r="YU48" s="19"/>
      <c r="YV48" s="19"/>
      <c r="YW48" s="19"/>
      <c r="YX48" s="19"/>
      <c r="YY48" s="19"/>
      <c r="YZ48" s="19"/>
      <c r="ZA48" s="19"/>
      <c r="ZB48" s="19"/>
      <c r="ZC48" s="19"/>
      <c r="ZD48" s="19"/>
      <c r="ZE48" s="19"/>
      <c r="ZF48" s="19"/>
      <c r="ZG48" s="19"/>
      <c r="ZH48" s="19"/>
      <c r="ZI48" s="19"/>
      <c r="ZJ48" s="19"/>
      <c r="ZK48" s="19"/>
      <c r="ZL48" s="19"/>
      <c r="ZM48" s="19"/>
      <c r="ZN48" s="19"/>
      <c r="ZO48" s="19"/>
      <c r="ZP48" s="19"/>
      <c r="ZQ48" s="19"/>
      <c r="ZR48" s="19"/>
      <c r="ZS48" s="19"/>
      <c r="ZT48" s="19"/>
      <c r="ZU48" s="19"/>
      <c r="ZV48" s="19"/>
      <c r="ZW48" s="19"/>
      <c r="ZX48" s="19"/>
      <c r="ZY48" s="19"/>
      <c r="ZZ48" s="19"/>
      <c r="AAA48" s="19"/>
      <c r="AAB48" s="19"/>
      <c r="AAC48" s="19"/>
      <c r="AAD48" s="19"/>
      <c r="AAE48" s="19"/>
      <c r="AAF48" s="19"/>
      <c r="AAG48" s="19"/>
      <c r="AAH48" s="19"/>
      <c r="AAI48" s="19"/>
      <c r="AAJ48" s="19"/>
      <c r="AAK48" s="19"/>
      <c r="AAL48" s="19"/>
      <c r="AAM48" s="19"/>
      <c r="AAN48" s="19"/>
      <c r="AAO48" s="19"/>
      <c r="AAP48" s="19"/>
      <c r="AAQ48" s="19"/>
      <c r="AAR48" s="19"/>
      <c r="AAS48" s="19"/>
      <c r="AAT48" s="19"/>
      <c r="AAU48" s="19"/>
      <c r="AAV48" s="19"/>
      <c r="AAW48" s="19"/>
      <c r="AAX48" s="19"/>
      <c r="AAY48" s="19"/>
      <c r="AAZ48" s="19"/>
      <c r="ABA48" s="19"/>
      <c r="ABB48" s="19"/>
      <c r="ABC48" s="19"/>
      <c r="ABD48" s="19"/>
      <c r="ABE48" s="19"/>
      <c r="ABF48" s="19"/>
      <c r="ABG48" s="19"/>
      <c r="ABH48" s="19"/>
      <c r="ABI48" s="19"/>
      <c r="ABJ48" s="19"/>
      <c r="ABK48" s="19"/>
      <c r="ABL48" s="19"/>
      <c r="ABM48" s="19"/>
      <c r="ABN48" s="19"/>
      <c r="ABO48" s="19"/>
      <c r="ABP48" s="19"/>
      <c r="ABQ48" s="19"/>
      <c r="ABR48" s="19"/>
      <c r="ABS48" s="19"/>
      <c r="ABT48" s="19"/>
      <c r="ABU48" s="19"/>
      <c r="ABV48" s="19"/>
      <c r="ABW48" s="19"/>
      <c r="ABX48" s="19"/>
      <c r="ABY48" s="19"/>
      <c r="ABZ48" s="19"/>
      <c r="ACA48" s="19"/>
      <c r="ACB48" s="19"/>
      <c r="ACC48" s="19"/>
      <c r="ACD48" s="19"/>
      <c r="ACE48" s="19"/>
      <c r="ACF48" s="19"/>
      <c r="ACG48" s="19"/>
      <c r="ACH48" s="19"/>
      <c r="ACI48" s="19"/>
      <c r="ACJ48" s="19"/>
      <c r="ACK48" s="19"/>
      <c r="ACL48" s="19"/>
      <c r="ACM48" s="19"/>
      <c r="ACN48" s="19"/>
      <c r="ACO48" s="19"/>
      <c r="ACP48" s="19"/>
      <c r="ACQ48" s="19"/>
      <c r="ACR48" s="19"/>
      <c r="ACS48" s="19"/>
      <c r="ACT48" s="19"/>
      <c r="ACU48" s="19"/>
      <c r="ACV48" s="19"/>
      <c r="ACW48" s="19"/>
      <c r="ACX48" s="19"/>
      <c r="ACY48" s="19"/>
      <c r="ACZ48" s="19"/>
      <c r="ADA48" s="19"/>
      <c r="ADB48" s="19"/>
      <c r="ADC48" s="19"/>
      <c r="ADD48" s="19"/>
      <c r="ADE48" s="19"/>
      <c r="ADF48" s="19"/>
      <c r="ADG48" s="19"/>
      <c r="ADH48" s="19"/>
      <c r="ADI48" s="19"/>
      <c r="ADJ48" s="19"/>
      <c r="ADK48" s="19"/>
      <c r="ADL48" s="19"/>
      <c r="ADM48" s="19"/>
      <c r="ADN48" s="19"/>
      <c r="ADO48" s="19"/>
      <c r="ADP48" s="19"/>
      <c r="ADQ48" s="19"/>
      <c r="ADR48" s="19"/>
      <c r="ADS48" s="19"/>
      <c r="ADT48" s="19"/>
      <c r="ADU48" s="19"/>
      <c r="ADV48" s="19"/>
      <c r="ADW48" s="19"/>
      <c r="ADX48" s="19"/>
      <c r="ADY48" s="19"/>
      <c r="ADZ48" s="19"/>
      <c r="AEA48" s="19"/>
      <c r="AEB48" s="19"/>
      <c r="AEC48" s="19"/>
      <c r="AED48" s="19"/>
      <c r="AEE48" s="19"/>
      <c r="AEF48" s="19"/>
      <c r="AEG48" s="19"/>
      <c r="AEH48" s="19"/>
      <c r="AEI48" s="19"/>
      <c r="AEJ48" s="19"/>
      <c r="AEK48" s="19"/>
      <c r="AEL48" s="19"/>
      <c r="AEM48" s="19"/>
      <c r="AEN48" s="19"/>
      <c r="AEO48" s="19"/>
      <c r="AEP48" s="19"/>
      <c r="AEQ48" s="19"/>
      <c r="AER48" s="19"/>
      <c r="AES48" s="19"/>
      <c r="AET48" s="19"/>
      <c r="AEU48" s="19"/>
      <c r="AEV48" s="19"/>
      <c r="AEW48" s="19"/>
      <c r="AEX48" s="19"/>
      <c r="AEY48" s="19"/>
      <c r="AEZ48" s="19"/>
      <c r="AFA48" s="19"/>
      <c r="AFB48" s="19"/>
      <c r="AFC48" s="19"/>
      <c r="AFD48" s="19"/>
      <c r="AFE48" s="19"/>
      <c r="AFF48" s="19"/>
      <c r="AFG48" s="19"/>
      <c r="AFH48" s="19"/>
      <c r="AFI48" s="19"/>
      <c r="AFJ48" s="19"/>
      <c r="AFK48" s="19"/>
      <c r="AFL48" s="19"/>
      <c r="AFM48" s="19"/>
      <c r="AFN48" s="19"/>
      <c r="AFO48" s="19"/>
      <c r="AFP48" s="19"/>
      <c r="AFQ48" s="19"/>
      <c r="AFR48" s="19"/>
      <c r="AFS48" s="19"/>
      <c r="AFT48" s="19"/>
      <c r="AFU48" s="19"/>
      <c r="AFV48" s="19"/>
      <c r="AFW48" s="19"/>
      <c r="AFX48" s="19"/>
      <c r="AFY48" s="19"/>
      <c r="AFZ48" s="19"/>
      <c r="AGA48" s="19"/>
      <c r="AGB48" s="19"/>
      <c r="AGC48" s="19"/>
      <c r="AGD48" s="19"/>
      <c r="AGE48" s="19"/>
      <c r="AGF48" s="19"/>
      <c r="AGG48" s="19"/>
      <c r="AGH48" s="19"/>
      <c r="AGI48" s="19"/>
      <c r="AGJ48" s="19"/>
      <c r="AGK48" s="19"/>
      <c r="AGL48" s="19"/>
      <c r="AGM48" s="19"/>
      <c r="AGN48" s="19"/>
      <c r="AGO48" s="19"/>
      <c r="AGP48" s="19"/>
      <c r="AGQ48" s="19"/>
      <c r="AGR48" s="19"/>
      <c r="AGS48" s="19"/>
      <c r="AGT48" s="19"/>
      <c r="AGU48" s="19"/>
      <c r="AGV48" s="19"/>
      <c r="AGW48" s="19"/>
      <c r="AGX48" s="19"/>
      <c r="AGY48" s="19"/>
      <c r="AGZ48" s="19"/>
      <c r="AHA48" s="19"/>
      <c r="AHB48" s="19"/>
      <c r="AHC48" s="19"/>
      <c r="AHD48" s="19"/>
      <c r="AHE48" s="19"/>
      <c r="AHF48" s="19"/>
      <c r="AHG48" s="19"/>
      <c r="AHH48" s="19"/>
      <c r="AHI48" s="19"/>
      <c r="AHJ48" s="19"/>
      <c r="AHK48" s="19"/>
      <c r="AHL48" s="19"/>
      <c r="AHM48" s="19"/>
      <c r="AHN48" s="19"/>
      <c r="AHO48" s="19"/>
      <c r="AHP48" s="19"/>
      <c r="AHQ48" s="19"/>
      <c r="AHR48" s="19"/>
      <c r="AHS48" s="19"/>
      <c r="AHT48" s="19"/>
      <c r="AHU48" s="19"/>
      <c r="AHV48" s="19"/>
      <c r="AHW48" s="19"/>
      <c r="AHX48" s="19"/>
      <c r="AHY48" s="19"/>
      <c r="AHZ48" s="19"/>
      <c r="AIA48" s="19"/>
      <c r="AIB48" s="19"/>
      <c r="AIC48" s="19"/>
      <c r="AID48" s="19"/>
      <c r="AIE48" s="19"/>
      <c r="AIF48" s="19"/>
      <c r="AIG48" s="19"/>
      <c r="AIH48" s="19"/>
      <c r="AII48" s="19"/>
      <c r="AIJ48" s="19"/>
      <c r="AIK48" s="19"/>
      <c r="AIL48" s="19"/>
      <c r="AIM48" s="19"/>
      <c r="AIN48" s="19"/>
      <c r="AIO48" s="19"/>
      <c r="AIP48" s="19"/>
      <c r="AIQ48" s="19"/>
      <c r="AIR48" s="19"/>
      <c r="AIS48" s="19"/>
      <c r="AIT48" s="19"/>
      <c r="AIU48" s="19"/>
      <c r="AIV48" s="19"/>
      <c r="AIW48" s="19"/>
      <c r="AIX48" s="19"/>
      <c r="AIY48" s="19"/>
      <c r="AIZ48" s="19"/>
      <c r="AJA48" s="19"/>
      <c r="AJB48" s="19"/>
      <c r="AJC48" s="19"/>
      <c r="AJD48" s="19"/>
      <c r="AJE48" s="19"/>
      <c r="AJF48" s="19"/>
      <c r="AJG48" s="19"/>
      <c r="AJH48" s="19"/>
      <c r="AJI48" s="19"/>
      <c r="AJJ48" s="19"/>
      <c r="AJK48" s="19"/>
      <c r="AJL48" s="19"/>
      <c r="AJM48" s="19"/>
      <c r="AJN48" s="19"/>
      <c r="AJO48" s="19"/>
      <c r="AJP48" s="19"/>
      <c r="AJQ48" s="19"/>
      <c r="AJR48" s="19"/>
      <c r="AJS48" s="19"/>
      <c r="AJT48" s="19"/>
      <c r="AJU48" s="19"/>
      <c r="AJV48" s="19"/>
      <c r="AJW48" s="19"/>
      <c r="AJX48" s="19"/>
      <c r="AJY48" s="19"/>
      <c r="AJZ48" s="19"/>
      <c r="AKA48" s="19"/>
      <c r="AKB48" s="19"/>
      <c r="AKC48" s="19"/>
      <c r="AKD48" s="19"/>
      <c r="AKE48" s="19"/>
      <c r="AKF48" s="19"/>
      <c r="AKG48" s="19"/>
      <c r="AKH48" s="19"/>
      <c r="AKI48" s="19"/>
      <c r="AKJ48" s="19"/>
      <c r="AKK48" s="19"/>
      <c r="AKL48" s="19"/>
      <c r="AKM48" s="19"/>
      <c r="AKN48" s="19"/>
      <c r="AKO48" s="19"/>
      <c r="AKP48" s="19"/>
      <c r="AKQ48" s="19"/>
      <c r="AKR48" s="19"/>
      <c r="AKS48" s="19"/>
      <c r="AKT48" s="19"/>
      <c r="AKU48" s="19"/>
      <c r="AKV48" s="19"/>
      <c r="AKW48" s="19"/>
      <c r="AKX48" s="19"/>
      <c r="AKY48" s="19"/>
      <c r="AKZ48" s="19"/>
      <c r="ALA48" s="19"/>
      <c r="ALB48" s="19"/>
      <c r="ALC48" s="19"/>
      <c r="ALD48" s="19"/>
      <c r="ALE48" s="19"/>
      <c r="ALF48" s="19"/>
      <c r="ALG48" s="19"/>
      <c r="ALH48" s="19"/>
      <c r="ALI48" s="19"/>
      <c r="ALJ48" s="19"/>
      <c r="ALK48" s="19"/>
      <c r="ALL48" s="19"/>
      <c r="ALM48" s="19"/>
      <c r="ALN48" s="19"/>
      <c r="ALO48" s="19"/>
      <c r="ALP48" s="19"/>
      <c r="ALQ48" s="19"/>
      <c r="ALR48" s="19"/>
      <c r="ALS48" s="19"/>
      <c r="ALT48" s="19"/>
      <c r="ALU48" s="19"/>
      <c r="ALV48" s="19"/>
      <c r="ALW48" s="19"/>
      <c r="ALX48" s="19"/>
      <c r="ALY48" s="19"/>
      <c r="ALZ48" s="19"/>
      <c r="AMA48" s="19"/>
      <c r="AMB48" s="19"/>
      <c r="AMC48" s="19"/>
      <c r="AMD48" s="19"/>
      <c r="AME48" s="19"/>
      <c r="AMF48" s="19"/>
      <c r="AMG48" s="19"/>
      <c r="AMH48" s="19"/>
      <c r="AMI48" s="19"/>
      <c r="AMJ48" s="19"/>
      <c r="AMK48" s="19"/>
      <c r="AML48" s="19"/>
      <c r="AMM48" s="19"/>
      <c r="AMN48" s="19"/>
      <c r="AMO48" s="19"/>
      <c r="AMP48" s="19"/>
      <c r="AMQ48" s="19"/>
      <c r="AMR48" s="19"/>
      <c r="AMS48" s="19"/>
      <c r="AMT48" s="19"/>
      <c r="AMU48" s="19"/>
      <c r="AMV48" s="19"/>
      <c r="AMW48" s="19"/>
      <c r="AMX48" s="19"/>
      <c r="AMY48" s="19"/>
      <c r="AMZ48" s="19"/>
      <c r="ANA48" s="19"/>
      <c r="ANB48" s="19"/>
      <c r="ANC48" s="19"/>
      <c r="AND48" s="19"/>
      <c r="ANE48" s="19"/>
      <c r="ANF48" s="19"/>
      <c r="ANG48" s="19"/>
      <c r="ANH48" s="19"/>
      <c r="ANI48" s="19"/>
      <c r="ANJ48" s="19"/>
      <c r="ANK48" s="19"/>
      <c r="ANL48" s="19"/>
      <c r="ANM48" s="19"/>
      <c r="ANN48" s="19"/>
      <c r="ANO48" s="19"/>
      <c r="ANP48" s="19"/>
      <c r="ANQ48" s="19"/>
      <c r="ANR48" s="19"/>
      <c r="ANS48" s="19"/>
      <c r="ANT48" s="19"/>
      <c r="ANU48" s="19"/>
      <c r="ANV48" s="19"/>
      <c r="ANW48" s="19"/>
      <c r="ANX48" s="19"/>
      <c r="ANY48" s="19"/>
      <c r="ANZ48" s="19"/>
      <c r="AOA48" s="19"/>
      <c r="AOB48" s="19"/>
      <c r="AOC48" s="19"/>
      <c r="AOD48" s="19"/>
      <c r="AOE48" s="19"/>
      <c r="AOF48" s="19"/>
      <c r="AOG48" s="19"/>
      <c r="AOH48" s="19"/>
      <c r="AOI48" s="19"/>
      <c r="AOJ48" s="19"/>
      <c r="AOK48" s="19"/>
      <c r="AOL48" s="19"/>
      <c r="AOM48" s="19"/>
      <c r="AON48" s="19"/>
      <c r="AOO48" s="19"/>
      <c r="AOP48" s="19"/>
      <c r="AOQ48" s="19"/>
      <c r="AOR48" s="19"/>
      <c r="AOS48" s="19"/>
      <c r="AOT48" s="19"/>
      <c r="AOU48" s="19"/>
      <c r="AOV48" s="19"/>
      <c r="AOW48" s="19"/>
      <c r="AOX48" s="19"/>
      <c r="AOY48" s="19"/>
      <c r="AOZ48" s="19"/>
      <c r="APA48" s="19"/>
      <c r="APB48" s="19"/>
      <c r="APC48" s="19"/>
      <c r="APD48" s="19"/>
      <c r="APE48" s="19"/>
      <c r="APF48" s="19"/>
      <c r="APG48" s="19"/>
      <c r="APH48" s="19"/>
      <c r="API48" s="19"/>
      <c r="APJ48" s="19"/>
      <c r="APK48" s="19"/>
      <c r="APL48" s="19"/>
      <c r="APM48" s="19"/>
      <c r="APN48" s="19"/>
      <c r="APO48" s="19"/>
      <c r="APP48" s="19"/>
      <c r="APQ48" s="19"/>
      <c r="APR48" s="19"/>
      <c r="APS48" s="19"/>
      <c r="APT48" s="19"/>
      <c r="APU48" s="19"/>
      <c r="APV48" s="19"/>
      <c r="APW48" s="19"/>
      <c r="APX48" s="19"/>
      <c r="APY48" s="19"/>
      <c r="APZ48" s="19"/>
      <c r="AQA48" s="19"/>
      <c r="AQB48" s="19"/>
      <c r="AQC48" s="19"/>
      <c r="AQD48" s="19"/>
      <c r="AQE48" s="19"/>
      <c r="AQF48" s="19"/>
      <c r="AQG48" s="19"/>
      <c r="AQH48" s="19"/>
      <c r="AQI48" s="19"/>
      <c r="AQJ48" s="19"/>
      <c r="AQK48" s="19"/>
      <c r="AQL48" s="19"/>
      <c r="AQM48" s="19"/>
      <c r="AQN48" s="19"/>
      <c r="AQO48" s="19"/>
      <c r="AQP48" s="19"/>
      <c r="AQQ48" s="19"/>
      <c r="AQR48" s="19"/>
      <c r="AQS48" s="19"/>
      <c r="AQT48" s="19"/>
      <c r="AQU48" s="19"/>
      <c r="AQV48" s="19"/>
      <c r="AQW48" s="19"/>
      <c r="AQX48" s="19"/>
      <c r="AQY48" s="19"/>
      <c r="AQZ48" s="19"/>
      <c r="ARA48" s="19"/>
      <c r="ARB48" s="19"/>
      <c r="ARC48" s="19"/>
      <c r="ARD48" s="19"/>
      <c r="ARE48" s="19"/>
      <c r="ARF48" s="19"/>
      <c r="ARG48" s="19"/>
      <c r="ARH48" s="19"/>
      <c r="ARI48" s="19"/>
      <c r="ARJ48" s="19"/>
      <c r="ARK48" s="19"/>
      <c r="ARL48" s="19"/>
      <c r="ARM48" s="19"/>
      <c r="ARN48" s="19"/>
      <c r="ARO48" s="19"/>
      <c r="ARP48" s="19"/>
      <c r="ARQ48" s="19"/>
      <c r="ARR48" s="19"/>
      <c r="ARS48" s="19"/>
      <c r="ART48" s="19"/>
      <c r="ARU48" s="19"/>
      <c r="ARV48" s="19"/>
      <c r="ARW48" s="19"/>
      <c r="ARX48" s="19"/>
      <c r="ARY48" s="19"/>
      <c r="ARZ48" s="19"/>
      <c r="ASA48" s="19"/>
      <c r="ASB48" s="19"/>
      <c r="ASC48" s="19"/>
      <c r="ASD48" s="19"/>
      <c r="ASE48" s="19"/>
      <c r="ASF48" s="19"/>
      <c r="ASG48" s="19"/>
      <c r="ASH48" s="19"/>
      <c r="ASI48" s="19"/>
      <c r="ASJ48" s="19"/>
      <c r="ASK48" s="19"/>
      <c r="ASL48" s="19"/>
      <c r="ASM48" s="19"/>
      <c r="ASN48" s="19"/>
      <c r="ASO48" s="19"/>
      <c r="ASP48" s="19"/>
      <c r="ASQ48" s="19"/>
      <c r="ASR48" s="19"/>
      <c r="ASS48" s="19"/>
      <c r="AST48" s="19"/>
      <c r="ASU48" s="19"/>
      <c r="ASV48" s="19"/>
      <c r="ASW48" s="19"/>
      <c r="ASX48" s="19"/>
      <c r="ASY48" s="19"/>
      <c r="ASZ48" s="19"/>
      <c r="ATA48" s="19"/>
      <c r="ATB48" s="19"/>
      <c r="ATC48" s="19"/>
      <c r="ATD48" s="19"/>
      <c r="ATE48" s="19"/>
      <c r="ATF48" s="19"/>
      <c r="ATG48" s="19"/>
      <c r="ATH48" s="19"/>
      <c r="ATI48" s="19"/>
      <c r="ATJ48" s="19"/>
      <c r="ATK48" s="19"/>
      <c r="ATL48" s="19"/>
      <c r="ATM48" s="19"/>
      <c r="ATN48" s="19"/>
      <c r="ATO48" s="19"/>
      <c r="ATP48" s="19"/>
      <c r="ATQ48" s="19"/>
      <c r="ATR48" s="19"/>
      <c r="ATS48" s="19"/>
      <c r="ATT48" s="19"/>
      <c r="ATU48" s="19"/>
      <c r="ATV48" s="19"/>
      <c r="ATW48" s="19"/>
      <c r="ATX48" s="19"/>
      <c r="ATY48" s="19"/>
      <c r="ATZ48" s="19"/>
      <c r="AUA48" s="19"/>
      <c r="AUB48" s="19"/>
      <c r="AUC48" s="19"/>
      <c r="AUD48" s="19"/>
      <c r="AUE48" s="19"/>
      <c r="AUF48" s="19"/>
      <c r="AUG48" s="19"/>
      <c r="AUH48" s="19"/>
      <c r="AUI48" s="19"/>
      <c r="AUJ48" s="19"/>
      <c r="AUK48" s="19"/>
      <c r="AUL48" s="19"/>
      <c r="AUM48" s="19"/>
      <c r="AUN48" s="19"/>
      <c r="AUO48" s="19"/>
      <c r="AUP48" s="19"/>
      <c r="AUQ48" s="19"/>
      <c r="AUR48" s="19"/>
      <c r="AUS48" s="19"/>
      <c r="AUT48" s="19"/>
      <c r="AUU48" s="19"/>
      <c r="AUV48" s="19"/>
      <c r="AUW48" s="19"/>
      <c r="AUX48" s="19"/>
      <c r="AUY48" s="19"/>
      <c r="AUZ48" s="19"/>
      <c r="AVA48" s="19"/>
      <c r="AVB48" s="19"/>
      <c r="AVC48" s="19"/>
      <c r="AVD48" s="19"/>
      <c r="AVE48" s="19"/>
      <c r="AVF48" s="19"/>
      <c r="AVG48" s="19"/>
      <c r="AVH48" s="19"/>
      <c r="AVI48" s="19"/>
      <c r="AVJ48" s="19"/>
      <c r="AVK48" s="19"/>
      <c r="AVL48" s="19"/>
      <c r="AVM48" s="19"/>
      <c r="AVN48" s="19"/>
      <c r="AVO48" s="19"/>
      <c r="AVP48" s="19"/>
      <c r="AVQ48" s="19"/>
      <c r="AVR48" s="19"/>
      <c r="AVS48" s="19"/>
      <c r="AVT48" s="19"/>
      <c r="AVU48" s="19"/>
      <c r="AVV48" s="19"/>
      <c r="AVW48" s="19"/>
      <c r="AVX48" s="19"/>
      <c r="AVY48" s="19"/>
      <c r="AVZ48" s="19"/>
      <c r="AWA48" s="19"/>
      <c r="AWB48" s="19"/>
      <c r="AWC48" s="19"/>
      <c r="AWD48" s="19"/>
      <c r="AWE48" s="19"/>
      <c r="AWF48" s="19"/>
      <c r="AWG48" s="19"/>
      <c r="AWH48" s="19"/>
      <c r="AWI48" s="19"/>
      <c r="AWJ48" s="19"/>
      <c r="AWK48" s="19"/>
      <c r="AWL48" s="19"/>
      <c r="AWM48" s="19"/>
      <c r="AWN48" s="19"/>
      <c r="AWO48" s="19"/>
      <c r="AWP48" s="19"/>
      <c r="AWQ48" s="19"/>
      <c r="AWR48" s="19"/>
      <c r="AWS48" s="19"/>
      <c r="AWT48" s="19"/>
      <c r="AWU48" s="19"/>
      <c r="AWV48" s="19"/>
      <c r="AWW48" s="19"/>
      <c r="AWX48" s="19"/>
      <c r="AWY48" s="19"/>
      <c r="AWZ48" s="19"/>
      <c r="AXA48" s="19"/>
      <c r="AXB48" s="19"/>
      <c r="AXC48" s="19"/>
      <c r="AXD48" s="19"/>
      <c r="AXE48" s="19"/>
      <c r="AXF48" s="19"/>
      <c r="AXG48" s="19"/>
      <c r="AXH48" s="19"/>
      <c r="AXI48" s="19"/>
      <c r="AXJ48" s="19"/>
      <c r="AXK48" s="19"/>
      <c r="AXL48" s="19"/>
      <c r="AXM48" s="19"/>
      <c r="AXN48" s="19"/>
      <c r="AXO48" s="19"/>
      <c r="AXP48" s="19"/>
      <c r="AXQ48" s="19"/>
      <c r="AXR48" s="19"/>
      <c r="AXS48" s="19"/>
      <c r="AXT48" s="19"/>
      <c r="AXU48" s="19"/>
      <c r="AXV48" s="19"/>
      <c r="AXW48" s="19"/>
      <c r="AXX48" s="19"/>
      <c r="AXY48" s="19"/>
      <c r="AXZ48" s="19"/>
      <c r="AYA48" s="19"/>
      <c r="AYB48" s="19"/>
      <c r="AYC48" s="19"/>
      <c r="AYD48" s="19"/>
      <c r="AYE48" s="19"/>
      <c r="AYF48" s="19"/>
      <c r="AYG48" s="19"/>
      <c r="AYH48" s="19"/>
      <c r="AYI48" s="19"/>
      <c r="AYJ48" s="19"/>
      <c r="AYK48" s="19"/>
      <c r="AYL48" s="19"/>
      <c r="AYM48" s="19"/>
      <c r="AYN48" s="19"/>
      <c r="AYO48" s="19"/>
      <c r="AYP48" s="19"/>
      <c r="AYQ48" s="19"/>
      <c r="AYR48" s="19"/>
      <c r="AYS48" s="19"/>
      <c r="AYT48" s="19"/>
      <c r="AYU48" s="19"/>
      <c r="AYV48" s="19"/>
      <c r="AYW48" s="19"/>
      <c r="AYX48" s="19"/>
      <c r="AYY48" s="19"/>
      <c r="AYZ48" s="19"/>
      <c r="AZA48" s="19"/>
      <c r="AZB48" s="19"/>
      <c r="AZC48" s="19"/>
      <c r="AZD48" s="19"/>
      <c r="AZE48" s="19"/>
      <c r="AZF48" s="19"/>
      <c r="AZG48" s="19"/>
      <c r="AZH48" s="19"/>
      <c r="AZI48" s="19"/>
      <c r="AZJ48" s="19"/>
      <c r="AZK48" s="19"/>
      <c r="AZL48" s="19"/>
      <c r="AZM48" s="19"/>
      <c r="AZN48" s="19"/>
      <c r="AZO48" s="19"/>
      <c r="AZP48" s="19"/>
      <c r="AZQ48" s="19"/>
      <c r="AZR48" s="19"/>
      <c r="AZS48" s="19"/>
      <c r="AZT48" s="19"/>
      <c r="AZU48" s="19"/>
      <c r="AZV48" s="19"/>
      <c r="AZW48" s="19"/>
      <c r="AZX48" s="19"/>
      <c r="AZY48" s="19"/>
      <c r="AZZ48" s="19"/>
      <c r="BAA48" s="19"/>
      <c r="BAB48" s="19"/>
      <c r="BAC48" s="19"/>
      <c r="BAD48" s="19"/>
      <c r="BAE48" s="19"/>
      <c r="BAF48" s="19"/>
      <c r="BAG48" s="19"/>
      <c r="BAH48" s="19"/>
      <c r="BAI48" s="19"/>
      <c r="BAJ48" s="19"/>
      <c r="BAK48" s="19"/>
      <c r="BAL48" s="19"/>
      <c r="BAM48" s="19"/>
      <c r="BAN48" s="19"/>
      <c r="BAO48" s="19"/>
      <c r="BAP48" s="19"/>
      <c r="BAQ48" s="19"/>
      <c r="BAR48" s="19"/>
      <c r="BAS48" s="19"/>
      <c r="BAT48" s="19"/>
      <c r="BAU48" s="19"/>
      <c r="BAV48" s="19"/>
      <c r="BAW48" s="19"/>
      <c r="BAX48" s="19"/>
      <c r="BAY48" s="19"/>
      <c r="BAZ48" s="19"/>
      <c r="BBA48" s="19"/>
      <c r="BBB48" s="19"/>
      <c r="BBC48" s="19"/>
      <c r="BBD48" s="19"/>
      <c r="BBE48" s="19"/>
      <c r="BBF48" s="19"/>
      <c r="BBG48" s="19"/>
      <c r="BBH48" s="19"/>
      <c r="BBI48" s="19"/>
      <c r="BBJ48" s="19"/>
      <c r="BBK48" s="19"/>
      <c r="BBL48" s="19"/>
      <c r="BBM48" s="19"/>
      <c r="BBN48" s="19"/>
      <c r="BBO48" s="19"/>
      <c r="BBP48" s="19"/>
      <c r="BBQ48" s="19"/>
      <c r="BBR48" s="19"/>
      <c r="BBS48" s="19"/>
      <c r="BBT48" s="19"/>
      <c r="BBU48" s="19"/>
      <c r="BBV48" s="19"/>
      <c r="BBW48" s="19"/>
      <c r="BBX48" s="19"/>
      <c r="BBY48" s="19"/>
      <c r="BBZ48" s="19"/>
      <c r="BCA48" s="19"/>
      <c r="BCB48" s="19"/>
      <c r="BCC48" s="19"/>
      <c r="BCD48" s="19"/>
      <c r="BCE48" s="19"/>
      <c r="BCF48" s="19"/>
      <c r="BCG48" s="19"/>
      <c r="BCH48" s="19"/>
      <c r="BCI48" s="19"/>
      <c r="BCJ48" s="19"/>
      <c r="BCK48" s="19"/>
      <c r="BCL48" s="19"/>
      <c r="BCM48" s="19"/>
      <c r="BCN48" s="19"/>
      <c r="BCO48" s="19"/>
      <c r="BCP48" s="19"/>
      <c r="BCQ48" s="19"/>
      <c r="BCR48" s="19"/>
      <c r="BCS48" s="19"/>
      <c r="BCT48" s="19"/>
      <c r="BCU48" s="19"/>
      <c r="BCV48" s="19"/>
      <c r="BCW48" s="19"/>
      <c r="BCX48" s="19"/>
      <c r="BCY48" s="19"/>
      <c r="BCZ48" s="19"/>
      <c r="BDA48" s="19"/>
      <c r="BDB48" s="19"/>
      <c r="BDC48" s="19"/>
      <c r="BDD48" s="19"/>
      <c r="BDE48" s="19"/>
      <c r="BDF48" s="19"/>
      <c r="BDG48" s="19"/>
      <c r="BDH48" s="19"/>
      <c r="BDI48" s="19"/>
      <c r="BDJ48" s="19"/>
      <c r="BDK48" s="19"/>
      <c r="BDL48" s="19"/>
      <c r="BDM48" s="19"/>
      <c r="BDN48" s="19"/>
      <c r="BDO48" s="19"/>
      <c r="BDP48" s="19"/>
      <c r="BDQ48" s="19"/>
      <c r="BDR48" s="19"/>
      <c r="BDS48" s="19"/>
      <c r="BDT48" s="19"/>
      <c r="BDU48" s="19"/>
      <c r="BDV48" s="19"/>
      <c r="BDW48" s="19"/>
      <c r="BDX48" s="19"/>
      <c r="BDY48" s="19"/>
      <c r="BDZ48" s="19"/>
      <c r="BEA48" s="19"/>
      <c r="BEB48" s="19"/>
      <c r="BEC48" s="19"/>
      <c r="BED48" s="19"/>
      <c r="BEE48" s="19"/>
      <c r="BEF48" s="19"/>
      <c r="BEG48" s="19"/>
      <c r="BEH48" s="19"/>
      <c r="BEI48" s="19"/>
      <c r="BEJ48" s="19"/>
      <c r="BEK48" s="19"/>
      <c r="BEL48" s="19"/>
      <c r="BEM48" s="19"/>
      <c r="BEN48" s="19"/>
      <c r="BEO48" s="19"/>
      <c r="BEP48" s="19"/>
      <c r="BEQ48" s="19"/>
      <c r="BER48" s="19"/>
      <c r="BES48" s="19"/>
      <c r="BET48" s="19"/>
      <c r="BEU48" s="19"/>
      <c r="BEV48" s="19"/>
      <c r="BEW48" s="19"/>
      <c r="BEX48" s="19"/>
      <c r="BEY48" s="19"/>
      <c r="BEZ48" s="19"/>
      <c r="BFA48" s="19"/>
      <c r="BFB48" s="19"/>
      <c r="BFC48" s="19"/>
      <c r="BFD48" s="19"/>
      <c r="BFE48" s="19"/>
      <c r="BFF48" s="19"/>
      <c r="BFG48" s="19"/>
      <c r="BFH48" s="19"/>
      <c r="BFI48" s="19"/>
      <c r="BFJ48" s="19"/>
      <c r="BFK48" s="19"/>
      <c r="BFL48" s="19"/>
      <c r="BFM48" s="19"/>
      <c r="BFN48" s="19"/>
      <c r="BFO48" s="19"/>
      <c r="BFP48" s="19"/>
      <c r="BFQ48" s="19"/>
      <c r="BFR48" s="19"/>
      <c r="BFS48" s="19"/>
      <c r="BFT48" s="19"/>
      <c r="BFU48" s="19"/>
      <c r="BFV48" s="19"/>
      <c r="BFW48" s="19"/>
      <c r="BFX48" s="19"/>
      <c r="BFY48" s="19"/>
      <c r="BFZ48" s="19"/>
      <c r="BGA48" s="19"/>
      <c r="BGB48" s="19"/>
      <c r="BGC48" s="19"/>
      <c r="BGD48" s="19"/>
      <c r="BGE48" s="19"/>
      <c r="BGF48" s="19"/>
      <c r="BGG48" s="19"/>
      <c r="BGH48" s="19"/>
      <c r="BGI48" s="19"/>
      <c r="BGJ48" s="19"/>
      <c r="BGK48" s="19"/>
      <c r="BGL48" s="19"/>
      <c r="BGM48" s="19"/>
      <c r="BGN48" s="19"/>
      <c r="BGO48" s="19"/>
      <c r="BGP48" s="19"/>
      <c r="BGQ48" s="19"/>
      <c r="BGR48" s="19"/>
      <c r="BGS48" s="19"/>
      <c r="BGT48" s="19"/>
      <c r="BGU48" s="19"/>
      <c r="BGV48" s="19"/>
      <c r="BGW48" s="19"/>
      <c r="BGX48" s="19"/>
      <c r="BGY48" s="19"/>
      <c r="BGZ48" s="19"/>
      <c r="BHA48" s="19"/>
      <c r="BHB48" s="19"/>
      <c r="BHC48" s="19"/>
      <c r="BHD48" s="19"/>
      <c r="BHE48" s="19"/>
      <c r="BHF48" s="19"/>
      <c r="BHG48" s="19"/>
      <c r="BHH48" s="19"/>
      <c r="BHI48" s="19"/>
      <c r="BHJ48" s="19"/>
      <c r="BHK48" s="19"/>
      <c r="BHL48" s="19"/>
      <c r="BHM48" s="19"/>
      <c r="BHN48" s="19"/>
      <c r="BHO48" s="19"/>
      <c r="BHP48" s="19"/>
      <c r="BHQ48" s="19"/>
      <c r="BHR48" s="19"/>
      <c r="BHS48" s="19"/>
      <c r="BHT48" s="19"/>
      <c r="BHU48" s="19"/>
      <c r="BHV48" s="19"/>
      <c r="BHW48" s="19"/>
      <c r="BHX48" s="19"/>
      <c r="BHY48" s="19"/>
      <c r="BHZ48" s="19"/>
      <c r="BIA48" s="19"/>
      <c r="BIB48" s="19"/>
      <c r="BIC48" s="19"/>
      <c r="BID48" s="19"/>
      <c r="BIE48" s="19"/>
      <c r="BIF48" s="19"/>
      <c r="BIG48" s="19"/>
      <c r="BIH48" s="19"/>
      <c r="BII48" s="19"/>
      <c r="BIJ48" s="19"/>
      <c r="BIK48" s="19"/>
      <c r="BIL48" s="19"/>
      <c r="BIM48" s="19"/>
      <c r="BIN48" s="19"/>
      <c r="BIO48" s="19"/>
      <c r="BIP48" s="19"/>
      <c r="BIQ48" s="19"/>
      <c r="BIR48" s="19"/>
      <c r="BIS48" s="19"/>
      <c r="BIT48" s="19"/>
      <c r="BIU48" s="19"/>
      <c r="BIV48" s="19"/>
      <c r="BIW48" s="19"/>
      <c r="BIX48" s="19"/>
      <c r="BIY48" s="19"/>
      <c r="BIZ48" s="19"/>
      <c r="BJA48" s="19"/>
      <c r="BJB48" s="19"/>
      <c r="BJC48" s="19"/>
      <c r="BJD48" s="19"/>
      <c r="BJE48" s="19"/>
      <c r="BJF48" s="19"/>
      <c r="BJG48" s="19"/>
      <c r="BJH48" s="19"/>
      <c r="BJI48" s="19"/>
      <c r="BJJ48" s="19"/>
      <c r="BJK48" s="19"/>
      <c r="BJL48" s="19"/>
      <c r="BJM48" s="19"/>
      <c r="BJN48" s="19"/>
      <c r="BJO48" s="19"/>
      <c r="BJP48" s="19"/>
      <c r="BJQ48" s="19"/>
      <c r="BJR48" s="19"/>
      <c r="BJS48" s="19"/>
      <c r="BJT48" s="19"/>
      <c r="BJU48" s="19"/>
      <c r="BJV48" s="19"/>
      <c r="BJW48" s="19"/>
      <c r="BJX48" s="19"/>
      <c r="BJY48" s="19"/>
      <c r="BJZ48" s="19"/>
      <c r="BKA48" s="19"/>
      <c r="BKB48" s="19"/>
      <c r="BKC48" s="19"/>
      <c r="BKD48" s="19"/>
      <c r="BKE48" s="19"/>
      <c r="BKF48" s="19"/>
      <c r="BKG48" s="19"/>
      <c r="BKH48" s="19"/>
      <c r="BKI48" s="19"/>
      <c r="BKJ48" s="19"/>
      <c r="BKK48" s="19"/>
      <c r="BKL48" s="19"/>
      <c r="BKM48" s="19"/>
      <c r="BKN48" s="19"/>
      <c r="BKO48" s="19"/>
      <c r="BKP48" s="19"/>
      <c r="BKQ48" s="19"/>
      <c r="BKR48" s="19"/>
      <c r="BKS48" s="19"/>
      <c r="BKT48" s="19"/>
      <c r="BKU48" s="19"/>
      <c r="BKV48" s="19"/>
      <c r="BKW48" s="19"/>
      <c r="BKX48" s="19"/>
      <c r="BKY48" s="19"/>
      <c r="BKZ48" s="19"/>
      <c r="BLA48" s="19"/>
      <c r="BLB48" s="19"/>
      <c r="BLC48" s="19"/>
      <c r="BLD48" s="19"/>
      <c r="BLE48" s="19"/>
      <c r="BLF48" s="19"/>
      <c r="BLG48" s="19"/>
      <c r="BLH48" s="19"/>
      <c r="BLI48" s="19"/>
      <c r="BLJ48" s="19"/>
      <c r="BLK48" s="19"/>
      <c r="BLL48" s="19"/>
      <c r="BLM48" s="19"/>
      <c r="BLN48" s="19"/>
      <c r="BLO48" s="19"/>
      <c r="BLP48" s="19"/>
      <c r="BLQ48" s="19"/>
      <c r="BLR48" s="19"/>
      <c r="BLS48" s="19"/>
      <c r="BLT48" s="19"/>
      <c r="BLU48" s="19"/>
      <c r="BLV48" s="19"/>
      <c r="BLW48" s="19"/>
      <c r="BLX48" s="19"/>
      <c r="BLY48" s="19"/>
      <c r="BLZ48" s="19"/>
      <c r="BMA48" s="19"/>
      <c r="BMB48" s="19"/>
      <c r="BMC48" s="19"/>
      <c r="BMD48" s="19"/>
      <c r="BME48" s="19"/>
      <c r="BMF48" s="19"/>
      <c r="BMG48" s="19"/>
      <c r="BMH48" s="19"/>
      <c r="BMI48" s="19"/>
      <c r="BMJ48" s="19"/>
      <c r="BMK48" s="19"/>
      <c r="BML48" s="19"/>
      <c r="BMM48" s="19"/>
      <c r="BMN48" s="19"/>
      <c r="BMO48" s="19"/>
      <c r="BMP48" s="19"/>
      <c r="BMQ48" s="19"/>
      <c r="BMR48" s="19"/>
      <c r="BMS48" s="19"/>
      <c r="BMT48" s="19"/>
      <c r="BMU48" s="19"/>
      <c r="BMV48" s="19"/>
      <c r="BMW48" s="19"/>
      <c r="BMX48" s="19"/>
      <c r="BMY48" s="19"/>
      <c r="BMZ48" s="19"/>
      <c r="BNA48" s="19"/>
      <c r="BNB48" s="19"/>
      <c r="BNC48" s="19"/>
      <c r="BND48" s="19"/>
      <c r="BNE48" s="19"/>
      <c r="BNF48" s="19"/>
      <c r="BNG48" s="19"/>
      <c r="BNH48" s="19"/>
      <c r="BNI48" s="19"/>
      <c r="BNJ48" s="19"/>
      <c r="BNK48" s="19"/>
      <c r="BNL48" s="19"/>
      <c r="BNM48" s="19"/>
      <c r="BNN48" s="19"/>
      <c r="BNO48" s="19"/>
      <c r="BNP48" s="19"/>
      <c r="BNQ48" s="19"/>
      <c r="BNR48" s="19"/>
      <c r="BNS48" s="19"/>
      <c r="BNT48" s="19"/>
      <c r="BNU48" s="19"/>
      <c r="BNV48" s="19"/>
      <c r="BNW48" s="19"/>
      <c r="BNX48" s="19"/>
      <c r="BNY48" s="19"/>
      <c r="BNZ48" s="19"/>
      <c r="BOA48" s="19"/>
      <c r="BOB48" s="19"/>
      <c r="BOC48" s="19"/>
      <c r="BOD48" s="19"/>
      <c r="BOE48" s="19"/>
      <c r="BOF48" s="19"/>
      <c r="BOG48" s="19"/>
      <c r="BOH48" s="19"/>
      <c r="BOI48" s="19"/>
      <c r="BOJ48" s="19"/>
      <c r="BOK48" s="19"/>
      <c r="BOL48" s="19"/>
      <c r="BOM48" s="19"/>
      <c r="BON48" s="19"/>
      <c r="BOO48" s="19"/>
      <c r="BOP48" s="19"/>
      <c r="BOQ48" s="19"/>
      <c r="BOR48" s="19"/>
      <c r="BOS48" s="19"/>
      <c r="BOT48" s="19"/>
      <c r="BOU48" s="19"/>
      <c r="BOV48" s="19"/>
      <c r="BOW48" s="19"/>
      <c r="BOX48" s="19"/>
      <c r="BOY48" s="19"/>
      <c r="BOZ48" s="19"/>
      <c r="BPA48" s="19"/>
      <c r="BPB48" s="19"/>
      <c r="BPC48" s="19"/>
      <c r="BPD48" s="19"/>
      <c r="BPE48" s="19"/>
      <c r="BPF48" s="19"/>
      <c r="BPG48" s="19"/>
      <c r="BPH48" s="19"/>
      <c r="BPI48" s="19"/>
      <c r="BPJ48" s="19"/>
      <c r="BPK48" s="19"/>
      <c r="BPL48" s="19"/>
      <c r="BPM48" s="19"/>
      <c r="BPN48" s="19"/>
      <c r="BPO48" s="19"/>
      <c r="BPP48" s="19"/>
      <c r="BPQ48" s="19"/>
      <c r="BPR48" s="19"/>
      <c r="BPS48" s="19"/>
      <c r="BPT48" s="19"/>
      <c r="BPU48" s="19"/>
      <c r="BPV48" s="19"/>
      <c r="BPW48" s="19"/>
      <c r="BPX48" s="19"/>
      <c r="BPY48" s="19"/>
      <c r="BPZ48" s="19"/>
      <c r="BQA48" s="19"/>
      <c r="BQB48" s="19"/>
      <c r="BQC48" s="19"/>
      <c r="BQD48" s="19"/>
      <c r="BQE48" s="19"/>
      <c r="BQF48" s="19"/>
      <c r="BQG48" s="19"/>
      <c r="BQH48" s="19"/>
      <c r="BQI48" s="19"/>
      <c r="BQJ48" s="19"/>
      <c r="BQK48" s="19"/>
      <c r="BQL48" s="19"/>
      <c r="BQM48" s="19"/>
      <c r="BQN48" s="19"/>
      <c r="BQO48" s="19"/>
      <c r="BQP48" s="19"/>
      <c r="BQQ48" s="19"/>
      <c r="BQR48" s="19"/>
      <c r="BQS48" s="19"/>
      <c r="BQT48" s="19"/>
      <c r="BQU48" s="19"/>
      <c r="BQV48" s="19"/>
      <c r="BQW48" s="19"/>
      <c r="BQX48" s="19"/>
      <c r="BQY48" s="19"/>
      <c r="BQZ48" s="19"/>
      <c r="BRA48" s="19"/>
      <c r="BRB48" s="19"/>
      <c r="BRC48" s="19"/>
      <c r="BRD48" s="19"/>
      <c r="BRE48" s="19"/>
      <c r="BRF48" s="19"/>
      <c r="BRG48" s="19"/>
      <c r="BRH48" s="19"/>
      <c r="BRI48" s="19"/>
      <c r="BRJ48" s="19"/>
      <c r="BRK48" s="19"/>
      <c r="BRL48" s="19"/>
      <c r="BRM48" s="19"/>
      <c r="BRN48" s="19"/>
      <c r="BRO48" s="19"/>
      <c r="BRP48" s="19"/>
      <c r="BRQ48" s="19"/>
      <c r="BRR48" s="19"/>
      <c r="BRS48" s="19"/>
      <c r="BRT48" s="19"/>
      <c r="BRU48" s="19"/>
      <c r="BRV48" s="19"/>
      <c r="BRW48" s="19"/>
      <c r="BRX48" s="19"/>
      <c r="BRY48" s="19"/>
      <c r="BRZ48" s="19"/>
      <c r="BSA48" s="19"/>
      <c r="BSB48" s="19"/>
      <c r="BSC48" s="19"/>
      <c r="BSD48" s="19"/>
      <c r="BSE48" s="19"/>
      <c r="BSF48" s="19"/>
      <c r="BSG48" s="19"/>
      <c r="BSH48" s="19"/>
      <c r="BSI48" s="19"/>
      <c r="BSJ48" s="19"/>
      <c r="BSK48" s="19"/>
      <c r="BSL48" s="19"/>
      <c r="BSM48" s="19"/>
      <c r="BSN48" s="19"/>
      <c r="BSO48" s="19"/>
      <c r="BSP48" s="19"/>
      <c r="BSQ48" s="19"/>
      <c r="BSR48" s="19"/>
      <c r="BSS48" s="19"/>
      <c r="BST48" s="19"/>
      <c r="BSU48" s="19"/>
      <c r="BSV48" s="19"/>
      <c r="BSW48" s="19"/>
      <c r="BSX48" s="19"/>
      <c r="BSY48" s="19"/>
      <c r="BSZ48" s="19"/>
      <c r="BTA48" s="19"/>
      <c r="BTB48" s="19"/>
      <c r="BTC48" s="19"/>
      <c r="BTD48" s="19"/>
      <c r="BTE48" s="19"/>
      <c r="BTF48" s="19"/>
      <c r="BTG48" s="19"/>
      <c r="BTH48" s="19"/>
      <c r="BTI48" s="19"/>
      <c r="BTJ48" s="19"/>
      <c r="BTK48" s="19"/>
      <c r="BTL48" s="19"/>
      <c r="BTM48" s="19"/>
      <c r="BTN48" s="19"/>
      <c r="BTO48" s="19"/>
      <c r="BTP48" s="19"/>
      <c r="BTQ48" s="19"/>
      <c r="BTR48" s="19"/>
      <c r="BTS48" s="19"/>
      <c r="BTT48" s="19"/>
      <c r="BTU48" s="19"/>
      <c r="BTV48" s="19"/>
      <c r="BTW48" s="19"/>
      <c r="BTX48" s="19"/>
      <c r="BTY48" s="19"/>
      <c r="BTZ48" s="19"/>
      <c r="BUA48" s="19"/>
      <c r="BUB48" s="19"/>
      <c r="BUC48" s="19"/>
      <c r="BUD48" s="19"/>
      <c r="BUE48" s="19"/>
      <c r="BUF48" s="19"/>
      <c r="BUG48" s="19"/>
      <c r="BUH48" s="19"/>
      <c r="BUI48" s="19"/>
      <c r="BUJ48" s="19"/>
      <c r="BUK48" s="19"/>
      <c r="BUL48" s="19"/>
      <c r="BUM48" s="19"/>
      <c r="BUN48" s="19"/>
      <c r="BUO48" s="19"/>
      <c r="BUP48" s="19"/>
      <c r="BUQ48" s="19"/>
      <c r="BUR48" s="19"/>
      <c r="BUS48" s="19"/>
      <c r="BUT48" s="19"/>
      <c r="BUU48" s="19"/>
      <c r="BUV48" s="19"/>
      <c r="BUW48" s="19"/>
      <c r="BUX48" s="19"/>
      <c r="BUY48" s="19"/>
      <c r="BUZ48" s="19"/>
      <c r="BVA48" s="19"/>
      <c r="BVB48" s="19"/>
      <c r="BVC48" s="19"/>
      <c r="BVD48" s="19"/>
      <c r="BVE48" s="19"/>
      <c r="BVF48" s="19"/>
      <c r="BVG48" s="19"/>
      <c r="BVH48" s="19"/>
      <c r="BVI48" s="19"/>
      <c r="BVJ48" s="19"/>
      <c r="BVK48" s="19"/>
      <c r="BVL48" s="19"/>
      <c r="BVM48" s="19"/>
      <c r="BVN48" s="19"/>
      <c r="BVO48" s="19"/>
      <c r="BVP48" s="19"/>
      <c r="BVQ48" s="19"/>
      <c r="BVR48" s="19"/>
      <c r="BVS48" s="19"/>
      <c r="BVT48" s="19"/>
      <c r="BVU48" s="19"/>
      <c r="BVV48" s="19"/>
      <c r="BVW48" s="19"/>
      <c r="BVX48" s="19"/>
      <c r="BVY48" s="19"/>
      <c r="BVZ48" s="19"/>
      <c r="BWA48" s="19"/>
      <c r="BWB48" s="19"/>
      <c r="BWC48" s="19"/>
      <c r="BWD48" s="19"/>
      <c r="BWE48" s="19"/>
      <c r="BWF48" s="19"/>
      <c r="BWG48" s="19"/>
      <c r="BWH48" s="19"/>
      <c r="BWI48" s="19"/>
      <c r="BWJ48" s="19"/>
      <c r="BWK48" s="19"/>
      <c r="BWL48" s="19"/>
      <c r="BWM48" s="19"/>
      <c r="BWN48" s="19"/>
      <c r="BWO48" s="19"/>
      <c r="BWP48" s="19"/>
      <c r="BWQ48" s="19"/>
      <c r="BWR48" s="19"/>
      <c r="BWS48" s="19"/>
      <c r="BWT48" s="19"/>
      <c r="BWU48" s="19"/>
      <c r="BWV48" s="19"/>
      <c r="BWW48" s="19"/>
      <c r="BWX48" s="19"/>
      <c r="BWY48" s="19"/>
      <c r="BWZ48" s="19"/>
      <c r="BXA48" s="19"/>
      <c r="BXB48" s="19"/>
      <c r="BXC48" s="19"/>
      <c r="BXD48" s="19"/>
      <c r="BXE48" s="19"/>
      <c r="BXF48" s="19"/>
      <c r="BXG48" s="19"/>
      <c r="BXH48" s="19"/>
      <c r="BXI48" s="19"/>
      <c r="BXJ48" s="19"/>
      <c r="BXK48" s="19"/>
      <c r="BXL48" s="19"/>
      <c r="BXM48" s="19"/>
      <c r="BXN48" s="19"/>
      <c r="BXO48" s="19"/>
      <c r="BXP48" s="19"/>
      <c r="BXQ48" s="19"/>
      <c r="BXR48" s="19"/>
      <c r="BXS48" s="19"/>
      <c r="BXT48" s="19"/>
      <c r="BXU48" s="19"/>
      <c r="BXV48" s="19"/>
      <c r="BXW48" s="19"/>
      <c r="BXX48" s="19"/>
      <c r="BXY48" s="19"/>
      <c r="BXZ48" s="19"/>
      <c r="BYA48" s="19"/>
      <c r="BYB48" s="19"/>
      <c r="BYC48" s="19"/>
      <c r="BYD48" s="19"/>
      <c r="BYE48" s="19"/>
      <c r="BYF48" s="19"/>
      <c r="BYG48" s="19"/>
      <c r="BYH48" s="19"/>
      <c r="BYI48" s="19"/>
      <c r="BYJ48" s="19"/>
      <c r="BYK48" s="19"/>
      <c r="BYL48" s="19"/>
      <c r="BYM48" s="19"/>
      <c r="BYN48" s="19"/>
      <c r="BYO48" s="19"/>
      <c r="BYP48" s="19"/>
      <c r="BYQ48" s="19"/>
      <c r="BYR48" s="19"/>
      <c r="BYS48" s="19"/>
      <c r="BYT48" s="19"/>
      <c r="BYU48" s="19"/>
      <c r="BYV48" s="19"/>
      <c r="BYW48" s="19"/>
      <c r="BYX48" s="19"/>
      <c r="BYY48" s="19"/>
      <c r="BYZ48" s="19"/>
      <c r="BZA48" s="19"/>
      <c r="BZB48" s="19"/>
      <c r="BZC48" s="19"/>
      <c r="BZD48" s="19"/>
      <c r="BZE48" s="19"/>
      <c r="BZF48" s="19"/>
      <c r="BZG48" s="19"/>
      <c r="BZH48" s="19"/>
      <c r="BZI48" s="19"/>
      <c r="BZJ48" s="19"/>
      <c r="BZK48" s="19"/>
      <c r="BZL48" s="19"/>
      <c r="BZM48" s="19"/>
      <c r="BZN48" s="19"/>
      <c r="BZO48" s="19"/>
      <c r="BZP48" s="19"/>
      <c r="BZQ48" s="19"/>
      <c r="BZR48" s="19"/>
      <c r="BZS48" s="19"/>
      <c r="BZT48" s="19"/>
      <c r="BZU48" s="19"/>
      <c r="BZV48" s="19"/>
      <c r="BZW48" s="19"/>
      <c r="BZX48" s="19"/>
      <c r="BZY48" s="19"/>
      <c r="BZZ48" s="19"/>
      <c r="CAA48" s="19"/>
      <c r="CAB48" s="19"/>
      <c r="CAC48" s="19"/>
      <c r="CAD48" s="19"/>
      <c r="CAE48" s="19"/>
      <c r="CAF48" s="19"/>
      <c r="CAG48" s="19"/>
      <c r="CAH48" s="19"/>
      <c r="CAI48" s="19"/>
      <c r="CAJ48" s="19"/>
      <c r="CAK48" s="19"/>
      <c r="CAL48" s="19"/>
      <c r="CAM48" s="19"/>
      <c r="CAN48" s="19"/>
      <c r="CAO48" s="19"/>
      <c r="CAP48" s="19"/>
      <c r="CAQ48" s="19"/>
      <c r="CAR48" s="19"/>
      <c r="CAS48" s="19"/>
      <c r="CAT48" s="19"/>
      <c r="CAU48" s="19"/>
      <c r="CAV48" s="19"/>
      <c r="CAW48" s="19"/>
      <c r="CAX48" s="19"/>
      <c r="CAY48" s="19"/>
      <c r="CAZ48" s="19"/>
      <c r="CBA48" s="19"/>
      <c r="CBB48" s="19"/>
      <c r="CBC48" s="19"/>
      <c r="CBD48" s="19"/>
      <c r="CBE48" s="19"/>
      <c r="CBF48" s="19"/>
      <c r="CBG48" s="19"/>
      <c r="CBH48" s="19"/>
      <c r="CBI48" s="19"/>
      <c r="CBJ48" s="19"/>
      <c r="CBK48" s="19"/>
      <c r="CBL48" s="19"/>
      <c r="CBM48" s="19"/>
      <c r="CBN48" s="19"/>
      <c r="CBO48" s="19"/>
      <c r="CBP48" s="19"/>
      <c r="CBQ48" s="19"/>
      <c r="CBR48" s="19"/>
      <c r="CBS48" s="19"/>
      <c r="CBT48" s="19"/>
      <c r="CBU48" s="19"/>
      <c r="CBV48" s="19"/>
      <c r="CBW48" s="19"/>
      <c r="CBX48" s="19"/>
      <c r="CBY48" s="19"/>
      <c r="CBZ48" s="19"/>
      <c r="CCA48" s="19"/>
      <c r="CCB48" s="19"/>
      <c r="CCC48" s="19"/>
      <c r="CCD48" s="19"/>
      <c r="CCE48" s="19"/>
      <c r="CCF48" s="19"/>
      <c r="CCG48" s="19"/>
      <c r="CCH48" s="19"/>
      <c r="CCI48" s="19"/>
      <c r="CCJ48" s="19"/>
      <c r="CCK48" s="19"/>
      <c r="CCL48" s="19"/>
      <c r="CCM48" s="19"/>
      <c r="CCN48" s="19"/>
      <c r="CCO48" s="19"/>
      <c r="CCP48" s="19"/>
      <c r="CCQ48" s="19"/>
      <c r="CCR48" s="19"/>
      <c r="CCS48" s="19"/>
      <c r="CCT48" s="19"/>
      <c r="CCU48" s="19"/>
      <c r="CCV48" s="19"/>
      <c r="CCW48" s="19"/>
      <c r="CCX48" s="19"/>
      <c r="CCY48" s="19"/>
      <c r="CCZ48" s="19"/>
      <c r="CDA48" s="19"/>
      <c r="CDB48" s="19"/>
      <c r="CDC48" s="19"/>
      <c r="CDD48" s="19"/>
      <c r="CDE48" s="19"/>
      <c r="CDF48" s="19"/>
      <c r="CDG48" s="19"/>
      <c r="CDH48" s="19"/>
      <c r="CDI48" s="19"/>
      <c r="CDJ48" s="19"/>
      <c r="CDK48" s="19"/>
      <c r="CDL48" s="19"/>
      <c r="CDM48" s="19"/>
      <c r="CDN48" s="19"/>
      <c r="CDO48" s="19"/>
      <c r="CDP48" s="19"/>
      <c r="CDQ48" s="19"/>
      <c r="CDR48" s="19"/>
      <c r="CDS48" s="19"/>
      <c r="CDT48" s="19"/>
      <c r="CDU48" s="19"/>
      <c r="CDV48" s="19"/>
      <c r="CDW48" s="19"/>
      <c r="CDX48" s="19"/>
      <c r="CDY48" s="19"/>
      <c r="CDZ48" s="19"/>
      <c r="CEA48" s="19"/>
      <c r="CEB48" s="19"/>
      <c r="CEC48" s="19"/>
      <c r="CED48" s="19"/>
      <c r="CEE48" s="19"/>
      <c r="CEF48" s="19"/>
      <c r="CEG48" s="19"/>
      <c r="CEH48" s="19"/>
      <c r="CEI48" s="19"/>
      <c r="CEJ48" s="19"/>
      <c r="CEK48" s="19"/>
      <c r="CEL48" s="19"/>
      <c r="CEM48" s="19"/>
      <c r="CEN48" s="19"/>
      <c r="CEO48" s="19"/>
      <c r="CEP48" s="19"/>
      <c r="CEQ48" s="19"/>
      <c r="CER48" s="19"/>
      <c r="CES48" s="19"/>
      <c r="CET48" s="19"/>
      <c r="CEU48" s="19"/>
      <c r="CEV48" s="19"/>
      <c r="CEW48" s="19"/>
      <c r="CEX48" s="19"/>
      <c r="CEY48" s="19"/>
      <c r="CEZ48" s="19"/>
      <c r="CFA48" s="19"/>
      <c r="CFB48" s="19"/>
      <c r="CFC48" s="19"/>
      <c r="CFD48" s="19"/>
      <c r="CFE48" s="19"/>
      <c r="CFF48" s="19"/>
      <c r="CFG48" s="19"/>
      <c r="CFH48" s="19"/>
      <c r="CFI48" s="19"/>
      <c r="CFJ48" s="19"/>
      <c r="CFK48" s="19"/>
      <c r="CFL48" s="19"/>
      <c r="CFM48" s="19"/>
      <c r="CFN48" s="19"/>
      <c r="CFO48" s="19"/>
      <c r="CFP48" s="19"/>
      <c r="CFQ48" s="19"/>
      <c r="CFR48" s="19"/>
      <c r="CFS48" s="19"/>
      <c r="CFT48" s="19"/>
      <c r="CFU48" s="19"/>
      <c r="CFV48" s="19"/>
      <c r="CFW48" s="19"/>
      <c r="CFX48" s="19"/>
      <c r="CFY48" s="19"/>
      <c r="CFZ48" s="19"/>
      <c r="CGA48" s="19"/>
      <c r="CGB48" s="19"/>
      <c r="CGC48" s="19"/>
      <c r="CGD48" s="19"/>
      <c r="CGE48" s="19"/>
      <c r="CGF48" s="19"/>
      <c r="CGG48" s="19"/>
      <c r="CGH48" s="19"/>
      <c r="CGI48" s="19"/>
      <c r="CGJ48" s="19"/>
      <c r="CGK48" s="19"/>
      <c r="CGL48" s="19"/>
      <c r="CGM48" s="19"/>
      <c r="CGN48" s="19"/>
      <c r="CGO48" s="19"/>
      <c r="CGP48" s="19"/>
      <c r="CGQ48" s="19"/>
      <c r="CGR48" s="19"/>
      <c r="CGS48" s="19"/>
      <c r="CGT48" s="19"/>
      <c r="CGU48" s="19"/>
      <c r="CGV48" s="19"/>
      <c r="CGW48" s="19"/>
      <c r="CGX48" s="19"/>
      <c r="CGY48" s="19"/>
      <c r="CGZ48" s="19"/>
      <c r="CHA48" s="19"/>
      <c r="CHB48" s="19"/>
      <c r="CHC48" s="19"/>
      <c r="CHD48" s="19"/>
      <c r="CHE48" s="19"/>
      <c r="CHF48" s="19"/>
      <c r="CHG48" s="19"/>
      <c r="CHH48" s="19"/>
      <c r="CHI48" s="19"/>
      <c r="CHJ48" s="19"/>
      <c r="CHK48" s="19"/>
      <c r="CHL48" s="19"/>
      <c r="CHM48" s="19"/>
      <c r="CHN48" s="19"/>
      <c r="CHO48" s="19"/>
      <c r="CHP48" s="19"/>
      <c r="CHQ48" s="19"/>
      <c r="CHR48" s="19"/>
      <c r="CHS48" s="19"/>
      <c r="CHT48" s="19"/>
      <c r="CHU48" s="19"/>
      <c r="CHV48" s="19"/>
      <c r="CHW48" s="19"/>
      <c r="CHX48" s="19"/>
      <c r="CHY48" s="19"/>
      <c r="CHZ48" s="19"/>
      <c r="CIA48" s="19"/>
      <c r="CIB48" s="19"/>
      <c r="CIC48" s="19"/>
      <c r="CID48" s="19"/>
      <c r="CIE48" s="19"/>
      <c r="CIF48" s="19"/>
      <c r="CIG48" s="19"/>
      <c r="CIH48" s="19"/>
      <c r="CII48" s="19"/>
      <c r="CIJ48" s="19"/>
      <c r="CIK48" s="19"/>
      <c r="CIL48" s="19"/>
      <c r="CIM48" s="19"/>
      <c r="CIN48" s="19"/>
      <c r="CIO48" s="19"/>
      <c r="CIP48" s="19"/>
      <c r="CIQ48" s="19"/>
      <c r="CIR48" s="19"/>
      <c r="CIS48" s="19"/>
      <c r="CIT48" s="19"/>
      <c r="CIU48" s="19"/>
      <c r="CIV48" s="19"/>
      <c r="CIW48" s="19"/>
      <c r="CIX48" s="19"/>
      <c r="CIY48" s="19"/>
      <c r="CIZ48" s="19"/>
      <c r="CJA48" s="19"/>
      <c r="CJB48" s="19"/>
      <c r="CJC48" s="19"/>
      <c r="CJD48" s="19"/>
      <c r="CJE48" s="19"/>
      <c r="CJF48" s="19"/>
      <c r="CJG48" s="19"/>
      <c r="CJH48" s="19"/>
      <c r="CJI48" s="19"/>
      <c r="CJJ48" s="19"/>
      <c r="CJK48" s="19"/>
      <c r="CJL48" s="19"/>
      <c r="CJM48" s="19"/>
      <c r="CJN48" s="19"/>
      <c r="CJO48" s="19"/>
      <c r="CJP48" s="19"/>
      <c r="CJQ48" s="19"/>
      <c r="CJR48" s="19"/>
      <c r="CJS48" s="19"/>
      <c r="CJT48" s="19"/>
      <c r="CJU48" s="19"/>
      <c r="CJV48" s="19"/>
      <c r="CJW48" s="19"/>
      <c r="CJX48" s="19"/>
      <c r="CJY48" s="19"/>
      <c r="CJZ48" s="19"/>
      <c r="CKA48" s="19"/>
      <c r="CKB48" s="19"/>
      <c r="CKC48" s="19"/>
      <c r="CKD48" s="19"/>
      <c r="CKE48" s="19"/>
      <c r="CKF48" s="19"/>
      <c r="CKG48" s="19"/>
      <c r="CKH48" s="19"/>
      <c r="CKI48" s="19"/>
      <c r="CKJ48" s="19"/>
      <c r="CKK48" s="19"/>
      <c r="CKL48" s="19"/>
      <c r="CKM48" s="19"/>
      <c r="CKN48" s="19"/>
      <c r="CKO48" s="19"/>
      <c r="CKP48" s="19"/>
      <c r="CKQ48" s="19"/>
      <c r="CKR48" s="19"/>
      <c r="CKS48" s="19"/>
      <c r="CKT48" s="19"/>
      <c r="CKU48" s="19"/>
      <c r="CKV48" s="19"/>
      <c r="CKW48" s="19"/>
      <c r="CKX48" s="19"/>
      <c r="CKY48" s="19"/>
      <c r="CKZ48" s="19"/>
      <c r="CLA48" s="19"/>
      <c r="CLB48" s="19"/>
      <c r="CLC48" s="19"/>
      <c r="CLD48" s="19"/>
      <c r="CLE48" s="19"/>
      <c r="CLF48" s="19"/>
      <c r="CLG48" s="19"/>
      <c r="CLH48" s="19"/>
      <c r="CLI48" s="19"/>
      <c r="CLJ48" s="19"/>
      <c r="CLK48" s="19"/>
      <c r="CLL48" s="19"/>
      <c r="CLM48" s="19"/>
      <c r="CLN48" s="19"/>
      <c r="CLO48" s="19"/>
      <c r="CLP48" s="19"/>
      <c r="CLQ48" s="19"/>
      <c r="CLR48" s="19"/>
      <c r="CLS48" s="19"/>
      <c r="CLT48" s="19"/>
      <c r="CLU48" s="19"/>
      <c r="CLV48" s="19"/>
      <c r="CLW48" s="19"/>
      <c r="CLX48" s="19"/>
      <c r="CLY48" s="19"/>
      <c r="CLZ48" s="19"/>
      <c r="CMA48" s="19"/>
      <c r="CMB48" s="19"/>
      <c r="CMC48" s="19"/>
      <c r="CMD48" s="19"/>
      <c r="CME48" s="19"/>
      <c r="CMF48" s="19"/>
      <c r="CMG48" s="19"/>
      <c r="CMH48" s="19"/>
      <c r="CMI48" s="19"/>
      <c r="CMJ48" s="19"/>
      <c r="CMK48" s="19"/>
      <c r="CML48" s="19"/>
      <c r="CMM48" s="19"/>
      <c r="CMN48" s="19"/>
      <c r="CMO48" s="19"/>
      <c r="CMP48" s="19"/>
      <c r="CMQ48" s="19"/>
      <c r="CMR48" s="19"/>
      <c r="CMS48" s="19"/>
      <c r="CMT48" s="19"/>
      <c r="CMU48" s="19"/>
      <c r="CMV48" s="19"/>
      <c r="CMW48" s="19"/>
      <c r="CMX48" s="19"/>
      <c r="CMY48" s="19"/>
      <c r="CMZ48" s="19"/>
      <c r="CNA48" s="19"/>
      <c r="CNB48" s="19"/>
      <c r="CNC48" s="19"/>
      <c r="CND48" s="19"/>
      <c r="CNE48" s="19"/>
      <c r="CNF48" s="19"/>
      <c r="CNG48" s="19"/>
      <c r="CNH48" s="19"/>
      <c r="CNI48" s="19"/>
      <c r="CNJ48" s="19"/>
      <c r="CNK48" s="19"/>
      <c r="CNL48" s="19"/>
      <c r="CNM48" s="19"/>
      <c r="CNN48" s="19"/>
      <c r="CNO48" s="19"/>
      <c r="CNP48" s="19"/>
      <c r="CNQ48" s="19"/>
      <c r="CNR48" s="19"/>
      <c r="CNS48" s="19"/>
      <c r="CNT48" s="19"/>
      <c r="CNU48" s="19"/>
      <c r="CNV48" s="19"/>
      <c r="CNW48" s="19"/>
      <c r="CNX48" s="19"/>
      <c r="CNY48" s="19"/>
      <c r="CNZ48" s="19"/>
      <c r="COA48" s="19"/>
      <c r="COB48" s="19"/>
      <c r="COC48" s="19"/>
      <c r="COD48" s="19"/>
      <c r="COE48" s="19"/>
      <c r="COF48" s="19"/>
      <c r="COG48" s="19"/>
      <c r="COH48" s="19"/>
      <c r="COI48" s="19"/>
      <c r="COJ48" s="19"/>
      <c r="COK48" s="19"/>
      <c r="COL48" s="19"/>
      <c r="COM48" s="19"/>
      <c r="CON48" s="19"/>
      <c r="COO48" s="19"/>
      <c r="COP48" s="19"/>
      <c r="COQ48" s="19"/>
      <c r="COR48" s="19"/>
      <c r="COS48" s="19"/>
      <c r="COT48" s="19"/>
      <c r="COU48" s="19"/>
      <c r="COV48" s="19"/>
      <c r="COW48" s="19"/>
      <c r="COX48" s="19"/>
      <c r="COY48" s="19"/>
      <c r="COZ48" s="19"/>
      <c r="CPA48" s="19"/>
      <c r="CPB48" s="19"/>
      <c r="CPC48" s="19"/>
      <c r="CPD48" s="19"/>
      <c r="CPE48" s="19"/>
      <c r="CPF48" s="19"/>
      <c r="CPG48" s="19"/>
      <c r="CPH48" s="19"/>
      <c r="CPI48" s="19"/>
      <c r="CPJ48" s="19"/>
      <c r="CPK48" s="19"/>
      <c r="CPL48" s="19"/>
      <c r="CPM48" s="19"/>
      <c r="CPN48" s="19"/>
      <c r="CPO48" s="19"/>
      <c r="CPP48" s="19"/>
      <c r="CPQ48" s="19"/>
      <c r="CPR48" s="19"/>
      <c r="CPS48" s="19"/>
      <c r="CPT48" s="19"/>
      <c r="CPU48" s="19"/>
      <c r="CPV48" s="19"/>
      <c r="CPW48" s="19"/>
      <c r="CPX48" s="19"/>
      <c r="CPY48" s="19"/>
      <c r="CPZ48" s="19"/>
      <c r="CQA48" s="19"/>
      <c r="CQB48" s="19"/>
      <c r="CQC48" s="19"/>
      <c r="CQD48" s="19"/>
      <c r="CQE48" s="19"/>
      <c r="CQF48" s="19"/>
      <c r="CQG48" s="19"/>
      <c r="CQH48" s="19"/>
      <c r="CQI48" s="19"/>
      <c r="CQJ48" s="19"/>
      <c r="CQK48" s="19"/>
      <c r="CQL48" s="19"/>
      <c r="CQM48" s="19"/>
      <c r="CQN48" s="19"/>
      <c r="CQO48" s="19"/>
      <c r="CQP48" s="19"/>
      <c r="CQQ48" s="19"/>
      <c r="CQR48" s="19"/>
      <c r="CQS48" s="19"/>
      <c r="CQT48" s="19"/>
      <c r="CQU48" s="19"/>
      <c r="CQV48" s="19"/>
      <c r="CQW48" s="19"/>
      <c r="CQX48" s="19"/>
      <c r="CQY48" s="19"/>
      <c r="CQZ48" s="19"/>
      <c r="CRA48" s="19"/>
      <c r="CRB48" s="19"/>
      <c r="CRC48" s="19"/>
      <c r="CRD48" s="19"/>
      <c r="CRE48" s="19"/>
      <c r="CRF48" s="19"/>
      <c r="CRG48" s="19"/>
      <c r="CRH48" s="19"/>
      <c r="CRI48" s="19"/>
      <c r="CRJ48" s="19"/>
      <c r="CRK48" s="19"/>
      <c r="CRL48" s="19"/>
      <c r="CRM48" s="19"/>
      <c r="CRN48" s="19"/>
      <c r="CRO48" s="19"/>
      <c r="CRP48" s="19"/>
      <c r="CRQ48" s="19"/>
      <c r="CRR48" s="19"/>
      <c r="CRS48" s="19"/>
      <c r="CRT48" s="19"/>
      <c r="CRU48" s="19"/>
      <c r="CRV48" s="19"/>
      <c r="CRW48" s="19"/>
      <c r="CRX48" s="19"/>
      <c r="CRY48" s="19"/>
      <c r="CRZ48" s="19"/>
      <c r="CSA48" s="19"/>
      <c r="CSB48" s="19"/>
      <c r="CSC48" s="19"/>
      <c r="CSD48" s="19"/>
      <c r="CSE48" s="19"/>
      <c r="CSF48" s="19"/>
      <c r="CSG48" s="19"/>
      <c r="CSH48" s="19"/>
      <c r="CSI48" s="19"/>
      <c r="CSJ48" s="19"/>
      <c r="CSK48" s="19"/>
      <c r="CSL48" s="19"/>
      <c r="CSM48" s="19"/>
      <c r="CSN48" s="19"/>
      <c r="CSO48" s="19"/>
      <c r="CSP48" s="19"/>
      <c r="CSQ48" s="19"/>
      <c r="CSR48" s="19"/>
      <c r="CSS48" s="19"/>
      <c r="CST48" s="19"/>
      <c r="CSU48" s="19"/>
      <c r="CSV48" s="19"/>
      <c r="CSW48" s="19"/>
      <c r="CSX48" s="19"/>
      <c r="CSY48" s="19"/>
      <c r="CSZ48" s="19"/>
      <c r="CTA48" s="19"/>
      <c r="CTB48" s="19"/>
      <c r="CTC48" s="19"/>
      <c r="CTD48" s="19"/>
      <c r="CTE48" s="19"/>
      <c r="CTF48" s="19"/>
      <c r="CTG48" s="19"/>
      <c r="CTH48" s="19"/>
      <c r="CTI48" s="19"/>
      <c r="CTJ48" s="19"/>
      <c r="CTK48" s="19"/>
      <c r="CTL48" s="19"/>
      <c r="CTM48" s="19"/>
      <c r="CTN48" s="19"/>
      <c r="CTO48" s="19"/>
      <c r="CTP48" s="19"/>
      <c r="CTQ48" s="19"/>
      <c r="CTR48" s="19"/>
      <c r="CTS48" s="19"/>
      <c r="CTT48" s="19"/>
      <c r="CTU48" s="19"/>
      <c r="CTV48" s="19"/>
      <c r="CTW48" s="19"/>
      <c r="CTX48" s="19"/>
      <c r="CTY48" s="19"/>
      <c r="CTZ48" s="19"/>
      <c r="CUA48" s="19"/>
      <c r="CUB48" s="19"/>
      <c r="CUC48" s="19"/>
      <c r="CUD48" s="19"/>
      <c r="CUE48" s="19"/>
      <c r="CUF48" s="19"/>
      <c r="CUG48" s="19"/>
      <c r="CUH48" s="19"/>
      <c r="CUI48" s="19"/>
      <c r="CUJ48" s="19"/>
      <c r="CUK48" s="19"/>
      <c r="CUL48" s="19"/>
      <c r="CUM48" s="19"/>
      <c r="CUN48" s="19"/>
      <c r="CUO48" s="19"/>
      <c r="CUP48" s="19"/>
      <c r="CUQ48" s="19"/>
      <c r="CUR48" s="19"/>
      <c r="CUS48" s="19"/>
      <c r="CUT48" s="19"/>
      <c r="CUU48" s="19"/>
      <c r="CUV48" s="19"/>
      <c r="CUW48" s="19"/>
      <c r="CUX48" s="19"/>
      <c r="CUY48" s="19"/>
      <c r="CUZ48" s="19"/>
      <c r="CVA48" s="19"/>
      <c r="CVB48" s="19"/>
      <c r="CVC48" s="19"/>
      <c r="CVD48" s="19"/>
      <c r="CVE48" s="19"/>
      <c r="CVF48" s="19"/>
      <c r="CVG48" s="19"/>
      <c r="CVH48" s="19"/>
      <c r="CVI48" s="19"/>
      <c r="CVJ48" s="19"/>
      <c r="CVK48" s="19"/>
      <c r="CVL48" s="19"/>
      <c r="CVM48" s="19"/>
      <c r="CVN48" s="19"/>
      <c r="CVO48" s="19"/>
      <c r="CVP48" s="19"/>
      <c r="CVQ48" s="19"/>
      <c r="CVR48" s="19"/>
      <c r="CVS48" s="19"/>
      <c r="CVT48" s="19"/>
      <c r="CVU48" s="19"/>
      <c r="CVV48" s="19"/>
      <c r="CVW48" s="19"/>
      <c r="CVX48" s="19"/>
      <c r="CVY48" s="19"/>
      <c r="CVZ48" s="19"/>
      <c r="CWA48" s="19"/>
      <c r="CWB48" s="19"/>
      <c r="CWC48" s="19"/>
      <c r="CWD48" s="19"/>
      <c r="CWE48" s="19"/>
      <c r="CWF48" s="19"/>
      <c r="CWG48" s="19"/>
      <c r="CWH48" s="19"/>
      <c r="CWI48" s="19"/>
      <c r="CWJ48" s="19"/>
      <c r="CWK48" s="19"/>
      <c r="CWL48" s="19"/>
      <c r="CWM48" s="19"/>
      <c r="CWN48" s="19"/>
      <c r="CWO48" s="19"/>
      <c r="CWP48" s="19"/>
      <c r="CWQ48" s="19"/>
      <c r="CWR48" s="19"/>
      <c r="CWS48" s="19"/>
      <c r="CWT48" s="19"/>
      <c r="CWU48" s="19"/>
      <c r="CWV48" s="19"/>
      <c r="CWW48" s="19"/>
      <c r="CWX48" s="19"/>
      <c r="CWY48" s="19"/>
      <c r="CWZ48" s="19"/>
      <c r="CXA48" s="19"/>
      <c r="CXB48" s="19"/>
      <c r="CXC48" s="19"/>
      <c r="CXD48" s="19"/>
      <c r="CXE48" s="19"/>
      <c r="CXF48" s="19"/>
      <c r="CXG48" s="19"/>
      <c r="CXH48" s="19"/>
      <c r="CXI48" s="19"/>
      <c r="CXJ48" s="19"/>
      <c r="CXK48" s="19"/>
      <c r="CXL48" s="19"/>
      <c r="CXM48" s="19"/>
      <c r="CXN48" s="19"/>
      <c r="CXO48" s="19"/>
      <c r="CXP48" s="19"/>
      <c r="CXQ48" s="19"/>
      <c r="CXR48" s="19"/>
      <c r="CXS48" s="19"/>
      <c r="CXT48" s="19"/>
      <c r="CXU48" s="19"/>
      <c r="CXV48" s="19"/>
      <c r="CXW48" s="19"/>
      <c r="CXX48" s="19"/>
      <c r="CXY48" s="19"/>
      <c r="CXZ48" s="19"/>
      <c r="CYA48" s="19"/>
      <c r="CYB48" s="19"/>
      <c r="CYC48" s="19"/>
      <c r="CYD48" s="19"/>
      <c r="CYE48" s="19"/>
      <c r="CYF48" s="19"/>
      <c r="CYG48" s="19"/>
      <c r="CYH48" s="19"/>
      <c r="CYI48" s="19"/>
      <c r="CYJ48" s="19"/>
      <c r="CYK48" s="19"/>
      <c r="CYL48" s="19"/>
      <c r="CYM48" s="19"/>
      <c r="CYN48" s="19"/>
      <c r="CYO48" s="19"/>
      <c r="CYP48" s="19"/>
      <c r="CYQ48" s="19"/>
      <c r="CYR48" s="19"/>
      <c r="CYS48" s="19"/>
      <c r="CYT48" s="19"/>
      <c r="CYU48" s="19"/>
      <c r="CYV48" s="19"/>
      <c r="CYW48" s="19"/>
      <c r="CYX48" s="19"/>
      <c r="CYY48" s="19"/>
      <c r="CYZ48" s="19"/>
      <c r="CZA48" s="19"/>
      <c r="CZB48" s="19"/>
      <c r="CZC48" s="19"/>
      <c r="CZD48" s="19"/>
      <c r="CZE48" s="19"/>
      <c r="CZF48" s="19"/>
      <c r="CZG48" s="19"/>
      <c r="CZH48" s="19"/>
      <c r="CZI48" s="19"/>
      <c r="CZJ48" s="19"/>
      <c r="CZK48" s="19"/>
      <c r="CZL48" s="19"/>
      <c r="CZM48" s="19"/>
      <c r="CZN48" s="19"/>
      <c r="CZO48" s="19"/>
      <c r="CZP48" s="19"/>
      <c r="CZQ48" s="19"/>
      <c r="CZR48" s="19"/>
      <c r="CZS48" s="19"/>
      <c r="CZT48" s="19"/>
      <c r="CZU48" s="19"/>
      <c r="CZV48" s="19"/>
      <c r="CZW48" s="19"/>
      <c r="CZX48" s="19"/>
      <c r="CZY48" s="19"/>
      <c r="CZZ48" s="19"/>
      <c r="DAA48" s="19"/>
      <c r="DAB48" s="19"/>
      <c r="DAC48" s="19"/>
      <c r="DAD48" s="19"/>
      <c r="DAE48" s="19"/>
      <c r="DAF48" s="19"/>
      <c r="DAG48" s="19"/>
      <c r="DAH48" s="19"/>
      <c r="DAI48" s="19"/>
      <c r="DAJ48" s="19"/>
      <c r="DAK48" s="19"/>
      <c r="DAL48" s="19"/>
      <c r="DAM48" s="19"/>
      <c r="DAN48" s="19"/>
      <c r="DAO48" s="19"/>
      <c r="DAP48" s="19"/>
      <c r="DAQ48" s="19"/>
      <c r="DAR48" s="19"/>
      <c r="DAS48" s="19"/>
      <c r="DAT48" s="19"/>
      <c r="DAU48" s="19"/>
      <c r="DAV48" s="19"/>
      <c r="DAW48" s="19"/>
      <c r="DAX48" s="19"/>
      <c r="DAY48" s="19"/>
      <c r="DAZ48" s="19"/>
      <c r="DBA48" s="19"/>
      <c r="DBB48" s="19"/>
      <c r="DBC48" s="19"/>
      <c r="DBD48" s="19"/>
      <c r="DBE48" s="19"/>
      <c r="DBF48" s="19"/>
      <c r="DBG48" s="19"/>
      <c r="DBH48" s="19"/>
      <c r="DBI48" s="19"/>
      <c r="DBJ48" s="19"/>
      <c r="DBK48" s="19"/>
      <c r="DBL48" s="19"/>
      <c r="DBM48" s="19"/>
      <c r="DBN48" s="19"/>
      <c r="DBO48" s="19"/>
      <c r="DBP48" s="19"/>
      <c r="DBQ48" s="19"/>
      <c r="DBR48" s="19"/>
      <c r="DBS48" s="19"/>
      <c r="DBT48" s="19"/>
      <c r="DBU48" s="19"/>
      <c r="DBV48" s="19"/>
      <c r="DBW48" s="19"/>
      <c r="DBX48" s="19"/>
      <c r="DBY48" s="19"/>
      <c r="DBZ48" s="19"/>
      <c r="DCA48" s="19"/>
      <c r="DCB48" s="19"/>
      <c r="DCC48" s="19"/>
      <c r="DCD48" s="19"/>
      <c r="DCE48" s="19"/>
      <c r="DCF48" s="19"/>
      <c r="DCG48" s="19"/>
      <c r="DCH48" s="19"/>
      <c r="DCI48" s="19"/>
      <c r="DCJ48" s="19"/>
      <c r="DCK48" s="19"/>
      <c r="DCL48" s="19"/>
      <c r="DCM48" s="19"/>
      <c r="DCN48" s="19"/>
      <c r="DCO48" s="19"/>
      <c r="DCP48" s="19"/>
      <c r="DCQ48" s="19"/>
      <c r="DCR48" s="19"/>
      <c r="DCS48" s="19"/>
      <c r="DCT48" s="19"/>
      <c r="DCU48" s="19"/>
      <c r="DCV48" s="19"/>
      <c r="DCW48" s="19"/>
      <c r="DCX48" s="19"/>
      <c r="DCY48" s="19"/>
      <c r="DCZ48" s="19"/>
      <c r="DDA48" s="19"/>
      <c r="DDB48" s="19"/>
      <c r="DDC48" s="19"/>
      <c r="DDD48" s="19"/>
      <c r="DDE48" s="19"/>
      <c r="DDF48" s="19"/>
      <c r="DDG48" s="19"/>
      <c r="DDH48" s="19"/>
      <c r="DDI48" s="19"/>
      <c r="DDJ48" s="19"/>
      <c r="DDK48" s="19"/>
      <c r="DDL48" s="19"/>
      <c r="DDM48" s="19"/>
      <c r="DDN48" s="19"/>
      <c r="DDO48" s="19"/>
      <c r="DDP48" s="19"/>
      <c r="DDQ48" s="19"/>
      <c r="DDR48" s="19"/>
      <c r="DDS48" s="19"/>
      <c r="DDT48" s="19"/>
      <c r="DDU48" s="19"/>
      <c r="DDV48" s="19"/>
      <c r="DDW48" s="19"/>
      <c r="DDX48" s="19"/>
      <c r="DDY48" s="19"/>
      <c r="DDZ48" s="19"/>
      <c r="DEA48" s="19"/>
      <c r="DEB48" s="19"/>
      <c r="DEC48" s="19"/>
      <c r="DED48" s="19"/>
      <c r="DEE48" s="19"/>
      <c r="DEF48" s="19"/>
      <c r="DEG48" s="19"/>
      <c r="DEH48" s="19"/>
      <c r="DEI48" s="19"/>
      <c r="DEJ48" s="19"/>
      <c r="DEK48" s="19"/>
      <c r="DEL48" s="19"/>
      <c r="DEM48" s="19"/>
      <c r="DEN48" s="19"/>
      <c r="DEO48" s="19"/>
      <c r="DEP48" s="19"/>
      <c r="DEQ48" s="19"/>
      <c r="DER48" s="19"/>
      <c r="DES48" s="19"/>
      <c r="DET48" s="19"/>
      <c r="DEU48" s="19"/>
      <c r="DEV48" s="19"/>
      <c r="DEW48" s="19"/>
      <c r="DEX48" s="19"/>
      <c r="DEY48" s="19"/>
      <c r="DEZ48" s="19"/>
      <c r="DFA48" s="19"/>
      <c r="DFB48" s="19"/>
      <c r="DFC48" s="19"/>
      <c r="DFD48" s="19"/>
      <c r="DFE48" s="19"/>
      <c r="DFF48" s="19"/>
      <c r="DFG48" s="19"/>
      <c r="DFH48" s="19"/>
      <c r="DFI48" s="19"/>
      <c r="DFJ48" s="19"/>
      <c r="DFK48" s="19"/>
      <c r="DFL48" s="19"/>
      <c r="DFM48" s="19"/>
      <c r="DFN48" s="19"/>
      <c r="DFO48" s="19"/>
      <c r="DFP48" s="19"/>
      <c r="DFQ48" s="19"/>
      <c r="DFR48" s="19"/>
      <c r="DFS48" s="19"/>
      <c r="DFT48" s="19"/>
      <c r="DFU48" s="19"/>
      <c r="DFV48" s="19"/>
      <c r="DFW48" s="19"/>
      <c r="DFX48" s="19"/>
      <c r="DFY48" s="19"/>
      <c r="DFZ48" s="19"/>
      <c r="DGA48" s="19"/>
      <c r="DGB48" s="19"/>
      <c r="DGC48" s="19"/>
      <c r="DGD48" s="19"/>
      <c r="DGE48" s="19"/>
      <c r="DGF48" s="19"/>
      <c r="DGG48" s="19"/>
      <c r="DGH48" s="19"/>
      <c r="DGI48" s="19"/>
      <c r="DGJ48" s="19"/>
      <c r="DGK48" s="19"/>
      <c r="DGL48" s="19"/>
      <c r="DGM48" s="19"/>
      <c r="DGN48" s="19"/>
      <c r="DGO48" s="19"/>
      <c r="DGP48" s="19"/>
      <c r="DGQ48" s="19"/>
      <c r="DGR48" s="19"/>
      <c r="DGS48" s="19"/>
      <c r="DGT48" s="19"/>
      <c r="DGU48" s="19"/>
      <c r="DGV48" s="19"/>
      <c r="DGW48" s="19"/>
      <c r="DGX48" s="19"/>
      <c r="DGY48" s="19"/>
      <c r="DGZ48" s="19"/>
      <c r="DHA48" s="19"/>
      <c r="DHB48" s="19"/>
      <c r="DHC48" s="19"/>
      <c r="DHD48" s="19"/>
      <c r="DHE48" s="19"/>
      <c r="DHF48" s="19"/>
      <c r="DHG48" s="19"/>
      <c r="DHH48" s="19"/>
      <c r="DHI48" s="19"/>
      <c r="DHJ48" s="19"/>
      <c r="DHK48" s="19"/>
      <c r="DHL48" s="19"/>
      <c r="DHM48" s="19"/>
      <c r="DHN48" s="19"/>
      <c r="DHO48" s="19"/>
      <c r="DHP48" s="19"/>
      <c r="DHQ48" s="19"/>
      <c r="DHR48" s="19"/>
      <c r="DHS48" s="19"/>
      <c r="DHT48" s="19"/>
      <c r="DHU48" s="19"/>
      <c r="DHV48" s="19"/>
      <c r="DHW48" s="19"/>
      <c r="DHX48" s="19"/>
      <c r="DHY48" s="19"/>
      <c r="DHZ48" s="19"/>
      <c r="DIA48" s="19"/>
      <c r="DIB48" s="19"/>
      <c r="DIC48" s="19"/>
      <c r="DID48" s="19"/>
      <c r="DIE48" s="19"/>
      <c r="DIF48" s="19"/>
      <c r="DIG48" s="19"/>
      <c r="DIH48" s="19"/>
      <c r="DII48" s="19"/>
      <c r="DIJ48" s="19"/>
      <c r="DIK48" s="19"/>
      <c r="DIL48" s="19"/>
      <c r="DIM48" s="19"/>
      <c r="DIN48" s="19"/>
      <c r="DIO48" s="19"/>
      <c r="DIP48" s="19"/>
      <c r="DIQ48" s="19"/>
      <c r="DIR48" s="19"/>
      <c r="DIS48" s="19"/>
      <c r="DIT48" s="19"/>
      <c r="DIU48" s="19"/>
      <c r="DIV48" s="19"/>
      <c r="DIW48" s="19"/>
      <c r="DIX48" s="19"/>
      <c r="DIY48" s="19"/>
      <c r="DIZ48" s="19"/>
      <c r="DJA48" s="19"/>
      <c r="DJB48" s="19"/>
      <c r="DJC48" s="19"/>
      <c r="DJD48" s="19"/>
      <c r="DJE48" s="19"/>
      <c r="DJF48" s="19"/>
      <c r="DJG48" s="19"/>
      <c r="DJH48" s="19"/>
      <c r="DJI48" s="19"/>
      <c r="DJJ48" s="19"/>
      <c r="DJK48" s="19"/>
      <c r="DJL48" s="19"/>
      <c r="DJM48" s="19"/>
      <c r="DJN48" s="19"/>
      <c r="DJO48" s="19"/>
      <c r="DJP48" s="19"/>
      <c r="DJQ48" s="19"/>
      <c r="DJR48" s="19"/>
      <c r="DJS48" s="19"/>
      <c r="DJT48" s="19"/>
      <c r="DJU48" s="19"/>
      <c r="DJV48" s="19"/>
      <c r="DJW48" s="19"/>
      <c r="DJX48" s="19"/>
      <c r="DJY48" s="19"/>
      <c r="DJZ48" s="19"/>
      <c r="DKA48" s="19"/>
      <c r="DKB48" s="19"/>
      <c r="DKC48" s="19"/>
      <c r="DKD48" s="19"/>
      <c r="DKE48" s="19"/>
      <c r="DKF48" s="19"/>
      <c r="DKG48" s="19"/>
      <c r="DKH48" s="19"/>
      <c r="DKI48" s="19"/>
      <c r="DKJ48" s="19"/>
      <c r="DKK48" s="19"/>
      <c r="DKL48" s="19"/>
      <c r="DKM48" s="19"/>
      <c r="DKN48" s="19"/>
      <c r="DKO48" s="19"/>
      <c r="DKP48" s="19"/>
      <c r="DKQ48" s="19"/>
      <c r="DKR48" s="19"/>
      <c r="DKS48" s="19"/>
      <c r="DKT48" s="19"/>
      <c r="DKU48" s="19"/>
      <c r="DKV48" s="19"/>
      <c r="DKW48" s="19"/>
      <c r="DKX48" s="19"/>
      <c r="DKY48" s="19"/>
      <c r="DKZ48" s="19"/>
      <c r="DLA48" s="19"/>
      <c r="DLB48" s="19"/>
      <c r="DLC48" s="19"/>
      <c r="DLD48" s="19"/>
      <c r="DLE48" s="19"/>
      <c r="DLF48" s="19"/>
      <c r="DLG48" s="19"/>
      <c r="DLH48" s="19"/>
      <c r="DLI48" s="19"/>
      <c r="DLJ48" s="19"/>
      <c r="DLK48" s="19"/>
      <c r="DLL48" s="19"/>
      <c r="DLM48" s="19"/>
      <c r="DLN48" s="19"/>
      <c r="DLO48" s="19"/>
      <c r="DLP48" s="19"/>
      <c r="DLQ48" s="19"/>
      <c r="DLR48" s="19"/>
      <c r="DLS48" s="19"/>
      <c r="DLT48" s="19"/>
      <c r="DLU48" s="19"/>
      <c r="DLV48" s="19"/>
      <c r="DLW48" s="19"/>
      <c r="DLX48" s="19"/>
      <c r="DLY48" s="19"/>
      <c r="DLZ48" s="19"/>
      <c r="DMA48" s="19"/>
      <c r="DMB48" s="19"/>
      <c r="DMC48" s="19"/>
      <c r="DMD48" s="19"/>
      <c r="DME48" s="19"/>
      <c r="DMF48" s="19"/>
      <c r="DMG48" s="19"/>
      <c r="DMH48" s="19"/>
      <c r="DMI48" s="19"/>
      <c r="DMJ48" s="19"/>
      <c r="DMK48" s="19"/>
      <c r="DML48" s="19"/>
      <c r="DMM48" s="19"/>
      <c r="DMN48" s="19"/>
      <c r="DMO48" s="19"/>
      <c r="DMP48" s="19"/>
      <c r="DMQ48" s="19"/>
      <c r="DMR48" s="19"/>
      <c r="DMS48" s="19"/>
      <c r="DMT48" s="19"/>
      <c r="DMU48" s="19"/>
      <c r="DMV48" s="19"/>
      <c r="DMW48" s="19"/>
      <c r="DMX48" s="19"/>
      <c r="DMY48" s="19"/>
      <c r="DMZ48" s="19"/>
      <c r="DNA48" s="19"/>
      <c r="DNB48" s="19"/>
      <c r="DNC48" s="19"/>
      <c r="DND48" s="19"/>
      <c r="DNE48" s="19"/>
      <c r="DNF48" s="19"/>
      <c r="DNG48" s="19"/>
      <c r="DNH48" s="19"/>
      <c r="DNI48" s="19"/>
      <c r="DNJ48" s="19"/>
      <c r="DNK48" s="19"/>
      <c r="DNL48" s="19"/>
      <c r="DNM48" s="19"/>
      <c r="DNN48" s="19"/>
      <c r="DNO48" s="19"/>
      <c r="DNP48" s="19"/>
      <c r="DNQ48" s="19"/>
      <c r="DNR48" s="19"/>
      <c r="DNS48" s="19"/>
      <c r="DNT48" s="19"/>
      <c r="DNU48" s="19"/>
      <c r="DNV48" s="19"/>
      <c r="DNW48" s="19"/>
      <c r="DNX48" s="19"/>
      <c r="DNY48" s="19"/>
      <c r="DNZ48" s="19"/>
      <c r="DOA48" s="19"/>
      <c r="DOB48" s="19"/>
      <c r="DOC48" s="19"/>
      <c r="DOD48" s="19"/>
      <c r="DOE48" s="19"/>
      <c r="DOF48" s="19"/>
      <c r="DOG48" s="19"/>
      <c r="DOH48" s="19"/>
      <c r="DOI48" s="19"/>
      <c r="DOJ48" s="19"/>
      <c r="DOK48" s="19"/>
      <c r="DOL48" s="19"/>
      <c r="DOM48" s="19"/>
      <c r="DON48" s="19"/>
      <c r="DOO48" s="19"/>
      <c r="DOP48" s="19"/>
      <c r="DOQ48" s="19"/>
      <c r="DOR48" s="19"/>
      <c r="DOS48" s="19"/>
      <c r="DOT48" s="19"/>
      <c r="DOU48" s="19"/>
      <c r="DOV48" s="19"/>
      <c r="DOW48" s="19"/>
      <c r="DOX48" s="19"/>
      <c r="DOY48" s="19"/>
      <c r="DOZ48" s="19"/>
      <c r="DPA48" s="19"/>
      <c r="DPB48" s="19"/>
      <c r="DPC48" s="19"/>
      <c r="DPD48" s="19"/>
      <c r="DPE48" s="19"/>
      <c r="DPF48" s="19"/>
      <c r="DPG48" s="19"/>
      <c r="DPH48" s="19"/>
      <c r="DPI48" s="19"/>
      <c r="DPJ48" s="19"/>
      <c r="DPK48" s="19"/>
      <c r="DPL48" s="19"/>
      <c r="DPM48" s="19"/>
      <c r="DPN48" s="19"/>
      <c r="DPO48" s="19"/>
      <c r="DPP48" s="19"/>
      <c r="DPQ48" s="19"/>
      <c r="DPR48" s="19"/>
      <c r="DPS48" s="19"/>
      <c r="DPT48" s="19"/>
      <c r="DPU48" s="19"/>
      <c r="DPV48" s="19"/>
      <c r="DPW48" s="19"/>
      <c r="DPX48" s="19"/>
      <c r="DPY48" s="19"/>
      <c r="DPZ48" s="19"/>
      <c r="DQA48" s="19"/>
      <c r="DQB48" s="19"/>
      <c r="DQC48" s="19"/>
      <c r="DQD48" s="19"/>
      <c r="DQE48" s="19"/>
      <c r="DQF48" s="19"/>
      <c r="DQG48" s="19"/>
      <c r="DQH48" s="19"/>
      <c r="DQI48" s="19"/>
      <c r="DQJ48" s="19"/>
      <c r="DQK48" s="19"/>
      <c r="DQL48" s="19"/>
      <c r="DQM48" s="19"/>
      <c r="DQN48" s="19"/>
      <c r="DQO48" s="19"/>
      <c r="DQP48" s="19"/>
      <c r="DQQ48" s="19"/>
      <c r="DQR48" s="19"/>
      <c r="DQS48" s="19"/>
      <c r="DQT48" s="19"/>
      <c r="DQU48" s="19"/>
      <c r="DQV48" s="19"/>
      <c r="DQW48" s="19"/>
      <c r="DQX48" s="19"/>
      <c r="DQY48" s="19"/>
      <c r="DQZ48" s="19"/>
      <c r="DRA48" s="19"/>
      <c r="DRB48" s="19"/>
      <c r="DRC48" s="19"/>
      <c r="DRD48" s="19"/>
      <c r="DRE48" s="19"/>
      <c r="DRF48" s="19"/>
      <c r="DRG48" s="19"/>
      <c r="DRH48" s="19"/>
      <c r="DRI48" s="19"/>
      <c r="DRJ48" s="19"/>
      <c r="DRK48" s="19"/>
      <c r="DRL48" s="19"/>
      <c r="DRM48" s="19"/>
      <c r="DRN48" s="19"/>
      <c r="DRO48" s="19"/>
      <c r="DRP48" s="19"/>
      <c r="DRQ48" s="19"/>
      <c r="DRR48" s="19"/>
      <c r="DRS48" s="19"/>
      <c r="DRT48" s="19"/>
      <c r="DRU48" s="19"/>
      <c r="DRV48" s="19"/>
      <c r="DRW48" s="19"/>
      <c r="DRX48" s="19"/>
      <c r="DRY48" s="19"/>
      <c r="DRZ48" s="19"/>
      <c r="DSA48" s="19"/>
      <c r="DSB48" s="19"/>
      <c r="DSC48" s="19"/>
      <c r="DSD48" s="19"/>
      <c r="DSE48" s="19"/>
      <c r="DSF48" s="19"/>
      <c r="DSG48" s="19"/>
      <c r="DSH48" s="19"/>
      <c r="DSI48" s="19"/>
      <c r="DSJ48" s="19"/>
      <c r="DSK48" s="19"/>
      <c r="DSL48" s="19"/>
      <c r="DSM48" s="19"/>
      <c r="DSN48" s="19"/>
      <c r="DSO48" s="19"/>
      <c r="DSP48" s="19"/>
      <c r="DSQ48" s="19"/>
      <c r="DSR48" s="19"/>
      <c r="DSS48" s="19"/>
      <c r="DST48" s="19"/>
      <c r="DSU48" s="19"/>
      <c r="DSV48" s="19"/>
      <c r="DSW48" s="19"/>
      <c r="DSX48" s="19"/>
      <c r="DSY48" s="19"/>
      <c r="DSZ48" s="19"/>
      <c r="DTA48" s="19"/>
      <c r="DTB48" s="19"/>
      <c r="DTC48" s="19"/>
      <c r="DTD48" s="19"/>
      <c r="DTE48" s="19"/>
      <c r="DTF48" s="19"/>
      <c r="DTG48" s="19"/>
      <c r="DTH48" s="19"/>
      <c r="DTI48" s="19"/>
      <c r="DTJ48" s="19"/>
      <c r="DTK48" s="19"/>
      <c r="DTL48" s="19"/>
      <c r="DTM48" s="19"/>
      <c r="DTN48" s="19"/>
      <c r="DTO48" s="19"/>
      <c r="DTP48" s="19"/>
      <c r="DTQ48" s="19"/>
      <c r="DTR48" s="19"/>
      <c r="DTS48" s="19"/>
      <c r="DTT48" s="19"/>
      <c r="DTU48" s="19"/>
      <c r="DTV48" s="19"/>
      <c r="DTW48" s="19"/>
      <c r="DTX48" s="19"/>
      <c r="DTY48" s="19"/>
      <c r="DTZ48" s="19"/>
      <c r="DUA48" s="19"/>
      <c r="DUB48" s="19"/>
      <c r="DUC48" s="19"/>
      <c r="DUD48" s="19"/>
      <c r="DUE48" s="19"/>
      <c r="DUF48" s="19"/>
      <c r="DUG48" s="19"/>
      <c r="DUH48" s="19"/>
      <c r="DUI48" s="19"/>
      <c r="DUJ48" s="19"/>
      <c r="DUK48" s="19"/>
      <c r="DUL48" s="19"/>
      <c r="DUM48" s="19"/>
      <c r="DUN48" s="19"/>
      <c r="DUO48" s="19"/>
      <c r="DUP48" s="19"/>
      <c r="DUQ48" s="19"/>
      <c r="DUR48" s="19"/>
      <c r="DUS48" s="19"/>
      <c r="DUT48" s="19"/>
      <c r="DUU48" s="19"/>
      <c r="DUV48" s="19"/>
      <c r="DUW48" s="19"/>
      <c r="DUX48" s="19"/>
      <c r="DUY48" s="19"/>
      <c r="DUZ48" s="19"/>
      <c r="DVA48" s="19"/>
      <c r="DVB48" s="19"/>
      <c r="DVC48" s="19"/>
      <c r="DVD48" s="19"/>
      <c r="DVE48" s="19"/>
      <c r="DVF48" s="19"/>
      <c r="DVG48" s="19"/>
      <c r="DVH48" s="19"/>
      <c r="DVI48" s="19"/>
      <c r="DVJ48" s="19"/>
      <c r="DVK48" s="19"/>
      <c r="DVL48" s="19"/>
      <c r="DVM48" s="19"/>
      <c r="DVN48" s="19"/>
      <c r="DVO48" s="19"/>
      <c r="DVP48" s="19"/>
      <c r="DVQ48" s="19"/>
      <c r="DVR48" s="19"/>
      <c r="DVS48" s="19"/>
      <c r="DVT48" s="19"/>
      <c r="DVU48" s="19"/>
      <c r="DVV48" s="19"/>
      <c r="DVW48" s="19"/>
      <c r="DVX48" s="19"/>
      <c r="DVY48" s="19"/>
      <c r="DVZ48" s="19"/>
      <c r="DWA48" s="19"/>
      <c r="DWB48" s="19"/>
      <c r="DWC48" s="19"/>
      <c r="DWD48" s="19"/>
      <c r="DWE48" s="19"/>
      <c r="DWF48" s="19"/>
      <c r="DWG48" s="19"/>
      <c r="DWH48" s="19"/>
      <c r="DWI48" s="19"/>
      <c r="DWJ48" s="19"/>
      <c r="DWK48" s="19"/>
      <c r="DWL48" s="19"/>
      <c r="DWM48" s="19"/>
      <c r="DWN48" s="19"/>
      <c r="DWO48" s="19"/>
      <c r="DWP48" s="19"/>
      <c r="DWQ48" s="19"/>
      <c r="DWR48" s="19"/>
      <c r="DWS48" s="19"/>
      <c r="DWT48" s="19"/>
      <c r="DWU48" s="19"/>
      <c r="DWV48" s="19"/>
      <c r="DWW48" s="19"/>
      <c r="DWX48" s="19"/>
      <c r="DWY48" s="19"/>
      <c r="DWZ48" s="19"/>
      <c r="DXA48" s="19"/>
      <c r="DXB48" s="19"/>
      <c r="DXC48" s="19"/>
      <c r="DXD48" s="19"/>
      <c r="DXE48" s="19"/>
      <c r="DXF48" s="19"/>
      <c r="DXG48" s="19"/>
      <c r="DXH48" s="19"/>
      <c r="DXI48" s="19"/>
      <c r="DXJ48" s="19"/>
      <c r="DXK48" s="19"/>
      <c r="DXL48" s="19"/>
      <c r="DXM48" s="19"/>
      <c r="DXN48" s="19"/>
      <c r="DXO48" s="19"/>
      <c r="DXP48" s="19"/>
      <c r="DXQ48" s="19"/>
      <c r="DXR48" s="19"/>
      <c r="DXS48" s="19"/>
      <c r="DXT48" s="19"/>
      <c r="DXU48" s="19"/>
      <c r="DXV48" s="19"/>
      <c r="DXW48" s="19"/>
      <c r="DXX48" s="19"/>
      <c r="DXY48" s="19"/>
      <c r="DXZ48" s="19"/>
      <c r="DYA48" s="19"/>
      <c r="DYB48" s="19"/>
      <c r="DYC48" s="19"/>
      <c r="DYD48" s="19"/>
      <c r="DYE48" s="19"/>
      <c r="DYF48" s="19"/>
      <c r="DYG48" s="19"/>
      <c r="DYH48" s="19"/>
      <c r="DYI48" s="19"/>
      <c r="DYJ48" s="19"/>
      <c r="DYK48" s="19"/>
      <c r="DYL48" s="19"/>
      <c r="DYM48" s="19"/>
      <c r="DYN48" s="19"/>
      <c r="DYO48" s="19"/>
      <c r="DYP48" s="19"/>
      <c r="DYQ48" s="19"/>
      <c r="DYR48" s="19"/>
      <c r="DYS48" s="19"/>
      <c r="DYT48" s="19"/>
      <c r="DYU48" s="19"/>
      <c r="DYV48" s="19"/>
      <c r="DYW48" s="19"/>
      <c r="DYX48" s="19"/>
      <c r="DYY48" s="19"/>
      <c r="DYZ48" s="19"/>
      <c r="DZA48" s="19"/>
      <c r="DZB48" s="19"/>
      <c r="DZC48" s="19"/>
      <c r="DZD48" s="19"/>
      <c r="DZE48" s="19"/>
      <c r="DZF48" s="19"/>
      <c r="DZG48" s="19"/>
      <c r="DZH48" s="19"/>
      <c r="DZI48" s="19"/>
      <c r="DZJ48" s="19"/>
      <c r="DZK48" s="19"/>
      <c r="DZL48" s="19"/>
      <c r="DZM48" s="19"/>
      <c r="DZN48" s="19"/>
      <c r="DZO48" s="19"/>
      <c r="DZP48" s="19"/>
      <c r="DZQ48" s="19"/>
      <c r="DZR48" s="19"/>
      <c r="DZS48" s="19"/>
      <c r="DZT48" s="19"/>
      <c r="DZU48" s="19"/>
      <c r="DZV48" s="19"/>
      <c r="DZW48" s="19"/>
      <c r="DZX48" s="19"/>
      <c r="DZY48" s="19"/>
      <c r="DZZ48" s="19"/>
      <c r="EAA48" s="19"/>
      <c r="EAB48" s="19"/>
      <c r="EAC48" s="19"/>
      <c r="EAD48" s="19"/>
      <c r="EAE48" s="19"/>
      <c r="EAF48" s="19"/>
      <c r="EAG48" s="19"/>
      <c r="EAH48" s="19"/>
      <c r="EAI48" s="19"/>
      <c r="EAJ48" s="19"/>
      <c r="EAK48" s="19"/>
      <c r="EAL48" s="19"/>
      <c r="EAM48" s="19"/>
      <c r="EAN48" s="19"/>
      <c r="EAO48" s="19"/>
      <c r="EAP48" s="19"/>
      <c r="EAQ48" s="19"/>
      <c r="EAR48" s="19"/>
      <c r="EAS48" s="19"/>
      <c r="EAT48" s="19"/>
      <c r="EAU48" s="19"/>
      <c r="EAV48" s="19"/>
      <c r="EAW48" s="19"/>
      <c r="EAX48" s="19"/>
      <c r="EAY48" s="19"/>
      <c r="EAZ48" s="19"/>
      <c r="EBA48" s="19"/>
      <c r="EBB48" s="19"/>
      <c r="EBC48" s="19"/>
      <c r="EBD48" s="19"/>
      <c r="EBE48" s="19"/>
      <c r="EBF48" s="19"/>
      <c r="EBG48" s="19"/>
      <c r="EBH48" s="19"/>
      <c r="EBI48" s="19"/>
      <c r="EBJ48" s="19"/>
      <c r="EBK48" s="19"/>
      <c r="EBL48" s="19"/>
      <c r="EBM48" s="19"/>
      <c r="EBN48" s="19"/>
      <c r="EBO48" s="19"/>
      <c r="EBP48" s="19"/>
      <c r="EBQ48" s="19"/>
      <c r="EBR48" s="19"/>
      <c r="EBS48" s="19"/>
      <c r="EBT48" s="19"/>
      <c r="EBU48" s="19"/>
      <c r="EBV48" s="19"/>
      <c r="EBW48" s="19"/>
      <c r="EBX48" s="19"/>
      <c r="EBY48" s="19"/>
      <c r="EBZ48" s="19"/>
      <c r="ECA48" s="19"/>
      <c r="ECB48" s="19"/>
      <c r="ECC48" s="19"/>
      <c r="ECD48" s="19"/>
      <c r="ECE48" s="19"/>
      <c r="ECF48" s="19"/>
      <c r="ECG48" s="19"/>
      <c r="ECH48" s="19"/>
      <c r="ECI48" s="19"/>
      <c r="ECJ48" s="19"/>
      <c r="ECK48" s="19"/>
      <c r="ECL48" s="19"/>
      <c r="ECM48" s="19"/>
      <c r="ECN48" s="19"/>
      <c r="ECO48" s="19"/>
      <c r="ECP48" s="19"/>
      <c r="ECQ48" s="19"/>
      <c r="ECR48" s="19"/>
      <c r="ECS48" s="19"/>
      <c r="ECT48" s="19"/>
      <c r="ECU48" s="19"/>
      <c r="ECV48" s="19"/>
      <c r="ECW48" s="19"/>
      <c r="ECX48" s="19"/>
      <c r="ECY48" s="19"/>
      <c r="ECZ48" s="19"/>
      <c r="EDA48" s="19"/>
      <c r="EDB48" s="19"/>
      <c r="EDC48" s="19"/>
      <c r="EDD48" s="19"/>
      <c r="EDE48" s="19"/>
      <c r="EDF48" s="19"/>
      <c r="EDG48" s="19"/>
      <c r="EDH48" s="19"/>
      <c r="EDI48" s="19"/>
      <c r="EDJ48" s="19"/>
      <c r="EDK48" s="19"/>
      <c r="EDL48" s="19"/>
      <c r="EDM48" s="19"/>
      <c r="EDN48" s="19"/>
      <c r="EDO48" s="19"/>
      <c r="EDP48" s="19"/>
      <c r="EDQ48" s="19"/>
      <c r="EDR48" s="19"/>
      <c r="EDS48" s="19"/>
      <c r="EDT48" s="19"/>
      <c r="EDU48" s="19"/>
      <c r="EDV48" s="19"/>
      <c r="EDW48" s="19"/>
      <c r="EDX48" s="19"/>
      <c r="EDY48" s="19"/>
      <c r="EDZ48" s="19"/>
      <c r="EEA48" s="19"/>
      <c r="EEB48" s="19"/>
      <c r="EEC48" s="19"/>
      <c r="EED48" s="19"/>
      <c r="EEE48" s="19"/>
      <c r="EEF48" s="19"/>
      <c r="EEG48" s="19"/>
      <c r="EEH48" s="19"/>
      <c r="EEI48" s="19"/>
      <c r="EEJ48" s="19"/>
      <c r="EEK48" s="19"/>
      <c r="EEL48" s="19"/>
      <c r="EEM48" s="19"/>
      <c r="EEN48" s="19"/>
      <c r="EEO48" s="19"/>
      <c r="EEP48" s="19"/>
      <c r="EEQ48" s="19"/>
      <c r="EER48" s="19"/>
      <c r="EES48" s="19"/>
      <c r="EET48" s="19"/>
      <c r="EEU48" s="19"/>
      <c r="EEV48" s="19"/>
      <c r="EEW48" s="19"/>
      <c r="EEX48" s="19"/>
      <c r="EEY48" s="19"/>
      <c r="EEZ48" s="19"/>
      <c r="EFA48" s="19"/>
      <c r="EFB48" s="19"/>
      <c r="EFC48" s="19"/>
      <c r="EFD48" s="19"/>
      <c r="EFE48" s="19"/>
      <c r="EFF48" s="19"/>
      <c r="EFG48" s="19"/>
      <c r="EFH48" s="19"/>
      <c r="EFI48" s="19"/>
      <c r="EFJ48" s="19"/>
      <c r="EFK48" s="19"/>
      <c r="EFL48" s="19"/>
      <c r="EFM48" s="19"/>
      <c r="EFN48" s="19"/>
      <c r="EFO48" s="19"/>
      <c r="EFP48" s="19"/>
      <c r="EFQ48" s="19"/>
      <c r="EFR48" s="19"/>
      <c r="EFS48" s="19"/>
      <c r="EFT48" s="19"/>
      <c r="EFU48" s="19"/>
      <c r="EFV48" s="19"/>
      <c r="EFW48" s="19"/>
      <c r="EFX48" s="19"/>
      <c r="EFY48" s="19"/>
      <c r="EFZ48" s="19"/>
      <c r="EGA48" s="19"/>
      <c r="EGB48" s="19"/>
      <c r="EGC48" s="19"/>
      <c r="EGD48" s="19"/>
      <c r="EGE48" s="19"/>
      <c r="EGF48" s="19"/>
      <c r="EGG48" s="19"/>
      <c r="EGH48" s="19"/>
      <c r="EGI48" s="19"/>
      <c r="EGJ48" s="19"/>
      <c r="EGK48" s="19"/>
      <c r="EGL48" s="19"/>
      <c r="EGM48" s="19"/>
      <c r="EGN48" s="19"/>
      <c r="EGO48" s="19"/>
      <c r="EGP48" s="19"/>
      <c r="EGQ48" s="19"/>
      <c r="EGR48" s="19"/>
      <c r="EGS48" s="19"/>
      <c r="EGT48" s="19"/>
      <c r="EGU48" s="19"/>
      <c r="EGV48" s="19"/>
      <c r="EGW48" s="19"/>
      <c r="EGX48" s="19"/>
      <c r="EGY48" s="19"/>
      <c r="EGZ48" s="19"/>
      <c r="EHA48" s="19"/>
      <c r="EHB48" s="19"/>
      <c r="EHC48" s="19"/>
      <c r="EHD48" s="19"/>
      <c r="EHE48" s="19"/>
      <c r="EHF48" s="19"/>
      <c r="EHG48" s="19"/>
      <c r="EHH48" s="19"/>
      <c r="EHI48" s="19"/>
      <c r="EHJ48" s="19"/>
      <c r="EHK48" s="19"/>
      <c r="EHL48" s="19"/>
      <c r="EHM48" s="19"/>
      <c r="EHN48" s="19"/>
      <c r="EHO48" s="19"/>
      <c r="EHP48" s="19"/>
      <c r="EHQ48" s="19"/>
      <c r="EHR48" s="19"/>
      <c r="EHS48" s="19"/>
      <c r="EHT48" s="19"/>
      <c r="EHU48" s="19"/>
      <c r="EHV48" s="19"/>
      <c r="EHW48" s="19"/>
      <c r="EHX48" s="19"/>
      <c r="EHY48" s="19"/>
      <c r="EHZ48" s="19"/>
      <c r="EIA48" s="19"/>
      <c r="EIB48" s="19"/>
      <c r="EIC48" s="19"/>
      <c r="EID48" s="19"/>
      <c r="EIE48" s="19"/>
      <c r="EIF48" s="19"/>
      <c r="EIG48" s="19"/>
      <c r="EIH48" s="19"/>
      <c r="EII48" s="19"/>
      <c r="EIJ48" s="19"/>
      <c r="EIK48" s="19"/>
      <c r="EIL48" s="19"/>
      <c r="EIM48" s="19"/>
      <c r="EIN48" s="19"/>
      <c r="EIO48" s="19"/>
      <c r="EIP48" s="19"/>
      <c r="EIQ48" s="19"/>
      <c r="EIR48" s="19"/>
      <c r="EIS48" s="19"/>
      <c r="EIT48" s="19"/>
      <c r="EIU48" s="19"/>
      <c r="EIV48" s="19"/>
      <c r="EIW48" s="19"/>
      <c r="EIX48" s="19"/>
      <c r="EIY48" s="19"/>
      <c r="EIZ48" s="19"/>
      <c r="EJA48" s="19"/>
      <c r="EJB48" s="19"/>
      <c r="EJC48" s="19"/>
      <c r="EJD48" s="19"/>
      <c r="EJE48" s="19"/>
      <c r="EJF48" s="19"/>
      <c r="EJG48" s="19"/>
      <c r="EJH48" s="19"/>
      <c r="EJI48" s="19"/>
      <c r="EJJ48" s="19"/>
      <c r="EJK48" s="19"/>
      <c r="EJL48" s="19"/>
      <c r="EJM48" s="19"/>
      <c r="EJN48" s="19"/>
      <c r="EJO48" s="19"/>
      <c r="EJP48" s="19"/>
      <c r="EJQ48" s="19"/>
      <c r="EJR48" s="19"/>
      <c r="EJS48" s="19"/>
      <c r="EJT48" s="19"/>
      <c r="EJU48" s="19"/>
      <c r="EJV48" s="19"/>
      <c r="EJW48" s="19"/>
      <c r="EJX48" s="19"/>
      <c r="EJY48" s="19"/>
      <c r="EJZ48" s="19"/>
      <c r="EKA48" s="19"/>
      <c r="EKB48" s="19"/>
      <c r="EKC48" s="19"/>
      <c r="EKD48" s="19"/>
      <c r="EKE48" s="19"/>
      <c r="EKF48" s="19"/>
      <c r="EKG48" s="19"/>
      <c r="EKH48" s="19"/>
      <c r="EKI48" s="19"/>
      <c r="EKJ48" s="19"/>
      <c r="EKK48" s="19"/>
      <c r="EKL48" s="19"/>
      <c r="EKM48" s="19"/>
      <c r="EKN48" s="19"/>
      <c r="EKO48" s="19"/>
      <c r="EKP48" s="19"/>
      <c r="EKQ48" s="19"/>
      <c r="EKR48" s="19"/>
      <c r="EKS48" s="19"/>
      <c r="EKT48" s="19"/>
      <c r="EKU48" s="19"/>
      <c r="EKV48" s="19"/>
      <c r="EKW48" s="19"/>
      <c r="EKX48" s="19"/>
      <c r="EKY48" s="19"/>
      <c r="EKZ48" s="19"/>
      <c r="ELA48" s="19"/>
      <c r="ELB48" s="19"/>
      <c r="ELC48" s="19"/>
      <c r="ELD48" s="19"/>
      <c r="ELE48" s="19"/>
      <c r="ELF48" s="19"/>
      <c r="ELG48" s="19"/>
      <c r="ELH48" s="19"/>
      <c r="ELI48" s="19"/>
      <c r="ELJ48" s="19"/>
      <c r="ELK48" s="19"/>
      <c r="ELL48" s="19"/>
      <c r="ELM48" s="19"/>
      <c r="ELN48" s="19"/>
      <c r="ELO48" s="19"/>
      <c r="ELP48" s="19"/>
      <c r="ELQ48" s="19"/>
      <c r="ELR48" s="19"/>
      <c r="ELS48" s="19"/>
      <c r="ELT48" s="19"/>
      <c r="ELU48" s="19"/>
      <c r="ELV48" s="19"/>
      <c r="ELW48" s="19"/>
      <c r="ELX48" s="19"/>
      <c r="ELY48" s="19"/>
      <c r="ELZ48" s="19"/>
      <c r="EMA48" s="19"/>
      <c r="EMB48" s="19"/>
      <c r="EMC48" s="19"/>
      <c r="EMD48" s="19"/>
      <c r="EME48" s="19"/>
      <c r="EMF48" s="19"/>
      <c r="EMG48" s="19"/>
      <c r="EMH48" s="19"/>
      <c r="EMI48" s="19"/>
      <c r="EMJ48" s="19"/>
      <c r="EMK48" s="19"/>
      <c r="EML48" s="19"/>
      <c r="EMM48" s="19"/>
      <c r="EMN48" s="19"/>
      <c r="EMO48" s="19"/>
      <c r="EMP48" s="19"/>
      <c r="EMQ48" s="19"/>
      <c r="EMR48" s="19"/>
      <c r="EMS48" s="19"/>
      <c r="EMT48" s="19"/>
      <c r="EMU48" s="19"/>
      <c r="EMV48" s="19"/>
      <c r="EMW48" s="19"/>
      <c r="EMX48" s="19"/>
      <c r="EMY48" s="19"/>
      <c r="EMZ48" s="19"/>
      <c r="ENA48" s="19"/>
      <c r="ENB48" s="19"/>
      <c r="ENC48" s="19"/>
      <c r="END48" s="19"/>
      <c r="ENE48" s="19"/>
      <c r="ENF48" s="19"/>
      <c r="ENG48" s="19"/>
      <c r="ENH48" s="19"/>
      <c r="ENI48" s="19"/>
      <c r="ENJ48" s="19"/>
      <c r="ENK48" s="19"/>
      <c r="ENL48" s="19"/>
      <c r="ENM48" s="19"/>
      <c r="ENN48" s="19"/>
      <c r="ENO48" s="19"/>
      <c r="ENP48" s="19"/>
      <c r="ENQ48" s="19"/>
      <c r="ENR48" s="19"/>
      <c r="ENS48" s="19"/>
      <c r="ENT48" s="19"/>
      <c r="ENU48" s="19"/>
      <c r="ENV48" s="19"/>
      <c r="ENW48" s="19"/>
      <c r="ENX48" s="19"/>
      <c r="ENY48" s="19"/>
      <c r="ENZ48" s="19"/>
      <c r="EOA48" s="19"/>
      <c r="EOB48" s="19"/>
      <c r="EOC48" s="19"/>
      <c r="EOD48" s="19"/>
      <c r="EOE48" s="19"/>
      <c r="EOF48" s="19"/>
      <c r="EOG48" s="19"/>
      <c r="EOH48" s="19"/>
      <c r="EOI48" s="19"/>
      <c r="EOJ48" s="19"/>
      <c r="EOK48" s="19"/>
      <c r="EOL48" s="19"/>
      <c r="EOM48" s="19"/>
      <c r="EON48" s="19"/>
      <c r="EOO48" s="19"/>
      <c r="EOP48" s="19"/>
      <c r="EOQ48" s="19"/>
      <c r="EOR48" s="19"/>
      <c r="EOS48" s="19"/>
      <c r="EOT48" s="19"/>
      <c r="EOU48" s="19"/>
      <c r="EOV48" s="19"/>
      <c r="EOW48" s="19"/>
      <c r="EOX48" s="19"/>
      <c r="EOY48" s="19"/>
      <c r="EOZ48" s="19"/>
      <c r="EPA48" s="19"/>
      <c r="EPB48" s="19"/>
      <c r="EPC48" s="19"/>
      <c r="EPD48" s="19"/>
      <c r="EPE48" s="19"/>
      <c r="EPF48" s="19"/>
      <c r="EPG48" s="19"/>
      <c r="EPH48" s="19"/>
      <c r="EPI48" s="19"/>
      <c r="EPJ48" s="19"/>
      <c r="EPK48" s="19"/>
      <c r="EPL48" s="19"/>
      <c r="EPM48" s="19"/>
      <c r="EPN48" s="19"/>
      <c r="EPO48" s="19"/>
      <c r="EPP48" s="19"/>
      <c r="EPQ48" s="19"/>
      <c r="EPR48" s="19"/>
      <c r="EPS48" s="19"/>
      <c r="EPT48" s="19"/>
      <c r="EPU48" s="19"/>
      <c r="EPV48" s="19"/>
      <c r="EPW48" s="19"/>
      <c r="EPX48" s="19"/>
      <c r="EPY48" s="19"/>
      <c r="EPZ48" s="19"/>
      <c r="EQA48" s="19"/>
      <c r="EQB48" s="19"/>
      <c r="EQC48" s="19"/>
      <c r="EQD48" s="19"/>
      <c r="EQE48" s="19"/>
      <c r="EQF48" s="19"/>
      <c r="EQG48" s="19"/>
      <c r="EQH48" s="19"/>
      <c r="EQI48" s="19"/>
      <c r="EQJ48" s="19"/>
      <c r="EQK48" s="19"/>
      <c r="EQL48" s="19"/>
      <c r="EQM48" s="19"/>
      <c r="EQN48" s="19"/>
      <c r="EQO48" s="19"/>
      <c r="EQP48" s="19"/>
      <c r="EQQ48" s="19"/>
      <c r="EQR48" s="19"/>
      <c r="EQS48" s="19"/>
      <c r="EQT48" s="19"/>
      <c r="EQU48" s="19"/>
      <c r="EQV48" s="19"/>
      <c r="EQW48" s="19"/>
      <c r="EQX48" s="19"/>
      <c r="EQY48" s="19"/>
      <c r="EQZ48" s="19"/>
      <c r="ERA48" s="19"/>
      <c r="ERB48" s="19"/>
      <c r="ERC48" s="19"/>
      <c r="ERD48" s="19"/>
      <c r="ERE48" s="19"/>
      <c r="ERF48" s="19"/>
      <c r="ERG48" s="19"/>
      <c r="ERH48" s="19"/>
      <c r="ERI48" s="19"/>
      <c r="ERJ48" s="19"/>
      <c r="ERK48" s="19"/>
      <c r="ERL48" s="19"/>
      <c r="ERM48" s="19"/>
      <c r="ERN48" s="19"/>
      <c r="ERO48" s="19"/>
      <c r="ERP48" s="19"/>
      <c r="ERQ48" s="19"/>
      <c r="ERR48" s="19"/>
      <c r="ERS48" s="19"/>
      <c r="ERT48" s="19"/>
      <c r="ERU48" s="19"/>
      <c r="ERV48" s="19"/>
      <c r="ERW48" s="19"/>
      <c r="ERX48" s="19"/>
      <c r="ERY48" s="19"/>
      <c r="ERZ48" s="19"/>
      <c r="ESA48" s="19"/>
      <c r="ESB48" s="19"/>
      <c r="ESC48" s="19"/>
      <c r="ESD48" s="19"/>
      <c r="ESE48" s="19"/>
      <c r="ESF48" s="19"/>
      <c r="ESG48" s="19"/>
      <c r="ESH48" s="19"/>
      <c r="ESI48" s="19"/>
      <c r="ESJ48" s="19"/>
      <c r="ESK48" s="19"/>
      <c r="ESL48" s="19"/>
      <c r="ESM48" s="19"/>
      <c r="ESN48" s="19"/>
      <c r="ESO48" s="19"/>
      <c r="ESP48" s="19"/>
      <c r="ESQ48" s="19"/>
      <c r="ESR48" s="19"/>
      <c r="ESS48" s="19"/>
      <c r="EST48" s="19"/>
      <c r="ESU48" s="19"/>
      <c r="ESV48" s="19"/>
      <c r="ESW48" s="19"/>
      <c r="ESX48" s="19"/>
      <c r="ESY48" s="19"/>
      <c r="ESZ48" s="19"/>
      <c r="ETA48" s="19"/>
      <c r="ETB48" s="19"/>
      <c r="ETC48" s="19"/>
      <c r="ETD48" s="19"/>
      <c r="ETE48" s="19"/>
      <c r="ETF48" s="19"/>
      <c r="ETG48" s="19"/>
      <c r="ETH48" s="19"/>
      <c r="ETI48" s="19"/>
      <c r="ETJ48" s="19"/>
      <c r="ETK48" s="19"/>
      <c r="ETL48" s="19"/>
      <c r="ETM48" s="19"/>
      <c r="ETN48" s="19"/>
      <c r="ETO48" s="19"/>
      <c r="ETP48" s="19"/>
      <c r="ETQ48" s="19"/>
      <c r="ETR48" s="19"/>
      <c r="ETS48" s="19"/>
      <c r="ETT48" s="19"/>
      <c r="ETU48" s="19"/>
      <c r="ETV48" s="19"/>
      <c r="ETW48" s="19"/>
      <c r="ETX48" s="19"/>
      <c r="ETY48" s="19"/>
      <c r="ETZ48" s="19"/>
      <c r="EUA48" s="19"/>
      <c r="EUB48" s="19"/>
      <c r="EUC48" s="19"/>
      <c r="EUD48" s="19"/>
      <c r="EUE48" s="19"/>
      <c r="EUF48" s="19"/>
      <c r="EUG48" s="19"/>
      <c r="EUH48" s="19"/>
      <c r="EUI48" s="19"/>
      <c r="EUJ48" s="19"/>
      <c r="EUK48" s="19"/>
      <c r="EUL48" s="19"/>
      <c r="EUM48" s="19"/>
      <c r="EUN48" s="19"/>
      <c r="EUO48" s="19"/>
      <c r="EUP48" s="19"/>
      <c r="EUQ48" s="19"/>
      <c r="EUR48" s="19"/>
      <c r="EUS48" s="19"/>
      <c r="EUT48" s="19"/>
      <c r="EUU48" s="19"/>
      <c r="EUV48" s="19"/>
      <c r="EUW48" s="19"/>
      <c r="EUX48" s="19"/>
      <c r="EUY48" s="19"/>
      <c r="EUZ48" s="19"/>
      <c r="EVA48" s="19"/>
      <c r="EVB48" s="19"/>
      <c r="EVC48" s="19"/>
      <c r="EVD48" s="19"/>
      <c r="EVE48" s="19"/>
      <c r="EVF48" s="19"/>
      <c r="EVG48" s="19"/>
      <c r="EVH48" s="19"/>
      <c r="EVI48" s="19"/>
      <c r="EVJ48" s="19"/>
      <c r="EVK48" s="19"/>
      <c r="EVL48" s="19"/>
      <c r="EVM48" s="19"/>
      <c r="EVN48" s="19"/>
      <c r="EVO48" s="19"/>
      <c r="EVP48" s="19"/>
      <c r="EVQ48" s="19"/>
      <c r="EVR48" s="19"/>
      <c r="EVS48" s="19"/>
      <c r="EVT48" s="19"/>
      <c r="EVU48" s="19"/>
      <c r="EVV48" s="19"/>
      <c r="EVW48" s="19"/>
      <c r="EVX48" s="19"/>
      <c r="EVY48" s="19"/>
      <c r="EVZ48" s="19"/>
      <c r="EWA48" s="19"/>
      <c r="EWB48" s="19"/>
      <c r="EWC48" s="19"/>
      <c r="EWD48" s="19"/>
      <c r="EWE48" s="19"/>
      <c r="EWF48" s="19"/>
      <c r="EWG48" s="19"/>
      <c r="EWH48" s="19"/>
      <c r="EWI48" s="19"/>
      <c r="EWJ48" s="19"/>
      <c r="EWK48" s="19"/>
      <c r="EWL48" s="19"/>
      <c r="EWM48" s="19"/>
      <c r="EWN48" s="19"/>
      <c r="EWO48" s="19"/>
      <c r="EWP48" s="19"/>
      <c r="EWQ48" s="19"/>
      <c r="EWR48" s="19"/>
      <c r="EWS48" s="19"/>
      <c r="EWT48" s="19"/>
      <c r="EWU48" s="19"/>
      <c r="EWV48" s="19"/>
      <c r="EWW48" s="19"/>
      <c r="EWX48" s="19"/>
      <c r="EWY48" s="19"/>
      <c r="EWZ48" s="19"/>
      <c r="EXA48" s="19"/>
      <c r="EXB48" s="19"/>
      <c r="EXC48" s="19"/>
      <c r="EXD48" s="19"/>
      <c r="EXE48" s="19"/>
      <c r="EXF48" s="19"/>
      <c r="EXG48" s="19"/>
      <c r="EXH48" s="19"/>
      <c r="EXI48" s="19"/>
      <c r="EXJ48" s="19"/>
      <c r="EXK48" s="19"/>
      <c r="EXL48" s="19"/>
      <c r="EXM48" s="19"/>
      <c r="EXN48" s="19"/>
      <c r="EXO48" s="19"/>
      <c r="EXP48" s="19"/>
      <c r="EXQ48" s="19"/>
      <c r="EXR48" s="19"/>
      <c r="EXS48" s="19"/>
      <c r="EXT48" s="19"/>
      <c r="EXU48" s="19"/>
      <c r="EXV48" s="19"/>
      <c r="EXW48" s="19"/>
      <c r="EXX48" s="19"/>
      <c r="EXY48" s="19"/>
      <c r="EXZ48" s="19"/>
      <c r="EYA48" s="19"/>
      <c r="EYB48" s="19"/>
      <c r="EYC48" s="19"/>
      <c r="EYD48" s="19"/>
      <c r="EYE48" s="19"/>
      <c r="EYF48" s="19"/>
      <c r="EYG48" s="19"/>
      <c r="EYH48" s="19"/>
      <c r="EYI48" s="19"/>
      <c r="EYJ48" s="19"/>
      <c r="EYK48" s="19"/>
      <c r="EYL48" s="19"/>
      <c r="EYM48" s="19"/>
      <c r="EYN48" s="19"/>
      <c r="EYO48" s="19"/>
      <c r="EYP48" s="19"/>
      <c r="EYQ48" s="19"/>
      <c r="EYR48" s="19"/>
      <c r="EYS48" s="19"/>
      <c r="EYT48" s="19"/>
      <c r="EYU48" s="19"/>
      <c r="EYV48" s="19"/>
      <c r="EYW48" s="19"/>
      <c r="EYX48" s="19"/>
      <c r="EYY48" s="19"/>
      <c r="EYZ48" s="19"/>
      <c r="EZA48" s="19"/>
      <c r="EZB48" s="19"/>
      <c r="EZC48" s="19"/>
      <c r="EZD48" s="19"/>
      <c r="EZE48" s="19"/>
      <c r="EZF48" s="19"/>
      <c r="EZG48" s="19"/>
      <c r="EZH48" s="19"/>
      <c r="EZI48" s="19"/>
      <c r="EZJ48" s="19"/>
      <c r="EZK48" s="19"/>
      <c r="EZL48" s="19"/>
      <c r="EZM48" s="19"/>
      <c r="EZN48" s="19"/>
      <c r="EZO48" s="19"/>
      <c r="EZP48" s="19"/>
      <c r="EZQ48" s="19"/>
      <c r="EZR48" s="19"/>
      <c r="EZS48" s="19"/>
      <c r="EZT48" s="19"/>
      <c r="EZU48" s="19"/>
      <c r="EZV48" s="19"/>
      <c r="EZW48" s="19"/>
      <c r="EZX48" s="19"/>
      <c r="EZY48" s="19"/>
      <c r="EZZ48" s="19"/>
      <c r="FAA48" s="19"/>
      <c r="FAB48" s="19"/>
      <c r="FAC48" s="19"/>
      <c r="FAD48" s="19"/>
      <c r="FAE48" s="19"/>
      <c r="FAF48" s="19"/>
      <c r="FAG48" s="19"/>
      <c r="FAH48" s="19"/>
      <c r="FAI48" s="19"/>
      <c r="FAJ48" s="19"/>
      <c r="FAK48" s="19"/>
      <c r="FAL48" s="19"/>
      <c r="FAM48" s="19"/>
      <c r="FAN48" s="19"/>
      <c r="FAO48" s="19"/>
      <c r="FAP48" s="19"/>
      <c r="FAQ48" s="19"/>
      <c r="FAR48" s="19"/>
      <c r="FAS48" s="19"/>
      <c r="FAT48" s="19"/>
      <c r="FAU48" s="19"/>
      <c r="FAV48" s="19"/>
      <c r="FAW48" s="19"/>
      <c r="FAX48" s="19"/>
      <c r="FAY48" s="19"/>
      <c r="FAZ48" s="19"/>
      <c r="FBA48" s="19"/>
      <c r="FBB48" s="19"/>
      <c r="FBC48" s="19"/>
      <c r="FBD48" s="19"/>
      <c r="FBE48" s="19"/>
      <c r="FBF48" s="19"/>
      <c r="FBG48" s="19"/>
      <c r="FBH48" s="19"/>
      <c r="FBI48" s="19"/>
      <c r="FBJ48" s="19"/>
      <c r="FBK48" s="19"/>
      <c r="FBL48" s="19"/>
      <c r="FBM48" s="19"/>
      <c r="FBN48" s="19"/>
      <c r="FBO48" s="19"/>
      <c r="FBP48" s="19"/>
      <c r="FBQ48" s="19"/>
      <c r="FBR48" s="19"/>
      <c r="FBS48" s="19"/>
      <c r="FBT48" s="19"/>
      <c r="FBU48" s="19"/>
      <c r="FBV48" s="19"/>
      <c r="FBW48" s="19"/>
      <c r="FBX48" s="19"/>
      <c r="FBY48" s="19"/>
      <c r="FBZ48" s="19"/>
      <c r="FCA48" s="19"/>
      <c r="FCB48" s="19"/>
      <c r="FCC48" s="19"/>
      <c r="FCD48" s="19"/>
      <c r="FCE48" s="19"/>
      <c r="FCF48" s="19"/>
      <c r="FCG48" s="19"/>
      <c r="FCH48" s="19"/>
      <c r="FCI48" s="19"/>
      <c r="FCJ48" s="19"/>
      <c r="FCK48" s="19"/>
      <c r="FCL48" s="19"/>
      <c r="FCM48" s="19"/>
      <c r="FCN48" s="19"/>
      <c r="FCO48" s="19"/>
      <c r="FCP48" s="19"/>
      <c r="FCQ48" s="19"/>
      <c r="FCR48" s="19"/>
      <c r="FCS48" s="19"/>
      <c r="FCT48" s="19"/>
      <c r="FCU48" s="19"/>
      <c r="FCV48" s="19"/>
      <c r="FCW48" s="19"/>
      <c r="FCX48" s="19"/>
      <c r="FCY48" s="19"/>
      <c r="FCZ48" s="19"/>
      <c r="FDA48" s="19"/>
      <c r="FDB48" s="19"/>
      <c r="FDC48" s="19"/>
      <c r="FDD48" s="19"/>
      <c r="FDE48" s="19"/>
      <c r="FDF48" s="19"/>
      <c r="FDG48" s="19"/>
      <c r="FDH48" s="19"/>
      <c r="FDI48" s="19"/>
      <c r="FDJ48" s="19"/>
      <c r="FDK48" s="19"/>
      <c r="FDL48" s="19"/>
      <c r="FDM48" s="19"/>
      <c r="FDN48" s="19"/>
      <c r="FDO48" s="19"/>
      <c r="FDP48" s="19"/>
      <c r="FDQ48" s="19"/>
      <c r="FDR48" s="19"/>
      <c r="FDS48" s="19"/>
      <c r="FDT48" s="19"/>
      <c r="FDU48" s="19"/>
      <c r="FDV48" s="19"/>
      <c r="FDW48" s="19"/>
      <c r="FDX48" s="19"/>
      <c r="FDY48" s="19"/>
      <c r="FDZ48" s="19"/>
      <c r="FEA48" s="19"/>
      <c r="FEB48" s="19"/>
      <c r="FEC48" s="19"/>
      <c r="FED48" s="19"/>
      <c r="FEE48" s="19"/>
      <c r="FEF48" s="19"/>
      <c r="FEG48" s="19"/>
      <c r="FEH48" s="19"/>
      <c r="FEI48" s="19"/>
      <c r="FEJ48" s="19"/>
      <c r="FEK48" s="19"/>
      <c r="FEL48" s="19"/>
      <c r="FEM48" s="19"/>
      <c r="FEN48" s="19"/>
      <c r="FEO48" s="19"/>
      <c r="FEP48" s="19"/>
      <c r="FEQ48" s="19"/>
      <c r="FER48" s="19"/>
      <c r="FES48" s="19"/>
      <c r="FET48" s="19"/>
      <c r="FEU48" s="19"/>
      <c r="FEV48" s="19"/>
      <c r="FEW48" s="19"/>
      <c r="FEX48" s="19"/>
      <c r="FEY48" s="19"/>
      <c r="FEZ48" s="19"/>
      <c r="FFA48" s="19"/>
      <c r="FFB48" s="19"/>
      <c r="FFC48" s="19"/>
      <c r="FFD48" s="19"/>
      <c r="FFE48" s="19"/>
      <c r="FFF48" s="19"/>
      <c r="FFG48" s="19"/>
      <c r="FFH48" s="19"/>
      <c r="FFI48" s="19"/>
      <c r="FFJ48" s="19"/>
      <c r="FFK48" s="19"/>
      <c r="FFL48" s="19"/>
      <c r="FFM48" s="19"/>
      <c r="FFN48" s="19"/>
      <c r="FFO48" s="19"/>
      <c r="FFP48" s="19"/>
      <c r="FFQ48" s="19"/>
      <c r="FFR48" s="19"/>
      <c r="FFS48" s="19"/>
      <c r="FFT48" s="19"/>
      <c r="FFU48" s="19"/>
      <c r="FFV48" s="19"/>
      <c r="FFW48" s="19"/>
      <c r="FFX48" s="19"/>
      <c r="FFY48" s="19"/>
      <c r="FFZ48" s="19"/>
      <c r="FGA48" s="19"/>
      <c r="FGB48" s="19"/>
      <c r="FGC48" s="19"/>
      <c r="FGD48" s="19"/>
      <c r="FGE48" s="19"/>
      <c r="FGF48" s="19"/>
      <c r="FGG48" s="19"/>
      <c r="FGH48" s="19"/>
      <c r="FGI48" s="19"/>
      <c r="FGJ48" s="19"/>
      <c r="FGK48" s="19"/>
      <c r="FGL48" s="19"/>
      <c r="FGM48" s="19"/>
      <c r="FGN48" s="19"/>
      <c r="FGO48" s="19"/>
      <c r="FGP48" s="19"/>
      <c r="FGQ48" s="19"/>
      <c r="FGR48" s="19"/>
      <c r="FGS48" s="19"/>
      <c r="FGT48" s="19"/>
      <c r="FGU48" s="19"/>
      <c r="FGV48" s="19"/>
      <c r="FGW48" s="19"/>
      <c r="FGX48" s="19"/>
      <c r="FGY48" s="19"/>
      <c r="FGZ48" s="19"/>
      <c r="FHA48" s="19"/>
      <c r="FHB48" s="19"/>
      <c r="FHC48" s="19"/>
      <c r="FHD48" s="19"/>
      <c r="FHE48" s="19"/>
      <c r="FHF48" s="19"/>
      <c r="FHG48" s="19"/>
      <c r="FHH48" s="19"/>
      <c r="FHI48" s="19"/>
      <c r="FHJ48" s="19"/>
      <c r="FHK48" s="19"/>
      <c r="FHL48" s="19"/>
      <c r="FHM48" s="19"/>
      <c r="FHN48" s="19"/>
      <c r="FHO48" s="19"/>
      <c r="FHP48" s="19"/>
      <c r="FHQ48" s="19"/>
      <c r="FHR48" s="19"/>
      <c r="FHS48" s="19"/>
      <c r="FHT48" s="19"/>
      <c r="FHU48" s="19"/>
      <c r="FHV48" s="19"/>
      <c r="FHW48" s="19"/>
      <c r="FHX48" s="19"/>
      <c r="FHY48" s="19"/>
      <c r="FHZ48" s="19"/>
      <c r="FIA48" s="19"/>
      <c r="FIB48" s="19"/>
      <c r="FIC48" s="19"/>
      <c r="FID48" s="19"/>
      <c r="FIE48" s="19"/>
      <c r="FIF48" s="19"/>
      <c r="FIG48" s="19"/>
      <c r="FIH48" s="19"/>
      <c r="FII48" s="19"/>
      <c r="FIJ48" s="19"/>
      <c r="FIK48" s="19"/>
      <c r="FIL48" s="19"/>
      <c r="FIM48" s="19"/>
      <c r="FIN48" s="19"/>
      <c r="FIO48" s="19"/>
      <c r="FIP48" s="19"/>
      <c r="FIQ48" s="19"/>
      <c r="FIR48" s="19"/>
      <c r="FIS48" s="19"/>
      <c r="FIT48" s="19"/>
      <c r="FIU48" s="19"/>
      <c r="FIV48" s="19"/>
      <c r="FIW48" s="19"/>
      <c r="FIX48" s="19"/>
      <c r="FIY48" s="19"/>
      <c r="FIZ48" s="19"/>
      <c r="FJA48" s="19"/>
      <c r="FJB48" s="19"/>
      <c r="FJC48" s="19"/>
      <c r="FJD48" s="19"/>
      <c r="FJE48" s="19"/>
      <c r="FJF48" s="19"/>
      <c r="FJG48" s="19"/>
      <c r="FJH48" s="19"/>
      <c r="FJI48" s="19"/>
      <c r="FJJ48" s="19"/>
      <c r="FJK48" s="19"/>
      <c r="FJL48" s="19"/>
      <c r="FJM48" s="19"/>
      <c r="FJN48" s="19"/>
      <c r="FJO48" s="19"/>
      <c r="FJP48" s="19"/>
      <c r="FJQ48" s="19"/>
      <c r="FJR48" s="19"/>
      <c r="FJS48" s="19"/>
      <c r="FJT48" s="19"/>
      <c r="FJU48" s="19"/>
      <c r="FJV48" s="19"/>
      <c r="FJW48" s="19"/>
      <c r="FJX48" s="19"/>
      <c r="FJY48" s="19"/>
      <c r="FJZ48" s="19"/>
      <c r="FKA48" s="19"/>
      <c r="FKB48" s="19"/>
      <c r="FKC48" s="19"/>
      <c r="FKD48" s="19"/>
      <c r="FKE48" s="19"/>
      <c r="FKF48" s="19"/>
      <c r="FKG48" s="19"/>
      <c r="FKH48" s="19"/>
      <c r="FKI48" s="19"/>
      <c r="FKJ48" s="19"/>
      <c r="FKK48" s="19"/>
      <c r="FKL48" s="19"/>
      <c r="FKM48" s="19"/>
      <c r="FKN48" s="19"/>
      <c r="FKO48" s="19"/>
      <c r="FKP48" s="19"/>
      <c r="FKQ48" s="19"/>
      <c r="FKR48" s="19"/>
      <c r="FKS48" s="19"/>
      <c r="FKT48" s="19"/>
      <c r="FKU48" s="19"/>
      <c r="FKV48" s="19"/>
      <c r="FKW48" s="19"/>
      <c r="FKX48" s="19"/>
      <c r="FKY48" s="19"/>
      <c r="FKZ48" s="19"/>
      <c r="FLA48" s="19"/>
      <c r="FLB48" s="19"/>
      <c r="FLC48" s="19"/>
      <c r="FLD48" s="19"/>
      <c r="FLE48" s="19"/>
      <c r="FLF48" s="19"/>
      <c r="FLG48" s="19"/>
      <c r="FLH48" s="19"/>
      <c r="FLI48" s="19"/>
      <c r="FLJ48" s="19"/>
      <c r="FLK48" s="19"/>
      <c r="FLL48" s="19"/>
      <c r="FLM48" s="19"/>
      <c r="FLN48" s="19"/>
      <c r="FLO48" s="19"/>
      <c r="FLP48" s="19"/>
      <c r="FLQ48" s="19"/>
      <c r="FLR48" s="19"/>
      <c r="FLS48" s="19"/>
      <c r="FLT48" s="19"/>
      <c r="FLU48" s="19"/>
      <c r="FLV48" s="19"/>
      <c r="FLW48" s="19"/>
      <c r="FLX48" s="19"/>
      <c r="FLY48" s="19"/>
      <c r="FLZ48" s="19"/>
      <c r="FMA48" s="19"/>
      <c r="FMB48" s="19"/>
      <c r="FMC48" s="19"/>
      <c r="FMD48" s="19"/>
      <c r="FME48" s="19"/>
      <c r="FMF48" s="19"/>
      <c r="FMG48" s="19"/>
      <c r="FMH48" s="19"/>
      <c r="FMI48" s="19"/>
      <c r="FMJ48" s="19"/>
      <c r="FMK48" s="19"/>
      <c r="FML48" s="19"/>
      <c r="FMM48" s="19"/>
      <c r="FMN48" s="19"/>
      <c r="FMO48" s="19"/>
      <c r="FMP48" s="19"/>
      <c r="FMQ48" s="19"/>
      <c r="FMR48" s="19"/>
      <c r="FMS48" s="19"/>
      <c r="FMT48" s="19"/>
      <c r="FMU48" s="19"/>
      <c r="FMV48" s="19"/>
      <c r="FMW48" s="19"/>
      <c r="FMX48" s="19"/>
      <c r="FMY48" s="19"/>
      <c r="FMZ48" s="19"/>
      <c r="FNA48" s="19"/>
      <c r="FNB48" s="19"/>
      <c r="FNC48" s="19"/>
      <c r="FND48" s="19"/>
      <c r="FNE48" s="19"/>
      <c r="FNF48" s="19"/>
      <c r="FNG48" s="19"/>
      <c r="FNH48" s="19"/>
      <c r="FNI48" s="19"/>
      <c r="FNJ48" s="19"/>
      <c r="FNK48" s="19"/>
      <c r="FNL48" s="19"/>
      <c r="FNM48" s="19"/>
      <c r="FNN48" s="19"/>
      <c r="FNO48" s="19"/>
      <c r="FNP48" s="19"/>
      <c r="FNQ48" s="19"/>
      <c r="FNR48" s="19"/>
      <c r="FNS48" s="19"/>
      <c r="FNT48" s="19"/>
      <c r="FNU48" s="19"/>
      <c r="FNV48" s="19"/>
      <c r="FNW48" s="19"/>
      <c r="FNX48" s="19"/>
      <c r="FNY48" s="19"/>
      <c r="FNZ48" s="19"/>
      <c r="FOA48" s="19"/>
      <c r="FOB48" s="19"/>
      <c r="FOC48" s="19"/>
      <c r="FOD48" s="19"/>
      <c r="FOE48" s="19"/>
      <c r="FOF48" s="19"/>
      <c r="FOG48" s="19"/>
      <c r="FOH48" s="19"/>
      <c r="FOI48" s="19"/>
      <c r="FOJ48" s="19"/>
      <c r="FOK48" s="19"/>
      <c r="FOL48" s="19"/>
      <c r="FOM48" s="19"/>
      <c r="FON48" s="19"/>
      <c r="FOO48" s="19"/>
      <c r="FOP48" s="19"/>
      <c r="FOQ48" s="19"/>
      <c r="FOR48" s="19"/>
      <c r="FOS48" s="19"/>
      <c r="FOT48" s="19"/>
      <c r="FOU48" s="19"/>
      <c r="FOV48" s="19"/>
      <c r="FOW48" s="19"/>
      <c r="FOX48" s="19"/>
      <c r="FOY48" s="19"/>
      <c r="FOZ48" s="19"/>
      <c r="FPA48" s="19"/>
      <c r="FPB48" s="19"/>
      <c r="FPC48" s="19"/>
      <c r="FPD48" s="19"/>
      <c r="FPE48" s="19"/>
      <c r="FPF48" s="19"/>
      <c r="FPG48" s="19"/>
      <c r="FPH48" s="19"/>
      <c r="FPI48" s="19"/>
      <c r="FPJ48" s="19"/>
      <c r="FPK48" s="19"/>
      <c r="FPL48" s="19"/>
      <c r="FPM48" s="19"/>
      <c r="FPN48" s="19"/>
      <c r="FPO48" s="19"/>
      <c r="FPP48" s="19"/>
      <c r="FPQ48" s="19"/>
      <c r="FPR48" s="19"/>
      <c r="FPS48" s="19"/>
      <c r="FPT48" s="19"/>
      <c r="FPU48" s="19"/>
      <c r="FPV48" s="19"/>
      <c r="FPW48" s="19"/>
      <c r="FPX48" s="19"/>
      <c r="FPY48" s="19"/>
      <c r="FPZ48" s="19"/>
      <c r="FQA48" s="19"/>
      <c r="FQB48" s="19"/>
      <c r="FQC48" s="19"/>
      <c r="FQD48" s="19"/>
      <c r="FQE48" s="19"/>
      <c r="FQF48" s="19"/>
      <c r="FQG48" s="19"/>
      <c r="FQH48" s="19"/>
      <c r="FQI48" s="19"/>
      <c r="FQJ48" s="19"/>
      <c r="FQK48" s="19"/>
      <c r="FQL48" s="19"/>
      <c r="FQM48" s="19"/>
      <c r="FQN48" s="19"/>
      <c r="FQO48" s="19"/>
      <c r="FQP48" s="19"/>
      <c r="FQQ48" s="19"/>
      <c r="FQR48" s="19"/>
      <c r="FQS48" s="19"/>
      <c r="FQT48" s="19"/>
      <c r="FQU48" s="19"/>
      <c r="FQV48" s="19"/>
      <c r="FQW48" s="19"/>
      <c r="FQX48" s="19"/>
      <c r="FQY48" s="19"/>
      <c r="FQZ48" s="19"/>
      <c r="FRA48" s="19"/>
      <c r="FRB48" s="19"/>
      <c r="FRC48" s="19"/>
      <c r="FRD48" s="19"/>
      <c r="FRE48" s="19"/>
      <c r="FRF48" s="19"/>
      <c r="FRG48" s="19"/>
      <c r="FRH48" s="19"/>
      <c r="FRI48" s="19"/>
      <c r="FRJ48" s="19"/>
      <c r="FRK48" s="19"/>
      <c r="FRL48" s="19"/>
      <c r="FRM48" s="19"/>
      <c r="FRN48" s="19"/>
      <c r="FRO48" s="19"/>
      <c r="FRP48" s="19"/>
      <c r="FRQ48" s="19"/>
      <c r="FRR48" s="19"/>
      <c r="FRS48" s="19"/>
      <c r="FRT48" s="19"/>
      <c r="FRU48" s="19"/>
      <c r="FRV48" s="19"/>
      <c r="FRW48" s="19"/>
      <c r="FRX48" s="19"/>
      <c r="FRY48" s="19"/>
      <c r="FRZ48" s="19"/>
      <c r="FSA48" s="19"/>
      <c r="FSB48" s="19"/>
      <c r="FSC48" s="19"/>
      <c r="FSD48" s="19"/>
      <c r="FSE48" s="19"/>
      <c r="FSF48" s="19"/>
      <c r="FSG48" s="19"/>
      <c r="FSH48" s="19"/>
      <c r="FSI48" s="19"/>
      <c r="FSJ48" s="19"/>
      <c r="FSK48" s="19"/>
      <c r="FSL48" s="19"/>
      <c r="FSM48" s="19"/>
      <c r="FSN48" s="19"/>
      <c r="FSO48" s="19"/>
      <c r="FSP48" s="19"/>
      <c r="FSQ48" s="19"/>
      <c r="FSR48" s="19"/>
      <c r="FSS48" s="19"/>
      <c r="FST48" s="19"/>
      <c r="FSU48" s="19"/>
      <c r="FSV48" s="19"/>
      <c r="FSW48" s="19"/>
      <c r="FSX48" s="19"/>
      <c r="FSY48" s="19"/>
      <c r="FSZ48" s="19"/>
      <c r="FTA48" s="19"/>
      <c r="FTB48" s="19"/>
      <c r="FTC48" s="19"/>
      <c r="FTD48" s="19"/>
      <c r="FTE48" s="19"/>
      <c r="FTF48" s="19"/>
      <c r="FTG48" s="19"/>
      <c r="FTH48" s="19"/>
      <c r="FTI48" s="19"/>
      <c r="FTJ48" s="19"/>
      <c r="FTK48" s="19"/>
      <c r="FTL48" s="19"/>
      <c r="FTM48" s="19"/>
      <c r="FTN48" s="19"/>
      <c r="FTO48" s="19"/>
      <c r="FTP48" s="19"/>
      <c r="FTQ48" s="19"/>
      <c r="FTR48" s="19"/>
      <c r="FTS48" s="19"/>
      <c r="FTT48" s="19"/>
      <c r="FTU48" s="19"/>
      <c r="FTV48" s="19"/>
      <c r="FTW48" s="19"/>
      <c r="FTX48" s="19"/>
      <c r="FTY48" s="19"/>
      <c r="FTZ48" s="19"/>
      <c r="FUA48" s="19"/>
      <c r="FUB48" s="19"/>
      <c r="FUC48" s="19"/>
      <c r="FUD48" s="19"/>
      <c r="FUE48" s="19"/>
      <c r="FUF48" s="19"/>
      <c r="FUG48" s="19"/>
      <c r="FUH48" s="19"/>
      <c r="FUI48" s="19"/>
      <c r="FUJ48" s="19"/>
      <c r="FUK48" s="19"/>
      <c r="FUL48" s="19"/>
      <c r="FUM48" s="19"/>
      <c r="FUN48" s="19"/>
      <c r="FUO48" s="19"/>
      <c r="FUP48" s="19"/>
      <c r="FUQ48" s="19"/>
      <c r="FUR48" s="19"/>
      <c r="FUS48" s="19"/>
      <c r="FUT48" s="19"/>
      <c r="FUU48" s="19"/>
      <c r="FUV48" s="19"/>
      <c r="FUW48" s="19"/>
      <c r="FUX48" s="19"/>
      <c r="FUY48" s="19"/>
      <c r="FUZ48" s="19"/>
      <c r="FVA48" s="19"/>
      <c r="FVB48" s="19"/>
      <c r="FVC48" s="19"/>
      <c r="FVD48" s="19"/>
      <c r="FVE48" s="19"/>
      <c r="FVF48" s="19"/>
      <c r="FVG48" s="19"/>
      <c r="FVH48" s="19"/>
      <c r="FVI48" s="19"/>
      <c r="FVJ48" s="19"/>
      <c r="FVK48" s="19"/>
      <c r="FVL48" s="19"/>
      <c r="FVM48" s="19"/>
      <c r="FVN48" s="19"/>
      <c r="FVO48" s="19"/>
      <c r="FVP48" s="19"/>
      <c r="FVQ48" s="19"/>
      <c r="FVR48" s="19"/>
      <c r="FVS48" s="19"/>
      <c r="FVT48" s="19"/>
      <c r="FVU48" s="19"/>
      <c r="FVV48" s="19"/>
      <c r="FVW48" s="19"/>
      <c r="FVX48" s="19"/>
      <c r="FVY48" s="19"/>
      <c r="FVZ48" s="19"/>
      <c r="FWA48" s="19"/>
      <c r="FWB48" s="19"/>
      <c r="FWC48" s="19"/>
      <c r="FWD48" s="19"/>
      <c r="FWE48" s="19"/>
      <c r="FWF48" s="19"/>
      <c r="FWG48" s="19"/>
      <c r="FWH48" s="19"/>
      <c r="FWI48" s="19"/>
      <c r="FWJ48" s="19"/>
      <c r="FWK48" s="19"/>
      <c r="FWL48" s="19"/>
      <c r="FWM48" s="19"/>
      <c r="FWN48" s="19"/>
      <c r="FWO48" s="19"/>
      <c r="FWP48" s="19"/>
      <c r="FWQ48" s="19"/>
      <c r="FWR48" s="19"/>
      <c r="FWS48" s="19"/>
      <c r="FWT48" s="19"/>
      <c r="FWU48" s="19"/>
      <c r="FWV48" s="19"/>
      <c r="FWW48" s="19"/>
      <c r="FWX48" s="19"/>
      <c r="FWY48" s="19"/>
      <c r="FWZ48" s="19"/>
      <c r="FXA48" s="19"/>
      <c r="FXB48" s="19"/>
      <c r="FXC48" s="19"/>
      <c r="FXD48" s="19"/>
      <c r="FXE48" s="19"/>
      <c r="FXF48" s="19"/>
      <c r="FXG48" s="19"/>
      <c r="FXH48" s="19"/>
      <c r="FXI48" s="19"/>
      <c r="FXJ48" s="19"/>
      <c r="FXK48" s="19"/>
      <c r="FXL48" s="19"/>
      <c r="FXM48" s="19"/>
      <c r="FXN48" s="19"/>
      <c r="FXO48" s="19"/>
      <c r="FXP48" s="19"/>
      <c r="FXQ48" s="19"/>
      <c r="FXR48" s="19"/>
      <c r="FXS48" s="19"/>
      <c r="FXT48" s="19"/>
      <c r="FXU48" s="19"/>
      <c r="FXV48" s="19"/>
      <c r="FXW48" s="19"/>
      <c r="FXX48" s="19"/>
      <c r="FXY48" s="19"/>
      <c r="FXZ48" s="19"/>
      <c r="FYA48" s="19"/>
      <c r="FYB48" s="19"/>
      <c r="FYC48" s="19"/>
      <c r="FYD48" s="19"/>
      <c r="FYE48" s="19"/>
      <c r="FYF48" s="19"/>
      <c r="FYG48" s="19"/>
      <c r="FYH48" s="19"/>
      <c r="FYI48" s="19"/>
      <c r="FYJ48" s="19"/>
      <c r="FYK48" s="19"/>
      <c r="FYL48" s="19"/>
      <c r="FYM48" s="19"/>
      <c r="FYN48" s="19"/>
      <c r="FYO48" s="19"/>
      <c r="FYP48" s="19"/>
      <c r="FYQ48" s="19"/>
      <c r="FYR48" s="19"/>
      <c r="FYS48" s="19"/>
      <c r="FYT48" s="19"/>
      <c r="FYU48" s="19"/>
      <c r="FYV48" s="19"/>
      <c r="FYW48" s="19"/>
      <c r="FYX48" s="19"/>
      <c r="FYY48" s="19"/>
      <c r="FYZ48" s="19"/>
      <c r="FZA48" s="19"/>
      <c r="FZB48" s="19"/>
      <c r="FZC48" s="19"/>
      <c r="FZD48" s="19"/>
      <c r="FZE48" s="19"/>
      <c r="FZF48" s="19"/>
      <c r="FZG48" s="19"/>
      <c r="FZH48" s="19"/>
      <c r="FZI48" s="19"/>
      <c r="FZJ48" s="19"/>
      <c r="FZK48" s="19"/>
      <c r="FZL48" s="19"/>
      <c r="FZM48" s="19"/>
      <c r="FZN48" s="19"/>
      <c r="FZO48" s="19"/>
      <c r="FZP48" s="19"/>
      <c r="FZQ48" s="19"/>
      <c r="FZR48" s="19"/>
      <c r="FZS48" s="19"/>
      <c r="FZT48" s="19"/>
      <c r="FZU48" s="19"/>
      <c r="FZV48" s="19"/>
      <c r="FZW48" s="19"/>
      <c r="FZX48" s="19"/>
      <c r="FZY48" s="19"/>
      <c r="FZZ48" s="19"/>
      <c r="GAA48" s="19"/>
      <c r="GAB48" s="19"/>
      <c r="GAC48" s="19"/>
      <c r="GAD48" s="19"/>
      <c r="GAE48" s="19"/>
      <c r="GAF48" s="19"/>
      <c r="GAG48" s="19"/>
      <c r="GAH48" s="19"/>
      <c r="GAI48" s="19"/>
      <c r="GAJ48" s="19"/>
      <c r="GAK48" s="19"/>
      <c r="GAL48" s="19"/>
      <c r="GAM48" s="19"/>
      <c r="GAN48" s="19"/>
      <c r="GAO48" s="19"/>
      <c r="GAP48" s="19"/>
      <c r="GAQ48" s="19"/>
      <c r="GAR48" s="19"/>
      <c r="GAS48" s="19"/>
      <c r="GAT48" s="19"/>
      <c r="GAU48" s="19"/>
      <c r="GAV48" s="19"/>
      <c r="GAW48" s="19"/>
      <c r="GAX48" s="19"/>
      <c r="GAY48" s="19"/>
      <c r="GAZ48" s="19"/>
      <c r="GBA48" s="19"/>
      <c r="GBB48" s="19"/>
      <c r="GBC48" s="19"/>
      <c r="GBD48" s="19"/>
      <c r="GBE48" s="19"/>
      <c r="GBF48" s="19"/>
      <c r="GBG48" s="19"/>
      <c r="GBH48" s="19"/>
      <c r="GBI48" s="19"/>
      <c r="GBJ48" s="19"/>
      <c r="GBK48" s="19"/>
      <c r="GBL48" s="19"/>
      <c r="GBM48" s="19"/>
      <c r="GBN48" s="19"/>
      <c r="GBO48" s="19"/>
      <c r="GBP48" s="19"/>
      <c r="GBQ48" s="19"/>
      <c r="GBR48" s="19"/>
      <c r="GBS48" s="19"/>
      <c r="GBT48" s="19"/>
      <c r="GBU48" s="19"/>
      <c r="GBV48" s="19"/>
      <c r="GBW48" s="19"/>
      <c r="GBX48" s="19"/>
      <c r="GBY48" s="19"/>
      <c r="GBZ48" s="19"/>
      <c r="GCA48" s="19"/>
      <c r="GCB48" s="19"/>
      <c r="GCC48" s="19"/>
      <c r="GCD48" s="19"/>
      <c r="GCE48" s="19"/>
      <c r="GCF48" s="19"/>
      <c r="GCG48" s="19"/>
      <c r="GCH48" s="19"/>
      <c r="GCI48" s="19"/>
      <c r="GCJ48" s="19"/>
      <c r="GCK48" s="19"/>
      <c r="GCL48" s="19"/>
      <c r="GCM48" s="19"/>
      <c r="GCN48" s="19"/>
      <c r="GCO48" s="19"/>
      <c r="GCP48" s="19"/>
      <c r="GCQ48" s="19"/>
      <c r="GCR48" s="19"/>
      <c r="GCS48" s="19"/>
      <c r="GCT48" s="19"/>
      <c r="GCU48" s="19"/>
      <c r="GCV48" s="19"/>
      <c r="GCW48" s="19"/>
      <c r="GCX48" s="19"/>
      <c r="GCY48" s="19"/>
      <c r="GCZ48" s="19"/>
      <c r="GDA48" s="19"/>
      <c r="GDB48" s="19"/>
      <c r="GDC48" s="19"/>
      <c r="GDD48" s="19"/>
      <c r="GDE48" s="19"/>
      <c r="GDF48" s="19"/>
      <c r="GDG48" s="19"/>
      <c r="GDH48" s="19"/>
      <c r="GDI48" s="19"/>
      <c r="GDJ48" s="19"/>
      <c r="GDK48" s="19"/>
      <c r="GDL48" s="19"/>
      <c r="GDM48" s="19"/>
      <c r="GDN48" s="19"/>
      <c r="GDO48" s="19"/>
      <c r="GDP48" s="19"/>
      <c r="GDQ48" s="19"/>
      <c r="GDR48" s="19"/>
      <c r="GDS48" s="19"/>
      <c r="GDT48" s="19"/>
      <c r="GDU48" s="19"/>
      <c r="GDV48" s="19"/>
      <c r="GDW48" s="19"/>
      <c r="GDX48" s="19"/>
      <c r="GDY48" s="19"/>
      <c r="GDZ48" s="19"/>
      <c r="GEA48" s="19"/>
      <c r="GEB48" s="19"/>
      <c r="GEC48" s="19"/>
      <c r="GED48" s="19"/>
      <c r="GEE48" s="19"/>
      <c r="GEF48" s="19"/>
      <c r="GEG48" s="19"/>
      <c r="GEH48" s="19"/>
      <c r="GEI48" s="19"/>
      <c r="GEJ48" s="19"/>
      <c r="GEK48" s="19"/>
      <c r="GEL48" s="19"/>
      <c r="GEM48" s="19"/>
      <c r="GEN48" s="19"/>
      <c r="GEO48" s="19"/>
      <c r="GEP48" s="19"/>
      <c r="GEQ48" s="19"/>
      <c r="GER48" s="19"/>
      <c r="GES48" s="19"/>
      <c r="GET48" s="19"/>
      <c r="GEU48" s="19"/>
      <c r="GEV48" s="19"/>
      <c r="GEW48" s="19"/>
      <c r="GEX48" s="19"/>
      <c r="GEY48" s="19"/>
      <c r="GEZ48" s="19"/>
      <c r="GFA48" s="19"/>
      <c r="GFB48" s="19"/>
      <c r="GFC48" s="19"/>
      <c r="GFD48" s="19"/>
      <c r="GFE48" s="19"/>
      <c r="GFF48" s="19"/>
      <c r="GFG48" s="19"/>
      <c r="GFH48" s="19"/>
      <c r="GFI48" s="19"/>
      <c r="GFJ48" s="19"/>
      <c r="GFK48" s="19"/>
      <c r="GFL48" s="19"/>
      <c r="GFM48" s="19"/>
      <c r="GFN48" s="19"/>
      <c r="GFO48" s="19"/>
      <c r="GFP48" s="19"/>
      <c r="GFQ48" s="19"/>
      <c r="GFR48" s="19"/>
      <c r="GFS48" s="19"/>
      <c r="GFT48" s="19"/>
      <c r="GFU48" s="19"/>
      <c r="GFV48" s="19"/>
      <c r="GFW48" s="19"/>
      <c r="GFX48" s="19"/>
      <c r="GFY48" s="19"/>
      <c r="GFZ48" s="19"/>
      <c r="GGA48" s="19"/>
      <c r="GGB48" s="19"/>
      <c r="GGC48" s="19"/>
      <c r="GGD48" s="19"/>
      <c r="GGE48" s="19"/>
      <c r="GGF48" s="19"/>
      <c r="GGG48" s="19"/>
      <c r="GGH48" s="19"/>
      <c r="GGI48" s="19"/>
      <c r="GGJ48" s="19"/>
      <c r="GGK48" s="19"/>
      <c r="GGL48" s="19"/>
      <c r="GGM48" s="19"/>
      <c r="GGN48" s="19"/>
      <c r="GGO48" s="19"/>
      <c r="GGP48" s="19"/>
      <c r="GGQ48" s="19"/>
      <c r="GGR48" s="19"/>
      <c r="GGS48" s="19"/>
      <c r="GGT48" s="19"/>
      <c r="GGU48" s="19"/>
      <c r="GGV48" s="19"/>
      <c r="GGW48" s="19"/>
      <c r="GGX48" s="19"/>
      <c r="GGY48" s="19"/>
      <c r="GGZ48" s="19"/>
      <c r="GHA48" s="19"/>
      <c r="GHB48" s="19"/>
      <c r="GHC48" s="19"/>
      <c r="GHD48" s="19"/>
      <c r="GHE48" s="19"/>
      <c r="GHF48" s="19"/>
      <c r="GHG48" s="19"/>
      <c r="GHH48" s="19"/>
      <c r="GHI48" s="19"/>
      <c r="GHJ48" s="19"/>
      <c r="GHK48" s="19"/>
      <c r="GHL48" s="19"/>
      <c r="GHM48" s="19"/>
      <c r="GHN48" s="19"/>
      <c r="GHO48" s="19"/>
      <c r="GHP48" s="19"/>
      <c r="GHQ48" s="19"/>
      <c r="GHR48" s="19"/>
      <c r="GHS48" s="19"/>
      <c r="GHT48" s="19"/>
      <c r="GHU48" s="19"/>
      <c r="GHV48" s="19"/>
      <c r="GHW48" s="19"/>
      <c r="GHX48" s="19"/>
      <c r="GHY48" s="19"/>
      <c r="GHZ48" s="19"/>
      <c r="GIA48" s="19"/>
      <c r="GIB48" s="19"/>
      <c r="GIC48" s="19"/>
      <c r="GID48" s="19"/>
      <c r="GIE48" s="19"/>
      <c r="GIF48" s="19"/>
      <c r="GIG48" s="19"/>
      <c r="GIH48" s="19"/>
      <c r="GII48" s="19"/>
      <c r="GIJ48" s="19"/>
      <c r="GIK48" s="19"/>
      <c r="GIL48" s="19"/>
      <c r="GIM48" s="19"/>
      <c r="GIN48" s="19"/>
      <c r="GIO48" s="19"/>
      <c r="GIP48" s="19"/>
      <c r="GIQ48" s="19"/>
      <c r="GIR48" s="19"/>
      <c r="GIS48" s="19"/>
      <c r="GIT48" s="19"/>
      <c r="GIU48" s="19"/>
      <c r="GIV48" s="19"/>
      <c r="GIW48" s="19"/>
      <c r="GIX48" s="19"/>
      <c r="GIY48" s="19"/>
      <c r="GIZ48" s="19"/>
      <c r="GJA48" s="19"/>
      <c r="GJB48" s="19"/>
      <c r="GJC48" s="19"/>
      <c r="GJD48" s="19"/>
      <c r="GJE48" s="19"/>
      <c r="GJF48" s="19"/>
      <c r="GJG48" s="19"/>
      <c r="GJH48" s="19"/>
      <c r="GJI48" s="19"/>
      <c r="GJJ48" s="19"/>
      <c r="GJK48" s="19"/>
      <c r="GJL48" s="19"/>
      <c r="GJM48" s="19"/>
      <c r="GJN48" s="19"/>
      <c r="GJO48" s="19"/>
      <c r="GJP48" s="19"/>
      <c r="GJQ48" s="19"/>
      <c r="GJR48" s="19"/>
      <c r="GJS48" s="19"/>
      <c r="GJT48" s="19"/>
      <c r="GJU48" s="19"/>
      <c r="GJV48" s="19"/>
      <c r="GJW48" s="19"/>
      <c r="GJX48" s="19"/>
      <c r="GJY48" s="19"/>
      <c r="GJZ48" s="19"/>
      <c r="GKA48" s="19"/>
      <c r="GKB48" s="19"/>
      <c r="GKC48" s="19"/>
      <c r="GKD48" s="19"/>
      <c r="GKE48" s="19"/>
      <c r="GKF48" s="19"/>
      <c r="GKG48" s="19"/>
      <c r="GKH48" s="19"/>
      <c r="GKI48" s="19"/>
      <c r="GKJ48" s="19"/>
      <c r="GKK48" s="19"/>
      <c r="GKL48" s="19"/>
      <c r="GKM48" s="19"/>
      <c r="GKN48" s="19"/>
      <c r="GKO48" s="19"/>
      <c r="GKP48" s="19"/>
      <c r="GKQ48" s="19"/>
      <c r="GKR48" s="19"/>
      <c r="GKS48" s="19"/>
      <c r="GKT48" s="19"/>
      <c r="GKU48" s="19"/>
      <c r="GKV48" s="19"/>
      <c r="GKW48" s="19"/>
      <c r="GKX48" s="19"/>
      <c r="GKY48" s="19"/>
      <c r="GKZ48" s="19"/>
      <c r="GLA48" s="19"/>
      <c r="GLB48" s="19"/>
      <c r="GLC48" s="19"/>
      <c r="GLD48" s="19"/>
      <c r="GLE48" s="19"/>
      <c r="GLF48" s="19"/>
      <c r="GLG48" s="19"/>
      <c r="GLH48" s="19"/>
      <c r="GLI48" s="19"/>
      <c r="GLJ48" s="19"/>
      <c r="GLK48" s="19"/>
      <c r="GLL48" s="19"/>
      <c r="GLM48" s="19"/>
      <c r="GLN48" s="19"/>
      <c r="GLO48" s="19"/>
      <c r="GLP48" s="19"/>
      <c r="GLQ48" s="19"/>
      <c r="GLR48" s="19"/>
      <c r="GLS48" s="19"/>
      <c r="GLT48" s="19"/>
      <c r="GLU48" s="19"/>
      <c r="GLV48" s="19"/>
      <c r="GLW48" s="19"/>
      <c r="GLX48" s="19"/>
      <c r="GLY48" s="19"/>
      <c r="GLZ48" s="19"/>
      <c r="GMA48" s="19"/>
      <c r="GMB48" s="19"/>
      <c r="GMC48" s="19"/>
      <c r="GMD48" s="19"/>
      <c r="GME48" s="19"/>
      <c r="GMF48" s="19"/>
      <c r="GMG48" s="19"/>
      <c r="GMH48" s="19"/>
      <c r="GMI48" s="19"/>
      <c r="GMJ48" s="19"/>
      <c r="GMK48" s="19"/>
      <c r="GML48" s="19"/>
      <c r="GMM48" s="19"/>
      <c r="GMN48" s="19"/>
      <c r="GMO48" s="19"/>
      <c r="GMP48" s="19"/>
      <c r="GMQ48" s="19"/>
      <c r="GMR48" s="19"/>
      <c r="GMS48" s="19"/>
      <c r="GMT48" s="19"/>
      <c r="GMU48" s="19"/>
      <c r="GMV48" s="19"/>
      <c r="GMW48" s="19"/>
      <c r="GMX48" s="19"/>
      <c r="GMY48" s="19"/>
      <c r="GMZ48" s="19"/>
      <c r="GNA48" s="19"/>
      <c r="GNB48" s="19"/>
      <c r="GNC48" s="19"/>
      <c r="GND48" s="19"/>
      <c r="GNE48" s="19"/>
      <c r="GNF48" s="19"/>
      <c r="GNG48" s="19"/>
      <c r="GNH48" s="19"/>
      <c r="GNI48" s="19"/>
      <c r="GNJ48" s="19"/>
      <c r="GNK48" s="19"/>
      <c r="GNL48" s="19"/>
      <c r="GNM48" s="19"/>
      <c r="GNN48" s="19"/>
      <c r="GNO48" s="19"/>
      <c r="GNP48" s="19"/>
      <c r="GNQ48" s="19"/>
      <c r="GNR48" s="19"/>
      <c r="GNS48" s="19"/>
      <c r="GNT48" s="19"/>
      <c r="GNU48" s="19"/>
      <c r="GNV48" s="19"/>
      <c r="GNW48" s="19"/>
      <c r="GNX48" s="19"/>
      <c r="GNY48" s="19"/>
      <c r="GNZ48" s="19"/>
      <c r="GOA48" s="19"/>
      <c r="GOB48" s="19"/>
      <c r="GOC48" s="19"/>
      <c r="GOD48" s="19"/>
      <c r="GOE48" s="19"/>
      <c r="GOF48" s="19"/>
      <c r="GOG48" s="19"/>
      <c r="GOH48" s="19"/>
      <c r="GOI48" s="19"/>
      <c r="GOJ48" s="19"/>
      <c r="GOK48" s="19"/>
      <c r="GOL48" s="19"/>
      <c r="GOM48" s="19"/>
      <c r="GON48" s="19"/>
      <c r="GOO48" s="19"/>
      <c r="GOP48" s="19"/>
      <c r="GOQ48" s="19"/>
      <c r="GOR48" s="19"/>
      <c r="GOS48" s="19"/>
      <c r="GOT48" s="19"/>
      <c r="GOU48" s="19"/>
      <c r="GOV48" s="19"/>
      <c r="GOW48" s="19"/>
      <c r="GOX48" s="19"/>
      <c r="GOY48" s="19"/>
      <c r="GOZ48" s="19"/>
      <c r="GPA48" s="19"/>
      <c r="GPB48" s="19"/>
      <c r="GPC48" s="19"/>
      <c r="GPD48" s="19"/>
      <c r="GPE48" s="19"/>
      <c r="GPF48" s="19"/>
      <c r="GPG48" s="19"/>
      <c r="GPH48" s="19"/>
      <c r="GPI48" s="19"/>
      <c r="GPJ48" s="19"/>
      <c r="GPK48" s="19"/>
      <c r="GPL48" s="19"/>
      <c r="GPM48" s="19"/>
      <c r="GPN48" s="19"/>
      <c r="GPO48" s="19"/>
      <c r="GPP48" s="19"/>
      <c r="GPQ48" s="19"/>
      <c r="GPR48" s="19"/>
      <c r="GPS48" s="19"/>
      <c r="GPT48" s="19"/>
      <c r="GPU48" s="19"/>
      <c r="GPV48" s="19"/>
      <c r="GPW48" s="19"/>
      <c r="GPX48" s="19"/>
      <c r="GPY48" s="19"/>
      <c r="GPZ48" s="19"/>
      <c r="GQA48" s="19"/>
      <c r="GQB48" s="19"/>
      <c r="GQC48" s="19"/>
      <c r="GQD48" s="19"/>
      <c r="GQE48" s="19"/>
      <c r="GQF48" s="19"/>
      <c r="GQG48" s="19"/>
      <c r="GQH48" s="19"/>
      <c r="GQI48" s="19"/>
      <c r="GQJ48" s="19"/>
      <c r="GQK48" s="19"/>
      <c r="GQL48" s="19"/>
      <c r="GQM48" s="19"/>
      <c r="GQN48" s="19"/>
      <c r="GQO48" s="19"/>
      <c r="GQP48" s="19"/>
      <c r="GQQ48" s="19"/>
      <c r="GQR48" s="19"/>
      <c r="GQS48" s="19"/>
      <c r="GQT48" s="19"/>
      <c r="GQU48" s="19"/>
      <c r="GQV48" s="19"/>
      <c r="GQW48" s="19"/>
      <c r="GQX48" s="19"/>
      <c r="GQY48" s="19"/>
      <c r="GQZ48" s="19"/>
      <c r="GRA48" s="19"/>
      <c r="GRB48" s="19"/>
      <c r="GRC48" s="19"/>
      <c r="GRD48" s="19"/>
      <c r="GRE48" s="19"/>
      <c r="GRF48" s="19"/>
      <c r="GRG48" s="19"/>
      <c r="GRH48" s="19"/>
      <c r="GRI48" s="19"/>
      <c r="GRJ48" s="19"/>
      <c r="GRK48" s="19"/>
      <c r="GRL48" s="19"/>
      <c r="GRM48" s="19"/>
      <c r="GRN48" s="19"/>
      <c r="GRO48" s="19"/>
      <c r="GRP48" s="19"/>
      <c r="GRQ48" s="19"/>
      <c r="GRR48" s="19"/>
      <c r="GRS48" s="19"/>
      <c r="GRT48" s="19"/>
      <c r="GRU48" s="19"/>
      <c r="GRV48" s="19"/>
      <c r="GRW48" s="19"/>
      <c r="GRX48" s="19"/>
      <c r="GRY48" s="19"/>
      <c r="GRZ48" s="19"/>
      <c r="GSA48" s="19"/>
      <c r="GSB48" s="19"/>
      <c r="GSC48" s="19"/>
      <c r="GSD48" s="19"/>
      <c r="GSE48" s="19"/>
      <c r="GSF48" s="19"/>
      <c r="GSG48" s="19"/>
      <c r="GSH48" s="19"/>
      <c r="GSI48" s="19"/>
      <c r="GSJ48" s="19"/>
      <c r="GSK48" s="19"/>
      <c r="GSL48" s="19"/>
      <c r="GSM48" s="19"/>
      <c r="GSN48" s="19"/>
      <c r="GSO48" s="19"/>
      <c r="GSP48" s="19"/>
      <c r="GSQ48" s="19"/>
      <c r="GSR48" s="19"/>
      <c r="GSS48" s="19"/>
      <c r="GST48" s="19"/>
      <c r="GSU48" s="19"/>
      <c r="GSV48" s="19"/>
      <c r="GSW48" s="19"/>
      <c r="GSX48" s="19"/>
      <c r="GSY48" s="19"/>
      <c r="GSZ48" s="19"/>
      <c r="GTA48" s="19"/>
      <c r="GTB48" s="19"/>
      <c r="GTC48" s="19"/>
      <c r="GTD48" s="19"/>
      <c r="GTE48" s="19"/>
      <c r="GTF48" s="19"/>
      <c r="GTG48" s="19"/>
      <c r="GTH48" s="19"/>
      <c r="GTI48" s="19"/>
      <c r="GTJ48" s="19"/>
      <c r="GTK48" s="19"/>
      <c r="GTL48" s="19"/>
      <c r="GTM48" s="19"/>
      <c r="GTN48" s="19"/>
      <c r="GTO48" s="19"/>
      <c r="GTP48" s="19"/>
      <c r="GTQ48" s="19"/>
      <c r="GTR48" s="19"/>
      <c r="GTS48" s="19"/>
      <c r="GTT48" s="19"/>
      <c r="GTU48" s="19"/>
      <c r="GTV48" s="19"/>
      <c r="GTW48" s="19"/>
      <c r="GTX48" s="19"/>
      <c r="GTY48" s="19"/>
      <c r="GTZ48" s="19"/>
      <c r="GUA48" s="19"/>
      <c r="GUB48" s="19"/>
      <c r="GUC48" s="19"/>
      <c r="GUD48" s="19"/>
      <c r="GUE48" s="19"/>
      <c r="GUF48" s="19"/>
      <c r="GUG48" s="19"/>
      <c r="GUH48" s="19"/>
      <c r="GUI48" s="19"/>
      <c r="GUJ48" s="19"/>
      <c r="GUK48" s="19"/>
      <c r="GUL48" s="19"/>
      <c r="GUM48" s="19"/>
      <c r="GUN48" s="19"/>
      <c r="GUO48" s="19"/>
      <c r="GUP48" s="19"/>
      <c r="GUQ48" s="19"/>
      <c r="GUR48" s="19"/>
      <c r="GUS48" s="19"/>
      <c r="GUT48" s="19"/>
      <c r="GUU48" s="19"/>
      <c r="GUV48" s="19"/>
      <c r="GUW48" s="19"/>
      <c r="GUX48" s="19"/>
      <c r="GUY48" s="19"/>
      <c r="GUZ48" s="19"/>
      <c r="GVA48" s="19"/>
      <c r="GVB48" s="19"/>
      <c r="GVC48" s="19"/>
      <c r="GVD48" s="19"/>
      <c r="GVE48" s="19"/>
      <c r="GVF48" s="19"/>
      <c r="GVG48" s="19"/>
      <c r="GVH48" s="19"/>
      <c r="GVI48" s="19"/>
      <c r="GVJ48" s="19"/>
      <c r="GVK48" s="19"/>
      <c r="GVL48" s="19"/>
      <c r="GVM48" s="19"/>
      <c r="GVN48" s="19"/>
      <c r="GVO48" s="19"/>
      <c r="GVP48" s="19"/>
      <c r="GVQ48" s="19"/>
      <c r="GVR48" s="19"/>
      <c r="GVS48" s="19"/>
      <c r="GVT48" s="19"/>
      <c r="GVU48" s="19"/>
      <c r="GVV48" s="19"/>
      <c r="GVW48" s="19"/>
      <c r="GVX48" s="19"/>
      <c r="GVY48" s="19"/>
      <c r="GVZ48" s="19"/>
      <c r="GWA48" s="19"/>
      <c r="GWB48" s="19"/>
      <c r="GWC48" s="19"/>
      <c r="GWD48" s="19"/>
      <c r="GWE48" s="19"/>
      <c r="GWF48" s="19"/>
      <c r="GWG48" s="19"/>
      <c r="GWH48" s="19"/>
      <c r="GWI48" s="19"/>
      <c r="GWJ48" s="19"/>
      <c r="GWK48" s="19"/>
      <c r="GWL48" s="19"/>
      <c r="GWM48" s="19"/>
      <c r="GWN48" s="19"/>
      <c r="GWO48" s="19"/>
      <c r="GWP48" s="19"/>
      <c r="GWQ48" s="19"/>
      <c r="GWR48" s="19"/>
      <c r="GWS48" s="19"/>
      <c r="GWT48" s="19"/>
      <c r="GWU48" s="19"/>
      <c r="GWV48" s="19"/>
      <c r="GWW48" s="19"/>
      <c r="GWX48" s="19"/>
      <c r="GWY48" s="19"/>
      <c r="GWZ48" s="19"/>
      <c r="GXA48" s="19"/>
      <c r="GXB48" s="19"/>
      <c r="GXC48" s="19"/>
      <c r="GXD48" s="19"/>
      <c r="GXE48" s="19"/>
      <c r="GXF48" s="19"/>
      <c r="GXG48" s="19"/>
      <c r="GXH48" s="19"/>
      <c r="GXI48" s="19"/>
      <c r="GXJ48" s="19"/>
      <c r="GXK48" s="19"/>
      <c r="GXL48" s="19"/>
      <c r="GXM48" s="19"/>
      <c r="GXN48" s="19"/>
      <c r="GXO48" s="19"/>
      <c r="GXP48" s="19"/>
      <c r="GXQ48" s="19"/>
      <c r="GXR48" s="19"/>
      <c r="GXS48" s="19"/>
      <c r="GXT48" s="19"/>
      <c r="GXU48" s="19"/>
      <c r="GXV48" s="19"/>
      <c r="GXW48" s="19"/>
      <c r="GXX48" s="19"/>
      <c r="GXY48" s="19"/>
      <c r="GXZ48" s="19"/>
      <c r="GYA48" s="19"/>
      <c r="GYB48" s="19"/>
      <c r="GYC48" s="19"/>
      <c r="GYD48" s="19"/>
      <c r="GYE48" s="19"/>
      <c r="GYF48" s="19"/>
      <c r="GYG48" s="19"/>
      <c r="GYH48" s="19"/>
      <c r="GYI48" s="19"/>
      <c r="GYJ48" s="19"/>
      <c r="GYK48" s="19"/>
      <c r="GYL48" s="19"/>
      <c r="GYM48" s="19"/>
      <c r="GYN48" s="19"/>
      <c r="GYO48" s="19"/>
      <c r="GYP48" s="19"/>
      <c r="GYQ48" s="19"/>
      <c r="GYR48" s="19"/>
      <c r="GYS48" s="19"/>
      <c r="GYT48" s="19"/>
      <c r="GYU48" s="19"/>
      <c r="GYV48" s="19"/>
      <c r="GYW48" s="19"/>
      <c r="GYX48" s="19"/>
      <c r="GYY48" s="19"/>
      <c r="GYZ48" s="19"/>
      <c r="GZA48" s="19"/>
      <c r="GZB48" s="19"/>
      <c r="GZC48" s="19"/>
      <c r="GZD48" s="19"/>
      <c r="GZE48" s="19"/>
      <c r="GZF48" s="19"/>
      <c r="GZG48" s="19"/>
      <c r="GZH48" s="19"/>
      <c r="GZI48" s="19"/>
      <c r="GZJ48" s="19"/>
      <c r="GZK48" s="19"/>
      <c r="GZL48" s="19"/>
      <c r="GZM48" s="19"/>
      <c r="GZN48" s="19"/>
      <c r="GZO48" s="19"/>
      <c r="GZP48" s="19"/>
      <c r="GZQ48" s="19"/>
      <c r="GZR48" s="19"/>
      <c r="GZS48" s="19"/>
      <c r="GZT48" s="19"/>
      <c r="GZU48" s="19"/>
      <c r="GZV48" s="19"/>
      <c r="GZW48" s="19"/>
      <c r="GZX48" s="19"/>
      <c r="GZY48" s="19"/>
      <c r="GZZ48" s="19"/>
      <c r="HAA48" s="19"/>
      <c r="HAB48" s="19"/>
      <c r="HAC48" s="19"/>
      <c r="HAD48" s="19"/>
      <c r="HAE48" s="19"/>
      <c r="HAF48" s="19"/>
      <c r="HAG48" s="19"/>
      <c r="HAH48" s="19"/>
      <c r="HAI48" s="19"/>
      <c r="HAJ48" s="19"/>
      <c r="HAK48" s="19"/>
      <c r="HAL48" s="19"/>
      <c r="HAM48" s="19"/>
      <c r="HAN48" s="19"/>
      <c r="HAO48" s="19"/>
      <c r="HAP48" s="19"/>
      <c r="HAQ48" s="19"/>
      <c r="HAR48" s="19"/>
      <c r="HAS48" s="19"/>
      <c r="HAT48" s="19"/>
      <c r="HAU48" s="19"/>
      <c r="HAV48" s="19"/>
      <c r="HAW48" s="19"/>
      <c r="HAX48" s="19"/>
      <c r="HAY48" s="19"/>
      <c r="HAZ48" s="19"/>
      <c r="HBA48" s="19"/>
      <c r="HBB48" s="19"/>
      <c r="HBC48" s="19"/>
      <c r="HBD48" s="19"/>
      <c r="HBE48" s="19"/>
      <c r="HBF48" s="19"/>
      <c r="HBG48" s="19"/>
      <c r="HBH48" s="19"/>
      <c r="HBI48" s="19"/>
      <c r="HBJ48" s="19"/>
      <c r="HBK48" s="19"/>
      <c r="HBL48" s="19"/>
      <c r="HBM48" s="19"/>
      <c r="HBN48" s="19"/>
      <c r="HBO48" s="19"/>
      <c r="HBP48" s="19"/>
      <c r="HBQ48" s="19"/>
      <c r="HBR48" s="19"/>
      <c r="HBS48" s="19"/>
      <c r="HBT48" s="19"/>
      <c r="HBU48" s="19"/>
      <c r="HBV48" s="19"/>
      <c r="HBW48" s="19"/>
      <c r="HBX48" s="19"/>
      <c r="HBY48" s="19"/>
      <c r="HBZ48" s="19"/>
      <c r="HCA48" s="19"/>
      <c r="HCB48" s="19"/>
      <c r="HCC48" s="19"/>
      <c r="HCD48" s="19"/>
      <c r="HCE48" s="19"/>
      <c r="HCF48" s="19"/>
      <c r="HCG48" s="19"/>
      <c r="HCH48" s="19"/>
      <c r="HCI48" s="19"/>
      <c r="HCJ48" s="19"/>
      <c r="HCK48" s="19"/>
      <c r="HCL48" s="19"/>
      <c r="HCM48" s="19"/>
      <c r="HCN48" s="19"/>
      <c r="HCO48" s="19"/>
      <c r="HCP48" s="19"/>
      <c r="HCQ48" s="19"/>
      <c r="HCR48" s="19"/>
      <c r="HCS48" s="19"/>
      <c r="HCT48" s="19"/>
      <c r="HCU48" s="19"/>
      <c r="HCV48" s="19"/>
      <c r="HCW48" s="19"/>
      <c r="HCX48" s="19"/>
      <c r="HCY48" s="19"/>
      <c r="HCZ48" s="19"/>
      <c r="HDA48" s="19"/>
      <c r="HDB48" s="19"/>
      <c r="HDC48" s="19"/>
      <c r="HDD48" s="19"/>
      <c r="HDE48" s="19"/>
      <c r="HDF48" s="19"/>
      <c r="HDG48" s="19"/>
      <c r="HDH48" s="19"/>
      <c r="HDI48" s="19"/>
      <c r="HDJ48" s="19"/>
      <c r="HDK48" s="19"/>
      <c r="HDL48" s="19"/>
      <c r="HDM48" s="19"/>
      <c r="HDN48" s="19"/>
      <c r="HDO48" s="19"/>
      <c r="HDP48" s="19"/>
      <c r="HDQ48" s="19"/>
      <c r="HDR48" s="19"/>
      <c r="HDS48" s="19"/>
      <c r="HDT48" s="19"/>
      <c r="HDU48" s="19"/>
      <c r="HDV48" s="19"/>
      <c r="HDW48" s="19"/>
      <c r="HDX48" s="19"/>
      <c r="HDY48" s="19"/>
      <c r="HDZ48" s="19"/>
      <c r="HEA48" s="19"/>
      <c r="HEB48" s="19"/>
      <c r="HEC48" s="19"/>
      <c r="HED48" s="19"/>
      <c r="HEE48" s="19"/>
      <c r="HEF48" s="19"/>
      <c r="HEG48" s="19"/>
      <c r="HEH48" s="19"/>
      <c r="HEI48" s="19"/>
      <c r="HEJ48" s="19"/>
      <c r="HEK48" s="19"/>
      <c r="HEL48" s="19"/>
      <c r="HEM48" s="19"/>
      <c r="HEN48" s="19"/>
      <c r="HEO48" s="19"/>
      <c r="HEP48" s="19"/>
      <c r="HEQ48" s="19"/>
      <c r="HER48" s="19"/>
      <c r="HES48" s="19"/>
      <c r="HET48" s="19"/>
      <c r="HEU48" s="19"/>
      <c r="HEV48" s="19"/>
      <c r="HEW48" s="19"/>
      <c r="HEX48" s="19"/>
      <c r="HEY48" s="19"/>
      <c r="HEZ48" s="19"/>
      <c r="HFA48" s="19"/>
      <c r="HFB48" s="19"/>
      <c r="HFC48" s="19"/>
      <c r="HFD48" s="19"/>
      <c r="HFE48" s="19"/>
      <c r="HFF48" s="19"/>
      <c r="HFG48" s="19"/>
      <c r="HFH48" s="19"/>
      <c r="HFI48" s="19"/>
      <c r="HFJ48" s="19"/>
      <c r="HFK48" s="19"/>
      <c r="HFL48" s="19"/>
      <c r="HFM48" s="19"/>
      <c r="HFN48" s="19"/>
      <c r="HFO48" s="19"/>
      <c r="HFP48" s="19"/>
      <c r="HFQ48" s="19"/>
      <c r="HFR48" s="19"/>
      <c r="HFS48" s="19"/>
      <c r="HFT48" s="19"/>
      <c r="HFU48" s="19"/>
      <c r="HFV48" s="19"/>
      <c r="HFW48" s="19"/>
      <c r="HFX48" s="19"/>
      <c r="HFY48" s="19"/>
      <c r="HFZ48" s="19"/>
      <c r="HGA48" s="19"/>
      <c r="HGB48" s="19"/>
      <c r="HGC48" s="19"/>
      <c r="HGD48" s="19"/>
      <c r="HGE48" s="19"/>
      <c r="HGF48" s="19"/>
      <c r="HGG48" s="19"/>
      <c r="HGH48" s="19"/>
      <c r="HGI48" s="19"/>
      <c r="HGJ48" s="19"/>
      <c r="HGK48" s="19"/>
      <c r="HGL48" s="19"/>
      <c r="HGM48" s="19"/>
      <c r="HGN48" s="19"/>
      <c r="HGO48" s="19"/>
      <c r="HGP48" s="19"/>
      <c r="HGQ48" s="19"/>
      <c r="HGR48" s="19"/>
      <c r="HGS48" s="19"/>
      <c r="HGT48" s="19"/>
      <c r="HGU48" s="19"/>
      <c r="HGV48" s="19"/>
      <c r="HGW48" s="19"/>
      <c r="HGX48" s="19"/>
      <c r="HGY48" s="19"/>
      <c r="HGZ48" s="19"/>
      <c r="HHA48" s="19"/>
      <c r="HHB48" s="19"/>
      <c r="HHC48" s="19"/>
      <c r="HHD48" s="19"/>
      <c r="HHE48" s="19"/>
      <c r="HHF48" s="19"/>
      <c r="HHG48" s="19"/>
      <c r="HHH48" s="19"/>
      <c r="HHI48" s="19"/>
      <c r="HHJ48" s="19"/>
      <c r="HHK48" s="19"/>
      <c r="HHL48" s="19"/>
      <c r="HHM48" s="19"/>
      <c r="HHN48" s="19"/>
      <c r="HHO48" s="19"/>
      <c r="HHP48" s="19"/>
      <c r="HHQ48" s="19"/>
      <c r="HHR48" s="19"/>
      <c r="HHS48" s="19"/>
      <c r="HHT48" s="19"/>
      <c r="HHU48" s="19"/>
      <c r="HHV48" s="19"/>
      <c r="HHW48" s="19"/>
      <c r="HHX48" s="19"/>
      <c r="HHY48" s="19"/>
      <c r="HHZ48" s="19"/>
      <c r="HIA48" s="19"/>
      <c r="HIB48" s="19"/>
      <c r="HIC48" s="19"/>
      <c r="HID48" s="19"/>
      <c r="HIE48" s="19"/>
      <c r="HIF48" s="19"/>
      <c r="HIG48" s="19"/>
      <c r="HIH48" s="19"/>
      <c r="HII48" s="19"/>
      <c r="HIJ48" s="19"/>
      <c r="HIK48" s="19"/>
      <c r="HIL48" s="19"/>
      <c r="HIM48" s="19"/>
      <c r="HIN48" s="19"/>
      <c r="HIO48" s="19"/>
      <c r="HIP48" s="19"/>
      <c r="HIQ48" s="19"/>
      <c r="HIR48" s="19"/>
      <c r="HIS48" s="19"/>
      <c r="HIT48" s="19"/>
      <c r="HIU48" s="19"/>
      <c r="HIV48" s="19"/>
      <c r="HIW48" s="19"/>
      <c r="HIX48" s="19"/>
      <c r="HIY48" s="19"/>
      <c r="HIZ48" s="19"/>
      <c r="HJA48" s="19"/>
      <c r="HJB48" s="19"/>
      <c r="HJC48" s="19"/>
      <c r="HJD48" s="19"/>
      <c r="HJE48" s="19"/>
      <c r="HJF48" s="19"/>
      <c r="HJG48" s="19"/>
      <c r="HJH48" s="19"/>
      <c r="HJI48" s="19"/>
      <c r="HJJ48" s="19"/>
      <c r="HJK48" s="19"/>
      <c r="HJL48" s="19"/>
      <c r="HJM48" s="19"/>
      <c r="HJN48" s="19"/>
      <c r="HJO48" s="19"/>
      <c r="HJP48" s="19"/>
      <c r="HJQ48" s="19"/>
      <c r="HJR48" s="19"/>
      <c r="HJS48" s="19"/>
      <c r="HJT48" s="19"/>
      <c r="HJU48" s="19"/>
      <c r="HJV48" s="19"/>
      <c r="HJW48" s="19"/>
      <c r="HJX48" s="19"/>
      <c r="HJY48" s="19"/>
      <c r="HJZ48" s="19"/>
      <c r="HKA48" s="19"/>
      <c r="HKB48" s="19"/>
      <c r="HKC48" s="19"/>
      <c r="HKD48" s="19"/>
      <c r="HKE48" s="19"/>
      <c r="HKF48" s="19"/>
      <c r="HKG48" s="19"/>
      <c r="HKH48" s="19"/>
      <c r="HKI48" s="19"/>
      <c r="HKJ48" s="19"/>
      <c r="HKK48" s="19"/>
      <c r="HKL48" s="19"/>
      <c r="HKM48" s="19"/>
      <c r="HKN48" s="19"/>
      <c r="HKO48" s="19"/>
      <c r="HKP48" s="19"/>
      <c r="HKQ48" s="19"/>
      <c r="HKR48" s="19"/>
      <c r="HKS48" s="19"/>
      <c r="HKT48" s="19"/>
      <c r="HKU48" s="19"/>
      <c r="HKV48" s="19"/>
      <c r="HKW48" s="19"/>
      <c r="HKX48" s="19"/>
      <c r="HKY48" s="19"/>
      <c r="HKZ48" s="19"/>
      <c r="HLA48" s="19"/>
      <c r="HLB48" s="19"/>
      <c r="HLC48" s="19"/>
      <c r="HLD48" s="19"/>
      <c r="HLE48" s="19"/>
      <c r="HLF48" s="19"/>
      <c r="HLG48" s="19"/>
      <c r="HLH48" s="19"/>
      <c r="HLI48" s="19"/>
      <c r="HLJ48" s="19"/>
      <c r="HLK48" s="19"/>
      <c r="HLL48" s="19"/>
      <c r="HLM48" s="19"/>
      <c r="HLN48" s="19"/>
      <c r="HLO48" s="19"/>
      <c r="HLP48" s="19"/>
      <c r="HLQ48" s="19"/>
      <c r="HLR48" s="19"/>
      <c r="HLS48" s="19"/>
      <c r="HLT48" s="19"/>
      <c r="HLU48" s="19"/>
      <c r="HLV48" s="19"/>
      <c r="HLW48" s="19"/>
      <c r="HLX48" s="19"/>
      <c r="HLY48" s="19"/>
      <c r="HLZ48" s="19"/>
      <c r="HMA48" s="19"/>
      <c r="HMB48" s="19"/>
      <c r="HMC48" s="19"/>
      <c r="HMD48" s="19"/>
      <c r="HME48" s="19"/>
      <c r="HMF48" s="19"/>
      <c r="HMG48" s="19"/>
      <c r="HMH48" s="19"/>
      <c r="HMI48" s="19"/>
      <c r="HMJ48" s="19"/>
      <c r="HMK48" s="19"/>
      <c r="HML48" s="19"/>
      <c r="HMM48" s="19"/>
      <c r="HMN48" s="19"/>
      <c r="HMO48" s="19"/>
      <c r="HMP48" s="19"/>
      <c r="HMQ48" s="19"/>
      <c r="HMR48" s="19"/>
      <c r="HMS48" s="19"/>
      <c r="HMT48" s="19"/>
      <c r="HMU48" s="19"/>
      <c r="HMV48" s="19"/>
      <c r="HMW48" s="19"/>
      <c r="HMX48" s="19"/>
      <c r="HMY48" s="19"/>
      <c r="HMZ48" s="19"/>
      <c r="HNA48" s="19"/>
      <c r="HNB48" s="19"/>
      <c r="HNC48" s="19"/>
      <c r="HND48" s="19"/>
      <c r="HNE48" s="19"/>
      <c r="HNF48" s="19"/>
      <c r="HNG48" s="19"/>
      <c r="HNH48" s="19"/>
      <c r="HNI48" s="19"/>
      <c r="HNJ48" s="19"/>
      <c r="HNK48" s="19"/>
      <c r="HNL48" s="19"/>
      <c r="HNM48" s="19"/>
      <c r="HNN48" s="19"/>
      <c r="HNO48" s="19"/>
      <c r="HNP48" s="19"/>
      <c r="HNQ48" s="19"/>
      <c r="HNR48" s="19"/>
      <c r="HNS48" s="19"/>
      <c r="HNT48" s="19"/>
      <c r="HNU48" s="19"/>
      <c r="HNV48" s="19"/>
      <c r="HNW48" s="19"/>
      <c r="HNX48" s="19"/>
      <c r="HNY48" s="19"/>
      <c r="HNZ48" s="19"/>
      <c r="HOA48" s="19"/>
      <c r="HOB48" s="19"/>
      <c r="HOC48" s="19"/>
      <c r="HOD48" s="19"/>
      <c r="HOE48" s="19"/>
      <c r="HOF48" s="19"/>
      <c r="HOG48" s="19"/>
      <c r="HOH48" s="19"/>
      <c r="HOI48" s="19"/>
      <c r="HOJ48" s="19"/>
      <c r="HOK48" s="19"/>
      <c r="HOL48" s="19"/>
      <c r="HOM48" s="19"/>
      <c r="HON48" s="19"/>
      <c r="HOO48" s="19"/>
      <c r="HOP48" s="19"/>
      <c r="HOQ48" s="19"/>
      <c r="HOR48" s="19"/>
      <c r="HOS48" s="19"/>
      <c r="HOT48" s="19"/>
      <c r="HOU48" s="19"/>
      <c r="HOV48" s="19"/>
      <c r="HOW48" s="19"/>
      <c r="HOX48" s="19"/>
      <c r="HOY48" s="19"/>
      <c r="HOZ48" s="19"/>
      <c r="HPA48" s="19"/>
      <c r="HPB48" s="19"/>
      <c r="HPC48" s="19"/>
      <c r="HPD48" s="19"/>
      <c r="HPE48" s="19"/>
      <c r="HPF48" s="19"/>
      <c r="HPG48" s="19"/>
      <c r="HPH48" s="19"/>
      <c r="HPI48" s="19"/>
      <c r="HPJ48" s="19"/>
      <c r="HPK48" s="19"/>
      <c r="HPL48" s="19"/>
      <c r="HPM48" s="19"/>
      <c r="HPN48" s="19"/>
      <c r="HPO48" s="19"/>
      <c r="HPP48" s="19"/>
      <c r="HPQ48" s="19"/>
      <c r="HPR48" s="19"/>
      <c r="HPS48" s="19"/>
      <c r="HPT48" s="19"/>
      <c r="HPU48" s="19"/>
      <c r="HPV48" s="19"/>
      <c r="HPW48" s="19"/>
      <c r="HPX48" s="19"/>
      <c r="HPY48" s="19"/>
      <c r="HPZ48" s="19"/>
      <c r="HQA48" s="19"/>
      <c r="HQB48" s="19"/>
      <c r="HQC48" s="19"/>
      <c r="HQD48" s="19"/>
      <c r="HQE48" s="19"/>
      <c r="HQF48" s="19"/>
      <c r="HQG48" s="19"/>
      <c r="HQH48" s="19"/>
      <c r="HQI48" s="19"/>
      <c r="HQJ48" s="19"/>
      <c r="HQK48" s="19"/>
      <c r="HQL48" s="19"/>
      <c r="HQM48" s="19"/>
      <c r="HQN48" s="19"/>
      <c r="HQO48" s="19"/>
      <c r="HQP48" s="19"/>
      <c r="HQQ48" s="19"/>
      <c r="HQR48" s="19"/>
      <c r="HQS48" s="19"/>
      <c r="HQT48" s="19"/>
      <c r="HQU48" s="19"/>
      <c r="HQV48" s="19"/>
      <c r="HQW48" s="19"/>
      <c r="HQX48" s="19"/>
      <c r="HQY48" s="19"/>
      <c r="HQZ48" s="19"/>
      <c r="HRA48" s="19"/>
      <c r="HRB48" s="19"/>
      <c r="HRC48" s="19"/>
      <c r="HRD48" s="19"/>
      <c r="HRE48" s="19"/>
      <c r="HRF48" s="19"/>
      <c r="HRG48" s="19"/>
      <c r="HRH48" s="19"/>
      <c r="HRI48" s="19"/>
      <c r="HRJ48" s="19"/>
      <c r="HRK48" s="19"/>
      <c r="HRL48" s="19"/>
      <c r="HRM48" s="19"/>
      <c r="HRN48" s="19"/>
      <c r="HRO48" s="19"/>
      <c r="HRP48" s="19"/>
      <c r="HRQ48" s="19"/>
      <c r="HRR48" s="19"/>
      <c r="HRS48" s="19"/>
      <c r="HRT48" s="19"/>
      <c r="HRU48" s="19"/>
      <c r="HRV48" s="19"/>
      <c r="HRW48" s="19"/>
      <c r="HRX48" s="19"/>
      <c r="HRY48" s="19"/>
      <c r="HRZ48" s="19"/>
      <c r="HSA48" s="19"/>
      <c r="HSB48" s="19"/>
      <c r="HSC48" s="19"/>
      <c r="HSD48" s="19"/>
      <c r="HSE48" s="19"/>
      <c r="HSF48" s="19"/>
      <c r="HSG48" s="19"/>
      <c r="HSH48" s="19"/>
      <c r="HSI48" s="19"/>
      <c r="HSJ48" s="19"/>
      <c r="HSK48" s="19"/>
      <c r="HSL48" s="19"/>
      <c r="HSM48" s="19"/>
      <c r="HSN48" s="19"/>
      <c r="HSO48" s="19"/>
      <c r="HSP48" s="19"/>
      <c r="HSQ48" s="19"/>
      <c r="HSR48" s="19"/>
      <c r="HSS48" s="19"/>
      <c r="HST48" s="19"/>
      <c r="HSU48" s="19"/>
      <c r="HSV48" s="19"/>
      <c r="HSW48" s="19"/>
      <c r="HSX48" s="19"/>
      <c r="HSY48" s="19"/>
      <c r="HSZ48" s="19"/>
      <c r="HTA48" s="19"/>
      <c r="HTB48" s="19"/>
      <c r="HTC48" s="19"/>
      <c r="HTD48" s="19"/>
      <c r="HTE48" s="19"/>
      <c r="HTF48" s="19"/>
      <c r="HTG48" s="19"/>
      <c r="HTH48" s="19"/>
      <c r="HTI48" s="19"/>
      <c r="HTJ48" s="19"/>
      <c r="HTK48" s="19"/>
      <c r="HTL48" s="19"/>
      <c r="HTM48" s="19"/>
      <c r="HTN48" s="19"/>
      <c r="HTO48" s="19"/>
      <c r="HTP48" s="19"/>
      <c r="HTQ48" s="19"/>
      <c r="HTR48" s="19"/>
      <c r="HTS48" s="19"/>
      <c r="HTT48" s="19"/>
      <c r="HTU48" s="19"/>
      <c r="HTV48" s="19"/>
      <c r="HTW48" s="19"/>
      <c r="HTX48" s="19"/>
      <c r="HTY48" s="19"/>
      <c r="HTZ48" s="19"/>
      <c r="HUA48" s="19"/>
      <c r="HUB48" s="19"/>
      <c r="HUC48" s="19"/>
      <c r="HUD48" s="19"/>
      <c r="HUE48" s="19"/>
      <c r="HUF48" s="19"/>
      <c r="HUG48" s="19"/>
      <c r="HUH48" s="19"/>
      <c r="HUI48" s="19"/>
      <c r="HUJ48" s="19"/>
      <c r="HUK48" s="19"/>
      <c r="HUL48" s="19"/>
      <c r="HUM48" s="19"/>
      <c r="HUN48" s="19"/>
      <c r="HUO48" s="19"/>
      <c r="HUP48" s="19"/>
      <c r="HUQ48" s="19"/>
      <c r="HUR48" s="19"/>
      <c r="HUS48" s="19"/>
      <c r="HUT48" s="19"/>
      <c r="HUU48" s="19"/>
      <c r="HUV48" s="19"/>
      <c r="HUW48" s="19"/>
      <c r="HUX48" s="19"/>
      <c r="HUY48" s="19"/>
      <c r="HUZ48" s="19"/>
      <c r="HVA48" s="19"/>
      <c r="HVB48" s="19"/>
      <c r="HVC48" s="19"/>
      <c r="HVD48" s="19"/>
      <c r="HVE48" s="19"/>
      <c r="HVF48" s="19"/>
      <c r="HVG48" s="19"/>
      <c r="HVH48" s="19"/>
      <c r="HVI48" s="19"/>
      <c r="HVJ48" s="19"/>
      <c r="HVK48" s="19"/>
      <c r="HVL48" s="19"/>
      <c r="HVM48" s="19"/>
      <c r="HVN48" s="19"/>
      <c r="HVO48" s="19"/>
      <c r="HVP48" s="19"/>
      <c r="HVQ48" s="19"/>
      <c r="HVR48" s="19"/>
      <c r="HVS48" s="19"/>
      <c r="HVT48" s="19"/>
      <c r="HVU48" s="19"/>
      <c r="HVV48" s="19"/>
      <c r="HVW48" s="19"/>
      <c r="HVX48" s="19"/>
      <c r="HVY48" s="19"/>
      <c r="HVZ48" s="19"/>
      <c r="HWA48" s="19"/>
      <c r="HWB48" s="19"/>
      <c r="HWC48" s="19"/>
      <c r="HWD48" s="19"/>
      <c r="HWE48" s="19"/>
      <c r="HWF48" s="19"/>
      <c r="HWG48" s="19"/>
      <c r="HWH48" s="19"/>
      <c r="HWI48" s="19"/>
      <c r="HWJ48" s="19"/>
      <c r="HWK48" s="19"/>
      <c r="HWL48" s="19"/>
      <c r="HWM48" s="19"/>
      <c r="HWN48" s="19"/>
      <c r="HWO48" s="19"/>
      <c r="HWP48" s="19"/>
      <c r="HWQ48" s="19"/>
      <c r="HWR48" s="19"/>
      <c r="HWS48" s="19"/>
      <c r="HWT48" s="19"/>
      <c r="HWU48" s="19"/>
      <c r="HWV48" s="19"/>
      <c r="HWW48" s="19"/>
      <c r="HWX48" s="19"/>
      <c r="HWY48" s="19"/>
      <c r="HWZ48" s="19"/>
      <c r="HXA48" s="19"/>
      <c r="HXB48" s="19"/>
      <c r="HXC48" s="19"/>
      <c r="HXD48" s="19"/>
      <c r="HXE48" s="19"/>
      <c r="HXF48" s="19"/>
      <c r="HXG48" s="19"/>
      <c r="HXH48" s="19"/>
      <c r="HXI48" s="19"/>
      <c r="HXJ48" s="19"/>
      <c r="HXK48" s="19"/>
      <c r="HXL48" s="19"/>
      <c r="HXM48" s="19"/>
      <c r="HXN48" s="19"/>
      <c r="HXO48" s="19"/>
      <c r="HXP48" s="19"/>
      <c r="HXQ48" s="19"/>
      <c r="HXR48" s="19"/>
      <c r="HXS48" s="19"/>
      <c r="HXT48" s="19"/>
      <c r="HXU48" s="19"/>
      <c r="HXV48" s="19"/>
      <c r="HXW48" s="19"/>
      <c r="HXX48" s="19"/>
      <c r="HXY48" s="19"/>
      <c r="HXZ48" s="19"/>
      <c r="HYA48" s="19"/>
      <c r="HYB48" s="19"/>
      <c r="HYC48" s="19"/>
      <c r="HYD48" s="19"/>
      <c r="HYE48" s="19"/>
      <c r="HYF48" s="19"/>
      <c r="HYG48" s="19"/>
      <c r="HYH48" s="19"/>
      <c r="HYI48" s="19"/>
      <c r="HYJ48" s="19"/>
      <c r="HYK48" s="19"/>
      <c r="HYL48" s="19"/>
      <c r="HYM48" s="19"/>
      <c r="HYN48" s="19"/>
      <c r="HYO48" s="19"/>
      <c r="HYP48" s="19"/>
      <c r="HYQ48" s="19"/>
      <c r="HYR48" s="19"/>
      <c r="HYS48" s="19"/>
      <c r="HYT48" s="19"/>
      <c r="HYU48" s="19"/>
      <c r="HYV48" s="19"/>
      <c r="HYW48" s="19"/>
      <c r="HYX48" s="19"/>
      <c r="HYY48" s="19"/>
      <c r="HYZ48" s="19"/>
      <c r="HZA48" s="19"/>
      <c r="HZB48" s="19"/>
      <c r="HZC48" s="19"/>
      <c r="HZD48" s="19"/>
      <c r="HZE48" s="19"/>
      <c r="HZF48" s="19"/>
      <c r="HZG48" s="19"/>
      <c r="HZH48" s="19"/>
      <c r="HZI48" s="19"/>
      <c r="HZJ48" s="19"/>
      <c r="HZK48" s="19"/>
      <c r="HZL48" s="19"/>
      <c r="HZM48" s="19"/>
      <c r="HZN48" s="19"/>
      <c r="HZO48" s="19"/>
      <c r="HZP48" s="19"/>
      <c r="HZQ48" s="19"/>
      <c r="HZR48" s="19"/>
      <c r="HZS48" s="19"/>
      <c r="HZT48" s="19"/>
      <c r="HZU48" s="19"/>
      <c r="HZV48" s="19"/>
      <c r="HZW48" s="19"/>
      <c r="HZX48" s="19"/>
      <c r="HZY48" s="19"/>
      <c r="HZZ48" s="19"/>
      <c r="IAA48" s="19"/>
      <c r="IAB48" s="19"/>
      <c r="IAC48" s="19"/>
      <c r="IAD48" s="19"/>
      <c r="IAE48" s="19"/>
      <c r="IAF48" s="19"/>
      <c r="IAG48" s="19"/>
      <c r="IAH48" s="19"/>
      <c r="IAI48" s="19"/>
      <c r="IAJ48" s="19"/>
      <c r="IAK48" s="19"/>
      <c r="IAL48" s="19"/>
      <c r="IAM48" s="19"/>
      <c r="IAN48" s="19"/>
      <c r="IAO48" s="19"/>
      <c r="IAP48" s="19"/>
      <c r="IAQ48" s="19"/>
      <c r="IAR48" s="19"/>
      <c r="IAS48" s="19"/>
      <c r="IAT48" s="19"/>
      <c r="IAU48" s="19"/>
      <c r="IAV48" s="19"/>
      <c r="IAW48" s="19"/>
      <c r="IAX48" s="19"/>
      <c r="IAY48" s="19"/>
      <c r="IAZ48" s="19"/>
      <c r="IBA48" s="19"/>
      <c r="IBB48" s="19"/>
      <c r="IBC48" s="19"/>
      <c r="IBD48" s="19"/>
      <c r="IBE48" s="19"/>
      <c r="IBF48" s="19"/>
      <c r="IBG48" s="19"/>
      <c r="IBH48" s="19"/>
      <c r="IBI48" s="19"/>
      <c r="IBJ48" s="19"/>
      <c r="IBK48" s="19"/>
      <c r="IBL48" s="19"/>
      <c r="IBM48" s="19"/>
      <c r="IBN48" s="19"/>
      <c r="IBO48" s="19"/>
      <c r="IBP48" s="19"/>
      <c r="IBQ48" s="19"/>
      <c r="IBR48" s="19"/>
      <c r="IBS48" s="19"/>
      <c r="IBT48" s="19"/>
      <c r="IBU48" s="19"/>
      <c r="IBV48" s="19"/>
      <c r="IBW48" s="19"/>
      <c r="IBX48" s="19"/>
      <c r="IBY48" s="19"/>
      <c r="IBZ48" s="19"/>
      <c r="ICA48" s="19"/>
      <c r="ICB48" s="19"/>
      <c r="ICC48" s="19"/>
      <c r="ICD48" s="19"/>
      <c r="ICE48" s="19"/>
      <c r="ICF48" s="19"/>
      <c r="ICG48" s="19"/>
      <c r="ICH48" s="19"/>
      <c r="ICI48" s="19"/>
      <c r="ICJ48" s="19"/>
      <c r="ICK48" s="19"/>
      <c r="ICL48" s="19"/>
      <c r="ICM48" s="19"/>
      <c r="ICN48" s="19"/>
      <c r="ICO48" s="19"/>
      <c r="ICP48" s="19"/>
      <c r="ICQ48" s="19"/>
      <c r="ICR48" s="19"/>
      <c r="ICS48" s="19"/>
      <c r="ICT48" s="19"/>
      <c r="ICU48" s="19"/>
      <c r="ICV48" s="19"/>
      <c r="ICW48" s="19"/>
      <c r="ICX48" s="19"/>
      <c r="ICY48" s="19"/>
      <c r="ICZ48" s="19"/>
      <c r="IDA48" s="19"/>
      <c r="IDB48" s="19"/>
      <c r="IDC48" s="19"/>
      <c r="IDD48" s="19"/>
      <c r="IDE48" s="19"/>
      <c r="IDF48" s="19"/>
      <c r="IDG48" s="19"/>
      <c r="IDH48" s="19"/>
      <c r="IDI48" s="19"/>
      <c r="IDJ48" s="19"/>
      <c r="IDK48" s="19"/>
      <c r="IDL48" s="19"/>
      <c r="IDM48" s="19"/>
      <c r="IDN48" s="19"/>
      <c r="IDO48" s="19"/>
      <c r="IDP48" s="19"/>
      <c r="IDQ48" s="19"/>
      <c r="IDR48" s="19"/>
      <c r="IDS48" s="19"/>
      <c r="IDT48" s="19"/>
      <c r="IDU48" s="19"/>
      <c r="IDV48" s="19"/>
      <c r="IDW48" s="19"/>
      <c r="IDX48" s="19"/>
      <c r="IDY48" s="19"/>
      <c r="IDZ48" s="19"/>
      <c r="IEA48" s="19"/>
      <c r="IEB48" s="19"/>
      <c r="IEC48" s="19"/>
      <c r="IED48" s="19"/>
      <c r="IEE48" s="19"/>
      <c r="IEF48" s="19"/>
      <c r="IEG48" s="19"/>
      <c r="IEH48" s="19"/>
      <c r="IEI48" s="19"/>
      <c r="IEJ48" s="19"/>
      <c r="IEK48" s="19"/>
      <c r="IEL48" s="19"/>
      <c r="IEM48" s="19"/>
      <c r="IEN48" s="19"/>
      <c r="IEO48" s="19"/>
      <c r="IEP48" s="19"/>
      <c r="IEQ48" s="19"/>
      <c r="IER48" s="19"/>
      <c r="IES48" s="19"/>
      <c r="IET48" s="19"/>
      <c r="IEU48" s="19"/>
      <c r="IEV48" s="19"/>
      <c r="IEW48" s="19"/>
      <c r="IEX48" s="19"/>
      <c r="IEY48" s="19"/>
      <c r="IEZ48" s="19"/>
      <c r="IFA48" s="19"/>
      <c r="IFB48" s="19"/>
      <c r="IFC48" s="19"/>
      <c r="IFD48" s="19"/>
      <c r="IFE48" s="19"/>
      <c r="IFF48" s="19"/>
      <c r="IFG48" s="19"/>
      <c r="IFH48" s="19"/>
      <c r="IFI48" s="19"/>
      <c r="IFJ48" s="19"/>
      <c r="IFK48" s="19"/>
      <c r="IFL48" s="19"/>
      <c r="IFM48" s="19"/>
      <c r="IFN48" s="19"/>
      <c r="IFO48" s="19"/>
      <c r="IFP48" s="19"/>
      <c r="IFQ48" s="19"/>
      <c r="IFR48" s="19"/>
      <c r="IFS48" s="19"/>
      <c r="IFT48" s="19"/>
      <c r="IFU48" s="19"/>
      <c r="IFV48" s="19"/>
      <c r="IFW48" s="19"/>
      <c r="IFX48" s="19"/>
      <c r="IFY48" s="19"/>
      <c r="IFZ48" s="19"/>
      <c r="IGA48" s="19"/>
      <c r="IGB48" s="19"/>
      <c r="IGC48" s="19"/>
      <c r="IGD48" s="19"/>
      <c r="IGE48" s="19"/>
      <c r="IGF48" s="19"/>
      <c r="IGG48" s="19"/>
      <c r="IGH48" s="19"/>
      <c r="IGI48" s="19"/>
      <c r="IGJ48" s="19"/>
      <c r="IGK48" s="19"/>
      <c r="IGL48" s="19"/>
      <c r="IGM48" s="19"/>
      <c r="IGN48" s="19"/>
      <c r="IGO48" s="19"/>
      <c r="IGP48" s="19"/>
      <c r="IGQ48" s="19"/>
      <c r="IGR48" s="19"/>
      <c r="IGS48" s="19"/>
      <c r="IGT48" s="19"/>
      <c r="IGU48" s="19"/>
      <c r="IGV48" s="19"/>
      <c r="IGW48" s="19"/>
      <c r="IGX48" s="19"/>
      <c r="IGY48" s="19"/>
      <c r="IGZ48" s="19"/>
      <c r="IHA48" s="19"/>
      <c r="IHB48" s="19"/>
      <c r="IHC48" s="19"/>
      <c r="IHD48" s="19"/>
      <c r="IHE48" s="19"/>
      <c r="IHF48" s="19"/>
      <c r="IHG48" s="19"/>
      <c r="IHH48" s="19"/>
      <c r="IHI48" s="19"/>
      <c r="IHJ48" s="19"/>
      <c r="IHK48" s="19"/>
      <c r="IHL48" s="19"/>
      <c r="IHM48" s="19"/>
      <c r="IHN48" s="19"/>
      <c r="IHO48" s="19"/>
      <c r="IHP48" s="19"/>
      <c r="IHQ48" s="19"/>
      <c r="IHR48" s="19"/>
      <c r="IHS48" s="19"/>
      <c r="IHT48" s="19"/>
      <c r="IHU48" s="19"/>
      <c r="IHV48" s="19"/>
      <c r="IHW48" s="19"/>
      <c r="IHX48" s="19"/>
      <c r="IHY48" s="19"/>
      <c r="IHZ48" s="19"/>
      <c r="IIA48" s="19"/>
      <c r="IIB48" s="19"/>
      <c r="IIC48" s="19"/>
      <c r="IID48" s="19"/>
      <c r="IIE48" s="19"/>
      <c r="IIF48" s="19"/>
      <c r="IIG48" s="19"/>
      <c r="IIH48" s="19"/>
      <c r="III48" s="19"/>
      <c r="IIJ48" s="19"/>
      <c r="IIK48" s="19"/>
      <c r="IIL48" s="19"/>
      <c r="IIM48" s="19"/>
      <c r="IIN48" s="19"/>
      <c r="IIO48" s="19"/>
      <c r="IIP48" s="19"/>
      <c r="IIQ48" s="19"/>
      <c r="IIR48" s="19"/>
      <c r="IIS48" s="19"/>
      <c r="IIT48" s="19"/>
      <c r="IIU48" s="19"/>
      <c r="IIV48" s="19"/>
      <c r="IIW48" s="19"/>
      <c r="IIX48" s="19"/>
      <c r="IIY48" s="19"/>
      <c r="IIZ48" s="19"/>
      <c r="IJA48" s="19"/>
      <c r="IJB48" s="19"/>
      <c r="IJC48" s="19"/>
      <c r="IJD48" s="19"/>
      <c r="IJE48" s="19"/>
      <c r="IJF48" s="19"/>
      <c r="IJG48" s="19"/>
      <c r="IJH48" s="19"/>
      <c r="IJI48" s="19"/>
      <c r="IJJ48" s="19"/>
      <c r="IJK48" s="19"/>
      <c r="IJL48" s="19"/>
      <c r="IJM48" s="19"/>
      <c r="IJN48" s="19"/>
      <c r="IJO48" s="19"/>
      <c r="IJP48" s="19"/>
      <c r="IJQ48" s="19"/>
      <c r="IJR48" s="19"/>
      <c r="IJS48" s="19"/>
      <c r="IJT48" s="19"/>
      <c r="IJU48" s="19"/>
      <c r="IJV48" s="19"/>
      <c r="IJW48" s="19"/>
      <c r="IJX48" s="19"/>
      <c r="IJY48" s="19"/>
      <c r="IJZ48" s="19"/>
      <c r="IKA48" s="19"/>
      <c r="IKB48" s="19"/>
      <c r="IKC48" s="19"/>
      <c r="IKD48" s="19"/>
      <c r="IKE48" s="19"/>
      <c r="IKF48" s="19"/>
      <c r="IKG48" s="19"/>
      <c r="IKH48" s="19"/>
      <c r="IKI48" s="19"/>
      <c r="IKJ48" s="19"/>
      <c r="IKK48" s="19"/>
      <c r="IKL48" s="19"/>
      <c r="IKM48" s="19"/>
      <c r="IKN48" s="19"/>
      <c r="IKO48" s="19"/>
      <c r="IKP48" s="19"/>
      <c r="IKQ48" s="19"/>
      <c r="IKR48" s="19"/>
      <c r="IKS48" s="19"/>
      <c r="IKT48" s="19"/>
      <c r="IKU48" s="19"/>
      <c r="IKV48" s="19"/>
      <c r="IKW48" s="19"/>
      <c r="IKX48" s="19"/>
      <c r="IKY48" s="19"/>
      <c r="IKZ48" s="19"/>
      <c r="ILA48" s="19"/>
      <c r="ILB48" s="19"/>
      <c r="ILC48" s="19"/>
      <c r="ILD48" s="19"/>
      <c r="ILE48" s="19"/>
      <c r="ILF48" s="19"/>
      <c r="ILG48" s="19"/>
      <c r="ILH48" s="19"/>
      <c r="ILI48" s="19"/>
      <c r="ILJ48" s="19"/>
      <c r="ILK48" s="19"/>
      <c r="ILL48" s="19"/>
      <c r="ILM48" s="19"/>
      <c r="ILN48" s="19"/>
      <c r="ILO48" s="19"/>
      <c r="ILP48" s="19"/>
      <c r="ILQ48" s="19"/>
      <c r="ILR48" s="19"/>
      <c r="ILS48" s="19"/>
      <c r="ILT48" s="19"/>
      <c r="ILU48" s="19"/>
      <c r="ILV48" s="19"/>
      <c r="ILW48" s="19"/>
      <c r="ILX48" s="19"/>
      <c r="ILY48" s="19"/>
      <c r="ILZ48" s="19"/>
      <c r="IMA48" s="19"/>
      <c r="IMB48" s="19"/>
      <c r="IMC48" s="19"/>
      <c r="IMD48" s="19"/>
      <c r="IME48" s="19"/>
      <c r="IMF48" s="19"/>
      <c r="IMG48" s="19"/>
      <c r="IMH48" s="19"/>
      <c r="IMI48" s="19"/>
      <c r="IMJ48" s="19"/>
      <c r="IMK48" s="19"/>
      <c r="IML48" s="19"/>
      <c r="IMM48" s="19"/>
      <c r="IMN48" s="19"/>
      <c r="IMO48" s="19"/>
      <c r="IMP48" s="19"/>
      <c r="IMQ48" s="19"/>
      <c r="IMR48" s="19"/>
      <c r="IMS48" s="19"/>
      <c r="IMT48" s="19"/>
      <c r="IMU48" s="19"/>
      <c r="IMV48" s="19"/>
      <c r="IMW48" s="19"/>
      <c r="IMX48" s="19"/>
      <c r="IMY48" s="19"/>
      <c r="IMZ48" s="19"/>
      <c r="INA48" s="19"/>
      <c r="INB48" s="19"/>
      <c r="INC48" s="19"/>
      <c r="IND48" s="19"/>
      <c r="INE48" s="19"/>
      <c r="INF48" s="19"/>
      <c r="ING48" s="19"/>
      <c r="INH48" s="19"/>
      <c r="INI48" s="19"/>
      <c r="INJ48" s="19"/>
      <c r="INK48" s="19"/>
      <c r="INL48" s="19"/>
      <c r="INM48" s="19"/>
      <c r="INN48" s="19"/>
      <c r="INO48" s="19"/>
      <c r="INP48" s="19"/>
      <c r="INQ48" s="19"/>
      <c r="INR48" s="19"/>
      <c r="INS48" s="19"/>
      <c r="INT48" s="19"/>
      <c r="INU48" s="19"/>
      <c r="INV48" s="19"/>
      <c r="INW48" s="19"/>
      <c r="INX48" s="19"/>
      <c r="INY48" s="19"/>
      <c r="INZ48" s="19"/>
      <c r="IOA48" s="19"/>
      <c r="IOB48" s="19"/>
      <c r="IOC48" s="19"/>
      <c r="IOD48" s="19"/>
      <c r="IOE48" s="19"/>
      <c r="IOF48" s="19"/>
      <c r="IOG48" s="19"/>
      <c r="IOH48" s="19"/>
      <c r="IOI48" s="19"/>
      <c r="IOJ48" s="19"/>
      <c r="IOK48" s="19"/>
      <c r="IOL48" s="19"/>
      <c r="IOM48" s="19"/>
      <c r="ION48" s="19"/>
      <c r="IOO48" s="19"/>
      <c r="IOP48" s="19"/>
      <c r="IOQ48" s="19"/>
      <c r="IOR48" s="19"/>
      <c r="IOS48" s="19"/>
      <c r="IOT48" s="19"/>
      <c r="IOU48" s="19"/>
      <c r="IOV48" s="19"/>
      <c r="IOW48" s="19"/>
      <c r="IOX48" s="19"/>
      <c r="IOY48" s="19"/>
      <c r="IOZ48" s="19"/>
      <c r="IPA48" s="19"/>
      <c r="IPB48" s="19"/>
      <c r="IPC48" s="19"/>
      <c r="IPD48" s="19"/>
      <c r="IPE48" s="19"/>
      <c r="IPF48" s="19"/>
      <c r="IPG48" s="19"/>
      <c r="IPH48" s="19"/>
      <c r="IPI48" s="19"/>
      <c r="IPJ48" s="19"/>
      <c r="IPK48" s="19"/>
      <c r="IPL48" s="19"/>
      <c r="IPM48" s="19"/>
      <c r="IPN48" s="19"/>
      <c r="IPO48" s="19"/>
      <c r="IPP48" s="19"/>
      <c r="IPQ48" s="19"/>
      <c r="IPR48" s="19"/>
      <c r="IPS48" s="19"/>
      <c r="IPT48" s="19"/>
      <c r="IPU48" s="19"/>
      <c r="IPV48" s="19"/>
      <c r="IPW48" s="19"/>
      <c r="IPX48" s="19"/>
      <c r="IPY48" s="19"/>
      <c r="IPZ48" s="19"/>
      <c r="IQA48" s="19"/>
      <c r="IQB48" s="19"/>
      <c r="IQC48" s="19"/>
      <c r="IQD48" s="19"/>
      <c r="IQE48" s="19"/>
      <c r="IQF48" s="19"/>
      <c r="IQG48" s="19"/>
      <c r="IQH48" s="19"/>
      <c r="IQI48" s="19"/>
      <c r="IQJ48" s="19"/>
      <c r="IQK48" s="19"/>
      <c r="IQL48" s="19"/>
      <c r="IQM48" s="19"/>
      <c r="IQN48" s="19"/>
      <c r="IQO48" s="19"/>
      <c r="IQP48" s="19"/>
      <c r="IQQ48" s="19"/>
      <c r="IQR48" s="19"/>
      <c r="IQS48" s="19"/>
      <c r="IQT48" s="19"/>
      <c r="IQU48" s="19"/>
      <c r="IQV48" s="19"/>
      <c r="IQW48" s="19"/>
      <c r="IQX48" s="19"/>
      <c r="IQY48" s="19"/>
      <c r="IQZ48" s="19"/>
      <c r="IRA48" s="19"/>
      <c r="IRB48" s="19"/>
      <c r="IRC48" s="19"/>
      <c r="IRD48" s="19"/>
      <c r="IRE48" s="19"/>
      <c r="IRF48" s="19"/>
      <c r="IRG48" s="19"/>
      <c r="IRH48" s="19"/>
      <c r="IRI48" s="19"/>
      <c r="IRJ48" s="19"/>
      <c r="IRK48" s="19"/>
      <c r="IRL48" s="19"/>
      <c r="IRM48" s="19"/>
      <c r="IRN48" s="19"/>
      <c r="IRO48" s="19"/>
      <c r="IRP48" s="19"/>
      <c r="IRQ48" s="19"/>
      <c r="IRR48" s="19"/>
      <c r="IRS48" s="19"/>
      <c r="IRT48" s="19"/>
      <c r="IRU48" s="19"/>
      <c r="IRV48" s="19"/>
      <c r="IRW48" s="19"/>
      <c r="IRX48" s="19"/>
      <c r="IRY48" s="19"/>
      <c r="IRZ48" s="19"/>
      <c r="ISA48" s="19"/>
      <c r="ISB48" s="19"/>
      <c r="ISC48" s="19"/>
      <c r="ISD48" s="19"/>
      <c r="ISE48" s="19"/>
      <c r="ISF48" s="19"/>
      <c r="ISG48" s="19"/>
      <c r="ISH48" s="19"/>
      <c r="ISI48" s="19"/>
      <c r="ISJ48" s="19"/>
      <c r="ISK48" s="19"/>
      <c r="ISL48" s="19"/>
      <c r="ISM48" s="19"/>
      <c r="ISN48" s="19"/>
      <c r="ISO48" s="19"/>
      <c r="ISP48" s="19"/>
      <c r="ISQ48" s="19"/>
      <c r="ISR48" s="19"/>
      <c r="ISS48" s="19"/>
      <c r="IST48" s="19"/>
      <c r="ISU48" s="19"/>
      <c r="ISV48" s="19"/>
      <c r="ISW48" s="19"/>
      <c r="ISX48" s="19"/>
      <c r="ISY48" s="19"/>
      <c r="ISZ48" s="19"/>
      <c r="ITA48" s="19"/>
      <c r="ITB48" s="19"/>
      <c r="ITC48" s="19"/>
      <c r="ITD48" s="19"/>
      <c r="ITE48" s="19"/>
      <c r="ITF48" s="19"/>
      <c r="ITG48" s="19"/>
      <c r="ITH48" s="19"/>
      <c r="ITI48" s="19"/>
      <c r="ITJ48" s="19"/>
      <c r="ITK48" s="19"/>
      <c r="ITL48" s="19"/>
      <c r="ITM48" s="19"/>
      <c r="ITN48" s="19"/>
      <c r="ITO48" s="19"/>
      <c r="ITP48" s="19"/>
      <c r="ITQ48" s="19"/>
      <c r="ITR48" s="19"/>
      <c r="ITS48" s="19"/>
      <c r="ITT48" s="19"/>
      <c r="ITU48" s="19"/>
      <c r="ITV48" s="19"/>
      <c r="ITW48" s="19"/>
      <c r="ITX48" s="19"/>
      <c r="ITY48" s="19"/>
      <c r="ITZ48" s="19"/>
      <c r="IUA48" s="19"/>
      <c r="IUB48" s="19"/>
      <c r="IUC48" s="19"/>
      <c r="IUD48" s="19"/>
      <c r="IUE48" s="19"/>
      <c r="IUF48" s="19"/>
      <c r="IUG48" s="19"/>
      <c r="IUH48" s="19"/>
      <c r="IUI48" s="19"/>
      <c r="IUJ48" s="19"/>
      <c r="IUK48" s="19"/>
      <c r="IUL48" s="19"/>
      <c r="IUM48" s="19"/>
      <c r="IUN48" s="19"/>
      <c r="IUO48" s="19"/>
      <c r="IUP48" s="19"/>
      <c r="IUQ48" s="19"/>
      <c r="IUR48" s="19"/>
      <c r="IUS48" s="19"/>
      <c r="IUT48" s="19"/>
      <c r="IUU48" s="19"/>
      <c r="IUV48" s="19"/>
      <c r="IUW48" s="19"/>
      <c r="IUX48" s="19"/>
      <c r="IUY48" s="19"/>
      <c r="IUZ48" s="19"/>
      <c r="IVA48" s="19"/>
      <c r="IVB48" s="19"/>
      <c r="IVC48" s="19"/>
      <c r="IVD48" s="19"/>
      <c r="IVE48" s="19"/>
      <c r="IVF48" s="19"/>
      <c r="IVG48" s="19"/>
      <c r="IVH48" s="19"/>
      <c r="IVI48" s="19"/>
      <c r="IVJ48" s="19"/>
      <c r="IVK48" s="19"/>
      <c r="IVL48" s="19"/>
      <c r="IVM48" s="19"/>
      <c r="IVN48" s="19"/>
      <c r="IVO48" s="19"/>
      <c r="IVP48" s="19"/>
      <c r="IVQ48" s="19"/>
      <c r="IVR48" s="19"/>
      <c r="IVS48" s="19"/>
      <c r="IVT48" s="19"/>
      <c r="IVU48" s="19"/>
      <c r="IVV48" s="19"/>
      <c r="IVW48" s="19"/>
      <c r="IVX48" s="19"/>
      <c r="IVY48" s="19"/>
      <c r="IVZ48" s="19"/>
      <c r="IWA48" s="19"/>
      <c r="IWB48" s="19"/>
      <c r="IWC48" s="19"/>
      <c r="IWD48" s="19"/>
      <c r="IWE48" s="19"/>
      <c r="IWF48" s="19"/>
      <c r="IWG48" s="19"/>
      <c r="IWH48" s="19"/>
      <c r="IWI48" s="19"/>
      <c r="IWJ48" s="19"/>
      <c r="IWK48" s="19"/>
      <c r="IWL48" s="19"/>
      <c r="IWM48" s="19"/>
      <c r="IWN48" s="19"/>
      <c r="IWO48" s="19"/>
      <c r="IWP48" s="19"/>
      <c r="IWQ48" s="19"/>
      <c r="IWR48" s="19"/>
      <c r="IWS48" s="19"/>
      <c r="IWT48" s="19"/>
      <c r="IWU48" s="19"/>
      <c r="IWV48" s="19"/>
      <c r="IWW48" s="19"/>
      <c r="IWX48" s="19"/>
      <c r="IWY48" s="19"/>
      <c r="IWZ48" s="19"/>
      <c r="IXA48" s="19"/>
      <c r="IXB48" s="19"/>
      <c r="IXC48" s="19"/>
      <c r="IXD48" s="19"/>
      <c r="IXE48" s="19"/>
      <c r="IXF48" s="19"/>
      <c r="IXG48" s="19"/>
      <c r="IXH48" s="19"/>
      <c r="IXI48" s="19"/>
      <c r="IXJ48" s="19"/>
      <c r="IXK48" s="19"/>
      <c r="IXL48" s="19"/>
      <c r="IXM48" s="19"/>
      <c r="IXN48" s="19"/>
      <c r="IXO48" s="19"/>
      <c r="IXP48" s="19"/>
      <c r="IXQ48" s="19"/>
      <c r="IXR48" s="19"/>
      <c r="IXS48" s="19"/>
      <c r="IXT48" s="19"/>
      <c r="IXU48" s="19"/>
      <c r="IXV48" s="19"/>
      <c r="IXW48" s="19"/>
      <c r="IXX48" s="19"/>
      <c r="IXY48" s="19"/>
      <c r="IXZ48" s="19"/>
      <c r="IYA48" s="19"/>
      <c r="IYB48" s="19"/>
      <c r="IYC48" s="19"/>
      <c r="IYD48" s="19"/>
      <c r="IYE48" s="19"/>
      <c r="IYF48" s="19"/>
      <c r="IYG48" s="19"/>
      <c r="IYH48" s="19"/>
      <c r="IYI48" s="19"/>
      <c r="IYJ48" s="19"/>
      <c r="IYK48" s="19"/>
      <c r="IYL48" s="19"/>
      <c r="IYM48" s="19"/>
      <c r="IYN48" s="19"/>
      <c r="IYO48" s="19"/>
      <c r="IYP48" s="19"/>
      <c r="IYQ48" s="19"/>
      <c r="IYR48" s="19"/>
      <c r="IYS48" s="19"/>
      <c r="IYT48" s="19"/>
      <c r="IYU48" s="19"/>
      <c r="IYV48" s="19"/>
      <c r="IYW48" s="19"/>
      <c r="IYX48" s="19"/>
      <c r="IYY48" s="19"/>
      <c r="IYZ48" s="19"/>
      <c r="IZA48" s="19"/>
      <c r="IZB48" s="19"/>
      <c r="IZC48" s="19"/>
      <c r="IZD48" s="19"/>
      <c r="IZE48" s="19"/>
      <c r="IZF48" s="19"/>
      <c r="IZG48" s="19"/>
      <c r="IZH48" s="19"/>
      <c r="IZI48" s="19"/>
      <c r="IZJ48" s="19"/>
      <c r="IZK48" s="19"/>
      <c r="IZL48" s="19"/>
      <c r="IZM48" s="19"/>
      <c r="IZN48" s="19"/>
      <c r="IZO48" s="19"/>
      <c r="IZP48" s="19"/>
      <c r="IZQ48" s="19"/>
      <c r="IZR48" s="19"/>
      <c r="IZS48" s="19"/>
      <c r="IZT48" s="19"/>
      <c r="IZU48" s="19"/>
      <c r="IZV48" s="19"/>
      <c r="IZW48" s="19"/>
      <c r="IZX48" s="19"/>
      <c r="IZY48" s="19"/>
      <c r="IZZ48" s="19"/>
      <c r="JAA48" s="19"/>
      <c r="JAB48" s="19"/>
      <c r="JAC48" s="19"/>
      <c r="JAD48" s="19"/>
      <c r="JAE48" s="19"/>
      <c r="JAF48" s="19"/>
      <c r="JAG48" s="19"/>
      <c r="JAH48" s="19"/>
      <c r="JAI48" s="19"/>
      <c r="JAJ48" s="19"/>
      <c r="JAK48" s="19"/>
      <c r="JAL48" s="19"/>
      <c r="JAM48" s="19"/>
      <c r="JAN48" s="19"/>
      <c r="JAO48" s="19"/>
      <c r="JAP48" s="19"/>
      <c r="JAQ48" s="19"/>
      <c r="JAR48" s="19"/>
      <c r="JAS48" s="19"/>
      <c r="JAT48" s="19"/>
      <c r="JAU48" s="19"/>
      <c r="JAV48" s="19"/>
      <c r="JAW48" s="19"/>
      <c r="JAX48" s="19"/>
      <c r="JAY48" s="19"/>
      <c r="JAZ48" s="19"/>
      <c r="JBA48" s="19"/>
      <c r="JBB48" s="19"/>
      <c r="JBC48" s="19"/>
      <c r="JBD48" s="19"/>
      <c r="JBE48" s="19"/>
      <c r="JBF48" s="19"/>
      <c r="JBG48" s="19"/>
      <c r="JBH48" s="19"/>
      <c r="JBI48" s="19"/>
      <c r="JBJ48" s="19"/>
      <c r="JBK48" s="19"/>
      <c r="JBL48" s="19"/>
      <c r="JBM48" s="19"/>
      <c r="JBN48" s="19"/>
      <c r="JBO48" s="19"/>
      <c r="JBP48" s="19"/>
      <c r="JBQ48" s="19"/>
      <c r="JBR48" s="19"/>
      <c r="JBS48" s="19"/>
      <c r="JBT48" s="19"/>
      <c r="JBU48" s="19"/>
      <c r="JBV48" s="19"/>
      <c r="JBW48" s="19"/>
      <c r="JBX48" s="19"/>
      <c r="JBY48" s="19"/>
      <c r="JBZ48" s="19"/>
      <c r="JCA48" s="19"/>
      <c r="JCB48" s="19"/>
      <c r="JCC48" s="19"/>
      <c r="JCD48" s="19"/>
      <c r="JCE48" s="19"/>
      <c r="JCF48" s="19"/>
      <c r="JCG48" s="19"/>
      <c r="JCH48" s="19"/>
      <c r="JCI48" s="19"/>
      <c r="JCJ48" s="19"/>
      <c r="JCK48" s="19"/>
      <c r="JCL48" s="19"/>
      <c r="JCM48" s="19"/>
      <c r="JCN48" s="19"/>
      <c r="JCO48" s="19"/>
      <c r="JCP48" s="19"/>
      <c r="JCQ48" s="19"/>
      <c r="JCR48" s="19"/>
      <c r="JCS48" s="19"/>
      <c r="JCT48" s="19"/>
      <c r="JCU48" s="19"/>
      <c r="JCV48" s="19"/>
      <c r="JCW48" s="19"/>
      <c r="JCX48" s="19"/>
      <c r="JCY48" s="19"/>
      <c r="JCZ48" s="19"/>
      <c r="JDA48" s="19"/>
      <c r="JDB48" s="19"/>
      <c r="JDC48" s="19"/>
      <c r="JDD48" s="19"/>
      <c r="JDE48" s="19"/>
      <c r="JDF48" s="19"/>
      <c r="JDG48" s="19"/>
      <c r="JDH48" s="19"/>
      <c r="JDI48" s="19"/>
      <c r="JDJ48" s="19"/>
      <c r="JDK48" s="19"/>
      <c r="JDL48" s="19"/>
      <c r="JDM48" s="19"/>
      <c r="JDN48" s="19"/>
      <c r="JDO48" s="19"/>
      <c r="JDP48" s="19"/>
      <c r="JDQ48" s="19"/>
      <c r="JDR48" s="19"/>
      <c r="JDS48" s="19"/>
      <c r="JDT48" s="19"/>
      <c r="JDU48" s="19"/>
      <c r="JDV48" s="19"/>
      <c r="JDW48" s="19"/>
      <c r="JDX48" s="19"/>
      <c r="JDY48" s="19"/>
      <c r="JDZ48" s="19"/>
      <c r="JEA48" s="19"/>
      <c r="JEB48" s="19"/>
      <c r="JEC48" s="19"/>
      <c r="JED48" s="19"/>
      <c r="JEE48" s="19"/>
      <c r="JEF48" s="19"/>
      <c r="JEG48" s="19"/>
      <c r="JEH48" s="19"/>
      <c r="JEI48" s="19"/>
      <c r="JEJ48" s="19"/>
      <c r="JEK48" s="19"/>
      <c r="JEL48" s="19"/>
      <c r="JEM48" s="19"/>
      <c r="JEN48" s="19"/>
      <c r="JEO48" s="19"/>
      <c r="JEP48" s="19"/>
      <c r="JEQ48" s="19"/>
      <c r="JER48" s="19"/>
      <c r="JES48" s="19"/>
      <c r="JET48" s="19"/>
      <c r="JEU48" s="19"/>
      <c r="JEV48" s="19"/>
      <c r="JEW48" s="19"/>
      <c r="JEX48" s="19"/>
      <c r="JEY48" s="19"/>
      <c r="JEZ48" s="19"/>
      <c r="JFA48" s="19"/>
      <c r="JFB48" s="19"/>
      <c r="JFC48" s="19"/>
      <c r="JFD48" s="19"/>
      <c r="JFE48" s="19"/>
      <c r="JFF48" s="19"/>
      <c r="JFG48" s="19"/>
      <c r="JFH48" s="19"/>
      <c r="JFI48" s="19"/>
      <c r="JFJ48" s="19"/>
      <c r="JFK48" s="19"/>
      <c r="JFL48" s="19"/>
      <c r="JFM48" s="19"/>
      <c r="JFN48" s="19"/>
      <c r="JFO48" s="19"/>
      <c r="JFP48" s="19"/>
      <c r="JFQ48" s="19"/>
      <c r="JFR48" s="19"/>
      <c r="JFS48" s="19"/>
      <c r="JFT48" s="19"/>
      <c r="JFU48" s="19"/>
      <c r="JFV48" s="19"/>
      <c r="JFW48" s="19"/>
      <c r="JFX48" s="19"/>
      <c r="JFY48" s="19"/>
      <c r="JFZ48" s="19"/>
      <c r="JGA48" s="19"/>
      <c r="JGB48" s="19"/>
      <c r="JGC48" s="19"/>
      <c r="JGD48" s="19"/>
      <c r="JGE48" s="19"/>
      <c r="JGF48" s="19"/>
      <c r="JGG48" s="19"/>
      <c r="JGH48" s="19"/>
      <c r="JGI48" s="19"/>
      <c r="JGJ48" s="19"/>
      <c r="JGK48" s="19"/>
      <c r="JGL48" s="19"/>
      <c r="JGM48" s="19"/>
      <c r="JGN48" s="19"/>
      <c r="JGO48" s="19"/>
      <c r="JGP48" s="19"/>
      <c r="JGQ48" s="19"/>
      <c r="JGR48" s="19"/>
      <c r="JGS48" s="19"/>
      <c r="JGT48" s="19"/>
      <c r="JGU48" s="19"/>
      <c r="JGV48" s="19"/>
      <c r="JGW48" s="19"/>
      <c r="JGX48" s="19"/>
      <c r="JGY48" s="19"/>
      <c r="JGZ48" s="19"/>
      <c r="JHA48" s="19"/>
      <c r="JHB48" s="19"/>
      <c r="JHC48" s="19"/>
      <c r="JHD48" s="19"/>
      <c r="JHE48" s="19"/>
      <c r="JHF48" s="19"/>
      <c r="JHG48" s="19"/>
      <c r="JHH48" s="19"/>
      <c r="JHI48" s="19"/>
      <c r="JHJ48" s="19"/>
      <c r="JHK48" s="19"/>
      <c r="JHL48" s="19"/>
      <c r="JHM48" s="19"/>
      <c r="JHN48" s="19"/>
      <c r="JHO48" s="19"/>
      <c r="JHP48" s="19"/>
      <c r="JHQ48" s="19"/>
      <c r="JHR48" s="19"/>
      <c r="JHS48" s="19"/>
      <c r="JHT48" s="19"/>
      <c r="JHU48" s="19"/>
      <c r="JHV48" s="19"/>
      <c r="JHW48" s="19"/>
      <c r="JHX48" s="19"/>
      <c r="JHY48" s="19"/>
      <c r="JHZ48" s="19"/>
      <c r="JIA48" s="19"/>
      <c r="JIB48" s="19"/>
      <c r="JIC48" s="19"/>
      <c r="JID48" s="19"/>
      <c r="JIE48" s="19"/>
      <c r="JIF48" s="19"/>
      <c r="JIG48" s="19"/>
      <c r="JIH48" s="19"/>
      <c r="JII48" s="19"/>
      <c r="JIJ48" s="19"/>
      <c r="JIK48" s="19"/>
      <c r="JIL48" s="19"/>
      <c r="JIM48" s="19"/>
      <c r="JIN48" s="19"/>
      <c r="JIO48" s="19"/>
      <c r="JIP48" s="19"/>
      <c r="JIQ48" s="19"/>
      <c r="JIR48" s="19"/>
      <c r="JIS48" s="19"/>
      <c r="JIT48" s="19"/>
      <c r="JIU48" s="19"/>
      <c r="JIV48" s="19"/>
      <c r="JIW48" s="19"/>
      <c r="JIX48" s="19"/>
      <c r="JIY48" s="19"/>
      <c r="JIZ48" s="19"/>
      <c r="JJA48" s="19"/>
      <c r="JJB48" s="19"/>
      <c r="JJC48" s="19"/>
      <c r="JJD48" s="19"/>
      <c r="JJE48" s="19"/>
      <c r="JJF48" s="19"/>
      <c r="JJG48" s="19"/>
      <c r="JJH48" s="19"/>
      <c r="JJI48" s="19"/>
      <c r="JJJ48" s="19"/>
      <c r="JJK48" s="19"/>
      <c r="JJL48" s="19"/>
      <c r="JJM48" s="19"/>
      <c r="JJN48" s="19"/>
      <c r="JJO48" s="19"/>
      <c r="JJP48" s="19"/>
      <c r="JJQ48" s="19"/>
      <c r="JJR48" s="19"/>
      <c r="JJS48" s="19"/>
      <c r="JJT48" s="19"/>
      <c r="JJU48" s="19"/>
      <c r="JJV48" s="19"/>
      <c r="JJW48" s="19"/>
      <c r="JJX48" s="19"/>
      <c r="JJY48" s="19"/>
      <c r="JJZ48" s="19"/>
      <c r="JKA48" s="19"/>
      <c r="JKB48" s="19"/>
      <c r="JKC48" s="19"/>
      <c r="JKD48" s="19"/>
      <c r="JKE48" s="19"/>
      <c r="JKF48" s="19"/>
      <c r="JKG48" s="19"/>
      <c r="JKH48" s="19"/>
      <c r="JKI48" s="19"/>
      <c r="JKJ48" s="19"/>
      <c r="JKK48" s="19"/>
      <c r="JKL48" s="19"/>
      <c r="JKM48" s="19"/>
      <c r="JKN48" s="19"/>
      <c r="JKO48" s="19"/>
      <c r="JKP48" s="19"/>
      <c r="JKQ48" s="19"/>
      <c r="JKR48" s="19"/>
      <c r="JKS48" s="19"/>
      <c r="JKT48" s="19"/>
      <c r="JKU48" s="19"/>
      <c r="JKV48" s="19"/>
      <c r="JKW48" s="19"/>
      <c r="JKX48" s="19"/>
      <c r="JKY48" s="19"/>
      <c r="JKZ48" s="19"/>
      <c r="JLA48" s="19"/>
      <c r="JLB48" s="19"/>
      <c r="JLC48" s="19"/>
      <c r="JLD48" s="19"/>
      <c r="JLE48" s="19"/>
      <c r="JLF48" s="19"/>
      <c r="JLG48" s="19"/>
      <c r="JLH48" s="19"/>
      <c r="JLI48" s="19"/>
      <c r="JLJ48" s="19"/>
      <c r="JLK48" s="19"/>
      <c r="JLL48" s="19"/>
      <c r="JLM48" s="19"/>
      <c r="JLN48" s="19"/>
      <c r="JLO48" s="19"/>
      <c r="JLP48" s="19"/>
      <c r="JLQ48" s="19"/>
      <c r="JLR48" s="19"/>
      <c r="JLS48" s="19"/>
      <c r="JLT48" s="19"/>
      <c r="JLU48" s="19"/>
      <c r="JLV48" s="19"/>
      <c r="JLW48" s="19"/>
      <c r="JLX48" s="19"/>
      <c r="JLY48" s="19"/>
      <c r="JLZ48" s="19"/>
      <c r="JMA48" s="19"/>
      <c r="JMB48" s="19"/>
      <c r="JMC48" s="19"/>
      <c r="JMD48" s="19"/>
      <c r="JME48" s="19"/>
      <c r="JMF48" s="19"/>
      <c r="JMG48" s="19"/>
      <c r="JMH48" s="19"/>
      <c r="JMI48" s="19"/>
      <c r="JMJ48" s="19"/>
      <c r="JMK48" s="19"/>
      <c r="JML48" s="19"/>
      <c r="JMM48" s="19"/>
      <c r="JMN48" s="19"/>
      <c r="JMO48" s="19"/>
      <c r="JMP48" s="19"/>
      <c r="JMQ48" s="19"/>
      <c r="JMR48" s="19"/>
      <c r="JMS48" s="19"/>
      <c r="JMT48" s="19"/>
      <c r="JMU48" s="19"/>
      <c r="JMV48" s="19"/>
      <c r="JMW48" s="19"/>
      <c r="JMX48" s="19"/>
      <c r="JMY48" s="19"/>
      <c r="JMZ48" s="19"/>
      <c r="JNA48" s="19"/>
      <c r="JNB48" s="19"/>
      <c r="JNC48" s="19"/>
      <c r="JND48" s="19"/>
      <c r="JNE48" s="19"/>
      <c r="JNF48" s="19"/>
      <c r="JNG48" s="19"/>
      <c r="JNH48" s="19"/>
      <c r="JNI48" s="19"/>
      <c r="JNJ48" s="19"/>
      <c r="JNK48" s="19"/>
      <c r="JNL48" s="19"/>
      <c r="JNM48" s="19"/>
      <c r="JNN48" s="19"/>
      <c r="JNO48" s="19"/>
      <c r="JNP48" s="19"/>
      <c r="JNQ48" s="19"/>
      <c r="JNR48" s="19"/>
      <c r="JNS48" s="19"/>
      <c r="JNT48" s="19"/>
      <c r="JNU48" s="19"/>
      <c r="JNV48" s="19"/>
      <c r="JNW48" s="19"/>
      <c r="JNX48" s="19"/>
      <c r="JNY48" s="19"/>
      <c r="JNZ48" s="19"/>
      <c r="JOA48" s="19"/>
      <c r="JOB48" s="19"/>
      <c r="JOC48" s="19"/>
      <c r="JOD48" s="19"/>
      <c r="JOE48" s="19"/>
      <c r="JOF48" s="19"/>
      <c r="JOG48" s="19"/>
      <c r="JOH48" s="19"/>
      <c r="JOI48" s="19"/>
      <c r="JOJ48" s="19"/>
      <c r="JOK48" s="19"/>
      <c r="JOL48" s="19"/>
      <c r="JOM48" s="19"/>
      <c r="JON48" s="19"/>
      <c r="JOO48" s="19"/>
      <c r="JOP48" s="19"/>
      <c r="JOQ48" s="19"/>
      <c r="JOR48" s="19"/>
      <c r="JOS48" s="19"/>
      <c r="JOT48" s="19"/>
      <c r="JOU48" s="19"/>
      <c r="JOV48" s="19"/>
      <c r="JOW48" s="19"/>
      <c r="JOX48" s="19"/>
      <c r="JOY48" s="19"/>
      <c r="JOZ48" s="19"/>
      <c r="JPA48" s="19"/>
      <c r="JPB48" s="19"/>
      <c r="JPC48" s="19"/>
      <c r="JPD48" s="19"/>
      <c r="JPE48" s="19"/>
      <c r="JPF48" s="19"/>
      <c r="JPG48" s="19"/>
      <c r="JPH48" s="19"/>
      <c r="JPI48" s="19"/>
      <c r="JPJ48" s="19"/>
      <c r="JPK48" s="19"/>
      <c r="JPL48" s="19"/>
      <c r="JPM48" s="19"/>
      <c r="JPN48" s="19"/>
      <c r="JPO48" s="19"/>
      <c r="JPP48" s="19"/>
      <c r="JPQ48" s="19"/>
      <c r="JPR48" s="19"/>
      <c r="JPS48" s="19"/>
      <c r="JPT48" s="19"/>
      <c r="JPU48" s="19"/>
      <c r="JPV48" s="19"/>
      <c r="JPW48" s="19"/>
      <c r="JPX48" s="19"/>
      <c r="JPY48" s="19"/>
      <c r="JPZ48" s="19"/>
      <c r="JQA48" s="19"/>
      <c r="JQB48" s="19"/>
      <c r="JQC48" s="19"/>
      <c r="JQD48" s="19"/>
      <c r="JQE48" s="19"/>
      <c r="JQF48" s="19"/>
      <c r="JQG48" s="19"/>
      <c r="JQH48" s="19"/>
      <c r="JQI48" s="19"/>
      <c r="JQJ48" s="19"/>
      <c r="JQK48" s="19"/>
      <c r="JQL48" s="19"/>
      <c r="JQM48" s="19"/>
      <c r="JQN48" s="19"/>
      <c r="JQO48" s="19"/>
      <c r="JQP48" s="19"/>
      <c r="JQQ48" s="19"/>
      <c r="JQR48" s="19"/>
      <c r="JQS48" s="19"/>
      <c r="JQT48" s="19"/>
      <c r="JQU48" s="19"/>
      <c r="JQV48" s="19"/>
      <c r="JQW48" s="19"/>
      <c r="JQX48" s="19"/>
      <c r="JQY48" s="19"/>
      <c r="JQZ48" s="19"/>
      <c r="JRA48" s="19"/>
      <c r="JRB48" s="19"/>
      <c r="JRC48" s="19"/>
      <c r="JRD48" s="19"/>
      <c r="JRE48" s="19"/>
      <c r="JRF48" s="19"/>
      <c r="JRG48" s="19"/>
      <c r="JRH48" s="19"/>
      <c r="JRI48" s="19"/>
      <c r="JRJ48" s="19"/>
      <c r="JRK48" s="19"/>
      <c r="JRL48" s="19"/>
      <c r="JRM48" s="19"/>
      <c r="JRN48" s="19"/>
      <c r="JRO48" s="19"/>
      <c r="JRP48" s="19"/>
      <c r="JRQ48" s="19"/>
      <c r="JRR48" s="19"/>
      <c r="JRS48" s="19"/>
      <c r="JRT48" s="19"/>
      <c r="JRU48" s="19"/>
      <c r="JRV48" s="19"/>
      <c r="JRW48" s="19"/>
      <c r="JRX48" s="19"/>
      <c r="JRY48" s="19"/>
      <c r="JRZ48" s="19"/>
      <c r="JSA48" s="19"/>
      <c r="JSB48" s="19"/>
      <c r="JSC48" s="19"/>
      <c r="JSD48" s="19"/>
      <c r="JSE48" s="19"/>
      <c r="JSF48" s="19"/>
      <c r="JSG48" s="19"/>
      <c r="JSH48" s="19"/>
      <c r="JSI48" s="19"/>
      <c r="JSJ48" s="19"/>
      <c r="JSK48" s="19"/>
      <c r="JSL48" s="19"/>
      <c r="JSM48" s="19"/>
      <c r="JSN48" s="19"/>
      <c r="JSO48" s="19"/>
      <c r="JSP48" s="19"/>
      <c r="JSQ48" s="19"/>
      <c r="JSR48" s="19"/>
      <c r="JSS48" s="19"/>
      <c r="JST48" s="19"/>
      <c r="JSU48" s="19"/>
      <c r="JSV48" s="19"/>
      <c r="JSW48" s="19"/>
      <c r="JSX48" s="19"/>
      <c r="JSY48" s="19"/>
      <c r="JSZ48" s="19"/>
      <c r="JTA48" s="19"/>
      <c r="JTB48" s="19"/>
      <c r="JTC48" s="19"/>
      <c r="JTD48" s="19"/>
      <c r="JTE48" s="19"/>
      <c r="JTF48" s="19"/>
      <c r="JTG48" s="19"/>
      <c r="JTH48" s="19"/>
      <c r="JTI48" s="19"/>
      <c r="JTJ48" s="19"/>
      <c r="JTK48" s="19"/>
      <c r="JTL48" s="19"/>
      <c r="JTM48" s="19"/>
      <c r="JTN48" s="19"/>
      <c r="JTO48" s="19"/>
      <c r="JTP48" s="19"/>
      <c r="JTQ48" s="19"/>
      <c r="JTR48" s="19"/>
      <c r="JTS48" s="19"/>
      <c r="JTT48" s="19"/>
      <c r="JTU48" s="19"/>
      <c r="JTV48" s="19"/>
      <c r="JTW48" s="19"/>
      <c r="JTX48" s="19"/>
      <c r="JTY48" s="19"/>
      <c r="JTZ48" s="19"/>
      <c r="JUA48" s="19"/>
      <c r="JUB48" s="19"/>
      <c r="JUC48" s="19"/>
      <c r="JUD48" s="19"/>
      <c r="JUE48" s="19"/>
      <c r="JUF48" s="19"/>
      <c r="JUG48" s="19"/>
      <c r="JUH48" s="19"/>
      <c r="JUI48" s="19"/>
      <c r="JUJ48" s="19"/>
      <c r="JUK48" s="19"/>
      <c r="JUL48" s="19"/>
      <c r="JUM48" s="19"/>
      <c r="JUN48" s="19"/>
      <c r="JUO48" s="19"/>
      <c r="JUP48" s="19"/>
      <c r="JUQ48" s="19"/>
      <c r="JUR48" s="19"/>
      <c r="JUS48" s="19"/>
      <c r="JUT48" s="19"/>
      <c r="JUU48" s="19"/>
      <c r="JUV48" s="19"/>
      <c r="JUW48" s="19"/>
      <c r="JUX48" s="19"/>
      <c r="JUY48" s="19"/>
      <c r="JUZ48" s="19"/>
      <c r="JVA48" s="19"/>
      <c r="JVB48" s="19"/>
      <c r="JVC48" s="19"/>
      <c r="JVD48" s="19"/>
      <c r="JVE48" s="19"/>
      <c r="JVF48" s="19"/>
      <c r="JVG48" s="19"/>
      <c r="JVH48" s="19"/>
      <c r="JVI48" s="19"/>
      <c r="JVJ48" s="19"/>
      <c r="JVK48" s="19"/>
      <c r="JVL48" s="19"/>
      <c r="JVM48" s="19"/>
      <c r="JVN48" s="19"/>
      <c r="JVO48" s="19"/>
      <c r="JVP48" s="19"/>
      <c r="JVQ48" s="19"/>
      <c r="JVR48" s="19"/>
      <c r="JVS48" s="19"/>
      <c r="JVT48" s="19"/>
      <c r="JVU48" s="19"/>
      <c r="JVV48" s="19"/>
      <c r="JVW48" s="19"/>
      <c r="JVX48" s="19"/>
      <c r="JVY48" s="19"/>
      <c r="JVZ48" s="19"/>
      <c r="JWA48" s="19"/>
      <c r="JWB48" s="19"/>
      <c r="JWC48" s="19"/>
      <c r="JWD48" s="19"/>
      <c r="JWE48" s="19"/>
      <c r="JWF48" s="19"/>
      <c r="JWG48" s="19"/>
      <c r="JWH48" s="19"/>
      <c r="JWI48" s="19"/>
      <c r="JWJ48" s="19"/>
      <c r="JWK48" s="19"/>
      <c r="JWL48" s="19"/>
      <c r="JWM48" s="19"/>
      <c r="JWN48" s="19"/>
      <c r="JWO48" s="19"/>
      <c r="JWP48" s="19"/>
      <c r="JWQ48" s="19"/>
      <c r="JWR48" s="19"/>
      <c r="JWS48" s="19"/>
      <c r="JWT48" s="19"/>
      <c r="JWU48" s="19"/>
      <c r="JWV48" s="19"/>
      <c r="JWW48" s="19"/>
      <c r="JWX48" s="19"/>
      <c r="JWY48" s="19"/>
      <c r="JWZ48" s="19"/>
      <c r="JXA48" s="19"/>
      <c r="JXB48" s="19"/>
      <c r="JXC48" s="19"/>
      <c r="JXD48" s="19"/>
      <c r="JXE48" s="19"/>
      <c r="JXF48" s="19"/>
      <c r="JXG48" s="19"/>
      <c r="JXH48" s="19"/>
      <c r="JXI48" s="19"/>
      <c r="JXJ48" s="19"/>
      <c r="JXK48" s="19"/>
      <c r="JXL48" s="19"/>
      <c r="JXM48" s="19"/>
      <c r="JXN48" s="19"/>
      <c r="JXO48" s="19"/>
      <c r="JXP48" s="19"/>
      <c r="JXQ48" s="19"/>
      <c r="JXR48" s="19"/>
      <c r="JXS48" s="19"/>
      <c r="JXT48" s="19"/>
      <c r="JXU48" s="19"/>
      <c r="JXV48" s="19"/>
      <c r="JXW48" s="19"/>
      <c r="JXX48" s="19"/>
      <c r="JXY48" s="19"/>
      <c r="JXZ48" s="19"/>
      <c r="JYA48" s="19"/>
      <c r="JYB48" s="19"/>
      <c r="JYC48" s="19"/>
      <c r="JYD48" s="19"/>
      <c r="JYE48" s="19"/>
      <c r="JYF48" s="19"/>
      <c r="JYG48" s="19"/>
      <c r="JYH48" s="19"/>
      <c r="JYI48" s="19"/>
      <c r="JYJ48" s="19"/>
      <c r="JYK48" s="19"/>
      <c r="JYL48" s="19"/>
      <c r="JYM48" s="19"/>
      <c r="JYN48" s="19"/>
      <c r="JYO48" s="19"/>
      <c r="JYP48" s="19"/>
      <c r="JYQ48" s="19"/>
      <c r="JYR48" s="19"/>
      <c r="JYS48" s="19"/>
      <c r="JYT48" s="19"/>
      <c r="JYU48" s="19"/>
      <c r="JYV48" s="19"/>
      <c r="JYW48" s="19"/>
      <c r="JYX48" s="19"/>
      <c r="JYY48" s="19"/>
      <c r="JYZ48" s="19"/>
      <c r="JZA48" s="19"/>
      <c r="JZB48" s="19"/>
      <c r="JZC48" s="19"/>
      <c r="JZD48" s="19"/>
      <c r="JZE48" s="19"/>
      <c r="JZF48" s="19"/>
      <c r="JZG48" s="19"/>
      <c r="JZH48" s="19"/>
      <c r="JZI48" s="19"/>
      <c r="JZJ48" s="19"/>
      <c r="JZK48" s="19"/>
      <c r="JZL48" s="19"/>
      <c r="JZM48" s="19"/>
      <c r="JZN48" s="19"/>
      <c r="JZO48" s="19"/>
      <c r="JZP48" s="19"/>
      <c r="JZQ48" s="19"/>
      <c r="JZR48" s="19"/>
      <c r="JZS48" s="19"/>
      <c r="JZT48" s="19"/>
      <c r="JZU48" s="19"/>
      <c r="JZV48" s="19"/>
      <c r="JZW48" s="19"/>
      <c r="JZX48" s="19"/>
      <c r="JZY48" s="19"/>
      <c r="JZZ48" s="19"/>
      <c r="KAA48" s="19"/>
      <c r="KAB48" s="19"/>
      <c r="KAC48" s="19"/>
      <c r="KAD48" s="19"/>
      <c r="KAE48" s="19"/>
      <c r="KAF48" s="19"/>
      <c r="KAG48" s="19"/>
      <c r="KAH48" s="19"/>
      <c r="KAI48" s="19"/>
      <c r="KAJ48" s="19"/>
      <c r="KAK48" s="19"/>
      <c r="KAL48" s="19"/>
      <c r="KAM48" s="19"/>
      <c r="KAN48" s="19"/>
      <c r="KAO48" s="19"/>
      <c r="KAP48" s="19"/>
      <c r="KAQ48" s="19"/>
      <c r="KAR48" s="19"/>
      <c r="KAS48" s="19"/>
      <c r="KAT48" s="19"/>
      <c r="KAU48" s="19"/>
      <c r="KAV48" s="19"/>
      <c r="KAW48" s="19"/>
      <c r="KAX48" s="19"/>
      <c r="KAY48" s="19"/>
      <c r="KAZ48" s="19"/>
      <c r="KBA48" s="19"/>
      <c r="KBB48" s="19"/>
      <c r="KBC48" s="19"/>
      <c r="KBD48" s="19"/>
      <c r="KBE48" s="19"/>
      <c r="KBF48" s="19"/>
      <c r="KBG48" s="19"/>
      <c r="KBH48" s="19"/>
      <c r="KBI48" s="19"/>
      <c r="KBJ48" s="19"/>
      <c r="KBK48" s="19"/>
      <c r="KBL48" s="19"/>
      <c r="KBM48" s="19"/>
      <c r="KBN48" s="19"/>
      <c r="KBO48" s="19"/>
      <c r="KBP48" s="19"/>
      <c r="KBQ48" s="19"/>
      <c r="KBR48" s="19"/>
      <c r="KBS48" s="19"/>
      <c r="KBT48" s="19"/>
      <c r="KBU48" s="19"/>
      <c r="KBV48" s="19"/>
      <c r="KBW48" s="19"/>
      <c r="KBX48" s="19"/>
      <c r="KBY48" s="19"/>
      <c r="KBZ48" s="19"/>
      <c r="KCA48" s="19"/>
      <c r="KCB48" s="19"/>
      <c r="KCC48" s="19"/>
      <c r="KCD48" s="19"/>
      <c r="KCE48" s="19"/>
      <c r="KCF48" s="19"/>
      <c r="KCG48" s="19"/>
      <c r="KCH48" s="19"/>
      <c r="KCI48" s="19"/>
      <c r="KCJ48" s="19"/>
      <c r="KCK48" s="19"/>
      <c r="KCL48" s="19"/>
      <c r="KCM48" s="19"/>
      <c r="KCN48" s="19"/>
      <c r="KCO48" s="19"/>
      <c r="KCP48" s="19"/>
      <c r="KCQ48" s="19"/>
      <c r="KCR48" s="19"/>
      <c r="KCS48" s="19"/>
      <c r="KCT48" s="19"/>
      <c r="KCU48" s="19"/>
      <c r="KCV48" s="19"/>
      <c r="KCW48" s="19"/>
      <c r="KCX48" s="19"/>
      <c r="KCY48" s="19"/>
      <c r="KCZ48" s="19"/>
      <c r="KDA48" s="19"/>
      <c r="KDB48" s="19"/>
      <c r="KDC48" s="19"/>
      <c r="KDD48" s="19"/>
      <c r="KDE48" s="19"/>
      <c r="KDF48" s="19"/>
      <c r="KDG48" s="19"/>
      <c r="KDH48" s="19"/>
      <c r="KDI48" s="19"/>
      <c r="KDJ48" s="19"/>
      <c r="KDK48" s="19"/>
      <c r="KDL48" s="19"/>
      <c r="KDM48" s="19"/>
      <c r="KDN48" s="19"/>
      <c r="KDO48" s="19"/>
      <c r="KDP48" s="19"/>
      <c r="KDQ48" s="19"/>
      <c r="KDR48" s="19"/>
      <c r="KDS48" s="19"/>
      <c r="KDT48" s="19"/>
      <c r="KDU48" s="19"/>
      <c r="KDV48" s="19"/>
      <c r="KDW48" s="19"/>
      <c r="KDX48" s="19"/>
      <c r="KDY48" s="19"/>
      <c r="KDZ48" s="19"/>
      <c r="KEA48" s="19"/>
      <c r="KEB48" s="19"/>
      <c r="KEC48" s="19"/>
      <c r="KED48" s="19"/>
      <c r="KEE48" s="19"/>
      <c r="KEF48" s="19"/>
      <c r="KEG48" s="19"/>
      <c r="KEH48" s="19"/>
      <c r="KEI48" s="19"/>
      <c r="KEJ48" s="19"/>
      <c r="KEK48" s="19"/>
      <c r="KEL48" s="19"/>
      <c r="KEM48" s="19"/>
      <c r="KEN48" s="19"/>
      <c r="KEO48" s="19"/>
      <c r="KEP48" s="19"/>
      <c r="KEQ48" s="19"/>
      <c r="KER48" s="19"/>
      <c r="KES48" s="19"/>
      <c r="KET48" s="19"/>
      <c r="KEU48" s="19"/>
      <c r="KEV48" s="19"/>
      <c r="KEW48" s="19"/>
      <c r="KEX48" s="19"/>
      <c r="KEY48" s="19"/>
      <c r="KEZ48" s="19"/>
      <c r="KFA48" s="19"/>
      <c r="KFB48" s="19"/>
      <c r="KFC48" s="19"/>
      <c r="KFD48" s="19"/>
      <c r="KFE48" s="19"/>
      <c r="KFF48" s="19"/>
      <c r="KFG48" s="19"/>
      <c r="KFH48" s="19"/>
      <c r="KFI48" s="19"/>
      <c r="KFJ48" s="19"/>
      <c r="KFK48" s="19"/>
      <c r="KFL48" s="19"/>
      <c r="KFM48" s="19"/>
      <c r="KFN48" s="19"/>
      <c r="KFO48" s="19"/>
      <c r="KFP48" s="19"/>
      <c r="KFQ48" s="19"/>
      <c r="KFR48" s="19"/>
      <c r="KFS48" s="19"/>
      <c r="KFT48" s="19"/>
      <c r="KFU48" s="19"/>
      <c r="KFV48" s="19"/>
      <c r="KFW48" s="19"/>
      <c r="KFX48" s="19"/>
      <c r="KFY48" s="19"/>
      <c r="KFZ48" s="19"/>
      <c r="KGA48" s="19"/>
      <c r="KGB48" s="19"/>
      <c r="KGC48" s="19"/>
      <c r="KGD48" s="19"/>
      <c r="KGE48" s="19"/>
      <c r="KGF48" s="19"/>
      <c r="KGG48" s="19"/>
      <c r="KGH48" s="19"/>
      <c r="KGI48" s="19"/>
      <c r="KGJ48" s="19"/>
      <c r="KGK48" s="19"/>
      <c r="KGL48" s="19"/>
      <c r="KGM48" s="19"/>
      <c r="KGN48" s="19"/>
      <c r="KGO48" s="19"/>
      <c r="KGP48" s="19"/>
      <c r="KGQ48" s="19"/>
      <c r="KGR48" s="19"/>
      <c r="KGS48" s="19"/>
      <c r="KGT48" s="19"/>
      <c r="KGU48" s="19"/>
      <c r="KGV48" s="19"/>
      <c r="KGW48" s="19"/>
      <c r="KGX48" s="19"/>
      <c r="KGY48" s="19"/>
      <c r="KGZ48" s="19"/>
      <c r="KHA48" s="19"/>
      <c r="KHB48" s="19"/>
      <c r="KHC48" s="19"/>
      <c r="KHD48" s="19"/>
      <c r="KHE48" s="19"/>
      <c r="KHF48" s="19"/>
      <c r="KHG48" s="19"/>
      <c r="KHH48" s="19"/>
      <c r="KHI48" s="19"/>
      <c r="KHJ48" s="19"/>
      <c r="KHK48" s="19"/>
      <c r="KHL48" s="19"/>
      <c r="KHM48" s="19"/>
      <c r="KHN48" s="19"/>
      <c r="KHO48" s="19"/>
      <c r="KHP48" s="19"/>
      <c r="KHQ48" s="19"/>
      <c r="KHR48" s="19"/>
      <c r="KHS48" s="19"/>
      <c r="KHT48" s="19"/>
      <c r="KHU48" s="19"/>
      <c r="KHV48" s="19"/>
      <c r="KHW48" s="19"/>
      <c r="KHX48" s="19"/>
      <c r="KHY48" s="19"/>
      <c r="KHZ48" s="19"/>
      <c r="KIA48" s="19"/>
      <c r="KIB48" s="19"/>
      <c r="KIC48" s="19"/>
      <c r="KID48" s="19"/>
      <c r="KIE48" s="19"/>
      <c r="KIF48" s="19"/>
      <c r="KIG48" s="19"/>
      <c r="KIH48" s="19"/>
      <c r="KII48" s="19"/>
      <c r="KIJ48" s="19"/>
      <c r="KIK48" s="19"/>
      <c r="KIL48" s="19"/>
      <c r="KIM48" s="19"/>
      <c r="KIN48" s="19"/>
      <c r="KIO48" s="19"/>
      <c r="KIP48" s="19"/>
      <c r="KIQ48" s="19"/>
      <c r="KIR48" s="19"/>
      <c r="KIS48" s="19"/>
      <c r="KIT48" s="19"/>
      <c r="KIU48" s="19"/>
      <c r="KIV48" s="19"/>
      <c r="KIW48" s="19"/>
      <c r="KIX48" s="19"/>
      <c r="KIY48" s="19"/>
      <c r="KIZ48" s="19"/>
      <c r="KJA48" s="19"/>
      <c r="KJB48" s="19"/>
      <c r="KJC48" s="19"/>
      <c r="KJD48" s="19"/>
      <c r="KJE48" s="19"/>
      <c r="KJF48" s="19"/>
      <c r="KJG48" s="19"/>
      <c r="KJH48" s="19"/>
      <c r="KJI48" s="19"/>
      <c r="KJJ48" s="19"/>
      <c r="KJK48" s="19"/>
      <c r="KJL48" s="19"/>
      <c r="KJM48" s="19"/>
      <c r="KJN48" s="19"/>
      <c r="KJO48" s="19"/>
      <c r="KJP48" s="19"/>
      <c r="KJQ48" s="19"/>
      <c r="KJR48" s="19"/>
      <c r="KJS48" s="19"/>
      <c r="KJT48" s="19"/>
      <c r="KJU48" s="19"/>
      <c r="KJV48" s="19"/>
      <c r="KJW48" s="19"/>
      <c r="KJX48" s="19"/>
      <c r="KJY48" s="19"/>
      <c r="KJZ48" s="19"/>
      <c r="KKA48" s="19"/>
      <c r="KKB48" s="19"/>
      <c r="KKC48" s="19"/>
      <c r="KKD48" s="19"/>
      <c r="KKE48" s="19"/>
      <c r="KKF48" s="19"/>
      <c r="KKG48" s="19"/>
      <c r="KKH48" s="19"/>
      <c r="KKI48" s="19"/>
      <c r="KKJ48" s="19"/>
      <c r="KKK48" s="19"/>
      <c r="KKL48" s="19"/>
      <c r="KKM48" s="19"/>
      <c r="KKN48" s="19"/>
      <c r="KKO48" s="19"/>
      <c r="KKP48" s="19"/>
      <c r="KKQ48" s="19"/>
      <c r="KKR48" s="19"/>
      <c r="KKS48" s="19"/>
      <c r="KKT48" s="19"/>
      <c r="KKU48" s="19"/>
      <c r="KKV48" s="19"/>
      <c r="KKW48" s="19"/>
      <c r="KKX48" s="19"/>
      <c r="KKY48" s="19"/>
      <c r="KKZ48" s="19"/>
      <c r="KLA48" s="19"/>
      <c r="KLB48" s="19"/>
      <c r="KLC48" s="19"/>
      <c r="KLD48" s="19"/>
      <c r="KLE48" s="19"/>
      <c r="KLF48" s="19"/>
      <c r="KLG48" s="19"/>
      <c r="KLH48" s="19"/>
      <c r="KLI48" s="19"/>
      <c r="KLJ48" s="19"/>
      <c r="KLK48" s="19"/>
      <c r="KLL48" s="19"/>
      <c r="KLM48" s="19"/>
      <c r="KLN48" s="19"/>
      <c r="KLO48" s="19"/>
      <c r="KLP48" s="19"/>
      <c r="KLQ48" s="19"/>
      <c r="KLR48" s="19"/>
      <c r="KLS48" s="19"/>
      <c r="KLT48" s="19"/>
      <c r="KLU48" s="19"/>
      <c r="KLV48" s="19"/>
      <c r="KLW48" s="19"/>
      <c r="KLX48" s="19"/>
      <c r="KLY48" s="19"/>
      <c r="KLZ48" s="19"/>
      <c r="KMA48" s="19"/>
      <c r="KMB48" s="19"/>
      <c r="KMC48" s="19"/>
      <c r="KMD48" s="19"/>
      <c r="KME48" s="19"/>
      <c r="KMF48" s="19"/>
      <c r="KMG48" s="19"/>
      <c r="KMH48" s="19"/>
      <c r="KMI48" s="19"/>
      <c r="KMJ48" s="19"/>
      <c r="KMK48" s="19"/>
      <c r="KML48" s="19"/>
      <c r="KMM48" s="19"/>
      <c r="KMN48" s="19"/>
      <c r="KMO48" s="19"/>
      <c r="KMP48" s="19"/>
      <c r="KMQ48" s="19"/>
      <c r="KMR48" s="19"/>
      <c r="KMS48" s="19"/>
      <c r="KMT48" s="19"/>
      <c r="KMU48" s="19"/>
      <c r="KMV48" s="19"/>
      <c r="KMW48" s="19"/>
      <c r="KMX48" s="19"/>
      <c r="KMY48" s="19"/>
      <c r="KMZ48" s="19"/>
      <c r="KNA48" s="19"/>
      <c r="KNB48" s="19"/>
      <c r="KNC48" s="19"/>
      <c r="KND48" s="19"/>
      <c r="KNE48" s="19"/>
      <c r="KNF48" s="19"/>
      <c r="KNG48" s="19"/>
      <c r="KNH48" s="19"/>
      <c r="KNI48" s="19"/>
      <c r="KNJ48" s="19"/>
      <c r="KNK48" s="19"/>
      <c r="KNL48" s="19"/>
      <c r="KNM48" s="19"/>
      <c r="KNN48" s="19"/>
      <c r="KNO48" s="19"/>
      <c r="KNP48" s="19"/>
      <c r="KNQ48" s="19"/>
      <c r="KNR48" s="19"/>
      <c r="KNS48" s="19"/>
      <c r="KNT48" s="19"/>
      <c r="KNU48" s="19"/>
      <c r="KNV48" s="19"/>
      <c r="KNW48" s="19"/>
      <c r="KNX48" s="19"/>
      <c r="KNY48" s="19"/>
      <c r="KNZ48" s="19"/>
      <c r="KOA48" s="19"/>
      <c r="KOB48" s="19"/>
      <c r="KOC48" s="19"/>
      <c r="KOD48" s="19"/>
      <c r="KOE48" s="19"/>
      <c r="KOF48" s="19"/>
      <c r="KOG48" s="19"/>
      <c r="KOH48" s="19"/>
      <c r="KOI48" s="19"/>
      <c r="KOJ48" s="19"/>
      <c r="KOK48" s="19"/>
      <c r="KOL48" s="19"/>
      <c r="KOM48" s="19"/>
      <c r="KON48" s="19"/>
      <c r="KOO48" s="19"/>
      <c r="KOP48" s="19"/>
      <c r="KOQ48" s="19"/>
      <c r="KOR48" s="19"/>
      <c r="KOS48" s="19"/>
      <c r="KOT48" s="19"/>
      <c r="KOU48" s="19"/>
      <c r="KOV48" s="19"/>
      <c r="KOW48" s="19"/>
      <c r="KOX48" s="19"/>
      <c r="KOY48" s="19"/>
      <c r="KOZ48" s="19"/>
      <c r="KPA48" s="19"/>
      <c r="KPB48" s="19"/>
      <c r="KPC48" s="19"/>
      <c r="KPD48" s="19"/>
      <c r="KPE48" s="19"/>
      <c r="KPF48" s="19"/>
      <c r="KPG48" s="19"/>
      <c r="KPH48" s="19"/>
      <c r="KPI48" s="19"/>
      <c r="KPJ48" s="19"/>
      <c r="KPK48" s="19"/>
      <c r="KPL48" s="19"/>
      <c r="KPM48" s="19"/>
      <c r="KPN48" s="19"/>
      <c r="KPO48" s="19"/>
      <c r="KPP48" s="19"/>
      <c r="KPQ48" s="19"/>
      <c r="KPR48" s="19"/>
      <c r="KPS48" s="19"/>
      <c r="KPT48" s="19"/>
      <c r="KPU48" s="19"/>
      <c r="KPV48" s="19"/>
      <c r="KPW48" s="19"/>
      <c r="KPX48" s="19"/>
      <c r="KPY48" s="19"/>
      <c r="KPZ48" s="19"/>
      <c r="KQA48" s="19"/>
      <c r="KQB48" s="19"/>
      <c r="KQC48" s="19"/>
      <c r="KQD48" s="19"/>
      <c r="KQE48" s="19"/>
      <c r="KQF48" s="19"/>
      <c r="KQG48" s="19"/>
      <c r="KQH48" s="19"/>
      <c r="KQI48" s="19"/>
      <c r="KQJ48" s="19"/>
      <c r="KQK48" s="19"/>
      <c r="KQL48" s="19"/>
      <c r="KQM48" s="19"/>
      <c r="KQN48" s="19"/>
      <c r="KQO48" s="19"/>
      <c r="KQP48" s="19"/>
      <c r="KQQ48" s="19"/>
      <c r="KQR48" s="19"/>
      <c r="KQS48" s="19"/>
      <c r="KQT48" s="19"/>
      <c r="KQU48" s="19"/>
      <c r="KQV48" s="19"/>
      <c r="KQW48" s="19"/>
      <c r="KQX48" s="19"/>
      <c r="KQY48" s="19"/>
      <c r="KQZ48" s="19"/>
      <c r="KRA48" s="19"/>
      <c r="KRB48" s="19"/>
      <c r="KRC48" s="19"/>
      <c r="KRD48" s="19"/>
      <c r="KRE48" s="19"/>
      <c r="KRF48" s="19"/>
      <c r="KRG48" s="19"/>
      <c r="KRH48" s="19"/>
      <c r="KRI48" s="19"/>
      <c r="KRJ48" s="19"/>
      <c r="KRK48" s="19"/>
      <c r="KRL48" s="19"/>
      <c r="KRM48" s="19"/>
      <c r="KRN48" s="19"/>
      <c r="KRO48" s="19"/>
      <c r="KRP48" s="19"/>
      <c r="KRQ48" s="19"/>
      <c r="KRR48" s="19"/>
      <c r="KRS48" s="19"/>
      <c r="KRT48" s="19"/>
      <c r="KRU48" s="19"/>
      <c r="KRV48" s="19"/>
      <c r="KRW48" s="19"/>
      <c r="KRX48" s="19"/>
      <c r="KRY48" s="19"/>
      <c r="KRZ48" s="19"/>
      <c r="KSA48" s="19"/>
      <c r="KSB48" s="19"/>
      <c r="KSC48" s="19"/>
      <c r="KSD48" s="19"/>
      <c r="KSE48" s="19"/>
      <c r="KSF48" s="19"/>
      <c r="KSG48" s="19"/>
      <c r="KSH48" s="19"/>
      <c r="KSI48" s="19"/>
      <c r="KSJ48" s="19"/>
      <c r="KSK48" s="19"/>
      <c r="KSL48" s="19"/>
      <c r="KSM48" s="19"/>
      <c r="KSN48" s="19"/>
      <c r="KSO48" s="19"/>
      <c r="KSP48" s="19"/>
      <c r="KSQ48" s="19"/>
      <c r="KSR48" s="19"/>
      <c r="KSS48" s="19"/>
      <c r="KST48" s="19"/>
      <c r="KSU48" s="19"/>
      <c r="KSV48" s="19"/>
      <c r="KSW48" s="19"/>
      <c r="KSX48" s="19"/>
      <c r="KSY48" s="19"/>
      <c r="KSZ48" s="19"/>
      <c r="KTA48" s="19"/>
      <c r="KTB48" s="19"/>
      <c r="KTC48" s="19"/>
      <c r="KTD48" s="19"/>
      <c r="KTE48" s="19"/>
      <c r="KTF48" s="19"/>
      <c r="KTG48" s="19"/>
      <c r="KTH48" s="19"/>
      <c r="KTI48" s="19"/>
      <c r="KTJ48" s="19"/>
      <c r="KTK48" s="19"/>
      <c r="KTL48" s="19"/>
      <c r="KTM48" s="19"/>
      <c r="KTN48" s="19"/>
      <c r="KTO48" s="19"/>
      <c r="KTP48" s="19"/>
      <c r="KTQ48" s="19"/>
      <c r="KTR48" s="19"/>
      <c r="KTS48" s="19"/>
      <c r="KTT48" s="19"/>
      <c r="KTU48" s="19"/>
      <c r="KTV48" s="19"/>
      <c r="KTW48" s="19"/>
      <c r="KTX48" s="19"/>
      <c r="KTY48" s="19"/>
      <c r="KTZ48" s="19"/>
      <c r="KUA48" s="19"/>
      <c r="KUB48" s="19"/>
      <c r="KUC48" s="19"/>
      <c r="KUD48" s="19"/>
      <c r="KUE48" s="19"/>
      <c r="KUF48" s="19"/>
      <c r="KUG48" s="19"/>
      <c r="KUH48" s="19"/>
      <c r="KUI48" s="19"/>
      <c r="KUJ48" s="19"/>
      <c r="KUK48" s="19"/>
      <c r="KUL48" s="19"/>
      <c r="KUM48" s="19"/>
      <c r="KUN48" s="19"/>
      <c r="KUO48" s="19"/>
      <c r="KUP48" s="19"/>
      <c r="KUQ48" s="19"/>
      <c r="KUR48" s="19"/>
      <c r="KUS48" s="19"/>
      <c r="KUT48" s="19"/>
      <c r="KUU48" s="19"/>
      <c r="KUV48" s="19"/>
      <c r="KUW48" s="19"/>
      <c r="KUX48" s="19"/>
      <c r="KUY48" s="19"/>
      <c r="KUZ48" s="19"/>
      <c r="KVA48" s="19"/>
      <c r="KVB48" s="19"/>
      <c r="KVC48" s="19"/>
      <c r="KVD48" s="19"/>
      <c r="KVE48" s="19"/>
      <c r="KVF48" s="19"/>
      <c r="KVG48" s="19"/>
      <c r="KVH48" s="19"/>
      <c r="KVI48" s="19"/>
      <c r="KVJ48" s="19"/>
      <c r="KVK48" s="19"/>
      <c r="KVL48" s="19"/>
      <c r="KVM48" s="19"/>
      <c r="KVN48" s="19"/>
      <c r="KVO48" s="19"/>
      <c r="KVP48" s="19"/>
      <c r="KVQ48" s="19"/>
      <c r="KVR48" s="19"/>
      <c r="KVS48" s="19"/>
      <c r="KVT48" s="19"/>
      <c r="KVU48" s="19"/>
      <c r="KVV48" s="19"/>
      <c r="KVW48" s="19"/>
      <c r="KVX48" s="19"/>
      <c r="KVY48" s="19"/>
      <c r="KVZ48" s="19"/>
      <c r="KWA48" s="19"/>
      <c r="KWB48" s="19"/>
      <c r="KWC48" s="19"/>
      <c r="KWD48" s="19"/>
      <c r="KWE48" s="19"/>
      <c r="KWF48" s="19"/>
      <c r="KWG48" s="19"/>
      <c r="KWH48" s="19"/>
      <c r="KWI48" s="19"/>
      <c r="KWJ48" s="19"/>
      <c r="KWK48" s="19"/>
      <c r="KWL48" s="19"/>
      <c r="KWM48" s="19"/>
      <c r="KWN48" s="19"/>
      <c r="KWO48" s="19"/>
      <c r="KWP48" s="19"/>
      <c r="KWQ48" s="19"/>
      <c r="KWR48" s="19"/>
      <c r="KWS48" s="19"/>
      <c r="KWT48" s="19"/>
      <c r="KWU48" s="19"/>
      <c r="KWV48" s="19"/>
      <c r="KWW48" s="19"/>
      <c r="KWX48" s="19"/>
      <c r="KWY48" s="19"/>
      <c r="KWZ48" s="19"/>
      <c r="KXA48" s="19"/>
      <c r="KXB48" s="19"/>
      <c r="KXC48" s="19"/>
      <c r="KXD48" s="19"/>
      <c r="KXE48" s="19"/>
      <c r="KXF48" s="19"/>
      <c r="KXG48" s="19"/>
      <c r="KXH48" s="19"/>
      <c r="KXI48" s="19"/>
      <c r="KXJ48" s="19"/>
      <c r="KXK48" s="19"/>
      <c r="KXL48" s="19"/>
      <c r="KXM48" s="19"/>
      <c r="KXN48" s="19"/>
      <c r="KXO48" s="19"/>
      <c r="KXP48" s="19"/>
      <c r="KXQ48" s="19"/>
      <c r="KXR48" s="19"/>
      <c r="KXS48" s="19"/>
      <c r="KXT48" s="19"/>
      <c r="KXU48" s="19"/>
      <c r="KXV48" s="19"/>
      <c r="KXW48" s="19"/>
      <c r="KXX48" s="19"/>
      <c r="KXY48" s="19"/>
      <c r="KXZ48" s="19"/>
      <c r="KYA48" s="19"/>
      <c r="KYB48" s="19"/>
      <c r="KYC48" s="19"/>
      <c r="KYD48" s="19"/>
      <c r="KYE48" s="19"/>
      <c r="KYF48" s="19"/>
      <c r="KYG48" s="19"/>
      <c r="KYH48" s="19"/>
      <c r="KYI48" s="19"/>
      <c r="KYJ48" s="19"/>
      <c r="KYK48" s="19"/>
      <c r="KYL48" s="19"/>
      <c r="KYM48" s="19"/>
      <c r="KYN48" s="19"/>
      <c r="KYO48" s="19"/>
      <c r="KYP48" s="19"/>
      <c r="KYQ48" s="19"/>
      <c r="KYR48" s="19"/>
      <c r="KYS48" s="19"/>
      <c r="KYT48" s="19"/>
      <c r="KYU48" s="19"/>
      <c r="KYV48" s="19"/>
      <c r="KYW48" s="19"/>
      <c r="KYX48" s="19"/>
      <c r="KYY48" s="19"/>
      <c r="KYZ48" s="19"/>
      <c r="KZA48" s="19"/>
      <c r="KZB48" s="19"/>
      <c r="KZC48" s="19"/>
      <c r="KZD48" s="19"/>
      <c r="KZE48" s="19"/>
      <c r="KZF48" s="19"/>
      <c r="KZG48" s="19"/>
      <c r="KZH48" s="19"/>
      <c r="KZI48" s="19"/>
      <c r="KZJ48" s="19"/>
      <c r="KZK48" s="19"/>
      <c r="KZL48" s="19"/>
      <c r="KZM48" s="19"/>
      <c r="KZN48" s="19"/>
      <c r="KZO48" s="19"/>
      <c r="KZP48" s="19"/>
      <c r="KZQ48" s="19"/>
      <c r="KZR48" s="19"/>
      <c r="KZS48" s="19"/>
      <c r="KZT48" s="19"/>
      <c r="KZU48" s="19"/>
      <c r="KZV48" s="19"/>
      <c r="KZW48" s="19"/>
      <c r="KZX48" s="19"/>
      <c r="KZY48" s="19"/>
      <c r="KZZ48" s="19"/>
      <c r="LAA48" s="19"/>
      <c r="LAB48" s="19"/>
      <c r="LAC48" s="19"/>
      <c r="LAD48" s="19"/>
      <c r="LAE48" s="19"/>
      <c r="LAF48" s="19"/>
      <c r="LAG48" s="19"/>
      <c r="LAH48" s="19"/>
      <c r="LAI48" s="19"/>
      <c r="LAJ48" s="19"/>
      <c r="LAK48" s="19"/>
      <c r="LAL48" s="19"/>
      <c r="LAM48" s="19"/>
      <c r="LAN48" s="19"/>
      <c r="LAO48" s="19"/>
      <c r="LAP48" s="19"/>
      <c r="LAQ48" s="19"/>
      <c r="LAR48" s="19"/>
      <c r="LAS48" s="19"/>
      <c r="LAT48" s="19"/>
      <c r="LAU48" s="19"/>
      <c r="LAV48" s="19"/>
      <c r="LAW48" s="19"/>
      <c r="LAX48" s="19"/>
      <c r="LAY48" s="19"/>
      <c r="LAZ48" s="19"/>
      <c r="LBA48" s="19"/>
      <c r="LBB48" s="19"/>
      <c r="LBC48" s="19"/>
      <c r="LBD48" s="19"/>
      <c r="LBE48" s="19"/>
      <c r="LBF48" s="19"/>
      <c r="LBG48" s="19"/>
      <c r="LBH48" s="19"/>
      <c r="LBI48" s="19"/>
      <c r="LBJ48" s="19"/>
      <c r="LBK48" s="19"/>
      <c r="LBL48" s="19"/>
      <c r="LBM48" s="19"/>
      <c r="LBN48" s="19"/>
      <c r="LBO48" s="19"/>
      <c r="LBP48" s="19"/>
      <c r="LBQ48" s="19"/>
      <c r="LBR48" s="19"/>
      <c r="LBS48" s="19"/>
      <c r="LBT48" s="19"/>
      <c r="LBU48" s="19"/>
      <c r="LBV48" s="19"/>
      <c r="LBW48" s="19"/>
      <c r="LBX48" s="19"/>
      <c r="LBY48" s="19"/>
      <c r="LBZ48" s="19"/>
      <c r="LCA48" s="19"/>
      <c r="LCB48" s="19"/>
      <c r="LCC48" s="19"/>
      <c r="LCD48" s="19"/>
      <c r="LCE48" s="19"/>
      <c r="LCF48" s="19"/>
      <c r="LCG48" s="19"/>
      <c r="LCH48" s="19"/>
      <c r="LCI48" s="19"/>
      <c r="LCJ48" s="19"/>
      <c r="LCK48" s="19"/>
      <c r="LCL48" s="19"/>
      <c r="LCM48" s="19"/>
      <c r="LCN48" s="19"/>
      <c r="LCO48" s="19"/>
      <c r="LCP48" s="19"/>
      <c r="LCQ48" s="19"/>
      <c r="LCR48" s="19"/>
      <c r="LCS48" s="19"/>
      <c r="LCT48" s="19"/>
      <c r="LCU48" s="19"/>
      <c r="LCV48" s="19"/>
      <c r="LCW48" s="19"/>
      <c r="LCX48" s="19"/>
      <c r="LCY48" s="19"/>
      <c r="LCZ48" s="19"/>
      <c r="LDA48" s="19"/>
      <c r="LDB48" s="19"/>
      <c r="LDC48" s="19"/>
      <c r="LDD48" s="19"/>
      <c r="LDE48" s="19"/>
      <c r="LDF48" s="19"/>
      <c r="LDG48" s="19"/>
      <c r="LDH48" s="19"/>
      <c r="LDI48" s="19"/>
      <c r="LDJ48" s="19"/>
      <c r="LDK48" s="19"/>
      <c r="LDL48" s="19"/>
      <c r="LDM48" s="19"/>
      <c r="LDN48" s="19"/>
      <c r="LDO48" s="19"/>
      <c r="LDP48" s="19"/>
      <c r="LDQ48" s="19"/>
      <c r="LDR48" s="19"/>
      <c r="LDS48" s="19"/>
      <c r="LDT48" s="19"/>
      <c r="LDU48" s="19"/>
      <c r="LDV48" s="19"/>
      <c r="LDW48" s="19"/>
      <c r="LDX48" s="19"/>
      <c r="LDY48" s="19"/>
      <c r="LDZ48" s="19"/>
      <c r="LEA48" s="19"/>
      <c r="LEB48" s="19"/>
      <c r="LEC48" s="19"/>
      <c r="LED48" s="19"/>
      <c r="LEE48" s="19"/>
      <c r="LEF48" s="19"/>
      <c r="LEG48" s="19"/>
      <c r="LEH48" s="19"/>
      <c r="LEI48" s="19"/>
      <c r="LEJ48" s="19"/>
      <c r="LEK48" s="19"/>
      <c r="LEL48" s="19"/>
      <c r="LEM48" s="19"/>
      <c r="LEN48" s="19"/>
      <c r="LEO48" s="19"/>
      <c r="LEP48" s="19"/>
      <c r="LEQ48" s="19"/>
      <c r="LER48" s="19"/>
      <c r="LES48" s="19"/>
      <c r="LET48" s="19"/>
      <c r="LEU48" s="19"/>
      <c r="LEV48" s="19"/>
      <c r="LEW48" s="19"/>
      <c r="LEX48" s="19"/>
      <c r="LEY48" s="19"/>
      <c r="LEZ48" s="19"/>
      <c r="LFA48" s="19"/>
      <c r="LFB48" s="19"/>
      <c r="LFC48" s="19"/>
      <c r="LFD48" s="19"/>
      <c r="LFE48" s="19"/>
      <c r="LFF48" s="19"/>
      <c r="LFG48" s="19"/>
      <c r="LFH48" s="19"/>
      <c r="LFI48" s="19"/>
      <c r="LFJ48" s="19"/>
      <c r="LFK48" s="19"/>
      <c r="LFL48" s="19"/>
      <c r="LFM48" s="19"/>
      <c r="LFN48" s="19"/>
      <c r="LFO48" s="19"/>
      <c r="LFP48" s="19"/>
      <c r="LFQ48" s="19"/>
      <c r="LFR48" s="19"/>
      <c r="LFS48" s="19"/>
      <c r="LFT48" s="19"/>
      <c r="LFU48" s="19"/>
      <c r="LFV48" s="19"/>
      <c r="LFW48" s="19"/>
      <c r="LFX48" s="19"/>
      <c r="LFY48" s="19"/>
      <c r="LFZ48" s="19"/>
      <c r="LGA48" s="19"/>
      <c r="LGB48" s="19"/>
      <c r="LGC48" s="19"/>
      <c r="LGD48" s="19"/>
      <c r="LGE48" s="19"/>
      <c r="LGF48" s="19"/>
      <c r="LGG48" s="19"/>
      <c r="LGH48" s="19"/>
      <c r="LGI48" s="19"/>
      <c r="LGJ48" s="19"/>
      <c r="LGK48" s="19"/>
      <c r="LGL48" s="19"/>
      <c r="LGM48" s="19"/>
      <c r="LGN48" s="19"/>
      <c r="LGO48" s="19"/>
      <c r="LGP48" s="19"/>
      <c r="LGQ48" s="19"/>
      <c r="LGR48" s="19"/>
      <c r="LGS48" s="19"/>
      <c r="LGT48" s="19"/>
      <c r="LGU48" s="19"/>
      <c r="LGV48" s="19"/>
      <c r="LGW48" s="19"/>
      <c r="LGX48" s="19"/>
      <c r="LGY48" s="19"/>
      <c r="LGZ48" s="19"/>
      <c r="LHA48" s="19"/>
      <c r="LHB48" s="19"/>
      <c r="LHC48" s="19"/>
      <c r="LHD48" s="19"/>
      <c r="LHE48" s="19"/>
      <c r="LHF48" s="19"/>
      <c r="LHG48" s="19"/>
      <c r="LHH48" s="19"/>
      <c r="LHI48" s="19"/>
      <c r="LHJ48" s="19"/>
      <c r="LHK48" s="19"/>
      <c r="LHL48" s="19"/>
      <c r="LHM48" s="19"/>
      <c r="LHN48" s="19"/>
      <c r="LHO48" s="19"/>
      <c r="LHP48" s="19"/>
      <c r="LHQ48" s="19"/>
      <c r="LHR48" s="19"/>
      <c r="LHS48" s="19"/>
      <c r="LHT48" s="19"/>
      <c r="LHU48" s="19"/>
      <c r="LHV48" s="19"/>
      <c r="LHW48" s="19"/>
      <c r="LHX48" s="19"/>
      <c r="LHY48" s="19"/>
      <c r="LHZ48" s="19"/>
      <c r="LIA48" s="19"/>
      <c r="LIB48" s="19"/>
      <c r="LIC48" s="19"/>
      <c r="LID48" s="19"/>
      <c r="LIE48" s="19"/>
      <c r="LIF48" s="19"/>
      <c r="LIG48" s="19"/>
      <c r="LIH48" s="19"/>
      <c r="LII48" s="19"/>
      <c r="LIJ48" s="19"/>
      <c r="LIK48" s="19"/>
      <c r="LIL48" s="19"/>
      <c r="LIM48" s="19"/>
      <c r="LIN48" s="19"/>
      <c r="LIO48" s="19"/>
      <c r="LIP48" s="19"/>
      <c r="LIQ48" s="19"/>
      <c r="LIR48" s="19"/>
      <c r="LIS48" s="19"/>
      <c r="LIT48" s="19"/>
      <c r="LIU48" s="19"/>
      <c r="LIV48" s="19"/>
      <c r="LIW48" s="19"/>
      <c r="LIX48" s="19"/>
      <c r="LIY48" s="19"/>
      <c r="LIZ48" s="19"/>
      <c r="LJA48" s="19"/>
      <c r="LJB48" s="19"/>
      <c r="LJC48" s="19"/>
      <c r="LJD48" s="19"/>
      <c r="LJE48" s="19"/>
      <c r="LJF48" s="19"/>
      <c r="LJG48" s="19"/>
      <c r="LJH48" s="19"/>
      <c r="LJI48" s="19"/>
      <c r="LJJ48" s="19"/>
      <c r="LJK48" s="19"/>
      <c r="LJL48" s="19"/>
      <c r="LJM48" s="19"/>
      <c r="LJN48" s="19"/>
      <c r="LJO48" s="19"/>
      <c r="LJP48" s="19"/>
      <c r="LJQ48" s="19"/>
      <c r="LJR48" s="19"/>
      <c r="LJS48" s="19"/>
      <c r="LJT48" s="19"/>
      <c r="LJU48" s="19"/>
      <c r="LJV48" s="19"/>
      <c r="LJW48" s="19"/>
      <c r="LJX48" s="19"/>
      <c r="LJY48" s="19"/>
      <c r="LJZ48" s="19"/>
      <c r="LKA48" s="19"/>
      <c r="LKB48" s="19"/>
      <c r="LKC48" s="19"/>
      <c r="LKD48" s="19"/>
      <c r="LKE48" s="19"/>
      <c r="LKF48" s="19"/>
      <c r="LKG48" s="19"/>
      <c r="LKH48" s="19"/>
      <c r="LKI48" s="19"/>
      <c r="LKJ48" s="19"/>
      <c r="LKK48" s="19"/>
      <c r="LKL48" s="19"/>
      <c r="LKM48" s="19"/>
      <c r="LKN48" s="19"/>
      <c r="LKO48" s="19"/>
      <c r="LKP48" s="19"/>
      <c r="LKQ48" s="19"/>
      <c r="LKR48" s="19"/>
      <c r="LKS48" s="19"/>
      <c r="LKT48" s="19"/>
      <c r="LKU48" s="19"/>
      <c r="LKV48" s="19"/>
      <c r="LKW48" s="19"/>
      <c r="LKX48" s="19"/>
      <c r="LKY48" s="19"/>
      <c r="LKZ48" s="19"/>
      <c r="LLA48" s="19"/>
      <c r="LLB48" s="19"/>
      <c r="LLC48" s="19"/>
      <c r="LLD48" s="19"/>
      <c r="LLE48" s="19"/>
      <c r="LLF48" s="19"/>
      <c r="LLG48" s="19"/>
      <c r="LLH48" s="19"/>
      <c r="LLI48" s="19"/>
      <c r="LLJ48" s="19"/>
      <c r="LLK48" s="19"/>
      <c r="LLL48" s="19"/>
      <c r="LLM48" s="19"/>
      <c r="LLN48" s="19"/>
      <c r="LLO48" s="19"/>
      <c r="LLP48" s="19"/>
      <c r="LLQ48" s="19"/>
      <c r="LLR48" s="19"/>
      <c r="LLS48" s="19"/>
      <c r="LLT48" s="19"/>
      <c r="LLU48" s="19"/>
      <c r="LLV48" s="19"/>
      <c r="LLW48" s="19"/>
      <c r="LLX48" s="19"/>
      <c r="LLY48" s="19"/>
      <c r="LLZ48" s="19"/>
      <c r="LMA48" s="19"/>
      <c r="LMB48" s="19"/>
      <c r="LMC48" s="19"/>
      <c r="LMD48" s="19"/>
      <c r="LME48" s="19"/>
      <c r="LMF48" s="19"/>
      <c r="LMG48" s="19"/>
      <c r="LMH48" s="19"/>
      <c r="LMI48" s="19"/>
      <c r="LMJ48" s="19"/>
      <c r="LMK48" s="19"/>
      <c r="LML48" s="19"/>
      <c r="LMM48" s="19"/>
      <c r="LMN48" s="19"/>
      <c r="LMO48" s="19"/>
      <c r="LMP48" s="19"/>
      <c r="LMQ48" s="19"/>
      <c r="LMR48" s="19"/>
      <c r="LMS48" s="19"/>
      <c r="LMT48" s="19"/>
      <c r="LMU48" s="19"/>
      <c r="LMV48" s="19"/>
      <c r="LMW48" s="19"/>
      <c r="LMX48" s="19"/>
      <c r="LMY48" s="19"/>
      <c r="LMZ48" s="19"/>
      <c r="LNA48" s="19"/>
      <c r="LNB48" s="19"/>
      <c r="LNC48" s="19"/>
      <c r="LND48" s="19"/>
      <c r="LNE48" s="19"/>
      <c r="LNF48" s="19"/>
      <c r="LNG48" s="19"/>
      <c r="LNH48" s="19"/>
      <c r="LNI48" s="19"/>
      <c r="LNJ48" s="19"/>
      <c r="LNK48" s="19"/>
      <c r="LNL48" s="19"/>
      <c r="LNM48" s="19"/>
      <c r="LNN48" s="19"/>
      <c r="LNO48" s="19"/>
      <c r="LNP48" s="19"/>
      <c r="LNQ48" s="19"/>
      <c r="LNR48" s="19"/>
      <c r="LNS48" s="19"/>
      <c r="LNT48" s="19"/>
      <c r="LNU48" s="19"/>
      <c r="LNV48" s="19"/>
      <c r="LNW48" s="19"/>
      <c r="LNX48" s="19"/>
      <c r="LNY48" s="19"/>
      <c r="LNZ48" s="19"/>
      <c r="LOA48" s="19"/>
      <c r="LOB48" s="19"/>
      <c r="LOC48" s="19"/>
      <c r="LOD48" s="19"/>
      <c r="LOE48" s="19"/>
      <c r="LOF48" s="19"/>
      <c r="LOG48" s="19"/>
      <c r="LOH48" s="19"/>
      <c r="LOI48" s="19"/>
      <c r="LOJ48" s="19"/>
      <c r="LOK48" s="19"/>
      <c r="LOL48" s="19"/>
      <c r="LOM48" s="19"/>
      <c r="LON48" s="19"/>
      <c r="LOO48" s="19"/>
      <c r="LOP48" s="19"/>
      <c r="LOQ48" s="19"/>
      <c r="LOR48" s="19"/>
      <c r="LOS48" s="19"/>
      <c r="LOT48" s="19"/>
      <c r="LOU48" s="19"/>
      <c r="LOV48" s="19"/>
      <c r="LOW48" s="19"/>
      <c r="LOX48" s="19"/>
      <c r="LOY48" s="19"/>
      <c r="LOZ48" s="19"/>
      <c r="LPA48" s="19"/>
      <c r="LPB48" s="19"/>
      <c r="LPC48" s="19"/>
      <c r="LPD48" s="19"/>
      <c r="LPE48" s="19"/>
      <c r="LPF48" s="19"/>
      <c r="LPG48" s="19"/>
      <c r="LPH48" s="19"/>
      <c r="LPI48" s="19"/>
      <c r="LPJ48" s="19"/>
      <c r="LPK48" s="19"/>
      <c r="LPL48" s="19"/>
      <c r="LPM48" s="19"/>
      <c r="LPN48" s="19"/>
      <c r="LPO48" s="19"/>
      <c r="LPP48" s="19"/>
      <c r="LPQ48" s="19"/>
      <c r="LPR48" s="19"/>
      <c r="LPS48" s="19"/>
      <c r="LPT48" s="19"/>
      <c r="LPU48" s="19"/>
      <c r="LPV48" s="19"/>
      <c r="LPW48" s="19"/>
      <c r="LPX48" s="19"/>
      <c r="LPY48" s="19"/>
      <c r="LPZ48" s="19"/>
      <c r="LQA48" s="19"/>
      <c r="LQB48" s="19"/>
      <c r="LQC48" s="19"/>
      <c r="LQD48" s="19"/>
      <c r="LQE48" s="19"/>
      <c r="LQF48" s="19"/>
      <c r="LQG48" s="19"/>
      <c r="LQH48" s="19"/>
      <c r="LQI48" s="19"/>
      <c r="LQJ48" s="19"/>
      <c r="LQK48" s="19"/>
      <c r="LQL48" s="19"/>
      <c r="LQM48" s="19"/>
      <c r="LQN48" s="19"/>
      <c r="LQO48" s="19"/>
      <c r="LQP48" s="19"/>
      <c r="LQQ48" s="19"/>
      <c r="LQR48" s="19"/>
      <c r="LQS48" s="19"/>
      <c r="LQT48" s="19"/>
      <c r="LQU48" s="19"/>
      <c r="LQV48" s="19"/>
      <c r="LQW48" s="19"/>
      <c r="LQX48" s="19"/>
      <c r="LQY48" s="19"/>
      <c r="LQZ48" s="19"/>
      <c r="LRA48" s="19"/>
      <c r="LRB48" s="19"/>
      <c r="LRC48" s="19"/>
      <c r="LRD48" s="19"/>
      <c r="LRE48" s="19"/>
      <c r="LRF48" s="19"/>
      <c r="LRG48" s="19"/>
      <c r="LRH48" s="19"/>
      <c r="LRI48" s="19"/>
      <c r="LRJ48" s="19"/>
      <c r="LRK48" s="19"/>
      <c r="LRL48" s="19"/>
      <c r="LRM48" s="19"/>
      <c r="LRN48" s="19"/>
      <c r="LRO48" s="19"/>
      <c r="LRP48" s="19"/>
      <c r="LRQ48" s="19"/>
      <c r="LRR48" s="19"/>
      <c r="LRS48" s="19"/>
      <c r="LRT48" s="19"/>
      <c r="LRU48" s="19"/>
      <c r="LRV48" s="19"/>
      <c r="LRW48" s="19"/>
      <c r="LRX48" s="19"/>
      <c r="LRY48" s="19"/>
      <c r="LRZ48" s="19"/>
      <c r="LSA48" s="19"/>
      <c r="LSB48" s="19"/>
      <c r="LSC48" s="19"/>
      <c r="LSD48" s="19"/>
      <c r="LSE48" s="19"/>
      <c r="LSF48" s="19"/>
      <c r="LSG48" s="19"/>
      <c r="LSH48" s="19"/>
      <c r="LSI48" s="19"/>
      <c r="LSJ48" s="19"/>
      <c r="LSK48" s="19"/>
      <c r="LSL48" s="19"/>
      <c r="LSM48" s="19"/>
      <c r="LSN48" s="19"/>
      <c r="LSO48" s="19"/>
      <c r="LSP48" s="19"/>
      <c r="LSQ48" s="19"/>
      <c r="LSR48" s="19"/>
      <c r="LSS48" s="19"/>
      <c r="LST48" s="19"/>
      <c r="LSU48" s="19"/>
      <c r="LSV48" s="19"/>
      <c r="LSW48" s="19"/>
      <c r="LSX48" s="19"/>
      <c r="LSY48" s="19"/>
      <c r="LSZ48" s="19"/>
      <c r="LTA48" s="19"/>
      <c r="LTB48" s="19"/>
      <c r="LTC48" s="19"/>
      <c r="LTD48" s="19"/>
      <c r="LTE48" s="19"/>
      <c r="LTF48" s="19"/>
      <c r="LTG48" s="19"/>
      <c r="LTH48" s="19"/>
      <c r="LTI48" s="19"/>
      <c r="LTJ48" s="19"/>
      <c r="LTK48" s="19"/>
      <c r="LTL48" s="19"/>
      <c r="LTM48" s="19"/>
      <c r="LTN48" s="19"/>
      <c r="LTO48" s="19"/>
      <c r="LTP48" s="19"/>
      <c r="LTQ48" s="19"/>
      <c r="LTR48" s="19"/>
      <c r="LTS48" s="19"/>
      <c r="LTT48" s="19"/>
      <c r="LTU48" s="19"/>
      <c r="LTV48" s="19"/>
      <c r="LTW48" s="19"/>
      <c r="LTX48" s="19"/>
      <c r="LTY48" s="19"/>
      <c r="LTZ48" s="19"/>
      <c r="LUA48" s="19"/>
      <c r="LUB48" s="19"/>
      <c r="LUC48" s="19"/>
      <c r="LUD48" s="19"/>
      <c r="LUE48" s="19"/>
      <c r="LUF48" s="19"/>
      <c r="LUG48" s="19"/>
      <c r="LUH48" s="19"/>
      <c r="LUI48" s="19"/>
      <c r="LUJ48" s="19"/>
      <c r="LUK48" s="19"/>
      <c r="LUL48" s="19"/>
      <c r="LUM48" s="19"/>
      <c r="LUN48" s="19"/>
      <c r="LUO48" s="19"/>
      <c r="LUP48" s="19"/>
      <c r="LUQ48" s="19"/>
      <c r="LUR48" s="19"/>
      <c r="LUS48" s="19"/>
      <c r="LUT48" s="19"/>
      <c r="LUU48" s="19"/>
      <c r="LUV48" s="19"/>
      <c r="LUW48" s="19"/>
      <c r="LUX48" s="19"/>
      <c r="LUY48" s="19"/>
      <c r="LUZ48" s="19"/>
      <c r="LVA48" s="19"/>
      <c r="LVB48" s="19"/>
      <c r="LVC48" s="19"/>
      <c r="LVD48" s="19"/>
      <c r="LVE48" s="19"/>
      <c r="LVF48" s="19"/>
      <c r="LVG48" s="19"/>
      <c r="LVH48" s="19"/>
      <c r="LVI48" s="19"/>
      <c r="LVJ48" s="19"/>
      <c r="LVK48" s="19"/>
      <c r="LVL48" s="19"/>
      <c r="LVM48" s="19"/>
      <c r="LVN48" s="19"/>
      <c r="LVO48" s="19"/>
      <c r="LVP48" s="19"/>
      <c r="LVQ48" s="19"/>
      <c r="LVR48" s="19"/>
      <c r="LVS48" s="19"/>
      <c r="LVT48" s="19"/>
      <c r="LVU48" s="19"/>
      <c r="LVV48" s="19"/>
      <c r="LVW48" s="19"/>
      <c r="LVX48" s="19"/>
      <c r="LVY48" s="19"/>
      <c r="LVZ48" s="19"/>
      <c r="LWA48" s="19"/>
      <c r="LWB48" s="19"/>
      <c r="LWC48" s="19"/>
      <c r="LWD48" s="19"/>
      <c r="LWE48" s="19"/>
      <c r="LWF48" s="19"/>
      <c r="LWG48" s="19"/>
      <c r="LWH48" s="19"/>
      <c r="LWI48" s="19"/>
      <c r="LWJ48" s="19"/>
      <c r="LWK48" s="19"/>
      <c r="LWL48" s="19"/>
      <c r="LWM48" s="19"/>
      <c r="LWN48" s="19"/>
      <c r="LWO48" s="19"/>
      <c r="LWP48" s="19"/>
      <c r="LWQ48" s="19"/>
      <c r="LWR48" s="19"/>
      <c r="LWS48" s="19"/>
      <c r="LWT48" s="19"/>
      <c r="LWU48" s="19"/>
      <c r="LWV48" s="19"/>
      <c r="LWW48" s="19"/>
      <c r="LWX48" s="19"/>
      <c r="LWY48" s="19"/>
      <c r="LWZ48" s="19"/>
      <c r="LXA48" s="19"/>
      <c r="LXB48" s="19"/>
      <c r="LXC48" s="19"/>
      <c r="LXD48" s="19"/>
      <c r="LXE48" s="19"/>
      <c r="LXF48" s="19"/>
      <c r="LXG48" s="19"/>
      <c r="LXH48" s="19"/>
      <c r="LXI48" s="19"/>
      <c r="LXJ48" s="19"/>
      <c r="LXK48" s="19"/>
      <c r="LXL48" s="19"/>
      <c r="LXM48" s="19"/>
      <c r="LXN48" s="19"/>
      <c r="LXO48" s="19"/>
      <c r="LXP48" s="19"/>
      <c r="LXQ48" s="19"/>
      <c r="LXR48" s="19"/>
      <c r="LXS48" s="19"/>
      <c r="LXT48" s="19"/>
      <c r="LXU48" s="19"/>
      <c r="LXV48" s="19"/>
      <c r="LXW48" s="19"/>
      <c r="LXX48" s="19"/>
      <c r="LXY48" s="19"/>
      <c r="LXZ48" s="19"/>
      <c r="LYA48" s="19"/>
      <c r="LYB48" s="19"/>
      <c r="LYC48" s="19"/>
      <c r="LYD48" s="19"/>
      <c r="LYE48" s="19"/>
      <c r="LYF48" s="19"/>
      <c r="LYG48" s="19"/>
      <c r="LYH48" s="19"/>
      <c r="LYI48" s="19"/>
      <c r="LYJ48" s="19"/>
      <c r="LYK48" s="19"/>
      <c r="LYL48" s="19"/>
      <c r="LYM48" s="19"/>
      <c r="LYN48" s="19"/>
      <c r="LYO48" s="19"/>
      <c r="LYP48" s="19"/>
      <c r="LYQ48" s="19"/>
      <c r="LYR48" s="19"/>
      <c r="LYS48" s="19"/>
      <c r="LYT48" s="19"/>
      <c r="LYU48" s="19"/>
      <c r="LYV48" s="19"/>
      <c r="LYW48" s="19"/>
      <c r="LYX48" s="19"/>
      <c r="LYY48" s="19"/>
      <c r="LYZ48" s="19"/>
      <c r="LZA48" s="19"/>
      <c r="LZB48" s="19"/>
      <c r="LZC48" s="19"/>
      <c r="LZD48" s="19"/>
      <c r="LZE48" s="19"/>
      <c r="LZF48" s="19"/>
      <c r="LZG48" s="19"/>
      <c r="LZH48" s="19"/>
      <c r="LZI48" s="19"/>
      <c r="LZJ48" s="19"/>
      <c r="LZK48" s="19"/>
      <c r="LZL48" s="19"/>
      <c r="LZM48" s="19"/>
      <c r="LZN48" s="19"/>
      <c r="LZO48" s="19"/>
      <c r="LZP48" s="19"/>
      <c r="LZQ48" s="19"/>
      <c r="LZR48" s="19"/>
      <c r="LZS48" s="19"/>
      <c r="LZT48" s="19"/>
      <c r="LZU48" s="19"/>
      <c r="LZV48" s="19"/>
      <c r="LZW48" s="19"/>
      <c r="LZX48" s="19"/>
      <c r="LZY48" s="19"/>
      <c r="LZZ48" s="19"/>
      <c r="MAA48" s="19"/>
      <c r="MAB48" s="19"/>
      <c r="MAC48" s="19"/>
      <c r="MAD48" s="19"/>
      <c r="MAE48" s="19"/>
      <c r="MAF48" s="19"/>
      <c r="MAG48" s="19"/>
      <c r="MAH48" s="19"/>
      <c r="MAI48" s="19"/>
      <c r="MAJ48" s="19"/>
      <c r="MAK48" s="19"/>
      <c r="MAL48" s="19"/>
      <c r="MAM48" s="19"/>
      <c r="MAN48" s="19"/>
      <c r="MAO48" s="19"/>
      <c r="MAP48" s="19"/>
      <c r="MAQ48" s="19"/>
      <c r="MAR48" s="19"/>
      <c r="MAS48" s="19"/>
      <c r="MAT48" s="19"/>
      <c r="MAU48" s="19"/>
      <c r="MAV48" s="19"/>
      <c r="MAW48" s="19"/>
      <c r="MAX48" s="19"/>
      <c r="MAY48" s="19"/>
      <c r="MAZ48" s="19"/>
      <c r="MBA48" s="19"/>
      <c r="MBB48" s="19"/>
      <c r="MBC48" s="19"/>
      <c r="MBD48" s="19"/>
      <c r="MBE48" s="19"/>
      <c r="MBF48" s="19"/>
      <c r="MBG48" s="19"/>
      <c r="MBH48" s="19"/>
      <c r="MBI48" s="19"/>
      <c r="MBJ48" s="19"/>
      <c r="MBK48" s="19"/>
      <c r="MBL48" s="19"/>
      <c r="MBM48" s="19"/>
      <c r="MBN48" s="19"/>
      <c r="MBO48" s="19"/>
      <c r="MBP48" s="19"/>
      <c r="MBQ48" s="19"/>
      <c r="MBR48" s="19"/>
      <c r="MBS48" s="19"/>
      <c r="MBT48" s="19"/>
      <c r="MBU48" s="19"/>
      <c r="MBV48" s="19"/>
      <c r="MBW48" s="19"/>
      <c r="MBX48" s="19"/>
      <c r="MBY48" s="19"/>
      <c r="MBZ48" s="19"/>
      <c r="MCA48" s="19"/>
      <c r="MCB48" s="19"/>
      <c r="MCC48" s="19"/>
      <c r="MCD48" s="19"/>
      <c r="MCE48" s="19"/>
      <c r="MCF48" s="19"/>
      <c r="MCG48" s="19"/>
      <c r="MCH48" s="19"/>
      <c r="MCI48" s="19"/>
      <c r="MCJ48" s="19"/>
      <c r="MCK48" s="19"/>
      <c r="MCL48" s="19"/>
      <c r="MCM48" s="19"/>
      <c r="MCN48" s="19"/>
      <c r="MCO48" s="19"/>
      <c r="MCP48" s="19"/>
      <c r="MCQ48" s="19"/>
      <c r="MCR48" s="19"/>
      <c r="MCS48" s="19"/>
      <c r="MCT48" s="19"/>
      <c r="MCU48" s="19"/>
      <c r="MCV48" s="19"/>
      <c r="MCW48" s="19"/>
      <c r="MCX48" s="19"/>
      <c r="MCY48" s="19"/>
      <c r="MCZ48" s="19"/>
      <c r="MDA48" s="19"/>
      <c r="MDB48" s="19"/>
      <c r="MDC48" s="19"/>
      <c r="MDD48" s="19"/>
      <c r="MDE48" s="19"/>
      <c r="MDF48" s="19"/>
      <c r="MDG48" s="19"/>
      <c r="MDH48" s="19"/>
      <c r="MDI48" s="19"/>
      <c r="MDJ48" s="19"/>
      <c r="MDK48" s="19"/>
      <c r="MDL48" s="19"/>
      <c r="MDM48" s="19"/>
      <c r="MDN48" s="19"/>
      <c r="MDO48" s="19"/>
      <c r="MDP48" s="19"/>
      <c r="MDQ48" s="19"/>
      <c r="MDR48" s="19"/>
      <c r="MDS48" s="19"/>
      <c r="MDT48" s="19"/>
      <c r="MDU48" s="19"/>
      <c r="MDV48" s="19"/>
      <c r="MDW48" s="19"/>
      <c r="MDX48" s="19"/>
      <c r="MDY48" s="19"/>
      <c r="MDZ48" s="19"/>
      <c r="MEA48" s="19"/>
      <c r="MEB48" s="19"/>
      <c r="MEC48" s="19"/>
      <c r="MED48" s="19"/>
      <c r="MEE48" s="19"/>
      <c r="MEF48" s="19"/>
      <c r="MEG48" s="19"/>
      <c r="MEH48" s="19"/>
      <c r="MEI48" s="19"/>
      <c r="MEJ48" s="19"/>
      <c r="MEK48" s="19"/>
      <c r="MEL48" s="19"/>
      <c r="MEM48" s="19"/>
      <c r="MEN48" s="19"/>
      <c r="MEO48" s="19"/>
      <c r="MEP48" s="19"/>
      <c r="MEQ48" s="19"/>
      <c r="MER48" s="19"/>
      <c r="MES48" s="19"/>
      <c r="MET48" s="19"/>
      <c r="MEU48" s="19"/>
      <c r="MEV48" s="19"/>
      <c r="MEW48" s="19"/>
      <c r="MEX48" s="19"/>
      <c r="MEY48" s="19"/>
      <c r="MEZ48" s="19"/>
      <c r="MFA48" s="19"/>
      <c r="MFB48" s="19"/>
      <c r="MFC48" s="19"/>
      <c r="MFD48" s="19"/>
      <c r="MFE48" s="19"/>
      <c r="MFF48" s="19"/>
      <c r="MFG48" s="19"/>
      <c r="MFH48" s="19"/>
      <c r="MFI48" s="19"/>
      <c r="MFJ48" s="19"/>
      <c r="MFK48" s="19"/>
      <c r="MFL48" s="19"/>
      <c r="MFM48" s="19"/>
      <c r="MFN48" s="19"/>
      <c r="MFO48" s="19"/>
      <c r="MFP48" s="19"/>
      <c r="MFQ48" s="19"/>
      <c r="MFR48" s="19"/>
      <c r="MFS48" s="19"/>
      <c r="MFT48" s="19"/>
      <c r="MFU48" s="19"/>
      <c r="MFV48" s="19"/>
      <c r="MFW48" s="19"/>
      <c r="MFX48" s="19"/>
      <c r="MFY48" s="19"/>
      <c r="MFZ48" s="19"/>
      <c r="MGA48" s="19"/>
      <c r="MGB48" s="19"/>
      <c r="MGC48" s="19"/>
      <c r="MGD48" s="19"/>
      <c r="MGE48" s="19"/>
      <c r="MGF48" s="19"/>
      <c r="MGG48" s="19"/>
      <c r="MGH48" s="19"/>
      <c r="MGI48" s="19"/>
      <c r="MGJ48" s="19"/>
      <c r="MGK48" s="19"/>
      <c r="MGL48" s="19"/>
      <c r="MGM48" s="19"/>
      <c r="MGN48" s="19"/>
      <c r="MGO48" s="19"/>
      <c r="MGP48" s="19"/>
      <c r="MGQ48" s="19"/>
      <c r="MGR48" s="19"/>
      <c r="MGS48" s="19"/>
      <c r="MGT48" s="19"/>
      <c r="MGU48" s="19"/>
      <c r="MGV48" s="19"/>
      <c r="MGW48" s="19"/>
      <c r="MGX48" s="19"/>
      <c r="MGY48" s="19"/>
      <c r="MGZ48" s="19"/>
      <c r="MHA48" s="19"/>
      <c r="MHB48" s="19"/>
      <c r="MHC48" s="19"/>
      <c r="MHD48" s="19"/>
      <c r="MHE48" s="19"/>
      <c r="MHF48" s="19"/>
      <c r="MHG48" s="19"/>
      <c r="MHH48" s="19"/>
      <c r="MHI48" s="19"/>
      <c r="MHJ48" s="19"/>
      <c r="MHK48" s="19"/>
      <c r="MHL48" s="19"/>
      <c r="MHM48" s="19"/>
      <c r="MHN48" s="19"/>
      <c r="MHO48" s="19"/>
      <c r="MHP48" s="19"/>
      <c r="MHQ48" s="19"/>
      <c r="MHR48" s="19"/>
      <c r="MHS48" s="19"/>
      <c r="MHT48" s="19"/>
      <c r="MHU48" s="19"/>
      <c r="MHV48" s="19"/>
      <c r="MHW48" s="19"/>
      <c r="MHX48" s="19"/>
      <c r="MHY48" s="19"/>
      <c r="MHZ48" s="19"/>
      <c r="MIA48" s="19"/>
      <c r="MIB48" s="19"/>
      <c r="MIC48" s="19"/>
      <c r="MID48" s="19"/>
      <c r="MIE48" s="19"/>
      <c r="MIF48" s="19"/>
      <c r="MIG48" s="19"/>
      <c r="MIH48" s="19"/>
      <c r="MII48" s="19"/>
      <c r="MIJ48" s="19"/>
      <c r="MIK48" s="19"/>
      <c r="MIL48" s="19"/>
      <c r="MIM48" s="19"/>
      <c r="MIN48" s="19"/>
      <c r="MIO48" s="19"/>
      <c r="MIP48" s="19"/>
      <c r="MIQ48" s="19"/>
      <c r="MIR48" s="19"/>
      <c r="MIS48" s="19"/>
      <c r="MIT48" s="19"/>
      <c r="MIU48" s="19"/>
      <c r="MIV48" s="19"/>
      <c r="MIW48" s="19"/>
      <c r="MIX48" s="19"/>
      <c r="MIY48" s="19"/>
      <c r="MIZ48" s="19"/>
      <c r="MJA48" s="19"/>
      <c r="MJB48" s="19"/>
      <c r="MJC48" s="19"/>
      <c r="MJD48" s="19"/>
      <c r="MJE48" s="19"/>
      <c r="MJF48" s="19"/>
      <c r="MJG48" s="19"/>
      <c r="MJH48" s="19"/>
      <c r="MJI48" s="19"/>
      <c r="MJJ48" s="19"/>
      <c r="MJK48" s="19"/>
      <c r="MJL48" s="19"/>
      <c r="MJM48" s="19"/>
      <c r="MJN48" s="19"/>
      <c r="MJO48" s="19"/>
      <c r="MJP48" s="19"/>
      <c r="MJQ48" s="19"/>
      <c r="MJR48" s="19"/>
      <c r="MJS48" s="19"/>
      <c r="MJT48" s="19"/>
      <c r="MJU48" s="19"/>
      <c r="MJV48" s="19"/>
      <c r="MJW48" s="19"/>
      <c r="MJX48" s="19"/>
      <c r="MJY48" s="19"/>
      <c r="MJZ48" s="19"/>
      <c r="MKA48" s="19"/>
      <c r="MKB48" s="19"/>
      <c r="MKC48" s="19"/>
      <c r="MKD48" s="19"/>
      <c r="MKE48" s="19"/>
      <c r="MKF48" s="19"/>
      <c r="MKG48" s="19"/>
      <c r="MKH48" s="19"/>
      <c r="MKI48" s="19"/>
      <c r="MKJ48" s="19"/>
      <c r="MKK48" s="19"/>
      <c r="MKL48" s="19"/>
      <c r="MKM48" s="19"/>
      <c r="MKN48" s="19"/>
      <c r="MKO48" s="19"/>
      <c r="MKP48" s="19"/>
      <c r="MKQ48" s="19"/>
      <c r="MKR48" s="19"/>
      <c r="MKS48" s="19"/>
      <c r="MKT48" s="19"/>
      <c r="MKU48" s="19"/>
      <c r="MKV48" s="19"/>
      <c r="MKW48" s="19"/>
      <c r="MKX48" s="19"/>
      <c r="MKY48" s="19"/>
      <c r="MKZ48" s="19"/>
      <c r="MLA48" s="19"/>
      <c r="MLB48" s="19"/>
      <c r="MLC48" s="19"/>
      <c r="MLD48" s="19"/>
      <c r="MLE48" s="19"/>
      <c r="MLF48" s="19"/>
      <c r="MLG48" s="19"/>
      <c r="MLH48" s="19"/>
      <c r="MLI48" s="19"/>
      <c r="MLJ48" s="19"/>
      <c r="MLK48" s="19"/>
      <c r="MLL48" s="19"/>
      <c r="MLM48" s="19"/>
      <c r="MLN48" s="19"/>
      <c r="MLO48" s="19"/>
      <c r="MLP48" s="19"/>
      <c r="MLQ48" s="19"/>
      <c r="MLR48" s="19"/>
      <c r="MLS48" s="19"/>
      <c r="MLT48" s="19"/>
      <c r="MLU48" s="19"/>
      <c r="MLV48" s="19"/>
      <c r="MLW48" s="19"/>
      <c r="MLX48" s="19"/>
      <c r="MLY48" s="19"/>
      <c r="MLZ48" s="19"/>
      <c r="MMA48" s="19"/>
      <c r="MMB48" s="19"/>
      <c r="MMC48" s="19"/>
      <c r="MMD48" s="19"/>
      <c r="MME48" s="19"/>
      <c r="MMF48" s="19"/>
      <c r="MMG48" s="19"/>
      <c r="MMH48" s="19"/>
      <c r="MMI48" s="19"/>
      <c r="MMJ48" s="19"/>
      <c r="MMK48" s="19"/>
      <c r="MML48" s="19"/>
      <c r="MMM48" s="19"/>
      <c r="MMN48" s="19"/>
      <c r="MMO48" s="19"/>
      <c r="MMP48" s="19"/>
      <c r="MMQ48" s="19"/>
      <c r="MMR48" s="19"/>
      <c r="MMS48" s="19"/>
      <c r="MMT48" s="19"/>
      <c r="MMU48" s="19"/>
      <c r="MMV48" s="19"/>
      <c r="MMW48" s="19"/>
      <c r="MMX48" s="19"/>
      <c r="MMY48" s="19"/>
      <c r="MMZ48" s="19"/>
      <c r="MNA48" s="19"/>
      <c r="MNB48" s="19"/>
      <c r="MNC48" s="19"/>
      <c r="MND48" s="19"/>
      <c r="MNE48" s="19"/>
      <c r="MNF48" s="19"/>
      <c r="MNG48" s="19"/>
      <c r="MNH48" s="19"/>
      <c r="MNI48" s="19"/>
      <c r="MNJ48" s="19"/>
      <c r="MNK48" s="19"/>
      <c r="MNL48" s="19"/>
      <c r="MNM48" s="19"/>
      <c r="MNN48" s="19"/>
      <c r="MNO48" s="19"/>
      <c r="MNP48" s="19"/>
      <c r="MNQ48" s="19"/>
      <c r="MNR48" s="19"/>
      <c r="MNS48" s="19"/>
      <c r="MNT48" s="19"/>
      <c r="MNU48" s="19"/>
      <c r="MNV48" s="19"/>
      <c r="MNW48" s="19"/>
      <c r="MNX48" s="19"/>
      <c r="MNY48" s="19"/>
      <c r="MNZ48" s="19"/>
      <c r="MOA48" s="19"/>
      <c r="MOB48" s="19"/>
      <c r="MOC48" s="19"/>
      <c r="MOD48" s="19"/>
      <c r="MOE48" s="19"/>
      <c r="MOF48" s="19"/>
      <c r="MOG48" s="19"/>
      <c r="MOH48" s="19"/>
      <c r="MOI48" s="19"/>
      <c r="MOJ48" s="19"/>
      <c r="MOK48" s="19"/>
      <c r="MOL48" s="19"/>
      <c r="MOM48" s="19"/>
      <c r="MON48" s="19"/>
      <c r="MOO48" s="19"/>
      <c r="MOP48" s="19"/>
      <c r="MOQ48" s="19"/>
      <c r="MOR48" s="19"/>
      <c r="MOS48" s="19"/>
      <c r="MOT48" s="19"/>
      <c r="MOU48" s="19"/>
      <c r="MOV48" s="19"/>
      <c r="MOW48" s="19"/>
      <c r="MOX48" s="19"/>
      <c r="MOY48" s="19"/>
      <c r="MOZ48" s="19"/>
      <c r="MPA48" s="19"/>
      <c r="MPB48" s="19"/>
      <c r="MPC48" s="19"/>
      <c r="MPD48" s="19"/>
      <c r="MPE48" s="19"/>
      <c r="MPF48" s="19"/>
      <c r="MPG48" s="19"/>
      <c r="MPH48" s="19"/>
      <c r="MPI48" s="19"/>
      <c r="MPJ48" s="19"/>
      <c r="MPK48" s="19"/>
      <c r="MPL48" s="19"/>
      <c r="MPM48" s="19"/>
      <c r="MPN48" s="19"/>
      <c r="MPO48" s="19"/>
      <c r="MPP48" s="19"/>
      <c r="MPQ48" s="19"/>
      <c r="MPR48" s="19"/>
      <c r="MPS48" s="19"/>
      <c r="MPT48" s="19"/>
      <c r="MPU48" s="19"/>
      <c r="MPV48" s="19"/>
      <c r="MPW48" s="19"/>
      <c r="MPX48" s="19"/>
      <c r="MPY48" s="19"/>
      <c r="MPZ48" s="19"/>
      <c r="MQA48" s="19"/>
      <c r="MQB48" s="19"/>
      <c r="MQC48" s="19"/>
      <c r="MQD48" s="19"/>
      <c r="MQE48" s="19"/>
      <c r="MQF48" s="19"/>
      <c r="MQG48" s="19"/>
      <c r="MQH48" s="19"/>
      <c r="MQI48" s="19"/>
      <c r="MQJ48" s="19"/>
      <c r="MQK48" s="19"/>
      <c r="MQL48" s="19"/>
      <c r="MQM48" s="19"/>
      <c r="MQN48" s="19"/>
      <c r="MQO48" s="19"/>
      <c r="MQP48" s="19"/>
      <c r="MQQ48" s="19"/>
      <c r="MQR48" s="19"/>
      <c r="MQS48" s="19"/>
      <c r="MQT48" s="19"/>
      <c r="MQU48" s="19"/>
      <c r="MQV48" s="19"/>
      <c r="MQW48" s="19"/>
      <c r="MQX48" s="19"/>
      <c r="MQY48" s="19"/>
      <c r="MQZ48" s="19"/>
      <c r="MRA48" s="19"/>
      <c r="MRB48" s="19"/>
      <c r="MRC48" s="19"/>
      <c r="MRD48" s="19"/>
      <c r="MRE48" s="19"/>
      <c r="MRF48" s="19"/>
      <c r="MRG48" s="19"/>
      <c r="MRH48" s="19"/>
      <c r="MRI48" s="19"/>
      <c r="MRJ48" s="19"/>
      <c r="MRK48" s="19"/>
      <c r="MRL48" s="19"/>
      <c r="MRM48" s="19"/>
      <c r="MRN48" s="19"/>
      <c r="MRO48" s="19"/>
      <c r="MRP48" s="19"/>
      <c r="MRQ48" s="19"/>
      <c r="MRR48" s="19"/>
      <c r="MRS48" s="19"/>
      <c r="MRT48" s="19"/>
      <c r="MRU48" s="19"/>
      <c r="MRV48" s="19"/>
      <c r="MRW48" s="19"/>
      <c r="MRX48" s="19"/>
      <c r="MRY48" s="19"/>
      <c r="MRZ48" s="19"/>
      <c r="MSA48" s="19"/>
      <c r="MSB48" s="19"/>
      <c r="MSC48" s="19"/>
      <c r="MSD48" s="19"/>
      <c r="MSE48" s="19"/>
      <c r="MSF48" s="19"/>
      <c r="MSG48" s="19"/>
      <c r="MSH48" s="19"/>
      <c r="MSI48" s="19"/>
      <c r="MSJ48" s="19"/>
      <c r="MSK48" s="19"/>
      <c r="MSL48" s="19"/>
      <c r="MSM48" s="19"/>
      <c r="MSN48" s="19"/>
      <c r="MSO48" s="19"/>
      <c r="MSP48" s="19"/>
      <c r="MSQ48" s="19"/>
      <c r="MSR48" s="19"/>
      <c r="MSS48" s="19"/>
      <c r="MST48" s="19"/>
      <c r="MSU48" s="19"/>
      <c r="MSV48" s="19"/>
      <c r="MSW48" s="19"/>
      <c r="MSX48" s="19"/>
      <c r="MSY48" s="19"/>
      <c r="MSZ48" s="19"/>
      <c r="MTA48" s="19"/>
      <c r="MTB48" s="19"/>
      <c r="MTC48" s="19"/>
      <c r="MTD48" s="19"/>
      <c r="MTE48" s="19"/>
      <c r="MTF48" s="19"/>
      <c r="MTG48" s="19"/>
      <c r="MTH48" s="19"/>
      <c r="MTI48" s="19"/>
      <c r="MTJ48" s="19"/>
      <c r="MTK48" s="19"/>
      <c r="MTL48" s="19"/>
      <c r="MTM48" s="19"/>
      <c r="MTN48" s="19"/>
      <c r="MTO48" s="19"/>
      <c r="MTP48" s="19"/>
      <c r="MTQ48" s="19"/>
      <c r="MTR48" s="19"/>
      <c r="MTS48" s="19"/>
      <c r="MTT48" s="19"/>
      <c r="MTU48" s="19"/>
      <c r="MTV48" s="19"/>
      <c r="MTW48" s="19"/>
      <c r="MTX48" s="19"/>
      <c r="MTY48" s="19"/>
      <c r="MTZ48" s="19"/>
      <c r="MUA48" s="19"/>
      <c r="MUB48" s="19"/>
      <c r="MUC48" s="19"/>
      <c r="MUD48" s="19"/>
      <c r="MUE48" s="19"/>
      <c r="MUF48" s="19"/>
      <c r="MUG48" s="19"/>
      <c r="MUH48" s="19"/>
      <c r="MUI48" s="19"/>
      <c r="MUJ48" s="19"/>
      <c r="MUK48" s="19"/>
      <c r="MUL48" s="19"/>
      <c r="MUM48" s="19"/>
      <c r="MUN48" s="19"/>
      <c r="MUO48" s="19"/>
      <c r="MUP48" s="19"/>
      <c r="MUQ48" s="19"/>
      <c r="MUR48" s="19"/>
      <c r="MUS48" s="19"/>
      <c r="MUT48" s="19"/>
      <c r="MUU48" s="19"/>
      <c r="MUV48" s="19"/>
      <c r="MUW48" s="19"/>
      <c r="MUX48" s="19"/>
      <c r="MUY48" s="19"/>
      <c r="MUZ48" s="19"/>
      <c r="MVA48" s="19"/>
      <c r="MVB48" s="19"/>
      <c r="MVC48" s="19"/>
      <c r="MVD48" s="19"/>
      <c r="MVE48" s="19"/>
      <c r="MVF48" s="19"/>
      <c r="MVG48" s="19"/>
      <c r="MVH48" s="19"/>
      <c r="MVI48" s="19"/>
      <c r="MVJ48" s="19"/>
      <c r="MVK48" s="19"/>
      <c r="MVL48" s="19"/>
      <c r="MVM48" s="19"/>
      <c r="MVN48" s="19"/>
      <c r="MVO48" s="19"/>
      <c r="MVP48" s="19"/>
      <c r="MVQ48" s="19"/>
      <c r="MVR48" s="19"/>
      <c r="MVS48" s="19"/>
      <c r="MVT48" s="19"/>
      <c r="MVU48" s="19"/>
      <c r="MVV48" s="19"/>
      <c r="MVW48" s="19"/>
      <c r="MVX48" s="19"/>
      <c r="MVY48" s="19"/>
      <c r="MVZ48" s="19"/>
      <c r="MWA48" s="19"/>
      <c r="MWB48" s="19"/>
      <c r="MWC48" s="19"/>
      <c r="MWD48" s="19"/>
      <c r="MWE48" s="19"/>
      <c r="MWF48" s="19"/>
      <c r="MWG48" s="19"/>
      <c r="MWH48" s="19"/>
      <c r="MWI48" s="19"/>
      <c r="MWJ48" s="19"/>
      <c r="MWK48" s="19"/>
      <c r="MWL48" s="19"/>
      <c r="MWM48" s="19"/>
      <c r="MWN48" s="19"/>
      <c r="MWO48" s="19"/>
      <c r="MWP48" s="19"/>
      <c r="MWQ48" s="19"/>
      <c r="MWR48" s="19"/>
      <c r="MWS48" s="19"/>
      <c r="MWT48" s="19"/>
      <c r="MWU48" s="19"/>
      <c r="MWV48" s="19"/>
      <c r="MWW48" s="19"/>
      <c r="MWX48" s="19"/>
      <c r="MWY48" s="19"/>
      <c r="MWZ48" s="19"/>
      <c r="MXA48" s="19"/>
      <c r="MXB48" s="19"/>
      <c r="MXC48" s="19"/>
      <c r="MXD48" s="19"/>
      <c r="MXE48" s="19"/>
      <c r="MXF48" s="19"/>
      <c r="MXG48" s="19"/>
      <c r="MXH48" s="19"/>
      <c r="MXI48" s="19"/>
      <c r="MXJ48" s="19"/>
      <c r="MXK48" s="19"/>
      <c r="MXL48" s="19"/>
      <c r="MXM48" s="19"/>
      <c r="MXN48" s="19"/>
      <c r="MXO48" s="19"/>
      <c r="MXP48" s="19"/>
      <c r="MXQ48" s="19"/>
      <c r="MXR48" s="19"/>
      <c r="MXS48" s="19"/>
      <c r="MXT48" s="19"/>
      <c r="MXU48" s="19"/>
      <c r="MXV48" s="19"/>
      <c r="MXW48" s="19"/>
      <c r="MXX48" s="19"/>
      <c r="MXY48" s="19"/>
      <c r="MXZ48" s="19"/>
      <c r="MYA48" s="19"/>
      <c r="MYB48" s="19"/>
      <c r="MYC48" s="19"/>
      <c r="MYD48" s="19"/>
      <c r="MYE48" s="19"/>
      <c r="MYF48" s="19"/>
      <c r="MYG48" s="19"/>
      <c r="MYH48" s="19"/>
      <c r="MYI48" s="19"/>
      <c r="MYJ48" s="19"/>
      <c r="MYK48" s="19"/>
      <c r="MYL48" s="19"/>
      <c r="MYM48" s="19"/>
      <c r="MYN48" s="19"/>
      <c r="MYO48" s="19"/>
      <c r="MYP48" s="19"/>
      <c r="MYQ48" s="19"/>
      <c r="MYR48" s="19"/>
      <c r="MYS48" s="19"/>
      <c r="MYT48" s="19"/>
      <c r="MYU48" s="19"/>
      <c r="MYV48" s="19"/>
      <c r="MYW48" s="19"/>
      <c r="MYX48" s="19"/>
      <c r="MYY48" s="19"/>
      <c r="MYZ48" s="19"/>
      <c r="MZA48" s="19"/>
      <c r="MZB48" s="19"/>
      <c r="MZC48" s="19"/>
      <c r="MZD48" s="19"/>
      <c r="MZE48" s="19"/>
      <c r="MZF48" s="19"/>
      <c r="MZG48" s="19"/>
      <c r="MZH48" s="19"/>
      <c r="MZI48" s="19"/>
      <c r="MZJ48" s="19"/>
      <c r="MZK48" s="19"/>
      <c r="MZL48" s="19"/>
      <c r="MZM48" s="19"/>
      <c r="MZN48" s="19"/>
      <c r="MZO48" s="19"/>
      <c r="MZP48" s="19"/>
      <c r="MZQ48" s="19"/>
      <c r="MZR48" s="19"/>
      <c r="MZS48" s="19"/>
      <c r="MZT48" s="19"/>
      <c r="MZU48" s="19"/>
      <c r="MZV48" s="19"/>
      <c r="MZW48" s="19"/>
      <c r="MZX48" s="19"/>
      <c r="MZY48" s="19"/>
      <c r="MZZ48" s="19"/>
      <c r="NAA48" s="19"/>
      <c r="NAB48" s="19"/>
      <c r="NAC48" s="19"/>
      <c r="NAD48" s="19"/>
      <c r="NAE48" s="19"/>
      <c r="NAF48" s="19"/>
      <c r="NAG48" s="19"/>
      <c r="NAH48" s="19"/>
      <c r="NAI48" s="19"/>
      <c r="NAJ48" s="19"/>
      <c r="NAK48" s="19"/>
      <c r="NAL48" s="19"/>
      <c r="NAM48" s="19"/>
      <c r="NAN48" s="19"/>
      <c r="NAO48" s="19"/>
      <c r="NAP48" s="19"/>
      <c r="NAQ48" s="19"/>
      <c r="NAR48" s="19"/>
      <c r="NAS48" s="19"/>
      <c r="NAT48" s="19"/>
      <c r="NAU48" s="19"/>
      <c r="NAV48" s="19"/>
      <c r="NAW48" s="19"/>
      <c r="NAX48" s="19"/>
      <c r="NAY48" s="19"/>
      <c r="NAZ48" s="19"/>
      <c r="NBA48" s="19"/>
      <c r="NBB48" s="19"/>
      <c r="NBC48" s="19"/>
      <c r="NBD48" s="19"/>
      <c r="NBE48" s="19"/>
      <c r="NBF48" s="19"/>
      <c r="NBG48" s="19"/>
      <c r="NBH48" s="19"/>
      <c r="NBI48" s="19"/>
      <c r="NBJ48" s="19"/>
      <c r="NBK48" s="19"/>
      <c r="NBL48" s="19"/>
      <c r="NBM48" s="19"/>
      <c r="NBN48" s="19"/>
      <c r="NBO48" s="19"/>
      <c r="NBP48" s="19"/>
      <c r="NBQ48" s="19"/>
      <c r="NBR48" s="19"/>
      <c r="NBS48" s="19"/>
      <c r="NBT48" s="19"/>
      <c r="NBU48" s="19"/>
      <c r="NBV48" s="19"/>
      <c r="NBW48" s="19"/>
      <c r="NBX48" s="19"/>
      <c r="NBY48" s="19"/>
      <c r="NBZ48" s="19"/>
      <c r="NCA48" s="19"/>
      <c r="NCB48" s="19"/>
      <c r="NCC48" s="19"/>
      <c r="NCD48" s="19"/>
      <c r="NCE48" s="19"/>
      <c r="NCF48" s="19"/>
      <c r="NCG48" s="19"/>
      <c r="NCH48" s="19"/>
      <c r="NCI48" s="19"/>
      <c r="NCJ48" s="19"/>
      <c r="NCK48" s="19"/>
      <c r="NCL48" s="19"/>
      <c r="NCM48" s="19"/>
      <c r="NCN48" s="19"/>
      <c r="NCO48" s="19"/>
      <c r="NCP48" s="19"/>
      <c r="NCQ48" s="19"/>
      <c r="NCR48" s="19"/>
      <c r="NCS48" s="19"/>
      <c r="NCT48" s="19"/>
      <c r="NCU48" s="19"/>
      <c r="NCV48" s="19"/>
      <c r="NCW48" s="19"/>
      <c r="NCX48" s="19"/>
      <c r="NCY48" s="19"/>
      <c r="NCZ48" s="19"/>
      <c r="NDA48" s="19"/>
      <c r="NDB48" s="19"/>
      <c r="NDC48" s="19"/>
      <c r="NDD48" s="19"/>
      <c r="NDE48" s="19"/>
      <c r="NDF48" s="19"/>
      <c r="NDG48" s="19"/>
      <c r="NDH48" s="19"/>
      <c r="NDI48" s="19"/>
      <c r="NDJ48" s="19"/>
      <c r="NDK48" s="19"/>
      <c r="NDL48" s="19"/>
      <c r="NDM48" s="19"/>
      <c r="NDN48" s="19"/>
      <c r="NDO48" s="19"/>
      <c r="NDP48" s="19"/>
      <c r="NDQ48" s="19"/>
      <c r="NDR48" s="19"/>
      <c r="NDS48" s="19"/>
      <c r="NDT48" s="19"/>
      <c r="NDU48" s="19"/>
      <c r="NDV48" s="19"/>
      <c r="NDW48" s="19"/>
      <c r="NDX48" s="19"/>
      <c r="NDY48" s="19"/>
      <c r="NDZ48" s="19"/>
      <c r="NEA48" s="19"/>
      <c r="NEB48" s="19"/>
      <c r="NEC48" s="19"/>
      <c r="NED48" s="19"/>
      <c r="NEE48" s="19"/>
      <c r="NEF48" s="19"/>
      <c r="NEG48" s="19"/>
      <c r="NEH48" s="19"/>
      <c r="NEI48" s="19"/>
      <c r="NEJ48" s="19"/>
      <c r="NEK48" s="19"/>
      <c r="NEL48" s="19"/>
      <c r="NEM48" s="19"/>
      <c r="NEN48" s="19"/>
      <c r="NEO48" s="19"/>
      <c r="NEP48" s="19"/>
      <c r="NEQ48" s="19"/>
      <c r="NER48" s="19"/>
      <c r="NES48" s="19"/>
      <c r="NET48" s="19"/>
      <c r="NEU48" s="19"/>
      <c r="NEV48" s="19"/>
      <c r="NEW48" s="19"/>
      <c r="NEX48" s="19"/>
      <c r="NEY48" s="19"/>
      <c r="NEZ48" s="19"/>
      <c r="NFA48" s="19"/>
      <c r="NFB48" s="19"/>
      <c r="NFC48" s="19"/>
      <c r="NFD48" s="19"/>
      <c r="NFE48" s="19"/>
      <c r="NFF48" s="19"/>
      <c r="NFG48" s="19"/>
      <c r="NFH48" s="19"/>
      <c r="NFI48" s="19"/>
      <c r="NFJ48" s="19"/>
      <c r="NFK48" s="19"/>
      <c r="NFL48" s="19"/>
      <c r="NFM48" s="19"/>
      <c r="NFN48" s="19"/>
      <c r="NFO48" s="19"/>
      <c r="NFP48" s="19"/>
      <c r="NFQ48" s="19"/>
      <c r="NFR48" s="19"/>
      <c r="NFS48" s="19"/>
      <c r="NFT48" s="19"/>
      <c r="NFU48" s="19"/>
      <c r="NFV48" s="19"/>
      <c r="NFW48" s="19"/>
      <c r="NFX48" s="19"/>
      <c r="NFY48" s="19"/>
      <c r="NFZ48" s="19"/>
      <c r="NGA48" s="19"/>
      <c r="NGB48" s="19"/>
      <c r="NGC48" s="19"/>
      <c r="NGD48" s="19"/>
      <c r="NGE48" s="19"/>
      <c r="NGF48" s="19"/>
      <c r="NGG48" s="19"/>
      <c r="NGH48" s="19"/>
      <c r="NGI48" s="19"/>
      <c r="NGJ48" s="19"/>
      <c r="NGK48" s="19"/>
      <c r="NGL48" s="19"/>
      <c r="NGM48" s="19"/>
      <c r="NGN48" s="19"/>
      <c r="NGO48" s="19"/>
      <c r="NGP48" s="19"/>
      <c r="NGQ48" s="19"/>
      <c r="NGR48" s="19"/>
      <c r="NGS48" s="19"/>
      <c r="NGT48" s="19"/>
      <c r="NGU48" s="19"/>
      <c r="NGV48" s="19"/>
      <c r="NGW48" s="19"/>
      <c r="NGX48" s="19"/>
      <c r="NGY48" s="19"/>
      <c r="NGZ48" s="19"/>
      <c r="NHA48" s="19"/>
      <c r="NHB48" s="19"/>
      <c r="NHC48" s="19"/>
      <c r="NHD48" s="19"/>
      <c r="NHE48" s="19"/>
      <c r="NHF48" s="19"/>
      <c r="NHG48" s="19"/>
      <c r="NHH48" s="19"/>
      <c r="NHI48" s="19"/>
      <c r="NHJ48" s="19"/>
      <c r="NHK48" s="19"/>
      <c r="NHL48" s="19"/>
      <c r="NHM48" s="19"/>
      <c r="NHN48" s="19"/>
      <c r="NHO48" s="19"/>
      <c r="NHP48" s="19"/>
      <c r="NHQ48" s="19"/>
      <c r="NHR48" s="19"/>
      <c r="NHS48" s="19"/>
      <c r="NHT48" s="19"/>
      <c r="NHU48" s="19"/>
      <c r="NHV48" s="19"/>
      <c r="NHW48" s="19"/>
      <c r="NHX48" s="19"/>
      <c r="NHY48" s="19"/>
      <c r="NHZ48" s="19"/>
      <c r="NIA48" s="19"/>
      <c r="NIB48" s="19"/>
      <c r="NIC48" s="19"/>
      <c r="NID48" s="19"/>
      <c r="NIE48" s="19"/>
      <c r="NIF48" s="19"/>
      <c r="NIG48" s="19"/>
      <c r="NIH48" s="19"/>
      <c r="NII48" s="19"/>
      <c r="NIJ48" s="19"/>
      <c r="NIK48" s="19"/>
      <c r="NIL48" s="19"/>
      <c r="NIM48" s="19"/>
      <c r="NIN48" s="19"/>
      <c r="NIO48" s="19"/>
      <c r="NIP48" s="19"/>
      <c r="NIQ48" s="19"/>
      <c r="NIR48" s="19"/>
      <c r="NIS48" s="19"/>
      <c r="NIT48" s="19"/>
      <c r="NIU48" s="19"/>
      <c r="NIV48" s="19"/>
      <c r="NIW48" s="19"/>
      <c r="NIX48" s="19"/>
      <c r="NIY48" s="19"/>
      <c r="NIZ48" s="19"/>
      <c r="NJA48" s="19"/>
      <c r="NJB48" s="19"/>
      <c r="NJC48" s="19"/>
      <c r="NJD48" s="19"/>
      <c r="NJE48" s="19"/>
      <c r="NJF48" s="19"/>
      <c r="NJG48" s="19"/>
      <c r="NJH48" s="19"/>
      <c r="NJI48" s="19"/>
      <c r="NJJ48" s="19"/>
      <c r="NJK48" s="19"/>
      <c r="NJL48" s="19"/>
      <c r="NJM48" s="19"/>
      <c r="NJN48" s="19"/>
      <c r="NJO48" s="19"/>
      <c r="NJP48" s="19"/>
      <c r="NJQ48" s="19"/>
      <c r="NJR48" s="19"/>
      <c r="NJS48" s="19"/>
      <c r="NJT48" s="19"/>
      <c r="NJU48" s="19"/>
      <c r="NJV48" s="19"/>
      <c r="NJW48" s="19"/>
      <c r="NJX48" s="19"/>
      <c r="NJY48" s="19"/>
      <c r="NJZ48" s="19"/>
      <c r="NKA48" s="19"/>
      <c r="NKB48" s="19"/>
      <c r="NKC48" s="19"/>
      <c r="NKD48" s="19"/>
      <c r="NKE48" s="19"/>
      <c r="NKF48" s="19"/>
      <c r="NKG48" s="19"/>
      <c r="NKH48" s="19"/>
      <c r="NKI48" s="19"/>
      <c r="NKJ48" s="19"/>
      <c r="NKK48" s="19"/>
      <c r="NKL48" s="19"/>
      <c r="NKM48" s="19"/>
      <c r="NKN48" s="19"/>
      <c r="NKO48" s="19"/>
      <c r="NKP48" s="19"/>
      <c r="NKQ48" s="19"/>
      <c r="NKR48" s="19"/>
      <c r="NKS48" s="19"/>
      <c r="NKT48" s="19"/>
      <c r="NKU48" s="19"/>
      <c r="NKV48" s="19"/>
      <c r="NKW48" s="19"/>
      <c r="NKX48" s="19"/>
      <c r="NKY48" s="19"/>
      <c r="NKZ48" s="19"/>
      <c r="NLA48" s="19"/>
      <c r="NLB48" s="19"/>
      <c r="NLC48" s="19"/>
      <c r="NLD48" s="19"/>
      <c r="NLE48" s="19"/>
      <c r="NLF48" s="19"/>
      <c r="NLG48" s="19"/>
      <c r="NLH48" s="19"/>
      <c r="NLI48" s="19"/>
      <c r="NLJ48" s="19"/>
      <c r="NLK48" s="19"/>
      <c r="NLL48" s="19"/>
      <c r="NLM48" s="19"/>
      <c r="NLN48" s="19"/>
      <c r="NLO48" s="19"/>
      <c r="NLP48" s="19"/>
      <c r="NLQ48" s="19"/>
      <c r="NLR48" s="19"/>
      <c r="NLS48" s="19"/>
      <c r="NLT48" s="19"/>
      <c r="NLU48" s="19"/>
      <c r="NLV48" s="19"/>
      <c r="NLW48" s="19"/>
      <c r="NLX48" s="19"/>
      <c r="NLY48" s="19"/>
      <c r="NLZ48" s="19"/>
      <c r="NMA48" s="19"/>
      <c r="NMB48" s="19"/>
      <c r="NMC48" s="19"/>
      <c r="NMD48" s="19"/>
      <c r="NME48" s="19"/>
      <c r="NMF48" s="19"/>
      <c r="NMG48" s="19"/>
      <c r="NMH48" s="19"/>
      <c r="NMI48" s="19"/>
      <c r="NMJ48" s="19"/>
      <c r="NMK48" s="19"/>
      <c r="NML48" s="19"/>
      <c r="NMM48" s="19"/>
      <c r="NMN48" s="19"/>
      <c r="NMO48" s="19"/>
      <c r="NMP48" s="19"/>
      <c r="NMQ48" s="19"/>
      <c r="NMR48" s="19"/>
      <c r="NMS48" s="19"/>
      <c r="NMT48" s="19"/>
      <c r="NMU48" s="19"/>
      <c r="NMV48" s="19"/>
      <c r="NMW48" s="19"/>
      <c r="NMX48" s="19"/>
      <c r="NMY48" s="19"/>
      <c r="NMZ48" s="19"/>
      <c r="NNA48" s="19"/>
      <c r="NNB48" s="19"/>
      <c r="NNC48" s="19"/>
      <c r="NND48" s="19"/>
      <c r="NNE48" s="19"/>
      <c r="NNF48" s="19"/>
      <c r="NNG48" s="19"/>
      <c r="NNH48" s="19"/>
      <c r="NNI48" s="19"/>
      <c r="NNJ48" s="19"/>
      <c r="NNK48" s="19"/>
      <c r="NNL48" s="19"/>
      <c r="NNM48" s="19"/>
      <c r="NNN48" s="19"/>
      <c r="NNO48" s="19"/>
      <c r="NNP48" s="19"/>
      <c r="NNQ48" s="19"/>
      <c r="NNR48" s="19"/>
      <c r="NNS48" s="19"/>
      <c r="NNT48" s="19"/>
      <c r="NNU48" s="19"/>
      <c r="NNV48" s="19"/>
      <c r="NNW48" s="19"/>
      <c r="NNX48" s="19"/>
      <c r="NNY48" s="19"/>
      <c r="NNZ48" s="19"/>
      <c r="NOA48" s="19"/>
      <c r="NOB48" s="19"/>
      <c r="NOC48" s="19"/>
      <c r="NOD48" s="19"/>
      <c r="NOE48" s="19"/>
      <c r="NOF48" s="19"/>
      <c r="NOG48" s="19"/>
      <c r="NOH48" s="19"/>
      <c r="NOI48" s="19"/>
      <c r="NOJ48" s="19"/>
      <c r="NOK48" s="19"/>
      <c r="NOL48" s="19"/>
      <c r="NOM48" s="19"/>
      <c r="NON48" s="19"/>
      <c r="NOO48" s="19"/>
      <c r="NOP48" s="19"/>
      <c r="NOQ48" s="19"/>
      <c r="NOR48" s="19"/>
      <c r="NOS48" s="19"/>
      <c r="NOT48" s="19"/>
      <c r="NOU48" s="19"/>
      <c r="NOV48" s="19"/>
      <c r="NOW48" s="19"/>
      <c r="NOX48" s="19"/>
      <c r="NOY48" s="19"/>
      <c r="NOZ48" s="19"/>
      <c r="NPA48" s="19"/>
      <c r="NPB48" s="19"/>
      <c r="NPC48" s="19"/>
      <c r="NPD48" s="19"/>
      <c r="NPE48" s="19"/>
      <c r="NPF48" s="19"/>
      <c r="NPG48" s="19"/>
      <c r="NPH48" s="19"/>
      <c r="NPI48" s="19"/>
      <c r="NPJ48" s="19"/>
      <c r="NPK48" s="19"/>
      <c r="NPL48" s="19"/>
      <c r="NPM48" s="19"/>
      <c r="NPN48" s="19"/>
      <c r="NPO48" s="19"/>
      <c r="NPP48" s="19"/>
      <c r="NPQ48" s="19"/>
      <c r="NPR48" s="19"/>
      <c r="NPS48" s="19"/>
      <c r="NPT48" s="19"/>
      <c r="NPU48" s="19"/>
      <c r="NPV48" s="19"/>
      <c r="NPW48" s="19"/>
      <c r="NPX48" s="19"/>
      <c r="NPY48" s="19"/>
      <c r="NPZ48" s="19"/>
      <c r="NQA48" s="19"/>
      <c r="NQB48" s="19"/>
      <c r="NQC48" s="19"/>
      <c r="NQD48" s="19"/>
      <c r="NQE48" s="19"/>
      <c r="NQF48" s="19"/>
      <c r="NQG48" s="19"/>
      <c r="NQH48" s="19"/>
      <c r="NQI48" s="19"/>
      <c r="NQJ48" s="19"/>
      <c r="NQK48" s="19"/>
      <c r="NQL48" s="19"/>
      <c r="NQM48" s="19"/>
      <c r="NQN48" s="19"/>
      <c r="NQO48" s="19"/>
      <c r="NQP48" s="19"/>
      <c r="NQQ48" s="19"/>
      <c r="NQR48" s="19"/>
      <c r="NQS48" s="19"/>
      <c r="NQT48" s="19"/>
      <c r="NQU48" s="19"/>
      <c r="NQV48" s="19"/>
      <c r="NQW48" s="19"/>
      <c r="NQX48" s="19"/>
      <c r="NQY48" s="19"/>
      <c r="NQZ48" s="19"/>
      <c r="NRA48" s="19"/>
      <c r="NRB48" s="19"/>
      <c r="NRC48" s="19"/>
      <c r="NRD48" s="19"/>
      <c r="NRE48" s="19"/>
      <c r="NRF48" s="19"/>
      <c r="NRG48" s="19"/>
      <c r="NRH48" s="19"/>
      <c r="NRI48" s="19"/>
      <c r="NRJ48" s="19"/>
      <c r="NRK48" s="19"/>
      <c r="NRL48" s="19"/>
      <c r="NRM48" s="19"/>
      <c r="NRN48" s="19"/>
      <c r="NRO48" s="19"/>
      <c r="NRP48" s="19"/>
      <c r="NRQ48" s="19"/>
      <c r="NRR48" s="19"/>
      <c r="NRS48" s="19"/>
      <c r="NRT48" s="19"/>
      <c r="NRU48" s="19"/>
      <c r="NRV48" s="19"/>
      <c r="NRW48" s="19"/>
      <c r="NRX48" s="19"/>
      <c r="NRY48" s="19"/>
      <c r="NRZ48" s="19"/>
      <c r="NSA48" s="19"/>
      <c r="NSB48" s="19"/>
      <c r="NSC48" s="19"/>
      <c r="NSD48" s="19"/>
      <c r="NSE48" s="19"/>
      <c r="NSF48" s="19"/>
      <c r="NSG48" s="19"/>
      <c r="NSH48" s="19"/>
      <c r="NSI48" s="19"/>
      <c r="NSJ48" s="19"/>
      <c r="NSK48" s="19"/>
      <c r="NSL48" s="19"/>
      <c r="NSM48" s="19"/>
      <c r="NSN48" s="19"/>
      <c r="NSO48" s="19"/>
      <c r="NSP48" s="19"/>
      <c r="NSQ48" s="19"/>
      <c r="NSR48" s="19"/>
      <c r="NSS48" s="19"/>
      <c r="NST48" s="19"/>
      <c r="NSU48" s="19"/>
      <c r="NSV48" s="19"/>
      <c r="NSW48" s="19"/>
      <c r="NSX48" s="19"/>
      <c r="NSY48" s="19"/>
      <c r="NSZ48" s="19"/>
      <c r="NTA48" s="19"/>
      <c r="NTB48" s="19"/>
      <c r="NTC48" s="19"/>
      <c r="NTD48" s="19"/>
      <c r="NTE48" s="19"/>
      <c r="NTF48" s="19"/>
      <c r="NTG48" s="19"/>
      <c r="NTH48" s="19"/>
      <c r="NTI48" s="19"/>
      <c r="NTJ48" s="19"/>
      <c r="NTK48" s="19"/>
      <c r="NTL48" s="19"/>
      <c r="NTM48" s="19"/>
      <c r="NTN48" s="19"/>
      <c r="NTO48" s="19"/>
      <c r="NTP48" s="19"/>
      <c r="NTQ48" s="19"/>
      <c r="NTR48" s="19"/>
      <c r="NTS48" s="19"/>
      <c r="NTT48" s="19"/>
      <c r="NTU48" s="19"/>
      <c r="NTV48" s="19"/>
      <c r="NTW48" s="19"/>
      <c r="NTX48" s="19"/>
      <c r="NTY48" s="19"/>
      <c r="NTZ48" s="19"/>
      <c r="NUA48" s="19"/>
      <c r="NUB48" s="19"/>
      <c r="NUC48" s="19"/>
      <c r="NUD48" s="19"/>
      <c r="NUE48" s="19"/>
      <c r="NUF48" s="19"/>
      <c r="NUG48" s="19"/>
      <c r="NUH48" s="19"/>
      <c r="NUI48" s="19"/>
      <c r="NUJ48" s="19"/>
      <c r="NUK48" s="19"/>
      <c r="NUL48" s="19"/>
      <c r="NUM48" s="19"/>
      <c r="NUN48" s="19"/>
      <c r="NUO48" s="19"/>
      <c r="NUP48" s="19"/>
      <c r="NUQ48" s="19"/>
      <c r="NUR48" s="19"/>
      <c r="NUS48" s="19"/>
      <c r="NUT48" s="19"/>
      <c r="NUU48" s="19"/>
      <c r="NUV48" s="19"/>
      <c r="NUW48" s="19"/>
      <c r="NUX48" s="19"/>
      <c r="NUY48" s="19"/>
      <c r="NUZ48" s="19"/>
      <c r="NVA48" s="19"/>
      <c r="NVB48" s="19"/>
      <c r="NVC48" s="19"/>
      <c r="NVD48" s="19"/>
      <c r="NVE48" s="19"/>
      <c r="NVF48" s="19"/>
      <c r="NVG48" s="19"/>
      <c r="NVH48" s="19"/>
      <c r="NVI48" s="19"/>
      <c r="NVJ48" s="19"/>
      <c r="NVK48" s="19"/>
      <c r="NVL48" s="19"/>
      <c r="NVM48" s="19"/>
      <c r="NVN48" s="19"/>
      <c r="NVO48" s="19"/>
      <c r="NVP48" s="19"/>
      <c r="NVQ48" s="19"/>
      <c r="NVR48" s="19"/>
      <c r="NVS48" s="19"/>
      <c r="NVT48" s="19"/>
      <c r="NVU48" s="19"/>
      <c r="NVV48" s="19"/>
      <c r="NVW48" s="19"/>
      <c r="NVX48" s="19"/>
      <c r="NVY48" s="19"/>
      <c r="NVZ48" s="19"/>
      <c r="NWA48" s="19"/>
      <c r="NWB48" s="19"/>
      <c r="NWC48" s="19"/>
      <c r="NWD48" s="19"/>
      <c r="NWE48" s="19"/>
      <c r="NWF48" s="19"/>
      <c r="NWG48" s="19"/>
      <c r="NWH48" s="19"/>
      <c r="NWI48" s="19"/>
      <c r="NWJ48" s="19"/>
      <c r="NWK48" s="19"/>
      <c r="NWL48" s="19"/>
      <c r="NWM48" s="19"/>
      <c r="NWN48" s="19"/>
      <c r="NWO48" s="19"/>
      <c r="NWP48" s="19"/>
      <c r="NWQ48" s="19"/>
      <c r="NWR48" s="19"/>
      <c r="NWS48" s="19"/>
      <c r="NWT48" s="19"/>
      <c r="NWU48" s="19"/>
      <c r="NWV48" s="19"/>
      <c r="NWW48" s="19"/>
      <c r="NWX48" s="19"/>
      <c r="NWY48" s="19"/>
      <c r="NWZ48" s="19"/>
      <c r="NXA48" s="19"/>
      <c r="NXB48" s="19"/>
      <c r="NXC48" s="19"/>
      <c r="NXD48" s="19"/>
      <c r="NXE48" s="19"/>
      <c r="NXF48" s="19"/>
      <c r="NXG48" s="19"/>
      <c r="NXH48" s="19"/>
      <c r="NXI48" s="19"/>
      <c r="NXJ48" s="19"/>
      <c r="NXK48" s="19"/>
      <c r="NXL48" s="19"/>
      <c r="NXM48" s="19"/>
      <c r="NXN48" s="19"/>
      <c r="NXO48" s="19"/>
      <c r="NXP48" s="19"/>
      <c r="NXQ48" s="19"/>
      <c r="NXR48" s="19"/>
      <c r="NXS48" s="19"/>
      <c r="NXT48" s="19"/>
      <c r="NXU48" s="19"/>
      <c r="NXV48" s="19"/>
      <c r="NXW48" s="19"/>
      <c r="NXX48" s="19"/>
      <c r="NXY48" s="19"/>
      <c r="NXZ48" s="19"/>
      <c r="NYA48" s="19"/>
      <c r="NYB48" s="19"/>
      <c r="NYC48" s="19"/>
      <c r="NYD48" s="19"/>
      <c r="NYE48" s="19"/>
      <c r="NYF48" s="19"/>
      <c r="NYG48" s="19"/>
      <c r="NYH48" s="19"/>
      <c r="NYI48" s="19"/>
      <c r="NYJ48" s="19"/>
      <c r="NYK48" s="19"/>
      <c r="NYL48" s="19"/>
      <c r="NYM48" s="19"/>
      <c r="NYN48" s="19"/>
      <c r="NYO48" s="19"/>
      <c r="NYP48" s="19"/>
      <c r="NYQ48" s="19"/>
      <c r="NYR48" s="19"/>
      <c r="NYS48" s="19"/>
      <c r="NYT48" s="19"/>
      <c r="NYU48" s="19"/>
      <c r="NYV48" s="19"/>
      <c r="NYW48" s="19"/>
      <c r="NYX48" s="19"/>
      <c r="NYY48" s="19"/>
      <c r="NYZ48" s="19"/>
      <c r="NZA48" s="19"/>
      <c r="NZB48" s="19"/>
      <c r="NZC48" s="19"/>
      <c r="NZD48" s="19"/>
      <c r="NZE48" s="19"/>
      <c r="NZF48" s="19"/>
      <c r="NZG48" s="19"/>
      <c r="NZH48" s="19"/>
      <c r="NZI48" s="19"/>
      <c r="NZJ48" s="19"/>
      <c r="NZK48" s="19"/>
      <c r="NZL48" s="19"/>
      <c r="NZM48" s="19"/>
      <c r="NZN48" s="19"/>
      <c r="NZO48" s="19"/>
      <c r="NZP48" s="19"/>
      <c r="NZQ48" s="19"/>
      <c r="NZR48" s="19"/>
      <c r="NZS48" s="19"/>
      <c r="NZT48" s="19"/>
      <c r="NZU48" s="19"/>
      <c r="NZV48" s="19"/>
      <c r="NZW48" s="19"/>
      <c r="NZX48" s="19"/>
      <c r="NZY48" s="19"/>
      <c r="NZZ48" s="19"/>
      <c r="OAA48" s="19"/>
      <c r="OAB48" s="19"/>
      <c r="OAC48" s="19"/>
      <c r="OAD48" s="19"/>
      <c r="OAE48" s="19"/>
      <c r="OAF48" s="19"/>
      <c r="OAG48" s="19"/>
      <c r="OAH48" s="19"/>
      <c r="OAI48" s="19"/>
      <c r="OAJ48" s="19"/>
      <c r="OAK48" s="19"/>
      <c r="OAL48" s="19"/>
      <c r="OAM48" s="19"/>
      <c r="OAN48" s="19"/>
      <c r="OAO48" s="19"/>
      <c r="OAP48" s="19"/>
      <c r="OAQ48" s="19"/>
      <c r="OAR48" s="19"/>
      <c r="OAS48" s="19"/>
      <c r="OAT48" s="19"/>
      <c r="OAU48" s="19"/>
      <c r="OAV48" s="19"/>
      <c r="OAW48" s="19"/>
      <c r="OAX48" s="19"/>
      <c r="OAY48" s="19"/>
      <c r="OAZ48" s="19"/>
      <c r="OBA48" s="19"/>
      <c r="OBB48" s="19"/>
      <c r="OBC48" s="19"/>
      <c r="OBD48" s="19"/>
      <c r="OBE48" s="19"/>
      <c r="OBF48" s="19"/>
      <c r="OBG48" s="19"/>
      <c r="OBH48" s="19"/>
      <c r="OBI48" s="19"/>
      <c r="OBJ48" s="19"/>
      <c r="OBK48" s="19"/>
      <c r="OBL48" s="19"/>
      <c r="OBM48" s="19"/>
      <c r="OBN48" s="19"/>
      <c r="OBO48" s="19"/>
      <c r="OBP48" s="19"/>
      <c r="OBQ48" s="19"/>
      <c r="OBR48" s="19"/>
      <c r="OBS48" s="19"/>
      <c r="OBT48" s="19"/>
      <c r="OBU48" s="19"/>
      <c r="OBV48" s="19"/>
      <c r="OBW48" s="19"/>
      <c r="OBX48" s="19"/>
      <c r="OBY48" s="19"/>
      <c r="OBZ48" s="19"/>
      <c r="OCA48" s="19"/>
      <c r="OCB48" s="19"/>
      <c r="OCC48" s="19"/>
      <c r="OCD48" s="19"/>
      <c r="OCE48" s="19"/>
      <c r="OCF48" s="19"/>
      <c r="OCG48" s="19"/>
      <c r="OCH48" s="19"/>
      <c r="OCI48" s="19"/>
      <c r="OCJ48" s="19"/>
      <c r="OCK48" s="19"/>
      <c r="OCL48" s="19"/>
      <c r="OCM48" s="19"/>
      <c r="OCN48" s="19"/>
      <c r="OCO48" s="19"/>
      <c r="OCP48" s="19"/>
      <c r="OCQ48" s="19"/>
      <c r="OCR48" s="19"/>
      <c r="OCS48" s="19"/>
      <c r="OCT48" s="19"/>
      <c r="OCU48" s="19"/>
      <c r="OCV48" s="19"/>
      <c r="OCW48" s="19"/>
      <c r="OCX48" s="19"/>
      <c r="OCY48" s="19"/>
      <c r="OCZ48" s="19"/>
      <c r="ODA48" s="19"/>
      <c r="ODB48" s="19"/>
      <c r="ODC48" s="19"/>
      <c r="ODD48" s="19"/>
      <c r="ODE48" s="19"/>
      <c r="ODF48" s="19"/>
      <c r="ODG48" s="19"/>
      <c r="ODH48" s="19"/>
      <c r="ODI48" s="19"/>
      <c r="ODJ48" s="19"/>
      <c r="ODK48" s="19"/>
      <c r="ODL48" s="19"/>
      <c r="ODM48" s="19"/>
      <c r="ODN48" s="19"/>
      <c r="ODO48" s="19"/>
      <c r="ODP48" s="19"/>
      <c r="ODQ48" s="19"/>
      <c r="ODR48" s="19"/>
      <c r="ODS48" s="19"/>
      <c r="ODT48" s="19"/>
      <c r="ODU48" s="19"/>
      <c r="ODV48" s="19"/>
      <c r="ODW48" s="19"/>
      <c r="ODX48" s="19"/>
      <c r="ODY48" s="19"/>
      <c r="ODZ48" s="19"/>
      <c r="OEA48" s="19"/>
      <c r="OEB48" s="19"/>
      <c r="OEC48" s="19"/>
      <c r="OED48" s="19"/>
      <c r="OEE48" s="19"/>
      <c r="OEF48" s="19"/>
      <c r="OEG48" s="19"/>
      <c r="OEH48" s="19"/>
      <c r="OEI48" s="19"/>
      <c r="OEJ48" s="19"/>
      <c r="OEK48" s="19"/>
      <c r="OEL48" s="19"/>
      <c r="OEM48" s="19"/>
      <c r="OEN48" s="19"/>
      <c r="OEO48" s="19"/>
      <c r="OEP48" s="19"/>
      <c r="OEQ48" s="19"/>
      <c r="OER48" s="19"/>
      <c r="OES48" s="19"/>
      <c r="OET48" s="19"/>
      <c r="OEU48" s="19"/>
      <c r="OEV48" s="19"/>
      <c r="OEW48" s="19"/>
      <c r="OEX48" s="19"/>
      <c r="OEY48" s="19"/>
      <c r="OEZ48" s="19"/>
      <c r="OFA48" s="19"/>
      <c r="OFB48" s="19"/>
      <c r="OFC48" s="19"/>
      <c r="OFD48" s="19"/>
      <c r="OFE48" s="19"/>
      <c r="OFF48" s="19"/>
      <c r="OFG48" s="19"/>
      <c r="OFH48" s="19"/>
      <c r="OFI48" s="19"/>
      <c r="OFJ48" s="19"/>
      <c r="OFK48" s="19"/>
      <c r="OFL48" s="19"/>
      <c r="OFM48" s="19"/>
      <c r="OFN48" s="19"/>
      <c r="OFO48" s="19"/>
      <c r="OFP48" s="19"/>
      <c r="OFQ48" s="19"/>
      <c r="OFR48" s="19"/>
      <c r="OFS48" s="19"/>
      <c r="OFT48" s="19"/>
      <c r="OFU48" s="19"/>
      <c r="OFV48" s="19"/>
      <c r="OFW48" s="19"/>
      <c r="OFX48" s="19"/>
      <c r="OFY48" s="19"/>
      <c r="OFZ48" s="19"/>
      <c r="OGA48" s="19"/>
      <c r="OGB48" s="19"/>
      <c r="OGC48" s="19"/>
      <c r="OGD48" s="19"/>
      <c r="OGE48" s="19"/>
      <c r="OGF48" s="19"/>
      <c r="OGG48" s="19"/>
      <c r="OGH48" s="19"/>
      <c r="OGI48" s="19"/>
      <c r="OGJ48" s="19"/>
      <c r="OGK48" s="19"/>
      <c r="OGL48" s="19"/>
      <c r="OGM48" s="19"/>
      <c r="OGN48" s="19"/>
      <c r="OGO48" s="19"/>
      <c r="OGP48" s="19"/>
      <c r="OGQ48" s="19"/>
      <c r="OGR48" s="19"/>
      <c r="OGS48" s="19"/>
      <c r="OGT48" s="19"/>
      <c r="OGU48" s="19"/>
      <c r="OGV48" s="19"/>
      <c r="OGW48" s="19"/>
      <c r="OGX48" s="19"/>
      <c r="OGY48" s="19"/>
      <c r="OGZ48" s="19"/>
      <c r="OHA48" s="19"/>
      <c r="OHB48" s="19"/>
      <c r="OHC48" s="19"/>
      <c r="OHD48" s="19"/>
      <c r="OHE48" s="19"/>
      <c r="OHF48" s="19"/>
      <c r="OHG48" s="19"/>
      <c r="OHH48" s="19"/>
      <c r="OHI48" s="19"/>
      <c r="OHJ48" s="19"/>
      <c r="OHK48" s="19"/>
      <c r="OHL48" s="19"/>
      <c r="OHM48" s="19"/>
      <c r="OHN48" s="19"/>
      <c r="OHO48" s="19"/>
      <c r="OHP48" s="19"/>
      <c r="OHQ48" s="19"/>
      <c r="OHR48" s="19"/>
      <c r="OHS48" s="19"/>
      <c r="OHT48" s="19"/>
      <c r="OHU48" s="19"/>
      <c r="OHV48" s="19"/>
      <c r="OHW48" s="19"/>
      <c r="OHX48" s="19"/>
      <c r="OHY48" s="19"/>
      <c r="OHZ48" s="19"/>
      <c r="OIA48" s="19"/>
      <c r="OIB48" s="19"/>
      <c r="OIC48" s="19"/>
      <c r="OID48" s="19"/>
      <c r="OIE48" s="19"/>
      <c r="OIF48" s="19"/>
      <c r="OIG48" s="19"/>
      <c r="OIH48" s="19"/>
      <c r="OII48" s="19"/>
      <c r="OIJ48" s="19"/>
      <c r="OIK48" s="19"/>
      <c r="OIL48" s="19"/>
      <c r="OIM48" s="19"/>
      <c r="OIN48" s="19"/>
      <c r="OIO48" s="19"/>
      <c r="OIP48" s="19"/>
      <c r="OIQ48" s="19"/>
      <c r="OIR48" s="19"/>
      <c r="OIS48" s="19"/>
      <c r="OIT48" s="19"/>
      <c r="OIU48" s="19"/>
      <c r="OIV48" s="19"/>
      <c r="OIW48" s="19"/>
      <c r="OIX48" s="19"/>
      <c r="OIY48" s="19"/>
      <c r="OIZ48" s="19"/>
      <c r="OJA48" s="19"/>
      <c r="OJB48" s="19"/>
      <c r="OJC48" s="19"/>
      <c r="OJD48" s="19"/>
      <c r="OJE48" s="19"/>
      <c r="OJF48" s="19"/>
      <c r="OJG48" s="19"/>
      <c r="OJH48" s="19"/>
      <c r="OJI48" s="19"/>
      <c r="OJJ48" s="19"/>
      <c r="OJK48" s="19"/>
      <c r="OJL48" s="19"/>
      <c r="OJM48" s="19"/>
      <c r="OJN48" s="19"/>
      <c r="OJO48" s="19"/>
      <c r="OJP48" s="19"/>
      <c r="OJQ48" s="19"/>
      <c r="OJR48" s="19"/>
      <c r="OJS48" s="19"/>
      <c r="OJT48" s="19"/>
      <c r="OJU48" s="19"/>
      <c r="OJV48" s="19"/>
      <c r="OJW48" s="19"/>
      <c r="OJX48" s="19"/>
      <c r="OJY48" s="19"/>
      <c r="OJZ48" s="19"/>
      <c r="OKA48" s="19"/>
      <c r="OKB48" s="19"/>
      <c r="OKC48" s="19"/>
      <c r="OKD48" s="19"/>
      <c r="OKE48" s="19"/>
      <c r="OKF48" s="19"/>
      <c r="OKG48" s="19"/>
      <c r="OKH48" s="19"/>
      <c r="OKI48" s="19"/>
      <c r="OKJ48" s="19"/>
      <c r="OKK48" s="19"/>
      <c r="OKL48" s="19"/>
      <c r="OKM48" s="19"/>
      <c r="OKN48" s="19"/>
      <c r="OKO48" s="19"/>
      <c r="OKP48" s="19"/>
      <c r="OKQ48" s="19"/>
      <c r="OKR48" s="19"/>
      <c r="OKS48" s="19"/>
      <c r="OKT48" s="19"/>
      <c r="OKU48" s="19"/>
      <c r="OKV48" s="19"/>
      <c r="OKW48" s="19"/>
      <c r="OKX48" s="19"/>
      <c r="OKY48" s="19"/>
      <c r="OKZ48" s="19"/>
      <c r="OLA48" s="19"/>
      <c r="OLB48" s="19"/>
      <c r="OLC48" s="19"/>
      <c r="OLD48" s="19"/>
      <c r="OLE48" s="19"/>
      <c r="OLF48" s="19"/>
      <c r="OLG48" s="19"/>
      <c r="OLH48" s="19"/>
      <c r="OLI48" s="19"/>
      <c r="OLJ48" s="19"/>
      <c r="OLK48" s="19"/>
      <c r="OLL48" s="19"/>
      <c r="OLM48" s="19"/>
      <c r="OLN48" s="19"/>
      <c r="OLO48" s="19"/>
      <c r="OLP48" s="19"/>
      <c r="OLQ48" s="19"/>
      <c r="OLR48" s="19"/>
      <c r="OLS48" s="19"/>
      <c r="OLT48" s="19"/>
      <c r="OLU48" s="19"/>
      <c r="OLV48" s="19"/>
      <c r="OLW48" s="19"/>
      <c r="OLX48" s="19"/>
      <c r="OLY48" s="19"/>
      <c r="OLZ48" s="19"/>
      <c r="OMA48" s="19"/>
      <c r="OMB48" s="19"/>
      <c r="OMC48" s="19"/>
      <c r="OMD48" s="19"/>
      <c r="OME48" s="19"/>
      <c r="OMF48" s="19"/>
      <c r="OMG48" s="19"/>
      <c r="OMH48" s="19"/>
      <c r="OMI48" s="19"/>
      <c r="OMJ48" s="19"/>
      <c r="OMK48" s="19"/>
      <c r="OML48" s="19"/>
      <c r="OMM48" s="19"/>
      <c r="OMN48" s="19"/>
      <c r="OMO48" s="19"/>
      <c r="OMP48" s="19"/>
      <c r="OMQ48" s="19"/>
      <c r="OMR48" s="19"/>
      <c r="OMS48" s="19"/>
      <c r="OMT48" s="19"/>
      <c r="OMU48" s="19"/>
      <c r="OMV48" s="19"/>
      <c r="OMW48" s="19"/>
      <c r="OMX48" s="19"/>
      <c r="OMY48" s="19"/>
      <c r="OMZ48" s="19"/>
      <c r="ONA48" s="19"/>
      <c r="ONB48" s="19"/>
      <c r="ONC48" s="19"/>
      <c r="OND48" s="19"/>
      <c r="ONE48" s="19"/>
      <c r="ONF48" s="19"/>
      <c r="ONG48" s="19"/>
      <c r="ONH48" s="19"/>
      <c r="ONI48" s="19"/>
      <c r="ONJ48" s="19"/>
      <c r="ONK48" s="19"/>
      <c r="ONL48" s="19"/>
      <c r="ONM48" s="19"/>
      <c r="ONN48" s="19"/>
      <c r="ONO48" s="19"/>
      <c r="ONP48" s="19"/>
      <c r="ONQ48" s="19"/>
      <c r="ONR48" s="19"/>
      <c r="ONS48" s="19"/>
      <c r="ONT48" s="19"/>
      <c r="ONU48" s="19"/>
      <c r="ONV48" s="19"/>
      <c r="ONW48" s="19"/>
      <c r="ONX48" s="19"/>
      <c r="ONY48" s="19"/>
      <c r="ONZ48" s="19"/>
      <c r="OOA48" s="19"/>
      <c r="OOB48" s="19"/>
      <c r="OOC48" s="19"/>
      <c r="OOD48" s="19"/>
      <c r="OOE48" s="19"/>
      <c r="OOF48" s="19"/>
      <c r="OOG48" s="19"/>
      <c r="OOH48" s="19"/>
      <c r="OOI48" s="19"/>
      <c r="OOJ48" s="19"/>
      <c r="OOK48" s="19"/>
      <c r="OOL48" s="19"/>
      <c r="OOM48" s="19"/>
      <c r="OON48" s="19"/>
      <c r="OOO48" s="19"/>
      <c r="OOP48" s="19"/>
      <c r="OOQ48" s="19"/>
      <c r="OOR48" s="19"/>
      <c r="OOS48" s="19"/>
      <c r="OOT48" s="19"/>
      <c r="OOU48" s="19"/>
      <c r="OOV48" s="19"/>
      <c r="OOW48" s="19"/>
      <c r="OOX48" s="19"/>
      <c r="OOY48" s="19"/>
      <c r="OOZ48" s="19"/>
      <c r="OPA48" s="19"/>
      <c r="OPB48" s="19"/>
      <c r="OPC48" s="19"/>
      <c r="OPD48" s="19"/>
      <c r="OPE48" s="19"/>
      <c r="OPF48" s="19"/>
      <c r="OPG48" s="19"/>
      <c r="OPH48" s="19"/>
      <c r="OPI48" s="19"/>
      <c r="OPJ48" s="19"/>
      <c r="OPK48" s="19"/>
      <c r="OPL48" s="19"/>
      <c r="OPM48" s="19"/>
      <c r="OPN48" s="19"/>
      <c r="OPO48" s="19"/>
      <c r="OPP48" s="19"/>
      <c r="OPQ48" s="19"/>
      <c r="OPR48" s="19"/>
      <c r="OPS48" s="19"/>
      <c r="OPT48" s="19"/>
      <c r="OPU48" s="19"/>
      <c r="OPV48" s="19"/>
      <c r="OPW48" s="19"/>
      <c r="OPX48" s="19"/>
      <c r="OPY48" s="19"/>
      <c r="OPZ48" s="19"/>
      <c r="OQA48" s="19"/>
      <c r="OQB48" s="19"/>
      <c r="OQC48" s="19"/>
      <c r="OQD48" s="19"/>
      <c r="OQE48" s="19"/>
      <c r="OQF48" s="19"/>
      <c r="OQG48" s="19"/>
      <c r="OQH48" s="19"/>
      <c r="OQI48" s="19"/>
      <c r="OQJ48" s="19"/>
      <c r="OQK48" s="19"/>
      <c r="OQL48" s="19"/>
      <c r="OQM48" s="19"/>
      <c r="OQN48" s="19"/>
      <c r="OQO48" s="19"/>
      <c r="OQP48" s="19"/>
      <c r="OQQ48" s="19"/>
      <c r="OQR48" s="19"/>
      <c r="OQS48" s="19"/>
      <c r="OQT48" s="19"/>
      <c r="OQU48" s="19"/>
      <c r="OQV48" s="19"/>
      <c r="OQW48" s="19"/>
      <c r="OQX48" s="19"/>
      <c r="OQY48" s="19"/>
      <c r="OQZ48" s="19"/>
      <c r="ORA48" s="19"/>
      <c r="ORB48" s="19"/>
      <c r="ORC48" s="19"/>
      <c r="ORD48" s="19"/>
      <c r="ORE48" s="19"/>
      <c r="ORF48" s="19"/>
      <c r="ORG48" s="19"/>
      <c r="ORH48" s="19"/>
      <c r="ORI48" s="19"/>
      <c r="ORJ48" s="19"/>
      <c r="ORK48" s="19"/>
      <c r="ORL48" s="19"/>
      <c r="ORM48" s="19"/>
      <c r="ORN48" s="19"/>
      <c r="ORO48" s="19"/>
      <c r="ORP48" s="19"/>
      <c r="ORQ48" s="19"/>
      <c r="ORR48" s="19"/>
      <c r="ORS48" s="19"/>
      <c r="ORT48" s="19"/>
      <c r="ORU48" s="19"/>
      <c r="ORV48" s="19"/>
      <c r="ORW48" s="19"/>
      <c r="ORX48" s="19"/>
      <c r="ORY48" s="19"/>
      <c r="ORZ48" s="19"/>
      <c r="OSA48" s="19"/>
      <c r="OSB48" s="19"/>
      <c r="OSC48" s="19"/>
      <c r="OSD48" s="19"/>
      <c r="OSE48" s="19"/>
      <c r="OSF48" s="19"/>
      <c r="OSG48" s="19"/>
      <c r="OSH48" s="19"/>
      <c r="OSI48" s="19"/>
      <c r="OSJ48" s="19"/>
      <c r="OSK48" s="19"/>
      <c r="OSL48" s="19"/>
      <c r="OSM48" s="19"/>
      <c r="OSN48" s="19"/>
      <c r="OSO48" s="19"/>
      <c r="OSP48" s="19"/>
      <c r="OSQ48" s="19"/>
      <c r="OSR48" s="19"/>
      <c r="OSS48" s="19"/>
      <c r="OST48" s="19"/>
      <c r="OSU48" s="19"/>
      <c r="OSV48" s="19"/>
      <c r="OSW48" s="19"/>
      <c r="OSX48" s="19"/>
      <c r="OSY48" s="19"/>
      <c r="OSZ48" s="19"/>
      <c r="OTA48" s="19"/>
      <c r="OTB48" s="19"/>
      <c r="OTC48" s="19"/>
      <c r="OTD48" s="19"/>
      <c r="OTE48" s="19"/>
      <c r="OTF48" s="19"/>
      <c r="OTG48" s="19"/>
      <c r="OTH48" s="19"/>
      <c r="OTI48" s="19"/>
      <c r="OTJ48" s="19"/>
      <c r="OTK48" s="19"/>
      <c r="OTL48" s="19"/>
      <c r="OTM48" s="19"/>
      <c r="OTN48" s="19"/>
      <c r="OTO48" s="19"/>
      <c r="OTP48" s="19"/>
      <c r="OTQ48" s="19"/>
      <c r="OTR48" s="19"/>
      <c r="OTS48" s="19"/>
      <c r="OTT48" s="19"/>
      <c r="OTU48" s="19"/>
      <c r="OTV48" s="19"/>
      <c r="OTW48" s="19"/>
      <c r="OTX48" s="19"/>
      <c r="OTY48" s="19"/>
      <c r="OTZ48" s="19"/>
      <c r="OUA48" s="19"/>
      <c r="OUB48" s="19"/>
      <c r="OUC48" s="19"/>
      <c r="OUD48" s="19"/>
      <c r="OUE48" s="19"/>
      <c r="OUF48" s="19"/>
      <c r="OUG48" s="19"/>
      <c r="OUH48" s="19"/>
      <c r="OUI48" s="19"/>
      <c r="OUJ48" s="19"/>
      <c r="OUK48" s="19"/>
      <c r="OUL48" s="19"/>
      <c r="OUM48" s="19"/>
      <c r="OUN48" s="19"/>
      <c r="OUO48" s="19"/>
      <c r="OUP48" s="19"/>
      <c r="OUQ48" s="19"/>
      <c r="OUR48" s="19"/>
      <c r="OUS48" s="19"/>
      <c r="OUT48" s="19"/>
      <c r="OUU48" s="19"/>
      <c r="OUV48" s="19"/>
      <c r="OUW48" s="19"/>
      <c r="OUX48" s="19"/>
      <c r="OUY48" s="19"/>
      <c r="OUZ48" s="19"/>
      <c r="OVA48" s="19"/>
      <c r="OVB48" s="19"/>
      <c r="OVC48" s="19"/>
      <c r="OVD48" s="19"/>
      <c r="OVE48" s="19"/>
      <c r="OVF48" s="19"/>
      <c r="OVG48" s="19"/>
      <c r="OVH48" s="19"/>
      <c r="OVI48" s="19"/>
      <c r="OVJ48" s="19"/>
      <c r="OVK48" s="19"/>
      <c r="OVL48" s="19"/>
      <c r="OVM48" s="19"/>
      <c r="OVN48" s="19"/>
      <c r="OVO48" s="19"/>
      <c r="OVP48" s="19"/>
      <c r="OVQ48" s="19"/>
      <c r="OVR48" s="19"/>
      <c r="OVS48" s="19"/>
      <c r="OVT48" s="19"/>
      <c r="OVU48" s="19"/>
      <c r="OVV48" s="19"/>
      <c r="OVW48" s="19"/>
      <c r="OVX48" s="19"/>
      <c r="OVY48" s="19"/>
      <c r="OVZ48" s="19"/>
      <c r="OWA48" s="19"/>
      <c r="OWB48" s="19"/>
      <c r="OWC48" s="19"/>
      <c r="OWD48" s="19"/>
      <c r="OWE48" s="19"/>
      <c r="OWF48" s="19"/>
      <c r="OWG48" s="19"/>
      <c r="OWH48" s="19"/>
      <c r="OWI48" s="19"/>
      <c r="OWJ48" s="19"/>
      <c r="OWK48" s="19"/>
      <c r="OWL48" s="19"/>
      <c r="OWM48" s="19"/>
      <c r="OWN48" s="19"/>
      <c r="OWO48" s="19"/>
      <c r="OWP48" s="19"/>
      <c r="OWQ48" s="19"/>
      <c r="OWR48" s="19"/>
      <c r="OWS48" s="19"/>
      <c r="OWT48" s="19"/>
      <c r="OWU48" s="19"/>
      <c r="OWV48" s="19"/>
      <c r="OWW48" s="19"/>
      <c r="OWX48" s="19"/>
      <c r="OWY48" s="19"/>
      <c r="OWZ48" s="19"/>
      <c r="OXA48" s="19"/>
      <c r="OXB48" s="19"/>
      <c r="OXC48" s="19"/>
      <c r="OXD48" s="19"/>
      <c r="OXE48" s="19"/>
      <c r="OXF48" s="19"/>
      <c r="OXG48" s="19"/>
      <c r="OXH48" s="19"/>
      <c r="OXI48" s="19"/>
      <c r="OXJ48" s="19"/>
      <c r="OXK48" s="19"/>
      <c r="OXL48" s="19"/>
      <c r="OXM48" s="19"/>
      <c r="OXN48" s="19"/>
      <c r="OXO48" s="19"/>
      <c r="OXP48" s="19"/>
      <c r="OXQ48" s="19"/>
      <c r="OXR48" s="19"/>
      <c r="OXS48" s="19"/>
      <c r="OXT48" s="19"/>
      <c r="OXU48" s="19"/>
      <c r="OXV48" s="19"/>
      <c r="OXW48" s="19"/>
      <c r="OXX48" s="19"/>
      <c r="OXY48" s="19"/>
      <c r="OXZ48" s="19"/>
      <c r="OYA48" s="19"/>
      <c r="OYB48" s="19"/>
      <c r="OYC48" s="19"/>
      <c r="OYD48" s="19"/>
      <c r="OYE48" s="19"/>
      <c r="OYF48" s="19"/>
      <c r="OYG48" s="19"/>
      <c r="OYH48" s="19"/>
      <c r="OYI48" s="19"/>
      <c r="OYJ48" s="19"/>
      <c r="OYK48" s="19"/>
      <c r="OYL48" s="19"/>
      <c r="OYM48" s="19"/>
      <c r="OYN48" s="19"/>
      <c r="OYO48" s="19"/>
      <c r="OYP48" s="19"/>
      <c r="OYQ48" s="19"/>
      <c r="OYR48" s="19"/>
      <c r="OYS48" s="19"/>
      <c r="OYT48" s="19"/>
      <c r="OYU48" s="19"/>
      <c r="OYV48" s="19"/>
      <c r="OYW48" s="19"/>
      <c r="OYX48" s="19"/>
      <c r="OYY48" s="19"/>
      <c r="OYZ48" s="19"/>
      <c r="OZA48" s="19"/>
      <c r="OZB48" s="19"/>
      <c r="OZC48" s="19"/>
      <c r="OZD48" s="19"/>
      <c r="OZE48" s="19"/>
      <c r="OZF48" s="19"/>
      <c r="OZG48" s="19"/>
      <c r="OZH48" s="19"/>
      <c r="OZI48" s="19"/>
      <c r="OZJ48" s="19"/>
      <c r="OZK48" s="19"/>
      <c r="OZL48" s="19"/>
      <c r="OZM48" s="19"/>
      <c r="OZN48" s="19"/>
      <c r="OZO48" s="19"/>
      <c r="OZP48" s="19"/>
      <c r="OZQ48" s="19"/>
      <c r="OZR48" s="19"/>
      <c r="OZS48" s="19"/>
      <c r="OZT48" s="19"/>
      <c r="OZU48" s="19"/>
      <c r="OZV48" s="19"/>
      <c r="OZW48" s="19"/>
      <c r="OZX48" s="19"/>
      <c r="OZY48" s="19"/>
      <c r="OZZ48" s="19"/>
      <c r="PAA48" s="19"/>
      <c r="PAB48" s="19"/>
      <c r="PAC48" s="19"/>
      <c r="PAD48" s="19"/>
      <c r="PAE48" s="19"/>
      <c r="PAF48" s="19"/>
      <c r="PAG48" s="19"/>
      <c r="PAH48" s="19"/>
      <c r="PAI48" s="19"/>
      <c r="PAJ48" s="19"/>
      <c r="PAK48" s="19"/>
      <c r="PAL48" s="19"/>
      <c r="PAM48" s="19"/>
      <c r="PAN48" s="19"/>
      <c r="PAO48" s="19"/>
      <c r="PAP48" s="19"/>
      <c r="PAQ48" s="19"/>
      <c r="PAR48" s="19"/>
      <c r="PAS48" s="19"/>
      <c r="PAT48" s="19"/>
      <c r="PAU48" s="19"/>
      <c r="PAV48" s="19"/>
      <c r="PAW48" s="19"/>
      <c r="PAX48" s="19"/>
      <c r="PAY48" s="19"/>
      <c r="PAZ48" s="19"/>
      <c r="PBA48" s="19"/>
      <c r="PBB48" s="19"/>
      <c r="PBC48" s="19"/>
      <c r="PBD48" s="19"/>
      <c r="PBE48" s="19"/>
      <c r="PBF48" s="19"/>
      <c r="PBG48" s="19"/>
      <c r="PBH48" s="19"/>
      <c r="PBI48" s="19"/>
      <c r="PBJ48" s="19"/>
      <c r="PBK48" s="19"/>
      <c r="PBL48" s="19"/>
      <c r="PBM48" s="19"/>
      <c r="PBN48" s="19"/>
      <c r="PBO48" s="19"/>
      <c r="PBP48" s="19"/>
      <c r="PBQ48" s="19"/>
      <c r="PBR48" s="19"/>
      <c r="PBS48" s="19"/>
      <c r="PBT48" s="19"/>
      <c r="PBU48" s="19"/>
      <c r="PBV48" s="19"/>
      <c r="PBW48" s="19"/>
      <c r="PBX48" s="19"/>
      <c r="PBY48" s="19"/>
      <c r="PBZ48" s="19"/>
      <c r="PCA48" s="19"/>
      <c r="PCB48" s="19"/>
      <c r="PCC48" s="19"/>
      <c r="PCD48" s="19"/>
      <c r="PCE48" s="19"/>
      <c r="PCF48" s="19"/>
      <c r="PCG48" s="19"/>
      <c r="PCH48" s="19"/>
      <c r="PCI48" s="19"/>
      <c r="PCJ48" s="19"/>
      <c r="PCK48" s="19"/>
      <c r="PCL48" s="19"/>
      <c r="PCM48" s="19"/>
      <c r="PCN48" s="19"/>
      <c r="PCO48" s="19"/>
      <c r="PCP48" s="19"/>
      <c r="PCQ48" s="19"/>
      <c r="PCR48" s="19"/>
      <c r="PCS48" s="19"/>
      <c r="PCT48" s="19"/>
      <c r="PCU48" s="19"/>
      <c r="PCV48" s="19"/>
      <c r="PCW48" s="19"/>
      <c r="PCX48" s="19"/>
      <c r="PCY48" s="19"/>
      <c r="PCZ48" s="19"/>
      <c r="PDA48" s="19"/>
      <c r="PDB48" s="19"/>
      <c r="PDC48" s="19"/>
      <c r="PDD48" s="19"/>
      <c r="PDE48" s="19"/>
      <c r="PDF48" s="19"/>
      <c r="PDG48" s="19"/>
      <c r="PDH48" s="19"/>
      <c r="PDI48" s="19"/>
      <c r="PDJ48" s="19"/>
      <c r="PDK48" s="19"/>
      <c r="PDL48" s="19"/>
      <c r="PDM48" s="19"/>
      <c r="PDN48" s="19"/>
      <c r="PDO48" s="19"/>
      <c r="PDP48" s="19"/>
      <c r="PDQ48" s="19"/>
      <c r="PDR48" s="19"/>
      <c r="PDS48" s="19"/>
      <c r="PDT48" s="19"/>
      <c r="PDU48" s="19"/>
      <c r="PDV48" s="19"/>
      <c r="PDW48" s="19"/>
      <c r="PDX48" s="19"/>
      <c r="PDY48" s="19"/>
      <c r="PDZ48" s="19"/>
      <c r="PEA48" s="19"/>
      <c r="PEB48" s="19"/>
      <c r="PEC48" s="19"/>
      <c r="PED48" s="19"/>
      <c r="PEE48" s="19"/>
      <c r="PEF48" s="19"/>
      <c r="PEG48" s="19"/>
      <c r="PEH48" s="19"/>
      <c r="PEI48" s="19"/>
      <c r="PEJ48" s="19"/>
      <c r="PEK48" s="19"/>
      <c r="PEL48" s="19"/>
      <c r="PEM48" s="19"/>
      <c r="PEN48" s="19"/>
      <c r="PEO48" s="19"/>
      <c r="PEP48" s="19"/>
      <c r="PEQ48" s="19"/>
      <c r="PER48" s="19"/>
      <c r="PES48" s="19"/>
      <c r="PET48" s="19"/>
      <c r="PEU48" s="19"/>
      <c r="PEV48" s="19"/>
      <c r="PEW48" s="19"/>
      <c r="PEX48" s="19"/>
      <c r="PEY48" s="19"/>
      <c r="PEZ48" s="19"/>
      <c r="PFA48" s="19"/>
      <c r="PFB48" s="19"/>
      <c r="PFC48" s="19"/>
      <c r="PFD48" s="19"/>
      <c r="PFE48" s="19"/>
      <c r="PFF48" s="19"/>
      <c r="PFG48" s="19"/>
      <c r="PFH48" s="19"/>
      <c r="PFI48" s="19"/>
      <c r="PFJ48" s="19"/>
      <c r="PFK48" s="19"/>
      <c r="PFL48" s="19"/>
      <c r="PFM48" s="19"/>
      <c r="PFN48" s="19"/>
      <c r="PFO48" s="19"/>
      <c r="PFP48" s="19"/>
      <c r="PFQ48" s="19"/>
      <c r="PFR48" s="19"/>
      <c r="PFS48" s="19"/>
      <c r="PFT48" s="19"/>
      <c r="PFU48" s="19"/>
      <c r="PFV48" s="19"/>
      <c r="PFW48" s="19"/>
      <c r="PFX48" s="19"/>
      <c r="PFY48" s="19"/>
      <c r="PFZ48" s="19"/>
      <c r="PGA48" s="19"/>
      <c r="PGB48" s="19"/>
      <c r="PGC48" s="19"/>
      <c r="PGD48" s="19"/>
      <c r="PGE48" s="19"/>
      <c r="PGF48" s="19"/>
      <c r="PGG48" s="19"/>
      <c r="PGH48" s="19"/>
      <c r="PGI48" s="19"/>
      <c r="PGJ48" s="19"/>
      <c r="PGK48" s="19"/>
      <c r="PGL48" s="19"/>
      <c r="PGM48" s="19"/>
      <c r="PGN48" s="19"/>
      <c r="PGO48" s="19"/>
      <c r="PGP48" s="19"/>
      <c r="PGQ48" s="19"/>
      <c r="PGR48" s="19"/>
      <c r="PGS48" s="19"/>
      <c r="PGT48" s="19"/>
      <c r="PGU48" s="19"/>
      <c r="PGV48" s="19"/>
      <c r="PGW48" s="19"/>
      <c r="PGX48" s="19"/>
      <c r="PGY48" s="19"/>
      <c r="PGZ48" s="19"/>
      <c r="PHA48" s="19"/>
      <c r="PHB48" s="19"/>
      <c r="PHC48" s="19"/>
      <c r="PHD48" s="19"/>
      <c r="PHE48" s="19"/>
      <c r="PHF48" s="19"/>
      <c r="PHG48" s="19"/>
      <c r="PHH48" s="19"/>
      <c r="PHI48" s="19"/>
      <c r="PHJ48" s="19"/>
      <c r="PHK48" s="19"/>
      <c r="PHL48" s="19"/>
      <c r="PHM48" s="19"/>
      <c r="PHN48" s="19"/>
      <c r="PHO48" s="19"/>
      <c r="PHP48" s="19"/>
      <c r="PHQ48" s="19"/>
      <c r="PHR48" s="19"/>
      <c r="PHS48" s="19"/>
      <c r="PHT48" s="19"/>
      <c r="PHU48" s="19"/>
      <c r="PHV48" s="19"/>
      <c r="PHW48" s="19"/>
      <c r="PHX48" s="19"/>
      <c r="PHY48" s="19"/>
      <c r="PHZ48" s="19"/>
      <c r="PIA48" s="19"/>
      <c r="PIB48" s="19"/>
      <c r="PIC48" s="19"/>
      <c r="PID48" s="19"/>
      <c r="PIE48" s="19"/>
      <c r="PIF48" s="19"/>
      <c r="PIG48" s="19"/>
      <c r="PIH48" s="19"/>
      <c r="PII48" s="19"/>
      <c r="PIJ48" s="19"/>
      <c r="PIK48" s="19"/>
      <c r="PIL48" s="19"/>
      <c r="PIM48" s="19"/>
      <c r="PIN48" s="19"/>
      <c r="PIO48" s="19"/>
      <c r="PIP48" s="19"/>
      <c r="PIQ48" s="19"/>
      <c r="PIR48" s="19"/>
      <c r="PIS48" s="19"/>
      <c r="PIT48" s="19"/>
      <c r="PIU48" s="19"/>
      <c r="PIV48" s="19"/>
      <c r="PIW48" s="19"/>
      <c r="PIX48" s="19"/>
      <c r="PIY48" s="19"/>
      <c r="PIZ48" s="19"/>
      <c r="PJA48" s="19"/>
      <c r="PJB48" s="19"/>
      <c r="PJC48" s="19"/>
      <c r="PJD48" s="19"/>
      <c r="PJE48" s="19"/>
      <c r="PJF48" s="19"/>
      <c r="PJG48" s="19"/>
      <c r="PJH48" s="19"/>
      <c r="PJI48" s="19"/>
      <c r="PJJ48" s="19"/>
      <c r="PJK48" s="19"/>
      <c r="PJL48" s="19"/>
      <c r="PJM48" s="19"/>
      <c r="PJN48" s="19"/>
      <c r="PJO48" s="19"/>
      <c r="PJP48" s="19"/>
      <c r="PJQ48" s="19"/>
      <c r="PJR48" s="19"/>
      <c r="PJS48" s="19"/>
      <c r="PJT48" s="19"/>
      <c r="PJU48" s="19"/>
      <c r="PJV48" s="19"/>
      <c r="PJW48" s="19"/>
      <c r="PJX48" s="19"/>
      <c r="PJY48" s="19"/>
      <c r="PJZ48" s="19"/>
      <c r="PKA48" s="19"/>
      <c r="PKB48" s="19"/>
      <c r="PKC48" s="19"/>
      <c r="PKD48" s="19"/>
      <c r="PKE48" s="19"/>
      <c r="PKF48" s="19"/>
      <c r="PKG48" s="19"/>
      <c r="PKH48" s="19"/>
      <c r="PKI48" s="19"/>
      <c r="PKJ48" s="19"/>
      <c r="PKK48" s="19"/>
      <c r="PKL48" s="19"/>
      <c r="PKM48" s="19"/>
      <c r="PKN48" s="19"/>
      <c r="PKO48" s="19"/>
      <c r="PKP48" s="19"/>
      <c r="PKQ48" s="19"/>
      <c r="PKR48" s="19"/>
      <c r="PKS48" s="19"/>
      <c r="PKT48" s="19"/>
      <c r="PKU48" s="19"/>
      <c r="PKV48" s="19"/>
      <c r="PKW48" s="19"/>
      <c r="PKX48" s="19"/>
      <c r="PKY48" s="19"/>
      <c r="PKZ48" s="19"/>
      <c r="PLA48" s="19"/>
      <c r="PLB48" s="19"/>
      <c r="PLC48" s="19"/>
      <c r="PLD48" s="19"/>
      <c r="PLE48" s="19"/>
      <c r="PLF48" s="19"/>
      <c r="PLG48" s="19"/>
      <c r="PLH48" s="19"/>
      <c r="PLI48" s="19"/>
      <c r="PLJ48" s="19"/>
      <c r="PLK48" s="19"/>
      <c r="PLL48" s="19"/>
      <c r="PLM48" s="19"/>
      <c r="PLN48" s="19"/>
      <c r="PLO48" s="19"/>
      <c r="PLP48" s="19"/>
      <c r="PLQ48" s="19"/>
      <c r="PLR48" s="19"/>
      <c r="PLS48" s="19"/>
      <c r="PLT48" s="19"/>
      <c r="PLU48" s="19"/>
      <c r="PLV48" s="19"/>
      <c r="PLW48" s="19"/>
      <c r="PLX48" s="19"/>
      <c r="PLY48" s="19"/>
      <c r="PLZ48" s="19"/>
      <c r="PMA48" s="19"/>
      <c r="PMB48" s="19"/>
      <c r="PMC48" s="19"/>
      <c r="PMD48" s="19"/>
      <c r="PME48" s="19"/>
      <c r="PMF48" s="19"/>
      <c r="PMG48" s="19"/>
      <c r="PMH48" s="19"/>
      <c r="PMI48" s="19"/>
      <c r="PMJ48" s="19"/>
      <c r="PMK48" s="19"/>
      <c r="PML48" s="19"/>
      <c r="PMM48" s="19"/>
      <c r="PMN48" s="19"/>
      <c r="PMO48" s="19"/>
      <c r="PMP48" s="19"/>
      <c r="PMQ48" s="19"/>
      <c r="PMR48" s="19"/>
      <c r="PMS48" s="19"/>
      <c r="PMT48" s="19"/>
      <c r="PMU48" s="19"/>
      <c r="PMV48" s="19"/>
      <c r="PMW48" s="19"/>
      <c r="PMX48" s="19"/>
      <c r="PMY48" s="19"/>
      <c r="PMZ48" s="19"/>
      <c r="PNA48" s="19"/>
      <c r="PNB48" s="19"/>
      <c r="PNC48" s="19"/>
      <c r="PND48" s="19"/>
      <c r="PNE48" s="19"/>
      <c r="PNF48" s="19"/>
      <c r="PNG48" s="19"/>
      <c r="PNH48" s="19"/>
      <c r="PNI48" s="19"/>
      <c r="PNJ48" s="19"/>
      <c r="PNK48" s="19"/>
      <c r="PNL48" s="19"/>
      <c r="PNM48" s="19"/>
      <c r="PNN48" s="19"/>
      <c r="PNO48" s="19"/>
      <c r="PNP48" s="19"/>
      <c r="PNQ48" s="19"/>
      <c r="PNR48" s="19"/>
      <c r="PNS48" s="19"/>
      <c r="PNT48" s="19"/>
      <c r="PNU48" s="19"/>
      <c r="PNV48" s="19"/>
      <c r="PNW48" s="19"/>
      <c r="PNX48" s="19"/>
      <c r="PNY48" s="19"/>
      <c r="PNZ48" s="19"/>
      <c r="POA48" s="19"/>
      <c r="POB48" s="19"/>
      <c r="POC48" s="19"/>
      <c r="POD48" s="19"/>
      <c r="POE48" s="19"/>
      <c r="POF48" s="19"/>
      <c r="POG48" s="19"/>
      <c r="POH48" s="19"/>
      <c r="POI48" s="19"/>
      <c r="POJ48" s="19"/>
      <c r="POK48" s="19"/>
      <c r="POL48" s="19"/>
      <c r="POM48" s="19"/>
      <c r="PON48" s="19"/>
      <c r="POO48" s="19"/>
      <c r="POP48" s="19"/>
      <c r="POQ48" s="19"/>
      <c r="POR48" s="19"/>
      <c r="POS48" s="19"/>
      <c r="POT48" s="19"/>
      <c r="POU48" s="19"/>
      <c r="POV48" s="19"/>
      <c r="POW48" s="19"/>
      <c r="POX48" s="19"/>
      <c r="POY48" s="19"/>
      <c r="POZ48" s="19"/>
      <c r="PPA48" s="19"/>
      <c r="PPB48" s="19"/>
      <c r="PPC48" s="19"/>
      <c r="PPD48" s="19"/>
      <c r="PPE48" s="19"/>
      <c r="PPF48" s="19"/>
      <c r="PPG48" s="19"/>
      <c r="PPH48" s="19"/>
      <c r="PPI48" s="19"/>
      <c r="PPJ48" s="19"/>
      <c r="PPK48" s="19"/>
      <c r="PPL48" s="19"/>
      <c r="PPM48" s="19"/>
      <c r="PPN48" s="19"/>
      <c r="PPO48" s="19"/>
      <c r="PPP48" s="19"/>
      <c r="PPQ48" s="19"/>
      <c r="PPR48" s="19"/>
      <c r="PPS48" s="19"/>
      <c r="PPT48" s="19"/>
      <c r="PPU48" s="19"/>
      <c r="PPV48" s="19"/>
      <c r="PPW48" s="19"/>
      <c r="PPX48" s="19"/>
      <c r="PPY48" s="19"/>
      <c r="PPZ48" s="19"/>
      <c r="PQA48" s="19"/>
      <c r="PQB48" s="19"/>
      <c r="PQC48" s="19"/>
      <c r="PQD48" s="19"/>
      <c r="PQE48" s="19"/>
      <c r="PQF48" s="19"/>
      <c r="PQG48" s="19"/>
      <c r="PQH48" s="19"/>
      <c r="PQI48" s="19"/>
      <c r="PQJ48" s="19"/>
      <c r="PQK48" s="19"/>
      <c r="PQL48" s="19"/>
      <c r="PQM48" s="19"/>
      <c r="PQN48" s="19"/>
      <c r="PQO48" s="19"/>
      <c r="PQP48" s="19"/>
      <c r="PQQ48" s="19"/>
      <c r="PQR48" s="19"/>
      <c r="PQS48" s="19"/>
      <c r="PQT48" s="19"/>
      <c r="PQU48" s="19"/>
      <c r="PQV48" s="19"/>
      <c r="PQW48" s="19"/>
      <c r="PQX48" s="19"/>
      <c r="PQY48" s="19"/>
      <c r="PQZ48" s="19"/>
      <c r="PRA48" s="19"/>
      <c r="PRB48" s="19"/>
      <c r="PRC48" s="19"/>
      <c r="PRD48" s="19"/>
      <c r="PRE48" s="19"/>
      <c r="PRF48" s="19"/>
      <c r="PRG48" s="19"/>
      <c r="PRH48" s="19"/>
      <c r="PRI48" s="19"/>
      <c r="PRJ48" s="19"/>
      <c r="PRK48" s="19"/>
      <c r="PRL48" s="19"/>
      <c r="PRM48" s="19"/>
      <c r="PRN48" s="19"/>
      <c r="PRO48" s="19"/>
      <c r="PRP48" s="19"/>
      <c r="PRQ48" s="19"/>
      <c r="PRR48" s="19"/>
      <c r="PRS48" s="19"/>
      <c r="PRT48" s="19"/>
      <c r="PRU48" s="19"/>
      <c r="PRV48" s="19"/>
      <c r="PRW48" s="19"/>
      <c r="PRX48" s="19"/>
      <c r="PRY48" s="19"/>
      <c r="PRZ48" s="19"/>
      <c r="PSA48" s="19"/>
      <c r="PSB48" s="19"/>
      <c r="PSC48" s="19"/>
      <c r="PSD48" s="19"/>
      <c r="PSE48" s="19"/>
      <c r="PSF48" s="19"/>
      <c r="PSG48" s="19"/>
      <c r="PSH48" s="19"/>
      <c r="PSI48" s="19"/>
      <c r="PSJ48" s="19"/>
      <c r="PSK48" s="19"/>
      <c r="PSL48" s="19"/>
      <c r="PSM48" s="19"/>
      <c r="PSN48" s="19"/>
      <c r="PSO48" s="19"/>
      <c r="PSP48" s="19"/>
      <c r="PSQ48" s="19"/>
      <c r="PSR48" s="19"/>
      <c r="PSS48" s="19"/>
      <c r="PST48" s="19"/>
      <c r="PSU48" s="19"/>
      <c r="PSV48" s="19"/>
      <c r="PSW48" s="19"/>
      <c r="PSX48" s="19"/>
      <c r="PSY48" s="19"/>
      <c r="PSZ48" s="19"/>
      <c r="PTA48" s="19"/>
      <c r="PTB48" s="19"/>
      <c r="PTC48" s="19"/>
      <c r="PTD48" s="19"/>
      <c r="PTE48" s="19"/>
      <c r="PTF48" s="19"/>
      <c r="PTG48" s="19"/>
      <c r="PTH48" s="19"/>
      <c r="PTI48" s="19"/>
      <c r="PTJ48" s="19"/>
      <c r="PTK48" s="19"/>
      <c r="PTL48" s="19"/>
      <c r="PTM48" s="19"/>
      <c r="PTN48" s="19"/>
      <c r="PTO48" s="19"/>
      <c r="PTP48" s="19"/>
      <c r="PTQ48" s="19"/>
      <c r="PTR48" s="19"/>
      <c r="PTS48" s="19"/>
      <c r="PTT48" s="19"/>
      <c r="PTU48" s="19"/>
      <c r="PTV48" s="19"/>
      <c r="PTW48" s="19"/>
      <c r="PTX48" s="19"/>
      <c r="PTY48" s="19"/>
      <c r="PTZ48" s="19"/>
      <c r="PUA48" s="19"/>
      <c r="PUB48" s="19"/>
      <c r="PUC48" s="19"/>
      <c r="PUD48" s="19"/>
      <c r="PUE48" s="19"/>
      <c r="PUF48" s="19"/>
      <c r="PUG48" s="19"/>
      <c r="PUH48" s="19"/>
      <c r="PUI48" s="19"/>
      <c r="PUJ48" s="19"/>
      <c r="PUK48" s="19"/>
      <c r="PUL48" s="19"/>
      <c r="PUM48" s="19"/>
      <c r="PUN48" s="19"/>
      <c r="PUO48" s="19"/>
      <c r="PUP48" s="19"/>
      <c r="PUQ48" s="19"/>
      <c r="PUR48" s="19"/>
      <c r="PUS48" s="19"/>
      <c r="PUT48" s="19"/>
      <c r="PUU48" s="19"/>
      <c r="PUV48" s="19"/>
      <c r="PUW48" s="19"/>
      <c r="PUX48" s="19"/>
      <c r="PUY48" s="19"/>
      <c r="PUZ48" s="19"/>
      <c r="PVA48" s="19"/>
      <c r="PVB48" s="19"/>
      <c r="PVC48" s="19"/>
      <c r="PVD48" s="19"/>
      <c r="PVE48" s="19"/>
      <c r="PVF48" s="19"/>
      <c r="PVG48" s="19"/>
      <c r="PVH48" s="19"/>
      <c r="PVI48" s="19"/>
      <c r="PVJ48" s="19"/>
      <c r="PVK48" s="19"/>
      <c r="PVL48" s="19"/>
      <c r="PVM48" s="19"/>
      <c r="PVN48" s="19"/>
      <c r="PVO48" s="19"/>
      <c r="PVP48" s="19"/>
      <c r="PVQ48" s="19"/>
      <c r="PVR48" s="19"/>
      <c r="PVS48" s="19"/>
      <c r="PVT48" s="19"/>
      <c r="PVU48" s="19"/>
      <c r="PVV48" s="19"/>
      <c r="PVW48" s="19"/>
      <c r="PVX48" s="19"/>
      <c r="PVY48" s="19"/>
      <c r="PVZ48" s="19"/>
      <c r="PWA48" s="19"/>
      <c r="PWB48" s="19"/>
      <c r="PWC48" s="19"/>
      <c r="PWD48" s="19"/>
      <c r="PWE48" s="19"/>
      <c r="PWF48" s="19"/>
      <c r="PWG48" s="19"/>
      <c r="PWH48" s="19"/>
      <c r="PWI48" s="19"/>
      <c r="PWJ48" s="19"/>
      <c r="PWK48" s="19"/>
      <c r="PWL48" s="19"/>
      <c r="PWM48" s="19"/>
      <c r="PWN48" s="19"/>
      <c r="PWO48" s="19"/>
      <c r="PWP48" s="19"/>
      <c r="PWQ48" s="19"/>
      <c r="PWR48" s="19"/>
      <c r="PWS48" s="19"/>
      <c r="PWT48" s="19"/>
      <c r="PWU48" s="19"/>
      <c r="PWV48" s="19"/>
      <c r="PWW48" s="19"/>
      <c r="PWX48" s="19"/>
      <c r="PWY48" s="19"/>
      <c r="PWZ48" s="19"/>
      <c r="PXA48" s="19"/>
      <c r="PXB48" s="19"/>
      <c r="PXC48" s="19"/>
      <c r="PXD48" s="19"/>
      <c r="PXE48" s="19"/>
      <c r="PXF48" s="19"/>
      <c r="PXG48" s="19"/>
      <c r="PXH48" s="19"/>
      <c r="PXI48" s="19"/>
      <c r="PXJ48" s="19"/>
      <c r="PXK48" s="19"/>
      <c r="PXL48" s="19"/>
      <c r="PXM48" s="19"/>
      <c r="PXN48" s="19"/>
      <c r="PXO48" s="19"/>
      <c r="PXP48" s="19"/>
      <c r="PXQ48" s="19"/>
      <c r="PXR48" s="19"/>
      <c r="PXS48" s="19"/>
      <c r="PXT48" s="19"/>
      <c r="PXU48" s="19"/>
      <c r="PXV48" s="19"/>
      <c r="PXW48" s="19"/>
      <c r="PXX48" s="19"/>
      <c r="PXY48" s="19"/>
      <c r="PXZ48" s="19"/>
      <c r="PYA48" s="19"/>
      <c r="PYB48" s="19"/>
      <c r="PYC48" s="19"/>
      <c r="PYD48" s="19"/>
      <c r="PYE48" s="19"/>
      <c r="PYF48" s="19"/>
      <c r="PYG48" s="19"/>
      <c r="PYH48" s="19"/>
      <c r="PYI48" s="19"/>
      <c r="PYJ48" s="19"/>
      <c r="PYK48" s="19"/>
      <c r="PYL48" s="19"/>
      <c r="PYM48" s="19"/>
      <c r="PYN48" s="19"/>
      <c r="PYO48" s="19"/>
      <c r="PYP48" s="19"/>
      <c r="PYQ48" s="19"/>
      <c r="PYR48" s="19"/>
      <c r="PYS48" s="19"/>
      <c r="PYT48" s="19"/>
      <c r="PYU48" s="19"/>
      <c r="PYV48" s="19"/>
      <c r="PYW48" s="19"/>
      <c r="PYX48" s="19"/>
      <c r="PYY48" s="19"/>
      <c r="PYZ48" s="19"/>
      <c r="PZA48" s="19"/>
      <c r="PZB48" s="19"/>
      <c r="PZC48" s="19"/>
      <c r="PZD48" s="19"/>
      <c r="PZE48" s="19"/>
      <c r="PZF48" s="19"/>
      <c r="PZG48" s="19"/>
      <c r="PZH48" s="19"/>
      <c r="PZI48" s="19"/>
      <c r="PZJ48" s="19"/>
      <c r="PZK48" s="19"/>
      <c r="PZL48" s="19"/>
      <c r="PZM48" s="19"/>
      <c r="PZN48" s="19"/>
      <c r="PZO48" s="19"/>
      <c r="PZP48" s="19"/>
      <c r="PZQ48" s="19"/>
      <c r="PZR48" s="19"/>
      <c r="PZS48" s="19"/>
      <c r="PZT48" s="19"/>
      <c r="PZU48" s="19"/>
      <c r="PZV48" s="19"/>
      <c r="PZW48" s="19"/>
      <c r="PZX48" s="19"/>
      <c r="PZY48" s="19"/>
      <c r="PZZ48" s="19"/>
      <c r="QAA48" s="19"/>
      <c r="QAB48" s="19"/>
      <c r="QAC48" s="19"/>
      <c r="QAD48" s="19"/>
      <c r="QAE48" s="19"/>
      <c r="QAF48" s="19"/>
      <c r="QAG48" s="19"/>
      <c r="QAH48" s="19"/>
      <c r="QAI48" s="19"/>
      <c r="QAJ48" s="19"/>
      <c r="QAK48" s="19"/>
      <c r="QAL48" s="19"/>
      <c r="QAM48" s="19"/>
      <c r="QAN48" s="19"/>
      <c r="QAO48" s="19"/>
      <c r="QAP48" s="19"/>
      <c r="QAQ48" s="19"/>
      <c r="QAR48" s="19"/>
      <c r="QAS48" s="19"/>
      <c r="QAT48" s="19"/>
      <c r="QAU48" s="19"/>
      <c r="QAV48" s="19"/>
      <c r="QAW48" s="19"/>
      <c r="QAX48" s="19"/>
      <c r="QAY48" s="19"/>
      <c r="QAZ48" s="19"/>
      <c r="QBA48" s="19"/>
      <c r="QBB48" s="19"/>
      <c r="QBC48" s="19"/>
      <c r="QBD48" s="19"/>
      <c r="QBE48" s="19"/>
      <c r="QBF48" s="19"/>
      <c r="QBG48" s="19"/>
      <c r="QBH48" s="19"/>
      <c r="QBI48" s="19"/>
      <c r="QBJ48" s="19"/>
      <c r="QBK48" s="19"/>
      <c r="QBL48" s="19"/>
      <c r="QBM48" s="19"/>
      <c r="QBN48" s="19"/>
      <c r="QBO48" s="19"/>
      <c r="QBP48" s="19"/>
      <c r="QBQ48" s="19"/>
      <c r="QBR48" s="19"/>
      <c r="QBS48" s="19"/>
      <c r="QBT48" s="19"/>
      <c r="QBU48" s="19"/>
      <c r="QBV48" s="19"/>
      <c r="QBW48" s="19"/>
      <c r="QBX48" s="19"/>
      <c r="QBY48" s="19"/>
      <c r="QBZ48" s="19"/>
      <c r="QCA48" s="19"/>
      <c r="QCB48" s="19"/>
      <c r="QCC48" s="19"/>
      <c r="QCD48" s="19"/>
      <c r="QCE48" s="19"/>
      <c r="QCF48" s="19"/>
      <c r="QCG48" s="19"/>
      <c r="QCH48" s="19"/>
      <c r="QCI48" s="19"/>
      <c r="QCJ48" s="19"/>
      <c r="QCK48" s="19"/>
      <c r="QCL48" s="19"/>
      <c r="QCM48" s="19"/>
      <c r="QCN48" s="19"/>
      <c r="QCO48" s="19"/>
      <c r="QCP48" s="19"/>
      <c r="QCQ48" s="19"/>
      <c r="QCR48" s="19"/>
      <c r="QCS48" s="19"/>
      <c r="QCT48" s="19"/>
      <c r="QCU48" s="19"/>
      <c r="QCV48" s="19"/>
      <c r="QCW48" s="19"/>
      <c r="QCX48" s="19"/>
      <c r="QCY48" s="19"/>
      <c r="QCZ48" s="19"/>
      <c r="QDA48" s="19"/>
      <c r="QDB48" s="19"/>
      <c r="QDC48" s="19"/>
      <c r="QDD48" s="19"/>
      <c r="QDE48" s="19"/>
      <c r="QDF48" s="19"/>
      <c r="QDG48" s="19"/>
      <c r="QDH48" s="19"/>
      <c r="QDI48" s="19"/>
      <c r="QDJ48" s="19"/>
      <c r="QDK48" s="19"/>
      <c r="QDL48" s="19"/>
      <c r="QDM48" s="19"/>
      <c r="QDN48" s="19"/>
      <c r="QDO48" s="19"/>
      <c r="QDP48" s="19"/>
      <c r="QDQ48" s="19"/>
      <c r="QDR48" s="19"/>
      <c r="QDS48" s="19"/>
      <c r="QDT48" s="19"/>
      <c r="QDU48" s="19"/>
      <c r="QDV48" s="19"/>
      <c r="QDW48" s="19"/>
      <c r="QDX48" s="19"/>
      <c r="QDY48" s="19"/>
      <c r="QDZ48" s="19"/>
      <c r="QEA48" s="19"/>
      <c r="QEB48" s="19"/>
      <c r="QEC48" s="19"/>
      <c r="QED48" s="19"/>
      <c r="QEE48" s="19"/>
      <c r="QEF48" s="19"/>
      <c r="QEG48" s="19"/>
      <c r="QEH48" s="19"/>
      <c r="QEI48" s="19"/>
      <c r="QEJ48" s="19"/>
      <c r="QEK48" s="19"/>
      <c r="QEL48" s="19"/>
      <c r="QEM48" s="19"/>
      <c r="QEN48" s="19"/>
      <c r="QEO48" s="19"/>
      <c r="QEP48" s="19"/>
      <c r="QEQ48" s="19"/>
      <c r="QER48" s="19"/>
      <c r="QES48" s="19"/>
      <c r="QET48" s="19"/>
      <c r="QEU48" s="19"/>
      <c r="QEV48" s="19"/>
      <c r="QEW48" s="19"/>
      <c r="QEX48" s="19"/>
      <c r="QEY48" s="19"/>
      <c r="QEZ48" s="19"/>
      <c r="QFA48" s="19"/>
      <c r="QFB48" s="19"/>
      <c r="QFC48" s="19"/>
      <c r="QFD48" s="19"/>
      <c r="QFE48" s="19"/>
      <c r="QFF48" s="19"/>
      <c r="QFG48" s="19"/>
      <c r="QFH48" s="19"/>
      <c r="QFI48" s="19"/>
      <c r="QFJ48" s="19"/>
      <c r="QFK48" s="19"/>
      <c r="QFL48" s="19"/>
      <c r="QFM48" s="19"/>
      <c r="QFN48" s="19"/>
      <c r="QFO48" s="19"/>
      <c r="QFP48" s="19"/>
      <c r="QFQ48" s="19"/>
      <c r="QFR48" s="19"/>
      <c r="QFS48" s="19"/>
      <c r="QFT48" s="19"/>
      <c r="QFU48" s="19"/>
      <c r="QFV48" s="19"/>
      <c r="QFW48" s="19"/>
      <c r="QFX48" s="19"/>
      <c r="QFY48" s="19"/>
      <c r="QFZ48" s="19"/>
      <c r="QGA48" s="19"/>
      <c r="QGB48" s="19"/>
      <c r="QGC48" s="19"/>
      <c r="QGD48" s="19"/>
      <c r="QGE48" s="19"/>
      <c r="QGF48" s="19"/>
      <c r="QGG48" s="19"/>
      <c r="QGH48" s="19"/>
      <c r="QGI48" s="19"/>
      <c r="QGJ48" s="19"/>
      <c r="QGK48" s="19"/>
      <c r="QGL48" s="19"/>
      <c r="QGM48" s="19"/>
      <c r="QGN48" s="19"/>
      <c r="QGO48" s="19"/>
      <c r="QGP48" s="19"/>
      <c r="QGQ48" s="19"/>
      <c r="QGR48" s="19"/>
      <c r="QGS48" s="19"/>
      <c r="QGT48" s="19"/>
      <c r="QGU48" s="19"/>
      <c r="QGV48" s="19"/>
      <c r="QGW48" s="19"/>
      <c r="QGX48" s="19"/>
      <c r="QGY48" s="19"/>
      <c r="QGZ48" s="19"/>
      <c r="QHA48" s="19"/>
      <c r="QHB48" s="19"/>
      <c r="QHC48" s="19"/>
      <c r="QHD48" s="19"/>
      <c r="QHE48" s="19"/>
      <c r="QHF48" s="19"/>
      <c r="QHG48" s="19"/>
      <c r="QHH48" s="19"/>
      <c r="QHI48" s="19"/>
      <c r="QHJ48" s="19"/>
      <c r="QHK48" s="19"/>
      <c r="QHL48" s="19"/>
      <c r="QHM48" s="19"/>
      <c r="QHN48" s="19"/>
      <c r="QHO48" s="19"/>
      <c r="QHP48" s="19"/>
      <c r="QHQ48" s="19"/>
      <c r="QHR48" s="19"/>
      <c r="QHS48" s="19"/>
      <c r="QHT48" s="19"/>
      <c r="QHU48" s="19"/>
      <c r="QHV48" s="19"/>
      <c r="QHW48" s="19"/>
      <c r="QHX48" s="19"/>
      <c r="QHY48" s="19"/>
      <c r="QHZ48" s="19"/>
      <c r="QIA48" s="19"/>
      <c r="QIB48" s="19"/>
      <c r="QIC48" s="19"/>
      <c r="QID48" s="19"/>
      <c r="QIE48" s="19"/>
      <c r="QIF48" s="19"/>
      <c r="QIG48" s="19"/>
      <c r="QIH48" s="19"/>
      <c r="QII48" s="19"/>
      <c r="QIJ48" s="19"/>
      <c r="QIK48" s="19"/>
      <c r="QIL48" s="19"/>
      <c r="QIM48" s="19"/>
      <c r="QIN48" s="19"/>
      <c r="QIO48" s="19"/>
      <c r="QIP48" s="19"/>
      <c r="QIQ48" s="19"/>
      <c r="QIR48" s="19"/>
      <c r="QIS48" s="19"/>
      <c r="QIT48" s="19"/>
      <c r="QIU48" s="19"/>
      <c r="QIV48" s="19"/>
      <c r="QIW48" s="19"/>
      <c r="QIX48" s="19"/>
      <c r="QIY48" s="19"/>
      <c r="QIZ48" s="19"/>
      <c r="QJA48" s="19"/>
      <c r="QJB48" s="19"/>
      <c r="QJC48" s="19"/>
      <c r="QJD48" s="19"/>
      <c r="QJE48" s="19"/>
      <c r="QJF48" s="19"/>
      <c r="QJG48" s="19"/>
      <c r="QJH48" s="19"/>
      <c r="QJI48" s="19"/>
      <c r="QJJ48" s="19"/>
      <c r="QJK48" s="19"/>
      <c r="QJL48" s="19"/>
      <c r="QJM48" s="19"/>
      <c r="QJN48" s="19"/>
      <c r="QJO48" s="19"/>
      <c r="QJP48" s="19"/>
      <c r="QJQ48" s="19"/>
      <c r="QJR48" s="19"/>
      <c r="QJS48" s="19"/>
      <c r="QJT48" s="19"/>
      <c r="QJU48" s="19"/>
      <c r="QJV48" s="19"/>
      <c r="QJW48" s="19"/>
      <c r="QJX48" s="19"/>
      <c r="QJY48" s="19"/>
      <c r="QJZ48" s="19"/>
      <c r="QKA48" s="19"/>
      <c r="QKB48" s="19"/>
      <c r="QKC48" s="19"/>
      <c r="QKD48" s="19"/>
      <c r="QKE48" s="19"/>
      <c r="QKF48" s="19"/>
      <c r="QKG48" s="19"/>
      <c r="QKH48" s="19"/>
      <c r="QKI48" s="19"/>
      <c r="QKJ48" s="19"/>
      <c r="QKK48" s="19"/>
      <c r="QKL48" s="19"/>
      <c r="QKM48" s="19"/>
      <c r="QKN48" s="19"/>
      <c r="QKO48" s="19"/>
      <c r="QKP48" s="19"/>
      <c r="QKQ48" s="19"/>
      <c r="QKR48" s="19"/>
      <c r="QKS48" s="19"/>
      <c r="QKT48" s="19"/>
      <c r="QKU48" s="19"/>
      <c r="QKV48" s="19"/>
      <c r="QKW48" s="19"/>
      <c r="QKX48" s="19"/>
      <c r="QKY48" s="19"/>
      <c r="QKZ48" s="19"/>
      <c r="QLA48" s="19"/>
      <c r="QLB48" s="19"/>
      <c r="QLC48" s="19"/>
      <c r="QLD48" s="19"/>
      <c r="QLE48" s="19"/>
      <c r="QLF48" s="19"/>
      <c r="QLG48" s="19"/>
      <c r="QLH48" s="19"/>
      <c r="QLI48" s="19"/>
      <c r="QLJ48" s="19"/>
      <c r="QLK48" s="19"/>
      <c r="QLL48" s="19"/>
      <c r="QLM48" s="19"/>
      <c r="QLN48" s="19"/>
      <c r="QLO48" s="19"/>
      <c r="QLP48" s="19"/>
      <c r="QLQ48" s="19"/>
      <c r="QLR48" s="19"/>
      <c r="QLS48" s="19"/>
      <c r="QLT48" s="19"/>
      <c r="QLU48" s="19"/>
      <c r="QLV48" s="19"/>
      <c r="QLW48" s="19"/>
      <c r="QLX48" s="19"/>
      <c r="QLY48" s="19"/>
      <c r="QLZ48" s="19"/>
      <c r="QMA48" s="19"/>
      <c r="QMB48" s="19"/>
      <c r="QMC48" s="19"/>
      <c r="QMD48" s="19"/>
      <c r="QME48" s="19"/>
      <c r="QMF48" s="19"/>
      <c r="QMG48" s="19"/>
      <c r="QMH48" s="19"/>
      <c r="QMI48" s="19"/>
      <c r="QMJ48" s="19"/>
      <c r="QMK48" s="19"/>
      <c r="QML48" s="19"/>
      <c r="QMM48" s="19"/>
      <c r="QMN48" s="19"/>
      <c r="QMO48" s="19"/>
      <c r="QMP48" s="19"/>
      <c r="QMQ48" s="19"/>
      <c r="QMR48" s="19"/>
      <c r="QMS48" s="19"/>
      <c r="QMT48" s="19"/>
      <c r="QMU48" s="19"/>
      <c r="QMV48" s="19"/>
      <c r="QMW48" s="19"/>
      <c r="QMX48" s="19"/>
      <c r="QMY48" s="19"/>
      <c r="QMZ48" s="19"/>
      <c r="QNA48" s="19"/>
      <c r="QNB48" s="19"/>
      <c r="QNC48" s="19"/>
      <c r="QND48" s="19"/>
      <c r="QNE48" s="19"/>
      <c r="QNF48" s="19"/>
      <c r="QNG48" s="19"/>
      <c r="QNH48" s="19"/>
      <c r="QNI48" s="19"/>
      <c r="QNJ48" s="19"/>
      <c r="QNK48" s="19"/>
      <c r="QNL48" s="19"/>
      <c r="QNM48" s="19"/>
      <c r="QNN48" s="19"/>
      <c r="QNO48" s="19"/>
      <c r="QNP48" s="19"/>
      <c r="QNQ48" s="19"/>
      <c r="QNR48" s="19"/>
      <c r="QNS48" s="19"/>
      <c r="QNT48" s="19"/>
      <c r="QNU48" s="19"/>
      <c r="QNV48" s="19"/>
      <c r="QNW48" s="19"/>
      <c r="QNX48" s="19"/>
      <c r="QNY48" s="19"/>
      <c r="QNZ48" s="19"/>
      <c r="QOA48" s="19"/>
      <c r="QOB48" s="19"/>
      <c r="QOC48" s="19"/>
      <c r="QOD48" s="19"/>
      <c r="QOE48" s="19"/>
      <c r="QOF48" s="19"/>
      <c r="QOG48" s="19"/>
      <c r="QOH48" s="19"/>
      <c r="QOI48" s="19"/>
      <c r="QOJ48" s="19"/>
      <c r="QOK48" s="19"/>
      <c r="QOL48" s="19"/>
      <c r="QOM48" s="19"/>
      <c r="QON48" s="19"/>
      <c r="QOO48" s="19"/>
      <c r="QOP48" s="19"/>
      <c r="QOQ48" s="19"/>
      <c r="QOR48" s="19"/>
      <c r="QOS48" s="19"/>
      <c r="QOT48" s="19"/>
      <c r="QOU48" s="19"/>
      <c r="QOV48" s="19"/>
      <c r="QOW48" s="19"/>
      <c r="QOX48" s="19"/>
      <c r="QOY48" s="19"/>
      <c r="QOZ48" s="19"/>
      <c r="QPA48" s="19"/>
      <c r="QPB48" s="19"/>
      <c r="QPC48" s="19"/>
      <c r="QPD48" s="19"/>
      <c r="QPE48" s="19"/>
      <c r="QPF48" s="19"/>
      <c r="QPG48" s="19"/>
      <c r="QPH48" s="19"/>
      <c r="QPI48" s="19"/>
      <c r="QPJ48" s="19"/>
      <c r="QPK48" s="19"/>
      <c r="QPL48" s="19"/>
      <c r="QPM48" s="19"/>
      <c r="QPN48" s="19"/>
      <c r="QPO48" s="19"/>
      <c r="QPP48" s="19"/>
      <c r="QPQ48" s="19"/>
      <c r="QPR48" s="19"/>
      <c r="QPS48" s="19"/>
      <c r="QPT48" s="19"/>
      <c r="QPU48" s="19"/>
      <c r="QPV48" s="19"/>
      <c r="QPW48" s="19"/>
      <c r="QPX48" s="19"/>
      <c r="QPY48" s="19"/>
      <c r="QPZ48" s="19"/>
      <c r="QQA48" s="19"/>
      <c r="QQB48" s="19"/>
      <c r="QQC48" s="19"/>
      <c r="QQD48" s="19"/>
      <c r="QQE48" s="19"/>
      <c r="QQF48" s="19"/>
      <c r="QQG48" s="19"/>
      <c r="QQH48" s="19"/>
      <c r="QQI48" s="19"/>
      <c r="QQJ48" s="19"/>
      <c r="QQK48" s="19"/>
      <c r="QQL48" s="19"/>
      <c r="QQM48" s="19"/>
      <c r="QQN48" s="19"/>
      <c r="QQO48" s="19"/>
      <c r="QQP48" s="19"/>
      <c r="QQQ48" s="19"/>
      <c r="QQR48" s="19"/>
      <c r="QQS48" s="19"/>
      <c r="QQT48" s="19"/>
      <c r="QQU48" s="19"/>
      <c r="QQV48" s="19"/>
      <c r="QQW48" s="19"/>
      <c r="QQX48" s="19"/>
      <c r="QQY48" s="19"/>
      <c r="QQZ48" s="19"/>
      <c r="QRA48" s="19"/>
      <c r="QRB48" s="19"/>
      <c r="QRC48" s="19"/>
      <c r="QRD48" s="19"/>
      <c r="QRE48" s="19"/>
      <c r="QRF48" s="19"/>
      <c r="QRG48" s="19"/>
      <c r="QRH48" s="19"/>
      <c r="QRI48" s="19"/>
      <c r="QRJ48" s="19"/>
      <c r="QRK48" s="19"/>
      <c r="QRL48" s="19"/>
      <c r="QRM48" s="19"/>
      <c r="QRN48" s="19"/>
      <c r="QRO48" s="19"/>
      <c r="QRP48" s="19"/>
      <c r="QRQ48" s="19"/>
      <c r="QRR48" s="19"/>
      <c r="QRS48" s="19"/>
      <c r="QRT48" s="19"/>
      <c r="QRU48" s="19"/>
      <c r="QRV48" s="19"/>
      <c r="QRW48" s="19"/>
      <c r="QRX48" s="19"/>
      <c r="QRY48" s="19"/>
      <c r="QRZ48" s="19"/>
      <c r="QSA48" s="19"/>
      <c r="QSB48" s="19"/>
      <c r="QSC48" s="19"/>
      <c r="QSD48" s="19"/>
      <c r="QSE48" s="19"/>
      <c r="QSF48" s="19"/>
      <c r="QSG48" s="19"/>
      <c r="QSH48" s="19"/>
      <c r="QSI48" s="19"/>
      <c r="QSJ48" s="19"/>
      <c r="QSK48" s="19"/>
      <c r="QSL48" s="19"/>
      <c r="QSM48" s="19"/>
      <c r="QSN48" s="19"/>
      <c r="QSO48" s="19"/>
      <c r="QSP48" s="19"/>
      <c r="QSQ48" s="19"/>
      <c r="QSR48" s="19"/>
      <c r="QSS48" s="19"/>
      <c r="QST48" s="19"/>
      <c r="QSU48" s="19"/>
      <c r="QSV48" s="19"/>
      <c r="QSW48" s="19"/>
      <c r="QSX48" s="19"/>
      <c r="QSY48" s="19"/>
      <c r="QSZ48" s="19"/>
      <c r="QTA48" s="19"/>
      <c r="QTB48" s="19"/>
      <c r="QTC48" s="19"/>
      <c r="QTD48" s="19"/>
      <c r="QTE48" s="19"/>
      <c r="QTF48" s="19"/>
      <c r="QTG48" s="19"/>
      <c r="QTH48" s="19"/>
      <c r="QTI48" s="19"/>
      <c r="QTJ48" s="19"/>
      <c r="QTK48" s="19"/>
      <c r="QTL48" s="19"/>
      <c r="QTM48" s="19"/>
      <c r="QTN48" s="19"/>
      <c r="QTO48" s="19"/>
      <c r="QTP48" s="19"/>
      <c r="QTQ48" s="19"/>
      <c r="QTR48" s="19"/>
      <c r="QTS48" s="19"/>
      <c r="QTT48" s="19"/>
      <c r="QTU48" s="19"/>
      <c r="QTV48" s="19"/>
      <c r="QTW48" s="19"/>
      <c r="QTX48" s="19"/>
      <c r="QTY48" s="19"/>
      <c r="QTZ48" s="19"/>
      <c r="QUA48" s="19"/>
      <c r="QUB48" s="19"/>
      <c r="QUC48" s="19"/>
      <c r="QUD48" s="19"/>
      <c r="QUE48" s="19"/>
      <c r="QUF48" s="19"/>
      <c r="QUG48" s="19"/>
      <c r="QUH48" s="19"/>
      <c r="QUI48" s="19"/>
      <c r="QUJ48" s="19"/>
      <c r="QUK48" s="19"/>
      <c r="QUL48" s="19"/>
      <c r="QUM48" s="19"/>
      <c r="QUN48" s="19"/>
      <c r="QUO48" s="19"/>
      <c r="QUP48" s="19"/>
      <c r="QUQ48" s="19"/>
      <c r="QUR48" s="19"/>
      <c r="QUS48" s="19"/>
      <c r="QUT48" s="19"/>
      <c r="QUU48" s="19"/>
      <c r="QUV48" s="19"/>
      <c r="QUW48" s="19"/>
      <c r="QUX48" s="19"/>
      <c r="QUY48" s="19"/>
      <c r="QUZ48" s="19"/>
      <c r="QVA48" s="19"/>
      <c r="QVB48" s="19"/>
      <c r="QVC48" s="19"/>
      <c r="QVD48" s="19"/>
      <c r="QVE48" s="19"/>
      <c r="QVF48" s="19"/>
      <c r="QVG48" s="19"/>
      <c r="QVH48" s="19"/>
      <c r="QVI48" s="19"/>
      <c r="QVJ48" s="19"/>
      <c r="QVK48" s="19"/>
      <c r="QVL48" s="19"/>
      <c r="QVM48" s="19"/>
      <c r="QVN48" s="19"/>
      <c r="QVO48" s="19"/>
      <c r="QVP48" s="19"/>
      <c r="QVQ48" s="19"/>
      <c r="QVR48" s="19"/>
      <c r="QVS48" s="19"/>
      <c r="QVT48" s="19"/>
      <c r="QVU48" s="19"/>
      <c r="QVV48" s="19"/>
      <c r="QVW48" s="19"/>
      <c r="QVX48" s="19"/>
      <c r="QVY48" s="19"/>
      <c r="QVZ48" s="19"/>
      <c r="QWA48" s="19"/>
      <c r="QWB48" s="19"/>
      <c r="QWC48" s="19"/>
      <c r="QWD48" s="19"/>
      <c r="QWE48" s="19"/>
      <c r="QWF48" s="19"/>
      <c r="QWG48" s="19"/>
      <c r="QWH48" s="19"/>
      <c r="QWI48" s="19"/>
      <c r="QWJ48" s="19"/>
      <c r="QWK48" s="19"/>
      <c r="QWL48" s="19"/>
      <c r="QWM48" s="19"/>
      <c r="QWN48" s="19"/>
      <c r="QWO48" s="19"/>
      <c r="QWP48" s="19"/>
      <c r="QWQ48" s="19"/>
      <c r="QWR48" s="19"/>
      <c r="QWS48" s="19"/>
      <c r="QWT48" s="19"/>
      <c r="QWU48" s="19"/>
      <c r="QWV48" s="19"/>
      <c r="QWW48" s="19"/>
      <c r="QWX48" s="19"/>
      <c r="QWY48" s="19"/>
      <c r="QWZ48" s="19"/>
      <c r="QXA48" s="19"/>
      <c r="QXB48" s="19"/>
      <c r="QXC48" s="19"/>
      <c r="QXD48" s="19"/>
      <c r="QXE48" s="19"/>
      <c r="QXF48" s="19"/>
      <c r="QXG48" s="19"/>
      <c r="QXH48" s="19"/>
      <c r="QXI48" s="19"/>
      <c r="QXJ48" s="19"/>
      <c r="QXK48" s="19"/>
      <c r="QXL48" s="19"/>
      <c r="QXM48" s="19"/>
      <c r="QXN48" s="19"/>
      <c r="QXO48" s="19"/>
      <c r="QXP48" s="19"/>
      <c r="QXQ48" s="19"/>
      <c r="QXR48" s="19"/>
      <c r="QXS48" s="19"/>
      <c r="QXT48" s="19"/>
      <c r="QXU48" s="19"/>
      <c r="QXV48" s="19"/>
      <c r="QXW48" s="19"/>
      <c r="QXX48" s="19"/>
      <c r="QXY48" s="19"/>
      <c r="QXZ48" s="19"/>
      <c r="QYA48" s="19"/>
      <c r="QYB48" s="19"/>
      <c r="QYC48" s="19"/>
      <c r="QYD48" s="19"/>
      <c r="QYE48" s="19"/>
      <c r="QYF48" s="19"/>
      <c r="QYG48" s="19"/>
      <c r="QYH48" s="19"/>
      <c r="QYI48" s="19"/>
      <c r="QYJ48" s="19"/>
      <c r="QYK48" s="19"/>
      <c r="QYL48" s="19"/>
      <c r="QYM48" s="19"/>
      <c r="QYN48" s="19"/>
      <c r="QYO48" s="19"/>
      <c r="QYP48" s="19"/>
      <c r="QYQ48" s="19"/>
      <c r="QYR48" s="19"/>
      <c r="QYS48" s="19"/>
      <c r="QYT48" s="19"/>
      <c r="QYU48" s="19"/>
      <c r="QYV48" s="19"/>
      <c r="QYW48" s="19"/>
      <c r="QYX48" s="19"/>
      <c r="QYY48" s="19"/>
      <c r="QYZ48" s="19"/>
      <c r="QZA48" s="19"/>
      <c r="QZB48" s="19"/>
      <c r="QZC48" s="19"/>
      <c r="QZD48" s="19"/>
      <c r="QZE48" s="19"/>
      <c r="QZF48" s="19"/>
      <c r="QZG48" s="19"/>
      <c r="QZH48" s="19"/>
      <c r="QZI48" s="19"/>
      <c r="QZJ48" s="19"/>
      <c r="QZK48" s="19"/>
      <c r="QZL48" s="19"/>
      <c r="QZM48" s="19"/>
      <c r="QZN48" s="19"/>
      <c r="QZO48" s="19"/>
      <c r="QZP48" s="19"/>
      <c r="QZQ48" s="19"/>
      <c r="QZR48" s="19"/>
      <c r="QZS48" s="19"/>
      <c r="QZT48" s="19"/>
      <c r="QZU48" s="19"/>
      <c r="QZV48" s="19"/>
      <c r="QZW48" s="19"/>
      <c r="QZX48" s="19"/>
      <c r="QZY48" s="19"/>
      <c r="QZZ48" s="19"/>
      <c r="RAA48" s="19"/>
      <c r="RAB48" s="19"/>
      <c r="RAC48" s="19"/>
      <c r="RAD48" s="19"/>
      <c r="RAE48" s="19"/>
      <c r="RAF48" s="19"/>
      <c r="RAG48" s="19"/>
      <c r="RAH48" s="19"/>
      <c r="RAI48" s="19"/>
      <c r="RAJ48" s="19"/>
      <c r="RAK48" s="19"/>
      <c r="RAL48" s="19"/>
      <c r="RAM48" s="19"/>
      <c r="RAN48" s="19"/>
      <c r="RAO48" s="19"/>
      <c r="RAP48" s="19"/>
      <c r="RAQ48" s="19"/>
      <c r="RAR48" s="19"/>
      <c r="RAS48" s="19"/>
      <c r="RAT48" s="19"/>
      <c r="RAU48" s="19"/>
      <c r="RAV48" s="19"/>
      <c r="RAW48" s="19"/>
      <c r="RAX48" s="19"/>
      <c r="RAY48" s="19"/>
      <c r="RAZ48" s="19"/>
      <c r="RBA48" s="19"/>
      <c r="RBB48" s="19"/>
      <c r="RBC48" s="19"/>
      <c r="RBD48" s="19"/>
      <c r="RBE48" s="19"/>
      <c r="RBF48" s="19"/>
      <c r="RBG48" s="19"/>
      <c r="RBH48" s="19"/>
      <c r="RBI48" s="19"/>
      <c r="RBJ48" s="19"/>
      <c r="RBK48" s="19"/>
      <c r="RBL48" s="19"/>
      <c r="RBM48" s="19"/>
      <c r="RBN48" s="19"/>
      <c r="RBO48" s="19"/>
      <c r="RBP48" s="19"/>
      <c r="RBQ48" s="19"/>
      <c r="RBR48" s="19"/>
      <c r="RBS48" s="19"/>
      <c r="RBT48" s="19"/>
      <c r="RBU48" s="19"/>
      <c r="RBV48" s="19"/>
      <c r="RBW48" s="19"/>
      <c r="RBX48" s="19"/>
      <c r="RBY48" s="19"/>
      <c r="RBZ48" s="19"/>
      <c r="RCA48" s="19"/>
      <c r="RCB48" s="19"/>
      <c r="RCC48" s="19"/>
      <c r="RCD48" s="19"/>
      <c r="RCE48" s="19"/>
      <c r="RCF48" s="19"/>
      <c r="RCG48" s="19"/>
      <c r="RCH48" s="19"/>
      <c r="RCI48" s="19"/>
      <c r="RCJ48" s="19"/>
      <c r="RCK48" s="19"/>
      <c r="RCL48" s="19"/>
      <c r="RCM48" s="19"/>
      <c r="RCN48" s="19"/>
      <c r="RCO48" s="19"/>
      <c r="RCP48" s="19"/>
      <c r="RCQ48" s="19"/>
      <c r="RCR48" s="19"/>
      <c r="RCS48" s="19"/>
      <c r="RCT48" s="19"/>
      <c r="RCU48" s="19"/>
      <c r="RCV48" s="19"/>
      <c r="RCW48" s="19"/>
      <c r="RCX48" s="19"/>
      <c r="RCY48" s="19"/>
      <c r="RCZ48" s="19"/>
      <c r="RDA48" s="19"/>
      <c r="RDB48" s="19"/>
      <c r="RDC48" s="19"/>
      <c r="RDD48" s="19"/>
      <c r="RDE48" s="19"/>
      <c r="RDF48" s="19"/>
      <c r="RDG48" s="19"/>
      <c r="RDH48" s="19"/>
      <c r="RDI48" s="19"/>
      <c r="RDJ48" s="19"/>
      <c r="RDK48" s="19"/>
      <c r="RDL48" s="19"/>
      <c r="RDM48" s="19"/>
      <c r="RDN48" s="19"/>
      <c r="RDO48" s="19"/>
      <c r="RDP48" s="19"/>
      <c r="RDQ48" s="19"/>
      <c r="RDR48" s="19"/>
      <c r="RDS48" s="19"/>
      <c r="RDT48" s="19"/>
      <c r="RDU48" s="19"/>
      <c r="RDV48" s="19"/>
      <c r="RDW48" s="19"/>
      <c r="RDX48" s="19"/>
      <c r="RDY48" s="19"/>
      <c r="RDZ48" s="19"/>
      <c r="REA48" s="19"/>
      <c r="REB48" s="19"/>
      <c r="REC48" s="19"/>
      <c r="RED48" s="19"/>
      <c r="REE48" s="19"/>
      <c r="REF48" s="19"/>
      <c r="REG48" s="19"/>
      <c r="REH48" s="19"/>
      <c r="REI48" s="19"/>
      <c r="REJ48" s="19"/>
      <c r="REK48" s="19"/>
      <c r="REL48" s="19"/>
      <c r="REM48" s="19"/>
      <c r="REN48" s="19"/>
      <c r="REO48" s="19"/>
      <c r="REP48" s="19"/>
      <c r="REQ48" s="19"/>
      <c r="RER48" s="19"/>
      <c r="RES48" s="19"/>
      <c r="RET48" s="19"/>
      <c r="REU48" s="19"/>
      <c r="REV48" s="19"/>
      <c r="REW48" s="19"/>
      <c r="REX48" s="19"/>
      <c r="REY48" s="19"/>
      <c r="REZ48" s="19"/>
      <c r="RFA48" s="19"/>
      <c r="RFB48" s="19"/>
      <c r="RFC48" s="19"/>
      <c r="RFD48" s="19"/>
      <c r="RFE48" s="19"/>
      <c r="RFF48" s="19"/>
      <c r="RFG48" s="19"/>
      <c r="RFH48" s="19"/>
      <c r="RFI48" s="19"/>
      <c r="RFJ48" s="19"/>
      <c r="RFK48" s="19"/>
      <c r="RFL48" s="19"/>
      <c r="RFM48" s="19"/>
      <c r="RFN48" s="19"/>
      <c r="RFO48" s="19"/>
      <c r="RFP48" s="19"/>
      <c r="RFQ48" s="19"/>
      <c r="RFR48" s="19"/>
      <c r="RFS48" s="19"/>
      <c r="RFT48" s="19"/>
      <c r="RFU48" s="19"/>
      <c r="RFV48" s="19"/>
      <c r="RFW48" s="19"/>
      <c r="RFX48" s="19"/>
      <c r="RFY48" s="19"/>
      <c r="RFZ48" s="19"/>
      <c r="RGA48" s="19"/>
      <c r="RGB48" s="19"/>
      <c r="RGC48" s="19"/>
      <c r="RGD48" s="19"/>
      <c r="RGE48" s="19"/>
      <c r="RGF48" s="19"/>
      <c r="RGG48" s="19"/>
      <c r="RGH48" s="19"/>
      <c r="RGI48" s="19"/>
      <c r="RGJ48" s="19"/>
      <c r="RGK48" s="19"/>
      <c r="RGL48" s="19"/>
      <c r="RGM48" s="19"/>
      <c r="RGN48" s="19"/>
      <c r="RGO48" s="19"/>
      <c r="RGP48" s="19"/>
      <c r="RGQ48" s="19"/>
      <c r="RGR48" s="19"/>
      <c r="RGS48" s="19"/>
      <c r="RGT48" s="19"/>
      <c r="RGU48" s="19"/>
      <c r="RGV48" s="19"/>
      <c r="RGW48" s="19"/>
      <c r="RGX48" s="19"/>
      <c r="RGY48" s="19"/>
      <c r="RGZ48" s="19"/>
      <c r="RHA48" s="19"/>
      <c r="RHB48" s="19"/>
      <c r="RHC48" s="19"/>
      <c r="RHD48" s="19"/>
      <c r="RHE48" s="19"/>
      <c r="RHF48" s="19"/>
      <c r="RHG48" s="19"/>
      <c r="RHH48" s="19"/>
      <c r="RHI48" s="19"/>
      <c r="RHJ48" s="19"/>
      <c r="RHK48" s="19"/>
      <c r="RHL48" s="19"/>
      <c r="RHM48" s="19"/>
      <c r="RHN48" s="19"/>
      <c r="RHO48" s="19"/>
      <c r="RHP48" s="19"/>
      <c r="RHQ48" s="19"/>
      <c r="RHR48" s="19"/>
      <c r="RHS48" s="19"/>
      <c r="RHT48" s="19"/>
      <c r="RHU48" s="19"/>
      <c r="RHV48" s="19"/>
      <c r="RHW48" s="19"/>
      <c r="RHX48" s="19"/>
      <c r="RHY48" s="19"/>
      <c r="RHZ48" s="19"/>
      <c r="RIA48" s="19"/>
      <c r="RIB48" s="19"/>
      <c r="RIC48" s="19"/>
      <c r="RID48" s="19"/>
      <c r="RIE48" s="19"/>
      <c r="RIF48" s="19"/>
      <c r="RIG48" s="19"/>
      <c r="RIH48" s="19"/>
      <c r="RII48" s="19"/>
      <c r="RIJ48" s="19"/>
      <c r="RIK48" s="19"/>
      <c r="RIL48" s="19"/>
      <c r="RIM48" s="19"/>
      <c r="RIN48" s="19"/>
      <c r="RIO48" s="19"/>
      <c r="RIP48" s="19"/>
      <c r="RIQ48" s="19"/>
      <c r="RIR48" s="19"/>
      <c r="RIS48" s="19"/>
      <c r="RIT48" s="19"/>
      <c r="RIU48" s="19"/>
      <c r="RIV48" s="19"/>
      <c r="RIW48" s="19"/>
      <c r="RIX48" s="19"/>
      <c r="RIY48" s="19"/>
      <c r="RIZ48" s="19"/>
      <c r="RJA48" s="19"/>
      <c r="RJB48" s="19"/>
      <c r="RJC48" s="19"/>
      <c r="RJD48" s="19"/>
      <c r="RJE48" s="19"/>
      <c r="RJF48" s="19"/>
      <c r="RJG48" s="19"/>
      <c r="RJH48" s="19"/>
      <c r="RJI48" s="19"/>
      <c r="RJJ48" s="19"/>
      <c r="RJK48" s="19"/>
      <c r="RJL48" s="19"/>
      <c r="RJM48" s="19"/>
      <c r="RJN48" s="19"/>
      <c r="RJO48" s="19"/>
      <c r="RJP48" s="19"/>
      <c r="RJQ48" s="19"/>
      <c r="RJR48" s="19"/>
      <c r="RJS48" s="19"/>
      <c r="RJT48" s="19"/>
      <c r="RJU48" s="19"/>
      <c r="RJV48" s="19"/>
      <c r="RJW48" s="19"/>
      <c r="RJX48" s="19"/>
      <c r="RJY48" s="19"/>
      <c r="RJZ48" s="19"/>
      <c r="RKA48" s="19"/>
      <c r="RKB48" s="19"/>
      <c r="RKC48" s="19"/>
      <c r="RKD48" s="19"/>
      <c r="RKE48" s="19"/>
      <c r="RKF48" s="19"/>
      <c r="RKG48" s="19"/>
      <c r="RKH48" s="19"/>
      <c r="RKI48" s="19"/>
      <c r="RKJ48" s="19"/>
      <c r="RKK48" s="19"/>
      <c r="RKL48" s="19"/>
      <c r="RKM48" s="19"/>
      <c r="RKN48" s="19"/>
      <c r="RKO48" s="19"/>
      <c r="RKP48" s="19"/>
      <c r="RKQ48" s="19"/>
      <c r="RKR48" s="19"/>
      <c r="RKS48" s="19"/>
      <c r="RKT48" s="19"/>
      <c r="RKU48" s="19"/>
      <c r="RKV48" s="19"/>
      <c r="RKW48" s="19"/>
      <c r="RKX48" s="19"/>
      <c r="RKY48" s="19"/>
      <c r="RKZ48" s="19"/>
      <c r="RLA48" s="19"/>
      <c r="RLB48" s="19"/>
      <c r="RLC48" s="19"/>
      <c r="RLD48" s="19"/>
      <c r="RLE48" s="19"/>
      <c r="RLF48" s="19"/>
      <c r="RLG48" s="19"/>
      <c r="RLH48" s="19"/>
      <c r="RLI48" s="19"/>
      <c r="RLJ48" s="19"/>
      <c r="RLK48" s="19"/>
      <c r="RLL48" s="19"/>
      <c r="RLM48" s="19"/>
      <c r="RLN48" s="19"/>
      <c r="RLO48" s="19"/>
      <c r="RLP48" s="19"/>
      <c r="RLQ48" s="19"/>
      <c r="RLR48" s="19"/>
      <c r="RLS48" s="19"/>
      <c r="RLT48" s="19"/>
      <c r="RLU48" s="19"/>
      <c r="RLV48" s="19"/>
      <c r="RLW48" s="19"/>
      <c r="RLX48" s="19"/>
      <c r="RLY48" s="19"/>
      <c r="RLZ48" s="19"/>
      <c r="RMA48" s="19"/>
      <c r="RMB48" s="19"/>
      <c r="RMC48" s="19"/>
      <c r="RMD48" s="19"/>
      <c r="RME48" s="19"/>
      <c r="RMF48" s="19"/>
      <c r="RMG48" s="19"/>
      <c r="RMH48" s="19"/>
      <c r="RMI48" s="19"/>
      <c r="RMJ48" s="19"/>
      <c r="RMK48" s="19"/>
      <c r="RML48" s="19"/>
      <c r="RMM48" s="19"/>
      <c r="RMN48" s="19"/>
      <c r="RMO48" s="19"/>
      <c r="RMP48" s="19"/>
      <c r="RMQ48" s="19"/>
      <c r="RMR48" s="19"/>
      <c r="RMS48" s="19"/>
      <c r="RMT48" s="19"/>
      <c r="RMU48" s="19"/>
      <c r="RMV48" s="19"/>
      <c r="RMW48" s="19"/>
      <c r="RMX48" s="19"/>
      <c r="RMY48" s="19"/>
      <c r="RMZ48" s="19"/>
      <c r="RNA48" s="19"/>
      <c r="RNB48" s="19"/>
      <c r="RNC48" s="19"/>
      <c r="RND48" s="19"/>
      <c r="RNE48" s="19"/>
      <c r="RNF48" s="19"/>
      <c r="RNG48" s="19"/>
      <c r="RNH48" s="19"/>
      <c r="RNI48" s="19"/>
      <c r="RNJ48" s="19"/>
      <c r="RNK48" s="19"/>
      <c r="RNL48" s="19"/>
      <c r="RNM48" s="19"/>
      <c r="RNN48" s="19"/>
      <c r="RNO48" s="19"/>
      <c r="RNP48" s="19"/>
      <c r="RNQ48" s="19"/>
      <c r="RNR48" s="19"/>
      <c r="RNS48" s="19"/>
      <c r="RNT48" s="19"/>
      <c r="RNU48" s="19"/>
      <c r="RNV48" s="19"/>
      <c r="RNW48" s="19"/>
      <c r="RNX48" s="19"/>
      <c r="RNY48" s="19"/>
      <c r="RNZ48" s="19"/>
      <c r="ROA48" s="19"/>
      <c r="ROB48" s="19"/>
      <c r="ROC48" s="19"/>
      <c r="ROD48" s="19"/>
      <c r="ROE48" s="19"/>
      <c r="ROF48" s="19"/>
      <c r="ROG48" s="19"/>
      <c r="ROH48" s="19"/>
      <c r="ROI48" s="19"/>
      <c r="ROJ48" s="19"/>
      <c r="ROK48" s="19"/>
      <c r="ROL48" s="19"/>
      <c r="ROM48" s="19"/>
      <c r="RON48" s="19"/>
      <c r="ROO48" s="19"/>
      <c r="ROP48" s="19"/>
      <c r="ROQ48" s="19"/>
      <c r="ROR48" s="19"/>
      <c r="ROS48" s="19"/>
      <c r="ROT48" s="19"/>
      <c r="ROU48" s="19"/>
      <c r="ROV48" s="19"/>
      <c r="ROW48" s="19"/>
      <c r="ROX48" s="19"/>
      <c r="ROY48" s="19"/>
      <c r="ROZ48" s="19"/>
      <c r="RPA48" s="19"/>
      <c r="RPB48" s="19"/>
      <c r="RPC48" s="19"/>
      <c r="RPD48" s="19"/>
      <c r="RPE48" s="19"/>
      <c r="RPF48" s="19"/>
      <c r="RPG48" s="19"/>
      <c r="RPH48" s="19"/>
      <c r="RPI48" s="19"/>
      <c r="RPJ48" s="19"/>
      <c r="RPK48" s="19"/>
      <c r="RPL48" s="19"/>
      <c r="RPM48" s="19"/>
      <c r="RPN48" s="19"/>
      <c r="RPO48" s="19"/>
      <c r="RPP48" s="19"/>
      <c r="RPQ48" s="19"/>
      <c r="RPR48" s="19"/>
      <c r="RPS48" s="19"/>
      <c r="RPT48" s="19"/>
      <c r="RPU48" s="19"/>
      <c r="RPV48" s="19"/>
      <c r="RPW48" s="19"/>
      <c r="RPX48" s="19"/>
      <c r="RPY48" s="19"/>
      <c r="RPZ48" s="19"/>
      <c r="RQA48" s="19"/>
      <c r="RQB48" s="19"/>
      <c r="RQC48" s="19"/>
      <c r="RQD48" s="19"/>
      <c r="RQE48" s="19"/>
      <c r="RQF48" s="19"/>
      <c r="RQG48" s="19"/>
      <c r="RQH48" s="19"/>
      <c r="RQI48" s="19"/>
      <c r="RQJ48" s="19"/>
      <c r="RQK48" s="19"/>
      <c r="RQL48" s="19"/>
      <c r="RQM48" s="19"/>
      <c r="RQN48" s="19"/>
      <c r="RQO48" s="19"/>
      <c r="RQP48" s="19"/>
      <c r="RQQ48" s="19"/>
      <c r="RQR48" s="19"/>
      <c r="RQS48" s="19"/>
      <c r="RQT48" s="19"/>
      <c r="RQU48" s="19"/>
      <c r="RQV48" s="19"/>
      <c r="RQW48" s="19"/>
      <c r="RQX48" s="19"/>
      <c r="RQY48" s="19"/>
      <c r="RQZ48" s="19"/>
      <c r="RRA48" s="19"/>
      <c r="RRB48" s="19"/>
      <c r="RRC48" s="19"/>
      <c r="RRD48" s="19"/>
      <c r="RRE48" s="19"/>
      <c r="RRF48" s="19"/>
      <c r="RRG48" s="19"/>
      <c r="RRH48" s="19"/>
      <c r="RRI48" s="19"/>
      <c r="RRJ48" s="19"/>
      <c r="RRK48" s="19"/>
      <c r="RRL48" s="19"/>
      <c r="RRM48" s="19"/>
      <c r="RRN48" s="19"/>
      <c r="RRO48" s="19"/>
      <c r="RRP48" s="19"/>
      <c r="RRQ48" s="19"/>
      <c r="RRR48" s="19"/>
      <c r="RRS48" s="19"/>
      <c r="RRT48" s="19"/>
      <c r="RRU48" s="19"/>
      <c r="RRV48" s="19"/>
      <c r="RRW48" s="19"/>
      <c r="RRX48" s="19"/>
      <c r="RRY48" s="19"/>
      <c r="RRZ48" s="19"/>
      <c r="RSA48" s="19"/>
      <c r="RSB48" s="19"/>
      <c r="RSC48" s="19"/>
      <c r="RSD48" s="19"/>
      <c r="RSE48" s="19"/>
      <c r="RSF48" s="19"/>
      <c r="RSG48" s="19"/>
      <c r="RSH48" s="19"/>
      <c r="RSI48" s="19"/>
      <c r="RSJ48" s="19"/>
      <c r="RSK48" s="19"/>
      <c r="RSL48" s="19"/>
      <c r="RSM48" s="19"/>
      <c r="RSN48" s="19"/>
      <c r="RSO48" s="19"/>
      <c r="RSP48" s="19"/>
      <c r="RSQ48" s="19"/>
      <c r="RSR48" s="19"/>
      <c r="RSS48" s="19"/>
      <c r="RST48" s="19"/>
      <c r="RSU48" s="19"/>
      <c r="RSV48" s="19"/>
      <c r="RSW48" s="19"/>
      <c r="RSX48" s="19"/>
      <c r="RSY48" s="19"/>
      <c r="RSZ48" s="19"/>
      <c r="RTA48" s="19"/>
      <c r="RTB48" s="19"/>
      <c r="RTC48" s="19"/>
      <c r="RTD48" s="19"/>
      <c r="RTE48" s="19"/>
      <c r="RTF48" s="19"/>
      <c r="RTG48" s="19"/>
      <c r="RTH48" s="19"/>
      <c r="RTI48" s="19"/>
      <c r="RTJ48" s="19"/>
      <c r="RTK48" s="19"/>
      <c r="RTL48" s="19"/>
      <c r="RTM48" s="19"/>
      <c r="RTN48" s="19"/>
      <c r="RTO48" s="19"/>
      <c r="RTP48" s="19"/>
      <c r="RTQ48" s="19"/>
      <c r="RTR48" s="19"/>
      <c r="RTS48" s="19"/>
      <c r="RTT48" s="19"/>
      <c r="RTU48" s="19"/>
      <c r="RTV48" s="19"/>
      <c r="RTW48" s="19"/>
      <c r="RTX48" s="19"/>
      <c r="RTY48" s="19"/>
      <c r="RTZ48" s="19"/>
      <c r="RUA48" s="19"/>
      <c r="RUB48" s="19"/>
      <c r="RUC48" s="19"/>
      <c r="RUD48" s="19"/>
      <c r="RUE48" s="19"/>
      <c r="RUF48" s="19"/>
      <c r="RUG48" s="19"/>
      <c r="RUH48" s="19"/>
      <c r="RUI48" s="19"/>
      <c r="RUJ48" s="19"/>
      <c r="RUK48" s="19"/>
      <c r="RUL48" s="19"/>
      <c r="RUM48" s="19"/>
      <c r="RUN48" s="19"/>
      <c r="RUO48" s="19"/>
      <c r="RUP48" s="19"/>
      <c r="RUQ48" s="19"/>
      <c r="RUR48" s="19"/>
      <c r="RUS48" s="19"/>
      <c r="RUT48" s="19"/>
      <c r="RUU48" s="19"/>
      <c r="RUV48" s="19"/>
      <c r="RUW48" s="19"/>
      <c r="RUX48" s="19"/>
      <c r="RUY48" s="19"/>
      <c r="RUZ48" s="19"/>
      <c r="RVA48" s="19"/>
      <c r="RVB48" s="19"/>
      <c r="RVC48" s="19"/>
      <c r="RVD48" s="19"/>
      <c r="RVE48" s="19"/>
      <c r="RVF48" s="19"/>
      <c r="RVG48" s="19"/>
      <c r="RVH48" s="19"/>
      <c r="RVI48" s="19"/>
      <c r="RVJ48" s="19"/>
      <c r="RVK48" s="19"/>
      <c r="RVL48" s="19"/>
      <c r="RVM48" s="19"/>
      <c r="RVN48" s="19"/>
      <c r="RVO48" s="19"/>
      <c r="RVP48" s="19"/>
      <c r="RVQ48" s="19"/>
      <c r="RVR48" s="19"/>
      <c r="RVS48" s="19"/>
      <c r="RVT48" s="19"/>
      <c r="RVU48" s="19"/>
      <c r="RVV48" s="19"/>
      <c r="RVW48" s="19"/>
      <c r="RVX48" s="19"/>
      <c r="RVY48" s="19"/>
      <c r="RVZ48" s="19"/>
      <c r="RWA48" s="19"/>
      <c r="RWB48" s="19"/>
      <c r="RWC48" s="19"/>
      <c r="RWD48" s="19"/>
      <c r="RWE48" s="19"/>
      <c r="RWF48" s="19"/>
      <c r="RWG48" s="19"/>
      <c r="RWH48" s="19"/>
      <c r="RWI48" s="19"/>
      <c r="RWJ48" s="19"/>
      <c r="RWK48" s="19"/>
      <c r="RWL48" s="19"/>
      <c r="RWM48" s="19"/>
      <c r="RWN48" s="19"/>
      <c r="RWO48" s="19"/>
      <c r="RWP48" s="19"/>
      <c r="RWQ48" s="19"/>
      <c r="RWR48" s="19"/>
      <c r="RWS48" s="19"/>
      <c r="RWT48" s="19"/>
      <c r="RWU48" s="19"/>
      <c r="RWV48" s="19"/>
      <c r="RWW48" s="19"/>
      <c r="RWX48" s="19"/>
      <c r="RWY48" s="19"/>
      <c r="RWZ48" s="19"/>
      <c r="RXA48" s="19"/>
      <c r="RXB48" s="19"/>
      <c r="RXC48" s="19"/>
      <c r="RXD48" s="19"/>
      <c r="RXE48" s="19"/>
      <c r="RXF48" s="19"/>
      <c r="RXG48" s="19"/>
      <c r="RXH48" s="19"/>
      <c r="RXI48" s="19"/>
      <c r="RXJ48" s="19"/>
      <c r="RXK48" s="19"/>
      <c r="RXL48" s="19"/>
      <c r="RXM48" s="19"/>
      <c r="RXN48" s="19"/>
      <c r="RXO48" s="19"/>
      <c r="RXP48" s="19"/>
      <c r="RXQ48" s="19"/>
      <c r="RXR48" s="19"/>
      <c r="RXS48" s="19"/>
      <c r="RXT48" s="19"/>
      <c r="RXU48" s="19"/>
      <c r="RXV48" s="19"/>
      <c r="RXW48" s="19"/>
      <c r="RXX48" s="19"/>
      <c r="RXY48" s="19"/>
      <c r="RXZ48" s="19"/>
      <c r="RYA48" s="19"/>
      <c r="RYB48" s="19"/>
      <c r="RYC48" s="19"/>
      <c r="RYD48" s="19"/>
      <c r="RYE48" s="19"/>
      <c r="RYF48" s="19"/>
      <c r="RYG48" s="19"/>
      <c r="RYH48" s="19"/>
      <c r="RYI48" s="19"/>
      <c r="RYJ48" s="19"/>
      <c r="RYK48" s="19"/>
      <c r="RYL48" s="19"/>
      <c r="RYM48" s="19"/>
      <c r="RYN48" s="19"/>
      <c r="RYO48" s="19"/>
      <c r="RYP48" s="19"/>
      <c r="RYQ48" s="19"/>
      <c r="RYR48" s="19"/>
      <c r="RYS48" s="19"/>
      <c r="RYT48" s="19"/>
      <c r="RYU48" s="19"/>
      <c r="RYV48" s="19"/>
      <c r="RYW48" s="19"/>
      <c r="RYX48" s="19"/>
      <c r="RYY48" s="19"/>
      <c r="RYZ48" s="19"/>
      <c r="RZA48" s="19"/>
      <c r="RZB48" s="19"/>
      <c r="RZC48" s="19"/>
      <c r="RZD48" s="19"/>
      <c r="RZE48" s="19"/>
      <c r="RZF48" s="19"/>
      <c r="RZG48" s="19"/>
      <c r="RZH48" s="19"/>
      <c r="RZI48" s="19"/>
      <c r="RZJ48" s="19"/>
      <c r="RZK48" s="19"/>
      <c r="RZL48" s="19"/>
      <c r="RZM48" s="19"/>
      <c r="RZN48" s="19"/>
      <c r="RZO48" s="19"/>
      <c r="RZP48" s="19"/>
      <c r="RZQ48" s="19"/>
      <c r="RZR48" s="19"/>
      <c r="RZS48" s="19"/>
      <c r="RZT48" s="19"/>
      <c r="RZU48" s="19"/>
      <c r="RZV48" s="19"/>
      <c r="RZW48" s="19"/>
      <c r="RZX48" s="19"/>
      <c r="RZY48" s="19"/>
      <c r="RZZ48" s="19"/>
      <c r="SAA48" s="19"/>
      <c r="SAB48" s="19"/>
      <c r="SAC48" s="19"/>
      <c r="SAD48" s="19"/>
      <c r="SAE48" s="19"/>
      <c r="SAF48" s="19"/>
      <c r="SAG48" s="19"/>
      <c r="SAH48" s="19"/>
      <c r="SAI48" s="19"/>
      <c r="SAJ48" s="19"/>
      <c r="SAK48" s="19"/>
      <c r="SAL48" s="19"/>
      <c r="SAM48" s="19"/>
      <c r="SAN48" s="19"/>
      <c r="SAO48" s="19"/>
      <c r="SAP48" s="19"/>
      <c r="SAQ48" s="19"/>
      <c r="SAR48" s="19"/>
      <c r="SAS48" s="19"/>
      <c r="SAT48" s="19"/>
      <c r="SAU48" s="19"/>
      <c r="SAV48" s="19"/>
      <c r="SAW48" s="19"/>
      <c r="SAX48" s="19"/>
      <c r="SAY48" s="19"/>
      <c r="SAZ48" s="19"/>
      <c r="SBA48" s="19"/>
      <c r="SBB48" s="19"/>
      <c r="SBC48" s="19"/>
      <c r="SBD48" s="19"/>
      <c r="SBE48" s="19"/>
      <c r="SBF48" s="19"/>
      <c r="SBG48" s="19"/>
      <c r="SBH48" s="19"/>
      <c r="SBI48" s="19"/>
      <c r="SBJ48" s="19"/>
      <c r="SBK48" s="19"/>
      <c r="SBL48" s="19"/>
      <c r="SBM48" s="19"/>
      <c r="SBN48" s="19"/>
      <c r="SBO48" s="19"/>
      <c r="SBP48" s="19"/>
      <c r="SBQ48" s="19"/>
      <c r="SBR48" s="19"/>
      <c r="SBS48" s="19"/>
      <c r="SBT48" s="19"/>
      <c r="SBU48" s="19"/>
      <c r="SBV48" s="19"/>
      <c r="SBW48" s="19"/>
      <c r="SBX48" s="19"/>
      <c r="SBY48" s="19"/>
      <c r="SBZ48" s="19"/>
      <c r="SCA48" s="19"/>
      <c r="SCB48" s="19"/>
      <c r="SCC48" s="19"/>
      <c r="SCD48" s="19"/>
      <c r="SCE48" s="19"/>
      <c r="SCF48" s="19"/>
      <c r="SCG48" s="19"/>
      <c r="SCH48" s="19"/>
      <c r="SCI48" s="19"/>
      <c r="SCJ48" s="19"/>
      <c r="SCK48" s="19"/>
      <c r="SCL48" s="19"/>
      <c r="SCM48" s="19"/>
      <c r="SCN48" s="19"/>
      <c r="SCO48" s="19"/>
      <c r="SCP48" s="19"/>
      <c r="SCQ48" s="19"/>
      <c r="SCR48" s="19"/>
      <c r="SCS48" s="19"/>
      <c r="SCT48" s="19"/>
      <c r="SCU48" s="19"/>
      <c r="SCV48" s="19"/>
      <c r="SCW48" s="19"/>
      <c r="SCX48" s="19"/>
      <c r="SCY48" s="19"/>
      <c r="SCZ48" s="19"/>
      <c r="SDA48" s="19"/>
      <c r="SDB48" s="19"/>
      <c r="SDC48" s="19"/>
      <c r="SDD48" s="19"/>
      <c r="SDE48" s="19"/>
      <c r="SDF48" s="19"/>
      <c r="SDG48" s="19"/>
      <c r="SDH48" s="19"/>
      <c r="SDI48" s="19"/>
      <c r="SDJ48" s="19"/>
      <c r="SDK48" s="19"/>
      <c r="SDL48" s="19"/>
      <c r="SDM48" s="19"/>
      <c r="SDN48" s="19"/>
      <c r="SDO48" s="19"/>
      <c r="SDP48" s="19"/>
      <c r="SDQ48" s="19"/>
      <c r="SDR48" s="19"/>
      <c r="SDS48" s="19"/>
      <c r="SDT48" s="19"/>
      <c r="SDU48" s="19"/>
      <c r="SDV48" s="19"/>
      <c r="SDW48" s="19"/>
      <c r="SDX48" s="19"/>
      <c r="SDY48" s="19"/>
      <c r="SDZ48" s="19"/>
      <c r="SEA48" s="19"/>
      <c r="SEB48" s="19"/>
      <c r="SEC48" s="19"/>
      <c r="SED48" s="19"/>
      <c r="SEE48" s="19"/>
      <c r="SEF48" s="19"/>
      <c r="SEG48" s="19"/>
      <c r="SEH48" s="19"/>
      <c r="SEI48" s="19"/>
      <c r="SEJ48" s="19"/>
      <c r="SEK48" s="19"/>
      <c r="SEL48" s="19"/>
      <c r="SEM48" s="19"/>
      <c r="SEN48" s="19"/>
      <c r="SEO48" s="19"/>
      <c r="SEP48" s="19"/>
      <c r="SEQ48" s="19"/>
      <c r="SER48" s="19"/>
      <c r="SES48" s="19"/>
      <c r="SET48" s="19"/>
      <c r="SEU48" s="19"/>
      <c r="SEV48" s="19"/>
      <c r="SEW48" s="19"/>
      <c r="SEX48" s="19"/>
      <c r="SEY48" s="19"/>
      <c r="SEZ48" s="19"/>
      <c r="SFA48" s="19"/>
      <c r="SFB48" s="19"/>
      <c r="SFC48" s="19"/>
      <c r="SFD48" s="19"/>
      <c r="SFE48" s="19"/>
      <c r="SFF48" s="19"/>
      <c r="SFG48" s="19"/>
      <c r="SFH48" s="19"/>
      <c r="SFI48" s="19"/>
      <c r="SFJ48" s="19"/>
      <c r="SFK48" s="19"/>
      <c r="SFL48" s="19"/>
      <c r="SFM48" s="19"/>
      <c r="SFN48" s="19"/>
      <c r="SFO48" s="19"/>
      <c r="SFP48" s="19"/>
      <c r="SFQ48" s="19"/>
      <c r="SFR48" s="19"/>
      <c r="SFS48" s="19"/>
      <c r="SFT48" s="19"/>
      <c r="SFU48" s="19"/>
      <c r="SFV48" s="19"/>
      <c r="SFW48" s="19"/>
      <c r="SFX48" s="19"/>
      <c r="SFY48" s="19"/>
      <c r="SFZ48" s="19"/>
      <c r="SGA48" s="19"/>
      <c r="SGB48" s="19"/>
      <c r="SGC48" s="19"/>
      <c r="SGD48" s="19"/>
      <c r="SGE48" s="19"/>
      <c r="SGF48" s="19"/>
      <c r="SGG48" s="19"/>
      <c r="SGH48" s="19"/>
      <c r="SGI48" s="19"/>
      <c r="SGJ48" s="19"/>
      <c r="SGK48" s="19"/>
      <c r="SGL48" s="19"/>
      <c r="SGM48" s="19"/>
      <c r="SGN48" s="19"/>
      <c r="SGO48" s="19"/>
      <c r="SGP48" s="19"/>
      <c r="SGQ48" s="19"/>
      <c r="SGR48" s="19"/>
      <c r="SGS48" s="19"/>
      <c r="SGT48" s="19"/>
      <c r="SGU48" s="19"/>
      <c r="SGV48" s="19"/>
      <c r="SGW48" s="19"/>
      <c r="SGX48" s="19"/>
      <c r="SGY48" s="19"/>
      <c r="SGZ48" s="19"/>
      <c r="SHA48" s="19"/>
      <c r="SHB48" s="19"/>
      <c r="SHC48" s="19"/>
      <c r="SHD48" s="19"/>
      <c r="SHE48" s="19"/>
      <c r="SHF48" s="19"/>
      <c r="SHG48" s="19"/>
      <c r="SHH48" s="19"/>
      <c r="SHI48" s="19"/>
      <c r="SHJ48" s="19"/>
      <c r="SHK48" s="19"/>
      <c r="SHL48" s="19"/>
      <c r="SHM48" s="19"/>
      <c r="SHN48" s="19"/>
      <c r="SHO48" s="19"/>
      <c r="SHP48" s="19"/>
      <c r="SHQ48" s="19"/>
      <c r="SHR48" s="19"/>
      <c r="SHS48" s="19"/>
      <c r="SHT48" s="19"/>
      <c r="SHU48" s="19"/>
      <c r="SHV48" s="19"/>
      <c r="SHW48" s="19"/>
      <c r="SHX48" s="19"/>
      <c r="SHY48" s="19"/>
      <c r="SHZ48" s="19"/>
      <c r="SIA48" s="19"/>
      <c r="SIB48" s="19"/>
      <c r="SIC48" s="19"/>
      <c r="SID48" s="19"/>
      <c r="SIE48" s="19"/>
      <c r="SIF48" s="19"/>
      <c r="SIG48" s="19"/>
      <c r="SIH48" s="19"/>
      <c r="SII48" s="19"/>
      <c r="SIJ48" s="19"/>
      <c r="SIK48" s="19"/>
      <c r="SIL48" s="19"/>
      <c r="SIM48" s="19"/>
      <c r="SIN48" s="19"/>
      <c r="SIO48" s="19"/>
      <c r="SIP48" s="19"/>
      <c r="SIQ48" s="19"/>
      <c r="SIR48" s="19"/>
      <c r="SIS48" s="19"/>
      <c r="SIT48" s="19"/>
      <c r="SIU48" s="19"/>
      <c r="SIV48" s="19"/>
      <c r="SIW48" s="19"/>
      <c r="SIX48" s="19"/>
      <c r="SIY48" s="19"/>
      <c r="SIZ48" s="19"/>
      <c r="SJA48" s="19"/>
      <c r="SJB48" s="19"/>
      <c r="SJC48" s="19"/>
      <c r="SJD48" s="19"/>
      <c r="SJE48" s="19"/>
      <c r="SJF48" s="19"/>
      <c r="SJG48" s="19"/>
      <c r="SJH48" s="19"/>
      <c r="SJI48" s="19"/>
      <c r="SJJ48" s="19"/>
      <c r="SJK48" s="19"/>
      <c r="SJL48" s="19"/>
      <c r="SJM48" s="19"/>
      <c r="SJN48" s="19"/>
      <c r="SJO48" s="19"/>
      <c r="SJP48" s="19"/>
      <c r="SJQ48" s="19"/>
      <c r="SJR48" s="19"/>
      <c r="SJS48" s="19"/>
      <c r="SJT48" s="19"/>
      <c r="SJU48" s="19"/>
      <c r="SJV48" s="19"/>
      <c r="SJW48" s="19"/>
      <c r="SJX48" s="19"/>
      <c r="SJY48" s="19"/>
      <c r="SJZ48" s="19"/>
      <c r="SKA48" s="19"/>
      <c r="SKB48" s="19"/>
      <c r="SKC48" s="19"/>
      <c r="SKD48" s="19"/>
      <c r="SKE48" s="19"/>
      <c r="SKF48" s="19"/>
      <c r="SKG48" s="19"/>
      <c r="SKH48" s="19"/>
      <c r="SKI48" s="19"/>
      <c r="SKJ48" s="19"/>
      <c r="SKK48" s="19"/>
      <c r="SKL48" s="19"/>
      <c r="SKM48" s="19"/>
      <c r="SKN48" s="19"/>
      <c r="SKO48" s="19"/>
      <c r="SKP48" s="19"/>
      <c r="SKQ48" s="19"/>
      <c r="SKR48" s="19"/>
      <c r="SKS48" s="19"/>
      <c r="SKT48" s="19"/>
      <c r="SKU48" s="19"/>
      <c r="SKV48" s="19"/>
      <c r="SKW48" s="19"/>
      <c r="SKX48" s="19"/>
      <c r="SKY48" s="19"/>
      <c r="SKZ48" s="19"/>
      <c r="SLA48" s="19"/>
      <c r="SLB48" s="19"/>
      <c r="SLC48" s="19"/>
      <c r="SLD48" s="19"/>
      <c r="SLE48" s="19"/>
      <c r="SLF48" s="19"/>
      <c r="SLG48" s="19"/>
      <c r="SLH48" s="19"/>
      <c r="SLI48" s="19"/>
      <c r="SLJ48" s="19"/>
      <c r="SLK48" s="19"/>
      <c r="SLL48" s="19"/>
      <c r="SLM48" s="19"/>
      <c r="SLN48" s="19"/>
      <c r="SLO48" s="19"/>
      <c r="SLP48" s="19"/>
      <c r="SLQ48" s="19"/>
      <c r="SLR48" s="19"/>
      <c r="SLS48" s="19"/>
      <c r="SLT48" s="19"/>
      <c r="SLU48" s="19"/>
      <c r="SLV48" s="19"/>
      <c r="SLW48" s="19"/>
      <c r="SLX48" s="19"/>
      <c r="SLY48" s="19"/>
      <c r="SLZ48" s="19"/>
      <c r="SMA48" s="19"/>
      <c r="SMB48" s="19"/>
      <c r="SMC48" s="19"/>
      <c r="SMD48" s="19"/>
      <c r="SME48" s="19"/>
      <c r="SMF48" s="19"/>
      <c r="SMG48" s="19"/>
      <c r="SMH48" s="19"/>
      <c r="SMI48" s="19"/>
      <c r="SMJ48" s="19"/>
      <c r="SMK48" s="19"/>
      <c r="SML48" s="19"/>
      <c r="SMM48" s="19"/>
      <c r="SMN48" s="19"/>
      <c r="SMO48" s="19"/>
      <c r="SMP48" s="19"/>
      <c r="SMQ48" s="19"/>
      <c r="SMR48" s="19"/>
      <c r="SMS48" s="19"/>
      <c r="SMT48" s="19"/>
      <c r="SMU48" s="19"/>
      <c r="SMV48" s="19"/>
      <c r="SMW48" s="19"/>
      <c r="SMX48" s="19"/>
      <c r="SMY48" s="19"/>
      <c r="SMZ48" s="19"/>
      <c r="SNA48" s="19"/>
      <c r="SNB48" s="19"/>
      <c r="SNC48" s="19"/>
      <c r="SND48" s="19"/>
      <c r="SNE48" s="19"/>
      <c r="SNF48" s="19"/>
      <c r="SNG48" s="19"/>
      <c r="SNH48" s="19"/>
      <c r="SNI48" s="19"/>
      <c r="SNJ48" s="19"/>
      <c r="SNK48" s="19"/>
      <c r="SNL48" s="19"/>
      <c r="SNM48" s="19"/>
      <c r="SNN48" s="19"/>
      <c r="SNO48" s="19"/>
      <c r="SNP48" s="19"/>
      <c r="SNQ48" s="19"/>
      <c r="SNR48" s="19"/>
      <c r="SNS48" s="19"/>
      <c r="SNT48" s="19"/>
      <c r="SNU48" s="19"/>
      <c r="SNV48" s="19"/>
      <c r="SNW48" s="19"/>
      <c r="SNX48" s="19"/>
      <c r="SNY48" s="19"/>
      <c r="SNZ48" s="19"/>
      <c r="SOA48" s="19"/>
      <c r="SOB48" s="19"/>
      <c r="SOC48" s="19"/>
      <c r="SOD48" s="19"/>
      <c r="SOE48" s="19"/>
      <c r="SOF48" s="19"/>
      <c r="SOG48" s="19"/>
      <c r="SOH48" s="19"/>
      <c r="SOI48" s="19"/>
      <c r="SOJ48" s="19"/>
      <c r="SOK48" s="19"/>
      <c r="SOL48" s="19"/>
      <c r="SOM48" s="19"/>
      <c r="SON48" s="19"/>
      <c r="SOO48" s="19"/>
      <c r="SOP48" s="19"/>
      <c r="SOQ48" s="19"/>
      <c r="SOR48" s="19"/>
      <c r="SOS48" s="19"/>
      <c r="SOT48" s="19"/>
      <c r="SOU48" s="19"/>
      <c r="SOV48" s="19"/>
      <c r="SOW48" s="19"/>
      <c r="SOX48" s="19"/>
      <c r="SOY48" s="19"/>
      <c r="SOZ48" s="19"/>
      <c r="SPA48" s="19"/>
      <c r="SPB48" s="19"/>
      <c r="SPC48" s="19"/>
      <c r="SPD48" s="19"/>
      <c r="SPE48" s="19"/>
      <c r="SPF48" s="19"/>
      <c r="SPG48" s="19"/>
      <c r="SPH48" s="19"/>
      <c r="SPI48" s="19"/>
      <c r="SPJ48" s="19"/>
      <c r="SPK48" s="19"/>
      <c r="SPL48" s="19"/>
      <c r="SPM48" s="19"/>
      <c r="SPN48" s="19"/>
      <c r="SPO48" s="19"/>
      <c r="SPP48" s="19"/>
      <c r="SPQ48" s="19"/>
      <c r="SPR48" s="19"/>
      <c r="SPS48" s="19"/>
      <c r="SPT48" s="19"/>
      <c r="SPU48" s="19"/>
      <c r="SPV48" s="19"/>
      <c r="SPW48" s="19"/>
      <c r="SPX48" s="19"/>
      <c r="SPY48" s="19"/>
      <c r="SPZ48" s="19"/>
      <c r="SQA48" s="19"/>
      <c r="SQB48" s="19"/>
      <c r="SQC48" s="19"/>
      <c r="SQD48" s="19"/>
      <c r="SQE48" s="19"/>
      <c r="SQF48" s="19"/>
      <c r="SQG48" s="19"/>
      <c r="SQH48" s="19"/>
      <c r="SQI48" s="19"/>
      <c r="SQJ48" s="19"/>
      <c r="SQK48" s="19"/>
      <c r="SQL48" s="19"/>
      <c r="SQM48" s="19"/>
      <c r="SQN48" s="19"/>
      <c r="SQO48" s="19"/>
      <c r="SQP48" s="19"/>
      <c r="SQQ48" s="19"/>
      <c r="SQR48" s="19"/>
      <c r="SQS48" s="19"/>
      <c r="SQT48" s="19"/>
      <c r="SQU48" s="19"/>
      <c r="SQV48" s="19"/>
      <c r="SQW48" s="19"/>
      <c r="SQX48" s="19"/>
      <c r="SQY48" s="19"/>
      <c r="SQZ48" s="19"/>
      <c r="SRA48" s="19"/>
      <c r="SRB48" s="19"/>
      <c r="SRC48" s="19"/>
      <c r="SRD48" s="19"/>
      <c r="SRE48" s="19"/>
      <c r="SRF48" s="19"/>
      <c r="SRG48" s="19"/>
      <c r="SRH48" s="19"/>
      <c r="SRI48" s="19"/>
      <c r="SRJ48" s="19"/>
      <c r="SRK48" s="19"/>
      <c r="SRL48" s="19"/>
      <c r="SRM48" s="19"/>
      <c r="SRN48" s="19"/>
      <c r="SRO48" s="19"/>
      <c r="SRP48" s="19"/>
      <c r="SRQ48" s="19"/>
      <c r="SRR48" s="19"/>
      <c r="SRS48" s="19"/>
      <c r="SRT48" s="19"/>
      <c r="SRU48" s="19"/>
      <c r="SRV48" s="19"/>
      <c r="SRW48" s="19"/>
      <c r="SRX48" s="19"/>
      <c r="SRY48" s="19"/>
      <c r="SRZ48" s="19"/>
      <c r="SSA48" s="19"/>
      <c r="SSB48" s="19"/>
      <c r="SSC48" s="19"/>
      <c r="SSD48" s="19"/>
      <c r="SSE48" s="19"/>
      <c r="SSF48" s="19"/>
      <c r="SSG48" s="19"/>
      <c r="SSH48" s="19"/>
      <c r="SSI48" s="19"/>
      <c r="SSJ48" s="19"/>
      <c r="SSK48" s="19"/>
      <c r="SSL48" s="19"/>
      <c r="SSM48" s="19"/>
      <c r="SSN48" s="19"/>
      <c r="SSO48" s="19"/>
      <c r="SSP48" s="19"/>
      <c r="SSQ48" s="19"/>
      <c r="SSR48" s="19"/>
      <c r="SSS48" s="19"/>
      <c r="SST48" s="19"/>
      <c r="SSU48" s="19"/>
      <c r="SSV48" s="19"/>
      <c r="SSW48" s="19"/>
      <c r="SSX48" s="19"/>
      <c r="SSY48" s="19"/>
      <c r="SSZ48" s="19"/>
      <c r="STA48" s="19"/>
      <c r="STB48" s="19"/>
      <c r="STC48" s="19"/>
      <c r="STD48" s="19"/>
      <c r="STE48" s="19"/>
      <c r="STF48" s="19"/>
      <c r="STG48" s="19"/>
      <c r="STH48" s="19"/>
      <c r="STI48" s="19"/>
      <c r="STJ48" s="19"/>
      <c r="STK48" s="19"/>
      <c r="STL48" s="19"/>
      <c r="STM48" s="19"/>
      <c r="STN48" s="19"/>
      <c r="STO48" s="19"/>
      <c r="STP48" s="19"/>
      <c r="STQ48" s="19"/>
      <c r="STR48" s="19"/>
      <c r="STS48" s="19"/>
      <c r="STT48" s="19"/>
      <c r="STU48" s="19"/>
      <c r="STV48" s="19"/>
      <c r="STW48" s="19"/>
      <c r="STX48" s="19"/>
      <c r="STY48" s="19"/>
      <c r="STZ48" s="19"/>
      <c r="SUA48" s="19"/>
      <c r="SUB48" s="19"/>
      <c r="SUC48" s="19"/>
      <c r="SUD48" s="19"/>
      <c r="SUE48" s="19"/>
      <c r="SUF48" s="19"/>
      <c r="SUG48" s="19"/>
      <c r="SUH48" s="19"/>
      <c r="SUI48" s="19"/>
      <c r="SUJ48" s="19"/>
      <c r="SUK48" s="19"/>
      <c r="SUL48" s="19"/>
      <c r="SUM48" s="19"/>
      <c r="SUN48" s="19"/>
      <c r="SUO48" s="19"/>
      <c r="SUP48" s="19"/>
      <c r="SUQ48" s="19"/>
      <c r="SUR48" s="19"/>
      <c r="SUS48" s="19"/>
      <c r="SUT48" s="19"/>
      <c r="SUU48" s="19"/>
      <c r="SUV48" s="19"/>
      <c r="SUW48" s="19"/>
      <c r="SUX48" s="19"/>
      <c r="SUY48" s="19"/>
      <c r="SUZ48" s="19"/>
      <c r="SVA48" s="19"/>
      <c r="SVB48" s="19"/>
      <c r="SVC48" s="19"/>
      <c r="SVD48" s="19"/>
      <c r="SVE48" s="19"/>
      <c r="SVF48" s="19"/>
      <c r="SVG48" s="19"/>
      <c r="SVH48" s="19"/>
      <c r="SVI48" s="19"/>
      <c r="SVJ48" s="19"/>
      <c r="SVK48" s="19"/>
      <c r="SVL48" s="19"/>
      <c r="SVM48" s="19"/>
      <c r="SVN48" s="19"/>
      <c r="SVO48" s="19"/>
      <c r="SVP48" s="19"/>
      <c r="SVQ48" s="19"/>
      <c r="SVR48" s="19"/>
      <c r="SVS48" s="19"/>
      <c r="SVT48" s="19"/>
      <c r="SVU48" s="19"/>
      <c r="SVV48" s="19"/>
      <c r="SVW48" s="19"/>
      <c r="SVX48" s="19"/>
      <c r="SVY48" s="19"/>
      <c r="SVZ48" s="19"/>
      <c r="SWA48" s="19"/>
      <c r="SWB48" s="19"/>
      <c r="SWC48" s="19"/>
      <c r="SWD48" s="19"/>
      <c r="SWE48" s="19"/>
      <c r="SWF48" s="19"/>
      <c r="SWG48" s="19"/>
      <c r="SWH48" s="19"/>
      <c r="SWI48" s="19"/>
      <c r="SWJ48" s="19"/>
      <c r="SWK48" s="19"/>
      <c r="SWL48" s="19"/>
      <c r="SWM48" s="19"/>
      <c r="SWN48" s="19"/>
      <c r="SWO48" s="19"/>
      <c r="SWP48" s="19"/>
      <c r="SWQ48" s="19"/>
      <c r="SWR48" s="19"/>
      <c r="SWS48" s="19"/>
      <c r="SWT48" s="19"/>
      <c r="SWU48" s="19"/>
      <c r="SWV48" s="19"/>
      <c r="SWW48" s="19"/>
      <c r="SWX48" s="19"/>
      <c r="SWY48" s="19"/>
      <c r="SWZ48" s="19"/>
      <c r="SXA48" s="19"/>
      <c r="SXB48" s="19"/>
      <c r="SXC48" s="19"/>
      <c r="SXD48" s="19"/>
      <c r="SXE48" s="19"/>
      <c r="SXF48" s="19"/>
      <c r="SXG48" s="19"/>
      <c r="SXH48" s="19"/>
      <c r="SXI48" s="19"/>
      <c r="SXJ48" s="19"/>
      <c r="SXK48" s="19"/>
      <c r="SXL48" s="19"/>
      <c r="SXM48" s="19"/>
      <c r="SXN48" s="19"/>
      <c r="SXO48" s="19"/>
      <c r="SXP48" s="19"/>
      <c r="SXQ48" s="19"/>
      <c r="SXR48" s="19"/>
      <c r="SXS48" s="19"/>
      <c r="SXT48" s="19"/>
      <c r="SXU48" s="19"/>
      <c r="SXV48" s="19"/>
      <c r="SXW48" s="19"/>
      <c r="SXX48" s="19"/>
      <c r="SXY48" s="19"/>
      <c r="SXZ48" s="19"/>
      <c r="SYA48" s="19"/>
      <c r="SYB48" s="19"/>
      <c r="SYC48" s="19"/>
      <c r="SYD48" s="19"/>
      <c r="SYE48" s="19"/>
      <c r="SYF48" s="19"/>
      <c r="SYG48" s="19"/>
      <c r="SYH48" s="19"/>
      <c r="SYI48" s="19"/>
      <c r="SYJ48" s="19"/>
      <c r="SYK48" s="19"/>
      <c r="SYL48" s="19"/>
      <c r="SYM48" s="19"/>
      <c r="SYN48" s="19"/>
      <c r="SYO48" s="19"/>
      <c r="SYP48" s="19"/>
      <c r="SYQ48" s="19"/>
      <c r="SYR48" s="19"/>
      <c r="SYS48" s="19"/>
      <c r="SYT48" s="19"/>
      <c r="SYU48" s="19"/>
      <c r="SYV48" s="19"/>
      <c r="SYW48" s="19"/>
      <c r="SYX48" s="19"/>
      <c r="SYY48" s="19"/>
      <c r="SYZ48" s="19"/>
      <c r="SZA48" s="19"/>
      <c r="SZB48" s="19"/>
      <c r="SZC48" s="19"/>
      <c r="SZD48" s="19"/>
      <c r="SZE48" s="19"/>
      <c r="SZF48" s="19"/>
      <c r="SZG48" s="19"/>
      <c r="SZH48" s="19"/>
      <c r="SZI48" s="19"/>
      <c r="SZJ48" s="19"/>
      <c r="SZK48" s="19"/>
      <c r="SZL48" s="19"/>
      <c r="SZM48" s="19"/>
      <c r="SZN48" s="19"/>
      <c r="SZO48" s="19"/>
      <c r="SZP48" s="19"/>
      <c r="SZQ48" s="19"/>
      <c r="SZR48" s="19"/>
      <c r="SZS48" s="19"/>
      <c r="SZT48" s="19"/>
      <c r="SZU48" s="19"/>
      <c r="SZV48" s="19"/>
      <c r="SZW48" s="19"/>
      <c r="SZX48" s="19"/>
      <c r="SZY48" s="19"/>
      <c r="SZZ48" s="19"/>
      <c r="TAA48" s="19"/>
      <c r="TAB48" s="19"/>
      <c r="TAC48" s="19"/>
      <c r="TAD48" s="19"/>
      <c r="TAE48" s="19"/>
      <c r="TAF48" s="19"/>
      <c r="TAG48" s="19"/>
      <c r="TAH48" s="19"/>
      <c r="TAI48" s="19"/>
      <c r="TAJ48" s="19"/>
      <c r="TAK48" s="19"/>
      <c r="TAL48" s="19"/>
      <c r="TAM48" s="19"/>
      <c r="TAN48" s="19"/>
      <c r="TAO48" s="19"/>
      <c r="TAP48" s="19"/>
      <c r="TAQ48" s="19"/>
      <c r="TAR48" s="19"/>
      <c r="TAS48" s="19"/>
      <c r="TAT48" s="19"/>
      <c r="TAU48" s="19"/>
      <c r="TAV48" s="19"/>
      <c r="TAW48" s="19"/>
      <c r="TAX48" s="19"/>
      <c r="TAY48" s="19"/>
      <c r="TAZ48" s="19"/>
      <c r="TBA48" s="19"/>
      <c r="TBB48" s="19"/>
      <c r="TBC48" s="19"/>
      <c r="TBD48" s="19"/>
      <c r="TBE48" s="19"/>
      <c r="TBF48" s="19"/>
      <c r="TBG48" s="19"/>
      <c r="TBH48" s="19"/>
      <c r="TBI48" s="19"/>
      <c r="TBJ48" s="19"/>
      <c r="TBK48" s="19"/>
      <c r="TBL48" s="19"/>
      <c r="TBM48" s="19"/>
      <c r="TBN48" s="19"/>
      <c r="TBO48" s="19"/>
      <c r="TBP48" s="19"/>
      <c r="TBQ48" s="19"/>
      <c r="TBR48" s="19"/>
      <c r="TBS48" s="19"/>
      <c r="TBT48" s="19"/>
      <c r="TBU48" s="19"/>
      <c r="TBV48" s="19"/>
      <c r="TBW48" s="19"/>
      <c r="TBX48" s="19"/>
      <c r="TBY48" s="19"/>
      <c r="TBZ48" s="19"/>
      <c r="TCA48" s="19"/>
      <c r="TCB48" s="19"/>
      <c r="TCC48" s="19"/>
      <c r="TCD48" s="19"/>
      <c r="TCE48" s="19"/>
      <c r="TCF48" s="19"/>
      <c r="TCG48" s="19"/>
      <c r="TCH48" s="19"/>
      <c r="TCI48" s="19"/>
      <c r="TCJ48" s="19"/>
      <c r="TCK48" s="19"/>
      <c r="TCL48" s="19"/>
      <c r="TCM48" s="19"/>
      <c r="TCN48" s="19"/>
      <c r="TCO48" s="19"/>
      <c r="TCP48" s="19"/>
      <c r="TCQ48" s="19"/>
      <c r="TCR48" s="19"/>
      <c r="TCS48" s="19"/>
      <c r="TCT48" s="19"/>
      <c r="TCU48" s="19"/>
      <c r="TCV48" s="19"/>
      <c r="TCW48" s="19"/>
      <c r="TCX48" s="19"/>
      <c r="TCY48" s="19"/>
      <c r="TCZ48" s="19"/>
      <c r="TDA48" s="19"/>
      <c r="TDB48" s="19"/>
      <c r="TDC48" s="19"/>
      <c r="TDD48" s="19"/>
      <c r="TDE48" s="19"/>
      <c r="TDF48" s="19"/>
      <c r="TDG48" s="19"/>
      <c r="TDH48" s="19"/>
      <c r="TDI48" s="19"/>
      <c r="TDJ48" s="19"/>
      <c r="TDK48" s="19"/>
      <c r="TDL48" s="19"/>
      <c r="TDM48" s="19"/>
      <c r="TDN48" s="19"/>
      <c r="TDO48" s="19"/>
      <c r="TDP48" s="19"/>
      <c r="TDQ48" s="19"/>
      <c r="TDR48" s="19"/>
      <c r="TDS48" s="19"/>
      <c r="TDT48" s="19"/>
      <c r="TDU48" s="19"/>
      <c r="TDV48" s="19"/>
      <c r="TDW48" s="19"/>
      <c r="TDX48" s="19"/>
      <c r="TDY48" s="19"/>
      <c r="TDZ48" s="19"/>
      <c r="TEA48" s="19"/>
      <c r="TEB48" s="19"/>
      <c r="TEC48" s="19"/>
      <c r="TED48" s="19"/>
      <c r="TEE48" s="19"/>
      <c r="TEF48" s="19"/>
      <c r="TEG48" s="19"/>
      <c r="TEH48" s="19"/>
      <c r="TEI48" s="19"/>
      <c r="TEJ48" s="19"/>
      <c r="TEK48" s="19"/>
      <c r="TEL48" s="19"/>
      <c r="TEM48" s="19"/>
      <c r="TEN48" s="19"/>
      <c r="TEO48" s="19"/>
      <c r="TEP48" s="19"/>
      <c r="TEQ48" s="19"/>
      <c r="TER48" s="19"/>
      <c r="TES48" s="19"/>
      <c r="TET48" s="19"/>
      <c r="TEU48" s="19"/>
      <c r="TEV48" s="19"/>
      <c r="TEW48" s="19"/>
      <c r="TEX48" s="19"/>
      <c r="TEY48" s="19"/>
      <c r="TEZ48" s="19"/>
      <c r="TFA48" s="19"/>
      <c r="TFB48" s="19"/>
      <c r="TFC48" s="19"/>
      <c r="TFD48" s="19"/>
      <c r="TFE48" s="19"/>
      <c r="TFF48" s="19"/>
      <c r="TFG48" s="19"/>
      <c r="TFH48" s="19"/>
      <c r="TFI48" s="19"/>
      <c r="TFJ48" s="19"/>
      <c r="TFK48" s="19"/>
      <c r="TFL48" s="19"/>
      <c r="TFM48" s="19"/>
      <c r="TFN48" s="19"/>
      <c r="TFO48" s="19"/>
      <c r="TFP48" s="19"/>
      <c r="TFQ48" s="19"/>
      <c r="TFR48" s="19"/>
      <c r="TFS48" s="19"/>
      <c r="TFT48" s="19"/>
      <c r="TFU48" s="19"/>
      <c r="TFV48" s="19"/>
      <c r="TFW48" s="19"/>
      <c r="TFX48" s="19"/>
      <c r="TFY48" s="19"/>
      <c r="TFZ48" s="19"/>
      <c r="TGA48" s="19"/>
      <c r="TGB48" s="19"/>
      <c r="TGC48" s="19"/>
      <c r="TGD48" s="19"/>
      <c r="TGE48" s="19"/>
      <c r="TGF48" s="19"/>
      <c r="TGG48" s="19"/>
      <c r="TGH48" s="19"/>
      <c r="TGI48" s="19"/>
      <c r="TGJ48" s="19"/>
      <c r="TGK48" s="19"/>
      <c r="TGL48" s="19"/>
      <c r="TGM48" s="19"/>
      <c r="TGN48" s="19"/>
      <c r="TGO48" s="19"/>
      <c r="TGP48" s="19"/>
      <c r="TGQ48" s="19"/>
      <c r="TGR48" s="19"/>
      <c r="TGS48" s="19"/>
      <c r="TGT48" s="19"/>
      <c r="TGU48" s="19"/>
      <c r="TGV48" s="19"/>
      <c r="TGW48" s="19"/>
      <c r="TGX48" s="19"/>
      <c r="TGY48" s="19"/>
      <c r="TGZ48" s="19"/>
      <c r="THA48" s="19"/>
      <c r="THB48" s="19"/>
      <c r="THC48" s="19"/>
      <c r="THD48" s="19"/>
      <c r="THE48" s="19"/>
      <c r="THF48" s="19"/>
      <c r="THG48" s="19"/>
      <c r="THH48" s="19"/>
      <c r="THI48" s="19"/>
      <c r="THJ48" s="19"/>
      <c r="THK48" s="19"/>
      <c r="THL48" s="19"/>
      <c r="THM48" s="19"/>
      <c r="THN48" s="19"/>
      <c r="THO48" s="19"/>
      <c r="THP48" s="19"/>
      <c r="THQ48" s="19"/>
      <c r="THR48" s="19"/>
      <c r="THS48" s="19"/>
      <c r="THT48" s="19"/>
      <c r="THU48" s="19"/>
      <c r="THV48" s="19"/>
      <c r="THW48" s="19"/>
      <c r="THX48" s="19"/>
      <c r="THY48" s="19"/>
      <c r="THZ48" s="19"/>
      <c r="TIA48" s="19"/>
      <c r="TIB48" s="19"/>
      <c r="TIC48" s="19"/>
      <c r="TID48" s="19"/>
      <c r="TIE48" s="19"/>
      <c r="TIF48" s="19"/>
      <c r="TIG48" s="19"/>
      <c r="TIH48" s="19"/>
      <c r="TII48" s="19"/>
      <c r="TIJ48" s="19"/>
      <c r="TIK48" s="19"/>
      <c r="TIL48" s="19"/>
      <c r="TIM48" s="19"/>
      <c r="TIN48" s="19"/>
      <c r="TIO48" s="19"/>
      <c r="TIP48" s="19"/>
      <c r="TIQ48" s="19"/>
      <c r="TIR48" s="19"/>
      <c r="TIS48" s="19"/>
      <c r="TIT48" s="19"/>
      <c r="TIU48" s="19"/>
      <c r="TIV48" s="19"/>
      <c r="TIW48" s="19"/>
      <c r="TIX48" s="19"/>
      <c r="TIY48" s="19"/>
      <c r="TIZ48" s="19"/>
      <c r="TJA48" s="19"/>
      <c r="TJB48" s="19"/>
      <c r="TJC48" s="19"/>
      <c r="TJD48" s="19"/>
      <c r="TJE48" s="19"/>
      <c r="TJF48" s="19"/>
      <c r="TJG48" s="19"/>
      <c r="TJH48" s="19"/>
      <c r="TJI48" s="19"/>
      <c r="TJJ48" s="19"/>
      <c r="TJK48" s="19"/>
      <c r="TJL48" s="19"/>
      <c r="TJM48" s="19"/>
      <c r="TJN48" s="19"/>
      <c r="TJO48" s="19"/>
      <c r="TJP48" s="19"/>
      <c r="TJQ48" s="19"/>
      <c r="TJR48" s="19"/>
      <c r="TJS48" s="19"/>
      <c r="TJT48" s="19"/>
      <c r="TJU48" s="19"/>
      <c r="TJV48" s="19"/>
      <c r="TJW48" s="19"/>
      <c r="TJX48" s="19"/>
      <c r="TJY48" s="19"/>
      <c r="TJZ48" s="19"/>
      <c r="TKA48" s="19"/>
      <c r="TKB48" s="19"/>
      <c r="TKC48" s="19"/>
      <c r="TKD48" s="19"/>
      <c r="TKE48" s="19"/>
      <c r="TKF48" s="19"/>
      <c r="TKG48" s="19"/>
      <c r="TKH48" s="19"/>
      <c r="TKI48" s="19"/>
      <c r="TKJ48" s="19"/>
      <c r="TKK48" s="19"/>
      <c r="TKL48" s="19"/>
      <c r="TKM48" s="19"/>
      <c r="TKN48" s="19"/>
      <c r="TKO48" s="19"/>
      <c r="TKP48" s="19"/>
      <c r="TKQ48" s="19"/>
      <c r="TKR48" s="19"/>
      <c r="TKS48" s="19"/>
      <c r="TKT48" s="19"/>
      <c r="TKU48" s="19"/>
      <c r="TKV48" s="19"/>
      <c r="TKW48" s="19"/>
      <c r="TKX48" s="19"/>
      <c r="TKY48" s="19"/>
      <c r="TKZ48" s="19"/>
      <c r="TLA48" s="19"/>
      <c r="TLB48" s="19"/>
      <c r="TLC48" s="19"/>
      <c r="TLD48" s="19"/>
      <c r="TLE48" s="19"/>
      <c r="TLF48" s="19"/>
      <c r="TLG48" s="19"/>
      <c r="TLH48" s="19"/>
      <c r="TLI48" s="19"/>
      <c r="TLJ48" s="19"/>
      <c r="TLK48" s="19"/>
      <c r="TLL48" s="19"/>
      <c r="TLM48" s="19"/>
      <c r="TLN48" s="19"/>
      <c r="TLO48" s="19"/>
      <c r="TLP48" s="19"/>
      <c r="TLQ48" s="19"/>
      <c r="TLR48" s="19"/>
      <c r="TLS48" s="19"/>
      <c r="TLT48" s="19"/>
      <c r="TLU48" s="19"/>
      <c r="TLV48" s="19"/>
      <c r="TLW48" s="19"/>
      <c r="TLX48" s="19"/>
      <c r="TLY48" s="19"/>
      <c r="TLZ48" s="19"/>
      <c r="TMA48" s="19"/>
      <c r="TMB48" s="19"/>
      <c r="TMC48" s="19"/>
      <c r="TMD48" s="19"/>
      <c r="TME48" s="19"/>
      <c r="TMF48" s="19"/>
      <c r="TMG48" s="19"/>
      <c r="TMH48" s="19"/>
      <c r="TMI48" s="19"/>
      <c r="TMJ48" s="19"/>
      <c r="TMK48" s="19"/>
      <c r="TML48" s="19"/>
      <c r="TMM48" s="19"/>
      <c r="TMN48" s="19"/>
      <c r="TMO48" s="19"/>
      <c r="TMP48" s="19"/>
      <c r="TMQ48" s="19"/>
      <c r="TMR48" s="19"/>
      <c r="TMS48" s="19"/>
      <c r="TMT48" s="19"/>
      <c r="TMU48" s="19"/>
      <c r="TMV48" s="19"/>
      <c r="TMW48" s="19"/>
      <c r="TMX48" s="19"/>
      <c r="TMY48" s="19"/>
      <c r="TMZ48" s="19"/>
      <c r="TNA48" s="19"/>
      <c r="TNB48" s="19"/>
      <c r="TNC48" s="19"/>
      <c r="TND48" s="19"/>
      <c r="TNE48" s="19"/>
      <c r="TNF48" s="19"/>
      <c r="TNG48" s="19"/>
      <c r="TNH48" s="19"/>
      <c r="TNI48" s="19"/>
      <c r="TNJ48" s="19"/>
      <c r="TNK48" s="19"/>
      <c r="TNL48" s="19"/>
      <c r="TNM48" s="19"/>
      <c r="TNN48" s="19"/>
      <c r="TNO48" s="19"/>
      <c r="TNP48" s="19"/>
      <c r="TNQ48" s="19"/>
      <c r="TNR48" s="19"/>
      <c r="TNS48" s="19"/>
      <c r="TNT48" s="19"/>
      <c r="TNU48" s="19"/>
      <c r="TNV48" s="19"/>
      <c r="TNW48" s="19"/>
      <c r="TNX48" s="19"/>
      <c r="TNY48" s="19"/>
      <c r="TNZ48" s="19"/>
      <c r="TOA48" s="19"/>
      <c r="TOB48" s="19"/>
      <c r="TOC48" s="19"/>
      <c r="TOD48" s="19"/>
      <c r="TOE48" s="19"/>
      <c r="TOF48" s="19"/>
      <c r="TOG48" s="19"/>
      <c r="TOH48" s="19"/>
      <c r="TOI48" s="19"/>
      <c r="TOJ48" s="19"/>
      <c r="TOK48" s="19"/>
      <c r="TOL48" s="19"/>
      <c r="TOM48" s="19"/>
      <c r="TON48" s="19"/>
      <c r="TOO48" s="19"/>
      <c r="TOP48" s="19"/>
      <c r="TOQ48" s="19"/>
      <c r="TOR48" s="19"/>
      <c r="TOS48" s="19"/>
      <c r="TOT48" s="19"/>
      <c r="TOU48" s="19"/>
      <c r="TOV48" s="19"/>
      <c r="TOW48" s="19"/>
      <c r="TOX48" s="19"/>
      <c r="TOY48" s="19"/>
      <c r="TOZ48" s="19"/>
      <c r="TPA48" s="19"/>
      <c r="TPB48" s="19"/>
      <c r="TPC48" s="19"/>
      <c r="TPD48" s="19"/>
      <c r="TPE48" s="19"/>
      <c r="TPF48" s="19"/>
      <c r="TPG48" s="19"/>
      <c r="TPH48" s="19"/>
      <c r="TPI48" s="19"/>
      <c r="TPJ48" s="19"/>
      <c r="TPK48" s="19"/>
      <c r="TPL48" s="19"/>
      <c r="TPM48" s="19"/>
      <c r="TPN48" s="19"/>
      <c r="TPO48" s="19"/>
      <c r="TPP48" s="19"/>
      <c r="TPQ48" s="19"/>
      <c r="TPR48" s="19"/>
      <c r="TPS48" s="19"/>
      <c r="TPT48" s="19"/>
      <c r="TPU48" s="19"/>
      <c r="TPV48" s="19"/>
      <c r="TPW48" s="19"/>
      <c r="TPX48" s="19"/>
      <c r="TPY48" s="19"/>
      <c r="TPZ48" s="19"/>
      <c r="TQA48" s="19"/>
      <c r="TQB48" s="19"/>
      <c r="TQC48" s="19"/>
      <c r="TQD48" s="19"/>
      <c r="TQE48" s="19"/>
      <c r="TQF48" s="19"/>
      <c r="TQG48" s="19"/>
      <c r="TQH48" s="19"/>
      <c r="TQI48" s="19"/>
      <c r="TQJ48" s="19"/>
      <c r="TQK48" s="19"/>
      <c r="TQL48" s="19"/>
      <c r="TQM48" s="19"/>
      <c r="TQN48" s="19"/>
      <c r="TQO48" s="19"/>
      <c r="TQP48" s="19"/>
      <c r="TQQ48" s="19"/>
      <c r="TQR48" s="19"/>
      <c r="TQS48" s="19"/>
      <c r="TQT48" s="19"/>
      <c r="TQU48" s="19"/>
      <c r="TQV48" s="19"/>
      <c r="TQW48" s="19"/>
      <c r="TQX48" s="19"/>
      <c r="TQY48" s="19"/>
      <c r="TQZ48" s="19"/>
      <c r="TRA48" s="19"/>
      <c r="TRB48" s="19"/>
      <c r="TRC48" s="19"/>
      <c r="TRD48" s="19"/>
      <c r="TRE48" s="19"/>
      <c r="TRF48" s="19"/>
      <c r="TRG48" s="19"/>
      <c r="TRH48" s="19"/>
      <c r="TRI48" s="19"/>
      <c r="TRJ48" s="19"/>
      <c r="TRK48" s="19"/>
      <c r="TRL48" s="19"/>
      <c r="TRM48" s="19"/>
      <c r="TRN48" s="19"/>
      <c r="TRO48" s="19"/>
      <c r="TRP48" s="19"/>
      <c r="TRQ48" s="19"/>
      <c r="TRR48" s="19"/>
      <c r="TRS48" s="19"/>
      <c r="TRT48" s="19"/>
      <c r="TRU48" s="19"/>
      <c r="TRV48" s="19"/>
      <c r="TRW48" s="19"/>
      <c r="TRX48" s="19"/>
      <c r="TRY48" s="19"/>
      <c r="TRZ48" s="19"/>
      <c r="TSA48" s="19"/>
      <c r="TSB48" s="19"/>
      <c r="TSC48" s="19"/>
      <c r="TSD48" s="19"/>
      <c r="TSE48" s="19"/>
      <c r="TSF48" s="19"/>
      <c r="TSG48" s="19"/>
      <c r="TSH48" s="19"/>
      <c r="TSI48" s="19"/>
      <c r="TSJ48" s="19"/>
      <c r="TSK48" s="19"/>
      <c r="TSL48" s="19"/>
      <c r="TSM48" s="19"/>
      <c r="TSN48" s="19"/>
      <c r="TSO48" s="19"/>
      <c r="TSP48" s="19"/>
      <c r="TSQ48" s="19"/>
      <c r="TSR48" s="19"/>
      <c r="TSS48" s="19"/>
      <c r="TST48" s="19"/>
      <c r="TSU48" s="19"/>
      <c r="TSV48" s="19"/>
      <c r="TSW48" s="19"/>
      <c r="TSX48" s="19"/>
      <c r="TSY48" s="19"/>
      <c r="TSZ48" s="19"/>
      <c r="TTA48" s="19"/>
      <c r="TTB48" s="19"/>
      <c r="TTC48" s="19"/>
      <c r="TTD48" s="19"/>
      <c r="TTE48" s="19"/>
      <c r="TTF48" s="19"/>
      <c r="TTG48" s="19"/>
      <c r="TTH48" s="19"/>
      <c r="TTI48" s="19"/>
      <c r="TTJ48" s="19"/>
      <c r="TTK48" s="19"/>
      <c r="TTL48" s="19"/>
      <c r="TTM48" s="19"/>
      <c r="TTN48" s="19"/>
      <c r="TTO48" s="19"/>
      <c r="TTP48" s="19"/>
      <c r="TTQ48" s="19"/>
      <c r="TTR48" s="19"/>
      <c r="TTS48" s="19"/>
      <c r="TTT48" s="19"/>
      <c r="TTU48" s="19"/>
      <c r="TTV48" s="19"/>
      <c r="TTW48" s="19"/>
      <c r="TTX48" s="19"/>
      <c r="TTY48" s="19"/>
      <c r="TTZ48" s="19"/>
      <c r="TUA48" s="19"/>
      <c r="TUB48" s="19"/>
      <c r="TUC48" s="19"/>
      <c r="TUD48" s="19"/>
      <c r="TUE48" s="19"/>
      <c r="TUF48" s="19"/>
      <c r="TUG48" s="19"/>
      <c r="TUH48" s="19"/>
      <c r="TUI48" s="19"/>
      <c r="TUJ48" s="19"/>
      <c r="TUK48" s="19"/>
      <c r="TUL48" s="19"/>
      <c r="TUM48" s="19"/>
      <c r="TUN48" s="19"/>
      <c r="TUO48" s="19"/>
      <c r="TUP48" s="19"/>
      <c r="TUQ48" s="19"/>
      <c r="TUR48" s="19"/>
      <c r="TUS48" s="19"/>
      <c r="TUT48" s="19"/>
      <c r="TUU48" s="19"/>
      <c r="TUV48" s="19"/>
      <c r="TUW48" s="19"/>
      <c r="TUX48" s="19"/>
      <c r="TUY48" s="19"/>
      <c r="TUZ48" s="19"/>
      <c r="TVA48" s="19"/>
      <c r="TVB48" s="19"/>
      <c r="TVC48" s="19"/>
      <c r="TVD48" s="19"/>
      <c r="TVE48" s="19"/>
      <c r="TVF48" s="19"/>
      <c r="TVG48" s="19"/>
      <c r="TVH48" s="19"/>
      <c r="TVI48" s="19"/>
      <c r="TVJ48" s="19"/>
      <c r="TVK48" s="19"/>
      <c r="TVL48" s="19"/>
      <c r="TVM48" s="19"/>
      <c r="TVN48" s="19"/>
      <c r="TVO48" s="19"/>
      <c r="TVP48" s="19"/>
      <c r="TVQ48" s="19"/>
      <c r="TVR48" s="19"/>
      <c r="TVS48" s="19"/>
      <c r="TVT48" s="19"/>
      <c r="TVU48" s="19"/>
      <c r="TVV48" s="19"/>
      <c r="TVW48" s="19"/>
      <c r="TVX48" s="19"/>
      <c r="TVY48" s="19"/>
      <c r="TVZ48" s="19"/>
      <c r="TWA48" s="19"/>
      <c r="TWB48" s="19"/>
      <c r="TWC48" s="19"/>
      <c r="TWD48" s="19"/>
      <c r="TWE48" s="19"/>
      <c r="TWF48" s="19"/>
      <c r="TWG48" s="19"/>
      <c r="TWH48" s="19"/>
      <c r="TWI48" s="19"/>
      <c r="TWJ48" s="19"/>
      <c r="TWK48" s="19"/>
      <c r="TWL48" s="19"/>
      <c r="TWM48" s="19"/>
      <c r="TWN48" s="19"/>
      <c r="TWO48" s="19"/>
      <c r="TWP48" s="19"/>
      <c r="TWQ48" s="19"/>
      <c r="TWR48" s="19"/>
      <c r="TWS48" s="19"/>
      <c r="TWT48" s="19"/>
      <c r="TWU48" s="19"/>
      <c r="TWV48" s="19"/>
      <c r="TWW48" s="19"/>
      <c r="TWX48" s="19"/>
      <c r="TWY48" s="19"/>
      <c r="TWZ48" s="19"/>
      <c r="TXA48" s="19"/>
      <c r="TXB48" s="19"/>
      <c r="TXC48" s="19"/>
      <c r="TXD48" s="19"/>
      <c r="TXE48" s="19"/>
      <c r="TXF48" s="19"/>
      <c r="TXG48" s="19"/>
      <c r="TXH48" s="19"/>
      <c r="TXI48" s="19"/>
      <c r="TXJ48" s="19"/>
      <c r="TXK48" s="19"/>
      <c r="TXL48" s="19"/>
      <c r="TXM48" s="19"/>
      <c r="TXN48" s="19"/>
      <c r="TXO48" s="19"/>
      <c r="TXP48" s="19"/>
      <c r="TXQ48" s="19"/>
      <c r="TXR48" s="19"/>
      <c r="TXS48" s="19"/>
      <c r="TXT48" s="19"/>
      <c r="TXU48" s="19"/>
      <c r="TXV48" s="19"/>
      <c r="TXW48" s="19"/>
      <c r="TXX48" s="19"/>
      <c r="TXY48" s="19"/>
      <c r="TXZ48" s="19"/>
      <c r="TYA48" s="19"/>
      <c r="TYB48" s="19"/>
      <c r="TYC48" s="19"/>
      <c r="TYD48" s="19"/>
      <c r="TYE48" s="19"/>
      <c r="TYF48" s="19"/>
      <c r="TYG48" s="19"/>
      <c r="TYH48" s="19"/>
      <c r="TYI48" s="19"/>
      <c r="TYJ48" s="19"/>
      <c r="TYK48" s="19"/>
      <c r="TYL48" s="19"/>
      <c r="TYM48" s="19"/>
      <c r="TYN48" s="19"/>
      <c r="TYO48" s="19"/>
      <c r="TYP48" s="19"/>
      <c r="TYQ48" s="19"/>
      <c r="TYR48" s="19"/>
      <c r="TYS48" s="19"/>
      <c r="TYT48" s="19"/>
      <c r="TYU48" s="19"/>
      <c r="TYV48" s="19"/>
      <c r="TYW48" s="19"/>
      <c r="TYX48" s="19"/>
      <c r="TYY48" s="19"/>
      <c r="TYZ48" s="19"/>
      <c r="TZA48" s="19"/>
      <c r="TZB48" s="19"/>
      <c r="TZC48" s="19"/>
      <c r="TZD48" s="19"/>
      <c r="TZE48" s="19"/>
      <c r="TZF48" s="19"/>
      <c r="TZG48" s="19"/>
      <c r="TZH48" s="19"/>
      <c r="TZI48" s="19"/>
      <c r="TZJ48" s="19"/>
      <c r="TZK48" s="19"/>
      <c r="TZL48" s="19"/>
      <c r="TZM48" s="19"/>
      <c r="TZN48" s="19"/>
      <c r="TZO48" s="19"/>
      <c r="TZP48" s="19"/>
      <c r="TZQ48" s="19"/>
      <c r="TZR48" s="19"/>
      <c r="TZS48" s="19"/>
      <c r="TZT48" s="19"/>
      <c r="TZU48" s="19"/>
      <c r="TZV48" s="19"/>
      <c r="TZW48" s="19"/>
      <c r="TZX48" s="19"/>
      <c r="TZY48" s="19"/>
      <c r="TZZ48" s="19"/>
      <c r="UAA48" s="19"/>
      <c r="UAB48" s="19"/>
      <c r="UAC48" s="19"/>
      <c r="UAD48" s="19"/>
      <c r="UAE48" s="19"/>
      <c r="UAF48" s="19"/>
      <c r="UAG48" s="19"/>
      <c r="UAH48" s="19"/>
      <c r="UAI48" s="19"/>
      <c r="UAJ48" s="19"/>
      <c r="UAK48" s="19"/>
      <c r="UAL48" s="19"/>
      <c r="UAM48" s="19"/>
      <c r="UAN48" s="19"/>
      <c r="UAO48" s="19"/>
      <c r="UAP48" s="19"/>
      <c r="UAQ48" s="19"/>
      <c r="UAR48" s="19"/>
      <c r="UAS48" s="19"/>
      <c r="UAT48" s="19"/>
      <c r="UAU48" s="19"/>
      <c r="UAV48" s="19"/>
      <c r="UAW48" s="19"/>
      <c r="UAX48" s="19"/>
      <c r="UAY48" s="19"/>
      <c r="UAZ48" s="19"/>
      <c r="UBA48" s="19"/>
      <c r="UBB48" s="19"/>
      <c r="UBC48" s="19"/>
      <c r="UBD48" s="19"/>
      <c r="UBE48" s="19"/>
      <c r="UBF48" s="19"/>
      <c r="UBG48" s="19"/>
      <c r="UBH48" s="19"/>
      <c r="UBI48" s="19"/>
      <c r="UBJ48" s="19"/>
      <c r="UBK48" s="19"/>
      <c r="UBL48" s="19"/>
      <c r="UBM48" s="19"/>
      <c r="UBN48" s="19"/>
      <c r="UBO48" s="19"/>
      <c r="UBP48" s="19"/>
      <c r="UBQ48" s="19"/>
      <c r="UBR48" s="19"/>
      <c r="UBS48" s="19"/>
      <c r="UBT48" s="19"/>
      <c r="UBU48" s="19"/>
      <c r="UBV48" s="19"/>
      <c r="UBW48" s="19"/>
      <c r="UBX48" s="19"/>
      <c r="UBY48" s="19"/>
      <c r="UBZ48" s="19"/>
      <c r="UCA48" s="19"/>
      <c r="UCB48" s="19"/>
      <c r="UCC48" s="19"/>
      <c r="UCD48" s="19"/>
      <c r="UCE48" s="19"/>
      <c r="UCF48" s="19"/>
      <c r="UCG48" s="19"/>
      <c r="UCH48" s="19"/>
      <c r="UCI48" s="19"/>
      <c r="UCJ48" s="19"/>
      <c r="UCK48" s="19"/>
      <c r="UCL48" s="19"/>
      <c r="UCM48" s="19"/>
      <c r="UCN48" s="19"/>
      <c r="UCO48" s="19"/>
      <c r="UCP48" s="19"/>
      <c r="UCQ48" s="19"/>
      <c r="UCR48" s="19"/>
      <c r="UCS48" s="19"/>
      <c r="UCT48" s="19"/>
      <c r="UCU48" s="19"/>
      <c r="UCV48" s="19"/>
      <c r="UCW48" s="19"/>
      <c r="UCX48" s="19"/>
      <c r="UCY48" s="19"/>
      <c r="UCZ48" s="19"/>
      <c r="UDA48" s="19"/>
      <c r="UDB48" s="19"/>
      <c r="UDC48" s="19"/>
      <c r="UDD48" s="19"/>
      <c r="UDE48" s="19"/>
      <c r="UDF48" s="19"/>
      <c r="UDG48" s="19"/>
      <c r="UDH48" s="19"/>
      <c r="UDI48" s="19"/>
      <c r="UDJ48" s="19"/>
      <c r="UDK48" s="19"/>
      <c r="UDL48" s="19"/>
      <c r="UDM48" s="19"/>
      <c r="UDN48" s="19"/>
      <c r="UDO48" s="19"/>
      <c r="UDP48" s="19"/>
      <c r="UDQ48" s="19"/>
      <c r="UDR48" s="19"/>
      <c r="UDS48" s="19"/>
      <c r="UDT48" s="19"/>
      <c r="UDU48" s="19"/>
      <c r="UDV48" s="19"/>
      <c r="UDW48" s="19"/>
      <c r="UDX48" s="19"/>
      <c r="UDY48" s="19"/>
      <c r="UDZ48" s="19"/>
      <c r="UEA48" s="19"/>
      <c r="UEB48" s="19"/>
      <c r="UEC48" s="19"/>
      <c r="UED48" s="19"/>
      <c r="UEE48" s="19"/>
      <c r="UEF48" s="19"/>
      <c r="UEG48" s="19"/>
      <c r="UEH48" s="19"/>
      <c r="UEI48" s="19"/>
      <c r="UEJ48" s="19"/>
      <c r="UEK48" s="19"/>
      <c r="UEL48" s="19"/>
      <c r="UEM48" s="19"/>
      <c r="UEN48" s="19"/>
      <c r="UEO48" s="19"/>
      <c r="UEP48" s="19"/>
      <c r="UEQ48" s="19"/>
      <c r="UER48" s="19"/>
      <c r="UES48" s="19"/>
      <c r="UET48" s="19"/>
      <c r="UEU48" s="19"/>
      <c r="UEV48" s="19"/>
      <c r="UEW48" s="19"/>
      <c r="UEX48" s="19"/>
      <c r="UEY48" s="19"/>
      <c r="UEZ48" s="19"/>
      <c r="UFA48" s="19"/>
      <c r="UFB48" s="19"/>
      <c r="UFC48" s="19"/>
      <c r="UFD48" s="19"/>
      <c r="UFE48" s="19"/>
      <c r="UFF48" s="19"/>
      <c r="UFG48" s="19"/>
      <c r="UFH48" s="19"/>
      <c r="UFI48" s="19"/>
      <c r="UFJ48" s="19"/>
      <c r="UFK48" s="19"/>
      <c r="UFL48" s="19"/>
      <c r="UFM48" s="19"/>
      <c r="UFN48" s="19"/>
      <c r="UFO48" s="19"/>
      <c r="UFP48" s="19"/>
      <c r="UFQ48" s="19"/>
      <c r="UFR48" s="19"/>
      <c r="UFS48" s="19"/>
      <c r="UFT48" s="19"/>
      <c r="UFU48" s="19"/>
      <c r="UFV48" s="19"/>
      <c r="UFW48" s="19"/>
      <c r="UFX48" s="19"/>
      <c r="UFY48" s="19"/>
      <c r="UFZ48" s="19"/>
      <c r="UGA48" s="19"/>
      <c r="UGB48" s="19"/>
      <c r="UGC48" s="19"/>
      <c r="UGD48" s="19"/>
      <c r="UGE48" s="19"/>
      <c r="UGF48" s="19"/>
      <c r="UGG48" s="19"/>
      <c r="UGH48" s="19"/>
      <c r="UGI48" s="19"/>
      <c r="UGJ48" s="19"/>
      <c r="UGK48" s="19"/>
      <c r="UGL48" s="19"/>
      <c r="UGM48" s="19"/>
      <c r="UGN48" s="19"/>
      <c r="UGO48" s="19"/>
      <c r="UGP48" s="19"/>
      <c r="UGQ48" s="19"/>
      <c r="UGR48" s="19"/>
      <c r="UGS48" s="19"/>
      <c r="UGT48" s="19"/>
      <c r="UGU48" s="19"/>
      <c r="UGV48" s="19"/>
      <c r="UGW48" s="19"/>
      <c r="UGX48" s="19"/>
      <c r="UGY48" s="19"/>
      <c r="UGZ48" s="19"/>
      <c r="UHA48" s="19"/>
      <c r="UHB48" s="19"/>
      <c r="UHC48" s="19"/>
      <c r="UHD48" s="19"/>
      <c r="UHE48" s="19"/>
      <c r="UHF48" s="19"/>
      <c r="UHG48" s="19"/>
      <c r="UHH48" s="19"/>
      <c r="UHI48" s="19"/>
      <c r="UHJ48" s="19"/>
      <c r="UHK48" s="19"/>
      <c r="UHL48" s="19"/>
      <c r="UHM48" s="19"/>
      <c r="UHN48" s="19"/>
      <c r="UHO48" s="19"/>
      <c r="UHP48" s="19"/>
      <c r="UHQ48" s="19"/>
      <c r="UHR48" s="19"/>
      <c r="UHS48" s="19"/>
      <c r="UHT48" s="19"/>
      <c r="UHU48" s="19"/>
      <c r="UHV48" s="19"/>
      <c r="UHW48" s="19"/>
      <c r="UHX48" s="19"/>
      <c r="UHY48" s="19"/>
      <c r="UHZ48" s="19"/>
      <c r="UIA48" s="19"/>
      <c r="UIB48" s="19"/>
      <c r="UIC48" s="19"/>
      <c r="UID48" s="19"/>
      <c r="UIE48" s="19"/>
      <c r="UIF48" s="19"/>
      <c r="UIG48" s="19"/>
      <c r="UIH48" s="19"/>
      <c r="UII48" s="19"/>
      <c r="UIJ48" s="19"/>
      <c r="UIK48" s="19"/>
      <c r="UIL48" s="19"/>
      <c r="UIM48" s="19"/>
      <c r="UIN48" s="19"/>
      <c r="UIO48" s="19"/>
      <c r="UIP48" s="19"/>
      <c r="UIQ48" s="19"/>
      <c r="UIR48" s="19"/>
      <c r="UIS48" s="19"/>
      <c r="UIT48" s="19"/>
      <c r="UIU48" s="19"/>
      <c r="UIV48" s="19"/>
      <c r="UIW48" s="19"/>
      <c r="UIX48" s="19"/>
      <c r="UIY48" s="19"/>
      <c r="UIZ48" s="19"/>
      <c r="UJA48" s="19"/>
      <c r="UJB48" s="19"/>
      <c r="UJC48" s="19"/>
      <c r="UJD48" s="19"/>
      <c r="UJE48" s="19"/>
      <c r="UJF48" s="19"/>
      <c r="UJG48" s="19"/>
      <c r="UJH48" s="19"/>
      <c r="UJI48" s="19"/>
      <c r="UJJ48" s="19"/>
      <c r="UJK48" s="19"/>
      <c r="UJL48" s="19"/>
      <c r="UJM48" s="19"/>
      <c r="UJN48" s="19"/>
      <c r="UJO48" s="19"/>
      <c r="UJP48" s="19"/>
      <c r="UJQ48" s="19"/>
      <c r="UJR48" s="19"/>
      <c r="UJS48" s="19"/>
      <c r="UJT48" s="19"/>
      <c r="UJU48" s="19"/>
      <c r="UJV48" s="19"/>
      <c r="UJW48" s="19"/>
      <c r="UJX48" s="19"/>
      <c r="UJY48" s="19"/>
      <c r="UJZ48" s="19"/>
      <c r="UKA48" s="19"/>
      <c r="UKB48" s="19"/>
      <c r="UKC48" s="19"/>
      <c r="UKD48" s="19"/>
      <c r="UKE48" s="19"/>
      <c r="UKF48" s="19"/>
      <c r="UKG48" s="19"/>
      <c r="UKH48" s="19"/>
      <c r="UKI48" s="19"/>
      <c r="UKJ48" s="19"/>
      <c r="UKK48" s="19"/>
      <c r="UKL48" s="19"/>
      <c r="UKM48" s="19"/>
      <c r="UKN48" s="19"/>
      <c r="UKO48" s="19"/>
      <c r="UKP48" s="19"/>
      <c r="UKQ48" s="19"/>
      <c r="UKR48" s="19"/>
      <c r="UKS48" s="19"/>
      <c r="UKT48" s="19"/>
      <c r="UKU48" s="19"/>
      <c r="UKV48" s="19"/>
      <c r="UKW48" s="19"/>
      <c r="UKX48" s="19"/>
      <c r="UKY48" s="19"/>
      <c r="UKZ48" s="19"/>
      <c r="ULA48" s="19"/>
      <c r="ULB48" s="19"/>
      <c r="ULC48" s="19"/>
      <c r="ULD48" s="19"/>
      <c r="ULE48" s="19"/>
      <c r="ULF48" s="19"/>
      <c r="ULG48" s="19"/>
      <c r="ULH48" s="19"/>
      <c r="ULI48" s="19"/>
      <c r="ULJ48" s="19"/>
      <c r="ULK48" s="19"/>
      <c r="ULL48" s="19"/>
      <c r="ULM48" s="19"/>
      <c r="ULN48" s="19"/>
      <c r="ULO48" s="19"/>
      <c r="ULP48" s="19"/>
      <c r="ULQ48" s="19"/>
      <c r="ULR48" s="19"/>
      <c r="ULS48" s="19"/>
      <c r="ULT48" s="19"/>
      <c r="ULU48" s="19"/>
      <c r="ULV48" s="19"/>
      <c r="ULW48" s="19"/>
      <c r="ULX48" s="19"/>
      <c r="ULY48" s="19"/>
      <c r="ULZ48" s="19"/>
      <c r="UMA48" s="19"/>
      <c r="UMB48" s="19"/>
      <c r="UMC48" s="19"/>
      <c r="UMD48" s="19"/>
      <c r="UME48" s="19"/>
      <c r="UMF48" s="19"/>
      <c r="UMG48" s="19"/>
      <c r="UMH48" s="19"/>
      <c r="UMI48" s="19"/>
      <c r="UMJ48" s="19"/>
      <c r="UMK48" s="19"/>
      <c r="UML48" s="19"/>
      <c r="UMM48" s="19"/>
      <c r="UMN48" s="19"/>
      <c r="UMO48" s="19"/>
      <c r="UMP48" s="19"/>
      <c r="UMQ48" s="19"/>
      <c r="UMR48" s="19"/>
      <c r="UMS48" s="19"/>
      <c r="UMT48" s="19"/>
      <c r="UMU48" s="19"/>
      <c r="UMV48" s="19"/>
      <c r="UMW48" s="19"/>
      <c r="UMX48" s="19"/>
      <c r="UMY48" s="19"/>
      <c r="UMZ48" s="19"/>
      <c r="UNA48" s="19"/>
      <c r="UNB48" s="19"/>
      <c r="UNC48" s="19"/>
      <c r="UND48" s="19"/>
      <c r="UNE48" s="19"/>
      <c r="UNF48" s="19"/>
      <c r="UNG48" s="19"/>
      <c r="UNH48" s="19"/>
      <c r="UNI48" s="19"/>
      <c r="UNJ48" s="19"/>
      <c r="UNK48" s="19"/>
      <c r="UNL48" s="19"/>
      <c r="UNM48" s="19"/>
      <c r="UNN48" s="19"/>
      <c r="UNO48" s="19"/>
      <c r="UNP48" s="19"/>
      <c r="UNQ48" s="19"/>
      <c r="UNR48" s="19"/>
      <c r="UNS48" s="19"/>
      <c r="UNT48" s="19"/>
      <c r="UNU48" s="19"/>
      <c r="UNV48" s="19"/>
      <c r="UNW48" s="19"/>
      <c r="UNX48" s="19"/>
      <c r="UNY48" s="19"/>
      <c r="UNZ48" s="19"/>
      <c r="UOA48" s="19"/>
      <c r="UOB48" s="19"/>
      <c r="UOC48" s="19"/>
      <c r="UOD48" s="19"/>
      <c r="UOE48" s="19"/>
      <c r="UOF48" s="19"/>
      <c r="UOG48" s="19"/>
      <c r="UOH48" s="19"/>
      <c r="UOI48" s="19"/>
      <c r="UOJ48" s="19"/>
      <c r="UOK48" s="19"/>
      <c r="UOL48" s="19"/>
      <c r="UOM48" s="19"/>
      <c r="UON48" s="19"/>
      <c r="UOO48" s="19"/>
      <c r="UOP48" s="19"/>
      <c r="UOQ48" s="19"/>
      <c r="UOR48" s="19"/>
      <c r="UOS48" s="19"/>
      <c r="UOT48" s="19"/>
      <c r="UOU48" s="19"/>
      <c r="UOV48" s="19"/>
      <c r="UOW48" s="19"/>
      <c r="UOX48" s="19"/>
      <c r="UOY48" s="19"/>
      <c r="UOZ48" s="19"/>
      <c r="UPA48" s="19"/>
      <c r="UPB48" s="19"/>
      <c r="UPC48" s="19"/>
      <c r="UPD48" s="19"/>
      <c r="UPE48" s="19"/>
      <c r="UPF48" s="19"/>
      <c r="UPG48" s="19"/>
      <c r="UPH48" s="19"/>
      <c r="UPI48" s="19"/>
      <c r="UPJ48" s="19"/>
      <c r="UPK48" s="19"/>
      <c r="UPL48" s="19"/>
      <c r="UPM48" s="19"/>
      <c r="UPN48" s="19"/>
      <c r="UPO48" s="19"/>
      <c r="UPP48" s="19"/>
      <c r="UPQ48" s="19"/>
      <c r="UPR48" s="19"/>
      <c r="UPS48" s="19"/>
      <c r="UPT48" s="19"/>
      <c r="UPU48" s="19"/>
      <c r="UPV48" s="19"/>
      <c r="UPW48" s="19"/>
      <c r="UPX48" s="19"/>
      <c r="UPY48" s="19"/>
      <c r="UPZ48" s="19"/>
      <c r="UQA48" s="19"/>
      <c r="UQB48" s="19"/>
      <c r="UQC48" s="19"/>
      <c r="UQD48" s="19"/>
      <c r="UQE48" s="19"/>
      <c r="UQF48" s="19"/>
      <c r="UQG48" s="19"/>
      <c r="UQH48" s="19"/>
      <c r="UQI48" s="19"/>
      <c r="UQJ48" s="19"/>
      <c r="UQK48" s="19"/>
      <c r="UQL48" s="19"/>
      <c r="UQM48" s="19"/>
      <c r="UQN48" s="19"/>
      <c r="UQO48" s="19"/>
      <c r="UQP48" s="19"/>
      <c r="UQQ48" s="19"/>
      <c r="UQR48" s="19"/>
      <c r="UQS48" s="19"/>
      <c r="UQT48" s="19"/>
      <c r="UQU48" s="19"/>
      <c r="UQV48" s="19"/>
      <c r="UQW48" s="19"/>
      <c r="UQX48" s="19"/>
      <c r="UQY48" s="19"/>
      <c r="UQZ48" s="19"/>
      <c r="URA48" s="19"/>
      <c r="URB48" s="19"/>
      <c r="URC48" s="19"/>
      <c r="URD48" s="19"/>
      <c r="URE48" s="19"/>
      <c r="URF48" s="19"/>
      <c r="URG48" s="19"/>
      <c r="URH48" s="19"/>
      <c r="URI48" s="19"/>
      <c r="URJ48" s="19"/>
      <c r="URK48" s="19"/>
      <c r="URL48" s="19"/>
      <c r="URM48" s="19"/>
      <c r="URN48" s="19"/>
      <c r="URO48" s="19"/>
      <c r="URP48" s="19"/>
      <c r="URQ48" s="19"/>
      <c r="URR48" s="19"/>
      <c r="URS48" s="19"/>
      <c r="URT48" s="19"/>
      <c r="URU48" s="19"/>
      <c r="URV48" s="19"/>
      <c r="URW48" s="19"/>
      <c r="URX48" s="19"/>
      <c r="URY48" s="19"/>
      <c r="URZ48" s="19"/>
      <c r="USA48" s="19"/>
      <c r="USB48" s="19"/>
      <c r="USC48" s="19"/>
      <c r="USD48" s="19"/>
      <c r="USE48" s="19"/>
      <c r="USF48" s="19"/>
      <c r="USG48" s="19"/>
      <c r="USH48" s="19"/>
      <c r="USI48" s="19"/>
      <c r="USJ48" s="19"/>
      <c r="USK48" s="19"/>
      <c r="USL48" s="19"/>
      <c r="USM48" s="19"/>
      <c r="USN48" s="19"/>
      <c r="USO48" s="19"/>
      <c r="USP48" s="19"/>
      <c r="USQ48" s="19"/>
      <c r="USR48" s="19"/>
      <c r="USS48" s="19"/>
      <c r="UST48" s="19"/>
      <c r="USU48" s="19"/>
      <c r="USV48" s="19"/>
      <c r="USW48" s="19"/>
      <c r="USX48" s="19"/>
      <c r="USY48" s="19"/>
      <c r="USZ48" s="19"/>
      <c r="UTA48" s="19"/>
      <c r="UTB48" s="19"/>
      <c r="UTC48" s="19"/>
      <c r="UTD48" s="19"/>
      <c r="UTE48" s="19"/>
      <c r="UTF48" s="19"/>
      <c r="UTG48" s="19"/>
      <c r="UTH48" s="19"/>
      <c r="UTI48" s="19"/>
      <c r="UTJ48" s="19"/>
      <c r="UTK48" s="19"/>
      <c r="UTL48" s="19"/>
      <c r="UTM48" s="19"/>
      <c r="UTN48" s="19"/>
      <c r="UTO48" s="19"/>
      <c r="UTP48" s="19"/>
      <c r="UTQ48" s="19"/>
      <c r="UTR48" s="19"/>
      <c r="UTS48" s="19"/>
      <c r="UTT48" s="19"/>
      <c r="UTU48" s="19"/>
      <c r="UTV48" s="19"/>
      <c r="UTW48" s="19"/>
      <c r="UTX48" s="19"/>
      <c r="UTY48" s="19"/>
      <c r="UTZ48" s="19"/>
      <c r="UUA48" s="19"/>
      <c r="UUB48" s="19"/>
      <c r="UUC48" s="19"/>
      <c r="UUD48" s="19"/>
      <c r="UUE48" s="19"/>
      <c r="UUF48" s="19"/>
      <c r="UUG48" s="19"/>
      <c r="UUH48" s="19"/>
      <c r="UUI48" s="19"/>
      <c r="UUJ48" s="19"/>
      <c r="UUK48" s="19"/>
      <c r="UUL48" s="19"/>
      <c r="UUM48" s="19"/>
      <c r="UUN48" s="19"/>
      <c r="UUO48" s="19"/>
      <c r="UUP48" s="19"/>
      <c r="UUQ48" s="19"/>
      <c r="UUR48" s="19"/>
      <c r="UUS48" s="19"/>
      <c r="UUT48" s="19"/>
      <c r="UUU48" s="19"/>
      <c r="UUV48" s="19"/>
      <c r="UUW48" s="19"/>
      <c r="UUX48" s="19"/>
      <c r="UUY48" s="19"/>
      <c r="UUZ48" s="19"/>
      <c r="UVA48" s="19"/>
      <c r="UVB48" s="19"/>
      <c r="UVC48" s="19"/>
      <c r="UVD48" s="19"/>
      <c r="UVE48" s="19"/>
      <c r="UVF48" s="19"/>
      <c r="UVG48" s="19"/>
      <c r="UVH48" s="19"/>
      <c r="UVI48" s="19"/>
      <c r="UVJ48" s="19"/>
      <c r="UVK48" s="19"/>
      <c r="UVL48" s="19"/>
      <c r="UVM48" s="19"/>
      <c r="UVN48" s="19"/>
      <c r="UVO48" s="19"/>
      <c r="UVP48" s="19"/>
      <c r="UVQ48" s="19"/>
      <c r="UVR48" s="19"/>
      <c r="UVS48" s="19"/>
      <c r="UVT48" s="19"/>
      <c r="UVU48" s="19"/>
      <c r="UVV48" s="19"/>
      <c r="UVW48" s="19"/>
      <c r="UVX48" s="19"/>
      <c r="UVY48" s="19"/>
      <c r="UVZ48" s="19"/>
      <c r="UWA48" s="19"/>
      <c r="UWB48" s="19"/>
      <c r="UWC48" s="19"/>
      <c r="UWD48" s="19"/>
      <c r="UWE48" s="19"/>
      <c r="UWF48" s="19"/>
      <c r="UWG48" s="19"/>
      <c r="UWH48" s="19"/>
      <c r="UWI48" s="19"/>
      <c r="UWJ48" s="19"/>
      <c r="UWK48" s="19"/>
      <c r="UWL48" s="19"/>
      <c r="UWM48" s="19"/>
      <c r="UWN48" s="19"/>
      <c r="UWO48" s="19"/>
      <c r="UWP48" s="19"/>
      <c r="UWQ48" s="19"/>
      <c r="UWR48" s="19"/>
      <c r="UWS48" s="19"/>
      <c r="UWT48" s="19"/>
      <c r="UWU48" s="19"/>
      <c r="UWV48" s="19"/>
      <c r="UWW48" s="19"/>
      <c r="UWX48" s="19"/>
      <c r="UWY48" s="19"/>
      <c r="UWZ48" s="19"/>
      <c r="UXA48" s="19"/>
      <c r="UXB48" s="19"/>
      <c r="UXC48" s="19"/>
      <c r="UXD48" s="19"/>
      <c r="UXE48" s="19"/>
      <c r="UXF48" s="19"/>
      <c r="UXG48" s="19"/>
      <c r="UXH48" s="19"/>
      <c r="UXI48" s="19"/>
      <c r="UXJ48" s="19"/>
      <c r="UXK48" s="19"/>
      <c r="UXL48" s="19"/>
      <c r="UXM48" s="19"/>
      <c r="UXN48" s="19"/>
      <c r="UXO48" s="19"/>
      <c r="UXP48" s="19"/>
      <c r="UXQ48" s="19"/>
      <c r="UXR48" s="19"/>
      <c r="UXS48" s="19"/>
      <c r="UXT48" s="19"/>
      <c r="UXU48" s="19"/>
      <c r="UXV48" s="19"/>
      <c r="UXW48" s="19"/>
      <c r="UXX48" s="19"/>
      <c r="UXY48" s="19"/>
      <c r="UXZ48" s="19"/>
      <c r="UYA48" s="19"/>
      <c r="UYB48" s="19"/>
      <c r="UYC48" s="19"/>
      <c r="UYD48" s="19"/>
      <c r="UYE48" s="19"/>
      <c r="UYF48" s="19"/>
      <c r="UYG48" s="19"/>
      <c r="UYH48" s="19"/>
      <c r="UYI48" s="19"/>
      <c r="UYJ48" s="19"/>
      <c r="UYK48" s="19"/>
      <c r="UYL48" s="19"/>
      <c r="UYM48" s="19"/>
      <c r="UYN48" s="19"/>
      <c r="UYO48" s="19"/>
      <c r="UYP48" s="19"/>
      <c r="UYQ48" s="19"/>
      <c r="UYR48" s="19"/>
      <c r="UYS48" s="19"/>
      <c r="UYT48" s="19"/>
      <c r="UYU48" s="19"/>
      <c r="UYV48" s="19"/>
      <c r="UYW48" s="19"/>
      <c r="UYX48" s="19"/>
      <c r="UYY48" s="19"/>
      <c r="UYZ48" s="19"/>
      <c r="UZA48" s="19"/>
      <c r="UZB48" s="19"/>
      <c r="UZC48" s="19"/>
      <c r="UZD48" s="19"/>
      <c r="UZE48" s="19"/>
      <c r="UZF48" s="19"/>
      <c r="UZG48" s="19"/>
      <c r="UZH48" s="19"/>
      <c r="UZI48" s="19"/>
      <c r="UZJ48" s="19"/>
      <c r="UZK48" s="19"/>
      <c r="UZL48" s="19"/>
      <c r="UZM48" s="19"/>
      <c r="UZN48" s="19"/>
      <c r="UZO48" s="19"/>
      <c r="UZP48" s="19"/>
      <c r="UZQ48" s="19"/>
      <c r="UZR48" s="19"/>
      <c r="UZS48" s="19"/>
      <c r="UZT48" s="19"/>
      <c r="UZU48" s="19"/>
      <c r="UZV48" s="19"/>
      <c r="UZW48" s="19"/>
      <c r="UZX48" s="19"/>
      <c r="UZY48" s="19"/>
      <c r="UZZ48" s="19"/>
      <c r="VAA48" s="19"/>
      <c r="VAB48" s="19"/>
      <c r="VAC48" s="19"/>
      <c r="VAD48" s="19"/>
      <c r="VAE48" s="19"/>
      <c r="VAF48" s="19"/>
      <c r="VAG48" s="19"/>
      <c r="VAH48" s="19"/>
      <c r="VAI48" s="19"/>
      <c r="VAJ48" s="19"/>
      <c r="VAK48" s="19"/>
      <c r="VAL48" s="19"/>
      <c r="VAM48" s="19"/>
      <c r="VAN48" s="19"/>
      <c r="VAO48" s="19"/>
      <c r="VAP48" s="19"/>
      <c r="VAQ48" s="19"/>
      <c r="VAR48" s="19"/>
      <c r="VAS48" s="19"/>
      <c r="VAT48" s="19"/>
      <c r="VAU48" s="19"/>
      <c r="VAV48" s="19"/>
      <c r="VAW48" s="19"/>
      <c r="VAX48" s="19"/>
      <c r="VAY48" s="19"/>
      <c r="VAZ48" s="19"/>
      <c r="VBA48" s="19"/>
      <c r="VBB48" s="19"/>
      <c r="VBC48" s="19"/>
      <c r="VBD48" s="19"/>
      <c r="VBE48" s="19"/>
      <c r="VBF48" s="19"/>
      <c r="VBG48" s="19"/>
      <c r="VBH48" s="19"/>
      <c r="VBI48" s="19"/>
      <c r="VBJ48" s="19"/>
      <c r="VBK48" s="19"/>
      <c r="VBL48" s="19"/>
      <c r="VBM48" s="19"/>
      <c r="VBN48" s="19"/>
      <c r="VBO48" s="19"/>
      <c r="VBP48" s="19"/>
      <c r="VBQ48" s="19"/>
      <c r="VBR48" s="19"/>
      <c r="VBS48" s="19"/>
      <c r="VBT48" s="19"/>
      <c r="VBU48" s="19"/>
      <c r="VBV48" s="19"/>
      <c r="VBW48" s="19"/>
      <c r="VBX48" s="19"/>
      <c r="VBY48" s="19"/>
      <c r="VBZ48" s="19"/>
      <c r="VCA48" s="19"/>
      <c r="VCB48" s="19"/>
      <c r="VCC48" s="19"/>
      <c r="VCD48" s="19"/>
      <c r="VCE48" s="19"/>
      <c r="VCF48" s="19"/>
      <c r="VCG48" s="19"/>
      <c r="VCH48" s="19"/>
      <c r="VCI48" s="19"/>
      <c r="VCJ48" s="19"/>
      <c r="VCK48" s="19"/>
      <c r="VCL48" s="19"/>
      <c r="VCM48" s="19"/>
      <c r="VCN48" s="19"/>
      <c r="VCO48" s="19"/>
      <c r="VCP48" s="19"/>
      <c r="VCQ48" s="19"/>
      <c r="VCR48" s="19"/>
      <c r="VCS48" s="19"/>
      <c r="VCT48" s="19"/>
      <c r="VCU48" s="19"/>
      <c r="VCV48" s="19"/>
      <c r="VCW48" s="19"/>
      <c r="VCX48" s="19"/>
      <c r="VCY48" s="19"/>
      <c r="VCZ48" s="19"/>
      <c r="VDA48" s="19"/>
      <c r="VDB48" s="19"/>
      <c r="VDC48" s="19"/>
      <c r="VDD48" s="19"/>
      <c r="VDE48" s="19"/>
      <c r="VDF48" s="19"/>
      <c r="VDG48" s="19"/>
      <c r="VDH48" s="19"/>
      <c r="VDI48" s="19"/>
      <c r="VDJ48" s="19"/>
      <c r="VDK48" s="19"/>
      <c r="VDL48" s="19"/>
      <c r="VDM48" s="19"/>
      <c r="VDN48" s="19"/>
      <c r="VDO48" s="19"/>
      <c r="VDP48" s="19"/>
      <c r="VDQ48" s="19"/>
      <c r="VDR48" s="19"/>
      <c r="VDS48" s="19"/>
      <c r="VDT48" s="19"/>
      <c r="VDU48" s="19"/>
      <c r="VDV48" s="19"/>
      <c r="VDW48" s="19"/>
      <c r="VDX48" s="19"/>
      <c r="VDY48" s="19"/>
      <c r="VDZ48" s="19"/>
      <c r="VEA48" s="19"/>
      <c r="VEB48" s="19"/>
      <c r="VEC48" s="19"/>
      <c r="VED48" s="19"/>
      <c r="VEE48" s="19"/>
      <c r="VEF48" s="19"/>
      <c r="VEG48" s="19"/>
      <c r="VEH48" s="19"/>
      <c r="VEI48" s="19"/>
      <c r="VEJ48" s="19"/>
      <c r="VEK48" s="19"/>
      <c r="VEL48" s="19"/>
      <c r="VEM48" s="19"/>
      <c r="VEN48" s="19"/>
      <c r="VEO48" s="19"/>
      <c r="VEP48" s="19"/>
      <c r="VEQ48" s="19"/>
      <c r="VER48" s="19"/>
      <c r="VES48" s="19"/>
      <c r="VET48" s="19"/>
      <c r="VEU48" s="19"/>
      <c r="VEV48" s="19"/>
      <c r="VEW48" s="19"/>
      <c r="VEX48" s="19"/>
      <c r="VEY48" s="19"/>
      <c r="VEZ48" s="19"/>
      <c r="VFA48" s="19"/>
      <c r="VFB48" s="19"/>
      <c r="VFC48" s="19"/>
      <c r="VFD48" s="19"/>
      <c r="VFE48" s="19"/>
      <c r="VFF48" s="19"/>
      <c r="VFG48" s="19"/>
      <c r="VFH48" s="19"/>
      <c r="VFI48" s="19"/>
      <c r="VFJ48" s="19"/>
      <c r="VFK48" s="19"/>
      <c r="VFL48" s="19"/>
      <c r="VFM48" s="19"/>
      <c r="VFN48" s="19"/>
      <c r="VFO48" s="19"/>
      <c r="VFP48" s="19"/>
      <c r="VFQ48" s="19"/>
      <c r="VFR48" s="19"/>
      <c r="VFS48" s="19"/>
      <c r="VFT48" s="19"/>
      <c r="VFU48" s="19"/>
      <c r="VFV48" s="19"/>
      <c r="VFW48" s="19"/>
      <c r="VFX48" s="19"/>
      <c r="VFY48" s="19"/>
      <c r="VFZ48" s="19"/>
      <c r="VGA48" s="19"/>
      <c r="VGB48" s="19"/>
      <c r="VGC48" s="19"/>
      <c r="VGD48" s="19"/>
      <c r="VGE48" s="19"/>
      <c r="VGF48" s="19"/>
      <c r="VGG48" s="19"/>
      <c r="VGH48" s="19"/>
      <c r="VGI48" s="19"/>
      <c r="VGJ48" s="19"/>
      <c r="VGK48" s="19"/>
      <c r="VGL48" s="19"/>
      <c r="VGM48" s="19"/>
      <c r="VGN48" s="19"/>
      <c r="VGO48" s="19"/>
      <c r="VGP48" s="19"/>
      <c r="VGQ48" s="19"/>
      <c r="VGR48" s="19"/>
      <c r="VGS48" s="19"/>
      <c r="VGT48" s="19"/>
      <c r="VGU48" s="19"/>
      <c r="VGV48" s="19"/>
      <c r="VGW48" s="19"/>
      <c r="VGX48" s="19"/>
      <c r="VGY48" s="19"/>
      <c r="VGZ48" s="19"/>
      <c r="VHA48" s="19"/>
      <c r="VHB48" s="19"/>
      <c r="VHC48" s="19"/>
      <c r="VHD48" s="19"/>
      <c r="VHE48" s="19"/>
      <c r="VHF48" s="19"/>
      <c r="VHG48" s="19"/>
      <c r="VHH48" s="19"/>
      <c r="VHI48" s="19"/>
      <c r="VHJ48" s="19"/>
      <c r="VHK48" s="19"/>
      <c r="VHL48" s="19"/>
      <c r="VHM48" s="19"/>
      <c r="VHN48" s="19"/>
      <c r="VHO48" s="19"/>
      <c r="VHP48" s="19"/>
      <c r="VHQ48" s="19"/>
      <c r="VHR48" s="19"/>
      <c r="VHS48" s="19"/>
      <c r="VHT48" s="19"/>
      <c r="VHU48" s="19"/>
      <c r="VHV48" s="19"/>
      <c r="VHW48" s="19"/>
      <c r="VHX48" s="19"/>
      <c r="VHY48" s="19"/>
      <c r="VHZ48" s="19"/>
      <c r="VIA48" s="19"/>
      <c r="VIB48" s="19"/>
      <c r="VIC48" s="19"/>
      <c r="VID48" s="19"/>
      <c r="VIE48" s="19"/>
      <c r="VIF48" s="19"/>
      <c r="VIG48" s="19"/>
      <c r="VIH48" s="19"/>
      <c r="VII48" s="19"/>
      <c r="VIJ48" s="19"/>
      <c r="VIK48" s="19"/>
      <c r="VIL48" s="19"/>
      <c r="VIM48" s="19"/>
      <c r="VIN48" s="19"/>
      <c r="VIO48" s="19"/>
      <c r="VIP48" s="19"/>
      <c r="VIQ48" s="19"/>
      <c r="VIR48" s="19"/>
      <c r="VIS48" s="19"/>
      <c r="VIT48" s="19"/>
      <c r="VIU48" s="19"/>
      <c r="VIV48" s="19"/>
      <c r="VIW48" s="19"/>
      <c r="VIX48" s="19"/>
      <c r="VIY48" s="19"/>
      <c r="VIZ48" s="19"/>
      <c r="VJA48" s="19"/>
      <c r="VJB48" s="19"/>
      <c r="VJC48" s="19"/>
      <c r="VJD48" s="19"/>
      <c r="VJE48" s="19"/>
      <c r="VJF48" s="19"/>
      <c r="VJG48" s="19"/>
      <c r="VJH48" s="19"/>
      <c r="VJI48" s="19"/>
      <c r="VJJ48" s="19"/>
      <c r="VJK48" s="19"/>
      <c r="VJL48" s="19"/>
      <c r="VJM48" s="19"/>
      <c r="VJN48" s="19"/>
      <c r="VJO48" s="19"/>
      <c r="VJP48" s="19"/>
      <c r="VJQ48" s="19"/>
      <c r="VJR48" s="19"/>
      <c r="VJS48" s="19"/>
      <c r="VJT48" s="19"/>
      <c r="VJU48" s="19"/>
      <c r="VJV48" s="19"/>
      <c r="VJW48" s="19"/>
      <c r="VJX48" s="19"/>
      <c r="VJY48" s="19"/>
      <c r="VJZ48" s="19"/>
      <c r="VKA48" s="19"/>
      <c r="VKB48" s="19"/>
      <c r="VKC48" s="19"/>
      <c r="VKD48" s="19"/>
      <c r="VKE48" s="19"/>
      <c r="VKF48" s="19"/>
      <c r="VKG48" s="19"/>
      <c r="VKH48" s="19"/>
      <c r="VKI48" s="19"/>
      <c r="VKJ48" s="19"/>
      <c r="VKK48" s="19"/>
      <c r="VKL48" s="19"/>
      <c r="VKM48" s="19"/>
      <c r="VKN48" s="19"/>
      <c r="VKO48" s="19"/>
      <c r="VKP48" s="19"/>
      <c r="VKQ48" s="19"/>
      <c r="VKR48" s="19"/>
      <c r="VKS48" s="19"/>
      <c r="VKT48" s="19"/>
      <c r="VKU48" s="19"/>
      <c r="VKV48" s="19"/>
      <c r="VKW48" s="19"/>
      <c r="VKX48" s="19"/>
      <c r="VKY48" s="19"/>
      <c r="VKZ48" s="19"/>
      <c r="VLA48" s="19"/>
      <c r="VLB48" s="19"/>
      <c r="VLC48" s="19"/>
      <c r="VLD48" s="19"/>
      <c r="VLE48" s="19"/>
      <c r="VLF48" s="19"/>
      <c r="VLG48" s="19"/>
      <c r="VLH48" s="19"/>
      <c r="VLI48" s="19"/>
      <c r="VLJ48" s="19"/>
      <c r="VLK48" s="19"/>
      <c r="VLL48" s="19"/>
      <c r="VLM48" s="19"/>
      <c r="VLN48" s="19"/>
      <c r="VLO48" s="19"/>
      <c r="VLP48" s="19"/>
      <c r="VLQ48" s="19"/>
      <c r="VLR48" s="19"/>
      <c r="VLS48" s="19"/>
      <c r="VLT48" s="19"/>
      <c r="VLU48" s="19"/>
      <c r="VLV48" s="19"/>
      <c r="VLW48" s="19"/>
      <c r="VLX48" s="19"/>
      <c r="VLY48" s="19"/>
      <c r="VLZ48" s="19"/>
      <c r="VMA48" s="19"/>
      <c r="VMB48" s="19"/>
      <c r="VMC48" s="19"/>
      <c r="VMD48" s="19"/>
      <c r="VME48" s="19"/>
      <c r="VMF48" s="19"/>
      <c r="VMG48" s="19"/>
      <c r="VMH48" s="19"/>
      <c r="VMI48" s="19"/>
      <c r="VMJ48" s="19"/>
      <c r="VMK48" s="19"/>
      <c r="VML48" s="19"/>
      <c r="VMM48" s="19"/>
      <c r="VMN48" s="19"/>
      <c r="VMO48" s="19"/>
      <c r="VMP48" s="19"/>
      <c r="VMQ48" s="19"/>
      <c r="VMR48" s="19"/>
      <c r="VMS48" s="19"/>
      <c r="VMT48" s="19"/>
      <c r="VMU48" s="19"/>
      <c r="VMV48" s="19"/>
      <c r="VMW48" s="19"/>
      <c r="VMX48" s="19"/>
      <c r="VMY48" s="19"/>
      <c r="VMZ48" s="19"/>
      <c r="VNA48" s="19"/>
      <c r="VNB48" s="19"/>
      <c r="VNC48" s="19"/>
      <c r="VND48" s="19"/>
      <c r="VNE48" s="19"/>
      <c r="VNF48" s="19"/>
      <c r="VNG48" s="19"/>
      <c r="VNH48" s="19"/>
      <c r="VNI48" s="19"/>
      <c r="VNJ48" s="19"/>
      <c r="VNK48" s="19"/>
      <c r="VNL48" s="19"/>
      <c r="VNM48" s="19"/>
      <c r="VNN48" s="19"/>
      <c r="VNO48" s="19"/>
      <c r="VNP48" s="19"/>
      <c r="VNQ48" s="19"/>
      <c r="VNR48" s="19"/>
      <c r="VNS48" s="19"/>
      <c r="VNT48" s="19"/>
      <c r="VNU48" s="19"/>
      <c r="VNV48" s="19"/>
      <c r="VNW48" s="19"/>
      <c r="VNX48" s="19"/>
      <c r="VNY48" s="19"/>
      <c r="VNZ48" s="19"/>
      <c r="VOA48" s="19"/>
      <c r="VOB48" s="19"/>
      <c r="VOC48" s="19"/>
      <c r="VOD48" s="19"/>
      <c r="VOE48" s="19"/>
      <c r="VOF48" s="19"/>
      <c r="VOG48" s="19"/>
      <c r="VOH48" s="19"/>
      <c r="VOI48" s="19"/>
      <c r="VOJ48" s="19"/>
      <c r="VOK48" s="19"/>
      <c r="VOL48" s="19"/>
      <c r="VOM48" s="19"/>
      <c r="VON48" s="19"/>
      <c r="VOO48" s="19"/>
      <c r="VOP48" s="19"/>
      <c r="VOQ48" s="19"/>
      <c r="VOR48" s="19"/>
      <c r="VOS48" s="19"/>
      <c r="VOT48" s="19"/>
      <c r="VOU48" s="19"/>
      <c r="VOV48" s="19"/>
      <c r="VOW48" s="19"/>
      <c r="VOX48" s="19"/>
      <c r="VOY48" s="19"/>
      <c r="VOZ48" s="19"/>
      <c r="VPA48" s="19"/>
      <c r="VPB48" s="19"/>
      <c r="VPC48" s="19"/>
      <c r="VPD48" s="19"/>
      <c r="VPE48" s="19"/>
      <c r="VPF48" s="19"/>
      <c r="VPG48" s="19"/>
      <c r="VPH48" s="19"/>
      <c r="VPI48" s="19"/>
      <c r="VPJ48" s="19"/>
      <c r="VPK48" s="19"/>
      <c r="VPL48" s="19"/>
      <c r="VPM48" s="19"/>
      <c r="VPN48" s="19"/>
      <c r="VPO48" s="19"/>
      <c r="VPP48" s="19"/>
      <c r="VPQ48" s="19"/>
      <c r="VPR48" s="19"/>
      <c r="VPS48" s="19"/>
      <c r="VPT48" s="19"/>
      <c r="VPU48" s="19"/>
      <c r="VPV48" s="19"/>
      <c r="VPW48" s="19"/>
      <c r="VPX48" s="19"/>
      <c r="VPY48" s="19"/>
      <c r="VPZ48" s="19"/>
      <c r="VQA48" s="19"/>
      <c r="VQB48" s="19"/>
      <c r="VQC48" s="19"/>
      <c r="VQD48" s="19"/>
      <c r="VQE48" s="19"/>
      <c r="VQF48" s="19"/>
      <c r="VQG48" s="19"/>
      <c r="VQH48" s="19"/>
      <c r="VQI48" s="19"/>
      <c r="VQJ48" s="19"/>
      <c r="VQK48" s="19"/>
      <c r="VQL48" s="19"/>
      <c r="VQM48" s="19"/>
      <c r="VQN48" s="19"/>
      <c r="VQO48" s="19"/>
      <c r="VQP48" s="19"/>
      <c r="VQQ48" s="19"/>
      <c r="VQR48" s="19"/>
      <c r="VQS48" s="19"/>
      <c r="VQT48" s="19"/>
      <c r="VQU48" s="19"/>
      <c r="VQV48" s="19"/>
      <c r="VQW48" s="19"/>
      <c r="VQX48" s="19"/>
      <c r="VQY48" s="19"/>
      <c r="VQZ48" s="19"/>
      <c r="VRA48" s="19"/>
      <c r="VRB48" s="19"/>
      <c r="VRC48" s="19"/>
      <c r="VRD48" s="19"/>
      <c r="VRE48" s="19"/>
      <c r="VRF48" s="19"/>
      <c r="VRG48" s="19"/>
      <c r="VRH48" s="19"/>
      <c r="VRI48" s="19"/>
      <c r="VRJ48" s="19"/>
      <c r="VRK48" s="19"/>
      <c r="VRL48" s="19"/>
      <c r="VRM48" s="19"/>
      <c r="VRN48" s="19"/>
      <c r="VRO48" s="19"/>
      <c r="VRP48" s="19"/>
      <c r="VRQ48" s="19"/>
      <c r="VRR48" s="19"/>
      <c r="VRS48" s="19"/>
      <c r="VRT48" s="19"/>
      <c r="VRU48" s="19"/>
      <c r="VRV48" s="19"/>
      <c r="VRW48" s="19"/>
      <c r="VRX48" s="19"/>
      <c r="VRY48" s="19"/>
      <c r="VRZ48" s="19"/>
      <c r="VSA48" s="19"/>
      <c r="VSB48" s="19"/>
      <c r="VSC48" s="19"/>
      <c r="VSD48" s="19"/>
      <c r="VSE48" s="19"/>
      <c r="VSF48" s="19"/>
      <c r="VSG48" s="19"/>
      <c r="VSH48" s="19"/>
      <c r="VSI48" s="19"/>
      <c r="VSJ48" s="19"/>
      <c r="VSK48" s="19"/>
      <c r="VSL48" s="19"/>
      <c r="VSM48" s="19"/>
      <c r="VSN48" s="19"/>
      <c r="VSO48" s="19"/>
      <c r="VSP48" s="19"/>
      <c r="VSQ48" s="19"/>
      <c r="VSR48" s="19"/>
      <c r="VSS48" s="19"/>
      <c r="VST48" s="19"/>
      <c r="VSU48" s="19"/>
      <c r="VSV48" s="19"/>
      <c r="VSW48" s="19"/>
      <c r="VSX48" s="19"/>
      <c r="VSY48" s="19"/>
      <c r="VSZ48" s="19"/>
      <c r="VTA48" s="19"/>
      <c r="VTB48" s="19"/>
      <c r="VTC48" s="19"/>
      <c r="VTD48" s="19"/>
      <c r="VTE48" s="19"/>
      <c r="VTF48" s="19"/>
      <c r="VTG48" s="19"/>
      <c r="VTH48" s="19"/>
      <c r="VTI48" s="19"/>
      <c r="VTJ48" s="19"/>
      <c r="VTK48" s="19"/>
      <c r="VTL48" s="19"/>
      <c r="VTM48" s="19"/>
      <c r="VTN48" s="19"/>
      <c r="VTO48" s="19"/>
      <c r="VTP48" s="19"/>
      <c r="VTQ48" s="19"/>
      <c r="VTR48" s="19"/>
      <c r="VTS48" s="19"/>
      <c r="VTT48" s="19"/>
      <c r="VTU48" s="19"/>
      <c r="VTV48" s="19"/>
      <c r="VTW48" s="19"/>
      <c r="VTX48" s="19"/>
      <c r="VTY48" s="19"/>
      <c r="VTZ48" s="19"/>
      <c r="VUA48" s="19"/>
      <c r="VUB48" s="19"/>
      <c r="VUC48" s="19"/>
      <c r="VUD48" s="19"/>
      <c r="VUE48" s="19"/>
      <c r="VUF48" s="19"/>
      <c r="VUG48" s="19"/>
      <c r="VUH48" s="19"/>
      <c r="VUI48" s="19"/>
      <c r="VUJ48" s="19"/>
      <c r="VUK48" s="19"/>
      <c r="VUL48" s="19"/>
      <c r="VUM48" s="19"/>
      <c r="VUN48" s="19"/>
      <c r="VUO48" s="19"/>
      <c r="VUP48" s="19"/>
      <c r="VUQ48" s="19"/>
      <c r="VUR48" s="19"/>
      <c r="VUS48" s="19"/>
      <c r="VUT48" s="19"/>
      <c r="VUU48" s="19"/>
      <c r="VUV48" s="19"/>
      <c r="VUW48" s="19"/>
      <c r="VUX48" s="19"/>
      <c r="VUY48" s="19"/>
      <c r="VUZ48" s="19"/>
      <c r="VVA48" s="19"/>
      <c r="VVB48" s="19"/>
      <c r="VVC48" s="19"/>
      <c r="VVD48" s="19"/>
      <c r="VVE48" s="19"/>
      <c r="VVF48" s="19"/>
      <c r="VVG48" s="19"/>
      <c r="VVH48" s="19"/>
      <c r="VVI48" s="19"/>
      <c r="VVJ48" s="19"/>
      <c r="VVK48" s="19"/>
      <c r="VVL48" s="19"/>
      <c r="VVM48" s="19"/>
      <c r="VVN48" s="19"/>
      <c r="VVO48" s="19"/>
      <c r="VVP48" s="19"/>
      <c r="VVQ48" s="19"/>
      <c r="VVR48" s="19"/>
      <c r="VVS48" s="19"/>
      <c r="VVT48" s="19"/>
      <c r="VVU48" s="19"/>
      <c r="VVV48" s="19"/>
      <c r="VVW48" s="19"/>
      <c r="VVX48" s="19"/>
      <c r="VVY48" s="19"/>
      <c r="VVZ48" s="19"/>
      <c r="VWA48" s="19"/>
      <c r="VWB48" s="19"/>
      <c r="VWC48" s="19"/>
      <c r="VWD48" s="19"/>
      <c r="VWE48" s="19"/>
      <c r="VWF48" s="19"/>
      <c r="VWG48" s="19"/>
      <c r="VWH48" s="19"/>
      <c r="VWI48" s="19"/>
      <c r="VWJ48" s="19"/>
      <c r="VWK48" s="19"/>
      <c r="VWL48" s="19"/>
      <c r="VWM48" s="19"/>
      <c r="VWN48" s="19"/>
      <c r="VWO48" s="19"/>
      <c r="VWP48" s="19"/>
      <c r="VWQ48" s="19"/>
      <c r="VWR48" s="19"/>
      <c r="VWS48" s="19"/>
      <c r="VWT48" s="19"/>
      <c r="VWU48" s="19"/>
      <c r="VWV48" s="19"/>
      <c r="VWW48" s="19"/>
      <c r="VWX48" s="19"/>
      <c r="VWY48" s="19"/>
      <c r="VWZ48" s="19"/>
      <c r="VXA48" s="19"/>
      <c r="VXB48" s="19"/>
      <c r="VXC48" s="19"/>
      <c r="VXD48" s="19"/>
      <c r="VXE48" s="19"/>
      <c r="VXF48" s="19"/>
      <c r="VXG48" s="19"/>
      <c r="VXH48" s="19"/>
      <c r="VXI48" s="19"/>
      <c r="VXJ48" s="19"/>
      <c r="VXK48" s="19"/>
      <c r="VXL48" s="19"/>
      <c r="VXM48" s="19"/>
      <c r="VXN48" s="19"/>
      <c r="VXO48" s="19"/>
      <c r="VXP48" s="19"/>
      <c r="VXQ48" s="19"/>
      <c r="VXR48" s="19"/>
      <c r="VXS48" s="19"/>
      <c r="VXT48" s="19"/>
      <c r="VXU48" s="19"/>
      <c r="VXV48" s="19"/>
      <c r="VXW48" s="19"/>
      <c r="VXX48" s="19"/>
      <c r="VXY48" s="19"/>
      <c r="VXZ48" s="19"/>
      <c r="VYA48" s="19"/>
      <c r="VYB48" s="19"/>
      <c r="VYC48" s="19"/>
      <c r="VYD48" s="19"/>
      <c r="VYE48" s="19"/>
      <c r="VYF48" s="19"/>
      <c r="VYG48" s="19"/>
      <c r="VYH48" s="19"/>
      <c r="VYI48" s="19"/>
      <c r="VYJ48" s="19"/>
      <c r="VYK48" s="19"/>
      <c r="VYL48" s="19"/>
      <c r="VYM48" s="19"/>
      <c r="VYN48" s="19"/>
      <c r="VYO48" s="19"/>
      <c r="VYP48" s="19"/>
      <c r="VYQ48" s="19"/>
      <c r="VYR48" s="19"/>
      <c r="VYS48" s="19"/>
      <c r="VYT48" s="19"/>
      <c r="VYU48" s="19"/>
      <c r="VYV48" s="19"/>
      <c r="VYW48" s="19"/>
      <c r="VYX48" s="19"/>
      <c r="VYY48" s="19"/>
      <c r="VYZ48" s="19"/>
      <c r="VZA48" s="19"/>
      <c r="VZB48" s="19"/>
      <c r="VZC48" s="19"/>
      <c r="VZD48" s="19"/>
      <c r="VZE48" s="19"/>
      <c r="VZF48" s="19"/>
      <c r="VZG48" s="19"/>
      <c r="VZH48" s="19"/>
      <c r="VZI48" s="19"/>
      <c r="VZJ48" s="19"/>
      <c r="VZK48" s="19"/>
      <c r="VZL48" s="19"/>
      <c r="VZM48" s="19"/>
      <c r="VZN48" s="19"/>
      <c r="VZO48" s="19"/>
      <c r="VZP48" s="19"/>
      <c r="VZQ48" s="19"/>
      <c r="VZR48" s="19"/>
      <c r="VZS48" s="19"/>
      <c r="VZT48" s="19"/>
      <c r="VZU48" s="19"/>
      <c r="VZV48" s="19"/>
      <c r="VZW48" s="19"/>
      <c r="VZX48" s="19"/>
      <c r="VZY48" s="19"/>
      <c r="VZZ48" s="19"/>
      <c r="WAA48" s="19"/>
      <c r="WAB48" s="19"/>
      <c r="WAC48" s="19"/>
      <c r="WAD48" s="19"/>
      <c r="WAE48" s="19"/>
      <c r="WAF48" s="19"/>
      <c r="WAG48" s="19"/>
      <c r="WAH48" s="19"/>
      <c r="WAI48" s="19"/>
      <c r="WAJ48" s="19"/>
      <c r="WAK48" s="19"/>
      <c r="WAL48" s="19"/>
      <c r="WAM48" s="19"/>
      <c r="WAN48" s="19"/>
      <c r="WAO48" s="19"/>
      <c r="WAP48" s="19"/>
      <c r="WAQ48" s="19"/>
      <c r="WAR48" s="19"/>
      <c r="WAS48" s="19"/>
      <c r="WAT48" s="19"/>
      <c r="WAU48" s="19"/>
      <c r="WAV48" s="19"/>
      <c r="WAW48" s="19"/>
      <c r="WAX48" s="19"/>
      <c r="WAY48" s="19"/>
      <c r="WAZ48" s="19"/>
      <c r="WBA48" s="19"/>
      <c r="WBB48" s="19"/>
      <c r="WBC48" s="19"/>
      <c r="WBD48" s="19"/>
      <c r="WBE48" s="19"/>
      <c r="WBF48" s="19"/>
      <c r="WBG48" s="19"/>
      <c r="WBH48" s="19"/>
      <c r="WBI48" s="19"/>
      <c r="WBJ48" s="19"/>
      <c r="WBK48" s="19"/>
      <c r="WBL48" s="19"/>
      <c r="WBM48" s="19"/>
      <c r="WBN48" s="19"/>
      <c r="WBO48" s="19"/>
      <c r="WBP48" s="19"/>
      <c r="WBQ48" s="19"/>
      <c r="WBR48" s="19"/>
      <c r="WBS48" s="19"/>
      <c r="WBT48" s="19"/>
      <c r="WBU48" s="19"/>
      <c r="WBV48" s="19"/>
      <c r="WBW48" s="19"/>
      <c r="WBX48" s="19"/>
      <c r="WBY48" s="19"/>
      <c r="WBZ48" s="19"/>
      <c r="WCA48" s="19"/>
      <c r="WCB48" s="19"/>
      <c r="WCC48" s="19"/>
      <c r="WCD48" s="19"/>
      <c r="WCE48" s="19"/>
      <c r="WCF48" s="19"/>
      <c r="WCG48" s="19"/>
      <c r="WCH48" s="19"/>
      <c r="WCI48" s="19"/>
      <c r="WCJ48" s="19"/>
      <c r="WCK48" s="19"/>
      <c r="WCL48" s="19"/>
      <c r="WCM48" s="19"/>
      <c r="WCN48" s="19"/>
      <c r="WCO48" s="19"/>
      <c r="WCP48" s="19"/>
      <c r="WCQ48" s="19"/>
      <c r="WCR48" s="19"/>
      <c r="WCS48" s="19"/>
      <c r="WCT48" s="19"/>
      <c r="WCU48" s="19"/>
      <c r="WCV48" s="19"/>
      <c r="WCW48" s="19"/>
      <c r="WCX48" s="19"/>
      <c r="WCY48" s="19"/>
      <c r="WCZ48" s="19"/>
      <c r="WDA48" s="19"/>
      <c r="WDB48" s="19"/>
      <c r="WDC48" s="19"/>
      <c r="WDD48" s="19"/>
      <c r="WDE48" s="19"/>
      <c r="WDF48" s="19"/>
      <c r="WDG48" s="19"/>
      <c r="WDH48" s="19"/>
      <c r="WDI48" s="19"/>
      <c r="WDJ48" s="19"/>
      <c r="WDK48" s="19"/>
      <c r="WDL48" s="19"/>
      <c r="WDM48" s="19"/>
      <c r="WDN48" s="19"/>
      <c r="WDO48" s="19"/>
      <c r="WDP48" s="19"/>
      <c r="WDQ48" s="19"/>
      <c r="WDR48" s="19"/>
      <c r="WDS48" s="19"/>
      <c r="WDT48" s="19"/>
      <c r="WDU48" s="19"/>
      <c r="WDV48" s="19"/>
      <c r="WDW48" s="19"/>
      <c r="WDX48" s="19"/>
      <c r="WDY48" s="19"/>
      <c r="WDZ48" s="19"/>
      <c r="WEA48" s="19"/>
      <c r="WEB48" s="19"/>
      <c r="WEC48" s="19"/>
      <c r="WED48" s="19"/>
      <c r="WEE48" s="19"/>
      <c r="WEF48" s="19"/>
      <c r="WEG48" s="19"/>
      <c r="WEH48" s="19"/>
      <c r="WEI48" s="19"/>
      <c r="WEJ48" s="19"/>
      <c r="WEK48" s="19"/>
      <c r="WEL48" s="19"/>
      <c r="WEM48" s="19"/>
      <c r="WEN48" s="19"/>
      <c r="WEO48" s="19"/>
      <c r="WEP48" s="19"/>
      <c r="WEQ48" s="19"/>
      <c r="WER48" s="19"/>
      <c r="WES48" s="19"/>
      <c r="WET48" s="19"/>
      <c r="WEU48" s="19"/>
      <c r="WEV48" s="19"/>
      <c r="WEW48" s="19"/>
      <c r="WEX48" s="19"/>
      <c r="WEY48" s="19"/>
      <c r="WEZ48" s="19"/>
      <c r="WFA48" s="19"/>
      <c r="WFB48" s="19"/>
      <c r="WFC48" s="19"/>
      <c r="WFD48" s="19"/>
      <c r="WFE48" s="19"/>
      <c r="WFF48" s="19"/>
      <c r="WFG48" s="19"/>
      <c r="WFH48" s="19"/>
      <c r="WFI48" s="19"/>
      <c r="WFJ48" s="19"/>
      <c r="WFK48" s="19"/>
      <c r="WFL48" s="19"/>
      <c r="WFM48" s="19"/>
      <c r="WFN48" s="19"/>
      <c r="WFO48" s="19"/>
      <c r="WFP48" s="19"/>
      <c r="WFQ48" s="19"/>
      <c r="WFR48" s="19"/>
      <c r="WFS48" s="19"/>
      <c r="WFT48" s="19"/>
      <c r="WFU48" s="19"/>
      <c r="WFV48" s="19"/>
      <c r="WFW48" s="19"/>
      <c r="WFX48" s="19"/>
      <c r="WFY48" s="19"/>
      <c r="WFZ48" s="19"/>
      <c r="WGA48" s="19"/>
      <c r="WGB48" s="19"/>
      <c r="WGC48" s="19"/>
      <c r="WGD48" s="19"/>
      <c r="WGE48" s="19"/>
      <c r="WGF48" s="19"/>
      <c r="WGG48" s="19"/>
      <c r="WGH48" s="19"/>
      <c r="WGI48" s="19"/>
      <c r="WGJ48" s="19"/>
      <c r="WGK48" s="19"/>
      <c r="WGL48" s="19"/>
      <c r="WGM48" s="19"/>
      <c r="WGN48" s="19"/>
      <c r="WGO48" s="19"/>
      <c r="WGP48" s="19"/>
      <c r="WGQ48" s="19"/>
      <c r="WGR48" s="19"/>
      <c r="WGS48" s="19"/>
      <c r="WGT48" s="19"/>
      <c r="WGU48" s="19"/>
      <c r="WGV48" s="19"/>
      <c r="WGW48" s="19"/>
      <c r="WGX48" s="19"/>
      <c r="WGY48" s="19"/>
      <c r="WGZ48" s="19"/>
      <c r="WHA48" s="19"/>
      <c r="WHB48" s="19"/>
      <c r="WHC48" s="19"/>
      <c r="WHD48" s="19"/>
      <c r="WHE48" s="19"/>
      <c r="WHF48" s="19"/>
      <c r="WHG48" s="19"/>
      <c r="WHH48" s="19"/>
      <c r="WHI48" s="19"/>
      <c r="WHJ48" s="19"/>
      <c r="WHK48" s="19"/>
      <c r="WHL48" s="19"/>
      <c r="WHM48" s="19"/>
      <c r="WHN48" s="19"/>
      <c r="WHO48" s="19"/>
      <c r="WHP48" s="19"/>
      <c r="WHQ48" s="19"/>
      <c r="WHR48" s="19"/>
      <c r="WHS48" s="19"/>
      <c r="WHT48" s="19"/>
      <c r="WHU48" s="19"/>
      <c r="WHV48" s="19"/>
      <c r="WHW48" s="19"/>
      <c r="WHX48" s="19"/>
      <c r="WHY48" s="19"/>
      <c r="WHZ48" s="19"/>
      <c r="WIA48" s="19"/>
      <c r="WIB48" s="19"/>
      <c r="WIC48" s="19"/>
      <c r="WID48" s="19"/>
      <c r="WIE48" s="19"/>
      <c r="WIF48" s="19"/>
      <c r="WIG48" s="19"/>
      <c r="WIH48" s="19"/>
      <c r="WII48" s="19"/>
      <c r="WIJ48" s="19"/>
      <c r="WIK48" s="19"/>
      <c r="WIL48" s="19"/>
      <c r="WIM48" s="19"/>
      <c r="WIN48" s="19"/>
      <c r="WIO48" s="19"/>
      <c r="WIP48" s="19"/>
      <c r="WIQ48" s="19"/>
      <c r="WIR48" s="19"/>
      <c r="WIS48" s="19"/>
      <c r="WIT48" s="19"/>
      <c r="WIU48" s="19"/>
      <c r="WIV48" s="19"/>
      <c r="WIW48" s="19"/>
      <c r="WIX48" s="19"/>
      <c r="WIY48" s="19"/>
      <c r="WIZ48" s="19"/>
      <c r="WJA48" s="19"/>
      <c r="WJB48" s="19"/>
      <c r="WJC48" s="19"/>
      <c r="WJD48" s="19"/>
      <c r="WJE48" s="19"/>
      <c r="WJF48" s="19"/>
      <c r="WJG48" s="19"/>
      <c r="WJH48" s="19"/>
      <c r="WJI48" s="19"/>
      <c r="WJJ48" s="19"/>
      <c r="WJK48" s="19"/>
      <c r="WJL48" s="19"/>
      <c r="WJM48" s="19"/>
      <c r="WJN48" s="19"/>
      <c r="WJO48" s="19"/>
      <c r="WJP48" s="19"/>
      <c r="WJQ48" s="19"/>
      <c r="WJR48" s="19"/>
      <c r="WJS48" s="19"/>
      <c r="WJT48" s="19"/>
      <c r="WJU48" s="19"/>
      <c r="WJV48" s="19"/>
      <c r="WJW48" s="19"/>
      <c r="WJX48" s="19"/>
      <c r="WJY48" s="19"/>
      <c r="WJZ48" s="19"/>
      <c r="WKA48" s="19"/>
      <c r="WKB48" s="19"/>
      <c r="WKC48" s="19"/>
      <c r="WKD48" s="19"/>
      <c r="WKE48" s="19"/>
      <c r="WKF48" s="19"/>
      <c r="WKG48" s="19"/>
      <c r="WKH48" s="19"/>
      <c r="WKI48" s="19"/>
      <c r="WKJ48" s="19"/>
      <c r="WKK48" s="19"/>
      <c r="WKL48" s="19"/>
      <c r="WKM48" s="19"/>
      <c r="WKN48" s="19"/>
      <c r="WKO48" s="19"/>
      <c r="WKP48" s="19"/>
      <c r="WKQ48" s="19"/>
      <c r="WKR48" s="19"/>
      <c r="WKS48" s="19"/>
      <c r="WKT48" s="19"/>
      <c r="WKU48" s="19"/>
      <c r="WKV48" s="19"/>
      <c r="WKW48" s="19"/>
      <c r="WKX48" s="19"/>
      <c r="WKY48" s="19"/>
      <c r="WKZ48" s="19"/>
      <c r="WLA48" s="19"/>
      <c r="WLB48" s="19"/>
      <c r="WLC48" s="19"/>
      <c r="WLD48" s="19"/>
      <c r="WLE48" s="19"/>
      <c r="WLF48" s="19"/>
      <c r="WLG48" s="19"/>
      <c r="WLH48" s="19"/>
      <c r="WLI48" s="19"/>
      <c r="WLJ48" s="19"/>
      <c r="WLK48" s="19"/>
      <c r="WLL48" s="19"/>
      <c r="WLM48" s="19"/>
      <c r="WLN48" s="19"/>
      <c r="WLO48" s="19"/>
      <c r="WLP48" s="19"/>
      <c r="WLQ48" s="19"/>
      <c r="WLR48" s="19"/>
      <c r="WLS48" s="19"/>
      <c r="WLT48" s="19"/>
      <c r="WLU48" s="19"/>
      <c r="WLV48" s="19"/>
      <c r="WLW48" s="19"/>
      <c r="WLX48" s="19"/>
      <c r="WLY48" s="19"/>
      <c r="WLZ48" s="19"/>
      <c r="WMA48" s="19"/>
      <c r="WMB48" s="19"/>
      <c r="WMC48" s="19"/>
      <c r="WMD48" s="19"/>
      <c r="WME48" s="19"/>
      <c r="WMF48" s="19"/>
      <c r="WMG48" s="19"/>
      <c r="WMH48" s="19"/>
      <c r="WMI48" s="19"/>
      <c r="WMJ48" s="19"/>
      <c r="WMK48" s="19"/>
      <c r="WML48" s="19"/>
      <c r="WMM48" s="19"/>
      <c r="WMN48" s="19"/>
      <c r="WMO48" s="19"/>
      <c r="WMP48" s="19"/>
      <c r="WMQ48" s="19"/>
      <c r="WMR48" s="19"/>
      <c r="WMS48" s="19"/>
      <c r="WMT48" s="19"/>
      <c r="WMU48" s="19"/>
      <c r="WMV48" s="19"/>
      <c r="WMW48" s="19"/>
      <c r="WMX48" s="19"/>
      <c r="WMY48" s="19"/>
      <c r="WMZ48" s="19"/>
      <c r="WNA48" s="19"/>
      <c r="WNB48" s="19"/>
      <c r="WNC48" s="19"/>
      <c r="WND48" s="19"/>
      <c r="WNE48" s="19"/>
      <c r="WNF48" s="19"/>
      <c r="WNG48" s="19"/>
      <c r="WNH48" s="19"/>
      <c r="WNI48" s="19"/>
      <c r="WNJ48" s="19"/>
      <c r="WNK48" s="19"/>
      <c r="WNL48" s="19"/>
      <c r="WNM48" s="19"/>
      <c r="WNN48" s="19"/>
      <c r="WNO48" s="19"/>
      <c r="WNP48" s="19"/>
      <c r="WNQ48" s="19"/>
      <c r="WNR48" s="19"/>
      <c r="WNS48" s="19"/>
      <c r="WNT48" s="19"/>
      <c r="WNU48" s="19"/>
      <c r="WNV48" s="19"/>
      <c r="WNW48" s="19"/>
      <c r="WNX48" s="19"/>
      <c r="WNY48" s="19"/>
      <c r="WNZ48" s="19"/>
      <c r="WOA48" s="19"/>
      <c r="WOB48" s="19"/>
      <c r="WOC48" s="19"/>
      <c r="WOD48" s="19"/>
      <c r="WOE48" s="19"/>
      <c r="WOF48" s="19"/>
      <c r="WOG48" s="19"/>
      <c r="WOH48" s="19"/>
      <c r="WOI48" s="19"/>
      <c r="WOJ48" s="19"/>
      <c r="WOK48" s="19"/>
      <c r="WOL48" s="19"/>
      <c r="WOM48" s="19"/>
      <c r="WON48" s="19"/>
      <c r="WOO48" s="19"/>
      <c r="WOP48" s="19"/>
      <c r="WOQ48" s="19"/>
      <c r="WOR48" s="19"/>
      <c r="WOS48" s="19"/>
      <c r="WOT48" s="19"/>
      <c r="WOU48" s="19"/>
      <c r="WOV48" s="19"/>
      <c r="WOW48" s="19"/>
      <c r="WOX48" s="19"/>
      <c r="WOY48" s="19"/>
      <c r="WOZ48" s="19"/>
      <c r="WPA48" s="19"/>
      <c r="WPB48" s="19"/>
      <c r="WPC48" s="19"/>
      <c r="WPD48" s="19"/>
      <c r="WPE48" s="19"/>
      <c r="WPF48" s="19"/>
      <c r="WPG48" s="19"/>
      <c r="WPH48" s="19"/>
      <c r="WPI48" s="19"/>
      <c r="WPJ48" s="19"/>
      <c r="WPK48" s="19"/>
      <c r="WPL48" s="19"/>
      <c r="WPM48" s="19"/>
      <c r="WPN48" s="19"/>
      <c r="WPO48" s="19"/>
      <c r="WPP48" s="19"/>
      <c r="WPQ48" s="19"/>
      <c r="WPR48" s="19"/>
      <c r="WPS48" s="19"/>
      <c r="WPT48" s="19"/>
      <c r="WPU48" s="19"/>
      <c r="WPV48" s="19"/>
      <c r="WPW48" s="19"/>
      <c r="WPX48" s="19"/>
      <c r="WPY48" s="19"/>
      <c r="WPZ48" s="19"/>
      <c r="WQA48" s="19"/>
      <c r="WQB48" s="19"/>
      <c r="WQC48" s="19"/>
      <c r="WQD48" s="19"/>
      <c r="WQE48" s="19"/>
      <c r="WQF48" s="19"/>
      <c r="WQG48" s="19"/>
      <c r="WQH48" s="19"/>
      <c r="WQI48" s="19"/>
      <c r="WQJ48" s="19"/>
      <c r="WQK48" s="19"/>
      <c r="WQL48" s="19"/>
      <c r="WQM48" s="19"/>
      <c r="WQN48" s="19"/>
      <c r="WQO48" s="19"/>
      <c r="WQP48" s="19"/>
      <c r="WQQ48" s="19"/>
      <c r="WQR48" s="19"/>
      <c r="WQS48" s="19"/>
      <c r="WQT48" s="19"/>
      <c r="WQU48" s="19"/>
      <c r="WQV48" s="19"/>
      <c r="WQW48" s="19"/>
      <c r="WQX48" s="19"/>
      <c r="WQY48" s="19"/>
      <c r="WQZ48" s="19"/>
      <c r="WRA48" s="19"/>
      <c r="WRB48" s="19"/>
      <c r="WRC48" s="19"/>
      <c r="WRD48" s="19"/>
      <c r="WRE48" s="19"/>
      <c r="WRF48" s="19"/>
      <c r="WRG48" s="19"/>
      <c r="WRH48" s="19"/>
      <c r="WRI48" s="19"/>
      <c r="WRJ48" s="19"/>
      <c r="WRK48" s="19"/>
      <c r="WRL48" s="19"/>
      <c r="WRM48" s="19"/>
      <c r="WRN48" s="19"/>
      <c r="WRO48" s="19"/>
      <c r="WRP48" s="19"/>
      <c r="WRQ48" s="19"/>
      <c r="WRR48" s="19"/>
      <c r="WRS48" s="19"/>
      <c r="WRT48" s="19"/>
      <c r="WRU48" s="19"/>
      <c r="WRV48" s="19"/>
      <c r="WRW48" s="19"/>
      <c r="WRX48" s="19"/>
      <c r="WRY48" s="19"/>
      <c r="WRZ48" s="19"/>
      <c r="WSA48" s="19"/>
      <c r="WSB48" s="19"/>
      <c r="WSC48" s="19"/>
      <c r="WSD48" s="19"/>
      <c r="WSE48" s="19"/>
      <c r="WSF48" s="19"/>
      <c r="WSG48" s="19"/>
      <c r="WSH48" s="19"/>
      <c r="WSI48" s="19"/>
      <c r="WSJ48" s="19"/>
      <c r="WSK48" s="19"/>
      <c r="WSL48" s="19"/>
      <c r="WSM48" s="19"/>
      <c r="WSN48" s="19"/>
      <c r="WSO48" s="19"/>
      <c r="WSP48" s="19"/>
      <c r="WSQ48" s="19"/>
      <c r="WSR48" s="19"/>
      <c r="WSS48" s="19"/>
      <c r="WST48" s="19"/>
      <c r="WSU48" s="19"/>
      <c r="WSV48" s="19"/>
      <c r="WSW48" s="19"/>
      <c r="WSX48" s="19"/>
      <c r="WSY48" s="19"/>
      <c r="WSZ48" s="19"/>
      <c r="WTA48" s="19"/>
      <c r="WTB48" s="19"/>
      <c r="WTC48" s="19"/>
      <c r="WTD48" s="19"/>
      <c r="WTE48" s="19"/>
      <c r="WTF48" s="19"/>
      <c r="WTG48" s="19"/>
      <c r="WTH48" s="19"/>
      <c r="WTI48" s="19"/>
      <c r="WTJ48" s="19"/>
      <c r="WTK48" s="19"/>
      <c r="WTL48" s="19"/>
      <c r="WTM48" s="19"/>
      <c r="WTN48" s="19"/>
      <c r="WTO48" s="19"/>
      <c r="WTP48" s="19"/>
      <c r="WTQ48" s="19"/>
      <c r="WTR48" s="19"/>
      <c r="WTS48" s="19"/>
      <c r="WTT48" s="19"/>
      <c r="WTU48" s="19"/>
      <c r="WTV48" s="19"/>
      <c r="WTW48" s="19"/>
      <c r="WTX48" s="19"/>
      <c r="WTY48" s="19"/>
      <c r="WTZ48" s="19"/>
      <c r="WUA48" s="19"/>
      <c r="WUB48" s="19"/>
      <c r="WUC48" s="19"/>
      <c r="WUD48" s="19"/>
      <c r="WUE48" s="19"/>
      <c r="WUF48" s="19"/>
      <c r="WUG48" s="19"/>
      <c r="WUH48" s="19"/>
      <c r="WUI48" s="19"/>
      <c r="WUJ48" s="19"/>
      <c r="WUK48" s="19"/>
      <c r="WUL48" s="19"/>
      <c r="WUM48" s="19"/>
      <c r="WUN48" s="19"/>
      <c r="WUO48" s="19"/>
      <c r="WUP48" s="19"/>
      <c r="WUQ48" s="19"/>
      <c r="WUR48" s="19"/>
      <c r="WUS48" s="19"/>
      <c r="WUT48" s="19"/>
      <c r="WUU48" s="19"/>
      <c r="WUV48" s="19"/>
      <c r="WUW48" s="19"/>
      <c r="WUX48" s="19"/>
      <c r="WUY48" s="19"/>
      <c r="WUZ48" s="19"/>
      <c r="WVA48" s="19"/>
      <c r="WVB48" s="19"/>
      <c r="WVC48" s="19"/>
      <c r="WVD48" s="19"/>
      <c r="WVE48" s="19"/>
      <c r="WVF48" s="19"/>
      <c r="WVG48" s="19"/>
      <c r="WVH48" s="19"/>
      <c r="WVI48" s="19"/>
      <c r="WVJ48" s="19"/>
      <c r="WVK48" s="19"/>
      <c r="WVL48" s="19"/>
      <c r="WVM48" s="19"/>
      <c r="WVN48" s="19"/>
      <c r="WVO48" s="19"/>
      <c r="WVP48" s="19"/>
      <c r="WVQ48" s="19"/>
      <c r="WVR48" s="19"/>
      <c r="WVS48" s="19"/>
      <c r="WVT48" s="19"/>
      <c r="WVU48" s="19"/>
      <c r="WVV48" s="19"/>
      <c r="WVW48" s="19"/>
      <c r="WVX48" s="19"/>
      <c r="WVY48" s="19"/>
      <c r="WVZ48" s="19"/>
      <c r="WWA48" s="19"/>
      <c r="WWB48" s="19"/>
      <c r="WWC48" s="19"/>
      <c r="WWD48" s="19"/>
      <c r="WWE48" s="19"/>
      <c r="WWF48" s="19"/>
      <c r="WWG48" s="19"/>
      <c r="WWH48" s="19"/>
      <c r="WWI48" s="19"/>
      <c r="WWJ48" s="19"/>
      <c r="WWK48" s="19"/>
      <c r="WWL48" s="19"/>
      <c r="WWM48" s="19"/>
      <c r="WWN48" s="19"/>
      <c r="WWO48" s="19"/>
      <c r="WWP48" s="19"/>
      <c r="WWQ48" s="19"/>
      <c r="WWR48" s="19"/>
      <c r="WWS48" s="19"/>
      <c r="WWT48" s="19"/>
      <c r="WWU48" s="19"/>
      <c r="WWV48" s="19"/>
      <c r="WWW48" s="19"/>
      <c r="WWX48" s="19"/>
      <c r="WWY48" s="19"/>
      <c r="WWZ48" s="19"/>
      <c r="WXA48" s="19"/>
      <c r="WXB48" s="19"/>
      <c r="WXC48" s="19"/>
      <c r="WXD48" s="19"/>
      <c r="WXE48" s="19"/>
      <c r="WXF48" s="19"/>
      <c r="WXG48" s="19"/>
      <c r="WXH48" s="19"/>
      <c r="WXI48" s="19"/>
      <c r="WXJ48" s="19"/>
      <c r="WXK48" s="19"/>
      <c r="WXL48" s="19"/>
      <c r="WXM48" s="19"/>
      <c r="WXN48" s="19"/>
      <c r="WXO48" s="19"/>
      <c r="WXP48" s="19"/>
      <c r="WXQ48" s="19"/>
      <c r="WXR48" s="19"/>
      <c r="WXS48" s="19"/>
      <c r="WXT48" s="19"/>
      <c r="WXU48" s="19"/>
      <c r="WXV48" s="19"/>
      <c r="WXW48" s="19"/>
      <c r="WXX48" s="19"/>
      <c r="WXY48" s="19"/>
      <c r="WXZ48" s="19"/>
      <c r="WYA48" s="19"/>
      <c r="WYB48" s="19"/>
      <c r="WYC48" s="19"/>
      <c r="WYD48" s="19"/>
      <c r="WYE48" s="19"/>
      <c r="WYF48" s="19"/>
      <c r="WYG48" s="19"/>
      <c r="WYH48" s="19"/>
      <c r="WYI48" s="19"/>
      <c r="WYJ48" s="19"/>
      <c r="WYK48" s="19"/>
      <c r="WYL48" s="19"/>
      <c r="WYM48" s="19"/>
      <c r="WYN48" s="19"/>
      <c r="WYO48" s="19"/>
      <c r="WYP48" s="19"/>
      <c r="WYQ48" s="19"/>
      <c r="WYR48" s="19"/>
      <c r="WYS48" s="19"/>
      <c r="WYT48" s="19"/>
      <c r="WYU48" s="19"/>
      <c r="WYV48" s="19"/>
      <c r="WYW48" s="19"/>
      <c r="WYX48" s="19"/>
      <c r="WYY48" s="19"/>
      <c r="WYZ48" s="19"/>
      <c r="WZA48" s="19"/>
      <c r="WZB48" s="19"/>
      <c r="WZC48" s="19"/>
      <c r="WZD48" s="19"/>
      <c r="WZE48" s="19"/>
      <c r="WZF48" s="19"/>
      <c r="WZG48" s="19"/>
      <c r="WZH48" s="19"/>
      <c r="WZI48" s="19"/>
      <c r="WZJ48" s="19"/>
      <c r="WZK48" s="19"/>
      <c r="WZL48" s="19"/>
      <c r="WZM48" s="19"/>
      <c r="WZN48" s="19"/>
      <c r="WZO48" s="19"/>
      <c r="WZP48" s="19"/>
      <c r="WZQ48" s="19"/>
      <c r="WZR48" s="19"/>
      <c r="WZS48" s="19"/>
      <c r="WZT48" s="19"/>
      <c r="WZU48" s="19"/>
      <c r="WZV48" s="19"/>
      <c r="WZW48" s="19"/>
      <c r="WZX48" s="19"/>
      <c r="WZY48" s="19"/>
      <c r="WZZ48" s="19"/>
      <c r="XAA48" s="19"/>
      <c r="XAB48" s="19"/>
      <c r="XAC48" s="19"/>
      <c r="XAD48" s="19"/>
      <c r="XAE48" s="19"/>
      <c r="XAF48" s="19"/>
      <c r="XAG48" s="19"/>
      <c r="XAH48" s="19"/>
      <c r="XAI48" s="19"/>
      <c r="XAJ48" s="19"/>
      <c r="XAK48" s="19"/>
      <c r="XAL48" s="19"/>
      <c r="XAM48" s="19"/>
      <c r="XAN48" s="19"/>
      <c r="XAO48" s="19"/>
      <c r="XAP48" s="19"/>
      <c r="XAQ48" s="19"/>
      <c r="XAR48" s="19"/>
      <c r="XAS48" s="19"/>
      <c r="XAT48" s="19"/>
      <c r="XAU48" s="19"/>
      <c r="XAV48" s="19"/>
      <c r="XAW48" s="19"/>
      <c r="XAX48" s="19"/>
      <c r="XAY48" s="19"/>
      <c r="XAZ48" s="19"/>
      <c r="XBA48" s="19"/>
      <c r="XBB48" s="19"/>
      <c r="XBC48" s="19"/>
      <c r="XBD48" s="19"/>
      <c r="XBE48" s="19"/>
      <c r="XBF48" s="19"/>
      <c r="XBG48" s="19"/>
      <c r="XBH48" s="19"/>
      <c r="XBI48" s="19"/>
      <c r="XBJ48" s="19"/>
      <c r="XBK48" s="19"/>
      <c r="XBL48" s="19"/>
      <c r="XBM48" s="19"/>
      <c r="XBN48" s="19"/>
      <c r="XBO48" s="19"/>
      <c r="XBP48" s="19"/>
      <c r="XBQ48" s="19"/>
      <c r="XBR48" s="19"/>
      <c r="XBS48" s="19"/>
      <c r="XBT48" s="19"/>
      <c r="XBU48" s="19"/>
      <c r="XBV48" s="19"/>
      <c r="XBW48" s="19"/>
      <c r="XBX48" s="19"/>
      <c r="XBY48" s="19"/>
      <c r="XBZ48" s="19"/>
      <c r="XCA48" s="19"/>
      <c r="XCB48" s="19"/>
      <c r="XCC48" s="19"/>
      <c r="XCD48" s="19"/>
      <c r="XCE48" s="19"/>
      <c r="XCF48" s="19"/>
      <c r="XCG48" s="19"/>
      <c r="XCH48" s="19"/>
      <c r="XCI48" s="19"/>
      <c r="XCJ48" s="19"/>
      <c r="XCK48" s="19"/>
      <c r="XCL48" s="19"/>
      <c r="XCM48" s="19"/>
      <c r="XCN48" s="19"/>
      <c r="XCO48" s="19"/>
      <c r="XCP48" s="19"/>
      <c r="XCQ48" s="19"/>
      <c r="XCR48" s="19"/>
      <c r="XCS48" s="19"/>
      <c r="XCT48" s="19"/>
      <c r="XCU48" s="19"/>
      <c r="XCV48" s="19"/>
      <c r="XCW48" s="19"/>
      <c r="XCX48" s="19"/>
      <c r="XCY48" s="19"/>
      <c r="XCZ48" s="19"/>
      <c r="XDA48" s="19"/>
      <c r="XDB48" s="19"/>
      <c r="XDC48" s="19"/>
      <c r="XDD48" s="19"/>
      <c r="XDE48" s="19"/>
      <c r="XDF48" s="19"/>
      <c r="XDG48" s="19"/>
      <c r="XDH48" s="19"/>
      <c r="XDI48" s="19"/>
      <c r="XDJ48" s="19"/>
      <c r="XDK48" s="19"/>
      <c r="XDL48" s="19"/>
      <c r="XDM48" s="19"/>
      <c r="XDN48" s="19"/>
      <c r="XDO48" s="19"/>
      <c r="XDP48" s="19"/>
      <c r="XDQ48" s="19"/>
      <c r="XDR48" s="19"/>
      <c r="XDS48" s="19"/>
      <c r="XDT48" s="19"/>
      <c r="XDU48" s="19"/>
      <c r="XDV48" s="19"/>
      <c r="XDW48" s="19"/>
      <c r="XDX48" s="19"/>
      <c r="XDY48" s="19"/>
      <c r="XDZ48" s="19"/>
      <c r="XEA48" s="19"/>
      <c r="XEB48" s="19"/>
      <c r="XEC48" s="19"/>
      <c r="XED48" s="19"/>
      <c r="XEE48" s="19"/>
      <c r="XEF48" s="19"/>
      <c r="XEG48" s="19"/>
      <c r="XEH48" s="19"/>
      <c r="XEI48" s="19"/>
      <c r="XEJ48" s="19"/>
      <c r="XEK48" s="19"/>
      <c r="XEL48" s="19"/>
      <c r="XEM48" s="19"/>
      <c r="XEN48" s="19"/>
      <c r="XEO48" s="19"/>
      <c r="XEP48" s="19"/>
      <c r="XEQ48" s="19"/>
      <c r="XER48" s="19"/>
      <c r="XES48" s="19"/>
      <c r="XET48" s="19"/>
      <c r="XEU48" s="19"/>
      <c r="XEV48" s="19"/>
      <c r="XEW48" s="19"/>
      <c r="XEX48" s="19"/>
      <c r="XEY48" s="19"/>
      <c r="XEZ48" s="19"/>
      <c r="XFA48" s="19"/>
      <c r="XFB48" s="19"/>
    </row>
    <row r="49" spans="2:16382" s="18" customFormat="1" ht="15" customHeight="1" x14ac:dyDescent="0.25"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  <c r="BZ49" s="19"/>
      <c r="CA49" s="19"/>
      <c r="CB49" s="19"/>
      <c r="CC49" s="19"/>
      <c r="CD49" s="19"/>
      <c r="CE49" s="19"/>
      <c r="CF49" s="19"/>
      <c r="CG49" s="19"/>
      <c r="CH49" s="19"/>
      <c r="CI49" s="19"/>
      <c r="CJ49" s="19"/>
      <c r="CK49" s="19"/>
      <c r="CL49" s="19"/>
      <c r="CM49" s="19"/>
      <c r="CN49" s="19"/>
      <c r="CO49" s="19"/>
      <c r="CP49" s="19"/>
      <c r="CQ49" s="19"/>
      <c r="CR49" s="19"/>
      <c r="CS49" s="19"/>
      <c r="CT49" s="19"/>
      <c r="CU49" s="19"/>
      <c r="CV49" s="19"/>
      <c r="CW49" s="19"/>
      <c r="CX49" s="19"/>
      <c r="CY49" s="19"/>
      <c r="CZ49" s="19"/>
      <c r="DA49" s="19"/>
      <c r="DB49" s="19"/>
      <c r="DC49" s="19"/>
      <c r="DD49" s="19"/>
      <c r="DE49" s="19"/>
      <c r="DF49" s="19"/>
      <c r="DG49" s="19"/>
      <c r="DH49" s="19"/>
      <c r="DI49" s="19"/>
      <c r="DJ49" s="19"/>
      <c r="DK49" s="19"/>
      <c r="DL49" s="19"/>
      <c r="DM49" s="19"/>
      <c r="DN49" s="19"/>
      <c r="DO49" s="19"/>
      <c r="DP49" s="19"/>
      <c r="DQ49" s="19"/>
      <c r="DR49" s="19"/>
      <c r="DS49" s="19"/>
      <c r="DT49" s="19"/>
      <c r="DU49" s="19"/>
      <c r="DV49" s="19"/>
      <c r="DW49" s="19"/>
      <c r="DX49" s="19"/>
      <c r="DY49" s="19"/>
      <c r="DZ49" s="19"/>
      <c r="EA49" s="19"/>
      <c r="EB49" s="19"/>
      <c r="EC49" s="19"/>
      <c r="ED49" s="19"/>
      <c r="EE49" s="19"/>
      <c r="EF49" s="19"/>
      <c r="EG49" s="19"/>
      <c r="EH49" s="19"/>
      <c r="EI49" s="19"/>
      <c r="EJ49" s="19"/>
      <c r="EK49" s="19"/>
      <c r="EL49" s="19"/>
      <c r="EM49" s="19"/>
      <c r="EN49" s="19"/>
      <c r="EO49" s="19"/>
      <c r="EP49" s="19"/>
      <c r="EQ49" s="19"/>
      <c r="ER49" s="19"/>
      <c r="ES49" s="19"/>
      <c r="ET49" s="19"/>
      <c r="EU49" s="19"/>
      <c r="EV49" s="19"/>
      <c r="EW49" s="19"/>
      <c r="EX49" s="19"/>
      <c r="EY49" s="19"/>
      <c r="EZ49" s="19"/>
      <c r="FA49" s="19"/>
      <c r="FB49" s="19"/>
      <c r="FC49" s="19"/>
      <c r="FD49" s="19"/>
      <c r="FE49" s="19"/>
      <c r="FF49" s="19"/>
      <c r="FG49" s="19"/>
      <c r="FH49" s="19"/>
      <c r="FI49" s="19"/>
      <c r="FJ49" s="19"/>
      <c r="FK49" s="19"/>
      <c r="FL49" s="19"/>
      <c r="FM49" s="19"/>
      <c r="FN49" s="19"/>
      <c r="FO49" s="19"/>
      <c r="FP49" s="19"/>
      <c r="FQ49" s="19"/>
      <c r="FR49" s="19"/>
      <c r="FS49" s="19"/>
      <c r="FT49" s="19"/>
      <c r="FU49" s="19"/>
      <c r="FV49" s="19"/>
      <c r="FW49" s="19"/>
      <c r="FX49" s="19"/>
      <c r="FY49" s="19"/>
      <c r="FZ49" s="19"/>
      <c r="GA49" s="19"/>
      <c r="GB49" s="19"/>
      <c r="GC49" s="19"/>
      <c r="GD49" s="19"/>
      <c r="GE49" s="19"/>
      <c r="GF49" s="19"/>
      <c r="GG49" s="19"/>
      <c r="GH49" s="19"/>
      <c r="GI49" s="19"/>
      <c r="GJ49" s="19"/>
      <c r="GK49" s="19"/>
      <c r="GL49" s="19"/>
      <c r="GM49" s="19"/>
      <c r="GN49" s="19"/>
      <c r="GO49" s="19"/>
      <c r="GP49" s="19"/>
      <c r="GQ49" s="19"/>
      <c r="GR49" s="19"/>
      <c r="GS49" s="19"/>
      <c r="GT49" s="19"/>
      <c r="GU49" s="19"/>
      <c r="GV49" s="19"/>
      <c r="GW49" s="19"/>
      <c r="GX49" s="19"/>
      <c r="GY49" s="19"/>
      <c r="GZ49" s="19"/>
      <c r="HA49" s="19"/>
      <c r="HB49" s="19"/>
      <c r="HC49" s="19"/>
      <c r="HD49" s="19"/>
      <c r="HE49" s="19"/>
      <c r="HF49" s="19"/>
      <c r="HG49" s="19"/>
      <c r="HH49" s="19"/>
      <c r="HI49" s="19"/>
      <c r="HJ49" s="19"/>
      <c r="HK49" s="19"/>
      <c r="HL49" s="19"/>
      <c r="HM49" s="19"/>
      <c r="HN49" s="19"/>
      <c r="HO49" s="19"/>
      <c r="HP49" s="19"/>
      <c r="HQ49" s="19"/>
      <c r="HR49" s="19"/>
      <c r="HS49" s="19"/>
      <c r="HT49" s="19"/>
      <c r="HU49" s="19"/>
      <c r="HV49" s="19"/>
      <c r="HW49" s="19"/>
      <c r="HX49" s="19"/>
      <c r="HY49" s="19"/>
      <c r="HZ49" s="19"/>
      <c r="IA49" s="19"/>
      <c r="IB49" s="19"/>
      <c r="IC49" s="19"/>
      <c r="ID49" s="19"/>
      <c r="IE49" s="19"/>
      <c r="IF49" s="19"/>
      <c r="IG49" s="19"/>
      <c r="IH49" s="19"/>
      <c r="II49" s="19"/>
      <c r="IJ49" s="19"/>
      <c r="IK49" s="19"/>
      <c r="IL49" s="19"/>
      <c r="IM49" s="19"/>
      <c r="IN49" s="19"/>
      <c r="IO49" s="19"/>
      <c r="IP49" s="19"/>
      <c r="IQ49" s="19"/>
      <c r="IR49" s="19"/>
      <c r="IS49" s="19"/>
      <c r="IT49" s="19"/>
      <c r="IU49" s="19"/>
      <c r="IV49" s="19"/>
      <c r="IW49" s="19"/>
      <c r="IX49" s="19"/>
      <c r="IY49" s="19"/>
      <c r="IZ49" s="19"/>
      <c r="JA49" s="19"/>
      <c r="JB49" s="19"/>
      <c r="JC49" s="19"/>
      <c r="JD49" s="19"/>
      <c r="JE49" s="19"/>
      <c r="JF49" s="19"/>
      <c r="JG49" s="19"/>
      <c r="JH49" s="19"/>
      <c r="JI49" s="19"/>
      <c r="JJ49" s="19"/>
      <c r="JK49" s="19"/>
      <c r="JL49" s="19"/>
      <c r="JM49" s="19"/>
      <c r="JN49" s="19"/>
      <c r="JO49" s="19"/>
      <c r="JP49" s="19"/>
      <c r="JQ49" s="19"/>
      <c r="JR49" s="19"/>
      <c r="JS49" s="19"/>
      <c r="JT49" s="19"/>
      <c r="JU49" s="19"/>
      <c r="JV49" s="19"/>
      <c r="JW49" s="19"/>
      <c r="JX49" s="19"/>
      <c r="JY49" s="19"/>
      <c r="JZ49" s="19"/>
      <c r="KA49" s="19"/>
      <c r="KB49" s="19"/>
      <c r="KC49" s="19"/>
      <c r="KD49" s="19"/>
      <c r="KE49" s="19"/>
      <c r="KF49" s="19"/>
      <c r="KG49" s="19"/>
      <c r="KH49" s="19"/>
      <c r="KI49" s="19"/>
      <c r="KJ49" s="19"/>
      <c r="KK49" s="19"/>
      <c r="KL49" s="19"/>
      <c r="KM49" s="19"/>
      <c r="KN49" s="19"/>
      <c r="KO49" s="19"/>
      <c r="KP49" s="19"/>
      <c r="KQ49" s="19"/>
      <c r="KR49" s="19"/>
      <c r="KS49" s="19"/>
      <c r="KT49" s="19"/>
      <c r="KU49" s="19"/>
      <c r="KV49" s="19"/>
      <c r="KW49" s="19"/>
      <c r="KX49" s="19"/>
      <c r="KY49" s="19"/>
      <c r="KZ49" s="19"/>
      <c r="LA49" s="19"/>
      <c r="LB49" s="19"/>
      <c r="LC49" s="19"/>
      <c r="LD49" s="19"/>
      <c r="LE49" s="19"/>
      <c r="LF49" s="19"/>
      <c r="LG49" s="19"/>
      <c r="LH49" s="19"/>
      <c r="LI49" s="19"/>
      <c r="LJ49" s="19"/>
      <c r="LK49" s="19"/>
      <c r="LL49" s="19"/>
      <c r="LM49" s="19"/>
      <c r="LN49" s="19"/>
      <c r="LO49" s="19"/>
      <c r="LP49" s="19"/>
      <c r="LQ49" s="19"/>
      <c r="LR49" s="19"/>
      <c r="LS49" s="19"/>
      <c r="LT49" s="19"/>
      <c r="LU49" s="19"/>
      <c r="LV49" s="19"/>
      <c r="LW49" s="19"/>
      <c r="LX49" s="19"/>
      <c r="LY49" s="19"/>
      <c r="LZ49" s="19"/>
      <c r="MA49" s="19"/>
      <c r="MB49" s="19"/>
      <c r="MC49" s="19"/>
      <c r="MD49" s="19"/>
      <c r="ME49" s="19"/>
      <c r="MF49" s="19"/>
      <c r="MG49" s="19"/>
      <c r="MH49" s="19"/>
      <c r="MI49" s="19"/>
      <c r="MJ49" s="19"/>
      <c r="MK49" s="19"/>
      <c r="ML49" s="19"/>
      <c r="MM49" s="19"/>
      <c r="MN49" s="19"/>
      <c r="MO49" s="19"/>
      <c r="MP49" s="19"/>
      <c r="MQ49" s="19"/>
      <c r="MR49" s="19"/>
      <c r="MS49" s="19"/>
      <c r="MT49" s="19"/>
      <c r="MU49" s="19"/>
      <c r="MV49" s="19"/>
      <c r="MW49" s="19"/>
      <c r="MX49" s="19"/>
      <c r="MY49" s="19"/>
      <c r="MZ49" s="19"/>
      <c r="NA49" s="19"/>
      <c r="NB49" s="19"/>
      <c r="NC49" s="19"/>
      <c r="ND49" s="19"/>
      <c r="NE49" s="19"/>
      <c r="NF49" s="19"/>
      <c r="NG49" s="19"/>
      <c r="NH49" s="19"/>
      <c r="NI49" s="19"/>
      <c r="NJ49" s="19"/>
      <c r="NK49" s="19"/>
      <c r="NL49" s="19"/>
      <c r="NM49" s="19"/>
      <c r="NN49" s="19"/>
      <c r="NO49" s="19"/>
      <c r="NP49" s="19"/>
      <c r="NQ49" s="19"/>
      <c r="NR49" s="19"/>
      <c r="NS49" s="19"/>
      <c r="NT49" s="19"/>
      <c r="NU49" s="19"/>
      <c r="NV49" s="19"/>
      <c r="NW49" s="19"/>
      <c r="NX49" s="19"/>
      <c r="NY49" s="19"/>
      <c r="NZ49" s="19"/>
      <c r="OA49" s="19"/>
      <c r="OB49" s="19"/>
      <c r="OC49" s="19"/>
      <c r="OD49" s="19"/>
      <c r="OE49" s="19"/>
      <c r="OF49" s="19"/>
      <c r="OG49" s="19"/>
      <c r="OH49" s="19"/>
      <c r="OI49" s="19"/>
      <c r="OJ49" s="19"/>
      <c r="OK49" s="19"/>
      <c r="OL49" s="19"/>
      <c r="OM49" s="19"/>
      <c r="ON49" s="19"/>
      <c r="OO49" s="19"/>
      <c r="OP49" s="19"/>
      <c r="OQ49" s="19"/>
      <c r="OR49" s="19"/>
      <c r="OS49" s="19"/>
      <c r="OT49" s="19"/>
      <c r="OU49" s="19"/>
      <c r="OV49" s="19"/>
      <c r="OW49" s="19"/>
      <c r="OX49" s="19"/>
      <c r="OY49" s="19"/>
      <c r="OZ49" s="19"/>
      <c r="PA49" s="19"/>
      <c r="PB49" s="19"/>
      <c r="PC49" s="19"/>
      <c r="PD49" s="19"/>
      <c r="PE49" s="19"/>
      <c r="PF49" s="19"/>
      <c r="PG49" s="19"/>
      <c r="PH49" s="19"/>
      <c r="PI49" s="19"/>
      <c r="PJ49" s="19"/>
      <c r="PK49" s="19"/>
      <c r="PL49" s="19"/>
      <c r="PM49" s="19"/>
      <c r="PN49" s="19"/>
      <c r="PO49" s="19"/>
      <c r="PP49" s="19"/>
      <c r="PQ49" s="19"/>
      <c r="PR49" s="19"/>
      <c r="PS49" s="19"/>
      <c r="PT49" s="19"/>
      <c r="PU49" s="19"/>
      <c r="PV49" s="19"/>
      <c r="PW49" s="19"/>
      <c r="PX49" s="19"/>
      <c r="PY49" s="19"/>
      <c r="PZ49" s="19"/>
      <c r="QA49" s="19"/>
      <c r="QB49" s="19"/>
      <c r="QC49" s="19"/>
      <c r="QD49" s="19"/>
      <c r="QE49" s="19"/>
      <c r="QF49" s="19"/>
      <c r="QG49" s="19"/>
      <c r="QH49" s="19"/>
      <c r="QI49" s="19"/>
      <c r="QJ49" s="19"/>
      <c r="QK49" s="19"/>
      <c r="QL49" s="19"/>
      <c r="QM49" s="19"/>
      <c r="QN49" s="19"/>
      <c r="QO49" s="19"/>
      <c r="QP49" s="19"/>
      <c r="QQ49" s="19"/>
      <c r="QR49" s="19"/>
      <c r="QS49" s="19"/>
      <c r="QT49" s="19"/>
      <c r="QU49" s="19"/>
      <c r="QV49" s="19"/>
      <c r="QW49" s="19"/>
      <c r="QX49" s="19"/>
      <c r="QY49" s="19"/>
      <c r="QZ49" s="19"/>
      <c r="RA49" s="19"/>
      <c r="RB49" s="19"/>
      <c r="RC49" s="19"/>
      <c r="RD49" s="19"/>
      <c r="RE49" s="19"/>
      <c r="RF49" s="19"/>
      <c r="RG49" s="19"/>
      <c r="RH49" s="19"/>
      <c r="RI49" s="19"/>
      <c r="RJ49" s="19"/>
      <c r="RK49" s="19"/>
      <c r="RL49" s="19"/>
      <c r="RM49" s="19"/>
      <c r="RN49" s="19"/>
      <c r="RO49" s="19"/>
      <c r="RP49" s="19"/>
      <c r="RQ49" s="19"/>
      <c r="RR49" s="19"/>
      <c r="RS49" s="19"/>
      <c r="RT49" s="19"/>
      <c r="RU49" s="19"/>
      <c r="RV49" s="19"/>
      <c r="RW49" s="19"/>
      <c r="RX49" s="19"/>
      <c r="RY49" s="19"/>
      <c r="RZ49" s="19"/>
      <c r="SA49" s="19"/>
      <c r="SB49" s="19"/>
      <c r="SC49" s="19"/>
      <c r="SD49" s="19"/>
      <c r="SE49" s="19"/>
      <c r="SF49" s="19"/>
      <c r="SG49" s="19"/>
      <c r="SH49" s="19"/>
      <c r="SI49" s="19"/>
      <c r="SJ49" s="19"/>
      <c r="SK49" s="19"/>
      <c r="SL49" s="19"/>
      <c r="SM49" s="19"/>
      <c r="SN49" s="19"/>
      <c r="SO49" s="19"/>
      <c r="SP49" s="19"/>
      <c r="SQ49" s="19"/>
      <c r="SR49" s="19"/>
      <c r="SS49" s="19"/>
      <c r="ST49" s="19"/>
      <c r="SU49" s="19"/>
      <c r="SV49" s="19"/>
      <c r="SW49" s="19"/>
      <c r="SX49" s="19"/>
      <c r="SY49" s="19"/>
      <c r="SZ49" s="19"/>
      <c r="TA49" s="19"/>
      <c r="TB49" s="19"/>
      <c r="TC49" s="19"/>
      <c r="TD49" s="19"/>
      <c r="TE49" s="19"/>
      <c r="TF49" s="19"/>
      <c r="TG49" s="19"/>
      <c r="TH49" s="19"/>
      <c r="TI49" s="19"/>
      <c r="TJ49" s="19"/>
      <c r="TK49" s="19"/>
      <c r="TL49" s="19"/>
      <c r="TM49" s="19"/>
      <c r="TN49" s="19"/>
      <c r="TO49" s="19"/>
      <c r="TP49" s="19"/>
      <c r="TQ49" s="19"/>
      <c r="TR49" s="19"/>
      <c r="TS49" s="19"/>
      <c r="TT49" s="19"/>
      <c r="TU49" s="19"/>
      <c r="TV49" s="19"/>
      <c r="TW49" s="19"/>
      <c r="TX49" s="19"/>
      <c r="TY49" s="19"/>
      <c r="TZ49" s="19"/>
      <c r="UA49" s="19"/>
      <c r="UB49" s="19"/>
      <c r="UC49" s="19"/>
      <c r="UD49" s="19"/>
      <c r="UE49" s="19"/>
      <c r="UF49" s="19"/>
      <c r="UG49" s="19"/>
      <c r="UH49" s="19"/>
      <c r="UI49" s="19"/>
      <c r="UJ49" s="19"/>
      <c r="UK49" s="19"/>
      <c r="UL49" s="19"/>
      <c r="UM49" s="19"/>
      <c r="UN49" s="19"/>
      <c r="UO49" s="19"/>
      <c r="UP49" s="19"/>
      <c r="UQ49" s="19"/>
      <c r="UR49" s="19"/>
      <c r="US49" s="19"/>
      <c r="UT49" s="19"/>
      <c r="UU49" s="19"/>
      <c r="UV49" s="19"/>
      <c r="UW49" s="19"/>
      <c r="UX49" s="19"/>
      <c r="UY49" s="19"/>
      <c r="UZ49" s="19"/>
      <c r="VA49" s="19"/>
      <c r="VB49" s="19"/>
      <c r="VC49" s="19"/>
      <c r="VD49" s="19"/>
      <c r="VE49" s="19"/>
      <c r="VF49" s="19"/>
      <c r="VG49" s="19"/>
      <c r="VH49" s="19"/>
      <c r="VI49" s="19"/>
      <c r="VJ49" s="19"/>
      <c r="VK49" s="19"/>
      <c r="VL49" s="19"/>
      <c r="VM49" s="19"/>
      <c r="VN49" s="19"/>
      <c r="VO49" s="19"/>
      <c r="VP49" s="19"/>
      <c r="VQ49" s="19"/>
      <c r="VR49" s="19"/>
      <c r="VS49" s="19"/>
      <c r="VT49" s="19"/>
      <c r="VU49" s="19"/>
      <c r="VV49" s="19"/>
      <c r="VW49" s="19"/>
      <c r="VX49" s="19"/>
      <c r="VY49" s="19"/>
      <c r="VZ49" s="19"/>
      <c r="WA49" s="19"/>
      <c r="WB49" s="19"/>
      <c r="WC49" s="19"/>
      <c r="WD49" s="19"/>
      <c r="WE49" s="19"/>
      <c r="WF49" s="19"/>
      <c r="WG49" s="19"/>
      <c r="WH49" s="19"/>
      <c r="WI49" s="19"/>
      <c r="WJ49" s="19"/>
      <c r="WK49" s="19"/>
      <c r="WL49" s="19"/>
      <c r="WM49" s="19"/>
      <c r="WN49" s="19"/>
      <c r="WO49" s="19"/>
      <c r="WP49" s="19"/>
      <c r="WQ49" s="19"/>
      <c r="WR49" s="19"/>
      <c r="WS49" s="19"/>
      <c r="WT49" s="19"/>
      <c r="WU49" s="19"/>
      <c r="WV49" s="19"/>
      <c r="WW49" s="19"/>
      <c r="WX49" s="19"/>
      <c r="WY49" s="19"/>
      <c r="WZ49" s="19"/>
      <c r="XA49" s="19"/>
      <c r="XB49" s="19"/>
      <c r="XC49" s="19"/>
      <c r="XD49" s="19"/>
      <c r="XE49" s="19"/>
      <c r="XF49" s="19"/>
      <c r="XG49" s="19"/>
      <c r="XH49" s="19"/>
      <c r="XI49" s="19"/>
      <c r="XJ49" s="19"/>
      <c r="XK49" s="19"/>
      <c r="XL49" s="19"/>
      <c r="XM49" s="19"/>
      <c r="XN49" s="19"/>
      <c r="XO49" s="19"/>
      <c r="XP49" s="19"/>
      <c r="XQ49" s="19"/>
      <c r="XR49" s="19"/>
      <c r="XS49" s="19"/>
      <c r="XT49" s="19"/>
      <c r="XU49" s="19"/>
      <c r="XV49" s="19"/>
      <c r="XW49" s="19"/>
      <c r="XX49" s="19"/>
      <c r="XY49" s="19"/>
      <c r="XZ49" s="19"/>
      <c r="YA49" s="19"/>
      <c r="YB49" s="19"/>
      <c r="YC49" s="19"/>
      <c r="YD49" s="19"/>
      <c r="YE49" s="19"/>
      <c r="YF49" s="19"/>
      <c r="YG49" s="19"/>
      <c r="YH49" s="19"/>
      <c r="YI49" s="19"/>
      <c r="YJ49" s="19"/>
      <c r="YK49" s="19"/>
      <c r="YL49" s="19"/>
      <c r="YM49" s="19"/>
      <c r="YN49" s="19"/>
      <c r="YO49" s="19"/>
      <c r="YP49" s="19"/>
      <c r="YQ49" s="19"/>
      <c r="YR49" s="19"/>
      <c r="YS49" s="19"/>
      <c r="YT49" s="19"/>
      <c r="YU49" s="19"/>
      <c r="YV49" s="19"/>
      <c r="YW49" s="19"/>
      <c r="YX49" s="19"/>
      <c r="YY49" s="19"/>
      <c r="YZ49" s="19"/>
      <c r="ZA49" s="19"/>
      <c r="ZB49" s="19"/>
      <c r="ZC49" s="19"/>
      <c r="ZD49" s="19"/>
      <c r="ZE49" s="19"/>
      <c r="ZF49" s="19"/>
      <c r="ZG49" s="19"/>
      <c r="ZH49" s="19"/>
      <c r="ZI49" s="19"/>
      <c r="ZJ49" s="19"/>
      <c r="ZK49" s="19"/>
      <c r="ZL49" s="19"/>
      <c r="ZM49" s="19"/>
      <c r="ZN49" s="19"/>
      <c r="ZO49" s="19"/>
      <c r="ZP49" s="19"/>
      <c r="ZQ49" s="19"/>
      <c r="ZR49" s="19"/>
      <c r="ZS49" s="19"/>
      <c r="ZT49" s="19"/>
      <c r="ZU49" s="19"/>
      <c r="ZV49" s="19"/>
      <c r="ZW49" s="19"/>
      <c r="ZX49" s="19"/>
      <c r="ZY49" s="19"/>
      <c r="ZZ49" s="19"/>
      <c r="AAA49" s="19"/>
      <c r="AAB49" s="19"/>
      <c r="AAC49" s="19"/>
      <c r="AAD49" s="19"/>
      <c r="AAE49" s="19"/>
      <c r="AAF49" s="19"/>
      <c r="AAG49" s="19"/>
      <c r="AAH49" s="19"/>
      <c r="AAI49" s="19"/>
      <c r="AAJ49" s="19"/>
      <c r="AAK49" s="19"/>
      <c r="AAL49" s="19"/>
      <c r="AAM49" s="19"/>
      <c r="AAN49" s="19"/>
      <c r="AAO49" s="19"/>
      <c r="AAP49" s="19"/>
      <c r="AAQ49" s="19"/>
      <c r="AAR49" s="19"/>
      <c r="AAS49" s="19"/>
      <c r="AAT49" s="19"/>
      <c r="AAU49" s="19"/>
      <c r="AAV49" s="19"/>
      <c r="AAW49" s="19"/>
      <c r="AAX49" s="19"/>
      <c r="AAY49" s="19"/>
      <c r="AAZ49" s="19"/>
      <c r="ABA49" s="19"/>
      <c r="ABB49" s="19"/>
      <c r="ABC49" s="19"/>
      <c r="ABD49" s="19"/>
      <c r="ABE49" s="19"/>
      <c r="ABF49" s="19"/>
      <c r="ABG49" s="19"/>
      <c r="ABH49" s="19"/>
      <c r="ABI49" s="19"/>
      <c r="ABJ49" s="19"/>
      <c r="ABK49" s="19"/>
      <c r="ABL49" s="19"/>
      <c r="ABM49" s="19"/>
      <c r="ABN49" s="19"/>
      <c r="ABO49" s="19"/>
      <c r="ABP49" s="19"/>
      <c r="ABQ49" s="19"/>
      <c r="ABR49" s="19"/>
      <c r="ABS49" s="19"/>
      <c r="ABT49" s="19"/>
      <c r="ABU49" s="19"/>
      <c r="ABV49" s="19"/>
      <c r="ABW49" s="19"/>
      <c r="ABX49" s="19"/>
      <c r="ABY49" s="19"/>
      <c r="ABZ49" s="19"/>
      <c r="ACA49" s="19"/>
      <c r="ACB49" s="19"/>
      <c r="ACC49" s="19"/>
      <c r="ACD49" s="19"/>
      <c r="ACE49" s="19"/>
      <c r="ACF49" s="19"/>
      <c r="ACG49" s="19"/>
      <c r="ACH49" s="19"/>
      <c r="ACI49" s="19"/>
      <c r="ACJ49" s="19"/>
      <c r="ACK49" s="19"/>
      <c r="ACL49" s="19"/>
      <c r="ACM49" s="19"/>
      <c r="ACN49" s="19"/>
      <c r="ACO49" s="19"/>
      <c r="ACP49" s="19"/>
      <c r="ACQ49" s="19"/>
      <c r="ACR49" s="19"/>
      <c r="ACS49" s="19"/>
      <c r="ACT49" s="19"/>
      <c r="ACU49" s="19"/>
      <c r="ACV49" s="19"/>
      <c r="ACW49" s="19"/>
      <c r="ACX49" s="19"/>
      <c r="ACY49" s="19"/>
      <c r="ACZ49" s="19"/>
      <c r="ADA49" s="19"/>
      <c r="ADB49" s="19"/>
      <c r="ADC49" s="19"/>
      <c r="ADD49" s="19"/>
      <c r="ADE49" s="19"/>
      <c r="ADF49" s="19"/>
      <c r="ADG49" s="19"/>
      <c r="ADH49" s="19"/>
      <c r="ADI49" s="19"/>
      <c r="ADJ49" s="19"/>
      <c r="ADK49" s="19"/>
      <c r="ADL49" s="19"/>
      <c r="ADM49" s="19"/>
      <c r="ADN49" s="19"/>
      <c r="ADO49" s="19"/>
      <c r="ADP49" s="19"/>
      <c r="ADQ49" s="19"/>
      <c r="ADR49" s="19"/>
      <c r="ADS49" s="19"/>
      <c r="ADT49" s="19"/>
      <c r="ADU49" s="19"/>
      <c r="ADV49" s="19"/>
      <c r="ADW49" s="19"/>
      <c r="ADX49" s="19"/>
      <c r="ADY49" s="19"/>
      <c r="ADZ49" s="19"/>
      <c r="AEA49" s="19"/>
      <c r="AEB49" s="19"/>
      <c r="AEC49" s="19"/>
      <c r="AED49" s="19"/>
      <c r="AEE49" s="19"/>
      <c r="AEF49" s="19"/>
      <c r="AEG49" s="19"/>
      <c r="AEH49" s="19"/>
      <c r="AEI49" s="19"/>
      <c r="AEJ49" s="19"/>
      <c r="AEK49" s="19"/>
      <c r="AEL49" s="19"/>
      <c r="AEM49" s="19"/>
      <c r="AEN49" s="19"/>
      <c r="AEO49" s="19"/>
      <c r="AEP49" s="19"/>
      <c r="AEQ49" s="19"/>
      <c r="AER49" s="19"/>
      <c r="AES49" s="19"/>
      <c r="AET49" s="19"/>
      <c r="AEU49" s="19"/>
      <c r="AEV49" s="19"/>
      <c r="AEW49" s="19"/>
      <c r="AEX49" s="19"/>
      <c r="AEY49" s="19"/>
      <c r="AEZ49" s="19"/>
      <c r="AFA49" s="19"/>
      <c r="AFB49" s="19"/>
      <c r="AFC49" s="19"/>
      <c r="AFD49" s="19"/>
      <c r="AFE49" s="19"/>
      <c r="AFF49" s="19"/>
      <c r="AFG49" s="19"/>
      <c r="AFH49" s="19"/>
      <c r="AFI49" s="19"/>
      <c r="AFJ49" s="19"/>
      <c r="AFK49" s="19"/>
      <c r="AFL49" s="19"/>
      <c r="AFM49" s="19"/>
      <c r="AFN49" s="19"/>
      <c r="AFO49" s="19"/>
      <c r="AFP49" s="19"/>
      <c r="AFQ49" s="19"/>
      <c r="AFR49" s="19"/>
      <c r="AFS49" s="19"/>
      <c r="AFT49" s="19"/>
      <c r="AFU49" s="19"/>
      <c r="AFV49" s="19"/>
      <c r="AFW49" s="19"/>
      <c r="AFX49" s="19"/>
      <c r="AFY49" s="19"/>
      <c r="AFZ49" s="19"/>
      <c r="AGA49" s="19"/>
      <c r="AGB49" s="19"/>
      <c r="AGC49" s="19"/>
      <c r="AGD49" s="19"/>
      <c r="AGE49" s="19"/>
      <c r="AGF49" s="19"/>
      <c r="AGG49" s="19"/>
      <c r="AGH49" s="19"/>
      <c r="AGI49" s="19"/>
      <c r="AGJ49" s="19"/>
      <c r="AGK49" s="19"/>
      <c r="AGL49" s="19"/>
      <c r="AGM49" s="19"/>
      <c r="AGN49" s="19"/>
      <c r="AGO49" s="19"/>
      <c r="AGP49" s="19"/>
      <c r="AGQ49" s="19"/>
      <c r="AGR49" s="19"/>
      <c r="AGS49" s="19"/>
      <c r="AGT49" s="19"/>
      <c r="AGU49" s="19"/>
      <c r="AGV49" s="19"/>
      <c r="AGW49" s="19"/>
      <c r="AGX49" s="19"/>
      <c r="AGY49" s="19"/>
      <c r="AGZ49" s="19"/>
      <c r="AHA49" s="19"/>
      <c r="AHB49" s="19"/>
      <c r="AHC49" s="19"/>
      <c r="AHD49" s="19"/>
      <c r="AHE49" s="19"/>
      <c r="AHF49" s="19"/>
      <c r="AHG49" s="19"/>
      <c r="AHH49" s="19"/>
      <c r="AHI49" s="19"/>
      <c r="AHJ49" s="19"/>
      <c r="AHK49" s="19"/>
      <c r="AHL49" s="19"/>
      <c r="AHM49" s="19"/>
      <c r="AHN49" s="19"/>
      <c r="AHO49" s="19"/>
      <c r="AHP49" s="19"/>
      <c r="AHQ49" s="19"/>
      <c r="AHR49" s="19"/>
      <c r="AHS49" s="19"/>
      <c r="AHT49" s="19"/>
      <c r="AHU49" s="19"/>
      <c r="AHV49" s="19"/>
      <c r="AHW49" s="19"/>
      <c r="AHX49" s="19"/>
      <c r="AHY49" s="19"/>
      <c r="AHZ49" s="19"/>
      <c r="AIA49" s="19"/>
      <c r="AIB49" s="19"/>
      <c r="AIC49" s="19"/>
      <c r="AID49" s="19"/>
      <c r="AIE49" s="19"/>
      <c r="AIF49" s="19"/>
      <c r="AIG49" s="19"/>
      <c r="AIH49" s="19"/>
      <c r="AII49" s="19"/>
      <c r="AIJ49" s="19"/>
      <c r="AIK49" s="19"/>
      <c r="AIL49" s="19"/>
      <c r="AIM49" s="19"/>
      <c r="AIN49" s="19"/>
      <c r="AIO49" s="19"/>
      <c r="AIP49" s="19"/>
      <c r="AIQ49" s="19"/>
      <c r="AIR49" s="19"/>
      <c r="AIS49" s="19"/>
      <c r="AIT49" s="19"/>
      <c r="AIU49" s="19"/>
      <c r="AIV49" s="19"/>
      <c r="AIW49" s="19"/>
      <c r="AIX49" s="19"/>
      <c r="AIY49" s="19"/>
      <c r="AIZ49" s="19"/>
      <c r="AJA49" s="19"/>
      <c r="AJB49" s="19"/>
      <c r="AJC49" s="19"/>
      <c r="AJD49" s="19"/>
      <c r="AJE49" s="19"/>
      <c r="AJF49" s="19"/>
      <c r="AJG49" s="19"/>
      <c r="AJH49" s="19"/>
      <c r="AJI49" s="19"/>
      <c r="AJJ49" s="19"/>
      <c r="AJK49" s="19"/>
      <c r="AJL49" s="19"/>
      <c r="AJM49" s="19"/>
      <c r="AJN49" s="19"/>
      <c r="AJO49" s="19"/>
      <c r="AJP49" s="19"/>
      <c r="AJQ49" s="19"/>
      <c r="AJR49" s="19"/>
      <c r="AJS49" s="19"/>
      <c r="AJT49" s="19"/>
      <c r="AJU49" s="19"/>
      <c r="AJV49" s="19"/>
      <c r="AJW49" s="19"/>
      <c r="AJX49" s="19"/>
      <c r="AJY49" s="19"/>
      <c r="AJZ49" s="19"/>
      <c r="AKA49" s="19"/>
      <c r="AKB49" s="19"/>
      <c r="AKC49" s="19"/>
      <c r="AKD49" s="19"/>
      <c r="AKE49" s="19"/>
      <c r="AKF49" s="19"/>
      <c r="AKG49" s="19"/>
      <c r="AKH49" s="19"/>
      <c r="AKI49" s="19"/>
      <c r="AKJ49" s="19"/>
      <c r="AKK49" s="19"/>
      <c r="AKL49" s="19"/>
      <c r="AKM49" s="19"/>
      <c r="AKN49" s="19"/>
      <c r="AKO49" s="19"/>
      <c r="AKP49" s="19"/>
      <c r="AKQ49" s="19"/>
      <c r="AKR49" s="19"/>
      <c r="AKS49" s="19"/>
      <c r="AKT49" s="19"/>
      <c r="AKU49" s="19"/>
      <c r="AKV49" s="19"/>
      <c r="AKW49" s="19"/>
      <c r="AKX49" s="19"/>
      <c r="AKY49" s="19"/>
      <c r="AKZ49" s="19"/>
      <c r="ALA49" s="19"/>
      <c r="ALB49" s="19"/>
      <c r="ALC49" s="19"/>
      <c r="ALD49" s="19"/>
      <c r="ALE49" s="19"/>
      <c r="ALF49" s="19"/>
      <c r="ALG49" s="19"/>
      <c r="ALH49" s="19"/>
      <c r="ALI49" s="19"/>
      <c r="ALJ49" s="19"/>
      <c r="ALK49" s="19"/>
      <c r="ALL49" s="19"/>
      <c r="ALM49" s="19"/>
      <c r="ALN49" s="19"/>
      <c r="ALO49" s="19"/>
      <c r="ALP49" s="19"/>
      <c r="ALQ49" s="19"/>
      <c r="ALR49" s="19"/>
      <c r="ALS49" s="19"/>
      <c r="ALT49" s="19"/>
      <c r="ALU49" s="19"/>
      <c r="ALV49" s="19"/>
      <c r="ALW49" s="19"/>
      <c r="ALX49" s="19"/>
      <c r="ALY49" s="19"/>
      <c r="ALZ49" s="19"/>
      <c r="AMA49" s="19"/>
      <c r="AMB49" s="19"/>
      <c r="AMC49" s="19"/>
      <c r="AMD49" s="19"/>
      <c r="AME49" s="19"/>
      <c r="AMF49" s="19"/>
      <c r="AMG49" s="19"/>
      <c r="AMH49" s="19"/>
      <c r="AMI49" s="19"/>
      <c r="AMJ49" s="19"/>
      <c r="AMK49" s="19"/>
      <c r="AML49" s="19"/>
      <c r="AMM49" s="19"/>
      <c r="AMN49" s="19"/>
      <c r="AMO49" s="19"/>
      <c r="AMP49" s="19"/>
      <c r="AMQ49" s="19"/>
      <c r="AMR49" s="19"/>
      <c r="AMS49" s="19"/>
      <c r="AMT49" s="19"/>
      <c r="AMU49" s="19"/>
      <c r="AMV49" s="19"/>
      <c r="AMW49" s="19"/>
      <c r="AMX49" s="19"/>
      <c r="AMY49" s="19"/>
      <c r="AMZ49" s="19"/>
      <c r="ANA49" s="19"/>
      <c r="ANB49" s="19"/>
      <c r="ANC49" s="19"/>
      <c r="AND49" s="19"/>
      <c r="ANE49" s="19"/>
      <c r="ANF49" s="19"/>
      <c r="ANG49" s="19"/>
      <c r="ANH49" s="19"/>
      <c r="ANI49" s="19"/>
      <c r="ANJ49" s="19"/>
      <c r="ANK49" s="19"/>
      <c r="ANL49" s="19"/>
      <c r="ANM49" s="19"/>
      <c r="ANN49" s="19"/>
      <c r="ANO49" s="19"/>
      <c r="ANP49" s="19"/>
      <c r="ANQ49" s="19"/>
      <c r="ANR49" s="19"/>
      <c r="ANS49" s="19"/>
      <c r="ANT49" s="19"/>
      <c r="ANU49" s="19"/>
      <c r="ANV49" s="19"/>
      <c r="ANW49" s="19"/>
      <c r="ANX49" s="19"/>
      <c r="ANY49" s="19"/>
      <c r="ANZ49" s="19"/>
      <c r="AOA49" s="19"/>
      <c r="AOB49" s="19"/>
      <c r="AOC49" s="19"/>
      <c r="AOD49" s="19"/>
      <c r="AOE49" s="19"/>
      <c r="AOF49" s="19"/>
      <c r="AOG49" s="19"/>
      <c r="AOH49" s="19"/>
      <c r="AOI49" s="19"/>
      <c r="AOJ49" s="19"/>
      <c r="AOK49" s="19"/>
      <c r="AOL49" s="19"/>
      <c r="AOM49" s="19"/>
      <c r="AON49" s="19"/>
      <c r="AOO49" s="19"/>
      <c r="AOP49" s="19"/>
      <c r="AOQ49" s="19"/>
      <c r="AOR49" s="19"/>
      <c r="AOS49" s="19"/>
      <c r="AOT49" s="19"/>
      <c r="AOU49" s="19"/>
      <c r="AOV49" s="19"/>
      <c r="AOW49" s="19"/>
      <c r="AOX49" s="19"/>
      <c r="AOY49" s="19"/>
      <c r="AOZ49" s="19"/>
      <c r="APA49" s="19"/>
      <c r="APB49" s="19"/>
      <c r="APC49" s="19"/>
      <c r="APD49" s="19"/>
      <c r="APE49" s="19"/>
      <c r="APF49" s="19"/>
      <c r="APG49" s="19"/>
      <c r="APH49" s="19"/>
      <c r="API49" s="19"/>
      <c r="APJ49" s="19"/>
      <c r="APK49" s="19"/>
      <c r="APL49" s="19"/>
      <c r="APM49" s="19"/>
      <c r="APN49" s="19"/>
      <c r="APO49" s="19"/>
      <c r="APP49" s="19"/>
      <c r="APQ49" s="19"/>
      <c r="APR49" s="19"/>
      <c r="APS49" s="19"/>
      <c r="APT49" s="19"/>
      <c r="APU49" s="19"/>
      <c r="APV49" s="19"/>
      <c r="APW49" s="19"/>
      <c r="APX49" s="19"/>
      <c r="APY49" s="19"/>
      <c r="APZ49" s="19"/>
      <c r="AQA49" s="19"/>
      <c r="AQB49" s="19"/>
      <c r="AQC49" s="19"/>
      <c r="AQD49" s="19"/>
      <c r="AQE49" s="19"/>
      <c r="AQF49" s="19"/>
      <c r="AQG49" s="19"/>
      <c r="AQH49" s="19"/>
      <c r="AQI49" s="19"/>
      <c r="AQJ49" s="19"/>
      <c r="AQK49" s="19"/>
      <c r="AQL49" s="19"/>
      <c r="AQM49" s="19"/>
      <c r="AQN49" s="19"/>
      <c r="AQO49" s="19"/>
      <c r="AQP49" s="19"/>
      <c r="AQQ49" s="19"/>
      <c r="AQR49" s="19"/>
      <c r="AQS49" s="19"/>
      <c r="AQT49" s="19"/>
      <c r="AQU49" s="19"/>
      <c r="AQV49" s="19"/>
      <c r="AQW49" s="19"/>
      <c r="AQX49" s="19"/>
      <c r="AQY49" s="19"/>
      <c r="AQZ49" s="19"/>
      <c r="ARA49" s="19"/>
      <c r="ARB49" s="19"/>
      <c r="ARC49" s="19"/>
      <c r="ARD49" s="19"/>
      <c r="ARE49" s="19"/>
      <c r="ARF49" s="19"/>
      <c r="ARG49" s="19"/>
      <c r="ARH49" s="19"/>
      <c r="ARI49" s="19"/>
      <c r="ARJ49" s="19"/>
      <c r="ARK49" s="19"/>
      <c r="ARL49" s="19"/>
      <c r="ARM49" s="19"/>
      <c r="ARN49" s="19"/>
      <c r="ARO49" s="19"/>
      <c r="ARP49" s="19"/>
      <c r="ARQ49" s="19"/>
      <c r="ARR49" s="19"/>
      <c r="ARS49" s="19"/>
      <c r="ART49" s="19"/>
      <c r="ARU49" s="19"/>
      <c r="ARV49" s="19"/>
      <c r="ARW49" s="19"/>
      <c r="ARX49" s="19"/>
      <c r="ARY49" s="19"/>
      <c r="ARZ49" s="19"/>
      <c r="ASA49" s="19"/>
      <c r="ASB49" s="19"/>
      <c r="ASC49" s="19"/>
      <c r="ASD49" s="19"/>
      <c r="ASE49" s="19"/>
      <c r="ASF49" s="19"/>
      <c r="ASG49" s="19"/>
      <c r="ASH49" s="19"/>
      <c r="ASI49" s="19"/>
      <c r="ASJ49" s="19"/>
      <c r="ASK49" s="19"/>
      <c r="ASL49" s="19"/>
      <c r="ASM49" s="19"/>
      <c r="ASN49" s="19"/>
      <c r="ASO49" s="19"/>
      <c r="ASP49" s="19"/>
      <c r="ASQ49" s="19"/>
      <c r="ASR49" s="19"/>
      <c r="ASS49" s="19"/>
      <c r="AST49" s="19"/>
      <c r="ASU49" s="19"/>
      <c r="ASV49" s="19"/>
      <c r="ASW49" s="19"/>
      <c r="ASX49" s="19"/>
      <c r="ASY49" s="19"/>
      <c r="ASZ49" s="19"/>
      <c r="ATA49" s="19"/>
      <c r="ATB49" s="19"/>
      <c r="ATC49" s="19"/>
      <c r="ATD49" s="19"/>
      <c r="ATE49" s="19"/>
      <c r="ATF49" s="19"/>
      <c r="ATG49" s="19"/>
      <c r="ATH49" s="19"/>
      <c r="ATI49" s="19"/>
      <c r="ATJ49" s="19"/>
      <c r="ATK49" s="19"/>
      <c r="ATL49" s="19"/>
      <c r="ATM49" s="19"/>
      <c r="ATN49" s="19"/>
      <c r="ATO49" s="19"/>
      <c r="ATP49" s="19"/>
      <c r="ATQ49" s="19"/>
      <c r="ATR49" s="19"/>
      <c r="ATS49" s="19"/>
      <c r="ATT49" s="19"/>
      <c r="ATU49" s="19"/>
      <c r="ATV49" s="19"/>
      <c r="ATW49" s="19"/>
      <c r="ATX49" s="19"/>
      <c r="ATY49" s="19"/>
      <c r="ATZ49" s="19"/>
      <c r="AUA49" s="19"/>
      <c r="AUB49" s="19"/>
      <c r="AUC49" s="19"/>
      <c r="AUD49" s="19"/>
      <c r="AUE49" s="19"/>
      <c r="AUF49" s="19"/>
      <c r="AUG49" s="19"/>
      <c r="AUH49" s="19"/>
      <c r="AUI49" s="19"/>
      <c r="AUJ49" s="19"/>
      <c r="AUK49" s="19"/>
      <c r="AUL49" s="19"/>
      <c r="AUM49" s="19"/>
      <c r="AUN49" s="19"/>
      <c r="AUO49" s="19"/>
      <c r="AUP49" s="19"/>
      <c r="AUQ49" s="19"/>
      <c r="AUR49" s="19"/>
      <c r="AUS49" s="19"/>
      <c r="AUT49" s="19"/>
      <c r="AUU49" s="19"/>
      <c r="AUV49" s="19"/>
      <c r="AUW49" s="19"/>
      <c r="AUX49" s="19"/>
      <c r="AUY49" s="19"/>
      <c r="AUZ49" s="19"/>
      <c r="AVA49" s="19"/>
      <c r="AVB49" s="19"/>
      <c r="AVC49" s="19"/>
      <c r="AVD49" s="19"/>
      <c r="AVE49" s="19"/>
      <c r="AVF49" s="19"/>
      <c r="AVG49" s="19"/>
      <c r="AVH49" s="19"/>
      <c r="AVI49" s="19"/>
      <c r="AVJ49" s="19"/>
      <c r="AVK49" s="19"/>
      <c r="AVL49" s="19"/>
      <c r="AVM49" s="19"/>
      <c r="AVN49" s="19"/>
      <c r="AVO49" s="19"/>
      <c r="AVP49" s="19"/>
      <c r="AVQ49" s="19"/>
      <c r="AVR49" s="19"/>
      <c r="AVS49" s="19"/>
      <c r="AVT49" s="19"/>
      <c r="AVU49" s="19"/>
      <c r="AVV49" s="19"/>
      <c r="AVW49" s="19"/>
      <c r="AVX49" s="19"/>
      <c r="AVY49" s="19"/>
      <c r="AVZ49" s="19"/>
      <c r="AWA49" s="19"/>
      <c r="AWB49" s="19"/>
      <c r="AWC49" s="19"/>
      <c r="AWD49" s="19"/>
      <c r="AWE49" s="19"/>
      <c r="AWF49" s="19"/>
      <c r="AWG49" s="19"/>
      <c r="AWH49" s="19"/>
      <c r="AWI49" s="19"/>
      <c r="AWJ49" s="19"/>
      <c r="AWK49" s="19"/>
      <c r="AWL49" s="19"/>
      <c r="AWM49" s="19"/>
      <c r="AWN49" s="19"/>
      <c r="AWO49" s="19"/>
      <c r="AWP49" s="19"/>
      <c r="AWQ49" s="19"/>
      <c r="AWR49" s="19"/>
      <c r="AWS49" s="19"/>
      <c r="AWT49" s="19"/>
      <c r="AWU49" s="19"/>
      <c r="AWV49" s="19"/>
      <c r="AWW49" s="19"/>
      <c r="AWX49" s="19"/>
      <c r="AWY49" s="19"/>
      <c r="AWZ49" s="19"/>
      <c r="AXA49" s="19"/>
      <c r="AXB49" s="19"/>
      <c r="AXC49" s="19"/>
      <c r="AXD49" s="19"/>
      <c r="AXE49" s="19"/>
      <c r="AXF49" s="19"/>
      <c r="AXG49" s="19"/>
      <c r="AXH49" s="19"/>
      <c r="AXI49" s="19"/>
      <c r="AXJ49" s="19"/>
      <c r="AXK49" s="19"/>
      <c r="AXL49" s="19"/>
      <c r="AXM49" s="19"/>
      <c r="AXN49" s="19"/>
      <c r="AXO49" s="19"/>
      <c r="AXP49" s="19"/>
      <c r="AXQ49" s="19"/>
      <c r="AXR49" s="19"/>
      <c r="AXS49" s="19"/>
      <c r="AXT49" s="19"/>
      <c r="AXU49" s="19"/>
      <c r="AXV49" s="19"/>
      <c r="AXW49" s="19"/>
      <c r="AXX49" s="19"/>
      <c r="AXY49" s="19"/>
      <c r="AXZ49" s="19"/>
      <c r="AYA49" s="19"/>
      <c r="AYB49" s="19"/>
      <c r="AYC49" s="19"/>
      <c r="AYD49" s="19"/>
      <c r="AYE49" s="19"/>
      <c r="AYF49" s="19"/>
      <c r="AYG49" s="19"/>
      <c r="AYH49" s="19"/>
      <c r="AYI49" s="19"/>
      <c r="AYJ49" s="19"/>
      <c r="AYK49" s="19"/>
      <c r="AYL49" s="19"/>
      <c r="AYM49" s="19"/>
      <c r="AYN49" s="19"/>
      <c r="AYO49" s="19"/>
      <c r="AYP49" s="19"/>
      <c r="AYQ49" s="19"/>
      <c r="AYR49" s="19"/>
      <c r="AYS49" s="19"/>
      <c r="AYT49" s="19"/>
      <c r="AYU49" s="19"/>
      <c r="AYV49" s="19"/>
      <c r="AYW49" s="19"/>
      <c r="AYX49" s="19"/>
      <c r="AYY49" s="19"/>
      <c r="AYZ49" s="19"/>
      <c r="AZA49" s="19"/>
      <c r="AZB49" s="19"/>
      <c r="AZC49" s="19"/>
      <c r="AZD49" s="19"/>
      <c r="AZE49" s="19"/>
      <c r="AZF49" s="19"/>
      <c r="AZG49" s="19"/>
      <c r="AZH49" s="19"/>
      <c r="AZI49" s="19"/>
      <c r="AZJ49" s="19"/>
      <c r="AZK49" s="19"/>
      <c r="AZL49" s="19"/>
      <c r="AZM49" s="19"/>
      <c r="AZN49" s="19"/>
      <c r="AZO49" s="19"/>
      <c r="AZP49" s="19"/>
      <c r="AZQ49" s="19"/>
      <c r="AZR49" s="19"/>
      <c r="AZS49" s="19"/>
      <c r="AZT49" s="19"/>
      <c r="AZU49" s="19"/>
      <c r="AZV49" s="19"/>
      <c r="AZW49" s="19"/>
      <c r="AZX49" s="19"/>
      <c r="AZY49" s="19"/>
      <c r="AZZ49" s="19"/>
      <c r="BAA49" s="19"/>
      <c r="BAB49" s="19"/>
      <c r="BAC49" s="19"/>
      <c r="BAD49" s="19"/>
      <c r="BAE49" s="19"/>
      <c r="BAF49" s="19"/>
      <c r="BAG49" s="19"/>
      <c r="BAH49" s="19"/>
      <c r="BAI49" s="19"/>
      <c r="BAJ49" s="19"/>
      <c r="BAK49" s="19"/>
      <c r="BAL49" s="19"/>
      <c r="BAM49" s="19"/>
      <c r="BAN49" s="19"/>
      <c r="BAO49" s="19"/>
      <c r="BAP49" s="19"/>
      <c r="BAQ49" s="19"/>
      <c r="BAR49" s="19"/>
      <c r="BAS49" s="19"/>
      <c r="BAT49" s="19"/>
      <c r="BAU49" s="19"/>
      <c r="BAV49" s="19"/>
      <c r="BAW49" s="19"/>
      <c r="BAX49" s="19"/>
      <c r="BAY49" s="19"/>
      <c r="BAZ49" s="19"/>
      <c r="BBA49" s="19"/>
      <c r="BBB49" s="19"/>
      <c r="BBC49" s="19"/>
      <c r="BBD49" s="19"/>
      <c r="BBE49" s="19"/>
      <c r="BBF49" s="19"/>
      <c r="BBG49" s="19"/>
      <c r="BBH49" s="19"/>
      <c r="BBI49" s="19"/>
      <c r="BBJ49" s="19"/>
      <c r="BBK49" s="19"/>
      <c r="BBL49" s="19"/>
      <c r="BBM49" s="19"/>
      <c r="BBN49" s="19"/>
      <c r="BBO49" s="19"/>
      <c r="BBP49" s="19"/>
      <c r="BBQ49" s="19"/>
      <c r="BBR49" s="19"/>
      <c r="BBS49" s="19"/>
      <c r="BBT49" s="19"/>
      <c r="BBU49" s="19"/>
      <c r="BBV49" s="19"/>
      <c r="BBW49" s="19"/>
      <c r="BBX49" s="19"/>
      <c r="BBY49" s="19"/>
      <c r="BBZ49" s="19"/>
      <c r="BCA49" s="19"/>
      <c r="BCB49" s="19"/>
      <c r="BCC49" s="19"/>
      <c r="BCD49" s="19"/>
      <c r="BCE49" s="19"/>
      <c r="BCF49" s="19"/>
      <c r="BCG49" s="19"/>
      <c r="BCH49" s="19"/>
      <c r="BCI49" s="19"/>
      <c r="BCJ49" s="19"/>
      <c r="BCK49" s="19"/>
      <c r="BCL49" s="19"/>
      <c r="BCM49" s="19"/>
      <c r="BCN49" s="19"/>
      <c r="BCO49" s="19"/>
      <c r="BCP49" s="19"/>
      <c r="BCQ49" s="19"/>
      <c r="BCR49" s="19"/>
      <c r="BCS49" s="19"/>
      <c r="BCT49" s="19"/>
      <c r="BCU49" s="19"/>
      <c r="BCV49" s="19"/>
      <c r="BCW49" s="19"/>
      <c r="BCX49" s="19"/>
      <c r="BCY49" s="19"/>
      <c r="BCZ49" s="19"/>
      <c r="BDA49" s="19"/>
      <c r="BDB49" s="19"/>
      <c r="BDC49" s="19"/>
      <c r="BDD49" s="19"/>
      <c r="BDE49" s="19"/>
      <c r="BDF49" s="19"/>
      <c r="BDG49" s="19"/>
      <c r="BDH49" s="19"/>
      <c r="BDI49" s="19"/>
      <c r="BDJ49" s="19"/>
      <c r="BDK49" s="19"/>
      <c r="BDL49" s="19"/>
      <c r="BDM49" s="19"/>
      <c r="BDN49" s="19"/>
      <c r="BDO49" s="19"/>
      <c r="BDP49" s="19"/>
      <c r="BDQ49" s="19"/>
      <c r="BDR49" s="19"/>
      <c r="BDS49" s="19"/>
      <c r="BDT49" s="19"/>
      <c r="BDU49" s="19"/>
      <c r="BDV49" s="19"/>
      <c r="BDW49" s="19"/>
      <c r="BDX49" s="19"/>
      <c r="BDY49" s="19"/>
      <c r="BDZ49" s="19"/>
      <c r="BEA49" s="19"/>
      <c r="BEB49" s="19"/>
      <c r="BEC49" s="19"/>
      <c r="BED49" s="19"/>
      <c r="BEE49" s="19"/>
      <c r="BEF49" s="19"/>
      <c r="BEG49" s="19"/>
      <c r="BEH49" s="19"/>
      <c r="BEI49" s="19"/>
      <c r="BEJ49" s="19"/>
      <c r="BEK49" s="19"/>
      <c r="BEL49" s="19"/>
      <c r="BEM49" s="19"/>
      <c r="BEN49" s="19"/>
      <c r="BEO49" s="19"/>
      <c r="BEP49" s="19"/>
      <c r="BEQ49" s="19"/>
      <c r="BER49" s="19"/>
      <c r="BES49" s="19"/>
      <c r="BET49" s="19"/>
      <c r="BEU49" s="19"/>
      <c r="BEV49" s="19"/>
      <c r="BEW49" s="19"/>
      <c r="BEX49" s="19"/>
      <c r="BEY49" s="19"/>
      <c r="BEZ49" s="19"/>
      <c r="BFA49" s="19"/>
      <c r="BFB49" s="19"/>
      <c r="BFC49" s="19"/>
      <c r="BFD49" s="19"/>
      <c r="BFE49" s="19"/>
      <c r="BFF49" s="19"/>
      <c r="BFG49" s="19"/>
      <c r="BFH49" s="19"/>
      <c r="BFI49" s="19"/>
      <c r="BFJ49" s="19"/>
      <c r="BFK49" s="19"/>
      <c r="BFL49" s="19"/>
      <c r="BFM49" s="19"/>
      <c r="BFN49" s="19"/>
      <c r="BFO49" s="19"/>
      <c r="BFP49" s="19"/>
      <c r="BFQ49" s="19"/>
      <c r="BFR49" s="19"/>
      <c r="BFS49" s="19"/>
      <c r="BFT49" s="19"/>
      <c r="BFU49" s="19"/>
      <c r="BFV49" s="19"/>
      <c r="BFW49" s="19"/>
      <c r="BFX49" s="19"/>
      <c r="BFY49" s="19"/>
      <c r="BFZ49" s="19"/>
      <c r="BGA49" s="19"/>
      <c r="BGB49" s="19"/>
      <c r="BGC49" s="19"/>
      <c r="BGD49" s="19"/>
      <c r="BGE49" s="19"/>
      <c r="BGF49" s="19"/>
      <c r="BGG49" s="19"/>
      <c r="BGH49" s="19"/>
      <c r="BGI49" s="19"/>
      <c r="BGJ49" s="19"/>
      <c r="BGK49" s="19"/>
      <c r="BGL49" s="19"/>
      <c r="BGM49" s="19"/>
      <c r="BGN49" s="19"/>
      <c r="BGO49" s="19"/>
      <c r="BGP49" s="19"/>
      <c r="BGQ49" s="19"/>
      <c r="BGR49" s="19"/>
      <c r="BGS49" s="19"/>
      <c r="BGT49" s="19"/>
      <c r="BGU49" s="19"/>
      <c r="BGV49" s="19"/>
      <c r="BGW49" s="19"/>
      <c r="BGX49" s="19"/>
      <c r="BGY49" s="19"/>
      <c r="BGZ49" s="19"/>
      <c r="BHA49" s="19"/>
      <c r="BHB49" s="19"/>
      <c r="BHC49" s="19"/>
      <c r="BHD49" s="19"/>
      <c r="BHE49" s="19"/>
      <c r="BHF49" s="19"/>
      <c r="BHG49" s="19"/>
      <c r="BHH49" s="19"/>
      <c r="BHI49" s="19"/>
      <c r="BHJ49" s="19"/>
      <c r="BHK49" s="19"/>
      <c r="BHL49" s="19"/>
      <c r="BHM49" s="19"/>
      <c r="BHN49" s="19"/>
      <c r="BHO49" s="19"/>
      <c r="BHP49" s="19"/>
      <c r="BHQ49" s="19"/>
      <c r="BHR49" s="19"/>
      <c r="BHS49" s="19"/>
      <c r="BHT49" s="19"/>
      <c r="BHU49" s="19"/>
      <c r="BHV49" s="19"/>
      <c r="BHW49" s="19"/>
      <c r="BHX49" s="19"/>
      <c r="BHY49" s="19"/>
      <c r="BHZ49" s="19"/>
      <c r="BIA49" s="19"/>
      <c r="BIB49" s="19"/>
      <c r="BIC49" s="19"/>
      <c r="BID49" s="19"/>
      <c r="BIE49" s="19"/>
      <c r="BIF49" s="19"/>
      <c r="BIG49" s="19"/>
      <c r="BIH49" s="19"/>
      <c r="BII49" s="19"/>
      <c r="BIJ49" s="19"/>
      <c r="BIK49" s="19"/>
      <c r="BIL49" s="19"/>
      <c r="BIM49" s="19"/>
      <c r="BIN49" s="19"/>
      <c r="BIO49" s="19"/>
      <c r="BIP49" s="19"/>
      <c r="BIQ49" s="19"/>
      <c r="BIR49" s="19"/>
      <c r="BIS49" s="19"/>
      <c r="BIT49" s="19"/>
      <c r="BIU49" s="19"/>
      <c r="BIV49" s="19"/>
      <c r="BIW49" s="19"/>
      <c r="BIX49" s="19"/>
      <c r="BIY49" s="19"/>
      <c r="BIZ49" s="19"/>
      <c r="BJA49" s="19"/>
      <c r="BJB49" s="19"/>
      <c r="BJC49" s="19"/>
      <c r="BJD49" s="19"/>
      <c r="BJE49" s="19"/>
      <c r="BJF49" s="19"/>
      <c r="BJG49" s="19"/>
      <c r="BJH49" s="19"/>
      <c r="BJI49" s="19"/>
      <c r="BJJ49" s="19"/>
      <c r="BJK49" s="19"/>
      <c r="BJL49" s="19"/>
      <c r="BJM49" s="19"/>
      <c r="BJN49" s="19"/>
      <c r="BJO49" s="19"/>
      <c r="BJP49" s="19"/>
      <c r="BJQ49" s="19"/>
      <c r="BJR49" s="19"/>
      <c r="BJS49" s="19"/>
      <c r="BJT49" s="19"/>
      <c r="BJU49" s="19"/>
      <c r="BJV49" s="19"/>
      <c r="BJW49" s="19"/>
      <c r="BJX49" s="19"/>
      <c r="BJY49" s="19"/>
      <c r="BJZ49" s="19"/>
      <c r="BKA49" s="19"/>
      <c r="BKB49" s="19"/>
      <c r="BKC49" s="19"/>
      <c r="BKD49" s="19"/>
      <c r="BKE49" s="19"/>
      <c r="BKF49" s="19"/>
      <c r="BKG49" s="19"/>
      <c r="BKH49" s="19"/>
      <c r="BKI49" s="19"/>
      <c r="BKJ49" s="19"/>
      <c r="BKK49" s="19"/>
      <c r="BKL49" s="19"/>
      <c r="BKM49" s="19"/>
      <c r="BKN49" s="19"/>
      <c r="BKO49" s="19"/>
      <c r="BKP49" s="19"/>
      <c r="BKQ49" s="19"/>
      <c r="BKR49" s="19"/>
      <c r="BKS49" s="19"/>
      <c r="BKT49" s="19"/>
      <c r="BKU49" s="19"/>
      <c r="BKV49" s="19"/>
      <c r="BKW49" s="19"/>
      <c r="BKX49" s="19"/>
      <c r="BKY49" s="19"/>
      <c r="BKZ49" s="19"/>
      <c r="BLA49" s="19"/>
      <c r="BLB49" s="19"/>
      <c r="BLC49" s="19"/>
      <c r="BLD49" s="19"/>
      <c r="BLE49" s="19"/>
      <c r="BLF49" s="19"/>
      <c r="BLG49" s="19"/>
      <c r="BLH49" s="19"/>
      <c r="BLI49" s="19"/>
      <c r="BLJ49" s="19"/>
      <c r="BLK49" s="19"/>
      <c r="BLL49" s="19"/>
      <c r="BLM49" s="19"/>
      <c r="BLN49" s="19"/>
      <c r="BLO49" s="19"/>
      <c r="BLP49" s="19"/>
      <c r="BLQ49" s="19"/>
      <c r="BLR49" s="19"/>
      <c r="BLS49" s="19"/>
      <c r="BLT49" s="19"/>
      <c r="BLU49" s="19"/>
      <c r="BLV49" s="19"/>
      <c r="BLW49" s="19"/>
      <c r="BLX49" s="19"/>
      <c r="BLY49" s="19"/>
      <c r="BLZ49" s="19"/>
      <c r="BMA49" s="19"/>
      <c r="BMB49" s="19"/>
      <c r="BMC49" s="19"/>
      <c r="BMD49" s="19"/>
      <c r="BME49" s="19"/>
      <c r="BMF49" s="19"/>
      <c r="BMG49" s="19"/>
      <c r="BMH49" s="19"/>
      <c r="BMI49" s="19"/>
      <c r="BMJ49" s="19"/>
      <c r="BMK49" s="19"/>
      <c r="BML49" s="19"/>
      <c r="BMM49" s="19"/>
      <c r="BMN49" s="19"/>
      <c r="BMO49" s="19"/>
      <c r="BMP49" s="19"/>
      <c r="BMQ49" s="19"/>
      <c r="BMR49" s="19"/>
      <c r="BMS49" s="19"/>
      <c r="BMT49" s="19"/>
      <c r="BMU49" s="19"/>
      <c r="BMV49" s="19"/>
      <c r="BMW49" s="19"/>
      <c r="BMX49" s="19"/>
      <c r="BMY49" s="19"/>
      <c r="BMZ49" s="19"/>
      <c r="BNA49" s="19"/>
      <c r="BNB49" s="19"/>
      <c r="BNC49" s="19"/>
      <c r="BND49" s="19"/>
      <c r="BNE49" s="19"/>
      <c r="BNF49" s="19"/>
      <c r="BNG49" s="19"/>
      <c r="BNH49" s="19"/>
      <c r="BNI49" s="19"/>
      <c r="BNJ49" s="19"/>
      <c r="BNK49" s="19"/>
      <c r="BNL49" s="19"/>
      <c r="BNM49" s="19"/>
      <c r="BNN49" s="19"/>
      <c r="BNO49" s="19"/>
      <c r="BNP49" s="19"/>
      <c r="BNQ49" s="19"/>
      <c r="BNR49" s="19"/>
      <c r="BNS49" s="19"/>
      <c r="BNT49" s="19"/>
      <c r="BNU49" s="19"/>
      <c r="BNV49" s="19"/>
      <c r="BNW49" s="19"/>
      <c r="BNX49" s="19"/>
      <c r="BNY49" s="19"/>
      <c r="BNZ49" s="19"/>
      <c r="BOA49" s="19"/>
      <c r="BOB49" s="19"/>
      <c r="BOC49" s="19"/>
      <c r="BOD49" s="19"/>
      <c r="BOE49" s="19"/>
      <c r="BOF49" s="19"/>
      <c r="BOG49" s="19"/>
      <c r="BOH49" s="19"/>
      <c r="BOI49" s="19"/>
      <c r="BOJ49" s="19"/>
      <c r="BOK49" s="19"/>
      <c r="BOL49" s="19"/>
      <c r="BOM49" s="19"/>
      <c r="BON49" s="19"/>
      <c r="BOO49" s="19"/>
      <c r="BOP49" s="19"/>
      <c r="BOQ49" s="19"/>
      <c r="BOR49" s="19"/>
      <c r="BOS49" s="19"/>
      <c r="BOT49" s="19"/>
      <c r="BOU49" s="19"/>
      <c r="BOV49" s="19"/>
      <c r="BOW49" s="19"/>
      <c r="BOX49" s="19"/>
      <c r="BOY49" s="19"/>
      <c r="BOZ49" s="19"/>
      <c r="BPA49" s="19"/>
      <c r="BPB49" s="19"/>
      <c r="BPC49" s="19"/>
      <c r="BPD49" s="19"/>
      <c r="BPE49" s="19"/>
      <c r="BPF49" s="19"/>
      <c r="BPG49" s="19"/>
      <c r="BPH49" s="19"/>
      <c r="BPI49" s="19"/>
      <c r="BPJ49" s="19"/>
      <c r="BPK49" s="19"/>
      <c r="BPL49" s="19"/>
      <c r="BPM49" s="19"/>
      <c r="BPN49" s="19"/>
      <c r="BPO49" s="19"/>
      <c r="BPP49" s="19"/>
      <c r="BPQ49" s="19"/>
      <c r="BPR49" s="19"/>
      <c r="BPS49" s="19"/>
      <c r="BPT49" s="19"/>
      <c r="BPU49" s="19"/>
      <c r="BPV49" s="19"/>
      <c r="BPW49" s="19"/>
      <c r="BPX49" s="19"/>
      <c r="BPY49" s="19"/>
      <c r="BPZ49" s="19"/>
      <c r="BQA49" s="19"/>
      <c r="BQB49" s="19"/>
      <c r="BQC49" s="19"/>
      <c r="BQD49" s="19"/>
      <c r="BQE49" s="19"/>
      <c r="BQF49" s="19"/>
      <c r="BQG49" s="19"/>
      <c r="BQH49" s="19"/>
      <c r="BQI49" s="19"/>
      <c r="BQJ49" s="19"/>
      <c r="BQK49" s="19"/>
      <c r="BQL49" s="19"/>
      <c r="BQM49" s="19"/>
      <c r="BQN49" s="19"/>
      <c r="BQO49" s="19"/>
      <c r="BQP49" s="19"/>
      <c r="BQQ49" s="19"/>
      <c r="BQR49" s="19"/>
      <c r="BQS49" s="19"/>
      <c r="BQT49" s="19"/>
      <c r="BQU49" s="19"/>
      <c r="BQV49" s="19"/>
      <c r="BQW49" s="19"/>
      <c r="BQX49" s="19"/>
      <c r="BQY49" s="19"/>
      <c r="BQZ49" s="19"/>
      <c r="BRA49" s="19"/>
      <c r="BRB49" s="19"/>
      <c r="BRC49" s="19"/>
      <c r="BRD49" s="19"/>
      <c r="BRE49" s="19"/>
      <c r="BRF49" s="19"/>
      <c r="BRG49" s="19"/>
      <c r="BRH49" s="19"/>
      <c r="BRI49" s="19"/>
      <c r="BRJ49" s="19"/>
      <c r="BRK49" s="19"/>
      <c r="BRL49" s="19"/>
      <c r="BRM49" s="19"/>
      <c r="BRN49" s="19"/>
      <c r="BRO49" s="19"/>
      <c r="BRP49" s="19"/>
      <c r="BRQ49" s="19"/>
      <c r="BRR49" s="19"/>
      <c r="BRS49" s="19"/>
      <c r="BRT49" s="19"/>
      <c r="BRU49" s="19"/>
      <c r="BRV49" s="19"/>
      <c r="BRW49" s="19"/>
      <c r="BRX49" s="19"/>
      <c r="BRY49" s="19"/>
      <c r="BRZ49" s="19"/>
      <c r="BSA49" s="19"/>
      <c r="BSB49" s="19"/>
      <c r="BSC49" s="19"/>
      <c r="BSD49" s="19"/>
      <c r="BSE49" s="19"/>
      <c r="BSF49" s="19"/>
      <c r="BSG49" s="19"/>
      <c r="BSH49" s="19"/>
      <c r="BSI49" s="19"/>
      <c r="BSJ49" s="19"/>
      <c r="BSK49" s="19"/>
      <c r="BSL49" s="19"/>
      <c r="BSM49" s="19"/>
      <c r="BSN49" s="19"/>
      <c r="BSO49" s="19"/>
      <c r="BSP49" s="19"/>
      <c r="BSQ49" s="19"/>
      <c r="BSR49" s="19"/>
      <c r="BSS49" s="19"/>
      <c r="BST49" s="19"/>
      <c r="BSU49" s="19"/>
      <c r="BSV49" s="19"/>
      <c r="BSW49" s="19"/>
      <c r="BSX49" s="19"/>
      <c r="BSY49" s="19"/>
      <c r="BSZ49" s="19"/>
      <c r="BTA49" s="19"/>
      <c r="BTB49" s="19"/>
      <c r="BTC49" s="19"/>
      <c r="BTD49" s="19"/>
      <c r="BTE49" s="19"/>
      <c r="BTF49" s="19"/>
      <c r="BTG49" s="19"/>
      <c r="BTH49" s="19"/>
      <c r="BTI49" s="19"/>
      <c r="BTJ49" s="19"/>
      <c r="BTK49" s="19"/>
      <c r="BTL49" s="19"/>
      <c r="BTM49" s="19"/>
      <c r="BTN49" s="19"/>
      <c r="BTO49" s="19"/>
      <c r="BTP49" s="19"/>
      <c r="BTQ49" s="19"/>
      <c r="BTR49" s="19"/>
      <c r="BTS49" s="19"/>
      <c r="BTT49" s="19"/>
      <c r="BTU49" s="19"/>
      <c r="BTV49" s="19"/>
      <c r="BTW49" s="19"/>
      <c r="BTX49" s="19"/>
      <c r="BTY49" s="19"/>
      <c r="BTZ49" s="19"/>
      <c r="BUA49" s="19"/>
      <c r="BUB49" s="19"/>
      <c r="BUC49" s="19"/>
      <c r="BUD49" s="19"/>
      <c r="BUE49" s="19"/>
      <c r="BUF49" s="19"/>
      <c r="BUG49" s="19"/>
      <c r="BUH49" s="19"/>
      <c r="BUI49" s="19"/>
      <c r="BUJ49" s="19"/>
      <c r="BUK49" s="19"/>
      <c r="BUL49" s="19"/>
      <c r="BUM49" s="19"/>
      <c r="BUN49" s="19"/>
      <c r="BUO49" s="19"/>
      <c r="BUP49" s="19"/>
      <c r="BUQ49" s="19"/>
      <c r="BUR49" s="19"/>
      <c r="BUS49" s="19"/>
      <c r="BUT49" s="19"/>
      <c r="BUU49" s="19"/>
      <c r="BUV49" s="19"/>
      <c r="BUW49" s="19"/>
      <c r="BUX49" s="19"/>
      <c r="BUY49" s="19"/>
      <c r="BUZ49" s="19"/>
      <c r="BVA49" s="19"/>
      <c r="BVB49" s="19"/>
      <c r="BVC49" s="19"/>
      <c r="BVD49" s="19"/>
      <c r="BVE49" s="19"/>
      <c r="BVF49" s="19"/>
      <c r="BVG49" s="19"/>
      <c r="BVH49" s="19"/>
      <c r="BVI49" s="19"/>
      <c r="BVJ49" s="19"/>
      <c r="BVK49" s="19"/>
      <c r="BVL49" s="19"/>
      <c r="BVM49" s="19"/>
      <c r="BVN49" s="19"/>
      <c r="BVO49" s="19"/>
      <c r="BVP49" s="19"/>
      <c r="BVQ49" s="19"/>
      <c r="BVR49" s="19"/>
      <c r="BVS49" s="19"/>
      <c r="BVT49" s="19"/>
      <c r="BVU49" s="19"/>
      <c r="BVV49" s="19"/>
      <c r="BVW49" s="19"/>
      <c r="BVX49" s="19"/>
      <c r="BVY49" s="19"/>
      <c r="BVZ49" s="19"/>
      <c r="BWA49" s="19"/>
      <c r="BWB49" s="19"/>
      <c r="BWC49" s="19"/>
      <c r="BWD49" s="19"/>
      <c r="BWE49" s="19"/>
      <c r="BWF49" s="19"/>
      <c r="BWG49" s="19"/>
      <c r="BWH49" s="19"/>
      <c r="BWI49" s="19"/>
      <c r="BWJ49" s="19"/>
      <c r="BWK49" s="19"/>
      <c r="BWL49" s="19"/>
      <c r="BWM49" s="19"/>
      <c r="BWN49" s="19"/>
      <c r="BWO49" s="19"/>
      <c r="BWP49" s="19"/>
      <c r="BWQ49" s="19"/>
      <c r="BWR49" s="19"/>
      <c r="BWS49" s="19"/>
      <c r="BWT49" s="19"/>
      <c r="BWU49" s="19"/>
      <c r="BWV49" s="19"/>
      <c r="BWW49" s="19"/>
      <c r="BWX49" s="19"/>
      <c r="BWY49" s="19"/>
      <c r="BWZ49" s="19"/>
      <c r="BXA49" s="19"/>
      <c r="BXB49" s="19"/>
      <c r="BXC49" s="19"/>
      <c r="BXD49" s="19"/>
      <c r="BXE49" s="19"/>
      <c r="BXF49" s="19"/>
      <c r="BXG49" s="19"/>
      <c r="BXH49" s="19"/>
      <c r="BXI49" s="19"/>
      <c r="BXJ49" s="19"/>
      <c r="BXK49" s="19"/>
      <c r="BXL49" s="19"/>
      <c r="BXM49" s="19"/>
      <c r="BXN49" s="19"/>
      <c r="BXO49" s="19"/>
      <c r="BXP49" s="19"/>
      <c r="BXQ49" s="19"/>
      <c r="BXR49" s="19"/>
      <c r="BXS49" s="19"/>
      <c r="BXT49" s="19"/>
      <c r="BXU49" s="19"/>
      <c r="BXV49" s="19"/>
      <c r="BXW49" s="19"/>
      <c r="BXX49" s="19"/>
      <c r="BXY49" s="19"/>
      <c r="BXZ49" s="19"/>
      <c r="BYA49" s="19"/>
      <c r="BYB49" s="19"/>
      <c r="BYC49" s="19"/>
      <c r="BYD49" s="19"/>
      <c r="BYE49" s="19"/>
      <c r="BYF49" s="19"/>
      <c r="BYG49" s="19"/>
      <c r="BYH49" s="19"/>
      <c r="BYI49" s="19"/>
      <c r="BYJ49" s="19"/>
      <c r="BYK49" s="19"/>
      <c r="BYL49" s="19"/>
      <c r="BYM49" s="19"/>
      <c r="BYN49" s="19"/>
      <c r="BYO49" s="19"/>
      <c r="BYP49" s="19"/>
      <c r="BYQ49" s="19"/>
      <c r="BYR49" s="19"/>
      <c r="BYS49" s="19"/>
      <c r="BYT49" s="19"/>
      <c r="BYU49" s="19"/>
      <c r="BYV49" s="19"/>
      <c r="BYW49" s="19"/>
      <c r="BYX49" s="19"/>
      <c r="BYY49" s="19"/>
      <c r="BYZ49" s="19"/>
      <c r="BZA49" s="19"/>
      <c r="BZB49" s="19"/>
      <c r="BZC49" s="19"/>
      <c r="BZD49" s="19"/>
      <c r="BZE49" s="19"/>
      <c r="BZF49" s="19"/>
      <c r="BZG49" s="19"/>
      <c r="BZH49" s="19"/>
      <c r="BZI49" s="19"/>
      <c r="BZJ49" s="19"/>
      <c r="BZK49" s="19"/>
      <c r="BZL49" s="19"/>
      <c r="BZM49" s="19"/>
      <c r="BZN49" s="19"/>
      <c r="BZO49" s="19"/>
      <c r="BZP49" s="19"/>
      <c r="BZQ49" s="19"/>
      <c r="BZR49" s="19"/>
      <c r="BZS49" s="19"/>
      <c r="BZT49" s="19"/>
      <c r="BZU49" s="19"/>
      <c r="BZV49" s="19"/>
      <c r="BZW49" s="19"/>
      <c r="BZX49" s="19"/>
      <c r="BZY49" s="19"/>
      <c r="BZZ49" s="19"/>
      <c r="CAA49" s="19"/>
      <c r="CAB49" s="19"/>
      <c r="CAC49" s="19"/>
      <c r="CAD49" s="19"/>
      <c r="CAE49" s="19"/>
      <c r="CAF49" s="19"/>
      <c r="CAG49" s="19"/>
      <c r="CAH49" s="19"/>
      <c r="CAI49" s="19"/>
      <c r="CAJ49" s="19"/>
      <c r="CAK49" s="19"/>
      <c r="CAL49" s="19"/>
      <c r="CAM49" s="19"/>
      <c r="CAN49" s="19"/>
      <c r="CAO49" s="19"/>
      <c r="CAP49" s="19"/>
      <c r="CAQ49" s="19"/>
      <c r="CAR49" s="19"/>
      <c r="CAS49" s="19"/>
      <c r="CAT49" s="19"/>
      <c r="CAU49" s="19"/>
      <c r="CAV49" s="19"/>
      <c r="CAW49" s="19"/>
      <c r="CAX49" s="19"/>
      <c r="CAY49" s="19"/>
      <c r="CAZ49" s="19"/>
      <c r="CBA49" s="19"/>
      <c r="CBB49" s="19"/>
      <c r="CBC49" s="19"/>
      <c r="CBD49" s="19"/>
      <c r="CBE49" s="19"/>
      <c r="CBF49" s="19"/>
      <c r="CBG49" s="19"/>
      <c r="CBH49" s="19"/>
      <c r="CBI49" s="19"/>
      <c r="CBJ49" s="19"/>
      <c r="CBK49" s="19"/>
      <c r="CBL49" s="19"/>
      <c r="CBM49" s="19"/>
      <c r="CBN49" s="19"/>
      <c r="CBO49" s="19"/>
      <c r="CBP49" s="19"/>
      <c r="CBQ49" s="19"/>
      <c r="CBR49" s="19"/>
      <c r="CBS49" s="19"/>
      <c r="CBT49" s="19"/>
      <c r="CBU49" s="19"/>
      <c r="CBV49" s="19"/>
      <c r="CBW49" s="19"/>
      <c r="CBX49" s="19"/>
      <c r="CBY49" s="19"/>
      <c r="CBZ49" s="19"/>
      <c r="CCA49" s="19"/>
      <c r="CCB49" s="19"/>
      <c r="CCC49" s="19"/>
      <c r="CCD49" s="19"/>
      <c r="CCE49" s="19"/>
      <c r="CCF49" s="19"/>
      <c r="CCG49" s="19"/>
      <c r="CCH49" s="19"/>
      <c r="CCI49" s="19"/>
      <c r="CCJ49" s="19"/>
      <c r="CCK49" s="19"/>
      <c r="CCL49" s="19"/>
      <c r="CCM49" s="19"/>
      <c r="CCN49" s="19"/>
      <c r="CCO49" s="19"/>
      <c r="CCP49" s="19"/>
      <c r="CCQ49" s="19"/>
      <c r="CCR49" s="19"/>
      <c r="CCS49" s="19"/>
      <c r="CCT49" s="19"/>
      <c r="CCU49" s="19"/>
      <c r="CCV49" s="19"/>
      <c r="CCW49" s="19"/>
      <c r="CCX49" s="19"/>
      <c r="CCY49" s="19"/>
      <c r="CCZ49" s="19"/>
      <c r="CDA49" s="19"/>
      <c r="CDB49" s="19"/>
      <c r="CDC49" s="19"/>
      <c r="CDD49" s="19"/>
      <c r="CDE49" s="19"/>
      <c r="CDF49" s="19"/>
      <c r="CDG49" s="19"/>
      <c r="CDH49" s="19"/>
      <c r="CDI49" s="19"/>
      <c r="CDJ49" s="19"/>
      <c r="CDK49" s="19"/>
      <c r="CDL49" s="19"/>
      <c r="CDM49" s="19"/>
      <c r="CDN49" s="19"/>
      <c r="CDO49" s="19"/>
      <c r="CDP49" s="19"/>
      <c r="CDQ49" s="19"/>
      <c r="CDR49" s="19"/>
      <c r="CDS49" s="19"/>
      <c r="CDT49" s="19"/>
      <c r="CDU49" s="19"/>
      <c r="CDV49" s="19"/>
      <c r="CDW49" s="19"/>
      <c r="CDX49" s="19"/>
      <c r="CDY49" s="19"/>
      <c r="CDZ49" s="19"/>
      <c r="CEA49" s="19"/>
      <c r="CEB49" s="19"/>
      <c r="CEC49" s="19"/>
      <c r="CED49" s="19"/>
      <c r="CEE49" s="19"/>
      <c r="CEF49" s="19"/>
      <c r="CEG49" s="19"/>
      <c r="CEH49" s="19"/>
      <c r="CEI49" s="19"/>
      <c r="CEJ49" s="19"/>
      <c r="CEK49" s="19"/>
      <c r="CEL49" s="19"/>
      <c r="CEM49" s="19"/>
      <c r="CEN49" s="19"/>
      <c r="CEO49" s="19"/>
      <c r="CEP49" s="19"/>
      <c r="CEQ49" s="19"/>
      <c r="CER49" s="19"/>
      <c r="CES49" s="19"/>
      <c r="CET49" s="19"/>
      <c r="CEU49" s="19"/>
      <c r="CEV49" s="19"/>
      <c r="CEW49" s="19"/>
      <c r="CEX49" s="19"/>
      <c r="CEY49" s="19"/>
      <c r="CEZ49" s="19"/>
      <c r="CFA49" s="19"/>
      <c r="CFB49" s="19"/>
      <c r="CFC49" s="19"/>
      <c r="CFD49" s="19"/>
      <c r="CFE49" s="19"/>
      <c r="CFF49" s="19"/>
      <c r="CFG49" s="19"/>
      <c r="CFH49" s="19"/>
      <c r="CFI49" s="19"/>
      <c r="CFJ49" s="19"/>
      <c r="CFK49" s="19"/>
      <c r="CFL49" s="19"/>
      <c r="CFM49" s="19"/>
      <c r="CFN49" s="19"/>
      <c r="CFO49" s="19"/>
      <c r="CFP49" s="19"/>
      <c r="CFQ49" s="19"/>
      <c r="CFR49" s="19"/>
      <c r="CFS49" s="19"/>
      <c r="CFT49" s="19"/>
      <c r="CFU49" s="19"/>
      <c r="CFV49" s="19"/>
      <c r="CFW49" s="19"/>
      <c r="CFX49" s="19"/>
      <c r="CFY49" s="19"/>
      <c r="CFZ49" s="19"/>
      <c r="CGA49" s="19"/>
      <c r="CGB49" s="19"/>
      <c r="CGC49" s="19"/>
      <c r="CGD49" s="19"/>
      <c r="CGE49" s="19"/>
      <c r="CGF49" s="19"/>
      <c r="CGG49" s="19"/>
      <c r="CGH49" s="19"/>
      <c r="CGI49" s="19"/>
      <c r="CGJ49" s="19"/>
      <c r="CGK49" s="19"/>
      <c r="CGL49" s="19"/>
      <c r="CGM49" s="19"/>
      <c r="CGN49" s="19"/>
      <c r="CGO49" s="19"/>
      <c r="CGP49" s="19"/>
      <c r="CGQ49" s="19"/>
      <c r="CGR49" s="19"/>
      <c r="CGS49" s="19"/>
      <c r="CGT49" s="19"/>
      <c r="CGU49" s="19"/>
      <c r="CGV49" s="19"/>
      <c r="CGW49" s="19"/>
      <c r="CGX49" s="19"/>
      <c r="CGY49" s="19"/>
      <c r="CGZ49" s="19"/>
      <c r="CHA49" s="19"/>
      <c r="CHB49" s="19"/>
      <c r="CHC49" s="19"/>
      <c r="CHD49" s="19"/>
      <c r="CHE49" s="19"/>
      <c r="CHF49" s="19"/>
      <c r="CHG49" s="19"/>
      <c r="CHH49" s="19"/>
      <c r="CHI49" s="19"/>
      <c r="CHJ49" s="19"/>
      <c r="CHK49" s="19"/>
      <c r="CHL49" s="19"/>
      <c r="CHM49" s="19"/>
      <c r="CHN49" s="19"/>
      <c r="CHO49" s="19"/>
      <c r="CHP49" s="19"/>
      <c r="CHQ49" s="19"/>
      <c r="CHR49" s="19"/>
      <c r="CHS49" s="19"/>
      <c r="CHT49" s="19"/>
      <c r="CHU49" s="19"/>
      <c r="CHV49" s="19"/>
      <c r="CHW49" s="19"/>
      <c r="CHX49" s="19"/>
      <c r="CHY49" s="19"/>
      <c r="CHZ49" s="19"/>
      <c r="CIA49" s="19"/>
      <c r="CIB49" s="19"/>
      <c r="CIC49" s="19"/>
      <c r="CID49" s="19"/>
      <c r="CIE49" s="19"/>
      <c r="CIF49" s="19"/>
      <c r="CIG49" s="19"/>
      <c r="CIH49" s="19"/>
      <c r="CII49" s="19"/>
      <c r="CIJ49" s="19"/>
      <c r="CIK49" s="19"/>
      <c r="CIL49" s="19"/>
      <c r="CIM49" s="19"/>
      <c r="CIN49" s="19"/>
      <c r="CIO49" s="19"/>
      <c r="CIP49" s="19"/>
      <c r="CIQ49" s="19"/>
      <c r="CIR49" s="19"/>
      <c r="CIS49" s="19"/>
      <c r="CIT49" s="19"/>
      <c r="CIU49" s="19"/>
      <c r="CIV49" s="19"/>
      <c r="CIW49" s="19"/>
      <c r="CIX49" s="19"/>
      <c r="CIY49" s="19"/>
      <c r="CIZ49" s="19"/>
      <c r="CJA49" s="19"/>
      <c r="CJB49" s="19"/>
      <c r="CJC49" s="19"/>
      <c r="CJD49" s="19"/>
      <c r="CJE49" s="19"/>
      <c r="CJF49" s="19"/>
      <c r="CJG49" s="19"/>
      <c r="CJH49" s="19"/>
      <c r="CJI49" s="19"/>
      <c r="CJJ49" s="19"/>
      <c r="CJK49" s="19"/>
      <c r="CJL49" s="19"/>
      <c r="CJM49" s="19"/>
      <c r="CJN49" s="19"/>
      <c r="CJO49" s="19"/>
      <c r="CJP49" s="19"/>
      <c r="CJQ49" s="19"/>
      <c r="CJR49" s="19"/>
      <c r="CJS49" s="19"/>
      <c r="CJT49" s="19"/>
      <c r="CJU49" s="19"/>
      <c r="CJV49" s="19"/>
      <c r="CJW49" s="19"/>
      <c r="CJX49" s="19"/>
      <c r="CJY49" s="19"/>
      <c r="CJZ49" s="19"/>
      <c r="CKA49" s="19"/>
      <c r="CKB49" s="19"/>
      <c r="CKC49" s="19"/>
      <c r="CKD49" s="19"/>
      <c r="CKE49" s="19"/>
      <c r="CKF49" s="19"/>
      <c r="CKG49" s="19"/>
      <c r="CKH49" s="19"/>
      <c r="CKI49" s="19"/>
      <c r="CKJ49" s="19"/>
      <c r="CKK49" s="19"/>
      <c r="CKL49" s="19"/>
      <c r="CKM49" s="19"/>
      <c r="CKN49" s="19"/>
      <c r="CKO49" s="19"/>
      <c r="CKP49" s="19"/>
      <c r="CKQ49" s="19"/>
      <c r="CKR49" s="19"/>
      <c r="CKS49" s="19"/>
      <c r="CKT49" s="19"/>
      <c r="CKU49" s="19"/>
      <c r="CKV49" s="19"/>
      <c r="CKW49" s="19"/>
      <c r="CKX49" s="19"/>
      <c r="CKY49" s="19"/>
      <c r="CKZ49" s="19"/>
      <c r="CLA49" s="19"/>
      <c r="CLB49" s="19"/>
      <c r="CLC49" s="19"/>
      <c r="CLD49" s="19"/>
      <c r="CLE49" s="19"/>
      <c r="CLF49" s="19"/>
      <c r="CLG49" s="19"/>
      <c r="CLH49" s="19"/>
      <c r="CLI49" s="19"/>
      <c r="CLJ49" s="19"/>
      <c r="CLK49" s="19"/>
      <c r="CLL49" s="19"/>
      <c r="CLM49" s="19"/>
      <c r="CLN49" s="19"/>
      <c r="CLO49" s="19"/>
      <c r="CLP49" s="19"/>
      <c r="CLQ49" s="19"/>
      <c r="CLR49" s="19"/>
      <c r="CLS49" s="19"/>
      <c r="CLT49" s="19"/>
      <c r="CLU49" s="19"/>
      <c r="CLV49" s="19"/>
      <c r="CLW49" s="19"/>
      <c r="CLX49" s="19"/>
      <c r="CLY49" s="19"/>
      <c r="CLZ49" s="19"/>
      <c r="CMA49" s="19"/>
      <c r="CMB49" s="19"/>
      <c r="CMC49" s="19"/>
      <c r="CMD49" s="19"/>
      <c r="CME49" s="19"/>
      <c r="CMF49" s="19"/>
      <c r="CMG49" s="19"/>
      <c r="CMH49" s="19"/>
      <c r="CMI49" s="19"/>
      <c r="CMJ49" s="19"/>
      <c r="CMK49" s="19"/>
      <c r="CML49" s="19"/>
      <c r="CMM49" s="19"/>
      <c r="CMN49" s="19"/>
      <c r="CMO49" s="19"/>
      <c r="CMP49" s="19"/>
      <c r="CMQ49" s="19"/>
      <c r="CMR49" s="19"/>
      <c r="CMS49" s="19"/>
      <c r="CMT49" s="19"/>
      <c r="CMU49" s="19"/>
      <c r="CMV49" s="19"/>
      <c r="CMW49" s="19"/>
      <c r="CMX49" s="19"/>
      <c r="CMY49" s="19"/>
      <c r="CMZ49" s="19"/>
      <c r="CNA49" s="19"/>
      <c r="CNB49" s="19"/>
      <c r="CNC49" s="19"/>
      <c r="CND49" s="19"/>
      <c r="CNE49" s="19"/>
      <c r="CNF49" s="19"/>
      <c r="CNG49" s="19"/>
      <c r="CNH49" s="19"/>
      <c r="CNI49" s="19"/>
      <c r="CNJ49" s="19"/>
      <c r="CNK49" s="19"/>
      <c r="CNL49" s="19"/>
      <c r="CNM49" s="19"/>
      <c r="CNN49" s="19"/>
      <c r="CNO49" s="19"/>
      <c r="CNP49" s="19"/>
      <c r="CNQ49" s="19"/>
      <c r="CNR49" s="19"/>
      <c r="CNS49" s="19"/>
      <c r="CNT49" s="19"/>
      <c r="CNU49" s="19"/>
      <c r="CNV49" s="19"/>
      <c r="CNW49" s="19"/>
      <c r="CNX49" s="19"/>
      <c r="CNY49" s="19"/>
      <c r="CNZ49" s="19"/>
      <c r="COA49" s="19"/>
      <c r="COB49" s="19"/>
      <c r="COC49" s="19"/>
      <c r="COD49" s="19"/>
      <c r="COE49" s="19"/>
      <c r="COF49" s="19"/>
      <c r="COG49" s="19"/>
      <c r="COH49" s="19"/>
      <c r="COI49" s="19"/>
      <c r="COJ49" s="19"/>
      <c r="COK49" s="19"/>
      <c r="COL49" s="19"/>
      <c r="COM49" s="19"/>
      <c r="CON49" s="19"/>
      <c r="COO49" s="19"/>
      <c r="COP49" s="19"/>
      <c r="COQ49" s="19"/>
      <c r="COR49" s="19"/>
      <c r="COS49" s="19"/>
      <c r="COT49" s="19"/>
      <c r="COU49" s="19"/>
      <c r="COV49" s="19"/>
      <c r="COW49" s="19"/>
      <c r="COX49" s="19"/>
      <c r="COY49" s="19"/>
      <c r="COZ49" s="19"/>
      <c r="CPA49" s="19"/>
      <c r="CPB49" s="19"/>
      <c r="CPC49" s="19"/>
      <c r="CPD49" s="19"/>
      <c r="CPE49" s="19"/>
      <c r="CPF49" s="19"/>
      <c r="CPG49" s="19"/>
      <c r="CPH49" s="19"/>
      <c r="CPI49" s="19"/>
      <c r="CPJ49" s="19"/>
      <c r="CPK49" s="19"/>
      <c r="CPL49" s="19"/>
      <c r="CPM49" s="19"/>
      <c r="CPN49" s="19"/>
      <c r="CPO49" s="19"/>
      <c r="CPP49" s="19"/>
      <c r="CPQ49" s="19"/>
      <c r="CPR49" s="19"/>
      <c r="CPS49" s="19"/>
      <c r="CPT49" s="19"/>
      <c r="CPU49" s="19"/>
      <c r="CPV49" s="19"/>
      <c r="CPW49" s="19"/>
      <c r="CPX49" s="19"/>
      <c r="CPY49" s="19"/>
      <c r="CPZ49" s="19"/>
      <c r="CQA49" s="19"/>
      <c r="CQB49" s="19"/>
      <c r="CQC49" s="19"/>
      <c r="CQD49" s="19"/>
      <c r="CQE49" s="19"/>
      <c r="CQF49" s="19"/>
      <c r="CQG49" s="19"/>
      <c r="CQH49" s="19"/>
      <c r="CQI49" s="19"/>
      <c r="CQJ49" s="19"/>
      <c r="CQK49" s="19"/>
      <c r="CQL49" s="19"/>
      <c r="CQM49" s="19"/>
      <c r="CQN49" s="19"/>
      <c r="CQO49" s="19"/>
      <c r="CQP49" s="19"/>
      <c r="CQQ49" s="19"/>
      <c r="CQR49" s="19"/>
      <c r="CQS49" s="19"/>
      <c r="CQT49" s="19"/>
      <c r="CQU49" s="19"/>
      <c r="CQV49" s="19"/>
      <c r="CQW49" s="19"/>
      <c r="CQX49" s="19"/>
      <c r="CQY49" s="19"/>
      <c r="CQZ49" s="19"/>
      <c r="CRA49" s="19"/>
      <c r="CRB49" s="19"/>
      <c r="CRC49" s="19"/>
      <c r="CRD49" s="19"/>
      <c r="CRE49" s="19"/>
      <c r="CRF49" s="19"/>
      <c r="CRG49" s="19"/>
      <c r="CRH49" s="19"/>
      <c r="CRI49" s="19"/>
      <c r="CRJ49" s="19"/>
      <c r="CRK49" s="19"/>
      <c r="CRL49" s="19"/>
      <c r="CRM49" s="19"/>
      <c r="CRN49" s="19"/>
      <c r="CRO49" s="19"/>
      <c r="CRP49" s="19"/>
      <c r="CRQ49" s="19"/>
      <c r="CRR49" s="19"/>
      <c r="CRS49" s="19"/>
      <c r="CRT49" s="19"/>
      <c r="CRU49" s="19"/>
      <c r="CRV49" s="19"/>
      <c r="CRW49" s="19"/>
      <c r="CRX49" s="19"/>
      <c r="CRY49" s="19"/>
      <c r="CRZ49" s="19"/>
      <c r="CSA49" s="19"/>
      <c r="CSB49" s="19"/>
      <c r="CSC49" s="19"/>
      <c r="CSD49" s="19"/>
      <c r="CSE49" s="19"/>
      <c r="CSF49" s="19"/>
      <c r="CSG49" s="19"/>
      <c r="CSH49" s="19"/>
      <c r="CSI49" s="19"/>
      <c r="CSJ49" s="19"/>
      <c r="CSK49" s="19"/>
      <c r="CSL49" s="19"/>
      <c r="CSM49" s="19"/>
      <c r="CSN49" s="19"/>
      <c r="CSO49" s="19"/>
      <c r="CSP49" s="19"/>
      <c r="CSQ49" s="19"/>
      <c r="CSR49" s="19"/>
      <c r="CSS49" s="19"/>
      <c r="CST49" s="19"/>
      <c r="CSU49" s="19"/>
      <c r="CSV49" s="19"/>
      <c r="CSW49" s="19"/>
      <c r="CSX49" s="19"/>
      <c r="CSY49" s="19"/>
      <c r="CSZ49" s="19"/>
      <c r="CTA49" s="19"/>
      <c r="CTB49" s="19"/>
      <c r="CTC49" s="19"/>
      <c r="CTD49" s="19"/>
      <c r="CTE49" s="19"/>
      <c r="CTF49" s="19"/>
      <c r="CTG49" s="19"/>
      <c r="CTH49" s="19"/>
      <c r="CTI49" s="19"/>
      <c r="CTJ49" s="19"/>
      <c r="CTK49" s="19"/>
      <c r="CTL49" s="19"/>
      <c r="CTM49" s="19"/>
      <c r="CTN49" s="19"/>
      <c r="CTO49" s="19"/>
      <c r="CTP49" s="19"/>
      <c r="CTQ49" s="19"/>
      <c r="CTR49" s="19"/>
      <c r="CTS49" s="19"/>
      <c r="CTT49" s="19"/>
      <c r="CTU49" s="19"/>
      <c r="CTV49" s="19"/>
      <c r="CTW49" s="19"/>
      <c r="CTX49" s="19"/>
      <c r="CTY49" s="19"/>
      <c r="CTZ49" s="19"/>
      <c r="CUA49" s="19"/>
      <c r="CUB49" s="19"/>
      <c r="CUC49" s="19"/>
      <c r="CUD49" s="19"/>
      <c r="CUE49" s="19"/>
      <c r="CUF49" s="19"/>
      <c r="CUG49" s="19"/>
      <c r="CUH49" s="19"/>
      <c r="CUI49" s="19"/>
      <c r="CUJ49" s="19"/>
      <c r="CUK49" s="19"/>
      <c r="CUL49" s="19"/>
      <c r="CUM49" s="19"/>
      <c r="CUN49" s="19"/>
      <c r="CUO49" s="19"/>
      <c r="CUP49" s="19"/>
      <c r="CUQ49" s="19"/>
      <c r="CUR49" s="19"/>
      <c r="CUS49" s="19"/>
      <c r="CUT49" s="19"/>
      <c r="CUU49" s="19"/>
      <c r="CUV49" s="19"/>
      <c r="CUW49" s="19"/>
      <c r="CUX49" s="19"/>
      <c r="CUY49" s="19"/>
      <c r="CUZ49" s="19"/>
      <c r="CVA49" s="19"/>
      <c r="CVB49" s="19"/>
      <c r="CVC49" s="19"/>
      <c r="CVD49" s="19"/>
      <c r="CVE49" s="19"/>
      <c r="CVF49" s="19"/>
      <c r="CVG49" s="19"/>
      <c r="CVH49" s="19"/>
      <c r="CVI49" s="19"/>
      <c r="CVJ49" s="19"/>
      <c r="CVK49" s="19"/>
      <c r="CVL49" s="19"/>
      <c r="CVM49" s="19"/>
      <c r="CVN49" s="19"/>
      <c r="CVO49" s="19"/>
      <c r="CVP49" s="19"/>
      <c r="CVQ49" s="19"/>
      <c r="CVR49" s="19"/>
      <c r="CVS49" s="19"/>
      <c r="CVT49" s="19"/>
      <c r="CVU49" s="19"/>
      <c r="CVV49" s="19"/>
      <c r="CVW49" s="19"/>
      <c r="CVX49" s="19"/>
      <c r="CVY49" s="19"/>
      <c r="CVZ49" s="19"/>
      <c r="CWA49" s="19"/>
      <c r="CWB49" s="19"/>
      <c r="CWC49" s="19"/>
      <c r="CWD49" s="19"/>
      <c r="CWE49" s="19"/>
      <c r="CWF49" s="19"/>
      <c r="CWG49" s="19"/>
      <c r="CWH49" s="19"/>
      <c r="CWI49" s="19"/>
      <c r="CWJ49" s="19"/>
      <c r="CWK49" s="19"/>
      <c r="CWL49" s="19"/>
      <c r="CWM49" s="19"/>
      <c r="CWN49" s="19"/>
      <c r="CWO49" s="19"/>
      <c r="CWP49" s="19"/>
      <c r="CWQ49" s="19"/>
      <c r="CWR49" s="19"/>
      <c r="CWS49" s="19"/>
      <c r="CWT49" s="19"/>
      <c r="CWU49" s="19"/>
      <c r="CWV49" s="19"/>
      <c r="CWW49" s="19"/>
      <c r="CWX49" s="19"/>
      <c r="CWY49" s="19"/>
      <c r="CWZ49" s="19"/>
      <c r="CXA49" s="19"/>
      <c r="CXB49" s="19"/>
      <c r="CXC49" s="19"/>
      <c r="CXD49" s="19"/>
      <c r="CXE49" s="19"/>
      <c r="CXF49" s="19"/>
      <c r="CXG49" s="19"/>
      <c r="CXH49" s="19"/>
      <c r="CXI49" s="19"/>
      <c r="CXJ49" s="19"/>
      <c r="CXK49" s="19"/>
      <c r="CXL49" s="19"/>
      <c r="CXM49" s="19"/>
      <c r="CXN49" s="19"/>
      <c r="CXO49" s="19"/>
      <c r="CXP49" s="19"/>
      <c r="CXQ49" s="19"/>
      <c r="CXR49" s="19"/>
      <c r="CXS49" s="19"/>
      <c r="CXT49" s="19"/>
      <c r="CXU49" s="19"/>
      <c r="CXV49" s="19"/>
      <c r="CXW49" s="19"/>
      <c r="CXX49" s="19"/>
      <c r="CXY49" s="19"/>
      <c r="CXZ49" s="19"/>
      <c r="CYA49" s="19"/>
      <c r="CYB49" s="19"/>
      <c r="CYC49" s="19"/>
      <c r="CYD49" s="19"/>
      <c r="CYE49" s="19"/>
      <c r="CYF49" s="19"/>
      <c r="CYG49" s="19"/>
      <c r="CYH49" s="19"/>
      <c r="CYI49" s="19"/>
      <c r="CYJ49" s="19"/>
      <c r="CYK49" s="19"/>
      <c r="CYL49" s="19"/>
      <c r="CYM49" s="19"/>
      <c r="CYN49" s="19"/>
      <c r="CYO49" s="19"/>
      <c r="CYP49" s="19"/>
      <c r="CYQ49" s="19"/>
      <c r="CYR49" s="19"/>
      <c r="CYS49" s="19"/>
      <c r="CYT49" s="19"/>
      <c r="CYU49" s="19"/>
      <c r="CYV49" s="19"/>
      <c r="CYW49" s="19"/>
      <c r="CYX49" s="19"/>
      <c r="CYY49" s="19"/>
      <c r="CYZ49" s="19"/>
      <c r="CZA49" s="19"/>
      <c r="CZB49" s="19"/>
      <c r="CZC49" s="19"/>
      <c r="CZD49" s="19"/>
      <c r="CZE49" s="19"/>
      <c r="CZF49" s="19"/>
      <c r="CZG49" s="19"/>
      <c r="CZH49" s="19"/>
      <c r="CZI49" s="19"/>
      <c r="CZJ49" s="19"/>
      <c r="CZK49" s="19"/>
      <c r="CZL49" s="19"/>
      <c r="CZM49" s="19"/>
      <c r="CZN49" s="19"/>
      <c r="CZO49" s="19"/>
      <c r="CZP49" s="19"/>
      <c r="CZQ49" s="19"/>
      <c r="CZR49" s="19"/>
      <c r="CZS49" s="19"/>
      <c r="CZT49" s="19"/>
      <c r="CZU49" s="19"/>
      <c r="CZV49" s="19"/>
      <c r="CZW49" s="19"/>
      <c r="CZX49" s="19"/>
      <c r="CZY49" s="19"/>
      <c r="CZZ49" s="19"/>
      <c r="DAA49" s="19"/>
      <c r="DAB49" s="19"/>
      <c r="DAC49" s="19"/>
      <c r="DAD49" s="19"/>
      <c r="DAE49" s="19"/>
      <c r="DAF49" s="19"/>
      <c r="DAG49" s="19"/>
      <c r="DAH49" s="19"/>
      <c r="DAI49" s="19"/>
      <c r="DAJ49" s="19"/>
      <c r="DAK49" s="19"/>
      <c r="DAL49" s="19"/>
      <c r="DAM49" s="19"/>
      <c r="DAN49" s="19"/>
      <c r="DAO49" s="19"/>
      <c r="DAP49" s="19"/>
      <c r="DAQ49" s="19"/>
      <c r="DAR49" s="19"/>
      <c r="DAS49" s="19"/>
      <c r="DAT49" s="19"/>
      <c r="DAU49" s="19"/>
      <c r="DAV49" s="19"/>
      <c r="DAW49" s="19"/>
      <c r="DAX49" s="19"/>
      <c r="DAY49" s="19"/>
      <c r="DAZ49" s="19"/>
      <c r="DBA49" s="19"/>
      <c r="DBB49" s="19"/>
      <c r="DBC49" s="19"/>
      <c r="DBD49" s="19"/>
      <c r="DBE49" s="19"/>
      <c r="DBF49" s="19"/>
      <c r="DBG49" s="19"/>
      <c r="DBH49" s="19"/>
      <c r="DBI49" s="19"/>
      <c r="DBJ49" s="19"/>
      <c r="DBK49" s="19"/>
      <c r="DBL49" s="19"/>
      <c r="DBM49" s="19"/>
      <c r="DBN49" s="19"/>
      <c r="DBO49" s="19"/>
      <c r="DBP49" s="19"/>
      <c r="DBQ49" s="19"/>
      <c r="DBR49" s="19"/>
      <c r="DBS49" s="19"/>
      <c r="DBT49" s="19"/>
      <c r="DBU49" s="19"/>
      <c r="DBV49" s="19"/>
      <c r="DBW49" s="19"/>
      <c r="DBX49" s="19"/>
      <c r="DBY49" s="19"/>
      <c r="DBZ49" s="19"/>
      <c r="DCA49" s="19"/>
      <c r="DCB49" s="19"/>
      <c r="DCC49" s="19"/>
      <c r="DCD49" s="19"/>
      <c r="DCE49" s="19"/>
      <c r="DCF49" s="19"/>
      <c r="DCG49" s="19"/>
      <c r="DCH49" s="19"/>
      <c r="DCI49" s="19"/>
      <c r="DCJ49" s="19"/>
      <c r="DCK49" s="19"/>
      <c r="DCL49" s="19"/>
      <c r="DCM49" s="19"/>
      <c r="DCN49" s="19"/>
      <c r="DCO49" s="19"/>
      <c r="DCP49" s="19"/>
      <c r="DCQ49" s="19"/>
      <c r="DCR49" s="19"/>
      <c r="DCS49" s="19"/>
      <c r="DCT49" s="19"/>
      <c r="DCU49" s="19"/>
      <c r="DCV49" s="19"/>
      <c r="DCW49" s="19"/>
      <c r="DCX49" s="19"/>
      <c r="DCY49" s="19"/>
      <c r="DCZ49" s="19"/>
      <c r="DDA49" s="19"/>
      <c r="DDB49" s="19"/>
      <c r="DDC49" s="19"/>
      <c r="DDD49" s="19"/>
      <c r="DDE49" s="19"/>
      <c r="DDF49" s="19"/>
      <c r="DDG49" s="19"/>
      <c r="DDH49" s="19"/>
      <c r="DDI49" s="19"/>
      <c r="DDJ49" s="19"/>
      <c r="DDK49" s="19"/>
      <c r="DDL49" s="19"/>
      <c r="DDM49" s="19"/>
      <c r="DDN49" s="19"/>
      <c r="DDO49" s="19"/>
      <c r="DDP49" s="19"/>
      <c r="DDQ49" s="19"/>
      <c r="DDR49" s="19"/>
      <c r="DDS49" s="19"/>
      <c r="DDT49" s="19"/>
      <c r="DDU49" s="19"/>
      <c r="DDV49" s="19"/>
      <c r="DDW49" s="19"/>
      <c r="DDX49" s="19"/>
      <c r="DDY49" s="19"/>
      <c r="DDZ49" s="19"/>
      <c r="DEA49" s="19"/>
      <c r="DEB49" s="19"/>
      <c r="DEC49" s="19"/>
      <c r="DED49" s="19"/>
      <c r="DEE49" s="19"/>
      <c r="DEF49" s="19"/>
      <c r="DEG49" s="19"/>
      <c r="DEH49" s="19"/>
      <c r="DEI49" s="19"/>
      <c r="DEJ49" s="19"/>
      <c r="DEK49" s="19"/>
      <c r="DEL49" s="19"/>
      <c r="DEM49" s="19"/>
      <c r="DEN49" s="19"/>
      <c r="DEO49" s="19"/>
      <c r="DEP49" s="19"/>
      <c r="DEQ49" s="19"/>
      <c r="DER49" s="19"/>
      <c r="DES49" s="19"/>
      <c r="DET49" s="19"/>
      <c r="DEU49" s="19"/>
      <c r="DEV49" s="19"/>
      <c r="DEW49" s="19"/>
      <c r="DEX49" s="19"/>
      <c r="DEY49" s="19"/>
      <c r="DEZ49" s="19"/>
      <c r="DFA49" s="19"/>
      <c r="DFB49" s="19"/>
      <c r="DFC49" s="19"/>
      <c r="DFD49" s="19"/>
      <c r="DFE49" s="19"/>
      <c r="DFF49" s="19"/>
      <c r="DFG49" s="19"/>
      <c r="DFH49" s="19"/>
      <c r="DFI49" s="19"/>
      <c r="DFJ49" s="19"/>
      <c r="DFK49" s="19"/>
      <c r="DFL49" s="19"/>
      <c r="DFM49" s="19"/>
      <c r="DFN49" s="19"/>
      <c r="DFO49" s="19"/>
      <c r="DFP49" s="19"/>
      <c r="DFQ49" s="19"/>
      <c r="DFR49" s="19"/>
      <c r="DFS49" s="19"/>
      <c r="DFT49" s="19"/>
      <c r="DFU49" s="19"/>
      <c r="DFV49" s="19"/>
      <c r="DFW49" s="19"/>
      <c r="DFX49" s="19"/>
      <c r="DFY49" s="19"/>
      <c r="DFZ49" s="19"/>
      <c r="DGA49" s="19"/>
      <c r="DGB49" s="19"/>
      <c r="DGC49" s="19"/>
      <c r="DGD49" s="19"/>
      <c r="DGE49" s="19"/>
      <c r="DGF49" s="19"/>
      <c r="DGG49" s="19"/>
      <c r="DGH49" s="19"/>
      <c r="DGI49" s="19"/>
      <c r="DGJ49" s="19"/>
      <c r="DGK49" s="19"/>
      <c r="DGL49" s="19"/>
      <c r="DGM49" s="19"/>
      <c r="DGN49" s="19"/>
      <c r="DGO49" s="19"/>
      <c r="DGP49" s="19"/>
      <c r="DGQ49" s="19"/>
      <c r="DGR49" s="19"/>
      <c r="DGS49" s="19"/>
      <c r="DGT49" s="19"/>
      <c r="DGU49" s="19"/>
      <c r="DGV49" s="19"/>
      <c r="DGW49" s="19"/>
      <c r="DGX49" s="19"/>
      <c r="DGY49" s="19"/>
      <c r="DGZ49" s="19"/>
      <c r="DHA49" s="19"/>
      <c r="DHB49" s="19"/>
      <c r="DHC49" s="19"/>
      <c r="DHD49" s="19"/>
      <c r="DHE49" s="19"/>
      <c r="DHF49" s="19"/>
      <c r="DHG49" s="19"/>
      <c r="DHH49" s="19"/>
      <c r="DHI49" s="19"/>
      <c r="DHJ49" s="19"/>
      <c r="DHK49" s="19"/>
      <c r="DHL49" s="19"/>
      <c r="DHM49" s="19"/>
      <c r="DHN49" s="19"/>
      <c r="DHO49" s="19"/>
      <c r="DHP49" s="19"/>
      <c r="DHQ49" s="19"/>
      <c r="DHR49" s="19"/>
      <c r="DHS49" s="19"/>
      <c r="DHT49" s="19"/>
      <c r="DHU49" s="19"/>
      <c r="DHV49" s="19"/>
      <c r="DHW49" s="19"/>
      <c r="DHX49" s="19"/>
      <c r="DHY49" s="19"/>
      <c r="DHZ49" s="19"/>
      <c r="DIA49" s="19"/>
      <c r="DIB49" s="19"/>
      <c r="DIC49" s="19"/>
      <c r="DID49" s="19"/>
      <c r="DIE49" s="19"/>
      <c r="DIF49" s="19"/>
      <c r="DIG49" s="19"/>
      <c r="DIH49" s="19"/>
      <c r="DII49" s="19"/>
      <c r="DIJ49" s="19"/>
      <c r="DIK49" s="19"/>
      <c r="DIL49" s="19"/>
      <c r="DIM49" s="19"/>
      <c r="DIN49" s="19"/>
      <c r="DIO49" s="19"/>
      <c r="DIP49" s="19"/>
      <c r="DIQ49" s="19"/>
      <c r="DIR49" s="19"/>
      <c r="DIS49" s="19"/>
      <c r="DIT49" s="19"/>
      <c r="DIU49" s="19"/>
      <c r="DIV49" s="19"/>
      <c r="DIW49" s="19"/>
      <c r="DIX49" s="19"/>
      <c r="DIY49" s="19"/>
      <c r="DIZ49" s="19"/>
      <c r="DJA49" s="19"/>
      <c r="DJB49" s="19"/>
      <c r="DJC49" s="19"/>
      <c r="DJD49" s="19"/>
      <c r="DJE49" s="19"/>
      <c r="DJF49" s="19"/>
      <c r="DJG49" s="19"/>
      <c r="DJH49" s="19"/>
      <c r="DJI49" s="19"/>
      <c r="DJJ49" s="19"/>
      <c r="DJK49" s="19"/>
      <c r="DJL49" s="19"/>
      <c r="DJM49" s="19"/>
      <c r="DJN49" s="19"/>
      <c r="DJO49" s="19"/>
      <c r="DJP49" s="19"/>
      <c r="DJQ49" s="19"/>
      <c r="DJR49" s="19"/>
      <c r="DJS49" s="19"/>
      <c r="DJT49" s="19"/>
      <c r="DJU49" s="19"/>
      <c r="DJV49" s="19"/>
      <c r="DJW49" s="19"/>
      <c r="DJX49" s="19"/>
      <c r="DJY49" s="19"/>
      <c r="DJZ49" s="19"/>
      <c r="DKA49" s="19"/>
      <c r="DKB49" s="19"/>
      <c r="DKC49" s="19"/>
      <c r="DKD49" s="19"/>
      <c r="DKE49" s="19"/>
      <c r="DKF49" s="19"/>
      <c r="DKG49" s="19"/>
      <c r="DKH49" s="19"/>
      <c r="DKI49" s="19"/>
      <c r="DKJ49" s="19"/>
      <c r="DKK49" s="19"/>
      <c r="DKL49" s="19"/>
      <c r="DKM49" s="19"/>
      <c r="DKN49" s="19"/>
      <c r="DKO49" s="19"/>
      <c r="DKP49" s="19"/>
      <c r="DKQ49" s="19"/>
      <c r="DKR49" s="19"/>
      <c r="DKS49" s="19"/>
      <c r="DKT49" s="19"/>
      <c r="DKU49" s="19"/>
      <c r="DKV49" s="19"/>
      <c r="DKW49" s="19"/>
      <c r="DKX49" s="19"/>
      <c r="DKY49" s="19"/>
      <c r="DKZ49" s="19"/>
      <c r="DLA49" s="19"/>
      <c r="DLB49" s="19"/>
      <c r="DLC49" s="19"/>
      <c r="DLD49" s="19"/>
      <c r="DLE49" s="19"/>
      <c r="DLF49" s="19"/>
      <c r="DLG49" s="19"/>
      <c r="DLH49" s="19"/>
      <c r="DLI49" s="19"/>
      <c r="DLJ49" s="19"/>
      <c r="DLK49" s="19"/>
      <c r="DLL49" s="19"/>
      <c r="DLM49" s="19"/>
      <c r="DLN49" s="19"/>
      <c r="DLO49" s="19"/>
      <c r="DLP49" s="19"/>
      <c r="DLQ49" s="19"/>
      <c r="DLR49" s="19"/>
      <c r="DLS49" s="19"/>
      <c r="DLT49" s="19"/>
      <c r="DLU49" s="19"/>
      <c r="DLV49" s="19"/>
      <c r="DLW49" s="19"/>
      <c r="DLX49" s="19"/>
      <c r="DLY49" s="19"/>
      <c r="DLZ49" s="19"/>
      <c r="DMA49" s="19"/>
      <c r="DMB49" s="19"/>
      <c r="DMC49" s="19"/>
      <c r="DMD49" s="19"/>
      <c r="DME49" s="19"/>
      <c r="DMF49" s="19"/>
      <c r="DMG49" s="19"/>
      <c r="DMH49" s="19"/>
      <c r="DMI49" s="19"/>
      <c r="DMJ49" s="19"/>
      <c r="DMK49" s="19"/>
      <c r="DML49" s="19"/>
      <c r="DMM49" s="19"/>
      <c r="DMN49" s="19"/>
      <c r="DMO49" s="19"/>
      <c r="DMP49" s="19"/>
      <c r="DMQ49" s="19"/>
      <c r="DMR49" s="19"/>
      <c r="DMS49" s="19"/>
      <c r="DMT49" s="19"/>
      <c r="DMU49" s="19"/>
      <c r="DMV49" s="19"/>
      <c r="DMW49" s="19"/>
      <c r="DMX49" s="19"/>
      <c r="DMY49" s="19"/>
      <c r="DMZ49" s="19"/>
      <c r="DNA49" s="19"/>
      <c r="DNB49" s="19"/>
      <c r="DNC49" s="19"/>
      <c r="DND49" s="19"/>
      <c r="DNE49" s="19"/>
      <c r="DNF49" s="19"/>
      <c r="DNG49" s="19"/>
      <c r="DNH49" s="19"/>
      <c r="DNI49" s="19"/>
      <c r="DNJ49" s="19"/>
      <c r="DNK49" s="19"/>
      <c r="DNL49" s="19"/>
      <c r="DNM49" s="19"/>
      <c r="DNN49" s="19"/>
      <c r="DNO49" s="19"/>
      <c r="DNP49" s="19"/>
      <c r="DNQ49" s="19"/>
      <c r="DNR49" s="19"/>
      <c r="DNS49" s="19"/>
      <c r="DNT49" s="19"/>
      <c r="DNU49" s="19"/>
      <c r="DNV49" s="19"/>
      <c r="DNW49" s="19"/>
      <c r="DNX49" s="19"/>
      <c r="DNY49" s="19"/>
      <c r="DNZ49" s="19"/>
      <c r="DOA49" s="19"/>
      <c r="DOB49" s="19"/>
      <c r="DOC49" s="19"/>
      <c r="DOD49" s="19"/>
      <c r="DOE49" s="19"/>
      <c r="DOF49" s="19"/>
      <c r="DOG49" s="19"/>
      <c r="DOH49" s="19"/>
      <c r="DOI49" s="19"/>
      <c r="DOJ49" s="19"/>
      <c r="DOK49" s="19"/>
      <c r="DOL49" s="19"/>
      <c r="DOM49" s="19"/>
      <c r="DON49" s="19"/>
      <c r="DOO49" s="19"/>
      <c r="DOP49" s="19"/>
      <c r="DOQ49" s="19"/>
      <c r="DOR49" s="19"/>
      <c r="DOS49" s="19"/>
      <c r="DOT49" s="19"/>
      <c r="DOU49" s="19"/>
      <c r="DOV49" s="19"/>
      <c r="DOW49" s="19"/>
      <c r="DOX49" s="19"/>
      <c r="DOY49" s="19"/>
      <c r="DOZ49" s="19"/>
      <c r="DPA49" s="19"/>
      <c r="DPB49" s="19"/>
      <c r="DPC49" s="19"/>
      <c r="DPD49" s="19"/>
      <c r="DPE49" s="19"/>
      <c r="DPF49" s="19"/>
      <c r="DPG49" s="19"/>
      <c r="DPH49" s="19"/>
      <c r="DPI49" s="19"/>
      <c r="DPJ49" s="19"/>
      <c r="DPK49" s="19"/>
      <c r="DPL49" s="19"/>
      <c r="DPM49" s="19"/>
      <c r="DPN49" s="19"/>
      <c r="DPO49" s="19"/>
      <c r="DPP49" s="19"/>
      <c r="DPQ49" s="19"/>
      <c r="DPR49" s="19"/>
      <c r="DPS49" s="19"/>
      <c r="DPT49" s="19"/>
      <c r="DPU49" s="19"/>
      <c r="DPV49" s="19"/>
      <c r="DPW49" s="19"/>
      <c r="DPX49" s="19"/>
      <c r="DPY49" s="19"/>
      <c r="DPZ49" s="19"/>
      <c r="DQA49" s="19"/>
      <c r="DQB49" s="19"/>
      <c r="DQC49" s="19"/>
      <c r="DQD49" s="19"/>
      <c r="DQE49" s="19"/>
      <c r="DQF49" s="19"/>
      <c r="DQG49" s="19"/>
      <c r="DQH49" s="19"/>
      <c r="DQI49" s="19"/>
      <c r="DQJ49" s="19"/>
      <c r="DQK49" s="19"/>
      <c r="DQL49" s="19"/>
      <c r="DQM49" s="19"/>
      <c r="DQN49" s="19"/>
      <c r="DQO49" s="19"/>
      <c r="DQP49" s="19"/>
      <c r="DQQ49" s="19"/>
      <c r="DQR49" s="19"/>
      <c r="DQS49" s="19"/>
      <c r="DQT49" s="19"/>
      <c r="DQU49" s="19"/>
      <c r="DQV49" s="19"/>
      <c r="DQW49" s="19"/>
      <c r="DQX49" s="19"/>
      <c r="DQY49" s="19"/>
      <c r="DQZ49" s="19"/>
      <c r="DRA49" s="19"/>
      <c r="DRB49" s="19"/>
      <c r="DRC49" s="19"/>
      <c r="DRD49" s="19"/>
      <c r="DRE49" s="19"/>
      <c r="DRF49" s="19"/>
      <c r="DRG49" s="19"/>
      <c r="DRH49" s="19"/>
      <c r="DRI49" s="19"/>
      <c r="DRJ49" s="19"/>
      <c r="DRK49" s="19"/>
      <c r="DRL49" s="19"/>
      <c r="DRM49" s="19"/>
      <c r="DRN49" s="19"/>
      <c r="DRO49" s="19"/>
      <c r="DRP49" s="19"/>
      <c r="DRQ49" s="19"/>
      <c r="DRR49" s="19"/>
      <c r="DRS49" s="19"/>
      <c r="DRT49" s="19"/>
      <c r="DRU49" s="19"/>
      <c r="DRV49" s="19"/>
      <c r="DRW49" s="19"/>
      <c r="DRX49" s="19"/>
      <c r="DRY49" s="19"/>
      <c r="DRZ49" s="19"/>
      <c r="DSA49" s="19"/>
      <c r="DSB49" s="19"/>
      <c r="DSC49" s="19"/>
      <c r="DSD49" s="19"/>
      <c r="DSE49" s="19"/>
      <c r="DSF49" s="19"/>
      <c r="DSG49" s="19"/>
      <c r="DSH49" s="19"/>
      <c r="DSI49" s="19"/>
      <c r="DSJ49" s="19"/>
      <c r="DSK49" s="19"/>
      <c r="DSL49" s="19"/>
      <c r="DSM49" s="19"/>
      <c r="DSN49" s="19"/>
      <c r="DSO49" s="19"/>
      <c r="DSP49" s="19"/>
      <c r="DSQ49" s="19"/>
      <c r="DSR49" s="19"/>
      <c r="DSS49" s="19"/>
      <c r="DST49" s="19"/>
      <c r="DSU49" s="19"/>
      <c r="DSV49" s="19"/>
      <c r="DSW49" s="19"/>
      <c r="DSX49" s="19"/>
      <c r="DSY49" s="19"/>
      <c r="DSZ49" s="19"/>
      <c r="DTA49" s="19"/>
      <c r="DTB49" s="19"/>
      <c r="DTC49" s="19"/>
      <c r="DTD49" s="19"/>
      <c r="DTE49" s="19"/>
      <c r="DTF49" s="19"/>
      <c r="DTG49" s="19"/>
      <c r="DTH49" s="19"/>
      <c r="DTI49" s="19"/>
      <c r="DTJ49" s="19"/>
      <c r="DTK49" s="19"/>
      <c r="DTL49" s="19"/>
      <c r="DTM49" s="19"/>
      <c r="DTN49" s="19"/>
      <c r="DTO49" s="19"/>
      <c r="DTP49" s="19"/>
      <c r="DTQ49" s="19"/>
      <c r="DTR49" s="19"/>
      <c r="DTS49" s="19"/>
      <c r="DTT49" s="19"/>
      <c r="DTU49" s="19"/>
      <c r="DTV49" s="19"/>
      <c r="DTW49" s="19"/>
      <c r="DTX49" s="19"/>
      <c r="DTY49" s="19"/>
      <c r="DTZ49" s="19"/>
      <c r="DUA49" s="19"/>
      <c r="DUB49" s="19"/>
      <c r="DUC49" s="19"/>
      <c r="DUD49" s="19"/>
      <c r="DUE49" s="19"/>
      <c r="DUF49" s="19"/>
      <c r="DUG49" s="19"/>
      <c r="DUH49" s="19"/>
      <c r="DUI49" s="19"/>
      <c r="DUJ49" s="19"/>
      <c r="DUK49" s="19"/>
      <c r="DUL49" s="19"/>
      <c r="DUM49" s="19"/>
      <c r="DUN49" s="19"/>
      <c r="DUO49" s="19"/>
      <c r="DUP49" s="19"/>
      <c r="DUQ49" s="19"/>
      <c r="DUR49" s="19"/>
      <c r="DUS49" s="19"/>
      <c r="DUT49" s="19"/>
      <c r="DUU49" s="19"/>
      <c r="DUV49" s="19"/>
      <c r="DUW49" s="19"/>
      <c r="DUX49" s="19"/>
      <c r="DUY49" s="19"/>
      <c r="DUZ49" s="19"/>
      <c r="DVA49" s="19"/>
      <c r="DVB49" s="19"/>
      <c r="DVC49" s="19"/>
      <c r="DVD49" s="19"/>
      <c r="DVE49" s="19"/>
      <c r="DVF49" s="19"/>
      <c r="DVG49" s="19"/>
      <c r="DVH49" s="19"/>
      <c r="DVI49" s="19"/>
      <c r="DVJ49" s="19"/>
      <c r="DVK49" s="19"/>
      <c r="DVL49" s="19"/>
      <c r="DVM49" s="19"/>
      <c r="DVN49" s="19"/>
      <c r="DVO49" s="19"/>
      <c r="DVP49" s="19"/>
      <c r="DVQ49" s="19"/>
      <c r="DVR49" s="19"/>
      <c r="DVS49" s="19"/>
      <c r="DVT49" s="19"/>
      <c r="DVU49" s="19"/>
      <c r="DVV49" s="19"/>
      <c r="DVW49" s="19"/>
      <c r="DVX49" s="19"/>
      <c r="DVY49" s="19"/>
      <c r="DVZ49" s="19"/>
      <c r="DWA49" s="19"/>
      <c r="DWB49" s="19"/>
      <c r="DWC49" s="19"/>
      <c r="DWD49" s="19"/>
      <c r="DWE49" s="19"/>
      <c r="DWF49" s="19"/>
      <c r="DWG49" s="19"/>
      <c r="DWH49" s="19"/>
      <c r="DWI49" s="19"/>
      <c r="DWJ49" s="19"/>
      <c r="DWK49" s="19"/>
      <c r="DWL49" s="19"/>
      <c r="DWM49" s="19"/>
      <c r="DWN49" s="19"/>
      <c r="DWO49" s="19"/>
      <c r="DWP49" s="19"/>
      <c r="DWQ49" s="19"/>
      <c r="DWR49" s="19"/>
      <c r="DWS49" s="19"/>
      <c r="DWT49" s="19"/>
      <c r="DWU49" s="19"/>
      <c r="DWV49" s="19"/>
      <c r="DWW49" s="19"/>
      <c r="DWX49" s="19"/>
      <c r="DWY49" s="19"/>
      <c r="DWZ49" s="19"/>
      <c r="DXA49" s="19"/>
      <c r="DXB49" s="19"/>
      <c r="DXC49" s="19"/>
      <c r="DXD49" s="19"/>
      <c r="DXE49" s="19"/>
      <c r="DXF49" s="19"/>
      <c r="DXG49" s="19"/>
      <c r="DXH49" s="19"/>
      <c r="DXI49" s="19"/>
      <c r="DXJ49" s="19"/>
      <c r="DXK49" s="19"/>
      <c r="DXL49" s="19"/>
      <c r="DXM49" s="19"/>
      <c r="DXN49" s="19"/>
      <c r="DXO49" s="19"/>
      <c r="DXP49" s="19"/>
      <c r="DXQ49" s="19"/>
      <c r="DXR49" s="19"/>
      <c r="DXS49" s="19"/>
      <c r="DXT49" s="19"/>
      <c r="DXU49" s="19"/>
      <c r="DXV49" s="19"/>
      <c r="DXW49" s="19"/>
      <c r="DXX49" s="19"/>
      <c r="DXY49" s="19"/>
      <c r="DXZ49" s="19"/>
      <c r="DYA49" s="19"/>
      <c r="DYB49" s="19"/>
      <c r="DYC49" s="19"/>
      <c r="DYD49" s="19"/>
      <c r="DYE49" s="19"/>
      <c r="DYF49" s="19"/>
      <c r="DYG49" s="19"/>
      <c r="DYH49" s="19"/>
      <c r="DYI49" s="19"/>
      <c r="DYJ49" s="19"/>
      <c r="DYK49" s="19"/>
      <c r="DYL49" s="19"/>
      <c r="DYM49" s="19"/>
      <c r="DYN49" s="19"/>
      <c r="DYO49" s="19"/>
      <c r="DYP49" s="19"/>
      <c r="DYQ49" s="19"/>
      <c r="DYR49" s="19"/>
      <c r="DYS49" s="19"/>
      <c r="DYT49" s="19"/>
      <c r="DYU49" s="19"/>
      <c r="DYV49" s="19"/>
      <c r="DYW49" s="19"/>
      <c r="DYX49" s="19"/>
      <c r="DYY49" s="19"/>
      <c r="DYZ49" s="19"/>
      <c r="DZA49" s="19"/>
      <c r="DZB49" s="19"/>
      <c r="DZC49" s="19"/>
      <c r="DZD49" s="19"/>
      <c r="DZE49" s="19"/>
      <c r="DZF49" s="19"/>
      <c r="DZG49" s="19"/>
      <c r="DZH49" s="19"/>
      <c r="DZI49" s="19"/>
      <c r="DZJ49" s="19"/>
      <c r="DZK49" s="19"/>
      <c r="DZL49" s="19"/>
      <c r="DZM49" s="19"/>
      <c r="DZN49" s="19"/>
      <c r="DZO49" s="19"/>
      <c r="DZP49" s="19"/>
      <c r="DZQ49" s="19"/>
      <c r="DZR49" s="19"/>
      <c r="DZS49" s="19"/>
      <c r="DZT49" s="19"/>
      <c r="DZU49" s="19"/>
      <c r="DZV49" s="19"/>
      <c r="DZW49" s="19"/>
      <c r="DZX49" s="19"/>
      <c r="DZY49" s="19"/>
      <c r="DZZ49" s="19"/>
      <c r="EAA49" s="19"/>
      <c r="EAB49" s="19"/>
      <c r="EAC49" s="19"/>
      <c r="EAD49" s="19"/>
      <c r="EAE49" s="19"/>
      <c r="EAF49" s="19"/>
      <c r="EAG49" s="19"/>
      <c r="EAH49" s="19"/>
      <c r="EAI49" s="19"/>
      <c r="EAJ49" s="19"/>
      <c r="EAK49" s="19"/>
      <c r="EAL49" s="19"/>
      <c r="EAM49" s="19"/>
      <c r="EAN49" s="19"/>
      <c r="EAO49" s="19"/>
      <c r="EAP49" s="19"/>
      <c r="EAQ49" s="19"/>
      <c r="EAR49" s="19"/>
      <c r="EAS49" s="19"/>
      <c r="EAT49" s="19"/>
      <c r="EAU49" s="19"/>
      <c r="EAV49" s="19"/>
      <c r="EAW49" s="19"/>
      <c r="EAX49" s="19"/>
      <c r="EAY49" s="19"/>
      <c r="EAZ49" s="19"/>
      <c r="EBA49" s="19"/>
      <c r="EBB49" s="19"/>
      <c r="EBC49" s="19"/>
      <c r="EBD49" s="19"/>
      <c r="EBE49" s="19"/>
      <c r="EBF49" s="19"/>
      <c r="EBG49" s="19"/>
      <c r="EBH49" s="19"/>
      <c r="EBI49" s="19"/>
      <c r="EBJ49" s="19"/>
      <c r="EBK49" s="19"/>
      <c r="EBL49" s="19"/>
      <c r="EBM49" s="19"/>
      <c r="EBN49" s="19"/>
      <c r="EBO49" s="19"/>
      <c r="EBP49" s="19"/>
      <c r="EBQ49" s="19"/>
      <c r="EBR49" s="19"/>
      <c r="EBS49" s="19"/>
      <c r="EBT49" s="19"/>
      <c r="EBU49" s="19"/>
      <c r="EBV49" s="19"/>
      <c r="EBW49" s="19"/>
      <c r="EBX49" s="19"/>
      <c r="EBY49" s="19"/>
      <c r="EBZ49" s="19"/>
      <c r="ECA49" s="19"/>
      <c r="ECB49" s="19"/>
      <c r="ECC49" s="19"/>
      <c r="ECD49" s="19"/>
      <c r="ECE49" s="19"/>
      <c r="ECF49" s="19"/>
      <c r="ECG49" s="19"/>
      <c r="ECH49" s="19"/>
      <c r="ECI49" s="19"/>
      <c r="ECJ49" s="19"/>
      <c r="ECK49" s="19"/>
      <c r="ECL49" s="19"/>
      <c r="ECM49" s="19"/>
      <c r="ECN49" s="19"/>
      <c r="ECO49" s="19"/>
      <c r="ECP49" s="19"/>
      <c r="ECQ49" s="19"/>
      <c r="ECR49" s="19"/>
      <c r="ECS49" s="19"/>
      <c r="ECT49" s="19"/>
      <c r="ECU49" s="19"/>
      <c r="ECV49" s="19"/>
      <c r="ECW49" s="19"/>
      <c r="ECX49" s="19"/>
      <c r="ECY49" s="19"/>
      <c r="ECZ49" s="19"/>
      <c r="EDA49" s="19"/>
      <c r="EDB49" s="19"/>
      <c r="EDC49" s="19"/>
      <c r="EDD49" s="19"/>
      <c r="EDE49" s="19"/>
      <c r="EDF49" s="19"/>
      <c r="EDG49" s="19"/>
      <c r="EDH49" s="19"/>
      <c r="EDI49" s="19"/>
      <c r="EDJ49" s="19"/>
      <c r="EDK49" s="19"/>
      <c r="EDL49" s="19"/>
      <c r="EDM49" s="19"/>
      <c r="EDN49" s="19"/>
      <c r="EDO49" s="19"/>
      <c r="EDP49" s="19"/>
      <c r="EDQ49" s="19"/>
      <c r="EDR49" s="19"/>
      <c r="EDS49" s="19"/>
      <c r="EDT49" s="19"/>
      <c r="EDU49" s="19"/>
      <c r="EDV49" s="19"/>
      <c r="EDW49" s="19"/>
      <c r="EDX49" s="19"/>
      <c r="EDY49" s="19"/>
      <c r="EDZ49" s="19"/>
      <c r="EEA49" s="19"/>
      <c r="EEB49" s="19"/>
      <c r="EEC49" s="19"/>
      <c r="EED49" s="19"/>
      <c r="EEE49" s="19"/>
      <c r="EEF49" s="19"/>
      <c r="EEG49" s="19"/>
      <c r="EEH49" s="19"/>
      <c r="EEI49" s="19"/>
      <c r="EEJ49" s="19"/>
      <c r="EEK49" s="19"/>
      <c r="EEL49" s="19"/>
      <c r="EEM49" s="19"/>
      <c r="EEN49" s="19"/>
      <c r="EEO49" s="19"/>
      <c r="EEP49" s="19"/>
      <c r="EEQ49" s="19"/>
      <c r="EER49" s="19"/>
      <c r="EES49" s="19"/>
      <c r="EET49" s="19"/>
      <c r="EEU49" s="19"/>
      <c r="EEV49" s="19"/>
      <c r="EEW49" s="19"/>
      <c r="EEX49" s="19"/>
      <c r="EEY49" s="19"/>
      <c r="EEZ49" s="19"/>
      <c r="EFA49" s="19"/>
      <c r="EFB49" s="19"/>
      <c r="EFC49" s="19"/>
      <c r="EFD49" s="19"/>
      <c r="EFE49" s="19"/>
      <c r="EFF49" s="19"/>
      <c r="EFG49" s="19"/>
      <c r="EFH49" s="19"/>
      <c r="EFI49" s="19"/>
      <c r="EFJ49" s="19"/>
      <c r="EFK49" s="19"/>
      <c r="EFL49" s="19"/>
      <c r="EFM49" s="19"/>
      <c r="EFN49" s="19"/>
      <c r="EFO49" s="19"/>
      <c r="EFP49" s="19"/>
      <c r="EFQ49" s="19"/>
      <c r="EFR49" s="19"/>
      <c r="EFS49" s="19"/>
      <c r="EFT49" s="19"/>
      <c r="EFU49" s="19"/>
      <c r="EFV49" s="19"/>
      <c r="EFW49" s="19"/>
      <c r="EFX49" s="19"/>
      <c r="EFY49" s="19"/>
      <c r="EFZ49" s="19"/>
      <c r="EGA49" s="19"/>
      <c r="EGB49" s="19"/>
      <c r="EGC49" s="19"/>
      <c r="EGD49" s="19"/>
      <c r="EGE49" s="19"/>
      <c r="EGF49" s="19"/>
      <c r="EGG49" s="19"/>
      <c r="EGH49" s="19"/>
      <c r="EGI49" s="19"/>
      <c r="EGJ49" s="19"/>
      <c r="EGK49" s="19"/>
      <c r="EGL49" s="19"/>
      <c r="EGM49" s="19"/>
      <c r="EGN49" s="19"/>
      <c r="EGO49" s="19"/>
      <c r="EGP49" s="19"/>
      <c r="EGQ49" s="19"/>
      <c r="EGR49" s="19"/>
      <c r="EGS49" s="19"/>
      <c r="EGT49" s="19"/>
      <c r="EGU49" s="19"/>
      <c r="EGV49" s="19"/>
      <c r="EGW49" s="19"/>
      <c r="EGX49" s="19"/>
      <c r="EGY49" s="19"/>
      <c r="EGZ49" s="19"/>
      <c r="EHA49" s="19"/>
      <c r="EHB49" s="19"/>
      <c r="EHC49" s="19"/>
      <c r="EHD49" s="19"/>
      <c r="EHE49" s="19"/>
      <c r="EHF49" s="19"/>
      <c r="EHG49" s="19"/>
      <c r="EHH49" s="19"/>
      <c r="EHI49" s="19"/>
      <c r="EHJ49" s="19"/>
      <c r="EHK49" s="19"/>
      <c r="EHL49" s="19"/>
      <c r="EHM49" s="19"/>
      <c r="EHN49" s="19"/>
      <c r="EHO49" s="19"/>
      <c r="EHP49" s="19"/>
      <c r="EHQ49" s="19"/>
      <c r="EHR49" s="19"/>
      <c r="EHS49" s="19"/>
      <c r="EHT49" s="19"/>
      <c r="EHU49" s="19"/>
      <c r="EHV49" s="19"/>
      <c r="EHW49" s="19"/>
      <c r="EHX49" s="19"/>
      <c r="EHY49" s="19"/>
      <c r="EHZ49" s="19"/>
      <c r="EIA49" s="19"/>
      <c r="EIB49" s="19"/>
      <c r="EIC49" s="19"/>
      <c r="EID49" s="19"/>
      <c r="EIE49" s="19"/>
      <c r="EIF49" s="19"/>
      <c r="EIG49" s="19"/>
      <c r="EIH49" s="19"/>
      <c r="EII49" s="19"/>
      <c r="EIJ49" s="19"/>
      <c r="EIK49" s="19"/>
      <c r="EIL49" s="19"/>
      <c r="EIM49" s="19"/>
      <c r="EIN49" s="19"/>
      <c r="EIO49" s="19"/>
      <c r="EIP49" s="19"/>
      <c r="EIQ49" s="19"/>
      <c r="EIR49" s="19"/>
      <c r="EIS49" s="19"/>
      <c r="EIT49" s="19"/>
      <c r="EIU49" s="19"/>
      <c r="EIV49" s="19"/>
      <c r="EIW49" s="19"/>
      <c r="EIX49" s="19"/>
      <c r="EIY49" s="19"/>
      <c r="EIZ49" s="19"/>
      <c r="EJA49" s="19"/>
      <c r="EJB49" s="19"/>
      <c r="EJC49" s="19"/>
      <c r="EJD49" s="19"/>
      <c r="EJE49" s="19"/>
      <c r="EJF49" s="19"/>
      <c r="EJG49" s="19"/>
      <c r="EJH49" s="19"/>
      <c r="EJI49" s="19"/>
      <c r="EJJ49" s="19"/>
      <c r="EJK49" s="19"/>
      <c r="EJL49" s="19"/>
      <c r="EJM49" s="19"/>
      <c r="EJN49" s="19"/>
      <c r="EJO49" s="19"/>
      <c r="EJP49" s="19"/>
      <c r="EJQ49" s="19"/>
      <c r="EJR49" s="19"/>
      <c r="EJS49" s="19"/>
      <c r="EJT49" s="19"/>
      <c r="EJU49" s="19"/>
      <c r="EJV49" s="19"/>
      <c r="EJW49" s="19"/>
      <c r="EJX49" s="19"/>
      <c r="EJY49" s="19"/>
      <c r="EJZ49" s="19"/>
      <c r="EKA49" s="19"/>
      <c r="EKB49" s="19"/>
      <c r="EKC49" s="19"/>
      <c r="EKD49" s="19"/>
      <c r="EKE49" s="19"/>
      <c r="EKF49" s="19"/>
      <c r="EKG49" s="19"/>
      <c r="EKH49" s="19"/>
      <c r="EKI49" s="19"/>
      <c r="EKJ49" s="19"/>
      <c r="EKK49" s="19"/>
      <c r="EKL49" s="19"/>
      <c r="EKM49" s="19"/>
      <c r="EKN49" s="19"/>
      <c r="EKO49" s="19"/>
      <c r="EKP49" s="19"/>
      <c r="EKQ49" s="19"/>
      <c r="EKR49" s="19"/>
      <c r="EKS49" s="19"/>
      <c r="EKT49" s="19"/>
      <c r="EKU49" s="19"/>
      <c r="EKV49" s="19"/>
      <c r="EKW49" s="19"/>
      <c r="EKX49" s="19"/>
      <c r="EKY49" s="19"/>
      <c r="EKZ49" s="19"/>
      <c r="ELA49" s="19"/>
      <c r="ELB49" s="19"/>
      <c r="ELC49" s="19"/>
      <c r="ELD49" s="19"/>
      <c r="ELE49" s="19"/>
      <c r="ELF49" s="19"/>
      <c r="ELG49" s="19"/>
      <c r="ELH49" s="19"/>
      <c r="ELI49" s="19"/>
      <c r="ELJ49" s="19"/>
      <c r="ELK49" s="19"/>
      <c r="ELL49" s="19"/>
      <c r="ELM49" s="19"/>
      <c r="ELN49" s="19"/>
      <c r="ELO49" s="19"/>
      <c r="ELP49" s="19"/>
      <c r="ELQ49" s="19"/>
      <c r="ELR49" s="19"/>
      <c r="ELS49" s="19"/>
      <c r="ELT49" s="19"/>
      <c r="ELU49" s="19"/>
      <c r="ELV49" s="19"/>
      <c r="ELW49" s="19"/>
      <c r="ELX49" s="19"/>
      <c r="ELY49" s="19"/>
      <c r="ELZ49" s="19"/>
      <c r="EMA49" s="19"/>
      <c r="EMB49" s="19"/>
      <c r="EMC49" s="19"/>
      <c r="EMD49" s="19"/>
      <c r="EME49" s="19"/>
      <c r="EMF49" s="19"/>
      <c r="EMG49" s="19"/>
      <c r="EMH49" s="19"/>
      <c r="EMI49" s="19"/>
      <c r="EMJ49" s="19"/>
      <c r="EMK49" s="19"/>
      <c r="EML49" s="19"/>
      <c r="EMM49" s="19"/>
      <c r="EMN49" s="19"/>
      <c r="EMO49" s="19"/>
      <c r="EMP49" s="19"/>
      <c r="EMQ49" s="19"/>
      <c r="EMR49" s="19"/>
      <c r="EMS49" s="19"/>
      <c r="EMT49" s="19"/>
      <c r="EMU49" s="19"/>
      <c r="EMV49" s="19"/>
      <c r="EMW49" s="19"/>
      <c r="EMX49" s="19"/>
      <c r="EMY49" s="19"/>
      <c r="EMZ49" s="19"/>
      <c r="ENA49" s="19"/>
      <c r="ENB49" s="19"/>
      <c r="ENC49" s="19"/>
      <c r="END49" s="19"/>
      <c r="ENE49" s="19"/>
      <c r="ENF49" s="19"/>
      <c r="ENG49" s="19"/>
      <c r="ENH49" s="19"/>
      <c r="ENI49" s="19"/>
      <c r="ENJ49" s="19"/>
      <c r="ENK49" s="19"/>
      <c r="ENL49" s="19"/>
      <c r="ENM49" s="19"/>
      <c r="ENN49" s="19"/>
      <c r="ENO49" s="19"/>
      <c r="ENP49" s="19"/>
      <c r="ENQ49" s="19"/>
      <c r="ENR49" s="19"/>
      <c r="ENS49" s="19"/>
      <c r="ENT49" s="19"/>
      <c r="ENU49" s="19"/>
      <c r="ENV49" s="19"/>
      <c r="ENW49" s="19"/>
      <c r="ENX49" s="19"/>
      <c r="ENY49" s="19"/>
      <c r="ENZ49" s="19"/>
      <c r="EOA49" s="19"/>
      <c r="EOB49" s="19"/>
      <c r="EOC49" s="19"/>
      <c r="EOD49" s="19"/>
      <c r="EOE49" s="19"/>
      <c r="EOF49" s="19"/>
      <c r="EOG49" s="19"/>
      <c r="EOH49" s="19"/>
      <c r="EOI49" s="19"/>
      <c r="EOJ49" s="19"/>
      <c r="EOK49" s="19"/>
      <c r="EOL49" s="19"/>
      <c r="EOM49" s="19"/>
      <c r="EON49" s="19"/>
      <c r="EOO49" s="19"/>
      <c r="EOP49" s="19"/>
      <c r="EOQ49" s="19"/>
      <c r="EOR49" s="19"/>
      <c r="EOS49" s="19"/>
      <c r="EOT49" s="19"/>
      <c r="EOU49" s="19"/>
      <c r="EOV49" s="19"/>
      <c r="EOW49" s="19"/>
      <c r="EOX49" s="19"/>
      <c r="EOY49" s="19"/>
      <c r="EOZ49" s="19"/>
      <c r="EPA49" s="19"/>
      <c r="EPB49" s="19"/>
      <c r="EPC49" s="19"/>
      <c r="EPD49" s="19"/>
      <c r="EPE49" s="19"/>
      <c r="EPF49" s="19"/>
      <c r="EPG49" s="19"/>
      <c r="EPH49" s="19"/>
      <c r="EPI49" s="19"/>
      <c r="EPJ49" s="19"/>
      <c r="EPK49" s="19"/>
      <c r="EPL49" s="19"/>
      <c r="EPM49" s="19"/>
      <c r="EPN49" s="19"/>
      <c r="EPO49" s="19"/>
      <c r="EPP49" s="19"/>
      <c r="EPQ49" s="19"/>
      <c r="EPR49" s="19"/>
      <c r="EPS49" s="19"/>
      <c r="EPT49" s="19"/>
      <c r="EPU49" s="19"/>
      <c r="EPV49" s="19"/>
      <c r="EPW49" s="19"/>
      <c r="EPX49" s="19"/>
      <c r="EPY49" s="19"/>
      <c r="EPZ49" s="19"/>
      <c r="EQA49" s="19"/>
      <c r="EQB49" s="19"/>
      <c r="EQC49" s="19"/>
      <c r="EQD49" s="19"/>
      <c r="EQE49" s="19"/>
      <c r="EQF49" s="19"/>
      <c r="EQG49" s="19"/>
      <c r="EQH49" s="19"/>
      <c r="EQI49" s="19"/>
      <c r="EQJ49" s="19"/>
      <c r="EQK49" s="19"/>
      <c r="EQL49" s="19"/>
      <c r="EQM49" s="19"/>
      <c r="EQN49" s="19"/>
      <c r="EQO49" s="19"/>
      <c r="EQP49" s="19"/>
      <c r="EQQ49" s="19"/>
      <c r="EQR49" s="19"/>
      <c r="EQS49" s="19"/>
      <c r="EQT49" s="19"/>
      <c r="EQU49" s="19"/>
      <c r="EQV49" s="19"/>
      <c r="EQW49" s="19"/>
      <c r="EQX49" s="19"/>
      <c r="EQY49" s="19"/>
      <c r="EQZ49" s="19"/>
      <c r="ERA49" s="19"/>
      <c r="ERB49" s="19"/>
      <c r="ERC49" s="19"/>
      <c r="ERD49" s="19"/>
      <c r="ERE49" s="19"/>
      <c r="ERF49" s="19"/>
      <c r="ERG49" s="19"/>
      <c r="ERH49" s="19"/>
      <c r="ERI49" s="19"/>
      <c r="ERJ49" s="19"/>
      <c r="ERK49" s="19"/>
      <c r="ERL49" s="19"/>
      <c r="ERM49" s="19"/>
      <c r="ERN49" s="19"/>
      <c r="ERO49" s="19"/>
      <c r="ERP49" s="19"/>
      <c r="ERQ49" s="19"/>
      <c r="ERR49" s="19"/>
      <c r="ERS49" s="19"/>
      <c r="ERT49" s="19"/>
      <c r="ERU49" s="19"/>
      <c r="ERV49" s="19"/>
      <c r="ERW49" s="19"/>
      <c r="ERX49" s="19"/>
      <c r="ERY49" s="19"/>
      <c r="ERZ49" s="19"/>
      <c r="ESA49" s="19"/>
      <c r="ESB49" s="19"/>
      <c r="ESC49" s="19"/>
      <c r="ESD49" s="19"/>
      <c r="ESE49" s="19"/>
      <c r="ESF49" s="19"/>
      <c r="ESG49" s="19"/>
      <c r="ESH49" s="19"/>
      <c r="ESI49" s="19"/>
      <c r="ESJ49" s="19"/>
      <c r="ESK49" s="19"/>
      <c r="ESL49" s="19"/>
      <c r="ESM49" s="19"/>
      <c r="ESN49" s="19"/>
      <c r="ESO49" s="19"/>
      <c r="ESP49" s="19"/>
      <c r="ESQ49" s="19"/>
      <c r="ESR49" s="19"/>
      <c r="ESS49" s="19"/>
      <c r="EST49" s="19"/>
      <c r="ESU49" s="19"/>
      <c r="ESV49" s="19"/>
      <c r="ESW49" s="19"/>
      <c r="ESX49" s="19"/>
      <c r="ESY49" s="19"/>
      <c r="ESZ49" s="19"/>
      <c r="ETA49" s="19"/>
      <c r="ETB49" s="19"/>
      <c r="ETC49" s="19"/>
      <c r="ETD49" s="19"/>
      <c r="ETE49" s="19"/>
      <c r="ETF49" s="19"/>
      <c r="ETG49" s="19"/>
      <c r="ETH49" s="19"/>
      <c r="ETI49" s="19"/>
      <c r="ETJ49" s="19"/>
      <c r="ETK49" s="19"/>
      <c r="ETL49" s="19"/>
      <c r="ETM49" s="19"/>
      <c r="ETN49" s="19"/>
      <c r="ETO49" s="19"/>
      <c r="ETP49" s="19"/>
      <c r="ETQ49" s="19"/>
      <c r="ETR49" s="19"/>
      <c r="ETS49" s="19"/>
      <c r="ETT49" s="19"/>
      <c r="ETU49" s="19"/>
      <c r="ETV49" s="19"/>
      <c r="ETW49" s="19"/>
      <c r="ETX49" s="19"/>
      <c r="ETY49" s="19"/>
      <c r="ETZ49" s="19"/>
      <c r="EUA49" s="19"/>
      <c r="EUB49" s="19"/>
      <c r="EUC49" s="19"/>
      <c r="EUD49" s="19"/>
      <c r="EUE49" s="19"/>
      <c r="EUF49" s="19"/>
      <c r="EUG49" s="19"/>
      <c r="EUH49" s="19"/>
      <c r="EUI49" s="19"/>
      <c r="EUJ49" s="19"/>
      <c r="EUK49" s="19"/>
      <c r="EUL49" s="19"/>
      <c r="EUM49" s="19"/>
      <c r="EUN49" s="19"/>
      <c r="EUO49" s="19"/>
      <c r="EUP49" s="19"/>
      <c r="EUQ49" s="19"/>
      <c r="EUR49" s="19"/>
      <c r="EUS49" s="19"/>
      <c r="EUT49" s="19"/>
      <c r="EUU49" s="19"/>
      <c r="EUV49" s="19"/>
      <c r="EUW49" s="19"/>
      <c r="EUX49" s="19"/>
      <c r="EUY49" s="19"/>
      <c r="EUZ49" s="19"/>
      <c r="EVA49" s="19"/>
      <c r="EVB49" s="19"/>
      <c r="EVC49" s="19"/>
      <c r="EVD49" s="19"/>
      <c r="EVE49" s="19"/>
      <c r="EVF49" s="19"/>
      <c r="EVG49" s="19"/>
      <c r="EVH49" s="19"/>
      <c r="EVI49" s="19"/>
      <c r="EVJ49" s="19"/>
      <c r="EVK49" s="19"/>
      <c r="EVL49" s="19"/>
      <c r="EVM49" s="19"/>
      <c r="EVN49" s="19"/>
      <c r="EVO49" s="19"/>
      <c r="EVP49" s="19"/>
      <c r="EVQ49" s="19"/>
      <c r="EVR49" s="19"/>
      <c r="EVS49" s="19"/>
      <c r="EVT49" s="19"/>
      <c r="EVU49" s="19"/>
      <c r="EVV49" s="19"/>
      <c r="EVW49" s="19"/>
      <c r="EVX49" s="19"/>
      <c r="EVY49" s="19"/>
      <c r="EVZ49" s="19"/>
      <c r="EWA49" s="19"/>
      <c r="EWB49" s="19"/>
      <c r="EWC49" s="19"/>
      <c r="EWD49" s="19"/>
      <c r="EWE49" s="19"/>
      <c r="EWF49" s="19"/>
      <c r="EWG49" s="19"/>
      <c r="EWH49" s="19"/>
      <c r="EWI49" s="19"/>
      <c r="EWJ49" s="19"/>
      <c r="EWK49" s="19"/>
      <c r="EWL49" s="19"/>
      <c r="EWM49" s="19"/>
      <c r="EWN49" s="19"/>
      <c r="EWO49" s="19"/>
      <c r="EWP49" s="19"/>
      <c r="EWQ49" s="19"/>
      <c r="EWR49" s="19"/>
      <c r="EWS49" s="19"/>
      <c r="EWT49" s="19"/>
      <c r="EWU49" s="19"/>
      <c r="EWV49" s="19"/>
      <c r="EWW49" s="19"/>
      <c r="EWX49" s="19"/>
      <c r="EWY49" s="19"/>
      <c r="EWZ49" s="19"/>
      <c r="EXA49" s="19"/>
      <c r="EXB49" s="19"/>
      <c r="EXC49" s="19"/>
      <c r="EXD49" s="19"/>
      <c r="EXE49" s="19"/>
      <c r="EXF49" s="19"/>
      <c r="EXG49" s="19"/>
      <c r="EXH49" s="19"/>
      <c r="EXI49" s="19"/>
      <c r="EXJ49" s="19"/>
      <c r="EXK49" s="19"/>
      <c r="EXL49" s="19"/>
      <c r="EXM49" s="19"/>
      <c r="EXN49" s="19"/>
      <c r="EXO49" s="19"/>
      <c r="EXP49" s="19"/>
      <c r="EXQ49" s="19"/>
      <c r="EXR49" s="19"/>
      <c r="EXS49" s="19"/>
      <c r="EXT49" s="19"/>
      <c r="EXU49" s="19"/>
      <c r="EXV49" s="19"/>
      <c r="EXW49" s="19"/>
      <c r="EXX49" s="19"/>
      <c r="EXY49" s="19"/>
      <c r="EXZ49" s="19"/>
      <c r="EYA49" s="19"/>
      <c r="EYB49" s="19"/>
      <c r="EYC49" s="19"/>
      <c r="EYD49" s="19"/>
      <c r="EYE49" s="19"/>
      <c r="EYF49" s="19"/>
      <c r="EYG49" s="19"/>
      <c r="EYH49" s="19"/>
      <c r="EYI49" s="19"/>
      <c r="EYJ49" s="19"/>
      <c r="EYK49" s="19"/>
      <c r="EYL49" s="19"/>
      <c r="EYM49" s="19"/>
      <c r="EYN49" s="19"/>
      <c r="EYO49" s="19"/>
      <c r="EYP49" s="19"/>
      <c r="EYQ49" s="19"/>
      <c r="EYR49" s="19"/>
      <c r="EYS49" s="19"/>
      <c r="EYT49" s="19"/>
      <c r="EYU49" s="19"/>
      <c r="EYV49" s="19"/>
      <c r="EYW49" s="19"/>
      <c r="EYX49" s="19"/>
      <c r="EYY49" s="19"/>
      <c r="EYZ49" s="19"/>
      <c r="EZA49" s="19"/>
      <c r="EZB49" s="19"/>
      <c r="EZC49" s="19"/>
      <c r="EZD49" s="19"/>
      <c r="EZE49" s="19"/>
      <c r="EZF49" s="19"/>
      <c r="EZG49" s="19"/>
      <c r="EZH49" s="19"/>
      <c r="EZI49" s="19"/>
      <c r="EZJ49" s="19"/>
      <c r="EZK49" s="19"/>
      <c r="EZL49" s="19"/>
      <c r="EZM49" s="19"/>
      <c r="EZN49" s="19"/>
      <c r="EZO49" s="19"/>
      <c r="EZP49" s="19"/>
      <c r="EZQ49" s="19"/>
      <c r="EZR49" s="19"/>
      <c r="EZS49" s="19"/>
      <c r="EZT49" s="19"/>
      <c r="EZU49" s="19"/>
      <c r="EZV49" s="19"/>
      <c r="EZW49" s="19"/>
      <c r="EZX49" s="19"/>
      <c r="EZY49" s="19"/>
      <c r="EZZ49" s="19"/>
      <c r="FAA49" s="19"/>
      <c r="FAB49" s="19"/>
      <c r="FAC49" s="19"/>
      <c r="FAD49" s="19"/>
      <c r="FAE49" s="19"/>
      <c r="FAF49" s="19"/>
      <c r="FAG49" s="19"/>
      <c r="FAH49" s="19"/>
      <c r="FAI49" s="19"/>
      <c r="FAJ49" s="19"/>
      <c r="FAK49" s="19"/>
      <c r="FAL49" s="19"/>
      <c r="FAM49" s="19"/>
      <c r="FAN49" s="19"/>
      <c r="FAO49" s="19"/>
      <c r="FAP49" s="19"/>
      <c r="FAQ49" s="19"/>
      <c r="FAR49" s="19"/>
      <c r="FAS49" s="19"/>
      <c r="FAT49" s="19"/>
      <c r="FAU49" s="19"/>
      <c r="FAV49" s="19"/>
      <c r="FAW49" s="19"/>
      <c r="FAX49" s="19"/>
      <c r="FAY49" s="19"/>
      <c r="FAZ49" s="19"/>
      <c r="FBA49" s="19"/>
      <c r="FBB49" s="19"/>
      <c r="FBC49" s="19"/>
      <c r="FBD49" s="19"/>
      <c r="FBE49" s="19"/>
      <c r="FBF49" s="19"/>
      <c r="FBG49" s="19"/>
      <c r="FBH49" s="19"/>
      <c r="FBI49" s="19"/>
      <c r="FBJ49" s="19"/>
      <c r="FBK49" s="19"/>
      <c r="FBL49" s="19"/>
      <c r="FBM49" s="19"/>
      <c r="FBN49" s="19"/>
      <c r="FBO49" s="19"/>
      <c r="FBP49" s="19"/>
      <c r="FBQ49" s="19"/>
      <c r="FBR49" s="19"/>
      <c r="FBS49" s="19"/>
      <c r="FBT49" s="19"/>
      <c r="FBU49" s="19"/>
      <c r="FBV49" s="19"/>
      <c r="FBW49" s="19"/>
      <c r="FBX49" s="19"/>
      <c r="FBY49" s="19"/>
      <c r="FBZ49" s="19"/>
      <c r="FCA49" s="19"/>
      <c r="FCB49" s="19"/>
      <c r="FCC49" s="19"/>
      <c r="FCD49" s="19"/>
      <c r="FCE49" s="19"/>
      <c r="FCF49" s="19"/>
      <c r="FCG49" s="19"/>
      <c r="FCH49" s="19"/>
      <c r="FCI49" s="19"/>
      <c r="FCJ49" s="19"/>
      <c r="FCK49" s="19"/>
      <c r="FCL49" s="19"/>
      <c r="FCM49" s="19"/>
      <c r="FCN49" s="19"/>
      <c r="FCO49" s="19"/>
      <c r="FCP49" s="19"/>
      <c r="FCQ49" s="19"/>
      <c r="FCR49" s="19"/>
      <c r="FCS49" s="19"/>
      <c r="FCT49" s="19"/>
      <c r="FCU49" s="19"/>
      <c r="FCV49" s="19"/>
      <c r="FCW49" s="19"/>
      <c r="FCX49" s="19"/>
      <c r="FCY49" s="19"/>
      <c r="FCZ49" s="19"/>
      <c r="FDA49" s="19"/>
      <c r="FDB49" s="19"/>
      <c r="FDC49" s="19"/>
      <c r="FDD49" s="19"/>
      <c r="FDE49" s="19"/>
      <c r="FDF49" s="19"/>
      <c r="FDG49" s="19"/>
      <c r="FDH49" s="19"/>
      <c r="FDI49" s="19"/>
      <c r="FDJ49" s="19"/>
      <c r="FDK49" s="19"/>
      <c r="FDL49" s="19"/>
      <c r="FDM49" s="19"/>
      <c r="FDN49" s="19"/>
      <c r="FDO49" s="19"/>
      <c r="FDP49" s="19"/>
      <c r="FDQ49" s="19"/>
      <c r="FDR49" s="19"/>
      <c r="FDS49" s="19"/>
      <c r="FDT49" s="19"/>
      <c r="FDU49" s="19"/>
      <c r="FDV49" s="19"/>
      <c r="FDW49" s="19"/>
      <c r="FDX49" s="19"/>
      <c r="FDY49" s="19"/>
      <c r="FDZ49" s="19"/>
      <c r="FEA49" s="19"/>
      <c r="FEB49" s="19"/>
      <c r="FEC49" s="19"/>
      <c r="FED49" s="19"/>
      <c r="FEE49" s="19"/>
      <c r="FEF49" s="19"/>
      <c r="FEG49" s="19"/>
      <c r="FEH49" s="19"/>
      <c r="FEI49" s="19"/>
      <c r="FEJ49" s="19"/>
      <c r="FEK49" s="19"/>
      <c r="FEL49" s="19"/>
      <c r="FEM49" s="19"/>
      <c r="FEN49" s="19"/>
      <c r="FEO49" s="19"/>
      <c r="FEP49" s="19"/>
      <c r="FEQ49" s="19"/>
      <c r="FER49" s="19"/>
      <c r="FES49" s="19"/>
      <c r="FET49" s="19"/>
      <c r="FEU49" s="19"/>
      <c r="FEV49" s="19"/>
      <c r="FEW49" s="19"/>
      <c r="FEX49" s="19"/>
      <c r="FEY49" s="19"/>
      <c r="FEZ49" s="19"/>
      <c r="FFA49" s="19"/>
      <c r="FFB49" s="19"/>
      <c r="FFC49" s="19"/>
      <c r="FFD49" s="19"/>
      <c r="FFE49" s="19"/>
      <c r="FFF49" s="19"/>
      <c r="FFG49" s="19"/>
      <c r="FFH49" s="19"/>
      <c r="FFI49" s="19"/>
      <c r="FFJ49" s="19"/>
      <c r="FFK49" s="19"/>
      <c r="FFL49" s="19"/>
      <c r="FFM49" s="19"/>
      <c r="FFN49" s="19"/>
      <c r="FFO49" s="19"/>
      <c r="FFP49" s="19"/>
      <c r="FFQ49" s="19"/>
      <c r="FFR49" s="19"/>
      <c r="FFS49" s="19"/>
      <c r="FFT49" s="19"/>
      <c r="FFU49" s="19"/>
      <c r="FFV49" s="19"/>
      <c r="FFW49" s="19"/>
      <c r="FFX49" s="19"/>
      <c r="FFY49" s="19"/>
      <c r="FFZ49" s="19"/>
      <c r="FGA49" s="19"/>
      <c r="FGB49" s="19"/>
      <c r="FGC49" s="19"/>
      <c r="FGD49" s="19"/>
      <c r="FGE49" s="19"/>
      <c r="FGF49" s="19"/>
      <c r="FGG49" s="19"/>
      <c r="FGH49" s="19"/>
      <c r="FGI49" s="19"/>
      <c r="FGJ49" s="19"/>
      <c r="FGK49" s="19"/>
      <c r="FGL49" s="19"/>
      <c r="FGM49" s="19"/>
      <c r="FGN49" s="19"/>
      <c r="FGO49" s="19"/>
      <c r="FGP49" s="19"/>
      <c r="FGQ49" s="19"/>
      <c r="FGR49" s="19"/>
      <c r="FGS49" s="19"/>
      <c r="FGT49" s="19"/>
      <c r="FGU49" s="19"/>
      <c r="FGV49" s="19"/>
      <c r="FGW49" s="19"/>
      <c r="FGX49" s="19"/>
      <c r="FGY49" s="19"/>
      <c r="FGZ49" s="19"/>
      <c r="FHA49" s="19"/>
      <c r="FHB49" s="19"/>
      <c r="FHC49" s="19"/>
      <c r="FHD49" s="19"/>
      <c r="FHE49" s="19"/>
      <c r="FHF49" s="19"/>
      <c r="FHG49" s="19"/>
      <c r="FHH49" s="19"/>
      <c r="FHI49" s="19"/>
      <c r="FHJ49" s="19"/>
      <c r="FHK49" s="19"/>
      <c r="FHL49" s="19"/>
      <c r="FHM49" s="19"/>
      <c r="FHN49" s="19"/>
      <c r="FHO49" s="19"/>
      <c r="FHP49" s="19"/>
      <c r="FHQ49" s="19"/>
      <c r="FHR49" s="19"/>
      <c r="FHS49" s="19"/>
      <c r="FHT49" s="19"/>
      <c r="FHU49" s="19"/>
      <c r="FHV49" s="19"/>
      <c r="FHW49" s="19"/>
      <c r="FHX49" s="19"/>
      <c r="FHY49" s="19"/>
      <c r="FHZ49" s="19"/>
      <c r="FIA49" s="19"/>
      <c r="FIB49" s="19"/>
      <c r="FIC49" s="19"/>
      <c r="FID49" s="19"/>
      <c r="FIE49" s="19"/>
      <c r="FIF49" s="19"/>
      <c r="FIG49" s="19"/>
      <c r="FIH49" s="19"/>
      <c r="FII49" s="19"/>
      <c r="FIJ49" s="19"/>
      <c r="FIK49" s="19"/>
      <c r="FIL49" s="19"/>
      <c r="FIM49" s="19"/>
      <c r="FIN49" s="19"/>
      <c r="FIO49" s="19"/>
      <c r="FIP49" s="19"/>
      <c r="FIQ49" s="19"/>
      <c r="FIR49" s="19"/>
      <c r="FIS49" s="19"/>
      <c r="FIT49" s="19"/>
      <c r="FIU49" s="19"/>
      <c r="FIV49" s="19"/>
      <c r="FIW49" s="19"/>
      <c r="FIX49" s="19"/>
      <c r="FIY49" s="19"/>
      <c r="FIZ49" s="19"/>
      <c r="FJA49" s="19"/>
      <c r="FJB49" s="19"/>
      <c r="FJC49" s="19"/>
      <c r="FJD49" s="19"/>
      <c r="FJE49" s="19"/>
      <c r="FJF49" s="19"/>
      <c r="FJG49" s="19"/>
      <c r="FJH49" s="19"/>
      <c r="FJI49" s="19"/>
      <c r="FJJ49" s="19"/>
      <c r="FJK49" s="19"/>
      <c r="FJL49" s="19"/>
      <c r="FJM49" s="19"/>
      <c r="FJN49" s="19"/>
      <c r="FJO49" s="19"/>
      <c r="FJP49" s="19"/>
      <c r="FJQ49" s="19"/>
      <c r="FJR49" s="19"/>
      <c r="FJS49" s="19"/>
      <c r="FJT49" s="19"/>
      <c r="FJU49" s="19"/>
      <c r="FJV49" s="19"/>
      <c r="FJW49" s="19"/>
      <c r="FJX49" s="19"/>
      <c r="FJY49" s="19"/>
      <c r="FJZ49" s="19"/>
      <c r="FKA49" s="19"/>
      <c r="FKB49" s="19"/>
      <c r="FKC49" s="19"/>
      <c r="FKD49" s="19"/>
      <c r="FKE49" s="19"/>
      <c r="FKF49" s="19"/>
      <c r="FKG49" s="19"/>
      <c r="FKH49" s="19"/>
      <c r="FKI49" s="19"/>
      <c r="FKJ49" s="19"/>
      <c r="FKK49" s="19"/>
      <c r="FKL49" s="19"/>
      <c r="FKM49" s="19"/>
      <c r="FKN49" s="19"/>
      <c r="FKO49" s="19"/>
      <c r="FKP49" s="19"/>
      <c r="FKQ49" s="19"/>
      <c r="FKR49" s="19"/>
      <c r="FKS49" s="19"/>
      <c r="FKT49" s="19"/>
      <c r="FKU49" s="19"/>
      <c r="FKV49" s="19"/>
      <c r="FKW49" s="19"/>
      <c r="FKX49" s="19"/>
      <c r="FKY49" s="19"/>
      <c r="FKZ49" s="19"/>
      <c r="FLA49" s="19"/>
      <c r="FLB49" s="19"/>
      <c r="FLC49" s="19"/>
      <c r="FLD49" s="19"/>
      <c r="FLE49" s="19"/>
      <c r="FLF49" s="19"/>
      <c r="FLG49" s="19"/>
      <c r="FLH49" s="19"/>
      <c r="FLI49" s="19"/>
      <c r="FLJ49" s="19"/>
      <c r="FLK49" s="19"/>
      <c r="FLL49" s="19"/>
      <c r="FLM49" s="19"/>
      <c r="FLN49" s="19"/>
      <c r="FLO49" s="19"/>
      <c r="FLP49" s="19"/>
      <c r="FLQ49" s="19"/>
      <c r="FLR49" s="19"/>
      <c r="FLS49" s="19"/>
      <c r="FLT49" s="19"/>
      <c r="FLU49" s="19"/>
      <c r="FLV49" s="19"/>
      <c r="FLW49" s="19"/>
      <c r="FLX49" s="19"/>
      <c r="FLY49" s="19"/>
      <c r="FLZ49" s="19"/>
      <c r="FMA49" s="19"/>
      <c r="FMB49" s="19"/>
      <c r="FMC49" s="19"/>
      <c r="FMD49" s="19"/>
      <c r="FME49" s="19"/>
      <c r="FMF49" s="19"/>
      <c r="FMG49" s="19"/>
      <c r="FMH49" s="19"/>
      <c r="FMI49" s="19"/>
      <c r="FMJ49" s="19"/>
      <c r="FMK49" s="19"/>
      <c r="FML49" s="19"/>
      <c r="FMM49" s="19"/>
      <c r="FMN49" s="19"/>
      <c r="FMO49" s="19"/>
      <c r="FMP49" s="19"/>
      <c r="FMQ49" s="19"/>
      <c r="FMR49" s="19"/>
      <c r="FMS49" s="19"/>
      <c r="FMT49" s="19"/>
      <c r="FMU49" s="19"/>
      <c r="FMV49" s="19"/>
      <c r="FMW49" s="19"/>
      <c r="FMX49" s="19"/>
      <c r="FMY49" s="19"/>
      <c r="FMZ49" s="19"/>
      <c r="FNA49" s="19"/>
      <c r="FNB49" s="19"/>
      <c r="FNC49" s="19"/>
      <c r="FND49" s="19"/>
      <c r="FNE49" s="19"/>
      <c r="FNF49" s="19"/>
      <c r="FNG49" s="19"/>
      <c r="FNH49" s="19"/>
      <c r="FNI49" s="19"/>
      <c r="FNJ49" s="19"/>
      <c r="FNK49" s="19"/>
      <c r="FNL49" s="19"/>
      <c r="FNM49" s="19"/>
      <c r="FNN49" s="19"/>
      <c r="FNO49" s="19"/>
      <c r="FNP49" s="19"/>
      <c r="FNQ49" s="19"/>
      <c r="FNR49" s="19"/>
      <c r="FNS49" s="19"/>
      <c r="FNT49" s="19"/>
      <c r="FNU49" s="19"/>
      <c r="FNV49" s="19"/>
      <c r="FNW49" s="19"/>
      <c r="FNX49" s="19"/>
      <c r="FNY49" s="19"/>
      <c r="FNZ49" s="19"/>
      <c r="FOA49" s="19"/>
      <c r="FOB49" s="19"/>
      <c r="FOC49" s="19"/>
      <c r="FOD49" s="19"/>
      <c r="FOE49" s="19"/>
      <c r="FOF49" s="19"/>
      <c r="FOG49" s="19"/>
      <c r="FOH49" s="19"/>
      <c r="FOI49" s="19"/>
      <c r="FOJ49" s="19"/>
      <c r="FOK49" s="19"/>
      <c r="FOL49" s="19"/>
      <c r="FOM49" s="19"/>
      <c r="FON49" s="19"/>
      <c r="FOO49" s="19"/>
      <c r="FOP49" s="19"/>
      <c r="FOQ49" s="19"/>
      <c r="FOR49" s="19"/>
      <c r="FOS49" s="19"/>
      <c r="FOT49" s="19"/>
      <c r="FOU49" s="19"/>
      <c r="FOV49" s="19"/>
      <c r="FOW49" s="19"/>
      <c r="FOX49" s="19"/>
      <c r="FOY49" s="19"/>
      <c r="FOZ49" s="19"/>
      <c r="FPA49" s="19"/>
      <c r="FPB49" s="19"/>
      <c r="FPC49" s="19"/>
      <c r="FPD49" s="19"/>
      <c r="FPE49" s="19"/>
      <c r="FPF49" s="19"/>
      <c r="FPG49" s="19"/>
      <c r="FPH49" s="19"/>
      <c r="FPI49" s="19"/>
      <c r="FPJ49" s="19"/>
      <c r="FPK49" s="19"/>
      <c r="FPL49" s="19"/>
      <c r="FPM49" s="19"/>
      <c r="FPN49" s="19"/>
      <c r="FPO49" s="19"/>
      <c r="FPP49" s="19"/>
      <c r="FPQ49" s="19"/>
      <c r="FPR49" s="19"/>
      <c r="FPS49" s="19"/>
      <c r="FPT49" s="19"/>
      <c r="FPU49" s="19"/>
      <c r="FPV49" s="19"/>
      <c r="FPW49" s="19"/>
      <c r="FPX49" s="19"/>
      <c r="FPY49" s="19"/>
      <c r="FPZ49" s="19"/>
      <c r="FQA49" s="19"/>
      <c r="FQB49" s="19"/>
      <c r="FQC49" s="19"/>
      <c r="FQD49" s="19"/>
      <c r="FQE49" s="19"/>
      <c r="FQF49" s="19"/>
      <c r="FQG49" s="19"/>
      <c r="FQH49" s="19"/>
      <c r="FQI49" s="19"/>
      <c r="FQJ49" s="19"/>
      <c r="FQK49" s="19"/>
      <c r="FQL49" s="19"/>
      <c r="FQM49" s="19"/>
      <c r="FQN49" s="19"/>
      <c r="FQO49" s="19"/>
      <c r="FQP49" s="19"/>
      <c r="FQQ49" s="19"/>
      <c r="FQR49" s="19"/>
      <c r="FQS49" s="19"/>
      <c r="FQT49" s="19"/>
      <c r="FQU49" s="19"/>
      <c r="FQV49" s="19"/>
      <c r="FQW49" s="19"/>
      <c r="FQX49" s="19"/>
      <c r="FQY49" s="19"/>
      <c r="FQZ49" s="19"/>
      <c r="FRA49" s="19"/>
      <c r="FRB49" s="19"/>
      <c r="FRC49" s="19"/>
      <c r="FRD49" s="19"/>
      <c r="FRE49" s="19"/>
      <c r="FRF49" s="19"/>
      <c r="FRG49" s="19"/>
      <c r="FRH49" s="19"/>
      <c r="FRI49" s="19"/>
      <c r="FRJ49" s="19"/>
      <c r="FRK49" s="19"/>
      <c r="FRL49" s="19"/>
      <c r="FRM49" s="19"/>
      <c r="FRN49" s="19"/>
      <c r="FRO49" s="19"/>
      <c r="FRP49" s="19"/>
      <c r="FRQ49" s="19"/>
      <c r="FRR49" s="19"/>
      <c r="FRS49" s="19"/>
      <c r="FRT49" s="19"/>
      <c r="FRU49" s="19"/>
      <c r="FRV49" s="19"/>
      <c r="FRW49" s="19"/>
      <c r="FRX49" s="19"/>
      <c r="FRY49" s="19"/>
      <c r="FRZ49" s="19"/>
      <c r="FSA49" s="19"/>
      <c r="FSB49" s="19"/>
      <c r="FSC49" s="19"/>
      <c r="FSD49" s="19"/>
      <c r="FSE49" s="19"/>
      <c r="FSF49" s="19"/>
      <c r="FSG49" s="19"/>
      <c r="FSH49" s="19"/>
      <c r="FSI49" s="19"/>
      <c r="FSJ49" s="19"/>
      <c r="FSK49" s="19"/>
      <c r="FSL49" s="19"/>
      <c r="FSM49" s="19"/>
      <c r="FSN49" s="19"/>
      <c r="FSO49" s="19"/>
      <c r="FSP49" s="19"/>
      <c r="FSQ49" s="19"/>
      <c r="FSR49" s="19"/>
      <c r="FSS49" s="19"/>
      <c r="FST49" s="19"/>
      <c r="FSU49" s="19"/>
      <c r="FSV49" s="19"/>
      <c r="FSW49" s="19"/>
      <c r="FSX49" s="19"/>
      <c r="FSY49" s="19"/>
      <c r="FSZ49" s="19"/>
      <c r="FTA49" s="19"/>
      <c r="FTB49" s="19"/>
      <c r="FTC49" s="19"/>
      <c r="FTD49" s="19"/>
      <c r="FTE49" s="19"/>
      <c r="FTF49" s="19"/>
      <c r="FTG49" s="19"/>
      <c r="FTH49" s="19"/>
      <c r="FTI49" s="19"/>
      <c r="FTJ49" s="19"/>
      <c r="FTK49" s="19"/>
      <c r="FTL49" s="19"/>
      <c r="FTM49" s="19"/>
      <c r="FTN49" s="19"/>
      <c r="FTO49" s="19"/>
      <c r="FTP49" s="19"/>
      <c r="FTQ49" s="19"/>
      <c r="FTR49" s="19"/>
      <c r="FTS49" s="19"/>
      <c r="FTT49" s="19"/>
      <c r="FTU49" s="19"/>
      <c r="FTV49" s="19"/>
      <c r="FTW49" s="19"/>
      <c r="FTX49" s="19"/>
      <c r="FTY49" s="19"/>
      <c r="FTZ49" s="19"/>
      <c r="FUA49" s="19"/>
      <c r="FUB49" s="19"/>
      <c r="FUC49" s="19"/>
      <c r="FUD49" s="19"/>
      <c r="FUE49" s="19"/>
      <c r="FUF49" s="19"/>
      <c r="FUG49" s="19"/>
      <c r="FUH49" s="19"/>
      <c r="FUI49" s="19"/>
      <c r="FUJ49" s="19"/>
      <c r="FUK49" s="19"/>
      <c r="FUL49" s="19"/>
      <c r="FUM49" s="19"/>
      <c r="FUN49" s="19"/>
      <c r="FUO49" s="19"/>
      <c r="FUP49" s="19"/>
      <c r="FUQ49" s="19"/>
      <c r="FUR49" s="19"/>
      <c r="FUS49" s="19"/>
      <c r="FUT49" s="19"/>
      <c r="FUU49" s="19"/>
      <c r="FUV49" s="19"/>
      <c r="FUW49" s="19"/>
      <c r="FUX49" s="19"/>
      <c r="FUY49" s="19"/>
      <c r="FUZ49" s="19"/>
      <c r="FVA49" s="19"/>
      <c r="FVB49" s="19"/>
      <c r="FVC49" s="19"/>
      <c r="FVD49" s="19"/>
      <c r="FVE49" s="19"/>
      <c r="FVF49" s="19"/>
      <c r="FVG49" s="19"/>
      <c r="FVH49" s="19"/>
      <c r="FVI49" s="19"/>
      <c r="FVJ49" s="19"/>
      <c r="FVK49" s="19"/>
      <c r="FVL49" s="19"/>
      <c r="FVM49" s="19"/>
      <c r="FVN49" s="19"/>
      <c r="FVO49" s="19"/>
      <c r="FVP49" s="19"/>
      <c r="FVQ49" s="19"/>
      <c r="FVR49" s="19"/>
      <c r="FVS49" s="19"/>
      <c r="FVT49" s="19"/>
      <c r="FVU49" s="19"/>
      <c r="FVV49" s="19"/>
      <c r="FVW49" s="19"/>
      <c r="FVX49" s="19"/>
      <c r="FVY49" s="19"/>
      <c r="FVZ49" s="19"/>
      <c r="FWA49" s="19"/>
      <c r="FWB49" s="19"/>
      <c r="FWC49" s="19"/>
      <c r="FWD49" s="19"/>
      <c r="FWE49" s="19"/>
      <c r="FWF49" s="19"/>
      <c r="FWG49" s="19"/>
      <c r="FWH49" s="19"/>
      <c r="FWI49" s="19"/>
      <c r="FWJ49" s="19"/>
      <c r="FWK49" s="19"/>
      <c r="FWL49" s="19"/>
      <c r="FWM49" s="19"/>
      <c r="FWN49" s="19"/>
      <c r="FWO49" s="19"/>
      <c r="FWP49" s="19"/>
      <c r="FWQ49" s="19"/>
      <c r="FWR49" s="19"/>
      <c r="FWS49" s="19"/>
      <c r="FWT49" s="19"/>
      <c r="FWU49" s="19"/>
      <c r="FWV49" s="19"/>
      <c r="FWW49" s="19"/>
      <c r="FWX49" s="19"/>
      <c r="FWY49" s="19"/>
      <c r="FWZ49" s="19"/>
      <c r="FXA49" s="19"/>
      <c r="FXB49" s="19"/>
      <c r="FXC49" s="19"/>
      <c r="FXD49" s="19"/>
      <c r="FXE49" s="19"/>
      <c r="FXF49" s="19"/>
      <c r="FXG49" s="19"/>
      <c r="FXH49" s="19"/>
      <c r="FXI49" s="19"/>
      <c r="FXJ49" s="19"/>
      <c r="FXK49" s="19"/>
      <c r="FXL49" s="19"/>
      <c r="FXM49" s="19"/>
      <c r="FXN49" s="19"/>
      <c r="FXO49" s="19"/>
      <c r="FXP49" s="19"/>
      <c r="FXQ49" s="19"/>
      <c r="FXR49" s="19"/>
      <c r="FXS49" s="19"/>
      <c r="FXT49" s="19"/>
      <c r="FXU49" s="19"/>
      <c r="FXV49" s="19"/>
      <c r="FXW49" s="19"/>
      <c r="FXX49" s="19"/>
      <c r="FXY49" s="19"/>
      <c r="FXZ49" s="19"/>
      <c r="FYA49" s="19"/>
      <c r="FYB49" s="19"/>
      <c r="FYC49" s="19"/>
      <c r="FYD49" s="19"/>
      <c r="FYE49" s="19"/>
      <c r="FYF49" s="19"/>
      <c r="FYG49" s="19"/>
      <c r="FYH49" s="19"/>
      <c r="FYI49" s="19"/>
      <c r="FYJ49" s="19"/>
      <c r="FYK49" s="19"/>
      <c r="FYL49" s="19"/>
      <c r="FYM49" s="19"/>
      <c r="FYN49" s="19"/>
      <c r="FYO49" s="19"/>
      <c r="FYP49" s="19"/>
      <c r="FYQ49" s="19"/>
      <c r="FYR49" s="19"/>
      <c r="FYS49" s="19"/>
      <c r="FYT49" s="19"/>
      <c r="FYU49" s="19"/>
      <c r="FYV49" s="19"/>
      <c r="FYW49" s="19"/>
      <c r="FYX49" s="19"/>
      <c r="FYY49" s="19"/>
      <c r="FYZ49" s="19"/>
      <c r="FZA49" s="19"/>
      <c r="FZB49" s="19"/>
      <c r="FZC49" s="19"/>
      <c r="FZD49" s="19"/>
      <c r="FZE49" s="19"/>
      <c r="FZF49" s="19"/>
      <c r="FZG49" s="19"/>
      <c r="FZH49" s="19"/>
      <c r="FZI49" s="19"/>
      <c r="FZJ49" s="19"/>
      <c r="FZK49" s="19"/>
      <c r="FZL49" s="19"/>
      <c r="FZM49" s="19"/>
      <c r="FZN49" s="19"/>
      <c r="FZO49" s="19"/>
      <c r="FZP49" s="19"/>
      <c r="FZQ49" s="19"/>
      <c r="FZR49" s="19"/>
      <c r="FZS49" s="19"/>
      <c r="FZT49" s="19"/>
      <c r="FZU49" s="19"/>
      <c r="FZV49" s="19"/>
      <c r="FZW49" s="19"/>
      <c r="FZX49" s="19"/>
      <c r="FZY49" s="19"/>
      <c r="FZZ49" s="19"/>
      <c r="GAA49" s="19"/>
      <c r="GAB49" s="19"/>
      <c r="GAC49" s="19"/>
      <c r="GAD49" s="19"/>
      <c r="GAE49" s="19"/>
      <c r="GAF49" s="19"/>
      <c r="GAG49" s="19"/>
      <c r="GAH49" s="19"/>
      <c r="GAI49" s="19"/>
      <c r="GAJ49" s="19"/>
      <c r="GAK49" s="19"/>
      <c r="GAL49" s="19"/>
      <c r="GAM49" s="19"/>
      <c r="GAN49" s="19"/>
      <c r="GAO49" s="19"/>
      <c r="GAP49" s="19"/>
      <c r="GAQ49" s="19"/>
      <c r="GAR49" s="19"/>
      <c r="GAS49" s="19"/>
      <c r="GAT49" s="19"/>
      <c r="GAU49" s="19"/>
      <c r="GAV49" s="19"/>
      <c r="GAW49" s="19"/>
      <c r="GAX49" s="19"/>
      <c r="GAY49" s="19"/>
      <c r="GAZ49" s="19"/>
      <c r="GBA49" s="19"/>
      <c r="GBB49" s="19"/>
      <c r="GBC49" s="19"/>
      <c r="GBD49" s="19"/>
      <c r="GBE49" s="19"/>
      <c r="GBF49" s="19"/>
      <c r="GBG49" s="19"/>
      <c r="GBH49" s="19"/>
      <c r="GBI49" s="19"/>
      <c r="GBJ49" s="19"/>
      <c r="GBK49" s="19"/>
      <c r="GBL49" s="19"/>
      <c r="GBM49" s="19"/>
      <c r="GBN49" s="19"/>
      <c r="GBO49" s="19"/>
      <c r="GBP49" s="19"/>
      <c r="GBQ49" s="19"/>
      <c r="GBR49" s="19"/>
      <c r="GBS49" s="19"/>
      <c r="GBT49" s="19"/>
      <c r="GBU49" s="19"/>
      <c r="GBV49" s="19"/>
      <c r="GBW49" s="19"/>
      <c r="GBX49" s="19"/>
      <c r="GBY49" s="19"/>
      <c r="GBZ49" s="19"/>
      <c r="GCA49" s="19"/>
      <c r="GCB49" s="19"/>
      <c r="GCC49" s="19"/>
      <c r="GCD49" s="19"/>
      <c r="GCE49" s="19"/>
      <c r="GCF49" s="19"/>
      <c r="GCG49" s="19"/>
      <c r="GCH49" s="19"/>
      <c r="GCI49" s="19"/>
      <c r="GCJ49" s="19"/>
      <c r="GCK49" s="19"/>
      <c r="GCL49" s="19"/>
      <c r="GCM49" s="19"/>
      <c r="GCN49" s="19"/>
      <c r="GCO49" s="19"/>
      <c r="GCP49" s="19"/>
      <c r="GCQ49" s="19"/>
      <c r="GCR49" s="19"/>
      <c r="GCS49" s="19"/>
      <c r="GCT49" s="19"/>
      <c r="GCU49" s="19"/>
      <c r="GCV49" s="19"/>
      <c r="GCW49" s="19"/>
      <c r="GCX49" s="19"/>
      <c r="GCY49" s="19"/>
      <c r="GCZ49" s="19"/>
      <c r="GDA49" s="19"/>
      <c r="GDB49" s="19"/>
      <c r="GDC49" s="19"/>
      <c r="GDD49" s="19"/>
      <c r="GDE49" s="19"/>
      <c r="GDF49" s="19"/>
      <c r="GDG49" s="19"/>
      <c r="GDH49" s="19"/>
      <c r="GDI49" s="19"/>
      <c r="GDJ49" s="19"/>
      <c r="GDK49" s="19"/>
      <c r="GDL49" s="19"/>
      <c r="GDM49" s="19"/>
      <c r="GDN49" s="19"/>
      <c r="GDO49" s="19"/>
      <c r="GDP49" s="19"/>
      <c r="GDQ49" s="19"/>
      <c r="GDR49" s="19"/>
      <c r="GDS49" s="19"/>
      <c r="GDT49" s="19"/>
      <c r="GDU49" s="19"/>
      <c r="GDV49" s="19"/>
      <c r="GDW49" s="19"/>
      <c r="GDX49" s="19"/>
      <c r="GDY49" s="19"/>
      <c r="GDZ49" s="19"/>
      <c r="GEA49" s="19"/>
      <c r="GEB49" s="19"/>
      <c r="GEC49" s="19"/>
      <c r="GED49" s="19"/>
      <c r="GEE49" s="19"/>
      <c r="GEF49" s="19"/>
      <c r="GEG49" s="19"/>
      <c r="GEH49" s="19"/>
      <c r="GEI49" s="19"/>
      <c r="GEJ49" s="19"/>
      <c r="GEK49" s="19"/>
      <c r="GEL49" s="19"/>
      <c r="GEM49" s="19"/>
      <c r="GEN49" s="19"/>
      <c r="GEO49" s="19"/>
      <c r="GEP49" s="19"/>
      <c r="GEQ49" s="19"/>
      <c r="GER49" s="19"/>
      <c r="GES49" s="19"/>
      <c r="GET49" s="19"/>
      <c r="GEU49" s="19"/>
      <c r="GEV49" s="19"/>
      <c r="GEW49" s="19"/>
      <c r="GEX49" s="19"/>
      <c r="GEY49" s="19"/>
      <c r="GEZ49" s="19"/>
      <c r="GFA49" s="19"/>
      <c r="GFB49" s="19"/>
      <c r="GFC49" s="19"/>
      <c r="GFD49" s="19"/>
      <c r="GFE49" s="19"/>
      <c r="GFF49" s="19"/>
      <c r="GFG49" s="19"/>
      <c r="GFH49" s="19"/>
      <c r="GFI49" s="19"/>
      <c r="GFJ49" s="19"/>
      <c r="GFK49" s="19"/>
      <c r="GFL49" s="19"/>
      <c r="GFM49" s="19"/>
      <c r="GFN49" s="19"/>
      <c r="GFO49" s="19"/>
      <c r="GFP49" s="19"/>
      <c r="GFQ49" s="19"/>
      <c r="GFR49" s="19"/>
      <c r="GFS49" s="19"/>
      <c r="GFT49" s="19"/>
      <c r="GFU49" s="19"/>
      <c r="GFV49" s="19"/>
      <c r="GFW49" s="19"/>
      <c r="GFX49" s="19"/>
      <c r="GFY49" s="19"/>
      <c r="GFZ49" s="19"/>
      <c r="GGA49" s="19"/>
      <c r="GGB49" s="19"/>
      <c r="GGC49" s="19"/>
      <c r="GGD49" s="19"/>
      <c r="GGE49" s="19"/>
      <c r="GGF49" s="19"/>
      <c r="GGG49" s="19"/>
      <c r="GGH49" s="19"/>
      <c r="GGI49" s="19"/>
      <c r="GGJ49" s="19"/>
      <c r="GGK49" s="19"/>
      <c r="GGL49" s="19"/>
      <c r="GGM49" s="19"/>
      <c r="GGN49" s="19"/>
      <c r="GGO49" s="19"/>
      <c r="GGP49" s="19"/>
      <c r="GGQ49" s="19"/>
      <c r="GGR49" s="19"/>
      <c r="GGS49" s="19"/>
      <c r="GGT49" s="19"/>
      <c r="GGU49" s="19"/>
      <c r="GGV49" s="19"/>
      <c r="GGW49" s="19"/>
      <c r="GGX49" s="19"/>
      <c r="GGY49" s="19"/>
      <c r="GGZ49" s="19"/>
      <c r="GHA49" s="19"/>
      <c r="GHB49" s="19"/>
      <c r="GHC49" s="19"/>
      <c r="GHD49" s="19"/>
      <c r="GHE49" s="19"/>
      <c r="GHF49" s="19"/>
      <c r="GHG49" s="19"/>
      <c r="GHH49" s="19"/>
      <c r="GHI49" s="19"/>
      <c r="GHJ49" s="19"/>
      <c r="GHK49" s="19"/>
      <c r="GHL49" s="19"/>
      <c r="GHM49" s="19"/>
      <c r="GHN49" s="19"/>
      <c r="GHO49" s="19"/>
      <c r="GHP49" s="19"/>
      <c r="GHQ49" s="19"/>
      <c r="GHR49" s="19"/>
      <c r="GHS49" s="19"/>
      <c r="GHT49" s="19"/>
      <c r="GHU49" s="19"/>
      <c r="GHV49" s="19"/>
      <c r="GHW49" s="19"/>
      <c r="GHX49" s="19"/>
      <c r="GHY49" s="19"/>
      <c r="GHZ49" s="19"/>
      <c r="GIA49" s="19"/>
      <c r="GIB49" s="19"/>
      <c r="GIC49" s="19"/>
      <c r="GID49" s="19"/>
      <c r="GIE49" s="19"/>
      <c r="GIF49" s="19"/>
      <c r="GIG49" s="19"/>
      <c r="GIH49" s="19"/>
      <c r="GII49" s="19"/>
      <c r="GIJ49" s="19"/>
      <c r="GIK49" s="19"/>
      <c r="GIL49" s="19"/>
      <c r="GIM49" s="19"/>
      <c r="GIN49" s="19"/>
      <c r="GIO49" s="19"/>
      <c r="GIP49" s="19"/>
      <c r="GIQ49" s="19"/>
      <c r="GIR49" s="19"/>
      <c r="GIS49" s="19"/>
      <c r="GIT49" s="19"/>
      <c r="GIU49" s="19"/>
      <c r="GIV49" s="19"/>
      <c r="GIW49" s="19"/>
      <c r="GIX49" s="19"/>
      <c r="GIY49" s="19"/>
      <c r="GIZ49" s="19"/>
      <c r="GJA49" s="19"/>
      <c r="GJB49" s="19"/>
      <c r="GJC49" s="19"/>
      <c r="GJD49" s="19"/>
      <c r="GJE49" s="19"/>
      <c r="GJF49" s="19"/>
      <c r="GJG49" s="19"/>
      <c r="GJH49" s="19"/>
      <c r="GJI49" s="19"/>
      <c r="GJJ49" s="19"/>
      <c r="GJK49" s="19"/>
      <c r="GJL49" s="19"/>
      <c r="GJM49" s="19"/>
      <c r="GJN49" s="19"/>
      <c r="GJO49" s="19"/>
      <c r="GJP49" s="19"/>
      <c r="GJQ49" s="19"/>
      <c r="GJR49" s="19"/>
      <c r="GJS49" s="19"/>
      <c r="GJT49" s="19"/>
      <c r="GJU49" s="19"/>
      <c r="GJV49" s="19"/>
      <c r="GJW49" s="19"/>
      <c r="GJX49" s="19"/>
      <c r="GJY49" s="19"/>
      <c r="GJZ49" s="19"/>
      <c r="GKA49" s="19"/>
      <c r="GKB49" s="19"/>
      <c r="GKC49" s="19"/>
      <c r="GKD49" s="19"/>
      <c r="GKE49" s="19"/>
      <c r="GKF49" s="19"/>
      <c r="GKG49" s="19"/>
      <c r="GKH49" s="19"/>
      <c r="GKI49" s="19"/>
      <c r="GKJ49" s="19"/>
      <c r="GKK49" s="19"/>
      <c r="GKL49" s="19"/>
      <c r="GKM49" s="19"/>
      <c r="GKN49" s="19"/>
      <c r="GKO49" s="19"/>
      <c r="GKP49" s="19"/>
      <c r="GKQ49" s="19"/>
      <c r="GKR49" s="19"/>
      <c r="GKS49" s="19"/>
      <c r="GKT49" s="19"/>
      <c r="GKU49" s="19"/>
      <c r="GKV49" s="19"/>
      <c r="GKW49" s="19"/>
      <c r="GKX49" s="19"/>
      <c r="GKY49" s="19"/>
      <c r="GKZ49" s="19"/>
      <c r="GLA49" s="19"/>
      <c r="GLB49" s="19"/>
      <c r="GLC49" s="19"/>
      <c r="GLD49" s="19"/>
      <c r="GLE49" s="19"/>
      <c r="GLF49" s="19"/>
      <c r="GLG49" s="19"/>
      <c r="GLH49" s="19"/>
      <c r="GLI49" s="19"/>
      <c r="GLJ49" s="19"/>
      <c r="GLK49" s="19"/>
      <c r="GLL49" s="19"/>
      <c r="GLM49" s="19"/>
      <c r="GLN49" s="19"/>
      <c r="GLO49" s="19"/>
      <c r="GLP49" s="19"/>
      <c r="GLQ49" s="19"/>
      <c r="GLR49" s="19"/>
      <c r="GLS49" s="19"/>
      <c r="GLT49" s="19"/>
      <c r="GLU49" s="19"/>
      <c r="GLV49" s="19"/>
      <c r="GLW49" s="19"/>
      <c r="GLX49" s="19"/>
      <c r="GLY49" s="19"/>
      <c r="GLZ49" s="19"/>
      <c r="GMA49" s="19"/>
      <c r="GMB49" s="19"/>
      <c r="GMC49" s="19"/>
      <c r="GMD49" s="19"/>
      <c r="GME49" s="19"/>
      <c r="GMF49" s="19"/>
      <c r="GMG49" s="19"/>
      <c r="GMH49" s="19"/>
      <c r="GMI49" s="19"/>
      <c r="GMJ49" s="19"/>
      <c r="GMK49" s="19"/>
      <c r="GML49" s="19"/>
      <c r="GMM49" s="19"/>
      <c r="GMN49" s="19"/>
      <c r="GMO49" s="19"/>
      <c r="GMP49" s="19"/>
      <c r="GMQ49" s="19"/>
      <c r="GMR49" s="19"/>
      <c r="GMS49" s="19"/>
      <c r="GMT49" s="19"/>
      <c r="GMU49" s="19"/>
      <c r="GMV49" s="19"/>
      <c r="GMW49" s="19"/>
      <c r="GMX49" s="19"/>
      <c r="GMY49" s="19"/>
      <c r="GMZ49" s="19"/>
      <c r="GNA49" s="19"/>
      <c r="GNB49" s="19"/>
      <c r="GNC49" s="19"/>
      <c r="GND49" s="19"/>
      <c r="GNE49" s="19"/>
      <c r="GNF49" s="19"/>
      <c r="GNG49" s="19"/>
      <c r="GNH49" s="19"/>
      <c r="GNI49" s="19"/>
      <c r="GNJ49" s="19"/>
      <c r="GNK49" s="19"/>
      <c r="GNL49" s="19"/>
      <c r="GNM49" s="19"/>
      <c r="GNN49" s="19"/>
      <c r="GNO49" s="19"/>
      <c r="GNP49" s="19"/>
      <c r="GNQ49" s="19"/>
      <c r="GNR49" s="19"/>
      <c r="GNS49" s="19"/>
      <c r="GNT49" s="19"/>
      <c r="GNU49" s="19"/>
      <c r="GNV49" s="19"/>
      <c r="GNW49" s="19"/>
      <c r="GNX49" s="19"/>
      <c r="GNY49" s="19"/>
      <c r="GNZ49" s="19"/>
      <c r="GOA49" s="19"/>
      <c r="GOB49" s="19"/>
      <c r="GOC49" s="19"/>
      <c r="GOD49" s="19"/>
      <c r="GOE49" s="19"/>
      <c r="GOF49" s="19"/>
      <c r="GOG49" s="19"/>
      <c r="GOH49" s="19"/>
      <c r="GOI49" s="19"/>
      <c r="GOJ49" s="19"/>
      <c r="GOK49" s="19"/>
      <c r="GOL49" s="19"/>
      <c r="GOM49" s="19"/>
      <c r="GON49" s="19"/>
      <c r="GOO49" s="19"/>
      <c r="GOP49" s="19"/>
      <c r="GOQ49" s="19"/>
      <c r="GOR49" s="19"/>
      <c r="GOS49" s="19"/>
      <c r="GOT49" s="19"/>
      <c r="GOU49" s="19"/>
      <c r="GOV49" s="19"/>
      <c r="GOW49" s="19"/>
      <c r="GOX49" s="19"/>
      <c r="GOY49" s="19"/>
      <c r="GOZ49" s="19"/>
      <c r="GPA49" s="19"/>
      <c r="GPB49" s="19"/>
      <c r="GPC49" s="19"/>
      <c r="GPD49" s="19"/>
      <c r="GPE49" s="19"/>
      <c r="GPF49" s="19"/>
      <c r="GPG49" s="19"/>
      <c r="GPH49" s="19"/>
      <c r="GPI49" s="19"/>
      <c r="GPJ49" s="19"/>
      <c r="GPK49" s="19"/>
      <c r="GPL49" s="19"/>
      <c r="GPM49" s="19"/>
      <c r="GPN49" s="19"/>
      <c r="GPO49" s="19"/>
      <c r="GPP49" s="19"/>
      <c r="GPQ49" s="19"/>
      <c r="GPR49" s="19"/>
      <c r="GPS49" s="19"/>
      <c r="GPT49" s="19"/>
      <c r="GPU49" s="19"/>
      <c r="GPV49" s="19"/>
      <c r="GPW49" s="19"/>
      <c r="GPX49" s="19"/>
      <c r="GPY49" s="19"/>
      <c r="GPZ49" s="19"/>
      <c r="GQA49" s="19"/>
      <c r="GQB49" s="19"/>
      <c r="GQC49" s="19"/>
      <c r="GQD49" s="19"/>
      <c r="GQE49" s="19"/>
      <c r="GQF49" s="19"/>
      <c r="GQG49" s="19"/>
      <c r="GQH49" s="19"/>
      <c r="GQI49" s="19"/>
      <c r="GQJ49" s="19"/>
      <c r="GQK49" s="19"/>
      <c r="GQL49" s="19"/>
      <c r="GQM49" s="19"/>
      <c r="GQN49" s="19"/>
      <c r="GQO49" s="19"/>
      <c r="GQP49" s="19"/>
      <c r="GQQ49" s="19"/>
      <c r="GQR49" s="19"/>
      <c r="GQS49" s="19"/>
      <c r="GQT49" s="19"/>
      <c r="GQU49" s="19"/>
      <c r="GQV49" s="19"/>
      <c r="GQW49" s="19"/>
      <c r="GQX49" s="19"/>
      <c r="GQY49" s="19"/>
      <c r="GQZ49" s="19"/>
      <c r="GRA49" s="19"/>
      <c r="GRB49" s="19"/>
      <c r="GRC49" s="19"/>
      <c r="GRD49" s="19"/>
      <c r="GRE49" s="19"/>
      <c r="GRF49" s="19"/>
      <c r="GRG49" s="19"/>
      <c r="GRH49" s="19"/>
      <c r="GRI49" s="19"/>
      <c r="GRJ49" s="19"/>
      <c r="GRK49" s="19"/>
      <c r="GRL49" s="19"/>
      <c r="GRM49" s="19"/>
      <c r="GRN49" s="19"/>
      <c r="GRO49" s="19"/>
      <c r="GRP49" s="19"/>
      <c r="GRQ49" s="19"/>
      <c r="GRR49" s="19"/>
      <c r="GRS49" s="19"/>
      <c r="GRT49" s="19"/>
      <c r="GRU49" s="19"/>
      <c r="GRV49" s="19"/>
      <c r="GRW49" s="19"/>
      <c r="GRX49" s="19"/>
      <c r="GRY49" s="19"/>
      <c r="GRZ49" s="19"/>
      <c r="GSA49" s="19"/>
      <c r="GSB49" s="19"/>
      <c r="GSC49" s="19"/>
      <c r="GSD49" s="19"/>
      <c r="GSE49" s="19"/>
      <c r="GSF49" s="19"/>
      <c r="GSG49" s="19"/>
      <c r="GSH49" s="19"/>
      <c r="GSI49" s="19"/>
      <c r="GSJ49" s="19"/>
      <c r="GSK49" s="19"/>
      <c r="GSL49" s="19"/>
      <c r="GSM49" s="19"/>
      <c r="GSN49" s="19"/>
      <c r="GSO49" s="19"/>
      <c r="GSP49" s="19"/>
      <c r="GSQ49" s="19"/>
      <c r="GSR49" s="19"/>
      <c r="GSS49" s="19"/>
      <c r="GST49" s="19"/>
      <c r="GSU49" s="19"/>
      <c r="GSV49" s="19"/>
      <c r="GSW49" s="19"/>
      <c r="GSX49" s="19"/>
      <c r="GSY49" s="19"/>
      <c r="GSZ49" s="19"/>
      <c r="GTA49" s="19"/>
      <c r="GTB49" s="19"/>
      <c r="GTC49" s="19"/>
      <c r="GTD49" s="19"/>
      <c r="GTE49" s="19"/>
      <c r="GTF49" s="19"/>
      <c r="GTG49" s="19"/>
      <c r="GTH49" s="19"/>
      <c r="GTI49" s="19"/>
      <c r="GTJ49" s="19"/>
      <c r="GTK49" s="19"/>
      <c r="GTL49" s="19"/>
      <c r="GTM49" s="19"/>
      <c r="GTN49" s="19"/>
      <c r="GTO49" s="19"/>
      <c r="GTP49" s="19"/>
      <c r="GTQ49" s="19"/>
      <c r="GTR49" s="19"/>
      <c r="GTS49" s="19"/>
      <c r="GTT49" s="19"/>
      <c r="GTU49" s="19"/>
      <c r="GTV49" s="19"/>
      <c r="GTW49" s="19"/>
      <c r="GTX49" s="19"/>
      <c r="GTY49" s="19"/>
      <c r="GTZ49" s="19"/>
      <c r="GUA49" s="19"/>
      <c r="GUB49" s="19"/>
      <c r="GUC49" s="19"/>
      <c r="GUD49" s="19"/>
      <c r="GUE49" s="19"/>
      <c r="GUF49" s="19"/>
      <c r="GUG49" s="19"/>
      <c r="GUH49" s="19"/>
      <c r="GUI49" s="19"/>
      <c r="GUJ49" s="19"/>
      <c r="GUK49" s="19"/>
      <c r="GUL49" s="19"/>
      <c r="GUM49" s="19"/>
      <c r="GUN49" s="19"/>
      <c r="GUO49" s="19"/>
      <c r="GUP49" s="19"/>
      <c r="GUQ49" s="19"/>
      <c r="GUR49" s="19"/>
      <c r="GUS49" s="19"/>
      <c r="GUT49" s="19"/>
      <c r="GUU49" s="19"/>
      <c r="GUV49" s="19"/>
      <c r="GUW49" s="19"/>
      <c r="GUX49" s="19"/>
      <c r="GUY49" s="19"/>
      <c r="GUZ49" s="19"/>
      <c r="GVA49" s="19"/>
      <c r="GVB49" s="19"/>
      <c r="GVC49" s="19"/>
      <c r="GVD49" s="19"/>
      <c r="GVE49" s="19"/>
      <c r="GVF49" s="19"/>
      <c r="GVG49" s="19"/>
      <c r="GVH49" s="19"/>
      <c r="GVI49" s="19"/>
      <c r="GVJ49" s="19"/>
      <c r="GVK49" s="19"/>
      <c r="GVL49" s="19"/>
      <c r="GVM49" s="19"/>
      <c r="GVN49" s="19"/>
      <c r="GVO49" s="19"/>
      <c r="GVP49" s="19"/>
      <c r="GVQ49" s="19"/>
      <c r="GVR49" s="19"/>
      <c r="GVS49" s="19"/>
      <c r="GVT49" s="19"/>
      <c r="GVU49" s="19"/>
      <c r="GVV49" s="19"/>
      <c r="GVW49" s="19"/>
      <c r="GVX49" s="19"/>
      <c r="GVY49" s="19"/>
      <c r="GVZ49" s="19"/>
      <c r="GWA49" s="19"/>
      <c r="GWB49" s="19"/>
      <c r="GWC49" s="19"/>
      <c r="GWD49" s="19"/>
      <c r="GWE49" s="19"/>
      <c r="GWF49" s="19"/>
      <c r="GWG49" s="19"/>
      <c r="GWH49" s="19"/>
      <c r="GWI49" s="19"/>
      <c r="GWJ49" s="19"/>
      <c r="GWK49" s="19"/>
      <c r="GWL49" s="19"/>
      <c r="GWM49" s="19"/>
      <c r="GWN49" s="19"/>
      <c r="GWO49" s="19"/>
      <c r="GWP49" s="19"/>
      <c r="GWQ49" s="19"/>
      <c r="GWR49" s="19"/>
      <c r="GWS49" s="19"/>
      <c r="GWT49" s="19"/>
      <c r="GWU49" s="19"/>
      <c r="GWV49" s="19"/>
      <c r="GWW49" s="19"/>
      <c r="GWX49" s="19"/>
      <c r="GWY49" s="19"/>
      <c r="GWZ49" s="19"/>
      <c r="GXA49" s="19"/>
      <c r="GXB49" s="19"/>
      <c r="GXC49" s="19"/>
      <c r="GXD49" s="19"/>
      <c r="GXE49" s="19"/>
      <c r="GXF49" s="19"/>
      <c r="GXG49" s="19"/>
      <c r="GXH49" s="19"/>
      <c r="GXI49" s="19"/>
      <c r="GXJ49" s="19"/>
      <c r="GXK49" s="19"/>
      <c r="GXL49" s="19"/>
      <c r="GXM49" s="19"/>
      <c r="GXN49" s="19"/>
      <c r="GXO49" s="19"/>
      <c r="GXP49" s="19"/>
      <c r="GXQ49" s="19"/>
      <c r="GXR49" s="19"/>
      <c r="GXS49" s="19"/>
      <c r="GXT49" s="19"/>
      <c r="GXU49" s="19"/>
      <c r="GXV49" s="19"/>
      <c r="GXW49" s="19"/>
      <c r="GXX49" s="19"/>
      <c r="GXY49" s="19"/>
      <c r="GXZ49" s="19"/>
      <c r="GYA49" s="19"/>
      <c r="GYB49" s="19"/>
      <c r="GYC49" s="19"/>
      <c r="GYD49" s="19"/>
      <c r="GYE49" s="19"/>
      <c r="GYF49" s="19"/>
      <c r="GYG49" s="19"/>
      <c r="GYH49" s="19"/>
      <c r="GYI49" s="19"/>
      <c r="GYJ49" s="19"/>
      <c r="GYK49" s="19"/>
      <c r="GYL49" s="19"/>
      <c r="GYM49" s="19"/>
      <c r="GYN49" s="19"/>
      <c r="GYO49" s="19"/>
      <c r="GYP49" s="19"/>
      <c r="GYQ49" s="19"/>
      <c r="GYR49" s="19"/>
      <c r="GYS49" s="19"/>
      <c r="GYT49" s="19"/>
      <c r="GYU49" s="19"/>
      <c r="GYV49" s="19"/>
      <c r="GYW49" s="19"/>
      <c r="GYX49" s="19"/>
      <c r="GYY49" s="19"/>
      <c r="GYZ49" s="19"/>
      <c r="GZA49" s="19"/>
      <c r="GZB49" s="19"/>
      <c r="GZC49" s="19"/>
      <c r="GZD49" s="19"/>
      <c r="GZE49" s="19"/>
      <c r="GZF49" s="19"/>
      <c r="GZG49" s="19"/>
      <c r="GZH49" s="19"/>
      <c r="GZI49" s="19"/>
      <c r="GZJ49" s="19"/>
      <c r="GZK49" s="19"/>
      <c r="GZL49" s="19"/>
      <c r="GZM49" s="19"/>
      <c r="GZN49" s="19"/>
      <c r="GZO49" s="19"/>
      <c r="GZP49" s="19"/>
      <c r="GZQ49" s="19"/>
      <c r="GZR49" s="19"/>
      <c r="GZS49" s="19"/>
      <c r="GZT49" s="19"/>
      <c r="GZU49" s="19"/>
      <c r="GZV49" s="19"/>
      <c r="GZW49" s="19"/>
      <c r="GZX49" s="19"/>
      <c r="GZY49" s="19"/>
      <c r="GZZ49" s="19"/>
      <c r="HAA49" s="19"/>
      <c r="HAB49" s="19"/>
      <c r="HAC49" s="19"/>
      <c r="HAD49" s="19"/>
      <c r="HAE49" s="19"/>
      <c r="HAF49" s="19"/>
      <c r="HAG49" s="19"/>
      <c r="HAH49" s="19"/>
      <c r="HAI49" s="19"/>
      <c r="HAJ49" s="19"/>
      <c r="HAK49" s="19"/>
      <c r="HAL49" s="19"/>
      <c r="HAM49" s="19"/>
      <c r="HAN49" s="19"/>
      <c r="HAO49" s="19"/>
      <c r="HAP49" s="19"/>
      <c r="HAQ49" s="19"/>
      <c r="HAR49" s="19"/>
      <c r="HAS49" s="19"/>
      <c r="HAT49" s="19"/>
      <c r="HAU49" s="19"/>
      <c r="HAV49" s="19"/>
      <c r="HAW49" s="19"/>
      <c r="HAX49" s="19"/>
      <c r="HAY49" s="19"/>
      <c r="HAZ49" s="19"/>
      <c r="HBA49" s="19"/>
      <c r="HBB49" s="19"/>
      <c r="HBC49" s="19"/>
      <c r="HBD49" s="19"/>
      <c r="HBE49" s="19"/>
      <c r="HBF49" s="19"/>
      <c r="HBG49" s="19"/>
      <c r="HBH49" s="19"/>
      <c r="HBI49" s="19"/>
      <c r="HBJ49" s="19"/>
      <c r="HBK49" s="19"/>
      <c r="HBL49" s="19"/>
      <c r="HBM49" s="19"/>
      <c r="HBN49" s="19"/>
      <c r="HBO49" s="19"/>
      <c r="HBP49" s="19"/>
      <c r="HBQ49" s="19"/>
      <c r="HBR49" s="19"/>
      <c r="HBS49" s="19"/>
      <c r="HBT49" s="19"/>
      <c r="HBU49" s="19"/>
      <c r="HBV49" s="19"/>
      <c r="HBW49" s="19"/>
      <c r="HBX49" s="19"/>
      <c r="HBY49" s="19"/>
      <c r="HBZ49" s="19"/>
      <c r="HCA49" s="19"/>
      <c r="HCB49" s="19"/>
      <c r="HCC49" s="19"/>
      <c r="HCD49" s="19"/>
      <c r="HCE49" s="19"/>
      <c r="HCF49" s="19"/>
      <c r="HCG49" s="19"/>
      <c r="HCH49" s="19"/>
      <c r="HCI49" s="19"/>
      <c r="HCJ49" s="19"/>
      <c r="HCK49" s="19"/>
      <c r="HCL49" s="19"/>
      <c r="HCM49" s="19"/>
      <c r="HCN49" s="19"/>
      <c r="HCO49" s="19"/>
      <c r="HCP49" s="19"/>
      <c r="HCQ49" s="19"/>
      <c r="HCR49" s="19"/>
      <c r="HCS49" s="19"/>
      <c r="HCT49" s="19"/>
      <c r="HCU49" s="19"/>
      <c r="HCV49" s="19"/>
      <c r="HCW49" s="19"/>
      <c r="HCX49" s="19"/>
      <c r="HCY49" s="19"/>
      <c r="HCZ49" s="19"/>
      <c r="HDA49" s="19"/>
      <c r="HDB49" s="19"/>
      <c r="HDC49" s="19"/>
      <c r="HDD49" s="19"/>
      <c r="HDE49" s="19"/>
      <c r="HDF49" s="19"/>
      <c r="HDG49" s="19"/>
      <c r="HDH49" s="19"/>
      <c r="HDI49" s="19"/>
      <c r="HDJ49" s="19"/>
      <c r="HDK49" s="19"/>
      <c r="HDL49" s="19"/>
      <c r="HDM49" s="19"/>
      <c r="HDN49" s="19"/>
      <c r="HDO49" s="19"/>
      <c r="HDP49" s="19"/>
      <c r="HDQ49" s="19"/>
      <c r="HDR49" s="19"/>
      <c r="HDS49" s="19"/>
      <c r="HDT49" s="19"/>
      <c r="HDU49" s="19"/>
      <c r="HDV49" s="19"/>
      <c r="HDW49" s="19"/>
      <c r="HDX49" s="19"/>
      <c r="HDY49" s="19"/>
      <c r="HDZ49" s="19"/>
      <c r="HEA49" s="19"/>
      <c r="HEB49" s="19"/>
      <c r="HEC49" s="19"/>
      <c r="HED49" s="19"/>
      <c r="HEE49" s="19"/>
      <c r="HEF49" s="19"/>
      <c r="HEG49" s="19"/>
      <c r="HEH49" s="19"/>
      <c r="HEI49" s="19"/>
      <c r="HEJ49" s="19"/>
      <c r="HEK49" s="19"/>
      <c r="HEL49" s="19"/>
      <c r="HEM49" s="19"/>
      <c r="HEN49" s="19"/>
      <c r="HEO49" s="19"/>
      <c r="HEP49" s="19"/>
      <c r="HEQ49" s="19"/>
      <c r="HER49" s="19"/>
      <c r="HES49" s="19"/>
      <c r="HET49" s="19"/>
      <c r="HEU49" s="19"/>
      <c r="HEV49" s="19"/>
      <c r="HEW49" s="19"/>
      <c r="HEX49" s="19"/>
      <c r="HEY49" s="19"/>
      <c r="HEZ49" s="19"/>
      <c r="HFA49" s="19"/>
      <c r="HFB49" s="19"/>
      <c r="HFC49" s="19"/>
      <c r="HFD49" s="19"/>
      <c r="HFE49" s="19"/>
      <c r="HFF49" s="19"/>
      <c r="HFG49" s="19"/>
      <c r="HFH49" s="19"/>
      <c r="HFI49" s="19"/>
      <c r="HFJ49" s="19"/>
      <c r="HFK49" s="19"/>
      <c r="HFL49" s="19"/>
      <c r="HFM49" s="19"/>
      <c r="HFN49" s="19"/>
      <c r="HFO49" s="19"/>
      <c r="HFP49" s="19"/>
      <c r="HFQ49" s="19"/>
      <c r="HFR49" s="19"/>
      <c r="HFS49" s="19"/>
      <c r="HFT49" s="19"/>
      <c r="HFU49" s="19"/>
      <c r="HFV49" s="19"/>
      <c r="HFW49" s="19"/>
      <c r="HFX49" s="19"/>
      <c r="HFY49" s="19"/>
      <c r="HFZ49" s="19"/>
      <c r="HGA49" s="19"/>
      <c r="HGB49" s="19"/>
      <c r="HGC49" s="19"/>
      <c r="HGD49" s="19"/>
      <c r="HGE49" s="19"/>
      <c r="HGF49" s="19"/>
      <c r="HGG49" s="19"/>
      <c r="HGH49" s="19"/>
      <c r="HGI49" s="19"/>
      <c r="HGJ49" s="19"/>
      <c r="HGK49" s="19"/>
      <c r="HGL49" s="19"/>
      <c r="HGM49" s="19"/>
      <c r="HGN49" s="19"/>
      <c r="HGO49" s="19"/>
      <c r="HGP49" s="19"/>
      <c r="HGQ49" s="19"/>
      <c r="HGR49" s="19"/>
      <c r="HGS49" s="19"/>
      <c r="HGT49" s="19"/>
      <c r="HGU49" s="19"/>
      <c r="HGV49" s="19"/>
      <c r="HGW49" s="19"/>
      <c r="HGX49" s="19"/>
      <c r="HGY49" s="19"/>
      <c r="HGZ49" s="19"/>
      <c r="HHA49" s="19"/>
      <c r="HHB49" s="19"/>
      <c r="HHC49" s="19"/>
      <c r="HHD49" s="19"/>
      <c r="HHE49" s="19"/>
      <c r="HHF49" s="19"/>
      <c r="HHG49" s="19"/>
      <c r="HHH49" s="19"/>
      <c r="HHI49" s="19"/>
      <c r="HHJ49" s="19"/>
      <c r="HHK49" s="19"/>
      <c r="HHL49" s="19"/>
      <c r="HHM49" s="19"/>
      <c r="HHN49" s="19"/>
      <c r="HHO49" s="19"/>
      <c r="HHP49" s="19"/>
      <c r="HHQ49" s="19"/>
      <c r="HHR49" s="19"/>
      <c r="HHS49" s="19"/>
      <c r="HHT49" s="19"/>
      <c r="HHU49" s="19"/>
      <c r="HHV49" s="19"/>
      <c r="HHW49" s="19"/>
      <c r="HHX49" s="19"/>
      <c r="HHY49" s="19"/>
      <c r="HHZ49" s="19"/>
      <c r="HIA49" s="19"/>
      <c r="HIB49" s="19"/>
      <c r="HIC49" s="19"/>
      <c r="HID49" s="19"/>
      <c r="HIE49" s="19"/>
      <c r="HIF49" s="19"/>
      <c r="HIG49" s="19"/>
      <c r="HIH49" s="19"/>
      <c r="HII49" s="19"/>
      <c r="HIJ49" s="19"/>
      <c r="HIK49" s="19"/>
      <c r="HIL49" s="19"/>
      <c r="HIM49" s="19"/>
      <c r="HIN49" s="19"/>
      <c r="HIO49" s="19"/>
      <c r="HIP49" s="19"/>
      <c r="HIQ49" s="19"/>
      <c r="HIR49" s="19"/>
      <c r="HIS49" s="19"/>
      <c r="HIT49" s="19"/>
      <c r="HIU49" s="19"/>
      <c r="HIV49" s="19"/>
      <c r="HIW49" s="19"/>
      <c r="HIX49" s="19"/>
      <c r="HIY49" s="19"/>
      <c r="HIZ49" s="19"/>
      <c r="HJA49" s="19"/>
      <c r="HJB49" s="19"/>
      <c r="HJC49" s="19"/>
      <c r="HJD49" s="19"/>
      <c r="HJE49" s="19"/>
      <c r="HJF49" s="19"/>
      <c r="HJG49" s="19"/>
      <c r="HJH49" s="19"/>
      <c r="HJI49" s="19"/>
      <c r="HJJ49" s="19"/>
      <c r="HJK49" s="19"/>
      <c r="HJL49" s="19"/>
      <c r="HJM49" s="19"/>
      <c r="HJN49" s="19"/>
      <c r="HJO49" s="19"/>
      <c r="HJP49" s="19"/>
      <c r="HJQ49" s="19"/>
      <c r="HJR49" s="19"/>
      <c r="HJS49" s="19"/>
      <c r="HJT49" s="19"/>
      <c r="HJU49" s="19"/>
      <c r="HJV49" s="19"/>
      <c r="HJW49" s="19"/>
      <c r="HJX49" s="19"/>
      <c r="HJY49" s="19"/>
      <c r="HJZ49" s="19"/>
      <c r="HKA49" s="19"/>
      <c r="HKB49" s="19"/>
      <c r="HKC49" s="19"/>
      <c r="HKD49" s="19"/>
      <c r="HKE49" s="19"/>
      <c r="HKF49" s="19"/>
      <c r="HKG49" s="19"/>
      <c r="HKH49" s="19"/>
      <c r="HKI49" s="19"/>
      <c r="HKJ49" s="19"/>
      <c r="HKK49" s="19"/>
      <c r="HKL49" s="19"/>
      <c r="HKM49" s="19"/>
      <c r="HKN49" s="19"/>
      <c r="HKO49" s="19"/>
      <c r="HKP49" s="19"/>
      <c r="HKQ49" s="19"/>
      <c r="HKR49" s="19"/>
      <c r="HKS49" s="19"/>
      <c r="HKT49" s="19"/>
      <c r="HKU49" s="19"/>
      <c r="HKV49" s="19"/>
      <c r="HKW49" s="19"/>
      <c r="HKX49" s="19"/>
      <c r="HKY49" s="19"/>
      <c r="HKZ49" s="19"/>
      <c r="HLA49" s="19"/>
      <c r="HLB49" s="19"/>
      <c r="HLC49" s="19"/>
      <c r="HLD49" s="19"/>
      <c r="HLE49" s="19"/>
      <c r="HLF49" s="19"/>
      <c r="HLG49" s="19"/>
      <c r="HLH49" s="19"/>
      <c r="HLI49" s="19"/>
      <c r="HLJ49" s="19"/>
      <c r="HLK49" s="19"/>
      <c r="HLL49" s="19"/>
      <c r="HLM49" s="19"/>
      <c r="HLN49" s="19"/>
      <c r="HLO49" s="19"/>
      <c r="HLP49" s="19"/>
      <c r="HLQ49" s="19"/>
      <c r="HLR49" s="19"/>
      <c r="HLS49" s="19"/>
      <c r="HLT49" s="19"/>
      <c r="HLU49" s="19"/>
      <c r="HLV49" s="19"/>
      <c r="HLW49" s="19"/>
      <c r="HLX49" s="19"/>
      <c r="HLY49" s="19"/>
      <c r="HLZ49" s="19"/>
      <c r="HMA49" s="19"/>
      <c r="HMB49" s="19"/>
      <c r="HMC49" s="19"/>
      <c r="HMD49" s="19"/>
      <c r="HME49" s="19"/>
      <c r="HMF49" s="19"/>
      <c r="HMG49" s="19"/>
      <c r="HMH49" s="19"/>
      <c r="HMI49" s="19"/>
      <c r="HMJ49" s="19"/>
      <c r="HMK49" s="19"/>
      <c r="HML49" s="19"/>
      <c r="HMM49" s="19"/>
      <c r="HMN49" s="19"/>
      <c r="HMO49" s="19"/>
      <c r="HMP49" s="19"/>
      <c r="HMQ49" s="19"/>
      <c r="HMR49" s="19"/>
      <c r="HMS49" s="19"/>
      <c r="HMT49" s="19"/>
      <c r="HMU49" s="19"/>
      <c r="HMV49" s="19"/>
      <c r="HMW49" s="19"/>
      <c r="HMX49" s="19"/>
      <c r="HMY49" s="19"/>
      <c r="HMZ49" s="19"/>
      <c r="HNA49" s="19"/>
      <c r="HNB49" s="19"/>
      <c r="HNC49" s="19"/>
      <c r="HND49" s="19"/>
      <c r="HNE49" s="19"/>
      <c r="HNF49" s="19"/>
      <c r="HNG49" s="19"/>
      <c r="HNH49" s="19"/>
      <c r="HNI49" s="19"/>
      <c r="HNJ49" s="19"/>
      <c r="HNK49" s="19"/>
      <c r="HNL49" s="19"/>
      <c r="HNM49" s="19"/>
      <c r="HNN49" s="19"/>
      <c r="HNO49" s="19"/>
      <c r="HNP49" s="19"/>
      <c r="HNQ49" s="19"/>
      <c r="HNR49" s="19"/>
      <c r="HNS49" s="19"/>
      <c r="HNT49" s="19"/>
      <c r="HNU49" s="19"/>
      <c r="HNV49" s="19"/>
      <c r="HNW49" s="19"/>
      <c r="HNX49" s="19"/>
      <c r="HNY49" s="19"/>
      <c r="HNZ49" s="19"/>
      <c r="HOA49" s="19"/>
      <c r="HOB49" s="19"/>
      <c r="HOC49" s="19"/>
      <c r="HOD49" s="19"/>
      <c r="HOE49" s="19"/>
      <c r="HOF49" s="19"/>
      <c r="HOG49" s="19"/>
      <c r="HOH49" s="19"/>
      <c r="HOI49" s="19"/>
      <c r="HOJ49" s="19"/>
      <c r="HOK49" s="19"/>
      <c r="HOL49" s="19"/>
      <c r="HOM49" s="19"/>
      <c r="HON49" s="19"/>
      <c r="HOO49" s="19"/>
      <c r="HOP49" s="19"/>
      <c r="HOQ49" s="19"/>
      <c r="HOR49" s="19"/>
      <c r="HOS49" s="19"/>
      <c r="HOT49" s="19"/>
      <c r="HOU49" s="19"/>
      <c r="HOV49" s="19"/>
      <c r="HOW49" s="19"/>
      <c r="HOX49" s="19"/>
      <c r="HOY49" s="19"/>
      <c r="HOZ49" s="19"/>
      <c r="HPA49" s="19"/>
      <c r="HPB49" s="19"/>
      <c r="HPC49" s="19"/>
      <c r="HPD49" s="19"/>
      <c r="HPE49" s="19"/>
      <c r="HPF49" s="19"/>
      <c r="HPG49" s="19"/>
      <c r="HPH49" s="19"/>
      <c r="HPI49" s="19"/>
      <c r="HPJ49" s="19"/>
      <c r="HPK49" s="19"/>
      <c r="HPL49" s="19"/>
      <c r="HPM49" s="19"/>
      <c r="HPN49" s="19"/>
      <c r="HPO49" s="19"/>
      <c r="HPP49" s="19"/>
      <c r="HPQ49" s="19"/>
      <c r="HPR49" s="19"/>
      <c r="HPS49" s="19"/>
      <c r="HPT49" s="19"/>
      <c r="HPU49" s="19"/>
      <c r="HPV49" s="19"/>
      <c r="HPW49" s="19"/>
      <c r="HPX49" s="19"/>
      <c r="HPY49" s="19"/>
      <c r="HPZ49" s="19"/>
      <c r="HQA49" s="19"/>
      <c r="HQB49" s="19"/>
      <c r="HQC49" s="19"/>
      <c r="HQD49" s="19"/>
      <c r="HQE49" s="19"/>
      <c r="HQF49" s="19"/>
      <c r="HQG49" s="19"/>
      <c r="HQH49" s="19"/>
      <c r="HQI49" s="19"/>
      <c r="HQJ49" s="19"/>
      <c r="HQK49" s="19"/>
      <c r="HQL49" s="19"/>
      <c r="HQM49" s="19"/>
      <c r="HQN49" s="19"/>
      <c r="HQO49" s="19"/>
      <c r="HQP49" s="19"/>
      <c r="HQQ49" s="19"/>
      <c r="HQR49" s="19"/>
      <c r="HQS49" s="19"/>
      <c r="HQT49" s="19"/>
      <c r="HQU49" s="19"/>
      <c r="HQV49" s="19"/>
      <c r="HQW49" s="19"/>
      <c r="HQX49" s="19"/>
      <c r="HQY49" s="19"/>
      <c r="HQZ49" s="19"/>
      <c r="HRA49" s="19"/>
      <c r="HRB49" s="19"/>
      <c r="HRC49" s="19"/>
      <c r="HRD49" s="19"/>
      <c r="HRE49" s="19"/>
      <c r="HRF49" s="19"/>
      <c r="HRG49" s="19"/>
      <c r="HRH49" s="19"/>
      <c r="HRI49" s="19"/>
      <c r="HRJ49" s="19"/>
      <c r="HRK49" s="19"/>
      <c r="HRL49" s="19"/>
      <c r="HRM49" s="19"/>
      <c r="HRN49" s="19"/>
      <c r="HRO49" s="19"/>
      <c r="HRP49" s="19"/>
      <c r="HRQ49" s="19"/>
      <c r="HRR49" s="19"/>
      <c r="HRS49" s="19"/>
      <c r="HRT49" s="19"/>
      <c r="HRU49" s="19"/>
      <c r="HRV49" s="19"/>
      <c r="HRW49" s="19"/>
      <c r="HRX49" s="19"/>
      <c r="HRY49" s="19"/>
      <c r="HRZ49" s="19"/>
      <c r="HSA49" s="19"/>
      <c r="HSB49" s="19"/>
      <c r="HSC49" s="19"/>
      <c r="HSD49" s="19"/>
      <c r="HSE49" s="19"/>
      <c r="HSF49" s="19"/>
      <c r="HSG49" s="19"/>
      <c r="HSH49" s="19"/>
      <c r="HSI49" s="19"/>
      <c r="HSJ49" s="19"/>
      <c r="HSK49" s="19"/>
      <c r="HSL49" s="19"/>
      <c r="HSM49" s="19"/>
      <c r="HSN49" s="19"/>
      <c r="HSO49" s="19"/>
      <c r="HSP49" s="19"/>
      <c r="HSQ49" s="19"/>
      <c r="HSR49" s="19"/>
      <c r="HSS49" s="19"/>
      <c r="HST49" s="19"/>
      <c r="HSU49" s="19"/>
      <c r="HSV49" s="19"/>
      <c r="HSW49" s="19"/>
      <c r="HSX49" s="19"/>
      <c r="HSY49" s="19"/>
      <c r="HSZ49" s="19"/>
      <c r="HTA49" s="19"/>
      <c r="HTB49" s="19"/>
      <c r="HTC49" s="19"/>
      <c r="HTD49" s="19"/>
      <c r="HTE49" s="19"/>
      <c r="HTF49" s="19"/>
      <c r="HTG49" s="19"/>
      <c r="HTH49" s="19"/>
      <c r="HTI49" s="19"/>
      <c r="HTJ49" s="19"/>
      <c r="HTK49" s="19"/>
      <c r="HTL49" s="19"/>
      <c r="HTM49" s="19"/>
      <c r="HTN49" s="19"/>
      <c r="HTO49" s="19"/>
      <c r="HTP49" s="19"/>
      <c r="HTQ49" s="19"/>
      <c r="HTR49" s="19"/>
      <c r="HTS49" s="19"/>
      <c r="HTT49" s="19"/>
      <c r="HTU49" s="19"/>
      <c r="HTV49" s="19"/>
      <c r="HTW49" s="19"/>
      <c r="HTX49" s="19"/>
      <c r="HTY49" s="19"/>
      <c r="HTZ49" s="19"/>
      <c r="HUA49" s="19"/>
      <c r="HUB49" s="19"/>
      <c r="HUC49" s="19"/>
      <c r="HUD49" s="19"/>
      <c r="HUE49" s="19"/>
      <c r="HUF49" s="19"/>
      <c r="HUG49" s="19"/>
      <c r="HUH49" s="19"/>
      <c r="HUI49" s="19"/>
      <c r="HUJ49" s="19"/>
      <c r="HUK49" s="19"/>
      <c r="HUL49" s="19"/>
      <c r="HUM49" s="19"/>
      <c r="HUN49" s="19"/>
      <c r="HUO49" s="19"/>
      <c r="HUP49" s="19"/>
      <c r="HUQ49" s="19"/>
      <c r="HUR49" s="19"/>
      <c r="HUS49" s="19"/>
      <c r="HUT49" s="19"/>
      <c r="HUU49" s="19"/>
      <c r="HUV49" s="19"/>
      <c r="HUW49" s="19"/>
      <c r="HUX49" s="19"/>
      <c r="HUY49" s="19"/>
      <c r="HUZ49" s="19"/>
      <c r="HVA49" s="19"/>
      <c r="HVB49" s="19"/>
      <c r="HVC49" s="19"/>
      <c r="HVD49" s="19"/>
      <c r="HVE49" s="19"/>
      <c r="HVF49" s="19"/>
      <c r="HVG49" s="19"/>
      <c r="HVH49" s="19"/>
      <c r="HVI49" s="19"/>
      <c r="HVJ49" s="19"/>
      <c r="HVK49" s="19"/>
      <c r="HVL49" s="19"/>
      <c r="HVM49" s="19"/>
      <c r="HVN49" s="19"/>
      <c r="HVO49" s="19"/>
      <c r="HVP49" s="19"/>
      <c r="HVQ49" s="19"/>
      <c r="HVR49" s="19"/>
      <c r="HVS49" s="19"/>
      <c r="HVT49" s="19"/>
      <c r="HVU49" s="19"/>
      <c r="HVV49" s="19"/>
      <c r="HVW49" s="19"/>
      <c r="HVX49" s="19"/>
      <c r="HVY49" s="19"/>
      <c r="HVZ49" s="19"/>
      <c r="HWA49" s="19"/>
      <c r="HWB49" s="19"/>
      <c r="HWC49" s="19"/>
      <c r="HWD49" s="19"/>
      <c r="HWE49" s="19"/>
      <c r="HWF49" s="19"/>
      <c r="HWG49" s="19"/>
      <c r="HWH49" s="19"/>
      <c r="HWI49" s="19"/>
      <c r="HWJ49" s="19"/>
      <c r="HWK49" s="19"/>
      <c r="HWL49" s="19"/>
      <c r="HWM49" s="19"/>
      <c r="HWN49" s="19"/>
      <c r="HWO49" s="19"/>
      <c r="HWP49" s="19"/>
      <c r="HWQ49" s="19"/>
      <c r="HWR49" s="19"/>
      <c r="HWS49" s="19"/>
      <c r="HWT49" s="19"/>
      <c r="HWU49" s="19"/>
      <c r="HWV49" s="19"/>
      <c r="HWW49" s="19"/>
      <c r="HWX49" s="19"/>
      <c r="HWY49" s="19"/>
      <c r="HWZ49" s="19"/>
      <c r="HXA49" s="19"/>
      <c r="HXB49" s="19"/>
      <c r="HXC49" s="19"/>
      <c r="HXD49" s="19"/>
      <c r="HXE49" s="19"/>
      <c r="HXF49" s="19"/>
      <c r="HXG49" s="19"/>
      <c r="HXH49" s="19"/>
      <c r="HXI49" s="19"/>
      <c r="HXJ49" s="19"/>
      <c r="HXK49" s="19"/>
      <c r="HXL49" s="19"/>
      <c r="HXM49" s="19"/>
      <c r="HXN49" s="19"/>
      <c r="HXO49" s="19"/>
      <c r="HXP49" s="19"/>
      <c r="HXQ49" s="19"/>
      <c r="HXR49" s="19"/>
      <c r="HXS49" s="19"/>
      <c r="HXT49" s="19"/>
      <c r="HXU49" s="19"/>
      <c r="HXV49" s="19"/>
      <c r="HXW49" s="19"/>
      <c r="HXX49" s="19"/>
      <c r="HXY49" s="19"/>
      <c r="HXZ49" s="19"/>
      <c r="HYA49" s="19"/>
      <c r="HYB49" s="19"/>
      <c r="HYC49" s="19"/>
      <c r="HYD49" s="19"/>
      <c r="HYE49" s="19"/>
      <c r="HYF49" s="19"/>
      <c r="HYG49" s="19"/>
      <c r="HYH49" s="19"/>
      <c r="HYI49" s="19"/>
      <c r="HYJ49" s="19"/>
      <c r="HYK49" s="19"/>
      <c r="HYL49" s="19"/>
      <c r="HYM49" s="19"/>
      <c r="HYN49" s="19"/>
      <c r="HYO49" s="19"/>
      <c r="HYP49" s="19"/>
      <c r="HYQ49" s="19"/>
      <c r="HYR49" s="19"/>
      <c r="HYS49" s="19"/>
      <c r="HYT49" s="19"/>
      <c r="HYU49" s="19"/>
      <c r="HYV49" s="19"/>
      <c r="HYW49" s="19"/>
      <c r="HYX49" s="19"/>
      <c r="HYY49" s="19"/>
      <c r="HYZ49" s="19"/>
      <c r="HZA49" s="19"/>
      <c r="HZB49" s="19"/>
      <c r="HZC49" s="19"/>
      <c r="HZD49" s="19"/>
      <c r="HZE49" s="19"/>
      <c r="HZF49" s="19"/>
      <c r="HZG49" s="19"/>
      <c r="HZH49" s="19"/>
      <c r="HZI49" s="19"/>
      <c r="HZJ49" s="19"/>
      <c r="HZK49" s="19"/>
      <c r="HZL49" s="19"/>
      <c r="HZM49" s="19"/>
      <c r="HZN49" s="19"/>
      <c r="HZO49" s="19"/>
      <c r="HZP49" s="19"/>
      <c r="HZQ49" s="19"/>
      <c r="HZR49" s="19"/>
      <c r="HZS49" s="19"/>
      <c r="HZT49" s="19"/>
      <c r="HZU49" s="19"/>
      <c r="HZV49" s="19"/>
      <c r="HZW49" s="19"/>
      <c r="HZX49" s="19"/>
      <c r="HZY49" s="19"/>
      <c r="HZZ49" s="19"/>
      <c r="IAA49" s="19"/>
      <c r="IAB49" s="19"/>
      <c r="IAC49" s="19"/>
      <c r="IAD49" s="19"/>
      <c r="IAE49" s="19"/>
      <c r="IAF49" s="19"/>
      <c r="IAG49" s="19"/>
      <c r="IAH49" s="19"/>
      <c r="IAI49" s="19"/>
      <c r="IAJ49" s="19"/>
      <c r="IAK49" s="19"/>
      <c r="IAL49" s="19"/>
      <c r="IAM49" s="19"/>
      <c r="IAN49" s="19"/>
      <c r="IAO49" s="19"/>
      <c r="IAP49" s="19"/>
      <c r="IAQ49" s="19"/>
      <c r="IAR49" s="19"/>
      <c r="IAS49" s="19"/>
      <c r="IAT49" s="19"/>
      <c r="IAU49" s="19"/>
      <c r="IAV49" s="19"/>
      <c r="IAW49" s="19"/>
      <c r="IAX49" s="19"/>
      <c r="IAY49" s="19"/>
      <c r="IAZ49" s="19"/>
      <c r="IBA49" s="19"/>
      <c r="IBB49" s="19"/>
      <c r="IBC49" s="19"/>
      <c r="IBD49" s="19"/>
      <c r="IBE49" s="19"/>
      <c r="IBF49" s="19"/>
      <c r="IBG49" s="19"/>
      <c r="IBH49" s="19"/>
      <c r="IBI49" s="19"/>
      <c r="IBJ49" s="19"/>
      <c r="IBK49" s="19"/>
      <c r="IBL49" s="19"/>
      <c r="IBM49" s="19"/>
      <c r="IBN49" s="19"/>
      <c r="IBO49" s="19"/>
      <c r="IBP49" s="19"/>
      <c r="IBQ49" s="19"/>
      <c r="IBR49" s="19"/>
      <c r="IBS49" s="19"/>
      <c r="IBT49" s="19"/>
      <c r="IBU49" s="19"/>
      <c r="IBV49" s="19"/>
      <c r="IBW49" s="19"/>
      <c r="IBX49" s="19"/>
      <c r="IBY49" s="19"/>
      <c r="IBZ49" s="19"/>
      <c r="ICA49" s="19"/>
      <c r="ICB49" s="19"/>
      <c r="ICC49" s="19"/>
      <c r="ICD49" s="19"/>
      <c r="ICE49" s="19"/>
      <c r="ICF49" s="19"/>
      <c r="ICG49" s="19"/>
      <c r="ICH49" s="19"/>
      <c r="ICI49" s="19"/>
      <c r="ICJ49" s="19"/>
      <c r="ICK49" s="19"/>
      <c r="ICL49" s="19"/>
      <c r="ICM49" s="19"/>
      <c r="ICN49" s="19"/>
      <c r="ICO49" s="19"/>
      <c r="ICP49" s="19"/>
      <c r="ICQ49" s="19"/>
      <c r="ICR49" s="19"/>
      <c r="ICS49" s="19"/>
      <c r="ICT49" s="19"/>
      <c r="ICU49" s="19"/>
      <c r="ICV49" s="19"/>
      <c r="ICW49" s="19"/>
      <c r="ICX49" s="19"/>
      <c r="ICY49" s="19"/>
      <c r="ICZ49" s="19"/>
      <c r="IDA49" s="19"/>
      <c r="IDB49" s="19"/>
      <c r="IDC49" s="19"/>
      <c r="IDD49" s="19"/>
      <c r="IDE49" s="19"/>
      <c r="IDF49" s="19"/>
      <c r="IDG49" s="19"/>
      <c r="IDH49" s="19"/>
      <c r="IDI49" s="19"/>
      <c r="IDJ49" s="19"/>
      <c r="IDK49" s="19"/>
      <c r="IDL49" s="19"/>
      <c r="IDM49" s="19"/>
      <c r="IDN49" s="19"/>
      <c r="IDO49" s="19"/>
      <c r="IDP49" s="19"/>
      <c r="IDQ49" s="19"/>
      <c r="IDR49" s="19"/>
      <c r="IDS49" s="19"/>
      <c r="IDT49" s="19"/>
      <c r="IDU49" s="19"/>
      <c r="IDV49" s="19"/>
      <c r="IDW49" s="19"/>
      <c r="IDX49" s="19"/>
      <c r="IDY49" s="19"/>
      <c r="IDZ49" s="19"/>
      <c r="IEA49" s="19"/>
      <c r="IEB49" s="19"/>
      <c r="IEC49" s="19"/>
      <c r="IED49" s="19"/>
      <c r="IEE49" s="19"/>
      <c r="IEF49" s="19"/>
      <c r="IEG49" s="19"/>
      <c r="IEH49" s="19"/>
      <c r="IEI49" s="19"/>
      <c r="IEJ49" s="19"/>
      <c r="IEK49" s="19"/>
      <c r="IEL49" s="19"/>
      <c r="IEM49" s="19"/>
      <c r="IEN49" s="19"/>
      <c r="IEO49" s="19"/>
      <c r="IEP49" s="19"/>
      <c r="IEQ49" s="19"/>
      <c r="IER49" s="19"/>
      <c r="IES49" s="19"/>
      <c r="IET49" s="19"/>
      <c r="IEU49" s="19"/>
      <c r="IEV49" s="19"/>
      <c r="IEW49" s="19"/>
      <c r="IEX49" s="19"/>
      <c r="IEY49" s="19"/>
      <c r="IEZ49" s="19"/>
      <c r="IFA49" s="19"/>
      <c r="IFB49" s="19"/>
      <c r="IFC49" s="19"/>
      <c r="IFD49" s="19"/>
      <c r="IFE49" s="19"/>
      <c r="IFF49" s="19"/>
      <c r="IFG49" s="19"/>
      <c r="IFH49" s="19"/>
      <c r="IFI49" s="19"/>
      <c r="IFJ49" s="19"/>
      <c r="IFK49" s="19"/>
      <c r="IFL49" s="19"/>
      <c r="IFM49" s="19"/>
      <c r="IFN49" s="19"/>
      <c r="IFO49" s="19"/>
      <c r="IFP49" s="19"/>
      <c r="IFQ49" s="19"/>
      <c r="IFR49" s="19"/>
      <c r="IFS49" s="19"/>
      <c r="IFT49" s="19"/>
      <c r="IFU49" s="19"/>
      <c r="IFV49" s="19"/>
      <c r="IFW49" s="19"/>
      <c r="IFX49" s="19"/>
      <c r="IFY49" s="19"/>
      <c r="IFZ49" s="19"/>
      <c r="IGA49" s="19"/>
      <c r="IGB49" s="19"/>
      <c r="IGC49" s="19"/>
      <c r="IGD49" s="19"/>
      <c r="IGE49" s="19"/>
      <c r="IGF49" s="19"/>
      <c r="IGG49" s="19"/>
      <c r="IGH49" s="19"/>
      <c r="IGI49" s="19"/>
      <c r="IGJ49" s="19"/>
      <c r="IGK49" s="19"/>
      <c r="IGL49" s="19"/>
      <c r="IGM49" s="19"/>
      <c r="IGN49" s="19"/>
      <c r="IGO49" s="19"/>
      <c r="IGP49" s="19"/>
      <c r="IGQ49" s="19"/>
      <c r="IGR49" s="19"/>
      <c r="IGS49" s="19"/>
      <c r="IGT49" s="19"/>
      <c r="IGU49" s="19"/>
      <c r="IGV49" s="19"/>
      <c r="IGW49" s="19"/>
      <c r="IGX49" s="19"/>
      <c r="IGY49" s="19"/>
      <c r="IGZ49" s="19"/>
      <c r="IHA49" s="19"/>
      <c r="IHB49" s="19"/>
      <c r="IHC49" s="19"/>
      <c r="IHD49" s="19"/>
      <c r="IHE49" s="19"/>
      <c r="IHF49" s="19"/>
      <c r="IHG49" s="19"/>
      <c r="IHH49" s="19"/>
      <c r="IHI49" s="19"/>
      <c r="IHJ49" s="19"/>
      <c r="IHK49" s="19"/>
      <c r="IHL49" s="19"/>
      <c r="IHM49" s="19"/>
      <c r="IHN49" s="19"/>
      <c r="IHO49" s="19"/>
      <c r="IHP49" s="19"/>
      <c r="IHQ49" s="19"/>
      <c r="IHR49" s="19"/>
      <c r="IHS49" s="19"/>
      <c r="IHT49" s="19"/>
      <c r="IHU49" s="19"/>
      <c r="IHV49" s="19"/>
      <c r="IHW49" s="19"/>
      <c r="IHX49" s="19"/>
      <c r="IHY49" s="19"/>
      <c r="IHZ49" s="19"/>
      <c r="IIA49" s="19"/>
      <c r="IIB49" s="19"/>
      <c r="IIC49" s="19"/>
      <c r="IID49" s="19"/>
      <c r="IIE49" s="19"/>
      <c r="IIF49" s="19"/>
      <c r="IIG49" s="19"/>
      <c r="IIH49" s="19"/>
      <c r="III49" s="19"/>
      <c r="IIJ49" s="19"/>
      <c r="IIK49" s="19"/>
      <c r="IIL49" s="19"/>
      <c r="IIM49" s="19"/>
      <c r="IIN49" s="19"/>
      <c r="IIO49" s="19"/>
      <c r="IIP49" s="19"/>
      <c r="IIQ49" s="19"/>
      <c r="IIR49" s="19"/>
      <c r="IIS49" s="19"/>
      <c r="IIT49" s="19"/>
      <c r="IIU49" s="19"/>
      <c r="IIV49" s="19"/>
      <c r="IIW49" s="19"/>
      <c r="IIX49" s="19"/>
      <c r="IIY49" s="19"/>
      <c r="IIZ49" s="19"/>
      <c r="IJA49" s="19"/>
      <c r="IJB49" s="19"/>
      <c r="IJC49" s="19"/>
      <c r="IJD49" s="19"/>
      <c r="IJE49" s="19"/>
      <c r="IJF49" s="19"/>
      <c r="IJG49" s="19"/>
      <c r="IJH49" s="19"/>
      <c r="IJI49" s="19"/>
      <c r="IJJ49" s="19"/>
      <c r="IJK49" s="19"/>
      <c r="IJL49" s="19"/>
      <c r="IJM49" s="19"/>
      <c r="IJN49" s="19"/>
      <c r="IJO49" s="19"/>
      <c r="IJP49" s="19"/>
      <c r="IJQ49" s="19"/>
      <c r="IJR49" s="19"/>
      <c r="IJS49" s="19"/>
      <c r="IJT49" s="19"/>
      <c r="IJU49" s="19"/>
      <c r="IJV49" s="19"/>
      <c r="IJW49" s="19"/>
      <c r="IJX49" s="19"/>
      <c r="IJY49" s="19"/>
      <c r="IJZ49" s="19"/>
      <c r="IKA49" s="19"/>
      <c r="IKB49" s="19"/>
      <c r="IKC49" s="19"/>
      <c r="IKD49" s="19"/>
      <c r="IKE49" s="19"/>
      <c r="IKF49" s="19"/>
      <c r="IKG49" s="19"/>
      <c r="IKH49" s="19"/>
      <c r="IKI49" s="19"/>
      <c r="IKJ49" s="19"/>
      <c r="IKK49" s="19"/>
      <c r="IKL49" s="19"/>
      <c r="IKM49" s="19"/>
      <c r="IKN49" s="19"/>
      <c r="IKO49" s="19"/>
      <c r="IKP49" s="19"/>
      <c r="IKQ49" s="19"/>
      <c r="IKR49" s="19"/>
      <c r="IKS49" s="19"/>
      <c r="IKT49" s="19"/>
      <c r="IKU49" s="19"/>
      <c r="IKV49" s="19"/>
      <c r="IKW49" s="19"/>
      <c r="IKX49" s="19"/>
      <c r="IKY49" s="19"/>
      <c r="IKZ49" s="19"/>
      <c r="ILA49" s="19"/>
      <c r="ILB49" s="19"/>
      <c r="ILC49" s="19"/>
      <c r="ILD49" s="19"/>
      <c r="ILE49" s="19"/>
      <c r="ILF49" s="19"/>
      <c r="ILG49" s="19"/>
      <c r="ILH49" s="19"/>
      <c r="ILI49" s="19"/>
      <c r="ILJ49" s="19"/>
      <c r="ILK49" s="19"/>
      <c r="ILL49" s="19"/>
      <c r="ILM49" s="19"/>
      <c r="ILN49" s="19"/>
      <c r="ILO49" s="19"/>
      <c r="ILP49" s="19"/>
      <c r="ILQ49" s="19"/>
      <c r="ILR49" s="19"/>
      <c r="ILS49" s="19"/>
      <c r="ILT49" s="19"/>
      <c r="ILU49" s="19"/>
      <c r="ILV49" s="19"/>
      <c r="ILW49" s="19"/>
      <c r="ILX49" s="19"/>
      <c r="ILY49" s="19"/>
      <c r="ILZ49" s="19"/>
      <c r="IMA49" s="19"/>
      <c r="IMB49" s="19"/>
      <c r="IMC49" s="19"/>
      <c r="IMD49" s="19"/>
      <c r="IME49" s="19"/>
      <c r="IMF49" s="19"/>
      <c r="IMG49" s="19"/>
      <c r="IMH49" s="19"/>
      <c r="IMI49" s="19"/>
      <c r="IMJ49" s="19"/>
      <c r="IMK49" s="19"/>
      <c r="IML49" s="19"/>
      <c r="IMM49" s="19"/>
      <c r="IMN49" s="19"/>
      <c r="IMO49" s="19"/>
      <c r="IMP49" s="19"/>
      <c r="IMQ49" s="19"/>
      <c r="IMR49" s="19"/>
      <c r="IMS49" s="19"/>
      <c r="IMT49" s="19"/>
      <c r="IMU49" s="19"/>
      <c r="IMV49" s="19"/>
      <c r="IMW49" s="19"/>
      <c r="IMX49" s="19"/>
      <c r="IMY49" s="19"/>
      <c r="IMZ49" s="19"/>
      <c r="INA49" s="19"/>
      <c r="INB49" s="19"/>
      <c r="INC49" s="19"/>
      <c r="IND49" s="19"/>
      <c r="INE49" s="19"/>
      <c r="INF49" s="19"/>
      <c r="ING49" s="19"/>
      <c r="INH49" s="19"/>
      <c r="INI49" s="19"/>
      <c r="INJ49" s="19"/>
      <c r="INK49" s="19"/>
      <c r="INL49" s="19"/>
      <c r="INM49" s="19"/>
      <c r="INN49" s="19"/>
      <c r="INO49" s="19"/>
      <c r="INP49" s="19"/>
      <c r="INQ49" s="19"/>
      <c r="INR49" s="19"/>
      <c r="INS49" s="19"/>
      <c r="INT49" s="19"/>
      <c r="INU49" s="19"/>
      <c r="INV49" s="19"/>
      <c r="INW49" s="19"/>
      <c r="INX49" s="19"/>
      <c r="INY49" s="19"/>
      <c r="INZ49" s="19"/>
      <c r="IOA49" s="19"/>
      <c r="IOB49" s="19"/>
      <c r="IOC49" s="19"/>
      <c r="IOD49" s="19"/>
      <c r="IOE49" s="19"/>
      <c r="IOF49" s="19"/>
      <c r="IOG49" s="19"/>
      <c r="IOH49" s="19"/>
      <c r="IOI49" s="19"/>
      <c r="IOJ49" s="19"/>
      <c r="IOK49" s="19"/>
      <c r="IOL49" s="19"/>
      <c r="IOM49" s="19"/>
      <c r="ION49" s="19"/>
      <c r="IOO49" s="19"/>
      <c r="IOP49" s="19"/>
      <c r="IOQ49" s="19"/>
      <c r="IOR49" s="19"/>
      <c r="IOS49" s="19"/>
      <c r="IOT49" s="19"/>
      <c r="IOU49" s="19"/>
      <c r="IOV49" s="19"/>
      <c r="IOW49" s="19"/>
      <c r="IOX49" s="19"/>
      <c r="IOY49" s="19"/>
      <c r="IOZ49" s="19"/>
      <c r="IPA49" s="19"/>
      <c r="IPB49" s="19"/>
      <c r="IPC49" s="19"/>
      <c r="IPD49" s="19"/>
      <c r="IPE49" s="19"/>
      <c r="IPF49" s="19"/>
      <c r="IPG49" s="19"/>
      <c r="IPH49" s="19"/>
      <c r="IPI49" s="19"/>
      <c r="IPJ49" s="19"/>
      <c r="IPK49" s="19"/>
      <c r="IPL49" s="19"/>
      <c r="IPM49" s="19"/>
      <c r="IPN49" s="19"/>
      <c r="IPO49" s="19"/>
      <c r="IPP49" s="19"/>
      <c r="IPQ49" s="19"/>
      <c r="IPR49" s="19"/>
      <c r="IPS49" s="19"/>
      <c r="IPT49" s="19"/>
      <c r="IPU49" s="19"/>
      <c r="IPV49" s="19"/>
      <c r="IPW49" s="19"/>
      <c r="IPX49" s="19"/>
      <c r="IPY49" s="19"/>
      <c r="IPZ49" s="19"/>
      <c r="IQA49" s="19"/>
      <c r="IQB49" s="19"/>
      <c r="IQC49" s="19"/>
      <c r="IQD49" s="19"/>
      <c r="IQE49" s="19"/>
      <c r="IQF49" s="19"/>
      <c r="IQG49" s="19"/>
      <c r="IQH49" s="19"/>
      <c r="IQI49" s="19"/>
      <c r="IQJ49" s="19"/>
      <c r="IQK49" s="19"/>
      <c r="IQL49" s="19"/>
      <c r="IQM49" s="19"/>
      <c r="IQN49" s="19"/>
      <c r="IQO49" s="19"/>
      <c r="IQP49" s="19"/>
      <c r="IQQ49" s="19"/>
      <c r="IQR49" s="19"/>
      <c r="IQS49" s="19"/>
      <c r="IQT49" s="19"/>
      <c r="IQU49" s="19"/>
      <c r="IQV49" s="19"/>
      <c r="IQW49" s="19"/>
      <c r="IQX49" s="19"/>
      <c r="IQY49" s="19"/>
      <c r="IQZ49" s="19"/>
      <c r="IRA49" s="19"/>
      <c r="IRB49" s="19"/>
      <c r="IRC49" s="19"/>
      <c r="IRD49" s="19"/>
      <c r="IRE49" s="19"/>
      <c r="IRF49" s="19"/>
      <c r="IRG49" s="19"/>
      <c r="IRH49" s="19"/>
      <c r="IRI49" s="19"/>
      <c r="IRJ49" s="19"/>
      <c r="IRK49" s="19"/>
      <c r="IRL49" s="19"/>
      <c r="IRM49" s="19"/>
      <c r="IRN49" s="19"/>
      <c r="IRO49" s="19"/>
      <c r="IRP49" s="19"/>
      <c r="IRQ49" s="19"/>
      <c r="IRR49" s="19"/>
      <c r="IRS49" s="19"/>
      <c r="IRT49" s="19"/>
      <c r="IRU49" s="19"/>
      <c r="IRV49" s="19"/>
      <c r="IRW49" s="19"/>
      <c r="IRX49" s="19"/>
      <c r="IRY49" s="19"/>
      <c r="IRZ49" s="19"/>
      <c r="ISA49" s="19"/>
      <c r="ISB49" s="19"/>
      <c r="ISC49" s="19"/>
      <c r="ISD49" s="19"/>
      <c r="ISE49" s="19"/>
      <c r="ISF49" s="19"/>
      <c r="ISG49" s="19"/>
      <c r="ISH49" s="19"/>
      <c r="ISI49" s="19"/>
      <c r="ISJ49" s="19"/>
      <c r="ISK49" s="19"/>
      <c r="ISL49" s="19"/>
      <c r="ISM49" s="19"/>
      <c r="ISN49" s="19"/>
      <c r="ISO49" s="19"/>
      <c r="ISP49" s="19"/>
      <c r="ISQ49" s="19"/>
      <c r="ISR49" s="19"/>
      <c r="ISS49" s="19"/>
      <c r="IST49" s="19"/>
      <c r="ISU49" s="19"/>
      <c r="ISV49" s="19"/>
      <c r="ISW49" s="19"/>
      <c r="ISX49" s="19"/>
      <c r="ISY49" s="19"/>
      <c r="ISZ49" s="19"/>
      <c r="ITA49" s="19"/>
      <c r="ITB49" s="19"/>
      <c r="ITC49" s="19"/>
      <c r="ITD49" s="19"/>
      <c r="ITE49" s="19"/>
      <c r="ITF49" s="19"/>
      <c r="ITG49" s="19"/>
      <c r="ITH49" s="19"/>
      <c r="ITI49" s="19"/>
      <c r="ITJ49" s="19"/>
      <c r="ITK49" s="19"/>
      <c r="ITL49" s="19"/>
      <c r="ITM49" s="19"/>
      <c r="ITN49" s="19"/>
      <c r="ITO49" s="19"/>
      <c r="ITP49" s="19"/>
      <c r="ITQ49" s="19"/>
      <c r="ITR49" s="19"/>
      <c r="ITS49" s="19"/>
      <c r="ITT49" s="19"/>
      <c r="ITU49" s="19"/>
      <c r="ITV49" s="19"/>
      <c r="ITW49" s="19"/>
      <c r="ITX49" s="19"/>
      <c r="ITY49" s="19"/>
      <c r="ITZ49" s="19"/>
      <c r="IUA49" s="19"/>
      <c r="IUB49" s="19"/>
      <c r="IUC49" s="19"/>
      <c r="IUD49" s="19"/>
      <c r="IUE49" s="19"/>
      <c r="IUF49" s="19"/>
      <c r="IUG49" s="19"/>
      <c r="IUH49" s="19"/>
      <c r="IUI49" s="19"/>
      <c r="IUJ49" s="19"/>
      <c r="IUK49" s="19"/>
      <c r="IUL49" s="19"/>
      <c r="IUM49" s="19"/>
      <c r="IUN49" s="19"/>
      <c r="IUO49" s="19"/>
      <c r="IUP49" s="19"/>
      <c r="IUQ49" s="19"/>
      <c r="IUR49" s="19"/>
      <c r="IUS49" s="19"/>
      <c r="IUT49" s="19"/>
      <c r="IUU49" s="19"/>
      <c r="IUV49" s="19"/>
      <c r="IUW49" s="19"/>
      <c r="IUX49" s="19"/>
      <c r="IUY49" s="19"/>
      <c r="IUZ49" s="19"/>
      <c r="IVA49" s="19"/>
      <c r="IVB49" s="19"/>
      <c r="IVC49" s="19"/>
      <c r="IVD49" s="19"/>
      <c r="IVE49" s="19"/>
      <c r="IVF49" s="19"/>
      <c r="IVG49" s="19"/>
      <c r="IVH49" s="19"/>
      <c r="IVI49" s="19"/>
      <c r="IVJ49" s="19"/>
      <c r="IVK49" s="19"/>
      <c r="IVL49" s="19"/>
      <c r="IVM49" s="19"/>
      <c r="IVN49" s="19"/>
      <c r="IVO49" s="19"/>
      <c r="IVP49" s="19"/>
      <c r="IVQ49" s="19"/>
      <c r="IVR49" s="19"/>
      <c r="IVS49" s="19"/>
      <c r="IVT49" s="19"/>
      <c r="IVU49" s="19"/>
      <c r="IVV49" s="19"/>
      <c r="IVW49" s="19"/>
      <c r="IVX49" s="19"/>
      <c r="IVY49" s="19"/>
      <c r="IVZ49" s="19"/>
      <c r="IWA49" s="19"/>
      <c r="IWB49" s="19"/>
      <c r="IWC49" s="19"/>
      <c r="IWD49" s="19"/>
      <c r="IWE49" s="19"/>
      <c r="IWF49" s="19"/>
      <c r="IWG49" s="19"/>
      <c r="IWH49" s="19"/>
      <c r="IWI49" s="19"/>
      <c r="IWJ49" s="19"/>
      <c r="IWK49" s="19"/>
      <c r="IWL49" s="19"/>
      <c r="IWM49" s="19"/>
      <c r="IWN49" s="19"/>
      <c r="IWO49" s="19"/>
      <c r="IWP49" s="19"/>
      <c r="IWQ49" s="19"/>
      <c r="IWR49" s="19"/>
      <c r="IWS49" s="19"/>
      <c r="IWT49" s="19"/>
      <c r="IWU49" s="19"/>
      <c r="IWV49" s="19"/>
      <c r="IWW49" s="19"/>
      <c r="IWX49" s="19"/>
      <c r="IWY49" s="19"/>
      <c r="IWZ49" s="19"/>
      <c r="IXA49" s="19"/>
      <c r="IXB49" s="19"/>
      <c r="IXC49" s="19"/>
      <c r="IXD49" s="19"/>
      <c r="IXE49" s="19"/>
      <c r="IXF49" s="19"/>
      <c r="IXG49" s="19"/>
      <c r="IXH49" s="19"/>
      <c r="IXI49" s="19"/>
      <c r="IXJ49" s="19"/>
      <c r="IXK49" s="19"/>
      <c r="IXL49" s="19"/>
      <c r="IXM49" s="19"/>
      <c r="IXN49" s="19"/>
      <c r="IXO49" s="19"/>
      <c r="IXP49" s="19"/>
      <c r="IXQ49" s="19"/>
      <c r="IXR49" s="19"/>
      <c r="IXS49" s="19"/>
      <c r="IXT49" s="19"/>
      <c r="IXU49" s="19"/>
      <c r="IXV49" s="19"/>
      <c r="IXW49" s="19"/>
      <c r="IXX49" s="19"/>
      <c r="IXY49" s="19"/>
      <c r="IXZ49" s="19"/>
      <c r="IYA49" s="19"/>
      <c r="IYB49" s="19"/>
      <c r="IYC49" s="19"/>
      <c r="IYD49" s="19"/>
      <c r="IYE49" s="19"/>
      <c r="IYF49" s="19"/>
      <c r="IYG49" s="19"/>
      <c r="IYH49" s="19"/>
      <c r="IYI49" s="19"/>
      <c r="IYJ49" s="19"/>
      <c r="IYK49" s="19"/>
      <c r="IYL49" s="19"/>
      <c r="IYM49" s="19"/>
      <c r="IYN49" s="19"/>
      <c r="IYO49" s="19"/>
      <c r="IYP49" s="19"/>
      <c r="IYQ49" s="19"/>
      <c r="IYR49" s="19"/>
      <c r="IYS49" s="19"/>
      <c r="IYT49" s="19"/>
      <c r="IYU49" s="19"/>
      <c r="IYV49" s="19"/>
      <c r="IYW49" s="19"/>
      <c r="IYX49" s="19"/>
      <c r="IYY49" s="19"/>
      <c r="IYZ49" s="19"/>
      <c r="IZA49" s="19"/>
      <c r="IZB49" s="19"/>
      <c r="IZC49" s="19"/>
      <c r="IZD49" s="19"/>
      <c r="IZE49" s="19"/>
      <c r="IZF49" s="19"/>
      <c r="IZG49" s="19"/>
      <c r="IZH49" s="19"/>
      <c r="IZI49" s="19"/>
      <c r="IZJ49" s="19"/>
      <c r="IZK49" s="19"/>
      <c r="IZL49" s="19"/>
      <c r="IZM49" s="19"/>
      <c r="IZN49" s="19"/>
      <c r="IZO49" s="19"/>
      <c r="IZP49" s="19"/>
      <c r="IZQ49" s="19"/>
      <c r="IZR49" s="19"/>
      <c r="IZS49" s="19"/>
      <c r="IZT49" s="19"/>
      <c r="IZU49" s="19"/>
      <c r="IZV49" s="19"/>
      <c r="IZW49" s="19"/>
      <c r="IZX49" s="19"/>
      <c r="IZY49" s="19"/>
      <c r="IZZ49" s="19"/>
      <c r="JAA49" s="19"/>
      <c r="JAB49" s="19"/>
      <c r="JAC49" s="19"/>
      <c r="JAD49" s="19"/>
      <c r="JAE49" s="19"/>
      <c r="JAF49" s="19"/>
      <c r="JAG49" s="19"/>
      <c r="JAH49" s="19"/>
      <c r="JAI49" s="19"/>
      <c r="JAJ49" s="19"/>
      <c r="JAK49" s="19"/>
      <c r="JAL49" s="19"/>
      <c r="JAM49" s="19"/>
      <c r="JAN49" s="19"/>
      <c r="JAO49" s="19"/>
      <c r="JAP49" s="19"/>
      <c r="JAQ49" s="19"/>
      <c r="JAR49" s="19"/>
      <c r="JAS49" s="19"/>
      <c r="JAT49" s="19"/>
      <c r="JAU49" s="19"/>
      <c r="JAV49" s="19"/>
      <c r="JAW49" s="19"/>
      <c r="JAX49" s="19"/>
      <c r="JAY49" s="19"/>
      <c r="JAZ49" s="19"/>
      <c r="JBA49" s="19"/>
      <c r="JBB49" s="19"/>
      <c r="JBC49" s="19"/>
      <c r="JBD49" s="19"/>
      <c r="JBE49" s="19"/>
      <c r="JBF49" s="19"/>
      <c r="JBG49" s="19"/>
      <c r="JBH49" s="19"/>
      <c r="JBI49" s="19"/>
      <c r="JBJ49" s="19"/>
      <c r="JBK49" s="19"/>
      <c r="JBL49" s="19"/>
      <c r="JBM49" s="19"/>
      <c r="JBN49" s="19"/>
      <c r="JBO49" s="19"/>
      <c r="JBP49" s="19"/>
      <c r="JBQ49" s="19"/>
      <c r="JBR49" s="19"/>
      <c r="JBS49" s="19"/>
      <c r="JBT49" s="19"/>
      <c r="JBU49" s="19"/>
      <c r="JBV49" s="19"/>
      <c r="JBW49" s="19"/>
      <c r="JBX49" s="19"/>
      <c r="JBY49" s="19"/>
      <c r="JBZ49" s="19"/>
      <c r="JCA49" s="19"/>
      <c r="JCB49" s="19"/>
      <c r="JCC49" s="19"/>
      <c r="JCD49" s="19"/>
      <c r="JCE49" s="19"/>
      <c r="JCF49" s="19"/>
      <c r="JCG49" s="19"/>
      <c r="JCH49" s="19"/>
      <c r="JCI49" s="19"/>
      <c r="JCJ49" s="19"/>
      <c r="JCK49" s="19"/>
      <c r="JCL49" s="19"/>
      <c r="JCM49" s="19"/>
      <c r="JCN49" s="19"/>
      <c r="JCO49" s="19"/>
      <c r="JCP49" s="19"/>
      <c r="JCQ49" s="19"/>
      <c r="JCR49" s="19"/>
      <c r="JCS49" s="19"/>
      <c r="JCT49" s="19"/>
      <c r="JCU49" s="19"/>
      <c r="JCV49" s="19"/>
      <c r="JCW49" s="19"/>
      <c r="JCX49" s="19"/>
      <c r="JCY49" s="19"/>
      <c r="JCZ49" s="19"/>
      <c r="JDA49" s="19"/>
      <c r="JDB49" s="19"/>
      <c r="JDC49" s="19"/>
      <c r="JDD49" s="19"/>
      <c r="JDE49" s="19"/>
      <c r="JDF49" s="19"/>
      <c r="JDG49" s="19"/>
      <c r="JDH49" s="19"/>
      <c r="JDI49" s="19"/>
      <c r="JDJ49" s="19"/>
      <c r="JDK49" s="19"/>
      <c r="JDL49" s="19"/>
      <c r="JDM49" s="19"/>
      <c r="JDN49" s="19"/>
      <c r="JDO49" s="19"/>
      <c r="JDP49" s="19"/>
      <c r="JDQ49" s="19"/>
      <c r="JDR49" s="19"/>
      <c r="JDS49" s="19"/>
      <c r="JDT49" s="19"/>
      <c r="JDU49" s="19"/>
      <c r="JDV49" s="19"/>
      <c r="JDW49" s="19"/>
      <c r="JDX49" s="19"/>
      <c r="JDY49" s="19"/>
      <c r="JDZ49" s="19"/>
      <c r="JEA49" s="19"/>
      <c r="JEB49" s="19"/>
      <c r="JEC49" s="19"/>
      <c r="JED49" s="19"/>
      <c r="JEE49" s="19"/>
      <c r="JEF49" s="19"/>
      <c r="JEG49" s="19"/>
      <c r="JEH49" s="19"/>
      <c r="JEI49" s="19"/>
      <c r="JEJ49" s="19"/>
      <c r="JEK49" s="19"/>
      <c r="JEL49" s="19"/>
      <c r="JEM49" s="19"/>
      <c r="JEN49" s="19"/>
      <c r="JEO49" s="19"/>
      <c r="JEP49" s="19"/>
      <c r="JEQ49" s="19"/>
      <c r="JER49" s="19"/>
      <c r="JES49" s="19"/>
      <c r="JET49" s="19"/>
      <c r="JEU49" s="19"/>
      <c r="JEV49" s="19"/>
      <c r="JEW49" s="19"/>
      <c r="JEX49" s="19"/>
      <c r="JEY49" s="19"/>
      <c r="JEZ49" s="19"/>
      <c r="JFA49" s="19"/>
      <c r="JFB49" s="19"/>
      <c r="JFC49" s="19"/>
      <c r="JFD49" s="19"/>
      <c r="JFE49" s="19"/>
      <c r="JFF49" s="19"/>
      <c r="JFG49" s="19"/>
      <c r="JFH49" s="19"/>
      <c r="JFI49" s="19"/>
      <c r="JFJ49" s="19"/>
      <c r="JFK49" s="19"/>
      <c r="JFL49" s="19"/>
      <c r="JFM49" s="19"/>
      <c r="JFN49" s="19"/>
      <c r="JFO49" s="19"/>
      <c r="JFP49" s="19"/>
      <c r="JFQ49" s="19"/>
      <c r="JFR49" s="19"/>
      <c r="JFS49" s="19"/>
      <c r="JFT49" s="19"/>
      <c r="JFU49" s="19"/>
      <c r="JFV49" s="19"/>
      <c r="JFW49" s="19"/>
      <c r="JFX49" s="19"/>
      <c r="JFY49" s="19"/>
      <c r="JFZ49" s="19"/>
      <c r="JGA49" s="19"/>
      <c r="JGB49" s="19"/>
      <c r="JGC49" s="19"/>
      <c r="JGD49" s="19"/>
      <c r="JGE49" s="19"/>
      <c r="JGF49" s="19"/>
      <c r="JGG49" s="19"/>
      <c r="JGH49" s="19"/>
      <c r="JGI49" s="19"/>
      <c r="JGJ49" s="19"/>
      <c r="JGK49" s="19"/>
      <c r="JGL49" s="19"/>
      <c r="JGM49" s="19"/>
      <c r="JGN49" s="19"/>
      <c r="JGO49" s="19"/>
      <c r="JGP49" s="19"/>
      <c r="JGQ49" s="19"/>
      <c r="JGR49" s="19"/>
      <c r="JGS49" s="19"/>
      <c r="JGT49" s="19"/>
      <c r="JGU49" s="19"/>
      <c r="JGV49" s="19"/>
      <c r="JGW49" s="19"/>
      <c r="JGX49" s="19"/>
      <c r="JGY49" s="19"/>
      <c r="JGZ49" s="19"/>
      <c r="JHA49" s="19"/>
      <c r="JHB49" s="19"/>
      <c r="JHC49" s="19"/>
      <c r="JHD49" s="19"/>
      <c r="JHE49" s="19"/>
      <c r="JHF49" s="19"/>
      <c r="JHG49" s="19"/>
      <c r="JHH49" s="19"/>
      <c r="JHI49" s="19"/>
      <c r="JHJ49" s="19"/>
      <c r="JHK49" s="19"/>
      <c r="JHL49" s="19"/>
      <c r="JHM49" s="19"/>
      <c r="JHN49" s="19"/>
      <c r="JHO49" s="19"/>
      <c r="JHP49" s="19"/>
      <c r="JHQ49" s="19"/>
      <c r="JHR49" s="19"/>
      <c r="JHS49" s="19"/>
      <c r="JHT49" s="19"/>
      <c r="JHU49" s="19"/>
      <c r="JHV49" s="19"/>
      <c r="JHW49" s="19"/>
      <c r="JHX49" s="19"/>
      <c r="JHY49" s="19"/>
      <c r="JHZ49" s="19"/>
      <c r="JIA49" s="19"/>
      <c r="JIB49" s="19"/>
      <c r="JIC49" s="19"/>
      <c r="JID49" s="19"/>
      <c r="JIE49" s="19"/>
      <c r="JIF49" s="19"/>
      <c r="JIG49" s="19"/>
      <c r="JIH49" s="19"/>
      <c r="JII49" s="19"/>
      <c r="JIJ49" s="19"/>
      <c r="JIK49" s="19"/>
      <c r="JIL49" s="19"/>
      <c r="JIM49" s="19"/>
      <c r="JIN49" s="19"/>
      <c r="JIO49" s="19"/>
      <c r="JIP49" s="19"/>
      <c r="JIQ49" s="19"/>
      <c r="JIR49" s="19"/>
      <c r="JIS49" s="19"/>
      <c r="JIT49" s="19"/>
      <c r="JIU49" s="19"/>
      <c r="JIV49" s="19"/>
      <c r="JIW49" s="19"/>
      <c r="JIX49" s="19"/>
      <c r="JIY49" s="19"/>
      <c r="JIZ49" s="19"/>
      <c r="JJA49" s="19"/>
      <c r="JJB49" s="19"/>
      <c r="JJC49" s="19"/>
      <c r="JJD49" s="19"/>
      <c r="JJE49" s="19"/>
      <c r="JJF49" s="19"/>
      <c r="JJG49" s="19"/>
      <c r="JJH49" s="19"/>
      <c r="JJI49" s="19"/>
      <c r="JJJ49" s="19"/>
      <c r="JJK49" s="19"/>
      <c r="JJL49" s="19"/>
      <c r="JJM49" s="19"/>
      <c r="JJN49" s="19"/>
      <c r="JJO49" s="19"/>
      <c r="JJP49" s="19"/>
      <c r="JJQ49" s="19"/>
      <c r="JJR49" s="19"/>
      <c r="JJS49" s="19"/>
      <c r="JJT49" s="19"/>
      <c r="JJU49" s="19"/>
      <c r="JJV49" s="19"/>
      <c r="JJW49" s="19"/>
      <c r="JJX49" s="19"/>
      <c r="JJY49" s="19"/>
      <c r="JJZ49" s="19"/>
      <c r="JKA49" s="19"/>
      <c r="JKB49" s="19"/>
      <c r="JKC49" s="19"/>
      <c r="JKD49" s="19"/>
      <c r="JKE49" s="19"/>
      <c r="JKF49" s="19"/>
      <c r="JKG49" s="19"/>
      <c r="JKH49" s="19"/>
      <c r="JKI49" s="19"/>
      <c r="JKJ49" s="19"/>
      <c r="JKK49" s="19"/>
      <c r="JKL49" s="19"/>
      <c r="JKM49" s="19"/>
      <c r="JKN49" s="19"/>
      <c r="JKO49" s="19"/>
      <c r="JKP49" s="19"/>
      <c r="JKQ49" s="19"/>
      <c r="JKR49" s="19"/>
      <c r="JKS49" s="19"/>
      <c r="JKT49" s="19"/>
      <c r="JKU49" s="19"/>
      <c r="JKV49" s="19"/>
      <c r="JKW49" s="19"/>
      <c r="JKX49" s="19"/>
      <c r="JKY49" s="19"/>
      <c r="JKZ49" s="19"/>
      <c r="JLA49" s="19"/>
      <c r="JLB49" s="19"/>
      <c r="JLC49" s="19"/>
      <c r="JLD49" s="19"/>
      <c r="JLE49" s="19"/>
      <c r="JLF49" s="19"/>
      <c r="JLG49" s="19"/>
      <c r="JLH49" s="19"/>
      <c r="JLI49" s="19"/>
      <c r="JLJ49" s="19"/>
      <c r="JLK49" s="19"/>
      <c r="JLL49" s="19"/>
      <c r="JLM49" s="19"/>
      <c r="JLN49" s="19"/>
      <c r="JLO49" s="19"/>
      <c r="JLP49" s="19"/>
      <c r="JLQ49" s="19"/>
      <c r="JLR49" s="19"/>
      <c r="JLS49" s="19"/>
      <c r="JLT49" s="19"/>
      <c r="JLU49" s="19"/>
      <c r="JLV49" s="19"/>
      <c r="JLW49" s="19"/>
      <c r="JLX49" s="19"/>
      <c r="JLY49" s="19"/>
      <c r="JLZ49" s="19"/>
      <c r="JMA49" s="19"/>
      <c r="JMB49" s="19"/>
      <c r="JMC49" s="19"/>
      <c r="JMD49" s="19"/>
      <c r="JME49" s="19"/>
      <c r="JMF49" s="19"/>
      <c r="JMG49" s="19"/>
      <c r="JMH49" s="19"/>
      <c r="JMI49" s="19"/>
      <c r="JMJ49" s="19"/>
      <c r="JMK49" s="19"/>
      <c r="JML49" s="19"/>
      <c r="JMM49" s="19"/>
      <c r="JMN49" s="19"/>
      <c r="JMO49" s="19"/>
      <c r="JMP49" s="19"/>
      <c r="JMQ49" s="19"/>
      <c r="JMR49" s="19"/>
      <c r="JMS49" s="19"/>
      <c r="JMT49" s="19"/>
      <c r="JMU49" s="19"/>
      <c r="JMV49" s="19"/>
      <c r="JMW49" s="19"/>
      <c r="JMX49" s="19"/>
      <c r="JMY49" s="19"/>
      <c r="JMZ49" s="19"/>
      <c r="JNA49" s="19"/>
      <c r="JNB49" s="19"/>
      <c r="JNC49" s="19"/>
      <c r="JND49" s="19"/>
      <c r="JNE49" s="19"/>
      <c r="JNF49" s="19"/>
      <c r="JNG49" s="19"/>
      <c r="JNH49" s="19"/>
      <c r="JNI49" s="19"/>
      <c r="JNJ49" s="19"/>
      <c r="JNK49" s="19"/>
      <c r="JNL49" s="19"/>
      <c r="JNM49" s="19"/>
      <c r="JNN49" s="19"/>
      <c r="JNO49" s="19"/>
      <c r="JNP49" s="19"/>
      <c r="JNQ49" s="19"/>
      <c r="JNR49" s="19"/>
      <c r="JNS49" s="19"/>
      <c r="JNT49" s="19"/>
      <c r="JNU49" s="19"/>
      <c r="JNV49" s="19"/>
      <c r="JNW49" s="19"/>
      <c r="JNX49" s="19"/>
      <c r="JNY49" s="19"/>
      <c r="JNZ49" s="19"/>
      <c r="JOA49" s="19"/>
      <c r="JOB49" s="19"/>
      <c r="JOC49" s="19"/>
      <c r="JOD49" s="19"/>
      <c r="JOE49" s="19"/>
      <c r="JOF49" s="19"/>
      <c r="JOG49" s="19"/>
      <c r="JOH49" s="19"/>
      <c r="JOI49" s="19"/>
      <c r="JOJ49" s="19"/>
      <c r="JOK49" s="19"/>
      <c r="JOL49" s="19"/>
      <c r="JOM49" s="19"/>
      <c r="JON49" s="19"/>
      <c r="JOO49" s="19"/>
      <c r="JOP49" s="19"/>
      <c r="JOQ49" s="19"/>
      <c r="JOR49" s="19"/>
      <c r="JOS49" s="19"/>
      <c r="JOT49" s="19"/>
      <c r="JOU49" s="19"/>
      <c r="JOV49" s="19"/>
      <c r="JOW49" s="19"/>
      <c r="JOX49" s="19"/>
      <c r="JOY49" s="19"/>
      <c r="JOZ49" s="19"/>
      <c r="JPA49" s="19"/>
      <c r="JPB49" s="19"/>
      <c r="JPC49" s="19"/>
      <c r="JPD49" s="19"/>
      <c r="JPE49" s="19"/>
      <c r="JPF49" s="19"/>
      <c r="JPG49" s="19"/>
      <c r="JPH49" s="19"/>
      <c r="JPI49" s="19"/>
      <c r="JPJ49" s="19"/>
      <c r="JPK49" s="19"/>
      <c r="JPL49" s="19"/>
      <c r="JPM49" s="19"/>
      <c r="JPN49" s="19"/>
      <c r="JPO49" s="19"/>
      <c r="JPP49" s="19"/>
      <c r="JPQ49" s="19"/>
      <c r="JPR49" s="19"/>
      <c r="JPS49" s="19"/>
      <c r="JPT49" s="19"/>
      <c r="JPU49" s="19"/>
      <c r="JPV49" s="19"/>
      <c r="JPW49" s="19"/>
      <c r="JPX49" s="19"/>
      <c r="JPY49" s="19"/>
      <c r="JPZ49" s="19"/>
      <c r="JQA49" s="19"/>
      <c r="JQB49" s="19"/>
      <c r="JQC49" s="19"/>
      <c r="JQD49" s="19"/>
      <c r="JQE49" s="19"/>
      <c r="JQF49" s="19"/>
      <c r="JQG49" s="19"/>
      <c r="JQH49" s="19"/>
      <c r="JQI49" s="19"/>
      <c r="JQJ49" s="19"/>
      <c r="JQK49" s="19"/>
      <c r="JQL49" s="19"/>
      <c r="JQM49" s="19"/>
      <c r="JQN49" s="19"/>
      <c r="JQO49" s="19"/>
      <c r="JQP49" s="19"/>
      <c r="JQQ49" s="19"/>
      <c r="JQR49" s="19"/>
      <c r="JQS49" s="19"/>
      <c r="JQT49" s="19"/>
      <c r="JQU49" s="19"/>
      <c r="JQV49" s="19"/>
      <c r="JQW49" s="19"/>
      <c r="JQX49" s="19"/>
      <c r="JQY49" s="19"/>
      <c r="JQZ49" s="19"/>
      <c r="JRA49" s="19"/>
      <c r="JRB49" s="19"/>
      <c r="JRC49" s="19"/>
      <c r="JRD49" s="19"/>
      <c r="JRE49" s="19"/>
      <c r="JRF49" s="19"/>
      <c r="JRG49" s="19"/>
      <c r="JRH49" s="19"/>
      <c r="JRI49" s="19"/>
      <c r="JRJ49" s="19"/>
      <c r="JRK49" s="19"/>
      <c r="JRL49" s="19"/>
      <c r="JRM49" s="19"/>
      <c r="JRN49" s="19"/>
      <c r="JRO49" s="19"/>
      <c r="JRP49" s="19"/>
      <c r="JRQ49" s="19"/>
      <c r="JRR49" s="19"/>
      <c r="JRS49" s="19"/>
      <c r="JRT49" s="19"/>
      <c r="JRU49" s="19"/>
      <c r="JRV49" s="19"/>
      <c r="JRW49" s="19"/>
      <c r="JRX49" s="19"/>
      <c r="JRY49" s="19"/>
      <c r="JRZ49" s="19"/>
      <c r="JSA49" s="19"/>
      <c r="JSB49" s="19"/>
      <c r="JSC49" s="19"/>
      <c r="JSD49" s="19"/>
      <c r="JSE49" s="19"/>
      <c r="JSF49" s="19"/>
      <c r="JSG49" s="19"/>
      <c r="JSH49" s="19"/>
      <c r="JSI49" s="19"/>
      <c r="JSJ49" s="19"/>
      <c r="JSK49" s="19"/>
      <c r="JSL49" s="19"/>
      <c r="JSM49" s="19"/>
      <c r="JSN49" s="19"/>
      <c r="JSO49" s="19"/>
      <c r="JSP49" s="19"/>
      <c r="JSQ49" s="19"/>
      <c r="JSR49" s="19"/>
      <c r="JSS49" s="19"/>
      <c r="JST49" s="19"/>
      <c r="JSU49" s="19"/>
      <c r="JSV49" s="19"/>
      <c r="JSW49" s="19"/>
      <c r="JSX49" s="19"/>
      <c r="JSY49" s="19"/>
      <c r="JSZ49" s="19"/>
      <c r="JTA49" s="19"/>
      <c r="JTB49" s="19"/>
      <c r="JTC49" s="19"/>
      <c r="JTD49" s="19"/>
      <c r="JTE49" s="19"/>
      <c r="JTF49" s="19"/>
      <c r="JTG49" s="19"/>
      <c r="JTH49" s="19"/>
      <c r="JTI49" s="19"/>
      <c r="JTJ49" s="19"/>
      <c r="JTK49" s="19"/>
      <c r="JTL49" s="19"/>
      <c r="JTM49" s="19"/>
      <c r="JTN49" s="19"/>
      <c r="JTO49" s="19"/>
      <c r="JTP49" s="19"/>
      <c r="JTQ49" s="19"/>
      <c r="JTR49" s="19"/>
      <c r="JTS49" s="19"/>
      <c r="JTT49" s="19"/>
      <c r="JTU49" s="19"/>
      <c r="JTV49" s="19"/>
      <c r="JTW49" s="19"/>
      <c r="JTX49" s="19"/>
      <c r="JTY49" s="19"/>
      <c r="JTZ49" s="19"/>
      <c r="JUA49" s="19"/>
      <c r="JUB49" s="19"/>
      <c r="JUC49" s="19"/>
      <c r="JUD49" s="19"/>
      <c r="JUE49" s="19"/>
      <c r="JUF49" s="19"/>
      <c r="JUG49" s="19"/>
      <c r="JUH49" s="19"/>
      <c r="JUI49" s="19"/>
      <c r="JUJ49" s="19"/>
      <c r="JUK49" s="19"/>
      <c r="JUL49" s="19"/>
      <c r="JUM49" s="19"/>
      <c r="JUN49" s="19"/>
      <c r="JUO49" s="19"/>
      <c r="JUP49" s="19"/>
      <c r="JUQ49" s="19"/>
      <c r="JUR49" s="19"/>
      <c r="JUS49" s="19"/>
      <c r="JUT49" s="19"/>
      <c r="JUU49" s="19"/>
      <c r="JUV49" s="19"/>
      <c r="JUW49" s="19"/>
      <c r="JUX49" s="19"/>
      <c r="JUY49" s="19"/>
      <c r="JUZ49" s="19"/>
      <c r="JVA49" s="19"/>
      <c r="JVB49" s="19"/>
      <c r="JVC49" s="19"/>
      <c r="JVD49" s="19"/>
      <c r="JVE49" s="19"/>
      <c r="JVF49" s="19"/>
      <c r="JVG49" s="19"/>
      <c r="JVH49" s="19"/>
      <c r="JVI49" s="19"/>
      <c r="JVJ49" s="19"/>
      <c r="JVK49" s="19"/>
      <c r="JVL49" s="19"/>
      <c r="JVM49" s="19"/>
      <c r="JVN49" s="19"/>
      <c r="JVO49" s="19"/>
      <c r="JVP49" s="19"/>
      <c r="JVQ49" s="19"/>
      <c r="JVR49" s="19"/>
      <c r="JVS49" s="19"/>
      <c r="JVT49" s="19"/>
      <c r="JVU49" s="19"/>
      <c r="JVV49" s="19"/>
      <c r="JVW49" s="19"/>
      <c r="JVX49" s="19"/>
      <c r="JVY49" s="19"/>
      <c r="JVZ49" s="19"/>
      <c r="JWA49" s="19"/>
      <c r="JWB49" s="19"/>
      <c r="JWC49" s="19"/>
      <c r="JWD49" s="19"/>
      <c r="JWE49" s="19"/>
      <c r="JWF49" s="19"/>
      <c r="JWG49" s="19"/>
      <c r="JWH49" s="19"/>
      <c r="JWI49" s="19"/>
      <c r="JWJ49" s="19"/>
      <c r="JWK49" s="19"/>
      <c r="JWL49" s="19"/>
      <c r="JWM49" s="19"/>
      <c r="JWN49" s="19"/>
      <c r="JWO49" s="19"/>
      <c r="JWP49" s="19"/>
      <c r="JWQ49" s="19"/>
      <c r="JWR49" s="19"/>
      <c r="JWS49" s="19"/>
      <c r="JWT49" s="19"/>
      <c r="JWU49" s="19"/>
      <c r="JWV49" s="19"/>
      <c r="JWW49" s="19"/>
      <c r="JWX49" s="19"/>
      <c r="JWY49" s="19"/>
      <c r="JWZ49" s="19"/>
      <c r="JXA49" s="19"/>
      <c r="JXB49" s="19"/>
      <c r="JXC49" s="19"/>
      <c r="JXD49" s="19"/>
      <c r="JXE49" s="19"/>
      <c r="JXF49" s="19"/>
      <c r="JXG49" s="19"/>
      <c r="JXH49" s="19"/>
      <c r="JXI49" s="19"/>
      <c r="JXJ49" s="19"/>
      <c r="JXK49" s="19"/>
      <c r="JXL49" s="19"/>
      <c r="JXM49" s="19"/>
      <c r="JXN49" s="19"/>
      <c r="JXO49" s="19"/>
      <c r="JXP49" s="19"/>
      <c r="JXQ49" s="19"/>
      <c r="JXR49" s="19"/>
      <c r="JXS49" s="19"/>
      <c r="JXT49" s="19"/>
      <c r="JXU49" s="19"/>
      <c r="JXV49" s="19"/>
      <c r="JXW49" s="19"/>
      <c r="JXX49" s="19"/>
      <c r="JXY49" s="19"/>
      <c r="JXZ49" s="19"/>
      <c r="JYA49" s="19"/>
      <c r="JYB49" s="19"/>
      <c r="JYC49" s="19"/>
      <c r="JYD49" s="19"/>
      <c r="JYE49" s="19"/>
      <c r="JYF49" s="19"/>
      <c r="JYG49" s="19"/>
      <c r="JYH49" s="19"/>
      <c r="JYI49" s="19"/>
      <c r="JYJ49" s="19"/>
      <c r="JYK49" s="19"/>
      <c r="JYL49" s="19"/>
      <c r="JYM49" s="19"/>
      <c r="JYN49" s="19"/>
      <c r="JYO49" s="19"/>
      <c r="JYP49" s="19"/>
      <c r="JYQ49" s="19"/>
      <c r="JYR49" s="19"/>
      <c r="JYS49" s="19"/>
      <c r="JYT49" s="19"/>
      <c r="JYU49" s="19"/>
      <c r="JYV49" s="19"/>
      <c r="JYW49" s="19"/>
      <c r="JYX49" s="19"/>
      <c r="JYY49" s="19"/>
      <c r="JYZ49" s="19"/>
      <c r="JZA49" s="19"/>
      <c r="JZB49" s="19"/>
      <c r="JZC49" s="19"/>
      <c r="JZD49" s="19"/>
      <c r="JZE49" s="19"/>
      <c r="JZF49" s="19"/>
      <c r="JZG49" s="19"/>
      <c r="JZH49" s="19"/>
      <c r="JZI49" s="19"/>
      <c r="JZJ49" s="19"/>
      <c r="JZK49" s="19"/>
      <c r="JZL49" s="19"/>
      <c r="JZM49" s="19"/>
      <c r="JZN49" s="19"/>
      <c r="JZO49" s="19"/>
      <c r="JZP49" s="19"/>
      <c r="JZQ49" s="19"/>
      <c r="JZR49" s="19"/>
      <c r="JZS49" s="19"/>
      <c r="JZT49" s="19"/>
      <c r="JZU49" s="19"/>
      <c r="JZV49" s="19"/>
      <c r="JZW49" s="19"/>
      <c r="JZX49" s="19"/>
      <c r="JZY49" s="19"/>
      <c r="JZZ49" s="19"/>
      <c r="KAA49" s="19"/>
      <c r="KAB49" s="19"/>
      <c r="KAC49" s="19"/>
      <c r="KAD49" s="19"/>
      <c r="KAE49" s="19"/>
      <c r="KAF49" s="19"/>
      <c r="KAG49" s="19"/>
      <c r="KAH49" s="19"/>
      <c r="KAI49" s="19"/>
      <c r="KAJ49" s="19"/>
      <c r="KAK49" s="19"/>
      <c r="KAL49" s="19"/>
      <c r="KAM49" s="19"/>
      <c r="KAN49" s="19"/>
      <c r="KAO49" s="19"/>
      <c r="KAP49" s="19"/>
      <c r="KAQ49" s="19"/>
      <c r="KAR49" s="19"/>
      <c r="KAS49" s="19"/>
      <c r="KAT49" s="19"/>
      <c r="KAU49" s="19"/>
      <c r="KAV49" s="19"/>
      <c r="KAW49" s="19"/>
      <c r="KAX49" s="19"/>
      <c r="KAY49" s="19"/>
      <c r="KAZ49" s="19"/>
      <c r="KBA49" s="19"/>
      <c r="KBB49" s="19"/>
      <c r="KBC49" s="19"/>
      <c r="KBD49" s="19"/>
      <c r="KBE49" s="19"/>
      <c r="KBF49" s="19"/>
      <c r="KBG49" s="19"/>
      <c r="KBH49" s="19"/>
      <c r="KBI49" s="19"/>
      <c r="KBJ49" s="19"/>
      <c r="KBK49" s="19"/>
      <c r="KBL49" s="19"/>
      <c r="KBM49" s="19"/>
      <c r="KBN49" s="19"/>
      <c r="KBO49" s="19"/>
      <c r="KBP49" s="19"/>
      <c r="KBQ49" s="19"/>
      <c r="KBR49" s="19"/>
      <c r="KBS49" s="19"/>
      <c r="KBT49" s="19"/>
      <c r="KBU49" s="19"/>
      <c r="KBV49" s="19"/>
      <c r="KBW49" s="19"/>
      <c r="KBX49" s="19"/>
      <c r="KBY49" s="19"/>
      <c r="KBZ49" s="19"/>
      <c r="KCA49" s="19"/>
      <c r="KCB49" s="19"/>
      <c r="KCC49" s="19"/>
      <c r="KCD49" s="19"/>
      <c r="KCE49" s="19"/>
      <c r="KCF49" s="19"/>
      <c r="KCG49" s="19"/>
      <c r="KCH49" s="19"/>
      <c r="KCI49" s="19"/>
      <c r="KCJ49" s="19"/>
      <c r="KCK49" s="19"/>
      <c r="KCL49" s="19"/>
      <c r="KCM49" s="19"/>
      <c r="KCN49" s="19"/>
      <c r="KCO49" s="19"/>
      <c r="KCP49" s="19"/>
      <c r="KCQ49" s="19"/>
      <c r="KCR49" s="19"/>
      <c r="KCS49" s="19"/>
      <c r="KCT49" s="19"/>
      <c r="KCU49" s="19"/>
      <c r="KCV49" s="19"/>
      <c r="KCW49" s="19"/>
      <c r="KCX49" s="19"/>
      <c r="KCY49" s="19"/>
      <c r="KCZ49" s="19"/>
      <c r="KDA49" s="19"/>
      <c r="KDB49" s="19"/>
      <c r="KDC49" s="19"/>
      <c r="KDD49" s="19"/>
      <c r="KDE49" s="19"/>
      <c r="KDF49" s="19"/>
      <c r="KDG49" s="19"/>
      <c r="KDH49" s="19"/>
      <c r="KDI49" s="19"/>
      <c r="KDJ49" s="19"/>
      <c r="KDK49" s="19"/>
      <c r="KDL49" s="19"/>
      <c r="KDM49" s="19"/>
      <c r="KDN49" s="19"/>
      <c r="KDO49" s="19"/>
      <c r="KDP49" s="19"/>
      <c r="KDQ49" s="19"/>
      <c r="KDR49" s="19"/>
      <c r="KDS49" s="19"/>
      <c r="KDT49" s="19"/>
      <c r="KDU49" s="19"/>
      <c r="KDV49" s="19"/>
      <c r="KDW49" s="19"/>
      <c r="KDX49" s="19"/>
      <c r="KDY49" s="19"/>
      <c r="KDZ49" s="19"/>
      <c r="KEA49" s="19"/>
      <c r="KEB49" s="19"/>
      <c r="KEC49" s="19"/>
      <c r="KED49" s="19"/>
      <c r="KEE49" s="19"/>
      <c r="KEF49" s="19"/>
      <c r="KEG49" s="19"/>
      <c r="KEH49" s="19"/>
      <c r="KEI49" s="19"/>
      <c r="KEJ49" s="19"/>
      <c r="KEK49" s="19"/>
      <c r="KEL49" s="19"/>
      <c r="KEM49" s="19"/>
      <c r="KEN49" s="19"/>
      <c r="KEO49" s="19"/>
      <c r="KEP49" s="19"/>
      <c r="KEQ49" s="19"/>
      <c r="KER49" s="19"/>
      <c r="KES49" s="19"/>
      <c r="KET49" s="19"/>
      <c r="KEU49" s="19"/>
      <c r="KEV49" s="19"/>
      <c r="KEW49" s="19"/>
      <c r="KEX49" s="19"/>
      <c r="KEY49" s="19"/>
      <c r="KEZ49" s="19"/>
      <c r="KFA49" s="19"/>
      <c r="KFB49" s="19"/>
      <c r="KFC49" s="19"/>
      <c r="KFD49" s="19"/>
      <c r="KFE49" s="19"/>
      <c r="KFF49" s="19"/>
      <c r="KFG49" s="19"/>
      <c r="KFH49" s="19"/>
      <c r="KFI49" s="19"/>
      <c r="KFJ49" s="19"/>
      <c r="KFK49" s="19"/>
      <c r="KFL49" s="19"/>
      <c r="KFM49" s="19"/>
      <c r="KFN49" s="19"/>
      <c r="KFO49" s="19"/>
      <c r="KFP49" s="19"/>
      <c r="KFQ49" s="19"/>
      <c r="KFR49" s="19"/>
      <c r="KFS49" s="19"/>
      <c r="KFT49" s="19"/>
      <c r="KFU49" s="19"/>
      <c r="KFV49" s="19"/>
      <c r="KFW49" s="19"/>
      <c r="KFX49" s="19"/>
      <c r="KFY49" s="19"/>
      <c r="KFZ49" s="19"/>
      <c r="KGA49" s="19"/>
      <c r="KGB49" s="19"/>
      <c r="KGC49" s="19"/>
      <c r="KGD49" s="19"/>
      <c r="KGE49" s="19"/>
      <c r="KGF49" s="19"/>
      <c r="KGG49" s="19"/>
      <c r="KGH49" s="19"/>
      <c r="KGI49" s="19"/>
      <c r="KGJ49" s="19"/>
      <c r="KGK49" s="19"/>
      <c r="KGL49" s="19"/>
      <c r="KGM49" s="19"/>
      <c r="KGN49" s="19"/>
      <c r="KGO49" s="19"/>
      <c r="KGP49" s="19"/>
      <c r="KGQ49" s="19"/>
      <c r="KGR49" s="19"/>
      <c r="KGS49" s="19"/>
      <c r="KGT49" s="19"/>
      <c r="KGU49" s="19"/>
      <c r="KGV49" s="19"/>
      <c r="KGW49" s="19"/>
      <c r="KGX49" s="19"/>
      <c r="KGY49" s="19"/>
      <c r="KGZ49" s="19"/>
      <c r="KHA49" s="19"/>
      <c r="KHB49" s="19"/>
      <c r="KHC49" s="19"/>
      <c r="KHD49" s="19"/>
      <c r="KHE49" s="19"/>
      <c r="KHF49" s="19"/>
      <c r="KHG49" s="19"/>
      <c r="KHH49" s="19"/>
      <c r="KHI49" s="19"/>
      <c r="KHJ49" s="19"/>
      <c r="KHK49" s="19"/>
      <c r="KHL49" s="19"/>
      <c r="KHM49" s="19"/>
      <c r="KHN49" s="19"/>
      <c r="KHO49" s="19"/>
      <c r="KHP49" s="19"/>
      <c r="KHQ49" s="19"/>
      <c r="KHR49" s="19"/>
      <c r="KHS49" s="19"/>
      <c r="KHT49" s="19"/>
      <c r="KHU49" s="19"/>
      <c r="KHV49" s="19"/>
      <c r="KHW49" s="19"/>
      <c r="KHX49" s="19"/>
      <c r="KHY49" s="19"/>
      <c r="KHZ49" s="19"/>
      <c r="KIA49" s="19"/>
      <c r="KIB49" s="19"/>
      <c r="KIC49" s="19"/>
      <c r="KID49" s="19"/>
      <c r="KIE49" s="19"/>
      <c r="KIF49" s="19"/>
      <c r="KIG49" s="19"/>
      <c r="KIH49" s="19"/>
      <c r="KII49" s="19"/>
      <c r="KIJ49" s="19"/>
      <c r="KIK49" s="19"/>
      <c r="KIL49" s="19"/>
      <c r="KIM49" s="19"/>
      <c r="KIN49" s="19"/>
      <c r="KIO49" s="19"/>
      <c r="KIP49" s="19"/>
      <c r="KIQ49" s="19"/>
      <c r="KIR49" s="19"/>
      <c r="KIS49" s="19"/>
      <c r="KIT49" s="19"/>
      <c r="KIU49" s="19"/>
      <c r="KIV49" s="19"/>
      <c r="KIW49" s="19"/>
      <c r="KIX49" s="19"/>
      <c r="KIY49" s="19"/>
      <c r="KIZ49" s="19"/>
      <c r="KJA49" s="19"/>
      <c r="KJB49" s="19"/>
      <c r="KJC49" s="19"/>
      <c r="KJD49" s="19"/>
      <c r="KJE49" s="19"/>
      <c r="KJF49" s="19"/>
      <c r="KJG49" s="19"/>
      <c r="KJH49" s="19"/>
      <c r="KJI49" s="19"/>
      <c r="KJJ49" s="19"/>
      <c r="KJK49" s="19"/>
      <c r="KJL49" s="19"/>
      <c r="KJM49" s="19"/>
      <c r="KJN49" s="19"/>
      <c r="KJO49" s="19"/>
      <c r="KJP49" s="19"/>
      <c r="KJQ49" s="19"/>
      <c r="KJR49" s="19"/>
      <c r="KJS49" s="19"/>
      <c r="KJT49" s="19"/>
      <c r="KJU49" s="19"/>
      <c r="KJV49" s="19"/>
      <c r="KJW49" s="19"/>
      <c r="KJX49" s="19"/>
      <c r="KJY49" s="19"/>
      <c r="KJZ49" s="19"/>
      <c r="KKA49" s="19"/>
      <c r="KKB49" s="19"/>
      <c r="KKC49" s="19"/>
      <c r="KKD49" s="19"/>
      <c r="KKE49" s="19"/>
      <c r="KKF49" s="19"/>
      <c r="KKG49" s="19"/>
      <c r="KKH49" s="19"/>
      <c r="KKI49" s="19"/>
      <c r="KKJ49" s="19"/>
      <c r="KKK49" s="19"/>
      <c r="KKL49" s="19"/>
      <c r="KKM49" s="19"/>
      <c r="KKN49" s="19"/>
      <c r="KKO49" s="19"/>
      <c r="KKP49" s="19"/>
      <c r="KKQ49" s="19"/>
      <c r="KKR49" s="19"/>
      <c r="KKS49" s="19"/>
      <c r="KKT49" s="19"/>
      <c r="KKU49" s="19"/>
      <c r="KKV49" s="19"/>
      <c r="KKW49" s="19"/>
      <c r="KKX49" s="19"/>
      <c r="KKY49" s="19"/>
      <c r="KKZ49" s="19"/>
      <c r="KLA49" s="19"/>
      <c r="KLB49" s="19"/>
      <c r="KLC49" s="19"/>
      <c r="KLD49" s="19"/>
      <c r="KLE49" s="19"/>
      <c r="KLF49" s="19"/>
      <c r="KLG49" s="19"/>
      <c r="KLH49" s="19"/>
      <c r="KLI49" s="19"/>
      <c r="KLJ49" s="19"/>
      <c r="KLK49" s="19"/>
      <c r="KLL49" s="19"/>
      <c r="KLM49" s="19"/>
      <c r="KLN49" s="19"/>
      <c r="KLO49" s="19"/>
      <c r="KLP49" s="19"/>
      <c r="KLQ49" s="19"/>
      <c r="KLR49" s="19"/>
      <c r="KLS49" s="19"/>
      <c r="KLT49" s="19"/>
      <c r="KLU49" s="19"/>
      <c r="KLV49" s="19"/>
      <c r="KLW49" s="19"/>
      <c r="KLX49" s="19"/>
      <c r="KLY49" s="19"/>
      <c r="KLZ49" s="19"/>
      <c r="KMA49" s="19"/>
      <c r="KMB49" s="19"/>
      <c r="KMC49" s="19"/>
      <c r="KMD49" s="19"/>
      <c r="KME49" s="19"/>
      <c r="KMF49" s="19"/>
      <c r="KMG49" s="19"/>
      <c r="KMH49" s="19"/>
      <c r="KMI49" s="19"/>
      <c r="KMJ49" s="19"/>
      <c r="KMK49" s="19"/>
      <c r="KML49" s="19"/>
      <c r="KMM49" s="19"/>
      <c r="KMN49" s="19"/>
      <c r="KMO49" s="19"/>
      <c r="KMP49" s="19"/>
      <c r="KMQ49" s="19"/>
      <c r="KMR49" s="19"/>
      <c r="KMS49" s="19"/>
      <c r="KMT49" s="19"/>
      <c r="KMU49" s="19"/>
      <c r="KMV49" s="19"/>
      <c r="KMW49" s="19"/>
      <c r="KMX49" s="19"/>
      <c r="KMY49" s="19"/>
      <c r="KMZ49" s="19"/>
      <c r="KNA49" s="19"/>
      <c r="KNB49" s="19"/>
      <c r="KNC49" s="19"/>
      <c r="KND49" s="19"/>
      <c r="KNE49" s="19"/>
      <c r="KNF49" s="19"/>
      <c r="KNG49" s="19"/>
      <c r="KNH49" s="19"/>
      <c r="KNI49" s="19"/>
      <c r="KNJ49" s="19"/>
      <c r="KNK49" s="19"/>
      <c r="KNL49" s="19"/>
      <c r="KNM49" s="19"/>
      <c r="KNN49" s="19"/>
      <c r="KNO49" s="19"/>
      <c r="KNP49" s="19"/>
      <c r="KNQ49" s="19"/>
      <c r="KNR49" s="19"/>
      <c r="KNS49" s="19"/>
      <c r="KNT49" s="19"/>
      <c r="KNU49" s="19"/>
      <c r="KNV49" s="19"/>
      <c r="KNW49" s="19"/>
      <c r="KNX49" s="19"/>
      <c r="KNY49" s="19"/>
      <c r="KNZ49" s="19"/>
      <c r="KOA49" s="19"/>
      <c r="KOB49" s="19"/>
      <c r="KOC49" s="19"/>
      <c r="KOD49" s="19"/>
      <c r="KOE49" s="19"/>
      <c r="KOF49" s="19"/>
      <c r="KOG49" s="19"/>
      <c r="KOH49" s="19"/>
      <c r="KOI49" s="19"/>
      <c r="KOJ49" s="19"/>
      <c r="KOK49" s="19"/>
      <c r="KOL49" s="19"/>
      <c r="KOM49" s="19"/>
      <c r="KON49" s="19"/>
      <c r="KOO49" s="19"/>
      <c r="KOP49" s="19"/>
      <c r="KOQ49" s="19"/>
      <c r="KOR49" s="19"/>
      <c r="KOS49" s="19"/>
      <c r="KOT49" s="19"/>
      <c r="KOU49" s="19"/>
      <c r="KOV49" s="19"/>
      <c r="KOW49" s="19"/>
      <c r="KOX49" s="19"/>
      <c r="KOY49" s="19"/>
      <c r="KOZ49" s="19"/>
      <c r="KPA49" s="19"/>
      <c r="KPB49" s="19"/>
      <c r="KPC49" s="19"/>
      <c r="KPD49" s="19"/>
      <c r="KPE49" s="19"/>
      <c r="KPF49" s="19"/>
      <c r="KPG49" s="19"/>
      <c r="KPH49" s="19"/>
      <c r="KPI49" s="19"/>
      <c r="KPJ49" s="19"/>
      <c r="KPK49" s="19"/>
      <c r="KPL49" s="19"/>
      <c r="KPM49" s="19"/>
      <c r="KPN49" s="19"/>
      <c r="KPO49" s="19"/>
      <c r="KPP49" s="19"/>
      <c r="KPQ49" s="19"/>
      <c r="KPR49" s="19"/>
      <c r="KPS49" s="19"/>
      <c r="KPT49" s="19"/>
      <c r="KPU49" s="19"/>
      <c r="KPV49" s="19"/>
      <c r="KPW49" s="19"/>
      <c r="KPX49" s="19"/>
      <c r="KPY49" s="19"/>
      <c r="KPZ49" s="19"/>
      <c r="KQA49" s="19"/>
      <c r="KQB49" s="19"/>
      <c r="KQC49" s="19"/>
      <c r="KQD49" s="19"/>
      <c r="KQE49" s="19"/>
      <c r="KQF49" s="19"/>
      <c r="KQG49" s="19"/>
      <c r="KQH49" s="19"/>
      <c r="KQI49" s="19"/>
      <c r="KQJ49" s="19"/>
      <c r="KQK49" s="19"/>
      <c r="KQL49" s="19"/>
      <c r="KQM49" s="19"/>
      <c r="KQN49" s="19"/>
      <c r="KQO49" s="19"/>
      <c r="KQP49" s="19"/>
      <c r="KQQ49" s="19"/>
      <c r="KQR49" s="19"/>
      <c r="KQS49" s="19"/>
      <c r="KQT49" s="19"/>
      <c r="KQU49" s="19"/>
      <c r="KQV49" s="19"/>
      <c r="KQW49" s="19"/>
      <c r="KQX49" s="19"/>
      <c r="KQY49" s="19"/>
      <c r="KQZ49" s="19"/>
      <c r="KRA49" s="19"/>
      <c r="KRB49" s="19"/>
      <c r="KRC49" s="19"/>
      <c r="KRD49" s="19"/>
      <c r="KRE49" s="19"/>
      <c r="KRF49" s="19"/>
      <c r="KRG49" s="19"/>
      <c r="KRH49" s="19"/>
      <c r="KRI49" s="19"/>
      <c r="KRJ49" s="19"/>
      <c r="KRK49" s="19"/>
      <c r="KRL49" s="19"/>
      <c r="KRM49" s="19"/>
      <c r="KRN49" s="19"/>
      <c r="KRO49" s="19"/>
      <c r="KRP49" s="19"/>
      <c r="KRQ49" s="19"/>
      <c r="KRR49" s="19"/>
      <c r="KRS49" s="19"/>
      <c r="KRT49" s="19"/>
      <c r="KRU49" s="19"/>
      <c r="KRV49" s="19"/>
      <c r="KRW49" s="19"/>
      <c r="KRX49" s="19"/>
      <c r="KRY49" s="19"/>
      <c r="KRZ49" s="19"/>
      <c r="KSA49" s="19"/>
      <c r="KSB49" s="19"/>
      <c r="KSC49" s="19"/>
      <c r="KSD49" s="19"/>
      <c r="KSE49" s="19"/>
      <c r="KSF49" s="19"/>
      <c r="KSG49" s="19"/>
      <c r="KSH49" s="19"/>
      <c r="KSI49" s="19"/>
      <c r="KSJ49" s="19"/>
      <c r="KSK49" s="19"/>
      <c r="KSL49" s="19"/>
      <c r="KSM49" s="19"/>
      <c r="KSN49" s="19"/>
      <c r="KSO49" s="19"/>
      <c r="KSP49" s="19"/>
      <c r="KSQ49" s="19"/>
      <c r="KSR49" s="19"/>
      <c r="KSS49" s="19"/>
      <c r="KST49" s="19"/>
      <c r="KSU49" s="19"/>
      <c r="KSV49" s="19"/>
      <c r="KSW49" s="19"/>
      <c r="KSX49" s="19"/>
      <c r="KSY49" s="19"/>
      <c r="KSZ49" s="19"/>
      <c r="KTA49" s="19"/>
      <c r="KTB49" s="19"/>
      <c r="KTC49" s="19"/>
      <c r="KTD49" s="19"/>
      <c r="KTE49" s="19"/>
      <c r="KTF49" s="19"/>
      <c r="KTG49" s="19"/>
      <c r="KTH49" s="19"/>
      <c r="KTI49" s="19"/>
      <c r="KTJ49" s="19"/>
      <c r="KTK49" s="19"/>
      <c r="KTL49" s="19"/>
      <c r="KTM49" s="19"/>
      <c r="KTN49" s="19"/>
      <c r="KTO49" s="19"/>
      <c r="KTP49" s="19"/>
      <c r="KTQ49" s="19"/>
      <c r="KTR49" s="19"/>
      <c r="KTS49" s="19"/>
      <c r="KTT49" s="19"/>
      <c r="KTU49" s="19"/>
      <c r="KTV49" s="19"/>
      <c r="KTW49" s="19"/>
      <c r="KTX49" s="19"/>
      <c r="KTY49" s="19"/>
      <c r="KTZ49" s="19"/>
      <c r="KUA49" s="19"/>
      <c r="KUB49" s="19"/>
      <c r="KUC49" s="19"/>
      <c r="KUD49" s="19"/>
      <c r="KUE49" s="19"/>
      <c r="KUF49" s="19"/>
      <c r="KUG49" s="19"/>
      <c r="KUH49" s="19"/>
      <c r="KUI49" s="19"/>
      <c r="KUJ49" s="19"/>
      <c r="KUK49" s="19"/>
      <c r="KUL49" s="19"/>
      <c r="KUM49" s="19"/>
      <c r="KUN49" s="19"/>
      <c r="KUO49" s="19"/>
      <c r="KUP49" s="19"/>
      <c r="KUQ49" s="19"/>
      <c r="KUR49" s="19"/>
      <c r="KUS49" s="19"/>
      <c r="KUT49" s="19"/>
      <c r="KUU49" s="19"/>
      <c r="KUV49" s="19"/>
      <c r="KUW49" s="19"/>
      <c r="KUX49" s="19"/>
      <c r="KUY49" s="19"/>
      <c r="KUZ49" s="19"/>
      <c r="KVA49" s="19"/>
      <c r="KVB49" s="19"/>
      <c r="KVC49" s="19"/>
      <c r="KVD49" s="19"/>
      <c r="KVE49" s="19"/>
      <c r="KVF49" s="19"/>
      <c r="KVG49" s="19"/>
      <c r="KVH49" s="19"/>
      <c r="KVI49" s="19"/>
      <c r="KVJ49" s="19"/>
      <c r="KVK49" s="19"/>
      <c r="KVL49" s="19"/>
      <c r="KVM49" s="19"/>
      <c r="KVN49" s="19"/>
      <c r="KVO49" s="19"/>
      <c r="KVP49" s="19"/>
      <c r="KVQ49" s="19"/>
      <c r="KVR49" s="19"/>
      <c r="KVS49" s="19"/>
      <c r="KVT49" s="19"/>
      <c r="KVU49" s="19"/>
      <c r="KVV49" s="19"/>
      <c r="KVW49" s="19"/>
      <c r="KVX49" s="19"/>
      <c r="KVY49" s="19"/>
      <c r="KVZ49" s="19"/>
      <c r="KWA49" s="19"/>
      <c r="KWB49" s="19"/>
      <c r="KWC49" s="19"/>
      <c r="KWD49" s="19"/>
      <c r="KWE49" s="19"/>
      <c r="KWF49" s="19"/>
      <c r="KWG49" s="19"/>
      <c r="KWH49" s="19"/>
      <c r="KWI49" s="19"/>
      <c r="KWJ49" s="19"/>
      <c r="KWK49" s="19"/>
      <c r="KWL49" s="19"/>
      <c r="KWM49" s="19"/>
      <c r="KWN49" s="19"/>
      <c r="KWO49" s="19"/>
      <c r="KWP49" s="19"/>
      <c r="KWQ49" s="19"/>
      <c r="KWR49" s="19"/>
      <c r="KWS49" s="19"/>
      <c r="KWT49" s="19"/>
      <c r="KWU49" s="19"/>
      <c r="KWV49" s="19"/>
      <c r="KWW49" s="19"/>
      <c r="KWX49" s="19"/>
      <c r="KWY49" s="19"/>
      <c r="KWZ49" s="19"/>
      <c r="KXA49" s="19"/>
      <c r="KXB49" s="19"/>
      <c r="KXC49" s="19"/>
      <c r="KXD49" s="19"/>
      <c r="KXE49" s="19"/>
      <c r="KXF49" s="19"/>
      <c r="KXG49" s="19"/>
      <c r="KXH49" s="19"/>
      <c r="KXI49" s="19"/>
      <c r="KXJ49" s="19"/>
      <c r="KXK49" s="19"/>
      <c r="KXL49" s="19"/>
      <c r="KXM49" s="19"/>
      <c r="KXN49" s="19"/>
      <c r="KXO49" s="19"/>
      <c r="KXP49" s="19"/>
      <c r="KXQ49" s="19"/>
      <c r="KXR49" s="19"/>
      <c r="KXS49" s="19"/>
      <c r="KXT49" s="19"/>
      <c r="KXU49" s="19"/>
      <c r="KXV49" s="19"/>
      <c r="KXW49" s="19"/>
      <c r="KXX49" s="19"/>
      <c r="KXY49" s="19"/>
      <c r="KXZ49" s="19"/>
      <c r="KYA49" s="19"/>
      <c r="KYB49" s="19"/>
      <c r="KYC49" s="19"/>
      <c r="KYD49" s="19"/>
      <c r="KYE49" s="19"/>
      <c r="KYF49" s="19"/>
      <c r="KYG49" s="19"/>
      <c r="KYH49" s="19"/>
      <c r="KYI49" s="19"/>
      <c r="KYJ49" s="19"/>
      <c r="KYK49" s="19"/>
      <c r="KYL49" s="19"/>
      <c r="KYM49" s="19"/>
      <c r="KYN49" s="19"/>
      <c r="KYO49" s="19"/>
      <c r="KYP49" s="19"/>
      <c r="KYQ49" s="19"/>
      <c r="KYR49" s="19"/>
      <c r="KYS49" s="19"/>
      <c r="KYT49" s="19"/>
      <c r="KYU49" s="19"/>
      <c r="KYV49" s="19"/>
      <c r="KYW49" s="19"/>
      <c r="KYX49" s="19"/>
      <c r="KYY49" s="19"/>
      <c r="KYZ49" s="19"/>
      <c r="KZA49" s="19"/>
      <c r="KZB49" s="19"/>
      <c r="KZC49" s="19"/>
      <c r="KZD49" s="19"/>
      <c r="KZE49" s="19"/>
      <c r="KZF49" s="19"/>
      <c r="KZG49" s="19"/>
      <c r="KZH49" s="19"/>
      <c r="KZI49" s="19"/>
      <c r="KZJ49" s="19"/>
      <c r="KZK49" s="19"/>
      <c r="KZL49" s="19"/>
      <c r="KZM49" s="19"/>
      <c r="KZN49" s="19"/>
      <c r="KZO49" s="19"/>
      <c r="KZP49" s="19"/>
      <c r="KZQ49" s="19"/>
      <c r="KZR49" s="19"/>
      <c r="KZS49" s="19"/>
      <c r="KZT49" s="19"/>
      <c r="KZU49" s="19"/>
      <c r="KZV49" s="19"/>
      <c r="KZW49" s="19"/>
      <c r="KZX49" s="19"/>
      <c r="KZY49" s="19"/>
      <c r="KZZ49" s="19"/>
      <c r="LAA49" s="19"/>
      <c r="LAB49" s="19"/>
      <c r="LAC49" s="19"/>
      <c r="LAD49" s="19"/>
      <c r="LAE49" s="19"/>
      <c r="LAF49" s="19"/>
      <c r="LAG49" s="19"/>
      <c r="LAH49" s="19"/>
      <c r="LAI49" s="19"/>
      <c r="LAJ49" s="19"/>
      <c r="LAK49" s="19"/>
      <c r="LAL49" s="19"/>
      <c r="LAM49" s="19"/>
      <c r="LAN49" s="19"/>
      <c r="LAO49" s="19"/>
      <c r="LAP49" s="19"/>
      <c r="LAQ49" s="19"/>
      <c r="LAR49" s="19"/>
      <c r="LAS49" s="19"/>
      <c r="LAT49" s="19"/>
      <c r="LAU49" s="19"/>
      <c r="LAV49" s="19"/>
      <c r="LAW49" s="19"/>
      <c r="LAX49" s="19"/>
      <c r="LAY49" s="19"/>
      <c r="LAZ49" s="19"/>
      <c r="LBA49" s="19"/>
      <c r="LBB49" s="19"/>
      <c r="LBC49" s="19"/>
      <c r="LBD49" s="19"/>
      <c r="LBE49" s="19"/>
      <c r="LBF49" s="19"/>
      <c r="LBG49" s="19"/>
      <c r="LBH49" s="19"/>
      <c r="LBI49" s="19"/>
      <c r="LBJ49" s="19"/>
      <c r="LBK49" s="19"/>
      <c r="LBL49" s="19"/>
      <c r="LBM49" s="19"/>
      <c r="LBN49" s="19"/>
      <c r="LBO49" s="19"/>
      <c r="LBP49" s="19"/>
      <c r="LBQ49" s="19"/>
      <c r="LBR49" s="19"/>
      <c r="LBS49" s="19"/>
      <c r="LBT49" s="19"/>
      <c r="LBU49" s="19"/>
      <c r="LBV49" s="19"/>
      <c r="LBW49" s="19"/>
      <c r="LBX49" s="19"/>
      <c r="LBY49" s="19"/>
      <c r="LBZ49" s="19"/>
      <c r="LCA49" s="19"/>
      <c r="LCB49" s="19"/>
      <c r="LCC49" s="19"/>
      <c r="LCD49" s="19"/>
      <c r="LCE49" s="19"/>
      <c r="LCF49" s="19"/>
      <c r="LCG49" s="19"/>
      <c r="LCH49" s="19"/>
      <c r="LCI49" s="19"/>
      <c r="LCJ49" s="19"/>
      <c r="LCK49" s="19"/>
      <c r="LCL49" s="19"/>
      <c r="LCM49" s="19"/>
      <c r="LCN49" s="19"/>
      <c r="LCO49" s="19"/>
      <c r="LCP49" s="19"/>
      <c r="LCQ49" s="19"/>
      <c r="LCR49" s="19"/>
      <c r="LCS49" s="19"/>
      <c r="LCT49" s="19"/>
      <c r="LCU49" s="19"/>
      <c r="LCV49" s="19"/>
      <c r="LCW49" s="19"/>
      <c r="LCX49" s="19"/>
      <c r="LCY49" s="19"/>
      <c r="LCZ49" s="19"/>
      <c r="LDA49" s="19"/>
      <c r="LDB49" s="19"/>
      <c r="LDC49" s="19"/>
      <c r="LDD49" s="19"/>
      <c r="LDE49" s="19"/>
      <c r="LDF49" s="19"/>
      <c r="LDG49" s="19"/>
      <c r="LDH49" s="19"/>
      <c r="LDI49" s="19"/>
      <c r="LDJ49" s="19"/>
      <c r="LDK49" s="19"/>
      <c r="LDL49" s="19"/>
      <c r="LDM49" s="19"/>
      <c r="LDN49" s="19"/>
      <c r="LDO49" s="19"/>
      <c r="LDP49" s="19"/>
      <c r="LDQ49" s="19"/>
      <c r="LDR49" s="19"/>
      <c r="LDS49" s="19"/>
      <c r="LDT49" s="19"/>
      <c r="LDU49" s="19"/>
      <c r="LDV49" s="19"/>
      <c r="LDW49" s="19"/>
      <c r="LDX49" s="19"/>
      <c r="LDY49" s="19"/>
      <c r="LDZ49" s="19"/>
      <c r="LEA49" s="19"/>
      <c r="LEB49" s="19"/>
      <c r="LEC49" s="19"/>
      <c r="LED49" s="19"/>
      <c r="LEE49" s="19"/>
      <c r="LEF49" s="19"/>
      <c r="LEG49" s="19"/>
      <c r="LEH49" s="19"/>
      <c r="LEI49" s="19"/>
      <c r="LEJ49" s="19"/>
      <c r="LEK49" s="19"/>
      <c r="LEL49" s="19"/>
      <c r="LEM49" s="19"/>
      <c r="LEN49" s="19"/>
      <c r="LEO49" s="19"/>
      <c r="LEP49" s="19"/>
      <c r="LEQ49" s="19"/>
      <c r="LER49" s="19"/>
      <c r="LES49" s="19"/>
      <c r="LET49" s="19"/>
      <c r="LEU49" s="19"/>
      <c r="LEV49" s="19"/>
      <c r="LEW49" s="19"/>
      <c r="LEX49" s="19"/>
      <c r="LEY49" s="19"/>
      <c r="LEZ49" s="19"/>
      <c r="LFA49" s="19"/>
      <c r="LFB49" s="19"/>
      <c r="LFC49" s="19"/>
      <c r="LFD49" s="19"/>
      <c r="LFE49" s="19"/>
      <c r="LFF49" s="19"/>
      <c r="LFG49" s="19"/>
      <c r="LFH49" s="19"/>
      <c r="LFI49" s="19"/>
      <c r="LFJ49" s="19"/>
      <c r="LFK49" s="19"/>
      <c r="LFL49" s="19"/>
      <c r="LFM49" s="19"/>
      <c r="LFN49" s="19"/>
      <c r="LFO49" s="19"/>
      <c r="LFP49" s="19"/>
      <c r="LFQ49" s="19"/>
      <c r="LFR49" s="19"/>
      <c r="LFS49" s="19"/>
      <c r="LFT49" s="19"/>
      <c r="LFU49" s="19"/>
      <c r="LFV49" s="19"/>
      <c r="LFW49" s="19"/>
      <c r="LFX49" s="19"/>
      <c r="LFY49" s="19"/>
      <c r="LFZ49" s="19"/>
      <c r="LGA49" s="19"/>
      <c r="LGB49" s="19"/>
      <c r="LGC49" s="19"/>
      <c r="LGD49" s="19"/>
      <c r="LGE49" s="19"/>
      <c r="LGF49" s="19"/>
      <c r="LGG49" s="19"/>
      <c r="LGH49" s="19"/>
      <c r="LGI49" s="19"/>
      <c r="LGJ49" s="19"/>
      <c r="LGK49" s="19"/>
      <c r="LGL49" s="19"/>
      <c r="LGM49" s="19"/>
      <c r="LGN49" s="19"/>
      <c r="LGO49" s="19"/>
      <c r="LGP49" s="19"/>
      <c r="LGQ49" s="19"/>
      <c r="LGR49" s="19"/>
      <c r="LGS49" s="19"/>
      <c r="LGT49" s="19"/>
      <c r="LGU49" s="19"/>
      <c r="LGV49" s="19"/>
      <c r="LGW49" s="19"/>
      <c r="LGX49" s="19"/>
      <c r="LGY49" s="19"/>
      <c r="LGZ49" s="19"/>
      <c r="LHA49" s="19"/>
      <c r="LHB49" s="19"/>
      <c r="LHC49" s="19"/>
      <c r="LHD49" s="19"/>
      <c r="LHE49" s="19"/>
      <c r="LHF49" s="19"/>
      <c r="LHG49" s="19"/>
      <c r="LHH49" s="19"/>
      <c r="LHI49" s="19"/>
      <c r="LHJ49" s="19"/>
      <c r="LHK49" s="19"/>
      <c r="LHL49" s="19"/>
      <c r="LHM49" s="19"/>
      <c r="LHN49" s="19"/>
      <c r="LHO49" s="19"/>
      <c r="LHP49" s="19"/>
      <c r="LHQ49" s="19"/>
      <c r="LHR49" s="19"/>
      <c r="LHS49" s="19"/>
      <c r="LHT49" s="19"/>
      <c r="LHU49" s="19"/>
      <c r="LHV49" s="19"/>
      <c r="LHW49" s="19"/>
      <c r="LHX49" s="19"/>
      <c r="LHY49" s="19"/>
      <c r="LHZ49" s="19"/>
      <c r="LIA49" s="19"/>
      <c r="LIB49" s="19"/>
      <c r="LIC49" s="19"/>
      <c r="LID49" s="19"/>
      <c r="LIE49" s="19"/>
      <c r="LIF49" s="19"/>
      <c r="LIG49" s="19"/>
      <c r="LIH49" s="19"/>
      <c r="LII49" s="19"/>
      <c r="LIJ49" s="19"/>
      <c r="LIK49" s="19"/>
      <c r="LIL49" s="19"/>
      <c r="LIM49" s="19"/>
      <c r="LIN49" s="19"/>
      <c r="LIO49" s="19"/>
      <c r="LIP49" s="19"/>
      <c r="LIQ49" s="19"/>
      <c r="LIR49" s="19"/>
      <c r="LIS49" s="19"/>
      <c r="LIT49" s="19"/>
      <c r="LIU49" s="19"/>
      <c r="LIV49" s="19"/>
      <c r="LIW49" s="19"/>
      <c r="LIX49" s="19"/>
      <c r="LIY49" s="19"/>
      <c r="LIZ49" s="19"/>
      <c r="LJA49" s="19"/>
      <c r="LJB49" s="19"/>
      <c r="LJC49" s="19"/>
      <c r="LJD49" s="19"/>
      <c r="LJE49" s="19"/>
      <c r="LJF49" s="19"/>
      <c r="LJG49" s="19"/>
      <c r="LJH49" s="19"/>
      <c r="LJI49" s="19"/>
      <c r="LJJ49" s="19"/>
      <c r="LJK49" s="19"/>
      <c r="LJL49" s="19"/>
      <c r="LJM49" s="19"/>
      <c r="LJN49" s="19"/>
      <c r="LJO49" s="19"/>
      <c r="LJP49" s="19"/>
      <c r="LJQ49" s="19"/>
      <c r="LJR49" s="19"/>
      <c r="LJS49" s="19"/>
      <c r="LJT49" s="19"/>
      <c r="LJU49" s="19"/>
      <c r="LJV49" s="19"/>
      <c r="LJW49" s="19"/>
      <c r="LJX49" s="19"/>
      <c r="LJY49" s="19"/>
      <c r="LJZ49" s="19"/>
      <c r="LKA49" s="19"/>
      <c r="LKB49" s="19"/>
      <c r="LKC49" s="19"/>
      <c r="LKD49" s="19"/>
      <c r="LKE49" s="19"/>
      <c r="LKF49" s="19"/>
      <c r="LKG49" s="19"/>
      <c r="LKH49" s="19"/>
      <c r="LKI49" s="19"/>
      <c r="LKJ49" s="19"/>
      <c r="LKK49" s="19"/>
      <c r="LKL49" s="19"/>
      <c r="LKM49" s="19"/>
      <c r="LKN49" s="19"/>
      <c r="LKO49" s="19"/>
      <c r="LKP49" s="19"/>
      <c r="LKQ49" s="19"/>
      <c r="LKR49" s="19"/>
      <c r="LKS49" s="19"/>
      <c r="LKT49" s="19"/>
      <c r="LKU49" s="19"/>
      <c r="LKV49" s="19"/>
      <c r="LKW49" s="19"/>
      <c r="LKX49" s="19"/>
      <c r="LKY49" s="19"/>
      <c r="LKZ49" s="19"/>
      <c r="LLA49" s="19"/>
      <c r="LLB49" s="19"/>
      <c r="LLC49" s="19"/>
      <c r="LLD49" s="19"/>
      <c r="LLE49" s="19"/>
      <c r="LLF49" s="19"/>
      <c r="LLG49" s="19"/>
      <c r="LLH49" s="19"/>
      <c r="LLI49" s="19"/>
      <c r="LLJ49" s="19"/>
      <c r="LLK49" s="19"/>
      <c r="LLL49" s="19"/>
      <c r="LLM49" s="19"/>
      <c r="LLN49" s="19"/>
      <c r="LLO49" s="19"/>
      <c r="LLP49" s="19"/>
      <c r="LLQ49" s="19"/>
      <c r="LLR49" s="19"/>
      <c r="LLS49" s="19"/>
      <c r="LLT49" s="19"/>
      <c r="LLU49" s="19"/>
      <c r="LLV49" s="19"/>
      <c r="LLW49" s="19"/>
      <c r="LLX49" s="19"/>
      <c r="LLY49" s="19"/>
      <c r="LLZ49" s="19"/>
      <c r="LMA49" s="19"/>
      <c r="LMB49" s="19"/>
      <c r="LMC49" s="19"/>
      <c r="LMD49" s="19"/>
      <c r="LME49" s="19"/>
      <c r="LMF49" s="19"/>
      <c r="LMG49" s="19"/>
      <c r="LMH49" s="19"/>
      <c r="LMI49" s="19"/>
      <c r="LMJ49" s="19"/>
      <c r="LMK49" s="19"/>
      <c r="LML49" s="19"/>
      <c r="LMM49" s="19"/>
      <c r="LMN49" s="19"/>
      <c r="LMO49" s="19"/>
      <c r="LMP49" s="19"/>
      <c r="LMQ49" s="19"/>
      <c r="LMR49" s="19"/>
      <c r="LMS49" s="19"/>
      <c r="LMT49" s="19"/>
      <c r="LMU49" s="19"/>
      <c r="LMV49" s="19"/>
      <c r="LMW49" s="19"/>
      <c r="LMX49" s="19"/>
      <c r="LMY49" s="19"/>
      <c r="LMZ49" s="19"/>
      <c r="LNA49" s="19"/>
      <c r="LNB49" s="19"/>
      <c r="LNC49" s="19"/>
      <c r="LND49" s="19"/>
      <c r="LNE49" s="19"/>
      <c r="LNF49" s="19"/>
      <c r="LNG49" s="19"/>
      <c r="LNH49" s="19"/>
      <c r="LNI49" s="19"/>
      <c r="LNJ49" s="19"/>
      <c r="LNK49" s="19"/>
      <c r="LNL49" s="19"/>
      <c r="LNM49" s="19"/>
      <c r="LNN49" s="19"/>
      <c r="LNO49" s="19"/>
      <c r="LNP49" s="19"/>
      <c r="LNQ49" s="19"/>
      <c r="LNR49" s="19"/>
      <c r="LNS49" s="19"/>
      <c r="LNT49" s="19"/>
      <c r="LNU49" s="19"/>
      <c r="LNV49" s="19"/>
      <c r="LNW49" s="19"/>
      <c r="LNX49" s="19"/>
      <c r="LNY49" s="19"/>
      <c r="LNZ49" s="19"/>
      <c r="LOA49" s="19"/>
      <c r="LOB49" s="19"/>
      <c r="LOC49" s="19"/>
      <c r="LOD49" s="19"/>
      <c r="LOE49" s="19"/>
      <c r="LOF49" s="19"/>
      <c r="LOG49" s="19"/>
      <c r="LOH49" s="19"/>
      <c r="LOI49" s="19"/>
      <c r="LOJ49" s="19"/>
      <c r="LOK49" s="19"/>
      <c r="LOL49" s="19"/>
      <c r="LOM49" s="19"/>
      <c r="LON49" s="19"/>
      <c r="LOO49" s="19"/>
      <c r="LOP49" s="19"/>
      <c r="LOQ49" s="19"/>
      <c r="LOR49" s="19"/>
      <c r="LOS49" s="19"/>
      <c r="LOT49" s="19"/>
      <c r="LOU49" s="19"/>
      <c r="LOV49" s="19"/>
      <c r="LOW49" s="19"/>
      <c r="LOX49" s="19"/>
      <c r="LOY49" s="19"/>
      <c r="LOZ49" s="19"/>
      <c r="LPA49" s="19"/>
      <c r="LPB49" s="19"/>
      <c r="LPC49" s="19"/>
      <c r="LPD49" s="19"/>
      <c r="LPE49" s="19"/>
      <c r="LPF49" s="19"/>
      <c r="LPG49" s="19"/>
      <c r="LPH49" s="19"/>
      <c r="LPI49" s="19"/>
      <c r="LPJ49" s="19"/>
      <c r="LPK49" s="19"/>
      <c r="LPL49" s="19"/>
      <c r="LPM49" s="19"/>
      <c r="LPN49" s="19"/>
      <c r="LPO49" s="19"/>
      <c r="LPP49" s="19"/>
      <c r="LPQ49" s="19"/>
      <c r="LPR49" s="19"/>
      <c r="LPS49" s="19"/>
      <c r="LPT49" s="19"/>
      <c r="LPU49" s="19"/>
      <c r="LPV49" s="19"/>
      <c r="LPW49" s="19"/>
      <c r="LPX49" s="19"/>
      <c r="LPY49" s="19"/>
      <c r="LPZ49" s="19"/>
      <c r="LQA49" s="19"/>
      <c r="LQB49" s="19"/>
      <c r="LQC49" s="19"/>
      <c r="LQD49" s="19"/>
      <c r="LQE49" s="19"/>
      <c r="LQF49" s="19"/>
      <c r="LQG49" s="19"/>
      <c r="LQH49" s="19"/>
      <c r="LQI49" s="19"/>
      <c r="LQJ49" s="19"/>
      <c r="LQK49" s="19"/>
      <c r="LQL49" s="19"/>
      <c r="LQM49" s="19"/>
      <c r="LQN49" s="19"/>
      <c r="LQO49" s="19"/>
      <c r="LQP49" s="19"/>
      <c r="LQQ49" s="19"/>
      <c r="LQR49" s="19"/>
      <c r="LQS49" s="19"/>
      <c r="LQT49" s="19"/>
      <c r="LQU49" s="19"/>
      <c r="LQV49" s="19"/>
      <c r="LQW49" s="19"/>
      <c r="LQX49" s="19"/>
      <c r="LQY49" s="19"/>
      <c r="LQZ49" s="19"/>
      <c r="LRA49" s="19"/>
      <c r="LRB49" s="19"/>
      <c r="LRC49" s="19"/>
      <c r="LRD49" s="19"/>
      <c r="LRE49" s="19"/>
      <c r="LRF49" s="19"/>
      <c r="LRG49" s="19"/>
      <c r="LRH49" s="19"/>
      <c r="LRI49" s="19"/>
      <c r="LRJ49" s="19"/>
      <c r="LRK49" s="19"/>
      <c r="LRL49" s="19"/>
      <c r="LRM49" s="19"/>
      <c r="LRN49" s="19"/>
      <c r="LRO49" s="19"/>
      <c r="LRP49" s="19"/>
      <c r="LRQ49" s="19"/>
      <c r="LRR49" s="19"/>
      <c r="LRS49" s="19"/>
      <c r="LRT49" s="19"/>
      <c r="LRU49" s="19"/>
      <c r="LRV49" s="19"/>
      <c r="LRW49" s="19"/>
      <c r="LRX49" s="19"/>
      <c r="LRY49" s="19"/>
      <c r="LRZ49" s="19"/>
      <c r="LSA49" s="19"/>
      <c r="LSB49" s="19"/>
      <c r="LSC49" s="19"/>
      <c r="LSD49" s="19"/>
      <c r="LSE49" s="19"/>
      <c r="LSF49" s="19"/>
      <c r="LSG49" s="19"/>
      <c r="LSH49" s="19"/>
      <c r="LSI49" s="19"/>
      <c r="LSJ49" s="19"/>
      <c r="LSK49" s="19"/>
      <c r="LSL49" s="19"/>
      <c r="LSM49" s="19"/>
      <c r="LSN49" s="19"/>
      <c r="LSO49" s="19"/>
      <c r="LSP49" s="19"/>
      <c r="LSQ49" s="19"/>
      <c r="LSR49" s="19"/>
      <c r="LSS49" s="19"/>
      <c r="LST49" s="19"/>
      <c r="LSU49" s="19"/>
      <c r="LSV49" s="19"/>
      <c r="LSW49" s="19"/>
      <c r="LSX49" s="19"/>
      <c r="LSY49" s="19"/>
      <c r="LSZ49" s="19"/>
      <c r="LTA49" s="19"/>
      <c r="LTB49" s="19"/>
      <c r="LTC49" s="19"/>
      <c r="LTD49" s="19"/>
      <c r="LTE49" s="19"/>
      <c r="LTF49" s="19"/>
      <c r="LTG49" s="19"/>
      <c r="LTH49" s="19"/>
      <c r="LTI49" s="19"/>
      <c r="LTJ49" s="19"/>
      <c r="LTK49" s="19"/>
      <c r="LTL49" s="19"/>
      <c r="LTM49" s="19"/>
      <c r="LTN49" s="19"/>
      <c r="LTO49" s="19"/>
      <c r="LTP49" s="19"/>
      <c r="LTQ49" s="19"/>
      <c r="LTR49" s="19"/>
      <c r="LTS49" s="19"/>
      <c r="LTT49" s="19"/>
      <c r="LTU49" s="19"/>
      <c r="LTV49" s="19"/>
      <c r="LTW49" s="19"/>
      <c r="LTX49" s="19"/>
      <c r="LTY49" s="19"/>
      <c r="LTZ49" s="19"/>
      <c r="LUA49" s="19"/>
      <c r="LUB49" s="19"/>
      <c r="LUC49" s="19"/>
      <c r="LUD49" s="19"/>
      <c r="LUE49" s="19"/>
      <c r="LUF49" s="19"/>
      <c r="LUG49" s="19"/>
      <c r="LUH49" s="19"/>
      <c r="LUI49" s="19"/>
      <c r="LUJ49" s="19"/>
      <c r="LUK49" s="19"/>
      <c r="LUL49" s="19"/>
      <c r="LUM49" s="19"/>
      <c r="LUN49" s="19"/>
      <c r="LUO49" s="19"/>
      <c r="LUP49" s="19"/>
      <c r="LUQ49" s="19"/>
      <c r="LUR49" s="19"/>
      <c r="LUS49" s="19"/>
      <c r="LUT49" s="19"/>
      <c r="LUU49" s="19"/>
      <c r="LUV49" s="19"/>
      <c r="LUW49" s="19"/>
      <c r="LUX49" s="19"/>
      <c r="LUY49" s="19"/>
      <c r="LUZ49" s="19"/>
      <c r="LVA49" s="19"/>
      <c r="LVB49" s="19"/>
      <c r="LVC49" s="19"/>
      <c r="LVD49" s="19"/>
      <c r="LVE49" s="19"/>
      <c r="LVF49" s="19"/>
      <c r="LVG49" s="19"/>
      <c r="LVH49" s="19"/>
      <c r="LVI49" s="19"/>
      <c r="LVJ49" s="19"/>
      <c r="LVK49" s="19"/>
      <c r="LVL49" s="19"/>
      <c r="LVM49" s="19"/>
      <c r="LVN49" s="19"/>
      <c r="LVO49" s="19"/>
      <c r="LVP49" s="19"/>
      <c r="LVQ49" s="19"/>
      <c r="LVR49" s="19"/>
      <c r="LVS49" s="19"/>
      <c r="LVT49" s="19"/>
      <c r="LVU49" s="19"/>
      <c r="LVV49" s="19"/>
      <c r="LVW49" s="19"/>
      <c r="LVX49" s="19"/>
      <c r="LVY49" s="19"/>
      <c r="LVZ49" s="19"/>
      <c r="LWA49" s="19"/>
      <c r="LWB49" s="19"/>
      <c r="LWC49" s="19"/>
      <c r="LWD49" s="19"/>
      <c r="LWE49" s="19"/>
      <c r="LWF49" s="19"/>
      <c r="LWG49" s="19"/>
      <c r="LWH49" s="19"/>
      <c r="LWI49" s="19"/>
      <c r="LWJ49" s="19"/>
      <c r="LWK49" s="19"/>
      <c r="LWL49" s="19"/>
      <c r="LWM49" s="19"/>
      <c r="LWN49" s="19"/>
      <c r="LWO49" s="19"/>
      <c r="LWP49" s="19"/>
      <c r="LWQ49" s="19"/>
      <c r="LWR49" s="19"/>
      <c r="LWS49" s="19"/>
      <c r="LWT49" s="19"/>
      <c r="LWU49" s="19"/>
      <c r="LWV49" s="19"/>
      <c r="LWW49" s="19"/>
      <c r="LWX49" s="19"/>
      <c r="LWY49" s="19"/>
      <c r="LWZ49" s="19"/>
      <c r="LXA49" s="19"/>
      <c r="LXB49" s="19"/>
      <c r="LXC49" s="19"/>
      <c r="LXD49" s="19"/>
      <c r="LXE49" s="19"/>
      <c r="LXF49" s="19"/>
      <c r="LXG49" s="19"/>
      <c r="LXH49" s="19"/>
      <c r="LXI49" s="19"/>
      <c r="LXJ49" s="19"/>
      <c r="LXK49" s="19"/>
      <c r="LXL49" s="19"/>
      <c r="LXM49" s="19"/>
      <c r="LXN49" s="19"/>
      <c r="LXO49" s="19"/>
      <c r="LXP49" s="19"/>
      <c r="LXQ49" s="19"/>
      <c r="LXR49" s="19"/>
      <c r="LXS49" s="19"/>
      <c r="LXT49" s="19"/>
      <c r="LXU49" s="19"/>
      <c r="LXV49" s="19"/>
      <c r="LXW49" s="19"/>
      <c r="LXX49" s="19"/>
      <c r="LXY49" s="19"/>
      <c r="LXZ49" s="19"/>
      <c r="LYA49" s="19"/>
      <c r="LYB49" s="19"/>
      <c r="LYC49" s="19"/>
      <c r="LYD49" s="19"/>
      <c r="LYE49" s="19"/>
      <c r="LYF49" s="19"/>
      <c r="LYG49" s="19"/>
      <c r="LYH49" s="19"/>
      <c r="LYI49" s="19"/>
      <c r="LYJ49" s="19"/>
      <c r="LYK49" s="19"/>
      <c r="LYL49" s="19"/>
      <c r="LYM49" s="19"/>
      <c r="LYN49" s="19"/>
      <c r="LYO49" s="19"/>
      <c r="LYP49" s="19"/>
      <c r="LYQ49" s="19"/>
      <c r="LYR49" s="19"/>
      <c r="LYS49" s="19"/>
      <c r="LYT49" s="19"/>
      <c r="LYU49" s="19"/>
      <c r="LYV49" s="19"/>
      <c r="LYW49" s="19"/>
      <c r="LYX49" s="19"/>
      <c r="LYY49" s="19"/>
      <c r="LYZ49" s="19"/>
      <c r="LZA49" s="19"/>
      <c r="LZB49" s="19"/>
      <c r="LZC49" s="19"/>
      <c r="LZD49" s="19"/>
      <c r="LZE49" s="19"/>
      <c r="LZF49" s="19"/>
      <c r="LZG49" s="19"/>
      <c r="LZH49" s="19"/>
      <c r="LZI49" s="19"/>
      <c r="LZJ49" s="19"/>
      <c r="LZK49" s="19"/>
      <c r="LZL49" s="19"/>
      <c r="LZM49" s="19"/>
      <c r="LZN49" s="19"/>
      <c r="LZO49" s="19"/>
      <c r="LZP49" s="19"/>
      <c r="LZQ49" s="19"/>
      <c r="LZR49" s="19"/>
      <c r="LZS49" s="19"/>
      <c r="LZT49" s="19"/>
      <c r="LZU49" s="19"/>
      <c r="LZV49" s="19"/>
      <c r="LZW49" s="19"/>
      <c r="LZX49" s="19"/>
      <c r="LZY49" s="19"/>
      <c r="LZZ49" s="19"/>
      <c r="MAA49" s="19"/>
      <c r="MAB49" s="19"/>
      <c r="MAC49" s="19"/>
      <c r="MAD49" s="19"/>
      <c r="MAE49" s="19"/>
      <c r="MAF49" s="19"/>
      <c r="MAG49" s="19"/>
      <c r="MAH49" s="19"/>
      <c r="MAI49" s="19"/>
      <c r="MAJ49" s="19"/>
      <c r="MAK49" s="19"/>
      <c r="MAL49" s="19"/>
      <c r="MAM49" s="19"/>
      <c r="MAN49" s="19"/>
      <c r="MAO49" s="19"/>
      <c r="MAP49" s="19"/>
      <c r="MAQ49" s="19"/>
      <c r="MAR49" s="19"/>
      <c r="MAS49" s="19"/>
      <c r="MAT49" s="19"/>
      <c r="MAU49" s="19"/>
      <c r="MAV49" s="19"/>
      <c r="MAW49" s="19"/>
      <c r="MAX49" s="19"/>
      <c r="MAY49" s="19"/>
      <c r="MAZ49" s="19"/>
      <c r="MBA49" s="19"/>
      <c r="MBB49" s="19"/>
      <c r="MBC49" s="19"/>
      <c r="MBD49" s="19"/>
      <c r="MBE49" s="19"/>
      <c r="MBF49" s="19"/>
      <c r="MBG49" s="19"/>
      <c r="MBH49" s="19"/>
      <c r="MBI49" s="19"/>
      <c r="MBJ49" s="19"/>
      <c r="MBK49" s="19"/>
      <c r="MBL49" s="19"/>
      <c r="MBM49" s="19"/>
      <c r="MBN49" s="19"/>
      <c r="MBO49" s="19"/>
      <c r="MBP49" s="19"/>
      <c r="MBQ49" s="19"/>
      <c r="MBR49" s="19"/>
      <c r="MBS49" s="19"/>
      <c r="MBT49" s="19"/>
      <c r="MBU49" s="19"/>
      <c r="MBV49" s="19"/>
      <c r="MBW49" s="19"/>
      <c r="MBX49" s="19"/>
      <c r="MBY49" s="19"/>
      <c r="MBZ49" s="19"/>
      <c r="MCA49" s="19"/>
      <c r="MCB49" s="19"/>
      <c r="MCC49" s="19"/>
      <c r="MCD49" s="19"/>
      <c r="MCE49" s="19"/>
      <c r="MCF49" s="19"/>
      <c r="MCG49" s="19"/>
      <c r="MCH49" s="19"/>
      <c r="MCI49" s="19"/>
      <c r="MCJ49" s="19"/>
      <c r="MCK49" s="19"/>
      <c r="MCL49" s="19"/>
      <c r="MCM49" s="19"/>
      <c r="MCN49" s="19"/>
      <c r="MCO49" s="19"/>
      <c r="MCP49" s="19"/>
      <c r="MCQ49" s="19"/>
      <c r="MCR49" s="19"/>
      <c r="MCS49" s="19"/>
      <c r="MCT49" s="19"/>
      <c r="MCU49" s="19"/>
      <c r="MCV49" s="19"/>
      <c r="MCW49" s="19"/>
      <c r="MCX49" s="19"/>
      <c r="MCY49" s="19"/>
      <c r="MCZ49" s="19"/>
      <c r="MDA49" s="19"/>
      <c r="MDB49" s="19"/>
      <c r="MDC49" s="19"/>
      <c r="MDD49" s="19"/>
      <c r="MDE49" s="19"/>
      <c r="MDF49" s="19"/>
      <c r="MDG49" s="19"/>
      <c r="MDH49" s="19"/>
      <c r="MDI49" s="19"/>
      <c r="MDJ49" s="19"/>
      <c r="MDK49" s="19"/>
      <c r="MDL49" s="19"/>
      <c r="MDM49" s="19"/>
      <c r="MDN49" s="19"/>
      <c r="MDO49" s="19"/>
      <c r="MDP49" s="19"/>
      <c r="MDQ49" s="19"/>
      <c r="MDR49" s="19"/>
      <c r="MDS49" s="19"/>
      <c r="MDT49" s="19"/>
      <c r="MDU49" s="19"/>
      <c r="MDV49" s="19"/>
      <c r="MDW49" s="19"/>
      <c r="MDX49" s="19"/>
      <c r="MDY49" s="19"/>
      <c r="MDZ49" s="19"/>
      <c r="MEA49" s="19"/>
      <c r="MEB49" s="19"/>
      <c r="MEC49" s="19"/>
      <c r="MED49" s="19"/>
      <c r="MEE49" s="19"/>
      <c r="MEF49" s="19"/>
      <c r="MEG49" s="19"/>
      <c r="MEH49" s="19"/>
      <c r="MEI49" s="19"/>
      <c r="MEJ49" s="19"/>
      <c r="MEK49" s="19"/>
      <c r="MEL49" s="19"/>
      <c r="MEM49" s="19"/>
      <c r="MEN49" s="19"/>
      <c r="MEO49" s="19"/>
      <c r="MEP49" s="19"/>
      <c r="MEQ49" s="19"/>
      <c r="MER49" s="19"/>
      <c r="MES49" s="19"/>
      <c r="MET49" s="19"/>
      <c r="MEU49" s="19"/>
      <c r="MEV49" s="19"/>
      <c r="MEW49" s="19"/>
      <c r="MEX49" s="19"/>
      <c r="MEY49" s="19"/>
      <c r="MEZ49" s="19"/>
      <c r="MFA49" s="19"/>
      <c r="MFB49" s="19"/>
      <c r="MFC49" s="19"/>
      <c r="MFD49" s="19"/>
      <c r="MFE49" s="19"/>
      <c r="MFF49" s="19"/>
      <c r="MFG49" s="19"/>
      <c r="MFH49" s="19"/>
      <c r="MFI49" s="19"/>
      <c r="MFJ49" s="19"/>
      <c r="MFK49" s="19"/>
      <c r="MFL49" s="19"/>
      <c r="MFM49" s="19"/>
      <c r="MFN49" s="19"/>
      <c r="MFO49" s="19"/>
      <c r="MFP49" s="19"/>
      <c r="MFQ49" s="19"/>
      <c r="MFR49" s="19"/>
      <c r="MFS49" s="19"/>
      <c r="MFT49" s="19"/>
      <c r="MFU49" s="19"/>
      <c r="MFV49" s="19"/>
      <c r="MFW49" s="19"/>
      <c r="MFX49" s="19"/>
      <c r="MFY49" s="19"/>
      <c r="MFZ49" s="19"/>
      <c r="MGA49" s="19"/>
      <c r="MGB49" s="19"/>
      <c r="MGC49" s="19"/>
      <c r="MGD49" s="19"/>
      <c r="MGE49" s="19"/>
      <c r="MGF49" s="19"/>
      <c r="MGG49" s="19"/>
      <c r="MGH49" s="19"/>
      <c r="MGI49" s="19"/>
      <c r="MGJ49" s="19"/>
      <c r="MGK49" s="19"/>
      <c r="MGL49" s="19"/>
      <c r="MGM49" s="19"/>
      <c r="MGN49" s="19"/>
      <c r="MGO49" s="19"/>
      <c r="MGP49" s="19"/>
      <c r="MGQ49" s="19"/>
      <c r="MGR49" s="19"/>
      <c r="MGS49" s="19"/>
      <c r="MGT49" s="19"/>
      <c r="MGU49" s="19"/>
      <c r="MGV49" s="19"/>
      <c r="MGW49" s="19"/>
      <c r="MGX49" s="19"/>
      <c r="MGY49" s="19"/>
      <c r="MGZ49" s="19"/>
      <c r="MHA49" s="19"/>
      <c r="MHB49" s="19"/>
      <c r="MHC49" s="19"/>
      <c r="MHD49" s="19"/>
      <c r="MHE49" s="19"/>
      <c r="MHF49" s="19"/>
      <c r="MHG49" s="19"/>
      <c r="MHH49" s="19"/>
      <c r="MHI49" s="19"/>
      <c r="MHJ49" s="19"/>
      <c r="MHK49" s="19"/>
      <c r="MHL49" s="19"/>
      <c r="MHM49" s="19"/>
      <c r="MHN49" s="19"/>
      <c r="MHO49" s="19"/>
      <c r="MHP49" s="19"/>
      <c r="MHQ49" s="19"/>
      <c r="MHR49" s="19"/>
      <c r="MHS49" s="19"/>
      <c r="MHT49" s="19"/>
      <c r="MHU49" s="19"/>
      <c r="MHV49" s="19"/>
      <c r="MHW49" s="19"/>
      <c r="MHX49" s="19"/>
      <c r="MHY49" s="19"/>
      <c r="MHZ49" s="19"/>
      <c r="MIA49" s="19"/>
      <c r="MIB49" s="19"/>
      <c r="MIC49" s="19"/>
      <c r="MID49" s="19"/>
      <c r="MIE49" s="19"/>
      <c r="MIF49" s="19"/>
      <c r="MIG49" s="19"/>
      <c r="MIH49" s="19"/>
      <c r="MII49" s="19"/>
      <c r="MIJ49" s="19"/>
      <c r="MIK49" s="19"/>
      <c r="MIL49" s="19"/>
      <c r="MIM49" s="19"/>
      <c r="MIN49" s="19"/>
      <c r="MIO49" s="19"/>
      <c r="MIP49" s="19"/>
      <c r="MIQ49" s="19"/>
      <c r="MIR49" s="19"/>
      <c r="MIS49" s="19"/>
      <c r="MIT49" s="19"/>
      <c r="MIU49" s="19"/>
      <c r="MIV49" s="19"/>
      <c r="MIW49" s="19"/>
      <c r="MIX49" s="19"/>
      <c r="MIY49" s="19"/>
      <c r="MIZ49" s="19"/>
      <c r="MJA49" s="19"/>
      <c r="MJB49" s="19"/>
      <c r="MJC49" s="19"/>
      <c r="MJD49" s="19"/>
      <c r="MJE49" s="19"/>
      <c r="MJF49" s="19"/>
      <c r="MJG49" s="19"/>
      <c r="MJH49" s="19"/>
      <c r="MJI49" s="19"/>
      <c r="MJJ49" s="19"/>
      <c r="MJK49" s="19"/>
      <c r="MJL49" s="19"/>
      <c r="MJM49" s="19"/>
      <c r="MJN49" s="19"/>
      <c r="MJO49" s="19"/>
      <c r="MJP49" s="19"/>
      <c r="MJQ49" s="19"/>
      <c r="MJR49" s="19"/>
      <c r="MJS49" s="19"/>
      <c r="MJT49" s="19"/>
      <c r="MJU49" s="19"/>
      <c r="MJV49" s="19"/>
      <c r="MJW49" s="19"/>
      <c r="MJX49" s="19"/>
      <c r="MJY49" s="19"/>
      <c r="MJZ49" s="19"/>
      <c r="MKA49" s="19"/>
      <c r="MKB49" s="19"/>
      <c r="MKC49" s="19"/>
      <c r="MKD49" s="19"/>
      <c r="MKE49" s="19"/>
      <c r="MKF49" s="19"/>
      <c r="MKG49" s="19"/>
      <c r="MKH49" s="19"/>
      <c r="MKI49" s="19"/>
      <c r="MKJ49" s="19"/>
      <c r="MKK49" s="19"/>
      <c r="MKL49" s="19"/>
      <c r="MKM49" s="19"/>
      <c r="MKN49" s="19"/>
      <c r="MKO49" s="19"/>
      <c r="MKP49" s="19"/>
      <c r="MKQ49" s="19"/>
      <c r="MKR49" s="19"/>
      <c r="MKS49" s="19"/>
      <c r="MKT49" s="19"/>
      <c r="MKU49" s="19"/>
      <c r="MKV49" s="19"/>
      <c r="MKW49" s="19"/>
      <c r="MKX49" s="19"/>
      <c r="MKY49" s="19"/>
      <c r="MKZ49" s="19"/>
      <c r="MLA49" s="19"/>
      <c r="MLB49" s="19"/>
      <c r="MLC49" s="19"/>
      <c r="MLD49" s="19"/>
      <c r="MLE49" s="19"/>
      <c r="MLF49" s="19"/>
      <c r="MLG49" s="19"/>
      <c r="MLH49" s="19"/>
      <c r="MLI49" s="19"/>
      <c r="MLJ49" s="19"/>
      <c r="MLK49" s="19"/>
      <c r="MLL49" s="19"/>
      <c r="MLM49" s="19"/>
      <c r="MLN49" s="19"/>
      <c r="MLO49" s="19"/>
      <c r="MLP49" s="19"/>
      <c r="MLQ49" s="19"/>
      <c r="MLR49" s="19"/>
      <c r="MLS49" s="19"/>
      <c r="MLT49" s="19"/>
      <c r="MLU49" s="19"/>
      <c r="MLV49" s="19"/>
      <c r="MLW49" s="19"/>
      <c r="MLX49" s="19"/>
      <c r="MLY49" s="19"/>
      <c r="MLZ49" s="19"/>
      <c r="MMA49" s="19"/>
      <c r="MMB49" s="19"/>
      <c r="MMC49" s="19"/>
      <c r="MMD49" s="19"/>
      <c r="MME49" s="19"/>
      <c r="MMF49" s="19"/>
      <c r="MMG49" s="19"/>
      <c r="MMH49" s="19"/>
      <c r="MMI49" s="19"/>
      <c r="MMJ49" s="19"/>
      <c r="MMK49" s="19"/>
      <c r="MML49" s="19"/>
      <c r="MMM49" s="19"/>
      <c r="MMN49" s="19"/>
      <c r="MMO49" s="19"/>
      <c r="MMP49" s="19"/>
      <c r="MMQ49" s="19"/>
      <c r="MMR49" s="19"/>
      <c r="MMS49" s="19"/>
      <c r="MMT49" s="19"/>
      <c r="MMU49" s="19"/>
      <c r="MMV49" s="19"/>
      <c r="MMW49" s="19"/>
      <c r="MMX49" s="19"/>
      <c r="MMY49" s="19"/>
      <c r="MMZ49" s="19"/>
      <c r="MNA49" s="19"/>
      <c r="MNB49" s="19"/>
      <c r="MNC49" s="19"/>
      <c r="MND49" s="19"/>
      <c r="MNE49" s="19"/>
      <c r="MNF49" s="19"/>
      <c r="MNG49" s="19"/>
      <c r="MNH49" s="19"/>
      <c r="MNI49" s="19"/>
      <c r="MNJ49" s="19"/>
      <c r="MNK49" s="19"/>
      <c r="MNL49" s="19"/>
      <c r="MNM49" s="19"/>
      <c r="MNN49" s="19"/>
      <c r="MNO49" s="19"/>
      <c r="MNP49" s="19"/>
      <c r="MNQ49" s="19"/>
      <c r="MNR49" s="19"/>
      <c r="MNS49" s="19"/>
      <c r="MNT49" s="19"/>
      <c r="MNU49" s="19"/>
      <c r="MNV49" s="19"/>
      <c r="MNW49" s="19"/>
      <c r="MNX49" s="19"/>
      <c r="MNY49" s="19"/>
      <c r="MNZ49" s="19"/>
      <c r="MOA49" s="19"/>
      <c r="MOB49" s="19"/>
      <c r="MOC49" s="19"/>
      <c r="MOD49" s="19"/>
      <c r="MOE49" s="19"/>
      <c r="MOF49" s="19"/>
      <c r="MOG49" s="19"/>
      <c r="MOH49" s="19"/>
      <c r="MOI49" s="19"/>
      <c r="MOJ49" s="19"/>
      <c r="MOK49" s="19"/>
      <c r="MOL49" s="19"/>
      <c r="MOM49" s="19"/>
      <c r="MON49" s="19"/>
      <c r="MOO49" s="19"/>
      <c r="MOP49" s="19"/>
      <c r="MOQ49" s="19"/>
      <c r="MOR49" s="19"/>
      <c r="MOS49" s="19"/>
      <c r="MOT49" s="19"/>
      <c r="MOU49" s="19"/>
      <c r="MOV49" s="19"/>
      <c r="MOW49" s="19"/>
      <c r="MOX49" s="19"/>
      <c r="MOY49" s="19"/>
      <c r="MOZ49" s="19"/>
      <c r="MPA49" s="19"/>
      <c r="MPB49" s="19"/>
      <c r="MPC49" s="19"/>
      <c r="MPD49" s="19"/>
      <c r="MPE49" s="19"/>
      <c r="MPF49" s="19"/>
      <c r="MPG49" s="19"/>
      <c r="MPH49" s="19"/>
      <c r="MPI49" s="19"/>
      <c r="MPJ49" s="19"/>
      <c r="MPK49" s="19"/>
      <c r="MPL49" s="19"/>
      <c r="MPM49" s="19"/>
      <c r="MPN49" s="19"/>
      <c r="MPO49" s="19"/>
      <c r="MPP49" s="19"/>
      <c r="MPQ49" s="19"/>
      <c r="MPR49" s="19"/>
      <c r="MPS49" s="19"/>
      <c r="MPT49" s="19"/>
      <c r="MPU49" s="19"/>
      <c r="MPV49" s="19"/>
      <c r="MPW49" s="19"/>
      <c r="MPX49" s="19"/>
      <c r="MPY49" s="19"/>
      <c r="MPZ49" s="19"/>
      <c r="MQA49" s="19"/>
      <c r="MQB49" s="19"/>
      <c r="MQC49" s="19"/>
      <c r="MQD49" s="19"/>
      <c r="MQE49" s="19"/>
      <c r="MQF49" s="19"/>
      <c r="MQG49" s="19"/>
      <c r="MQH49" s="19"/>
      <c r="MQI49" s="19"/>
      <c r="MQJ49" s="19"/>
      <c r="MQK49" s="19"/>
      <c r="MQL49" s="19"/>
      <c r="MQM49" s="19"/>
      <c r="MQN49" s="19"/>
      <c r="MQO49" s="19"/>
      <c r="MQP49" s="19"/>
      <c r="MQQ49" s="19"/>
      <c r="MQR49" s="19"/>
      <c r="MQS49" s="19"/>
      <c r="MQT49" s="19"/>
      <c r="MQU49" s="19"/>
      <c r="MQV49" s="19"/>
      <c r="MQW49" s="19"/>
      <c r="MQX49" s="19"/>
      <c r="MQY49" s="19"/>
      <c r="MQZ49" s="19"/>
      <c r="MRA49" s="19"/>
      <c r="MRB49" s="19"/>
      <c r="MRC49" s="19"/>
      <c r="MRD49" s="19"/>
      <c r="MRE49" s="19"/>
      <c r="MRF49" s="19"/>
      <c r="MRG49" s="19"/>
      <c r="MRH49" s="19"/>
      <c r="MRI49" s="19"/>
      <c r="MRJ49" s="19"/>
      <c r="MRK49" s="19"/>
      <c r="MRL49" s="19"/>
      <c r="MRM49" s="19"/>
      <c r="MRN49" s="19"/>
      <c r="MRO49" s="19"/>
      <c r="MRP49" s="19"/>
      <c r="MRQ49" s="19"/>
      <c r="MRR49" s="19"/>
      <c r="MRS49" s="19"/>
      <c r="MRT49" s="19"/>
      <c r="MRU49" s="19"/>
      <c r="MRV49" s="19"/>
      <c r="MRW49" s="19"/>
      <c r="MRX49" s="19"/>
      <c r="MRY49" s="19"/>
      <c r="MRZ49" s="19"/>
      <c r="MSA49" s="19"/>
      <c r="MSB49" s="19"/>
      <c r="MSC49" s="19"/>
      <c r="MSD49" s="19"/>
      <c r="MSE49" s="19"/>
      <c r="MSF49" s="19"/>
      <c r="MSG49" s="19"/>
      <c r="MSH49" s="19"/>
      <c r="MSI49" s="19"/>
      <c r="MSJ49" s="19"/>
      <c r="MSK49" s="19"/>
      <c r="MSL49" s="19"/>
      <c r="MSM49" s="19"/>
      <c r="MSN49" s="19"/>
      <c r="MSO49" s="19"/>
      <c r="MSP49" s="19"/>
      <c r="MSQ49" s="19"/>
      <c r="MSR49" s="19"/>
      <c r="MSS49" s="19"/>
      <c r="MST49" s="19"/>
      <c r="MSU49" s="19"/>
      <c r="MSV49" s="19"/>
      <c r="MSW49" s="19"/>
      <c r="MSX49" s="19"/>
      <c r="MSY49" s="19"/>
      <c r="MSZ49" s="19"/>
      <c r="MTA49" s="19"/>
      <c r="MTB49" s="19"/>
      <c r="MTC49" s="19"/>
      <c r="MTD49" s="19"/>
      <c r="MTE49" s="19"/>
      <c r="MTF49" s="19"/>
      <c r="MTG49" s="19"/>
      <c r="MTH49" s="19"/>
      <c r="MTI49" s="19"/>
      <c r="MTJ49" s="19"/>
      <c r="MTK49" s="19"/>
      <c r="MTL49" s="19"/>
      <c r="MTM49" s="19"/>
      <c r="MTN49" s="19"/>
      <c r="MTO49" s="19"/>
      <c r="MTP49" s="19"/>
      <c r="MTQ49" s="19"/>
      <c r="MTR49" s="19"/>
      <c r="MTS49" s="19"/>
      <c r="MTT49" s="19"/>
      <c r="MTU49" s="19"/>
      <c r="MTV49" s="19"/>
      <c r="MTW49" s="19"/>
      <c r="MTX49" s="19"/>
      <c r="MTY49" s="19"/>
      <c r="MTZ49" s="19"/>
      <c r="MUA49" s="19"/>
      <c r="MUB49" s="19"/>
      <c r="MUC49" s="19"/>
      <c r="MUD49" s="19"/>
      <c r="MUE49" s="19"/>
      <c r="MUF49" s="19"/>
      <c r="MUG49" s="19"/>
      <c r="MUH49" s="19"/>
      <c r="MUI49" s="19"/>
      <c r="MUJ49" s="19"/>
      <c r="MUK49" s="19"/>
      <c r="MUL49" s="19"/>
      <c r="MUM49" s="19"/>
      <c r="MUN49" s="19"/>
      <c r="MUO49" s="19"/>
      <c r="MUP49" s="19"/>
      <c r="MUQ49" s="19"/>
      <c r="MUR49" s="19"/>
      <c r="MUS49" s="19"/>
      <c r="MUT49" s="19"/>
      <c r="MUU49" s="19"/>
      <c r="MUV49" s="19"/>
      <c r="MUW49" s="19"/>
      <c r="MUX49" s="19"/>
      <c r="MUY49" s="19"/>
      <c r="MUZ49" s="19"/>
      <c r="MVA49" s="19"/>
      <c r="MVB49" s="19"/>
      <c r="MVC49" s="19"/>
      <c r="MVD49" s="19"/>
      <c r="MVE49" s="19"/>
      <c r="MVF49" s="19"/>
      <c r="MVG49" s="19"/>
      <c r="MVH49" s="19"/>
      <c r="MVI49" s="19"/>
      <c r="MVJ49" s="19"/>
      <c r="MVK49" s="19"/>
      <c r="MVL49" s="19"/>
      <c r="MVM49" s="19"/>
      <c r="MVN49" s="19"/>
      <c r="MVO49" s="19"/>
      <c r="MVP49" s="19"/>
      <c r="MVQ49" s="19"/>
      <c r="MVR49" s="19"/>
      <c r="MVS49" s="19"/>
      <c r="MVT49" s="19"/>
      <c r="MVU49" s="19"/>
      <c r="MVV49" s="19"/>
      <c r="MVW49" s="19"/>
      <c r="MVX49" s="19"/>
      <c r="MVY49" s="19"/>
      <c r="MVZ49" s="19"/>
      <c r="MWA49" s="19"/>
      <c r="MWB49" s="19"/>
      <c r="MWC49" s="19"/>
      <c r="MWD49" s="19"/>
      <c r="MWE49" s="19"/>
      <c r="MWF49" s="19"/>
      <c r="MWG49" s="19"/>
      <c r="MWH49" s="19"/>
      <c r="MWI49" s="19"/>
      <c r="MWJ49" s="19"/>
      <c r="MWK49" s="19"/>
      <c r="MWL49" s="19"/>
      <c r="MWM49" s="19"/>
      <c r="MWN49" s="19"/>
      <c r="MWO49" s="19"/>
      <c r="MWP49" s="19"/>
      <c r="MWQ49" s="19"/>
      <c r="MWR49" s="19"/>
      <c r="MWS49" s="19"/>
      <c r="MWT49" s="19"/>
      <c r="MWU49" s="19"/>
      <c r="MWV49" s="19"/>
      <c r="MWW49" s="19"/>
      <c r="MWX49" s="19"/>
      <c r="MWY49" s="19"/>
      <c r="MWZ49" s="19"/>
      <c r="MXA49" s="19"/>
      <c r="MXB49" s="19"/>
      <c r="MXC49" s="19"/>
      <c r="MXD49" s="19"/>
      <c r="MXE49" s="19"/>
      <c r="MXF49" s="19"/>
      <c r="MXG49" s="19"/>
      <c r="MXH49" s="19"/>
      <c r="MXI49" s="19"/>
      <c r="MXJ49" s="19"/>
      <c r="MXK49" s="19"/>
      <c r="MXL49" s="19"/>
      <c r="MXM49" s="19"/>
      <c r="MXN49" s="19"/>
      <c r="MXO49" s="19"/>
      <c r="MXP49" s="19"/>
      <c r="MXQ49" s="19"/>
      <c r="MXR49" s="19"/>
      <c r="MXS49" s="19"/>
      <c r="MXT49" s="19"/>
      <c r="MXU49" s="19"/>
      <c r="MXV49" s="19"/>
      <c r="MXW49" s="19"/>
      <c r="MXX49" s="19"/>
      <c r="MXY49" s="19"/>
      <c r="MXZ49" s="19"/>
      <c r="MYA49" s="19"/>
      <c r="MYB49" s="19"/>
      <c r="MYC49" s="19"/>
      <c r="MYD49" s="19"/>
      <c r="MYE49" s="19"/>
      <c r="MYF49" s="19"/>
      <c r="MYG49" s="19"/>
      <c r="MYH49" s="19"/>
      <c r="MYI49" s="19"/>
      <c r="MYJ49" s="19"/>
      <c r="MYK49" s="19"/>
      <c r="MYL49" s="19"/>
      <c r="MYM49" s="19"/>
      <c r="MYN49" s="19"/>
      <c r="MYO49" s="19"/>
      <c r="MYP49" s="19"/>
      <c r="MYQ49" s="19"/>
      <c r="MYR49" s="19"/>
      <c r="MYS49" s="19"/>
      <c r="MYT49" s="19"/>
      <c r="MYU49" s="19"/>
      <c r="MYV49" s="19"/>
      <c r="MYW49" s="19"/>
      <c r="MYX49" s="19"/>
      <c r="MYY49" s="19"/>
      <c r="MYZ49" s="19"/>
      <c r="MZA49" s="19"/>
      <c r="MZB49" s="19"/>
      <c r="MZC49" s="19"/>
      <c r="MZD49" s="19"/>
      <c r="MZE49" s="19"/>
      <c r="MZF49" s="19"/>
      <c r="MZG49" s="19"/>
      <c r="MZH49" s="19"/>
      <c r="MZI49" s="19"/>
      <c r="MZJ49" s="19"/>
      <c r="MZK49" s="19"/>
      <c r="MZL49" s="19"/>
      <c r="MZM49" s="19"/>
      <c r="MZN49" s="19"/>
      <c r="MZO49" s="19"/>
      <c r="MZP49" s="19"/>
      <c r="MZQ49" s="19"/>
      <c r="MZR49" s="19"/>
      <c r="MZS49" s="19"/>
      <c r="MZT49" s="19"/>
      <c r="MZU49" s="19"/>
      <c r="MZV49" s="19"/>
      <c r="MZW49" s="19"/>
      <c r="MZX49" s="19"/>
      <c r="MZY49" s="19"/>
      <c r="MZZ49" s="19"/>
      <c r="NAA49" s="19"/>
      <c r="NAB49" s="19"/>
      <c r="NAC49" s="19"/>
      <c r="NAD49" s="19"/>
      <c r="NAE49" s="19"/>
      <c r="NAF49" s="19"/>
      <c r="NAG49" s="19"/>
      <c r="NAH49" s="19"/>
      <c r="NAI49" s="19"/>
      <c r="NAJ49" s="19"/>
      <c r="NAK49" s="19"/>
      <c r="NAL49" s="19"/>
      <c r="NAM49" s="19"/>
      <c r="NAN49" s="19"/>
      <c r="NAO49" s="19"/>
      <c r="NAP49" s="19"/>
      <c r="NAQ49" s="19"/>
      <c r="NAR49" s="19"/>
      <c r="NAS49" s="19"/>
      <c r="NAT49" s="19"/>
      <c r="NAU49" s="19"/>
      <c r="NAV49" s="19"/>
      <c r="NAW49" s="19"/>
      <c r="NAX49" s="19"/>
      <c r="NAY49" s="19"/>
      <c r="NAZ49" s="19"/>
      <c r="NBA49" s="19"/>
      <c r="NBB49" s="19"/>
      <c r="NBC49" s="19"/>
      <c r="NBD49" s="19"/>
      <c r="NBE49" s="19"/>
      <c r="NBF49" s="19"/>
      <c r="NBG49" s="19"/>
      <c r="NBH49" s="19"/>
      <c r="NBI49" s="19"/>
      <c r="NBJ49" s="19"/>
      <c r="NBK49" s="19"/>
      <c r="NBL49" s="19"/>
      <c r="NBM49" s="19"/>
      <c r="NBN49" s="19"/>
      <c r="NBO49" s="19"/>
      <c r="NBP49" s="19"/>
      <c r="NBQ49" s="19"/>
      <c r="NBR49" s="19"/>
      <c r="NBS49" s="19"/>
      <c r="NBT49" s="19"/>
      <c r="NBU49" s="19"/>
      <c r="NBV49" s="19"/>
      <c r="NBW49" s="19"/>
      <c r="NBX49" s="19"/>
      <c r="NBY49" s="19"/>
      <c r="NBZ49" s="19"/>
      <c r="NCA49" s="19"/>
      <c r="NCB49" s="19"/>
      <c r="NCC49" s="19"/>
      <c r="NCD49" s="19"/>
      <c r="NCE49" s="19"/>
      <c r="NCF49" s="19"/>
      <c r="NCG49" s="19"/>
      <c r="NCH49" s="19"/>
      <c r="NCI49" s="19"/>
      <c r="NCJ49" s="19"/>
      <c r="NCK49" s="19"/>
      <c r="NCL49" s="19"/>
      <c r="NCM49" s="19"/>
      <c r="NCN49" s="19"/>
      <c r="NCO49" s="19"/>
      <c r="NCP49" s="19"/>
      <c r="NCQ49" s="19"/>
      <c r="NCR49" s="19"/>
      <c r="NCS49" s="19"/>
      <c r="NCT49" s="19"/>
      <c r="NCU49" s="19"/>
      <c r="NCV49" s="19"/>
      <c r="NCW49" s="19"/>
      <c r="NCX49" s="19"/>
      <c r="NCY49" s="19"/>
      <c r="NCZ49" s="19"/>
      <c r="NDA49" s="19"/>
      <c r="NDB49" s="19"/>
      <c r="NDC49" s="19"/>
      <c r="NDD49" s="19"/>
      <c r="NDE49" s="19"/>
      <c r="NDF49" s="19"/>
      <c r="NDG49" s="19"/>
      <c r="NDH49" s="19"/>
      <c r="NDI49" s="19"/>
      <c r="NDJ49" s="19"/>
      <c r="NDK49" s="19"/>
      <c r="NDL49" s="19"/>
      <c r="NDM49" s="19"/>
      <c r="NDN49" s="19"/>
      <c r="NDO49" s="19"/>
      <c r="NDP49" s="19"/>
      <c r="NDQ49" s="19"/>
      <c r="NDR49" s="19"/>
      <c r="NDS49" s="19"/>
      <c r="NDT49" s="19"/>
      <c r="NDU49" s="19"/>
      <c r="NDV49" s="19"/>
      <c r="NDW49" s="19"/>
      <c r="NDX49" s="19"/>
      <c r="NDY49" s="19"/>
      <c r="NDZ49" s="19"/>
      <c r="NEA49" s="19"/>
      <c r="NEB49" s="19"/>
      <c r="NEC49" s="19"/>
      <c r="NED49" s="19"/>
      <c r="NEE49" s="19"/>
      <c r="NEF49" s="19"/>
      <c r="NEG49" s="19"/>
      <c r="NEH49" s="19"/>
      <c r="NEI49" s="19"/>
      <c r="NEJ49" s="19"/>
      <c r="NEK49" s="19"/>
      <c r="NEL49" s="19"/>
      <c r="NEM49" s="19"/>
      <c r="NEN49" s="19"/>
      <c r="NEO49" s="19"/>
      <c r="NEP49" s="19"/>
      <c r="NEQ49" s="19"/>
      <c r="NER49" s="19"/>
      <c r="NES49" s="19"/>
      <c r="NET49" s="19"/>
      <c r="NEU49" s="19"/>
      <c r="NEV49" s="19"/>
      <c r="NEW49" s="19"/>
      <c r="NEX49" s="19"/>
      <c r="NEY49" s="19"/>
      <c r="NEZ49" s="19"/>
      <c r="NFA49" s="19"/>
      <c r="NFB49" s="19"/>
      <c r="NFC49" s="19"/>
      <c r="NFD49" s="19"/>
      <c r="NFE49" s="19"/>
      <c r="NFF49" s="19"/>
      <c r="NFG49" s="19"/>
      <c r="NFH49" s="19"/>
      <c r="NFI49" s="19"/>
      <c r="NFJ49" s="19"/>
      <c r="NFK49" s="19"/>
      <c r="NFL49" s="19"/>
      <c r="NFM49" s="19"/>
      <c r="NFN49" s="19"/>
      <c r="NFO49" s="19"/>
      <c r="NFP49" s="19"/>
      <c r="NFQ49" s="19"/>
      <c r="NFR49" s="19"/>
      <c r="NFS49" s="19"/>
      <c r="NFT49" s="19"/>
      <c r="NFU49" s="19"/>
      <c r="NFV49" s="19"/>
      <c r="NFW49" s="19"/>
      <c r="NFX49" s="19"/>
      <c r="NFY49" s="19"/>
      <c r="NFZ49" s="19"/>
      <c r="NGA49" s="19"/>
      <c r="NGB49" s="19"/>
      <c r="NGC49" s="19"/>
      <c r="NGD49" s="19"/>
      <c r="NGE49" s="19"/>
      <c r="NGF49" s="19"/>
      <c r="NGG49" s="19"/>
      <c r="NGH49" s="19"/>
      <c r="NGI49" s="19"/>
      <c r="NGJ49" s="19"/>
      <c r="NGK49" s="19"/>
      <c r="NGL49" s="19"/>
      <c r="NGM49" s="19"/>
      <c r="NGN49" s="19"/>
      <c r="NGO49" s="19"/>
      <c r="NGP49" s="19"/>
      <c r="NGQ49" s="19"/>
      <c r="NGR49" s="19"/>
      <c r="NGS49" s="19"/>
      <c r="NGT49" s="19"/>
      <c r="NGU49" s="19"/>
      <c r="NGV49" s="19"/>
      <c r="NGW49" s="19"/>
      <c r="NGX49" s="19"/>
      <c r="NGY49" s="19"/>
      <c r="NGZ49" s="19"/>
      <c r="NHA49" s="19"/>
      <c r="NHB49" s="19"/>
      <c r="NHC49" s="19"/>
      <c r="NHD49" s="19"/>
      <c r="NHE49" s="19"/>
      <c r="NHF49" s="19"/>
      <c r="NHG49" s="19"/>
      <c r="NHH49" s="19"/>
      <c r="NHI49" s="19"/>
      <c r="NHJ49" s="19"/>
      <c r="NHK49" s="19"/>
      <c r="NHL49" s="19"/>
      <c r="NHM49" s="19"/>
      <c r="NHN49" s="19"/>
      <c r="NHO49" s="19"/>
      <c r="NHP49" s="19"/>
      <c r="NHQ49" s="19"/>
      <c r="NHR49" s="19"/>
      <c r="NHS49" s="19"/>
      <c r="NHT49" s="19"/>
      <c r="NHU49" s="19"/>
      <c r="NHV49" s="19"/>
      <c r="NHW49" s="19"/>
      <c r="NHX49" s="19"/>
      <c r="NHY49" s="19"/>
      <c r="NHZ49" s="19"/>
      <c r="NIA49" s="19"/>
      <c r="NIB49" s="19"/>
      <c r="NIC49" s="19"/>
      <c r="NID49" s="19"/>
      <c r="NIE49" s="19"/>
      <c r="NIF49" s="19"/>
      <c r="NIG49" s="19"/>
      <c r="NIH49" s="19"/>
      <c r="NII49" s="19"/>
      <c r="NIJ49" s="19"/>
      <c r="NIK49" s="19"/>
      <c r="NIL49" s="19"/>
      <c r="NIM49" s="19"/>
      <c r="NIN49" s="19"/>
      <c r="NIO49" s="19"/>
      <c r="NIP49" s="19"/>
      <c r="NIQ49" s="19"/>
      <c r="NIR49" s="19"/>
      <c r="NIS49" s="19"/>
      <c r="NIT49" s="19"/>
      <c r="NIU49" s="19"/>
      <c r="NIV49" s="19"/>
      <c r="NIW49" s="19"/>
      <c r="NIX49" s="19"/>
      <c r="NIY49" s="19"/>
      <c r="NIZ49" s="19"/>
      <c r="NJA49" s="19"/>
      <c r="NJB49" s="19"/>
      <c r="NJC49" s="19"/>
      <c r="NJD49" s="19"/>
      <c r="NJE49" s="19"/>
      <c r="NJF49" s="19"/>
      <c r="NJG49" s="19"/>
      <c r="NJH49" s="19"/>
      <c r="NJI49" s="19"/>
      <c r="NJJ49" s="19"/>
      <c r="NJK49" s="19"/>
      <c r="NJL49" s="19"/>
      <c r="NJM49" s="19"/>
      <c r="NJN49" s="19"/>
      <c r="NJO49" s="19"/>
      <c r="NJP49" s="19"/>
      <c r="NJQ49" s="19"/>
      <c r="NJR49" s="19"/>
      <c r="NJS49" s="19"/>
      <c r="NJT49" s="19"/>
      <c r="NJU49" s="19"/>
      <c r="NJV49" s="19"/>
      <c r="NJW49" s="19"/>
      <c r="NJX49" s="19"/>
      <c r="NJY49" s="19"/>
      <c r="NJZ49" s="19"/>
      <c r="NKA49" s="19"/>
      <c r="NKB49" s="19"/>
      <c r="NKC49" s="19"/>
      <c r="NKD49" s="19"/>
      <c r="NKE49" s="19"/>
      <c r="NKF49" s="19"/>
      <c r="NKG49" s="19"/>
      <c r="NKH49" s="19"/>
      <c r="NKI49" s="19"/>
      <c r="NKJ49" s="19"/>
      <c r="NKK49" s="19"/>
      <c r="NKL49" s="19"/>
      <c r="NKM49" s="19"/>
      <c r="NKN49" s="19"/>
      <c r="NKO49" s="19"/>
      <c r="NKP49" s="19"/>
      <c r="NKQ49" s="19"/>
      <c r="NKR49" s="19"/>
      <c r="NKS49" s="19"/>
      <c r="NKT49" s="19"/>
      <c r="NKU49" s="19"/>
      <c r="NKV49" s="19"/>
      <c r="NKW49" s="19"/>
      <c r="NKX49" s="19"/>
      <c r="NKY49" s="19"/>
      <c r="NKZ49" s="19"/>
      <c r="NLA49" s="19"/>
      <c r="NLB49" s="19"/>
      <c r="NLC49" s="19"/>
      <c r="NLD49" s="19"/>
      <c r="NLE49" s="19"/>
      <c r="NLF49" s="19"/>
      <c r="NLG49" s="19"/>
      <c r="NLH49" s="19"/>
      <c r="NLI49" s="19"/>
      <c r="NLJ49" s="19"/>
      <c r="NLK49" s="19"/>
      <c r="NLL49" s="19"/>
      <c r="NLM49" s="19"/>
      <c r="NLN49" s="19"/>
      <c r="NLO49" s="19"/>
      <c r="NLP49" s="19"/>
      <c r="NLQ49" s="19"/>
      <c r="NLR49" s="19"/>
      <c r="NLS49" s="19"/>
      <c r="NLT49" s="19"/>
      <c r="NLU49" s="19"/>
      <c r="NLV49" s="19"/>
      <c r="NLW49" s="19"/>
      <c r="NLX49" s="19"/>
      <c r="NLY49" s="19"/>
      <c r="NLZ49" s="19"/>
      <c r="NMA49" s="19"/>
      <c r="NMB49" s="19"/>
      <c r="NMC49" s="19"/>
      <c r="NMD49" s="19"/>
      <c r="NME49" s="19"/>
      <c r="NMF49" s="19"/>
      <c r="NMG49" s="19"/>
      <c r="NMH49" s="19"/>
      <c r="NMI49" s="19"/>
      <c r="NMJ49" s="19"/>
      <c r="NMK49" s="19"/>
      <c r="NML49" s="19"/>
      <c r="NMM49" s="19"/>
      <c r="NMN49" s="19"/>
      <c r="NMO49" s="19"/>
      <c r="NMP49" s="19"/>
      <c r="NMQ49" s="19"/>
      <c r="NMR49" s="19"/>
      <c r="NMS49" s="19"/>
      <c r="NMT49" s="19"/>
      <c r="NMU49" s="19"/>
      <c r="NMV49" s="19"/>
      <c r="NMW49" s="19"/>
      <c r="NMX49" s="19"/>
      <c r="NMY49" s="19"/>
      <c r="NMZ49" s="19"/>
      <c r="NNA49" s="19"/>
      <c r="NNB49" s="19"/>
      <c r="NNC49" s="19"/>
      <c r="NND49" s="19"/>
      <c r="NNE49" s="19"/>
      <c r="NNF49" s="19"/>
      <c r="NNG49" s="19"/>
      <c r="NNH49" s="19"/>
      <c r="NNI49" s="19"/>
      <c r="NNJ49" s="19"/>
      <c r="NNK49" s="19"/>
      <c r="NNL49" s="19"/>
      <c r="NNM49" s="19"/>
      <c r="NNN49" s="19"/>
      <c r="NNO49" s="19"/>
      <c r="NNP49" s="19"/>
      <c r="NNQ49" s="19"/>
      <c r="NNR49" s="19"/>
      <c r="NNS49" s="19"/>
      <c r="NNT49" s="19"/>
      <c r="NNU49" s="19"/>
      <c r="NNV49" s="19"/>
      <c r="NNW49" s="19"/>
      <c r="NNX49" s="19"/>
      <c r="NNY49" s="19"/>
      <c r="NNZ49" s="19"/>
      <c r="NOA49" s="19"/>
      <c r="NOB49" s="19"/>
      <c r="NOC49" s="19"/>
      <c r="NOD49" s="19"/>
      <c r="NOE49" s="19"/>
      <c r="NOF49" s="19"/>
      <c r="NOG49" s="19"/>
      <c r="NOH49" s="19"/>
      <c r="NOI49" s="19"/>
      <c r="NOJ49" s="19"/>
      <c r="NOK49" s="19"/>
      <c r="NOL49" s="19"/>
      <c r="NOM49" s="19"/>
      <c r="NON49" s="19"/>
      <c r="NOO49" s="19"/>
      <c r="NOP49" s="19"/>
      <c r="NOQ49" s="19"/>
      <c r="NOR49" s="19"/>
      <c r="NOS49" s="19"/>
      <c r="NOT49" s="19"/>
      <c r="NOU49" s="19"/>
      <c r="NOV49" s="19"/>
      <c r="NOW49" s="19"/>
      <c r="NOX49" s="19"/>
      <c r="NOY49" s="19"/>
      <c r="NOZ49" s="19"/>
      <c r="NPA49" s="19"/>
      <c r="NPB49" s="19"/>
      <c r="NPC49" s="19"/>
      <c r="NPD49" s="19"/>
      <c r="NPE49" s="19"/>
      <c r="NPF49" s="19"/>
      <c r="NPG49" s="19"/>
      <c r="NPH49" s="19"/>
      <c r="NPI49" s="19"/>
      <c r="NPJ49" s="19"/>
      <c r="NPK49" s="19"/>
      <c r="NPL49" s="19"/>
      <c r="NPM49" s="19"/>
      <c r="NPN49" s="19"/>
      <c r="NPO49" s="19"/>
      <c r="NPP49" s="19"/>
      <c r="NPQ49" s="19"/>
      <c r="NPR49" s="19"/>
      <c r="NPS49" s="19"/>
      <c r="NPT49" s="19"/>
      <c r="NPU49" s="19"/>
      <c r="NPV49" s="19"/>
      <c r="NPW49" s="19"/>
      <c r="NPX49" s="19"/>
      <c r="NPY49" s="19"/>
      <c r="NPZ49" s="19"/>
      <c r="NQA49" s="19"/>
      <c r="NQB49" s="19"/>
      <c r="NQC49" s="19"/>
      <c r="NQD49" s="19"/>
      <c r="NQE49" s="19"/>
      <c r="NQF49" s="19"/>
      <c r="NQG49" s="19"/>
      <c r="NQH49" s="19"/>
      <c r="NQI49" s="19"/>
      <c r="NQJ49" s="19"/>
      <c r="NQK49" s="19"/>
      <c r="NQL49" s="19"/>
      <c r="NQM49" s="19"/>
      <c r="NQN49" s="19"/>
      <c r="NQO49" s="19"/>
      <c r="NQP49" s="19"/>
      <c r="NQQ49" s="19"/>
      <c r="NQR49" s="19"/>
      <c r="NQS49" s="19"/>
      <c r="NQT49" s="19"/>
      <c r="NQU49" s="19"/>
      <c r="NQV49" s="19"/>
      <c r="NQW49" s="19"/>
      <c r="NQX49" s="19"/>
      <c r="NQY49" s="19"/>
      <c r="NQZ49" s="19"/>
      <c r="NRA49" s="19"/>
      <c r="NRB49" s="19"/>
      <c r="NRC49" s="19"/>
      <c r="NRD49" s="19"/>
      <c r="NRE49" s="19"/>
      <c r="NRF49" s="19"/>
      <c r="NRG49" s="19"/>
      <c r="NRH49" s="19"/>
      <c r="NRI49" s="19"/>
      <c r="NRJ49" s="19"/>
      <c r="NRK49" s="19"/>
      <c r="NRL49" s="19"/>
      <c r="NRM49" s="19"/>
      <c r="NRN49" s="19"/>
      <c r="NRO49" s="19"/>
      <c r="NRP49" s="19"/>
      <c r="NRQ49" s="19"/>
      <c r="NRR49" s="19"/>
      <c r="NRS49" s="19"/>
      <c r="NRT49" s="19"/>
      <c r="NRU49" s="19"/>
      <c r="NRV49" s="19"/>
      <c r="NRW49" s="19"/>
      <c r="NRX49" s="19"/>
      <c r="NRY49" s="19"/>
      <c r="NRZ49" s="19"/>
      <c r="NSA49" s="19"/>
      <c r="NSB49" s="19"/>
      <c r="NSC49" s="19"/>
      <c r="NSD49" s="19"/>
      <c r="NSE49" s="19"/>
      <c r="NSF49" s="19"/>
      <c r="NSG49" s="19"/>
      <c r="NSH49" s="19"/>
      <c r="NSI49" s="19"/>
      <c r="NSJ49" s="19"/>
      <c r="NSK49" s="19"/>
      <c r="NSL49" s="19"/>
      <c r="NSM49" s="19"/>
      <c r="NSN49" s="19"/>
      <c r="NSO49" s="19"/>
      <c r="NSP49" s="19"/>
      <c r="NSQ49" s="19"/>
      <c r="NSR49" s="19"/>
      <c r="NSS49" s="19"/>
      <c r="NST49" s="19"/>
      <c r="NSU49" s="19"/>
      <c r="NSV49" s="19"/>
      <c r="NSW49" s="19"/>
      <c r="NSX49" s="19"/>
      <c r="NSY49" s="19"/>
      <c r="NSZ49" s="19"/>
      <c r="NTA49" s="19"/>
      <c r="NTB49" s="19"/>
      <c r="NTC49" s="19"/>
      <c r="NTD49" s="19"/>
      <c r="NTE49" s="19"/>
      <c r="NTF49" s="19"/>
      <c r="NTG49" s="19"/>
      <c r="NTH49" s="19"/>
      <c r="NTI49" s="19"/>
      <c r="NTJ49" s="19"/>
      <c r="NTK49" s="19"/>
      <c r="NTL49" s="19"/>
      <c r="NTM49" s="19"/>
      <c r="NTN49" s="19"/>
      <c r="NTO49" s="19"/>
      <c r="NTP49" s="19"/>
      <c r="NTQ49" s="19"/>
      <c r="NTR49" s="19"/>
      <c r="NTS49" s="19"/>
      <c r="NTT49" s="19"/>
      <c r="NTU49" s="19"/>
      <c r="NTV49" s="19"/>
      <c r="NTW49" s="19"/>
      <c r="NTX49" s="19"/>
      <c r="NTY49" s="19"/>
      <c r="NTZ49" s="19"/>
      <c r="NUA49" s="19"/>
      <c r="NUB49" s="19"/>
      <c r="NUC49" s="19"/>
      <c r="NUD49" s="19"/>
      <c r="NUE49" s="19"/>
      <c r="NUF49" s="19"/>
      <c r="NUG49" s="19"/>
      <c r="NUH49" s="19"/>
      <c r="NUI49" s="19"/>
      <c r="NUJ49" s="19"/>
      <c r="NUK49" s="19"/>
      <c r="NUL49" s="19"/>
      <c r="NUM49" s="19"/>
      <c r="NUN49" s="19"/>
      <c r="NUO49" s="19"/>
      <c r="NUP49" s="19"/>
      <c r="NUQ49" s="19"/>
      <c r="NUR49" s="19"/>
      <c r="NUS49" s="19"/>
      <c r="NUT49" s="19"/>
      <c r="NUU49" s="19"/>
      <c r="NUV49" s="19"/>
      <c r="NUW49" s="19"/>
      <c r="NUX49" s="19"/>
      <c r="NUY49" s="19"/>
      <c r="NUZ49" s="19"/>
      <c r="NVA49" s="19"/>
      <c r="NVB49" s="19"/>
      <c r="NVC49" s="19"/>
      <c r="NVD49" s="19"/>
      <c r="NVE49" s="19"/>
      <c r="NVF49" s="19"/>
      <c r="NVG49" s="19"/>
      <c r="NVH49" s="19"/>
      <c r="NVI49" s="19"/>
      <c r="NVJ49" s="19"/>
      <c r="NVK49" s="19"/>
      <c r="NVL49" s="19"/>
      <c r="NVM49" s="19"/>
      <c r="NVN49" s="19"/>
      <c r="NVO49" s="19"/>
      <c r="NVP49" s="19"/>
      <c r="NVQ49" s="19"/>
      <c r="NVR49" s="19"/>
      <c r="NVS49" s="19"/>
      <c r="NVT49" s="19"/>
      <c r="NVU49" s="19"/>
      <c r="NVV49" s="19"/>
      <c r="NVW49" s="19"/>
      <c r="NVX49" s="19"/>
      <c r="NVY49" s="19"/>
      <c r="NVZ49" s="19"/>
      <c r="NWA49" s="19"/>
      <c r="NWB49" s="19"/>
      <c r="NWC49" s="19"/>
      <c r="NWD49" s="19"/>
      <c r="NWE49" s="19"/>
      <c r="NWF49" s="19"/>
      <c r="NWG49" s="19"/>
      <c r="NWH49" s="19"/>
      <c r="NWI49" s="19"/>
      <c r="NWJ49" s="19"/>
      <c r="NWK49" s="19"/>
      <c r="NWL49" s="19"/>
      <c r="NWM49" s="19"/>
      <c r="NWN49" s="19"/>
      <c r="NWO49" s="19"/>
      <c r="NWP49" s="19"/>
      <c r="NWQ49" s="19"/>
      <c r="NWR49" s="19"/>
      <c r="NWS49" s="19"/>
      <c r="NWT49" s="19"/>
      <c r="NWU49" s="19"/>
      <c r="NWV49" s="19"/>
      <c r="NWW49" s="19"/>
      <c r="NWX49" s="19"/>
      <c r="NWY49" s="19"/>
      <c r="NWZ49" s="19"/>
      <c r="NXA49" s="19"/>
      <c r="NXB49" s="19"/>
      <c r="NXC49" s="19"/>
      <c r="NXD49" s="19"/>
      <c r="NXE49" s="19"/>
      <c r="NXF49" s="19"/>
      <c r="NXG49" s="19"/>
      <c r="NXH49" s="19"/>
      <c r="NXI49" s="19"/>
      <c r="NXJ49" s="19"/>
      <c r="NXK49" s="19"/>
      <c r="NXL49" s="19"/>
      <c r="NXM49" s="19"/>
      <c r="NXN49" s="19"/>
      <c r="NXO49" s="19"/>
      <c r="NXP49" s="19"/>
      <c r="NXQ49" s="19"/>
      <c r="NXR49" s="19"/>
      <c r="NXS49" s="19"/>
      <c r="NXT49" s="19"/>
      <c r="NXU49" s="19"/>
      <c r="NXV49" s="19"/>
      <c r="NXW49" s="19"/>
      <c r="NXX49" s="19"/>
      <c r="NXY49" s="19"/>
      <c r="NXZ49" s="19"/>
      <c r="NYA49" s="19"/>
      <c r="NYB49" s="19"/>
      <c r="NYC49" s="19"/>
      <c r="NYD49" s="19"/>
      <c r="NYE49" s="19"/>
      <c r="NYF49" s="19"/>
      <c r="NYG49" s="19"/>
      <c r="NYH49" s="19"/>
      <c r="NYI49" s="19"/>
      <c r="NYJ49" s="19"/>
      <c r="NYK49" s="19"/>
      <c r="NYL49" s="19"/>
      <c r="NYM49" s="19"/>
      <c r="NYN49" s="19"/>
      <c r="NYO49" s="19"/>
      <c r="NYP49" s="19"/>
      <c r="NYQ49" s="19"/>
      <c r="NYR49" s="19"/>
      <c r="NYS49" s="19"/>
      <c r="NYT49" s="19"/>
      <c r="NYU49" s="19"/>
      <c r="NYV49" s="19"/>
      <c r="NYW49" s="19"/>
      <c r="NYX49" s="19"/>
      <c r="NYY49" s="19"/>
      <c r="NYZ49" s="19"/>
      <c r="NZA49" s="19"/>
      <c r="NZB49" s="19"/>
      <c r="NZC49" s="19"/>
      <c r="NZD49" s="19"/>
      <c r="NZE49" s="19"/>
      <c r="NZF49" s="19"/>
      <c r="NZG49" s="19"/>
      <c r="NZH49" s="19"/>
      <c r="NZI49" s="19"/>
      <c r="NZJ49" s="19"/>
      <c r="NZK49" s="19"/>
      <c r="NZL49" s="19"/>
      <c r="NZM49" s="19"/>
      <c r="NZN49" s="19"/>
      <c r="NZO49" s="19"/>
      <c r="NZP49" s="19"/>
      <c r="NZQ49" s="19"/>
      <c r="NZR49" s="19"/>
      <c r="NZS49" s="19"/>
      <c r="NZT49" s="19"/>
      <c r="NZU49" s="19"/>
      <c r="NZV49" s="19"/>
      <c r="NZW49" s="19"/>
      <c r="NZX49" s="19"/>
      <c r="NZY49" s="19"/>
      <c r="NZZ49" s="19"/>
      <c r="OAA49" s="19"/>
      <c r="OAB49" s="19"/>
      <c r="OAC49" s="19"/>
      <c r="OAD49" s="19"/>
      <c r="OAE49" s="19"/>
      <c r="OAF49" s="19"/>
      <c r="OAG49" s="19"/>
      <c r="OAH49" s="19"/>
      <c r="OAI49" s="19"/>
      <c r="OAJ49" s="19"/>
      <c r="OAK49" s="19"/>
      <c r="OAL49" s="19"/>
      <c r="OAM49" s="19"/>
      <c r="OAN49" s="19"/>
      <c r="OAO49" s="19"/>
      <c r="OAP49" s="19"/>
      <c r="OAQ49" s="19"/>
      <c r="OAR49" s="19"/>
      <c r="OAS49" s="19"/>
      <c r="OAT49" s="19"/>
      <c r="OAU49" s="19"/>
      <c r="OAV49" s="19"/>
      <c r="OAW49" s="19"/>
      <c r="OAX49" s="19"/>
      <c r="OAY49" s="19"/>
      <c r="OAZ49" s="19"/>
      <c r="OBA49" s="19"/>
      <c r="OBB49" s="19"/>
      <c r="OBC49" s="19"/>
      <c r="OBD49" s="19"/>
      <c r="OBE49" s="19"/>
      <c r="OBF49" s="19"/>
      <c r="OBG49" s="19"/>
      <c r="OBH49" s="19"/>
      <c r="OBI49" s="19"/>
      <c r="OBJ49" s="19"/>
      <c r="OBK49" s="19"/>
      <c r="OBL49" s="19"/>
      <c r="OBM49" s="19"/>
      <c r="OBN49" s="19"/>
      <c r="OBO49" s="19"/>
      <c r="OBP49" s="19"/>
      <c r="OBQ49" s="19"/>
      <c r="OBR49" s="19"/>
      <c r="OBS49" s="19"/>
      <c r="OBT49" s="19"/>
      <c r="OBU49" s="19"/>
      <c r="OBV49" s="19"/>
      <c r="OBW49" s="19"/>
      <c r="OBX49" s="19"/>
      <c r="OBY49" s="19"/>
      <c r="OBZ49" s="19"/>
      <c r="OCA49" s="19"/>
      <c r="OCB49" s="19"/>
      <c r="OCC49" s="19"/>
      <c r="OCD49" s="19"/>
      <c r="OCE49" s="19"/>
      <c r="OCF49" s="19"/>
      <c r="OCG49" s="19"/>
      <c r="OCH49" s="19"/>
      <c r="OCI49" s="19"/>
      <c r="OCJ49" s="19"/>
      <c r="OCK49" s="19"/>
      <c r="OCL49" s="19"/>
      <c r="OCM49" s="19"/>
      <c r="OCN49" s="19"/>
      <c r="OCO49" s="19"/>
      <c r="OCP49" s="19"/>
      <c r="OCQ49" s="19"/>
      <c r="OCR49" s="19"/>
      <c r="OCS49" s="19"/>
      <c r="OCT49" s="19"/>
      <c r="OCU49" s="19"/>
      <c r="OCV49" s="19"/>
      <c r="OCW49" s="19"/>
      <c r="OCX49" s="19"/>
      <c r="OCY49" s="19"/>
      <c r="OCZ49" s="19"/>
      <c r="ODA49" s="19"/>
      <c r="ODB49" s="19"/>
      <c r="ODC49" s="19"/>
      <c r="ODD49" s="19"/>
      <c r="ODE49" s="19"/>
      <c r="ODF49" s="19"/>
      <c r="ODG49" s="19"/>
      <c r="ODH49" s="19"/>
      <c r="ODI49" s="19"/>
      <c r="ODJ49" s="19"/>
      <c r="ODK49" s="19"/>
      <c r="ODL49" s="19"/>
      <c r="ODM49" s="19"/>
      <c r="ODN49" s="19"/>
      <c r="ODO49" s="19"/>
      <c r="ODP49" s="19"/>
      <c r="ODQ49" s="19"/>
      <c r="ODR49" s="19"/>
      <c r="ODS49" s="19"/>
      <c r="ODT49" s="19"/>
      <c r="ODU49" s="19"/>
      <c r="ODV49" s="19"/>
      <c r="ODW49" s="19"/>
      <c r="ODX49" s="19"/>
      <c r="ODY49" s="19"/>
      <c r="ODZ49" s="19"/>
      <c r="OEA49" s="19"/>
      <c r="OEB49" s="19"/>
      <c r="OEC49" s="19"/>
      <c r="OED49" s="19"/>
      <c r="OEE49" s="19"/>
      <c r="OEF49" s="19"/>
      <c r="OEG49" s="19"/>
      <c r="OEH49" s="19"/>
      <c r="OEI49" s="19"/>
      <c r="OEJ49" s="19"/>
      <c r="OEK49" s="19"/>
      <c r="OEL49" s="19"/>
      <c r="OEM49" s="19"/>
      <c r="OEN49" s="19"/>
      <c r="OEO49" s="19"/>
      <c r="OEP49" s="19"/>
      <c r="OEQ49" s="19"/>
      <c r="OER49" s="19"/>
      <c r="OES49" s="19"/>
      <c r="OET49" s="19"/>
      <c r="OEU49" s="19"/>
      <c r="OEV49" s="19"/>
      <c r="OEW49" s="19"/>
      <c r="OEX49" s="19"/>
      <c r="OEY49" s="19"/>
      <c r="OEZ49" s="19"/>
      <c r="OFA49" s="19"/>
      <c r="OFB49" s="19"/>
      <c r="OFC49" s="19"/>
      <c r="OFD49" s="19"/>
      <c r="OFE49" s="19"/>
      <c r="OFF49" s="19"/>
      <c r="OFG49" s="19"/>
      <c r="OFH49" s="19"/>
      <c r="OFI49" s="19"/>
      <c r="OFJ49" s="19"/>
      <c r="OFK49" s="19"/>
      <c r="OFL49" s="19"/>
      <c r="OFM49" s="19"/>
      <c r="OFN49" s="19"/>
      <c r="OFO49" s="19"/>
      <c r="OFP49" s="19"/>
      <c r="OFQ49" s="19"/>
      <c r="OFR49" s="19"/>
      <c r="OFS49" s="19"/>
      <c r="OFT49" s="19"/>
      <c r="OFU49" s="19"/>
      <c r="OFV49" s="19"/>
      <c r="OFW49" s="19"/>
      <c r="OFX49" s="19"/>
      <c r="OFY49" s="19"/>
      <c r="OFZ49" s="19"/>
      <c r="OGA49" s="19"/>
      <c r="OGB49" s="19"/>
      <c r="OGC49" s="19"/>
      <c r="OGD49" s="19"/>
      <c r="OGE49" s="19"/>
      <c r="OGF49" s="19"/>
      <c r="OGG49" s="19"/>
      <c r="OGH49" s="19"/>
      <c r="OGI49" s="19"/>
      <c r="OGJ49" s="19"/>
      <c r="OGK49" s="19"/>
      <c r="OGL49" s="19"/>
      <c r="OGM49" s="19"/>
      <c r="OGN49" s="19"/>
      <c r="OGO49" s="19"/>
      <c r="OGP49" s="19"/>
      <c r="OGQ49" s="19"/>
      <c r="OGR49" s="19"/>
      <c r="OGS49" s="19"/>
      <c r="OGT49" s="19"/>
      <c r="OGU49" s="19"/>
      <c r="OGV49" s="19"/>
      <c r="OGW49" s="19"/>
      <c r="OGX49" s="19"/>
      <c r="OGY49" s="19"/>
      <c r="OGZ49" s="19"/>
      <c r="OHA49" s="19"/>
      <c r="OHB49" s="19"/>
      <c r="OHC49" s="19"/>
      <c r="OHD49" s="19"/>
      <c r="OHE49" s="19"/>
      <c r="OHF49" s="19"/>
      <c r="OHG49" s="19"/>
      <c r="OHH49" s="19"/>
      <c r="OHI49" s="19"/>
      <c r="OHJ49" s="19"/>
      <c r="OHK49" s="19"/>
      <c r="OHL49" s="19"/>
      <c r="OHM49" s="19"/>
      <c r="OHN49" s="19"/>
      <c r="OHO49" s="19"/>
      <c r="OHP49" s="19"/>
      <c r="OHQ49" s="19"/>
      <c r="OHR49" s="19"/>
      <c r="OHS49" s="19"/>
      <c r="OHT49" s="19"/>
      <c r="OHU49" s="19"/>
      <c r="OHV49" s="19"/>
      <c r="OHW49" s="19"/>
      <c r="OHX49" s="19"/>
      <c r="OHY49" s="19"/>
      <c r="OHZ49" s="19"/>
      <c r="OIA49" s="19"/>
      <c r="OIB49" s="19"/>
      <c r="OIC49" s="19"/>
      <c r="OID49" s="19"/>
      <c r="OIE49" s="19"/>
      <c r="OIF49" s="19"/>
      <c r="OIG49" s="19"/>
      <c r="OIH49" s="19"/>
      <c r="OII49" s="19"/>
      <c r="OIJ49" s="19"/>
      <c r="OIK49" s="19"/>
      <c r="OIL49" s="19"/>
      <c r="OIM49" s="19"/>
      <c r="OIN49" s="19"/>
      <c r="OIO49" s="19"/>
      <c r="OIP49" s="19"/>
      <c r="OIQ49" s="19"/>
      <c r="OIR49" s="19"/>
      <c r="OIS49" s="19"/>
      <c r="OIT49" s="19"/>
      <c r="OIU49" s="19"/>
      <c r="OIV49" s="19"/>
      <c r="OIW49" s="19"/>
      <c r="OIX49" s="19"/>
      <c r="OIY49" s="19"/>
      <c r="OIZ49" s="19"/>
      <c r="OJA49" s="19"/>
      <c r="OJB49" s="19"/>
      <c r="OJC49" s="19"/>
      <c r="OJD49" s="19"/>
      <c r="OJE49" s="19"/>
      <c r="OJF49" s="19"/>
      <c r="OJG49" s="19"/>
      <c r="OJH49" s="19"/>
      <c r="OJI49" s="19"/>
      <c r="OJJ49" s="19"/>
      <c r="OJK49" s="19"/>
      <c r="OJL49" s="19"/>
      <c r="OJM49" s="19"/>
      <c r="OJN49" s="19"/>
      <c r="OJO49" s="19"/>
      <c r="OJP49" s="19"/>
      <c r="OJQ49" s="19"/>
      <c r="OJR49" s="19"/>
      <c r="OJS49" s="19"/>
      <c r="OJT49" s="19"/>
      <c r="OJU49" s="19"/>
      <c r="OJV49" s="19"/>
      <c r="OJW49" s="19"/>
      <c r="OJX49" s="19"/>
      <c r="OJY49" s="19"/>
      <c r="OJZ49" s="19"/>
      <c r="OKA49" s="19"/>
      <c r="OKB49" s="19"/>
      <c r="OKC49" s="19"/>
      <c r="OKD49" s="19"/>
      <c r="OKE49" s="19"/>
      <c r="OKF49" s="19"/>
      <c r="OKG49" s="19"/>
      <c r="OKH49" s="19"/>
      <c r="OKI49" s="19"/>
      <c r="OKJ49" s="19"/>
      <c r="OKK49" s="19"/>
      <c r="OKL49" s="19"/>
      <c r="OKM49" s="19"/>
      <c r="OKN49" s="19"/>
      <c r="OKO49" s="19"/>
      <c r="OKP49" s="19"/>
      <c r="OKQ49" s="19"/>
      <c r="OKR49" s="19"/>
      <c r="OKS49" s="19"/>
      <c r="OKT49" s="19"/>
      <c r="OKU49" s="19"/>
      <c r="OKV49" s="19"/>
      <c r="OKW49" s="19"/>
      <c r="OKX49" s="19"/>
      <c r="OKY49" s="19"/>
      <c r="OKZ49" s="19"/>
      <c r="OLA49" s="19"/>
      <c r="OLB49" s="19"/>
      <c r="OLC49" s="19"/>
      <c r="OLD49" s="19"/>
      <c r="OLE49" s="19"/>
      <c r="OLF49" s="19"/>
      <c r="OLG49" s="19"/>
      <c r="OLH49" s="19"/>
      <c r="OLI49" s="19"/>
      <c r="OLJ49" s="19"/>
      <c r="OLK49" s="19"/>
      <c r="OLL49" s="19"/>
      <c r="OLM49" s="19"/>
      <c r="OLN49" s="19"/>
      <c r="OLO49" s="19"/>
      <c r="OLP49" s="19"/>
      <c r="OLQ49" s="19"/>
      <c r="OLR49" s="19"/>
      <c r="OLS49" s="19"/>
      <c r="OLT49" s="19"/>
      <c r="OLU49" s="19"/>
      <c r="OLV49" s="19"/>
      <c r="OLW49" s="19"/>
      <c r="OLX49" s="19"/>
      <c r="OLY49" s="19"/>
      <c r="OLZ49" s="19"/>
      <c r="OMA49" s="19"/>
      <c r="OMB49" s="19"/>
      <c r="OMC49" s="19"/>
      <c r="OMD49" s="19"/>
      <c r="OME49" s="19"/>
      <c r="OMF49" s="19"/>
      <c r="OMG49" s="19"/>
      <c r="OMH49" s="19"/>
      <c r="OMI49" s="19"/>
      <c r="OMJ49" s="19"/>
      <c r="OMK49" s="19"/>
      <c r="OML49" s="19"/>
      <c r="OMM49" s="19"/>
      <c r="OMN49" s="19"/>
      <c r="OMO49" s="19"/>
      <c r="OMP49" s="19"/>
      <c r="OMQ49" s="19"/>
      <c r="OMR49" s="19"/>
      <c r="OMS49" s="19"/>
      <c r="OMT49" s="19"/>
      <c r="OMU49" s="19"/>
      <c r="OMV49" s="19"/>
      <c r="OMW49" s="19"/>
      <c r="OMX49" s="19"/>
      <c r="OMY49" s="19"/>
      <c r="OMZ49" s="19"/>
      <c r="ONA49" s="19"/>
      <c r="ONB49" s="19"/>
      <c r="ONC49" s="19"/>
      <c r="OND49" s="19"/>
      <c r="ONE49" s="19"/>
      <c r="ONF49" s="19"/>
      <c r="ONG49" s="19"/>
      <c r="ONH49" s="19"/>
      <c r="ONI49" s="19"/>
      <c r="ONJ49" s="19"/>
      <c r="ONK49" s="19"/>
      <c r="ONL49" s="19"/>
      <c r="ONM49" s="19"/>
      <c r="ONN49" s="19"/>
      <c r="ONO49" s="19"/>
      <c r="ONP49" s="19"/>
      <c r="ONQ49" s="19"/>
      <c r="ONR49" s="19"/>
      <c r="ONS49" s="19"/>
      <c r="ONT49" s="19"/>
      <c r="ONU49" s="19"/>
      <c r="ONV49" s="19"/>
      <c r="ONW49" s="19"/>
      <c r="ONX49" s="19"/>
      <c r="ONY49" s="19"/>
      <c r="ONZ49" s="19"/>
      <c r="OOA49" s="19"/>
      <c r="OOB49" s="19"/>
      <c r="OOC49" s="19"/>
      <c r="OOD49" s="19"/>
      <c r="OOE49" s="19"/>
      <c r="OOF49" s="19"/>
      <c r="OOG49" s="19"/>
      <c r="OOH49" s="19"/>
      <c r="OOI49" s="19"/>
      <c r="OOJ49" s="19"/>
      <c r="OOK49" s="19"/>
      <c r="OOL49" s="19"/>
      <c r="OOM49" s="19"/>
      <c r="OON49" s="19"/>
      <c r="OOO49" s="19"/>
      <c r="OOP49" s="19"/>
      <c r="OOQ49" s="19"/>
      <c r="OOR49" s="19"/>
      <c r="OOS49" s="19"/>
      <c r="OOT49" s="19"/>
      <c r="OOU49" s="19"/>
      <c r="OOV49" s="19"/>
      <c r="OOW49" s="19"/>
      <c r="OOX49" s="19"/>
      <c r="OOY49" s="19"/>
      <c r="OOZ49" s="19"/>
      <c r="OPA49" s="19"/>
      <c r="OPB49" s="19"/>
      <c r="OPC49" s="19"/>
      <c r="OPD49" s="19"/>
      <c r="OPE49" s="19"/>
      <c r="OPF49" s="19"/>
      <c r="OPG49" s="19"/>
      <c r="OPH49" s="19"/>
      <c r="OPI49" s="19"/>
      <c r="OPJ49" s="19"/>
      <c r="OPK49" s="19"/>
      <c r="OPL49" s="19"/>
      <c r="OPM49" s="19"/>
      <c r="OPN49" s="19"/>
      <c r="OPO49" s="19"/>
      <c r="OPP49" s="19"/>
      <c r="OPQ49" s="19"/>
      <c r="OPR49" s="19"/>
      <c r="OPS49" s="19"/>
      <c r="OPT49" s="19"/>
      <c r="OPU49" s="19"/>
      <c r="OPV49" s="19"/>
      <c r="OPW49" s="19"/>
      <c r="OPX49" s="19"/>
      <c r="OPY49" s="19"/>
      <c r="OPZ49" s="19"/>
      <c r="OQA49" s="19"/>
      <c r="OQB49" s="19"/>
      <c r="OQC49" s="19"/>
      <c r="OQD49" s="19"/>
      <c r="OQE49" s="19"/>
      <c r="OQF49" s="19"/>
      <c r="OQG49" s="19"/>
      <c r="OQH49" s="19"/>
      <c r="OQI49" s="19"/>
      <c r="OQJ49" s="19"/>
      <c r="OQK49" s="19"/>
      <c r="OQL49" s="19"/>
      <c r="OQM49" s="19"/>
      <c r="OQN49" s="19"/>
      <c r="OQO49" s="19"/>
      <c r="OQP49" s="19"/>
      <c r="OQQ49" s="19"/>
      <c r="OQR49" s="19"/>
      <c r="OQS49" s="19"/>
      <c r="OQT49" s="19"/>
      <c r="OQU49" s="19"/>
      <c r="OQV49" s="19"/>
      <c r="OQW49" s="19"/>
      <c r="OQX49" s="19"/>
      <c r="OQY49" s="19"/>
      <c r="OQZ49" s="19"/>
      <c r="ORA49" s="19"/>
      <c r="ORB49" s="19"/>
      <c r="ORC49" s="19"/>
      <c r="ORD49" s="19"/>
      <c r="ORE49" s="19"/>
      <c r="ORF49" s="19"/>
      <c r="ORG49" s="19"/>
      <c r="ORH49" s="19"/>
      <c r="ORI49" s="19"/>
      <c r="ORJ49" s="19"/>
      <c r="ORK49" s="19"/>
      <c r="ORL49" s="19"/>
      <c r="ORM49" s="19"/>
      <c r="ORN49" s="19"/>
      <c r="ORO49" s="19"/>
      <c r="ORP49" s="19"/>
      <c r="ORQ49" s="19"/>
      <c r="ORR49" s="19"/>
      <c r="ORS49" s="19"/>
      <c r="ORT49" s="19"/>
      <c r="ORU49" s="19"/>
      <c r="ORV49" s="19"/>
      <c r="ORW49" s="19"/>
      <c r="ORX49" s="19"/>
      <c r="ORY49" s="19"/>
      <c r="ORZ49" s="19"/>
      <c r="OSA49" s="19"/>
      <c r="OSB49" s="19"/>
      <c r="OSC49" s="19"/>
      <c r="OSD49" s="19"/>
      <c r="OSE49" s="19"/>
      <c r="OSF49" s="19"/>
      <c r="OSG49" s="19"/>
      <c r="OSH49" s="19"/>
      <c r="OSI49" s="19"/>
      <c r="OSJ49" s="19"/>
      <c r="OSK49" s="19"/>
      <c r="OSL49" s="19"/>
      <c r="OSM49" s="19"/>
      <c r="OSN49" s="19"/>
      <c r="OSO49" s="19"/>
      <c r="OSP49" s="19"/>
      <c r="OSQ49" s="19"/>
      <c r="OSR49" s="19"/>
      <c r="OSS49" s="19"/>
      <c r="OST49" s="19"/>
      <c r="OSU49" s="19"/>
      <c r="OSV49" s="19"/>
      <c r="OSW49" s="19"/>
      <c r="OSX49" s="19"/>
      <c r="OSY49" s="19"/>
      <c r="OSZ49" s="19"/>
      <c r="OTA49" s="19"/>
      <c r="OTB49" s="19"/>
      <c r="OTC49" s="19"/>
      <c r="OTD49" s="19"/>
      <c r="OTE49" s="19"/>
      <c r="OTF49" s="19"/>
      <c r="OTG49" s="19"/>
      <c r="OTH49" s="19"/>
      <c r="OTI49" s="19"/>
      <c r="OTJ49" s="19"/>
      <c r="OTK49" s="19"/>
      <c r="OTL49" s="19"/>
      <c r="OTM49" s="19"/>
      <c r="OTN49" s="19"/>
      <c r="OTO49" s="19"/>
      <c r="OTP49" s="19"/>
      <c r="OTQ49" s="19"/>
      <c r="OTR49" s="19"/>
      <c r="OTS49" s="19"/>
      <c r="OTT49" s="19"/>
      <c r="OTU49" s="19"/>
      <c r="OTV49" s="19"/>
      <c r="OTW49" s="19"/>
      <c r="OTX49" s="19"/>
      <c r="OTY49" s="19"/>
      <c r="OTZ49" s="19"/>
      <c r="OUA49" s="19"/>
      <c r="OUB49" s="19"/>
      <c r="OUC49" s="19"/>
      <c r="OUD49" s="19"/>
      <c r="OUE49" s="19"/>
      <c r="OUF49" s="19"/>
      <c r="OUG49" s="19"/>
      <c r="OUH49" s="19"/>
      <c r="OUI49" s="19"/>
      <c r="OUJ49" s="19"/>
      <c r="OUK49" s="19"/>
      <c r="OUL49" s="19"/>
      <c r="OUM49" s="19"/>
      <c r="OUN49" s="19"/>
      <c r="OUO49" s="19"/>
      <c r="OUP49" s="19"/>
      <c r="OUQ49" s="19"/>
      <c r="OUR49" s="19"/>
      <c r="OUS49" s="19"/>
      <c r="OUT49" s="19"/>
      <c r="OUU49" s="19"/>
      <c r="OUV49" s="19"/>
      <c r="OUW49" s="19"/>
      <c r="OUX49" s="19"/>
      <c r="OUY49" s="19"/>
      <c r="OUZ49" s="19"/>
      <c r="OVA49" s="19"/>
      <c r="OVB49" s="19"/>
      <c r="OVC49" s="19"/>
      <c r="OVD49" s="19"/>
      <c r="OVE49" s="19"/>
      <c r="OVF49" s="19"/>
      <c r="OVG49" s="19"/>
      <c r="OVH49" s="19"/>
      <c r="OVI49" s="19"/>
      <c r="OVJ49" s="19"/>
      <c r="OVK49" s="19"/>
      <c r="OVL49" s="19"/>
      <c r="OVM49" s="19"/>
      <c r="OVN49" s="19"/>
      <c r="OVO49" s="19"/>
      <c r="OVP49" s="19"/>
      <c r="OVQ49" s="19"/>
      <c r="OVR49" s="19"/>
      <c r="OVS49" s="19"/>
      <c r="OVT49" s="19"/>
      <c r="OVU49" s="19"/>
      <c r="OVV49" s="19"/>
      <c r="OVW49" s="19"/>
      <c r="OVX49" s="19"/>
      <c r="OVY49" s="19"/>
      <c r="OVZ49" s="19"/>
      <c r="OWA49" s="19"/>
      <c r="OWB49" s="19"/>
      <c r="OWC49" s="19"/>
      <c r="OWD49" s="19"/>
      <c r="OWE49" s="19"/>
      <c r="OWF49" s="19"/>
      <c r="OWG49" s="19"/>
      <c r="OWH49" s="19"/>
      <c r="OWI49" s="19"/>
      <c r="OWJ49" s="19"/>
      <c r="OWK49" s="19"/>
      <c r="OWL49" s="19"/>
      <c r="OWM49" s="19"/>
      <c r="OWN49" s="19"/>
      <c r="OWO49" s="19"/>
      <c r="OWP49" s="19"/>
      <c r="OWQ49" s="19"/>
      <c r="OWR49" s="19"/>
      <c r="OWS49" s="19"/>
      <c r="OWT49" s="19"/>
      <c r="OWU49" s="19"/>
      <c r="OWV49" s="19"/>
      <c r="OWW49" s="19"/>
      <c r="OWX49" s="19"/>
      <c r="OWY49" s="19"/>
      <c r="OWZ49" s="19"/>
      <c r="OXA49" s="19"/>
      <c r="OXB49" s="19"/>
      <c r="OXC49" s="19"/>
      <c r="OXD49" s="19"/>
      <c r="OXE49" s="19"/>
      <c r="OXF49" s="19"/>
      <c r="OXG49" s="19"/>
      <c r="OXH49" s="19"/>
      <c r="OXI49" s="19"/>
      <c r="OXJ49" s="19"/>
      <c r="OXK49" s="19"/>
      <c r="OXL49" s="19"/>
      <c r="OXM49" s="19"/>
      <c r="OXN49" s="19"/>
      <c r="OXO49" s="19"/>
      <c r="OXP49" s="19"/>
      <c r="OXQ49" s="19"/>
      <c r="OXR49" s="19"/>
      <c r="OXS49" s="19"/>
      <c r="OXT49" s="19"/>
      <c r="OXU49" s="19"/>
      <c r="OXV49" s="19"/>
      <c r="OXW49" s="19"/>
      <c r="OXX49" s="19"/>
      <c r="OXY49" s="19"/>
      <c r="OXZ49" s="19"/>
      <c r="OYA49" s="19"/>
      <c r="OYB49" s="19"/>
      <c r="OYC49" s="19"/>
      <c r="OYD49" s="19"/>
      <c r="OYE49" s="19"/>
      <c r="OYF49" s="19"/>
      <c r="OYG49" s="19"/>
      <c r="OYH49" s="19"/>
      <c r="OYI49" s="19"/>
      <c r="OYJ49" s="19"/>
      <c r="OYK49" s="19"/>
      <c r="OYL49" s="19"/>
      <c r="OYM49" s="19"/>
      <c r="OYN49" s="19"/>
      <c r="OYO49" s="19"/>
      <c r="OYP49" s="19"/>
      <c r="OYQ49" s="19"/>
      <c r="OYR49" s="19"/>
      <c r="OYS49" s="19"/>
      <c r="OYT49" s="19"/>
      <c r="OYU49" s="19"/>
      <c r="OYV49" s="19"/>
      <c r="OYW49" s="19"/>
      <c r="OYX49" s="19"/>
      <c r="OYY49" s="19"/>
      <c r="OYZ49" s="19"/>
      <c r="OZA49" s="19"/>
      <c r="OZB49" s="19"/>
      <c r="OZC49" s="19"/>
      <c r="OZD49" s="19"/>
      <c r="OZE49" s="19"/>
      <c r="OZF49" s="19"/>
      <c r="OZG49" s="19"/>
      <c r="OZH49" s="19"/>
      <c r="OZI49" s="19"/>
      <c r="OZJ49" s="19"/>
      <c r="OZK49" s="19"/>
      <c r="OZL49" s="19"/>
      <c r="OZM49" s="19"/>
      <c r="OZN49" s="19"/>
      <c r="OZO49" s="19"/>
      <c r="OZP49" s="19"/>
      <c r="OZQ49" s="19"/>
      <c r="OZR49" s="19"/>
      <c r="OZS49" s="19"/>
      <c r="OZT49" s="19"/>
      <c r="OZU49" s="19"/>
      <c r="OZV49" s="19"/>
      <c r="OZW49" s="19"/>
      <c r="OZX49" s="19"/>
      <c r="OZY49" s="19"/>
      <c r="OZZ49" s="19"/>
      <c r="PAA49" s="19"/>
      <c r="PAB49" s="19"/>
      <c r="PAC49" s="19"/>
      <c r="PAD49" s="19"/>
      <c r="PAE49" s="19"/>
      <c r="PAF49" s="19"/>
      <c r="PAG49" s="19"/>
      <c r="PAH49" s="19"/>
      <c r="PAI49" s="19"/>
      <c r="PAJ49" s="19"/>
      <c r="PAK49" s="19"/>
      <c r="PAL49" s="19"/>
      <c r="PAM49" s="19"/>
      <c r="PAN49" s="19"/>
      <c r="PAO49" s="19"/>
      <c r="PAP49" s="19"/>
      <c r="PAQ49" s="19"/>
      <c r="PAR49" s="19"/>
      <c r="PAS49" s="19"/>
      <c r="PAT49" s="19"/>
      <c r="PAU49" s="19"/>
      <c r="PAV49" s="19"/>
      <c r="PAW49" s="19"/>
      <c r="PAX49" s="19"/>
      <c r="PAY49" s="19"/>
      <c r="PAZ49" s="19"/>
      <c r="PBA49" s="19"/>
      <c r="PBB49" s="19"/>
      <c r="PBC49" s="19"/>
      <c r="PBD49" s="19"/>
      <c r="PBE49" s="19"/>
      <c r="PBF49" s="19"/>
      <c r="PBG49" s="19"/>
      <c r="PBH49" s="19"/>
      <c r="PBI49" s="19"/>
      <c r="PBJ49" s="19"/>
      <c r="PBK49" s="19"/>
      <c r="PBL49" s="19"/>
      <c r="PBM49" s="19"/>
      <c r="PBN49" s="19"/>
      <c r="PBO49" s="19"/>
      <c r="PBP49" s="19"/>
      <c r="PBQ49" s="19"/>
      <c r="PBR49" s="19"/>
      <c r="PBS49" s="19"/>
      <c r="PBT49" s="19"/>
      <c r="PBU49" s="19"/>
      <c r="PBV49" s="19"/>
      <c r="PBW49" s="19"/>
      <c r="PBX49" s="19"/>
      <c r="PBY49" s="19"/>
      <c r="PBZ49" s="19"/>
      <c r="PCA49" s="19"/>
      <c r="PCB49" s="19"/>
      <c r="PCC49" s="19"/>
      <c r="PCD49" s="19"/>
      <c r="PCE49" s="19"/>
      <c r="PCF49" s="19"/>
      <c r="PCG49" s="19"/>
      <c r="PCH49" s="19"/>
      <c r="PCI49" s="19"/>
      <c r="PCJ49" s="19"/>
      <c r="PCK49" s="19"/>
      <c r="PCL49" s="19"/>
      <c r="PCM49" s="19"/>
      <c r="PCN49" s="19"/>
      <c r="PCO49" s="19"/>
      <c r="PCP49" s="19"/>
      <c r="PCQ49" s="19"/>
      <c r="PCR49" s="19"/>
      <c r="PCS49" s="19"/>
      <c r="PCT49" s="19"/>
      <c r="PCU49" s="19"/>
      <c r="PCV49" s="19"/>
      <c r="PCW49" s="19"/>
      <c r="PCX49" s="19"/>
      <c r="PCY49" s="19"/>
      <c r="PCZ49" s="19"/>
      <c r="PDA49" s="19"/>
      <c r="PDB49" s="19"/>
      <c r="PDC49" s="19"/>
      <c r="PDD49" s="19"/>
      <c r="PDE49" s="19"/>
      <c r="PDF49" s="19"/>
      <c r="PDG49" s="19"/>
      <c r="PDH49" s="19"/>
      <c r="PDI49" s="19"/>
      <c r="PDJ49" s="19"/>
      <c r="PDK49" s="19"/>
      <c r="PDL49" s="19"/>
      <c r="PDM49" s="19"/>
      <c r="PDN49" s="19"/>
      <c r="PDO49" s="19"/>
      <c r="PDP49" s="19"/>
      <c r="PDQ49" s="19"/>
      <c r="PDR49" s="19"/>
      <c r="PDS49" s="19"/>
      <c r="PDT49" s="19"/>
      <c r="PDU49" s="19"/>
      <c r="PDV49" s="19"/>
      <c r="PDW49" s="19"/>
      <c r="PDX49" s="19"/>
      <c r="PDY49" s="19"/>
      <c r="PDZ49" s="19"/>
      <c r="PEA49" s="19"/>
      <c r="PEB49" s="19"/>
      <c r="PEC49" s="19"/>
      <c r="PED49" s="19"/>
      <c r="PEE49" s="19"/>
      <c r="PEF49" s="19"/>
      <c r="PEG49" s="19"/>
      <c r="PEH49" s="19"/>
      <c r="PEI49" s="19"/>
      <c r="PEJ49" s="19"/>
      <c r="PEK49" s="19"/>
      <c r="PEL49" s="19"/>
      <c r="PEM49" s="19"/>
      <c r="PEN49" s="19"/>
      <c r="PEO49" s="19"/>
      <c r="PEP49" s="19"/>
      <c r="PEQ49" s="19"/>
      <c r="PER49" s="19"/>
      <c r="PES49" s="19"/>
      <c r="PET49" s="19"/>
      <c r="PEU49" s="19"/>
      <c r="PEV49" s="19"/>
      <c r="PEW49" s="19"/>
      <c r="PEX49" s="19"/>
      <c r="PEY49" s="19"/>
      <c r="PEZ49" s="19"/>
      <c r="PFA49" s="19"/>
      <c r="PFB49" s="19"/>
      <c r="PFC49" s="19"/>
      <c r="PFD49" s="19"/>
      <c r="PFE49" s="19"/>
      <c r="PFF49" s="19"/>
      <c r="PFG49" s="19"/>
      <c r="PFH49" s="19"/>
      <c r="PFI49" s="19"/>
      <c r="PFJ49" s="19"/>
      <c r="PFK49" s="19"/>
      <c r="PFL49" s="19"/>
      <c r="PFM49" s="19"/>
      <c r="PFN49" s="19"/>
      <c r="PFO49" s="19"/>
      <c r="PFP49" s="19"/>
      <c r="PFQ49" s="19"/>
      <c r="PFR49" s="19"/>
      <c r="PFS49" s="19"/>
      <c r="PFT49" s="19"/>
      <c r="PFU49" s="19"/>
      <c r="PFV49" s="19"/>
      <c r="PFW49" s="19"/>
      <c r="PFX49" s="19"/>
      <c r="PFY49" s="19"/>
      <c r="PFZ49" s="19"/>
      <c r="PGA49" s="19"/>
      <c r="PGB49" s="19"/>
      <c r="PGC49" s="19"/>
      <c r="PGD49" s="19"/>
      <c r="PGE49" s="19"/>
      <c r="PGF49" s="19"/>
      <c r="PGG49" s="19"/>
      <c r="PGH49" s="19"/>
      <c r="PGI49" s="19"/>
      <c r="PGJ49" s="19"/>
      <c r="PGK49" s="19"/>
      <c r="PGL49" s="19"/>
      <c r="PGM49" s="19"/>
      <c r="PGN49" s="19"/>
      <c r="PGO49" s="19"/>
      <c r="PGP49" s="19"/>
      <c r="PGQ49" s="19"/>
      <c r="PGR49" s="19"/>
      <c r="PGS49" s="19"/>
      <c r="PGT49" s="19"/>
      <c r="PGU49" s="19"/>
      <c r="PGV49" s="19"/>
      <c r="PGW49" s="19"/>
      <c r="PGX49" s="19"/>
      <c r="PGY49" s="19"/>
      <c r="PGZ49" s="19"/>
      <c r="PHA49" s="19"/>
      <c r="PHB49" s="19"/>
      <c r="PHC49" s="19"/>
      <c r="PHD49" s="19"/>
      <c r="PHE49" s="19"/>
      <c r="PHF49" s="19"/>
      <c r="PHG49" s="19"/>
      <c r="PHH49" s="19"/>
      <c r="PHI49" s="19"/>
      <c r="PHJ49" s="19"/>
      <c r="PHK49" s="19"/>
      <c r="PHL49" s="19"/>
      <c r="PHM49" s="19"/>
      <c r="PHN49" s="19"/>
      <c r="PHO49" s="19"/>
      <c r="PHP49" s="19"/>
      <c r="PHQ49" s="19"/>
      <c r="PHR49" s="19"/>
      <c r="PHS49" s="19"/>
      <c r="PHT49" s="19"/>
      <c r="PHU49" s="19"/>
      <c r="PHV49" s="19"/>
      <c r="PHW49" s="19"/>
      <c r="PHX49" s="19"/>
      <c r="PHY49" s="19"/>
      <c r="PHZ49" s="19"/>
      <c r="PIA49" s="19"/>
      <c r="PIB49" s="19"/>
      <c r="PIC49" s="19"/>
      <c r="PID49" s="19"/>
      <c r="PIE49" s="19"/>
      <c r="PIF49" s="19"/>
      <c r="PIG49" s="19"/>
      <c r="PIH49" s="19"/>
      <c r="PII49" s="19"/>
      <c r="PIJ49" s="19"/>
      <c r="PIK49" s="19"/>
      <c r="PIL49" s="19"/>
      <c r="PIM49" s="19"/>
      <c r="PIN49" s="19"/>
      <c r="PIO49" s="19"/>
      <c r="PIP49" s="19"/>
      <c r="PIQ49" s="19"/>
      <c r="PIR49" s="19"/>
      <c r="PIS49" s="19"/>
      <c r="PIT49" s="19"/>
      <c r="PIU49" s="19"/>
      <c r="PIV49" s="19"/>
      <c r="PIW49" s="19"/>
      <c r="PIX49" s="19"/>
      <c r="PIY49" s="19"/>
      <c r="PIZ49" s="19"/>
      <c r="PJA49" s="19"/>
      <c r="PJB49" s="19"/>
      <c r="PJC49" s="19"/>
      <c r="PJD49" s="19"/>
      <c r="PJE49" s="19"/>
      <c r="PJF49" s="19"/>
      <c r="PJG49" s="19"/>
      <c r="PJH49" s="19"/>
      <c r="PJI49" s="19"/>
      <c r="PJJ49" s="19"/>
      <c r="PJK49" s="19"/>
      <c r="PJL49" s="19"/>
      <c r="PJM49" s="19"/>
      <c r="PJN49" s="19"/>
      <c r="PJO49" s="19"/>
      <c r="PJP49" s="19"/>
      <c r="PJQ49" s="19"/>
      <c r="PJR49" s="19"/>
      <c r="PJS49" s="19"/>
      <c r="PJT49" s="19"/>
      <c r="PJU49" s="19"/>
      <c r="PJV49" s="19"/>
      <c r="PJW49" s="19"/>
      <c r="PJX49" s="19"/>
      <c r="PJY49" s="19"/>
      <c r="PJZ49" s="19"/>
      <c r="PKA49" s="19"/>
      <c r="PKB49" s="19"/>
      <c r="PKC49" s="19"/>
      <c r="PKD49" s="19"/>
      <c r="PKE49" s="19"/>
      <c r="PKF49" s="19"/>
      <c r="PKG49" s="19"/>
      <c r="PKH49" s="19"/>
      <c r="PKI49" s="19"/>
      <c r="PKJ49" s="19"/>
      <c r="PKK49" s="19"/>
      <c r="PKL49" s="19"/>
      <c r="PKM49" s="19"/>
      <c r="PKN49" s="19"/>
      <c r="PKO49" s="19"/>
      <c r="PKP49" s="19"/>
      <c r="PKQ49" s="19"/>
      <c r="PKR49" s="19"/>
      <c r="PKS49" s="19"/>
      <c r="PKT49" s="19"/>
      <c r="PKU49" s="19"/>
      <c r="PKV49" s="19"/>
      <c r="PKW49" s="19"/>
      <c r="PKX49" s="19"/>
      <c r="PKY49" s="19"/>
      <c r="PKZ49" s="19"/>
      <c r="PLA49" s="19"/>
      <c r="PLB49" s="19"/>
      <c r="PLC49" s="19"/>
      <c r="PLD49" s="19"/>
      <c r="PLE49" s="19"/>
      <c r="PLF49" s="19"/>
      <c r="PLG49" s="19"/>
      <c r="PLH49" s="19"/>
      <c r="PLI49" s="19"/>
      <c r="PLJ49" s="19"/>
      <c r="PLK49" s="19"/>
      <c r="PLL49" s="19"/>
      <c r="PLM49" s="19"/>
      <c r="PLN49" s="19"/>
      <c r="PLO49" s="19"/>
      <c r="PLP49" s="19"/>
      <c r="PLQ49" s="19"/>
      <c r="PLR49" s="19"/>
      <c r="PLS49" s="19"/>
      <c r="PLT49" s="19"/>
      <c r="PLU49" s="19"/>
      <c r="PLV49" s="19"/>
      <c r="PLW49" s="19"/>
      <c r="PLX49" s="19"/>
      <c r="PLY49" s="19"/>
      <c r="PLZ49" s="19"/>
      <c r="PMA49" s="19"/>
      <c r="PMB49" s="19"/>
      <c r="PMC49" s="19"/>
      <c r="PMD49" s="19"/>
      <c r="PME49" s="19"/>
      <c r="PMF49" s="19"/>
      <c r="PMG49" s="19"/>
      <c r="PMH49" s="19"/>
      <c r="PMI49" s="19"/>
      <c r="PMJ49" s="19"/>
      <c r="PMK49" s="19"/>
      <c r="PML49" s="19"/>
      <c r="PMM49" s="19"/>
      <c r="PMN49" s="19"/>
      <c r="PMO49" s="19"/>
      <c r="PMP49" s="19"/>
      <c r="PMQ49" s="19"/>
      <c r="PMR49" s="19"/>
      <c r="PMS49" s="19"/>
      <c r="PMT49" s="19"/>
      <c r="PMU49" s="19"/>
      <c r="PMV49" s="19"/>
      <c r="PMW49" s="19"/>
      <c r="PMX49" s="19"/>
      <c r="PMY49" s="19"/>
      <c r="PMZ49" s="19"/>
      <c r="PNA49" s="19"/>
      <c r="PNB49" s="19"/>
      <c r="PNC49" s="19"/>
      <c r="PND49" s="19"/>
      <c r="PNE49" s="19"/>
      <c r="PNF49" s="19"/>
      <c r="PNG49" s="19"/>
      <c r="PNH49" s="19"/>
      <c r="PNI49" s="19"/>
      <c r="PNJ49" s="19"/>
      <c r="PNK49" s="19"/>
      <c r="PNL49" s="19"/>
      <c r="PNM49" s="19"/>
      <c r="PNN49" s="19"/>
      <c r="PNO49" s="19"/>
      <c r="PNP49" s="19"/>
      <c r="PNQ49" s="19"/>
      <c r="PNR49" s="19"/>
      <c r="PNS49" s="19"/>
      <c r="PNT49" s="19"/>
      <c r="PNU49" s="19"/>
      <c r="PNV49" s="19"/>
      <c r="PNW49" s="19"/>
      <c r="PNX49" s="19"/>
      <c r="PNY49" s="19"/>
      <c r="PNZ49" s="19"/>
      <c r="POA49" s="19"/>
      <c r="POB49" s="19"/>
      <c r="POC49" s="19"/>
      <c r="POD49" s="19"/>
      <c r="POE49" s="19"/>
      <c r="POF49" s="19"/>
      <c r="POG49" s="19"/>
      <c r="POH49" s="19"/>
      <c r="POI49" s="19"/>
      <c r="POJ49" s="19"/>
      <c r="POK49" s="19"/>
      <c r="POL49" s="19"/>
      <c r="POM49" s="19"/>
      <c r="PON49" s="19"/>
      <c r="POO49" s="19"/>
      <c r="POP49" s="19"/>
      <c r="POQ49" s="19"/>
      <c r="POR49" s="19"/>
      <c r="POS49" s="19"/>
      <c r="POT49" s="19"/>
      <c r="POU49" s="19"/>
      <c r="POV49" s="19"/>
      <c r="POW49" s="19"/>
      <c r="POX49" s="19"/>
      <c r="POY49" s="19"/>
      <c r="POZ49" s="19"/>
      <c r="PPA49" s="19"/>
      <c r="PPB49" s="19"/>
      <c r="PPC49" s="19"/>
      <c r="PPD49" s="19"/>
      <c r="PPE49" s="19"/>
      <c r="PPF49" s="19"/>
      <c r="PPG49" s="19"/>
      <c r="PPH49" s="19"/>
      <c r="PPI49" s="19"/>
      <c r="PPJ49" s="19"/>
      <c r="PPK49" s="19"/>
      <c r="PPL49" s="19"/>
      <c r="PPM49" s="19"/>
      <c r="PPN49" s="19"/>
      <c r="PPO49" s="19"/>
      <c r="PPP49" s="19"/>
      <c r="PPQ49" s="19"/>
      <c r="PPR49" s="19"/>
      <c r="PPS49" s="19"/>
      <c r="PPT49" s="19"/>
      <c r="PPU49" s="19"/>
      <c r="PPV49" s="19"/>
      <c r="PPW49" s="19"/>
      <c r="PPX49" s="19"/>
      <c r="PPY49" s="19"/>
      <c r="PPZ49" s="19"/>
      <c r="PQA49" s="19"/>
      <c r="PQB49" s="19"/>
      <c r="PQC49" s="19"/>
      <c r="PQD49" s="19"/>
      <c r="PQE49" s="19"/>
      <c r="PQF49" s="19"/>
      <c r="PQG49" s="19"/>
      <c r="PQH49" s="19"/>
      <c r="PQI49" s="19"/>
      <c r="PQJ49" s="19"/>
      <c r="PQK49" s="19"/>
      <c r="PQL49" s="19"/>
      <c r="PQM49" s="19"/>
      <c r="PQN49" s="19"/>
      <c r="PQO49" s="19"/>
      <c r="PQP49" s="19"/>
      <c r="PQQ49" s="19"/>
      <c r="PQR49" s="19"/>
      <c r="PQS49" s="19"/>
      <c r="PQT49" s="19"/>
      <c r="PQU49" s="19"/>
      <c r="PQV49" s="19"/>
      <c r="PQW49" s="19"/>
      <c r="PQX49" s="19"/>
      <c r="PQY49" s="19"/>
      <c r="PQZ49" s="19"/>
      <c r="PRA49" s="19"/>
      <c r="PRB49" s="19"/>
      <c r="PRC49" s="19"/>
      <c r="PRD49" s="19"/>
      <c r="PRE49" s="19"/>
      <c r="PRF49" s="19"/>
      <c r="PRG49" s="19"/>
      <c r="PRH49" s="19"/>
      <c r="PRI49" s="19"/>
      <c r="PRJ49" s="19"/>
      <c r="PRK49" s="19"/>
      <c r="PRL49" s="19"/>
      <c r="PRM49" s="19"/>
      <c r="PRN49" s="19"/>
      <c r="PRO49" s="19"/>
      <c r="PRP49" s="19"/>
      <c r="PRQ49" s="19"/>
      <c r="PRR49" s="19"/>
      <c r="PRS49" s="19"/>
      <c r="PRT49" s="19"/>
      <c r="PRU49" s="19"/>
      <c r="PRV49" s="19"/>
      <c r="PRW49" s="19"/>
      <c r="PRX49" s="19"/>
      <c r="PRY49" s="19"/>
      <c r="PRZ49" s="19"/>
      <c r="PSA49" s="19"/>
      <c r="PSB49" s="19"/>
      <c r="PSC49" s="19"/>
      <c r="PSD49" s="19"/>
      <c r="PSE49" s="19"/>
      <c r="PSF49" s="19"/>
      <c r="PSG49" s="19"/>
      <c r="PSH49" s="19"/>
      <c r="PSI49" s="19"/>
      <c r="PSJ49" s="19"/>
      <c r="PSK49" s="19"/>
      <c r="PSL49" s="19"/>
      <c r="PSM49" s="19"/>
      <c r="PSN49" s="19"/>
      <c r="PSO49" s="19"/>
      <c r="PSP49" s="19"/>
      <c r="PSQ49" s="19"/>
      <c r="PSR49" s="19"/>
      <c r="PSS49" s="19"/>
      <c r="PST49" s="19"/>
      <c r="PSU49" s="19"/>
      <c r="PSV49" s="19"/>
      <c r="PSW49" s="19"/>
      <c r="PSX49" s="19"/>
      <c r="PSY49" s="19"/>
      <c r="PSZ49" s="19"/>
      <c r="PTA49" s="19"/>
      <c r="PTB49" s="19"/>
      <c r="PTC49" s="19"/>
      <c r="PTD49" s="19"/>
      <c r="PTE49" s="19"/>
      <c r="PTF49" s="19"/>
      <c r="PTG49" s="19"/>
      <c r="PTH49" s="19"/>
      <c r="PTI49" s="19"/>
      <c r="PTJ49" s="19"/>
      <c r="PTK49" s="19"/>
      <c r="PTL49" s="19"/>
      <c r="PTM49" s="19"/>
      <c r="PTN49" s="19"/>
      <c r="PTO49" s="19"/>
      <c r="PTP49" s="19"/>
      <c r="PTQ49" s="19"/>
      <c r="PTR49" s="19"/>
      <c r="PTS49" s="19"/>
      <c r="PTT49" s="19"/>
      <c r="PTU49" s="19"/>
      <c r="PTV49" s="19"/>
      <c r="PTW49" s="19"/>
      <c r="PTX49" s="19"/>
      <c r="PTY49" s="19"/>
      <c r="PTZ49" s="19"/>
      <c r="PUA49" s="19"/>
      <c r="PUB49" s="19"/>
      <c r="PUC49" s="19"/>
      <c r="PUD49" s="19"/>
      <c r="PUE49" s="19"/>
      <c r="PUF49" s="19"/>
      <c r="PUG49" s="19"/>
      <c r="PUH49" s="19"/>
      <c r="PUI49" s="19"/>
      <c r="PUJ49" s="19"/>
      <c r="PUK49" s="19"/>
      <c r="PUL49" s="19"/>
      <c r="PUM49" s="19"/>
      <c r="PUN49" s="19"/>
      <c r="PUO49" s="19"/>
      <c r="PUP49" s="19"/>
      <c r="PUQ49" s="19"/>
      <c r="PUR49" s="19"/>
      <c r="PUS49" s="19"/>
      <c r="PUT49" s="19"/>
      <c r="PUU49" s="19"/>
      <c r="PUV49" s="19"/>
      <c r="PUW49" s="19"/>
      <c r="PUX49" s="19"/>
      <c r="PUY49" s="19"/>
      <c r="PUZ49" s="19"/>
      <c r="PVA49" s="19"/>
      <c r="PVB49" s="19"/>
      <c r="PVC49" s="19"/>
      <c r="PVD49" s="19"/>
      <c r="PVE49" s="19"/>
      <c r="PVF49" s="19"/>
      <c r="PVG49" s="19"/>
      <c r="PVH49" s="19"/>
      <c r="PVI49" s="19"/>
      <c r="PVJ49" s="19"/>
      <c r="PVK49" s="19"/>
      <c r="PVL49" s="19"/>
      <c r="PVM49" s="19"/>
      <c r="PVN49" s="19"/>
      <c r="PVO49" s="19"/>
      <c r="PVP49" s="19"/>
      <c r="PVQ49" s="19"/>
      <c r="PVR49" s="19"/>
      <c r="PVS49" s="19"/>
      <c r="PVT49" s="19"/>
      <c r="PVU49" s="19"/>
      <c r="PVV49" s="19"/>
      <c r="PVW49" s="19"/>
      <c r="PVX49" s="19"/>
      <c r="PVY49" s="19"/>
      <c r="PVZ49" s="19"/>
      <c r="PWA49" s="19"/>
      <c r="PWB49" s="19"/>
      <c r="PWC49" s="19"/>
      <c r="PWD49" s="19"/>
      <c r="PWE49" s="19"/>
      <c r="PWF49" s="19"/>
      <c r="PWG49" s="19"/>
      <c r="PWH49" s="19"/>
      <c r="PWI49" s="19"/>
      <c r="PWJ49" s="19"/>
      <c r="PWK49" s="19"/>
      <c r="PWL49" s="19"/>
      <c r="PWM49" s="19"/>
      <c r="PWN49" s="19"/>
      <c r="PWO49" s="19"/>
      <c r="PWP49" s="19"/>
      <c r="PWQ49" s="19"/>
      <c r="PWR49" s="19"/>
      <c r="PWS49" s="19"/>
      <c r="PWT49" s="19"/>
      <c r="PWU49" s="19"/>
      <c r="PWV49" s="19"/>
      <c r="PWW49" s="19"/>
      <c r="PWX49" s="19"/>
      <c r="PWY49" s="19"/>
      <c r="PWZ49" s="19"/>
      <c r="PXA49" s="19"/>
      <c r="PXB49" s="19"/>
      <c r="PXC49" s="19"/>
      <c r="PXD49" s="19"/>
      <c r="PXE49" s="19"/>
      <c r="PXF49" s="19"/>
      <c r="PXG49" s="19"/>
      <c r="PXH49" s="19"/>
      <c r="PXI49" s="19"/>
      <c r="PXJ49" s="19"/>
      <c r="PXK49" s="19"/>
      <c r="PXL49" s="19"/>
      <c r="PXM49" s="19"/>
      <c r="PXN49" s="19"/>
      <c r="PXO49" s="19"/>
      <c r="PXP49" s="19"/>
      <c r="PXQ49" s="19"/>
      <c r="PXR49" s="19"/>
      <c r="PXS49" s="19"/>
      <c r="PXT49" s="19"/>
      <c r="PXU49" s="19"/>
      <c r="PXV49" s="19"/>
      <c r="PXW49" s="19"/>
      <c r="PXX49" s="19"/>
      <c r="PXY49" s="19"/>
      <c r="PXZ49" s="19"/>
      <c r="PYA49" s="19"/>
      <c r="PYB49" s="19"/>
      <c r="PYC49" s="19"/>
      <c r="PYD49" s="19"/>
      <c r="PYE49" s="19"/>
      <c r="PYF49" s="19"/>
      <c r="PYG49" s="19"/>
      <c r="PYH49" s="19"/>
      <c r="PYI49" s="19"/>
      <c r="PYJ49" s="19"/>
      <c r="PYK49" s="19"/>
      <c r="PYL49" s="19"/>
      <c r="PYM49" s="19"/>
      <c r="PYN49" s="19"/>
      <c r="PYO49" s="19"/>
      <c r="PYP49" s="19"/>
      <c r="PYQ49" s="19"/>
      <c r="PYR49" s="19"/>
      <c r="PYS49" s="19"/>
      <c r="PYT49" s="19"/>
      <c r="PYU49" s="19"/>
      <c r="PYV49" s="19"/>
      <c r="PYW49" s="19"/>
      <c r="PYX49" s="19"/>
      <c r="PYY49" s="19"/>
      <c r="PYZ49" s="19"/>
      <c r="PZA49" s="19"/>
      <c r="PZB49" s="19"/>
      <c r="PZC49" s="19"/>
      <c r="PZD49" s="19"/>
      <c r="PZE49" s="19"/>
      <c r="PZF49" s="19"/>
      <c r="PZG49" s="19"/>
      <c r="PZH49" s="19"/>
      <c r="PZI49" s="19"/>
      <c r="PZJ49" s="19"/>
      <c r="PZK49" s="19"/>
      <c r="PZL49" s="19"/>
      <c r="PZM49" s="19"/>
      <c r="PZN49" s="19"/>
      <c r="PZO49" s="19"/>
      <c r="PZP49" s="19"/>
      <c r="PZQ49" s="19"/>
      <c r="PZR49" s="19"/>
      <c r="PZS49" s="19"/>
      <c r="PZT49" s="19"/>
      <c r="PZU49" s="19"/>
      <c r="PZV49" s="19"/>
      <c r="PZW49" s="19"/>
      <c r="PZX49" s="19"/>
      <c r="PZY49" s="19"/>
      <c r="PZZ49" s="19"/>
      <c r="QAA49" s="19"/>
      <c r="QAB49" s="19"/>
      <c r="QAC49" s="19"/>
      <c r="QAD49" s="19"/>
      <c r="QAE49" s="19"/>
      <c r="QAF49" s="19"/>
      <c r="QAG49" s="19"/>
      <c r="QAH49" s="19"/>
      <c r="QAI49" s="19"/>
      <c r="QAJ49" s="19"/>
      <c r="QAK49" s="19"/>
      <c r="QAL49" s="19"/>
      <c r="QAM49" s="19"/>
      <c r="QAN49" s="19"/>
      <c r="QAO49" s="19"/>
      <c r="QAP49" s="19"/>
      <c r="QAQ49" s="19"/>
      <c r="QAR49" s="19"/>
      <c r="QAS49" s="19"/>
      <c r="QAT49" s="19"/>
      <c r="QAU49" s="19"/>
      <c r="QAV49" s="19"/>
      <c r="QAW49" s="19"/>
      <c r="QAX49" s="19"/>
      <c r="QAY49" s="19"/>
      <c r="QAZ49" s="19"/>
      <c r="QBA49" s="19"/>
      <c r="QBB49" s="19"/>
      <c r="QBC49" s="19"/>
      <c r="QBD49" s="19"/>
      <c r="QBE49" s="19"/>
      <c r="QBF49" s="19"/>
      <c r="QBG49" s="19"/>
      <c r="QBH49" s="19"/>
      <c r="QBI49" s="19"/>
      <c r="QBJ49" s="19"/>
      <c r="QBK49" s="19"/>
      <c r="QBL49" s="19"/>
      <c r="QBM49" s="19"/>
      <c r="QBN49" s="19"/>
      <c r="QBO49" s="19"/>
      <c r="QBP49" s="19"/>
      <c r="QBQ49" s="19"/>
      <c r="QBR49" s="19"/>
      <c r="QBS49" s="19"/>
      <c r="QBT49" s="19"/>
      <c r="QBU49" s="19"/>
      <c r="QBV49" s="19"/>
      <c r="QBW49" s="19"/>
      <c r="QBX49" s="19"/>
      <c r="QBY49" s="19"/>
      <c r="QBZ49" s="19"/>
      <c r="QCA49" s="19"/>
      <c r="QCB49" s="19"/>
      <c r="QCC49" s="19"/>
      <c r="QCD49" s="19"/>
      <c r="QCE49" s="19"/>
      <c r="QCF49" s="19"/>
      <c r="QCG49" s="19"/>
      <c r="QCH49" s="19"/>
      <c r="QCI49" s="19"/>
      <c r="QCJ49" s="19"/>
      <c r="QCK49" s="19"/>
      <c r="QCL49" s="19"/>
      <c r="QCM49" s="19"/>
      <c r="QCN49" s="19"/>
      <c r="QCO49" s="19"/>
      <c r="QCP49" s="19"/>
      <c r="QCQ49" s="19"/>
      <c r="QCR49" s="19"/>
      <c r="QCS49" s="19"/>
      <c r="QCT49" s="19"/>
      <c r="QCU49" s="19"/>
      <c r="QCV49" s="19"/>
      <c r="QCW49" s="19"/>
      <c r="QCX49" s="19"/>
      <c r="QCY49" s="19"/>
      <c r="QCZ49" s="19"/>
      <c r="QDA49" s="19"/>
      <c r="QDB49" s="19"/>
      <c r="QDC49" s="19"/>
      <c r="QDD49" s="19"/>
      <c r="QDE49" s="19"/>
      <c r="QDF49" s="19"/>
      <c r="QDG49" s="19"/>
      <c r="QDH49" s="19"/>
      <c r="QDI49" s="19"/>
      <c r="QDJ49" s="19"/>
      <c r="QDK49" s="19"/>
      <c r="QDL49" s="19"/>
      <c r="QDM49" s="19"/>
      <c r="QDN49" s="19"/>
      <c r="QDO49" s="19"/>
      <c r="QDP49" s="19"/>
      <c r="QDQ49" s="19"/>
      <c r="QDR49" s="19"/>
      <c r="QDS49" s="19"/>
      <c r="QDT49" s="19"/>
      <c r="QDU49" s="19"/>
      <c r="QDV49" s="19"/>
      <c r="QDW49" s="19"/>
      <c r="QDX49" s="19"/>
      <c r="QDY49" s="19"/>
      <c r="QDZ49" s="19"/>
      <c r="QEA49" s="19"/>
      <c r="QEB49" s="19"/>
      <c r="QEC49" s="19"/>
      <c r="QED49" s="19"/>
      <c r="QEE49" s="19"/>
      <c r="QEF49" s="19"/>
      <c r="QEG49" s="19"/>
      <c r="QEH49" s="19"/>
      <c r="QEI49" s="19"/>
      <c r="QEJ49" s="19"/>
      <c r="QEK49" s="19"/>
      <c r="QEL49" s="19"/>
      <c r="QEM49" s="19"/>
      <c r="QEN49" s="19"/>
      <c r="QEO49" s="19"/>
      <c r="QEP49" s="19"/>
      <c r="QEQ49" s="19"/>
      <c r="QER49" s="19"/>
      <c r="QES49" s="19"/>
      <c r="QET49" s="19"/>
      <c r="QEU49" s="19"/>
      <c r="QEV49" s="19"/>
      <c r="QEW49" s="19"/>
      <c r="QEX49" s="19"/>
      <c r="QEY49" s="19"/>
      <c r="QEZ49" s="19"/>
      <c r="QFA49" s="19"/>
      <c r="QFB49" s="19"/>
      <c r="QFC49" s="19"/>
      <c r="QFD49" s="19"/>
      <c r="QFE49" s="19"/>
      <c r="QFF49" s="19"/>
      <c r="QFG49" s="19"/>
      <c r="QFH49" s="19"/>
      <c r="QFI49" s="19"/>
      <c r="QFJ49" s="19"/>
      <c r="QFK49" s="19"/>
      <c r="QFL49" s="19"/>
      <c r="QFM49" s="19"/>
      <c r="QFN49" s="19"/>
      <c r="QFO49" s="19"/>
      <c r="QFP49" s="19"/>
      <c r="QFQ49" s="19"/>
      <c r="QFR49" s="19"/>
      <c r="QFS49" s="19"/>
      <c r="QFT49" s="19"/>
      <c r="QFU49" s="19"/>
      <c r="QFV49" s="19"/>
      <c r="QFW49" s="19"/>
      <c r="QFX49" s="19"/>
      <c r="QFY49" s="19"/>
      <c r="QFZ49" s="19"/>
      <c r="QGA49" s="19"/>
      <c r="QGB49" s="19"/>
      <c r="QGC49" s="19"/>
      <c r="QGD49" s="19"/>
      <c r="QGE49" s="19"/>
      <c r="QGF49" s="19"/>
      <c r="QGG49" s="19"/>
      <c r="QGH49" s="19"/>
      <c r="QGI49" s="19"/>
      <c r="QGJ49" s="19"/>
      <c r="QGK49" s="19"/>
      <c r="QGL49" s="19"/>
      <c r="QGM49" s="19"/>
      <c r="QGN49" s="19"/>
      <c r="QGO49" s="19"/>
      <c r="QGP49" s="19"/>
      <c r="QGQ49" s="19"/>
      <c r="QGR49" s="19"/>
      <c r="QGS49" s="19"/>
      <c r="QGT49" s="19"/>
      <c r="QGU49" s="19"/>
      <c r="QGV49" s="19"/>
      <c r="QGW49" s="19"/>
      <c r="QGX49" s="19"/>
      <c r="QGY49" s="19"/>
      <c r="QGZ49" s="19"/>
      <c r="QHA49" s="19"/>
      <c r="QHB49" s="19"/>
      <c r="QHC49" s="19"/>
      <c r="QHD49" s="19"/>
      <c r="QHE49" s="19"/>
      <c r="QHF49" s="19"/>
      <c r="QHG49" s="19"/>
      <c r="QHH49" s="19"/>
      <c r="QHI49" s="19"/>
      <c r="QHJ49" s="19"/>
      <c r="QHK49" s="19"/>
      <c r="QHL49" s="19"/>
      <c r="QHM49" s="19"/>
      <c r="QHN49" s="19"/>
      <c r="QHO49" s="19"/>
      <c r="QHP49" s="19"/>
      <c r="QHQ49" s="19"/>
      <c r="QHR49" s="19"/>
      <c r="QHS49" s="19"/>
      <c r="QHT49" s="19"/>
      <c r="QHU49" s="19"/>
      <c r="QHV49" s="19"/>
      <c r="QHW49" s="19"/>
      <c r="QHX49" s="19"/>
      <c r="QHY49" s="19"/>
      <c r="QHZ49" s="19"/>
      <c r="QIA49" s="19"/>
      <c r="QIB49" s="19"/>
      <c r="QIC49" s="19"/>
      <c r="QID49" s="19"/>
      <c r="QIE49" s="19"/>
      <c r="QIF49" s="19"/>
      <c r="QIG49" s="19"/>
      <c r="QIH49" s="19"/>
      <c r="QII49" s="19"/>
      <c r="QIJ49" s="19"/>
      <c r="QIK49" s="19"/>
      <c r="QIL49" s="19"/>
      <c r="QIM49" s="19"/>
      <c r="QIN49" s="19"/>
      <c r="QIO49" s="19"/>
      <c r="QIP49" s="19"/>
      <c r="QIQ49" s="19"/>
      <c r="QIR49" s="19"/>
      <c r="QIS49" s="19"/>
      <c r="QIT49" s="19"/>
      <c r="QIU49" s="19"/>
      <c r="QIV49" s="19"/>
      <c r="QIW49" s="19"/>
      <c r="QIX49" s="19"/>
      <c r="QIY49" s="19"/>
      <c r="QIZ49" s="19"/>
      <c r="QJA49" s="19"/>
      <c r="QJB49" s="19"/>
      <c r="QJC49" s="19"/>
      <c r="QJD49" s="19"/>
      <c r="QJE49" s="19"/>
      <c r="QJF49" s="19"/>
      <c r="QJG49" s="19"/>
      <c r="QJH49" s="19"/>
      <c r="QJI49" s="19"/>
      <c r="QJJ49" s="19"/>
      <c r="QJK49" s="19"/>
      <c r="QJL49" s="19"/>
      <c r="QJM49" s="19"/>
      <c r="QJN49" s="19"/>
      <c r="QJO49" s="19"/>
      <c r="QJP49" s="19"/>
      <c r="QJQ49" s="19"/>
      <c r="QJR49" s="19"/>
      <c r="QJS49" s="19"/>
      <c r="QJT49" s="19"/>
      <c r="QJU49" s="19"/>
      <c r="QJV49" s="19"/>
      <c r="QJW49" s="19"/>
      <c r="QJX49" s="19"/>
      <c r="QJY49" s="19"/>
      <c r="QJZ49" s="19"/>
      <c r="QKA49" s="19"/>
      <c r="QKB49" s="19"/>
      <c r="QKC49" s="19"/>
      <c r="QKD49" s="19"/>
      <c r="QKE49" s="19"/>
      <c r="QKF49" s="19"/>
      <c r="QKG49" s="19"/>
      <c r="QKH49" s="19"/>
      <c r="QKI49" s="19"/>
      <c r="QKJ49" s="19"/>
      <c r="QKK49" s="19"/>
      <c r="QKL49" s="19"/>
      <c r="QKM49" s="19"/>
      <c r="QKN49" s="19"/>
      <c r="QKO49" s="19"/>
      <c r="QKP49" s="19"/>
      <c r="QKQ49" s="19"/>
      <c r="QKR49" s="19"/>
      <c r="QKS49" s="19"/>
      <c r="QKT49" s="19"/>
      <c r="QKU49" s="19"/>
      <c r="QKV49" s="19"/>
      <c r="QKW49" s="19"/>
      <c r="QKX49" s="19"/>
      <c r="QKY49" s="19"/>
      <c r="QKZ49" s="19"/>
      <c r="QLA49" s="19"/>
      <c r="QLB49" s="19"/>
      <c r="QLC49" s="19"/>
      <c r="QLD49" s="19"/>
      <c r="QLE49" s="19"/>
      <c r="QLF49" s="19"/>
      <c r="QLG49" s="19"/>
      <c r="QLH49" s="19"/>
      <c r="QLI49" s="19"/>
      <c r="QLJ49" s="19"/>
      <c r="QLK49" s="19"/>
      <c r="QLL49" s="19"/>
      <c r="QLM49" s="19"/>
      <c r="QLN49" s="19"/>
      <c r="QLO49" s="19"/>
      <c r="QLP49" s="19"/>
      <c r="QLQ49" s="19"/>
      <c r="QLR49" s="19"/>
      <c r="QLS49" s="19"/>
      <c r="QLT49" s="19"/>
      <c r="QLU49" s="19"/>
      <c r="QLV49" s="19"/>
      <c r="QLW49" s="19"/>
      <c r="QLX49" s="19"/>
      <c r="QLY49" s="19"/>
      <c r="QLZ49" s="19"/>
      <c r="QMA49" s="19"/>
      <c r="QMB49" s="19"/>
      <c r="QMC49" s="19"/>
      <c r="QMD49" s="19"/>
      <c r="QME49" s="19"/>
      <c r="QMF49" s="19"/>
      <c r="QMG49" s="19"/>
      <c r="QMH49" s="19"/>
      <c r="QMI49" s="19"/>
      <c r="QMJ49" s="19"/>
      <c r="QMK49" s="19"/>
      <c r="QML49" s="19"/>
      <c r="QMM49" s="19"/>
      <c r="QMN49" s="19"/>
      <c r="QMO49" s="19"/>
      <c r="QMP49" s="19"/>
      <c r="QMQ49" s="19"/>
      <c r="QMR49" s="19"/>
      <c r="QMS49" s="19"/>
      <c r="QMT49" s="19"/>
      <c r="QMU49" s="19"/>
      <c r="QMV49" s="19"/>
      <c r="QMW49" s="19"/>
      <c r="QMX49" s="19"/>
      <c r="QMY49" s="19"/>
      <c r="QMZ49" s="19"/>
      <c r="QNA49" s="19"/>
      <c r="QNB49" s="19"/>
      <c r="QNC49" s="19"/>
      <c r="QND49" s="19"/>
      <c r="QNE49" s="19"/>
      <c r="QNF49" s="19"/>
      <c r="QNG49" s="19"/>
      <c r="QNH49" s="19"/>
      <c r="QNI49" s="19"/>
      <c r="QNJ49" s="19"/>
      <c r="QNK49" s="19"/>
      <c r="QNL49" s="19"/>
      <c r="QNM49" s="19"/>
      <c r="QNN49" s="19"/>
      <c r="QNO49" s="19"/>
      <c r="QNP49" s="19"/>
      <c r="QNQ49" s="19"/>
      <c r="QNR49" s="19"/>
      <c r="QNS49" s="19"/>
      <c r="QNT49" s="19"/>
      <c r="QNU49" s="19"/>
      <c r="QNV49" s="19"/>
      <c r="QNW49" s="19"/>
      <c r="QNX49" s="19"/>
      <c r="QNY49" s="19"/>
      <c r="QNZ49" s="19"/>
      <c r="QOA49" s="19"/>
      <c r="QOB49" s="19"/>
      <c r="QOC49" s="19"/>
      <c r="QOD49" s="19"/>
      <c r="QOE49" s="19"/>
      <c r="QOF49" s="19"/>
      <c r="QOG49" s="19"/>
      <c r="QOH49" s="19"/>
      <c r="QOI49" s="19"/>
      <c r="QOJ49" s="19"/>
      <c r="QOK49" s="19"/>
      <c r="QOL49" s="19"/>
      <c r="QOM49" s="19"/>
      <c r="QON49" s="19"/>
      <c r="QOO49" s="19"/>
      <c r="QOP49" s="19"/>
      <c r="QOQ49" s="19"/>
      <c r="QOR49" s="19"/>
      <c r="QOS49" s="19"/>
      <c r="QOT49" s="19"/>
      <c r="QOU49" s="19"/>
      <c r="QOV49" s="19"/>
      <c r="QOW49" s="19"/>
      <c r="QOX49" s="19"/>
      <c r="QOY49" s="19"/>
      <c r="QOZ49" s="19"/>
      <c r="QPA49" s="19"/>
      <c r="QPB49" s="19"/>
      <c r="QPC49" s="19"/>
      <c r="QPD49" s="19"/>
      <c r="QPE49" s="19"/>
      <c r="QPF49" s="19"/>
      <c r="QPG49" s="19"/>
      <c r="QPH49" s="19"/>
      <c r="QPI49" s="19"/>
      <c r="QPJ49" s="19"/>
      <c r="QPK49" s="19"/>
      <c r="QPL49" s="19"/>
      <c r="QPM49" s="19"/>
      <c r="QPN49" s="19"/>
      <c r="QPO49" s="19"/>
      <c r="QPP49" s="19"/>
      <c r="QPQ49" s="19"/>
      <c r="QPR49" s="19"/>
      <c r="QPS49" s="19"/>
      <c r="QPT49" s="19"/>
      <c r="QPU49" s="19"/>
      <c r="QPV49" s="19"/>
      <c r="QPW49" s="19"/>
      <c r="QPX49" s="19"/>
      <c r="QPY49" s="19"/>
      <c r="QPZ49" s="19"/>
      <c r="QQA49" s="19"/>
      <c r="QQB49" s="19"/>
      <c r="QQC49" s="19"/>
      <c r="QQD49" s="19"/>
      <c r="QQE49" s="19"/>
      <c r="QQF49" s="19"/>
      <c r="QQG49" s="19"/>
      <c r="QQH49" s="19"/>
      <c r="QQI49" s="19"/>
      <c r="QQJ49" s="19"/>
      <c r="QQK49" s="19"/>
      <c r="QQL49" s="19"/>
      <c r="QQM49" s="19"/>
      <c r="QQN49" s="19"/>
      <c r="QQO49" s="19"/>
      <c r="QQP49" s="19"/>
      <c r="QQQ49" s="19"/>
      <c r="QQR49" s="19"/>
      <c r="QQS49" s="19"/>
      <c r="QQT49" s="19"/>
      <c r="QQU49" s="19"/>
      <c r="QQV49" s="19"/>
      <c r="QQW49" s="19"/>
      <c r="QQX49" s="19"/>
      <c r="QQY49" s="19"/>
      <c r="QQZ49" s="19"/>
      <c r="QRA49" s="19"/>
      <c r="QRB49" s="19"/>
      <c r="QRC49" s="19"/>
      <c r="QRD49" s="19"/>
      <c r="QRE49" s="19"/>
      <c r="QRF49" s="19"/>
      <c r="QRG49" s="19"/>
      <c r="QRH49" s="19"/>
      <c r="QRI49" s="19"/>
      <c r="QRJ49" s="19"/>
      <c r="QRK49" s="19"/>
      <c r="QRL49" s="19"/>
      <c r="QRM49" s="19"/>
      <c r="QRN49" s="19"/>
      <c r="QRO49" s="19"/>
      <c r="QRP49" s="19"/>
      <c r="QRQ49" s="19"/>
      <c r="QRR49" s="19"/>
      <c r="QRS49" s="19"/>
      <c r="QRT49" s="19"/>
      <c r="QRU49" s="19"/>
      <c r="QRV49" s="19"/>
      <c r="QRW49" s="19"/>
      <c r="QRX49" s="19"/>
      <c r="QRY49" s="19"/>
      <c r="QRZ49" s="19"/>
      <c r="QSA49" s="19"/>
      <c r="QSB49" s="19"/>
      <c r="QSC49" s="19"/>
      <c r="QSD49" s="19"/>
      <c r="QSE49" s="19"/>
      <c r="QSF49" s="19"/>
      <c r="QSG49" s="19"/>
      <c r="QSH49" s="19"/>
      <c r="QSI49" s="19"/>
      <c r="QSJ49" s="19"/>
      <c r="QSK49" s="19"/>
      <c r="QSL49" s="19"/>
      <c r="QSM49" s="19"/>
      <c r="QSN49" s="19"/>
      <c r="QSO49" s="19"/>
      <c r="QSP49" s="19"/>
      <c r="QSQ49" s="19"/>
      <c r="QSR49" s="19"/>
      <c r="QSS49" s="19"/>
      <c r="QST49" s="19"/>
      <c r="QSU49" s="19"/>
      <c r="QSV49" s="19"/>
      <c r="QSW49" s="19"/>
      <c r="QSX49" s="19"/>
      <c r="QSY49" s="19"/>
      <c r="QSZ49" s="19"/>
      <c r="QTA49" s="19"/>
      <c r="QTB49" s="19"/>
      <c r="QTC49" s="19"/>
      <c r="QTD49" s="19"/>
      <c r="QTE49" s="19"/>
      <c r="QTF49" s="19"/>
      <c r="QTG49" s="19"/>
      <c r="QTH49" s="19"/>
      <c r="QTI49" s="19"/>
      <c r="QTJ49" s="19"/>
      <c r="QTK49" s="19"/>
      <c r="QTL49" s="19"/>
      <c r="QTM49" s="19"/>
      <c r="QTN49" s="19"/>
      <c r="QTO49" s="19"/>
      <c r="QTP49" s="19"/>
      <c r="QTQ49" s="19"/>
      <c r="QTR49" s="19"/>
      <c r="QTS49" s="19"/>
      <c r="QTT49" s="19"/>
      <c r="QTU49" s="19"/>
      <c r="QTV49" s="19"/>
      <c r="QTW49" s="19"/>
      <c r="QTX49" s="19"/>
      <c r="QTY49" s="19"/>
      <c r="QTZ49" s="19"/>
      <c r="QUA49" s="19"/>
      <c r="QUB49" s="19"/>
      <c r="QUC49" s="19"/>
      <c r="QUD49" s="19"/>
      <c r="QUE49" s="19"/>
      <c r="QUF49" s="19"/>
      <c r="QUG49" s="19"/>
      <c r="QUH49" s="19"/>
      <c r="QUI49" s="19"/>
      <c r="QUJ49" s="19"/>
      <c r="QUK49" s="19"/>
      <c r="QUL49" s="19"/>
      <c r="QUM49" s="19"/>
      <c r="QUN49" s="19"/>
      <c r="QUO49" s="19"/>
      <c r="QUP49" s="19"/>
      <c r="QUQ49" s="19"/>
      <c r="QUR49" s="19"/>
      <c r="QUS49" s="19"/>
      <c r="QUT49" s="19"/>
      <c r="QUU49" s="19"/>
      <c r="QUV49" s="19"/>
      <c r="QUW49" s="19"/>
      <c r="QUX49" s="19"/>
      <c r="QUY49" s="19"/>
      <c r="QUZ49" s="19"/>
      <c r="QVA49" s="19"/>
      <c r="QVB49" s="19"/>
      <c r="QVC49" s="19"/>
      <c r="QVD49" s="19"/>
      <c r="QVE49" s="19"/>
      <c r="QVF49" s="19"/>
      <c r="QVG49" s="19"/>
      <c r="QVH49" s="19"/>
      <c r="QVI49" s="19"/>
      <c r="QVJ49" s="19"/>
      <c r="QVK49" s="19"/>
      <c r="QVL49" s="19"/>
      <c r="QVM49" s="19"/>
      <c r="QVN49" s="19"/>
      <c r="QVO49" s="19"/>
      <c r="QVP49" s="19"/>
      <c r="QVQ49" s="19"/>
      <c r="QVR49" s="19"/>
      <c r="QVS49" s="19"/>
      <c r="QVT49" s="19"/>
      <c r="QVU49" s="19"/>
      <c r="QVV49" s="19"/>
      <c r="QVW49" s="19"/>
      <c r="QVX49" s="19"/>
      <c r="QVY49" s="19"/>
      <c r="QVZ49" s="19"/>
      <c r="QWA49" s="19"/>
      <c r="QWB49" s="19"/>
      <c r="QWC49" s="19"/>
      <c r="QWD49" s="19"/>
      <c r="QWE49" s="19"/>
      <c r="QWF49" s="19"/>
      <c r="QWG49" s="19"/>
      <c r="QWH49" s="19"/>
      <c r="QWI49" s="19"/>
      <c r="QWJ49" s="19"/>
      <c r="QWK49" s="19"/>
      <c r="QWL49" s="19"/>
      <c r="QWM49" s="19"/>
      <c r="QWN49" s="19"/>
      <c r="QWO49" s="19"/>
      <c r="QWP49" s="19"/>
      <c r="QWQ49" s="19"/>
      <c r="QWR49" s="19"/>
      <c r="QWS49" s="19"/>
      <c r="QWT49" s="19"/>
      <c r="QWU49" s="19"/>
      <c r="QWV49" s="19"/>
      <c r="QWW49" s="19"/>
      <c r="QWX49" s="19"/>
      <c r="QWY49" s="19"/>
      <c r="QWZ49" s="19"/>
      <c r="QXA49" s="19"/>
      <c r="QXB49" s="19"/>
      <c r="QXC49" s="19"/>
      <c r="QXD49" s="19"/>
      <c r="QXE49" s="19"/>
      <c r="QXF49" s="19"/>
      <c r="QXG49" s="19"/>
      <c r="QXH49" s="19"/>
      <c r="QXI49" s="19"/>
      <c r="QXJ49" s="19"/>
      <c r="QXK49" s="19"/>
      <c r="QXL49" s="19"/>
      <c r="QXM49" s="19"/>
      <c r="QXN49" s="19"/>
      <c r="QXO49" s="19"/>
      <c r="QXP49" s="19"/>
      <c r="QXQ49" s="19"/>
      <c r="QXR49" s="19"/>
      <c r="QXS49" s="19"/>
      <c r="QXT49" s="19"/>
      <c r="QXU49" s="19"/>
      <c r="QXV49" s="19"/>
      <c r="QXW49" s="19"/>
      <c r="QXX49" s="19"/>
      <c r="QXY49" s="19"/>
      <c r="QXZ49" s="19"/>
      <c r="QYA49" s="19"/>
      <c r="QYB49" s="19"/>
      <c r="QYC49" s="19"/>
      <c r="QYD49" s="19"/>
      <c r="QYE49" s="19"/>
      <c r="QYF49" s="19"/>
      <c r="QYG49" s="19"/>
      <c r="QYH49" s="19"/>
      <c r="QYI49" s="19"/>
      <c r="QYJ49" s="19"/>
      <c r="QYK49" s="19"/>
      <c r="QYL49" s="19"/>
      <c r="QYM49" s="19"/>
      <c r="QYN49" s="19"/>
      <c r="QYO49" s="19"/>
      <c r="QYP49" s="19"/>
      <c r="QYQ49" s="19"/>
      <c r="QYR49" s="19"/>
      <c r="QYS49" s="19"/>
      <c r="QYT49" s="19"/>
      <c r="QYU49" s="19"/>
      <c r="QYV49" s="19"/>
      <c r="QYW49" s="19"/>
      <c r="QYX49" s="19"/>
      <c r="QYY49" s="19"/>
      <c r="QYZ49" s="19"/>
      <c r="QZA49" s="19"/>
      <c r="QZB49" s="19"/>
      <c r="QZC49" s="19"/>
      <c r="QZD49" s="19"/>
      <c r="QZE49" s="19"/>
      <c r="QZF49" s="19"/>
      <c r="QZG49" s="19"/>
      <c r="QZH49" s="19"/>
      <c r="QZI49" s="19"/>
      <c r="QZJ49" s="19"/>
      <c r="QZK49" s="19"/>
      <c r="QZL49" s="19"/>
      <c r="QZM49" s="19"/>
      <c r="QZN49" s="19"/>
      <c r="QZO49" s="19"/>
      <c r="QZP49" s="19"/>
      <c r="QZQ49" s="19"/>
      <c r="QZR49" s="19"/>
      <c r="QZS49" s="19"/>
      <c r="QZT49" s="19"/>
      <c r="QZU49" s="19"/>
      <c r="QZV49" s="19"/>
      <c r="QZW49" s="19"/>
      <c r="QZX49" s="19"/>
      <c r="QZY49" s="19"/>
      <c r="QZZ49" s="19"/>
      <c r="RAA49" s="19"/>
      <c r="RAB49" s="19"/>
      <c r="RAC49" s="19"/>
      <c r="RAD49" s="19"/>
      <c r="RAE49" s="19"/>
      <c r="RAF49" s="19"/>
      <c r="RAG49" s="19"/>
      <c r="RAH49" s="19"/>
      <c r="RAI49" s="19"/>
      <c r="RAJ49" s="19"/>
      <c r="RAK49" s="19"/>
      <c r="RAL49" s="19"/>
      <c r="RAM49" s="19"/>
      <c r="RAN49" s="19"/>
      <c r="RAO49" s="19"/>
      <c r="RAP49" s="19"/>
      <c r="RAQ49" s="19"/>
      <c r="RAR49" s="19"/>
      <c r="RAS49" s="19"/>
      <c r="RAT49" s="19"/>
      <c r="RAU49" s="19"/>
      <c r="RAV49" s="19"/>
      <c r="RAW49" s="19"/>
      <c r="RAX49" s="19"/>
      <c r="RAY49" s="19"/>
      <c r="RAZ49" s="19"/>
      <c r="RBA49" s="19"/>
      <c r="RBB49" s="19"/>
      <c r="RBC49" s="19"/>
      <c r="RBD49" s="19"/>
      <c r="RBE49" s="19"/>
      <c r="RBF49" s="19"/>
      <c r="RBG49" s="19"/>
      <c r="RBH49" s="19"/>
      <c r="RBI49" s="19"/>
      <c r="RBJ49" s="19"/>
      <c r="RBK49" s="19"/>
      <c r="RBL49" s="19"/>
      <c r="RBM49" s="19"/>
      <c r="RBN49" s="19"/>
      <c r="RBO49" s="19"/>
      <c r="RBP49" s="19"/>
      <c r="RBQ49" s="19"/>
      <c r="RBR49" s="19"/>
      <c r="RBS49" s="19"/>
      <c r="RBT49" s="19"/>
      <c r="RBU49" s="19"/>
      <c r="RBV49" s="19"/>
      <c r="RBW49" s="19"/>
      <c r="RBX49" s="19"/>
      <c r="RBY49" s="19"/>
      <c r="RBZ49" s="19"/>
      <c r="RCA49" s="19"/>
      <c r="RCB49" s="19"/>
      <c r="RCC49" s="19"/>
      <c r="RCD49" s="19"/>
      <c r="RCE49" s="19"/>
      <c r="RCF49" s="19"/>
      <c r="RCG49" s="19"/>
      <c r="RCH49" s="19"/>
      <c r="RCI49" s="19"/>
      <c r="RCJ49" s="19"/>
      <c r="RCK49" s="19"/>
      <c r="RCL49" s="19"/>
      <c r="RCM49" s="19"/>
      <c r="RCN49" s="19"/>
      <c r="RCO49" s="19"/>
      <c r="RCP49" s="19"/>
      <c r="RCQ49" s="19"/>
      <c r="RCR49" s="19"/>
      <c r="RCS49" s="19"/>
      <c r="RCT49" s="19"/>
      <c r="RCU49" s="19"/>
      <c r="RCV49" s="19"/>
      <c r="RCW49" s="19"/>
      <c r="RCX49" s="19"/>
      <c r="RCY49" s="19"/>
      <c r="RCZ49" s="19"/>
      <c r="RDA49" s="19"/>
      <c r="RDB49" s="19"/>
      <c r="RDC49" s="19"/>
      <c r="RDD49" s="19"/>
      <c r="RDE49" s="19"/>
      <c r="RDF49" s="19"/>
      <c r="RDG49" s="19"/>
      <c r="RDH49" s="19"/>
      <c r="RDI49" s="19"/>
      <c r="RDJ49" s="19"/>
      <c r="RDK49" s="19"/>
      <c r="RDL49" s="19"/>
      <c r="RDM49" s="19"/>
      <c r="RDN49" s="19"/>
      <c r="RDO49" s="19"/>
      <c r="RDP49" s="19"/>
      <c r="RDQ49" s="19"/>
      <c r="RDR49" s="19"/>
      <c r="RDS49" s="19"/>
      <c r="RDT49" s="19"/>
      <c r="RDU49" s="19"/>
      <c r="RDV49" s="19"/>
      <c r="RDW49" s="19"/>
      <c r="RDX49" s="19"/>
      <c r="RDY49" s="19"/>
      <c r="RDZ49" s="19"/>
      <c r="REA49" s="19"/>
      <c r="REB49" s="19"/>
      <c r="REC49" s="19"/>
      <c r="RED49" s="19"/>
      <c r="REE49" s="19"/>
      <c r="REF49" s="19"/>
      <c r="REG49" s="19"/>
      <c r="REH49" s="19"/>
      <c r="REI49" s="19"/>
      <c r="REJ49" s="19"/>
      <c r="REK49" s="19"/>
      <c r="REL49" s="19"/>
      <c r="REM49" s="19"/>
      <c r="REN49" s="19"/>
      <c r="REO49" s="19"/>
      <c r="REP49" s="19"/>
      <c r="REQ49" s="19"/>
      <c r="RER49" s="19"/>
      <c r="RES49" s="19"/>
      <c r="RET49" s="19"/>
      <c r="REU49" s="19"/>
      <c r="REV49" s="19"/>
      <c r="REW49" s="19"/>
      <c r="REX49" s="19"/>
      <c r="REY49" s="19"/>
      <c r="REZ49" s="19"/>
      <c r="RFA49" s="19"/>
      <c r="RFB49" s="19"/>
      <c r="RFC49" s="19"/>
      <c r="RFD49" s="19"/>
      <c r="RFE49" s="19"/>
      <c r="RFF49" s="19"/>
      <c r="RFG49" s="19"/>
      <c r="RFH49" s="19"/>
      <c r="RFI49" s="19"/>
      <c r="RFJ49" s="19"/>
      <c r="RFK49" s="19"/>
      <c r="RFL49" s="19"/>
      <c r="RFM49" s="19"/>
      <c r="RFN49" s="19"/>
      <c r="RFO49" s="19"/>
      <c r="RFP49" s="19"/>
      <c r="RFQ49" s="19"/>
      <c r="RFR49" s="19"/>
      <c r="RFS49" s="19"/>
      <c r="RFT49" s="19"/>
      <c r="RFU49" s="19"/>
      <c r="RFV49" s="19"/>
      <c r="RFW49" s="19"/>
      <c r="RFX49" s="19"/>
      <c r="RFY49" s="19"/>
      <c r="RFZ49" s="19"/>
      <c r="RGA49" s="19"/>
      <c r="RGB49" s="19"/>
      <c r="RGC49" s="19"/>
      <c r="RGD49" s="19"/>
      <c r="RGE49" s="19"/>
      <c r="RGF49" s="19"/>
      <c r="RGG49" s="19"/>
      <c r="RGH49" s="19"/>
      <c r="RGI49" s="19"/>
      <c r="RGJ49" s="19"/>
      <c r="RGK49" s="19"/>
      <c r="RGL49" s="19"/>
      <c r="RGM49" s="19"/>
      <c r="RGN49" s="19"/>
      <c r="RGO49" s="19"/>
      <c r="RGP49" s="19"/>
      <c r="RGQ49" s="19"/>
      <c r="RGR49" s="19"/>
      <c r="RGS49" s="19"/>
      <c r="RGT49" s="19"/>
      <c r="RGU49" s="19"/>
      <c r="RGV49" s="19"/>
      <c r="RGW49" s="19"/>
      <c r="RGX49" s="19"/>
      <c r="RGY49" s="19"/>
      <c r="RGZ49" s="19"/>
      <c r="RHA49" s="19"/>
      <c r="RHB49" s="19"/>
      <c r="RHC49" s="19"/>
      <c r="RHD49" s="19"/>
      <c r="RHE49" s="19"/>
      <c r="RHF49" s="19"/>
      <c r="RHG49" s="19"/>
      <c r="RHH49" s="19"/>
      <c r="RHI49" s="19"/>
      <c r="RHJ49" s="19"/>
      <c r="RHK49" s="19"/>
      <c r="RHL49" s="19"/>
      <c r="RHM49" s="19"/>
      <c r="RHN49" s="19"/>
      <c r="RHO49" s="19"/>
      <c r="RHP49" s="19"/>
      <c r="RHQ49" s="19"/>
      <c r="RHR49" s="19"/>
      <c r="RHS49" s="19"/>
      <c r="RHT49" s="19"/>
      <c r="RHU49" s="19"/>
      <c r="RHV49" s="19"/>
      <c r="RHW49" s="19"/>
      <c r="RHX49" s="19"/>
      <c r="RHY49" s="19"/>
      <c r="RHZ49" s="19"/>
      <c r="RIA49" s="19"/>
      <c r="RIB49" s="19"/>
      <c r="RIC49" s="19"/>
      <c r="RID49" s="19"/>
      <c r="RIE49" s="19"/>
      <c r="RIF49" s="19"/>
      <c r="RIG49" s="19"/>
      <c r="RIH49" s="19"/>
      <c r="RII49" s="19"/>
      <c r="RIJ49" s="19"/>
      <c r="RIK49" s="19"/>
      <c r="RIL49" s="19"/>
      <c r="RIM49" s="19"/>
      <c r="RIN49" s="19"/>
      <c r="RIO49" s="19"/>
      <c r="RIP49" s="19"/>
      <c r="RIQ49" s="19"/>
      <c r="RIR49" s="19"/>
      <c r="RIS49" s="19"/>
      <c r="RIT49" s="19"/>
      <c r="RIU49" s="19"/>
      <c r="RIV49" s="19"/>
      <c r="RIW49" s="19"/>
      <c r="RIX49" s="19"/>
      <c r="RIY49" s="19"/>
      <c r="RIZ49" s="19"/>
      <c r="RJA49" s="19"/>
      <c r="RJB49" s="19"/>
      <c r="RJC49" s="19"/>
      <c r="RJD49" s="19"/>
      <c r="RJE49" s="19"/>
      <c r="RJF49" s="19"/>
      <c r="RJG49" s="19"/>
      <c r="RJH49" s="19"/>
      <c r="RJI49" s="19"/>
      <c r="RJJ49" s="19"/>
      <c r="RJK49" s="19"/>
      <c r="RJL49" s="19"/>
      <c r="RJM49" s="19"/>
      <c r="RJN49" s="19"/>
      <c r="RJO49" s="19"/>
      <c r="RJP49" s="19"/>
      <c r="RJQ49" s="19"/>
      <c r="RJR49" s="19"/>
      <c r="RJS49" s="19"/>
      <c r="RJT49" s="19"/>
      <c r="RJU49" s="19"/>
      <c r="RJV49" s="19"/>
      <c r="RJW49" s="19"/>
      <c r="RJX49" s="19"/>
      <c r="RJY49" s="19"/>
      <c r="RJZ49" s="19"/>
      <c r="RKA49" s="19"/>
      <c r="RKB49" s="19"/>
      <c r="RKC49" s="19"/>
      <c r="RKD49" s="19"/>
      <c r="RKE49" s="19"/>
      <c r="RKF49" s="19"/>
      <c r="RKG49" s="19"/>
      <c r="RKH49" s="19"/>
      <c r="RKI49" s="19"/>
      <c r="RKJ49" s="19"/>
      <c r="RKK49" s="19"/>
      <c r="RKL49" s="19"/>
      <c r="RKM49" s="19"/>
      <c r="RKN49" s="19"/>
      <c r="RKO49" s="19"/>
      <c r="RKP49" s="19"/>
      <c r="RKQ49" s="19"/>
      <c r="RKR49" s="19"/>
      <c r="RKS49" s="19"/>
      <c r="RKT49" s="19"/>
      <c r="RKU49" s="19"/>
      <c r="RKV49" s="19"/>
      <c r="RKW49" s="19"/>
      <c r="RKX49" s="19"/>
      <c r="RKY49" s="19"/>
      <c r="RKZ49" s="19"/>
      <c r="RLA49" s="19"/>
      <c r="RLB49" s="19"/>
      <c r="RLC49" s="19"/>
      <c r="RLD49" s="19"/>
      <c r="RLE49" s="19"/>
      <c r="RLF49" s="19"/>
      <c r="RLG49" s="19"/>
      <c r="RLH49" s="19"/>
      <c r="RLI49" s="19"/>
      <c r="RLJ49" s="19"/>
      <c r="RLK49" s="19"/>
      <c r="RLL49" s="19"/>
      <c r="RLM49" s="19"/>
      <c r="RLN49" s="19"/>
      <c r="RLO49" s="19"/>
      <c r="RLP49" s="19"/>
      <c r="RLQ49" s="19"/>
      <c r="RLR49" s="19"/>
      <c r="RLS49" s="19"/>
      <c r="RLT49" s="19"/>
      <c r="RLU49" s="19"/>
      <c r="RLV49" s="19"/>
      <c r="RLW49" s="19"/>
      <c r="RLX49" s="19"/>
      <c r="RLY49" s="19"/>
      <c r="RLZ49" s="19"/>
      <c r="RMA49" s="19"/>
      <c r="RMB49" s="19"/>
      <c r="RMC49" s="19"/>
      <c r="RMD49" s="19"/>
      <c r="RME49" s="19"/>
      <c r="RMF49" s="19"/>
      <c r="RMG49" s="19"/>
      <c r="RMH49" s="19"/>
      <c r="RMI49" s="19"/>
      <c r="RMJ49" s="19"/>
      <c r="RMK49" s="19"/>
      <c r="RML49" s="19"/>
      <c r="RMM49" s="19"/>
      <c r="RMN49" s="19"/>
      <c r="RMO49" s="19"/>
      <c r="RMP49" s="19"/>
      <c r="RMQ49" s="19"/>
      <c r="RMR49" s="19"/>
      <c r="RMS49" s="19"/>
      <c r="RMT49" s="19"/>
      <c r="RMU49" s="19"/>
      <c r="RMV49" s="19"/>
      <c r="RMW49" s="19"/>
      <c r="RMX49" s="19"/>
      <c r="RMY49" s="19"/>
      <c r="RMZ49" s="19"/>
      <c r="RNA49" s="19"/>
      <c r="RNB49" s="19"/>
      <c r="RNC49" s="19"/>
      <c r="RND49" s="19"/>
      <c r="RNE49" s="19"/>
      <c r="RNF49" s="19"/>
      <c r="RNG49" s="19"/>
      <c r="RNH49" s="19"/>
      <c r="RNI49" s="19"/>
      <c r="RNJ49" s="19"/>
      <c r="RNK49" s="19"/>
      <c r="RNL49" s="19"/>
      <c r="RNM49" s="19"/>
      <c r="RNN49" s="19"/>
      <c r="RNO49" s="19"/>
      <c r="RNP49" s="19"/>
      <c r="RNQ49" s="19"/>
      <c r="RNR49" s="19"/>
      <c r="RNS49" s="19"/>
      <c r="RNT49" s="19"/>
      <c r="RNU49" s="19"/>
      <c r="RNV49" s="19"/>
      <c r="RNW49" s="19"/>
      <c r="RNX49" s="19"/>
      <c r="RNY49" s="19"/>
      <c r="RNZ49" s="19"/>
      <c r="ROA49" s="19"/>
      <c r="ROB49" s="19"/>
      <c r="ROC49" s="19"/>
      <c r="ROD49" s="19"/>
      <c r="ROE49" s="19"/>
      <c r="ROF49" s="19"/>
      <c r="ROG49" s="19"/>
      <c r="ROH49" s="19"/>
      <c r="ROI49" s="19"/>
      <c r="ROJ49" s="19"/>
      <c r="ROK49" s="19"/>
      <c r="ROL49" s="19"/>
      <c r="ROM49" s="19"/>
      <c r="RON49" s="19"/>
      <c r="ROO49" s="19"/>
      <c r="ROP49" s="19"/>
      <c r="ROQ49" s="19"/>
      <c r="ROR49" s="19"/>
      <c r="ROS49" s="19"/>
      <c r="ROT49" s="19"/>
      <c r="ROU49" s="19"/>
      <c r="ROV49" s="19"/>
      <c r="ROW49" s="19"/>
      <c r="ROX49" s="19"/>
      <c r="ROY49" s="19"/>
      <c r="ROZ49" s="19"/>
      <c r="RPA49" s="19"/>
      <c r="RPB49" s="19"/>
      <c r="RPC49" s="19"/>
      <c r="RPD49" s="19"/>
      <c r="RPE49" s="19"/>
      <c r="RPF49" s="19"/>
      <c r="RPG49" s="19"/>
      <c r="RPH49" s="19"/>
      <c r="RPI49" s="19"/>
      <c r="RPJ49" s="19"/>
      <c r="RPK49" s="19"/>
      <c r="RPL49" s="19"/>
      <c r="RPM49" s="19"/>
      <c r="RPN49" s="19"/>
      <c r="RPO49" s="19"/>
      <c r="RPP49" s="19"/>
      <c r="RPQ49" s="19"/>
      <c r="RPR49" s="19"/>
      <c r="RPS49" s="19"/>
      <c r="RPT49" s="19"/>
      <c r="RPU49" s="19"/>
      <c r="RPV49" s="19"/>
      <c r="RPW49" s="19"/>
      <c r="RPX49" s="19"/>
      <c r="RPY49" s="19"/>
      <c r="RPZ49" s="19"/>
      <c r="RQA49" s="19"/>
      <c r="RQB49" s="19"/>
      <c r="RQC49" s="19"/>
      <c r="RQD49" s="19"/>
      <c r="RQE49" s="19"/>
      <c r="RQF49" s="19"/>
      <c r="RQG49" s="19"/>
      <c r="RQH49" s="19"/>
      <c r="RQI49" s="19"/>
      <c r="RQJ49" s="19"/>
      <c r="RQK49" s="19"/>
      <c r="RQL49" s="19"/>
      <c r="RQM49" s="19"/>
      <c r="RQN49" s="19"/>
      <c r="RQO49" s="19"/>
      <c r="RQP49" s="19"/>
      <c r="RQQ49" s="19"/>
      <c r="RQR49" s="19"/>
      <c r="RQS49" s="19"/>
      <c r="RQT49" s="19"/>
      <c r="RQU49" s="19"/>
      <c r="RQV49" s="19"/>
      <c r="RQW49" s="19"/>
      <c r="RQX49" s="19"/>
      <c r="RQY49" s="19"/>
      <c r="RQZ49" s="19"/>
      <c r="RRA49" s="19"/>
      <c r="RRB49" s="19"/>
      <c r="RRC49" s="19"/>
      <c r="RRD49" s="19"/>
      <c r="RRE49" s="19"/>
      <c r="RRF49" s="19"/>
      <c r="RRG49" s="19"/>
      <c r="RRH49" s="19"/>
      <c r="RRI49" s="19"/>
      <c r="RRJ49" s="19"/>
      <c r="RRK49" s="19"/>
      <c r="RRL49" s="19"/>
      <c r="RRM49" s="19"/>
      <c r="RRN49" s="19"/>
      <c r="RRO49" s="19"/>
      <c r="RRP49" s="19"/>
      <c r="RRQ49" s="19"/>
      <c r="RRR49" s="19"/>
      <c r="RRS49" s="19"/>
      <c r="RRT49" s="19"/>
      <c r="RRU49" s="19"/>
      <c r="RRV49" s="19"/>
      <c r="RRW49" s="19"/>
      <c r="RRX49" s="19"/>
      <c r="RRY49" s="19"/>
      <c r="RRZ49" s="19"/>
      <c r="RSA49" s="19"/>
      <c r="RSB49" s="19"/>
      <c r="RSC49" s="19"/>
      <c r="RSD49" s="19"/>
      <c r="RSE49" s="19"/>
      <c r="RSF49" s="19"/>
      <c r="RSG49" s="19"/>
      <c r="RSH49" s="19"/>
      <c r="RSI49" s="19"/>
      <c r="RSJ49" s="19"/>
      <c r="RSK49" s="19"/>
      <c r="RSL49" s="19"/>
      <c r="RSM49" s="19"/>
      <c r="RSN49" s="19"/>
      <c r="RSO49" s="19"/>
      <c r="RSP49" s="19"/>
      <c r="RSQ49" s="19"/>
      <c r="RSR49" s="19"/>
      <c r="RSS49" s="19"/>
      <c r="RST49" s="19"/>
      <c r="RSU49" s="19"/>
      <c r="RSV49" s="19"/>
      <c r="RSW49" s="19"/>
      <c r="RSX49" s="19"/>
      <c r="RSY49" s="19"/>
      <c r="RSZ49" s="19"/>
      <c r="RTA49" s="19"/>
      <c r="RTB49" s="19"/>
      <c r="RTC49" s="19"/>
      <c r="RTD49" s="19"/>
      <c r="RTE49" s="19"/>
      <c r="RTF49" s="19"/>
      <c r="RTG49" s="19"/>
      <c r="RTH49" s="19"/>
      <c r="RTI49" s="19"/>
      <c r="RTJ49" s="19"/>
      <c r="RTK49" s="19"/>
      <c r="RTL49" s="19"/>
      <c r="RTM49" s="19"/>
      <c r="RTN49" s="19"/>
      <c r="RTO49" s="19"/>
      <c r="RTP49" s="19"/>
      <c r="RTQ49" s="19"/>
      <c r="RTR49" s="19"/>
      <c r="RTS49" s="19"/>
      <c r="RTT49" s="19"/>
      <c r="RTU49" s="19"/>
      <c r="RTV49" s="19"/>
      <c r="RTW49" s="19"/>
      <c r="RTX49" s="19"/>
      <c r="RTY49" s="19"/>
      <c r="RTZ49" s="19"/>
      <c r="RUA49" s="19"/>
      <c r="RUB49" s="19"/>
      <c r="RUC49" s="19"/>
      <c r="RUD49" s="19"/>
      <c r="RUE49" s="19"/>
      <c r="RUF49" s="19"/>
      <c r="RUG49" s="19"/>
      <c r="RUH49" s="19"/>
      <c r="RUI49" s="19"/>
      <c r="RUJ49" s="19"/>
      <c r="RUK49" s="19"/>
      <c r="RUL49" s="19"/>
      <c r="RUM49" s="19"/>
      <c r="RUN49" s="19"/>
      <c r="RUO49" s="19"/>
      <c r="RUP49" s="19"/>
      <c r="RUQ49" s="19"/>
      <c r="RUR49" s="19"/>
      <c r="RUS49" s="19"/>
      <c r="RUT49" s="19"/>
      <c r="RUU49" s="19"/>
      <c r="RUV49" s="19"/>
      <c r="RUW49" s="19"/>
      <c r="RUX49" s="19"/>
      <c r="RUY49" s="19"/>
      <c r="RUZ49" s="19"/>
      <c r="RVA49" s="19"/>
      <c r="RVB49" s="19"/>
      <c r="RVC49" s="19"/>
      <c r="RVD49" s="19"/>
      <c r="RVE49" s="19"/>
      <c r="RVF49" s="19"/>
      <c r="RVG49" s="19"/>
      <c r="RVH49" s="19"/>
      <c r="RVI49" s="19"/>
      <c r="RVJ49" s="19"/>
      <c r="RVK49" s="19"/>
      <c r="RVL49" s="19"/>
      <c r="RVM49" s="19"/>
      <c r="RVN49" s="19"/>
      <c r="RVO49" s="19"/>
      <c r="RVP49" s="19"/>
      <c r="RVQ49" s="19"/>
      <c r="RVR49" s="19"/>
      <c r="RVS49" s="19"/>
      <c r="RVT49" s="19"/>
      <c r="RVU49" s="19"/>
      <c r="RVV49" s="19"/>
      <c r="RVW49" s="19"/>
      <c r="RVX49" s="19"/>
      <c r="RVY49" s="19"/>
      <c r="RVZ49" s="19"/>
      <c r="RWA49" s="19"/>
      <c r="RWB49" s="19"/>
      <c r="RWC49" s="19"/>
      <c r="RWD49" s="19"/>
      <c r="RWE49" s="19"/>
      <c r="RWF49" s="19"/>
      <c r="RWG49" s="19"/>
      <c r="RWH49" s="19"/>
      <c r="RWI49" s="19"/>
      <c r="RWJ49" s="19"/>
      <c r="RWK49" s="19"/>
      <c r="RWL49" s="19"/>
      <c r="RWM49" s="19"/>
      <c r="RWN49" s="19"/>
      <c r="RWO49" s="19"/>
      <c r="RWP49" s="19"/>
      <c r="RWQ49" s="19"/>
      <c r="RWR49" s="19"/>
      <c r="RWS49" s="19"/>
      <c r="RWT49" s="19"/>
      <c r="RWU49" s="19"/>
      <c r="RWV49" s="19"/>
      <c r="RWW49" s="19"/>
      <c r="RWX49" s="19"/>
      <c r="RWY49" s="19"/>
      <c r="RWZ49" s="19"/>
      <c r="RXA49" s="19"/>
      <c r="RXB49" s="19"/>
      <c r="RXC49" s="19"/>
      <c r="RXD49" s="19"/>
      <c r="RXE49" s="19"/>
      <c r="RXF49" s="19"/>
      <c r="RXG49" s="19"/>
      <c r="RXH49" s="19"/>
      <c r="RXI49" s="19"/>
      <c r="RXJ49" s="19"/>
      <c r="RXK49" s="19"/>
      <c r="RXL49" s="19"/>
      <c r="RXM49" s="19"/>
      <c r="RXN49" s="19"/>
      <c r="RXO49" s="19"/>
      <c r="RXP49" s="19"/>
      <c r="RXQ49" s="19"/>
      <c r="RXR49" s="19"/>
      <c r="RXS49" s="19"/>
      <c r="RXT49" s="19"/>
      <c r="RXU49" s="19"/>
      <c r="RXV49" s="19"/>
      <c r="RXW49" s="19"/>
      <c r="RXX49" s="19"/>
      <c r="RXY49" s="19"/>
      <c r="RXZ49" s="19"/>
      <c r="RYA49" s="19"/>
      <c r="RYB49" s="19"/>
      <c r="RYC49" s="19"/>
      <c r="RYD49" s="19"/>
      <c r="RYE49" s="19"/>
      <c r="RYF49" s="19"/>
      <c r="RYG49" s="19"/>
      <c r="RYH49" s="19"/>
      <c r="RYI49" s="19"/>
      <c r="RYJ49" s="19"/>
      <c r="RYK49" s="19"/>
      <c r="RYL49" s="19"/>
      <c r="RYM49" s="19"/>
      <c r="RYN49" s="19"/>
      <c r="RYO49" s="19"/>
      <c r="RYP49" s="19"/>
      <c r="RYQ49" s="19"/>
      <c r="RYR49" s="19"/>
      <c r="RYS49" s="19"/>
      <c r="RYT49" s="19"/>
      <c r="RYU49" s="19"/>
      <c r="RYV49" s="19"/>
      <c r="RYW49" s="19"/>
      <c r="RYX49" s="19"/>
      <c r="RYY49" s="19"/>
      <c r="RYZ49" s="19"/>
      <c r="RZA49" s="19"/>
      <c r="RZB49" s="19"/>
      <c r="RZC49" s="19"/>
      <c r="RZD49" s="19"/>
      <c r="RZE49" s="19"/>
      <c r="RZF49" s="19"/>
      <c r="RZG49" s="19"/>
      <c r="RZH49" s="19"/>
      <c r="RZI49" s="19"/>
      <c r="RZJ49" s="19"/>
      <c r="RZK49" s="19"/>
      <c r="RZL49" s="19"/>
      <c r="RZM49" s="19"/>
      <c r="RZN49" s="19"/>
      <c r="RZO49" s="19"/>
      <c r="RZP49" s="19"/>
      <c r="RZQ49" s="19"/>
      <c r="RZR49" s="19"/>
      <c r="RZS49" s="19"/>
      <c r="RZT49" s="19"/>
      <c r="RZU49" s="19"/>
      <c r="RZV49" s="19"/>
      <c r="RZW49" s="19"/>
      <c r="RZX49" s="19"/>
      <c r="RZY49" s="19"/>
      <c r="RZZ49" s="19"/>
      <c r="SAA49" s="19"/>
      <c r="SAB49" s="19"/>
      <c r="SAC49" s="19"/>
      <c r="SAD49" s="19"/>
      <c r="SAE49" s="19"/>
      <c r="SAF49" s="19"/>
      <c r="SAG49" s="19"/>
      <c r="SAH49" s="19"/>
      <c r="SAI49" s="19"/>
      <c r="SAJ49" s="19"/>
      <c r="SAK49" s="19"/>
      <c r="SAL49" s="19"/>
      <c r="SAM49" s="19"/>
      <c r="SAN49" s="19"/>
      <c r="SAO49" s="19"/>
      <c r="SAP49" s="19"/>
      <c r="SAQ49" s="19"/>
      <c r="SAR49" s="19"/>
      <c r="SAS49" s="19"/>
      <c r="SAT49" s="19"/>
      <c r="SAU49" s="19"/>
      <c r="SAV49" s="19"/>
      <c r="SAW49" s="19"/>
      <c r="SAX49" s="19"/>
      <c r="SAY49" s="19"/>
      <c r="SAZ49" s="19"/>
      <c r="SBA49" s="19"/>
      <c r="SBB49" s="19"/>
      <c r="SBC49" s="19"/>
      <c r="SBD49" s="19"/>
      <c r="SBE49" s="19"/>
      <c r="SBF49" s="19"/>
      <c r="SBG49" s="19"/>
      <c r="SBH49" s="19"/>
      <c r="SBI49" s="19"/>
      <c r="SBJ49" s="19"/>
      <c r="SBK49" s="19"/>
      <c r="SBL49" s="19"/>
      <c r="SBM49" s="19"/>
      <c r="SBN49" s="19"/>
      <c r="SBO49" s="19"/>
      <c r="SBP49" s="19"/>
      <c r="SBQ49" s="19"/>
      <c r="SBR49" s="19"/>
      <c r="SBS49" s="19"/>
      <c r="SBT49" s="19"/>
      <c r="SBU49" s="19"/>
      <c r="SBV49" s="19"/>
      <c r="SBW49" s="19"/>
      <c r="SBX49" s="19"/>
      <c r="SBY49" s="19"/>
      <c r="SBZ49" s="19"/>
      <c r="SCA49" s="19"/>
      <c r="SCB49" s="19"/>
      <c r="SCC49" s="19"/>
      <c r="SCD49" s="19"/>
      <c r="SCE49" s="19"/>
      <c r="SCF49" s="19"/>
      <c r="SCG49" s="19"/>
      <c r="SCH49" s="19"/>
      <c r="SCI49" s="19"/>
      <c r="SCJ49" s="19"/>
      <c r="SCK49" s="19"/>
      <c r="SCL49" s="19"/>
      <c r="SCM49" s="19"/>
      <c r="SCN49" s="19"/>
      <c r="SCO49" s="19"/>
      <c r="SCP49" s="19"/>
      <c r="SCQ49" s="19"/>
      <c r="SCR49" s="19"/>
      <c r="SCS49" s="19"/>
      <c r="SCT49" s="19"/>
      <c r="SCU49" s="19"/>
      <c r="SCV49" s="19"/>
      <c r="SCW49" s="19"/>
      <c r="SCX49" s="19"/>
      <c r="SCY49" s="19"/>
      <c r="SCZ49" s="19"/>
      <c r="SDA49" s="19"/>
      <c r="SDB49" s="19"/>
      <c r="SDC49" s="19"/>
      <c r="SDD49" s="19"/>
      <c r="SDE49" s="19"/>
      <c r="SDF49" s="19"/>
      <c r="SDG49" s="19"/>
      <c r="SDH49" s="19"/>
      <c r="SDI49" s="19"/>
      <c r="SDJ49" s="19"/>
      <c r="SDK49" s="19"/>
      <c r="SDL49" s="19"/>
      <c r="SDM49" s="19"/>
      <c r="SDN49" s="19"/>
      <c r="SDO49" s="19"/>
      <c r="SDP49" s="19"/>
      <c r="SDQ49" s="19"/>
      <c r="SDR49" s="19"/>
      <c r="SDS49" s="19"/>
      <c r="SDT49" s="19"/>
      <c r="SDU49" s="19"/>
      <c r="SDV49" s="19"/>
      <c r="SDW49" s="19"/>
      <c r="SDX49" s="19"/>
      <c r="SDY49" s="19"/>
      <c r="SDZ49" s="19"/>
      <c r="SEA49" s="19"/>
      <c r="SEB49" s="19"/>
      <c r="SEC49" s="19"/>
      <c r="SED49" s="19"/>
      <c r="SEE49" s="19"/>
      <c r="SEF49" s="19"/>
      <c r="SEG49" s="19"/>
      <c r="SEH49" s="19"/>
      <c r="SEI49" s="19"/>
      <c r="SEJ49" s="19"/>
      <c r="SEK49" s="19"/>
      <c r="SEL49" s="19"/>
      <c r="SEM49" s="19"/>
      <c r="SEN49" s="19"/>
      <c r="SEO49" s="19"/>
      <c r="SEP49" s="19"/>
      <c r="SEQ49" s="19"/>
      <c r="SER49" s="19"/>
      <c r="SES49" s="19"/>
      <c r="SET49" s="19"/>
      <c r="SEU49" s="19"/>
      <c r="SEV49" s="19"/>
      <c r="SEW49" s="19"/>
      <c r="SEX49" s="19"/>
      <c r="SEY49" s="19"/>
      <c r="SEZ49" s="19"/>
      <c r="SFA49" s="19"/>
      <c r="SFB49" s="19"/>
      <c r="SFC49" s="19"/>
      <c r="SFD49" s="19"/>
      <c r="SFE49" s="19"/>
      <c r="SFF49" s="19"/>
      <c r="SFG49" s="19"/>
      <c r="SFH49" s="19"/>
      <c r="SFI49" s="19"/>
      <c r="SFJ49" s="19"/>
      <c r="SFK49" s="19"/>
      <c r="SFL49" s="19"/>
      <c r="SFM49" s="19"/>
      <c r="SFN49" s="19"/>
      <c r="SFO49" s="19"/>
      <c r="SFP49" s="19"/>
      <c r="SFQ49" s="19"/>
      <c r="SFR49" s="19"/>
      <c r="SFS49" s="19"/>
      <c r="SFT49" s="19"/>
      <c r="SFU49" s="19"/>
      <c r="SFV49" s="19"/>
      <c r="SFW49" s="19"/>
      <c r="SFX49" s="19"/>
      <c r="SFY49" s="19"/>
      <c r="SFZ49" s="19"/>
      <c r="SGA49" s="19"/>
      <c r="SGB49" s="19"/>
      <c r="SGC49" s="19"/>
      <c r="SGD49" s="19"/>
      <c r="SGE49" s="19"/>
      <c r="SGF49" s="19"/>
      <c r="SGG49" s="19"/>
      <c r="SGH49" s="19"/>
      <c r="SGI49" s="19"/>
      <c r="SGJ49" s="19"/>
      <c r="SGK49" s="19"/>
      <c r="SGL49" s="19"/>
      <c r="SGM49" s="19"/>
      <c r="SGN49" s="19"/>
      <c r="SGO49" s="19"/>
      <c r="SGP49" s="19"/>
      <c r="SGQ49" s="19"/>
      <c r="SGR49" s="19"/>
      <c r="SGS49" s="19"/>
      <c r="SGT49" s="19"/>
      <c r="SGU49" s="19"/>
      <c r="SGV49" s="19"/>
      <c r="SGW49" s="19"/>
      <c r="SGX49" s="19"/>
      <c r="SGY49" s="19"/>
      <c r="SGZ49" s="19"/>
      <c r="SHA49" s="19"/>
      <c r="SHB49" s="19"/>
      <c r="SHC49" s="19"/>
      <c r="SHD49" s="19"/>
      <c r="SHE49" s="19"/>
      <c r="SHF49" s="19"/>
      <c r="SHG49" s="19"/>
      <c r="SHH49" s="19"/>
      <c r="SHI49" s="19"/>
      <c r="SHJ49" s="19"/>
      <c r="SHK49" s="19"/>
      <c r="SHL49" s="19"/>
      <c r="SHM49" s="19"/>
      <c r="SHN49" s="19"/>
      <c r="SHO49" s="19"/>
      <c r="SHP49" s="19"/>
      <c r="SHQ49" s="19"/>
      <c r="SHR49" s="19"/>
      <c r="SHS49" s="19"/>
      <c r="SHT49" s="19"/>
      <c r="SHU49" s="19"/>
      <c r="SHV49" s="19"/>
      <c r="SHW49" s="19"/>
      <c r="SHX49" s="19"/>
      <c r="SHY49" s="19"/>
      <c r="SHZ49" s="19"/>
      <c r="SIA49" s="19"/>
      <c r="SIB49" s="19"/>
      <c r="SIC49" s="19"/>
      <c r="SID49" s="19"/>
      <c r="SIE49" s="19"/>
      <c r="SIF49" s="19"/>
      <c r="SIG49" s="19"/>
      <c r="SIH49" s="19"/>
      <c r="SII49" s="19"/>
      <c r="SIJ49" s="19"/>
      <c r="SIK49" s="19"/>
      <c r="SIL49" s="19"/>
      <c r="SIM49" s="19"/>
      <c r="SIN49" s="19"/>
      <c r="SIO49" s="19"/>
      <c r="SIP49" s="19"/>
      <c r="SIQ49" s="19"/>
      <c r="SIR49" s="19"/>
      <c r="SIS49" s="19"/>
      <c r="SIT49" s="19"/>
      <c r="SIU49" s="19"/>
      <c r="SIV49" s="19"/>
      <c r="SIW49" s="19"/>
      <c r="SIX49" s="19"/>
      <c r="SIY49" s="19"/>
      <c r="SIZ49" s="19"/>
      <c r="SJA49" s="19"/>
      <c r="SJB49" s="19"/>
      <c r="SJC49" s="19"/>
      <c r="SJD49" s="19"/>
      <c r="SJE49" s="19"/>
      <c r="SJF49" s="19"/>
      <c r="SJG49" s="19"/>
      <c r="SJH49" s="19"/>
      <c r="SJI49" s="19"/>
      <c r="SJJ49" s="19"/>
      <c r="SJK49" s="19"/>
      <c r="SJL49" s="19"/>
      <c r="SJM49" s="19"/>
      <c r="SJN49" s="19"/>
      <c r="SJO49" s="19"/>
      <c r="SJP49" s="19"/>
      <c r="SJQ49" s="19"/>
      <c r="SJR49" s="19"/>
      <c r="SJS49" s="19"/>
      <c r="SJT49" s="19"/>
      <c r="SJU49" s="19"/>
      <c r="SJV49" s="19"/>
      <c r="SJW49" s="19"/>
      <c r="SJX49" s="19"/>
      <c r="SJY49" s="19"/>
      <c r="SJZ49" s="19"/>
      <c r="SKA49" s="19"/>
      <c r="SKB49" s="19"/>
      <c r="SKC49" s="19"/>
      <c r="SKD49" s="19"/>
      <c r="SKE49" s="19"/>
      <c r="SKF49" s="19"/>
      <c r="SKG49" s="19"/>
      <c r="SKH49" s="19"/>
      <c r="SKI49" s="19"/>
      <c r="SKJ49" s="19"/>
      <c r="SKK49" s="19"/>
      <c r="SKL49" s="19"/>
      <c r="SKM49" s="19"/>
      <c r="SKN49" s="19"/>
      <c r="SKO49" s="19"/>
      <c r="SKP49" s="19"/>
      <c r="SKQ49" s="19"/>
      <c r="SKR49" s="19"/>
      <c r="SKS49" s="19"/>
      <c r="SKT49" s="19"/>
      <c r="SKU49" s="19"/>
      <c r="SKV49" s="19"/>
      <c r="SKW49" s="19"/>
      <c r="SKX49" s="19"/>
      <c r="SKY49" s="19"/>
      <c r="SKZ49" s="19"/>
      <c r="SLA49" s="19"/>
      <c r="SLB49" s="19"/>
      <c r="SLC49" s="19"/>
      <c r="SLD49" s="19"/>
      <c r="SLE49" s="19"/>
      <c r="SLF49" s="19"/>
      <c r="SLG49" s="19"/>
      <c r="SLH49" s="19"/>
      <c r="SLI49" s="19"/>
      <c r="SLJ49" s="19"/>
      <c r="SLK49" s="19"/>
      <c r="SLL49" s="19"/>
      <c r="SLM49" s="19"/>
      <c r="SLN49" s="19"/>
      <c r="SLO49" s="19"/>
      <c r="SLP49" s="19"/>
      <c r="SLQ49" s="19"/>
      <c r="SLR49" s="19"/>
      <c r="SLS49" s="19"/>
      <c r="SLT49" s="19"/>
      <c r="SLU49" s="19"/>
      <c r="SLV49" s="19"/>
      <c r="SLW49" s="19"/>
      <c r="SLX49" s="19"/>
      <c r="SLY49" s="19"/>
      <c r="SLZ49" s="19"/>
      <c r="SMA49" s="19"/>
      <c r="SMB49" s="19"/>
      <c r="SMC49" s="19"/>
      <c r="SMD49" s="19"/>
      <c r="SME49" s="19"/>
      <c r="SMF49" s="19"/>
      <c r="SMG49" s="19"/>
      <c r="SMH49" s="19"/>
      <c r="SMI49" s="19"/>
      <c r="SMJ49" s="19"/>
      <c r="SMK49" s="19"/>
      <c r="SML49" s="19"/>
      <c r="SMM49" s="19"/>
      <c r="SMN49" s="19"/>
      <c r="SMO49" s="19"/>
      <c r="SMP49" s="19"/>
      <c r="SMQ49" s="19"/>
      <c r="SMR49" s="19"/>
      <c r="SMS49" s="19"/>
      <c r="SMT49" s="19"/>
      <c r="SMU49" s="19"/>
      <c r="SMV49" s="19"/>
      <c r="SMW49" s="19"/>
      <c r="SMX49" s="19"/>
      <c r="SMY49" s="19"/>
      <c r="SMZ49" s="19"/>
      <c r="SNA49" s="19"/>
      <c r="SNB49" s="19"/>
      <c r="SNC49" s="19"/>
      <c r="SND49" s="19"/>
      <c r="SNE49" s="19"/>
      <c r="SNF49" s="19"/>
      <c r="SNG49" s="19"/>
      <c r="SNH49" s="19"/>
      <c r="SNI49" s="19"/>
      <c r="SNJ49" s="19"/>
      <c r="SNK49" s="19"/>
      <c r="SNL49" s="19"/>
      <c r="SNM49" s="19"/>
      <c r="SNN49" s="19"/>
      <c r="SNO49" s="19"/>
      <c r="SNP49" s="19"/>
      <c r="SNQ49" s="19"/>
      <c r="SNR49" s="19"/>
      <c r="SNS49" s="19"/>
      <c r="SNT49" s="19"/>
      <c r="SNU49" s="19"/>
      <c r="SNV49" s="19"/>
      <c r="SNW49" s="19"/>
      <c r="SNX49" s="19"/>
      <c r="SNY49" s="19"/>
      <c r="SNZ49" s="19"/>
      <c r="SOA49" s="19"/>
      <c r="SOB49" s="19"/>
      <c r="SOC49" s="19"/>
      <c r="SOD49" s="19"/>
      <c r="SOE49" s="19"/>
      <c r="SOF49" s="19"/>
      <c r="SOG49" s="19"/>
      <c r="SOH49" s="19"/>
      <c r="SOI49" s="19"/>
      <c r="SOJ49" s="19"/>
      <c r="SOK49" s="19"/>
      <c r="SOL49" s="19"/>
      <c r="SOM49" s="19"/>
      <c r="SON49" s="19"/>
      <c r="SOO49" s="19"/>
      <c r="SOP49" s="19"/>
      <c r="SOQ49" s="19"/>
      <c r="SOR49" s="19"/>
      <c r="SOS49" s="19"/>
      <c r="SOT49" s="19"/>
      <c r="SOU49" s="19"/>
      <c r="SOV49" s="19"/>
      <c r="SOW49" s="19"/>
      <c r="SOX49" s="19"/>
      <c r="SOY49" s="19"/>
      <c r="SOZ49" s="19"/>
      <c r="SPA49" s="19"/>
      <c r="SPB49" s="19"/>
      <c r="SPC49" s="19"/>
      <c r="SPD49" s="19"/>
      <c r="SPE49" s="19"/>
      <c r="SPF49" s="19"/>
      <c r="SPG49" s="19"/>
      <c r="SPH49" s="19"/>
      <c r="SPI49" s="19"/>
      <c r="SPJ49" s="19"/>
      <c r="SPK49" s="19"/>
      <c r="SPL49" s="19"/>
      <c r="SPM49" s="19"/>
      <c r="SPN49" s="19"/>
      <c r="SPO49" s="19"/>
      <c r="SPP49" s="19"/>
      <c r="SPQ49" s="19"/>
      <c r="SPR49" s="19"/>
      <c r="SPS49" s="19"/>
      <c r="SPT49" s="19"/>
      <c r="SPU49" s="19"/>
      <c r="SPV49" s="19"/>
      <c r="SPW49" s="19"/>
      <c r="SPX49" s="19"/>
      <c r="SPY49" s="19"/>
      <c r="SPZ49" s="19"/>
      <c r="SQA49" s="19"/>
      <c r="SQB49" s="19"/>
      <c r="SQC49" s="19"/>
      <c r="SQD49" s="19"/>
      <c r="SQE49" s="19"/>
      <c r="SQF49" s="19"/>
      <c r="SQG49" s="19"/>
      <c r="SQH49" s="19"/>
      <c r="SQI49" s="19"/>
      <c r="SQJ49" s="19"/>
      <c r="SQK49" s="19"/>
      <c r="SQL49" s="19"/>
      <c r="SQM49" s="19"/>
      <c r="SQN49" s="19"/>
      <c r="SQO49" s="19"/>
      <c r="SQP49" s="19"/>
      <c r="SQQ49" s="19"/>
      <c r="SQR49" s="19"/>
      <c r="SQS49" s="19"/>
      <c r="SQT49" s="19"/>
      <c r="SQU49" s="19"/>
      <c r="SQV49" s="19"/>
      <c r="SQW49" s="19"/>
      <c r="SQX49" s="19"/>
      <c r="SQY49" s="19"/>
      <c r="SQZ49" s="19"/>
      <c r="SRA49" s="19"/>
      <c r="SRB49" s="19"/>
      <c r="SRC49" s="19"/>
      <c r="SRD49" s="19"/>
      <c r="SRE49" s="19"/>
      <c r="SRF49" s="19"/>
      <c r="SRG49" s="19"/>
      <c r="SRH49" s="19"/>
      <c r="SRI49" s="19"/>
      <c r="SRJ49" s="19"/>
      <c r="SRK49" s="19"/>
      <c r="SRL49" s="19"/>
      <c r="SRM49" s="19"/>
      <c r="SRN49" s="19"/>
      <c r="SRO49" s="19"/>
      <c r="SRP49" s="19"/>
      <c r="SRQ49" s="19"/>
      <c r="SRR49" s="19"/>
      <c r="SRS49" s="19"/>
      <c r="SRT49" s="19"/>
      <c r="SRU49" s="19"/>
      <c r="SRV49" s="19"/>
      <c r="SRW49" s="19"/>
      <c r="SRX49" s="19"/>
      <c r="SRY49" s="19"/>
      <c r="SRZ49" s="19"/>
      <c r="SSA49" s="19"/>
      <c r="SSB49" s="19"/>
      <c r="SSC49" s="19"/>
      <c r="SSD49" s="19"/>
      <c r="SSE49" s="19"/>
      <c r="SSF49" s="19"/>
      <c r="SSG49" s="19"/>
      <c r="SSH49" s="19"/>
      <c r="SSI49" s="19"/>
      <c r="SSJ49" s="19"/>
      <c r="SSK49" s="19"/>
      <c r="SSL49" s="19"/>
      <c r="SSM49" s="19"/>
      <c r="SSN49" s="19"/>
      <c r="SSO49" s="19"/>
      <c r="SSP49" s="19"/>
      <c r="SSQ49" s="19"/>
      <c r="SSR49" s="19"/>
      <c r="SSS49" s="19"/>
      <c r="SST49" s="19"/>
      <c r="SSU49" s="19"/>
      <c r="SSV49" s="19"/>
      <c r="SSW49" s="19"/>
      <c r="SSX49" s="19"/>
      <c r="SSY49" s="19"/>
      <c r="SSZ49" s="19"/>
      <c r="STA49" s="19"/>
      <c r="STB49" s="19"/>
      <c r="STC49" s="19"/>
      <c r="STD49" s="19"/>
      <c r="STE49" s="19"/>
      <c r="STF49" s="19"/>
      <c r="STG49" s="19"/>
      <c r="STH49" s="19"/>
      <c r="STI49" s="19"/>
      <c r="STJ49" s="19"/>
      <c r="STK49" s="19"/>
      <c r="STL49" s="19"/>
      <c r="STM49" s="19"/>
      <c r="STN49" s="19"/>
      <c r="STO49" s="19"/>
      <c r="STP49" s="19"/>
      <c r="STQ49" s="19"/>
      <c r="STR49" s="19"/>
      <c r="STS49" s="19"/>
      <c r="STT49" s="19"/>
      <c r="STU49" s="19"/>
      <c r="STV49" s="19"/>
      <c r="STW49" s="19"/>
      <c r="STX49" s="19"/>
      <c r="STY49" s="19"/>
      <c r="STZ49" s="19"/>
      <c r="SUA49" s="19"/>
      <c r="SUB49" s="19"/>
      <c r="SUC49" s="19"/>
      <c r="SUD49" s="19"/>
      <c r="SUE49" s="19"/>
      <c r="SUF49" s="19"/>
      <c r="SUG49" s="19"/>
      <c r="SUH49" s="19"/>
      <c r="SUI49" s="19"/>
      <c r="SUJ49" s="19"/>
      <c r="SUK49" s="19"/>
      <c r="SUL49" s="19"/>
      <c r="SUM49" s="19"/>
      <c r="SUN49" s="19"/>
      <c r="SUO49" s="19"/>
      <c r="SUP49" s="19"/>
      <c r="SUQ49" s="19"/>
      <c r="SUR49" s="19"/>
      <c r="SUS49" s="19"/>
      <c r="SUT49" s="19"/>
      <c r="SUU49" s="19"/>
      <c r="SUV49" s="19"/>
      <c r="SUW49" s="19"/>
      <c r="SUX49" s="19"/>
      <c r="SUY49" s="19"/>
      <c r="SUZ49" s="19"/>
      <c r="SVA49" s="19"/>
      <c r="SVB49" s="19"/>
      <c r="SVC49" s="19"/>
      <c r="SVD49" s="19"/>
      <c r="SVE49" s="19"/>
      <c r="SVF49" s="19"/>
      <c r="SVG49" s="19"/>
      <c r="SVH49" s="19"/>
      <c r="SVI49" s="19"/>
      <c r="SVJ49" s="19"/>
      <c r="SVK49" s="19"/>
      <c r="SVL49" s="19"/>
      <c r="SVM49" s="19"/>
      <c r="SVN49" s="19"/>
      <c r="SVO49" s="19"/>
      <c r="SVP49" s="19"/>
      <c r="SVQ49" s="19"/>
      <c r="SVR49" s="19"/>
      <c r="SVS49" s="19"/>
      <c r="SVT49" s="19"/>
      <c r="SVU49" s="19"/>
      <c r="SVV49" s="19"/>
      <c r="SVW49" s="19"/>
      <c r="SVX49" s="19"/>
      <c r="SVY49" s="19"/>
      <c r="SVZ49" s="19"/>
      <c r="SWA49" s="19"/>
      <c r="SWB49" s="19"/>
      <c r="SWC49" s="19"/>
      <c r="SWD49" s="19"/>
      <c r="SWE49" s="19"/>
      <c r="SWF49" s="19"/>
      <c r="SWG49" s="19"/>
      <c r="SWH49" s="19"/>
      <c r="SWI49" s="19"/>
      <c r="SWJ49" s="19"/>
      <c r="SWK49" s="19"/>
      <c r="SWL49" s="19"/>
      <c r="SWM49" s="19"/>
      <c r="SWN49" s="19"/>
      <c r="SWO49" s="19"/>
      <c r="SWP49" s="19"/>
      <c r="SWQ49" s="19"/>
      <c r="SWR49" s="19"/>
      <c r="SWS49" s="19"/>
      <c r="SWT49" s="19"/>
      <c r="SWU49" s="19"/>
      <c r="SWV49" s="19"/>
      <c r="SWW49" s="19"/>
      <c r="SWX49" s="19"/>
      <c r="SWY49" s="19"/>
      <c r="SWZ49" s="19"/>
      <c r="SXA49" s="19"/>
      <c r="SXB49" s="19"/>
      <c r="SXC49" s="19"/>
      <c r="SXD49" s="19"/>
      <c r="SXE49" s="19"/>
      <c r="SXF49" s="19"/>
      <c r="SXG49" s="19"/>
      <c r="SXH49" s="19"/>
      <c r="SXI49" s="19"/>
      <c r="SXJ49" s="19"/>
      <c r="SXK49" s="19"/>
      <c r="SXL49" s="19"/>
      <c r="SXM49" s="19"/>
      <c r="SXN49" s="19"/>
      <c r="SXO49" s="19"/>
      <c r="SXP49" s="19"/>
      <c r="SXQ49" s="19"/>
      <c r="SXR49" s="19"/>
      <c r="SXS49" s="19"/>
      <c r="SXT49" s="19"/>
      <c r="SXU49" s="19"/>
      <c r="SXV49" s="19"/>
      <c r="SXW49" s="19"/>
      <c r="SXX49" s="19"/>
      <c r="SXY49" s="19"/>
      <c r="SXZ49" s="19"/>
      <c r="SYA49" s="19"/>
      <c r="SYB49" s="19"/>
      <c r="SYC49" s="19"/>
      <c r="SYD49" s="19"/>
      <c r="SYE49" s="19"/>
      <c r="SYF49" s="19"/>
      <c r="SYG49" s="19"/>
      <c r="SYH49" s="19"/>
      <c r="SYI49" s="19"/>
      <c r="SYJ49" s="19"/>
      <c r="SYK49" s="19"/>
      <c r="SYL49" s="19"/>
      <c r="SYM49" s="19"/>
      <c r="SYN49" s="19"/>
      <c r="SYO49" s="19"/>
      <c r="SYP49" s="19"/>
      <c r="SYQ49" s="19"/>
      <c r="SYR49" s="19"/>
      <c r="SYS49" s="19"/>
      <c r="SYT49" s="19"/>
      <c r="SYU49" s="19"/>
      <c r="SYV49" s="19"/>
      <c r="SYW49" s="19"/>
      <c r="SYX49" s="19"/>
      <c r="SYY49" s="19"/>
      <c r="SYZ49" s="19"/>
      <c r="SZA49" s="19"/>
      <c r="SZB49" s="19"/>
      <c r="SZC49" s="19"/>
      <c r="SZD49" s="19"/>
      <c r="SZE49" s="19"/>
      <c r="SZF49" s="19"/>
      <c r="SZG49" s="19"/>
      <c r="SZH49" s="19"/>
      <c r="SZI49" s="19"/>
      <c r="SZJ49" s="19"/>
      <c r="SZK49" s="19"/>
      <c r="SZL49" s="19"/>
      <c r="SZM49" s="19"/>
      <c r="SZN49" s="19"/>
      <c r="SZO49" s="19"/>
      <c r="SZP49" s="19"/>
      <c r="SZQ49" s="19"/>
      <c r="SZR49" s="19"/>
      <c r="SZS49" s="19"/>
      <c r="SZT49" s="19"/>
      <c r="SZU49" s="19"/>
      <c r="SZV49" s="19"/>
      <c r="SZW49" s="19"/>
      <c r="SZX49" s="19"/>
      <c r="SZY49" s="19"/>
      <c r="SZZ49" s="19"/>
      <c r="TAA49" s="19"/>
      <c r="TAB49" s="19"/>
      <c r="TAC49" s="19"/>
      <c r="TAD49" s="19"/>
      <c r="TAE49" s="19"/>
      <c r="TAF49" s="19"/>
      <c r="TAG49" s="19"/>
      <c r="TAH49" s="19"/>
      <c r="TAI49" s="19"/>
      <c r="TAJ49" s="19"/>
      <c r="TAK49" s="19"/>
      <c r="TAL49" s="19"/>
      <c r="TAM49" s="19"/>
      <c r="TAN49" s="19"/>
      <c r="TAO49" s="19"/>
      <c r="TAP49" s="19"/>
      <c r="TAQ49" s="19"/>
      <c r="TAR49" s="19"/>
      <c r="TAS49" s="19"/>
      <c r="TAT49" s="19"/>
      <c r="TAU49" s="19"/>
      <c r="TAV49" s="19"/>
      <c r="TAW49" s="19"/>
      <c r="TAX49" s="19"/>
      <c r="TAY49" s="19"/>
      <c r="TAZ49" s="19"/>
      <c r="TBA49" s="19"/>
      <c r="TBB49" s="19"/>
      <c r="TBC49" s="19"/>
      <c r="TBD49" s="19"/>
      <c r="TBE49" s="19"/>
      <c r="TBF49" s="19"/>
      <c r="TBG49" s="19"/>
      <c r="TBH49" s="19"/>
      <c r="TBI49" s="19"/>
      <c r="TBJ49" s="19"/>
      <c r="TBK49" s="19"/>
      <c r="TBL49" s="19"/>
      <c r="TBM49" s="19"/>
      <c r="TBN49" s="19"/>
      <c r="TBO49" s="19"/>
      <c r="TBP49" s="19"/>
      <c r="TBQ49" s="19"/>
      <c r="TBR49" s="19"/>
      <c r="TBS49" s="19"/>
      <c r="TBT49" s="19"/>
      <c r="TBU49" s="19"/>
      <c r="TBV49" s="19"/>
      <c r="TBW49" s="19"/>
      <c r="TBX49" s="19"/>
      <c r="TBY49" s="19"/>
      <c r="TBZ49" s="19"/>
      <c r="TCA49" s="19"/>
      <c r="TCB49" s="19"/>
      <c r="TCC49" s="19"/>
      <c r="TCD49" s="19"/>
      <c r="TCE49" s="19"/>
      <c r="TCF49" s="19"/>
      <c r="TCG49" s="19"/>
      <c r="TCH49" s="19"/>
      <c r="TCI49" s="19"/>
      <c r="TCJ49" s="19"/>
      <c r="TCK49" s="19"/>
      <c r="TCL49" s="19"/>
      <c r="TCM49" s="19"/>
      <c r="TCN49" s="19"/>
      <c r="TCO49" s="19"/>
      <c r="TCP49" s="19"/>
      <c r="TCQ49" s="19"/>
      <c r="TCR49" s="19"/>
      <c r="TCS49" s="19"/>
      <c r="TCT49" s="19"/>
      <c r="TCU49" s="19"/>
      <c r="TCV49" s="19"/>
      <c r="TCW49" s="19"/>
      <c r="TCX49" s="19"/>
      <c r="TCY49" s="19"/>
      <c r="TCZ49" s="19"/>
      <c r="TDA49" s="19"/>
      <c r="TDB49" s="19"/>
      <c r="TDC49" s="19"/>
      <c r="TDD49" s="19"/>
      <c r="TDE49" s="19"/>
      <c r="TDF49" s="19"/>
      <c r="TDG49" s="19"/>
      <c r="TDH49" s="19"/>
      <c r="TDI49" s="19"/>
      <c r="TDJ49" s="19"/>
      <c r="TDK49" s="19"/>
      <c r="TDL49" s="19"/>
      <c r="TDM49" s="19"/>
      <c r="TDN49" s="19"/>
      <c r="TDO49" s="19"/>
      <c r="TDP49" s="19"/>
      <c r="TDQ49" s="19"/>
      <c r="TDR49" s="19"/>
      <c r="TDS49" s="19"/>
      <c r="TDT49" s="19"/>
      <c r="TDU49" s="19"/>
      <c r="TDV49" s="19"/>
      <c r="TDW49" s="19"/>
      <c r="TDX49" s="19"/>
      <c r="TDY49" s="19"/>
      <c r="TDZ49" s="19"/>
      <c r="TEA49" s="19"/>
      <c r="TEB49" s="19"/>
      <c r="TEC49" s="19"/>
      <c r="TED49" s="19"/>
      <c r="TEE49" s="19"/>
      <c r="TEF49" s="19"/>
      <c r="TEG49" s="19"/>
      <c r="TEH49" s="19"/>
      <c r="TEI49" s="19"/>
      <c r="TEJ49" s="19"/>
      <c r="TEK49" s="19"/>
      <c r="TEL49" s="19"/>
      <c r="TEM49" s="19"/>
      <c r="TEN49" s="19"/>
      <c r="TEO49" s="19"/>
      <c r="TEP49" s="19"/>
      <c r="TEQ49" s="19"/>
      <c r="TER49" s="19"/>
      <c r="TES49" s="19"/>
      <c r="TET49" s="19"/>
      <c r="TEU49" s="19"/>
      <c r="TEV49" s="19"/>
      <c r="TEW49" s="19"/>
      <c r="TEX49" s="19"/>
      <c r="TEY49" s="19"/>
      <c r="TEZ49" s="19"/>
      <c r="TFA49" s="19"/>
      <c r="TFB49" s="19"/>
      <c r="TFC49" s="19"/>
      <c r="TFD49" s="19"/>
      <c r="TFE49" s="19"/>
      <c r="TFF49" s="19"/>
      <c r="TFG49" s="19"/>
      <c r="TFH49" s="19"/>
      <c r="TFI49" s="19"/>
      <c r="TFJ49" s="19"/>
      <c r="TFK49" s="19"/>
      <c r="TFL49" s="19"/>
      <c r="TFM49" s="19"/>
      <c r="TFN49" s="19"/>
      <c r="TFO49" s="19"/>
      <c r="TFP49" s="19"/>
      <c r="TFQ49" s="19"/>
      <c r="TFR49" s="19"/>
      <c r="TFS49" s="19"/>
      <c r="TFT49" s="19"/>
      <c r="TFU49" s="19"/>
      <c r="TFV49" s="19"/>
      <c r="TFW49" s="19"/>
      <c r="TFX49" s="19"/>
      <c r="TFY49" s="19"/>
      <c r="TFZ49" s="19"/>
      <c r="TGA49" s="19"/>
      <c r="TGB49" s="19"/>
      <c r="TGC49" s="19"/>
      <c r="TGD49" s="19"/>
      <c r="TGE49" s="19"/>
      <c r="TGF49" s="19"/>
      <c r="TGG49" s="19"/>
      <c r="TGH49" s="19"/>
      <c r="TGI49" s="19"/>
      <c r="TGJ49" s="19"/>
      <c r="TGK49" s="19"/>
      <c r="TGL49" s="19"/>
      <c r="TGM49" s="19"/>
      <c r="TGN49" s="19"/>
      <c r="TGO49" s="19"/>
      <c r="TGP49" s="19"/>
      <c r="TGQ49" s="19"/>
      <c r="TGR49" s="19"/>
      <c r="TGS49" s="19"/>
      <c r="TGT49" s="19"/>
      <c r="TGU49" s="19"/>
      <c r="TGV49" s="19"/>
      <c r="TGW49" s="19"/>
      <c r="TGX49" s="19"/>
      <c r="TGY49" s="19"/>
      <c r="TGZ49" s="19"/>
      <c r="THA49" s="19"/>
      <c r="THB49" s="19"/>
      <c r="THC49" s="19"/>
      <c r="THD49" s="19"/>
      <c r="THE49" s="19"/>
      <c r="THF49" s="19"/>
      <c r="THG49" s="19"/>
      <c r="THH49" s="19"/>
      <c r="THI49" s="19"/>
      <c r="THJ49" s="19"/>
      <c r="THK49" s="19"/>
      <c r="THL49" s="19"/>
      <c r="THM49" s="19"/>
      <c r="THN49" s="19"/>
      <c r="THO49" s="19"/>
      <c r="THP49" s="19"/>
      <c r="THQ49" s="19"/>
      <c r="THR49" s="19"/>
      <c r="THS49" s="19"/>
      <c r="THT49" s="19"/>
      <c r="THU49" s="19"/>
      <c r="THV49" s="19"/>
      <c r="THW49" s="19"/>
      <c r="THX49" s="19"/>
      <c r="THY49" s="19"/>
      <c r="THZ49" s="19"/>
      <c r="TIA49" s="19"/>
      <c r="TIB49" s="19"/>
      <c r="TIC49" s="19"/>
      <c r="TID49" s="19"/>
      <c r="TIE49" s="19"/>
      <c r="TIF49" s="19"/>
      <c r="TIG49" s="19"/>
      <c r="TIH49" s="19"/>
      <c r="TII49" s="19"/>
      <c r="TIJ49" s="19"/>
      <c r="TIK49" s="19"/>
      <c r="TIL49" s="19"/>
      <c r="TIM49" s="19"/>
      <c r="TIN49" s="19"/>
      <c r="TIO49" s="19"/>
      <c r="TIP49" s="19"/>
      <c r="TIQ49" s="19"/>
      <c r="TIR49" s="19"/>
      <c r="TIS49" s="19"/>
      <c r="TIT49" s="19"/>
      <c r="TIU49" s="19"/>
      <c r="TIV49" s="19"/>
      <c r="TIW49" s="19"/>
      <c r="TIX49" s="19"/>
      <c r="TIY49" s="19"/>
      <c r="TIZ49" s="19"/>
      <c r="TJA49" s="19"/>
      <c r="TJB49" s="19"/>
      <c r="TJC49" s="19"/>
      <c r="TJD49" s="19"/>
      <c r="TJE49" s="19"/>
      <c r="TJF49" s="19"/>
      <c r="TJG49" s="19"/>
      <c r="TJH49" s="19"/>
      <c r="TJI49" s="19"/>
      <c r="TJJ49" s="19"/>
      <c r="TJK49" s="19"/>
      <c r="TJL49" s="19"/>
      <c r="TJM49" s="19"/>
      <c r="TJN49" s="19"/>
      <c r="TJO49" s="19"/>
      <c r="TJP49" s="19"/>
      <c r="TJQ49" s="19"/>
      <c r="TJR49" s="19"/>
      <c r="TJS49" s="19"/>
      <c r="TJT49" s="19"/>
      <c r="TJU49" s="19"/>
      <c r="TJV49" s="19"/>
      <c r="TJW49" s="19"/>
      <c r="TJX49" s="19"/>
      <c r="TJY49" s="19"/>
      <c r="TJZ49" s="19"/>
      <c r="TKA49" s="19"/>
      <c r="TKB49" s="19"/>
      <c r="TKC49" s="19"/>
      <c r="TKD49" s="19"/>
      <c r="TKE49" s="19"/>
      <c r="TKF49" s="19"/>
      <c r="TKG49" s="19"/>
      <c r="TKH49" s="19"/>
      <c r="TKI49" s="19"/>
      <c r="TKJ49" s="19"/>
      <c r="TKK49" s="19"/>
      <c r="TKL49" s="19"/>
      <c r="TKM49" s="19"/>
      <c r="TKN49" s="19"/>
      <c r="TKO49" s="19"/>
      <c r="TKP49" s="19"/>
      <c r="TKQ49" s="19"/>
      <c r="TKR49" s="19"/>
      <c r="TKS49" s="19"/>
      <c r="TKT49" s="19"/>
      <c r="TKU49" s="19"/>
      <c r="TKV49" s="19"/>
      <c r="TKW49" s="19"/>
      <c r="TKX49" s="19"/>
      <c r="TKY49" s="19"/>
      <c r="TKZ49" s="19"/>
      <c r="TLA49" s="19"/>
      <c r="TLB49" s="19"/>
      <c r="TLC49" s="19"/>
      <c r="TLD49" s="19"/>
      <c r="TLE49" s="19"/>
      <c r="TLF49" s="19"/>
      <c r="TLG49" s="19"/>
      <c r="TLH49" s="19"/>
      <c r="TLI49" s="19"/>
      <c r="TLJ49" s="19"/>
      <c r="TLK49" s="19"/>
      <c r="TLL49" s="19"/>
      <c r="TLM49" s="19"/>
      <c r="TLN49" s="19"/>
      <c r="TLO49" s="19"/>
      <c r="TLP49" s="19"/>
      <c r="TLQ49" s="19"/>
      <c r="TLR49" s="19"/>
      <c r="TLS49" s="19"/>
      <c r="TLT49" s="19"/>
      <c r="TLU49" s="19"/>
      <c r="TLV49" s="19"/>
      <c r="TLW49" s="19"/>
      <c r="TLX49" s="19"/>
      <c r="TLY49" s="19"/>
      <c r="TLZ49" s="19"/>
      <c r="TMA49" s="19"/>
      <c r="TMB49" s="19"/>
      <c r="TMC49" s="19"/>
      <c r="TMD49" s="19"/>
      <c r="TME49" s="19"/>
      <c r="TMF49" s="19"/>
      <c r="TMG49" s="19"/>
      <c r="TMH49" s="19"/>
      <c r="TMI49" s="19"/>
      <c r="TMJ49" s="19"/>
      <c r="TMK49" s="19"/>
      <c r="TML49" s="19"/>
      <c r="TMM49" s="19"/>
      <c r="TMN49" s="19"/>
      <c r="TMO49" s="19"/>
      <c r="TMP49" s="19"/>
      <c r="TMQ49" s="19"/>
      <c r="TMR49" s="19"/>
      <c r="TMS49" s="19"/>
      <c r="TMT49" s="19"/>
      <c r="TMU49" s="19"/>
      <c r="TMV49" s="19"/>
      <c r="TMW49" s="19"/>
      <c r="TMX49" s="19"/>
      <c r="TMY49" s="19"/>
      <c r="TMZ49" s="19"/>
      <c r="TNA49" s="19"/>
      <c r="TNB49" s="19"/>
      <c r="TNC49" s="19"/>
      <c r="TND49" s="19"/>
      <c r="TNE49" s="19"/>
      <c r="TNF49" s="19"/>
      <c r="TNG49" s="19"/>
      <c r="TNH49" s="19"/>
      <c r="TNI49" s="19"/>
      <c r="TNJ49" s="19"/>
      <c r="TNK49" s="19"/>
      <c r="TNL49" s="19"/>
      <c r="TNM49" s="19"/>
      <c r="TNN49" s="19"/>
      <c r="TNO49" s="19"/>
      <c r="TNP49" s="19"/>
      <c r="TNQ49" s="19"/>
      <c r="TNR49" s="19"/>
      <c r="TNS49" s="19"/>
      <c r="TNT49" s="19"/>
      <c r="TNU49" s="19"/>
      <c r="TNV49" s="19"/>
      <c r="TNW49" s="19"/>
      <c r="TNX49" s="19"/>
      <c r="TNY49" s="19"/>
      <c r="TNZ49" s="19"/>
      <c r="TOA49" s="19"/>
      <c r="TOB49" s="19"/>
      <c r="TOC49" s="19"/>
      <c r="TOD49" s="19"/>
      <c r="TOE49" s="19"/>
      <c r="TOF49" s="19"/>
      <c r="TOG49" s="19"/>
      <c r="TOH49" s="19"/>
      <c r="TOI49" s="19"/>
      <c r="TOJ49" s="19"/>
      <c r="TOK49" s="19"/>
      <c r="TOL49" s="19"/>
      <c r="TOM49" s="19"/>
      <c r="TON49" s="19"/>
      <c r="TOO49" s="19"/>
      <c r="TOP49" s="19"/>
      <c r="TOQ49" s="19"/>
      <c r="TOR49" s="19"/>
      <c r="TOS49" s="19"/>
      <c r="TOT49" s="19"/>
      <c r="TOU49" s="19"/>
      <c r="TOV49" s="19"/>
      <c r="TOW49" s="19"/>
      <c r="TOX49" s="19"/>
      <c r="TOY49" s="19"/>
      <c r="TOZ49" s="19"/>
      <c r="TPA49" s="19"/>
      <c r="TPB49" s="19"/>
      <c r="TPC49" s="19"/>
      <c r="TPD49" s="19"/>
      <c r="TPE49" s="19"/>
      <c r="TPF49" s="19"/>
      <c r="TPG49" s="19"/>
      <c r="TPH49" s="19"/>
      <c r="TPI49" s="19"/>
      <c r="TPJ49" s="19"/>
      <c r="TPK49" s="19"/>
      <c r="TPL49" s="19"/>
      <c r="TPM49" s="19"/>
      <c r="TPN49" s="19"/>
      <c r="TPO49" s="19"/>
      <c r="TPP49" s="19"/>
      <c r="TPQ49" s="19"/>
      <c r="TPR49" s="19"/>
      <c r="TPS49" s="19"/>
      <c r="TPT49" s="19"/>
      <c r="TPU49" s="19"/>
      <c r="TPV49" s="19"/>
      <c r="TPW49" s="19"/>
      <c r="TPX49" s="19"/>
      <c r="TPY49" s="19"/>
      <c r="TPZ49" s="19"/>
      <c r="TQA49" s="19"/>
      <c r="TQB49" s="19"/>
      <c r="TQC49" s="19"/>
      <c r="TQD49" s="19"/>
      <c r="TQE49" s="19"/>
      <c r="TQF49" s="19"/>
      <c r="TQG49" s="19"/>
      <c r="TQH49" s="19"/>
      <c r="TQI49" s="19"/>
      <c r="TQJ49" s="19"/>
      <c r="TQK49" s="19"/>
      <c r="TQL49" s="19"/>
      <c r="TQM49" s="19"/>
      <c r="TQN49" s="19"/>
      <c r="TQO49" s="19"/>
      <c r="TQP49" s="19"/>
      <c r="TQQ49" s="19"/>
      <c r="TQR49" s="19"/>
      <c r="TQS49" s="19"/>
      <c r="TQT49" s="19"/>
      <c r="TQU49" s="19"/>
      <c r="TQV49" s="19"/>
      <c r="TQW49" s="19"/>
      <c r="TQX49" s="19"/>
      <c r="TQY49" s="19"/>
      <c r="TQZ49" s="19"/>
      <c r="TRA49" s="19"/>
      <c r="TRB49" s="19"/>
      <c r="TRC49" s="19"/>
      <c r="TRD49" s="19"/>
      <c r="TRE49" s="19"/>
      <c r="TRF49" s="19"/>
      <c r="TRG49" s="19"/>
      <c r="TRH49" s="19"/>
      <c r="TRI49" s="19"/>
      <c r="TRJ49" s="19"/>
      <c r="TRK49" s="19"/>
      <c r="TRL49" s="19"/>
      <c r="TRM49" s="19"/>
      <c r="TRN49" s="19"/>
      <c r="TRO49" s="19"/>
      <c r="TRP49" s="19"/>
      <c r="TRQ49" s="19"/>
      <c r="TRR49" s="19"/>
      <c r="TRS49" s="19"/>
      <c r="TRT49" s="19"/>
      <c r="TRU49" s="19"/>
      <c r="TRV49" s="19"/>
      <c r="TRW49" s="19"/>
      <c r="TRX49" s="19"/>
      <c r="TRY49" s="19"/>
      <c r="TRZ49" s="19"/>
      <c r="TSA49" s="19"/>
      <c r="TSB49" s="19"/>
      <c r="TSC49" s="19"/>
      <c r="TSD49" s="19"/>
      <c r="TSE49" s="19"/>
      <c r="TSF49" s="19"/>
      <c r="TSG49" s="19"/>
      <c r="TSH49" s="19"/>
      <c r="TSI49" s="19"/>
      <c r="TSJ49" s="19"/>
      <c r="TSK49" s="19"/>
      <c r="TSL49" s="19"/>
      <c r="TSM49" s="19"/>
      <c r="TSN49" s="19"/>
      <c r="TSO49" s="19"/>
      <c r="TSP49" s="19"/>
      <c r="TSQ49" s="19"/>
      <c r="TSR49" s="19"/>
      <c r="TSS49" s="19"/>
      <c r="TST49" s="19"/>
      <c r="TSU49" s="19"/>
      <c r="TSV49" s="19"/>
      <c r="TSW49" s="19"/>
      <c r="TSX49" s="19"/>
      <c r="TSY49" s="19"/>
      <c r="TSZ49" s="19"/>
      <c r="TTA49" s="19"/>
      <c r="TTB49" s="19"/>
      <c r="TTC49" s="19"/>
      <c r="TTD49" s="19"/>
      <c r="TTE49" s="19"/>
      <c r="TTF49" s="19"/>
      <c r="TTG49" s="19"/>
      <c r="TTH49" s="19"/>
      <c r="TTI49" s="19"/>
      <c r="TTJ49" s="19"/>
      <c r="TTK49" s="19"/>
      <c r="TTL49" s="19"/>
      <c r="TTM49" s="19"/>
      <c r="TTN49" s="19"/>
      <c r="TTO49" s="19"/>
      <c r="TTP49" s="19"/>
      <c r="TTQ49" s="19"/>
      <c r="TTR49" s="19"/>
      <c r="TTS49" s="19"/>
      <c r="TTT49" s="19"/>
      <c r="TTU49" s="19"/>
      <c r="TTV49" s="19"/>
      <c r="TTW49" s="19"/>
      <c r="TTX49" s="19"/>
      <c r="TTY49" s="19"/>
      <c r="TTZ49" s="19"/>
      <c r="TUA49" s="19"/>
      <c r="TUB49" s="19"/>
      <c r="TUC49" s="19"/>
      <c r="TUD49" s="19"/>
      <c r="TUE49" s="19"/>
      <c r="TUF49" s="19"/>
      <c r="TUG49" s="19"/>
      <c r="TUH49" s="19"/>
      <c r="TUI49" s="19"/>
      <c r="TUJ49" s="19"/>
      <c r="TUK49" s="19"/>
      <c r="TUL49" s="19"/>
      <c r="TUM49" s="19"/>
      <c r="TUN49" s="19"/>
      <c r="TUO49" s="19"/>
      <c r="TUP49" s="19"/>
      <c r="TUQ49" s="19"/>
      <c r="TUR49" s="19"/>
      <c r="TUS49" s="19"/>
      <c r="TUT49" s="19"/>
      <c r="TUU49" s="19"/>
      <c r="TUV49" s="19"/>
      <c r="TUW49" s="19"/>
      <c r="TUX49" s="19"/>
      <c r="TUY49" s="19"/>
      <c r="TUZ49" s="19"/>
      <c r="TVA49" s="19"/>
      <c r="TVB49" s="19"/>
      <c r="TVC49" s="19"/>
      <c r="TVD49" s="19"/>
      <c r="TVE49" s="19"/>
      <c r="TVF49" s="19"/>
      <c r="TVG49" s="19"/>
      <c r="TVH49" s="19"/>
      <c r="TVI49" s="19"/>
      <c r="TVJ49" s="19"/>
      <c r="TVK49" s="19"/>
      <c r="TVL49" s="19"/>
      <c r="TVM49" s="19"/>
      <c r="TVN49" s="19"/>
      <c r="TVO49" s="19"/>
      <c r="TVP49" s="19"/>
      <c r="TVQ49" s="19"/>
      <c r="TVR49" s="19"/>
      <c r="TVS49" s="19"/>
      <c r="TVT49" s="19"/>
      <c r="TVU49" s="19"/>
      <c r="TVV49" s="19"/>
      <c r="TVW49" s="19"/>
      <c r="TVX49" s="19"/>
      <c r="TVY49" s="19"/>
      <c r="TVZ49" s="19"/>
      <c r="TWA49" s="19"/>
      <c r="TWB49" s="19"/>
      <c r="TWC49" s="19"/>
      <c r="TWD49" s="19"/>
      <c r="TWE49" s="19"/>
      <c r="TWF49" s="19"/>
      <c r="TWG49" s="19"/>
      <c r="TWH49" s="19"/>
      <c r="TWI49" s="19"/>
      <c r="TWJ49" s="19"/>
      <c r="TWK49" s="19"/>
      <c r="TWL49" s="19"/>
      <c r="TWM49" s="19"/>
      <c r="TWN49" s="19"/>
      <c r="TWO49" s="19"/>
      <c r="TWP49" s="19"/>
      <c r="TWQ49" s="19"/>
      <c r="TWR49" s="19"/>
      <c r="TWS49" s="19"/>
      <c r="TWT49" s="19"/>
      <c r="TWU49" s="19"/>
      <c r="TWV49" s="19"/>
      <c r="TWW49" s="19"/>
      <c r="TWX49" s="19"/>
      <c r="TWY49" s="19"/>
      <c r="TWZ49" s="19"/>
      <c r="TXA49" s="19"/>
      <c r="TXB49" s="19"/>
      <c r="TXC49" s="19"/>
      <c r="TXD49" s="19"/>
      <c r="TXE49" s="19"/>
      <c r="TXF49" s="19"/>
      <c r="TXG49" s="19"/>
      <c r="TXH49" s="19"/>
      <c r="TXI49" s="19"/>
      <c r="TXJ49" s="19"/>
      <c r="TXK49" s="19"/>
      <c r="TXL49" s="19"/>
      <c r="TXM49" s="19"/>
      <c r="TXN49" s="19"/>
      <c r="TXO49" s="19"/>
      <c r="TXP49" s="19"/>
      <c r="TXQ49" s="19"/>
      <c r="TXR49" s="19"/>
      <c r="TXS49" s="19"/>
      <c r="TXT49" s="19"/>
      <c r="TXU49" s="19"/>
      <c r="TXV49" s="19"/>
      <c r="TXW49" s="19"/>
      <c r="TXX49" s="19"/>
      <c r="TXY49" s="19"/>
      <c r="TXZ49" s="19"/>
      <c r="TYA49" s="19"/>
      <c r="TYB49" s="19"/>
      <c r="TYC49" s="19"/>
      <c r="TYD49" s="19"/>
      <c r="TYE49" s="19"/>
      <c r="TYF49" s="19"/>
      <c r="TYG49" s="19"/>
      <c r="TYH49" s="19"/>
      <c r="TYI49" s="19"/>
      <c r="TYJ49" s="19"/>
      <c r="TYK49" s="19"/>
      <c r="TYL49" s="19"/>
      <c r="TYM49" s="19"/>
      <c r="TYN49" s="19"/>
      <c r="TYO49" s="19"/>
      <c r="TYP49" s="19"/>
      <c r="TYQ49" s="19"/>
      <c r="TYR49" s="19"/>
      <c r="TYS49" s="19"/>
      <c r="TYT49" s="19"/>
      <c r="TYU49" s="19"/>
      <c r="TYV49" s="19"/>
      <c r="TYW49" s="19"/>
      <c r="TYX49" s="19"/>
      <c r="TYY49" s="19"/>
      <c r="TYZ49" s="19"/>
      <c r="TZA49" s="19"/>
      <c r="TZB49" s="19"/>
      <c r="TZC49" s="19"/>
      <c r="TZD49" s="19"/>
      <c r="TZE49" s="19"/>
      <c r="TZF49" s="19"/>
      <c r="TZG49" s="19"/>
      <c r="TZH49" s="19"/>
      <c r="TZI49" s="19"/>
      <c r="TZJ49" s="19"/>
      <c r="TZK49" s="19"/>
      <c r="TZL49" s="19"/>
      <c r="TZM49" s="19"/>
      <c r="TZN49" s="19"/>
      <c r="TZO49" s="19"/>
      <c r="TZP49" s="19"/>
      <c r="TZQ49" s="19"/>
      <c r="TZR49" s="19"/>
      <c r="TZS49" s="19"/>
      <c r="TZT49" s="19"/>
      <c r="TZU49" s="19"/>
      <c r="TZV49" s="19"/>
      <c r="TZW49" s="19"/>
      <c r="TZX49" s="19"/>
      <c r="TZY49" s="19"/>
      <c r="TZZ49" s="19"/>
      <c r="UAA49" s="19"/>
      <c r="UAB49" s="19"/>
      <c r="UAC49" s="19"/>
      <c r="UAD49" s="19"/>
      <c r="UAE49" s="19"/>
      <c r="UAF49" s="19"/>
      <c r="UAG49" s="19"/>
      <c r="UAH49" s="19"/>
      <c r="UAI49" s="19"/>
      <c r="UAJ49" s="19"/>
      <c r="UAK49" s="19"/>
      <c r="UAL49" s="19"/>
      <c r="UAM49" s="19"/>
      <c r="UAN49" s="19"/>
      <c r="UAO49" s="19"/>
      <c r="UAP49" s="19"/>
      <c r="UAQ49" s="19"/>
      <c r="UAR49" s="19"/>
      <c r="UAS49" s="19"/>
      <c r="UAT49" s="19"/>
      <c r="UAU49" s="19"/>
      <c r="UAV49" s="19"/>
      <c r="UAW49" s="19"/>
      <c r="UAX49" s="19"/>
      <c r="UAY49" s="19"/>
      <c r="UAZ49" s="19"/>
      <c r="UBA49" s="19"/>
      <c r="UBB49" s="19"/>
      <c r="UBC49" s="19"/>
      <c r="UBD49" s="19"/>
      <c r="UBE49" s="19"/>
      <c r="UBF49" s="19"/>
      <c r="UBG49" s="19"/>
      <c r="UBH49" s="19"/>
      <c r="UBI49" s="19"/>
      <c r="UBJ49" s="19"/>
      <c r="UBK49" s="19"/>
      <c r="UBL49" s="19"/>
      <c r="UBM49" s="19"/>
      <c r="UBN49" s="19"/>
      <c r="UBO49" s="19"/>
      <c r="UBP49" s="19"/>
      <c r="UBQ49" s="19"/>
      <c r="UBR49" s="19"/>
      <c r="UBS49" s="19"/>
      <c r="UBT49" s="19"/>
      <c r="UBU49" s="19"/>
      <c r="UBV49" s="19"/>
      <c r="UBW49" s="19"/>
      <c r="UBX49" s="19"/>
      <c r="UBY49" s="19"/>
      <c r="UBZ49" s="19"/>
      <c r="UCA49" s="19"/>
      <c r="UCB49" s="19"/>
      <c r="UCC49" s="19"/>
      <c r="UCD49" s="19"/>
      <c r="UCE49" s="19"/>
      <c r="UCF49" s="19"/>
      <c r="UCG49" s="19"/>
      <c r="UCH49" s="19"/>
      <c r="UCI49" s="19"/>
      <c r="UCJ49" s="19"/>
      <c r="UCK49" s="19"/>
      <c r="UCL49" s="19"/>
      <c r="UCM49" s="19"/>
      <c r="UCN49" s="19"/>
      <c r="UCO49" s="19"/>
      <c r="UCP49" s="19"/>
      <c r="UCQ49" s="19"/>
      <c r="UCR49" s="19"/>
      <c r="UCS49" s="19"/>
      <c r="UCT49" s="19"/>
      <c r="UCU49" s="19"/>
      <c r="UCV49" s="19"/>
      <c r="UCW49" s="19"/>
      <c r="UCX49" s="19"/>
      <c r="UCY49" s="19"/>
      <c r="UCZ49" s="19"/>
      <c r="UDA49" s="19"/>
      <c r="UDB49" s="19"/>
      <c r="UDC49" s="19"/>
      <c r="UDD49" s="19"/>
      <c r="UDE49" s="19"/>
      <c r="UDF49" s="19"/>
      <c r="UDG49" s="19"/>
      <c r="UDH49" s="19"/>
      <c r="UDI49" s="19"/>
      <c r="UDJ49" s="19"/>
      <c r="UDK49" s="19"/>
      <c r="UDL49" s="19"/>
      <c r="UDM49" s="19"/>
      <c r="UDN49" s="19"/>
      <c r="UDO49" s="19"/>
      <c r="UDP49" s="19"/>
      <c r="UDQ49" s="19"/>
      <c r="UDR49" s="19"/>
      <c r="UDS49" s="19"/>
      <c r="UDT49" s="19"/>
      <c r="UDU49" s="19"/>
      <c r="UDV49" s="19"/>
      <c r="UDW49" s="19"/>
      <c r="UDX49" s="19"/>
      <c r="UDY49" s="19"/>
      <c r="UDZ49" s="19"/>
      <c r="UEA49" s="19"/>
      <c r="UEB49" s="19"/>
      <c r="UEC49" s="19"/>
      <c r="UED49" s="19"/>
      <c r="UEE49" s="19"/>
      <c r="UEF49" s="19"/>
      <c r="UEG49" s="19"/>
      <c r="UEH49" s="19"/>
      <c r="UEI49" s="19"/>
      <c r="UEJ49" s="19"/>
      <c r="UEK49" s="19"/>
      <c r="UEL49" s="19"/>
      <c r="UEM49" s="19"/>
      <c r="UEN49" s="19"/>
      <c r="UEO49" s="19"/>
      <c r="UEP49" s="19"/>
      <c r="UEQ49" s="19"/>
      <c r="UER49" s="19"/>
      <c r="UES49" s="19"/>
      <c r="UET49" s="19"/>
      <c r="UEU49" s="19"/>
      <c r="UEV49" s="19"/>
      <c r="UEW49" s="19"/>
      <c r="UEX49" s="19"/>
      <c r="UEY49" s="19"/>
      <c r="UEZ49" s="19"/>
      <c r="UFA49" s="19"/>
      <c r="UFB49" s="19"/>
      <c r="UFC49" s="19"/>
      <c r="UFD49" s="19"/>
      <c r="UFE49" s="19"/>
      <c r="UFF49" s="19"/>
      <c r="UFG49" s="19"/>
      <c r="UFH49" s="19"/>
      <c r="UFI49" s="19"/>
      <c r="UFJ49" s="19"/>
      <c r="UFK49" s="19"/>
      <c r="UFL49" s="19"/>
      <c r="UFM49" s="19"/>
      <c r="UFN49" s="19"/>
      <c r="UFO49" s="19"/>
      <c r="UFP49" s="19"/>
      <c r="UFQ49" s="19"/>
      <c r="UFR49" s="19"/>
      <c r="UFS49" s="19"/>
      <c r="UFT49" s="19"/>
      <c r="UFU49" s="19"/>
      <c r="UFV49" s="19"/>
      <c r="UFW49" s="19"/>
      <c r="UFX49" s="19"/>
      <c r="UFY49" s="19"/>
      <c r="UFZ49" s="19"/>
      <c r="UGA49" s="19"/>
      <c r="UGB49" s="19"/>
      <c r="UGC49" s="19"/>
      <c r="UGD49" s="19"/>
      <c r="UGE49" s="19"/>
      <c r="UGF49" s="19"/>
      <c r="UGG49" s="19"/>
      <c r="UGH49" s="19"/>
      <c r="UGI49" s="19"/>
      <c r="UGJ49" s="19"/>
      <c r="UGK49" s="19"/>
      <c r="UGL49" s="19"/>
      <c r="UGM49" s="19"/>
      <c r="UGN49" s="19"/>
      <c r="UGO49" s="19"/>
      <c r="UGP49" s="19"/>
      <c r="UGQ49" s="19"/>
      <c r="UGR49" s="19"/>
      <c r="UGS49" s="19"/>
      <c r="UGT49" s="19"/>
      <c r="UGU49" s="19"/>
      <c r="UGV49" s="19"/>
      <c r="UGW49" s="19"/>
      <c r="UGX49" s="19"/>
      <c r="UGY49" s="19"/>
      <c r="UGZ49" s="19"/>
      <c r="UHA49" s="19"/>
      <c r="UHB49" s="19"/>
      <c r="UHC49" s="19"/>
      <c r="UHD49" s="19"/>
      <c r="UHE49" s="19"/>
      <c r="UHF49" s="19"/>
      <c r="UHG49" s="19"/>
      <c r="UHH49" s="19"/>
      <c r="UHI49" s="19"/>
      <c r="UHJ49" s="19"/>
      <c r="UHK49" s="19"/>
      <c r="UHL49" s="19"/>
      <c r="UHM49" s="19"/>
      <c r="UHN49" s="19"/>
      <c r="UHO49" s="19"/>
      <c r="UHP49" s="19"/>
      <c r="UHQ49" s="19"/>
      <c r="UHR49" s="19"/>
      <c r="UHS49" s="19"/>
      <c r="UHT49" s="19"/>
      <c r="UHU49" s="19"/>
      <c r="UHV49" s="19"/>
      <c r="UHW49" s="19"/>
      <c r="UHX49" s="19"/>
      <c r="UHY49" s="19"/>
      <c r="UHZ49" s="19"/>
      <c r="UIA49" s="19"/>
      <c r="UIB49" s="19"/>
      <c r="UIC49" s="19"/>
      <c r="UID49" s="19"/>
      <c r="UIE49" s="19"/>
      <c r="UIF49" s="19"/>
      <c r="UIG49" s="19"/>
      <c r="UIH49" s="19"/>
      <c r="UII49" s="19"/>
      <c r="UIJ49" s="19"/>
      <c r="UIK49" s="19"/>
      <c r="UIL49" s="19"/>
      <c r="UIM49" s="19"/>
      <c r="UIN49" s="19"/>
      <c r="UIO49" s="19"/>
      <c r="UIP49" s="19"/>
      <c r="UIQ49" s="19"/>
      <c r="UIR49" s="19"/>
      <c r="UIS49" s="19"/>
      <c r="UIT49" s="19"/>
      <c r="UIU49" s="19"/>
      <c r="UIV49" s="19"/>
      <c r="UIW49" s="19"/>
      <c r="UIX49" s="19"/>
      <c r="UIY49" s="19"/>
      <c r="UIZ49" s="19"/>
      <c r="UJA49" s="19"/>
      <c r="UJB49" s="19"/>
      <c r="UJC49" s="19"/>
      <c r="UJD49" s="19"/>
      <c r="UJE49" s="19"/>
      <c r="UJF49" s="19"/>
      <c r="UJG49" s="19"/>
      <c r="UJH49" s="19"/>
      <c r="UJI49" s="19"/>
      <c r="UJJ49" s="19"/>
      <c r="UJK49" s="19"/>
      <c r="UJL49" s="19"/>
      <c r="UJM49" s="19"/>
      <c r="UJN49" s="19"/>
      <c r="UJO49" s="19"/>
      <c r="UJP49" s="19"/>
      <c r="UJQ49" s="19"/>
      <c r="UJR49" s="19"/>
      <c r="UJS49" s="19"/>
      <c r="UJT49" s="19"/>
      <c r="UJU49" s="19"/>
      <c r="UJV49" s="19"/>
      <c r="UJW49" s="19"/>
      <c r="UJX49" s="19"/>
      <c r="UJY49" s="19"/>
      <c r="UJZ49" s="19"/>
      <c r="UKA49" s="19"/>
      <c r="UKB49" s="19"/>
      <c r="UKC49" s="19"/>
      <c r="UKD49" s="19"/>
      <c r="UKE49" s="19"/>
      <c r="UKF49" s="19"/>
      <c r="UKG49" s="19"/>
      <c r="UKH49" s="19"/>
      <c r="UKI49" s="19"/>
      <c r="UKJ49" s="19"/>
      <c r="UKK49" s="19"/>
      <c r="UKL49" s="19"/>
      <c r="UKM49" s="19"/>
      <c r="UKN49" s="19"/>
      <c r="UKO49" s="19"/>
      <c r="UKP49" s="19"/>
      <c r="UKQ49" s="19"/>
      <c r="UKR49" s="19"/>
      <c r="UKS49" s="19"/>
      <c r="UKT49" s="19"/>
      <c r="UKU49" s="19"/>
      <c r="UKV49" s="19"/>
      <c r="UKW49" s="19"/>
      <c r="UKX49" s="19"/>
      <c r="UKY49" s="19"/>
      <c r="UKZ49" s="19"/>
      <c r="ULA49" s="19"/>
      <c r="ULB49" s="19"/>
      <c r="ULC49" s="19"/>
      <c r="ULD49" s="19"/>
      <c r="ULE49" s="19"/>
      <c r="ULF49" s="19"/>
      <c r="ULG49" s="19"/>
      <c r="ULH49" s="19"/>
      <c r="ULI49" s="19"/>
      <c r="ULJ49" s="19"/>
      <c r="ULK49" s="19"/>
      <c r="ULL49" s="19"/>
      <c r="ULM49" s="19"/>
      <c r="ULN49" s="19"/>
      <c r="ULO49" s="19"/>
      <c r="ULP49" s="19"/>
      <c r="ULQ49" s="19"/>
      <c r="ULR49" s="19"/>
      <c r="ULS49" s="19"/>
      <c r="ULT49" s="19"/>
      <c r="ULU49" s="19"/>
      <c r="ULV49" s="19"/>
      <c r="ULW49" s="19"/>
      <c r="ULX49" s="19"/>
      <c r="ULY49" s="19"/>
      <c r="ULZ49" s="19"/>
      <c r="UMA49" s="19"/>
      <c r="UMB49" s="19"/>
      <c r="UMC49" s="19"/>
      <c r="UMD49" s="19"/>
      <c r="UME49" s="19"/>
      <c r="UMF49" s="19"/>
      <c r="UMG49" s="19"/>
      <c r="UMH49" s="19"/>
      <c r="UMI49" s="19"/>
      <c r="UMJ49" s="19"/>
      <c r="UMK49" s="19"/>
      <c r="UML49" s="19"/>
      <c r="UMM49" s="19"/>
      <c r="UMN49" s="19"/>
      <c r="UMO49" s="19"/>
      <c r="UMP49" s="19"/>
      <c r="UMQ49" s="19"/>
      <c r="UMR49" s="19"/>
      <c r="UMS49" s="19"/>
      <c r="UMT49" s="19"/>
      <c r="UMU49" s="19"/>
      <c r="UMV49" s="19"/>
      <c r="UMW49" s="19"/>
      <c r="UMX49" s="19"/>
      <c r="UMY49" s="19"/>
      <c r="UMZ49" s="19"/>
      <c r="UNA49" s="19"/>
      <c r="UNB49" s="19"/>
      <c r="UNC49" s="19"/>
      <c r="UND49" s="19"/>
      <c r="UNE49" s="19"/>
      <c r="UNF49" s="19"/>
      <c r="UNG49" s="19"/>
      <c r="UNH49" s="19"/>
      <c r="UNI49" s="19"/>
      <c r="UNJ49" s="19"/>
      <c r="UNK49" s="19"/>
      <c r="UNL49" s="19"/>
      <c r="UNM49" s="19"/>
      <c r="UNN49" s="19"/>
      <c r="UNO49" s="19"/>
      <c r="UNP49" s="19"/>
      <c r="UNQ49" s="19"/>
      <c r="UNR49" s="19"/>
      <c r="UNS49" s="19"/>
      <c r="UNT49" s="19"/>
      <c r="UNU49" s="19"/>
      <c r="UNV49" s="19"/>
      <c r="UNW49" s="19"/>
      <c r="UNX49" s="19"/>
      <c r="UNY49" s="19"/>
      <c r="UNZ49" s="19"/>
      <c r="UOA49" s="19"/>
      <c r="UOB49" s="19"/>
      <c r="UOC49" s="19"/>
      <c r="UOD49" s="19"/>
      <c r="UOE49" s="19"/>
      <c r="UOF49" s="19"/>
      <c r="UOG49" s="19"/>
      <c r="UOH49" s="19"/>
      <c r="UOI49" s="19"/>
      <c r="UOJ49" s="19"/>
      <c r="UOK49" s="19"/>
      <c r="UOL49" s="19"/>
      <c r="UOM49" s="19"/>
      <c r="UON49" s="19"/>
      <c r="UOO49" s="19"/>
      <c r="UOP49" s="19"/>
      <c r="UOQ49" s="19"/>
      <c r="UOR49" s="19"/>
      <c r="UOS49" s="19"/>
      <c r="UOT49" s="19"/>
      <c r="UOU49" s="19"/>
      <c r="UOV49" s="19"/>
      <c r="UOW49" s="19"/>
      <c r="UOX49" s="19"/>
      <c r="UOY49" s="19"/>
      <c r="UOZ49" s="19"/>
      <c r="UPA49" s="19"/>
      <c r="UPB49" s="19"/>
      <c r="UPC49" s="19"/>
      <c r="UPD49" s="19"/>
      <c r="UPE49" s="19"/>
      <c r="UPF49" s="19"/>
      <c r="UPG49" s="19"/>
      <c r="UPH49" s="19"/>
      <c r="UPI49" s="19"/>
      <c r="UPJ49" s="19"/>
      <c r="UPK49" s="19"/>
      <c r="UPL49" s="19"/>
      <c r="UPM49" s="19"/>
      <c r="UPN49" s="19"/>
      <c r="UPO49" s="19"/>
      <c r="UPP49" s="19"/>
      <c r="UPQ49" s="19"/>
      <c r="UPR49" s="19"/>
      <c r="UPS49" s="19"/>
      <c r="UPT49" s="19"/>
      <c r="UPU49" s="19"/>
      <c r="UPV49" s="19"/>
      <c r="UPW49" s="19"/>
      <c r="UPX49" s="19"/>
      <c r="UPY49" s="19"/>
      <c r="UPZ49" s="19"/>
      <c r="UQA49" s="19"/>
      <c r="UQB49" s="19"/>
      <c r="UQC49" s="19"/>
      <c r="UQD49" s="19"/>
      <c r="UQE49" s="19"/>
      <c r="UQF49" s="19"/>
      <c r="UQG49" s="19"/>
      <c r="UQH49" s="19"/>
      <c r="UQI49" s="19"/>
      <c r="UQJ49" s="19"/>
      <c r="UQK49" s="19"/>
      <c r="UQL49" s="19"/>
      <c r="UQM49" s="19"/>
      <c r="UQN49" s="19"/>
      <c r="UQO49" s="19"/>
      <c r="UQP49" s="19"/>
      <c r="UQQ49" s="19"/>
      <c r="UQR49" s="19"/>
      <c r="UQS49" s="19"/>
      <c r="UQT49" s="19"/>
      <c r="UQU49" s="19"/>
      <c r="UQV49" s="19"/>
      <c r="UQW49" s="19"/>
      <c r="UQX49" s="19"/>
      <c r="UQY49" s="19"/>
      <c r="UQZ49" s="19"/>
      <c r="URA49" s="19"/>
      <c r="URB49" s="19"/>
      <c r="URC49" s="19"/>
      <c r="URD49" s="19"/>
      <c r="URE49" s="19"/>
      <c r="URF49" s="19"/>
      <c r="URG49" s="19"/>
      <c r="URH49" s="19"/>
      <c r="URI49" s="19"/>
      <c r="URJ49" s="19"/>
      <c r="URK49" s="19"/>
      <c r="URL49" s="19"/>
      <c r="URM49" s="19"/>
      <c r="URN49" s="19"/>
      <c r="URO49" s="19"/>
      <c r="URP49" s="19"/>
      <c r="URQ49" s="19"/>
      <c r="URR49" s="19"/>
      <c r="URS49" s="19"/>
      <c r="URT49" s="19"/>
      <c r="URU49" s="19"/>
      <c r="URV49" s="19"/>
      <c r="URW49" s="19"/>
      <c r="URX49" s="19"/>
      <c r="URY49" s="19"/>
      <c r="URZ49" s="19"/>
      <c r="USA49" s="19"/>
      <c r="USB49" s="19"/>
      <c r="USC49" s="19"/>
      <c r="USD49" s="19"/>
      <c r="USE49" s="19"/>
      <c r="USF49" s="19"/>
      <c r="USG49" s="19"/>
      <c r="USH49" s="19"/>
      <c r="USI49" s="19"/>
      <c r="USJ49" s="19"/>
      <c r="USK49" s="19"/>
      <c r="USL49" s="19"/>
      <c r="USM49" s="19"/>
      <c r="USN49" s="19"/>
      <c r="USO49" s="19"/>
      <c r="USP49" s="19"/>
      <c r="USQ49" s="19"/>
      <c r="USR49" s="19"/>
      <c r="USS49" s="19"/>
      <c r="UST49" s="19"/>
      <c r="USU49" s="19"/>
      <c r="USV49" s="19"/>
      <c r="USW49" s="19"/>
      <c r="USX49" s="19"/>
      <c r="USY49" s="19"/>
      <c r="USZ49" s="19"/>
      <c r="UTA49" s="19"/>
      <c r="UTB49" s="19"/>
      <c r="UTC49" s="19"/>
      <c r="UTD49" s="19"/>
      <c r="UTE49" s="19"/>
      <c r="UTF49" s="19"/>
      <c r="UTG49" s="19"/>
      <c r="UTH49" s="19"/>
      <c r="UTI49" s="19"/>
      <c r="UTJ49" s="19"/>
      <c r="UTK49" s="19"/>
      <c r="UTL49" s="19"/>
      <c r="UTM49" s="19"/>
      <c r="UTN49" s="19"/>
      <c r="UTO49" s="19"/>
      <c r="UTP49" s="19"/>
      <c r="UTQ49" s="19"/>
      <c r="UTR49" s="19"/>
      <c r="UTS49" s="19"/>
      <c r="UTT49" s="19"/>
      <c r="UTU49" s="19"/>
      <c r="UTV49" s="19"/>
      <c r="UTW49" s="19"/>
      <c r="UTX49" s="19"/>
      <c r="UTY49" s="19"/>
      <c r="UTZ49" s="19"/>
      <c r="UUA49" s="19"/>
      <c r="UUB49" s="19"/>
      <c r="UUC49" s="19"/>
      <c r="UUD49" s="19"/>
      <c r="UUE49" s="19"/>
      <c r="UUF49" s="19"/>
      <c r="UUG49" s="19"/>
      <c r="UUH49" s="19"/>
      <c r="UUI49" s="19"/>
      <c r="UUJ49" s="19"/>
      <c r="UUK49" s="19"/>
      <c r="UUL49" s="19"/>
      <c r="UUM49" s="19"/>
      <c r="UUN49" s="19"/>
      <c r="UUO49" s="19"/>
      <c r="UUP49" s="19"/>
      <c r="UUQ49" s="19"/>
      <c r="UUR49" s="19"/>
      <c r="UUS49" s="19"/>
      <c r="UUT49" s="19"/>
      <c r="UUU49" s="19"/>
      <c r="UUV49" s="19"/>
      <c r="UUW49" s="19"/>
      <c r="UUX49" s="19"/>
      <c r="UUY49" s="19"/>
      <c r="UUZ49" s="19"/>
      <c r="UVA49" s="19"/>
      <c r="UVB49" s="19"/>
      <c r="UVC49" s="19"/>
      <c r="UVD49" s="19"/>
      <c r="UVE49" s="19"/>
      <c r="UVF49" s="19"/>
      <c r="UVG49" s="19"/>
      <c r="UVH49" s="19"/>
      <c r="UVI49" s="19"/>
      <c r="UVJ49" s="19"/>
      <c r="UVK49" s="19"/>
      <c r="UVL49" s="19"/>
      <c r="UVM49" s="19"/>
      <c r="UVN49" s="19"/>
      <c r="UVO49" s="19"/>
      <c r="UVP49" s="19"/>
      <c r="UVQ49" s="19"/>
      <c r="UVR49" s="19"/>
      <c r="UVS49" s="19"/>
      <c r="UVT49" s="19"/>
      <c r="UVU49" s="19"/>
      <c r="UVV49" s="19"/>
      <c r="UVW49" s="19"/>
      <c r="UVX49" s="19"/>
      <c r="UVY49" s="19"/>
      <c r="UVZ49" s="19"/>
      <c r="UWA49" s="19"/>
      <c r="UWB49" s="19"/>
      <c r="UWC49" s="19"/>
      <c r="UWD49" s="19"/>
      <c r="UWE49" s="19"/>
      <c r="UWF49" s="19"/>
      <c r="UWG49" s="19"/>
      <c r="UWH49" s="19"/>
      <c r="UWI49" s="19"/>
      <c r="UWJ49" s="19"/>
      <c r="UWK49" s="19"/>
      <c r="UWL49" s="19"/>
      <c r="UWM49" s="19"/>
      <c r="UWN49" s="19"/>
      <c r="UWO49" s="19"/>
      <c r="UWP49" s="19"/>
      <c r="UWQ49" s="19"/>
      <c r="UWR49" s="19"/>
      <c r="UWS49" s="19"/>
      <c r="UWT49" s="19"/>
      <c r="UWU49" s="19"/>
      <c r="UWV49" s="19"/>
      <c r="UWW49" s="19"/>
      <c r="UWX49" s="19"/>
      <c r="UWY49" s="19"/>
      <c r="UWZ49" s="19"/>
      <c r="UXA49" s="19"/>
      <c r="UXB49" s="19"/>
      <c r="UXC49" s="19"/>
      <c r="UXD49" s="19"/>
      <c r="UXE49" s="19"/>
      <c r="UXF49" s="19"/>
      <c r="UXG49" s="19"/>
      <c r="UXH49" s="19"/>
      <c r="UXI49" s="19"/>
      <c r="UXJ49" s="19"/>
      <c r="UXK49" s="19"/>
      <c r="UXL49" s="19"/>
      <c r="UXM49" s="19"/>
      <c r="UXN49" s="19"/>
      <c r="UXO49" s="19"/>
      <c r="UXP49" s="19"/>
      <c r="UXQ49" s="19"/>
      <c r="UXR49" s="19"/>
      <c r="UXS49" s="19"/>
      <c r="UXT49" s="19"/>
      <c r="UXU49" s="19"/>
      <c r="UXV49" s="19"/>
      <c r="UXW49" s="19"/>
      <c r="UXX49" s="19"/>
      <c r="UXY49" s="19"/>
      <c r="UXZ49" s="19"/>
      <c r="UYA49" s="19"/>
      <c r="UYB49" s="19"/>
      <c r="UYC49" s="19"/>
      <c r="UYD49" s="19"/>
      <c r="UYE49" s="19"/>
      <c r="UYF49" s="19"/>
      <c r="UYG49" s="19"/>
      <c r="UYH49" s="19"/>
      <c r="UYI49" s="19"/>
      <c r="UYJ49" s="19"/>
      <c r="UYK49" s="19"/>
      <c r="UYL49" s="19"/>
      <c r="UYM49" s="19"/>
      <c r="UYN49" s="19"/>
      <c r="UYO49" s="19"/>
      <c r="UYP49" s="19"/>
      <c r="UYQ49" s="19"/>
      <c r="UYR49" s="19"/>
      <c r="UYS49" s="19"/>
      <c r="UYT49" s="19"/>
      <c r="UYU49" s="19"/>
      <c r="UYV49" s="19"/>
      <c r="UYW49" s="19"/>
      <c r="UYX49" s="19"/>
      <c r="UYY49" s="19"/>
      <c r="UYZ49" s="19"/>
      <c r="UZA49" s="19"/>
      <c r="UZB49" s="19"/>
      <c r="UZC49" s="19"/>
      <c r="UZD49" s="19"/>
      <c r="UZE49" s="19"/>
      <c r="UZF49" s="19"/>
      <c r="UZG49" s="19"/>
      <c r="UZH49" s="19"/>
      <c r="UZI49" s="19"/>
      <c r="UZJ49" s="19"/>
      <c r="UZK49" s="19"/>
      <c r="UZL49" s="19"/>
      <c r="UZM49" s="19"/>
      <c r="UZN49" s="19"/>
      <c r="UZO49" s="19"/>
      <c r="UZP49" s="19"/>
      <c r="UZQ49" s="19"/>
      <c r="UZR49" s="19"/>
      <c r="UZS49" s="19"/>
      <c r="UZT49" s="19"/>
      <c r="UZU49" s="19"/>
      <c r="UZV49" s="19"/>
      <c r="UZW49" s="19"/>
      <c r="UZX49" s="19"/>
      <c r="UZY49" s="19"/>
      <c r="UZZ49" s="19"/>
      <c r="VAA49" s="19"/>
      <c r="VAB49" s="19"/>
      <c r="VAC49" s="19"/>
      <c r="VAD49" s="19"/>
      <c r="VAE49" s="19"/>
      <c r="VAF49" s="19"/>
      <c r="VAG49" s="19"/>
      <c r="VAH49" s="19"/>
      <c r="VAI49" s="19"/>
      <c r="VAJ49" s="19"/>
      <c r="VAK49" s="19"/>
      <c r="VAL49" s="19"/>
      <c r="VAM49" s="19"/>
      <c r="VAN49" s="19"/>
      <c r="VAO49" s="19"/>
      <c r="VAP49" s="19"/>
      <c r="VAQ49" s="19"/>
      <c r="VAR49" s="19"/>
      <c r="VAS49" s="19"/>
      <c r="VAT49" s="19"/>
      <c r="VAU49" s="19"/>
      <c r="VAV49" s="19"/>
      <c r="VAW49" s="19"/>
      <c r="VAX49" s="19"/>
      <c r="VAY49" s="19"/>
      <c r="VAZ49" s="19"/>
      <c r="VBA49" s="19"/>
      <c r="VBB49" s="19"/>
      <c r="VBC49" s="19"/>
      <c r="VBD49" s="19"/>
      <c r="VBE49" s="19"/>
      <c r="VBF49" s="19"/>
      <c r="VBG49" s="19"/>
      <c r="VBH49" s="19"/>
      <c r="VBI49" s="19"/>
      <c r="VBJ49" s="19"/>
      <c r="VBK49" s="19"/>
      <c r="VBL49" s="19"/>
      <c r="VBM49" s="19"/>
      <c r="VBN49" s="19"/>
      <c r="VBO49" s="19"/>
      <c r="VBP49" s="19"/>
      <c r="VBQ49" s="19"/>
      <c r="VBR49" s="19"/>
      <c r="VBS49" s="19"/>
      <c r="VBT49" s="19"/>
      <c r="VBU49" s="19"/>
      <c r="VBV49" s="19"/>
      <c r="VBW49" s="19"/>
      <c r="VBX49" s="19"/>
      <c r="VBY49" s="19"/>
      <c r="VBZ49" s="19"/>
      <c r="VCA49" s="19"/>
      <c r="VCB49" s="19"/>
      <c r="VCC49" s="19"/>
      <c r="VCD49" s="19"/>
      <c r="VCE49" s="19"/>
      <c r="VCF49" s="19"/>
      <c r="VCG49" s="19"/>
      <c r="VCH49" s="19"/>
      <c r="VCI49" s="19"/>
      <c r="VCJ49" s="19"/>
      <c r="VCK49" s="19"/>
      <c r="VCL49" s="19"/>
      <c r="VCM49" s="19"/>
      <c r="VCN49" s="19"/>
      <c r="VCO49" s="19"/>
      <c r="VCP49" s="19"/>
      <c r="VCQ49" s="19"/>
      <c r="VCR49" s="19"/>
      <c r="VCS49" s="19"/>
      <c r="VCT49" s="19"/>
      <c r="VCU49" s="19"/>
      <c r="VCV49" s="19"/>
      <c r="VCW49" s="19"/>
      <c r="VCX49" s="19"/>
      <c r="VCY49" s="19"/>
      <c r="VCZ49" s="19"/>
      <c r="VDA49" s="19"/>
      <c r="VDB49" s="19"/>
      <c r="VDC49" s="19"/>
      <c r="VDD49" s="19"/>
      <c r="VDE49" s="19"/>
      <c r="VDF49" s="19"/>
      <c r="VDG49" s="19"/>
      <c r="VDH49" s="19"/>
      <c r="VDI49" s="19"/>
      <c r="VDJ49" s="19"/>
      <c r="VDK49" s="19"/>
      <c r="VDL49" s="19"/>
      <c r="VDM49" s="19"/>
      <c r="VDN49" s="19"/>
      <c r="VDO49" s="19"/>
      <c r="VDP49" s="19"/>
      <c r="VDQ49" s="19"/>
      <c r="VDR49" s="19"/>
      <c r="VDS49" s="19"/>
      <c r="VDT49" s="19"/>
      <c r="VDU49" s="19"/>
      <c r="VDV49" s="19"/>
      <c r="VDW49" s="19"/>
      <c r="VDX49" s="19"/>
      <c r="VDY49" s="19"/>
      <c r="VDZ49" s="19"/>
      <c r="VEA49" s="19"/>
      <c r="VEB49" s="19"/>
      <c r="VEC49" s="19"/>
      <c r="VED49" s="19"/>
      <c r="VEE49" s="19"/>
      <c r="VEF49" s="19"/>
      <c r="VEG49" s="19"/>
      <c r="VEH49" s="19"/>
      <c r="VEI49" s="19"/>
      <c r="VEJ49" s="19"/>
      <c r="VEK49" s="19"/>
      <c r="VEL49" s="19"/>
      <c r="VEM49" s="19"/>
      <c r="VEN49" s="19"/>
      <c r="VEO49" s="19"/>
      <c r="VEP49" s="19"/>
      <c r="VEQ49" s="19"/>
      <c r="VER49" s="19"/>
      <c r="VES49" s="19"/>
      <c r="VET49" s="19"/>
      <c r="VEU49" s="19"/>
      <c r="VEV49" s="19"/>
      <c r="VEW49" s="19"/>
      <c r="VEX49" s="19"/>
      <c r="VEY49" s="19"/>
      <c r="VEZ49" s="19"/>
      <c r="VFA49" s="19"/>
      <c r="VFB49" s="19"/>
      <c r="VFC49" s="19"/>
      <c r="VFD49" s="19"/>
      <c r="VFE49" s="19"/>
      <c r="VFF49" s="19"/>
      <c r="VFG49" s="19"/>
      <c r="VFH49" s="19"/>
      <c r="VFI49" s="19"/>
      <c r="VFJ49" s="19"/>
      <c r="VFK49" s="19"/>
      <c r="VFL49" s="19"/>
      <c r="VFM49" s="19"/>
      <c r="VFN49" s="19"/>
      <c r="VFO49" s="19"/>
      <c r="VFP49" s="19"/>
      <c r="VFQ49" s="19"/>
      <c r="VFR49" s="19"/>
      <c r="VFS49" s="19"/>
      <c r="VFT49" s="19"/>
      <c r="VFU49" s="19"/>
      <c r="VFV49" s="19"/>
      <c r="VFW49" s="19"/>
      <c r="VFX49" s="19"/>
      <c r="VFY49" s="19"/>
      <c r="VFZ49" s="19"/>
      <c r="VGA49" s="19"/>
      <c r="VGB49" s="19"/>
      <c r="VGC49" s="19"/>
      <c r="VGD49" s="19"/>
      <c r="VGE49" s="19"/>
      <c r="VGF49" s="19"/>
      <c r="VGG49" s="19"/>
      <c r="VGH49" s="19"/>
      <c r="VGI49" s="19"/>
      <c r="VGJ49" s="19"/>
      <c r="VGK49" s="19"/>
      <c r="VGL49" s="19"/>
      <c r="VGM49" s="19"/>
      <c r="VGN49" s="19"/>
      <c r="VGO49" s="19"/>
      <c r="VGP49" s="19"/>
      <c r="VGQ49" s="19"/>
      <c r="VGR49" s="19"/>
      <c r="VGS49" s="19"/>
      <c r="VGT49" s="19"/>
      <c r="VGU49" s="19"/>
      <c r="VGV49" s="19"/>
      <c r="VGW49" s="19"/>
      <c r="VGX49" s="19"/>
      <c r="VGY49" s="19"/>
      <c r="VGZ49" s="19"/>
      <c r="VHA49" s="19"/>
      <c r="VHB49" s="19"/>
      <c r="VHC49" s="19"/>
      <c r="VHD49" s="19"/>
      <c r="VHE49" s="19"/>
      <c r="VHF49" s="19"/>
      <c r="VHG49" s="19"/>
      <c r="VHH49" s="19"/>
      <c r="VHI49" s="19"/>
      <c r="VHJ49" s="19"/>
      <c r="VHK49" s="19"/>
      <c r="VHL49" s="19"/>
      <c r="VHM49" s="19"/>
      <c r="VHN49" s="19"/>
      <c r="VHO49" s="19"/>
      <c r="VHP49" s="19"/>
      <c r="VHQ49" s="19"/>
      <c r="VHR49" s="19"/>
      <c r="VHS49" s="19"/>
      <c r="VHT49" s="19"/>
      <c r="VHU49" s="19"/>
      <c r="VHV49" s="19"/>
      <c r="VHW49" s="19"/>
      <c r="VHX49" s="19"/>
      <c r="VHY49" s="19"/>
      <c r="VHZ49" s="19"/>
      <c r="VIA49" s="19"/>
      <c r="VIB49" s="19"/>
      <c r="VIC49" s="19"/>
      <c r="VID49" s="19"/>
      <c r="VIE49" s="19"/>
      <c r="VIF49" s="19"/>
      <c r="VIG49" s="19"/>
      <c r="VIH49" s="19"/>
      <c r="VII49" s="19"/>
      <c r="VIJ49" s="19"/>
      <c r="VIK49" s="19"/>
      <c r="VIL49" s="19"/>
      <c r="VIM49" s="19"/>
      <c r="VIN49" s="19"/>
      <c r="VIO49" s="19"/>
      <c r="VIP49" s="19"/>
      <c r="VIQ49" s="19"/>
      <c r="VIR49" s="19"/>
      <c r="VIS49" s="19"/>
      <c r="VIT49" s="19"/>
      <c r="VIU49" s="19"/>
      <c r="VIV49" s="19"/>
      <c r="VIW49" s="19"/>
      <c r="VIX49" s="19"/>
      <c r="VIY49" s="19"/>
      <c r="VIZ49" s="19"/>
      <c r="VJA49" s="19"/>
      <c r="VJB49" s="19"/>
      <c r="VJC49" s="19"/>
      <c r="VJD49" s="19"/>
      <c r="VJE49" s="19"/>
      <c r="VJF49" s="19"/>
      <c r="VJG49" s="19"/>
      <c r="VJH49" s="19"/>
      <c r="VJI49" s="19"/>
      <c r="VJJ49" s="19"/>
      <c r="VJK49" s="19"/>
      <c r="VJL49" s="19"/>
      <c r="VJM49" s="19"/>
      <c r="VJN49" s="19"/>
      <c r="VJO49" s="19"/>
      <c r="VJP49" s="19"/>
      <c r="VJQ49" s="19"/>
      <c r="VJR49" s="19"/>
      <c r="VJS49" s="19"/>
      <c r="VJT49" s="19"/>
      <c r="VJU49" s="19"/>
      <c r="VJV49" s="19"/>
      <c r="VJW49" s="19"/>
      <c r="VJX49" s="19"/>
      <c r="VJY49" s="19"/>
      <c r="VJZ49" s="19"/>
      <c r="VKA49" s="19"/>
      <c r="VKB49" s="19"/>
      <c r="VKC49" s="19"/>
      <c r="VKD49" s="19"/>
      <c r="VKE49" s="19"/>
      <c r="VKF49" s="19"/>
      <c r="VKG49" s="19"/>
      <c r="VKH49" s="19"/>
      <c r="VKI49" s="19"/>
      <c r="VKJ49" s="19"/>
      <c r="VKK49" s="19"/>
      <c r="VKL49" s="19"/>
      <c r="VKM49" s="19"/>
      <c r="VKN49" s="19"/>
      <c r="VKO49" s="19"/>
      <c r="VKP49" s="19"/>
      <c r="VKQ49" s="19"/>
      <c r="VKR49" s="19"/>
      <c r="VKS49" s="19"/>
      <c r="VKT49" s="19"/>
      <c r="VKU49" s="19"/>
      <c r="VKV49" s="19"/>
      <c r="VKW49" s="19"/>
      <c r="VKX49" s="19"/>
      <c r="VKY49" s="19"/>
      <c r="VKZ49" s="19"/>
      <c r="VLA49" s="19"/>
      <c r="VLB49" s="19"/>
      <c r="VLC49" s="19"/>
      <c r="VLD49" s="19"/>
      <c r="VLE49" s="19"/>
      <c r="VLF49" s="19"/>
      <c r="VLG49" s="19"/>
      <c r="VLH49" s="19"/>
      <c r="VLI49" s="19"/>
      <c r="VLJ49" s="19"/>
      <c r="VLK49" s="19"/>
      <c r="VLL49" s="19"/>
      <c r="VLM49" s="19"/>
      <c r="VLN49" s="19"/>
      <c r="VLO49" s="19"/>
      <c r="VLP49" s="19"/>
      <c r="VLQ49" s="19"/>
      <c r="VLR49" s="19"/>
      <c r="VLS49" s="19"/>
      <c r="VLT49" s="19"/>
      <c r="VLU49" s="19"/>
      <c r="VLV49" s="19"/>
      <c r="VLW49" s="19"/>
      <c r="VLX49" s="19"/>
      <c r="VLY49" s="19"/>
      <c r="VLZ49" s="19"/>
      <c r="VMA49" s="19"/>
      <c r="VMB49" s="19"/>
      <c r="VMC49" s="19"/>
      <c r="VMD49" s="19"/>
      <c r="VME49" s="19"/>
      <c r="VMF49" s="19"/>
      <c r="VMG49" s="19"/>
      <c r="VMH49" s="19"/>
      <c r="VMI49" s="19"/>
      <c r="VMJ49" s="19"/>
      <c r="VMK49" s="19"/>
      <c r="VML49" s="19"/>
      <c r="VMM49" s="19"/>
      <c r="VMN49" s="19"/>
      <c r="VMO49" s="19"/>
      <c r="VMP49" s="19"/>
      <c r="VMQ49" s="19"/>
      <c r="VMR49" s="19"/>
      <c r="VMS49" s="19"/>
      <c r="VMT49" s="19"/>
      <c r="VMU49" s="19"/>
      <c r="VMV49" s="19"/>
      <c r="VMW49" s="19"/>
      <c r="VMX49" s="19"/>
      <c r="VMY49" s="19"/>
      <c r="VMZ49" s="19"/>
      <c r="VNA49" s="19"/>
      <c r="VNB49" s="19"/>
      <c r="VNC49" s="19"/>
      <c r="VND49" s="19"/>
      <c r="VNE49" s="19"/>
      <c r="VNF49" s="19"/>
      <c r="VNG49" s="19"/>
      <c r="VNH49" s="19"/>
      <c r="VNI49" s="19"/>
      <c r="VNJ49" s="19"/>
      <c r="VNK49" s="19"/>
      <c r="VNL49" s="19"/>
      <c r="VNM49" s="19"/>
      <c r="VNN49" s="19"/>
      <c r="VNO49" s="19"/>
      <c r="VNP49" s="19"/>
      <c r="VNQ49" s="19"/>
      <c r="VNR49" s="19"/>
      <c r="VNS49" s="19"/>
      <c r="VNT49" s="19"/>
      <c r="VNU49" s="19"/>
      <c r="VNV49" s="19"/>
      <c r="VNW49" s="19"/>
      <c r="VNX49" s="19"/>
      <c r="VNY49" s="19"/>
      <c r="VNZ49" s="19"/>
      <c r="VOA49" s="19"/>
      <c r="VOB49" s="19"/>
      <c r="VOC49" s="19"/>
      <c r="VOD49" s="19"/>
      <c r="VOE49" s="19"/>
      <c r="VOF49" s="19"/>
      <c r="VOG49" s="19"/>
      <c r="VOH49" s="19"/>
      <c r="VOI49" s="19"/>
      <c r="VOJ49" s="19"/>
      <c r="VOK49" s="19"/>
      <c r="VOL49" s="19"/>
      <c r="VOM49" s="19"/>
      <c r="VON49" s="19"/>
      <c r="VOO49" s="19"/>
      <c r="VOP49" s="19"/>
      <c r="VOQ49" s="19"/>
      <c r="VOR49" s="19"/>
      <c r="VOS49" s="19"/>
      <c r="VOT49" s="19"/>
      <c r="VOU49" s="19"/>
      <c r="VOV49" s="19"/>
      <c r="VOW49" s="19"/>
      <c r="VOX49" s="19"/>
      <c r="VOY49" s="19"/>
      <c r="VOZ49" s="19"/>
      <c r="VPA49" s="19"/>
      <c r="VPB49" s="19"/>
      <c r="VPC49" s="19"/>
      <c r="VPD49" s="19"/>
      <c r="VPE49" s="19"/>
      <c r="VPF49" s="19"/>
      <c r="VPG49" s="19"/>
      <c r="VPH49" s="19"/>
      <c r="VPI49" s="19"/>
      <c r="VPJ49" s="19"/>
      <c r="VPK49" s="19"/>
      <c r="VPL49" s="19"/>
      <c r="VPM49" s="19"/>
      <c r="VPN49" s="19"/>
      <c r="VPO49" s="19"/>
      <c r="VPP49" s="19"/>
      <c r="VPQ49" s="19"/>
      <c r="VPR49" s="19"/>
      <c r="VPS49" s="19"/>
      <c r="VPT49" s="19"/>
      <c r="VPU49" s="19"/>
      <c r="VPV49" s="19"/>
      <c r="VPW49" s="19"/>
      <c r="VPX49" s="19"/>
      <c r="VPY49" s="19"/>
      <c r="VPZ49" s="19"/>
      <c r="VQA49" s="19"/>
      <c r="VQB49" s="19"/>
      <c r="VQC49" s="19"/>
      <c r="VQD49" s="19"/>
      <c r="VQE49" s="19"/>
      <c r="VQF49" s="19"/>
      <c r="VQG49" s="19"/>
      <c r="VQH49" s="19"/>
      <c r="VQI49" s="19"/>
      <c r="VQJ49" s="19"/>
      <c r="VQK49" s="19"/>
      <c r="VQL49" s="19"/>
      <c r="VQM49" s="19"/>
      <c r="VQN49" s="19"/>
      <c r="VQO49" s="19"/>
      <c r="VQP49" s="19"/>
      <c r="VQQ49" s="19"/>
      <c r="VQR49" s="19"/>
      <c r="VQS49" s="19"/>
      <c r="VQT49" s="19"/>
      <c r="VQU49" s="19"/>
      <c r="VQV49" s="19"/>
      <c r="VQW49" s="19"/>
      <c r="VQX49" s="19"/>
      <c r="VQY49" s="19"/>
      <c r="VQZ49" s="19"/>
      <c r="VRA49" s="19"/>
      <c r="VRB49" s="19"/>
      <c r="VRC49" s="19"/>
      <c r="VRD49" s="19"/>
      <c r="VRE49" s="19"/>
      <c r="VRF49" s="19"/>
      <c r="VRG49" s="19"/>
      <c r="VRH49" s="19"/>
      <c r="VRI49" s="19"/>
      <c r="VRJ49" s="19"/>
      <c r="VRK49" s="19"/>
      <c r="VRL49" s="19"/>
      <c r="VRM49" s="19"/>
      <c r="VRN49" s="19"/>
      <c r="VRO49" s="19"/>
      <c r="VRP49" s="19"/>
      <c r="VRQ49" s="19"/>
      <c r="VRR49" s="19"/>
      <c r="VRS49" s="19"/>
      <c r="VRT49" s="19"/>
      <c r="VRU49" s="19"/>
      <c r="VRV49" s="19"/>
      <c r="VRW49" s="19"/>
      <c r="VRX49" s="19"/>
      <c r="VRY49" s="19"/>
      <c r="VRZ49" s="19"/>
      <c r="VSA49" s="19"/>
      <c r="VSB49" s="19"/>
      <c r="VSC49" s="19"/>
      <c r="VSD49" s="19"/>
      <c r="VSE49" s="19"/>
      <c r="VSF49" s="19"/>
      <c r="VSG49" s="19"/>
      <c r="VSH49" s="19"/>
      <c r="VSI49" s="19"/>
      <c r="VSJ49" s="19"/>
      <c r="VSK49" s="19"/>
      <c r="VSL49" s="19"/>
      <c r="VSM49" s="19"/>
      <c r="VSN49" s="19"/>
      <c r="VSO49" s="19"/>
      <c r="VSP49" s="19"/>
      <c r="VSQ49" s="19"/>
      <c r="VSR49" s="19"/>
      <c r="VSS49" s="19"/>
      <c r="VST49" s="19"/>
      <c r="VSU49" s="19"/>
      <c r="VSV49" s="19"/>
      <c r="VSW49" s="19"/>
      <c r="VSX49" s="19"/>
      <c r="VSY49" s="19"/>
      <c r="VSZ49" s="19"/>
      <c r="VTA49" s="19"/>
      <c r="VTB49" s="19"/>
      <c r="VTC49" s="19"/>
      <c r="VTD49" s="19"/>
      <c r="VTE49" s="19"/>
      <c r="VTF49" s="19"/>
      <c r="VTG49" s="19"/>
      <c r="VTH49" s="19"/>
      <c r="VTI49" s="19"/>
      <c r="VTJ49" s="19"/>
      <c r="VTK49" s="19"/>
      <c r="VTL49" s="19"/>
      <c r="VTM49" s="19"/>
      <c r="VTN49" s="19"/>
      <c r="VTO49" s="19"/>
      <c r="VTP49" s="19"/>
      <c r="VTQ49" s="19"/>
      <c r="VTR49" s="19"/>
      <c r="VTS49" s="19"/>
      <c r="VTT49" s="19"/>
      <c r="VTU49" s="19"/>
      <c r="VTV49" s="19"/>
      <c r="VTW49" s="19"/>
      <c r="VTX49" s="19"/>
      <c r="VTY49" s="19"/>
      <c r="VTZ49" s="19"/>
      <c r="VUA49" s="19"/>
      <c r="VUB49" s="19"/>
      <c r="VUC49" s="19"/>
      <c r="VUD49" s="19"/>
      <c r="VUE49" s="19"/>
      <c r="VUF49" s="19"/>
      <c r="VUG49" s="19"/>
      <c r="VUH49" s="19"/>
      <c r="VUI49" s="19"/>
      <c r="VUJ49" s="19"/>
      <c r="VUK49" s="19"/>
      <c r="VUL49" s="19"/>
      <c r="VUM49" s="19"/>
      <c r="VUN49" s="19"/>
      <c r="VUO49" s="19"/>
      <c r="VUP49" s="19"/>
      <c r="VUQ49" s="19"/>
      <c r="VUR49" s="19"/>
      <c r="VUS49" s="19"/>
      <c r="VUT49" s="19"/>
      <c r="VUU49" s="19"/>
      <c r="VUV49" s="19"/>
      <c r="VUW49" s="19"/>
      <c r="VUX49" s="19"/>
      <c r="VUY49" s="19"/>
      <c r="VUZ49" s="19"/>
      <c r="VVA49" s="19"/>
      <c r="VVB49" s="19"/>
      <c r="VVC49" s="19"/>
      <c r="VVD49" s="19"/>
      <c r="VVE49" s="19"/>
      <c r="VVF49" s="19"/>
      <c r="VVG49" s="19"/>
      <c r="VVH49" s="19"/>
      <c r="VVI49" s="19"/>
      <c r="VVJ49" s="19"/>
      <c r="VVK49" s="19"/>
      <c r="VVL49" s="19"/>
      <c r="VVM49" s="19"/>
      <c r="VVN49" s="19"/>
      <c r="VVO49" s="19"/>
      <c r="VVP49" s="19"/>
      <c r="VVQ49" s="19"/>
      <c r="VVR49" s="19"/>
      <c r="VVS49" s="19"/>
      <c r="VVT49" s="19"/>
      <c r="VVU49" s="19"/>
      <c r="VVV49" s="19"/>
      <c r="VVW49" s="19"/>
      <c r="VVX49" s="19"/>
      <c r="VVY49" s="19"/>
      <c r="VVZ49" s="19"/>
      <c r="VWA49" s="19"/>
      <c r="VWB49" s="19"/>
      <c r="VWC49" s="19"/>
      <c r="VWD49" s="19"/>
      <c r="VWE49" s="19"/>
      <c r="VWF49" s="19"/>
      <c r="VWG49" s="19"/>
      <c r="VWH49" s="19"/>
      <c r="VWI49" s="19"/>
      <c r="VWJ49" s="19"/>
      <c r="VWK49" s="19"/>
      <c r="VWL49" s="19"/>
      <c r="VWM49" s="19"/>
      <c r="VWN49" s="19"/>
      <c r="VWO49" s="19"/>
      <c r="VWP49" s="19"/>
      <c r="VWQ49" s="19"/>
      <c r="VWR49" s="19"/>
      <c r="VWS49" s="19"/>
      <c r="VWT49" s="19"/>
      <c r="VWU49" s="19"/>
      <c r="VWV49" s="19"/>
      <c r="VWW49" s="19"/>
      <c r="VWX49" s="19"/>
      <c r="VWY49" s="19"/>
      <c r="VWZ49" s="19"/>
      <c r="VXA49" s="19"/>
      <c r="VXB49" s="19"/>
      <c r="VXC49" s="19"/>
      <c r="VXD49" s="19"/>
      <c r="VXE49" s="19"/>
      <c r="VXF49" s="19"/>
      <c r="VXG49" s="19"/>
      <c r="VXH49" s="19"/>
      <c r="VXI49" s="19"/>
      <c r="VXJ49" s="19"/>
      <c r="VXK49" s="19"/>
      <c r="VXL49" s="19"/>
      <c r="VXM49" s="19"/>
      <c r="VXN49" s="19"/>
      <c r="VXO49" s="19"/>
      <c r="VXP49" s="19"/>
      <c r="VXQ49" s="19"/>
      <c r="VXR49" s="19"/>
      <c r="VXS49" s="19"/>
      <c r="VXT49" s="19"/>
      <c r="VXU49" s="19"/>
      <c r="VXV49" s="19"/>
      <c r="VXW49" s="19"/>
      <c r="VXX49" s="19"/>
      <c r="VXY49" s="19"/>
      <c r="VXZ49" s="19"/>
      <c r="VYA49" s="19"/>
      <c r="VYB49" s="19"/>
      <c r="VYC49" s="19"/>
      <c r="VYD49" s="19"/>
      <c r="VYE49" s="19"/>
      <c r="VYF49" s="19"/>
      <c r="VYG49" s="19"/>
      <c r="VYH49" s="19"/>
      <c r="VYI49" s="19"/>
      <c r="VYJ49" s="19"/>
      <c r="VYK49" s="19"/>
      <c r="VYL49" s="19"/>
      <c r="VYM49" s="19"/>
      <c r="VYN49" s="19"/>
      <c r="VYO49" s="19"/>
      <c r="VYP49" s="19"/>
      <c r="VYQ49" s="19"/>
      <c r="VYR49" s="19"/>
      <c r="VYS49" s="19"/>
      <c r="VYT49" s="19"/>
      <c r="VYU49" s="19"/>
      <c r="VYV49" s="19"/>
      <c r="VYW49" s="19"/>
      <c r="VYX49" s="19"/>
      <c r="VYY49" s="19"/>
      <c r="VYZ49" s="19"/>
      <c r="VZA49" s="19"/>
      <c r="VZB49" s="19"/>
      <c r="VZC49" s="19"/>
      <c r="VZD49" s="19"/>
      <c r="VZE49" s="19"/>
      <c r="VZF49" s="19"/>
      <c r="VZG49" s="19"/>
      <c r="VZH49" s="19"/>
      <c r="VZI49" s="19"/>
      <c r="VZJ49" s="19"/>
      <c r="VZK49" s="19"/>
      <c r="VZL49" s="19"/>
      <c r="VZM49" s="19"/>
      <c r="VZN49" s="19"/>
      <c r="VZO49" s="19"/>
      <c r="VZP49" s="19"/>
      <c r="VZQ49" s="19"/>
      <c r="VZR49" s="19"/>
      <c r="VZS49" s="19"/>
      <c r="VZT49" s="19"/>
      <c r="VZU49" s="19"/>
      <c r="VZV49" s="19"/>
      <c r="VZW49" s="19"/>
      <c r="VZX49" s="19"/>
      <c r="VZY49" s="19"/>
      <c r="VZZ49" s="19"/>
      <c r="WAA49" s="19"/>
      <c r="WAB49" s="19"/>
      <c r="WAC49" s="19"/>
      <c r="WAD49" s="19"/>
      <c r="WAE49" s="19"/>
      <c r="WAF49" s="19"/>
      <c r="WAG49" s="19"/>
      <c r="WAH49" s="19"/>
      <c r="WAI49" s="19"/>
      <c r="WAJ49" s="19"/>
      <c r="WAK49" s="19"/>
      <c r="WAL49" s="19"/>
      <c r="WAM49" s="19"/>
      <c r="WAN49" s="19"/>
      <c r="WAO49" s="19"/>
      <c r="WAP49" s="19"/>
      <c r="WAQ49" s="19"/>
      <c r="WAR49" s="19"/>
      <c r="WAS49" s="19"/>
      <c r="WAT49" s="19"/>
      <c r="WAU49" s="19"/>
      <c r="WAV49" s="19"/>
      <c r="WAW49" s="19"/>
      <c r="WAX49" s="19"/>
      <c r="WAY49" s="19"/>
      <c r="WAZ49" s="19"/>
      <c r="WBA49" s="19"/>
      <c r="WBB49" s="19"/>
      <c r="WBC49" s="19"/>
      <c r="WBD49" s="19"/>
      <c r="WBE49" s="19"/>
      <c r="WBF49" s="19"/>
      <c r="WBG49" s="19"/>
      <c r="WBH49" s="19"/>
      <c r="WBI49" s="19"/>
      <c r="WBJ49" s="19"/>
      <c r="WBK49" s="19"/>
      <c r="WBL49" s="19"/>
      <c r="WBM49" s="19"/>
      <c r="WBN49" s="19"/>
      <c r="WBO49" s="19"/>
      <c r="WBP49" s="19"/>
      <c r="WBQ49" s="19"/>
      <c r="WBR49" s="19"/>
      <c r="WBS49" s="19"/>
      <c r="WBT49" s="19"/>
      <c r="WBU49" s="19"/>
      <c r="WBV49" s="19"/>
      <c r="WBW49" s="19"/>
      <c r="WBX49" s="19"/>
      <c r="WBY49" s="19"/>
      <c r="WBZ49" s="19"/>
      <c r="WCA49" s="19"/>
      <c r="WCB49" s="19"/>
      <c r="WCC49" s="19"/>
      <c r="WCD49" s="19"/>
      <c r="WCE49" s="19"/>
      <c r="WCF49" s="19"/>
      <c r="WCG49" s="19"/>
      <c r="WCH49" s="19"/>
      <c r="WCI49" s="19"/>
      <c r="WCJ49" s="19"/>
      <c r="WCK49" s="19"/>
      <c r="WCL49" s="19"/>
      <c r="WCM49" s="19"/>
      <c r="WCN49" s="19"/>
      <c r="WCO49" s="19"/>
      <c r="WCP49" s="19"/>
      <c r="WCQ49" s="19"/>
      <c r="WCR49" s="19"/>
      <c r="WCS49" s="19"/>
      <c r="WCT49" s="19"/>
      <c r="WCU49" s="19"/>
      <c r="WCV49" s="19"/>
      <c r="WCW49" s="19"/>
      <c r="WCX49" s="19"/>
      <c r="WCY49" s="19"/>
      <c r="WCZ49" s="19"/>
      <c r="WDA49" s="19"/>
      <c r="WDB49" s="19"/>
      <c r="WDC49" s="19"/>
      <c r="WDD49" s="19"/>
      <c r="WDE49" s="19"/>
      <c r="WDF49" s="19"/>
      <c r="WDG49" s="19"/>
      <c r="WDH49" s="19"/>
      <c r="WDI49" s="19"/>
      <c r="WDJ49" s="19"/>
      <c r="WDK49" s="19"/>
      <c r="WDL49" s="19"/>
      <c r="WDM49" s="19"/>
      <c r="WDN49" s="19"/>
      <c r="WDO49" s="19"/>
      <c r="WDP49" s="19"/>
      <c r="WDQ49" s="19"/>
      <c r="WDR49" s="19"/>
      <c r="WDS49" s="19"/>
      <c r="WDT49" s="19"/>
      <c r="WDU49" s="19"/>
      <c r="WDV49" s="19"/>
      <c r="WDW49" s="19"/>
      <c r="WDX49" s="19"/>
      <c r="WDY49" s="19"/>
      <c r="WDZ49" s="19"/>
      <c r="WEA49" s="19"/>
      <c r="WEB49" s="19"/>
      <c r="WEC49" s="19"/>
      <c r="WED49" s="19"/>
      <c r="WEE49" s="19"/>
      <c r="WEF49" s="19"/>
      <c r="WEG49" s="19"/>
      <c r="WEH49" s="19"/>
      <c r="WEI49" s="19"/>
      <c r="WEJ49" s="19"/>
      <c r="WEK49" s="19"/>
      <c r="WEL49" s="19"/>
      <c r="WEM49" s="19"/>
      <c r="WEN49" s="19"/>
      <c r="WEO49" s="19"/>
      <c r="WEP49" s="19"/>
      <c r="WEQ49" s="19"/>
      <c r="WER49" s="19"/>
      <c r="WES49" s="19"/>
      <c r="WET49" s="19"/>
      <c r="WEU49" s="19"/>
      <c r="WEV49" s="19"/>
      <c r="WEW49" s="19"/>
      <c r="WEX49" s="19"/>
      <c r="WEY49" s="19"/>
      <c r="WEZ49" s="19"/>
      <c r="WFA49" s="19"/>
      <c r="WFB49" s="19"/>
      <c r="WFC49" s="19"/>
      <c r="WFD49" s="19"/>
      <c r="WFE49" s="19"/>
      <c r="WFF49" s="19"/>
      <c r="WFG49" s="19"/>
      <c r="WFH49" s="19"/>
      <c r="WFI49" s="19"/>
      <c r="WFJ49" s="19"/>
      <c r="WFK49" s="19"/>
      <c r="WFL49" s="19"/>
      <c r="WFM49" s="19"/>
      <c r="WFN49" s="19"/>
      <c r="WFO49" s="19"/>
      <c r="WFP49" s="19"/>
      <c r="WFQ49" s="19"/>
      <c r="WFR49" s="19"/>
      <c r="WFS49" s="19"/>
      <c r="WFT49" s="19"/>
      <c r="WFU49" s="19"/>
      <c r="WFV49" s="19"/>
      <c r="WFW49" s="19"/>
      <c r="WFX49" s="19"/>
      <c r="WFY49" s="19"/>
      <c r="WFZ49" s="19"/>
      <c r="WGA49" s="19"/>
      <c r="WGB49" s="19"/>
      <c r="WGC49" s="19"/>
      <c r="WGD49" s="19"/>
      <c r="WGE49" s="19"/>
      <c r="WGF49" s="19"/>
      <c r="WGG49" s="19"/>
      <c r="WGH49" s="19"/>
      <c r="WGI49" s="19"/>
      <c r="WGJ49" s="19"/>
      <c r="WGK49" s="19"/>
      <c r="WGL49" s="19"/>
      <c r="WGM49" s="19"/>
      <c r="WGN49" s="19"/>
      <c r="WGO49" s="19"/>
      <c r="WGP49" s="19"/>
      <c r="WGQ49" s="19"/>
      <c r="WGR49" s="19"/>
      <c r="WGS49" s="19"/>
      <c r="WGT49" s="19"/>
      <c r="WGU49" s="19"/>
      <c r="WGV49" s="19"/>
      <c r="WGW49" s="19"/>
      <c r="WGX49" s="19"/>
      <c r="WGY49" s="19"/>
      <c r="WGZ49" s="19"/>
      <c r="WHA49" s="19"/>
      <c r="WHB49" s="19"/>
      <c r="WHC49" s="19"/>
      <c r="WHD49" s="19"/>
      <c r="WHE49" s="19"/>
      <c r="WHF49" s="19"/>
      <c r="WHG49" s="19"/>
      <c r="WHH49" s="19"/>
      <c r="WHI49" s="19"/>
      <c r="WHJ49" s="19"/>
      <c r="WHK49" s="19"/>
      <c r="WHL49" s="19"/>
      <c r="WHM49" s="19"/>
      <c r="WHN49" s="19"/>
      <c r="WHO49" s="19"/>
      <c r="WHP49" s="19"/>
      <c r="WHQ49" s="19"/>
      <c r="WHR49" s="19"/>
      <c r="WHS49" s="19"/>
      <c r="WHT49" s="19"/>
      <c r="WHU49" s="19"/>
      <c r="WHV49" s="19"/>
      <c r="WHW49" s="19"/>
      <c r="WHX49" s="19"/>
      <c r="WHY49" s="19"/>
      <c r="WHZ49" s="19"/>
      <c r="WIA49" s="19"/>
      <c r="WIB49" s="19"/>
      <c r="WIC49" s="19"/>
      <c r="WID49" s="19"/>
      <c r="WIE49" s="19"/>
      <c r="WIF49" s="19"/>
      <c r="WIG49" s="19"/>
      <c r="WIH49" s="19"/>
      <c r="WII49" s="19"/>
      <c r="WIJ49" s="19"/>
      <c r="WIK49" s="19"/>
      <c r="WIL49" s="19"/>
      <c r="WIM49" s="19"/>
      <c r="WIN49" s="19"/>
      <c r="WIO49" s="19"/>
      <c r="WIP49" s="19"/>
      <c r="WIQ49" s="19"/>
      <c r="WIR49" s="19"/>
      <c r="WIS49" s="19"/>
      <c r="WIT49" s="19"/>
      <c r="WIU49" s="19"/>
      <c r="WIV49" s="19"/>
      <c r="WIW49" s="19"/>
      <c r="WIX49" s="19"/>
      <c r="WIY49" s="19"/>
      <c r="WIZ49" s="19"/>
      <c r="WJA49" s="19"/>
      <c r="WJB49" s="19"/>
      <c r="WJC49" s="19"/>
      <c r="WJD49" s="19"/>
      <c r="WJE49" s="19"/>
      <c r="WJF49" s="19"/>
      <c r="WJG49" s="19"/>
      <c r="WJH49" s="19"/>
      <c r="WJI49" s="19"/>
      <c r="WJJ49" s="19"/>
      <c r="WJK49" s="19"/>
      <c r="WJL49" s="19"/>
      <c r="WJM49" s="19"/>
      <c r="WJN49" s="19"/>
      <c r="WJO49" s="19"/>
      <c r="WJP49" s="19"/>
      <c r="WJQ49" s="19"/>
      <c r="WJR49" s="19"/>
      <c r="WJS49" s="19"/>
      <c r="WJT49" s="19"/>
      <c r="WJU49" s="19"/>
      <c r="WJV49" s="19"/>
      <c r="WJW49" s="19"/>
      <c r="WJX49" s="19"/>
      <c r="WJY49" s="19"/>
      <c r="WJZ49" s="19"/>
      <c r="WKA49" s="19"/>
      <c r="WKB49" s="19"/>
      <c r="WKC49" s="19"/>
      <c r="WKD49" s="19"/>
      <c r="WKE49" s="19"/>
      <c r="WKF49" s="19"/>
      <c r="WKG49" s="19"/>
      <c r="WKH49" s="19"/>
      <c r="WKI49" s="19"/>
      <c r="WKJ49" s="19"/>
      <c r="WKK49" s="19"/>
      <c r="WKL49" s="19"/>
      <c r="WKM49" s="19"/>
      <c r="WKN49" s="19"/>
      <c r="WKO49" s="19"/>
      <c r="WKP49" s="19"/>
      <c r="WKQ49" s="19"/>
      <c r="WKR49" s="19"/>
      <c r="WKS49" s="19"/>
      <c r="WKT49" s="19"/>
      <c r="WKU49" s="19"/>
      <c r="WKV49" s="19"/>
      <c r="WKW49" s="19"/>
      <c r="WKX49" s="19"/>
      <c r="WKY49" s="19"/>
      <c r="WKZ49" s="19"/>
      <c r="WLA49" s="19"/>
      <c r="WLB49" s="19"/>
      <c r="WLC49" s="19"/>
      <c r="WLD49" s="19"/>
      <c r="WLE49" s="19"/>
      <c r="WLF49" s="19"/>
      <c r="WLG49" s="19"/>
      <c r="WLH49" s="19"/>
      <c r="WLI49" s="19"/>
      <c r="WLJ49" s="19"/>
      <c r="WLK49" s="19"/>
      <c r="WLL49" s="19"/>
      <c r="WLM49" s="19"/>
      <c r="WLN49" s="19"/>
      <c r="WLO49" s="19"/>
      <c r="WLP49" s="19"/>
      <c r="WLQ49" s="19"/>
      <c r="WLR49" s="19"/>
      <c r="WLS49" s="19"/>
      <c r="WLT49" s="19"/>
      <c r="WLU49" s="19"/>
      <c r="WLV49" s="19"/>
      <c r="WLW49" s="19"/>
      <c r="WLX49" s="19"/>
      <c r="WLY49" s="19"/>
      <c r="WLZ49" s="19"/>
      <c r="WMA49" s="19"/>
      <c r="WMB49" s="19"/>
      <c r="WMC49" s="19"/>
      <c r="WMD49" s="19"/>
      <c r="WME49" s="19"/>
      <c r="WMF49" s="19"/>
      <c r="WMG49" s="19"/>
      <c r="WMH49" s="19"/>
      <c r="WMI49" s="19"/>
      <c r="WMJ49" s="19"/>
      <c r="WMK49" s="19"/>
      <c r="WML49" s="19"/>
      <c r="WMM49" s="19"/>
      <c r="WMN49" s="19"/>
      <c r="WMO49" s="19"/>
      <c r="WMP49" s="19"/>
      <c r="WMQ49" s="19"/>
      <c r="WMR49" s="19"/>
      <c r="WMS49" s="19"/>
      <c r="WMT49" s="19"/>
      <c r="WMU49" s="19"/>
      <c r="WMV49" s="19"/>
      <c r="WMW49" s="19"/>
      <c r="WMX49" s="19"/>
      <c r="WMY49" s="19"/>
      <c r="WMZ49" s="19"/>
      <c r="WNA49" s="19"/>
      <c r="WNB49" s="19"/>
      <c r="WNC49" s="19"/>
      <c r="WND49" s="19"/>
      <c r="WNE49" s="19"/>
      <c r="WNF49" s="19"/>
      <c r="WNG49" s="19"/>
      <c r="WNH49" s="19"/>
      <c r="WNI49" s="19"/>
      <c r="WNJ49" s="19"/>
      <c r="WNK49" s="19"/>
      <c r="WNL49" s="19"/>
      <c r="WNM49" s="19"/>
      <c r="WNN49" s="19"/>
      <c r="WNO49" s="19"/>
      <c r="WNP49" s="19"/>
      <c r="WNQ49" s="19"/>
      <c r="WNR49" s="19"/>
      <c r="WNS49" s="19"/>
      <c r="WNT49" s="19"/>
      <c r="WNU49" s="19"/>
      <c r="WNV49" s="19"/>
      <c r="WNW49" s="19"/>
      <c r="WNX49" s="19"/>
      <c r="WNY49" s="19"/>
      <c r="WNZ49" s="19"/>
      <c r="WOA49" s="19"/>
      <c r="WOB49" s="19"/>
      <c r="WOC49" s="19"/>
      <c r="WOD49" s="19"/>
      <c r="WOE49" s="19"/>
      <c r="WOF49" s="19"/>
      <c r="WOG49" s="19"/>
      <c r="WOH49" s="19"/>
      <c r="WOI49" s="19"/>
      <c r="WOJ49" s="19"/>
      <c r="WOK49" s="19"/>
      <c r="WOL49" s="19"/>
      <c r="WOM49" s="19"/>
      <c r="WON49" s="19"/>
      <c r="WOO49" s="19"/>
      <c r="WOP49" s="19"/>
      <c r="WOQ49" s="19"/>
      <c r="WOR49" s="19"/>
      <c r="WOS49" s="19"/>
      <c r="WOT49" s="19"/>
      <c r="WOU49" s="19"/>
      <c r="WOV49" s="19"/>
      <c r="WOW49" s="19"/>
      <c r="WOX49" s="19"/>
      <c r="WOY49" s="19"/>
      <c r="WOZ49" s="19"/>
      <c r="WPA49" s="19"/>
      <c r="WPB49" s="19"/>
      <c r="WPC49" s="19"/>
      <c r="WPD49" s="19"/>
      <c r="WPE49" s="19"/>
      <c r="WPF49" s="19"/>
      <c r="WPG49" s="19"/>
      <c r="WPH49" s="19"/>
      <c r="WPI49" s="19"/>
      <c r="WPJ49" s="19"/>
      <c r="WPK49" s="19"/>
      <c r="WPL49" s="19"/>
      <c r="WPM49" s="19"/>
      <c r="WPN49" s="19"/>
      <c r="WPO49" s="19"/>
      <c r="WPP49" s="19"/>
      <c r="WPQ49" s="19"/>
      <c r="WPR49" s="19"/>
      <c r="WPS49" s="19"/>
      <c r="WPT49" s="19"/>
      <c r="WPU49" s="19"/>
      <c r="WPV49" s="19"/>
      <c r="WPW49" s="19"/>
      <c r="WPX49" s="19"/>
      <c r="WPY49" s="19"/>
      <c r="WPZ49" s="19"/>
      <c r="WQA49" s="19"/>
      <c r="WQB49" s="19"/>
      <c r="WQC49" s="19"/>
      <c r="WQD49" s="19"/>
      <c r="WQE49" s="19"/>
      <c r="WQF49" s="19"/>
      <c r="WQG49" s="19"/>
      <c r="WQH49" s="19"/>
      <c r="WQI49" s="19"/>
      <c r="WQJ49" s="19"/>
      <c r="WQK49" s="19"/>
      <c r="WQL49" s="19"/>
      <c r="WQM49" s="19"/>
      <c r="WQN49" s="19"/>
      <c r="WQO49" s="19"/>
      <c r="WQP49" s="19"/>
      <c r="WQQ49" s="19"/>
      <c r="WQR49" s="19"/>
      <c r="WQS49" s="19"/>
      <c r="WQT49" s="19"/>
      <c r="WQU49" s="19"/>
      <c r="WQV49" s="19"/>
      <c r="WQW49" s="19"/>
      <c r="WQX49" s="19"/>
      <c r="WQY49" s="19"/>
      <c r="WQZ49" s="19"/>
      <c r="WRA49" s="19"/>
      <c r="WRB49" s="19"/>
      <c r="WRC49" s="19"/>
      <c r="WRD49" s="19"/>
      <c r="WRE49" s="19"/>
      <c r="WRF49" s="19"/>
      <c r="WRG49" s="19"/>
      <c r="WRH49" s="19"/>
      <c r="WRI49" s="19"/>
      <c r="WRJ49" s="19"/>
      <c r="WRK49" s="19"/>
      <c r="WRL49" s="19"/>
      <c r="WRM49" s="19"/>
      <c r="WRN49" s="19"/>
      <c r="WRO49" s="19"/>
      <c r="WRP49" s="19"/>
      <c r="WRQ49" s="19"/>
      <c r="WRR49" s="19"/>
      <c r="WRS49" s="19"/>
      <c r="WRT49" s="19"/>
      <c r="WRU49" s="19"/>
      <c r="WRV49" s="19"/>
      <c r="WRW49" s="19"/>
      <c r="WRX49" s="19"/>
      <c r="WRY49" s="19"/>
      <c r="WRZ49" s="19"/>
      <c r="WSA49" s="19"/>
      <c r="WSB49" s="19"/>
      <c r="WSC49" s="19"/>
      <c r="WSD49" s="19"/>
      <c r="WSE49" s="19"/>
      <c r="WSF49" s="19"/>
      <c r="WSG49" s="19"/>
      <c r="WSH49" s="19"/>
      <c r="WSI49" s="19"/>
      <c r="WSJ49" s="19"/>
      <c r="WSK49" s="19"/>
      <c r="WSL49" s="19"/>
      <c r="WSM49" s="19"/>
      <c r="WSN49" s="19"/>
      <c r="WSO49" s="19"/>
      <c r="WSP49" s="19"/>
      <c r="WSQ49" s="19"/>
      <c r="WSR49" s="19"/>
      <c r="WSS49" s="19"/>
      <c r="WST49" s="19"/>
      <c r="WSU49" s="19"/>
      <c r="WSV49" s="19"/>
      <c r="WSW49" s="19"/>
      <c r="WSX49" s="19"/>
      <c r="WSY49" s="19"/>
      <c r="WSZ49" s="19"/>
      <c r="WTA49" s="19"/>
      <c r="WTB49" s="19"/>
      <c r="WTC49" s="19"/>
      <c r="WTD49" s="19"/>
      <c r="WTE49" s="19"/>
      <c r="WTF49" s="19"/>
      <c r="WTG49" s="19"/>
      <c r="WTH49" s="19"/>
      <c r="WTI49" s="19"/>
      <c r="WTJ49" s="19"/>
      <c r="WTK49" s="19"/>
      <c r="WTL49" s="19"/>
      <c r="WTM49" s="19"/>
      <c r="WTN49" s="19"/>
      <c r="WTO49" s="19"/>
      <c r="WTP49" s="19"/>
      <c r="WTQ49" s="19"/>
      <c r="WTR49" s="19"/>
      <c r="WTS49" s="19"/>
      <c r="WTT49" s="19"/>
      <c r="WTU49" s="19"/>
      <c r="WTV49" s="19"/>
      <c r="WTW49" s="19"/>
      <c r="WTX49" s="19"/>
      <c r="WTY49" s="19"/>
      <c r="WTZ49" s="19"/>
      <c r="WUA49" s="19"/>
      <c r="WUB49" s="19"/>
      <c r="WUC49" s="19"/>
      <c r="WUD49" s="19"/>
      <c r="WUE49" s="19"/>
      <c r="WUF49" s="19"/>
      <c r="WUG49" s="19"/>
      <c r="WUH49" s="19"/>
      <c r="WUI49" s="19"/>
      <c r="WUJ49" s="19"/>
      <c r="WUK49" s="19"/>
      <c r="WUL49" s="19"/>
      <c r="WUM49" s="19"/>
      <c r="WUN49" s="19"/>
      <c r="WUO49" s="19"/>
      <c r="WUP49" s="19"/>
      <c r="WUQ49" s="19"/>
      <c r="WUR49" s="19"/>
      <c r="WUS49" s="19"/>
      <c r="WUT49" s="19"/>
      <c r="WUU49" s="19"/>
      <c r="WUV49" s="19"/>
      <c r="WUW49" s="19"/>
      <c r="WUX49" s="19"/>
      <c r="WUY49" s="19"/>
      <c r="WUZ49" s="19"/>
      <c r="WVA49" s="19"/>
      <c r="WVB49" s="19"/>
      <c r="WVC49" s="19"/>
      <c r="WVD49" s="19"/>
      <c r="WVE49" s="19"/>
      <c r="WVF49" s="19"/>
      <c r="WVG49" s="19"/>
      <c r="WVH49" s="19"/>
      <c r="WVI49" s="19"/>
      <c r="WVJ49" s="19"/>
      <c r="WVK49" s="19"/>
      <c r="WVL49" s="19"/>
      <c r="WVM49" s="19"/>
      <c r="WVN49" s="19"/>
      <c r="WVO49" s="19"/>
      <c r="WVP49" s="19"/>
      <c r="WVQ49" s="19"/>
      <c r="WVR49" s="19"/>
      <c r="WVS49" s="19"/>
      <c r="WVT49" s="19"/>
      <c r="WVU49" s="19"/>
      <c r="WVV49" s="19"/>
      <c r="WVW49" s="19"/>
      <c r="WVX49" s="19"/>
      <c r="WVY49" s="19"/>
      <c r="WVZ49" s="19"/>
      <c r="WWA49" s="19"/>
      <c r="WWB49" s="19"/>
      <c r="WWC49" s="19"/>
      <c r="WWD49" s="19"/>
      <c r="WWE49" s="19"/>
      <c r="WWF49" s="19"/>
      <c r="WWG49" s="19"/>
      <c r="WWH49" s="19"/>
      <c r="WWI49" s="19"/>
      <c r="WWJ49" s="19"/>
      <c r="WWK49" s="19"/>
      <c r="WWL49" s="19"/>
      <c r="WWM49" s="19"/>
      <c r="WWN49" s="19"/>
      <c r="WWO49" s="19"/>
      <c r="WWP49" s="19"/>
      <c r="WWQ49" s="19"/>
      <c r="WWR49" s="19"/>
      <c r="WWS49" s="19"/>
      <c r="WWT49" s="19"/>
      <c r="WWU49" s="19"/>
      <c r="WWV49" s="19"/>
      <c r="WWW49" s="19"/>
      <c r="WWX49" s="19"/>
      <c r="WWY49" s="19"/>
      <c r="WWZ49" s="19"/>
      <c r="WXA49" s="19"/>
      <c r="WXB49" s="19"/>
      <c r="WXC49" s="19"/>
      <c r="WXD49" s="19"/>
      <c r="WXE49" s="19"/>
      <c r="WXF49" s="19"/>
      <c r="WXG49" s="19"/>
      <c r="WXH49" s="19"/>
      <c r="WXI49" s="19"/>
      <c r="WXJ49" s="19"/>
      <c r="WXK49" s="19"/>
      <c r="WXL49" s="19"/>
      <c r="WXM49" s="19"/>
      <c r="WXN49" s="19"/>
      <c r="WXO49" s="19"/>
      <c r="WXP49" s="19"/>
      <c r="WXQ49" s="19"/>
      <c r="WXR49" s="19"/>
      <c r="WXS49" s="19"/>
      <c r="WXT49" s="19"/>
      <c r="WXU49" s="19"/>
      <c r="WXV49" s="19"/>
      <c r="WXW49" s="19"/>
      <c r="WXX49" s="19"/>
      <c r="WXY49" s="19"/>
      <c r="WXZ49" s="19"/>
      <c r="WYA49" s="19"/>
      <c r="WYB49" s="19"/>
      <c r="WYC49" s="19"/>
      <c r="WYD49" s="19"/>
      <c r="WYE49" s="19"/>
      <c r="WYF49" s="19"/>
      <c r="WYG49" s="19"/>
      <c r="WYH49" s="19"/>
      <c r="WYI49" s="19"/>
      <c r="WYJ49" s="19"/>
      <c r="WYK49" s="19"/>
      <c r="WYL49" s="19"/>
      <c r="WYM49" s="19"/>
      <c r="WYN49" s="19"/>
      <c r="WYO49" s="19"/>
      <c r="WYP49" s="19"/>
      <c r="WYQ49" s="19"/>
      <c r="WYR49" s="19"/>
      <c r="WYS49" s="19"/>
      <c r="WYT49" s="19"/>
      <c r="WYU49" s="19"/>
      <c r="WYV49" s="19"/>
      <c r="WYW49" s="19"/>
      <c r="WYX49" s="19"/>
      <c r="WYY49" s="19"/>
      <c r="WYZ49" s="19"/>
      <c r="WZA49" s="19"/>
      <c r="WZB49" s="19"/>
      <c r="WZC49" s="19"/>
      <c r="WZD49" s="19"/>
      <c r="WZE49" s="19"/>
      <c r="WZF49" s="19"/>
      <c r="WZG49" s="19"/>
      <c r="WZH49" s="19"/>
      <c r="WZI49" s="19"/>
      <c r="WZJ49" s="19"/>
      <c r="WZK49" s="19"/>
      <c r="WZL49" s="19"/>
      <c r="WZM49" s="19"/>
      <c r="WZN49" s="19"/>
      <c r="WZO49" s="19"/>
      <c r="WZP49" s="19"/>
      <c r="WZQ49" s="19"/>
      <c r="WZR49" s="19"/>
      <c r="WZS49" s="19"/>
      <c r="WZT49" s="19"/>
      <c r="WZU49" s="19"/>
      <c r="WZV49" s="19"/>
      <c r="WZW49" s="19"/>
      <c r="WZX49" s="19"/>
      <c r="WZY49" s="19"/>
      <c r="WZZ49" s="19"/>
      <c r="XAA49" s="19"/>
      <c r="XAB49" s="19"/>
      <c r="XAC49" s="19"/>
      <c r="XAD49" s="19"/>
      <c r="XAE49" s="19"/>
      <c r="XAF49" s="19"/>
      <c r="XAG49" s="19"/>
      <c r="XAH49" s="19"/>
      <c r="XAI49" s="19"/>
      <c r="XAJ49" s="19"/>
      <c r="XAK49" s="19"/>
      <c r="XAL49" s="19"/>
      <c r="XAM49" s="19"/>
      <c r="XAN49" s="19"/>
      <c r="XAO49" s="19"/>
      <c r="XAP49" s="19"/>
      <c r="XAQ49" s="19"/>
      <c r="XAR49" s="19"/>
      <c r="XAS49" s="19"/>
      <c r="XAT49" s="19"/>
      <c r="XAU49" s="19"/>
      <c r="XAV49" s="19"/>
      <c r="XAW49" s="19"/>
      <c r="XAX49" s="19"/>
      <c r="XAY49" s="19"/>
      <c r="XAZ49" s="19"/>
      <c r="XBA49" s="19"/>
      <c r="XBB49" s="19"/>
      <c r="XBC49" s="19"/>
      <c r="XBD49" s="19"/>
      <c r="XBE49" s="19"/>
      <c r="XBF49" s="19"/>
      <c r="XBG49" s="19"/>
      <c r="XBH49" s="19"/>
      <c r="XBI49" s="19"/>
      <c r="XBJ49" s="19"/>
      <c r="XBK49" s="19"/>
      <c r="XBL49" s="19"/>
      <c r="XBM49" s="19"/>
      <c r="XBN49" s="19"/>
      <c r="XBO49" s="19"/>
      <c r="XBP49" s="19"/>
      <c r="XBQ49" s="19"/>
      <c r="XBR49" s="19"/>
      <c r="XBS49" s="19"/>
      <c r="XBT49" s="19"/>
      <c r="XBU49" s="19"/>
      <c r="XBV49" s="19"/>
      <c r="XBW49" s="19"/>
      <c r="XBX49" s="19"/>
      <c r="XBY49" s="19"/>
      <c r="XBZ49" s="19"/>
      <c r="XCA49" s="19"/>
      <c r="XCB49" s="19"/>
      <c r="XCC49" s="19"/>
      <c r="XCD49" s="19"/>
      <c r="XCE49" s="19"/>
      <c r="XCF49" s="19"/>
      <c r="XCG49" s="19"/>
      <c r="XCH49" s="19"/>
      <c r="XCI49" s="19"/>
      <c r="XCJ49" s="19"/>
      <c r="XCK49" s="19"/>
      <c r="XCL49" s="19"/>
      <c r="XCM49" s="19"/>
      <c r="XCN49" s="19"/>
      <c r="XCO49" s="19"/>
      <c r="XCP49" s="19"/>
      <c r="XCQ49" s="19"/>
      <c r="XCR49" s="19"/>
      <c r="XCS49" s="19"/>
      <c r="XCT49" s="19"/>
      <c r="XCU49" s="19"/>
      <c r="XCV49" s="19"/>
      <c r="XCW49" s="19"/>
      <c r="XCX49" s="19"/>
      <c r="XCY49" s="19"/>
      <c r="XCZ49" s="19"/>
      <c r="XDA49" s="19"/>
      <c r="XDB49" s="19"/>
      <c r="XDC49" s="19"/>
      <c r="XDD49" s="19"/>
      <c r="XDE49" s="19"/>
      <c r="XDF49" s="19"/>
      <c r="XDG49" s="19"/>
      <c r="XDH49" s="19"/>
      <c r="XDI49" s="19"/>
      <c r="XDJ49" s="19"/>
      <c r="XDK49" s="19"/>
      <c r="XDL49" s="19"/>
      <c r="XDM49" s="19"/>
      <c r="XDN49" s="19"/>
      <c r="XDO49" s="19"/>
      <c r="XDP49" s="19"/>
      <c r="XDQ49" s="19"/>
      <c r="XDR49" s="19"/>
      <c r="XDS49" s="19"/>
      <c r="XDT49" s="19"/>
      <c r="XDU49" s="19"/>
      <c r="XDV49" s="19"/>
      <c r="XDW49" s="19"/>
      <c r="XDX49" s="19"/>
      <c r="XDY49" s="19"/>
      <c r="XDZ49" s="19"/>
      <c r="XEA49" s="19"/>
      <c r="XEB49" s="19"/>
      <c r="XEC49" s="19"/>
      <c r="XED49" s="19"/>
      <c r="XEE49" s="19"/>
      <c r="XEF49" s="19"/>
      <c r="XEG49" s="19"/>
      <c r="XEH49" s="19"/>
      <c r="XEI49" s="19"/>
      <c r="XEJ49" s="19"/>
      <c r="XEK49" s="19"/>
      <c r="XEL49" s="19"/>
      <c r="XEM49" s="19"/>
      <c r="XEN49" s="19"/>
      <c r="XEO49" s="19"/>
      <c r="XEP49" s="19"/>
      <c r="XEQ49" s="19"/>
      <c r="XER49" s="19"/>
      <c r="XES49" s="19"/>
      <c r="XET49" s="19"/>
      <c r="XEU49" s="19"/>
      <c r="XEV49" s="19"/>
      <c r="XEW49" s="19"/>
      <c r="XEX49" s="19"/>
      <c r="XEY49" s="19"/>
      <c r="XEZ49" s="19"/>
      <c r="XFA49" s="19"/>
      <c r="XFB49" s="19"/>
    </row>
    <row r="50" spans="2:16382" s="18" customFormat="1" ht="15" customHeight="1" x14ac:dyDescent="0.25"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19"/>
      <c r="BZ50" s="19"/>
      <c r="CA50" s="19"/>
      <c r="CB50" s="19"/>
      <c r="CC50" s="19"/>
      <c r="CD50" s="19"/>
      <c r="CE50" s="19"/>
      <c r="CF50" s="19"/>
      <c r="CG50" s="19"/>
      <c r="CH50" s="19"/>
      <c r="CI50" s="19"/>
      <c r="CJ50" s="19"/>
      <c r="CK50" s="19"/>
      <c r="CL50" s="19"/>
      <c r="CM50" s="19"/>
      <c r="CN50" s="19"/>
      <c r="CO50" s="19"/>
      <c r="CP50" s="19"/>
      <c r="CQ50" s="19"/>
      <c r="CR50" s="19"/>
      <c r="CS50" s="19"/>
      <c r="CT50" s="19"/>
      <c r="CU50" s="19"/>
      <c r="CV50" s="19"/>
      <c r="CW50" s="19"/>
      <c r="CX50" s="19"/>
      <c r="CY50" s="19"/>
      <c r="CZ50" s="19"/>
      <c r="DA50" s="19"/>
      <c r="DB50" s="19"/>
      <c r="DC50" s="19"/>
      <c r="DD50" s="19"/>
      <c r="DE50" s="19"/>
      <c r="DF50" s="19"/>
      <c r="DG50" s="19"/>
      <c r="DH50" s="19"/>
      <c r="DI50" s="19"/>
      <c r="DJ50" s="19"/>
      <c r="DK50" s="19"/>
      <c r="DL50" s="19"/>
      <c r="DM50" s="19"/>
      <c r="DN50" s="19"/>
      <c r="DO50" s="19"/>
      <c r="DP50" s="19"/>
      <c r="DQ50" s="19"/>
      <c r="DR50" s="19"/>
      <c r="DS50" s="19"/>
      <c r="DT50" s="19"/>
      <c r="DU50" s="19"/>
      <c r="DV50" s="19"/>
      <c r="DW50" s="19"/>
      <c r="DX50" s="19"/>
      <c r="DY50" s="19"/>
      <c r="DZ50" s="19"/>
      <c r="EA50" s="19"/>
      <c r="EB50" s="19"/>
      <c r="EC50" s="19"/>
      <c r="ED50" s="19"/>
      <c r="EE50" s="19"/>
      <c r="EF50" s="19"/>
      <c r="EG50" s="19"/>
      <c r="EH50" s="19"/>
      <c r="EI50" s="19"/>
      <c r="EJ50" s="19"/>
      <c r="EK50" s="19"/>
      <c r="EL50" s="19"/>
      <c r="EM50" s="19"/>
      <c r="EN50" s="19"/>
      <c r="EO50" s="19"/>
      <c r="EP50" s="19"/>
      <c r="EQ50" s="19"/>
      <c r="ER50" s="19"/>
      <c r="ES50" s="19"/>
      <c r="ET50" s="19"/>
      <c r="EU50" s="19"/>
      <c r="EV50" s="19"/>
      <c r="EW50" s="19"/>
      <c r="EX50" s="19"/>
      <c r="EY50" s="19"/>
      <c r="EZ50" s="19"/>
      <c r="FA50" s="19"/>
      <c r="FB50" s="19"/>
      <c r="FC50" s="19"/>
      <c r="FD50" s="19"/>
      <c r="FE50" s="19"/>
      <c r="FF50" s="19"/>
      <c r="FG50" s="19"/>
      <c r="FH50" s="19"/>
      <c r="FI50" s="19"/>
      <c r="FJ50" s="19"/>
      <c r="FK50" s="19"/>
      <c r="FL50" s="19"/>
      <c r="FM50" s="19"/>
      <c r="FN50" s="19"/>
      <c r="FO50" s="19"/>
      <c r="FP50" s="19"/>
      <c r="FQ50" s="19"/>
      <c r="FR50" s="19"/>
      <c r="FS50" s="19"/>
      <c r="FT50" s="19"/>
      <c r="FU50" s="19"/>
      <c r="FV50" s="19"/>
      <c r="FW50" s="19"/>
      <c r="FX50" s="19"/>
      <c r="FY50" s="19"/>
      <c r="FZ50" s="19"/>
      <c r="GA50" s="19"/>
      <c r="GB50" s="19"/>
      <c r="GC50" s="19"/>
      <c r="GD50" s="19"/>
      <c r="GE50" s="19"/>
      <c r="GF50" s="19"/>
      <c r="GG50" s="19"/>
      <c r="GH50" s="19"/>
      <c r="GI50" s="19"/>
      <c r="GJ50" s="19"/>
      <c r="GK50" s="19"/>
      <c r="GL50" s="19"/>
      <c r="GM50" s="19"/>
      <c r="GN50" s="19"/>
      <c r="GO50" s="19"/>
      <c r="GP50" s="19"/>
      <c r="GQ50" s="19"/>
      <c r="GR50" s="19"/>
      <c r="GS50" s="19"/>
      <c r="GT50" s="19"/>
      <c r="GU50" s="19"/>
      <c r="GV50" s="19"/>
      <c r="GW50" s="19"/>
      <c r="GX50" s="19"/>
      <c r="GY50" s="19"/>
      <c r="GZ50" s="19"/>
      <c r="HA50" s="19"/>
      <c r="HB50" s="19"/>
      <c r="HC50" s="19"/>
      <c r="HD50" s="19"/>
      <c r="HE50" s="19"/>
      <c r="HF50" s="19"/>
      <c r="HG50" s="19"/>
      <c r="HH50" s="19"/>
      <c r="HI50" s="19"/>
      <c r="HJ50" s="19"/>
      <c r="HK50" s="19"/>
      <c r="HL50" s="19"/>
      <c r="HM50" s="19"/>
      <c r="HN50" s="19"/>
      <c r="HO50" s="19"/>
      <c r="HP50" s="19"/>
      <c r="HQ50" s="19"/>
      <c r="HR50" s="19"/>
      <c r="HS50" s="19"/>
      <c r="HT50" s="19"/>
      <c r="HU50" s="19"/>
      <c r="HV50" s="19"/>
      <c r="HW50" s="19"/>
      <c r="HX50" s="19"/>
      <c r="HY50" s="19"/>
      <c r="HZ50" s="19"/>
      <c r="IA50" s="19"/>
      <c r="IB50" s="19"/>
      <c r="IC50" s="19"/>
      <c r="ID50" s="19"/>
      <c r="IE50" s="19"/>
      <c r="IF50" s="19"/>
      <c r="IG50" s="19"/>
      <c r="IH50" s="19"/>
      <c r="II50" s="19"/>
      <c r="IJ50" s="19"/>
      <c r="IK50" s="19"/>
      <c r="IL50" s="19"/>
      <c r="IM50" s="19"/>
      <c r="IN50" s="19"/>
      <c r="IO50" s="19"/>
      <c r="IP50" s="19"/>
      <c r="IQ50" s="19"/>
      <c r="IR50" s="19"/>
      <c r="IS50" s="19"/>
      <c r="IT50" s="19"/>
      <c r="IU50" s="19"/>
      <c r="IV50" s="19"/>
      <c r="IW50" s="19"/>
      <c r="IX50" s="19"/>
      <c r="IY50" s="19"/>
      <c r="IZ50" s="19"/>
      <c r="JA50" s="19"/>
      <c r="JB50" s="19"/>
      <c r="JC50" s="19"/>
      <c r="JD50" s="19"/>
      <c r="JE50" s="19"/>
      <c r="JF50" s="19"/>
      <c r="JG50" s="19"/>
      <c r="JH50" s="19"/>
      <c r="JI50" s="19"/>
      <c r="JJ50" s="19"/>
      <c r="JK50" s="19"/>
      <c r="JL50" s="19"/>
      <c r="JM50" s="19"/>
      <c r="JN50" s="19"/>
      <c r="JO50" s="19"/>
      <c r="JP50" s="19"/>
      <c r="JQ50" s="19"/>
      <c r="JR50" s="19"/>
      <c r="JS50" s="19"/>
      <c r="JT50" s="19"/>
      <c r="JU50" s="19"/>
      <c r="JV50" s="19"/>
      <c r="JW50" s="19"/>
      <c r="JX50" s="19"/>
      <c r="JY50" s="19"/>
      <c r="JZ50" s="19"/>
      <c r="KA50" s="19"/>
      <c r="KB50" s="19"/>
      <c r="KC50" s="19"/>
      <c r="KD50" s="19"/>
      <c r="KE50" s="19"/>
      <c r="KF50" s="19"/>
      <c r="KG50" s="19"/>
      <c r="KH50" s="19"/>
      <c r="KI50" s="19"/>
      <c r="KJ50" s="19"/>
      <c r="KK50" s="19"/>
      <c r="KL50" s="19"/>
      <c r="KM50" s="19"/>
      <c r="KN50" s="19"/>
      <c r="KO50" s="19"/>
      <c r="KP50" s="19"/>
      <c r="KQ50" s="19"/>
      <c r="KR50" s="19"/>
      <c r="KS50" s="19"/>
      <c r="KT50" s="19"/>
      <c r="KU50" s="19"/>
      <c r="KV50" s="19"/>
      <c r="KW50" s="19"/>
      <c r="KX50" s="19"/>
      <c r="KY50" s="19"/>
      <c r="KZ50" s="19"/>
      <c r="LA50" s="19"/>
      <c r="LB50" s="19"/>
      <c r="LC50" s="19"/>
      <c r="LD50" s="19"/>
      <c r="LE50" s="19"/>
      <c r="LF50" s="19"/>
      <c r="LG50" s="19"/>
      <c r="LH50" s="19"/>
      <c r="LI50" s="19"/>
      <c r="LJ50" s="19"/>
      <c r="LK50" s="19"/>
      <c r="LL50" s="19"/>
      <c r="LM50" s="19"/>
      <c r="LN50" s="19"/>
      <c r="LO50" s="19"/>
      <c r="LP50" s="19"/>
      <c r="LQ50" s="19"/>
      <c r="LR50" s="19"/>
      <c r="LS50" s="19"/>
      <c r="LT50" s="19"/>
      <c r="LU50" s="19"/>
      <c r="LV50" s="19"/>
      <c r="LW50" s="19"/>
      <c r="LX50" s="19"/>
      <c r="LY50" s="19"/>
      <c r="LZ50" s="19"/>
      <c r="MA50" s="19"/>
      <c r="MB50" s="19"/>
      <c r="MC50" s="19"/>
      <c r="MD50" s="19"/>
      <c r="ME50" s="19"/>
      <c r="MF50" s="19"/>
      <c r="MG50" s="19"/>
      <c r="MH50" s="19"/>
      <c r="MI50" s="19"/>
      <c r="MJ50" s="19"/>
      <c r="MK50" s="19"/>
      <c r="ML50" s="19"/>
      <c r="MM50" s="19"/>
      <c r="MN50" s="19"/>
      <c r="MO50" s="19"/>
      <c r="MP50" s="19"/>
      <c r="MQ50" s="19"/>
      <c r="MR50" s="19"/>
      <c r="MS50" s="19"/>
      <c r="MT50" s="19"/>
      <c r="MU50" s="19"/>
      <c r="MV50" s="19"/>
      <c r="MW50" s="19"/>
      <c r="MX50" s="19"/>
      <c r="MY50" s="19"/>
      <c r="MZ50" s="19"/>
      <c r="NA50" s="19"/>
      <c r="NB50" s="19"/>
      <c r="NC50" s="19"/>
      <c r="ND50" s="19"/>
      <c r="NE50" s="19"/>
      <c r="NF50" s="19"/>
      <c r="NG50" s="19"/>
      <c r="NH50" s="19"/>
      <c r="NI50" s="19"/>
      <c r="NJ50" s="19"/>
      <c r="NK50" s="19"/>
      <c r="NL50" s="19"/>
      <c r="NM50" s="19"/>
      <c r="NN50" s="19"/>
      <c r="NO50" s="19"/>
      <c r="NP50" s="19"/>
      <c r="NQ50" s="19"/>
      <c r="NR50" s="19"/>
      <c r="NS50" s="19"/>
      <c r="NT50" s="19"/>
      <c r="NU50" s="19"/>
      <c r="NV50" s="19"/>
      <c r="NW50" s="19"/>
      <c r="NX50" s="19"/>
      <c r="NY50" s="19"/>
      <c r="NZ50" s="19"/>
      <c r="OA50" s="19"/>
      <c r="OB50" s="19"/>
      <c r="OC50" s="19"/>
      <c r="OD50" s="19"/>
      <c r="OE50" s="19"/>
      <c r="OF50" s="19"/>
      <c r="OG50" s="19"/>
      <c r="OH50" s="19"/>
      <c r="OI50" s="19"/>
      <c r="OJ50" s="19"/>
      <c r="OK50" s="19"/>
      <c r="OL50" s="19"/>
      <c r="OM50" s="19"/>
      <c r="ON50" s="19"/>
      <c r="OO50" s="19"/>
      <c r="OP50" s="19"/>
      <c r="OQ50" s="19"/>
      <c r="OR50" s="19"/>
      <c r="OS50" s="19"/>
      <c r="OT50" s="19"/>
      <c r="OU50" s="19"/>
      <c r="OV50" s="19"/>
      <c r="OW50" s="19"/>
      <c r="OX50" s="19"/>
      <c r="OY50" s="19"/>
      <c r="OZ50" s="19"/>
      <c r="PA50" s="19"/>
      <c r="PB50" s="19"/>
      <c r="PC50" s="19"/>
      <c r="PD50" s="19"/>
      <c r="PE50" s="19"/>
      <c r="PF50" s="19"/>
      <c r="PG50" s="19"/>
      <c r="PH50" s="19"/>
      <c r="PI50" s="19"/>
      <c r="PJ50" s="19"/>
      <c r="PK50" s="19"/>
      <c r="PL50" s="19"/>
      <c r="PM50" s="19"/>
      <c r="PN50" s="19"/>
      <c r="PO50" s="19"/>
      <c r="PP50" s="19"/>
      <c r="PQ50" s="19"/>
      <c r="PR50" s="19"/>
      <c r="PS50" s="19"/>
      <c r="PT50" s="19"/>
      <c r="PU50" s="19"/>
      <c r="PV50" s="19"/>
      <c r="PW50" s="19"/>
      <c r="PX50" s="19"/>
      <c r="PY50" s="19"/>
      <c r="PZ50" s="19"/>
      <c r="QA50" s="19"/>
      <c r="QB50" s="19"/>
      <c r="QC50" s="19"/>
      <c r="QD50" s="19"/>
      <c r="QE50" s="19"/>
      <c r="QF50" s="19"/>
      <c r="QG50" s="19"/>
      <c r="QH50" s="19"/>
      <c r="QI50" s="19"/>
      <c r="QJ50" s="19"/>
      <c r="QK50" s="19"/>
      <c r="QL50" s="19"/>
      <c r="QM50" s="19"/>
      <c r="QN50" s="19"/>
      <c r="QO50" s="19"/>
      <c r="QP50" s="19"/>
      <c r="QQ50" s="19"/>
      <c r="QR50" s="19"/>
      <c r="QS50" s="19"/>
      <c r="QT50" s="19"/>
      <c r="QU50" s="19"/>
      <c r="QV50" s="19"/>
      <c r="QW50" s="19"/>
      <c r="QX50" s="19"/>
      <c r="QY50" s="19"/>
      <c r="QZ50" s="19"/>
      <c r="RA50" s="19"/>
      <c r="RB50" s="19"/>
      <c r="RC50" s="19"/>
      <c r="RD50" s="19"/>
      <c r="RE50" s="19"/>
      <c r="RF50" s="19"/>
      <c r="RG50" s="19"/>
      <c r="RH50" s="19"/>
      <c r="RI50" s="19"/>
      <c r="RJ50" s="19"/>
      <c r="RK50" s="19"/>
      <c r="RL50" s="19"/>
      <c r="RM50" s="19"/>
      <c r="RN50" s="19"/>
      <c r="RO50" s="19"/>
      <c r="RP50" s="19"/>
      <c r="RQ50" s="19"/>
      <c r="RR50" s="19"/>
      <c r="RS50" s="19"/>
      <c r="RT50" s="19"/>
      <c r="RU50" s="19"/>
      <c r="RV50" s="19"/>
      <c r="RW50" s="19"/>
      <c r="RX50" s="19"/>
      <c r="RY50" s="19"/>
      <c r="RZ50" s="19"/>
      <c r="SA50" s="19"/>
      <c r="SB50" s="19"/>
      <c r="SC50" s="19"/>
      <c r="SD50" s="19"/>
      <c r="SE50" s="19"/>
      <c r="SF50" s="19"/>
      <c r="SG50" s="19"/>
      <c r="SH50" s="19"/>
      <c r="SI50" s="19"/>
      <c r="SJ50" s="19"/>
      <c r="SK50" s="19"/>
      <c r="SL50" s="19"/>
      <c r="SM50" s="19"/>
      <c r="SN50" s="19"/>
      <c r="SO50" s="19"/>
      <c r="SP50" s="19"/>
      <c r="SQ50" s="19"/>
      <c r="SR50" s="19"/>
      <c r="SS50" s="19"/>
      <c r="ST50" s="19"/>
      <c r="SU50" s="19"/>
      <c r="SV50" s="19"/>
      <c r="SW50" s="19"/>
      <c r="SX50" s="19"/>
      <c r="SY50" s="19"/>
      <c r="SZ50" s="19"/>
      <c r="TA50" s="19"/>
      <c r="TB50" s="19"/>
      <c r="TC50" s="19"/>
      <c r="TD50" s="19"/>
      <c r="TE50" s="19"/>
      <c r="TF50" s="19"/>
      <c r="TG50" s="19"/>
      <c r="TH50" s="19"/>
      <c r="TI50" s="19"/>
      <c r="TJ50" s="19"/>
      <c r="TK50" s="19"/>
      <c r="TL50" s="19"/>
      <c r="TM50" s="19"/>
      <c r="TN50" s="19"/>
      <c r="TO50" s="19"/>
      <c r="TP50" s="19"/>
      <c r="TQ50" s="19"/>
      <c r="TR50" s="19"/>
      <c r="TS50" s="19"/>
      <c r="TT50" s="19"/>
      <c r="TU50" s="19"/>
      <c r="TV50" s="19"/>
      <c r="TW50" s="19"/>
      <c r="TX50" s="19"/>
      <c r="TY50" s="19"/>
      <c r="TZ50" s="19"/>
      <c r="UA50" s="19"/>
      <c r="UB50" s="19"/>
      <c r="UC50" s="19"/>
      <c r="UD50" s="19"/>
      <c r="UE50" s="19"/>
      <c r="UF50" s="19"/>
      <c r="UG50" s="19"/>
      <c r="UH50" s="19"/>
      <c r="UI50" s="19"/>
      <c r="UJ50" s="19"/>
      <c r="UK50" s="19"/>
      <c r="UL50" s="19"/>
      <c r="UM50" s="19"/>
      <c r="UN50" s="19"/>
      <c r="UO50" s="19"/>
      <c r="UP50" s="19"/>
      <c r="UQ50" s="19"/>
      <c r="UR50" s="19"/>
      <c r="US50" s="19"/>
      <c r="UT50" s="19"/>
      <c r="UU50" s="19"/>
      <c r="UV50" s="19"/>
      <c r="UW50" s="19"/>
      <c r="UX50" s="19"/>
      <c r="UY50" s="19"/>
      <c r="UZ50" s="19"/>
      <c r="VA50" s="19"/>
      <c r="VB50" s="19"/>
      <c r="VC50" s="19"/>
      <c r="VD50" s="19"/>
      <c r="VE50" s="19"/>
      <c r="VF50" s="19"/>
      <c r="VG50" s="19"/>
      <c r="VH50" s="19"/>
      <c r="VI50" s="19"/>
      <c r="VJ50" s="19"/>
      <c r="VK50" s="19"/>
      <c r="VL50" s="19"/>
      <c r="VM50" s="19"/>
      <c r="VN50" s="19"/>
      <c r="VO50" s="19"/>
      <c r="VP50" s="19"/>
      <c r="VQ50" s="19"/>
      <c r="VR50" s="19"/>
      <c r="VS50" s="19"/>
      <c r="VT50" s="19"/>
      <c r="VU50" s="19"/>
      <c r="VV50" s="19"/>
      <c r="VW50" s="19"/>
      <c r="VX50" s="19"/>
      <c r="VY50" s="19"/>
      <c r="VZ50" s="19"/>
      <c r="WA50" s="19"/>
      <c r="WB50" s="19"/>
      <c r="WC50" s="19"/>
      <c r="WD50" s="19"/>
      <c r="WE50" s="19"/>
      <c r="WF50" s="19"/>
      <c r="WG50" s="19"/>
      <c r="WH50" s="19"/>
      <c r="WI50" s="19"/>
      <c r="WJ50" s="19"/>
      <c r="WK50" s="19"/>
      <c r="WL50" s="19"/>
      <c r="WM50" s="19"/>
      <c r="WN50" s="19"/>
      <c r="WO50" s="19"/>
      <c r="WP50" s="19"/>
      <c r="WQ50" s="19"/>
      <c r="WR50" s="19"/>
      <c r="WS50" s="19"/>
      <c r="WT50" s="19"/>
      <c r="WU50" s="19"/>
      <c r="WV50" s="19"/>
      <c r="WW50" s="19"/>
      <c r="WX50" s="19"/>
      <c r="WY50" s="19"/>
      <c r="WZ50" s="19"/>
      <c r="XA50" s="19"/>
      <c r="XB50" s="19"/>
      <c r="XC50" s="19"/>
      <c r="XD50" s="19"/>
      <c r="XE50" s="19"/>
      <c r="XF50" s="19"/>
      <c r="XG50" s="19"/>
      <c r="XH50" s="19"/>
      <c r="XI50" s="19"/>
      <c r="XJ50" s="19"/>
      <c r="XK50" s="19"/>
      <c r="XL50" s="19"/>
      <c r="XM50" s="19"/>
      <c r="XN50" s="19"/>
      <c r="XO50" s="19"/>
      <c r="XP50" s="19"/>
      <c r="XQ50" s="19"/>
      <c r="XR50" s="19"/>
      <c r="XS50" s="19"/>
      <c r="XT50" s="19"/>
      <c r="XU50" s="19"/>
      <c r="XV50" s="19"/>
      <c r="XW50" s="19"/>
      <c r="XX50" s="19"/>
      <c r="XY50" s="19"/>
      <c r="XZ50" s="19"/>
      <c r="YA50" s="19"/>
      <c r="YB50" s="19"/>
      <c r="YC50" s="19"/>
      <c r="YD50" s="19"/>
      <c r="YE50" s="19"/>
      <c r="YF50" s="19"/>
      <c r="YG50" s="19"/>
      <c r="YH50" s="19"/>
      <c r="YI50" s="19"/>
      <c r="YJ50" s="19"/>
      <c r="YK50" s="19"/>
      <c r="YL50" s="19"/>
      <c r="YM50" s="19"/>
      <c r="YN50" s="19"/>
      <c r="YO50" s="19"/>
      <c r="YP50" s="19"/>
      <c r="YQ50" s="19"/>
      <c r="YR50" s="19"/>
      <c r="YS50" s="19"/>
      <c r="YT50" s="19"/>
      <c r="YU50" s="19"/>
      <c r="YV50" s="19"/>
      <c r="YW50" s="19"/>
      <c r="YX50" s="19"/>
      <c r="YY50" s="19"/>
      <c r="YZ50" s="19"/>
      <c r="ZA50" s="19"/>
      <c r="ZB50" s="19"/>
      <c r="ZC50" s="19"/>
      <c r="ZD50" s="19"/>
      <c r="ZE50" s="19"/>
      <c r="ZF50" s="19"/>
      <c r="ZG50" s="19"/>
      <c r="ZH50" s="19"/>
      <c r="ZI50" s="19"/>
      <c r="ZJ50" s="19"/>
      <c r="ZK50" s="19"/>
      <c r="ZL50" s="19"/>
      <c r="ZM50" s="19"/>
      <c r="ZN50" s="19"/>
      <c r="ZO50" s="19"/>
      <c r="ZP50" s="19"/>
      <c r="ZQ50" s="19"/>
      <c r="ZR50" s="19"/>
      <c r="ZS50" s="19"/>
      <c r="ZT50" s="19"/>
      <c r="ZU50" s="19"/>
      <c r="ZV50" s="19"/>
      <c r="ZW50" s="19"/>
      <c r="ZX50" s="19"/>
      <c r="ZY50" s="19"/>
      <c r="ZZ50" s="19"/>
      <c r="AAA50" s="19"/>
      <c r="AAB50" s="19"/>
      <c r="AAC50" s="19"/>
      <c r="AAD50" s="19"/>
      <c r="AAE50" s="19"/>
      <c r="AAF50" s="19"/>
      <c r="AAG50" s="19"/>
      <c r="AAH50" s="19"/>
      <c r="AAI50" s="19"/>
      <c r="AAJ50" s="19"/>
      <c r="AAK50" s="19"/>
      <c r="AAL50" s="19"/>
      <c r="AAM50" s="19"/>
      <c r="AAN50" s="19"/>
      <c r="AAO50" s="19"/>
      <c r="AAP50" s="19"/>
      <c r="AAQ50" s="19"/>
      <c r="AAR50" s="19"/>
      <c r="AAS50" s="19"/>
      <c r="AAT50" s="19"/>
      <c r="AAU50" s="19"/>
      <c r="AAV50" s="19"/>
      <c r="AAW50" s="19"/>
      <c r="AAX50" s="19"/>
      <c r="AAY50" s="19"/>
      <c r="AAZ50" s="19"/>
      <c r="ABA50" s="19"/>
      <c r="ABB50" s="19"/>
      <c r="ABC50" s="19"/>
      <c r="ABD50" s="19"/>
      <c r="ABE50" s="19"/>
      <c r="ABF50" s="19"/>
      <c r="ABG50" s="19"/>
      <c r="ABH50" s="19"/>
      <c r="ABI50" s="19"/>
      <c r="ABJ50" s="19"/>
      <c r="ABK50" s="19"/>
      <c r="ABL50" s="19"/>
      <c r="ABM50" s="19"/>
      <c r="ABN50" s="19"/>
      <c r="ABO50" s="19"/>
      <c r="ABP50" s="19"/>
      <c r="ABQ50" s="19"/>
      <c r="ABR50" s="19"/>
      <c r="ABS50" s="19"/>
      <c r="ABT50" s="19"/>
      <c r="ABU50" s="19"/>
      <c r="ABV50" s="19"/>
      <c r="ABW50" s="19"/>
      <c r="ABX50" s="19"/>
      <c r="ABY50" s="19"/>
      <c r="ABZ50" s="19"/>
      <c r="ACA50" s="19"/>
      <c r="ACB50" s="19"/>
      <c r="ACC50" s="19"/>
      <c r="ACD50" s="19"/>
      <c r="ACE50" s="19"/>
      <c r="ACF50" s="19"/>
      <c r="ACG50" s="19"/>
      <c r="ACH50" s="19"/>
      <c r="ACI50" s="19"/>
      <c r="ACJ50" s="19"/>
      <c r="ACK50" s="19"/>
      <c r="ACL50" s="19"/>
      <c r="ACM50" s="19"/>
      <c r="ACN50" s="19"/>
      <c r="ACO50" s="19"/>
      <c r="ACP50" s="19"/>
      <c r="ACQ50" s="19"/>
      <c r="ACR50" s="19"/>
      <c r="ACS50" s="19"/>
      <c r="ACT50" s="19"/>
      <c r="ACU50" s="19"/>
      <c r="ACV50" s="19"/>
      <c r="ACW50" s="19"/>
      <c r="ACX50" s="19"/>
      <c r="ACY50" s="19"/>
      <c r="ACZ50" s="19"/>
      <c r="ADA50" s="19"/>
      <c r="ADB50" s="19"/>
      <c r="ADC50" s="19"/>
      <c r="ADD50" s="19"/>
      <c r="ADE50" s="19"/>
      <c r="ADF50" s="19"/>
      <c r="ADG50" s="19"/>
      <c r="ADH50" s="19"/>
      <c r="ADI50" s="19"/>
      <c r="ADJ50" s="19"/>
      <c r="ADK50" s="19"/>
      <c r="ADL50" s="19"/>
      <c r="ADM50" s="19"/>
      <c r="ADN50" s="19"/>
      <c r="ADO50" s="19"/>
      <c r="ADP50" s="19"/>
      <c r="ADQ50" s="19"/>
      <c r="ADR50" s="19"/>
      <c r="ADS50" s="19"/>
      <c r="ADT50" s="19"/>
      <c r="ADU50" s="19"/>
      <c r="ADV50" s="19"/>
      <c r="ADW50" s="19"/>
      <c r="ADX50" s="19"/>
      <c r="ADY50" s="19"/>
      <c r="ADZ50" s="19"/>
      <c r="AEA50" s="19"/>
      <c r="AEB50" s="19"/>
      <c r="AEC50" s="19"/>
      <c r="AED50" s="19"/>
      <c r="AEE50" s="19"/>
      <c r="AEF50" s="19"/>
      <c r="AEG50" s="19"/>
      <c r="AEH50" s="19"/>
      <c r="AEI50" s="19"/>
      <c r="AEJ50" s="19"/>
      <c r="AEK50" s="19"/>
      <c r="AEL50" s="19"/>
      <c r="AEM50" s="19"/>
      <c r="AEN50" s="19"/>
      <c r="AEO50" s="19"/>
      <c r="AEP50" s="19"/>
      <c r="AEQ50" s="19"/>
      <c r="AER50" s="19"/>
      <c r="AES50" s="19"/>
      <c r="AET50" s="19"/>
      <c r="AEU50" s="19"/>
      <c r="AEV50" s="19"/>
      <c r="AEW50" s="19"/>
      <c r="AEX50" s="19"/>
      <c r="AEY50" s="19"/>
      <c r="AEZ50" s="19"/>
      <c r="AFA50" s="19"/>
      <c r="AFB50" s="19"/>
      <c r="AFC50" s="19"/>
      <c r="AFD50" s="19"/>
      <c r="AFE50" s="19"/>
      <c r="AFF50" s="19"/>
      <c r="AFG50" s="19"/>
      <c r="AFH50" s="19"/>
      <c r="AFI50" s="19"/>
      <c r="AFJ50" s="19"/>
      <c r="AFK50" s="19"/>
      <c r="AFL50" s="19"/>
      <c r="AFM50" s="19"/>
      <c r="AFN50" s="19"/>
      <c r="AFO50" s="19"/>
      <c r="AFP50" s="19"/>
      <c r="AFQ50" s="19"/>
      <c r="AFR50" s="19"/>
      <c r="AFS50" s="19"/>
      <c r="AFT50" s="19"/>
      <c r="AFU50" s="19"/>
      <c r="AFV50" s="19"/>
      <c r="AFW50" s="19"/>
      <c r="AFX50" s="19"/>
      <c r="AFY50" s="19"/>
      <c r="AFZ50" s="19"/>
      <c r="AGA50" s="19"/>
      <c r="AGB50" s="19"/>
      <c r="AGC50" s="19"/>
      <c r="AGD50" s="19"/>
      <c r="AGE50" s="19"/>
      <c r="AGF50" s="19"/>
      <c r="AGG50" s="19"/>
      <c r="AGH50" s="19"/>
      <c r="AGI50" s="19"/>
      <c r="AGJ50" s="19"/>
      <c r="AGK50" s="19"/>
      <c r="AGL50" s="19"/>
      <c r="AGM50" s="19"/>
      <c r="AGN50" s="19"/>
      <c r="AGO50" s="19"/>
      <c r="AGP50" s="19"/>
      <c r="AGQ50" s="19"/>
      <c r="AGR50" s="19"/>
      <c r="AGS50" s="19"/>
      <c r="AGT50" s="19"/>
      <c r="AGU50" s="19"/>
      <c r="AGV50" s="19"/>
      <c r="AGW50" s="19"/>
      <c r="AGX50" s="19"/>
      <c r="AGY50" s="19"/>
      <c r="AGZ50" s="19"/>
      <c r="AHA50" s="19"/>
      <c r="AHB50" s="19"/>
      <c r="AHC50" s="19"/>
      <c r="AHD50" s="19"/>
      <c r="AHE50" s="19"/>
      <c r="AHF50" s="19"/>
      <c r="AHG50" s="19"/>
      <c r="AHH50" s="19"/>
      <c r="AHI50" s="19"/>
      <c r="AHJ50" s="19"/>
      <c r="AHK50" s="19"/>
      <c r="AHL50" s="19"/>
      <c r="AHM50" s="19"/>
      <c r="AHN50" s="19"/>
      <c r="AHO50" s="19"/>
      <c r="AHP50" s="19"/>
      <c r="AHQ50" s="19"/>
      <c r="AHR50" s="19"/>
      <c r="AHS50" s="19"/>
      <c r="AHT50" s="19"/>
      <c r="AHU50" s="19"/>
      <c r="AHV50" s="19"/>
      <c r="AHW50" s="19"/>
      <c r="AHX50" s="19"/>
      <c r="AHY50" s="19"/>
      <c r="AHZ50" s="19"/>
      <c r="AIA50" s="19"/>
      <c r="AIB50" s="19"/>
      <c r="AIC50" s="19"/>
      <c r="AID50" s="19"/>
      <c r="AIE50" s="19"/>
      <c r="AIF50" s="19"/>
      <c r="AIG50" s="19"/>
      <c r="AIH50" s="19"/>
      <c r="AII50" s="19"/>
      <c r="AIJ50" s="19"/>
      <c r="AIK50" s="19"/>
      <c r="AIL50" s="19"/>
      <c r="AIM50" s="19"/>
      <c r="AIN50" s="19"/>
      <c r="AIO50" s="19"/>
      <c r="AIP50" s="19"/>
      <c r="AIQ50" s="19"/>
      <c r="AIR50" s="19"/>
      <c r="AIS50" s="19"/>
      <c r="AIT50" s="19"/>
      <c r="AIU50" s="19"/>
      <c r="AIV50" s="19"/>
      <c r="AIW50" s="19"/>
      <c r="AIX50" s="19"/>
      <c r="AIY50" s="19"/>
      <c r="AIZ50" s="19"/>
      <c r="AJA50" s="19"/>
      <c r="AJB50" s="19"/>
      <c r="AJC50" s="19"/>
      <c r="AJD50" s="19"/>
      <c r="AJE50" s="19"/>
      <c r="AJF50" s="19"/>
      <c r="AJG50" s="19"/>
      <c r="AJH50" s="19"/>
      <c r="AJI50" s="19"/>
      <c r="AJJ50" s="19"/>
      <c r="AJK50" s="19"/>
      <c r="AJL50" s="19"/>
      <c r="AJM50" s="19"/>
      <c r="AJN50" s="19"/>
      <c r="AJO50" s="19"/>
      <c r="AJP50" s="19"/>
      <c r="AJQ50" s="19"/>
      <c r="AJR50" s="19"/>
      <c r="AJS50" s="19"/>
      <c r="AJT50" s="19"/>
      <c r="AJU50" s="19"/>
      <c r="AJV50" s="19"/>
      <c r="AJW50" s="19"/>
      <c r="AJX50" s="19"/>
      <c r="AJY50" s="19"/>
      <c r="AJZ50" s="19"/>
      <c r="AKA50" s="19"/>
      <c r="AKB50" s="19"/>
      <c r="AKC50" s="19"/>
      <c r="AKD50" s="19"/>
      <c r="AKE50" s="19"/>
      <c r="AKF50" s="19"/>
      <c r="AKG50" s="19"/>
      <c r="AKH50" s="19"/>
      <c r="AKI50" s="19"/>
      <c r="AKJ50" s="19"/>
      <c r="AKK50" s="19"/>
      <c r="AKL50" s="19"/>
      <c r="AKM50" s="19"/>
      <c r="AKN50" s="19"/>
      <c r="AKO50" s="19"/>
      <c r="AKP50" s="19"/>
      <c r="AKQ50" s="19"/>
      <c r="AKR50" s="19"/>
      <c r="AKS50" s="19"/>
      <c r="AKT50" s="19"/>
      <c r="AKU50" s="19"/>
      <c r="AKV50" s="19"/>
      <c r="AKW50" s="19"/>
      <c r="AKX50" s="19"/>
      <c r="AKY50" s="19"/>
      <c r="AKZ50" s="19"/>
      <c r="ALA50" s="19"/>
      <c r="ALB50" s="19"/>
      <c r="ALC50" s="19"/>
      <c r="ALD50" s="19"/>
      <c r="ALE50" s="19"/>
      <c r="ALF50" s="19"/>
      <c r="ALG50" s="19"/>
      <c r="ALH50" s="19"/>
      <c r="ALI50" s="19"/>
      <c r="ALJ50" s="19"/>
      <c r="ALK50" s="19"/>
      <c r="ALL50" s="19"/>
      <c r="ALM50" s="19"/>
      <c r="ALN50" s="19"/>
      <c r="ALO50" s="19"/>
      <c r="ALP50" s="19"/>
      <c r="ALQ50" s="19"/>
      <c r="ALR50" s="19"/>
      <c r="ALS50" s="19"/>
      <c r="ALT50" s="19"/>
      <c r="ALU50" s="19"/>
      <c r="ALV50" s="19"/>
      <c r="ALW50" s="19"/>
      <c r="ALX50" s="19"/>
      <c r="ALY50" s="19"/>
      <c r="ALZ50" s="19"/>
      <c r="AMA50" s="19"/>
      <c r="AMB50" s="19"/>
      <c r="AMC50" s="19"/>
      <c r="AMD50" s="19"/>
      <c r="AME50" s="19"/>
      <c r="AMF50" s="19"/>
      <c r="AMG50" s="19"/>
      <c r="AMH50" s="19"/>
      <c r="AMI50" s="19"/>
      <c r="AMJ50" s="19"/>
      <c r="AMK50" s="19"/>
      <c r="AML50" s="19"/>
      <c r="AMM50" s="19"/>
      <c r="AMN50" s="19"/>
      <c r="AMO50" s="19"/>
      <c r="AMP50" s="19"/>
      <c r="AMQ50" s="19"/>
      <c r="AMR50" s="19"/>
      <c r="AMS50" s="19"/>
      <c r="AMT50" s="19"/>
      <c r="AMU50" s="19"/>
      <c r="AMV50" s="19"/>
      <c r="AMW50" s="19"/>
      <c r="AMX50" s="19"/>
      <c r="AMY50" s="19"/>
      <c r="AMZ50" s="19"/>
      <c r="ANA50" s="19"/>
      <c r="ANB50" s="19"/>
      <c r="ANC50" s="19"/>
      <c r="AND50" s="19"/>
      <c r="ANE50" s="19"/>
      <c r="ANF50" s="19"/>
      <c r="ANG50" s="19"/>
      <c r="ANH50" s="19"/>
      <c r="ANI50" s="19"/>
      <c r="ANJ50" s="19"/>
      <c r="ANK50" s="19"/>
      <c r="ANL50" s="19"/>
      <c r="ANM50" s="19"/>
      <c r="ANN50" s="19"/>
      <c r="ANO50" s="19"/>
      <c r="ANP50" s="19"/>
      <c r="ANQ50" s="19"/>
      <c r="ANR50" s="19"/>
      <c r="ANS50" s="19"/>
      <c r="ANT50" s="19"/>
      <c r="ANU50" s="19"/>
      <c r="ANV50" s="19"/>
      <c r="ANW50" s="19"/>
      <c r="ANX50" s="19"/>
      <c r="ANY50" s="19"/>
      <c r="ANZ50" s="19"/>
      <c r="AOA50" s="19"/>
      <c r="AOB50" s="19"/>
      <c r="AOC50" s="19"/>
      <c r="AOD50" s="19"/>
      <c r="AOE50" s="19"/>
      <c r="AOF50" s="19"/>
      <c r="AOG50" s="19"/>
      <c r="AOH50" s="19"/>
      <c r="AOI50" s="19"/>
      <c r="AOJ50" s="19"/>
      <c r="AOK50" s="19"/>
      <c r="AOL50" s="19"/>
      <c r="AOM50" s="19"/>
      <c r="AON50" s="19"/>
      <c r="AOO50" s="19"/>
      <c r="AOP50" s="19"/>
      <c r="AOQ50" s="19"/>
      <c r="AOR50" s="19"/>
      <c r="AOS50" s="19"/>
      <c r="AOT50" s="19"/>
      <c r="AOU50" s="19"/>
      <c r="AOV50" s="19"/>
      <c r="AOW50" s="19"/>
      <c r="AOX50" s="19"/>
      <c r="AOY50" s="19"/>
      <c r="AOZ50" s="19"/>
      <c r="APA50" s="19"/>
      <c r="APB50" s="19"/>
      <c r="APC50" s="19"/>
      <c r="APD50" s="19"/>
      <c r="APE50" s="19"/>
      <c r="APF50" s="19"/>
      <c r="APG50" s="19"/>
      <c r="APH50" s="19"/>
      <c r="API50" s="19"/>
      <c r="APJ50" s="19"/>
      <c r="APK50" s="19"/>
      <c r="APL50" s="19"/>
      <c r="APM50" s="19"/>
      <c r="APN50" s="19"/>
      <c r="APO50" s="19"/>
      <c r="APP50" s="19"/>
      <c r="APQ50" s="19"/>
      <c r="APR50" s="19"/>
      <c r="APS50" s="19"/>
      <c r="APT50" s="19"/>
      <c r="APU50" s="19"/>
      <c r="APV50" s="19"/>
      <c r="APW50" s="19"/>
      <c r="APX50" s="19"/>
      <c r="APY50" s="19"/>
      <c r="APZ50" s="19"/>
      <c r="AQA50" s="19"/>
      <c r="AQB50" s="19"/>
      <c r="AQC50" s="19"/>
      <c r="AQD50" s="19"/>
      <c r="AQE50" s="19"/>
      <c r="AQF50" s="19"/>
      <c r="AQG50" s="19"/>
      <c r="AQH50" s="19"/>
      <c r="AQI50" s="19"/>
      <c r="AQJ50" s="19"/>
      <c r="AQK50" s="19"/>
      <c r="AQL50" s="19"/>
      <c r="AQM50" s="19"/>
      <c r="AQN50" s="19"/>
      <c r="AQO50" s="19"/>
      <c r="AQP50" s="19"/>
      <c r="AQQ50" s="19"/>
      <c r="AQR50" s="19"/>
      <c r="AQS50" s="19"/>
      <c r="AQT50" s="19"/>
      <c r="AQU50" s="19"/>
      <c r="AQV50" s="19"/>
      <c r="AQW50" s="19"/>
      <c r="AQX50" s="19"/>
      <c r="AQY50" s="19"/>
      <c r="AQZ50" s="19"/>
      <c r="ARA50" s="19"/>
      <c r="ARB50" s="19"/>
      <c r="ARC50" s="19"/>
      <c r="ARD50" s="19"/>
      <c r="ARE50" s="19"/>
      <c r="ARF50" s="19"/>
      <c r="ARG50" s="19"/>
      <c r="ARH50" s="19"/>
      <c r="ARI50" s="19"/>
      <c r="ARJ50" s="19"/>
      <c r="ARK50" s="19"/>
      <c r="ARL50" s="19"/>
      <c r="ARM50" s="19"/>
      <c r="ARN50" s="19"/>
      <c r="ARO50" s="19"/>
      <c r="ARP50" s="19"/>
      <c r="ARQ50" s="19"/>
      <c r="ARR50" s="19"/>
      <c r="ARS50" s="19"/>
      <c r="ART50" s="19"/>
      <c r="ARU50" s="19"/>
      <c r="ARV50" s="19"/>
      <c r="ARW50" s="19"/>
      <c r="ARX50" s="19"/>
      <c r="ARY50" s="19"/>
      <c r="ARZ50" s="19"/>
      <c r="ASA50" s="19"/>
      <c r="ASB50" s="19"/>
      <c r="ASC50" s="19"/>
      <c r="ASD50" s="19"/>
      <c r="ASE50" s="19"/>
      <c r="ASF50" s="19"/>
      <c r="ASG50" s="19"/>
      <c r="ASH50" s="19"/>
      <c r="ASI50" s="19"/>
      <c r="ASJ50" s="19"/>
      <c r="ASK50" s="19"/>
      <c r="ASL50" s="19"/>
      <c r="ASM50" s="19"/>
      <c r="ASN50" s="19"/>
      <c r="ASO50" s="19"/>
      <c r="ASP50" s="19"/>
      <c r="ASQ50" s="19"/>
      <c r="ASR50" s="19"/>
      <c r="ASS50" s="19"/>
      <c r="AST50" s="19"/>
      <c r="ASU50" s="19"/>
      <c r="ASV50" s="19"/>
      <c r="ASW50" s="19"/>
      <c r="ASX50" s="19"/>
      <c r="ASY50" s="19"/>
      <c r="ASZ50" s="19"/>
      <c r="ATA50" s="19"/>
      <c r="ATB50" s="19"/>
      <c r="ATC50" s="19"/>
      <c r="ATD50" s="19"/>
      <c r="ATE50" s="19"/>
      <c r="ATF50" s="19"/>
      <c r="ATG50" s="19"/>
      <c r="ATH50" s="19"/>
      <c r="ATI50" s="19"/>
      <c r="ATJ50" s="19"/>
      <c r="ATK50" s="19"/>
      <c r="ATL50" s="19"/>
      <c r="ATM50" s="19"/>
      <c r="ATN50" s="19"/>
      <c r="ATO50" s="19"/>
      <c r="ATP50" s="19"/>
      <c r="ATQ50" s="19"/>
      <c r="ATR50" s="19"/>
      <c r="ATS50" s="19"/>
      <c r="ATT50" s="19"/>
      <c r="ATU50" s="19"/>
      <c r="ATV50" s="19"/>
      <c r="ATW50" s="19"/>
      <c r="ATX50" s="19"/>
      <c r="ATY50" s="19"/>
      <c r="ATZ50" s="19"/>
      <c r="AUA50" s="19"/>
      <c r="AUB50" s="19"/>
      <c r="AUC50" s="19"/>
      <c r="AUD50" s="19"/>
      <c r="AUE50" s="19"/>
      <c r="AUF50" s="19"/>
      <c r="AUG50" s="19"/>
      <c r="AUH50" s="19"/>
      <c r="AUI50" s="19"/>
      <c r="AUJ50" s="19"/>
      <c r="AUK50" s="19"/>
      <c r="AUL50" s="19"/>
      <c r="AUM50" s="19"/>
      <c r="AUN50" s="19"/>
      <c r="AUO50" s="19"/>
      <c r="AUP50" s="19"/>
      <c r="AUQ50" s="19"/>
      <c r="AUR50" s="19"/>
      <c r="AUS50" s="19"/>
      <c r="AUT50" s="19"/>
      <c r="AUU50" s="19"/>
      <c r="AUV50" s="19"/>
      <c r="AUW50" s="19"/>
      <c r="AUX50" s="19"/>
      <c r="AUY50" s="19"/>
      <c r="AUZ50" s="19"/>
      <c r="AVA50" s="19"/>
      <c r="AVB50" s="19"/>
      <c r="AVC50" s="19"/>
      <c r="AVD50" s="19"/>
      <c r="AVE50" s="19"/>
      <c r="AVF50" s="19"/>
      <c r="AVG50" s="19"/>
      <c r="AVH50" s="19"/>
      <c r="AVI50" s="19"/>
      <c r="AVJ50" s="19"/>
      <c r="AVK50" s="19"/>
      <c r="AVL50" s="19"/>
      <c r="AVM50" s="19"/>
      <c r="AVN50" s="19"/>
      <c r="AVO50" s="19"/>
      <c r="AVP50" s="19"/>
      <c r="AVQ50" s="19"/>
      <c r="AVR50" s="19"/>
      <c r="AVS50" s="19"/>
      <c r="AVT50" s="19"/>
      <c r="AVU50" s="19"/>
      <c r="AVV50" s="19"/>
      <c r="AVW50" s="19"/>
      <c r="AVX50" s="19"/>
      <c r="AVY50" s="19"/>
      <c r="AVZ50" s="19"/>
      <c r="AWA50" s="19"/>
      <c r="AWB50" s="19"/>
      <c r="AWC50" s="19"/>
      <c r="AWD50" s="19"/>
      <c r="AWE50" s="19"/>
      <c r="AWF50" s="19"/>
      <c r="AWG50" s="19"/>
      <c r="AWH50" s="19"/>
      <c r="AWI50" s="19"/>
      <c r="AWJ50" s="19"/>
      <c r="AWK50" s="19"/>
      <c r="AWL50" s="19"/>
      <c r="AWM50" s="19"/>
      <c r="AWN50" s="19"/>
      <c r="AWO50" s="19"/>
      <c r="AWP50" s="19"/>
      <c r="AWQ50" s="19"/>
      <c r="AWR50" s="19"/>
      <c r="AWS50" s="19"/>
      <c r="AWT50" s="19"/>
      <c r="AWU50" s="19"/>
      <c r="AWV50" s="19"/>
      <c r="AWW50" s="19"/>
      <c r="AWX50" s="19"/>
      <c r="AWY50" s="19"/>
      <c r="AWZ50" s="19"/>
      <c r="AXA50" s="19"/>
      <c r="AXB50" s="19"/>
      <c r="AXC50" s="19"/>
      <c r="AXD50" s="19"/>
      <c r="AXE50" s="19"/>
      <c r="AXF50" s="19"/>
      <c r="AXG50" s="19"/>
      <c r="AXH50" s="19"/>
      <c r="AXI50" s="19"/>
      <c r="AXJ50" s="19"/>
      <c r="AXK50" s="19"/>
      <c r="AXL50" s="19"/>
      <c r="AXM50" s="19"/>
      <c r="AXN50" s="19"/>
      <c r="AXO50" s="19"/>
      <c r="AXP50" s="19"/>
      <c r="AXQ50" s="19"/>
      <c r="AXR50" s="19"/>
      <c r="AXS50" s="19"/>
      <c r="AXT50" s="19"/>
      <c r="AXU50" s="19"/>
      <c r="AXV50" s="19"/>
      <c r="AXW50" s="19"/>
      <c r="AXX50" s="19"/>
      <c r="AXY50" s="19"/>
      <c r="AXZ50" s="19"/>
      <c r="AYA50" s="19"/>
      <c r="AYB50" s="19"/>
      <c r="AYC50" s="19"/>
      <c r="AYD50" s="19"/>
      <c r="AYE50" s="19"/>
      <c r="AYF50" s="19"/>
      <c r="AYG50" s="19"/>
      <c r="AYH50" s="19"/>
      <c r="AYI50" s="19"/>
      <c r="AYJ50" s="19"/>
      <c r="AYK50" s="19"/>
      <c r="AYL50" s="19"/>
      <c r="AYM50" s="19"/>
      <c r="AYN50" s="19"/>
      <c r="AYO50" s="19"/>
      <c r="AYP50" s="19"/>
      <c r="AYQ50" s="19"/>
      <c r="AYR50" s="19"/>
      <c r="AYS50" s="19"/>
      <c r="AYT50" s="19"/>
      <c r="AYU50" s="19"/>
      <c r="AYV50" s="19"/>
      <c r="AYW50" s="19"/>
      <c r="AYX50" s="19"/>
      <c r="AYY50" s="19"/>
      <c r="AYZ50" s="19"/>
      <c r="AZA50" s="19"/>
      <c r="AZB50" s="19"/>
      <c r="AZC50" s="19"/>
      <c r="AZD50" s="19"/>
      <c r="AZE50" s="19"/>
      <c r="AZF50" s="19"/>
      <c r="AZG50" s="19"/>
      <c r="AZH50" s="19"/>
      <c r="AZI50" s="19"/>
      <c r="AZJ50" s="19"/>
      <c r="AZK50" s="19"/>
      <c r="AZL50" s="19"/>
      <c r="AZM50" s="19"/>
      <c r="AZN50" s="19"/>
      <c r="AZO50" s="19"/>
      <c r="AZP50" s="19"/>
      <c r="AZQ50" s="19"/>
      <c r="AZR50" s="19"/>
      <c r="AZS50" s="19"/>
      <c r="AZT50" s="19"/>
      <c r="AZU50" s="19"/>
      <c r="AZV50" s="19"/>
      <c r="AZW50" s="19"/>
      <c r="AZX50" s="19"/>
      <c r="AZY50" s="19"/>
      <c r="AZZ50" s="19"/>
      <c r="BAA50" s="19"/>
      <c r="BAB50" s="19"/>
      <c r="BAC50" s="19"/>
      <c r="BAD50" s="19"/>
      <c r="BAE50" s="19"/>
      <c r="BAF50" s="19"/>
      <c r="BAG50" s="19"/>
      <c r="BAH50" s="19"/>
      <c r="BAI50" s="19"/>
      <c r="BAJ50" s="19"/>
      <c r="BAK50" s="19"/>
      <c r="BAL50" s="19"/>
      <c r="BAM50" s="19"/>
      <c r="BAN50" s="19"/>
      <c r="BAO50" s="19"/>
      <c r="BAP50" s="19"/>
      <c r="BAQ50" s="19"/>
      <c r="BAR50" s="19"/>
      <c r="BAS50" s="19"/>
      <c r="BAT50" s="19"/>
      <c r="BAU50" s="19"/>
      <c r="BAV50" s="19"/>
      <c r="BAW50" s="19"/>
      <c r="BAX50" s="19"/>
      <c r="BAY50" s="19"/>
      <c r="BAZ50" s="19"/>
      <c r="BBA50" s="19"/>
      <c r="BBB50" s="19"/>
      <c r="BBC50" s="19"/>
      <c r="BBD50" s="19"/>
      <c r="BBE50" s="19"/>
      <c r="BBF50" s="19"/>
      <c r="BBG50" s="19"/>
      <c r="BBH50" s="19"/>
      <c r="BBI50" s="19"/>
      <c r="BBJ50" s="19"/>
      <c r="BBK50" s="19"/>
      <c r="BBL50" s="19"/>
      <c r="BBM50" s="19"/>
      <c r="BBN50" s="19"/>
      <c r="BBO50" s="19"/>
      <c r="BBP50" s="19"/>
      <c r="BBQ50" s="19"/>
      <c r="BBR50" s="19"/>
      <c r="BBS50" s="19"/>
      <c r="BBT50" s="19"/>
      <c r="BBU50" s="19"/>
      <c r="BBV50" s="19"/>
      <c r="BBW50" s="19"/>
      <c r="BBX50" s="19"/>
      <c r="BBY50" s="19"/>
      <c r="BBZ50" s="19"/>
      <c r="BCA50" s="19"/>
      <c r="BCB50" s="19"/>
      <c r="BCC50" s="19"/>
      <c r="BCD50" s="19"/>
      <c r="BCE50" s="19"/>
      <c r="BCF50" s="19"/>
      <c r="BCG50" s="19"/>
      <c r="BCH50" s="19"/>
      <c r="BCI50" s="19"/>
      <c r="BCJ50" s="19"/>
      <c r="BCK50" s="19"/>
      <c r="BCL50" s="19"/>
      <c r="BCM50" s="19"/>
      <c r="BCN50" s="19"/>
      <c r="BCO50" s="19"/>
      <c r="BCP50" s="19"/>
      <c r="BCQ50" s="19"/>
      <c r="BCR50" s="19"/>
      <c r="BCS50" s="19"/>
      <c r="BCT50" s="19"/>
      <c r="BCU50" s="19"/>
      <c r="BCV50" s="19"/>
      <c r="BCW50" s="19"/>
      <c r="BCX50" s="19"/>
      <c r="BCY50" s="19"/>
      <c r="BCZ50" s="19"/>
      <c r="BDA50" s="19"/>
      <c r="BDB50" s="19"/>
      <c r="BDC50" s="19"/>
      <c r="BDD50" s="19"/>
      <c r="BDE50" s="19"/>
      <c r="BDF50" s="19"/>
      <c r="BDG50" s="19"/>
      <c r="BDH50" s="19"/>
      <c r="BDI50" s="19"/>
      <c r="BDJ50" s="19"/>
      <c r="BDK50" s="19"/>
      <c r="BDL50" s="19"/>
      <c r="BDM50" s="19"/>
      <c r="BDN50" s="19"/>
      <c r="BDO50" s="19"/>
      <c r="BDP50" s="19"/>
      <c r="BDQ50" s="19"/>
      <c r="BDR50" s="19"/>
      <c r="BDS50" s="19"/>
      <c r="BDT50" s="19"/>
      <c r="BDU50" s="19"/>
      <c r="BDV50" s="19"/>
      <c r="BDW50" s="19"/>
      <c r="BDX50" s="19"/>
      <c r="BDY50" s="19"/>
      <c r="BDZ50" s="19"/>
      <c r="BEA50" s="19"/>
      <c r="BEB50" s="19"/>
      <c r="BEC50" s="19"/>
      <c r="BED50" s="19"/>
      <c r="BEE50" s="19"/>
      <c r="BEF50" s="19"/>
      <c r="BEG50" s="19"/>
      <c r="BEH50" s="19"/>
      <c r="BEI50" s="19"/>
      <c r="BEJ50" s="19"/>
      <c r="BEK50" s="19"/>
      <c r="BEL50" s="19"/>
      <c r="BEM50" s="19"/>
      <c r="BEN50" s="19"/>
      <c r="BEO50" s="19"/>
      <c r="BEP50" s="19"/>
      <c r="BEQ50" s="19"/>
      <c r="BER50" s="19"/>
      <c r="BES50" s="19"/>
      <c r="BET50" s="19"/>
      <c r="BEU50" s="19"/>
      <c r="BEV50" s="19"/>
      <c r="BEW50" s="19"/>
      <c r="BEX50" s="19"/>
      <c r="BEY50" s="19"/>
      <c r="BEZ50" s="19"/>
      <c r="BFA50" s="19"/>
      <c r="BFB50" s="19"/>
      <c r="BFC50" s="19"/>
      <c r="BFD50" s="19"/>
      <c r="BFE50" s="19"/>
      <c r="BFF50" s="19"/>
      <c r="BFG50" s="19"/>
      <c r="BFH50" s="19"/>
      <c r="BFI50" s="19"/>
      <c r="BFJ50" s="19"/>
      <c r="BFK50" s="19"/>
      <c r="BFL50" s="19"/>
      <c r="BFM50" s="19"/>
      <c r="BFN50" s="19"/>
      <c r="BFO50" s="19"/>
      <c r="BFP50" s="19"/>
      <c r="BFQ50" s="19"/>
      <c r="BFR50" s="19"/>
      <c r="BFS50" s="19"/>
      <c r="BFT50" s="19"/>
      <c r="BFU50" s="19"/>
      <c r="BFV50" s="19"/>
      <c r="BFW50" s="19"/>
      <c r="BFX50" s="19"/>
      <c r="BFY50" s="19"/>
      <c r="BFZ50" s="19"/>
      <c r="BGA50" s="19"/>
      <c r="BGB50" s="19"/>
      <c r="BGC50" s="19"/>
      <c r="BGD50" s="19"/>
      <c r="BGE50" s="19"/>
      <c r="BGF50" s="19"/>
      <c r="BGG50" s="19"/>
      <c r="BGH50" s="19"/>
      <c r="BGI50" s="19"/>
      <c r="BGJ50" s="19"/>
      <c r="BGK50" s="19"/>
      <c r="BGL50" s="19"/>
      <c r="BGM50" s="19"/>
      <c r="BGN50" s="19"/>
      <c r="BGO50" s="19"/>
      <c r="BGP50" s="19"/>
      <c r="BGQ50" s="19"/>
      <c r="BGR50" s="19"/>
      <c r="BGS50" s="19"/>
      <c r="BGT50" s="19"/>
      <c r="BGU50" s="19"/>
      <c r="BGV50" s="19"/>
      <c r="BGW50" s="19"/>
      <c r="BGX50" s="19"/>
      <c r="BGY50" s="19"/>
      <c r="BGZ50" s="19"/>
      <c r="BHA50" s="19"/>
      <c r="BHB50" s="19"/>
      <c r="BHC50" s="19"/>
      <c r="BHD50" s="19"/>
      <c r="BHE50" s="19"/>
      <c r="BHF50" s="19"/>
      <c r="BHG50" s="19"/>
      <c r="BHH50" s="19"/>
      <c r="BHI50" s="19"/>
      <c r="BHJ50" s="19"/>
      <c r="BHK50" s="19"/>
      <c r="BHL50" s="19"/>
      <c r="BHM50" s="19"/>
      <c r="BHN50" s="19"/>
      <c r="BHO50" s="19"/>
      <c r="BHP50" s="19"/>
      <c r="BHQ50" s="19"/>
      <c r="BHR50" s="19"/>
      <c r="BHS50" s="19"/>
      <c r="BHT50" s="19"/>
      <c r="BHU50" s="19"/>
      <c r="BHV50" s="19"/>
      <c r="BHW50" s="19"/>
      <c r="BHX50" s="19"/>
      <c r="BHY50" s="19"/>
      <c r="BHZ50" s="19"/>
      <c r="BIA50" s="19"/>
      <c r="BIB50" s="19"/>
      <c r="BIC50" s="19"/>
      <c r="BID50" s="19"/>
      <c r="BIE50" s="19"/>
      <c r="BIF50" s="19"/>
      <c r="BIG50" s="19"/>
      <c r="BIH50" s="19"/>
      <c r="BII50" s="19"/>
      <c r="BIJ50" s="19"/>
      <c r="BIK50" s="19"/>
      <c r="BIL50" s="19"/>
      <c r="BIM50" s="19"/>
      <c r="BIN50" s="19"/>
      <c r="BIO50" s="19"/>
      <c r="BIP50" s="19"/>
      <c r="BIQ50" s="19"/>
      <c r="BIR50" s="19"/>
      <c r="BIS50" s="19"/>
      <c r="BIT50" s="19"/>
      <c r="BIU50" s="19"/>
      <c r="BIV50" s="19"/>
      <c r="BIW50" s="19"/>
      <c r="BIX50" s="19"/>
      <c r="BIY50" s="19"/>
      <c r="BIZ50" s="19"/>
      <c r="BJA50" s="19"/>
      <c r="BJB50" s="19"/>
      <c r="BJC50" s="19"/>
      <c r="BJD50" s="19"/>
      <c r="BJE50" s="19"/>
      <c r="BJF50" s="19"/>
      <c r="BJG50" s="19"/>
      <c r="BJH50" s="19"/>
      <c r="BJI50" s="19"/>
      <c r="BJJ50" s="19"/>
      <c r="BJK50" s="19"/>
      <c r="BJL50" s="19"/>
      <c r="BJM50" s="19"/>
      <c r="BJN50" s="19"/>
      <c r="BJO50" s="19"/>
      <c r="BJP50" s="19"/>
      <c r="BJQ50" s="19"/>
      <c r="BJR50" s="19"/>
      <c r="BJS50" s="19"/>
      <c r="BJT50" s="19"/>
      <c r="BJU50" s="19"/>
      <c r="BJV50" s="19"/>
      <c r="BJW50" s="19"/>
      <c r="BJX50" s="19"/>
      <c r="BJY50" s="19"/>
      <c r="BJZ50" s="19"/>
      <c r="BKA50" s="19"/>
      <c r="BKB50" s="19"/>
      <c r="BKC50" s="19"/>
      <c r="BKD50" s="19"/>
      <c r="BKE50" s="19"/>
      <c r="BKF50" s="19"/>
      <c r="BKG50" s="19"/>
      <c r="BKH50" s="19"/>
      <c r="BKI50" s="19"/>
      <c r="BKJ50" s="19"/>
      <c r="BKK50" s="19"/>
      <c r="BKL50" s="19"/>
      <c r="BKM50" s="19"/>
      <c r="BKN50" s="19"/>
      <c r="BKO50" s="19"/>
      <c r="BKP50" s="19"/>
      <c r="BKQ50" s="19"/>
      <c r="BKR50" s="19"/>
      <c r="BKS50" s="19"/>
      <c r="BKT50" s="19"/>
      <c r="BKU50" s="19"/>
      <c r="BKV50" s="19"/>
      <c r="BKW50" s="19"/>
      <c r="BKX50" s="19"/>
      <c r="BKY50" s="19"/>
      <c r="BKZ50" s="19"/>
      <c r="BLA50" s="19"/>
      <c r="BLB50" s="19"/>
      <c r="BLC50" s="19"/>
      <c r="BLD50" s="19"/>
      <c r="BLE50" s="19"/>
      <c r="BLF50" s="19"/>
      <c r="BLG50" s="19"/>
      <c r="BLH50" s="19"/>
      <c r="BLI50" s="19"/>
      <c r="BLJ50" s="19"/>
      <c r="BLK50" s="19"/>
      <c r="BLL50" s="19"/>
      <c r="BLM50" s="19"/>
      <c r="BLN50" s="19"/>
      <c r="BLO50" s="19"/>
      <c r="BLP50" s="19"/>
      <c r="BLQ50" s="19"/>
      <c r="BLR50" s="19"/>
      <c r="BLS50" s="19"/>
      <c r="BLT50" s="19"/>
      <c r="BLU50" s="19"/>
      <c r="BLV50" s="19"/>
      <c r="BLW50" s="19"/>
      <c r="BLX50" s="19"/>
      <c r="BLY50" s="19"/>
      <c r="BLZ50" s="19"/>
      <c r="BMA50" s="19"/>
      <c r="BMB50" s="19"/>
      <c r="BMC50" s="19"/>
      <c r="BMD50" s="19"/>
      <c r="BME50" s="19"/>
      <c r="BMF50" s="19"/>
      <c r="BMG50" s="19"/>
      <c r="BMH50" s="19"/>
      <c r="BMI50" s="19"/>
      <c r="BMJ50" s="19"/>
      <c r="BMK50" s="19"/>
      <c r="BML50" s="19"/>
      <c r="BMM50" s="19"/>
      <c r="BMN50" s="19"/>
      <c r="BMO50" s="19"/>
      <c r="BMP50" s="19"/>
      <c r="BMQ50" s="19"/>
      <c r="BMR50" s="19"/>
      <c r="BMS50" s="19"/>
      <c r="BMT50" s="19"/>
      <c r="BMU50" s="19"/>
      <c r="BMV50" s="19"/>
      <c r="BMW50" s="19"/>
      <c r="BMX50" s="19"/>
      <c r="BMY50" s="19"/>
      <c r="BMZ50" s="19"/>
      <c r="BNA50" s="19"/>
      <c r="BNB50" s="19"/>
      <c r="BNC50" s="19"/>
      <c r="BND50" s="19"/>
      <c r="BNE50" s="19"/>
      <c r="BNF50" s="19"/>
      <c r="BNG50" s="19"/>
      <c r="BNH50" s="19"/>
      <c r="BNI50" s="19"/>
      <c r="BNJ50" s="19"/>
      <c r="BNK50" s="19"/>
      <c r="BNL50" s="19"/>
      <c r="BNM50" s="19"/>
      <c r="BNN50" s="19"/>
      <c r="BNO50" s="19"/>
      <c r="BNP50" s="19"/>
      <c r="BNQ50" s="19"/>
      <c r="BNR50" s="19"/>
      <c r="BNS50" s="19"/>
      <c r="BNT50" s="19"/>
      <c r="BNU50" s="19"/>
      <c r="BNV50" s="19"/>
      <c r="BNW50" s="19"/>
      <c r="BNX50" s="19"/>
      <c r="BNY50" s="19"/>
      <c r="BNZ50" s="19"/>
      <c r="BOA50" s="19"/>
      <c r="BOB50" s="19"/>
      <c r="BOC50" s="19"/>
      <c r="BOD50" s="19"/>
      <c r="BOE50" s="19"/>
      <c r="BOF50" s="19"/>
      <c r="BOG50" s="19"/>
      <c r="BOH50" s="19"/>
      <c r="BOI50" s="19"/>
      <c r="BOJ50" s="19"/>
      <c r="BOK50" s="19"/>
      <c r="BOL50" s="19"/>
      <c r="BOM50" s="19"/>
      <c r="BON50" s="19"/>
      <c r="BOO50" s="19"/>
      <c r="BOP50" s="19"/>
      <c r="BOQ50" s="19"/>
      <c r="BOR50" s="19"/>
      <c r="BOS50" s="19"/>
      <c r="BOT50" s="19"/>
      <c r="BOU50" s="19"/>
      <c r="BOV50" s="19"/>
      <c r="BOW50" s="19"/>
      <c r="BOX50" s="19"/>
      <c r="BOY50" s="19"/>
      <c r="BOZ50" s="19"/>
      <c r="BPA50" s="19"/>
      <c r="BPB50" s="19"/>
      <c r="BPC50" s="19"/>
      <c r="BPD50" s="19"/>
      <c r="BPE50" s="19"/>
      <c r="BPF50" s="19"/>
      <c r="BPG50" s="19"/>
      <c r="BPH50" s="19"/>
      <c r="BPI50" s="19"/>
      <c r="BPJ50" s="19"/>
      <c r="BPK50" s="19"/>
      <c r="BPL50" s="19"/>
      <c r="BPM50" s="19"/>
      <c r="BPN50" s="19"/>
      <c r="BPO50" s="19"/>
      <c r="BPP50" s="19"/>
      <c r="BPQ50" s="19"/>
      <c r="BPR50" s="19"/>
      <c r="BPS50" s="19"/>
      <c r="BPT50" s="19"/>
      <c r="BPU50" s="19"/>
      <c r="BPV50" s="19"/>
      <c r="BPW50" s="19"/>
      <c r="BPX50" s="19"/>
      <c r="BPY50" s="19"/>
      <c r="BPZ50" s="19"/>
      <c r="BQA50" s="19"/>
      <c r="BQB50" s="19"/>
      <c r="BQC50" s="19"/>
      <c r="BQD50" s="19"/>
      <c r="BQE50" s="19"/>
      <c r="BQF50" s="19"/>
      <c r="BQG50" s="19"/>
      <c r="BQH50" s="19"/>
      <c r="BQI50" s="19"/>
      <c r="BQJ50" s="19"/>
      <c r="BQK50" s="19"/>
      <c r="BQL50" s="19"/>
      <c r="BQM50" s="19"/>
      <c r="BQN50" s="19"/>
      <c r="BQO50" s="19"/>
      <c r="BQP50" s="19"/>
      <c r="BQQ50" s="19"/>
      <c r="BQR50" s="19"/>
      <c r="BQS50" s="19"/>
      <c r="BQT50" s="19"/>
      <c r="BQU50" s="19"/>
      <c r="BQV50" s="19"/>
      <c r="BQW50" s="19"/>
      <c r="BQX50" s="19"/>
      <c r="BQY50" s="19"/>
      <c r="BQZ50" s="19"/>
      <c r="BRA50" s="19"/>
      <c r="BRB50" s="19"/>
      <c r="BRC50" s="19"/>
      <c r="BRD50" s="19"/>
      <c r="BRE50" s="19"/>
      <c r="BRF50" s="19"/>
      <c r="BRG50" s="19"/>
      <c r="BRH50" s="19"/>
      <c r="BRI50" s="19"/>
      <c r="BRJ50" s="19"/>
      <c r="BRK50" s="19"/>
      <c r="BRL50" s="19"/>
      <c r="BRM50" s="19"/>
      <c r="BRN50" s="19"/>
      <c r="BRO50" s="19"/>
      <c r="BRP50" s="19"/>
      <c r="BRQ50" s="19"/>
      <c r="BRR50" s="19"/>
      <c r="BRS50" s="19"/>
      <c r="BRT50" s="19"/>
      <c r="BRU50" s="19"/>
      <c r="BRV50" s="19"/>
      <c r="BRW50" s="19"/>
      <c r="BRX50" s="19"/>
      <c r="BRY50" s="19"/>
      <c r="BRZ50" s="19"/>
      <c r="BSA50" s="19"/>
      <c r="BSB50" s="19"/>
      <c r="BSC50" s="19"/>
      <c r="BSD50" s="19"/>
      <c r="BSE50" s="19"/>
      <c r="BSF50" s="19"/>
      <c r="BSG50" s="19"/>
      <c r="BSH50" s="19"/>
      <c r="BSI50" s="19"/>
      <c r="BSJ50" s="19"/>
      <c r="BSK50" s="19"/>
      <c r="BSL50" s="19"/>
      <c r="BSM50" s="19"/>
      <c r="BSN50" s="19"/>
      <c r="BSO50" s="19"/>
      <c r="BSP50" s="19"/>
      <c r="BSQ50" s="19"/>
      <c r="BSR50" s="19"/>
      <c r="BSS50" s="19"/>
      <c r="BST50" s="19"/>
      <c r="BSU50" s="19"/>
      <c r="BSV50" s="19"/>
      <c r="BSW50" s="19"/>
      <c r="BSX50" s="19"/>
      <c r="BSY50" s="19"/>
      <c r="BSZ50" s="19"/>
      <c r="BTA50" s="19"/>
      <c r="BTB50" s="19"/>
      <c r="BTC50" s="19"/>
      <c r="BTD50" s="19"/>
      <c r="BTE50" s="19"/>
      <c r="BTF50" s="19"/>
      <c r="BTG50" s="19"/>
      <c r="BTH50" s="19"/>
      <c r="BTI50" s="19"/>
      <c r="BTJ50" s="19"/>
      <c r="BTK50" s="19"/>
      <c r="BTL50" s="19"/>
      <c r="BTM50" s="19"/>
      <c r="BTN50" s="19"/>
      <c r="BTO50" s="19"/>
      <c r="BTP50" s="19"/>
      <c r="BTQ50" s="19"/>
      <c r="BTR50" s="19"/>
      <c r="BTS50" s="19"/>
      <c r="BTT50" s="19"/>
      <c r="BTU50" s="19"/>
      <c r="BTV50" s="19"/>
      <c r="BTW50" s="19"/>
      <c r="BTX50" s="19"/>
      <c r="BTY50" s="19"/>
      <c r="BTZ50" s="19"/>
      <c r="BUA50" s="19"/>
      <c r="BUB50" s="19"/>
      <c r="BUC50" s="19"/>
      <c r="BUD50" s="19"/>
      <c r="BUE50" s="19"/>
      <c r="BUF50" s="19"/>
      <c r="BUG50" s="19"/>
      <c r="BUH50" s="19"/>
      <c r="BUI50" s="19"/>
      <c r="BUJ50" s="19"/>
      <c r="BUK50" s="19"/>
      <c r="BUL50" s="19"/>
      <c r="BUM50" s="19"/>
      <c r="BUN50" s="19"/>
      <c r="BUO50" s="19"/>
      <c r="BUP50" s="19"/>
      <c r="BUQ50" s="19"/>
      <c r="BUR50" s="19"/>
      <c r="BUS50" s="19"/>
      <c r="BUT50" s="19"/>
      <c r="BUU50" s="19"/>
      <c r="BUV50" s="19"/>
      <c r="BUW50" s="19"/>
      <c r="BUX50" s="19"/>
      <c r="BUY50" s="19"/>
      <c r="BUZ50" s="19"/>
      <c r="BVA50" s="19"/>
      <c r="BVB50" s="19"/>
      <c r="BVC50" s="19"/>
      <c r="BVD50" s="19"/>
      <c r="BVE50" s="19"/>
      <c r="BVF50" s="19"/>
      <c r="BVG50" s="19"/>
      <c r="BVH50" s="19"/>
      <c r="BVI50" s="19"/>
      <c r="BVJ50" s="19"/>
      <c r="BVK50" s="19"/>
      <c r="BVL50" s="19"/>
      <c r="BVM50" s="19"/>
      <c r="BVN50" s="19"/>
      <c r="BVO50" s="19"/>
      <c r="BVP50" s="19"/>
      <c r="BVQ50" s="19"/>
      <c r="BVR50" s="19"/>
      <c r="BVS50" s="19"/>
      <c r="BVT50" s="19"/>
      <c r="BVU50" s="19"/>
      <c r="BVV50" s="19"/>
      <c r="BVW50" s="19"/>
      <c r="BVX50" s="19"/>
      <c r="BVY50" s="19"/>
      <c r="BVZ50" s="19"/>
      <c r="BWA50" s="19"/>
      <c r="BWB50" s="19"/>
      <c r="BWC50" s="19"/>
      <c r="BWD50" s="19"/>
      <c r="BWE50" s="19"/>
      <c r="BWF50" s="19"/>
      <c r="BWG50" s="19"/>
      <c r="BWH50" s="19"/>
      <c r="BWI50" s="19"/>
      <c r="BWJ50" s="19"/>
      <c r="BWK50" s="19"/>
      <c r="BWL50" s="19"/>
      <c r="BWM50" s="19"/>
      <c r="BWN50" s="19"/>
      <c r="BWO50" s="19"/>
      <c r="BWP50" s="19"/>
      <c r="BWQ50" s="19"/>
      <c r="BWR50" s="19"/>
      <c r="BWS50" s="19"/>
      <c r="BWT50" s="19"/>
      <c r="BWU50" s="19"/>
      <c r="BWV50" s="19"/>
      <c r="BWW50" s="19"/>
      <c r="BWX50" s="19"/>
      <c r="BWY50" s="19"/>
      <c r="BWZ50" s="19"/>
      <c r="BXA50" s="19"/>
      <c r="BXB50" s="19"/>
      <c r="BXC50" s="19"/>
      <c r="BXD50" s="19"/>
      <c r="BXE50" s="19"/>
      <c r="BXF50" s="19"/>
      <c r="BXG50" s="19"/>
      <c r="BXH50" s="19"/>
      <c r="BXI50" s="19"/>
      <c r="BXJ50" s="19"/>
      <c r="BXK50" s="19"/>
      <c r="BXL50" s="19"/>
      <c r="BXM50" s="19"/>
      <c r="BXN50" s="19"/>
      <c r="BXO50" s="19"/>
      <c r="BXP50" s="19"/>
      <c r="BXQ50" s="19"/>
      <c r="BXR50" s="19"/>
      <c r="BXS50" s="19"/>
      <c r="BXT50" s="19"/>
      <c r="BXU50" s="19"/>
      <c r="BXV50" s="19"/>
      <c r="BXW50" s="19"/>
      <c r="BXX50" s="19"/>
      <c r="BXY50" s="19"/>
      <c r="BXZ50" s="19"/>
      <c r="BYA50" s="19"/>
      <c r="BYB50" s="19"/>
      <c r="BYC50" s="19"/>
      <c r="BYD50" s="19"/>
      <c r="BYE50" s="19"/>
      <c r="BYF50" s="19"/>
      <c r="BYG50" s="19"/>
      <c r="BYH50" s="19"/>
      <c r="BYI50" s="19"/>
      <c r="BYJ50" s="19"/>
      <c r="BYK50" s="19"/>
      <c r="BYL50" s="19"/>
      <c r="BYM50" s="19"/>
      <c r="BYN50" s="19"/>
      <c r="BYO50" s="19"/>
      <c r="BYP50" s="19"/>
      <c r="BYQ50" s="19"/>
      <c r="BYR50" s="19"/>
      <c r="BYS50" s="19"/>
      <c r="BYT50" s="19"/>
      <c r="BYU50" s="19"/>
      <c r="BYV50" s="19"/>
      <c r="BYW50" s="19"/>
      <c r="BYX50" s="19"/>
      <c r="BYY50" s="19"/>
      <c r="BYZ50" s="19"/>
      <c r="BZA50" s="19"/>
      <c r="BZB50" s="19"/>
      <c r="BZC50" s="19"/>
      <c r="BZD50" s="19"/>
      <c r="BZE50" s="19"/>
      <c r="BZF50" s="19"/>
      <c r="BZG50" s="19"/>
      <c r="BZH50" s="19"/>
      <c r="BZI50" s="19"/>
      <c r="BZJ50" s="19"/>
      <c r="BZK50" s="19"/>
      <c r="BZL50" s="19"/>
      <c r="BZM50" s="19"/>
      <c r="BZN50" s="19"/>
      <c r="BZO50" s="19"/>
      <c r="BZP50" s="19"/>
      <c r="BZQ50" s="19"/>
      <c r="BZR50" s="19"/>
      <c r="BZS50" s="19"/>
      <c r="BZT50" s="19"/>
      <c r="BZU50" s="19"/>
      <c r="BZV50" s="19"/>
      <c r="BZW50" s="19"/>
      <c r="BZX50" s="19"/>
      <c r="BZY50" s="19"/>
      <c r="BZZ50" s="19"/>
      <c r="CAA50" s="19"/>
      <c r="CAB50" s="19"/>
      <c r="CAC50" s="19"/>
      <c r="CAD50" s="19"/>
      <c r="CAE50" s="19"/>
      <c r="CAF50" s="19"/>
      <c r="CAG50" s="19"/>
      <c r="CAH50" s="19"/>
      <c r="CAI50" s="19"/>
      <c r="CAJ50" s="19"/>
      <c r="CAK50" s="19"/>
      <c r="CAL50" s="19"/>
      <c r="CAM50" s="19"/>
      <c r="CAN50" s="19"/>
      <c r="CAO50" s="19"/>
      <c r="CAP50" s="19"/>
      <c r="CAQ50" s="19"/>
      <c r="CAR50" s="19"/>
      <c r="CAS50" s="19"/>
      <c r="CAT50" s="19"/>
      <c r="CAU50" s="19"/>
      <c r="CAV50" s="19"/>
      <c r="CAW50" s="19"/>
      <c r="CAX50" s="19"/>
      <c r="CAY50" s="19"/>
      <c r="CAZ50" s="19"/>
      <c r="CBA50" s="19"/>
      <c r="CBB50" s="19"/>
      <c r="CBC50" s="19"/>
      <c r="CBD50" s="19"/>
      <c r="CBE50" s="19"/>
      <c r="CBF50" s="19"/>
      <c r="CBG50" s="19"/>
      <c r="CBH50" s="19"/>
      <c r="CBI50" s="19"/>
      <c r="CBJ50" s="19"/>
      <c r="CBK50" s="19"/>
      <c r="CBL50" s="19"/>
      <c r="CBM50" s="19"/>
      <c r="CBN50" s="19"/>
      <c r="CBO50" s="19"/>
      <c r="CBP50" s="19"/>
      <c r="CBQ50" s="19"/>
      <c r="CBR50" s="19"/>
      <c r="CBS50" s="19"/>
      <c r="CBT50" s="19"/>
      <c r="CBU50" s="19"/>
      <c r="CBV50" s="19"/>
      <c r="CBW50" s="19"/>
      <c r="CBX50" s="19"/>
      <c r="CBY50" s="19"/>
      <c r="CBZ50" s="19"/>
      <c r="CCA50" s="19"/>
      <c r="CCB50" s="19"/>
      <c r="CCC50" s="19"/>
      <c r="CCD50" s="19"/>
      <c r="CCE50" s="19"/>
      <c r="CCF50" s="19"/>
      <c r="CCG50" s="19"/>
      <c r="CCH50" s="19"/>
      <c r="CCI50" s="19"/>
      <c r="CCJ50" s="19"/>
      <c r="CCK50" s="19"/>
      <c r="CCL50" s="19"/>
      <c r="CCM50" s="19"/>
      <c r="CCN50" s="19"/>
      <c r="CCO50" s="19"/>
      <c r="CCP50" s="19"/>
      <c r="CCQ50" s="19"/>
      <c r="CCR50" s="19"/>
      <c r="CCS50" s="19"/>
      <c r="CCT50" s="19"/>
      <c r="CCU50" s="19"/>
      <c r="CCV50" s="19"/>
      <c r="CCW50" s="19"/>
      <c r="CCX50" s="19"/>
      <c r="CCY50" s="19"/>
      <c r="CCZ50" s="19"/>
      <c r="CDA50" s="19"/>
      <c r="CDB50" s="19"/>
      <c r="CDC50" s="19"/>
      <c r="CDD50" s="19"/>
      <c r="CDE50" s="19"/>
      <c r="CDF50" s="19"/>
      <c r="CDG50" s="19"/>
      <c r="CDH50" s="19"/>
      <c r="CDI50" s="19"/>
      <c r="CDJ50" s="19"/>
      <c r="CDK50" s="19"/>
      <c r="CDL50" s="19"/>
      <c r="CDM50" s="19"/>
      <c r="CDN50" s="19"/>
      <c r="CDO50" s="19"/>
      <c r="CDP50" s="19"/>
      <c r="CDQ50" s="19"/>
      <c r="CDR50" s="19"/>
      <c r="CDS50" s="19"/>
      <c r="CDT50" s="19"/>
      <c r="CDU50" s="19"/>
      <c r="CDV50" s="19"/>
      <c r="CDW50" s="19"/>
      <c r="CDX50" s="19"/>
      <c r="CDY50" s="19"/>
      <c r="CDZ50" s="19"/>
      <c r="CEA50" s="19"/>
      <c r="CEB50" s="19"/>
      <c r="CEC50" s="19"/>
      <c r="CED50" s="19"/>
      <c r="CEE50" s="19"/>
      <c r="CEF50" s="19"/>
      <c r="CEG50" s="19"/>
      <c r="CEH50" s="19"/>
      <c r="CEI50" s="19"/>
      <c r="CEJ50" s="19"/>
      <c r="CEK50" s="19"/>
      <c r="CEL50" s="19"/>
      <c r="CEM50" s="19"/>
      <c r="CEN50" s="19"/>
      <c r="CEO50" s="19"/>
      <c r="CEP50" s="19"/>
      <c r="CEQ50" s="19"/>
      <c r="CER50" s="19"/>
      <c r="CES50" s="19"/>
      <c r="CET50" s="19"/>
      <c r="CEU50" s="19"/>
      <c r="CEV50" s="19"/>
      <c r="CEW50" s="19"/>
      <c r="CEX50" s="19"/>
      <c r="CEY50" s="19"/>
      <c r="CEZ50" s="19"/>
      <c r="CFA50" s="19"/>
      <c r="CFB50" s="19"/>
      <c r="CFC50" s="19"/>
      <c r="CFD50" s="19"/>
      <c r="CFE50" s="19"/>
      <c r="CFF50" s="19"/>
      <c r="CFG50" s="19"/>
      <c r="CFH50" s="19"/>
      <c r="CFI50" s="19"/>
      <c r="CFJ50" s="19"/>
      <c r="CFK50" s="19"/>
      <c r="CFL50" s="19"/>
      <c r="CFM50" s="19"/>
      <c r="CFN50" s="19"/>
      <c r="CFO50" s="19"/>
      <c r="CFP50" s="19"/>
      <c r="CFQ50" s="19"/>
      <c r="CFR50" s="19"/>
      <c r="CFS50" s="19"/>
      <c r="CFT50" s="19"/>
      <c r="CFU50" s="19"/>
      <c r="CFV50" s="19"/>
      <c r="CFW50" s="19"/>
      <c r="CFX50" s="19"/>
      <c r="CFY50" s="19"/>
      <c r="CFZ50" s="19"/>
      <c r="CGA50" s="19"/>
      <c r="CGB50" s="19"/>
      <c r="CGC50" s="19"/>
      <c r="CGD50" s="19"/>
      <c r="CGE50" s="19"/>
      <c r="CGF50" s="19"/>
      <c r="CGG50" s="19"/>
      <c r="CGH50" s="19"/>
      <c r="CGI50" s="19"/>
      <c r="CGJ50" s="19"/>
      <c r="CGK50" s="19"/>
      <c r="CGL50" s="19"/>
      <c r="CGM50" s="19"/>
      <c r="CGN50" s="19"/>
      <c r="CGO50" s="19"/>
      <c r="CGP50" s="19"/>
      <c r="CGQ50" s="19"/>
      <c r="CGR50" s="19"/>
      <c r="CGS50" s="19"/>
      <c r="CGT50" s="19"/>
      <c r="CGU50" s="19"/>
      <c r="CGV50" s="19"/>
      <c r="CGW50" s="19"/>
      <c r="CGX50" s="19"/>
      <c r="CGY50" s="19"/>
      <c r="CGZ50" s="19"/>
      <c r="CHA50" s="19"/>
      <c r="CHB50" s="19"/>
      <c r="CHC50" s="19"/>
      <c r="CHD50" s="19"/>
      <c r="CHE50" s="19"/>
      <c r="CHF50" s="19"/>
      <c r="CHG50" s="19"/>
      <c r="CHH50" s="19"/>
      <c r="CHI50" s="19"/>
      <c r="CHJ50" s="19"/>
      <c r="CHK50" s="19"/>
      <c r="CHL50" s="19"/>
      <c r="CHM50" s="19"/>
      <c r="CHN50" s="19"/>
      <c r="CHO50" s="19"/>
      <c r="CHP50" s="19"/>
      <c r="CHQ50" s="19"/>
      <c r="CHR50" s="19"/>
      <c r="CHS50" s="19"/>
      <c r="CHT50" s="19"/>
      <c r="CHU50" s="19"/>
      <c r="CHV50" s="19"/>
      <c r="CHW50" s="19"/>
      <c r="CHX50" s="19"/>
      <c r="CHY50" s="19"/>
      <c r="CHZ50" s="19"/>
      <c r="CIA50" s="19"/>
      <c r="CIB50" s="19"/>
      <c r="CIC50" s="19"/>
      <c r="CID50" s="19"/>
      <c r="CIE50" s="19"/>
      <c r="CIF50" s="19"/>
      <c r="CIG50" s="19"/>
      <c r="CIH50" s="19"/>
      <c r="CII50" s="19"/>
      <c r="CIJ50" s="19"/>
      <c r="CIK50" s="19"/>
      <c r="CIL50" s="19"/>
      <c r="CIM50" s="19"/>
      <c r="CIN50" s="19"/>
      <c r="CIO50" s="19"/>
      <c r="CIP50" s="19"/>
      <c r="CIQ50" s="19"/>
      <c r="CIR50" s="19"/>
      <c r="CIS50" s="19"/>
      <c r="CIT50" s="19"/>
      <c r="CIU50" s="19"/>
      <c r="CIV50" s="19"/>
      <c r="CIW50" s="19"/>
      <c r="CIX50" s="19"/>
      <c r="CIY50" s="19"/>
      <c r="CIZ50" s="19"/>
      <c r="CJA50" s="19"/>
      <c r="CJB50" s="19"/>
      <c r="CJC50" s="19"/>
      <c r="CJD50" s="19"/>
      <c r="CJE50" s="19"/>
      <c r="CJF50" s="19"/>
      <c r="CJG50" s="19"/>
      <c r="CJH50" s="19"/>
      <c r="CJI50" s="19"/>
      <c r="CJJ50" s="19"/>
      <c r="CJK50" s="19"/>
      <c r="CJL50" s="19"/>
      <c r="CJM50" s="19"/>
      <c r="CJN50" s="19"/>
      <c r="CJO50" s="19"/>
      <c r="CJP50" s="19"/>
      <c r="CJQ50" s="19"/>
      <c r="CJR50" s="19"/>
      <c r="CJS50" s="19"/>
      <c r="CJT50" s="19"/>
      <c r="CJU50" s="19"/>
      <c r="CJV50" s="19"/>
      <c r="CJW50" s="19"/>
      <c r="CJX50" s="19"/>
      <c r="CJY50" s="19"/>
      <c r="CJZ50" s="19"/>
      <c r="CKA50" s="19"/>
      <c r="CKB50" s="19"/>
      <c r="CKC50" s="19"/>
      <c r="CKD50" s="19"/>
      <c r="CKE50" s="19"/>
      <c r="CKF50" s="19"/>
      <c r="CKG50" s="19"/>
      <c r="CKH50" s="19"/>
      <c r="CKI50" s="19"/>
      <c r="CKJ50" s="19"/>
      <c r="CKK50" s="19"/>
      <c r="CKL50" s="19"/>
      <c r="CKM50" s="19"/>
      <c r="CKN50" s="19"/>
      <c r="CKO50" s="19"/>
      <c r="CKP50" s="19"/>
      <c r="CKQ50" s="19"/>
      <c r="CKR50" s="19"/>
      <c r="CKS50" s="19"/>
      <c r="CKT50" s="19"/>
      <c r="CKU50" s="19"/>
      <c r="CKV50" s="19"/>
      <c r="CKW50" s="19"/>
      <c r="CKX50" s="19"/>
      <c r="CKY50" s="19"/>
      <c r="CKZ50" s="19"/>
      <c r="CLA50" s="19"/>
      <c r="CLB50" s="19"/>
      <c r="CLC50" s="19"/>
      <c r="CLD50" s="19"/>
      <c r="CLE50" s="19"/>
      <c r="CLF50" s="19"/>
      <c r="CLG50" s="19"/>
      <c r="CLH50" s="19"/>
      <c r="CLI50" s="19"/>
      <c r="CLJ50" s="19"/>
      <c r="CLK50" s="19"/>
      <c r="CLL50" s="19"/>
      <c r="CLM50" s="19"/>
      <c r="CLN50" s="19"/>
      <c r="CLO50" s="19"/>
      <c r="CLP50" s="19"/>
      <c r="CLQ50" s="19"/>
      <c r="CLR50" s="19"/>
      <c r="CLS50" s="19"/>
      <c r="CLT50" s="19"/>
      <c r="CLU50" s="19"/>
      <c r="CLV50" s="19"/>
      <c r="CLW50" s="19"/>
      <c r="CLX50" s="19"/>
      <c r="CLY50" s="19"/>
      <c r="CLZ50" s="19"/>
      <c r="CMA50" s="19"/>
      <c r="CMB50" s="19"/>
      <c r="CMC50" s="19"/>
      <c r="CMD50" s="19"/>
      <c r="CME50" s="19"/>
      <c r="CMF50" s="19"/>
      <c r="CMG50" s="19"/>
      <c r="CMH50" s="19"/>
      <c r="CMI50" s="19"/>
      <c r="CMJ50" s="19"/>
      <c r="CMK50" s="19"/>
      <c r="CML50" s="19"/>
      <c r="CMM50" s="19"/>
      <c r="CMN50" s="19"/>
      <c r="CMO50" s="19"/>
      <c r="CMP50" s="19"/>
      <c r="CMQ50" s="19"/>
      <c r="CMR50" s="19"/>
      <c r="CMS50" s="19"/>
      <c r="CMT50" s="19"/>
      <c r="CMU50" s="19"/>
      <c r="CMV50" s="19"/>
      <c r="CMW50" s="19"/>
      <c r="CMX50" s="19"/>
      <c r="CMY50" s="19"/>
      <c r="CMZ50" s="19"/>
      <c r="CNA50" s="19"/>
      <c r="CNB50" s="19"/>
      <c r="CNC50" s="19"/>
      <c r="CND50" s="19"/>
      <c r="CNE50" s="19"/>
      <c r="CNF50" s="19"/>
      <c r="CNG50" s="19"/>
      <c r="CNH50" s="19"/>
      <c r="CNI50" s="19"/>
      <c r="CNJ50" s="19"/>
      <c r="CNK50" s="19"/>
      <c r="CNL50" s="19"/>
      <c r="CNM50" s="19"/>
      <c r="CNN50" s="19"/>
      <c r="CNO50" s="19"/>
      <c r="CNP50" s="19"/>
      <c r="CNQ50" s="19"/>
      <c r="CNR50" s="19"/>
      <c r="CNS50" s="19"/>
      <c r="CNT50" s="19"/>
      <c r="CNU50" s="19"/>
      <c r="CNV50" s="19"/>
      <c r="CNW50" s="19"/>
      <c r="CNX50" s="19"/>
      <c r="CNY50" s="19"/>
      <c r="CNZ50" s="19"/>
      <c r="COA50" s="19"/>
      <c r="COB50" s="19"/>
      <c r="COC50" s="19"/>
      <c r="COD50" s="19"/>
      <c r="COE50" s="19"/>
      <c r="COF50" s="19"/>
      <c r="COG50" s="19"/>
      <c r="COH50" s="19"/>
      <c r="COI50" s="19"/>
      <c r="COJ50" s="19"/>
      <c r="COK50" s="19"/>
      <c r="COL50" s="19"/>
      <c r="COM50" s="19"/>
      <c r="CON50" s="19"/>
      <c r="COO50" s="19"/>
      <c r="COP50" s="19"/>
      <c r="COQ50" s="19"/>
      <c r="COR50" s="19"/>
      <c r="COS50" s="19"/>
      <c r="COT50" s="19"/>
      <c r="COU50" s="19"/>
      <c r="COV50" s="19"/>
      <c r="COW50" s="19"/>
      <c r="COX50" s="19"/>
      <c r="COY50" s="19"/>
      <c r="COZ50" s="19"/>
      <c r="CPA50" s="19"/>
      <c r="CPB50" s="19"/>
      <c r="CPC50" s="19"/>
      <c r="CPD50" s="19"/>
      <c r="CPE50" s="19"/>
      <c r="CPF50" s="19"/>
      <c r="CPG50" s="19"/>
      <c r="CPH50" s="19"/>
      <c r="CPI50" s="19"/>
      <c r="CPJ50" s="19"/>
      <c r="CPK50" s="19"/>
      <c r="CPL50" s="19"/>
      <c r="CPM50" s="19"/>
      <c r="CPN50" s="19"/>
      <c r="CPO50" s="19"/>
      <c r="CPP50" s="19"/>
      <c r="CPQ50" s="19"/>
      <c r="CPR50" s="19"/>
      <c r="CPS50" s="19"/>
      <c r="CPT50" s="19"/>
      <c r="CPU50" s="19"/>
      <c r="CPV50" s="19"/>
      <c r="CPW50" s="19"/>
      <c r="CPX50" s="19"/>
      <c r="CPY50" s="19"/>
      <c r="CPZ50" s="19"/>
      <c r="CQA50" s="19"/>
      <c r="CQB50" s="19"/>
      <c r="CQC50" s="19"/>
      <c r="CQD50" s="19"/>
      <c r="CQE50" s="19"/>
      <c r="CQF50" s="19"/>
      <c r="CQG50" s="19"/>
      <c r="CQH50" s="19"/>
      <c r="CQI50" s="19"/>
      <c r="CQJ50" s="19"/>
      <c r="CQK50" s="19"/>
      <c r="CQL50" s="19"/>
      <c r="CQM50" s="19"/>
      <c r="CQN50" s="19"/>
      <c r="CQO50" s="19"/>
      <c r="CQP50" s="19"/>
      <c r="CQQ50" s="19"/>
      <c r="CQR50" s="19"/>
      <c r="CQS50" s="19"/>
      <c r="CQT50" s="19"/>
      <c r="CQU50" s="19"/>
      <c r="CQV50" s="19"/>
      <c r="CQW50" s="19"/>
      <c r="CQX50" s="19"/>
      <c r="CQY50" s="19"/>
      <c r="CQZ50" s="19"/>
      <c r="CRA50" s="19"/>
      <c r="CRB50" s="19"/>
      <c r="CRC50" s="19"/>
      <c r="CRD50" s="19"/>
      <c r="CRE50" s="19"/>
      <c r="CRF50" s="19"/>
      <c r="CRG50" s="19"/>
      <c r="CRH50" s="19"/>
      <c r="CRI50" s="19"/>
      <c r="CRJ50" s="19"/>
      <c r="CRK50" s="19"/>
      <c r="CRL50" s="19"/>
      <c r="CRM50" s="19"/>
      <c r="CRN50" s="19"/>
      <c r="CRO50" s="19"/>
      <c r="CRP50" s="19"/>
      <c r="CRQ50" s="19"/>
      <c r="CRR50" s="19"/>
      <c r="CRS50" s="19"/>
      <c r="CRT50" s="19"/>
      <c r="CRU50" s="19"/>
      <c r="CRV50" s="19"/>
      <c r="CRW50" s="19"/>
      <c r="CRX50" s="19"/>
      <c r="CRY50" s="19"/>
      <c r="CRZ50" s="19"/>
      <c r="CSA50" s="19"/>
      <c r="CSB50" s="19"/>
      <c r="CSC50" s="19"/>
      <c r="CSD50" s="19"/>
      <c r="CSE50" s="19"/>
      <c r="CSF50" s="19"/>
      <c r="CSG50" s="19"/>
      <c r="CSH50" s="19"/>
      <c r="CSI50" s="19"/>
      <c r="CSJ50" s="19"/>
      <c r="CSK50" s="19"/>
      <c r="CSL50" s="19"/>
      <c r="CSM50" s="19"/>
      <c r="CSN50" s="19"/>
      <c r="CSO50" s="19"/>
      <c r="CSP50" s="19"/>
      <c r="CSQ50" s="19"/>
      <c r="CSR50" s="19"/>
      <c r="CSS50" s="19"/>
      <c r="CST50" s="19"/>
      <c r="CSU50" s="19"/>
      <c r="CSV50" s="19"/>
      <c r="CSW50" s="19"/>
      <c r="CSX50" s="19"/>
      <c r="CSY50" s="19"/>
      <c r="CSZ50" s="19"/>
      <c r="CTA50" s="19"/>
      <c r="CTB50" s="19"/>
      <c r="CTC50" s="19"/>
      <c r="CTD50" s="19"/>
      <c r="CTE50" s="19"/>
      <c r="CTF50" s="19"/>
      <c r="CTG50" s="19"/>
      <c r="CTH50" s="19"/>
      <c r="CTI50" s="19"/>
      <c r="CTJ50" s="19"/>
      <c r="CTK50" s="19"/>
      <c r="CTL50" s="19"/>
      <c r="CTM50" s="19"/>
      <c r="CTN50" s="19"/>
      <c r="CTO50" s="19"/>
      <c r="CTP50" s="19"/>
      <c r="CTQ50" s="19"/>
      <c r="CTR50" s="19"/>
      <c r="CTS50" s="19"/>
      <c r="CTT50" s="19"/>
      <c r="CTU50" s="19"/>
      <c r="CTV50" s="19"/>
      <c r="CTW50" s="19"/>
      <c r="CTX50" s="19"/>
      <c r="CTY50" s="19"/>
      <c r="CTZ50" s="19"/>
      <c r="CUA50" s="19"/>
      <c r="CUB50" s="19"/>
      <c r="CUC50" s="19"/>
      <c r="CUD50" s="19"/>
      <c r="CUE50" s="19"/>
      <c r="CUF50" s="19"/>
      <c r="CUG50" s="19"/>
      <c r="CUH50" s="19"/>
      <c r="CUI50" s="19"/>
      <c r="CUJ50" s="19"/>
      <c r="CUK50" s="19"/>
      <c r="CUL50" s="19"/>
      <c r="CUM50" s="19"/>
      <c r="CUN50" s="19"/>
      <c r="CUO50" s="19"/>
      <c r="CUP50" s="19"/>
      <c r="CUQ50" s="19"/>
      <c r="CUR50" s="19"/>
      <c r="CUS50" s="19"/>
      <c r="CUT50" s="19"/>
      <c r="CUU50" s="19"/>
      <c r="CUV50" s="19"/>
      <c r="CUW50" s="19"/>
      <c r="CUX50" s="19"/>
      <c r="CUY50" s="19"/>
      <c r="CUZ50" s="19"/>
      <c r="CVA50" s="19"/>
      <c r="CVB50" s="19"/>
      <c r="CVC50" s="19"/>
      <c r="CVD50" s="19"/>
      <c r="CVE50" s="19"/>
      <c r="CVF50" s="19"/>
      <c r="CVG50" s="19"/>
      <c r="CVH50" s="19"/>
      <c r="CVI50" s="19"/>
      <c r="CVJ50" s="19"/>
      <c r="CVK50" s="19"/>
      <c r="CVL50" s="19"/>
      <c r="CVM50" s="19"/>
      <c r="CVN50" s="19"/>
      <c r="CVO50" s="19"/>
      <c r="CVP50" s="19"/>
      <c r="CVQ50" s="19"/>
      <c r="CVR50" s="19"/>
      <c r="CVS50" s="19"/>
      <c r="CVT50" s="19"/>
      <c r="CVU50" s="19"/>
      <c r="CVV50" s="19"/>
      <c r="CVW50" s="19"/>
      <c r="CVX50" s="19"/>
      <c r="CVY50" s="19"/>
      <c r="CVZ50" s="19"/>
      <c r="CWA50" s="19"/>
      <c r="CWB50" s="19"/>
      <c r="CWC50" s="19"/>
      <c r="CWD50" s="19"/>
      <c r="CWE50" s="19"/>
      <c r="CWF50" s="19"/>
      <c r="CWG50" s="19"/>
      <c r="CWH50" s="19"/>
      <c r="CWI50" s="19"/>
      <c r="CWJ50" s="19"/>
      <c r="CWK50" s="19"/>
      <c r="CWL50" s="19"/>
      <c r="CWM50" s="19"/>
      <c r="CWN50" s="19"/>
      <c r="CWO50" s="19"/>
      <c r="CWP50" s="19"/>
      <c r="CWQ50" s="19"/>
      <c r="CWR50" s="19"/>
      <c r="CWS50" s="19"/>
      <c r="CWT50" s="19"/>
      <c r="CWU50" s="19"/>
      <c r="CWV50" s="19"/>
      <c r="CWW50" s="19"/>
      <c r="CWX50" s="19"/>
      <c r="CWY50" s="19"/>
      <c r="CWZ50" s="19"/>
      <c r="CXA50" s="19"/>
      <c r="CXB50" s="19"/>
      <c r="CXC50" s="19"/>
      <c r="CXD50" s="19"/>
      <c r="CXE50" s="19"/>
      <c r="CXF50" s="19"/>
      <c r="CXG50" s="19"/>
      <c r="CXH50" s="19"/>
      <c r="CXI50" s="19"/>
      <c r="CXJ50" s="19"/>
      <c r="CXK50" s="19"/>
      <c r="CXL50" s="19"/>
      <c r="CXM50" s="19"/>
      <c r="CXN50" s="19"/>
      <c r="CXO50" s="19"/>
      <c r="CXP50" s="19"/>
      <c r="CXQ50" s="19"/>
      <c r="CXR50" s="19"/>
      <c r="CXS50" s="19"/>
      <c r="CXT50" s="19"/>
      <c r="CXU50" s="19"/>
      <c r="CXV50" s="19"/>
      <c r="CXW50" s="19"/>
      <c r="CXX50" s="19"/>
      <c r="CXY50" s="19"/>
      <c r="CXZ50" s="19"/>
      <c r="CYA50" s="19"/>
      <c r="CYB50" s="19"/>
      <c r="CYC50" s="19"/>
      <c r="CYD50" s="19"/>
      <c r="CYE50" s="19"/>
      <c r="CYF50" s="19"/>
      <c r="CYG50" s="19"/>
      <c r="CYH50" s="19"/>
      <c r="CYI50" s="19"/>
      <c r="CYJ50" s="19"/>
      <c r="CYK50" s="19"/>
      <c r="CYL50" s="19"/>
      <c r="CYM50" s="19"/>
      <c r="CYN50" s="19"/>
      <c r="CYO50" s="19"/>
      <c r="CYP50" s="19"/>
      <c r="CYQ50" s="19"/>
      <c r="CYR50" s="19"/>
      <c r="CYS50" s="19"/>
      <c r="CYT50" s="19"/>
      <c r="CYU50" s="19"/>
      <c r="CYV50" s="19"/>
      <c r="CYW50" s="19"/>
      <c r="CYX50" s="19"/>
      <c r="CYY50" s="19"/>
      <c r="CYZ50" s="19"/>
      <c r="CZA50" s="19"/>
      <c r="CZB50" s="19"/>
      <c r="CZC50" s="19"/>
      <c r="CZD50" s="19"/>
      <c r="CZE50" s="19"/>
      <c r="CZF50" s="19"/>
      <c r="CZG50" s="19"/>
      <c r="CZH50" s="19"/>
      <c r="CZI50" s="19"/>
      <c r="CZJ50" s="19"/>
      <c r="CZK50" s="19"/>
      <c r="CZL50" s="19"/>
      <c r="CZM50" s="19"/>
      <c r="CZN50" s="19"/>
      <c r="CZO50" s="19"/>
      <c r="CZP50" s="19"/>
      <c r="CZQ50" s="19"/>
      <c r="CZR50" s="19"/>
      <c r="CZS50" s="19"/>
      <c r="CZT50" s="19"/>
      <c r="CZU50" s="19"/>
      <c r="CZV50" s="19"/>
      <c r="CZW50" s="19"/>
      <c r="CZX50" s="19"/>
      <c r="CZY50" s="19"/>
      <c r="CZZ50" s="19"/>
      <c r="DAA50" s="19"/>
      <c r="DAB50" s="19"/>
      <c r="DAC50" s="19"/>
      <c r="DAD50" s="19"/>
      <c r="DAE50" s="19"/>
      <c r="DAF50" s="19"/>
      <c r="DAG50" s="19"/>
      <c r="DAH50" s="19"/>
      <c r="DAI50" s="19"/>
      <c r="DAJ50" s="19"/>
      <c r="DAK50" s="19"/>
      <c r="DAL50" s="19"/>
      <c r="DAM50" s="19"/>
      <c r="DAN50" s="19"/>
      <c r="DAO50" s="19"/>
      <c r="DAP50" s="19"/>
      <c r="DAQ50" s="19"/>
      <c r="DAR50" s="19"/>
      <c r="DAS50" s="19"/>
      <c r="DAT50" s="19"/>
      <c r="DAU50" s="19"/>
      <c r="DAV50" s="19"/>
      <c r="DAW50" s="19"/>
      <c r="DAX50" s="19"/>
      <c r="DAY50" s="19"/>
      <c r="DAZ50" s="19"/>
      <c r="DBA50" s="19"/>
      <c r="DBB50" s="19"/>
      <c r="DBC50" s="19"/>
      <c r="DBD50" s="19"/>
      <c r="DBE50" s="19"/>
      <c r="DBF50" s="19"/>
      <c r="DBG50" s="19"/>
      <c r="DBH50" s="19"/>
      <c r="DBI50" s="19"/>
      <c r="DBJ50" s="19"/>
      <c r="DBK50" s="19"/>
      <c r="DBL50" s="19"/>
      <c r="DBM50" s="19"/>
      <c r="DBN50" s="19"/>
      <c r="DBO50" s="19"/>
      <c r="DBP50" s="19"/>
      <c r="DBQ50" s="19"/>
      <c r="DBR50" s="19"/>
      <c r="DBS50" s="19"/>
      <c r="DBT50" s="19"/>
      <c r="DBU50" s="19"/>
      <c r="DBV50" s="19"/>
      <c r="DBW50" s="19"/>
      <c r="DBX50" s="19"/>
      <c r="DBY50" s="19"/>
      <c r="DBZ50" s="19"/>
      <c r="DCA50" s="19"/>
      <c r="DCB50" s="19"/>
      <c r="DCC50" s="19"/>
      <c r="DCD50" s="19"/>
      <c r="DCE50" s="19"/>
      <c r="DCF50" s="19"/>
      <c r="DCG50" s="19"/>
      <c r="DCH50" s="19"/>
      <c r="DCI50" s="19"/>
      <c r="DCJ50" s="19"/>
      <c r="DCK50" s="19"/>
      <c r="DCL50" s="19"/>
      <c r="DCM50" s="19"/>
      <c r="DCN50" s="19"/>
      <c r="DCO50" s="19"/>
      <c r="DCP50" s="19"/>
      <c r="DCQ50" s="19"/>
      <c r="DCR50" s="19"/>
      <c r="DCS50" s="19"/>
      <c r="DCT50" s="19"/>
      <c r="DCU50" s="19"/>
      <c r="DCV50" s="19"/>
      <c r="DCW50" s="19"/>
      <c r="DCX50" s="19"/>
      <c r="DCY50" s="19"/>
      <c r="DCZ50" s="19"/>
      <c r="DDA50" s="19"/>
      <c r="DDB50" s="19"/>
      <c r="DDC50" s="19"/>
      <c r="DDD50" s="19"/>
      <c r="DDE50" s="19"/>
      <c r="DDF50" s="19"/>
      <c r="DDG50" s="19"/>
      <c r="DDH50" s="19"/>
      <c r="DDI50" s="19"/>
      <c r="DDJ50" s="19"/>
      <c r="DDK50" s="19"/>
      <c r="DDL50" s="19"/>
      <c r="DDM50" s="19"/>
      <c r="DDN50" s="19"/>
      <c r="DDO50" s="19"/>
      <c r="DDP50" s="19"/>
      <c r="DDQ50" s="19"/>
      <c r="DDR50" s="19"/>
      <c r="DDS50" s="19"/>
      <c r="DDT50" s="19"/>
      <c r="DDU50" s="19"/>
      <c r="DDV50" s="19"/>
      <c r="DDW50" s="19"/>
      <c r="DDX50" s="19"/>
      <c r="DDY50" s="19"/>
      <c r="DDZ50" s="19"/>
      <c r="DEA50" s="19"/>
      <c r="DEB50" s="19"/>
      <c r="DEC50" s="19"/>
      <c r="DED50" s="19"/>
      <c r="DEE50" s="19"/>
      <c r="DEF50" s="19"/>
      <c r="DEG50" s="19"/>
      <c r="DEH50" s="19"/>
      <c r="DEI50" s="19"/>
      <c r="DEJ50" s="19"/>
      <c r="DEK50" s="19"/>
      <c r="DEL50" s="19"/>
      <c r="DEM50" s="19"/>
      <c r="DEN50" s="19"/>
      <c r="DEO50" s="19"/>
      <c r="DEP50" s="19"/>
      <c r="DEQ50" s="19"/>
      <c r="DER50" s="19"/>
      <c r="DES50" s="19"/>
      <c r="DET50" s="19"/>
      <c r="DEU50" s="19"/>
      <c r="DEV50" s="19"/>
      <c r="DEW50" s="19"/>
      <c r="DEX50" s="19"/>
      <c r="DEY50" s="19"/>
      <c r="DEZ50" s="19"/>
      <c r="DFA50" s="19"/>
      <c r="DFB50" s="19"/>
      <c r="DFC50" s="19"/>
      <c r="DFD50" s="19"/>
      <c r="DFE50" s="19"/>
      <c r="DFF50" s="19"/>
      <c r="DFG50" s="19"/>
      <c r="DFH50" s="19"/>
      <c r="DFI50" s="19"/>
      <c r="DFJ50" s="19"/>
      <c r="DFK50" s="19"/>
      <c r="DFL50" s="19"/>
      <c r="DFM50" s="19"/>
      <c r="DFN50" s="19"/>
      <c r="DFO50" s="19"/>
      <c r="DFP50" s="19"/>
      <c r="DFQ50" s="19"/>
      <c r="DFR50" s="19"/>
      <c r="DFS50" s="19"/>
      <c r="DFT50" s="19"/>
      <c r="DFU50" s="19"/>
      <c r="DFV50" s="19"/>
      <c r="DFW50" s="19"/>
      <c r="DFX50" s="19"/>
      <c r="DFY50" s="19"/>
      <c r="DFZ50" s="19"/>
      <c r="DGA50" s="19"/>
      <c r="DGB50" s="19"/>
      <c r="DGC50" s="19"/>
      <c r="DGD50" s="19"/>
      <c r="DGE50" s="19"/>
      <c r="DGF50" s="19"/>
      <c r="DGG50" s="19"/>
      <c r="DGH50" s="19"/>
      <c r="DGI50" s="19"/>
      <c r="DGJ50" s="19"/>
      <c r="DGK50" s="19"/>
      <c r="DGL50" s="19"/>
      <c r="DGM50" s="19"/>
      <c r="DGN50" s="19"/>
      <c r="DGO50" s="19"/>
      <c r="DGP50" s="19"/>
      <c r="DGQ50" s="19"/>
      <c r="DGR50" s="19"/>
      <c r="DGS50" s="19"/>
      <c r="DGT50" s="19"/>
      <c r="DGU50" s="19"/>
      <c r="DGV50" s="19"/>
      <c r="DGW50" s="19"/>
      <c r="DGX50" s="19"/>
      <c r="DGY50" s="19"/>
      <c r="DGZ50" s="19"/>
      <c r="DHA50" s="19"/>
      <c r="DHB50" s="19"/>
      <c r="DHC50" s="19"/>
      <c r="DHD50" s="19"/>
      <c r="DHE50" s="19"/>
      <c r="DHF50" s="19"/>
      <c r="DHG50" s="19"/>
      <c r="DHH50" s="19"/>
      <c r="DHI50" s="19"/>
      <c r="DHJ50" s="19"/>
      <c r="DHK50" s="19"/>
      <c r="DHL50" s="19"/>
      <c r="DHM50" s="19"/>
      <c r="DHN50" s="19"/>
      <c r="DHO50" s="19"/>
      <c r="DHP50" s="19"/>
      <c r="DHQ50" s="19"/>
      <c r="DHR50" s="19"/>
      <c r="DHS50" s="19"/>
      <c r="DHT50" s="19"/>
      <c r="DHU50" s="19"/>
      <c r="DHV50" s="19"/>
      <c r="DHW50" s="19"/>
      <c r="DHX50" s="19"/>
      <c r="DHY50" s="19"/>
      <c r="DHZ50" s="19"/>
      <c r="DIA50" s="19"/>
      <c r="DIB50" s="19"/>
      <c r="DIC50" s="19"/>
      <c r="DID50" s="19"/>
      <c r="DIE50" s="19"/>
      <c r="DIF50" s="19"/>
      <c r="DIG50" s="19"/>
      <c r="DIH50" s="19"/>
      <c r="DII50" s="19"/>
      <c r="DIJ50" s="19"/>
      <c r="DIK50" s="19"/>
      <c r="DIL50" s="19"/>
      <c r="DIM50" s="19"/>
      <c r="DIN50" s="19"/>
      <c r="DIO50" s="19"/>
      <c r="DIP50" s="19"/>
      <c r="DIQ50" s="19"/>
      <c r="DIR50" s="19"/>
      <c r="DIS50" s="19"/>
      <c r="DIT50" s="19"/>
      <c r="DIU50" s="19"/>
      <c r="DIV50" s="19"/>
      <c r="DIW50" s="19"/>
      <c r="DIX50" s="19"/>
      <c r="DIY50" s="19"/>
      <c r="DIZ50" s="19"/>
      <c r="DJA50" s="19"/>
      <c r="DJB50" s="19"/>
      <c r="DJC50" s="19"/>
      <c r="DJD50" s="19"/>
      <c r="DJE50" s="19"/>
      <c r="DJF50" s="19"/>
      <c r="DJG50" s="19"/>
      <c r="DJH50" s="19"/>
      <c r="DJI50" s="19"/>
      <c r="DJJ50" s="19"/>
      <c r="DJK50" s="19"/>
      <c r="DJL50" s="19"/>
      <c r="DJM50" s="19"/>
      <c r="DJN50" s="19"/>
      <c r="DJO50" s="19"/>
      <c r="DJP50" s="19"/>
      <c r="DJQ50" s="19"/>
      <c r="DJR50" s="19"/>
      <c r="DJS50" s="19"/>
      <c r="DJT50" s="19"/>
      <c r="DJU50" s="19"/>
      <c r="DJV50" s="19"/>
      <c r="DJW50" s="19"/>
      <c r="DJX50" s="19"/>
      <c r="DJY50" s="19"/>
      <c r="DJZ50" s="19"/>
      <c r="DKA50" s="19"/>
      <c r="DKB50" s="19"/>
      <c r="DKC50" s="19"/>
      <c r="DKD50" s="19"/>
      <c r="DKE50" s="19"/>
      <c r="DKF50" s="19"/>
      <c r="DKG50" s="19"/>
      <c r="DKH50" s="19"/>
      <c r="DKI50" s="19"/>
      <c r="DKJ50" s="19"/>
      <c r="DKK50" s="19"/>
      <c r="DKL50" s="19"/>
      <c r="DKM50" s="19"/>
      <c r="DKN50" s="19"/>
      <c r="DKO50" s="19"/>
      <c r="DKP50" s="19"/>
      <c r="DKQ50" s="19"/>
      <c r="DKR50" s="19"/>
      <c r="DKS50" s="19"/>
      <c r="DKT50" s="19"/>
      <c r="DKU50" s="19"/>
      <c r="DKV50" s="19"/>
      <c r="DKW50" s="19"/>
      <c r="DKX50" s="19"/>
      <c r="DKY50" s="19"/>
      <c r="DKZ50" s="19"/>
      <c r="DLA50" s="19"/>
      <c r="DLB50" s="19"/>
      <c r="DLC50" s="19"/>
      <c r="DLD50" s="19"/>
      <c r="DLE50" s="19"/>
      <c r="DLF50" s="19"/>
      <c r="DLG50" s="19"/>
      <c r="DLH50" s="19"/>
      <c r="DLI50" s="19"/>
      <c r="DLJ50" s="19"/>
      <c r="DLK50" s="19"/>
      <c r="DLL50" s="19"/>
      <c r="DLM50" s="19"/>
      <c r="DLN50" s="19"/>
      <c r="DLO50" s="19"/>
      <c r="DLP50" s="19"/>
      <c r="DLQ50" s="19"/>
      <c r="DLR50" s="19"/>
      <c r="DLS50" s="19"/>
      <c r="DLT50" s="19"/>
      <c r="DLU50" s="19"/>
      <c r="DLV50" s="19"/>
      <c r="DLW50" s="19"/>
      <c r="DLX50" s="19"/>
      <c r="DLY50" s="19"/>
      <c r="DLZ50" s="19"/>
      <c r="DMA50" s="19"/>
      <c r="DMB50" s="19"/>
      <c r="DMC50" s="19"/>
      <c r="DMD50" s="19"/>
      <c r="DME50" s="19"/>
      <c r="DMF50" s="19"/>
      <c r="DMG50" s="19"/>
      <c r="DMH50" s="19"/>
      <c r="DMI50" s="19"/>
      <c r="DMJ50" s="19"/>
      <c r="DMK50" s="19"/>
      <c r="DML50" s="19"/>
      <c r="DMM50" s="19"/>
      <c r="DMN50" s="19"/>
      <c r="DMO50" s="19"/>
      <c r="DMP50" s="19"/>
      <c r="DMQ50" s="19"/>
      <c r="DMR50" s="19"/>
      <c r="DMS50" s="19"/>
      <c r="DMT50" s="19"/>
      <c r="DMU50" s="19"/>
      <c r="DMV50" s="19"/>
      <c r="DMW50" s="19"/>
      <c r="DMX50" s="19"/>
      <c r="DMY50" s="19"/>
      <c r="DMZ50" s="19"/>
      <c r="DNA50" s="19"/>
      <c r="DNB50" s="19"/>
      <c r="DNC50" s="19"/>
      <c r="DND50" s="19"/>
      <c r="DNE50" s="19"/>
      <c r="DNF50" s="19"/>
      <c r="DNG50" s="19"/>
      <c r="DNH50" s="19"/>
      <c r="DNI50" s="19"/>
      <c r="DNJ50" s="19"/>
      <c r="DNK50" s="19"/>
      <c r="DNL50" s="19"/>
      <c r="DNM50" s="19"/>
      <c r="DNN50" s="19"/>
      <c r="DNO50" s="19"/>
      <c r="DNP50" s="19"/>
      <c r="DNQ50" s="19"/>
      <c r="DNR50" s="19"/>
      <c r="DNS50" s="19"/>
      <c r="DNT50" s="19"/>
      <c r="DNU50" s="19"/>
      <c r="DNV50" s="19"/>
      <c r="DNW50" s="19"/>
      <c r="DNX50" s="19"/>
      <c r="DNY50" s="19"/>
      <c r="DNZ50" s="19"/>
      <c r="DOA50" s="19"/>
      <c r="DOB50" s="19"/>
      <c r="DOC50" s="19"/>
      <c r="DOD50" s="19"/>
      <c r="DOE50" s="19"/>
      <c r="DOF50" s="19"/>
      <c r="DOG50" s="19"/>
      <c r="DOH50" s="19"/>
      <c r="DOI50" s="19"/>
      <c r="DOJ50" s="19"/>
      <c r="DOK50" s="19"/>
      <c r="DOL50" s="19"/>
      <c r="DOM50" s="19"/>
      <c r="DON50" s="19"/>
      <c r="DOO50" s="19"/>
      <c r="DOP50" s="19"/>
      <c r="DOQ50" s="19"/>
      <c r="DOR50" s="19"/>
      <c r="DOS50" s="19"/>
      <c r="DOT50" s="19"/>
      <c r="DOU50" s="19"/>
      <c r="DOV50" s="19"/>
      <c r="DOW50" s="19"/>
      <c r="DOX50" s="19"/>
      <c r="DOY50" s="19"/>
      <c r="DOZ50" s="19"/>
      <c r="DPA50" s="19"/>
      <c r="DPB50" s="19"/>
      <c r="DPC50" s="19"/>
      <c r="DPD50" s="19"/>
      <c r="DPE50" s="19"/>
      <c r="DPF50" s="19"/>
      <c r="DPG50" s="19"/>
      <c r="DPH50" s="19"/>
      <c r="DPI50" s="19"/>
      <c r="DPJ50" s="19"/>
      <c r="DPK50" s="19"/>
      <c r="DPL50" s="19"/>
      <c r="DPM50" s="19"/>
      <c r="DPN50" s="19"/>
      <c r="DPO50" s="19"/>
      <c r="DPP50" s="19"/>
      <c r="DPQ50" s="19"/>
      <c r="DPR50" s="19"/>
      <c r="DPS50" s="19"/>
      <c r="DPT50" s="19"/>
      <c r="DPU50" s="19"/>
      <c r="DPV50" s="19"/>
      <c r="DPW50" s="19"/>
      <c r="DPX50" s="19"/>
      <c r="DPY50" s="19"/>
      <c r="DPZ50" s="19"/>
      <c r="DQA50" s="19"/>
      <c r="DQB50" s="19"/>
      <c r="DQC50" s="19"/>
      <c r="DQD50" s="19"/>
      <c r="DQE50" s="19"/>
      <c r="DQF50" s="19"/>
      <c r="DQG50" s="19"/>
      <c r="DQH50" s="19"/>
      <c r="DQI50" s="19"/>
      <c r="DQJ50" s="19"/>
      <c r="DQK50" s="19"/>
      <c r="DQL50" s="19"/>
      <c r="DQM50" s="19"/>
      <c r="DQN50" s="19"/>
      <c r="DQO50" s="19"/>
      <c r="DQP50" s="19"/>
      <c r="DQQ50" s="19"/>
      <c r="DQR50" s="19"/>
      <c r="DQS50" s="19"/>
      <c r="DQT50" s="19"/>
      <c r="DQU50" s="19"/>
      <c r="DQV50" s="19"/>
      <c r="DQW50" s="19"/>
      <c r="DQX50" s="19"/>
      <c r="DQY50" s="19"/>
      <c r="DQZ50" s="19"/>
      <c r="DRA50" s="19"/>
      <c r="DRB50" s="19"/>
      <c r="DRC50" s="19"/>
      <c r="DRD50" s="19"/>
      <c r="DRE50" s="19"/>
      <c r="DRF50" s="19"/>
      <c r="DRG50" s="19"/>
      <c r="DRH50" s="19"/>
      <c r="DRI50" s="19"/>
      <c r="DRJ50" s="19"/>
      <c r="DRK50" s="19"/>
      <c r="DRL50" s="19"/>
      <c r="DRM50" s="19"/>
      <c r="DRN50" s="19"/>
      <c r="DRO50" s="19"/>
      <c r="DRP50" s="19"/>
      <c r="DRQ50" s="19"/>
      <c r="DRR50" s="19"/>
      <c r="DRS50" s="19"/>
      <c r="DRT50" s="19"/>
      <c r="DRU50" s="19"/>
      <c r="DRV50" s="19"/>
      <c r="DRW50" s="19"/>
      <c r="DRX50" s="19"/>
      <c r="DRY50" s="19"/>
      <c r="DRZ50" s="19"/>
      <c r="DSA50" s="19"/>
      <c r="DSB50" s="19"/>
      <c r="DSC50" s="19"/>
      <c r="DSD50" s="19"/>
      <c r="DSE50" s="19"/>
      <c r="DSF50" s="19"/>
      <c r="DSG50" s="19"/>
      <c r="DSH50" s="19"/>
      <c r="DSI50" s="19"/>
      <c r="DSJ50" s="19"/>
      <c r="DSK50" s="19"/>
      <c r="DSL50" s="19"/>
      <c r="DSM50" s="19"/>
      <c r="DSN50" s="19"/>
      <c r="DSO50" s="19"/>
      <c r="DSP50" s="19"/>
      <c r="DSQ50" s="19"/>
      <c r="DSR50" s="19"/>
      <c r="DSS50" s="19"/>
      <c r="DST50" s="19"/>
      <c r="DSU50" s="19"/>
      <c r="DSV50" s="19"/>
      <c r="DSW50" s="19"/>
      <c r="DSX50" s="19"/>
      <c r="DSY50" s="19"/>
      <c r="DSZ50" s="19"/>
      <c r="DTA50" s="19"/>
      <c r="DTB50" s="19"/>
      <c r="DTC50" s="19"/>
      <c r="DTD50" s="19"/>
      <c r="DTE50" s="19"/>
      <c r="DTF50" s="19"/>
      <c r="DTG50" s="19"/>
      <c r="DTH50" s="19"/>
      <c r="DTI50" s="19"/>
      <c r="DTJ50" s="19"/>
      <c r="DTK50" s="19"/>
      <c r="DTL50" s="19"/>
      <c r="DTM50" s="19"/>
      <c r="DTN50" s="19"/>
      <c r="DTO50" s="19"/>
      <c r="DTP50" s="19"/>
      <c r="DTQ50" s="19"/>
      <c r="DTR50" s="19"/>
      <c r="DTS50" s="19"/>
      <c r="DTT50" s="19"/>
      <c r="DTU50" s="19"/>
      <c r="DTV50" s="19"/>
      <c r="DTW50" s="19"/>
      <c r="DTX50" s="19"/>
      <c r="DTY50" s="19"/>
      <c r="DTZ50" s="19"/>
      <c r="DUA50" s="19"/>
      <c r="DUB50" s="19"/>
      <c r="DUC50" s="19"/>
      <c r="DUD50" s="19"/>
      <c r="DUE50" s="19"/>
      <c r="DUF50" s="19"/>
      <c r="DUG50" s="19"/>
      <c r="DUH50" s="19"/>
      <c r="DUI50" s="19"/>
      <c r="DUJ50" s="19"/>
      <c r="DUK50" s="19"/>
      <c r="DUL50" s="19"/>
      <c r="DUM50" s="19"/>
      <c r="DUN50" s="19"/>
      <c r="DUO50" s="19"/>
      <c r="DUP50" s="19"/>
      <c r="DUQ50" s="19"/>
      <c r="DUR50" s="19"/>
      <c r="DUS50" s="19"/>
      <c r="DUT50" s="19"/>
      <c r="DUU50" s="19"/>
      <c r="DUV50" s="19"/>
      <c r="DUW50" s="19"/>
      <c r="DUX50" s="19"/>
      <c r="DUY50" s="19"/>
      <c r="DUZ50" s="19"/>
      <c r="DVA50" s="19"/>
      <c r="DVB50" s="19"/>
      <c r="DVC50" s="19"/>
      <c r="DVD50" s="19"/>
      <c r="DVE50" s="19"/>
      <c r="DVF50" s="19"/>
      <c r="DVG50" s="19"/>
      <c r="DVH50" s="19"/>
      <c r="DVI50" s="19"/>
      <c r="DVJ50" s="19"/>
      <c r="DVK50" s="19"/>
      <c r="DVL50" s="19"/>
      <c r="DVM50" s="19"/>
      <c r="DVN50" s="19"/>
      <c r="DVO50" s="19"/>
      <c r="DVP50" s="19"/>
      <c r="DVQ50" s="19"/>
      <c r="DVR50" s="19"/>
      <c r="DVS50" s="19"/>
      <c r="DVT50" s="19"/>
      <c r="DVU50" s="19"/>
      <c r="DVV50" s="19"/>
      <c r="DVW50" s="19"/>
      <c r="DVX50" s="19"/>
      <c r="DVY50" s="19"/>
      <c r="DVZ50" s="19"/>
      <c r="DWA50" s="19"/>
      <c r="DWB50" s="19"/>
      <c r="DWC50" s="19"/>
      <c r="DWD50" s="19"/>
      <c r="DWE50" s="19"/>
      <c r="DWF50" s="19"/>
      <c r="DWG50" s="19"/>
      <c r="DWH50" s="19"/>
      <c r="DWI50" s="19"/>
      <c r="DWJ50" s="19"/>
      <c r="DWK50" s="19"/>
      <c r="DWL50" s="19"/>
      <c r="DWM50" s="19"/>
      <c r="DWN50" s="19"/>
      <c r="DWO50" s="19"/>
      <c r="DWP50" s="19"/>
      <c r="DWQ50" s="19"/>
      <c r="DWR50" s="19"/>
      <c r="DWS50" s="19"/>
      <c r="DWT50" s="19"/>
      <c r="DWU50" s="19"/>
      <c r="DWV50" s="19"/>
      <c r="DWW50" s="19"/>
      <c r="DWX50" s="19"/>
      <c r="DWY50" s="19"/>
      <c r="DWZ50" s="19"/>
      <c r="DXA50" s="19"/>
      <c r="DXB50" s="19"/>
      <c r="DXC50" s="19"/>
      <c r="DXD50" s="19"/>
      <c r="DXE50" s="19"/>
      <c r="DXF50" s="19"/>
      <c r="DXG50" s="19"/>
      <c r="DXH50" s="19"/>
      <c r="DXI50" s="19"/>
      <c r="DXJ50" s="19"/>
      <c r="DXK50" s="19"/>
      <c r="DXL50" s="19"/>
      <c r="DXM50" s="19"/>
      <c r="DXN50" s="19"/>
      <c r="DXO50" s="19"/>
      <c r="DXP50" s="19"/>
      <c r="DXQ50" s="19"/>
      <c r="DXR50" s="19"/>
      <c r="DXS50" s="19"/>
      <c r="DXT50" s="19"/>
      <c r="DXU50" s="19"/>
      <c r="DXV50" s="19"/>
      <c r="DXW50" s="19"/>
      <c r="DXX50" s="19"/>
      <c r="DXY50" s="19"/>
      <c r="DXZ50" s="19"/>
      <c r="DYA50" s="19"/>
      <c r="DYB50" s="19"/>
      <c r="DYC50" s="19"/>
      <c r="DYD50" s="19"/>
      <c r="DYE50" s="19"/>
      <c r="DYF50" s="19"/>
      <c r="DYG50" s="19"/>
      <c r="DYH50" s="19"/>
      <c r="DYI50" s="19"/>
      <c r="DYJ50" s="19"/>
      <c r="DYK50" s="19"/>
      <c r="DYL50" s="19"/>
      <c r="DYM50" s="19"/>
      <c r="DYN50" s="19"/>
      <c r="DYO50" s="19"/>
      <c r="DYP50" s="19"/>
      <c r="DYQ50" s="19"/>
      <c r="DYR50" s="19"/>
      <c r="DYS50" s="19"/>
      <c r="DYT50" s="19"/>
      <c r="DYU50" s="19"/>
      <c r="DYV50" s="19"/>
      <c r="DYW50" s="19"/>
      <c r="DYX50" s="19"/>
      <c r="DYY50" s="19"/>
      <c r="DYZ50" s="19"/>
      <c r="DZA50" s="19"/>
      <c r="DZB50" s="19"/>
      <c r="DZC50" s="19"/>
      <c r="DZD50" s="19"/>
      <c r="DZE50" s="19"/>
      <c r="DZF50" s="19"/>
      <c r="DZG50" s="19"/>
      <c r="DZH50" s="19"/>
      <c r="DZI50" s="19"/>
      <c r="DZJ50" s="19"/>
      <c r="DZK50" s="19"/>
      <c r="DZL50" s="19"/>
      <c r="DZM50" s="19"/>
      <c r="DZN50" s="19"/>
      <c r="DZO50" s="19"/>
      <c r="DZP50" s="19"/>
      <c r="DZQ50" s="19"/>
      <c r="DZR50" s="19"/>
      <c r="DZS50" s="19"/>
      <c r="DZT50" s="19"/>
      <c r="DZU50" s="19"/>
      <c r="DZV50" s="19"/>
      <c r="DZW50" s="19"/>
      <c r="DZX50" s="19"/>
      <c r="DZY50" s="19"/>
      <c r="DZZ50" s="19"/>
      <c r="EAA50" s="19"/>
      <c r="EAB50" s="19"/>
      <c r="EAC50" s="19"/>
      <c r="EAD50" s="19"/>
      <c r="EAE50" s="19"/>
      <c r="EAF50" s="19"/>
      <c r="EAG50" s="19"/>
      <c r="EAH50" s="19"/>
      <c r="EAI50" s="19"/>
      <c r="EAJ50" s="19"/>
      <c r="EAK50" s="19"/>
      <c r="EAL50" s="19"/>
      <c r="EAM50" s="19"/>
      <c r="EAN50" s="19"/>
      <c r="EAO50" s="19"/>
      <c r="EAP50" s="19"/>
      <c r="EAQ50" s="19"/>
      <c r="EAR50" s="19"/>
      <c r="EAS50" s="19"/>
      <c r="EAT50" s="19"/>
      <c r="EAU50" s="19"/>
      <c r="EAV50" s="19"/>
      <c r="EAW50" s="19"/>
      <c r="EAX50" s="19"/>
      <c r="EAY50" s="19"/>
      <c r="EAZ50" s="19"/>
      <c r="EBA50" s="19"/>
      <c r="EBB50" s="19"/>
      <c r="EBC50" s="19"/>
      <c r="EBD50" s="19"/>
      <c r="EBE50" s="19"/>
      <c r="EBF50" s="19"/>
      <c r="EBG50" s="19"/>
      <c r="EBH50" s="19"/>
      <c r="EBI50" s="19"/>
      <c r="EBJ50" s="19"/>
      <c r="EBK50" s="19"/>
      <c r="EBL50" s="19"/>
      <c r="EBM50" s="19"/>
      <c r="EBN50" s="19"/>
      <c r="EBO50" s="19"/>
      <c r="EBP50" s="19"/>
      <c r="EBQ50" s="19"/>
      <c r="EBR50" s="19"/>
      <c r="EBS50" s="19"/>
      <c r="EBT50" s="19"/>
      <c r="EBU50" s="19"/>
      <c r="EBV50" s="19"/>
      <c r="EBW50" s="19"/>
      <c r="EBX50" s="19"/>
      <c r="EBY50" s="19"/>
      <c r="EBZ50" s="19"/>
      <c r="ECA50" s="19"/>
      <c r="ECB50" s="19"/>
      <c r="ECC50" s="19"/>
      <c r="ECD50" s="19"/>
      <c r="ECE50" s="19"/>
      <c r="ECF50" s="19"/>
      <c r="ECG50" s="19"/>
      <c r="ECH50" s="19"/>
      <c r="ECI50" s="19"/>
      <c r="ECJ50" s="19"/>
      <c r="ECK50" s="19"/>
      <c r="ECL50" s="19"/>
      <c r="ECM50" s="19"/>
      <c r="ECN50" s="19"/>
      <c r="ECO50" s="19"/>
      <c r="ECP50" s="19"/>
      <c r="ECQ50" s="19"/>
      <c r="ECR50" s="19"/>
      <c r="ECS50" s="19"/>
      <c r="ECT50" s="19"/>
      <c r="ECU50" s="19"/>
      <c r="ECV50" s="19"/>
      <c r="ECW50" s="19"/>
      <c r="ECX50" s="19"/>
      <c r="ECY50" s="19"/>
      <c r="ECZ50" s="19"/>
      <c r="EDA50" s="19"/>
      <c r="EDB50" s="19"/>
      <c r="EDC50" s="19"/>
      <c r="EDD50" s="19"/>
      <c r="EDE50" s="19"/>
      <c r="EDF50" s="19"/>
      <c r="EDG50" s="19"/>
      <c r="EDH50" s="19"/>
      <c r="EDI50" s="19"/>
      <c r="EDJ50" s="19"/>
      <c r="EDK50" s="19"/>
      <c r="EDL50" s="19"/>
      <c r="EDM50" s="19"/>
      <c r="EDN50" s="19"/>
      <c r="EDO50" s="19"/>
      <c r="EDP50" s="19"/>
      <c r="EDQ50" s="19"/>
      <c r="EDR50" s="19"/>
      <c r="EDS50" s="19"/>
      <c r="EDT50" s="19"/>
      <c r="EDU50" s="19"/>
      <c r="EDV50" s="19"/>
      <c r="EDW50" s="19"/>
      <c r="EDX50" s="19"/>
      <c r="EDY50" s="19"/>
      <c r="EDZ50" s="19"/>
      <c r="EEA50" s="19"/>
      <c r="EEB50" s="19"/>
      <c r="EEC50" s="19"/>
      <c r="EED50" s="19"/>
      <c r="EEE50" s="19"/>
      <c r="EEF50" s="19"/>
      <c r="EEG50" s="19"/>
      <c r="EEH50" s="19"/>
      <c r="EEI50" s="19"/>
      <c r="EEJ50" s="19"/>
      <c r="EEK50" s="19"/>
      <c r="EEL50" s="19"/>
      <c r="EEM50" s="19"/>
      <c r="EEN50" s="19"/>
      <c r="EEO50" s="19"/>
      <c r="EEP50" s="19"/>
      <c r="EEQ50" s="19"/>
      <c r="EER50" s="19"/>
      <c r="EES50" s="19"/>
      <c r="EET50" s="19"/>
      <c r="EEU50" s="19"/>
      <c r="EEV50" s="19"/>
      <c r="EEW50" s="19"/>
      <c r="EEX50" s="19"/>
      <c r="EEY50" s="19"/>
      <c r="EEZ50" s="19"/>
      <c r="EFA50" s="19"/>
      <c r="EFB50" s="19"/>
      <c r="EFC50" s="19"/>
      <c r="EFD50" s="19"/>
      <c r="EFE50" s="19"/>
      <c r="EFF50" s="19"/>
      <c r="EFG50" s="19"/>
      <c r="EFH50" s="19"/>
      <c r="EFI50" s="19"/>
      <c r="EFJ50" s="19"/>
      <c r="EFK50" s="19"/>
      <c r="EFL50" s="19"/>
      <c r="EFM50" s="19"/>
      <c r="EFN50" s="19"/>
      <c r="EFO50" s="19"/>
      <c r="EFP50" s="19"/>
      <c r="EFQ50" s="19"/>
      <c r="EFR50" s="19"/>
      <c r="EFS50" s="19"/>
      <c r="EFT50" s="19"/>
      <c r="EFU50" s="19"/>
      <c r="EFV50" s="19"/>
      <c r="EFW50" s="19"/>
      <c r="EFX50" s="19"/>
      <c r="EFY50" s="19"/>
      <c r="EFZ50" s="19"/>
      <c r="EGA50" s="19"/>
      <c r="EGB50" s="19"/>
      <c r="EGC50" s="19"/>
      <c r="EGD50" s="19"/>
      <c r="EGE50" s="19"/>
      <c r="EGF50" s="19"/>
      <c r="EGG50" s="19"/>
      <c r="EGH50" s="19"/>
      <c r="EGI50" s="19"/>
      <c r="EGJ50" s="19"/>
      <c r="EGK50" s="19"/>
      <c r="EGL50" s="19"/>
      <c r="EGM50" s="19"/>
      <c r="EGN50" s="19"/>
      <c r="EGO50" s="19"/>
      <c r="EGP50" s="19"/>
      <c r="EGQ50" s="19"/>
      <c r="EGR50" s="19"/>
      <c r="EGS50" s="19"/>
      <c r="EGT50" s="19"/>
      <c r="EGU50" s="19"/>
      <c r="EGV50" s="19"/>
      <c r="EGW50" s="19"/>
      <c r="EGX50" s="19"/>
      <c r="EGY50" s="19"/>
      <c r="EGZ50" s="19"/>
      <c r="EHA50" s="19"/>
      <c r="EHB50" s="19"/>
      <c r="EHC50" s="19"/>
      <c r="EHD50" s="19"/>
      <c r="EHE50" s="19"/>
      <c r="EHF50" s="19"/>
      <c r="EHG50" s="19"/>
      <c r="EHH50" s="19"/>
      <c r="EHI50" s="19"/>
      <c r="EHJ50" s="19"/>
      <c r="EHK50" s="19"/>
      <c r="EHL50" s="19"/>
      <c r="EHM50" s="19"/>
      <c r="EHN50" s="19"/>
      <c r="EHO50" s="19"/>
      <c r="EHP50" s="19"/>
      <c r="EHQ50" s="19"/>
      <c r="EHR50" s="19"/>
      <c r="EHS50" s="19"/>
      <c r="EHT50" s="19"/>
      <c r="EHU50" s="19"/>
      <c r="EHV50" s="19"/>
      <c r="EHW50" s="19"/>
      <c r="EHX50" s="19"/>
      <c r="EHY50" s="19"/>
      <c r="EHZ50" s="19"/>
      <c r="EIA50" s="19"/>
      <c r="EIB50" s="19"/>
      <c r="EIC50" s="19"/>
      <c r="EID50" s="19"/>
      <c r="EIE50" s="19"/>
      <c r="EIF50" s="19"/>
      <c r="EIG50" s="19"/>
      <c r="EIH50" s="19"/>
      <c r="EII50" s="19"/>
      <c r="EIJ50" s="19"/>
      <c r="EIK50" s="19"/>
      <c r="EIL50" s="19"/>
      <c r="EIM50" s="19"/>
      <c r="EIN50" s="19"/>
      <c r="EIO50" s="19"/>
      <c r="EIP50" s="19"/>
      <c r="EIQ50" s="19"/>
      <c r="EIR50" s="19"/>
      <c r="EIS50" s="19"/>
      <c r="EIT50" s="19"/>
      <c r="EIU50" s="19"/>
      <c r="EIV50" s="19"/>
      <c r="EIW50" s="19"/>
      <c r="EIX50" s="19"/>
      <c r="EIY50" s="19"/>
      <c r="EIZ50" s="19"/>
      <c r="EJA50" s="19"/>
      <c r="EJB50" s="19"/>
      <c r="EJC50" s="19"/>
      <c r="EJD50" s="19"/>
      <c r="EJE50" s="19"/>
      <c r="EJF50" s="19"/>
      <c r="EJG50" s="19"/>
      <c r="EJH50" s="19"/>
      <c r="EJI50" s="19"/>
      <c r="EJJ50" s="19"/>
      <c r="EJK50" s="19"/>
      <c r="EJL50" s="19"/>
      <c r="EJM50" s="19"/>
      <c r="EJN50" s="19"/>
      <c r="EJO50" s="19"/>
      <c r="EJP50" s="19"/>
      <c r="EJQ50" s="19"/>
      <c r="EJR50" s="19"/>
      <c r="EJS50" s="19"/>
      <c r="EJT50" s="19"/>
      <c r="EJU50" s="19"/>
      <c r="EJV50" s="19"/>
      <c r="EJW50" s="19"/>
      <c r="EJX50" s="19"/>
      <c r="EJY50" s="19"/>
      <c r="EJZ50" s="19"/>
      <c r="EKA50" s="19"/>
      <c r="EKB50" s="19"/>
      <c r="EKC50" s="19"/>
      <c r="EKD50" s="19"/>
      <c r="EKE50" s="19"/>
      <c r="EKF50" s="19"/>
      <c r="EKG50" s="19"/>
      <c r="EKH50" s="19"/>
      <c r="EKI50" s="19"/>
      <c r="EKJ50" s="19"/>
      <c r="EKK50" s="19"/>
      <c r="EKL50" s="19"/>
      <c r="EKM50" s="19"/>
      <c r="EKN50" s="19"/>
      <c r="EKO50" s="19"/>
      <c r="EKP50" s="19"/>
      <c r="EKQ50" s="19"/>
      <c r="EKR50" s="19"/>
      <c r="EKS50" s="19"/>
      <c r="EKT50" s="19"/>
      <c r="EKU50" s="19"/>
      <c r="EKV50" s="19"/>
      <c r="EKW50" s="19"/>
      <c r="EKX50" s="19"/>
      <c r="EKY50" s="19"/>
      <c r="EKZ50" s="19"/>
      <c r="ELA50" s="19"/>
      <c r="ELB50" s="19"/>
      <c r="ELC50" s="19"/>
      <c r="ELD50" s="19"/>
      <c r="ELE50" s="19"/>
      <c r="ELF50" s="19"/>
      <c r="ELG50" s="19"/>
      <c r="ELH50" s="19"/>
      <c r="ELI50" s="19"/>
      <c r="ELJ50" s="19"/>
      <c r="ELK50" s="19"/>
      <c r="ELL50" s="19"/>
      <c r="ELM50" s="19"/>
      <c r="ELN50" s="19"/>
      <c r="ELO50" s="19"/>
      <c r="ELP50" s="19"/>
      <c r="ELQ50" s="19"/>
      <c r="ELR50" s="19"/>
      <c r="ELS50" s="19"/>
      <c r="ELT50" s="19"/>
      <c r="ELU50" s="19"/>
      <c r="ELV50" s="19"/>
      <c r="ELW50" s="19"/>
      <c r="ELX50" s="19"/>
      <c r="ELY50" s="19"/>
      <c r="ELZ50" s="19"/>
      <c r="EMA50" s="19"/>
      <c r="EMB50" s="19"/>
      <c r="EMC50" s="19"/>
      <c r="EMD50" s="19"/>
      <c r="EME50" s="19"/>
      <c r="EMF50" s="19"/>
      <c r="EMG50" s="19"/>
      <c r="EMH50" s="19"/>
      <c r="EMI50" s="19"/>
      <c r="EMJ50" s="19"/>
      <c r="EMK50" s="19"/>
      <c r="EML50" s="19"/>
      <c r="EMM50" s="19"/>
      <c r="EMN50" s="19"/>
      <c r="EMO50" s="19"/>
      <c r="EMP50" s="19"/>
      <c r="EMQ50" s="19"/>
      <c r="EMR50" s="19"/>
      <c r="EMS50" s="19"/>
      <c r="EMT50" s="19"/>
      <c r="EMU50" s="19"/>
      <c r="EMV50" s="19"/>
      <c r="EMW50" s="19"/>
      <c r="EMX50" s="19"/>
      <c r="EMY50" s="19"/>
      <c r="EMZ50" s="19"/>
      <c r="ENA50" s="19"/>
      <c r="ENB50" s="19"/>
      <c r="ENC50" s="19"/>
      <c r="END50" s="19"/>
      <c r="ENE50" s="19"/>
      <c r="ENF50" s="19"/>
      <c r="ENG50" s="19"/>
      <c r="ENH50" s="19"/>
      <c r="ENI50" s="19"/>
      <c r="ENJ50" s="19"/>
      <c r="ENK50" s="19"/>
      <c r="ENL50" s="19"/>
      <c r="ENM50" s="19"/>
      <c r="ENN50" s="19"/>
      <c r="ENO50" s="19"/>
      <c r="ENP50" s="19"/>
      <c r="ENQ50" s="19"/>
      <c r="ENR50" s="19"/>
      <c r="ENS50" s="19"/>
      <c r="ENT50" s="19"/>
      <c r="ENU50" s="19"/>
      <c r="ENV50" s="19"/>
      <c r="ENW50" s="19"/>
      <c r="ENX50" s="19"/>
      <c r="ENY50" s="19"/>
      <c r="ENZ50" s="19"/>
      <c r="EOA50" s="19"/>
      <c r="EOB50" s="19"/>
      <c r="EOC50" s="19"/>
      <c r="EOD50" s="19"/>
      <c r="EOE50" s="19"/>
      <c r="EOF50" s="19"/>
      <c r="EOG50" s="19"/>
      <c r="EOH50" s="19"/>
      <c r="EOI50" s="19"/>
      <c r="EOJ50" s="19"/>
      <c r="EOK50" s="19"/>
      <c r="EOL50" s="19"/>
      <c r="EOM50" s="19"/>
      <c r="EON50" s="19"/>
      <c r="EOO50" s="19"/>
      <c r="EOP50" s="19"/>
      <c r="EOQ50" s="19"/>
      <c r="EOR50" s="19"/>
      <c r="EOS50" s="19"/>
      <c r="EOT50" s="19"/>
      <c r="EOU50" s="19"/>
      <c r="EOV50" s="19"/>
      <c r="EOW50" s="19"/>
      <c r="EOX50" s="19"/>
      <c r="EOY50" s="19"/>
      <c r="EOZ50" s="19"/>
      <c r="EPA50" s="19"/>
      <c r="EPB50" s="19"/>
      <c r="EPC50" s="19"/>
      <c r="EPD50" s="19"/>
      <c r="EPE50" s="19"/>
      <c r="EPF50" s="19"/>
      <c r="EPG50" s="19"/>
      <c r="EPH50" s="19"/>
      <c r="EPI50" s="19"/>
      <c r="EPJ50" s="19"/>
      <c r="EPK50" s="19"/>
      <c r="EPL50" s="19"/>
      <c r="EPM50" s="19"/>
      <c r="EPN50" s="19"/>
      <c r="EPO50" s="19"/>
      <c r="EPP50" s="19"/>
      <c r="EPQ50" s="19"/>
      <c r="EPR50" s="19"/>
      <c r="EPS50" s="19"/>
      <c r="EPT50" s="19"/>
      <c r="EPU50" s="19"/>
      <c r="EPV50" s="19"/>
      <c r="EPW50" s="19"/>
      <c r="EPX50" s="19"/>
      <c r="EPY50" s="19"/>
      <c r="EPZ50" s="19"/>
      <c r="EQA50" s="19"/>
      <c r="EQB50" s="19"/>
      <c r="EQC50" s="19"/>
      <c r="EQD50" s="19"/>
      <c r="EQE50" s="19"/>
      <c r="EQF50" s="19"/>
      <c r="EQG50" s="19"/>
      <c r="EQH50" s="19"/>
      <c r="EQI50" s="19"/>
      <c r="EQJ50" s="19"/>
      <c r="EQK50" s="19"/>
      <c r="EQL50" s="19"/>
      <c r="EQM50" s="19"/>
      <c r="EQN50" s="19"/>
      <c r="EQO50" s="19"/>
      <c r="EQP50" s="19"/>
      <c r="EQQ50" s="19"/>
      <c r="EQR50" s="19"/>
      <c r="EQS50" s="19"/>
      <c r="EQT50" s="19"/>
      <c r="EQU50" s="19"/>
      <c r="EQV50" s="19"/>
      <c r="EQW50" s="19"/>
      <c r="EQX50" s="19"/>
      <c r="EQY50" s="19"/>
      <c r="EQZ50" s="19"/>
      <c r="ERA50" s="19"/>
      <c r="ERB50" s="19"/>
      <c r="ERC50" s="19"/>
      <c r="ERD50" s="19"/>
      <c r="ERE50" s="19"/>
      <c r="ERF50" s="19"/>
      <c r="ERG50" s="19"/>
      <c r="ERH50" s="19"/>
      <c r="ERI50" s="19"/>
      <c r="ERJ50" s="19"/>
      <c r="ERK50" s="19"/>
      <c r="ERL50" s="19"/>
      <c r="ERM50" s="19"/>
      <c r="ERN50" s="19"/>
      <c r="ERO50" s="19"/>
      <c r="ERP50" s="19"/>
      <c r="ERQ50" s="19"/>
      <c r="ERR50" s="19"/>
      <c r="ERS50" s="19"/>
      <c r="ERT50" s="19"/>
      <c r="ERU50" s="19"/>
      <c r="ERV50" s="19"/>
      <c r="ERW50" s="19"/>
      <c r="ERX50" s="19"/>
      <c r="ERY50" s="19"/>
      <c r="ERZ50" s="19"/>
      <c r="ESA50" s="19"/>
      <c r="ESB50" s="19"/>
      <c r="ESC50" s="19"/>
      <c r="ESD50" s="19"/>
      <c r="ESE50" s="19"/>
      <c r="ESF50" s="19"/>
      <c r="ESG50" s="19"/>
      <c r="ESH50" s="19"/>
      <c r="ESI50" s="19"/>
      <c r="ESJ50" s="19"/>
      <c r="ESK50" s="19"/>
      <c r="ESL50" s="19"/>
      <c r="ESM50" s="19"/>
      <c r="ESN50" s="19"/>
      <c r="ESO50" s="19"/>
      <c r="ESP50" s="19"/>
      <c r="ESQ50" s="19"/>
      <c r="ESR50" s="19"/>
      <c r="ESS50" s="19"/>
      <c r="EST50" s="19"/>
      <c r="ESU50" s="19"/>
      <c r="ESV50" s="19"/>
      <c r="ESW50" s="19"/>
      <c r="ESX50" s="19"/>
      <c r="ESY50" s="19"/>
      <c r="ESZ50" s="19"/>
      <c r="ETA50" s="19"/>
      <c r="ETB50" s="19"/>
      <c r="ETC50" s="19"/>
      <c r="ETD50" s="19"/>
      <c r="ETE50" s="19"/>
      <c r="ETF50" s="19"/>
      <c r="ETG50" s="19"/>
      <c r="ETH50" s="19"/>
      <c r="ETI50" s="19"/>
      <c r="ETJ50" s="19"/>
      <c r="ETK50" s="19"/>
      <c r="ETL50" s="19"/>
      <c r="ETM50" s="19"/>
      <c r="ETN50" s="19"/>
      <c r="ETO50" s="19"/>
      <c r="ETP50" s="19"/>
      <c r="ETQ50" s="19"/>
      <c r="ETR50" s="19"/>
      <c r="ETS50" s="19"/>
      <c r="ETT50" s="19"/>
      <c r="ETU50" s="19"/>
      <c r="ETV50" s="19"/>
      <c r="ETW50" s="19"/>
      <c r="ETX50" s="19"/>
      <c r="ETY50" s="19"/>
      <c r="ETZ50" s="19"/>
      <c r="EUA50" s="19"/>
      <c r="EUB50" s="19"/>
      <c r="EUC50" s="19"/>
      <c r="EUD50" s="19"/>
      <c r="EUE50" s="19"/>
      <c r="EUF50" s="19"/>
      <c r="EUG50" s="19"/>
      <c r="EUH50" s="19"/>
      <c r="EUI50" s="19"/>
      <c r="EUJ50" s="19"/>
      <c r="EUK50" s="19"/>
      <c r="EUL50" s="19"/>
      <c r="EUM50" s="19"/>
      <c r="EUN50" s="19"/>
      <c r="EUO50" s="19"/>
      <c r="EUP50" s="19"/>
      <c r="EUQ50" s="19"/>
      <c r="EUR50" s="19"/>
      <c r="EUS50" s="19"/>
      <c r="EUT50" s="19"/>
      <c r="EUU50" s="19"/>
      <c r="EUV50" s="19"/>
      <c r="EUW50" s="19"/>
      <c r="EUX50" s="19"/>
      <c r="EUY50" s="19"/>
      <c r="EUZ50" s="19"/>
      <c r="EVA50" s="19"/>
      <c r="EVB50" s="19"/>
      <c r="EVC50" s="19"/>
      <c r="EVD50" s="19"/>
      <c r="EVE50" s="19"/>
      <c r="EVF50" s="19"/>
      <c r="EVG50" s="19"/>
      <c r="EVH50" s="19"/>
      <c r="EVI50" s="19"/>
      <c r="EVJ50" s="19"/>
      <c r="EVK50" s="19"/>
      <c r="EVL50" s="19"/>
      <c r="EVM50" s="19"/>
      <c r="EVN50" s="19"/>
      <c r="EVO50" s="19"/>
      <c r="EVP50" s="19"/>
      <c r="EVQ50" s="19"/>
      <c r="EVR50" s="19"/>
      <c r="EVS50" s="19"/>
      <c r="EVT50" s="19"/>
      <c r="EVU50" s="19"/>
      <c r="EVV50" s="19"/>
      <c r="EVW50" s="19"/>
      <c r="EVX50" s="19"/>
      <c r="EVY50" s="19"/>
      <c r="EVZ50" s="19"/>
      <c r="EWA50" s="19"/>
      <c r="EWB50" s="19"/>
      <c r="EWC50" s="19"/>
      <c r="EWD50" s="19"/>
      <c r="EWE50" s="19"/>
      <c r="EWF50" s="19"/>
      <c r="EWG50" s="19"/>
      <c r="EWH50" s="19"/>
      <c r="EWI50" s="19"/>
      <c r="EWJ50" s="19"/>
      <c r="EWK50" s="19"/>
      <c r="EWL50" s="19"/>
      <c r="EWM50" s="19"/>
      <c r="EWN50" s="19"/>
      <c r="EWO50" s="19"/>
      <c r="EWP50" s="19"/>
      <c r="EWQ50" s="19"/>
      <c r="EWR50" s="19"/>
      <c r="EWS50" s="19"/>
      <c r="EWT50" s="19"/>
      <c r="EWU50" s="19"/>
      <c r="EWV50" s="19"/>
      <c r="EWW50" s="19"/>
      <c r="EWX50" s="19"/>
      <c r="EWY50" s="19"/>
      <c r="EWZ50" s="19"/>
      <c r="EXA50" s="19"/>
      <c r="EXB50" s="19"/>
      <c r="EXC50" s="19"/>
      <c r="EXD50" s="19"/>
      <c r="EXE50" s="19"/>
      <c r="EXF50" s="19"/>
      <c r="EXG50" s="19"/>
      <c r="EXH50" s="19"/>
      <c r="EXI50" s="19"/>
      <c r="EXJ50" s="19"/>
      <c r="EXK50" s="19"/>
      <c r="EXL50" s="19"/>
      <c r="EXM50" s="19"/>
      <c r="EXN50" s="19"/>
      <c r="EXO50" s="19"/>
      <c r="EXP50" s="19"/>
      <c r="EXQ50" s="19"/>
      <c r="EXR50" s="19"/>
      <c r="EXS50" s="19"/>
      <c r="EXT50" s="19"/>
      <c r="EXU50" s="19"/>
      <c r="EXV50" s="19"/>
      <c r="EXW50" s="19"/>
      <c r="EXX50" s="19"/>
      <c r="EXY50" s="19"/>
      <c r="EXZ50" s="19"/>
      <c r="EYA50" s="19"/>
      <c r="EYB50" s="19"/>
      <c r="EYC50" s="19"/>
      <c r="EYD50" s="19"/>
      <c r="EYE50" s="19"/>
      <c r="EYF50" s="19"/>
      <c r="EYG50" s="19"/>
      <c r="EYH50" s="19"/>
      <c r="EYI50" s="19"/>
      <c r="EYJ50" s="19"/>
      <c r="EYK50" s="19"/>
      <c r="EYL50" s="19"/>
      <c r="EYM50" s="19"/>
      <c r="EYN50" s="19"/>
      <c r="EYO50" s="19"/>
      <c r="EYP50" s="19"/>
      <c r="EYQ50" s="19"/>
      <c r="EYR50" s="19"/>
      <c r="EYS50" s="19"/>
      <c r="EYT50" s="19"/>
      <c r="EYU50" s="19"/>
      <c r="EYV50" s="19"/>
      <c r="EYW50" s="19"/>
      <c r="EYX50" s="19"/>
      <c r="EYY50" s="19"/>
      <c r="EYZ50" s="19"/>
      <c r="EZA50" s="19"/>
      <c r="EZB50" s="19"/>
      <c r="EZC50" s="19"/>
      <c r="EZD50" s="19"/>
      <c r="EZE50" s="19"/>
      <c r="EZF50" s="19"/>
      <c r="EZG50" s="19"/>
      <c r="EZH50" s="19"/>
      <c r="EZI50" s="19"/>
      <c r="EZJ50" s="19"/>
      <c r="EZK50" s="19"/>
      <c r="EZL50" s="19"/>
      <c r="EZM50" s="19"/>
      <c r="EZN50" s="19"/>
      <c r="EZO50" s="19"/>
      <c r="EZP50" s="19"/>
      <c r="EZQ50" s="19"/>
      <c r="EZR50" s="19"/>
      <c r="EZS50" s="19"/>
      <c r="EZT50" s="19"/>
      <c r="EZU50" s="19"/>
      <c r="EZV50" s="19"/>
      <c r="EZW50" s="19"/>
      <c r="EZX50" s="19"/>
      <c r="EZY50" s="19"/>
      <c r="EZZ50" s="19"/>
      <c r="FAA50" s="19"/>
      <c r="FAB50" s="19"/>
      <c r="FAC50" s="19"/>
      <c r="FAD50" s="19"/>
      <c r="FAE50" s="19"/>
      <c r="FAF50" s="19"/>
      <c r="FAG50" s="19"/>
      <c r="FAH50" s="19"/>
      <c r="FAI50" s="19"/>
      <c r="FAJ50" s="19"/>
      <c r="FAK50" s="19"/>
      <c r="FAL50" s="19"/>
      <c r="FAM50" s="19"/>
      <c r="FAN50" s="19"/>
      <c r="FAO50" s="19"/>
      <c r="FAP50" s="19"/>
      <c r="FAQ50" s="19"/>
      <c r="FAR50" s="19"/>
      <c r="FAS50" s="19"/>
      <c r="FAT50" s="19"/>
      <c r="FAU50" s="19"/>
      <c r="FAV50" s="19"/>
      <c r="FAW50" s="19"/>
      <c r="FAX50" s="19"/>
      <c r="FAY50" s="19"/>
      <c r="FAZ50" s="19"/>
      <c r="FBA50" s="19"/>
      <c r="FBB50" s="19"/>
      <c r="FBC50" s="19"/>
      <c r="FBD50" s="19"/>
      <c r="FBE50" s="19"/>
      <c r="FBF50" s="19"/>
      <c r="FBG50" s="19"/>
      <c r="FBH50" s="19"/>
      <c r="FBI50" s="19"/>
      <c r="FBJ50" s="19"/>
      <c r="FBK50" s="19"/>
      <c r="FBL50" s="19"/>
      <c r="FBM50" s="19"/>
      <c r="FBN50" s="19"/>
      <c r="FBO50" s="19"/>
      <c r="FBP50" s="19"/>
      <c r="FBQ50" s="19"/>
      <c r="FBR50" s="19"/>
      <c r="FBS50" s="19"/>
      <c r="FBT50" s="19"/>
      <c r="FBU50" s="19"/>
      <c r="FBV50" s="19"/>
      <c r="FBW50" s="19"/>
      <c r="FBX50" s="19"/>
      <c r="FBY50" s="19"/>
      <c r="FBZ50" s="19"/>
      <c r="FCA50" s="19"/>
      <c r="FCB50" s="19"/>
      <c r="FCC50" s="19"/>
      <c r="FCD50" s="19"/>
      <c r="FCE50" s="19"/>
      <c r="FCF50" s="19"/>
      <c r="FCG50" s="19"/>
      <c r="FCH50" s="19"/>
      <c r="FCI50" s="19"/>
      <c r="FCJ50" s="19"/>
      <c r="FCK50" s="19"/>
      <c r="FCL50" s="19"/>
      <c r="FCM50" s="19"/>
      <c r="FCN50" s="19"/>
      <c r="FCO50" s="19"/>
      <c r="FCP50" s="19"/>
      <c r="FCQ50" s="19"/>
      <c r="FCR50" s="19"/>
      <c r="FCS50" s="19"/>
      <c r="FCT50" s="19"/>
      <c r="FCU50" s="19"/>
      <c r="FCV50" s="19"/>
      <c r="FCW50" s="19"/>
      <c r="FCX50" s="19"/>
      <c r="FCY50" s="19"/>
      <c r="FCZ50" s="19"/>
      <c r="FDA50" s="19"/>
      <c r="FDB50" s="19"/>
      <c r="FDC50" s="19"/>
      <c r="FDD50" s="19"/>
      <c r="FDE50" s="19"/>
      <c r="FDF50" s="19"/>
      <c r="FDG50" s="19"/>
      <c r="FDH50" s="19"/>
      <c r="FDI50" s="19"/>
      <c r="FDJ50" s="19"/>
      <c r="FDK50" s="19"/>
      <c r="FDL50" s="19"/>
      <c r="FDM50" s="19"/>
      <c r="FDN50" s="19"/>
      <c r="FDO50" s="19"/>
      <c r="FDP50" s="19"/>
      <c r="FDQ50" s="19"/>
      <c r="FDR50" s="19"/>
      <c r="FDS50" s="19"/>
      <c r="FDT50" s="19"/>
      <c r="FDU50" s="19"/>
      <c r="FDV50" s="19"/>
      <c r="FDW50" s="19"/>
      <c r="FDX50" s="19"/>
      <c r="FDY50" s="19"/>
      <c r="FDZ50" s="19"/>
      <c r="FEA50" s="19"/>
      <c r="FEB50" s="19"/>
      <c r="FEC50" s="19"/>
      <c r="FED50" s="19"/>
      <c r="FEE50" s="19"/>
      <c r="FEF50" s="19"/>
      <c r="FEG50" s="19"/>
      <c r="FEH50" s="19"/>
      <c r="FEI50" s="19"/>
      <c r="FEJ50" s="19"/>
      <c r="FEK50" s="19"/>
      <c r="FEL50" s="19"/>
      <c r="FEM50" s="19"/>
      <c r="FEN50" s="19"/>
      <c r="FEO50" s="19"/>
      <c r="FEP50" s="19"/>
      <c r="FEQ50" s="19"/>
      <c r="FER50" s="19"/>
      <c r="FES50" s="19"/>
      <c r="FET50" s="19"/>
      <c r="FEU50" s="19"/>
      <c r="FEV50" s="19"/>
      <c r="FEW50" s="19"/>
      <c r="FEX50" s="19"/>
      <c r="FEY50" s="19"/>
      <c r="FEZ50" s="19"/>
      <c r="FFA50" s="19"/>
      <c r="FFB50" s="19"/>
      <c r="FFC50" s="19"/>
      <c r="FFD50" s="19"/>
      <c r="FFE50" s="19"/>
      <c r="FFF50" s="19"/>
      <c r="FFG50" s="19"/>
      <c r="FFH50" s="19"/>
      <c r="FFI50" s="19"/>
      <c r="FFJ50" s="19"/>
      <c r="FFK50" s="19"/>
      <c r="FFL50" s="19"/>
      <c r="FFM50" s="19"/>
      <c r="FFN50" s="19"/>
      <c r="FFO50" s="19"/>
      <c r="FFP50" s="19"/>
      <c r="FFQ50" s="19"/>
      <c r="FFR50" s="19"/>
      <c r="FFS50" s="19"/>
      <c r="FFT50" s="19"/>
      <c r="FFU50" s="19"/>
      <c r="FFV50" s="19"/>
      <c r="FFW50" s="19"/>
      <c r="FFX50" s="19"/>
      <c r="FFY50" s="19"/>
      <c r="FFZ50" s="19"/>
      <c r="FGA50" s="19"/>
      <c r="FGB50" s="19"/>
      <c r="FGC50" s="19"/>
      <c r="FGD50" s="19"/>
      <c r="FGE50" s="19"/>
      <c r="FGF50" s="19"/>
      <c r="FGG50" s="19"/>
      <c r="FGH50" s="19"/>
      <c r="FGI50" s="19"/>
      <c r="FGJ50" s="19"/>
      <c r="FGK50" s="19"/>
      <c r="FGL50" s="19"/>
      <c r="FGM50" s="19"/>
      <c r="FGN50" s="19"/>
      <c r="FGO50" s="19"/>
      <c r="FGP50" s="19"/>
      <c r="FGQ50" s="19"/>
      <c r="FGR50" s="19"/>
      <c r="FGS50" s="19"/>
      <c r="FGT50" s="19"/>
      <c r="FGU50" s="19"/>
      <c r="FGV50" s="19"/>
      <c r="FGW50" s="19"/>
      <c r="FGX50" s="19"/>
      <c r="FGY50" s="19"/>
      <c r="FGZ50" s="19"/>
      <c r="FHA50" s="19"/>
      <c r="FHB50" s="19"/>
      <c r="FHC50" s="19"/>
      <c r="FHD50" s="19"/>
      <c r="FHE50" s="19"/>
      <c r="FHF50" s="19"/>
      <c r="FHG50" s="19"/>
      <c r="FHH50" s="19"/>
      <c r="FHI50" s="19"/>
      <c r="FHJ50" s="19"/>
      <c r="FHK50" s="19"/>
      <c r="FHL50" s="19"/>
      <c r="FHM50" s="19"/>
      <c r="FHN50" s="19"/>
      <c r="FHO50" s="19"/>
      <c r="FHP50" s="19"/>
      <c r="FHQ50" s="19"/>
      <c r="FHR50" s="19"/>
      <c r="FHS50" s="19"/>
      <c r="FHT50" s="19"/>
      <c r="FHU50" s="19"/>
      <c r="FHV50" s="19"/>
      <c r="FHW50" s="19"/>
      <c r="FHX50" s="19"/>
      <c r="FHY50" s="19"/>
      <c r="FHZ50" s="19"/>
      <c r="FIA50" s="19"/>
      <c r="FIB50" s="19"/>
      <c r="FIC50" s="19"/>
      <c r="FID50" s="19"/>
      <c r="FIE50" s="19"/>
      <c r="FIF50" s="19"/>
      <c r="FIG50" s="19"/>
      <c r="FIH50" s="19"/>
      <c r="FII50" s="19"/>
      <c r="FIJ50" s="19"/>
      <c r="FIK50" s="19"/>
      <c r="FIL50" s="19"/>
      <c r="FIM50" s="19"/>
      <c r="FIN50" s="19"/>
      <c r="FIO50" s="19"/>
      <c r="FIP50" s="19"/>
      <c r="FIQ50" s="19"/>
      <c r="FIR50" s="19"/>
      <c r="FIS50" s="19"/>
      <c r="FIT50" s="19"/>
      <c r="FIU50" s="19"/>
      <c r="FIV50" s="19"/>
      <c r="FIW50" s="19"/>
      <c r="FIX50" s="19"/>
      <c r="FIY50" s="19"/>
      <c r="FIZ50" s="19"/>
      <c r="FJA50" s="19"/>
      <c r="FJB50" s="19"/>
      <c r="FJC50" s="19"/>
      <c r="FJD50" s="19"/>
      <c r="FJE50" s="19"/>
      <c r="FJF50" s="19"/>
      <c r="FJG50" s="19"/>
      <c r="FJH50" s="19"/>
      <c r="FJI50" s="19"/>
      <c r="FJJ50" s="19"/>
      <c r="FJK50" s="19"/>
      <c r="FJL50" s="19"/>
      <c r="FJM50" s="19"/>
      <c r="FJN50" s="19"/>
      <c r="FJO50" s="19"/>
      <c r="FJP50" s="19"/>
      <c r="FJQ50" s="19"/>
      <c r="FJR50" s="19"/>
      <c r="FJS50" s="19"/>
      <c r="FJT50" s="19"/>
      <c r="FJU50" s="19"/>
      <c r="FJV50" s="19"/>
      <c r="FJW50" s="19"/>
      <c r="FJX50" s="19"/>
      <c r="FJY50" s="19"/>
      <c r="FJZ50" s="19"/>
      <c r="FKA50" s="19"/>
      <c r="FKB50" s="19"/>
      <c r="FKC50" s="19"/>
      <c r="FKD50" s="19"/>
      <c r="FKE50" s="19"/>
      <c r="FKF50" s="19"/>
      <c r="FKG50" s="19"/>
      <c r="FKH50" s="19"/>
      <c r="FKI50" s="19"/>
      <c r="FKJ50" s="19"/>
      <c r="FKK50" s="19"/>
      <c r="FKL50" s="19"/>
      <c r="FKM50" s="19"/>
      <c r="FKN50" s="19"/>
      <c r="FKO50" s="19"/>
      <c r="FKP50" s="19"/>
      <c r="FKQ50" s="19"/>
      <c r="FKR50" s="19"/>
      <c r="FKS50" s="19"/>
      <c r="FKT50" s="19"/>
      <c r="FKU50" s="19"/>
      <c r="FKV50" s="19"/>
      <c r="FKW50" s="19"/>
      <c r="FKX50" s="19"/>
      <c r="FKY50" s="19"/>
      <c r="FKZ50" s="19"/>
      <c r="FLA50" s="19"/>
      <c r="FLB50" s="19"/>
      <c r="FLC50" s="19"/>
      <c r="FLD50" s="19"/>
      <c r="FLE50" s="19"/>
      <c r="FLF50" s="19"/>
      <c r="FLG50" s="19"/>
      <c r="FLH50" s="19"/>
      <c r="FLI50" s="19"/>
      <c r="FLJ50" s="19"/>
      <c r="FLK50" s="19"/>
      <c r="FLL50" s="19"/>
      <c r="FLM50" s="19"/>
      <c r="FLN50" s="19"/>
      <c r="FLO50" s="19"/>
      <c r="FLP50" s="19"/>
      <c r="FLQ50" s="19"/>
      <c r="FLR50" s="19"/>
      <c r="FLS50" s="19"/>
      <c r="FLT50" s="19"/>
      <c r="FLU50" s="19"/>
      <c r="FLV50" s="19"/>
      <c r="FLW50" s="19"/>
      <c r="FLX50" s="19"/>
      <c r="FLY50" s="19"/>
      <c r="FLZ50" s="19"/>
      <c r="FMA50" s="19"/>
      <c r="FMB50" s="19"/>
      <c r="FMC50" s="19"/>
      <c r="FMD50" s="19"/>
      <c r="FME50" s="19"/>
      <c r="FMF50" s="19"/>
      <c r="FMG50" s="19"/>
      <c r="FMH50" s="19"/>
      <c r="FMI50" s="19"/>
      <c r="FMJ50" s="19"/>
      <c r="FMK50" s="19"/>
      <c r="FML50" s="19"/>
      <c r="FMM50" s="19"/>
      <c r="FMN50" s="19"/>
      <c r="FMO50" s="19"/>
      <c r="FMP50" s="19"/>
      <c r="FMQ50" s="19"/>
      <c r="FMR50" s="19"/>
      <c r="FMS50" s="19"/>
      <c r="FMT50" s="19"/>
      <c r="FMU50" s="19"/>
      <c r="FMV50" s="19"/>
      <c r="FMW50" s="19"/>
      <c r="FMX50" s="19"/>
      <c r="FMY50" s="19"/>
      <c r="FMZ50" s="19"/>
      <c r="FNA50" s="19"/>
      <c r="FNB50" s="19"/>
      <c r="FNC50" s="19"/>
      <c r="FND50" s="19"/>
      <c r="FNE50" s="19"/>
      <c r="FNF50" s="19"/>
      <c r="FNG50" s="19"/>
      <c r="FNH50" s="19"/>
      <c r="FNI50" s="19"/>
      <c r="FNJ50" s="19"/>
      <c r="FNK50" s="19"/>
      <c r="FNL50" s="19"/>
      <c r="FNM50" s="19"/>
      <c r="FNN50" s="19"/>
      <c r="FNO50" s="19"/>
      <c r="FNP50" s="19"/>
      <c r="FNQ50" s="19"/>
      <c r="FNR50" s="19"/>
      <c r="FNS50" s="19"/>
      <c r="FNT50" s="19"/>
      <c r="FNU50" s="19"/>
      <c r="FNV50" s="19"/>
      <c r="FNW50" s="19"/>
      <c r="FNX50" s="19"/>
      <c r="FNY50" s="19"/>
      <c r="FNZ50" s="19"/>
      <c r="FOA50" s="19"/>
      <c r="FOB50" s="19"/>
      <c r="FOC50" s="19"/>
      <c r="FOD50" s="19"/>
      <c r="FOE50" s="19"/>
      <c r="FOF50" s="19"/>
      <c r="FOG50" s="19"/>
      <c r="FOH50" s="19"/>
      <c r="FOI50" s="19"/>
      <c r="FOJ50" s="19"/>
      <c r="FOK50" s="19"/>
      <c r="FOL50" s="19"/>
      <c r="FOM50" s="19"/>
      <c r="FON50" s="19"/>
      <c r="FOO50" s="19"/>
      <c r="FOP50" s="19"/>
      <c r="FOQ50" s="19"/>
      <c r="FOR50" s="19"/>
      <c r="FOS50" s="19"/>
      <c r="FOT50" s="19"/>
      <c r="FOU50" s="19"/>
      <c r="FOV50" s="19"/>
      <c r="FOW50" s="19"/>
      <c r="FOX50" s="19"/>
      <c r="FOY50" s="19"/>
      <c r="FOZ50" s="19"/>
      <c r="FPA50" s="19"/>
      <c r="FPB50" s="19"/>
      <c r="FPC50" s="19"/>
      <c r="FPD50" s="19"/>
      <c r="FPE50" s="19"/>
      <c r="FPF50" s="19"/>
      <c r="FPG50" s="19"/>
      <c r="FPH50" s="19"/>
      <c r="FPI50" s="19"/>
      <c r="FPJ50" s="19"/>
      <c r="FPK50" s="19"/>
      <c r="FPL50" s="19"/>
      <c r="FPM50" s="19"/>
      <c r="FPN50" s="19"/>
      <c r="FPO50" s="19"/>
      <c r="FPP50" s="19"/>
      <c r="FPQ50" s="19"/>
      <c r="FPR50" s="19"/>
      <c r="FPS50" s="19"/>
      <c r="FPT50" s="19"/>
      <c r="FPU50" s="19"/>
      <c r="FPV50" s="19"/>
      <c r="FPW50" s="19"/>
      <c r="FPX50" s="19"/>
      <c r="FPY50" s="19"/>
      <c r="FPZ50" s="19"/>
      <c r="FQA50" s="19"/>
      <c r="FQB50" s="19"/>
      <c r="FQC50" s="19"/>
      <c r="FQD50" s="19"/>
      <c r="FQE50" s="19"/>
      <c r="FQF50" s="19"/>
      <c r="FQG50" s="19"/>
      <c r="FQH50" s="19"/>
      <c r="FQI50" s="19"/>
      <c r="FQJ50" s="19"/>
      <c r="FQK50" s="19"/>
      <c r="FQL50" s="19"/>
      <c r="FQM50" s="19"/>
      <c r="FQN50" s="19"/>
      <c r="FQO50" s="19"/>
      <c r="FQP50" s="19"/>
      <c r="FQQ50" s="19"/>
      <c r="FQR50" s="19"/>
      <c r="FQS50" s="19"/>
      <c r="FQT50" s="19"/>
      <c r="FQU50" s="19"/>
      <c r="FQV50" s="19"/>
      <c r="FQW50" s="19"/>
      <c r="FQX50" s="19"/>
      <c r="FQY50" s="19"/>
      <c r="FQZ50" s="19"/>
      <c r="FRA50" s="19"/>
      <c r="FRB50" s="19"/>
      <c r="FRC50" s="19"/>
      <c r="FRD50" s="19"/>
      <c r="FRE50" s="19"/>
      <c r="FRF50" s="19"/>
      <c r="FRG50" s="19"/>
      <c r="FRH50" s="19"/>
      <c r="FRI50" s="19"/>
      <c r="FRJ50" s="19"/>
      <c r="FRK50" s="19"/>
      <c r="FRL50" s="19"/>
      <c r="FRM50" s="19"/>
      <c r="FRN50" s="19"/>
      <c r="FRO50" s="19"/>
      <c r="FRP50" s="19"/>
      <c r="FRQ50" s="19"/>
      <c r="FRR50" s="19"/>
      <c r="FRS50" s="19"/>
      <c r="FRT50" s="19"/>
      <c r="FRU50" s="19"/>
      <c r="FRV50" s="19"/>
      <c r="FRW50" s="19"/>
      <c r="FRX50" s="19"/>
      <c r="FRY50" s="19"/>
      <c r="FRZ50" s="19"/>
      <c r="FSA50" s="19"/>
      <c r="FSB50" s="19"/>
      <c r="FSC50" s="19"/>
      <c r="FSD50" s="19"/>
      <c r="FSE50" s="19"/>
      <c r="FSF50" s="19"/>
      <c r="FSG50" s="19"/>
      <c r="FSH50" s="19"/>
      <c r="FSI50" s="19"/>
      <c r="FSJ50" s="19"/>
      <c r="FSK50" s="19"/>
      <c r="FSL50" s="19"/>
      <c r="FSM50" s="19"/>
      <c r="FSN50" s="19"/>
      <c r="FSO50" s="19"/>
      <c r="FSP50" s="19"/>
      <c r="FSQ50" s="19"/>
      <c r="FSR50" s="19"/>
      <c r="FSS50" s="19"/>
      <c r="FST50" s="19"/>
      <c r="FSU50" s="19"/>
      <c r="FSV50" s="19"/>
      <c r="FSW50" s="19"/>
      <c r="FSX50" s="19"/>
      <c r="FSY50" s="19"/>
      <c r="FSZ50" s="19"/>
      <c r="FTA50" s="19"/>
      <c r="FTB50" s="19"/>
      <c r="FTC50" s="19"/>
      <c r="FTD50" s="19"/>
      <c r="FTE50" s="19"/>
      <c r="FTF50" s="19"/>
      <c r="FTG50" s="19"/>
      <c r="FTH50" s="19"/>
      <c r="FTI50" s="19"/>
      <c r="FTJ50" s="19"/>
      <c r="FTK50" s="19"/>
      <c r="FTL50" s="19"/>
      <c r="FTM50" s="19"/>
      <c r="FTN50" s="19"/>
      <c r="FTO50" s="19"/>
      <c r="FTP50" s="19"/>
      <c r="FTQ50" s="19"/>
      <c r="FTR50" s="19"/>
      <c r="FTS50" s="19"/>
      <c r="FTT50" s="19"/>
      <c r="FTU50" s="19"/>
      <c r="FTV50" s="19"/>
      <c r="FTW50" s="19"/>
      <c r="FTX50" s="19"/>
      <c r="FTY50" s="19"/>
      <c r="FTZ50" s="19"/>
      <c r="FUA50" s="19"/>
      <c r="FUB50" s="19"/>
      <c r="FUC50" s="19"/>
      <c r="FUD50" s="19"/>
      <c r="FUE50" s="19"/>
      <c r="FUF50" s="19"/>
      <c r="FUG50" s="19"/>
      <c r="FUH50" s="19"/>
      <c r="FUI50" s="19"/>
      <c r="FUJ50" s="19"/>
      <c r="FUK50" s="19"/>
      <c r="FUL50" s="19"/>
      <c r="FUM50" s="19"/>
      <c r="FUN50" s="19"/>
      <c r="FUO50" s="19"/>
      <c r="FUP50" s="19"/>
      <c r="FUQ50" s="19"/>
      <c r="FUR50" s="19"/>
      <c r="FUS50" s="19"/>
      <c r="FUT50" s="19"/>
      <c r="FUU50" s="19"/>
      <c r="FUV50" s="19"/>
      <c r="FUW50" s="19"/>
      <c r="FUX50" s="19"/>
      <c r="FUY50" s="19"/>
      <c r="FUZ50" s="19"/>
      <c r="FVA50" s="19"/>
      <c r="FVB50" s="19"/>
      <c r="FVC50" s="19"/>
      <c r="FVD50" s="19"/>
      <c r="FVE50" s="19"/>
      <c r="FVF50" s="19"/>
      <c r="FVG50" s="19"/>
      <c r="FVH50" s="19"/>
      <c r="FVI50" s="19"/>
      <c r="FVJ50" s="19"/>
      <c r="FVK50" s="19"/>
      <c r="FVL50" s="19"/>
      <c r="FVM50" s="19"/>
      <c r="FVN50" s="19"/>
      <c r="FVO50" s="19"/>
      <c r="FVP50" s="19"/>
      <c r="FVQ50" s="19"/>
      <c r="FVR50" s="19"/>
      <c r="FVS50" s="19"/>
      <c r="FVT50" s="19"/>
      <c r="FVU50" s="19"/>
      <c r="FVV50" s="19"/>
      <c r="FVW50" s="19"/>
      <c r="FVX50" s="19"/>
      <c r="FVY50" s="19"/>
      <c r="FVZ50" s="19"/>
      <c r="FWA50" s="19"/>
      <c r="FWB50" s="19"/>
      <c r="FWC50" s="19"/>
      <c r="FWD50" s="19"/>
      <c r="FWE50" s="19"/>
      <c r="FWF50" s="19"/>
      <c r="FWG50" s="19"/>
      <c r="FWH50" s="19"/>
      <c r="FWI50" s="19"/>
      <c r="FWJ50" s="19"/>
      <c r="FWK50" s="19"/>
      <c r="FWL50" s="19"/>
      <c r="FWM50" s="19"/>
      <c r="FWN50" s="19"/>
      <c r="FWO50" s="19"/>
      <c r="FWP50" s="19"/>
      <c r="FWQ50" s="19"/>
      <c r="FWR50" s="19"/>
      <c r="FWS50" s="19"/>
      <c r="FWT50" s="19"/>
      <c r="FWU50" s="19"/>
      <c r="FWV50" s="19"/>
      <c r="FWW50" s="19"/>
      <c r="FWX50" s="19"/>
      <c r="FWY50" s="19"/>
      <c r="FWZ50" s="19"/>
      <c r="FXA50" s="19"/>
      <c r="FXB50" s="19"/>
      <c r="FXC50" s="19"/>
      <c r="FXD50" s="19"/>
      <c r="FXE50" s="19"/>
      <c r="FXF50" s="19"/>
      <c r="FXG50" s="19"/>
      <c r="FXH50" s="19"/>
      <c r="FXI50" s="19"/>
      <c r="FXJ50" s="19"/>
      <c r="FXK50" s="19"/>
      <c r="FXL50" s="19"/>
      <c r="FXM50" s="19"/>
      <c r="FXN50" s="19"/>
      <c r="FXO50" s="19"/>
      <c r="FXP50" s="19"/>
      <c r="FXQ50" s="19"/>
      <c r="FXR50" s="19"/>
      <c r="FXS50" s="19"/>
      <c r="FXT50" s="19"/>
      <c r="FXU50" s="19"/>
      <c r="FXV50" s="19"/>
      <c r="FXW50" s="19"/>
      <c r="FXX50" s="19"/>
      <c r="FXY50" s="19"/>
      <c r="FXZ50" s="19"/>
      <c r="FYA50" s="19"/>
      <c r="FYB50" s="19"/>
      <c r="FYC50" s="19"/>
      <c r="FYD50" s="19"/>
      <c r="FYE50" s="19"/>
      <c r="FYF50" s="19"/>
      <c r="FYG50" s="19"/>
      <c r="FYH50" s="19"/>
      <c r="FYI50" s="19"/>
      <c r="FYJ50" s="19"/>
      <c r="FYK50" s="19"/>
      <c r="FYL50" s="19"/>
      <c r="FYM50" s="19"/>
      <c r="FYN50" s="19"/>
      <c r="FYO50" s="19"/>
      <c r="FYP50" s="19"/>
      <c r="FYQ50" s="19"/>
      <c r="FYR50" s="19"/>
      <c r="FYS50" s="19"/>
      <c r="FYT50" s="19"/>
      <c r="FYU50" s="19"/>
      <c r="FYV50" s="19"/>
      <c r="FYW50" s="19"/>
      <c r="FYX50" s="19"/>
      <c r="FYY50" s="19"/>
      <c r="FYZ50" s="19"/>
      <c r="FZA50" s="19"/>
      <c r="FZB50" s="19"/>
      <c r="FZC50" s="19"/>
      <c r="FZD50" s="19"/>
      <c r="FZE50" s="19"/>
      <c r="FZF50" s="19"/>
      <c r="FZG50" s="19"/>
      <c r="FZH50" s="19"/>
      <c r="FZI50" s="19"/>
      <c r="FZJ50" s="19"/>
      <c r="FZK50" s="19"/>
      <c r="FZL50" s="19"/>
      <c r="FZM50" s="19"/>
      <c r="FZN50" s="19"/>
      <c r="FZO50" s="19"/>
      <c r="FZP50" s="19"/>
      <c r="FZQ50" s="19"/>
      <c r="FZR50" s="19"/>
      <c r="FZS50" s="19"/>
      <c r="FZT50" s="19"/>
      <c r="FZU50" s="19"/>
      <c r="FZV50" s="19"/>
      <c r="FZW50" s="19"/>
      <c r="FZX50" s="19"/>
      <c r="FZY50" s="19"/>
      <c r="FZZ50" s="19"/>
      <c r="GAA50" s="19"/>
      <c r="GAB50" s="19"/>
      <c r="GAC50" s="19"/>
      <c r="GAD50" s="19"/>
      <c r="GAE50" s="19"/>
      <c r="GAF50" s="19"/>
      <c r="GAG50" s="19"/>
      <c r="GAH50" s="19"/>
      <c r="GAI50" s="19"/>
      <c r="GAJ50" s="19"/>
      <c r="GAK50" s="19"/>
      <c r="GAL50" s="19"/>
      <c r="GAM50" s="19"/>
      <c r="GAN50" s="19"/>
      <c r="GAO50" s="19"/>
      <c r="GAP50" s="19"/>
      <c r="GAQ50" s="19"/>
      <c r="GAR50" s="19"/>
      <c r="GAS50" s="19"/>
      <c r="GAT50" s="19"/>
      <c r="GAU50" s="19"/>
      <c r="GAV50" s="19"/>
      <c r="GAW50" s="19"/>
      <c r="GAX50" s="19"/>
      <c r="GAY50" s="19"/>
      <c r="GAZ50" s="19"/>
      <c r="GBA50" s="19"/>
      <c r="GBB50" s="19"/>
      <c r="GBC50" s="19"/>
      <c r="GBD50" s="19"/>
      <c r="GBE50" s="19"/>
      <c r="GBF50" s="19"/>
      <c r="GBG50" s="19"/>
      <c r="GBH50" s="19"/>
      <c r="GBI50" s="19"/>
      <c r="GBJ50" s="19"/>
      <c r="GBK50" s="19"/>
      <c r="GBL50" s="19"/>
      <c r="GBM50" s="19"/>
      <c r="GBN50" s="19"/>
      <c r="GBO50" s="19"/>
      <c r="GBP50" s="19"/>
      <c r="GBQ50" s="19"/>
      <c r="GBR50" s="19"/>
      <c r="GBS50" s="19"/>
      <c r="GBT50" s="19"/>
      <c r="GBU50" s="19"/>
      <c r="GBV50" s="19"/>
      <c r="GBW50" s="19"/>
      <c r="GBX50" s="19"/>
      <c r="GBY50" s="19"/>
      <c r="GBZ50" s="19"/>
      <c r="GCA50" s="19"/>
      <c r="GCB50" s="19"/>
      <c r="GCC50" s="19"/>
      <c r="GCD50" s="19"/>
      <c r="GCE50" s="19"/>
      <c r="GCF50" s="19"/>
      <c r="GCG50" s="19"/>
      <c r="GCH50" s="19"/>
      <c r="GCI50" s="19"/>
      <c r="GCJ50" s="19"/>
      <c r="GCK50" s="19"/>
      <c r="GCL50" s="19"/>
      <c r="GCM50" s="19"/>
      <c r="GCN50" s="19"/>
      <c r="GCO50" s="19"/>
      <c r="GCP50" s="19"/>
      <c r="GCQ50" s="19"/>
      <c r="GCR50" s="19"/>
      <c r="GCS50" s="19"/>
      <c r="GCT50" s="19"/>
      <c r="GCU50" s="19"/>
      <c r="GCV50" s="19"/>
      <c r="GCW50" s="19"/>
      <c r="GCX50" s="19"/>
      <c r="GCY50" s="19"/>
      <c r="GCZ50" s="19"/>
      <c r="GDA50" s="19"/>
      <c r="GDB50" s="19"/>
      <c r="GDC50" s="19"/>
      <c r="GDD50" s="19"/>
      <c r="GDE50" s="19"/>
      <c r="GDF50" s="19"/>
      <c r="GDG50" s="19"/>
      <c r="GDH50" s="19"/>
      <c r="GDI50" s="19"/>
      <c r="GDJ50" s="19"/>
      <c r="GDK50" s="19"/>
      <c r="GDL50" s="19"/>
      <c r="GDM50" s="19"/>
      <c r="GDN50" s="19"/>
      <c r="GDO50" s="19"/>
      <c r="GDP50" s="19"/>
      <c r="GDQ50" s="19"/>
      <c r="GDR50" s="19"/>
      <c r="GDS50" s="19"/>
      <c r="GDT50" s="19"/>
      <c r="GDU50" s="19"/>
      <c r="GDV50" s="19"/>
      <c r="GDW50" s="19"/>
      <c r="GDX50" s="19"/>
      <c r="GDY50" s="19"/>
      <c r="GDZ50" s="19"/>
      <c r="GEA50" s="19"/>
      <c r="GEB50" s="19"/>
      <c r="GEC50" s="19"/>
      <c r="GED50" s="19"/>
      <c r="GEE50" s="19"/>
      <c r="GEF50" s="19"/>
      <c r="GEG50" s="19"/>
      <c r="GEH50" s="19"/>
      <c r="GEI50" s="19"/>
      <c r="GEJ50" s="19"/>
      <c r="GEK50" s="19"/>
      <c r="GEL50" s="19"/>
      <c r="GEM50" s="19"/>
      <c r="GEN50" s="19"/>
      <c r="GEO50" s="19"/>
      <c r="GEP50" s="19"/>
      <c r="GEQ50" s="19"/>
      <c r="GER50" s="19"/>
      <c r="GES50" s="19"/>
      <c r="GET50" s="19"/>
      <c r="GEU50" s="19"/>
      <c r="GEV50" s="19"/>
      <c r="GEW50" s="19"/>
      <c r="GEX50" s="19"/>
      <c r="GEY50" s="19"/>
      <c r="GEZ50" s="19"/>
      <c r="GFA50" s="19"/>
      <c r="GFB50" s="19"/>
      <c r="GFC50" s="19"/>
      <c r="GFD50" s="19"/>
      <c r="GFE50" s="19"/>
      <c r="GFF50" s="19"/>
      <c r="GFG50" s="19"/>
      <c r="GFH50" s="19"/>
      <c r="GFI50" s="19"/>
      <c r="GFJ50" s="19"/>
      <c r="GFK50" s="19"/>
      <c r="GFL50" s="19"/>
      <c r="GFM50" s="19"/>
      <c r="GFN50" s="19"/>
      <c r="GFO50" s="19"/>
      <c r="GFP50" s="19"/>
      <c r="GFQ50" s="19"/>
      <c r="GFR50" s="19"/>
      <c r="GFS50" s="19"/>
      <c r="GFT50" s="19"/>
      <c r="GFU50" s="19"/>
      <c r="GFV50" s="19"/>
      <c r="GFW50" s="19"/>
      <c r="GFX50" s="19"/>
      <c r="GFY50" s="19"/>
      <c r="GFZ50" s="19"/>
      <c r="GGA50" s="19"/>
      <c r="GGB50" s="19"/>
      <c r="GGC50" s="19"/>
      <c r="GGD50" s="19"/>
      <c r="GGE50" s="19"/>
      <c r="GGF50" s="19"/>
      <c r="GGG50" s="19"/>
      <c r="GGH50" s="19"/>
      <c r="GGI50" s="19"/>
      <c r="GGJ50" s="19"/>
      <c r="GGK50" s="19"/>
      <c r="GGL50" s="19"/>
      <c r="GGM50" s="19"/>
      <c r="GGN50" s="19"/>
      <c r="GGO50" s="19"/>
      <c r="GGP50" s="19"/>
      <c r="GGQ50" s="19"/>
      <c r="GGR50" s="19"/>
      <c r="GGS50" s="19"/>
      <c r="GGT50" s="19"/>
      <c r="GGU50" s="19"/>
      <c r="GGV50" s="19"/>
      <c r="GGW50" s="19"/>
      <c r="GGX50" s="19"/>
      <c r="GGY50" s="19"/>
      <c r="GGZ50" s="19"/>
      <c r="GHA50" s="19"/>
      <c r="GHB50" s="19"/>
      <c r="GHC50" s="19"/>
      <c r="GHD50" s="19"/>
      <c r="GHE50" s="19"/>
      <c r="GHF50" s="19"/>
      <c r="GHG50" s="19"/>
      <c r="GHH50" s="19"/>
      <c r="GHI50" s="19"/>
      <c r="GHJ50" s="19"/>
      <c r="GHK50" s="19"/>
      <c r="GHL50" s="19"/>
      <c r="GHM50" s="19"/>
      <c r="GHN50" s="19"/>
      <c r="GHO50" s="19"/>
      <c r="GHP50" s="19"/>
      <c r="GHQ50" s="19"/>
      <c r="GHR50" s="19"/>
      <c r="GHS50" s="19"/>
      <c r="GHT50" s="19"/>
      <c r="GHU50" s="19"/>
      <c r="GHV50" s="19"/>
      <c r="GHW50" s="19"/>
      <c r="GHX50" s="19"/>
      <c r="GHY50" s="19"/>
      <c r="GHZ50" s="19"/>
      <c r="GIA50" s="19"/>
      <c r="GIB50" s="19"/>
      <c r="GIC50" s="19"/>
      <c r="GID50" s="19"/>
      <c r="GIE50" s="19"/>
      <c r="GIF50" s="19"/>
      <c r="GIG50" s="19"/>
      <c r="GIH50" s="19"/>
      <c r="GII50" s="19"/>
      <c r="GIJ50" s="19"/>
      <c r="GIK50" s="19"/>
      <c r="GIL50" s="19"/>
      <c r="GIM50" s="19"/>
      <c r="GIN50" s="19"/>
      <c r="GIO50" s="19"/>
      <c r="GIP50" s="19"/>
      <c r="GIQ50" s="19"/>
      <c r="GIR50" s="19"/>
      <c r="GIS50" s="19"/>
      <c r="GIT50" s="19"/>
      <c r="GIU50" s="19"/>
      <c r="GIV50" s="19"/>
      <c r="GIW50" s="19"/>
      <c r="GIX50" s="19"/>
      <c r="GIY50" s="19"/>
      <c r="GIZ50" s="19"/>
      <c r="GJA50" s="19"/>
      <c r="GJB50" s="19"/>
      <c r="GJC50" s="19"/>
      <c r="GJD50" s="19"/>
      <c r="GJE50" s="19"/>
      <c r="GJF50" s="19"/>
      <c r="GJG50" s="19"/>
      <c r="GJH50" s="19"/>
      <c r="GJI50" s="19"/>
      <c r="GJJ50" s="19"/>
      <c r="GJK50" s="19"/>
      <c r="GJL50" s="19"/>
      <c r="GJM50" s="19"/>
      <c r="GJN50" s="19"/>
      <c r="GJO50" s="19"/>
      <c r="GJP50" s="19"/>
      <c r="GJQ50" s="19"/>
      <c r="GJR50" s="19"/>
      <c r="GJS50" s="19"/>
      <c r="GJT50" s="19"/>
      <c r="GJU50" s="19"/>
      <c r="GJV50" s="19"/>
      <c r="GJW50" s="19"/>
      <c r="GJX50" s="19"/>
      <c r="GJY50" s="19"/>
      <c r="GJZ50" s="19"/>
      <c r="GKA50" s="19"/>
      <c r="GKB50" s="19"/>
      <c r="GKC50" s="19"/>
      <c r="GKD50" s="19"/>
      <c r="GKE50" s="19"/>
      <c r="GKF50" s="19"/>
      <c r="GKG50" s="19"/>
      <c r="GKH50" s="19"/>
      <c r="GKI50" s="19"/>
      <c r="GKJ50" s="19"/>
      <c r="GKK50" s="19"/>
      <c r="GKL50" s="19"/>
      <c r="GKM50" s="19"/>
      <c r="GKN50" s="19"/>
      <c r="GKO50" s="19"/>
      <c r="GKP50" s="19"/>
      <c r="GKQ50" s="19"/>
      <c r="GKR50" s="19"/>
      <c r="GKS50" s="19"/>
      <c r="GKT50" s="19"/>
      <c r="GKU50" s="19"/>
      <c r="GKV50" s="19"/>
      <c r="GKW50" s="19"/>
      <c r="GKX50" s="19"/>
      <c r="GKY50" s="19"/>
      <c r="GKZ50" s="19"/>
      <c r="GLA50" s="19"/>
      <c r="GLB50" s="19"/>
      <c r="GLC50" s="19"/>
      <c r="GLD50" s="19"/>
      <c r="GLE50" s="19"/>
      <c r="GLF50" s="19"/>
      <c r="GLG50" s="19"/>
      <c r="GLH50" s="19"/>
      <c r="GLI50" s="19"/>
      <c r="GLJ50" s="19"/>
      <c r="GLK50" s="19"/>
      <c r="GLL50" s="19"/>
      <c r="GLM50" s="19"/>
      <c r="GLN50" s="19"/>
      <c r="GLO50" s="19"/>
      <c r="GLP50" s="19"/>
      <c r="GLQ50" s="19"/>
      <c r="GLR50" s="19"/>
      <c r="GLS50" s="19"/>
      <c r="GLT50" s="19"/>
      <c r="GLU50" s="19"/>
      <c r="GLV50" s="19"/>
      <c r="GLW50" s="19"/>
      <c r="GLX50" s="19"/>
      <c r="GLY50" s="19"/>
      <c r="GLZ50" s="19"/>
      <c r="GMA50" s="19"/>
      <c r="GMB50" s="19"/>
      <c r="GMC50" s="19"/>
      <c r="GMD50" s="19"/>
      <c r="GME50" s="19"/>
      <c r="GMF50" s="19"/>
      <c r="GMG50" s="19"/>
      <c r="GMH50" s="19"/>
      <c r="GMI50" s="19"/>
      <c r="GMJ50" s="19"/>
      <c r="GMK50" s="19"/>
      <c r="GML50" s="19"/>
      <c r="GMM50" s="19"/>
      <c r="GMN50" s="19"/>
      <c r="GMO50" s="19"/>
      <c r="GMP50" s="19"/>
      <c r="GMQ50" s="19"/>
      <c r="GMR50" s="19"/>
      <c r="GMS50" s="19"/>
      <c r="GMT50" s="19"/>
      <c r="GMU50" s="19"/>
      <c r="GMV50" s="19"/>
      <c r="GMW50" s="19"/>
      <c r="GMX50" s="19"/>
      <c r="GMY50" s="19"/>
      <c r="GMZ50" s="19"/>
      <c r="GNA50" s="19"/>
      <c r="GNB50" s="19"/>
      <c r="GNC50" s="19"/>
      <c r="GND50" s="19"/>
      <c r="GNE50" s="19"/>
      <c r="GNF50" s="19"/>
      <c r="GNG50" s="19"/>
      <c r="GNH50" s="19"/>
      <c r="GNI50" s="19"/>
      <c r="GNJ50" s="19"/>
      <c r="GNK50" s="19"/>
      <c r="GNL50" s="19"/>
      <c r="GNM50" s="19"/>
      <c r="GNN50" s="19"/>
      <c r="GNO50" s="19"/>
      <c r="GNP50" s="19"/>
      <c r="GNQ50" s="19"/>
      <c r="GNR50" s="19"/>
      <c r="GNS50" s="19"/>
      <c r="GNT50" s="19"/>
      <c r="GNU50" s="19"/>
      <c r="GNV50" s="19"/>
      <c r="GNW50" s="19"/>
      <c r="GNX50" s="19"/>
      <c r="GNY50" s="19"/>
      <c r="GNZ50" s="19"/>
      <c r="GOA50" s="19"/>
      <c r="GOB50" s="19"/>
      <c r="GOC50" s="19"/>
      <c r="GOD50" s="19"/>
      <c r="GOE50" s="19"/>
      <c r="GOF50" s="19"/>
      <c r="GOG50" s="19"/>
      <c r="GOH50" s="19"/>
      <c r="GOI50" s="19"/>
      <c r="GOJ50" s="19"/>
      <c r="GOK50" s="19"/>
      <c r="GOL50" s="19"/>
      <c r="GOM50" s="19"/>
      <c r="GON50" s="19"/>
      <c r="GOO50" s="19"/>
      <c r="GOP50" s="19"/>
      <c r="GOQ50" s="19"/>
      <c r="GOR50" s="19"/>
      <c r="GOS50" s="19"/>
      <c r="GOT50" s="19"/>
      <c r="GOU50" s="19"/>
      <c r="GOV50" s="19"/>
      <c r="GOW50" s="19"/>
      <c r="GOX50" s="19"/>
      <c r="GOY50" s="19"/>
      <c r="GOZ50" s="19"/>
      <c r="GPA50" s="19"/>
      <c r="GPB50" s="19"/>
      <c r="GPC50" s="19"/>
      <c r="GPD50" s="19"/>
      <c r="GPE50" s="19"/>
      <c r="GPF50" s="19"/>
      <c r="GPG50" s="19"/>
      <c r="GPH50" s="19"/>
      <c r="GPI50" s="19"/>
      <c r="GPJ50" s="19"/>
      <c r="GPK50" s="19"/>
      <c r="GPL50" s="19"/>
      <c r="GPM50" s="19"/>
      <c r="GPN50" s="19"/>
      <c r="GPO50" s="19"/>
      <c r="GPP50" s="19"/>
      <c r="GPQ50" s="19"/>
      <c r="GPR50" s="19"/>
      <c r="GPS50" s="19"/>
      <c r="GPT50" s="19"/>
      <c r="GPU50" s="19"/>
      <c r="GPV50" s="19"/>
      <c r="GPW50" s="19"/>
      <c r="GPX50" s="19"/>
      <c r="GPY50" s="19"/>
      <c r="GPZ50" s="19"/>
      <c r="GQA50" s="19"/>
      <c r="GQB50" s="19"/>
      <c r="GQC50" s="19"/>
      <c r="GQD50" s="19"/>
      <c r="GQE50" s="19"/>
      <c r="GQF50" s="19"/>
      <c r="GQG50" s="19"/>
      <c r="GQH50" s="19"/>
      <c r="GQI50" s="19"/>
      <c r="GQJ50" s="19"/>
      <c r="GQK50" s="19"/>
      <c r="GQL50" s="19"/>
      <c r="GQM50" s="19"/>
      <c r="GQN50" s="19"/>
      <c r="GQO50" s="19"/>
      <c r="GQP50" s="19"/>
      <c r="GQQ50" s="19"/>
      <c r="GQR50" s="19"/>
      <c r="GQS50" s="19"/>
      <c r="GQT50" s="19"/>
      <c r="GQU50" s="19"/>
      <c r="GQV50" s="19"/>
      <c r="GQW50" s="19"/>
      <c r="GQX50" s="19"/>
      <c r="GQY50" s="19"/>
      <c r="GQZ50" s="19"/>
      <c r="GRA50" s="19"/>
      <c r="GRB50" s="19"/>
      <c r="GRC50" s="19"/>
      <c r="GRD50" s="19"/>
      <c r="GRE50" s="19"/>
      <c r="GRF50" s="19"/>
      <c r="GRG50" s="19"/>
      <c r="GRH50" s="19"/>
      <c r="GRI50" s="19"/>
      <c r="GRJ50" s="19"/>
      <c r="GRK50" s="19"/>
      <c r="GRL50" s="19"/>
      <c r="GRM50" s="19"/>
      <c r="GRN50" s="19"/>
      <c r="GRO50" s="19"/>
      <c r="GRP50" s="19"/>
      <c r="GRQ50" s="19"/>
      <c r="GRR50" s="19"/>
      <c r="GRS50" s="19"/>
      <c r="GRT50" s="19"/>
      <c r="GRU50" s="19"/>
      <c r="GRV50" s="19"/>
      <c r="GRW50" s="19"/>
      <c r="GRX50" s="19"/>
      <c r="GRY50" s="19"/>
      <c r="GRZ50" s="19"/>
      <c r="GSA50" s="19"/>
      <c r="GSB50" s="19"/>
      <c r="GSC50" s="19"/>
      <c r="GSD50" s="19"/>
      <c r="GSE50" s="19"/>
      <c r="GSF50" s="19"/>
      <c r="GSG50" s="19"/>
      <c r="GSH50" s="19"/>
      <c r="GSI50" s="19"/>
      <c r="GSJ50" s="19"/>
      <c r="GSK50" s="19"/>
      <c r="GSL50" s="19"/>
      <c r="GSM50" s="19"/>
      <c r="GSN50" s="19"/>
      <c r="GSO50" s="19"/>
      <c r="GSP50" s="19"/>
      <c r="GSQ50" s="19"/>
      <c r="GSR50" s="19"/>
      <c r="GSS50" s="19"/>
      <c r="GST50" s="19"/>
      <c r="GSU50" s="19"/>
      <c r="GSV50" s="19"/>
      <c r="GSW50" s="19"/>
      <c r="GSX50" s="19"/>
      <c r="GSY50" s="19"/>
      <c r="GSZ50" s="19"/>
      <c r="GTA50" s="19"/>
      <c r="GTB50" s="19"/>
      <c r="GTC50" s="19"/>
      <c r="GTD50" s="19"/>
      <c r="GTE50" s="19"/>
      <c r="GTF50" s="19"/>
      <c r="GTG50" s="19"/>
      <c r="GTH50" s="19"/>
      <c r="GTI50" s="19"/>
      <c r="GTJ50" s="19"/>
      <c r="GTK50" s="19"/>
      <c r="GTL50" s="19"/>
      <c r="GTM50" s="19"/>
      <c r="GTN50" s="19"/>
      <c r="GTO50" s="19"/>
      <c r="GTP50" s="19"/>
      <c r="GTQ50" s="19"/>
      <c r="GTR50" s="19"/>
      <c r="GTS50" s="19"/>
      <c r="GTT50" s="19"/>
      <c r="GTU50" s="19"/>
      <c r="GTV50" s="19"/>
      <c r="GTW50" s="19"/>
      <c r="GTX50" s="19"/>
      <c r="GTY50" s="19"/>
      <c r="GTZ50" s="19"/>
      <c r="GUA50" s="19"/>
      <c r="GUB50" s="19"/>
      <c r="GUC50" s="19"/>
      <c r="GUD50" s="19"/>
      <c r="GUE50" s="19"/>
      <c r="GUF50" s="19"/>
      <c r="GUG50" s="19"/>
      <c r="GUH50" s="19"/>
      <c r="GUI50" s="19"/>
      <c r="GUJ50" s="19"/>
      <c r="GUK50" s="19"/>
      <c r="GUL50" s="19"/>
      <c r="GUM50" s="19"/>
      <c r="GUN50" s="19"/>
      <c r="GUO50" s="19"/>
      <c r="GUP50" s="19"/>
      <c r="GUQ50" s="19"/>
      <c r="GUR50" s="19"/>
      <c r="GUS50" s="19"/>
      <c r="GUT50" s="19"/>
      <c r="GUU50" s="19"/>
      <c r="GUV50" s="19"/>
      <c r="GUW50" s="19"/>
      <c r="GUX50" s="19"/>
      <c r="GUY50" s="19"/>
      <c r="GUZ50" s="19"/>
      <c r="GVA50" s="19"/>
      <c r="GVB50" s="19"/>
      <c r="GVC50" s="19"/>
      <c r="GVD50" s="19"/>
      <c r="GVE50" s="19"/>
      <c r="GVF50" s="19"/>
      <c r="GVG50" s="19"/>
      <c r="GVH50" s="19"/>
      <c r="GVI50" s="19"/>
      <c r="GVJ50" s="19"/>
      <c r="GVK50" s="19"/>
      <c r="GVL50" s="19"/>
      <c r="GVM50" s="19"/>
      <c r="GVN50" s="19"/>
      <c r="GVO50" s="19"/>
      <c r="GVP50" s="19"/>
      <c r="GVQ50" s="19"/>
      <c r="GVR50" s="19"/>
      <c r="GVS50" s="19"/>
      <c r="GVT50" s="19"/>
      <c r="GVU50" s="19"/>
      <c r="GVV50" s="19"/>
      <c r="GVW50" s="19"/>
      <c r="GVX50" s="19"/>
      <c r="GVY50" s="19"/>
      <c r="GVZ50" s="19"/>
      <c r="GWA50" s="19"/>
      <c r="GWB50" s="19"/>
      <c r="GWC50" s="19"/>
      <c r="GWD50" s="19"/>
      <c r="GWE50" s="19"/>
      <c r="GWF50" s="19"/>
      <c r="GWG50" s="19"/>
      <c r="GWH50" s="19"/>
      <c r="GWI50" s="19"/>
      <c r="GWJ50" s="19"/>
      <c r="GWK50" s="19"/>
      <c r="GWL50" s="19"/>
      <c r="GWM50" s="19"/>
      <c r="GWN50" s="19"/>
      <c r="GWO50" s="19"/>
      <c r="GWP50" s="19"/>
      <c r="GWQ50" s="19"/>
      <c r="GWR50" s="19"/>
      <c r="GWS50" s="19"/>
      <c r="GWT50" s="19"/>
      <c r="GWU50" s="19"/>
      <c r="GWV50" s="19"/>
      <c r="GWW50" s="19"/>
      <c r="GWX50" s="19"/>
      <c r="GWY50" s="19"/>
      <c r="GWZ50" s="19"/>
      <c r="GXA50" s="19"/>
      <c r="GXB50" s="19"/>
      <c r="GXC50" s="19"/>
      <c r="GXD50" s="19"/>
      <c r="GXE50" s="19"/>
      <c r="GXF50" s="19"/>
      <c r="GXG50" s="19"/>
      <c r="GXH50" s="19"/>
      <c r="GXI50" s="19"/>
      <c r="GXJ50" s="19"/>
      <c r="GXK50" s="19"/>
      <c r="GXL50" s="19"/>
      <c r="GXM50" s="19"/>
      <c r="GXN50" s="19"/>
      <c r="GXO50" s="19"/>
      <c r="GXP50" s="19"/>
      <c r="GXQ50" s="19"/>
      <c r="GXR50" s="19"/>
      <c r="GXS50" s="19"/>
      <c r="GXT50" s="19"/>
      <c r="GXU50" s="19"/>
      <c r="GXV50" s="19"/>
      <c r="GXW50" s="19"/>
      <c r="GXX50" s="19"/>
      <c r="GXY50" s="19"/>
      <c r="GXZ50" s="19"/>
      <c r="GYA50" s="19"/>
      <c r="GYB50" s="19"/>
      <c r="GYC50" s="19"/>
      <c r="GYD50" s="19"/>
      <c r="GYE50" s="19"/>
      <c r="GYF50" s="19"/>
      <c r="GYG50" s="19"/>
      <c r="GYH50" s="19"/>
      <c r="GYI50" s="19"/>
      <c r="GYJ50" s="19"/>
      <c r="GYK50" s="19"/>
      <c r="GYL50" s="19"/>
      <c r="GYM50" s="19"/>
      <c r="GYN50" s="19"/>
      <c r="GYO50" s="19"/>
      <c r="GYP50" s="19"/>
      <c r="GYQ50" s="19"/>
      <c r="GYR50" s="19"/>
      <c r="GYS50" s="19"/>
      <c r="GYT50" s="19"/>
      <c r="GYU50" s="19"/>
      <c r="GYV50" s="19"/>
      <c r="GYW50" s="19"/>
      <c r="GYX50" s="19"/>
      <c r="GYY50" s="19"/>
      <c r="GYZ50" s="19"/>
      <c r="GZA50" s="19"/>
      <c r="GZB50" s="19"/>
      <c r="GZC50" s="19"/>
      <c r="GZD50" s="19"/>
      <c r="GZE50" s="19"/>
      <c r="GZF50" s="19"/>
      <c r="GZG50" s="19"/>
      <c r="GZH50" s="19"/>
      <c r="GZI50" s="19"/>
      <c r="GZJ50" s="19"/>
      <c r="GZK50" s="19"/>
      <c r="GZL50" s="19"/>
      <c r="GZM50" s="19"/>
      <c r="GZN50" s="19"/>
      <c r="GZO50" s="19"/>
      <c r="GZP50" s="19"/>
      <c r="GZQ50" s="19"/>
      <c r="GZR50" s="19"/>
      <c r="GZS50" s="19"/>
      <c r="GZT50" s="19"/>
      <c r="GZU50" s="19"/>
      <c r="GZV50" s="19"/>
      <c r="GZW50" s="19"/>
      <c r="GZX50" s="19"/>
      <c r="GZY50" s="19"/>
      <c r="GZZ50" s="19"/>
      <c r="HAA50" s="19"/>
      <c r="HAB50" s="19"/>
      <c r="HAC50" s="19"/>
      <c r="HAD50" s="19"/>
      <c r="HAE50" s="19"/>
      <c r="HAF50" s="19"/>
      <c r="HAG50" s="19"/>
      <c r="HAH50" s="19"/>
      <c r="HAI50" s="19"/>
      <c r="HAJ50" s="19"/>
      <c r="HAK50" s="19"/>
      <c r="HAL50" s="19"/>
      <c r="HAM50" s="19"/>
      <c r="HAN50" s="19"/>
      <c r="HAO50" s="19"/>
      <c r="HAP50" s="19"/>
      <c r="HAQ50" s="19"/>
      <c r="HAR50" s="19"/>
      <c r="HAS50" s="19"/>
      <c r="HAT50" s="19"/>
      <c r="HAU50" s="19"/>
      <c r="HAV50" s="19"/>
      <c r="HAW50" s="19"/>
      <c r="HAX50" s="19"/>
      <c r="HAY50" s="19"/>
      <c r="HAZ50" s="19"/>
      <c r="HBA50" s="19"/>
      <c r="HBB50" s="19"/>
      <c r="HBC50" s="19"/>
      <c r="HBD50" s="19"/>
      <c r="HBE50" s="19"/>
      <c r="HBF50" s="19"/>
      <c r="HBG50" s="19"/>
      <c r="HBH50" s="19"/>
      <c r="HBI50" s="19"/>
      <c r="HBJ50" s="19"/>
      <c r="HBK50" s="19"/>
      <c r="HBL50" s="19"/>
      <c r="HBM50" s="19"/>
      <c r="HBN50" s="19"/>
      <c r="HBO50" s="19"/>
      <c r="HBP50" s="19"/>
      <c r="HBQ50" s="19"/>
      <c r="HBR50" s="19"/>
      <c r="HBS50" s="19"/>
      <c r="HBT50" s="19"/>
      <c r="HBU50" s="19"/>
      <c r="HBV50" s="19"/>
      <c r="HBW50" s="19"/>
      <c r="HBX50" s="19"/>
      <c r="HBY50" s="19"/>
      <c r="HBZ50" s="19"/>
      <c r="HCA50" s="19"/>
      <c r="HCB50" s="19"/>
      <c r="HCC50" s="19"/>
      <c r="HCD50" s="19"/>
      <c r="HCE50" s="19"/>
      <c r="HCF50" s="19"/>
      <c r="HCG50" s="19"/>
      <c r="HCH50" s="19"/>
      <c r="HCI50" s="19"/>
      <c r="HCJ50" s="19"/>
      <c r="HCK50" s="19"/>
      <c r="HCL50" s="19"/>
      <c r="HCM50" s="19"/>
      <c r="HCN50" s="19"/>
      <c r="HCO50" s="19"/>
      <c r="HCP50" s="19"/>
      <c r="HCQ50" s="19"/>
      <c r="HCR50" s="19"/>
      <c r="HCS50" s="19"/>
      <c r="HCT50" s="19"/>
      <c r="HCU50" s="19"/>
      <c r="HCV50" s="19"/>
      <c r="HCW50" s="19"/>
      <c r="HCX50" s="19"/>
      <c r="HCY50" s="19"/>
      <c r="HCZ50" s="19"/>
      <c r="HDA50" s="19"/>
      <c r="HDB50" s="19"/>
      <c r="HDC50" s="19"/>
      <c r="HDD50" s="19"/>
      <c r="HDE50" s="19"/>
      <c r="HDF50" s="19"/>
      <c r="HDG50" s="19"/>
      <c r="HDH50" s="19"/>
      <c r="HDI50" s="19"/>
      <c r="HDJ50" s="19"/>
      <c r="HDK50" s="19"/>
      <c r="HDL50" s="19"/>
      <c r="HDM50" s="19"/>
      <c r="HDN50" s="19"/>
      <c r="HDO50" s="19"/>
      <c r="HDP50" s="19"/>
      <c r="HDQ50" s="19"/>
      <c r="HDR50" s="19"/>
      <c r="HDS50" s="19"/>
      <c r="HDT50" s="19"/>
      <c r="HDU50" s="19"/>
      <c r="HDV50" s="19"/>
      <c r="HDW50" s="19"/>
      <c r="HDX50" s="19"/>
      <c r="HDY50" s="19"/>
      <c r="HDZ50" s="19"/>
      <c r="HEA50" s="19"/>
      <c r="HEB50" s="19"/>
      <c r="HEC50" s="19"/>
      <c r="HED50" s="19"/>
      <c r="HEE50" s="19"/>
      <c r="HEF50" s="19"/>
      <c r="HEG50" s="19"/>
      <c r="HEH50" s="19"/>
      <c r="HEI50" s="19"/>
      <c r="HEJ50" s="19"/>
      <c r="HEK50" s="19"/>
      <c r="HEL50" s="19"/>
      <c r="HEM50" s="19"/>
      <c r="HEN50" s="19"/>
      <c r="HEO50" s="19"/>
      <c r="HEP50" s="19"/>
      <c r="HEQ50" s="19"/>
      <c r="HER50" s="19"/>
      <c r="HES50" s="19"/>
      <c r="HET50" s="19"/>
      <c r="HEU50" s="19"/>
      <c r="HEV50" s="19"/>
      <c r="HEW50" s="19"/>
      <c r="HEX50" s="19"/>
      <c r="HEY50" s="19"/>
      <c r="HEZ50" s="19"/>
      <c r="HFA50" s="19"/>
      <c r="HFB50" s="19"/>
      <c r="HFC50" s="19"/>
      <c r="HFD50" s="19"/>
      <c r="HFE50" s="19"/>
      <c r="HFF50" s="19"/>
      <c r="HFG50" s="19"/>
      <c r="HFH50" s="19"/>
      <c r="HFI50" s="19"/>
      <c r="HFJ50" s="19"/>
      <c r="HFK50" s="19"/>
      <c r="HFL50" s="19"/>
      <c r="HFM50" s="19"/>
      <c r="HFN50" s="19"/>
      <c r="HFO50" s="19"/>
      <c r="HFP50" s="19"/>
      <c r="HFQ50" s="19"/>
      <c r="HFR50" s="19"/>
      <c r="HFS50" s="19"/>
      <c r="HFT50" s="19"/>
      <c r="HFU50" s="19"/>
      <c r="HFV50" s="19"/>
      <c r="HFW50" s="19"/>
      <c r="HFX50" s="19"/>
      <c r="HFY50" s="19"/>
      <c r="HFZ50" s="19"/>
      <c r="HGA50" s="19"/>
      <c r="HGB50" s="19"/>
      <c r="HGC50" s="19"/>
      <c r="HGD50" s="19"/>
      <c r="HGE50" s="19"/>
      <c r="HGF50" s="19"/>
      <c r="HGG50" s="19"/>
      <c r="HGH50" s="19"/>
      <c r="HGI50" s="19"/>
      <c r="HGJ50" s="19"/>
      <c r="HGK50" s="19"/>
      <c r="HGL50" s="19"/>
      <c r="HGM50" s="19"/>
      <c r="HGN50" s="19"/>
      <c r="HGO50" s="19"/>
      <c r="HGP50" s="19"/>
      <c r="HGQ50" s="19"/>
      <c r="HGR50" s="19"/>
      <c r="HGS50" s="19"/>
      <c r="HGT50" s="19"/>
      <c r="HGU50" s="19"/>
      <c r="HGV50" s="19"/>
      <c r="HGW50" s="19"/>
      <c r="HGX50" s="19"/>
      <c r="HGY50" s="19"/>
      <c r="HGZ50" s="19"/>
      <c r="HHA50" s="19"/>
      <c r="HHB50" s="19"/>
      <c r="HHC50" s="19"/>
      <c r="HHD50" s="19"/>
      <c r="HHE50" s="19"/>
      <c r="HHF50" s="19"/>
      <c r="HHG50" s="19"/>
      <c r="HHH50" s="19"/>
      <c r="HHI50" s="19"/>
      <c r="HHJ50" s="19"/>
      <c r="HHK50" s="19"/>
      <c r="HHL50" s="19"/>
      <c r="HHM50" s="19"/>
      <c r="HHN50" s="19"/>
      <c r="HHO50" s="19"/>
      <c r="HHP50" s="19"/>
      <c r="HHQ50" s="19"/>
      <c r="HHR50" s="19"/>
      <c r="HHS50" s="19"/>
      <c r="HHT50" s="19"/>
      <c r="HHU50" s="19"/>
      <c r="HHV50" s="19"/>
      <c r="HHW50" s="19"/>
      <c r="HHX50" s="19"/>
      <c r="HHY50" s="19"/>
      <c r="HHZ50" s="19"/>
      <c r="HIA50" s="19"/>
      <c r="HIB50" s="19"/>
      <c r="HIC50" s="19"/>
      <c r="HID50" s="19"/>
      <c r="HIE50" s="19"/>
      <c r="HIF50" s="19"/>
      <c r="HIG50" s="19"/>
      <c r="HIH50" s="19"/>
      <c r="HII50" s="19"/>
      <c r="HIJ50" s="19"/>
      <c r="HIK50" s="19"/>
      <c r="HIL50" s="19"/>
      <c r="HIM50" s="19"/>
      <c r="HIN50" s="19"/>
      <c r="HIO50" s="19"/>
      <c r="HIP50" s="19"/>
      <c r="HIQ50" s="19"/>
      <c r="HIR50" s="19"/>
      <c r="HIS50" s="19"/>
      <c r="HIT50" s="19"/>
      <c r="HIU50" s="19"/>
      <c r="HIV50" s="19"/>
      <c r="HIW50" s="19"/>
      <c r="HIX50" s="19"/>
      <c r="HIY50" s="19"/>
      <c r="HIZ50" s="19"/>
      <c r="HJA50" s="19"/>
      <c r="HJB50" s="19"/>
      <c r="HJC50" s="19"/>
      <c r="HJD50" s="19"/>
      <c r="HJE50" s="19"/>
      <c r="HJF50" s="19"/>
      <c r="HJG50" s="19"/>
      <c r="HJH50" s="19"/>
      <c r="HJI50" s="19"/>
      <c r="HJJ50" s="19"/>
      <c r="HJK50" s="19"/>
      <c r="HJL50" s="19"/>
      <c r="HJM50" s="19"/>
      <c r="HJN50" s="19"/>
      <c r="HJO50" s="19"/>
      <c r="HJP50" s="19"/>
      <c r="HJQ50" s="19"/>
      <c r="HJR50" s="19"/>
      <c r="HJS50" s="19"/>
      <c r="HJT50" s="19"/>
      <c r="HJU50" s="19"/>
      <c r="HJV50" s="19"/>
      <c r="HJW50" s="19"/>
      <c r="HJX50" s="19"/>
      <c r="HJY50" s="19"/>
      <c r="HJZ50" s="19"/>
      <c r="HKA50" s="19"/>
      <c r="HKB50" s="19"/>
      <c r="HKC50" s="19"/>
      <c r="HKD50" s="19"/>
      <c r="HKE50" s="19"/>
      <c r="HKF50" s="19"/>
      <c r="HKG50" s="19"/>
      <c r="HKH50" s="19"/>
      <c r="HKI50" s="19"/>
      <c r="HKJ50" s="19"/>
      <c r="HKK50" s="19"/>
      <c r="HKL50" s="19"/>
      <c r="HKM50" s="19"/>
      <c r="HKN50" s="19"/>
      <c r="HKO50" s="19"/>
      <c r="HKP50" s="19"/>
      <c r="HKQ50" s="19"/>
      <c r="HKR50" s="19"/>
      <c r="HKS50" s="19"/>
      <c r="HKT50" s="19"/>
      <c r="HKU50" s="19"/>
      <c r="HKV50" s="19"/>
      <c r="HKW50" s="19"/>
      <c r="HKX50" s="19"/>
      <c r="HKY50" s="19"/>
      <c r="HKZ50" s="19"/>
      <c r="HLA50" s="19"/>
      <c r="HLB50" s="19"/>
      <c r="HLC50" s="19"/>
      <c r="HLD50" s="19"/>
      <c r="HLE50" s="19"/>
      <c r="HLF50" s="19"/>
      <c r="HLG50" s="19"/>
      <c r="HLH50" s="19"/>
      <c r="HLI50" s="19"/>
      <c r="HLJ50" s="19"/>
      <c r="HLK50" s="19"/>
      <c r="HLL50" s="19"/>
      <c r="HLM50" s="19"/>
      <c r="HLN50" s="19"/>
      <c r="HLO50" s="19"/>
      <c r="HLP50" s="19"/>
      <c r="HLQ50" s="19"/>
      <c r="HLR50" s="19"/>
      <c r="HLS50" s="19"/>
      <c r="HLT50" s="19"/>
      <c r="HLU50" s="19"/>
      <c r="HLV50" s="19"/>
      <c r="HLW50" s="19"/>
      <c r="HLX50" s="19"/>
      <c r="HLY50" s="19"/>
      <c r="HLZ50" s="19"/>
      <c r="HMA50" s="19"/>
      <c r="HMB50" s="19"/>
      <c r="HMC50" s="19"/>
      <c r="HMD50" s="19"/>
      <c r="HME50" s="19"/>
      <c r="HMF50" s="19"/>
      <c r="HMG50" s="19"/>
      <c r="HMH50" s="19"/>
      <c r="HMI50" s="19"/>
      <c r="HMJ50" s="19"/>
      <c r="HMK50" s="19"/>
      <c r="HML50" s="19"/>
      <c r="HMM50" s="19"/>
      <c r="HMN50" s="19"/>
      <c r="HMO50" s="19"/>
      <c r="HMP50" s="19"/>
      <c r="HMQ50" s="19"/>
      <c r="HMR50" s="19"/>
      <c r="HMS50" s="19"/>
      <c r="HMT50" s="19"/>
      <c r="HMU50" s="19"/>
      <c r="HMV50" s="19"/>
      <c r="HMW50" s="19"/>
      <c r="HMX50" s="19"/>
      <c r="HMY50" s="19"/>
      <c r="HMZ50" s="19"/>
      <c r="HNA50" s="19"/>
      <c r="HNB50" s="19"/>
      <c r="HNC50" s="19"/>
      <c r="HND50" s="19"/>
      <c r="HNE50" s="19"/>
      <c r="HNF50" s="19"/>
      <c r="HNG50" s="19"/>
      <c r="HNH50" s="19"/>
      <c r="HNI50" s="19"/>
      <c r="HNJ50" s="19"/>
      <c r="HNK50" s="19"/>
      <c r="HNL50" s="19"/>
      <c r="HNM50" s="19"/>
      <c r="HNN50" s="19"/>
      <c r="HNO50" s="19"/>
      <c r="HNP50" s="19"/>
      <c r="HNQ50" s="19"/>
      <c r="HNR50" s="19"/>
      <c r="HNS50" s="19"/>
      <c r="HNT50" s="19"/>
      <c r="HNU50" s="19"/>
      <c r="HNV50" s="19"/>
      <c r="HNW50" s="19"/>
      <c r="HNX50" s="19"/>
      <c r="HNY50" s="19"/>
      <c r="HNZ50" s="19"/>
      <c r="HOA50" s="19"/>
      <c r="HOB50" s="19"/>
      <c r="HOC50" s="19"/>
      <c r="HOD50" s="19"/>
      <c r="HOE50" s="19"/>
      <c r="HOF50" s="19"/>
      <c r="HOG50" s="19"/>
      <c r="HOH50" s="19"/>
      <c r="HOI50" s="19"/>
      <c r="HOJ50" s="19"/>
      <c r="HOK50" s="19"/>
      <c r="HOL50" s="19"/>
      <c r="HOM50" s="19"/>
      <c r="HON50" s="19"/>
      <c r="HOO50" s="19"/>
      <c r="HOP50" s="19"/>
      <c r="HOQ50" s="19"/>
      <c r="HOR50" s="19"/>
      <c r="HOS50" s="19"/>
      <c r="HOT50" s="19"/>
      <c r="HOU50" s="19"/>
      <c r="HOV50" s="19"/>
      <c r="HOW50" s="19"/>
      <c r="HOX50" s="19"/>
      <c r="HOY50" s="19"/>
      <c r="HOZ50" s="19"/>
      <c r="HPA50" s="19"/>
      <c r="HPB50" s="19"/>
      <c r="HPC50" s="19"/>
      <c r="HPD50" s="19"/>
      <c r="HPE50" s="19"/>
      <c r="HPF50" s="19"/>
      <c r="HPG50" s="19"/>
      <c r="HPH50" s="19"/>
      <c r="HPI50" s="19"/>
      <c r="HPJ50" s="19"/>
      <c r="HPK50" s="19"/>
      <c r="HPL50" s="19"/>
      <c r="HPM50" s="19"/>
      <c r="HPN50" s="19"/>
      <c r="HPO50" s="19"/>
      <c r="HPP50" s="19"/>
      <c r="HPQ50" s="19"/>
      <c r="HPR50" s="19"/>
      <c r="HPS50" s="19"/>
      <c r="HPT50" s="19"/>
      <c r="HPU50" s="19"/>
      <c r="HPV50" s="19"/>
      <c r="HPW50" s="19"/>
      <c r="HPX50" s="19"/>
      <c r="HPY50" s="19"/>
      <c r="HPZ50" s="19"/>
      <c r="HQA50" s="19"/>
      <c r="HQB50" s="19"/>
      <c r="HQC50" s="19"/>
      <c r="HQD50" s="19"/>
      <c r="HQE50" s="19"/>
      <c r="HQF50" s="19"/>
      <c r="HQG50" s="19"/>
      <c r="HQH50" s="19"/>
      <c r="HQI50" s="19"/>
      <c r="HQJ50" s="19"/>
      <c r="HQK50" s="19"/>
      <c r="HQL50" s="19"/>
      <c r="HQM50" s="19"/>
      <c r="HQN50" s="19"/>
      <c r="HQO50" s="19"/>
      <c r="HQP50" s="19"/>
      <c r="HQQ50" s="19"/>
      <c r="HQR50" s="19"/>
      <c r="HQS50" s="19"/>
      <c r="HQT50" s="19"/>
      <c r="HQU50" s="19"/>
      <c r="HQV50" s="19"/>
      <c r="HQW50" s="19"/>
      <c r="HQX50" s="19"/>
      <c r="HQY50" s="19"/>
      <c r="HQZ50" s="19"/>
      <c r="HRA50" s="19"/>
      <c r="HRB50" s="19"/>
      <c r="HRC50" s="19"/>
      <c r="HRD50" s="19"/>
      <c r="HRE50" s="19"/>
      <c r="HRF50" s="19"/>
      <c r="HRG50" s="19"/>
      <c r="HRH50" s="19"/>
      <c r="HRI50" s="19"/>
      <c r="HRJ50" s="19"/>
      <c r="HRK50" s="19"/>
      <c r="HRL50" s="19"/>
      <c r="HRM50" s="19"/>
      <c r="HRN50" s="19"/>
      <c r="HRO50" s="19"/>
      <c r="HRP50" s="19"/>
      <c r="HRQ50" s="19"/>
      <c r="HRR50" s="19"/>
      <c r="HRS50" s="19"/>
      <c r="HRT50" s="19"/>
      <c r="HRU50" s="19"/>
      <c r="HRV50" s="19"/>
      <c r="HRW50" s="19"/>
      <c r="HRX50" s="19"/>
      <c r="HRY50" s="19"/>
      <c r="HRZ50" s="19"/>
      <c r="HSA50" s="19"/>
      <c r="HSB50" s="19"/>
      <c r="HSC50" s="19"/>
      <c r="HSD50" s="19"/>
      <c r="HSE50" s="19"/>
      <c r="HSF50" s="19"/>
      <c r="HSG50" s="19"/>
      <c r="HSH50" s="19"/>
      <c r="HSI50" s="19"/>
      <c r="HSJ50" s="19"/>
      <c r="HSK50" s="19"/>
      <c r="HSL50" s="19"/>
      <c r="HSM50" s="19"/>
      <c r="HSN50" s="19"/>
      <c r="HSO50" s="19"/>
      <c r="HSP50" s="19"/>
      <c r="HSQ50" s="19"/>
      <c r="HSR50" s="19"/>
      <c r="HSS50" s="19"/>
      <c r="HST50" s="19"/>
      <c r="HSU50" s="19"/>
      <c r="HSV50" s="19"/>
      <c r="HSW50" s="19"/>
      <c r="HSX50" s="19"/>
      <c r="HSY50" s="19"/>
      <c r="HSZ50" s="19"/>
      <c r="HTA50" s="19"/>
      <c r="HTB50" s="19"/>
      <c r="HTC50" s="19"/>
      <c r="HTD50" s="19"/>
      <c r="HTE50" s="19"/>
      <c r="HTF50" s="19"/>
      <c r="HTG50" s="19"/>
      <c r="HTH50" s="19"/>
      <c r="HTI50" s="19"/>
      <c r="HTJ50" s="19"/>
      <c r="HTK50" s="19"/>
      <c r="HTL50" s="19"/>
      <c r="HTM50" s="19"/>
      <c r="HTN50" s="19"/>
      <c r="HTO50" s="19"/>
      <c r="HTP50" s="19"/>
      <c r="HTQ50" s="19"/>
      <c r="HTR50" s="19"/>
      <c r="HTS50" s="19"/>
      <c r="HTT50" s="19"/>
      <c r="HTU50" s="19"/>
      <c r="HTV50" s="19"/>
      <c r="HTW50" s="19"/>
      <c r="HTX50" s="19"/>
      <c r="HTY50" s="19"/>
      <c r="HTZ50" s="19"/>
      <c r="HUA50" s="19"/>
      <c r="HUB50" s="19"/>
      <c r="HUC50" s="19"/>
      <c r="HUD50" s="19"/>
      <c r="HUE50" s="19"/>
      <c r="HUF50" s="19"/>
      <c r="HUG50" s="19"/>
      <c r="HUH50" s="19"/>
      <c r="HUI50" s="19"/>
      <c r="HUJ50" s="19"/>
      <c r="HUK50" s="19"/>
      <c r="HUL50" s="19"/>
      <c r="HUM50" s="19"/>
      <c r="HUN50" s="19"/>
      <c r="HUO50" s="19"/>
      <c r="HUP50" s="19"/>
      <c r="HUQ50" s="19"/>
      <c r="HUR50" s="19"/>
      <c r="HUS50" s="19"/>
      <c r="HUT50" s="19"/>
      <c r="HUU50" s="19"/>
      <c r="HUV50" s="19"/>
      <c r="HUW50" s="19"/>
      <c r="HUX50" s="19"/>
      <c r="HUY50" s="19"/>
      <c r="HUZ50" s="19"/>
      <c r="HVA50" s="19"/>
      <c r="HVB50" s="19"/>
      <c r="HVC50" s="19"/>
      <c r="HVD50" s="19"/>
      <c r="HVE50" s="19"/>
      <c r="HVF50" s="19"/>
      <c r="HVG50" s="19"/>
      <c r="HVH50" s="19"/>
      <c r="HVI50" s="19"/>
      <c r="HVJ50" s="19"/>
      <c r="HVK50" s="19"/>
      <c r="HVL50" s="19"/>
      <c r="HVM50" s="19"/>
      <c r="HVN50" s="19"/>
      <c r="HVO50" s="19"/>
      <c r="HVP50" s="19"/>
      <c r="HVQ50" s="19"/>
      <c r="HVR50" s="19"/>
      <c r="HVS50" s="19"/>
      <c r="HVT50" s="19"/>
      <c r="HVU50" s="19"/>
      <c r="HVV50" s="19"/>
      <c r="HVW50" s="19"/>
      <c r="HVX50" s="19"/>
      <c r="HVY50" s="19"/>
      <c r="HVZ50" s="19"/>
      <c r="HWA50" s="19"/>
      <c r="HWB50" s="19"/>
      <c r="HWC50" s="19"/>
      <c r="HWD50" s="19"/>
      <c r="HWE50" s="19"/>
      <c r="HWF50" s="19"/>
      <c r="HWG50" s="19"/>
      <c r="HWH50" s="19"/>
      <c r="HWI50" s="19"/>
      <c r="HWJ50" s="19"/>
      <c r="HWK50" s="19"/>
      <c r="HWL50" s="19"/>
      <c r="HWM50" s="19"/>
      <c r="HWN50" s="19"/>
      <c r="HWO50" s="19"/>
      <c r="HWP50" s="19"/>
      <c r="HWQ50" s="19"/>
      <c r="HWR50" s="19"/>
      <c r="HWS50" s="19"/>
      <c r="HWT50" s="19"/>
      <c r="HWU50" s="19"/>
      <c r="HWV50" s="19"/>
      <c r="HWW50" s="19"/>
      <c r="HWX50" s="19"/>
      <c r="HWY50" s="19"/>
      <c r="HWZ50" s="19"/>
      <c r="HXA50" s="19"/>
      <c r="HXB50" s="19"/>
      <c r="HXC50" s="19"/>
      <c r="HXD50" s="19"/>
      <c r="HXE50" s="19"/>
      <c r="HXF50" s="19"/>
      <c r="HXG50" s="19"/>
      <c r="HXH50" s="19"/>
      <c r="HXI50" s="19"/>
      <c r="HXJ50" s="19"/>
      <c r="HXK50" s="19"/>
      <c r="HXL50" s="19"/>
      <c r="HXM50" s="19"/>
      <c r="HXN50" s="19"/>
      <c r="HXO50" s="19"/>
      <c r="HXP50" s="19"/>
      <c r="HXQ50" s="19"/>
      <c r="HXR50" s="19"/>
      <c r="HXS50" s="19"/>
      <c r="HXT50" s="19"/>
      <c r="HXU50" s="19"/>
      <c r="HXV50" s="19"/>
      <c r="HXW50" s="19"/>
      <c r="HXX50" s="19"/>
      <c r="HXY50" s="19"/>
      <c r="HXZ50" s="19"/>
      <c r="HYA50" s="19"/>
      <c r="HYB50" s="19"/>
      <c r="HYC50" s="19"/>
      <c r="HYD50" s="19"/>
      <c r="HYE50" s="19"/>
      <c r="HYF50" s="19"/>
      <c r="HYG50" s="19"/>
      <c r="HYH50" s="19"/>
      <c r="HYI50" s="19"/>
      <c r="HYJ50" s="19"/>
      <c r="HYK50" s="19"/>
      <c r="HYL50" s="19"/>
      <c r="HYM50" s="19"/>
      <c r="HYN50" s="19"/>
      <c r="HYO50" s="19"/>
      <c r="HYP50" s="19"/>
      <c r="HYQ50" s="19"/>
      <c r="HYR50" s="19"/>
      <c r="HYS50" s="19"/>
      <c r="HYT50" s="19"/>
      <c r="HYU50" s="19"/>
      <c r="HYV50" s="19"/>
      <c r="HYW50" s="19"/>
      <c r="HYX50" s="19"/>
      <c r="HYY50" s="19"/>
      <c r="HYZ50" s="19"/>
      <c r="HZA50" s="19"/>
      <c r="HZB50" s="19"/>
      <c r="HZC50" s="19"/>
      <c r="HZD50" s="19"/>
      <c r="HZE50" s="19"/>
      <c r="HZF50" s="19"/>
      <c r="HZG50" s="19"/>
      <c r="HZH50" s="19"/>
      <c r="HZI50" s="19"/>
      <c r="HZJ50" s="19"/>
      <c r="HZK50" s="19"/>
      <c r="HZL50" s="19"/>
      <c r="HZM50" s="19"/>
      <c r="HZN50" s="19"/>
      <c r="HZO50" s="19"/>
      <c r="HZP50" s="19"/>
      <c r="HZQ50" s="19"/>
      <c r="HZR50" s="19"/>
      <c r="HZS50" s="19"/>
      <c r="HZT50" s="19"/>
      <c r="HZU50" s="19"/>
      <c r="HZV50" s="19"/>
      <c r="HZW50" s="19"/>
      <c r="HZX50" s="19"/>
      <c r="HZY50" s="19"/>
      <c r="HZZ50" s="19"/>
      <c r="IAA50" s="19"/>
      <c r="IAB50" s="19"/>
      <c r="IAC50" s="19"/>
      <c r="IAD50" s="19"/>
      <c r="IAE50" s="19"/>
      <c r="IAF50" s="19"/>
      <c r="IAG50" s="19"/>
      <c r="IAH50" s="19"/>
      <c r="IAI50" s="19"/>
      <c r="IAJ50" s="19"/>
      <c r="IAK50" s="19"/>
      <c r="IAL50" s="19"/>
      <c r="IAM50" s="19"/>
      <c r="IAN50" s="19"/>
      <c r="IAO50" s="19"/>
      <c r="IAP50" s="19"/>
      <c r="IAQ50" s="19"/>
      <c r="IAR50" s="19"/>
      <c r="IAS50" s="19"/>
      <c r="IAT50" s="19"/>
      <c r="IAU50" s="19"/>
      <c r="IAV50" s="19"/>
      <c r="IAW50" s="19"/>
      <c r="IAX50" s="19"/>
      <c r="IAY50" s="19"/>
      <c r="IAZ50" s="19"/>
      <c r="IBA50" s="19"/>
      <c r="IBB50" s="19"/>
      <c r="IBC50" s="19"/>
      <c r="IBD50" s="19"/>
      <c r="IBE50" s="19"/>
      <c r="IBF50" s="19"/>
      <c r="IBG50" s="19"/>
      <c r="IBH50" s="19"/>
      <c r="IBI50" s="19"/>
      <c r="IBJ50" s="19"/>
      <c r="IBK50" s="19"/>
      <c r="IBL50" s="19"/>
      <c r="IBM50" s="19"/>
      <c r="IBN50" s="19"/>
      <c r="IBO50" s="19"/>
      <c r="IBP50" s="19"/>
      <c r="IBQ50" s="19"/>
      <c r="IBR50" s="19"/>
      <c r="IBS50" s="19"/>
      <c r="IBT50" s="19"/>
      <c r="IBU50" s="19"/>
      <c r="IBV50" s="19"/>
      <c r="IBW50" s="19"/>
      <c r="IBX50" s="19"/>
      <c r="IBY50" s="19"/>
      <c r="IBZ50" s="19"/>
      <c r="ICA50" s="19"/>
      <c r="ICB50" s="19"/>
      <c r="ICC50" s="19"/>
      <c r="ICD50" s="19"/>
      <c r="ICE50" s="19"/>
      <c r="ICF50" s="19"/>
      <c r="ICG50" s="19"/>
      <c r="ICH50" s="19"/>
      <c r="ICI50" s="19"/>
      <c r="ICJ50" s="19"/>
      <c r="ICK50" s="19"/>
      <c r="ICL50" s="19"/>
      <c r="ICM50" s="19"/>
      <c r="ICN50" s="19"/>
      <c r="ICO50" s="19"/>
      <c r="ICP50" s="19"/>
      <c r="ICQ50" s="19"/>
      <c r="ICR50" s="19"/>
      <c r="ICS50" s="19"/>
      <c r="ICT50" s="19"/>
      <c r="ICU50" s="19"/>
      <c r="ICV50" s="19"/>
      <c r="ICW50" s="19"/>
      <c r="ICX50" s="19"/>
      <c r="ICY50" s="19"/>
      <c r="ICZ50" s="19"/>
      <c r="IDA50" s="19"/>
      <c r="IDB50" s="19"/>
      <c r="IDC50" s="19"/>
      <c r="IDD50" s="19"/>
      <c r="IDE50" s="19"/>
      <c r="IDF50" s="19"/>
      <c r="IDG50" s="19"/>
      <c r="IDH50" s="19"/>
      <c r="IDI50" s="19"/>
      <c r="IDJ50" s="19"/>
      <c r="IDK50" s="19"/>
      <c r="IDL50" s="19"/>
      <c r="IDM50" s="19"/>
      <c r="IDN50" s="19"/>
      <c r="IDO50" s="19"/>
      <c r="IDP50" s="19"/>
      <c r="IDQ50" s="19"/>
      <c r="IDR50" s="19"/>
      <c r="IDS50" s="19"/>
      <c r="IDT50" s="19"/>
      <c r="IDU50" s="19"/>
      <c r="IDV50" s="19"/>
      <c r="IDW50" s="19"/>
      <c r="IDX50" s="19"/>
      <c r="IDY50" s="19"/>
      <c r="IDZ50" s="19"/>
      <c r="IEA50" s="19"/>
      <c r="IEB50" s="19"/>
      <c r="IEC50" s="19"/>
      <c r="IED50" s="19"/>
      <c r="IEE50" s="19"/>
      <c r="IEF50" s="19"/>
      <c r="IEG50" s="19"/>
      <c r="IEH50" s="19"/>
      <c r="IEI50" s="19"/>
      <c r="IEJ50" s="19"/>
      <c r="IEK50" s="19"/>
      <c r="IEL50" s="19"/>
      <c r="IEM50" s="19"/>
      <c r="IEN50" s="19"/>
      <c r="IEO50" s="19"/>
      <c r="IEP50" s="19"/>
      <c r="IEQ50" s="19"/>
      <c r="IER50" s="19"/>
      <c r="IES50" s="19"/>
      <c r="IET50" s="19"/>
      <c r="IEU50" s="19"/>
      <c r="IEV50" s="19"/>
      <c r="IEW50" s="19"/>
      <c r="IEX50" s="19"/>
      <c r="IEY50" s="19"/>
      <c r="IEZ50" s="19"/>
      <c r="IFA50" s="19"/>
      <c r="IFB50" s="19"/>
      <c r="IFC50" s="19"/>
      <c r="IFD50" s="19"/>
      <c r="IFE50" s="19"/>
      <c r="IFF50" s="19"/>
      <c r="IFG50" s="19"/>
      <c r="IFH50" s="19"/>
      <c r="IFI50" s="19"/>
      <c r="IFJ50" s="19"/>
      <c r="IFK50" s="19"/>
      <c r="IFL50" s="19"/>
      <c r="IFM50" s="19"/>
      <c r="IFN50" s="19"/>
      <c r="IFO50" s="19"/>
      <c r="IFP50" s="19"/>
      <c r="IFQ50" s="19"/>
      <c r="IFR50" s="19"/>
      <c r="IFS50" s="19"/>
      <c r="IFT50" s="19"/>
      <c r="IFU50" s="19"/>
      <c r="IFV50" s="19"/>
      <c r="IFW50" s="19"/>
      <c r="IFX50" s="19"/>
      <c r="IFY50" s="19"/>
      <c r="IFZ50" s="19"/>
      <c r="IGA50" s="19"/>
      <c r="IGB50" s="19"/>
      <c r="IGC50" s="19"/>
      <c r="IGD50" s="19"/>
      <c r="IGE50" s="19"/>
      <c r="IGF50" s="19"/>
      <c r="IGG50" s="19"/>
      <c r="IGH50" s="19"/>
      <c r="IGI50" s="19"/>
      <c r="IGJ50" s="19"/>
      <c r="IGK50" s="19"/>
      <c r="IGL50" s="19"/>
      <c r="IGM50" s="19"/>
      <c r="IGN50" s="19"/>
      <c r="IGO50" s="19"/>
      <c r="IGP50" s="19"/>
      <c r="IGQ50" s="19"/>
      <c r="IGR50" s="19"/>
      <c r="IGS50" s="19"/>
      <c r="IGT50" s="19"/>
      <c r="IGU50" s="19"/>
      <c r="IGV50" s="19"/>
      <c r="IGW50" s="19"/>
      <c r="IGX50" s="19"/>
      <c r="IGY50" s="19"/>
      <c r="IGZ50" s="19"/>
      <c r="IHA50" s="19"/>
      <c r="IHB50" s="19"/>
      <c r="IHC50" s="19"/>
      <c r="IHD50" s="19"/>
      <c r="IHE50" s="19"/>
      <c r="IHF50" s="19"/>
      <c r="IHG50" s="19"/>
      <c r="IHH50" s="19"/>
      <c r="IHI50" s="19"/>
      <c r="IHJ50" s="19"/>
      <c r="IHK50" s="19"/>
      <c r="IHL50" s="19"/>
      <c r="IHM50" s="19"/>
      <c r="IHN50" s="19"/>
      <c r="IHO50" s="19"/>
      <c r="IHP50" s="19"/>
      <c r="IHQ50" s="19"/>
      <c r="IHR50" s="19"/>
      <c r="IHS50" s="19"/>
      <c r="IHT50" s="19"/>
      <c r="IHU50" s="19"/>
      <c r="IHV50" s="19"/>
      <c r="IHW50" s="19"/>
      <c r="IHX50" s="19"/>
      <c r="IHY50" s="19"/>
      <c r="IHZ50" s="19"/>
      <c r="IIA50" s="19"/>
      <c r="IIB50" s="19"/>
      <c r="IIC50" s="19"/>
      <c r="IID50" s="19"/>
      <c r="IIE50" s="19"/>
      <c r="IIF50" s="19"/>
      <c r="IIG50" s="19"/>
      <c r="IIH50" s="19"/>
      <c r="III50" s="19"/>
      <c r="IIJ50" s="19"/>
      <c r="IIK50" s="19"/>
      <c r="IIL50" s="19"/>
      <c r="IIM50" s="19"/>
      <c r="IIN50" s="19"/>
      <c r="IIO50" s="19"/>
      <c r="IIP50" s="19"/>
      <c r="IIQ50" s="19"/>
      <c r="IIR50" s="19"/>
      <c r="IIS50" s="19"/>
      <c r="IIT50" s="19"/>
      <c r="IIU50" s="19"/>
      <c r="IIV50" s="19"/>
      <c r="IIW50" s="19"/>
      <c r="IIX50" s="19"/>
      <c r="IIY50" s="19"/>
      <c r="IIZ50" s="19"/>
      <c r="IJA50" s="19"/>
      <c r="IJB50" s="19"/>
      <c r="IJC50" s="19"/>
      <c r="IJD50" s="19"/>
      <c r="IJE50" s="19"/>
      <c r="IJF50" s="19"/>
      <c r="IJG50" s="19"/>
      <c r="IJH50" s="19"/>
      <c r="IJI50" s="19"/>
      <c r="IJJ50" s="19"/>
      <c r="IJK50" s="19"/>
      <c r="IJL50" s="19"/>
      <c r="IJM50" s="19"/>
      <c r="IJN50" s="19"/>
      <c r="IJO50" s="19"/>
      <c r="IJP50" s="19"/>
      <c r="IJQ50" s="19"/>
      <c r="IJR50" s="19"/>
      <c r="IJS50" s="19"/>
      <c r="IJT50" s="19"/>
      <c r="IJU50" s="19"/>
      <c r="IJV50" s="19"/>
      <c r="IJW50" s="19"/>
      <c r="IJX50" s="19"/>
      <c r="IJY50" s="19"/>
      <c r="IJZ50" s="19"/>
      <c r="IKA50" s="19"/>
      <c r="IKB50" s="19"/>
      <c r="IKC50" s="19"/>
      <c r="IKD50" s="19"/>
      <c r="IKE50" s="19"/>
      <c r="IKF50" s="19"/>
      <c r="IKG50" s="19"/>
      <c r="IKH50" s="19"/>
      <c r="IKI50" s="19"/>
      <c r="IKJ50" s="19"/>
      <c r="IKK50" s="19"/>
      <c r="IKL50" s="19"/>
      <c r="IKM50" s="19"/>
      <c r="IKN50" s="19"/>
      <c r="IKO50" s="19"/>
      <c r="IKP50" s="19"/>
      <c r="IKQ50" s="19"/>
      <c r="IKR50" s="19"/>
      <c r="IKS50" s="19"/>
      <c r="IKT50" s="19"/>
      <c r="IKU50" s="19"/>
      <c r="IKV50" s="19"/>
      <c r="IKW50" s="19"/>
      <c r="IKX50" s="19"/>
      <c r="IKY50" s="19"/>
      <c r="IKZ50" s="19"/>
      <c r="ILA50" s="19"/>
      <c r="ILB50" s="19"/>
      <c r="ILC50" s="19"/>
      <c r="ILD50" s="19"/>
      <c r="ILE50" s="19"/>
      <c r="ILF50" s="19"/>
      <c r="ILG50" s="19"/>
      <c r="ILH50" s="19"/>
      <c r="ILI50" s="19"/>
      <c r="ILJ50" s="19"/>
      <c r="ILK50" s="19"/>
      <c r="ILL50" s="19"/>
      <c r="ILM50" s="19"/>
      <c r="ILN50" s="19"/>
      <c r="ILO50" s="19"/>
      <c r="ILP50" s="19"/>
      <c r="ILQ50" s="19"/>
      <c r="ILR50" s="19"/>
      <c r="ILS50" s="19"/>
      <c r="ILT50" s="19"/>
      <c r="ILU50" s="19"/>
      <c r="ILV50" s="19"/>
      <c r="ILW50" s="19"/>
      <c r="ILX50" s="19"/>
      <c r="ILY50" s="19"/>
      <c r="ILZ50" s="19"/>
      <c r="IMA50" s="19"/>
      <c r="IMB50" s="19"/>
      <c r="IMC50" s="19"/>
      <c r="IMD50" s="19"/>
      <c r="IME50" s="19"/>
      <c r="IMF50" s="19"/>
      <c r="IMG50" s="19"/>
      <c r="IMH50" s="19"/>
      <c r="IMI50" s="19"/>
      <c r="IMJ50" s="19"/>
      <c r="IMK50" s="19"/>
      <c r="IML50" s="19"/>
      <c r="IMM50" s="19"/>
      <c r="IMN50" s="19"/>
      <c r="IMO50" s="19"/>
      <c r="IMP50" s="19"/>
      <c r="IMQ50" s="19"/>
      <c r="IMR50" s="19"/>
      <c r="IMS50" s="19"/>
      <c r="IMT50" s="19"/>
      <c r="IMU50" s="19"/>
      <c r="IMV50" s="19"/>
      <c r="IMW50" s="19"/>
      <c r="IMX50" s="19"/>
      <c r="IMY50" s="19"/>
      <c r="IMZ50" s="19"/>
      <c r="INA50" s="19"/>
      <c r="INB50" s="19"/>
      <c r="INC50" s="19"/>
      <c r="IND50" s="19"/>
      <c r="INE50" s="19"/>
      <c r="INF50" s="19"/>
      <c r="ING50" s="19"/>
      <c r="INH50" s="19"/>
      <c r="INI50" s="19"/>
      <c r="INJ50" s="19"/>
      <c r="INK50" s="19"/>
      <c r="INL50" s="19"/>
      <c r="INM50" s="19"/>
      <c r="INN50" s="19"/>
      <c r="INO50" s="19"/>
      <c r="INP50" s="19"/>
      <c r="INQ50" s="19"/>
      <c r="INR50" s="19"/>
      <c r="INS50" s="19"/>
      <c r="INT50" s="19"/>
      <c r="INU50" s="19"/>
      <c r="INV50" s="19"/>
      <c r="INW50" s="19"/>
      <c r="INX50" s="19"/>
      <c r="INY50" s="19"/>
      <c r="INZ50" s="19"/>
      <c r="IOA50" s="19"/>
      <c r="IOB50" s="19"/>
      <c r="IOC50" s="19"/>
      <c r="IOD50" s="19"/>
      <c r="IOE50" s="19"/>
      <c r="IOF50" s="19"/>
      <c r="IOG50" s="19"/>
      <c r="IOH50" s="19"/>
      <c r="IOI50" s="19"/>
      <c r="IOJ50" s="19"/>
      <c r="IOK50" s="19"/>
      <c r="IOL50" s="19"/>
      <c r="IOM50" s="19"/>
      <c r="ION50" s="19"/>
      <c r="IOO50" s="19"/>
      <c r="IOP50" s="19"/>
      <c r="IOQ50" s="19"/>
      <c r="IOR50" s="19"/>
      <c r="IOS50" s="19"/>
      <c r="IOT50" s="19"/>
      <c r="IOU50" s="19"/>
      <c r="IOV50" s="19"/>
      <c r="IOW50" s="19"/>
      <c r="IOX50" s="19"/>
      <c r="IOY50" s="19"/>
      <c r="IOZ50" s="19"/>
      <c r="IPA50" s="19"/>
      <c r="IPB50" s="19"/>
      <c r="IPC50" s="19"/>
      <c r="IPD50" s="19"/>
      <c r="IPE50" s="19"/>
      <c r="IPF50" s="19"/>
      <c r="IPG50" s="19"/>
      <c r="IPH50" s="19"/>
      <c r="IPI50" s="19"/>
      <c r="IPJ50" s="19"/>
      <c r="IPK50" s="19"/>
      <c r="IPL50" s="19"/>
      <c r="IPM50" s="19"/>
      <c r="IPN50" s="19"/>
      <c r="IPO50" s="19"/>
      <c r="IPP50" s="19"/>
      <c r="IPQ50" s="19"/>
      <c r="IPR50" s="19"/>
      <c r="IPS50" s="19"/>
      <c r="IPT50" s="19"/>
      <c r="IPU50" s="19"/>
      <c r="IPV50" s="19"/>
      <c r="IPW50" s="19"/>
      <c r="IPX50" s="19"/>
      <c r="IPY50" s="19"/>
      <c r="IPZ50" s="19"/>
      <c r="IQA50" s="19"/>
      <c r="IQB50" s="19"/>
      <c r="IQC50" s="19"/>
      <c r="IQD50" s="19"/>
      <c r="IQE50" s="19"/>
      <c r="IQF50" s="19"/>
      <c r="IQG50" s="19"/>
      <c r="IQH50" s="19"/>
      <c r="IQI50" s="19"/>
      <c r="IQJ50" s="19"/>
      <c r="IQK50" s="19"/>
      <c r="IQL50" s="19"/>
      <c r="IQM50" s="19"/>
      <c r="IQN50" s="19"/>
      <c r="IQO50" s="19"/>
      <c r="IQP50" s="19"/>
      <c r="IQQ50" s="19"/>
      <c r="IQR50" s="19"/>
      <c r="IQS50" s="19"/>
      <c r="IQT50" s="19"/>
      <c r="IQU50" s="19"/>
      <c r="IQV50" s="19"/>
      <c r="IQW50" s="19"/>
      <c r="IQX50" s="19"/>
      <c r="IQY50" s="19"/>
      <c r="IQZ50" s="19"/>
      <c r="IRA50" s="19"/>
      <c r="IRB50" s="19"/>
      <c r="IRC50" s="19"/>
      <c r="IRD50" s="19"/>
      <c r="IRE50" s="19"/>
      <c r="IRF50" s="19"/>
      <c r="IRG50" s="19"/>
      <c r="IRH50" s="19"/>
      <c r="IRI50" s="19"/>
      <c r="IRJ50" s="19"/>
      <c r="IRK50" s="19"/>
      <c r="IRL50" s="19"/>
      <c r="IRM50" s="19"/>
      <c r="IRN50" s="19"/>
      <c r="IRO50" s="19"/>
      <c r="IRP50" s="19"/>
      <c r="IRQ50" s="19"/>
      <c r="IRR50" s="19"/>
      <c r="IRS50" s="19"/>
      <c r="IRT50" s="19"/>
      <c r="IRU50" s="19"/>
      <c r="IRV50" s="19"/>
      <c r="IRW50" s="19"/>
      <c r="IRX50" s="19"/>
      <c r="IRY50" s="19"/>
      <c r="IRZ50" s="19"/>
      <c r="ISA50" s="19"/>
      <c r="ISB50" s="19"/>
      <c r="ISC50" s="19"/>
      <c r="ISD50" s="19"/>
      <c r="ISE50" s="19"/>
      <c r="ISF50" s="19"/>
      <c r="ISG50" s="19"/>
      <c r="ISH50" s="19"/>
      <c r="ISI50" s="19"/>
      <c r="ISJ50" s="19"/>
      <c r="ISK50" s="19"/>
      <c r="ISL50" s="19"/>
      <c r="ISM50" s="19"/>
      <c r="ISN50" s="19"/>
      <c r="ISO50" s="19"/>
      <c r="ISP50" s="19"/>
      <c r="ISQ50" s="19"/>
      <c r="ISR50" s="19"/>
      <c r="ISS50" s="19"/>
      <c r="IST50" s="19"/>
      <c r="ISU50" s="19"/>
      <c r="ISV50" s="19"/>
      <c r="ISW50" s="19"/>
      <c r="ISX50" s="19"/>
      <c r="ISY50" s="19"/>
      <c r="ISZ50" s="19"/>
      <c r="ITA50" s="19"/>
      <c r="ITB50" s="19"/>
      <c r="ITC50" s="19"/>
      <c r="ITD50" s="19"/>
      <c r="ITE50" s="19"/>
      <c r="ITF50" s="19"/>
      <c r="ITG50" s="19"/>
      <c r="ITH50" s="19"/>
      <c r="ITI50" s="19"/>
      <c r="ITJ50" s="19"/>
      <c r="ITK50" s="19"/>
      <c r="ITL50" s="19"/>
      <c r="ITM50" s="19"/>
      <c r="ITN50" s="19"/>
      <c r="ITO50" s="19"/>
      <c r="ITP50" s="19"/>
      <c r="ITQ50" s="19"/>
      <c r="ITR50" s="19"/>
      <c r="ITS50" s="19"/>
      <c r="ITT50" s="19"/>
      <c r="ITU50" s="19"/>
      <c r="ITV50" s="19"/>
      <c r="ITW50" s="19"/>
      <c r="ITX50" s="19"/>
      <c r="ITY50" s="19"/>
      <c r="ITZ50" s="19"/>
      <c r="IUA50" s="19"/>
      <c r="IUB50" s="19"/>
      <c r="IUC50" s="19"/>
      <c r="IUD50" s="19"/>
      <c r="IUE50" s="19"/>
      <c r="IUF50" s="19"/>
      <c r="IUG50" s="19"/>
      <c r="IUH50" s="19"/>
      <c r="IUI50" s="19"/>
      <c r="IUJ50" s="19"/>
      <c r="IUK50" s="19"/>
      <c r="IUL50" s="19"/>
      <c r="IUM50" s="19"/>
      <c r="IUN50" s="19"/>
      <c r="IUO50" s="19"/>
      <c r="IUP50" s="19"/>
      <c r="IUQ50" s="19"/>
      <c r="IUR50" s="19"/>
      <c r="IUS50" s="19"/>
      <c r="IUT50" s="19"/>
      <c r="IUU50" s="19"/>
      <c r="IUV50" s="19"/>
      <c r="IUW50" s="19"/>
      <c r="IUX50" s="19"/>
      <c r="IUY50" s="19"/>
      <c r="IUZ50" s="19"/>
      <c r="IVA50" s="19"/>
      <c r="IVB50" s="19"/>
      <c r="IVC50" s="19"/>
      <c r="IVD50" s="19"/>
      <c r="IVE50" s="19"/>
      <c r="IVF50" s="19"/>
      <c r="IVG50" s="19"/>
      <c r="IVH50" s="19"/>
      <c r="IVI50" s="19"/>
      <c r="IVJ50" s="19"/>
      <c r="IVK50" s="19"/>
      <c r="IVL50" s="19"/>
      <c r="IVM50" s="19"/>
      <c r="IVN50" s="19"/>
      <c r="IVO50" s="19"/>
      <c r="IVP50" s="19"/>
      <c r="IVQ50" s="19"/>
      <c r="IVR50" s="19"/>
      <c r="IVS50" s="19"/>
      <c r="IVT50" s="19"/>
      <c r="IVU50" s="19"/>
      <c r="IVV50" s="19"/>
      <c r="IVW50" s="19"/>
      <c r="IVX50" s="19"/>
      <c r="IVY50" s="19"/>
      <c r="IVZ50" s="19"/>
      <c r="IWA50" s="19"/>
      <c r="IWB50" s="19"/>
      <c r="IWC50" s="19"/>
      <c r="IWD50" s="19"/>
      <c r="IWE50" s="19"/>
      <c r="IWF50" s="19"/>
      <c r="IWG50" s="19"/>
      <c r="IWH50" s="19"/>
      <c r="IWI50" s="19"/>
      <c r="IWJ50" s="19"/>
      <c r="IWK50" s="19"/>
      <c r="IWL50" s="19"/>
      <c r="IWM50" s="19"/>
      <c r="IWN50" s="19"/>
      <c r="IWO50" s="19"/>
      <c r="IWP50" s="19"/>
      <c r="IWQ50" s="19"/>
      <c r="IWR50" s="19"/>
      <c r="IWS50" s="19"/>
      <c r="IWT50" s="19"/>
      <c r="IWU50" s="19"/>
      <c r="IWV50" s="19"/>
      <c r="IWW50" s="19"/>
      <c r="IWX50" s="19"/>
      <c r="IWY50" s="19"/>
      <c r="IWZ50" s="19"/>
      <c r="IXA50" s="19"/>
      <c r="IXB50" s="19"/>
      <c r="IXC50" s="19"/>
      <c r="IXD50" s="19"/>
      <c r="IXE50" s="19"/>
      <c r="IXF50" s="19"/>
      <c r="IXG50" s="19"/>
      <c r="IXH50" s="19"/>
      <c r="IXI50" s="19"/>
      <c r="IXJ50" s="19"/>
      <c r="IXK50" s="19"/>
      <c r="IXL50" s="19"/>
      <c r="IXM50" s="19"/>
      <c r="IXN50" s="19"/>
      <c r="IXO50" s="19"/>
      <c r="IXP50" s="19"/>
      <c r="IXQ50" s="19"/>
      <c r="IXR50" s="19"/>
      <c r="IXS50" s="19"/>
      <c r="IXT50" s="19"/>
      <c r="IXU50" s="19"/>
      <c r="IXV50" s="19"/>
      <c r="IXW50" s="19"/>
      <c r="IXX50" s="19"/>
      <c r="IXY50" s="19"/>
      <c r="IXZ50" s="19"/>
      <c r="IYA50" s="19"/>
      <c r="IYB50" s="19"/>
      <c r="IYC50" s="19"/>
      <c r="IYD50" s="19"/>
      <c r="IYE50" s="19"/>
      <c r="IYF50" s="19"/>
      <c r="IYG50" s="19"/>
      <c r="IYH50" s="19"/>
      <c r="IYI50" s="19"/>
      <c r="IYJ50" s="19"/>
      <c r="IYK50" s="19"/>
      <c r="IYL50" s="19"/>
      <c r="IYM50" s="19"/>
      <c r="IYN50" s="19"/>
      <c r="IYO50" s="19"/>
      <c r="IYP50" s="19"/>
      <c r="IYQ50" s="19"/>
      <c r="IYR50" s="19"/>
      <c r="IYS50" s="19"/>
      <c r="IYT50" s="19"/>
      <c r="IYU50" s="19"/>
      <c r="IYV50" s="19"/>
      <c r="IYW50" s="19"/>
      <c r="IYX50" s="19"/>
      <c r="IYY50" s="19"/>
      <c r="IYZ50" s="19"/>
      <c r="IZA50" s="19"/>
      <c r="IZB50" s="19"/>
      <c r="IZC50" s="19"/>
      <c r="IZD50" s="19"/>
      <c r="IZE50" s="19"/>
      <c r="IZF50" s="19"/>
      <c r="IZG50" s="19"/>
      <c r="IZH50" s="19"/>
      <c r="IZI50" s="19"/>
      <c r="IZJ50" s="19"/>
      <c r="IZK50" s="19"/>
      <c r="IZL50" s="19"/>
      <c r="IZM50" s="19"/>
      <c r="IZN50" s="19"/>
      <c r="IZO50" s="19"/>
      <c r="IZP50" s="19"/>
      <c r="IZQ50" s="19"/>
      <c r="IZR50" s="19"/>
      <c r="IZS50" s="19"/>
      <c r="IZT50" s="19"/>
      <c r="IZU50" s="19"/>
      <c r="IZV50" s="19"/>
      <c r="IZW50" s="19"/>
      <c r="IZX50" s="19"/>
      <c r="IZY50" s="19"/>
      <c r="IZZ50" s="19"/>
      <c r="JAA50" s="19"/>
      <c r="JAB50" s="19"/>
      <c r="JAC50" s="19"/>
      <c r="JAD50" s="19"/>
      <c r="JAE50" s="19"/>
      <c r="JAF50" s="19"/>
      <c r="JAG50" s="19"/>
      <c r="JAH50" s="19"/>
      <c r="JAI50" s="19"/>
      <c r="JAJ50" s="19"/>
      <c r="JAK50" s="19"/>
      <c r="JAL50" s="19"/>
      <c r="JAM50" s="19"/>
      <c r="JAN50" s="19"/>
      <c r="JAO50" s="19"/>
      <c r="JAP50" s="19"/>
      <c r="JAQ50" s="19"/>
      <c r="JAR50" s="19"/>
      <c r="JAS50" s="19"/>
      <c r="JAT50" s="19"/>
      <c r="JAU50" s="19"/>
      <c r="JAV50" s="19"/>
      <c r="JAW50" s="19"/>
      <c r="JAX50" s="19"/>
      <c r="JAY50" s="19"/>
      <c r="JAZ50" s="19"/>
      <c r="JBA50" s="19"/>
      <c r="JBB50" s="19"/>
      <c r="JBC50" s="19"/>
      <c r="JBD50" s="19"/>
      <c r="JBE50" s="19"/>
      <c r="JBF50" s="19"/>
      <c r="JBG50" s="19"/>
      <c r="JBH50" s="19"/>
      <c r="JBI50" s="19"/>
      <c r="JBJ50" s="19"/>
      <c r="JBK50" s="19"/>
      <c r="JBL50" s="19"/>
      <c r="JBM50" s="19"/>
      <c r="JBN50" s="19"/>
      <c r="JBO50" s="19"/>
      <c r="JBP50" s="19"/>
      <c r="JBQ50" s="19"/>
      <c r="JBR50" s="19"/>
      <c r="JBS50" s="19"/>
      <c r="JBT50" s="19"/>
      <c r="JBU50" s="19"/>
      <c r="JBV50" s="19"/>
      <c r="JBW50" s="19"/>
      <c r="JBX50" s="19"/>
      <c r="JBY50" s="19"/>
      <c r="JBZ50" s="19"/>
      <c r="JCA50" s="19"/>
      <c r="JCB50" s="19"/>
      <c r="JCC50" s="19"/>
      <c r="JCD50" s="19"/>
      <c r="JCE50" s="19"/>
      <c r="JCF50" s="19"/>
      <c r="JCG50" s="19"/>
      <c r="JCH50" s="19"/>
      <c r="JCI50" s="19"/>
      <c r="JCJ50" s="19"/>
      <c r="JCK50" s="19"/>
      <c r="JCL50" s="19"/>
      <c r="JCM50" s="19"/>
      <c r="JCN50" s="19"/>
      <c r="JCO50" s="19"/>
      <c r="JCP50" s="19"/>
      <c r="JCQ50" s="19"/>
      <c r="JCR50" s="19"/>
      <c r="JCS50" s="19"/>
      <c r="JCT50" s="19"/>
      <c r="JCU50" s="19"/>
      <c r="JCV50" s="19"/>
      <c r="JCW50" s="19"/>
      <c r="JCX50" s="19"/>
      <c r="JCY50" s="19"/>
      <c r="JCZ50" s="19"/>
      <c r="JDA50" s="19"/>
      <c r="JDB50" s="19"/>
      <c r="JDC50" s="19"/>
      <c r="JDD50" s="19"/>
      <c r="JDE50" s="19"/>
      <c r="JDF50" s="19"/>
      <c r="JDG50" s="19"/>
      <c r="JDH50" s="19"/>
      <c r="JDI50" s="19"/>
      <c r="JDJ50" s="19"/>
      <c r="JDK50" s="19"/>
      <c r="JDL50" s="19"/>
      <c r="JDM50" s="19"/>
      <c r="JDN50" s="19"/>
      <c r="JDO50" s="19"/>
      <c r="JDP50" s="19"/>
      <c r="JDQ50" s="19"/>
      <c r="JDR50" s="19"/>
      <c r="JDS50" s="19"/>
      <c r="JDT50" s="19"/>
      <c r="JDU50" s="19"/>
      <c r="JDV50" s="19"/>
      <c r="JDW50" s="19"/>
      <c r="JDX50" s="19"/>
      <c r="JDY50" s="19"/>
      <c r="JDZ50" s="19"/>
      <c r="JEA50" s="19"/>
      <c r="JEB50" s="19"/>
      <c r="JEC50" s="19"/>
      <c r="JED50" s="19"/>
      <c r="JEE50" s="19"/>
      <c r="JEF50" s="19"/>
      <c r="JEG50" s="19"/>
      <c r="JEH50" s="19"/>
      <c r="JEI50" s="19"/>
      <c r="JEJ50" s="19"/>
      <c r="JEK50" s="19"/>
      <c r="JEL50" s="19"/>
      <c r="JEM50" s="19"/>
      <c r="JEN50" s="19"/>
      <c r="JEO50" s="19"/>
      <c r="JEP50" s="19"/>
      <c r="JEQ50" s="19"/>
      <c r="JER50" s="19"/>
      <c r="JES50" s="19"/>
      <c r="JET50" s="19"/>
      <c r="JEU50" s="19"/>
      <c r="JEV50" s="19"/>
      <c r="JEW50" s="19"/>
      <c r="JEX50" s="19"/>
      <c r="JEY50" s="19"/>
      <c r="JEZ50" s="19"/>
      <c r="JFA50" s="19"/>
      <c r="JFB50" s="19"/>
      <c r="JFC50" s="19"/>
      <c r="JFD50" s="19"/>
      <c r="JFE50" s="19"/>
      <c r="JFF50" s="19"/>
      <c r="JFG50" s="19"/>
      <c r="JFH50" s="19"/>
      <c r="JFI50" s="19"/>
      <c r="JFJ50" s="19"/>
      <c r="JFK50" s="19"/>
      <c r="JFL50" s="19"/>
      <c r="JFM50" s="19"/>
      <c r="JFN50" s="19"/>
      <c r="JFO50" s="19"/>
      <c r="JFP50" s="19"/>
      <c r="JFQ50" s="19"/>
      <c r="JFR50" s="19"/>
      <c r="JFS50" s="19"/>
      <c r="JFT50" s="19"/>
      <c r="JFU50" s="19"/>
      <c r="JFV50" s="19"/>
      <c r="JFW50" s="19"/>
      <c r="JFX50" s="19"/>
      <c r="JFY50" s="19"/>
      <c r="JFZ50" s="19"/>
      <c r="JGA50" s="19"/>
      <c r="JGB50" s="19"/>
      <c r="JGC50" s="19"/>
      <c r="JGD50" s="19"/>
      <c r="JGE50" s="19"/>
      <c r="JGF50" s="19"/>
      <c r="JGG50" s="19"/>
      <c r="JGH50" s="19"/>
      <c r="JGI50" s="19"/>
      <c r="JGJ50" s="19"/>
      <c r="JGK50" s="19"/>
      <c r="JGL50" s="19"/>
      <c r="JGM50" s="19"/>
      <c r="JGN50" s="19"/>
      <c r="JGO50" s="19"/>
      <c r="JGP50" s="19"/>
      <c r="JGQ50" s="19"/>
      <c r="JGR50" s="19"/>
      <c r="JGS50" s="19"/>
      <c r="JGT50" s="19"/>
      <c r="JGU50" s="19"/>
      <c r="JGV50" s="19"/>
      <c r="JGW50" s="19"/>
      <c r="JGX50" s="19"/>
      <c r="JGY50" s="19"/>
      <c r="JGZ50" s="19"/>
      <c r="JHA50" s="19"/>
      <c r="JHB50" s="19"/>
      <c r="JHC50" s="19"/>
      <c r="JHD50" s="19"/>
      <c r="JHE50" s="19"/>
      <c r="JHF50" s="19"/>
      <c r="JHG50" s="19"/>
      <c r="JHH50" s="19"/>
      <c r="JHI50" s="19"/>
      <c r="JHJ50" s="19"/>
      <c r="JHK50" s="19"/>
      <c r="JHL50" s="19"/>
      <c r="JHM50" s="19"/>
      <c r="JHN50" s="19"/>
      <c r="JHO50" s="19"/>
      <c r="JHP50" s="19"/>
      <c r="JHQ50" s="19"/>
      <c r="JHR50" s="19"/>
      <c r="JHS50" s="19"/>
      <c r="JHT50" s="19"/>
      <c r="JHU50" s="19"/>
      <c r="JHV50" s="19"/>
      <c r="JHW50" s="19"/>
      <c r="JHX50" s="19"/>
      <c r="JHY50" s="19"/>
      <c r="JHZ50" s="19"/>
      <c r="JIA50" s="19"/>
      <c r="JIB50" s="19"/>
      <c r="JIC50" s="19"/>
      <c r="JID50" s="19"/>
      <c r="JIE50" s="19"/>
      <c r="JIF50" s="19"/>
      <c r="JIG50" s="19"/>
      <c r="JIH50" s="19"/>
      <c r="JII50" s="19"/>
      <c r="JIJ50" s="19"/>
      <c r="JIK50" s="19"/>
      <c r="JIL50" s="19"/>
      <c r="JIM50" s="19"/>
      <c r="JIN50" s="19"/>
      <c r="JIO50" s="19"/>
      <c r="JIP50" s="19"/>
      <c r="JIQ50" s="19"/>
      <c r="JIR50" s="19"/>
      <c r="JIS50" s="19"/>
      <c r="JIT50" s="19"/>
      <c r="JIU50" s="19"/>
      <c r="JIV50" s="19"/>
      <c r="JIW50" s="19"/>
      <c r="JIX50" s="19"/>
      <c r="JIY50" s="19"/>
      <c r="JIZ50" s="19"/>
      <c r="JJA50" s="19"/>
      <c r="JJB50" s="19"/>
      <c r="JJC50" s="19"/>
      <c r="JJD50" s="19"/>
      <c r="JJE50" s="19"/>
      <c r="JJF50" s="19"/>
      <c r="JJG50" s="19"/>
      <c r="JJH50" s="19"/>
      <c r="JJI50" s="19"/>
      <c r="JJJ50" s="19"/>
      <c r="JJK50" s="19"/>
      <c r="JJL50" s="19"/>
      <c r="JJM50" s="19"/>
      <c r="JJN50" s="19"/>
      <c r="JJO50" s="19"/>
      <c r="JJP50" s="19"/>
      <c r="JJQ50" s="19"/>
      <c r="JJR50" s="19"/>
      <c r="JJS50" s="19"/>
      <c r="JJT50" s="19"/>
      <c r="JJU50" s="19"/>
      <c r="JJV50" s="19"/>
      <c r="JJW50" s="19"/>
      <c r="JJX50" s="19"/>
      <c r="JJY50" s="19"/>
      <c r="JJZ50" s="19"/>
      <c r="JKA50" s="19"/>
      <c r="JKB50" s="19"/>
      <c r="JKC50" s="19"/>
      <c r="JKD50" s="19"/>
      <c r="JKE50" s="19"/>
      <c r="JKF50" s="19"/>
      <c r="JKG50" s="19"/>
      <c r="JKH50" s="19"/>
      <c r="JKI50" s="19"/>
      <c r="JKJ50" s="19"/>
      <c r="JKK50" s="19"/>
      <c r="JKL50" s="19"/>
      <c r="JKM50" s="19"/>
      <c r="JKN50" s="19"/>
      <c r="JKO50" s="19"/>
      <c r="JKP50" s="19"/>
      <c r="JKQ50" s="19"/>
      <c r="JKR50" s="19"/>
      <c r="JKS50" s="19"/>
      <c r="JKT50" s="19"/>
      <c r="JKU50" s="19"/>
      <c r="JKV50" s="19"/>
      <c r="JKW50" s="19"/>
      <c r="JKX50" s="19"/>
      <c r="JKY50" s="19"/>
      <c r="JKZ50" s="19"/>
      <c r="JLA50" s="19"/>
      <c r="JLB50" s="19"/>
      <c r="JLC50" s="19"/>
      <c r="JLD50" s="19"/>
      <c r="JLE50" s="19"/>
      <c r="JLF50" s="19"/>
      <c r="JLG50" s="19"/>
      <c r="JLH50" s="19"/>
      <c r="JLI50" s="19"/>
      <c r="JLJ50" s="19"/>
      <c r="JLK50" s="19"/>
      <c r="JLL50" s="19"/>
      <c r="JLM50" s="19"/>
      <c r="JLN50" s="19"/>
      <c r="JLO50" s="19"/>
      <c r="JLP50" s="19"/>
      <c r="JLQ50" s="19"/>
      <c r="JLR50" s="19"/>
      <c r="JLS50" s="19"/>
      <c r="JLT50" s="19"/>
      <c r="JLU50" s="19"/>
      <c r="JLV50" s="19"/>
      <c r="JLW50" s="19"/>
      <c r="JLX50" s="19"/>
      <c r="JLY50" s="19"/>
      <c r="JLZ50" s="19"/>
      <c r="JMA50" s="19"/>
      <c r="JMB50" s="19"/>
      <c r="JMC50" s="19"/>
      <c r="JMD50" s="19"/>
      <c r="JME50" s="19"/>
      <c r="JMF50" s="19"/>
      <c r="JMG50" s="19"/>
      <c r="JMH50" s="19"/>
      <c r="JMI50" s="19"/>
      <c r="JMJ50" s="19"/>
      <c r="JMK50" s="19"/>
      <c r="JML50" s="19"/>
      <c r="JMM50" s="19"/>
      <c r="JMN50" s="19"/>
      <c r="JMO50" s="19"/>
      <c r="JMP50" s="19"/>
      <c r="JMQ50" s="19"/>
      <c r="JMR50" s="19"/>
      <c r="JMS50" s="19"/>
      <c r="JMT50" s="19"/>
      <c r="JMU50" s="19"/>
      <c r="JMV50" s="19"/>
      <c r="JMW50" s="19"/>
      <c r="JMX50" s="19"/>
      <c r="JMY50" s="19"/>
      <c r="JMZ50" s="19"/>
      <c r="JNA50" s="19"/>
      <c r="JNB50" s="19"/>
      <c r="JNC50" s="19"/>
      <c r="JND50" s="19"/>
      <c r="JNE50" s="19"/>
      <c r="JNF50" s="19"/>
      <c r="JNG50" s="19"/>
      <c r="JNH50" s="19"/>
      <c r="JNI50" s="19"/>
      <c r="JNJ50" s="19"/>
      <c r="JNK50" s="19"/>
      <c r="JNL50" s="19"/>
      <c r="JNM50" s="19"/>
      <c r="JNN50" s="19"/>
      <c r="JNO50" s="19"/>
      <c r="JNP50" s="19"/>
      <c r="JNQ50" s="19"/>
      <c r="JNR50" s="19"/>
      <c r="JNS50" s="19"/>
      <c r="JNT50" s="19"/>
      <c r="JNU50" s="19"/>
      <c r="JNV50" s="19"/>
      <c r="JNW50" s="19"/>
      <c r="JNX50" s="19"/>
      <c r="JNY50" s="19"/>
      <c r="JNZ50" s="19"/>
      <c r="JOA50" s="19"/>
      <c r="JOB50" s="19"/>
      <c r="JOC50" s="19"/>
      <c r="JOD50" s="19"/>
      <c r="JOE50" s="19"/>
      <c r="JOF50" s="19"/>
      <c r="JOG50" s="19"/>
      <c r="JOH50" s="19"/>
      <c r="JOI50" s="19"/>
      <c r="JOJ50" s="19"/>
      <c r="JOK50" s="19"/>
      <c r="JOL50" s="19"/>
      <c r="JOM50" s="19"/>
      <c r="JON50" s="19"/>
      <c r="JOO50" s="19"/>
      <c r="JOP50" s="19"/>
      <c r="JOQ50" s="19"/>
      <c r="JOR50" s="19"/>
      <c r="JOS50" s="19"/>
      <c r="JOT50" s="19"/>
      <c r="JOU50" s="19"/>
      <c r="JOV50" s="19"/>
      <c r="JOW50" s="19"/>
      <c r="JOX50" s="19"/>
      <c r="JOY50" s="19"/>
      <c r="JOZ50" s="19"/>
      <c r="JPA50" s="19"/>
      <c r="JPB50" s="19"/>
      <c r="JPC50" s="19"/>
      <c r="JPD50" s="19"/>
      <c r="JPE50" s="19"/>
      <c r="JPF50" s="19"/>
      <c r="JPG50" s="19"/>
      <c r="JPH50" s="19"/>
      <c r="JPI50" s="19"/>
      <c r="JPJ50" s="19"/>
      <c r="JPK50" s="19"/>
      <c r="JPL50" s="19"/>
      <c r="JPM50" s="19"/>
      <c r="JPN50" s="19"/>
      <c r="JPO50" s="19"/>
      <c r="JPP50" s="19"/>
      <c r="JPQ50" s="19"/>
      <c r="JPR50" s="19"/>
      <c r="JPS50" s="19"/>
      <c r="JPT50" s="19"/>
      <c r="JPU50" s="19"/>
      <c r="JPV50" s="19"/>
      <c r="JPW50" s="19"/>
      <c r="JPX50" s="19"/>
      <c r="JPY50" s="19"/>
      <c r="JPZ50" s="19"/>
      <c r="JQA50" s="19"/>
      <c r="JQB50" s="19"/>
      <c r="JQC50" s="19"/>
      <c r="JQD50" s="19"/>
      <c r="JQE50" s="19"/>
      <c r="JQF50" s="19"/>
      <c r="JQG50" s="19"/>
      <c r="JQH50" s="19"/>
      <c r="JQI50" s="19"/>
      <c r="JQJ50" s="19"/>
      <c r="JQK50" s="19"/>
      <c r="JQL50" s="19"/>
      <c r="JQM50" s="19"/>
      <c r="JQN50" s="19"/>
      <c r="JQO50" s="19"/>
      <c r="JQP50" s="19"/>
      <c r="JQQ50" s="19"/>
      <c r="JQR50" s="19"/>
      <c r="JQS50" s="19"/>
      <c r="JQT50" s="19"/>
      <c r="JQU50" s="19"/>
      <c r="JQV50" s="19"/>
      <c r="JQW50" s="19"/>
      <c r="JQX50" s="19"/>
      <c r="JQY50" s="19"/>
      <c r="JQZ50" s="19"/>
      <c r="JRA50" s="19"/>
      <c r="JRB50" s="19"/>
      <c r="JRC50" s="19"/>
      <c r="JRD50" s="19"/>
      <c r="JRE50" s="19"/>
      <c r="JRF50" s="19"/>
      <c r="JRG50" s="19"/>
      <c r="JRH50" s="19"/>
      <c r="JRI50" s="19"/>
      <c r="JRJ50" s="19"/>
      <c r="JRK50" s="19"/>
      <c r="JRL50" s="19"/>
      <c r="JRM50" s="19"/>
      <c r="JRN50" s="19"/>
      <c r="JRO50" s="19"/>
      <c r="JRP50" s="19"/>
      <c r="JRQ50" s="19"/>
      <c r="JRR50" s="19"/>
      <c r="JRS50" s="19"/>
      <c r="JRT50" s="19"/>
      <c r="JRU50" s="19"/>
      <c r="JRV50" s="19"/>
      <c r="JRW50" s="19"/>
      <c r="JRX50" s="19"/>
      <c r="JRY50" s="19"/>
      <c r="JRZ50" s="19"/>
      <c r="JSA50" s="19"/>
      <c r="JSB50" s="19"/>
      <c r="JSC50" s="19"/>
      <c r="JSD50" s="19"/>
      <c r="JSE50" s="19"/>
      <c r="JSF50" s="19"/>
      <c r="JSG50" s="19"/>
      <c r="JSH50" s="19"/>
      <c r="JSI50" s="19"/>
      <c r="JSJ50" s="19"/>
      <c r="JSK50" s="19"/>
      <c r="JSL50" s="19"/>
      <c r="JSM50" s="19"/>
      <c r="JSN50" s="19"/>
      <c r="JSO50" s="19"/>
      <c r="JSP50" s="19"/>
      <c r="JSQ50" s="19"/>
      <c r="JSR50" s="19"/>
      <c r="JSS50" s="19"/>
      <c r="JST50" s="19"/>
      <c r="JSU50" s="19"/>
      <c r="JSV50" s="19"/>
      <c r="JSW50" s="19"/>
      <c r="JSX50" s="19"/>
      <c r="JSY50" s="19"/>
      <c r="JSZ50" s="19"/>
      <c r="JTA50" s="19"/>
      <c r="JTB50" s="19"/>
      <c r="JTC50" s="19"/>
      <c r="JTD50" s="19"/>
      <c r="JTE50" s="19"/>
      <c r="JTF50" s="19"/>
      <c r="JTG50" s="19"/>
      <c r="JTH50" s="19"/>
      <c r="JTI50" s="19"/>
      <c r="JTJ50" s="19"/>
      <c r="JTK50" s="19"/>
      <c r="JTL50" s="19"/>
      <c r="JTM50" s="19"/>
      <c r="JTN50" s="19"/>
      <c r="JTO50" s="19"/>
      <c r="JTP50" s="19"/>
      <c r="JTQ50" s="19"/>
      <c r="JTR50" s="19"/>
      <c r="JTS50" s="19"/>
      <c r="JTT50" s="19"/>
      <c r="JTU50" s="19"/>
      <c r="JTV50" s="19"/>
      <c r="JTW50" s="19"/>
      <c r="JTX50" s="19"/>
      <c r="JTY50" s="19"/>
      <c r="JTZ50" s="19"/>
      <c r="JUA50" s="19"/>
      <c r="JUB50" s="19"/>
      <c r="JUC50" s="19"/>
      <c r="JUD50" s="19"/>
      <c r="JUE50" s="19"/>
      <c r="JUF50" s="19"/>
      <c r="JUG50" s="19"/>
      <c r="JUH50" s="19"/>
      <c r="JUI50" s="19"/>
      <c r="JUJ50" s="19"/>
      <c r="JUK50" s="19"/>
      <c r="JUL50" s="19"/>
      <c r="JUM50" s="19"/>
      <c r="JUN50" s="19"/>
      <c r="JUO50" s="19"/>
      <c r="JUP50" s="19"/>
      <c r="JUQ50" s="19"/>
      <c r="JUR50" s="19"/>
      <c r="JUS50" s="19"/>
      <c r="JUT50" s="19"/>
      <c r="JUU50" s="19"/>
      <c r="JUV50" s="19"/>
      <c r="JUW50" s="19"/>
      <c r="JUX50" s="19"/>
      <c r="JUY50" s="19"/>
      <c r="JUZ50" s="19"/>
      <c r="JVA50" s="19"/>
      <c r="JVB50" s="19"/>
      <c r="JVC50" s="19"/>
      <c r="JVD50" s="19"/>
      <c r="JVE50" s="19"/>
      <c r="JVF50" s="19"/>
      <c r="JVG50" s="19"/>
      <c r="JVH50" s="19"/>
      <c r="JVI50" s="19"/>
      <c r="JVJ50" s="19"/>
      <c r="JVK50" s="19"/>
      <c r="JVL50" s="19"/>
      <c r="JVM50" s="19"/>
      <c r="JVN50" s="19"/>
      <c r="JVO50" s="19"/>
      <c r="JVP50" s="19"/>
      <c r="JVQ50" s="19"/>
      <c r="JVR50" s="19"/>
      <c r="JVS50" s="19"/>
      <c r="JVT50" s="19"/>
      <c r="JVU50" s="19"/>
      <c r="JVV50" s="19"/>
      <c r="JVW50" s="19"/>
      <c r="JVX50" s="19"/>
      <c r="JVY50" s="19"/>
      <c r="JVZ50" s="19"/>
      <c r="JWA50" s="19"/>
      <c r="JWB50" s="19"/>
      <c r="JWC50" s="19"/>
      <c r="JWD50" s="19"/>
      <c r="JWE50" s="19"/>
      <c r="JWF50" s="19"/>
      <c r="JWG50" s="19"/>
      <c r="JWH50" s="19"/>
      <c r="JWI50" s="19"/>
      <c r="JWJ50" s="19"/>
      <c r="JWK50" s="19"/>
      <c r="JWL50" s="19"/>
      <c r="JWM50" s="19"/>
      <c r="JWN50" s="19"/>
      <c r="JWO50" s="19"/>
      <c r="JWP50" s="19"/>
      <c r="JWQ50" s="19"/>
      <c r="JWR50" s="19"/>
      <c r="JWS50" s="19"/>
      <c r="JWT50" s="19"/>
      <c r="JWU50" s="19"/>
      <c r="JWV50" s="19"/>
      <c r="JWW50" s="19"/>
      <c r="JWX50" s="19"/>
      <c r="JWY50" s="19"/>
      <c r="JWZ50" s="19"/>
      <c r="JXA50" s="19"/>
      <c r="JXB50" s="19"/>
      <c r="JXC50" s="19"/>
      <c r="JXD50" s="19"/>
      <c r="JXE50" s="19"/>
      <c r="JXF50" s="19"/>
      <c r="JXG50" s="19"/>
      <c r="JXH50" s="19"/>
      <c r="JXI50" s="19"/>
      <c r="JXJ50" s="19"/>
      <c r="JXK50" s="19"/>
      <c r="JXL50" s="19"/>
      <c r="JXM50" s="19"/>
      <c r="JXN50" s="19"/>
      <c r="JXO50" s="19"/>
      <c r="JXP50" s="19"/>
      <c r="JXQ50" s="19"/>
      <c r="JXR50" s="19"/>
      <c r="JXS50" s="19"/>
      <c r="JXT50" s="19"/>
      <c r="JXU50" s="19"/>
      <c r="JXV50" s="19"/>
      <c r="JXW50" s="19"/>
      <c r="JXX50" s="19"/>
      <c r="JXY50" s="19"/>
      <c r="JXZ50" s="19"/>
      <c r="JYA50" s="19"/>
      <c r="JYB50" s="19"/>
      <c r="JYC50" s="19"/>
      <c r="JYD50" s="19"/>
      <c r="JYE50" s="19"/>
      <c r="JYF50" s="19"/>
      <c r="JYG50" s="19"/>
      <c r="JYH50" s="19"/>
      <c r="JYI50" s="19"/>
      <c r="JYJ50" s="19"/>
      <c r="JYK50" s="19"/>
      <c r="JYL50" s="19"/>
      <c r="JYM50" s="19"/>
      <c r="JYN50" s="19"/>
      <c r="JYO50" s="19"/>
      <c r="JYP50" s="19"/>
      <c r="JYQ50" s="19"/>
      <c r="JYR50" s="19"/>
      <c r="JYS50" s="19"/>
      <c r="JYT50" s="19"/>
      <c r="JYU50" s="19"/>
      <c r="JYV50" s="19"/>
      <c r="JYW50" s="19"/>
      <c r="JYX50" s="19"/>
      <c r="JYY50" s="19"/>
      <c r="JYZ50" s="19"/>
      <c r="JZA50" s="19"/>
      <c r="JZB50" s="19"/>
      <c r="JZC50" s="19"/>
      <c r="JZD50" s="19"/>
      <c r="JZE50" s="19"/>
      <c r="JZF50" s="19"/>
      <c r="JZG50" s="19"/>
      <c r="JZH50" s="19"/>
      <c r="JZI50" s="19"/>
      <c r="JZJ50" s="19"/>
      <c r="JZK50" s="19"/>
      <c r="JZL50" s="19"/>
      <c r="JZM50" s="19"/>
      <c r="JZN50" s="19"/>
      <c r="JZO50" s="19"/>
      <c r="JZP50" s="19"/>
      <c r="JZQ50" s="19"/>
      <c r="JZR50" s="19"/>
      <c r="JZS50" s="19"/>
      <c r="JZT50" s="19"/>
      <c r="JZU50" s="19"/>
      <c r="JZV50" s="19"/>
      <c r="JZW50" s="19"/>
      <c r="JZX50" s="19"/>
      <c r="JZY50" s="19"/>
      <c r="JZZ50" s="19"/>
      <c r="KAA50" s="19"/>
      <c r="KAB50" s="19"/>
      <c r="KAC50" s="19"/>
      <c r="KAD50" s="19"/>
      <c r="KAE50" s="19"/>
      <c r="KAF50" s="19"/>
      <c r="KAG50" s="19"/>
      <c r="KAH50" s="19"/>
      <c r="KAI50" s="19"/>
      <c r="KAJ50" s="19"/>
      <c r="KAK50" s="19"/>
      <c r="KAL50" s="19"/>
      <c r="KAM50" s="19"/>
      <c r="KAN50" s="19"/>
      <c r="KAO50" s="19"/>
      <c r="KAP50" s="19"/>
      <c r="KAQ50" s="19"/>
      <c r="KAR50" s="19"/>
      <c r="KAS50" s="19"/>
      <c r="KAT50" s="19"/>
      <c r="KAU50" s="19"/>
      <c r="KAV50" s="19"/>
      <c r="KAW50" s="19"/>
      <c r="KAX50" s="19"/>
      <c r="KAY50" s="19"/>
      <c r="KAZ50" s="19"/>
      <c r="KBA50" s="19"/>
      <c r="KBB50" s="19"/>
      <c r="KBC50" s="19"/>
      <c r="KBD50" s="19"/>
      <c r="KBE50" s="19"/>
      <c r="KBF50" s="19"/>
      <c r="KBG50" s="19"/>
      <c r="KBH50" s="19"/>
      <c r="KBI50" s="19"/>
      <c r="KBJ50" s="19"/>
      <c r="KBK50" s="19"/>
      <c r="KBL50" s="19"/>
      <c r="KBM50" s="19"/>
      <c r="KBN50" s="19"/>
      <c r="KBO50" s="19"/>
      <c r="KBP50" s="19"/>
      <c r="KBQ50" s="19"/>
      <c r="KBR50" s="19"/>
      <c r="KBS50" s="19"/>
      <c r="KBT50" s="19"/>
      <c r="KBU50" s="19"/>
      <c r="KBV50" s="19"/>
      <c r="KBW50" s="19"/>
      <c r="KBX50" s="19"/>
      <c r="KBY50" s="19"/>
      <c r="KBZ50" s="19"/>
      <c r="KCA50" s="19"/>
      <c r="KCB50" s="19"/>
      <c r="KCC50" s="19"/>
      <c r="KCD50" s="19"/>
      <c r="KCE50" s="19"/>
      <c r="KCF50" s="19"/>
      <c r="KCG50" s="19"/>
      <c r="KCH50" s="19"/>
      <c r="KCI50" s="19"/>
      <c r="KCJ50" s="19"/>
      <c r="KCK50" s="19"/>
      <c r="KCL50" s="19"/>
      <c r="KCM50" s="19"/>
      <c r="KCN50" s="19"/>
      <c r="KCO50" s="19"/>
      <c r="KCP50" s="19"/>
      <c r="KCQ50" s="19"/>
      <c r="KCR50" s="19"/>
      <c r="KCS50" s="19"/>
      <c r="KCT50" s="19"/>
      <c r="KCU50" s="19"/>
      <c r="KCV50" s="19"/>
      <c r="KCW50" s="19"/>
      <c r="KCX50" s="19"/>
      <c r="KCY50" s="19"/>
      <c r="KCZ50" s="19"/>
      <c r="KDA50" s="19"/>
      <c r="KDB50" s="19"/>
      <c r="KDC50" s="19"/>
      <c r="KDD50" s="19"/>
      <c r="KDE50" s="19"/>
      <c r="KDF50" s="19"/>
      <c r="KDG50" s="19"/>
      <c r="KDH50" s="19"/>
      <c r="KDI50" s="19"/>
      <c r="KDJ50" s="19"/>
      <c r="KDK50" s="19"/>
      <c r="KDL50" s="19"/>
      <c r="KDM50" s="19"/>
      <c r="KDN50" s="19"/>
      <c r="KDO50" s="19"/>
      <c r="KDP50" s="19"/>
      <c r="KDQ50" s="19"/>
      <c r="KDR50" s="19"/>
      <c r="KDS50" s="19"/>
      <c r="KDT50" s="19"/>
      <c r="KDU50" s="19"/>
      <c r="KDV50" s="19"/>
      <c r="KDW50" s="19"/>
      <c r="KDX50" s="19"/>
      <c r="KDY50" s="19"/>
      <c r="KDZ50" s="19"/>
      <c r="KEA50" s="19"/>
      <c r="KEB50" s="19"/>
      <c r="KEC50" s="19"/>
      <c r="KED50" s="19"/>
      <c r="KEE50" s="19"/>
      <c r="KEF50" s="19"/>
      <c r="KEG50" s="19"/>
      <c r="KEH50" s="19"/>
      <c r="KEI50" s="19"/>
      <c r="KEJ50" s="19"/>
      <c r="KEK50" s="19"/>
      <c r="KEL50" s="19"/>
      <c r="KEM50" s="19"/>
      <c r="KEN50" s="19"/>
      <c r="KEO50" s="19"/>
      <c r="KEP50" s="19"/>
      <c r="KEQ50" s="19"/>
      <c r="KER50" s="19"/>
      <c r="KES50" s="19"/>
      <c r="KET50" s="19"/>
      <c r="KEU50" s="19"/>
      <c r="KEV50" s="19"/>
      <c r="KEW50" s="19"/>
      <c r="KEX50" s="19"/>
      <c r="KEY50" s="19"/>
      <c r="KEZ50" s="19"/>
      <c r="KFA50" s="19"/>
      <c r="KFB50" s="19"/>
      <c r="KFC50" s="19"/>
      <c r="KFD50" s="19"/>
      <c r="KFE50" s="19"/>
      <c r="KFF50" s="19"/>
      <c r="KFG50" s="19"/>
      <c r="KFH50" s="19"/>
      <c r="KFI50" s="19"/>
      <c r="KFJ50" s="19"/>
      <c r="KFK50" s="19"/>
      <c r="KFL50" s="19"/>
      <c r="KFM50" s="19"/>
      <c r="KFN50" s="19"/>
      <c r="KFO50" s="19"/>
      <c r="KFP50" s="19"/>
      <c r="KFQ50" s="19"/>
      <c r="KFR50" s="19"/>
      <c r="KFS50" s="19"/>
      <c r="KFT50" s="19"/>
      <c r="KFU50" s="19"/>
      <c r="KFV50" s="19"/>
      <c r="KFW50" s="19"/>
      <c r="KFX50" s="19"/>
      <c r="KFY50" s="19"/>
      <c r="KFZ50" s="19"/>
      <c r="KGA50" s="19"/>
      <c r="KGB50" s="19"/>
      <c r="KGC50" s="19"/>
      <c r="KGD50" s="19"/>
      <c r="KGE50" s="19"/>
      <c r="KGF50" s="19"/>
      <c r="KGG50" s="19"/>
      <c r="KGH50" s="19"/>
      <c r="KGI50" s="19"/>
      <c r="KGJ50" s="19"/>
      <c r="KGK50" s="19"/>
      <c r="KGL50" s="19"/>
      <c r="KGM50" s="19"/>
      <c r="KGN50" s="19"/>
      <c r="KGO50" s="19"/>
      <c r="KGP50" s="19"/>
      <c r="KGQ50" s="19"/>
      <c r="KGR50" s="19"/>
      <c r="KGS50" s="19"/>
      <c r="KGT50" s="19"/>
      <c r="KGU50" s="19"/>
      <c r="KGV50" s="19"/>
      <c r="KGW50" s="19"/>
      <c r="KGX50" s="19"/>
      <c r="KGY50" s="19"/>
      <c r="KGZ50" s="19"/>
      <c r="KHA50" s="19"/>
      <c r="KHB50" s="19"/>
      <c r="KHC50" s="19"/>
      <c r="KHD50" s="19"/>
      <c r="KHE50" s="19"/>
      <c r="KHF50" s="19"/>
      <c r="KHG50" s="19"/>
      <c r="KHH50" s="19"/>
      <c r="KHI50" s="19"/>
      <c r="KHJ50" s="19"/>
      <c r="KHK50" s="19"/>
      <c r="KHL50" s="19"/>
      <c r="KHM50" s="19"/>
      <c r="KHN50" s="19"/>
      <c r="KHO50" s="19"/>
      <c r="KHP50" s="19"/>
      <c r="KHQ50" s="19"/>
      <c r="KHR50" s="19"/>
      <c r="KHS50" s="19"/>
      <c r="KHT50" s="19"/>
      <c r="KHU50" s="19"/>
      <c r="KHV50" s="19"/>
      <c r="KHW50" s="19"/>
      <c r="KHX50" s="19"/>
      <c r="KHY50" s="19"/>
      <c r="KHZ50" s="19"/>
      <c r="KIA50" s="19"/>
      <c r="KIB50" s="19"/>
      <c r="KIC50" s="19"/>
      <c r="KID50" s="19"/>
      <c r="KIE50" s="19"/>
      <c r="KIF50" s="19"/>
      <c r="KIG50" s="19"/>
      <c r="KIH50" s="19"/>
      <c r="KII50" s="19"/>
      <c r="KIJ50" s="19"/>
      <c r="KIK50" s="19"/>
      <c r="KIL50" s="19"/>
      <c r="KIM50" s="19"/>
      <c r="KIN50" s="19"/>
      <c r="KIO50" s="19"/>
      <c r="KIP50" s="19"/>
      <c r="KIQ50" s="19"/>
      <c r="KIR50" s="19"/>
      <c r="KIS50" s="19"/>
      <c r="KIT50" s="19"/>
      <c r="KIU50" s="19"/>
      <c r="KIV50" s="19"/>
      <c r="KIW50" s="19"/>
      <c r="KIX50" s="19"/>
      <c r="KIY50" s="19"/>
      <c r="KIZ50" s="19"/>
      <c r="KJA50" s="19"/>
      <c r="KJB50" s="19"/>
      <c r="KJC50" s="19"/>
      <c r="KJD50" s="19"/>
      <c r="KJE50" s="19"/>
      <c r="KJF50" s="19"/>
      <c r="KJG50" s="19"/>
      <c r="KJH50" s="19"/>
      <c r="KJI50" s="19"/>
      <c r="KJJ50" s="19"/>
      <c r="KJK50" s="19"/>
      <c r="KJL50" s="19"/>
      <c r="KJM50" s="19"/>
      <c r="KJN50" s="19"/>
      <c r="KJO50" s="19"/>
      <c r="KJP50" s="19"/>
      <c r="KJQ50" s="19"/>
      <c r="KJR50" s="19"/>
      <c r="KJS50" s="19"/>
      <c r="KJT50" s="19"/>
      <c r="KJU50" s="19"/>
      <c r="KJV50" s="19"/>
      <c r="KJW50" s="19"/>
      <c r="KJX50" s="19"/>
      <c r="KJY50" s="19"/>
      <c r="KJZ50" s="19"/>
      <c r="KKA50" s="19"/>
      <c r="KKB50" s="19"/>
      <c r="KKC50" s="19"/>
      <c r="KKD50" s="19"/>
      <c r="KKE50" s="19"/>
      <c r="KKF50" s="19"/>
      <c r="KKG50" s="19"/>
      <c r="KKH50" s="19"/>
      <c r="KKI50" s="19"/>
      <c r="KKJ50" s="19"/>
      <c r="KKK50" s="19"/>
      <c r="KKL50" s="19"/>
      <c r="KKM50" s="19"/>
      <c r="KKN50" s="19"/>
      <c r="KKO50" s="19"/>
      <c r="KKP50" s="19"/>
      <c r="KKQ50" s="19"/>
      <c r="KKR50" s="19"/>
      <c r="KKS50" s="19"/>
      <c r="KKT50" s="19"/>
      <c r="KKU50" s="19"/>
      <c r="KKV50" s="19"/>
      <c r="KKW50" s="19"/>
      <c r="KKX50" s="19"/>
      <c r="KKY50" s="19"/>
      <c r="KKZ50" s="19"/>
      <c r="KLA50" s="19"/>
      <c r="KLB50" s="19"/>
      <c r="KLC50" s="19"/>
      <c r="KLD50" s="19"/>
      <c r="KLE50" s="19"/>
      <c r="KLF50" s="19"/>
      <c r="KLG50" s="19"/>
      <c r="KLH50" s="19"/>
      <c r="KLI50" s="19"/>
      <c r="KLJ50" s="19"/>
      <c r="KLK50" s="19"/>
      <c r="KLL50" s="19"/>
      <c r="KLM50" s="19"/>
      <c r="KLN50" s="19"/>
      <c r="KLO50" s="19"/>
      <c r="KLP50" s="19"/>
      <c r="KLQ50" s="19"/>
      <c r="KLR50" s="19"/>
      <c r="KLS50" s="19"/>
      <c r="KLT50" s="19"/>
      <c r="KLU50" s="19"/>
      <c r="KLV50" s="19"/>
      <c r="KLW50" s="19"/>
      <c r="KLX50" s="19"/>
      <c r="KLY50" s="19"/>
      <c r="KLZ50" s="19"/>
      <c r="KMA50" s="19"/>
      <c r="KMB50" s="19"/>
      <c r="KMC50" s="19"/>
      <c r="KMD50" s="19"/>
      <c r="KME50" s="19"/>
      <c r="KMF50" s="19"/>
      <c r="KMG50" s="19"/>
      <c r="KMH50" s="19"/>
      <c r="KMI50" s="19"/>
      <c r="KMJ50" s="19"/>
      <c r="KMK50" s="19"/>
      <c r="KML50" s="19"/>
      <c r="KMM50" s="19"/>
      <c r="KMN50" s="19"/>
      <c r="KMO50" s="19"/>
      <c r="KMP50" s="19"/>
      <c r="KMQ50" s="19"/>
      <c r="KMR50" s="19"/>
      <c r="KMS50" s="19"/>
      <c r="KMT50" s="19"/>
      <c r="KMU50" s="19"/>
      <c r="KMV50" s="19"/>
      <c r="KMW50" s="19"/>
      <c r="KMX50" s="19"/>
      <c r="KMY50" s="19"/>
      <c r="KMZ50" s="19"/>
      <c r="KNA50" s="19"/>
      <c r="KNB50" s="19"/>
      <c r="KNC50" s="19"/>
      <c r="KND50" s="19"/>
      <c r="KNE50" s="19"/>
      <c r="KNF50" s="19"/>
      <c r="KNG50" s="19"/>
      <c r="KNH50" s="19"/>
      <c r="KNI50" s="19"/>
      <c r="KNJ50" s="19"/>
      <c r="KNK50" s="19"/>
      <c r="KNL50" s="19"/>
      <c r="KNM50" s="19"/>
      <c r="KNN50" s="19"/>
      <c r="KNO50" s="19"/>
      <c r="KNP50" s="19"/>
      <c r="KNQ50" s="19"/>
      <c r="KNR50" s="19"/>
      <c r="KNS50" s="19"/>
      <c r="KNT50" s="19"/>
      <c r="KNU50" s="19"/>
      <c r="KNV50" s="19"/>
      <c r="KNW50" s="19"/>
      <c r="KNX50" s="19"/>
      <c r="KNY50" s="19"/>
      <c r="KNZ50" s="19"/>
      <c r="KOA50" s="19"/>
      <c r="KOB50" s="19"/>
      <c r="KOC50" s="19"/>
      <c r="KOD50" s="19"/>
      <c r="KOE50" s="19"/>
      <c r="KOF50" s="19"/>
      <c r="KOG50" s="19"/>
      <c r="KOH50" s="19"/>
      <c r="KOI50" s="19"/>
      <c r="KOJ50" s="19"/>
      <c r="KOK50" s="19"/>
      <c r="KOL50" s="19"/>
      <c r="KOM50" s="19"/>
      <c r="KON50" s="19"/>
      <c r="KOO50" s="19"/>
      <c r="KOP50" s="19"/>
      <c r="KOQ50" s="19"/>
      <c r="KOR50" s="19"/>
      <c r="KOS50" s="19"/>
      <c r="KOT50" s="19"/>
      <c r="KOU50" s="19"/>
      <c r="KOV50" s="19"/>
      <c r="KOW50" s="19"/>
      <c r="KOX50" s="19"/>
      <c r="KOY50" s="19"/>
      <c r="KOZ50" s="19"/>
      <c r="KPA50" s="19"/>
      <c r="KPB50" s="19"/>
      <c r="KPC50" s="19"/>
      <c r="KPD50" s="19"/>
      <c r="KPE50" s="19"/>
      <c r="KPF50" s="19"/>
      <c r="KPG50" s="19"/>
      <c r="KPH50" s="19"/>
      <c r="KPI50" s="19"/>
      <c r="KPJ50" s="19"/>
      <c r="KPK50" s="19"/>
      <c r="KPL50" s="19"/>
      <c r="KPM50" s="19"/>
      <c r="KPN50" s="19"/>
      <c r="KPO50" s="19"/>
      <c r="KPP50" s="19"/>
      <c r="KPQ50" s="19"/>
      <c r="KPR50" s="19"/>
      <c r="KPS50" s="19"/>
      <c r="KPT50" s="19"/>
      <c r="KPU50" s="19"/>
      <c r="KPV50" s="19"/>
      <c r="KPW50" s="19"/>
      <c r="KPX50" s="19"/>
      <c r="KPY50" s="19"/>
      <c r="KPZ50" s="19"/>
      <c r="KQA50" s="19"/>
      <c r="KQB50" s="19"/>
      <c r="KQC50" s="19"/>
      <c r="KQD50" s="19"/>
      <c r="KQE50" s="19"/>
      <c r="KQF50" s="19"/>
      <c r="KQG50" s="19"/>
      <c r="KQH50" s="19"/>
      <c r="KQI50" s="19"/>
      <c r="KQJ50" s="19"/>
      <c r="KQK50" s="19"/>
      <c r="KQL50" s="19"/>
      <c r="KQM50" s="19"/>
      <c r="KQN50" s="19"/>
      <c r="KQO50" s="19"/>
      <c r="KQP50" s="19"/>
      <c r="KQQ50" s="19"/>
      <c r="KQR50" s="19"/>
      <c r="KQS50" s="19"/>
      <c r="KQT50" s="19"/>
      <c r="KQU50" s="19"/>
      <c r="KQV50" s="19"/>
      <c r="KQW50" s="19"/>
      <c r="KQX50" s="19"/>
      <c r="KQY50" s="19"/>
      <c r="KQZ50" s="19"/>
      <c r="KRA50" s="19"/>
      <c r="KRB50" s="19"/>
      <c r="KRC50" s="19"/>
      <c r="KRD50" s="19"/>
      <c r="KRE50" s="19"/>
      <c r="KRF50" s="19"/>
      <c r="KRG50" s="19"/>
      <c r="KRH50" s="19"/>
      <c r="KRI50" s="19"/>
      <c r="KRJ50" s="19"/>
      <c r="KRK50" s="19"/>
      <c r="KRL50" s="19"/>
      <c r="KRM50" s="19"/>
      <c r="KRN50" s="19"/>
      <c r="KRO50" s="19"/>
      <c r="KRP50" s="19"/>
      <c r="KRQ50" s="19"/>
      <c r="KRR50" s="19"/>
      <c r="KRS50" s="19"/>
      <c r="KRT50" s="19"/>
      <c r="KRU50" s="19"/>
      <c r="KRV50" s="19"/>
      <c r="KRW50" s="19"/>
      <c r="KRX50" s="19"/>
      <c r="KRY50" s="19"/>
      <c r="KRZ50" s="19"/>
      <c r="KSA50" s="19"/>
      <c r="KSB50" s="19"/>
      <c r="KSC50" s="19"/>
      <c r="KSD50" s="19"/>
      <c r="KSE50" s="19"/>
      <c r="KSF50" s="19"/>
      <c r="KSG50" s="19"/>
      <c r="KSH50" s="19"/>
      <c r="KSI50" s="19"/>
      <c r="KSJ50" s="19"/>
      <c r="KSK50" s="19"/>
      <c r="KSL50" s="19"/>
      <c r="KSM50" s="19"/>
      <c r="KSN50" s="19"/>
      <c r="KSO50" s="19"/>
      <c r="KSP50" s="19"/>
      <c r="KSQ50" s="19"/>
      <c r="KSR50" s="19"/>
      <c r="KSS50" s="19"/>
      <c r="KST50" s="19"/>
      <c r="KSU50" s="19"/>
      <c r="KSV50" s="19"/>
      <c r="KSW50" s="19"/>
      <c r="KSX50" s="19"/>
      <c r="KSY50" s="19"/>
      <c r="KSZ50" s="19"/>
      <c r="KTA50" s="19"/>
      <c r="KTB50" s="19"/>
      <c r="KTC50" s="19"/>
      <c r="KTD50" s="19"/>
      <c r="KTE50" s="19"/>
      <c r="KTF50" s="19"/>
      <c r="KTG50" s="19"/>
      <c r="KTH50" s="19"/>
      <c r="KTI50" s="19"/>
      <c r="KTJ50" s="19"/>
      <c r="KTK50" s="19"/>
      <c r="KTL50" s="19"/>
      <c r="KTM50" s="19"/>
      <c r="KTN50" s="19"/>
      <c r="KTO50" s="19"/>
      <c r="KTP50" s="19"/>
      <c r="KTQ50" s="19"/>
      <c r="KTR50" s="19"/>
      <c r="KTS50" s="19"/>
      <c r="KTT50" s="19"/>
      <c r="KTU50" s="19"/>
      <c r="KTV50" s="19"/>
      <c r="KTW50" s="19"/>
      <c r="KTX50" s="19"/>
      <c r="KTY50" s="19"/>
      <c r="KTZ50" s="19"/>
      <c r="KUA50" s="19"/>
      <c r="KUB50" s="19"/>
      <c r="KUC50" s="19"/>
      <c r="KUD50" s="19"/>
      <c r="KUE50" s="19"/>
      <c r="KUF50" s="19"/>
      <c r="KUG50" s="19"/>
      <c r="KUH50" s="19"/>
      <c r="KUI50" s="19"/>
      <c r="KUJ50" s="19"/>
      <c r="KUK50" s="19"/>
      <c r="KUL50" s="19"/>
      <c r="KUM50" s="19"/>
      <c r="KUN50" s="19"/>
      <c r="KUO50" s="19"/>
      <c r="KUP50" s="19"/>
      <c r="KUQ50" s="19"/>
      <c r="KUR50" s="19"/>
      <c r="KUS50" s="19"/>
      <c r="KUT50" s="19"/>
      <c r="KUU50" s="19"/>
      <c r="KUV50" s="19"/>
      <c r="KUW50" s="19"/>
      <c r="KUX50" s="19"/>
      <c r="KUY50" s="19"/>
      <c r="KUZ50" s="19"/>
      <c r="KVA50" s="19"/>
      <c r="KVB50" s="19"/>
      <c r="KVC50" s="19"/>
      <c r="KVD50" s="19"/>
      <c r="KVE50" s="19"/>
      <c r="KVF50" s="19"/>
      <c r="KVG50" s="19"/>
      <c r="KVH50" s="19"/>
      <c r="KVI50" s="19"/>
      <c r="KVJ50" s="19"/>
      <c r="KVK50" s="19"/>
      <c r="KVL50" s="19"/>
      <c r="KVM50" s="19"/>
      <c r="KVN50" s="19"/>
      <c r="KVO50" s="19"/>
      <c r="KVP50" s="19"/>
      <c r="KVQ50" s="19"/>
      <c r="KVR50" s="19"/>
      <c r="KVS50" s="19"/>
      <c r="KVT50" s="19"/>
      <c r="KVU50" s="19"/>
      <c r="KVV50" s="19"/>
      <c r="KVW50" s="19"/>
      <c r="KVX50" s="19"/>
      <c r="KVY50" s="19"/>
      <c r="KVZ50" s="19"/>
      <c r="KWA50" s="19"/>
      <c r="KWB50" s="19"/>
      <c r="KWC50" s="19"/>
      <c r="KWD50" s="19"/>
      <c r="KWE50" s="19"/>
      <c r="KWF50" s="19"/>
      <c r="KWG50" s="19"/>
      <c r="KWH50" s="19"/>
      <c r="KWI50" s="19"/>
      <c r="KWJ50" s="19"/>
      <c r="KWK50" s="19"/>
      <c r="KWL50" s="19"/>
      <c r="KWM50" s="19"/>
      <c r="KWN50" s="19"/>
      <c r="KWO50" s="19"/>
      <c r="KWP50" s="19"/>
      <c r="KWQ50" s="19"/>
      <c r="KWR50" s="19"/>
      <c r="KWS50" s="19"/>
      <c r="KWT50" s="19"/>
      <c r="KWU50" s="19"/>
      <c r="KWV50" s="19"/>
      <c r="KWW50" s="19"/>
      <c r="KWX50" s="19"/>
      <c r="KWY50" s="19"/>
      <c r="KWZ50" s="19"/>
      <c r="KXA50" s="19"/>
      <c r="KXB50" s="19"/>
      <c r="KXC50" s="19"/>
      <c r="KXD50" s="19"/>
      <c r="KXE50" s="19"/>
      <c r="KXF50" s="19"/>
      <c r="KXG50" s="19"/>
      <c r="KXH50" s="19"/>
      <c r="KXI50" s="19"/>
      <c r="KXJ50" s="19"/>
      <c r="KXK50" s="19"/>
      <c r="KXL50" s="19"/>
      <c r="KXM50" s="19"/>
      <c r="KXN50" s="19"/>
      <c r="KXO50" s="19"/>
      <c r="KXP50" s="19"/>
      <c r="KXQ50" s="19"/>
      <c r="KXR50" s="19"/>
      <c r="KXS50" s="19"/>
      <c r="KXT50" s="19"/>
      <c r="KXU50" s="19"/>
      <c r="KXV50" s="19"/>
      <c r="KXW50" s="19"/>
      <c r="KXX50" s="19"/>
      <c r="KXY50" s="19"/>
      <c r="KXZ50" s="19"/>
      <c r="KYA50" s="19"/>
      <c r="KYB50" s="19"/>
      <c r="KYC50" s="19"/>
      <c r="KYD50" s="19"/>
      <c r="KYE50" s="19"/>
      <c r="KYF50" s="19"/>
      <c r="KYG50" s="19"/>
      <c r="KYH50" s="19"/>
      <c r="KYI50" s="19"/>
      <c r="KYJ50" s="19"/>
      <c r="KYK50" s="19"/>
      <c r="KYL50" s="19"/>
      <c r="KYM50" s="19"/>
      <c r="KYN50" s="19"/>
      <c r="KYO50" s="19"/>
      <c r="KYP50" s="19"/>
      <c r="KYQ50" s="19"/>
      <c r="KYR50" s="19"/>
      <c r="KYS50" s="19"/>
      <c r="KYT50" s="19"/>
      <c r="KYU50" s="19"/>
      <c r="KYV50" s="19"/>
      <c r="KYW50" s="19"/>
      <c r="KYX50" s="19"/>
      <c r="KYY50" s="19"/>
      <c r="KYZ50" s="19"/>
      <c r="KZA50" s="19"/>
      <c r="KZB50" s="19"/>
      <c r="KZC50" s="19"/>
      <c r="KZD50" s="19"/>
      <c r="KZE50" s="19"/>
      <c r="KZF50" s="19"/>
      <c r="KZG50" s="19"/>
      <c r="KZH50" s="19"/>
      <c r="KZI50" s="19"/>
      <c r="KZJ50" s="19"/>
      <c r="KZK50" s="19"/>
      <c r="KZL50" s="19"/>
      <c r="KZM50" s="19"/>
      <c r="KZN50" s="19"/>
      <c r="KZO50" s="19"/>
      <c r="KZP50" s="19"/>
      <c r="KZQ50" s="19"/>
      <c r="KZR50" s="19"/>
      <c r="KZS50" s="19"/>
      <c r="KZT50" s="19"/>
      <c r="KZU50" s="19"/>
      <c r="KZV50" s="19"/>
      <c r="KZW50" s="19"/>
      <c r="KZX50" s="19"/>
      <c r="KZY50" s="19"/>
      <c r="KZZ50" s="19"/>
      <c r="LAA50" s="19"/>
      <c r="LAB50" s="19"/>
      <c r="LAC50" s="19"/>
      <c r="LAD50" s="19"/>
      <c r="LAE50" s="19"/>
      <c r="LAF50" s="19"/>
      <c r="LAG50" s="19"/>
      <c r="LAH50" s="19"/>
      <c r="LAI50" s="19"/>
      <c r="LAJ50" s="19"/>
      <c r="LAK50" s="19"/>
      <c r="LAL50" s="19"/>
      <c r="LAM50" s="19"/>
      <c r="LAN50" s="19"/>
      <c r="LAO50" s="19"/>
      <c r="LAP50" s="19"/>
      <c r="LAQ50" s="19"/>
      <c r="LAR50" s="19"/>
      <c r="LAS50" s="19"/>
      <c r="LAT50" s="19"/>
      <c r="LAU50" s="19"/>
      <c r="LAV50" s="19"/>
      <c r="LAW50" s="19"/>
      <c r="LAX50" s="19"/>
      <c r="LAY50" s="19"/>
      <c r="LAZ50" s="19"/>
      <c r="LBA50" s="19"/>
      <c r="LBB50" s="19"/>
      <c r="LBC50" s="19"/>
      <c r="LBD50" s="19"/>
      <c r="LBE50" s="19"/>
      <c r="LBF50" s="19"/>
      <c r="LBG50" s="19"/>
      <c r="LBH50" s="19"/>
      <c r="LBI50" s="19"/>
      <c r="LBJ50" s="19"/>
      <c r="LBK50" s="19"/>
      <c r="LBL50" s="19"/>
      <c r="LBM50" s="19"/>
      <c r="LBN50" s="19"/>
      <c r="LBO50" s="19"/>
      <c r="LBP50" s="19"/>
      <c r="LBQ50" s="19"/>
      <c r="LBR50" s="19"/>
      <c r="LBS50" s="19"/>
      <c r="LBT50" s="19"/>
      <c r="LBU50" s="19"/>
      <c r="LBV50" s="19"/>
      <c r="LBW50" s="19"/>
      <c r="LBX50" s="19"/>
      <c r="LBY50" s="19"/>
      <c r="LBZ50" s="19"/>
      <c r="LCA50" s="19"/>
      <c r="LCB50" s="19"/>
      <c r="LCC50" s="19"/>
      <c r="LCD50" s="19"/>
      <c r="LCE50" s="19"/>
      <c r="LCF50" s="19"/>
      <c r="LCG50" s="19"/>
      <c r="LCH50" s="19"/>
      <c r="LCI50" s="19"/>
      <c r="LCJ50" s="19"/>
      <c r="LCK50" s="19"/>
      <c r="LCL50" s="19"/>
      <c r="LCM50" s="19"/>
      <c r="LCN50" s="19"/>
      <c r="LCO50" s="19"/>
      <c r="LCP50" s="19"/>
      <c r="LCQ50" s="19"/>
      <c r="LCR50" s="19"/>
      <c r="LCS50" s="19"/>
      <c r="LCT50" s="19"/>
      <c r="LCU50" s="19"/>
      <c r="LCV50" s="19"/>
      <c r="LCW50" s="19"/>
      <c r="LCX50" s="19"/>
      <c r="LCY50" s="19"/>
      <c r="LCZ50" s="19"/>
      <c r="LDA50" s="19"/>
      <c r="LDB50" s="19"/>
      <c r="LDC50" s="19"/>
      <c r="LDD50" s="19"/>
      <c r="LDE50" s="19"/>
      <c r="LDF50" s="19"/>
      <c r="LDG50" s="19"/>
      <c r="LDH50" s="19"/>
      <c r="LDI50" s="19"/>
      <c r="LDJ50" s="19"/>
      <c r="LDK50" s="19"/>
      <c r="LDL50" s="19"/>
      <c r="LDM50" s="19"/>
      <c r="LDN50" s="19"/>
      <c r="LDO50" s="19"/>
      <c r="LDP50" s="19"/>
      <c r="LDQ50" s="19"/>
      <c r="LDR50" s="19"/>
      <c r="LDS50" s="19"/>
      <c r="LDT50" s="19"/>
      <c r="LDU50" s="19"/>
      <c r="LDV50" s="19"/>
      <c r="LDW50" s="19"/>
      <c r="LDX50" s="19"/>
      <c r="LDY50" s="19"/>
      <c r="LDZ50" s="19"/>
      <c r="LEA50" s="19"/>
      <c r="LEB50" s="19"/>
      <c r="LEC50" s="19"/>
      <c r="LED50" s="19"/>
      <c r="LEE50" s="19"/>
      <c r="LEF50" s="19"/>
      <c r="LEG50" s="19"/>
      <c r="LEH50" s="19"/>
      <c r="LEI50" s="19"/>
      <c r="LEJ50" s="19"/>
      <c r="LEK50" s="19"/>
      <c r="LEL50" s="19"/>
      <c r="LEM50" s="19"/>
      <c r="LEN50" s="19"/>
      <c r="LEO50" s="19"/>
      <c r="LEP50" s="19"/>
      <c r="LEQ50" s="19"/>
      <c r="LER50" s="19"/>
      <c r="LES50" s="19"/>
      <c r="LET50" s="19"/>
      <c r="LEU50" s="19"/>
      <c r="LEV50" s="19"/>
      <c r="LEW50" s="19"/>
      <c r="LEX50" s="19"/>
      <c r="LEY50" s="19"/>
      <c r="LEZ50" s="19"/>
      <c r="LFA50" s="19"/>
      <c r="LFB50" s="19"/>
      <c r="LFC50" s="19"/>
      <c r="LFD50" s="19"/>
      <c r="LFE50" s="19"/>
      <c r="LFF50" s="19"/>
      <c r="LFG50" s="19"/>
      <c r="LFH50" s="19"/>
      <c r="LFI50" s="19"/>
      <c r="LFJ50" s="19"/>
      <c r="LFK50" s="19"/>
      <c r="LFL50" s="19"/>
      <c r="LFM50" s="19"/>
      <c r="LFN50" s="19"/>
      <c r="LFO50" s="19"/>
      <c r="LFP50" s="19"/>
      <c r="LFQ50" s="19"/>
      <c r="LFR50" s="19"/>
      <c r="LFS50" s="19"/>
      <c r="LFT50" s="19"/>
      <c r="LFU50" s="19"/>
      <c r="LFV50" s="19"/>
      <c r="LFW50" s="19"/>
      <c r="LFX50" s="19"/>
      <c r="LFY50" s="19"/>
      <c r="LFZ50" s="19"/>
      <c r="LGA50" s="19"/>
      <c r="LGB50" s="19"/>
      <c r="LGC50" s="19"/>
      <c r="LGD50" s="19"/>
      <c r="LGE50" s="19"/>
      <c r="LGF50" s="19"/>
      <c r="LGG50" s="19"/>
      <c r="LGH50" s="19"/>
      <c r="LGI50" s="19"/>
      <c r="LGJ50" s="19"/>
      <c r="LGK50" s="19"/>
      <c r="LGL50" s="19"/>
      <c r="LGM50" s="19"/>
      <c r="LGN50" s="19"/>
      <c r="LGO50" s="19"/>
      <c r="LGP50" s="19"/>
      <c r="LGQ50" s="19"/>
      <c r="LGR50" s="19"/>
      <c r="LGS50" s="19"/>
      <c r="LGT50" s="19"/>
      <c r="LGU50" s="19"/>
      <c r="LGV50" s="19"/>
      <c r="LGW50" s="19"/>
      <c r="LGX50" s="19"/>
      <c r="LGY50" s="19"/>
      <c r="LGZ50" s="19"/>
      <c r="LHA50" s="19"/>
      <c r="LHB50" s="19"/>
      <c r="LHC50" s="19"/>
      <c r="LHD50" s="19"/>
      <c r="LHE50" s="19"/>
      <c r="LHF50" s="19"/>
      <c r="LHG50" s="19"/>
      <c r="LHH50" s="19"/>
      <c r="LHI50" s="19"/>
      <c r="LHJ50" s="19"/>
      <c r="LHK50" s="19"/>
      <c r="LHL50" s="19"/>
      <c r="LHM50" s="19"/>
      <c r="LHN50" s="19"/>
      <c r="LHO50" s="19"/>
      <c r="LHP50" s="19"/>
      <c r="LHQ50" s="19"/>
      <c r="LHR50" s="19"/>
      <c r="LHS50" s="19"/>
      <c r="LHT50" s="19"/>
      <c r="LHU50" s="19"/>
      <c r="LHV50" s="19"/>
      <c r="LHW50" s="19"/>
      <c r="LHX50" s="19"/>
      <c r="LHY50" s="19"/>
      <c r="LHZ50" s="19"/>
      <c r="LIA50" s="19"/>
      <c r="LIB50" s="19"/>
      <c r="LIC50" s="19"/>
      <c r="LID50" s="19"/>
      <c r="LIE50" s="19"/>
      <c r="LIF50" s="19"/>
      <c r="LIG50" s="19"/>
      <c r="LIH50" s="19"/>
      <c r="LII50" s="19"/>
      <c r="LIJ50" s="19"/>
      <c r="LIK50" s="19"/>
      <c r="LIL50" s="19"/>
      <c r="LIM50" s="19"/>
      <c r="LIN50" s="19"/>
      <c r="LIO50" s="19"/>
      <c r="LIP50" s="19"/>
      <c r="LIQ50" s="19"/>
      <c r="LIR50" s="19"/>
      <c r="LIS50" s="19"/>
      <c r="LIT50" s="19"/>
      <c r="LIU50" s="19"/>
      <c r="LIV50" s="19"/>
      <c r="LIW50" s="19"/>
      <c r="LIX50" s="19"/>
      <c r="LIY50" s="19"/>
      <c r="LIZ50" s="19"/>
      <c r="LJA50" s="19"/>
      <c r="LJB50" s="19"/>
      <c r="LJC50" s="19"/>
      <c r="LJD50" s="19"/>
      <c r="LJE50" s="19"/>
      <c r="LJF50" s="19"/>
      <c r="LJG50" s="19"/>
      <c r="LJH50" s="19"/>
      <c r="LJI50" s="19"/>
      <c r="LJJ50" s="19"/>
      <c r="LJK50" s="19"/>
      <c r="LJL50" s="19"/>
      <c r="LJM50" s="19"/>
      <c r="LJN50" s="19"/>
      <c r="LJO50" s="19"/>
      <c r="LJP50" s="19"/>
      <c r="LJQ50" s="19"/>
      <c r="LJR50" s="19"/>
      <c r="LJS50" s="19"/>
      <c r="LJT50" s="19"/>
      <c r="LJU50" s="19"/>
      <c r="LJV50" s="19"/>
      <c r="LJW50" s="19"/>
      <c r="LJX50" s="19"/>
      <c r="LJY50" s="19"/>
      <c r="LJZ50" s="19"/>
      <c r="LKA50" s="19"/>
      <c r="LKB50" s="19"/>
      <c r="LKC50" s="19"/>
      <c r="LKD50" s="19"/>
      <c r="LKE50" s="19"/>
      <c r="LKF50" s="19"/>
      <c r="LKG50" s="19"/>
      <c r="LKH50" s="19"/>
      <c r="LKI50" s="19"/>
      <c r="LKJ50" s="19"/>
      <c r="LKK50" s="19"/>
      <c r="LKL50" s="19"/>
      <c r="LKM50" s="19"/>
      <c r="LKN50" s="19"/>
      <c r="LKO50" s="19"/>
      <c r="LKP50" s="19"/>
      <c r="LKQ50" s="19"/>
      <c r="LKR50" s="19"/>
      <c r="LKS50" s="19"/>
      <c r="LKT50" s="19"/>
      <c r="LKU50" s="19"/>
      <c r="LKV50" s="19"/>
      <c r="LKW50" s="19"/>
      <c r="LKX50" s="19"/>
      <c r="LKY50" s="19"/>
      <c r="LKZ50" s="19"/>
      <c r="LLA50" s="19"/>
      <c r="LLB50" s="19"/>
      <c r="LLC50" s="19"/>
      <c r="LLD50" s="19"/>
      <c r="LLE50" s="19"/>
      <c r="LLF50" s="19"/>
      <c r="LLG50" s="19"/>
      <c r="LLH50" s="19"/>
      <c r="LLI50" s="19"/>
      <c r="LLJ50" s="19"/>
      <c r="LLK50" s="19"/>
      <c r="LLL50" s="19"/>
      <c r="LLM50" s="19"/>
      <c r="LLN50" s="19"/>
      <c r="LLO50" s="19"/>
      <c r="LLP50" s="19"/>
      <c r="LLQ50" s="19"/>
      <c r="LLR50" s="19"/>
      <c r="LLS50" s="19"/>
      <c r="LLT50" s="19"/>
      <c r="LLU50" s="19"/>
      <c r="LLV50" s="19"/>
      <c r="LLW50" s="19"/>
      <c r="LLX50" s="19"/>
      <c r="LLY50" s="19"/>
      <c r="LLZ50" s="19"/>
      <c r="LMA50" s="19"/>
      <c r="LMB50" s="19"/>
      <c r="LMC50" s="19"/>
      <c r="LMD50" s="19"/>
      <c r="LME50" s="19"/>
      <c r="LMF50" s="19"/>
      <c r="LMG50" s="19"/>
      <c r="LMH50" s="19"/>
      <c r="LMI50" s="19"/>
      <c r="LMJ50" s="19"/>
      <c r="LMK50" s="19"/>
      <c r="LML50" s="19"/>
      <c r="LMM50" s="19"/>
      <c r="LMN50" s="19"/>
      <c r="LMO50" s="19"/>
      <c r="LMP50" s="19"/>
      <c r="LMQ50" s="19"/>
      <c r="LMR50" s="19"/>
      <c r="LMS50" s="19"/>
      <c r="LMT50" s="19"/>
      <c r="LMU50" s="19"/>
      <c r="LMV50" s="19"/>
      <c r="LMW50" s="19"/>
      <c r="LMX50" s="19"/>
      <c r="LMY50" s="19"/>
      <c r="LMZ50" s="19"/>
      <c r="LNA50" s="19"/>
      <c r="LNB50" s="19"/>
      <c r="LNC50" s="19"/>
      <c r="LND50" s="19"/>
      <c r="LNE50" s="19"/>
      <c r="LNF50" s="19"/>
      <c r="LNG50" s="19"/>
      <c r="LNH50" s="19"/>
      <c r="LNI50" s="19"/>
      <c r="LNJ50" s="19"/>
      <c r="LNK50" s="19"/>
      <c r="LNL50" s="19"/>
      <c r="LNM50" s="19"/>
      <c r="LNN50" s="19"/>
      <c r="LNO50" s="19"/>
      <c r="LNP50" s="19"/>
      <c r="LNQ50" s="19"/>
      <c r="LNR50" s="19"/>
      <c r="LNS50" s="19"/>
      <c r="LNT50" s="19"/>
      <c r="LNU50" s="19"/>
      <c r="LNV50" s="19"/>
      <c r="LNW50" s="19"/>
      <c r="LNX50" s="19"/>
      <c r="LNY50" s="19"/>
      <c r="LNZ50" s="19"/>
      <c r="LOA50" s="19"/>
      <c r="LOB50" s="19"/>
      <c r="LOC50" s="19"/>
      <c r="LOD50" s="19"/>
      <c r="LOE50" s="19"/>
      <c r="LOF50" s="19"/>
      <c r="LOG50" s="19"/>
      <c r="LOH50" s="19"/>
      <c r="LOI50" s="19"/>
      <c r="LOJ50" s="19"/>
      <c r="LOK50" s="19"/>
      <c r="LOL50" s="19"/>
      <c r="LOM50" s="19"/>
      <c r="LON50" s="19"/>
      <c r="LOO50" s="19"/>
      <c r="LOP50" s="19"/>
      <c r="LOQ50" s="19"/>
      <c r="LOR50" s="19"/>
      <c r="LOS50" s="19"/>
      <c r="LOT50" s="19"/>
      <c r="LOU50" s="19"/>
      <c r="LOV50" s="19"/>
      <c r="LOW50" s="19"/>
      <c r="LOX50" s="19"/>
      <c r="LOY50" s="19"/>
      <c r="LOZ50" s="19"/>
      <c r="LPA50" s="19"/>
      <c r="LPB50" s="19"/>
      <c r="LPC50" s="19"/>
      <c r="LPD50" s="19"/>
      <c r="LPE50" s="19"/>
      <c r="LPF50" s="19"/>
      <c r="LPG50" s="19"/>
      <c r="LPH50" s="19"/>
      <c r="LPI50" s="19"/>
      <c r="LPJ50" s="19"/>
      <c r="LPK50" s="19"/>
      <c r="LPL50" s="19"/>
      <c r="LPM50" s="19"/>
      <c r="LPN50" s="19"/>
      <c r="LPO50" s="19"/>
      <c r="LPP50" s="19"/>
      <c r="LPQ50" s="19"/>
      <c r="LPR50" s="19"/>
      <c r="LPS50" s="19"/>
      <c r="LPT50" s="19"/>
      <c r="LPU50" s="19"/>
      <c r="LPV50" s="19"/>
      <c r="LPW50" s="19"/>
      <c r="LPX50" s="19"/>
      <c r="LPY50" s="19"/>
      <c r="LPZ50" s="19"/>
      <c r="LQA50" s="19"/>
      <c r="LQB50" s="19"/>
      <c r="LQC50" s="19"/>
      <c r="LQD50" s="19"/>
      <c r="LQE50" s="19"/>
      <c r="LQF50" s="19"/>
      <c r="LQG50" s="19"/>
      <c r="LQH50" s="19"/>
      <c r="LQI50" s="19"/>
      <c r="LQJ50" s="19"/>
      <c r="LQK50" s="19"/>
      <c r="LQL50" s="19"/>
      <c r="LQM50" s="19"/>
      <c r="LQN50" s="19"/>
      <c r="LQO50" s="19"/>
      <c r="LQP50" s="19"/>
      <c r="LQQ50" s="19"/>
      <c r="LQR50" s="19"/>
      <c r="LQS50" s="19"/>
      <c r="LQT50" s="19"/>
      <c r="LQU50" s="19"/>
      <c r="LQV50" s="19"/>
      <c r="LQW50" s="19"/>
      <c r="LQX50" s="19"/>
      <c r="LQY50" s="19"/>
      <c r="LQZ50" s="19"/>
      <c r="LRA50" s="19"/>
      <c r="LRB50" s="19"/>
      <c r="LRC50" s="19"/>
      <c r="LRD50" s="19"/>
      <c r="LRE50" s="19"/>
      <c r="LRF50" s="19"/>
      <c r="LRG50" s="19"/>
      <c r="LRH50" s="19"/>
      <c r="LRI50" s="19"/>
      <c r="LRJ50" s="19"/>
      <c r="LRK50" s="19"/>
      <c r="LRL50" s="19"/>
      <c r="LRM50" s="19"/>
      <c r="LRN50" s="19"/>
      <c r="LRO50" s="19"/>
      <c r="LRP50" s="19"/>
      <c r="LRQ50" s="19"/>
      <c r="LRR50" s="19"/>
      <c r="LRS50" s="19"/>
      <c r="LRT50" s="19"/>
      <c r="LRU50" s="19"/>
      <c r="LRV50" s="19"/>
      <c r="LRW50" s="19"/>
      <c r="LRX50" s="19"/>
      <c r="LRY50" s="19"/>
      <c r="LRZ50" s="19"/>
      <c r="LSA50" s="19"/>
      <c r="LSB50" s="19"/>
      <c r="LSC50" s="19"/>
      <c r="LSD50" s="19"/>
      <c r="LSE50" s="19"/>
      <c r="LSF50" s="19"/>
      <c r="LSG50" s="19"/>
      <c r="LSH50" s="19"/>
      <c r="LSI50" s="19"/>
      <c r="LSJ50" s="19"/>
      <c r="LSK50" s="19"/>
      <c r="LSL50" s="19"/>
      <c r="LSM50" s="19"/>
      <c r="LSN50" s="19"/>
      <c r="LSO50" s="19"/>
      <c r="LSP50" s="19"/>
      <c r="LSQ50" s="19"/>
      <c r="LSR50" s="19"/>
      <c r="LSS50" s="19"/>
      <c r="LST50" s="19"/>
      <c r="LSU50" s="19"/>
      <c r="LSV50" s="19"/>
      <c r="LSW50" s="19"/>
      <c r="LSX50" s="19"/>
      <c r="LSY50" s="19"/>
      <c r="LSZ50" s="19"/>
      <c r="LTA50" s="19"/>
      <c r="LTB50" s="19"/>
      <c r="LTC50" s="19"/>
      <c r="LTD50" s="19"/>
      <c r="LTE50" s="19"/>
      <c r="LTF50" s="19"/>
      <c r="LTG50" s="19"/>
      <c r="LTH50" s="19"/>
      <c r="LTI50" s="19"/>
      <c r="LTJ50" s="19"/>
      <c r="LTK50" s="19"/>
      <c r="LTL50" s="19"/>
      <c r="LTM50" s="19"/>
      <c r="LTN50" s="19"/>
      <c r="LTO50" s="19"/>
      <c r="LTP50" s="19"/>
      <c r="LTQ50" s="19"/>
      <c r="LTR50" s="19"/>
      <c r="LTS50" s="19"/>
      <c r="LTT50" s="19"/>
      <c r="LTU50" s="19"/>
      <c r="LTV50" s="19"/>
      <c r="LTW50" s="19"/>
      <c r="LTX50" s="19"/>
      <c r="LTY50" s="19"/>
      <c r="LTZ50" s="19"/>
      <c r="LUA50" s="19"/>
      <c r="LUB50" s="19"/>
      <c r="LUC50" s="19"/>
      <c r="LUD50" s="19"/>
      <c r="LUE50" s="19"/>
      <c r="LUF50" s="19"/>
      <c r="LUG50" s="19"/>
      <c r="LUH50" s="19"/>
      <c r="LUI50" s="19"/>
      <c r="LUJ50" s="19"/>
      <c r="LUK50" s="19"/>
      <c r="LUL50" s="19"/>
      <c r="LUM50" s="19"/>
      <c r="LUN50" s="19"/>
      <c r="LUO50" s="19"/>
      <c r="LUP50" s="19"/>
      <c r="LUQ50" s="19"/>
      <c r="LUR50" s="19"/>
      <c r="LUS50" s="19"/>
      <c r="LUT50" s="19"/>
      <c r="LUU50" s="19"/>
      <c r="LUV50" s="19"/>
      <c r="LUW50" s="19"/>
      <c r="LUX50" s="19"/>
      <c r="LUY50" s="19"/>
      <c r="LUZ50" s="19"/>
      <c r="LVA50" s="19"/>
      <c r="LVB50" s="19"/>
      <c r="LVC50" s="19"/>
      <c r="LVD50" s="19"/>
      <c r="LVE50" s="19"/>
      <c r="LVF50" s="19"/>
      <c r="LVG50" s="19"/>
      <c r="LVH50" s="19"/>
      <c r="LVI50" s="19"/>
      <c r="LVJ50" s="19"/>
      <c r="LVK50" s="19"/>
      <c r="LVL50" s="19"/>
      <c r="LVM50" s="19"/>
      <c r="LVN50" s="19"/>
      <c r="LVO50" s="19"/>
      <c r="LVP50" s="19"/>
      <c r="LVQ50" s="19"/>
      <c r="LVR50" s="19"/>
      <c r="LVS50" s="19"/>
      <c r="LVT50" s="19"/>
      <c r="LVU50" s="19"/>
      <c r="LVV50" s="19"/>
      <c r="LVW50" s="19"/>
      <c r="LVX50" s="19"/>
      <c r="LVY50" s="19"/>
      <c r="LVZ50" s="19"/>
      <c r="LWA50" s="19"/>
      <c r="LWB50" s="19"/>
      <c r="LWC50" s="19"/>
      <c r="LWD50" s="19"/>
      <c r="LWE50" s="19"/>
      <c r="LWF50" s="19"/>
      <c r="LWG50" s="19"/>
      <c r="LWH50" s="19"/>
      <c r="LWI50" s="19"/>
      <c r="LWJ50" s="19"/>
      <c r="LWK50" s="19"/>
      <c r="LWL50" s="19"/>
      <c r="LWM50" s="19"/>
      <c r="LWN50" s="19"/>
      <c r="LWO50" s="19"/>
      <c r="LWP50" s="19"/>
      <c r="LWQ50" s="19"/>
      <c r="LWR50" s="19"/>
      <c r="LWS50" s="19"/>
      <c r="LWT50" s="19"/>
      <c r="LWU50" s="19"/>
      <c r="LWV50" s="19"/>
      <c r="LWW50" s="19"/>
      <c r="LWX50" s="19"/>
      <c r="LWY50" s="19"/>
      <c r="LWZ50" s="19"/>
      <c r="LXA50" s="19"/>
      <c r="LXB50" s="19"/>
      <c r="LXC50" s="19"/>
      <c r="LXD50" s="19"/>
      <c r="LXE50" s="19"/>
      <c r="LXF50" s="19"/>
      <c r="LXG50" s="19"/>
      <c r="LXH50" s="19"/>
      <c r="LXI50" s="19"/>
      <c r="LXJ50" s="19"/>
      <c r="LXK50" s="19"/>
      <c r="LXL50" s="19"/>
      <c r="LXM50" s="19"/>
      <c r="LXN50" s="19"/>
      <c r="LXO50" s="19"/>
      <c r="LXP50" s="19"/>
      <c r="LXQ50" s="19"/>
      <c r="LXR50" s="19"/>
      <c r="LXS50" s="19"/>
      <c r="LXT50" s="19"/>
      <c r="LXU50" s="19"/>
      <c r="LXV50" s="19"/>
      <c r="LXW50" s="19"/>
      <c r="LXX50" s="19"/>
      <c r="LXY50" s="19"/>
      <c r="LXZ50" s="19"/>
      <c r="LYA50" s="19"/>
      <c r="LYB50" s="19"/>
      <c r="LYC50" s="19"/>
      <c r="LYD50" s="19"/>
      <c r="LYE50" s="19"/>
      <c r="LYF50" s="19"/>
      <c r="LYG50" s="19"/>
      <c r="LYH50" s="19"/>
      <c r="LYI50" s="19"/>
      <c r="LYJ50" s="19"/>
      <c r="LYK50" s="19"/>
      <c r="LYL50" s="19"/>
      <c r="LYM50" s="19"/>
      <c r="LYN50" s="19"/>
      <c r="LYO50" s="19"/>
      <c r="LYP50" s="19"/>
      <c r="LYQ50" s="19"/>
      <c r="LYR50" s="19"/>
      <c r="LYS50" s="19"/>
      <c r="LYT50" s="19"/>
      <c r="LYU50" s="19"/>
      <c r="LYV50" s="19"/>
      <c r="LYW50" s="19"/>
      <c r="LYX50" s="19"/>
      <c r="LYY50" s="19"/>
      <c r="LYZ50" s="19"/>
      <c r="LZA50" s="19"/>
      <c r="LZB50" s="19"/>
      <c r="LZC50" s="19"/>
      <c r="LZD50" s="19"/>
      <c r="LZE50" s="19"/>
      <c r="LZF50" s="19"/>
      <c r="LZG50" s="19"/>
      <c r="LZH50" s="19"/>
      <c r="LZI50" s="19"/>
      <c r="LZJ50" s="19"/>
      <c r="LZK50" s="19"/>
      <c r="LZL50" s="19"/>
      <c r="LZM50" s="19"/>
      <c r="LZN50" s="19"/>
      <c r="LZO50" s="19"/>
      <c r="LZP50" s="19"/>
      <c r="LZQ50" s="19"/>
      <c r="LZR50" s="19"/>
      <c r="LZS50" s="19"/>
      <c r="LZT50" s="19"/>
      <c r="LZU50" s="19"/>
      <c r="LZV50" s="19"/>
      <c r="LZW50" s="19"/>
      <c r="LZX50" s="19"/>
      <c r="LZY50" s="19"/>
      <c r="LZZ50" s="19"/>
      <c r="MAA50" s="19"/>
      <c r="MAB50" s="19"/>
      <c r="MAC50" s="19"/>
      <c r="MAD50" s="19"/>
      <c r="MAE50" s="19"/>
      <c r="MAF50" s="19"/>
      <c r="MAG50" s="19"/>
      <c r="MAH50" s="19"/>
      <c r="MAI50" s="19"/>
      <c r="MAJ50" s="19"/>
      <c r="MAK50" s="19"/>
      <c r="MAL50" s="19"/>
      <c r="MAM50" s="19"/>
      <c r="MAN50" s="19"/>
      <c r="MAO50" s="19"/>
      <c r="MAP50" s="19"/>
      <c r="MAQ50" s="19"/>
      <c r="MAR50" s="19"/>
      <c r="MAS50" s="19"/>
      <c r="MAT50" s="19"/>
      <c r="MAU50" s="19"/>
      <c r="MAV50" s="19"/>
      <c r="MAW50" s="19"/>
      <c r="MAX50" s="19"/>
      <c r="MAY50" s="19"/>
      <c r="MAZ50" s="19"/>
      <c r="MBA50" s="19"/>
      <c r="MBB50" s="19"/>
      <c r="MBC50" s="19"/>
      <c r="MBD50" s="19"/>
      <c r="MBE50" s="19"/>
      <c r="MBF50" s="19"/>
      <c r="MBG50" s="19"/>
      <c r="MBH50" s="19"/>
      <c r="MBI50" s="19"/>
      <c r="MBJ50" s="19"/>
      <c r="MBK50" s="19"/>
      <c r="MBL50" s="19"/>
      <c r="MBM50" s="19"/>
      <c r="MBN50" s="19"/>
      <c r="MBO50" s="19"/>
      <c r="MBP50" s="19"/>
      <c r="MBQ50" s="19"/>
      <c r="MBR50" s="19"/>
      <c r="MBS50" s="19"/>
      <c r="MBT50" s="19"/>
      <c r="MBU50" s="19"/>
      <c r="MBV50" s="19"/>
      <c r="MBW50" s="19"/>
      <c r="MBX50" s="19"/>
      <c r="MBY50" s="19"/>
      <c r="MBZ50" s="19"/>
      <c r="MCA50" s="19"/>
      <c r="MCB50" s="19"/>
      <c r="MCC50" s="19"/>
      <c r="MCD50" s="19"/>
      <c r="MCE50" s="19"/>
      <c r="MCF50" s="19"/>
      <c r="MCG50" s="19"/>
      <c r="MCH50" s="19"/>
      <c r="MCI50" s="19"/>
      <c r="MCJ50" s="19"/>
      <c r="MCK50" s="19"/>
      <c r="MCL50" s="19"/>
      <c r="MCM50" s="19"/>
      <c r="MCN50" s="19"/>
      <c r="MCO50" s="19"/>
      <c r="MCP50" s="19"/>
      <c r="MCQ50" s="19"/>
      <c r="MCR50" s="19"/>
      <c r="MCS50" s="19"/>
      <c r="MCT50" s="19"/>
      <c r="MCU50" s="19"/>
      <c r="MCV50" s="19"/>
      <c r="MCW50" s="19"/>
      <c r="MCX50" s="19"/>
      <c r="MCY50" s="19"/>
      <c r="MCZ50" s="19"/>
      <c r="MDA50" s="19"/>
      <c r="MDB50" s="19"/>
      <c r="MDC50" s="19"/>
      <c r="MDD50" s="19"/>
      <c r="MDE50" s="19"/>
      <c r="MDF50" s="19"/>
      <c r="MDG50" s="19"/>
      <c r="MDH50" s="19"/>
      <c r="MDI50" s="19"/>
      <c r="MDJ50" s="19"/>
      <c r="MDK50" s="19"/>
      <c r="MDL50" s="19"/>
      <c r="MDM50" s="19"/>
      <c r="MDN50" s="19"/>
      <c r="MDO50" s="19"/>
      <c r="MDP50" s="19"/>
      <c r="MDQ50" s="19"/>
      <c r="MDR50" s="19"/>
      <c r="MDS50" s="19"/>
      <c r="MDT50" s="19"/>
      <c r="MDU50" s="19"/>
      <c r="MDV50" s="19"/>
      <c r="MDW50" s="19"/>
      <c r="MDX50" s="19"/>
      <c r="MDY50" s="19"/>
      <c r="MDZ50" s="19"/>
      <c r="MEA50" s="19"/>
      <c r="MEB50" s="19"/>
      <c r="MEC50" s="19"/>
      <c r="MED50" s="19"/>
      <c r="MEE50" s="19"/>
      <c r="MEF50" s="19"/>
      <c r="MEG50" s="19"/>
      <c r="MEH50" s="19"/>
      <c r="MEI50" s="19"/>
      <c r="MEJ50" s="19"/>
      <c r="MEK50" s="19"/>
      <c r="MEL50" s="19"/>
      <c r="MEM50" s="19"/>
      <c r="MEN50" s="19"/>
      <c r="MEO50" s="19"/>
      <c r="MEP50" s="19"/>
      <c r="MEQ50" s="19"/>
      <c r="MER50" s="19"/>
      <c r="MES50" s="19"/>
      <c r="MET50" s="19"/>
      <c r="MEU50" s="19"/>
      <c r="MEV50" s="19"/>
      <c r="MEW50" s="19"/>
      <c r="MEX50" s="19"/>
      <c r="MEY50" s="19"/>
      <c r="MEZ50" s="19"/>
      <c r="MFA50" s="19"/>
      <c r="MFB50" s="19"/>
      <c r="MFC50" s="19"/>
      <c r="MFD50" s="19"/>
      <c r="MFE50" s="19"/>
      <c r="MFF50" s="19"/>
      <c r="MFG50" s="19"/>
      <c r="MFH50" s="19"/>
      <c r="MFI50" s="19"/>
      <c r="MFJ50" s="19"/>
      <c r="MFK50" s="19"/>
      <c r="MFL50" s="19"/>
      <c r="MFM50" s="19"/>
      <c r="MFN50" s="19"/>
      <c r="MFO50" s="19"/>
      <c r="MFP50" s="19"/>
      <c r="MFQ50" s="19"/>
      <c r="MFR50" s="19"/>
      <c r="MFS50" s="19"/>
      <c r="MFT50" s="19"/>
      <c r="MFU50" s="19"/>
      <c r="MFV50" s="19"/>
      <c r="MFW50" s="19"/>
      <c r="MFX50" s="19"/>
      <c r="MFY50" s="19"/>
      <c r="MFZ50" s="19"/>
      <c r="MGA50" s="19"/>
      <c r="MGB50" s="19"/>
      <c r="MGC50" s="19"/>
      <c r="MGD50" s="19"/>
      <c r="MGE50" s="19"/>
      <c r="MGF50" s="19"/>
      <c r="MGG50" s="19"/>
      <c r="MGH50" s="19"/>
      <c r="MGI50" s="19"/>
      <c r="MGJ50" s="19"/>
      <c r="MGK50" s="19"/>
      <c r="MGL50" s="19"/>
      <c r="MGM50" s="19"/>
      <c r="MGN50" s="19"/>
      <c r="MGO50" s="19"/>
      <c r="MGP50" s="19"/>
      <c r="MGQ50" s="19"/>
      <c r="MGR50" s="19"/>
      <c r="MGS50" s="19"/>
      <c r="MGT50" s="19"/>
      <c r="MGU50" s="19"/>
      <c r="MGV50" s="19"/>
      <c r="MGW50" s="19"/>
      <c r="MGX50" s="19"/>
      <c r="MGY50" s="19"/>
      <c r="MGZ50" s="19"/>
      <c r="MHA50" s="19"/>
      <c r="MHB50" s="19"/>
      <c r="MHC50" s="19"/>
      <c r="MHD50" s="19"/>
      <c r="MHE50" s="19"/>
      <c r="MHF50" s="19"/>
      <c r="MHG50" s="19"/>
      <c r="MHH50" s="19"/>
      <c r="MHI50" s="19"/>
      <c r="MHJ50" s="19"/>
      <c r="MHK50" s="19"/>
      <c r="MHL50" s="19"/>
      <c r="MHM50" s="19"/>
      <c r="MHN50" s="19"/>
      <c r="MHO50" s="19"/>
      <c r="MHP50" s="19"/>
      <c r="MHQ50" s="19"/>
      <c r="MHR50" s="19"/>
      <c r="MHS50" s="19"/>
      <c r="MHT50" s="19"/>
      <c r="MHU50" s="19"/>
      <c r="MHV50" s="19"/>
      <c r="MHW50" s="19"/>
      <c r="MHX50" s="19"/>
      <c r="MHY50" s="19"/>
      <c r="MHZ50" s="19"/>
      <c r="MIA50" s="19"/>
      <c r="MIB50" s="19"/>
      <c r="MIC50" s="19"/>
      <c r="MID50" s="19"/>
      <c r="MIE50" s="19"/>
      <c r="MIF50" s="19"/>
      <c r="MIG50" s="19"/>
      <c r="MIH50" s="19"/>
      <c r="MII50" s="19"/>
      <c r="MIJ50" s="19"/>
      <c r="MIK50" s="19"/>
      <c r="MIL50" s="19"/>
      <c r="MIM50" s="19"/>
      <c r="MIN50" s="19"/>
      <c r="MIO50" s="19"/>
      <c r="MIP50" s="19"/>
      <c r="MIQ50" s="19"/>
      <c r="MIR50" s="19"/>
      <c r="MIS50" s="19"/>
      <c r="MIT50" s="19"/>
      <c r="MIU50" s="19"/>
      <c r="MIV50" s="19"/>
      <c r="MIW50" s="19"/>
      <c r="MIX50" s="19"/>
      <c r="MIY50" s="19"/>
      <c r="MIZ50" s="19"/>
      <c r="MJA50" s="19"/>
      <c r="MJB50" s="19"/>
      <c r="MJC50" s="19"/>
      <c r="MJD50" s="19"/>
      <c r="MJE50" s="19"/>
      <c r="MJF50" s="19"/>
      <c r="MJG50" s="19"/>
      <c r="MJH50" s="19"/>
      <c r="MJI50" s="19"/>
      <c r="MJJ50" s="19"/>
      <c r="MJK50" s="19"/>
      <c r="MJL50" s="19"/>
      <c r="MJM50" s="19"/>
      <c r="MJN50" s="19"/>
      <c r="MJO50" s="19"/>
      <c r="MJP50" s="19"/>
      <c r="MJQ50" s="19"/>
      <c r="MJR50" s="19"/>
      <c r="MJS50" s="19"/>
      <c r="MJT50" s="19"/>
      <c r="MJU50" s="19"/>
      <c r="MJV50" s="19"/>
      <c r="MJW50" s="19"/>
      <c r="MJX50" s="19"/>
      <c r="MJY50" s="19"/>
      <c r="MJZ50" s="19"/>
      <c r="MKA50" s="19"/>
      <c r="MKB50" s="19"/>
      <c r="MKC50" s="19"/>
      <c r="MKD50" s="19"/>
      <c r="MKE50" s="19"/>
      <c r="MKF50" s="19"/>
      <c r="MKG50" s="19"/>
      <c r="MKH50" s="19"/>
      <c r="MKI50" s="19"/>
      <c r="MKJ50" s="19"/>
      <c r="MKK50" s="19"/>
      <c r="MKL50" s="19"/>
      <c r="MKM50" s="19"/>
      <c r="MKN50" s="19"/>
      <c r="MKO50" s="19"/>
      <c r="MKP50" s="19"/>
      <c r="MKQ50" s="19"/>
      <c r="MKR50" s="19"/>
      <c r="MKS50" s="19"/>
      <c r="MKT50" s="19"/>
      <c r="MKU50" s="19"/>
      <c r="MKV50" s="19"/>
      <c r="MKW50" s="19"/>
      <c r="MKX50" s="19"/>
      <c r="MKY50" s="19"/>
      <c r="MKZ50" s="19"/>
      <c r="MLA50" s="19"/>
      <c r="MLB50" s="19"/>
      <c r="MLC50" s="19"/>
      <c r="MLD50" s="19"/>
      <c r="MLE50" s="19"/>
      <c r="MLF50" s="19"/>
      <c r="MLG50" s="19"/>
      <c r="MLH50" s="19"/>
      <c r="MLI50" s="19"/>
      <c r="MLJ50" s="19"/>
      <c r="MLK50" s="19"/>
      <c r="MLL50" s="19"/>
      <c r="MLM50" s="19"/>
      <c r="MLN50" s="19"/>
      <c r="MLO50" s="19"/>
      <c r="MLP50" s="19"/>
      <c r="MLQ50" s="19"/>
      <c r="MLR50" s="19"/>
      <c r="MLS50" s="19"/>
      <c r="MLT50" s="19"/>
      <c r="MLU50" s="19"/>
      <c r="MLV50" s="19"/>
      <c r="MLW50" s="19"/>
      <c r="MLX50" s="19"/>
      <c r="MLY50" s="19"/>
      <c r="MLZ50" s="19"/>
      <c r="MMA50" s="19"/>
      <c r="MMB50" s="19"/>
      <c r="MMC50" s="19"/>
      <c r="MMD50" s="19"/>
      <c r="MME50" s="19"/>
      <c r="MMF50" s="19"/>
      <c r="MMG50" s="19"/>
      <c r="MMH50" s="19"/>
      <c r="MMI50" s="19"/>
      <c r="MMJ50" s="19"/>
      <c r="MMK50" s="19"/>
      <c r="MML50" s="19"/>
      <c r="MMM50" s="19"/>
      <c r="MMN50" s="19"/>
      <c r="MMO50" s="19"/>
      <c r="MMP50" s="19"/>
      <c r="MMQ50" s="19"/>
      <c r="MMR50" s="19"/>
      <c r="MMS50" s="19"/>
      <c r="MMT50" s="19"/>
      <c r="MMU50" s="19"/>
      <c r="MMV50" s="19"/>
      <c r="MMW50" s="19"/>
      <c r="MMX50" s="19"/>
      <c r="MMY50" s="19"/>
      <c r="MMZ50" s="19"/>
      <c r="MNA50" s="19"/>
      <c r="MNB50" s="19"/>
      <c r="MNC50" s="19"/>
      <c r="MND50" s="19"/>
      <c r="MNE50" s="19"/>
      <c r="MNF50" s="19"/>
      <c r="MNG50" s="19"/>
      <c r="MNH50" s="19"/>
      <c r="MNI50" s="19"/>
      <c r="MNJ50" s="19"/>
      <c r="MNK50" s="19"/>
      <c r="MNL50" s="19"/>
      <c r="MNM50" s="19"/>
      <c r="MNN50" s="19"/>
      <c r="MNO50" s="19"/>
      <c r="MNP50" s="19"/>
      <c r="MNQ50" s="19"/>
      <c r="MNR50" s="19"/>
      <c r="MNS50" s="19"/>
      <c r="MNT50" s="19"/>
      <c r="MNU50" s="19"/>
      <c r="MNV50" s="19"/>
      <c r="MNW50" s="19"/>
      <c r="MNX50" s="19"/>
      <c r="MNY50" s="19"/>
      <c r="MNZ50" s="19"/>
      <c r="MOA50" s="19"/>
      <c r="MOB50" s="19"/>
      <c r="MOC50" s="19"/>
      <c r="MOD50" s="19"/>
      <c r="MOE50" s="19"/>
      <c r="MOF50" s="19"/>
      <c r="MOG50" s="19"/>
      <c r="MOH50" s="19"/>
      <c r="MOI50" s="19"/>
      <c r="MOJ50" s="19"/>
      <c r="MOK50" s="19"/>
      <c r="MOL50" s="19"/>
      <c r="MOM50" s="19"/>
      <c r="MON50" s="19"/>
      <c r="MOO50" s="19"/>
      <c r="MOP50" s="19"/>
      <c r="MOQ50" s="19"/>
      <c r="MOR50" s="19"/>
      <c r="MOS50" s="19"/>
      <c r="MOT50" s="19"/>
      <c r="MOU50" s="19"/>
      <c r="MOV50" s="19"/>
      <c r="MOW50" s="19"/>
      <c r="MOX50" s="19"/>
      <c r="MOY50" s="19"/>
      <c r="MOZ50" s="19"/>
      <c r="MPA50" s="19"/>
      <c r="MPB50" s="19"/>
      <c r="MPC50" s="19"/>
      <c r="MPD50" s="19"/>
      <c r="MPE50" s="19"/>
      <c r="MPF50" s="19"/>
      <c r="MPG50" s="19"/>
      <c r="MPH50" s="19"/>
      <c r="MPI50" s="19"/>
      <c r="MPJ50" s="19"/>
      <c r="MPK50" s="19"/>
      <c r="MPL50" s="19"/>
      <c r="MPM50" s="19"/>
      <c r="MPN50" s="19"/>
      <c r="MPO50" s="19"/>
      <c r="MPP50" s="19"/>
      <c r="MPQ50" s="19"/>
      <c r="MPR50" s="19"/>
      <c r="MPS50" s="19"/>
      <c r="MPT50" s="19"/>
      <c r="MPU50" s="19"/>
      <c r="MPV50" s="19"/>
      <c r="MPW50" s="19"/>
      <c r="MPX50" s="19"/>
      <c r="MPY50" s="19"/>
      <c r="MPZ50" s="19"/>
      <c r="MQA50" s="19"/>
      <c r="MQB50" s="19"/>
      <c r="MQC50" s="19"/>
      <c r="MQD50" s="19"/>
      <c r="MQE50" s="19"/>
      <c r="MQF50" s="19"/>
      <c r="MQG50" s="19"/>
      <c r="MQH50" s="19"/>
      <c r="MQI50" s="19"/>
      <c r="MQJ50" s="19"/>
      <c r="MQK50" s="19"/>
      <c r="MQL50" s="19"/>
      <c r="MQM50" s="19"/>
      <c r="MQN50" s="19"/>
      <c r="MQO50" s="19"/>
      <c r="MQP50" s="19"/>
      <c r="MQQ50" s="19"/>
      <c r="MQR50" s="19"/>
      <c r="MQS50" s="19"/>
      <c r="MQT50" s="19"/>
      <c r="MQU50" s="19"/>
      <c r="MQV50" s="19"/>
      <c r="MQW50" s="19"/>
      <c r="MQX50" s="19"/>
      <c r="MQY50" s="19"/>
      <c r="MQZ50" s="19"/>
      <c r="MRA50" s="19"/>
      <c r="MRB50" s="19"/>
      <c r="MRC50" s="19"/>
      <c r="MRD50" s="19"/>
      <c r="MRE50" s="19"/>
      <c r="MRF50" s="19"/>
      <c r="MRG50" s="19"/>
      <c r="MRH50" s="19"/>
      <c r="MRI50" s="19"/>
      <c r="MRJ50" s="19"/>
      <c r="MRK50" s="19"/>
      <c r="MRL50" s="19"/>
      <c r="MRM50" s="19"/>
      <c r="MRN50" s="19"/>
      <c r="MRO50" s="19"/>
      <c r="MRP50" s="19"/>
      <c r="MRQ50" s="19"/>
      <c r="MRR50" s="19"/>
      <c r="MRS50" s="19"/>
      <c r="MRT50" s="19"/>
      <c r="MRU50" s="19"/>
      <c r="MRV50" s="19"/>
      <c r="MRW50" s="19"/>
      <c r="MRX50" s="19"/>
      <c r="MRY50" s="19"/>
      <c r="MRZ50" s="19"/>
      <c r="MSA50" s="19"/>
      <c r="MSB50" s="19"/>
      <c r="MSC50" s="19"/>
      <c r="MSD50" s="19"/>
      <c r="MSE50" s="19"/>
      <c r="MSF50" s="19"/>
      <c r="MSG50" s="19"/>
      <c r="MSH50" s="19"/>
      <c r="MSI50" s="19"/>
      <c r="MSJ50" s="19"/>
      <c r="MSK50" s="19"/>
      <c r="MSL50" s="19"/>
      <c r="MSM50" s="19"/>
      <c r="MSN50" s="19"/>
      <c r="MSO50" s="19"/>
      <c r="MSP50" s="19"/>
      <c r="MSQ50" s="19"/>
      <c r="MSR50" s="19"/>
      <c r="MSS50" s="19"/>
      <c r="MST50" s="19"/>
      <c r="MSU50" s="19"/>
      <c r="MSV50" s="19"/>
      <c r="MSW50" s="19"/>
      <c r="MSX50" s="19"/>
      <c r="MSY50" s="19"/>
      <c r="MSZ50" s="19"/>
      <c r="MTA50" s="19"/>
      <c r="MTB50" s="19"/>
      <c r="MTC50" s="19"/>
      <c r="MTD50" s="19"/>
      <c r="MTE50" s="19"/>
      <c r="MTF50" s="19"/>
      <c r="MTG50" s="19"/>
      <c r="MTH50" s="19"/>
      <c r="MTI50" s="19"/>
      <c r="MTJ50" s="19"/>
      <c r="MTK50" s="19"/>
      <c r="MTL50" s="19"/>
      <c r="MTM50" s="19"/>
      <c r="MTN50" s="19"/>
      <c r="MTO50" s="19"/>
      <c r="MTP50" s="19"/>
      <c r="MTQ50" s="19"/>
      <c r="MTR50" s="19"/>
      <c r="MTS50" s="19"/>
      <c r="MTT50" s="19"/>
      <c r="MTU50" s="19"/>
      <c r="MTV50" s="19"/>
      <c r="MTW50" s="19"/>
      <c r="MTX50" s="19"/>
      <c r="MTY50" s="19"/>
      <c r="MTZ50" s="19"/>
      <c r="MUA50" s="19"/>
      <c r="MUB50" s="19"/>
      <c r="MUC50" s="19"/>
      <c r="MUD50" s="19"/>
      <c r="MUE50" s="19"/>
      <c r="MUF50" s="19"/>
      <c r="MUG50" s="19"/>
      <c r="MUH50" s="19"/>
      <c r="MUI50" s="19"/>
      <c r="MUJ50" s="19"/>
      <c r="MUK50" s="19"/>
      <c r="MUL50" s="19"/>
      <c r="MUM50" s="19"/>
      <c r="MUN50" s="19"/>
      <c r="MUO50" s="19"/>
      <c r="MUP50" s="19"/>
      <c r="MUQ50" s="19"/>
      <c r="MUR50" s="19"/>
      <c r="MUS50" s="19"/>
      <c r="MUT50" s="19"/>
      <c r="MUU50" s="19"/>
      <c r="MUV50" s="19"/>
      <c r="MUW50" s="19"/>
      <c r="MUX50" s="19"/>
      <c r="MUY50" s="19"/>
      <c r="MUZ50" s="19"/>
      <c r="MVA50" s="19"/>
      <c r="MVB50" s="19"/>
      <c r="MVC50" s="19"/>
      <c r="MVD50" s="19"/>
      <c r="MVE50" s="19"/>
      <c r="MVF50" s="19"/>
      <c r="MVG50" s="19"/>
      <c r="MVH50" s="19"/>
      <c r="MVI50" s="19"/>
      <c r="MVJ50" s="19"/>
      <c r="MVK50" s="19"/>
      <c r="MVL50" s="19"/>
      <c r="MVM50" s="19"/>
      <c r="MVN50" s="19"/>
      <c r="MVO50" s="19"/>
      <c r="MVP50" s="19"/>
      <c r="MVQ50" s="19"/>
      <c r="MVR50" s="19"/>
      <c r="MVS50" s="19"/>
      <c r="MVT50" s="19"/>
      <c r="MVU50" s="19"/>
      <c r="MVV50" s="19"/>
      <c r="MVW50" s="19"/>
      <c r="MVX50" s="19"/>
      <c r="MVY50" s="19"/>
      <c r="MVZ50" s="19"/>
      <c r="MWA50" s="19"/>
      <c r="MWB50" s="19"/>
      <c r="MWC50" s="19"/>
      <c r="MWD50" s="19"/>
      <c r="MWE50" s="19"/>
      <c r="MWF50" s="19"/>
      <c r="MWG50" s="19"/>
      <c r="MWH50" s="19"/>
      <c r="MWI50" s="19"/>
      <c r="MWJ50" s="19"/>
      <c r="MWK50" s="19"/>
      <c r="MWL50" s="19"/>
      <c r="MWM50" s="19"/>
      <c r="MWN50" s="19"/>
      <c r="MWO50" s="19"/>
      <c r="MWP50" s="19"/>
      <c r="MWQ50" s="19"/>
      <c r="MWR50" s="19"/>
      <c r="MWS50" s="19"/>
      <c r="MWT50" s="19"/>
      <c r="MWU50" s="19"/>
      <c r="MWV50" s="19"/>
      <c r="MWW50" s="19"/>
      <c r="MWX50" s="19"/>
      <c r="MWY50" s="19"/>
      <c r="MWZ50" s="19"/>
      <c r="MXA50" s="19"/>
      <c r="MXB50" s="19"/>
      <c r="MXC50" s="19"/>
      <c r="MXD50" s="19"/>
      <c r="MXE50" s="19"/>
      <c r="MXF50" s="19"/>
      <c r="MXG50" s="19"/>
      <c r="MXH50" s="19"/>
      <c r="MXI50" s="19"/>
      <c r="MXJ50" s="19"/>
      <c r="MXK50" s="19"/>
      <c r="MXL50" s="19"/>
      <c r="MXM50" s="19"/>
      <c r="MXN50" s="19"/>
      <c r="MXO50" s="19"/>
      <c r="MXP50" s="19"/>
      <c r="MXQ50" s="19"/>
      <c r="MXR50" s="19"/>
      <c r="MXS50" s="19"/>
      <c r="MXT50" s="19"/>
      <c r="MXU50" s="19"/>
      <c r="MXV50" s="19"/>
      <c r="MXW50" s="19"/>
      <c r="MXX50" s="19"/>
      <c r="MXY50" s="19"/>
      <c r="MXZ50" s="19"/>
      <c r="MYA50" s="19"/>
      <c r="MYB50" s="19"/>
      <c r="MYC50" s="19"/>
      <c r="MYD50" s="19"/>
      <c r="MYE50" s="19"/>
      <c r="MYF50" s="19"/>
      <c r="MYG50" s="19"/>
      <c r="MYH50" s="19"/>
      <c r="MYI50" s="19"/>
      <c r="MYJ50" s="19"/>
      <c r="MYK50" s="19"/>
      <c r="MYL50" s="19"/>
      <c r="MYM50" s="19"/>
      <c r="MYN50" s="19"/>
      <c r="MYO50" s="19"/>
      <c r="MYP50" s="19"/>
      <c r="MYQ50" s="19"/>
      <c r="MYR50" s="19"/>
      <c r="MYS50" s="19"/>
      <c r="MYT50" s="19"/>
      <c r="MYU50" s="19"/>
      <c r="MYV50" s="19"/>
      <c r="MYW50" s="19"/>
      <c r="MYX50" s="19"/>
      <c r="MYY50" s="19"/>
      <c r="MYZ50" s="19"/>
      <c r="MZA50" s="19"/>
      <c r="MZB50" s="19"/>
      <c r="MZC50" s="19"/>
      <c r="MZD50" s="19"/>
      <c r="MZE50" s="19"/>
      <c r="MZF50" s="19"/>
      <c r="MZG50" s="19"/>
      <c r="MZH50" s="19"/>
      <c r="MZI50" s="19"/>
      <c r="MZJ50" s="19"/>
      <c r="MZK50" s="19"/>
      <c r="MZL50" s="19"/>
      <c r="MZM50" s="19"/>
      <c r="MZN50" s="19"/>
      <c r="MZO50" s="19"/>
      <c r="MZP50" s="19"/>
      <c r="MZQ50" s="19"/>
      <c r="MZR50" s="19"/>
      <c r="MZS50" s="19"/>
      <c r="MZT50" s="19"/>
      <c r="MZU50" s="19"/>
      <c r="MZV50" s="19"/>
      <c r="MZW50" s="19"/>
      <c r="MZX50" s="19"/>
      <c r="MZY50" s="19"/>
      <c r="MZZ50" s="19"/>
      <c r="NAA50" s="19"/>
      <c r="NAB50" s="19"/>
      <c r="NAC50" s="19"/>
      <c r="NAD50" s="19"/>
      <c r="NAE50" s="19"/>
      <c r="NAF50" s="19"/>
      <c r="NAG50" s="19"/>
      <c r="NAH50" s="19"/>
      <c r="NAI50" s="19"/>
      <c r="NAJ50" s="19"/>
      <c r="NAK50" s="19"/>
      <c r="NAL50" s="19"/>
      <c r="NAM50" s="19"/>
      <c r="NAN50" s="19"/>
      <c r="NAO50" s="19"/>
      <c r="NAP50" s="19"/>
      <c r="NAQ50" s="19"/>
      <c r="NAR50" s="19"/>
      <c r="NAS50" s="19"/>
      <c r="NAT50" s="19"/>
      <c r="NAU50" s="19"/>
      <c r="NAV50" s="19"/>
      <c r="NAW50" s="19"/>
      <c r="NAX50" s="19"/>
      <c r="NAY50" s="19"/>
      <c r="NAZ50" s="19"/>
      <c r="NBA50" s="19"/>
      <c r="NBB50" s="19"/>
      <c r="NBC50" s="19"/>
      <c r="NBD50" s="19"/>
      <c r="NBE50" s="19"/>
      <c r="NBF50" s="19"/>
      <c r="NBG50" s="19"/>
      <c r="NBH50" s="19"/>
      <c r="NBI50" s="19"/>
      <c r="NBJ50" s="19"/>
      <c r="NBK50" s="19"/>
      <c r="NBL50" s="19"/>
      <c r="NBM50" s="19"/>
      <c r="NBN50" s="19"/>
      <c r="NBO50" s="19"/>
      <c r="NBP50" s="19"/>
      <c r="NBQ50" s="19"/>
      <c r="NBR50" s="19"/>
      <c r="NBS50" s="19"/>
      <c r="NBT50" s="19"/>
      <c r="NBU50" s="19"/>
      <c r="NBV50" s="19"/>
      <c r="NBW50" s="19"/>
      <c r="NBX50" s="19"/>
      <c r="NBY50" s="19"/>
      <c r="NBZ50" s="19"/>
      <c r="NCA50" s="19"/>
      <c r="NCB50" s="19"/>
      <c r="NCC50" s="19"/>
      <c r="NCD50" s="19"/>
      <c r="NCE50" s="19"/>
      <c r="NCF50" s="19"/>
      <c r="NCG50" s="19"/>
      <c r="NCH50" s="19"/>
      <c r="NCI50" s="19"/>
      <c r="NCJ50" s="19"/>
      <c r="NCK50" s="19"/>
      <c r="NCL50" s="19"/>
      <c r="NCM50" s="19"/>
      <c r="NCN50" s="19"/>
      <c r="NCO50" s="19"/>
      <c r="NCP50" s="19"/>
      <c r="NCQ50" s="19"/>
      <c r="NCR50" s="19"/>
      <c r="NCS50" s="19"/>
      <c r="NCT50" s="19"/>
      <c r="NCU50" s="19"/>
      <c r="NCV50" s="19"/>
      <c r="NCW50" s="19"/>
      <c r="NCX50" s="19"/>
      <c r="NCY50" s="19"/>
      <c r="NCZ50" s="19"/>
      <c r="NDA50" s="19"/>
      <c r="NDB50" s="19"/>
      <c r="NDC50" s="19"/>
      <c r="NDD50" s="19"/>
      <c r="NDE50" s="19"/>
      <c r="NDF50" s="19"/>
      <c r="NDG50" s="19"/>
      <c r="NDH50" s="19"/>
      <c r="NDI50" s="19"/>
      <c r="NDJ50" s="19"/>
      <c r="NDK50" s="19"/>
      <c r="NDL50" s="19"/>
      <c r="NDM50" s="19"/>
      <c r="NDN50" s="19"/>
      <c r="NDO50" s="19"/>
      <c r="NDP50" s="19"/>
      <c r="NDQ50" s="19"/>
      <c r="NDR50" s="19"/>
      <c r="NDS50" s="19"/>
      <c r="NDT50" s="19"/>
      <c r="NDU50" s="19"/>
      <c r="NDV50" s="19"/>
      <c r="NDW50" s="19"/>
      <c r="NDX50" s="19"/>
      <c r="NDY50" s="19"/>
      <c r="NDZ50" s="19"/>
      <c r="NEA50" s="19"/>
      <c r="NEB50" s="19"/>
      <c r="NEC50" s="19"/>
      <c r="NED50" s="19"/>
      <c r="NEE50" s="19"/>
      <c r="NEF50" s="19"/>
      <c r="NEG50" s="19"/>
      <c r="NEH50" s="19"/>
      <c r="NEI50" s="19"/>
      <c r="NEJ50" s="19"/>
      <c r="NEK50" s="19"/>
      <c r="NEL50" s="19"/>
      <c r="NEM50" s="19"/>
      <c r="NEN50" s="19"/>
      <c r="NEO50" s="19"/>
      <c r="NEP50" s="19"/>
      <c r="NEQ50" s="19"/>
      <c r="NER50" s="19"/>
      <c r="NES50" s="19"/>
      <c r="NET50" s="19"/>
      <c r="NEU50" s="19"/>
      <c r="NEV50" s="19"/>
      <c r="NEW50" s="19"/>
      <c r="NEX50" s="19"/>
      <c r="NEY50" s="19"/>
      <c r="NEZ50" s="19"/>
      <c r="NFA50" s="19"/>
      <c r="NFB50" s="19"/>
      <c r="NFC50" s="19"/>
      <c r="NFD50" s="19"/>
      <c r="NFE50" s="19"/>
      <c r="NFF50" s="19"/>
      <c r="NFG50" s="19"/>
      <c r="NFH50" s="19"/>
      <c r="NFI50" s="19"/>
      <c r="NFJ50" s="19"/>
      <c r="NFK50" s="19"/>
      <c r="NFL50" s="19"/>
      <c r="NFM50" s="19"/>
      <c r="NFN50" s="19"/>
      <c r="NFO50" s="19"/>
      <c r="NFP50" s="19"/>
      <c r="NFQ50" s="19"/>
      <c r="NFR50" s="19"/>
      <c r="NFS50" s="19"/>
      <c r="NFT50" s="19"/>
      <c r="NFU50" s="19"/>
      <c r="NFV50" s="19"/>
      <c r="NFW50" s="19"/>
      <c r="NFX50" s="19"/>
      <c r="NFY50" s="19"/>
      <c r="NFZ50" s="19"/>
      <c r="NGA50" s="19"/>
      <c r="NGB50" s="19"/>
      <c r="NGC50" s="19"/>
      <c r="NGD50" s="19"/>
      <c r="NGE50" s="19"/>
      <c r="NGF50" s="19"/>
      <c r="NGG50" s="19"/>
      <c r="NGH50" s="19"/>
      <c r="NGI50" s="19"/>
      <c r="NGJ50" s="19"/>
      <c r="NGK50" s="19"/>
      <c r="NGL50" s="19"/>
      <c r="NGM50" s="19"/>
      <c r="NGN50" s="19"/>
      <c r="NGO50" s="19"/>
      <c r="NGP50" s="19"/>
      <c r="NGQ50" s="19"/>
      <c r="NGR50" s="19"/>
      <c r="NGS50" s="19"/>
      <c r="NGT50" s="19"/>
      <c r="NGU50" s="19"/>
      <c r="NGV50" s="19"/>
      <c r="NGW50" s="19"/>
      <c r="NGX50" s="19"/>
      <c r="NGY50" s="19"/>
      <c r="NGZ50" s="19"/>
      <c r="NHA50" s="19"/>
      <c r="NHB50" s="19"/>
      <c r="NHC50" s="19"/>
      <c r="NHD50" s="19"/>
      <c r="NHE50" s="19"/>
      <c r="NHF50" s="19"/>
      <c r="NHG50" s="19"/>
      <c r="NHH50" s="19"/>
      <c r="NHI50" s="19"/>
      <c r="NHJ50" s="19"/>
      <c r="NHK50" s="19"/>
      <c r="NHL50" s="19"/>
      <c r="NHM50" s="19"/>
      <c r="NHN50" s="19"/>
      <c r="NHO50" s="19"/>
      <c r="NHP50" s="19"/>
      <c r="NHQ50" s="19"/>
      <c r="NHR50" s="19"/>
      <c r="NHS50" s="19"/>
      <c r="NHT50" s="19"/>
      <c r="NHU50" s="19"/>
      <c r="NHV50" s="19"/>
      <c r="NHW50" s="19"/>
      <c r="NHX50" s="19"/>
      <c r="NHY50" s="19"/>
      <c r="NHZ50" s="19"/>
      <c r="NIA50" s="19"/>
      <c r="NIB50" s="19"/>
      <c r="NIC50" s="19"/>
      <c r="NID50" s="19"/>
      <c r="NIE50" s="19"/>
      <c r="NIF50" s="19"/>
      <c r="NIG50" s="19"/>
      <c r="NIH50" s="19"/>
      <c r="NII50" s="19"/>
      <c r="NIJ50" s="19"/>
      <c r="NIK50" s="19"/>
      <c r="NIL50" s="19"/>
      <c r="NIM50" s="19"/>
      <c r="NIN50" s="19"/>
      <c r="NIO50" s="19"/>
      <c r="NIP50" s="19"/>
      <c r="NIQ50" s="19"/>
      <c r="NIR50" s="19"/>
      <c r="NIS50" s="19"/>
      <c r="NIT50" s="19"/>
      <c r="NIU50" s="19"/>
      <c r="NIV50" s="19"/>
      <c r="NIW50" s="19"/>
      <c r="NIX50" s="19"/>
      <c r="NIY50" s="19"/>
      <c r="NIZ50" s="19"/>
      <c r="NJA50" s="19"/>
      <c r="NJB50" s="19"/>
      <c r="NJC50" s="19"/>
      <c r="NJD50" s="19"/>
      <c r="NJE50" s="19"/>
      <c r="NJF50" s="19"/>
      <c r="NJG50" s="19"/>
      <c r="NJH50" s="19"/>
      <c r="NJI50" s="19"/>
      <c r="NJJ50" s="19"/>
      <c r="NJK50" s="19"/>
      <c r="NJL50" s="19"/>
      <c r="NJM50" s="19"/>
      <c r="NJN50" s="19"/>
      <c r="NJO50" s="19"/>
      <c r="NJP50" s="19"/>
      <c r="NJQ50" s="19"/>
      <c r="NJR50" s="19"/>
      <c r="NJS50" s="19"/>
      <c r="NJT50" s="19"/>
      <c r="NJU50" s="19"/>
      <c r="NJV50" s="19"/>
      <c r="NJW50" s="19"/>
      <c r="NJX50" s="19"/>
      <c r="NJY50" s="19"/>
      <c r="NJZ50" s="19"/>
      <c r="NKA50" s="19"/>
      <c r="NKB50" s="19"/>
      <c r="NKC50" s="19"/>
      <c r="NKD50" s="19"/>
      <c r="NKE50" s="19"/>
      <c r="NKF50" s="19"/>
      <c r="NKG50" s="19"/>
      <c r="NKH50" s="19"/>
      <c r="NKI50" s="19"/>
      <c r="NKJ50" s="19"/>
      <c r="NKK50" s="19"/>
      <c r="NKL50" s="19"/>
      <c r="NKM50" s="19"/>
      <c r="NKN50" s="19"/>
      <c r="NKO50" s="19"/>
      <c r="NKP50" s="19"/>
      <c r="NKQ50" s="19"/>
      <c r="NKR50" s="19"/>
      <c r="NKS50" s="19"/>
      <c r="NKT50" s="19"/>
      <c r="NKU50" s="19"/>
      <c r="NKV50" s="19"/>
      <c r="NKW50" s="19"/>
      <c r="NKX50" s="19"/>
      <c r="NKY50" s="19"/>
      <c r="NKZ50" s="19"/>
      <c r="NLA50" s="19"/>
      <c r="NLB50" s="19"/>
      <c r="NLC50" s="19"/>
      <c r="NLD50" s="19"/>
      <c r="NLE50" s="19"/>
      <c r="NLF50" s="19"/>
      <c r="NLG50" s="19"/>
      <c r="NLH50" s="19"/>
      <c r="NLI50" s="19"/>
      <c r="NLJ50" s="19"/>
      <c r="NLK50" s="19"/>
      <c r="NLL50" s="19"/>
      <c r="NLM50" s="19"/>
      <c r="NLN50" s="19"/>
      <c r="NLO50" s="19"/>
      <c r="NLP50" s="19"/>
      <c r="NLQ50" s="19"/>
      <c r="NLR50" s="19"/>
      <c r="NLS50" s="19"/>
      <c r="NLT50" s="19"/>
      <c r="NLU50" s="19"/>
      <c r="NLV50" s="19"/>
      <c r="NLW50" s="19"/>
      <c r="NLX50" s="19"/>
      <c r="NLY50" s="19"/>
      <c r="NLZ50" s="19"/>
      <c r="NMA50" s="19"/>
      <c r="NMB50" s="19"/>
      <c r="NMC50" s="19"/>
      <c r="NMD50" s="19"/>
      <c r="NME50" s="19"/>
      <c r="NMF50" s="19"/>
      <c r="NMG50" s="19"/>
      <c r="NMH50" s="19"/>
      <c r="NMI50" s="19"/>
      <c r="NMJ50" s="19"/>
      <c r="NMK50" s="19"/>
      <c r="NML50" s="19"/>
      <c r="NMM50" s="19"/>
      <c r="NMN50" s="19"/>
      <c r="NMO50" s="19"/>
      <c r="NMP50" s="19"/>
      <c r="NMQ50" s="19"/>
      <c r="NMR50" s="19"/>
      <c r="NMS50" s="19"/>
      <c r="NMT50" s="19"/>
      <c r="NMU50" s="19"/>
      <c r="NMV50" s="19"/>
      <c r="NMW50" s="19"/>
      <c r="NMX50" s="19"/>
      <c r="NMY50" s="19"/>
      <c r="NMZ50" s="19"/>
      <c r="NNA50" s="19"/>
      <c r="NNB50" s="19"/>
      <c r="NNC50" s="19"/>
      <c r="NND50" s="19"/>
      <c r="NNE50" s="19"/>
      <c r="NNF50" s="19"/>
      <c r="NNG50" s="19"/>
      <c r="NNH50" s="19"/>
      <c r="NNI50" s="19"/>
      <c r="NNJ50" s="19"/>
      <c r="NNK50" s="19"/>
      <c r="NNL50" s="19"/>
      <c r="NNM50" s="19"/>
      <c r="NNN50" s="19"/>
      <c r="NNO50" s="19"/>
      <c r="NNP50" s="19"/>
      <c r="NNQ50" s="19"/>
      <c r="NNR50" s="19"/>
      <c r="NNS50" s="19"/>
      <c r="NNT50" s="19"/>
      <c r="NNU50" s="19"/>
      <c r="NNV50" s="19"/>
      <c r="NNW50" s="19"/>
      <c r="NNX50" s="19"/>
      <c r="NNY50" s="19"/>
      <c r="NNZ50" s="19"/>
      <c r="NOA50" s="19"/>
      <c r="NOB50" s="19"/>
      <c r="NOC50" s="19"/>
      <c r="NOD50" s="19"/>
      <c r="NOE50" s="19"/>
      <c r="NOF50" s="19"/>
      <c r="NOG50" s="19"/>
      <c r="NOH50" s="19"/>
      <c r="NOI50" s="19"/>
      <c r="NOJ50" s="19"/>
      <c r="NOK50" s="19"/>
      <c r="NOL50" s="19"/>
      <c r="NOM50" s="19"/>
      <c r="NON50" s="19"/>
      <c r="NOO50" s="19"/>
      <c r="NOP50" s="19"/>
      <c r="NOQ50" s="19"/>
      <c r="NOR50" s="19"/>
      <c r="NOS50" s="19"/>
      <c r="NOT50" s="19"/>
      <c r="NOU50" s="19"/>
      <c r="NOV50" s="19"/>
      <c r="NOW50" s="19"/>
      <c r="NOX50" s="19"/>
      <c r="NOY50" s="19"/>
      <c r="NOZ50" s="19"/>
      <c r="NPA50" s="19"/>
      <c r="NPB50" s="19"/>
      <c r="NPC50" s="19"/>
      <c r="NPD50" s="19"/>
      <c r="NPE50" s="19"/>
      <c r="NPF50" s="19"/>
      <c r="NPG50" s="19"/>
      <c r="NPH50" s="19"/>
      <c r="NPI50" s="19"/>
      <c r="NPJ50" s="19"/>
      <c r="NPK50" s="19"/>
      <c r="NPL50" s="19"/>
      <c r="NPM50" s="19"/>
      <c r="NPN50" s="19"/>
      <c r="NPO50" s="19"/>
      <c r="NPP50" s="19"/>
      <c r="NPQ50" s="19"/>
      <c r="NPR50" s="19"/>
      <c r="NPS50" s="19"/>
      <c r="NPT50" s="19"/>
      <c r="NPU50" s="19"/>
      <c r="NPV50" s="19"/>
      <c r="NPW50" s="19"/>
      <c r="NPX50" s="19"/>
      <c r="NPY50" s="19"/>
      <c r="NPZ50" s="19"/>
      <c r="NQA50" s="19"/>
      <c r="NQB50" s="19"/>
      <c r="NQC50" s="19"/>
      <c r="NQD50" s="19"/>
      <c r="NQE50" s="19"/>
      <c r="NQF50" s="19"/>
      <c r="NQG50" s="19"/>
      <c r="NQH50" s="19"/>
      <c r="NQI50" s="19"/>
      <c r="NQJ50" s="19"/>
      <c r="NQK50" s="19"/>
      <c r="NQL50" s="19"/>
      <c r="NQM50" s="19"/>
      <c r="NQN50" s="19"/>
      <c r="NQO50" s="19"/>
      <c r="NQP50" s="19"/>
      <c r="NQQ50" s="19"/>
      <c r="NQR50" s="19"/>
      <c r="NQS50" s="19"/>
      <c r="NQT50" s="19"/>
      <c r="NQU50" s="19"/>
      <c r="NQV50" s="19"/>
      <c r="NQW50" s="19"/>
      <c r="NQX50" s="19"/>
      <c r="NQY50" s="19"/>
      <c r="NQZ50" s="19"/>
      <c r="NRA50" s="19"/>
      <c r="NRB50" s="19"/>
      <c r="NRC50" s="19"/>
      <c r="NRD50" s="19"/>
      <c r="NRE50" s="19"/>
      <c r="NRF50" s="19"/>
      <c r="NRG50" s="19"/>
      <c r="NRH50" s="19"/>
      <c r="NRI50" s="19"/>
      <c r="NRJ50" s="19"/>
      <c r="NRK50" s="19"/>
      <c r="NRL50" s="19"/>
      <c r="NRM50" s="19"/>
      <c r="NRN50" s="19"/>
      <c r="NRO50" s="19"/>
      <c r="NRP50" s="19"/>
      <c r="NRQ50" s="19"/>
      <c r="NRR50" s="19"/>
      <c r="NRS50" s="19"/>
      <c r="NRT50" s="19"/>
      <c r="NRU50" s="19"/>
      <c r="NRV50" s="19"/>
      <c r="NRW50" s="19"/>
      <c r="NRX50" s="19"/>
      <c r="NRY50" s="19"/>
      <c r="NRZ50" s="19"/>
      <c r="NSA50" s="19"/>
      <c r="NSB50" s="19"/>
      <c r="NSC50" s="19"/>
      <c r="NSD50" s="19"/>
      <c r="NSE50" s="19"/>
      <c r="NSF50" s="19"/>
      <c r="NSG50" s="19"/>
      <c r="NSH50" s="19"/>
      <c r="NSI50" s="19"/>
      <c r="NSJ50" s="19"/>
      <c r="NSK50" s="19"/>
      <c r="NSL50" s="19"/>
      <c r="NSM50" s="19"/>
      <c r="NSN50" s="19"/>
      <c r="NSO50" s="19"/>
      <c r="NSP50" s="19"/>
      <c r="NSQ50" s="19"/>
      <c r="NSR50" s="19"/>
      <c r="NSS50" s="19"/>
      <c r="NST50" s="19"/>
      <c r="NSU50" s="19"/>
      <c r="NSV50" s="19"/>
      <c r="NSW50" s="19"/>
      <c r="NSX50" s="19"/>
      <c r="NSY50" s="19"/>
      <c r="NSZ50" s="19"/>
      <c r="NTA50" s="19"/>
      <c r="NTB50" s="19"/>
      <c r="NTC50" s="19"/>
      <c r="NTD50" s="19"/>
      <c r="NTE50" s="19"/>
      <c r="NTF50" s="19"/>
      <c r="NTG50" s="19"/>
      <c r="NTH50" s="19"/>
      <c r="NTI50" s="19"/>
      <c r="NTJ50" s="19"/>
      <c r="NTK50" s="19"/>
      <c r="NTL50" s="19"/>
      <c r="NTM50" s="19"/>
      <c r="NTN50" s="19"/>
      <c r="NTO50" s="19"/>
      <c r="NTP50" s="19"/>
      <c r="NTQ50" s="19"/>
      <c r="NTR50" s="19"/>
      <c r="NTS50" s="19"/>
      <c r="NTT50" s="19"/>
      <c r="NTU50" s="19"/>
      <c r="NTV50" s="19"/>
      <c r="NTW50" s="19"/>
      <c r="NTX50" s="19"/>
      <c r="NTY50" s="19"/>
      <c r="NTZ50" s="19"/>
      <c r="NUA50" s="19"/>
      <c r="NUB50" s="19"/>
      <c r="NUC50" s="19"/>
      <c r="NUD50" s="19"/>
      <c r="NUE50" s="19"/>
      <c r="NUF50" s="19"/>
      <c r="NUG50" s="19"/>
      <c r="NUH50" s="19"/>
      <c r="NUI50" s="19"/>
      <c r="NUJ50" s="19"/>
      <c r="NUK50" s="19"/>
      <c r="NUL50" s="19"/>
      <c r="NUM50" s="19"/>
      <c r="NUN50" s="19"/>
      <c r="NUO50" s="19"/>
      <c r="NUP50" s="19"/>
      <c r="NUQ50" s="19"/>
      <c r="NUR50" s="19"/>
      <c r="NUS50" s="19"/>
      <c r="NUT50" s="19"/>
      <c r="NUU50" s="19"/>
      <c r="NUV50" s="19"/>
      <c r="NUW50" s="19"/>
      <c r="NUX50" s="19"/>
      <c r="NUY50" s="19"/>
      <c r="NUZ50" s="19"/>
      <c r="NVA50" s="19"/>
      <c r="NVB50" s="19"/>
      <c r="NVC50" s="19"/>
      <c r="NVD50" s="19"/>
      <c r="NVE50" s="19"/>
      <c r="NVF50" s="19"/>
      <c r="NVG50" s="19"/>
      <c r="NVH50" s="19"/>
      <c r="NVI50" s="19"/>
      <c r="NVJ50" s="19"/>
      <c r="NVK50" s="19"/>
      <c r="NVL50" s="19"/>
      <c r="NVM50" s="19"/>
      <c r="NVN50" s="19"/>
      <c r="NVO50" s="19"/>
      <c r="NVP50" s="19"/>
      <c r="NVQ50" s="19"/>
      <c r="NVR50" s="19"/>
      <c r="NVS50" s="19"/>
      <c r="NVT50" s="19"/>
      <c r="NVU50" s="19"/>
      <c r="NVV50" s="19"/>
      <c r="NVW50" s="19"/>
      <c r="NVX50" s="19"/>
      <c r="NVY50" s="19"/>
      <c r="NVZ50" s="19"/>
      <c r="NWA50" s="19"/>
      <c r="NWB50" s="19"/>
      <c r="NWC50" s="19"/>
      <c r="NWD50" s="19"/>
      <c r="NWE50" s="19"/>
      <c r="NWF50" s="19"/>
      <c r="NWG50" s="19"/>
      <c r="NWH50" s="19"/>
      <c r="NWI50" s="19"/>
      <c r="NWJ50" s="19"/>
      <c r="NWK50" s="19"/>
      <c r="NWL50" s="19"/>
      <c r="NWM50" s="19"/>
      <c r="NWN50" s="19"/>
      <c r="NWO50" s="19"/>
      <c r="NWP50" s="19"/>
      <c r="NWQ50" s="19"/>
      <c r="NWR50" s="19"/>
      <c r="NWS50" s="19"/>
      <c r="NWT50" s="19"/>
      <c r="NWU50" s="19"/>
      <c r="NWV50" s="19"/>
      <c r="NWW50" s="19"/>
      <c r="NWX50" s="19"/>
      <c r="NWY50" s="19"/>
      <c r="NWZ50" s="19"/>
      <c r="NXA50" s="19"/>
      <c r="NXB50" s="19"/>
      <c r="NXC50" s="19"/>
      <c r="NXD50" s="19"/>
      <c r="NXE50" s="19"/>
      <c r="NXF50" s="19"/>
      <c r="NXG50" s="19"/>
      <c r="NXH50" s="19"/>
      <c r="NXI50" s="19"/>
      <c r="NXJ50" s="19"/>
      <c r="NXK50" s="19"/>
      <c r="NXL50" s="19"/>
      <c r="NXM50" s="19"/>
      <c r="NXN50" s="19"/>
      <c r="NXO50" s="19"/>
      <c r="NXP50" s="19"/>
      <c r="NXQ50" s="19"/>
      <c r="NXR50" s="19"/>
      <c r="NXS50" s="19"/>
      <c r="NXT50" s="19"/>
      <c r="NXU50" s="19"/>
      <c r="NXV50" s="19"/>
      <c r="NXW50" s="19"/>
      <c r="NXX50" s="19"/>
      <c r="NXY50" s="19"/>
      <c r="NXZ50" s="19"/>
      <c r="NYA50" s="19"/>
      <c r="NYB50" s="19"/>
      <c r="NYC50" s="19"/>
      <c r="NYD50" s="19"/>
      <c r="NYE50" s="19"/>
      <c r="NYF50" s="19"/>
      <c r="NYG50" s="19"/>
      <c r="NYH50" s="19"/>
      <c r="NYI50" s="19"/>
      <c r="NYJ50" s="19"/>
      <c r="NYK50" s="19"/>
      <c r="NYL50" s="19"/>
      <c r="NYM50" s="19"/>
      <c r="NYN50" s="19"/>
      <c r="NYO50" s="19"/>
      <c r="NYP50" s="19"/>
      <c r="NYQ50" s="19"/>
      <c r="NYR50" s="19"/>
      <c r="NYS50" s="19"/>
      <c r="NYT50" s="19"/>
      <c r="NYU50" s="19"/>
      <c r="NYV50" s="19"/>
      <c r="NYW50" s="19"/>
      <c r="NYX50" s="19"/>
      <c r="NYY50" s="19"/>
      <c r="NYZ50" s="19"/>
      <c r="NZA50" s="19"/>
      <c r="NZB50" s="19"/>
      <c r="NZC50" s="19"/>
      <c r="NZD50" s="19"/>
      <c r="NZE50" s="19"/>
      <c r="NZF50" s="19"/>
      <c r="NZG50" s="19"/>
      <c r="NZH50" s="19"/>
      <c r="NZI50" s="19"/>
      <c r="NZJ50" s="19"/>
      <c r="NZK50" s="19"/>
      <c r="NZL50" s="19"/>
      <c r="NZM50" s="19"/>
      <c r="NZN50" s="19"/>
      <c r="NZO50" s="19"/>
      <c r="NZP50" s="19"/>
      <c r="NZQ50" s="19"/>
      <c r="NZR50" s="19"/>
      <c r="NZS50" s="19"/>
      <c r="NZT50" s="19"/>
      <c r="NZU50" s="19"/>
      <c r="NZV50" s="19"/>
      <c r="NZW50" s="19"/>
      <c r="NZX50" s="19"/>
      <c r="NZY50" s="19"/>
      <c r="NZZ50" s="19"/>
      <c r="OAA50" s="19"/>
      <c r="OAB50" s="19"/>
      <c r="OAC50" s="19"/>
      <c r="OAD50" s="19"/>
      <c r="OAE50" s="19"/>
      <c r="OAF50" s="19"/>
      <c r="OAG50" s="19"/>
      <c r="OAH50" s="19"/>
      <c r="OAI50" s="19"/>
      <c r="OAJ50" s="19"/>
      <c r="OAK50" s="19"/>
      <c r="OAL50" s="19"/>
      <c r="OAM50" s="19"/>
      <c r="OAN50" s="19"/>
      <c r="OAO50" s="19"/>
      <c r="OAP50" s="19"/>
      <c r="OAQ50" s="19"/>
      <c r="OAR50" s="19"/>
      <c r="OAS50" s="19"/>
      <c r="OAT50" s="19"/>
      <c r="OAU50" s="19"/>
      <c r="OAV50" s="19"/>
      <c r="OAW50" s="19"/>
      <c r="OAX50" s="19"/>
      <c r="OAY50" s="19"/>
      <c r="OAZ50" s="19"/>
      <c r="OBA50" s="19"/>
      <c r="OBB50" s="19"/>
      <c r="OBC50" s="19"/>
      <c r="OBD50" s="19"/>
      <c r="OBE50" s="19"/>
      <c r="OBF50" s="19"/>
      <c r="OBG50" s="19"/>
      <c r="OBH50" s="19"/>
      <c r="OBI50" s="19"/>
      <c r="OBJ50" s="19"/>
      <c r="OBK50" s="19"/>
      <c r="OBL50" s="19"/>
      <c r="OBM50" s="19"/>
      <c r="OBN50" s="19"/>
      <c r="OBO50" s="19"/>
      <c r="OBP50" s="19"/>
      <c r="OBQ50" s="19"/>
      <c r="OBR50" s="19"/>
      <c r="OBS50" s="19"/>
      <c r="OBT50" s="19"/>
      <c r="OBU50" s="19"/>
      <c r="OBV50" s="19"/>
      <c r="OBW50" s="19"/>
      <c r="OBX50" s="19"/>
      <c r="OBY50" s="19"/>
      <c r="OBZ50" s="19"/>
      <c r="OCA50" s="19"/>
      <c r="OCB50" s="19"/>
      <c r="OCC50" s="19"/>
      <c r="OCD50" s="19"/>
      <c r="OCE50" s="19"/>
      <c r="OCF50" s="19"/>
      <c r="OCG50" s="19"/>
      <c r="OCH50" s="19"/>
      <c r="OCI50" s="19"/>
      <c r="OCJ50" s="19"/>
      <c r="OCK50" s="19"/>
      <c r="OCL50" s="19"/>
      <c r="OCM50" s="19"/>
      <c r="OCN50" s="19"/>
      <c r="OCO50" s="19"/>
      <c r="OCP50" s="19"/>
      <c r="OCQ50" s="19"/>
      <c r="OCR50" s="19"/>
      <c r="OCS50" s="19"/>
      <c r="OCT50" s="19"/>
      <c r="OCU50" s="19"/>
      <c r="OCV50" s="19"/>
      <c r="OCW50" s="19"/>
      <c r="OCX50" s="19"/>
      <c r="OCY50" s="19"/>
      <c r="OCZ50" s="19"/>
      <c r="ODA50" s="19"/>
      <c r="ODB50" s="19"/>
      <c r="ODC50" s="19"/>
      <c r="ODD50" s="19"/>
      <c r="ODE50" s="19"/>
      <c r="ODF50" s="19"/>
      <c r="ODG50" s="19"/>
      <c r="ODH50" s="19"/>
      <c r="ODI50" s="19"/>
      <c r="ODJ50" s="19"/>
      <c r="ODK50" s="19"/>
      <c r="ODL50" s="19"/>
      <c r="ODM50" s="19"/>
      <c r="ODN50" s="19"/>
      <c r="ODO50" s="19"/>
      <c r="ODP50" s="19"/>
      <c r="ODQ50" s="19"/>
      <c r="ODR50" s="19"/>
      <c r="ODS50" s="19"/>
      <c r="ODT50" s="19"/>
      <c r="ODU50" s="19"/>
      <c r="ODV50" s="19"/>
      <c r="ODW50" s="19"/>
      <c r="ODX50" s="19"/>
      <c r="ODY50" s="19"/>
      <c r="ODZ50" s="19"/>
      <c r="OEA50" s="19"/>
      <c r="OEB50" s="19"/>
      <c r="OEC50" s="19"/>
      <c r="OED50" s="19"/>
      <c r="OEE50" s="19"/>
      <c r="OEF50" s="19"/>
      <c r="OEG50" s="19"/>
      <c r="OEH50" s="19"/>
      <c r="OEI50" s="19"/>
      <c r="OEJ50" s="19"/>
      <c r="OEK50" s="19"/>
      <c r="OEL50" s="19"/>
      <c r="OEM50" s="19"/>
      <c r="OEN50" s="19"/>
      <c r="OEO50" s="19"/>
      <c r="OEP50" s="19"/>
      <c r="OEQ50" s="19"/>
      <c r="OER50" s="19"/>
      <c r="OES50" s="19"/>
      <c r="OET50" s="19"/>
      <c r="OEU50" s="19"/>
      <c r="OEV50" s="19"/>
      <c r="OEW50" s="19"/>
      <c r="OEX50" s="19"/>
      <c r="OEY50" s="19"/>
      <c r="OEZ50" s="19"/>
      <c r="OFA50" s="19"/>
      <c r="OFB50" s="19"/>
      <c r="OFC50" s="19"/>
      <c r="OFD50" s="19"/>
      <c r="OFE50" s="19"/>
      <c r="OFF50" s="19"/>
      <c r="OFG50" s="19"/>
      <c r="OFH50" s="19"/>
      <c r="OFI50" s="19"/>
      <c r="OFJ50" s="19"/>
      <c r="OFK50" s="19"/>
      <c r="OFL50" s="19"/>
      <c r="OFM50" s="19"/>
      <c r="OFN50" s="19"/>
      <c r="OFO50" s="19"/>
      <c r="OFP50" s="19"/>
      <c r="OFQ50" s="19"/>
      <c r="OFR50" s="19"/>
      <c r="OFS50" s="19"/>
      <c r="OFT50" s="19"/>
      <c r="OFU50" s="19"/>
      <c r="OFV50" s="19"/>
      <c r="OFW50" s="19"/>
      <c r="OFX50" s="19"/>
      <c r="OFY50" s="19"/>
      <c r="OFZ50" s="19"/>
      <c r="OGA50" s="19"/>
      <c r="OGB50" s="19"/>
      <c r="OGC50" s="19"/>
      <c r="OGD50" s="19"/>
      <c r="OGE50" s="19"/>
      <c r="OGF50" s="19"/>
      <c r="OGG50" s="19"/>
      <c r="OGH50" s="19"/>
      <c r="OGI50" s="19"/>
      <c r="OGJ50" s="19"/>
      <c r="OGK50" s="19"/>
      <c r="OGL50" s="19"/>
      <c r="OGM50" s="19"/>
      <c r="OGN50" s="19"/>
      <c r="OGO50" s="19"/>
      <c r="OGP50" s="19"/>
      <c r="OGQ50" s="19"/>
      <c r="OGR50" s="19"/>
      <c r="OGS50" s="19"/>
      <c r="OGT50" s="19"/>
      <c r="OGU50" s="19"/>
      <c r="OGV50" s="19"/>
      <c r="OGW50" s="19"/>
      <c r="OGX50" s="19"/>
      <c r="OGY50" s="19"/>
      <c r="OGZ50" s="19"/>
      <c r="OHA50" s="19"/>
      <c r="OHB50" s="19"/>
      <c r="OHC50" s="19"/>
      <c r="OHD50" s="19"/>
      <c r="OHE50" s="19"/>
      <c r="OHF50" s="19"/>
      <c r="OHG50" s="19"/>
      <c r="OHH50" s="19"/>
      <c r="OHI50" s="19"/>
      <c r="OHJ50" s="19"/>
      <c r="OHK50" s="19"/>
      <c r="OHL50" s="19"/>
      <c r="OHM50" s="19"/>
      <c r="OHN50" s="19"/>
      <c r="OHO50" s="19"/>
      <c r="OHP50" s="19"/>
      <c r="OHQ50" s="19"/>
      <c r="OHR50" s="19"/>
      <c r="OHS50" s="19"/>
      <c r="OHT50" s="19"/>
      <c r="OHU50" s="19"/>
      <c r="OHV50" s="19"/>
      <c r="OHW50" s="19"/>
      <c r="OHX50" s="19"/>
      <c r="OHY50" s="19"/>
      <c r="OHZ50" s="19"/>
      <c r="OIA50" s="19"/>
      <c r="OIB50" s="19"/>
      <c r="OIC50" s="19"/>
      <c r="OID50" s="19"/>
      <c r="OIE50" s="19"/>
      <c r="OIF50" s="19"/>
      <c r="OIG50" s="19"/>
      <c r="OIH50" s="19"/>
      <c r="OII50" s="19"/>
      <c r="OIJ50" s="19"/>
      <c r="OIK50" s="19"/>
      <c r="OIL50" s="19"/>
      <c r="OIM50" s="19"/>
      <c r="OIN50" s="19"/>
      <c r="OIO50" s="19"/>
      <c r="OIP50" s="19"/>
      <c r="OIQ50" s="19"/>
      <c r="OIR50" s="19"/>
      <c r="OIS50" s="19"/>
      <c r="OIT50" s="19"/>
      <c r="OIU50" s="19"/>
      <c r="OIV50" s="19"/>
      <c r="OIW50" s="19"/>
      <c r="OIX50" s="19"/>
      <c r="OIY50" s="19"/>
      <c r="OIZ50" s="19"/>
      <c r="OJA50" s="19"/>
      <c r="OJB50" s="19"/>
      <c r="OJC50" s="19"/>
      <c r="OJD50" s="19"/>
      <c r="OJE50" s="19"/>
      <c r="OJF50" s="19"/>
      <c r="OJG50" s="19"/>
      <c r="OJH50" s="19"/>
      <c r="OJI50" s="19"/>
      <c r="OJJ50" s="19"/>
      <c r="OJK50" s="19"/>
      <c r="OJL50" s="19"/>
      <c r="OJM50" s="19"/>
      <c r="OJN50" s="19"/>
      <c r="OJO50" s="19"/>
      <c r="OJP50" s="19"/>
      <c r="OJQ50" s="19"/>
      <c r="OJR50" s="19"/>
      <c r="OJS50" s="19"/>
      <c r="OJT50" s="19"/>
      <c r="OJU50" s="19"/>
      <c r="OJV50" s="19"/>
      <c r="OJW50" s="19"/>
      <c r="OJX50" s="19"/>
      <c r="OJY50" s="19"/>
      <c r="OJZ50" s="19"/>
      <c r="OKA50" s="19"/>
      <c r="OKB50" s="19"/>
      <c r="OKC50" s="19"/>
      <c r="OKD50" s="19"/>
      <c r="OKE50" s="19"/>
      <c r="OKF50" s="19"/>
      <c r="OKG50" s="19"/>
      <c r="OKH50" s="19"/>
      <c r="OKI50" s="19"/>
      <c r="OKJ50" s="19"/>
      <c r="OKK50" s="19"/>
      <c r="OKL50" s="19"/>
      <c r="OKM50" s="19"/>
      <c r="OKN50" s="19"/>
      <c r="OKO50" s="19"/>
      <c r="OKP50" s="19"/>
      <c r="OKQ50" s="19"/>
      <c r="OKR50" s="19"/>
      <c r="OKS50" s="19"/>
      <c r="OKT50" s="19"/>
      <c r="OKU50" s="19"/>
      <c r="OKV50" s="19"/>
      <c r="OKW50" s="19"/>
      <c r="OKX50" s="19"/>
      <c r="OKY50" s="19"/>
      <c r="OKZ50" s="19"/>
      <c r="OLA50" s="19"/>
      <c r="OLB50" s="19"/>
      <c r="OLC50" s="19"/>
      <c r="OLD50" s="19"/>
      <c r="OLE50" s="19"/>
      <c r="OLF50" s="19"/>
      <c r="OLG50" s="19"/>
      <c r="OLH50" s="19"/>
      <c r="OLI50" s="19"/>
      <c r="OLJ50" s="19"/>
      <c r="OLK50" s="19"/>
      <c r="OLL50" s="19"/>
      <c r="OLM50" s="19"/>
      <c r="OLN50" s="19"/>
      <c r="OLO50" s="19"/>
      <c r="OLP50" s="19"/>
      <c r="OLQ50" s="19"/>
      <c r="OLR50" s="19"/>
      <c r="OLS50" s="19"/>
      <c r="OLT50" s="19"/>
      <c r="OLU50" s="19"/>
      <c r="OLV50" s="19"/>
      <c r="OLW50" s="19"/>
      <c r="OLX50" s="19"/>
      <c r="OLY50" s="19"/>
      <c r="OLZ50" s="19"/>
      <c r="OMA50" s="19"/>
      <c r="OMB50" s="19"/>
      <c r="OMC50" s="19"/>
      <c r="OMD50" s="19"/>
      <c r="OME50" s="19"/>
      <c r="OMF50" s="19"/>
      <c r="OMG50" s="19"/>
      <c r="OMH50" s="19"/>
      <c r="OMI50" s="19"/>
      <c r="OMJ50" s="19"/>
      <c r="OMK50" s="19"/>
      <c r="OML50" s="19"/>
      <c r="OMM50" s="19"/>
      <c r="OMN50" s="19"/>
      <c r="OMO50" s="19"/>
      <c r="OMP50" s="19"/>
      <c r="OMQ50" s="19"/>
      <c r="OMR50" s="19"/>
      <c r="OMS50" s="19"/>
      <c r="OMT50" s="19"/>
      <c r="OMU50" s="19"/>
      <c r="OMV50" s="19"/>
      <c r="OMW50" s="19"/>
      <c r="OMX50" s="19"/>
      <c r="OMY50" s="19"/>
      <c r="OMZ50" s="19"/>
      <c r="ONA50" s="19"/>
      <c r="ONB50" s="19"/>
      <c r="ONC50" s="19"/>
      <c r="OND50" s="19"/>
      <c r="ONE50" s="19"/>
      <c r="ONF50" s="19"/>
      <c r="ONG50" s="19"/>
      <c r="ONH50" s="19"/>
      <c r="ONI50" s="19"/>
      <c r="ONJ50" s="19"/>
      <c r="ONK50" s="19"/>
      <c r="ONL50" s="19"/>
      <c r="ONM50" s="19"/>
      <c r="ONN50" s="19"/>
      <c r="ONO50" s="19"/>
      <c r="ONP50" s="19"/>
      <c r="ONQ50" s="19"/>
      <c r="ONR50" s="19"/>
      <c r="ONS50" s="19"/>
      <c r="ONT50" s="19"/>
      <c r="ONU50" s="19"/>
      <c r="ONV50" s="19"/>
      <c r="ONW50" s="19"/>
      <c r="ONX50" s="19"/>
      <c r="ONY50" s="19"/>
      <c r="ONZ50" s="19"/>
      <c r="OOA50" s="19"/>
      <c r="OOB50" s="19"/>
      <c r="OOC50" s="19"/>
      <c r="OOD50" s="19"/>
      <c r="OOE50" s="19"/>
      <c r="OOF50" s="19"/>
      <c r="OOG50" s="19"/>
      <c r="OOH50" s="19"/>
      <c r="OOI50" s="19"/>
      <c r="OOJ50" s="19"/>
      <c r="OOK50" s="19"/>
      <c r="OOL50" s="19"/>
      <c r="OOM50" s="19"/>
      <c r="OON50" s="19"/>
      <c r="OOO50" s="19"/>
      <c r="OOP50" s="19"/>
      <c r="OOQ50" s="19"/>
      <c r="OOR50" s="19"/>
      <c r="OOS50" s="19"/>
      <c r="OOT50" s="19"/>
      <c r="OOU50" s="19"/>
      <c r="OOV50" s="19"/>
      <c r="OOW50" s="19"/>
      <c r="OOX50" s="19"/>
      <c r="OOY50" s="19"/>
      <c r="OOZ50" s="19"/>
      <c r="OPA50" s="19"/>
      <c r="OPB50" s="19"/>
      <c r="OPC50" s="19"/>
      <c r="OPD50" s="19"/>
      <c r="OPE50" s="19"/>
      <c r="OPF50" s="19"/>
      <c r="OPG50" s="19"/>
      <c r="OPH50" s="19"/>
      <c r="OPI50" s="19"/>
      <c r="OPJ50" s="19"/>
      <c r="OPK50" s="19"/>
      <c r="OPL50" s="19"/>
      <c r="OPM50" s="19"/>
      <c r="OPN50" s="19"/>
      <c r="OPO50" s="19"/>
      <c r="OPP50" s="19"/>
      <c r="OPQ50" s="19"/>
      <c r="OPR50" s="19"/>
      <c r="OPS50" s="19"/>
      <c r="OPT50" s="19"/>
      <c r="OPU50" s="19"/>
      <c r="OPV50" s="19"/>
      <c r="OPW50" s="19"/>
      <c r="OPX50" s="19"/>
      <c r="OPY50" s="19"/>
      <c r="OPZ50" s="19"/>
      <c r="OQA50" s="19"/>
      <c r="OQB50" s="19"/>
      <c r="OQC50" s="19"/>
      <c r="OQD50" s="19"/>
      <c r="OQE50" s="19"/>
      <c r="OQF50" s="19"/>
      <c r="OQG50" s="19"/>
      <c r="OQH50" s="19"/>
      <c r="OQI50" s="19"/>
      <c r="OQJ50" s="19"/>
      <c r="OQK50" s="19"/>
      <c r="OQL50" s="19"/>
      <c r="OQM50" s="19"/>
      <c r="OQN50" s="19"/>
      <c r="OQO50" s="19"/>
      <c r="OQP50" s="19"/>
      <c r="OQQ50" s="19"/>
      <c r="OQR50" s="19"/>
      <c r="OQS50" s="19"/>
      <c r="OQT50" s="19"/>
      <c r="OQU50" s="19"/>
      <c r="OQV50" s="19"/>
      <c r="OQW50" s="19"/>
      <c r="OQX50" s="19"/>
      <c r="OQY50" s="19"/>
      <c r="OQZ50" s="19"/>
      <c r="ORA50" s="19"/>
      <c r="ORB50" s="19"/>
      <c r="ORC50" s="19"/>
      <c r="ORD50" s="19"/>
      <c r="ORE50" s="19"/>
      <c r="ORF50" s="19"/>
      <c r="ORG50" s="19"/>
      <c r="ORH50" s="19"/>
      <c r="ORI50" s="19"/>
      <c r="ORJ50" s="19"/>
      <c r="ORK50" s="19"/>
      <c r="ORL50" s="19"/>
      <c r="ORM50" s="19"/>
      <c r="ORN50" s="19"/>
      <c r="ORO50" s="19"/>
      <c r="ORP50" s="19"/>
      <c r="ORQ50" s="19"/>
      <c r="ORR50" s="19"/>
      <c r="ORS50" s="19"/>
      <c r="ORT50" s="19"/>
      <c r="ORU50" s="19"/>
      <c r="ORV50" s="19"/>
      <c r="ORW50" s="19"/>
      <c r="ORX50" s="19"/>
      <c r="ORY50" s="19"/>
      <c r="ORZ50" s="19"/>
      <c r="OSA50" s="19"/>
      <c r="OSB50" s="19"/>
      <c r="OSC50" s="19"/>
      <c r="OSD50" s="19"/>
      <c r="OSE50" s="19"/>
      <c r="OSF50" s="19"/>
      <c r="OSG50" s="19"/>
      <c r="OSH50" s="19"/>
      <c r="OSI50" s="19"/>
      <c r="OSJ50" s="19"/>
      <c r="OSK50" s="19"/>
      <c r="OSL50" s="19"/>
      <c r="OSM50" s="19"/>
      <c r="OSN50" s="19"/>
      <c r="OSO50" s="19"/>
      <c r="OSP50" s="19"/>
      <c r="OSQ50" s="19"/>
      <c r="OSR50" s="19"/>
      <c r="OSS50" s="19"/>
      <c r="OST50" s="19"/>
      <c r="OSU50" s="19"/>
      <c r="OSV50" s="19"/>
      <c r="OSW50" s="19"/>
      <c r="OSX50" s="19"/>
      <c r="OSY50" s="19"/>
      <c r="OSZ50" s="19"/>
      <c r="OTA50" s="19"/>
      <c r="OTB50" s="19"/>
      <c r="OTC50" s="19"/>
      <c r="OTD50" s="19"/>
      <c r="OTE50" s="19"/>
      <c r="OTF50" s="19"/>
      <c r="OTG50" s="19"/>
      <c r="OTH50" s="19"/>
      <c r="OTI50" s="19"/>
      <c r="OTJ50" s="19"/>
      <c r="OTK50" s="19"/>
      <c r="OTL50" s="19"/>
      <c r="OTM50" s="19"/>
      <c r="OTN50" s="19"/>
      <c r="OTO50" s="19"/>
      <c r="OTP50" s="19"/>
      <c r="OTQ50" s="19"/>
      <c r="OTR50" s="19"/>
      <c r="OTS50" s="19"/>
      <c r="OTT50" s="19"/>
      <c r="OTU50" s="19"/>
      <c r="OTV50" s="19"/>
      <c r="OTW50" s="19"/>
      <c r="OTX50" s="19"/>
      <c r="OTY50" s="19"/>
      <c r="OTZ50" s="19"/>
      <c r="OUA50" s="19"/>
      <c r="OUB50" s="19"/>
      <c r="OUC50" s="19"/>
      <c r="OUD50" s="19"/>
      <c r="OUE50" s="19"/>
      <c r="OUF50" s="19"/>
      <c r="OUG50" s="19"/>
      <c r="OUH50" s="19"/>
      <c r="OUI50" s="19"/>
      <c r="OUJ50" s="19"/>
      <c r="OUK50" s="19"/>
      <c r="OUL50" s="19"/>
      <c r="OUM50" s="19"/>
      <c r="OUN50" s="19"/>
      <c r="OUO50" s="19"/>
      <c r="OUP50" s="19"/>
      <c r="OUQ50" s="19"/>
      <c r="OUR50" s="19"/>
      <c r="OUS50" s="19"/>
      <c r="OUT50" s="19"/>
      <c r="OUU50" s="19"/>
      <c r="OUV50" s="19"/>
      <c r="OUW50" s="19"/>
      <c r="OUX50" s="19"/>
      <c r="OUY50" s="19"/>
      <c r="OUZ50" s="19"/>
      <c r="OVA50" s="19"/>
      <c r="OVB50" s="19"/>
      <c r="OVC50" s="19"/>
      <c r="OVD50" s="19"/>
      <c r="OVE50" s="19"/>
      <c r="OVF50" s="19"/>
      <c r="OVG50" s="19"/>
      <c r="OVH50" s="19"/>
      <c r="OVI50" s="19"/>
      <c r="OVJ50" s="19"/>
      <c r="OVK50" s="19"/>
      <c r="OVL50" s="19"/>
      <c r="OVM50" s="19"/>
      <c r="OVN50" s="19"/>
      <c r="OVO50" s="19"/>
      <c r="OVP50" s="19"/>
      <c r="OVQ50" s="19"/>
      <c r="OVR50" s="19"/>
      <c r="OVS50" s="19"/>
      <c r="OVT50" s="19"/>
      <c r="OVU50" s="19"/>
      <c r="OVV50" s="19"/>
      <c r="OVW50" s="19"/>
      <c r="OVX50" s="19"/>
      <c r="OVY50" s="19"/>
      <c r="OVZ50" s="19"/>
      <c r="OWA50" s="19"/>
      <c r="OWB50" s="19"/>
      <c r="OWC50" s="19"/>
      <c r="OWD50" s="19"/>
      <c r="OWE50" s="19"/>
      <c r="OWF50" s="19"/>
      <c r="OWG50" s="19"/>
      <c r="OWH50" s="19"/>
      <c r="OWI50" s="19"/>
      <c r="OWJ50" s="19"/>
      <c r="OWK50" s="19"/>
      <c r="OWL50" s="19"/>
      <c r="OWM50" s="19"/>
      <c r="OWN50" s="19"/>
      <c r="OWO50" s="19"/>
      <c r="OWP50" s="19"/>
      <c r="OWQ50" s="19"/>
      <c r="OWR50" s="19"/>
      <c r="OWS50" s="19"/>
      <c r="OWT50" s="19"/>
      <c r="OWU50" s="19"/>
      <c r="OWV50" s="19"/>
      <c r="OWW50" s="19"/>
      <c r="OWX50" s="19"/>
      <c r="OWY50" s="19"/>
      <c r="OWZ50" s="19"/>
      <c r="OXA50" s="19"/>
      <c r="OXB50" s="19"/>
      <c r="OXC50" s="19"/>
      <c r="OXD50" s="19"/>
      <c r="OXE50" s="19"/>
      <c r="OXF50" s="19"/>
      <c r="OXG50" s="19"/>
      <c r="OXH50" s="19"/>
      <c r="OXI50" s="19"/>
      <c r="OXJ50" s="19"/>
      <c r="OXK50" s="19"/>
      <c r="OXL50" s="19"/>
      <c r="OXM50" s="19"/>
      <c r="OXN50" s="19"/>
      <c r="OXO50" s="19"/>
      <c r="OXP50" s="19"/>
      <c r="OXQ50" s="19"/>
      <c r="OXR50" s="19"/>
      <c r="OXS50" s="19"/>
      <c r="OXT50" s="19"/>
      <c r="OXU50" s="19"/>
      <c r="OXV50" s="19"/>
      <c r="OXW50" s="19"/>
      <c r="OXX50" s="19"/>
      <c r="OXY50" s="19"/>
      <c r="OXZ50" s="19"/>
      <c r="OYA50" s="19"/>
      <c r="OYB50" s="19"/>
      <c r="OYC50" s="19"/>
      <c r="OYD50" s="19"/>
      <c r="OYE50" s="19"/>
      <c r="OYF50" s="19"/>
      <c r="OYG50" s="19"/>
      <c r="OYH50" s="19"/>
      <c r="OYI50" s="19"/>
      <c r="OYJ50" s="19"/>
      <c r="OYK50" s="19"/>
      <c r="OYL50" s="19"/>
      <c r="OYM50" s="19"/>
      <c r="OYN50" s="19"/>
      <c r="OYO50" s="19"/>
      <c r="OYP50" s="19"/>
      <c r="OYQ50" s="19"/>
      <c r="OYR50" s="19"/>
      <c r="OYS50" s="19"/>
      <c r="OYT50" s="19"/>
      <c r="OYU50" s="19"/>
      <c r="OYV50" s="19"/>
      <c r="OYW50" s="19"/>
      <c r="OYX50" s="19"/>
      <c r="OYY50" s="19"/>
      <c r="OYZ50" s="19"/>
      <c r="OZA50" s="19"/>
      <c r="OZB50" s="19"/>
      <c r="OZC50" s="19"/>
      <c r="OZD50" s="19"/>
      <c r="OZE50" s="19"/>
      <c r="OZF50" s="19"/>
      <c r="OZG50" s="19"/>
      <c r="OZH50" s="19"/>
      <c r="OZI50" s="19"/>
      <c r="OZJ50" s="19"/>
      <c r="OZK50" s="19"/>
      <c r="OZL50" s="19"/>
      <c r="OZM50" s="19"/>
      <c r="OZN50" s="19"/>
      <c r="OZO50" s="19"/>
      <c r="OZP50" s="19"/>
      <c r="OZQ50" s="19"/>
      <c r="OZR50" s="19"/>
      <c r="OZS50" s="19"/>
      <c r="OZT50" s="19"/>
      <c r="OZU50" s="19"/>
      <c r="OZV50" s="19"/>
      <c r="OZW50" s="19"/>
      <c r="OZX50" s="19"/>
      <c r="OZY50" s="19"/>
      <c r="OZZ50" s="19"/>
      <c r="PAA50" s="19"/>
      <c r="PAB50" s="19"/>
      <c r="PAC50" s="19"/>
      <c r="PAD50" s="19"/>
      <c r="PAE50" s="19"/>
      <c r="PAF50" s="19"/>
      <c r="PAG50" s="19"/>
      <c r="PAH50" s="19"/>
      <c r="PAI50" s="19"/>
      <c r="PAJ50" s="19"/>
      <c r="PAK50" s="19"/>
      <c r="PAL50" s="19"/>
      <c r="PAM50" s="19"/>
      <c r="PAN50" s="19"/>
      <c r="PAO50" s="19"/>
      <c r="PAP50" s="19"/>
      <c r="PAQ50" s="19"/>
      <c r="PAR50" s="19"/>
      <c r="PAS50" s="19"/>
      <c r="PAT50" s="19"/>
      <c r="PAU50" s="19"/>
      <c r="PAV50" s="19"/>
      <c r="PAW50" s="19"/>
      <c r="PAX50" s="19"/>
      <c r="PAY50" s="19"/>
      <c r="PAZ50" s="19"/>
      <c r="PBA50" s="19"/>
      <c r="PBB50" s="19"/>
      <c r="PBC50" s="19"/>
      <c r="PBD50" s="19"/>
      <c r="PBE50" s="19"/>
      <c r="PBF50" s="19"/>
      <c r="PBG50" s="19"/>
      <c r="PBH50" s="19"/>
      <c r="PBI50" s="19"/>
      <c r="PBJ50" s="19"/>
      <c r="PBK50" s="19"/>
      <c r="PBL50" s="19"/>
      <c r="PBM50" s="19"/>
      <c r="PBN50" s="19"/>
      <c r="PBO50" s="19"/>
      <c r="PBP50" s="19"/>
      <c r="PBQ50" s="19"/>
      <c r="PBR50" s="19"/>
      <c r="PBS50" s="19"/>
      <c r="PBT50" s="19"/>
      <c r="PBU50" s="19"/>
      <c r="PBV50" s="19"/>
      <c r="PBW50" s="19"/>
      <c r="PBX50" s="19"/>
      <c r="PBY50" s="19"/>
      <c r="PBZ50" s="19"/>
      <c r="PCA50" s="19"/>
      <c r="PCB50" s="19"/>
      <c r="PCC50" s="19"/>
      <c r="PCD50" s="19"/>
      <c r="PCE50" s="19"/>
      <c r="PCF50" s="19"/>
      <c r="PCG50" s="19"/>
      <c r="PCH50" s="19"/>
      <c r="PCI50" s="19"/>
      <c r="PCJ50" s="19"/>
      <c r="PCK50" s="19"/>
      <c r="PCL50" s="19"/>
      <c r="PCM50" s="19"/>
      <c r="PCN50" s="19"/>
      <c r="PCO50" s="19"/>
      <c r="PCP50" s="19"/>
      <c r="PCQ50" s="19"/>
      <c r="PCR50" s="19"/>
      <c r="PCS50" s="19"/>
      <c r="PCT50" s="19"/>
      <c r="PCU50" s="19"/>
      <c r="PCV50" s="19"/>
      <c r="PCW50" s="19"/>
      <c r="PCX50" s="19"/>
      <c r="PCY50" s="19"/>
      <c r="PCZ50" s="19"/>
      <c r="PDA50" s="19"/>
      <c r="PDB50" s="19"/>
      <c r="PDC50" s="19"/>
      <c r="PDD50" s="19"/>
      <c r="PDE50" s="19"/>
      <c r="PDF50" s="19"/>
      <c r="PDG50" s="19"/>
      <c r="PDH50" s="19"/>
      <c r="PDI50" s="19"/>
      <c r="PDJ50" s="19"/>
      <c r="PDK50" s="19"/>
      <c r="PDL50" s="19"/>
      <c r="PDM50" s="19"/>
      <c r="PDN50" s="19"/>
      <c r="PDO50" s="19"/>
      <c r="PDP50" s="19"/>
      <c r="PDQ50" s="19"/>
      <c r="PDR50" s="19"/>
      <c r="PDS50" s="19"/>
      <c r="PDT50" s="19"/>
      <c r="PDU50" s="19"/>
      <c r="PDV50" s="19"/>
      <c r="PDW50" s="19"/>
      <c r="PDX50" s="19"/>
      <c r="PDY50" s="19"/>
      <c r="PDZ50" s="19"/>
      <c r="PEA50" s="19"/>
      <c r="PEB50" s="19"/>
      <c r="PEC50" s="19"/>
      <c r="PED50" s="19"/>
      <c r="PEE50" s="19"/>
      <c r="PEF50" s="19"/>
      <c r="PEG50" s="19"/>
      <c r="PEH50" s="19"/>
      <c r="PEI50" s="19"/>
      <c r="PEJ50" s="19"/>
      <c r="PEK50" s="19"/>
      <c r="PEL50" s="19"/>
      <c r="PEM50" s="19"/>
      <c r="PEN50" s="19"/>
      <c r="PEO50" s="19"/>
      <c r="PEP50" s="19"/>
      <c r="PEQ50" s="19"/>
      <c r="PER50" s="19"/>
      <c r="PES50" s="19"/>
      <c r="PET50" s="19"/>
      <c r="PEU50" s="19"/>
      <c r="PEV50" s="19"/>
      <c r="PEW50" s="19"/>
      <c r="PEX50" s="19"/>
      <c r="PEY50" s="19"/>
      <c r="PEZ50" s="19"/>
      <c r="PFA50" s="19"/>
      <c r="PFB50" s="19"/>
      <c r="PFC50" s="19"/>
      <c r="PFD50" s="19"/>
      <c r="PFE50" s="19"/>
      <c r="PFF50" s="19"/>
      <c r="PFG50" s="19"/>
      <c r="PFH50" s="19"/>
      <c r="PFI50" s="19"/>
      <c r="PFJ50" s="19"/>
      <c r="PFK50" s="19"/>
      <c r="PFL50" s="19"/>
      <c r="PFM50" s="19"/>
      <c r="PFN50" s="19"/>
      <c r="PFO50" s="19"/>
      <c r="PFP50" s="19"/>
      <c r="PFQ50" s="19"/>
      <c r="PFR50" s="19"/>
      <c r="PFS50" s="19"/>
      <c r="PFT50" s="19"/>
      <c r="PFU50" s="19"/>
      <c r="PFV50" s="19"/>
      <c r="PFW50" s="19"/>
      <c r="PFX50" s="19"/>
      <c r="PFY50" s="19"/>
      <c r="PFZ50" s="19"/>
      <c r="PGA50" s="19"/>
      <c r="PGB50" s="19"/>
      <c r="PGC50" s="19"/>
      <c r="PGD50" s="19"/>
      <c r="PGE50" s="19"/>
      <c r="PGF50" s="19"/>
      <c r="PGG50" s="19"/>
      <c r="PGH50" s="19"/>
      <c r="PGI50" s="19"/>
      <c r="PGJ50" s="19"/>
      <c r="PGK50" s="19"/>
      <c r="PGL50" s="19"/>
      <c r="PGM50" s="19"/>
      <c r="PGN50" s="19"/>
      <c r="PGO50" s="19"/>
      <c r="PGP50" s="19"/>
      <c r="PGQ50" s="19"/>
      <c r="PGR50" s="19"/>
      <c r="PGS50" s="19"/>
      <c r="PGT50" s="19"/>
      <c r="PGU50" s="19"/>
      <c r="PGV50" s="19"/>
      <c r="PGW50" s="19"/>
      <c r="PGX50" s="19"/>
      <c r="PGY50" s="19"/>
      <c r="PGZ50" s="19"/>
      <c r="PHA50" s="19"/>
      <c r="PHB50" s="19"/>
      <c r="PHC50" s="19"/>
      <c r="PHD50" s="19"/>
      <c r="PHE50" s="19"/>
      <c r="PHF50" s="19"/>
      <c r="PHG50" s="19"/>
      <c r="PHH50" s="19"/>
      <c r="PHI50" s="19"/>
      <c r="PHJ50" s="19"/>
      <c r="PHK50" s="19"/>
      <c r="PHL50" s="19"/>
      <c r="PHM50" s="19"/>
      <c r="PHN50" s="19"/>
      <c r="PHO50" s="19"/>
      <c r="PHP50" s="19"/>
      <c r="PHQ50" s="19"/>
      <c r="PHR50" s="19"/>
      <c r="PHS50" s="19"/>
      <c r="PHT50" s="19"/>
      <c r="PHU50" s="19"/>
      <c r="PHV50" s="19"/>
      <c r="PHW50" s="19"/>
      <c r="PHX50" s="19"/>
      <c r="PHY50" s="19"/>
      <c r="PHZ50" s="19"/>
      <c r="PIA50" s="19"/>
      <c r="PIB50" s="19"/>
      <c r="PIC50" s="19"/>
      <c r="PID50" s="19"/>
      <c r="PIE50" s="19"/>
      <c r="PIF50" s="19"/>
      <c r="PIG50" s="19"/>
      <c r="PIH50" s="19"/>
      <c r="PII50" s="19"/>
      <c r="PIJ50" s="19"/>
      <c r="PIK50" s="19"/>
      <c r="PIL50" s="19"/>
      <c r="PIM50" s="19"/>
      <c r="PIN50" s="19"/>
      <c r="PIO50" s="19"/>
      <c r="PIP50" s="19"/>
      <c r="PIQ50" s="19"/>
      <c r="PIR50" s="19"/>
      <c r="PIS50" s="19"/>
      <c r="PIT50" s="19"/>
      <c r="PIU50" s="19"/>
      <c r="PIV50" s="19"/>
      <c r="PIW50" s="19"/>
      <c r="PIX50" s="19"/>
      <c r="PIY50" s="19"/>
      <c r="PIZ50" s="19"/>
      <c r="PJA50" s="19"/>
      <c r="PJB50" s="19"/>
      <c r="PJC50" s="19"/>
      <c r="PJD50" s="19"/>
      <c r="PJE50" s="19"/>
      <c r="PJF50" s="19"/>
      <c r="PJG50" s="19"/>
      <c r="PJH50" s="19"/>
      <c r="PJI50" s="19"/>
      <c r="PJJ50" s="19"/>
      <c r="PJK50" s="19"/>
      <c r="PJL50" s="19"/>
      <c r="PJM50" s="19"/>
      <c r="PJN50" s="19"/>
      <c r="PJO50" s="19"/>
      <c r="PJP50" s="19"/>
      <c r="PJQ50" s="19"/>
      <c r="PJR50" s="19"/>
      <c r="PJS50" s="19"/>
      <c r="PJT50" s="19"/>
      <c r="PJU50" s="19"/>
      <c r="PJV50" s="19"/>
      <c r="PJW50" s="19"/>
      <c r="PJX50" s="19"/>
      <c r="PJY50" s="19"/>
      <c r="PJZ50" s="19"/>
      <c r="PKA50" s="19"/>
      <c r="PKB50" s="19"/>
      <c r="PKC50" s="19"/>
      <c r="PKD50" s="19"/>
      <c r="PKE50" s="19"/>
      <c r="PKF50" s="19"/>
      <c r="PKG50" s="19"/>
      <c r="PKH50" s="19"/>
      <c r="PKI50" s="19"/>
      <c r="PKJ50" s="19"/>
      <c r="PKK50" s="19"/>
      <c r="PKL50" s="19"/>
      <c r="PKM50" s="19"/>
      <c r="PKN50" s="19"/>
      <c r="PKO50" s="19"/>
      <c r="PKP50" s="19"/>
      <c r="PKQ50" s="19"/>
      <c r="PKR50" s="19"/>
      <c r="PKS50" s="19"/>
      <c r="PKT50" s="19"/>
      <c r="PKU50" s="19"/>
      <c r="PKV50" s="19"/>
      <c r="PKW50" s="19"/>
      <c r="PKX50" s="19"/>
      <c r="PKY50" s="19"/>
      <c r="PKZ50" s="19"/>
      <c r="PLA50" s="19"/>
      <c r="PLB50" s="19"/>
      <c r="PLC50" s="19"/>
      <c r="PLD50" s="19"/>
      <c r="PLE50" s="19"/>
      <c r="PLF50" s="19"/>
      <c r="PLG50" s="19"/>
      <c r="PLH50" s="19"/>
      <c r="PLI50" s="19"/>
      <c r="PLJ50" s="19"/>
      <c r="PLK50" s="19"/>
      <c r="PLL50" s="19"/>
      <c r="PLM50" s="19"/>
      <c r="PLN50" s="19"/>
      <c r="PLO50" s="19"/>
      <c r="PLP50" s="19"/>
      <c r="PLQ50" s="19"/>
      <c r="PLR50" s="19"/>
      <c r="PLS50" s="19"/>
      <c r="PLT50" s="19"/>
      <c r="PLU50" s="19"/>
      <c r="PLV50" s="19"/>
      <c r="PLW50" s="19"/>
      <c r="PLX50" s="19"/>
      <c r="PLY50" s="19"/>
      <c r="PLZ50" s="19"/>
      <c r="PMA50" s="19"/>
      <c r="PMB50" s="19"/>
      <c r="PMC50" s="19"/>
      <c r="PMD50" s="19"/>
      <c r="PME50" s="19"/>
      <c r="PMF50" s="19"/>
      <c r="PMG50" s="19"/>
      <c r="PMH50" s="19"/>
      <c r="PMI50" s="19"/>
      <c r="PMJ50" s="19"/>
      <c r="PMK50" s="19"/>
      <c r="PML50" s="19"/>
      <c r="PMM50" s="19"/>
      <c r="PMN50" s="19"/>
      <c r="PMO50" s="19"/>
      <c r="PMP50" s="19"/>
      <c r="PMQ50" s="19"/>
      <c r="PMR50" s="19"/>
      <c r="PMS50" s="19"/>
      <c r="PMT50" s="19"/>
      <c r="PMU50" s="19"/>
      <c r="PMV50" s="19"/>
      <c r="PMW50" s="19"/>
      <c r="PMX50" s="19"/>
      <c r="PMY50" s="19"/>
      <c r="PMZ50" s="19"/>
      <c r="PNA50" s="19"/>
      <c r="PNB50" s="19"/>
      <c r="PNC50" s="19"/>
      <c r="PND50" s="19"/>
      <c r="PNE50" s="19"/>
      <c r="PNF50" s="19"/>
      <c r="PNG50" s="19"/>
      <c r="PNH50" s="19"/>
      <c r="PNI50" s="19"/>
      <c r="PNJ50" s="19"/>
      <c r="PNK50" s="19"/>
      <c r="PNL50" s="19"/>
      <c r="PNM50" s="19"/>
      <c r="PNN50" s="19"/>
      <c r="PNO50" s="19"/>
      <c r="PNP50" s="19"/>
      <c r="PNQ50" s="19"/>
      <c r="PNR50" s="19"/>
      <c r="PNS50" s="19"/>
      <c r="PNT50" s="19"/>
      <c r="PNU50" s="19"/>
      <c r="PNV50" s="19"/>
      <c r="PNW50" s="19"/>
      <c r="PNX50" s="19"/>
      <c r="PNY50" s="19"/>
      <c r="PNZ50" s="19"/>
      <c r="POA50" s="19"/>
      <c r="POB50" s="19"/>
      <c r="POC50" s="19"/>
      <c r="POD50" s="19"/>
      <c r="POE50" s="19"/>
      <c r="POF50" s="19"/>
      <c r="POG50" s="19"/>
      <c r="POH50" s="19"/>
      <c r="POI50" s="19"/>
      <c r="POJ50" s="19"/>
      <c r="POK50" s="19"/>
      <c r="POL50" s="19"/>
      <c r="POM50" s="19"/>
      <c r="PON50" s="19"/>
      <c r="POO50" s="19"/>
      <c r="POP50" s="19"/>
      <c r="POQ50" s="19"/>
      <c r="POR50" s="19"/>
      <c r="POS50" s="19"/>
      <c r="POT50" s="19"/>
      <c r="POU50" s="19"/>
      <c r="POV50" s="19"/>
      <c r="POW50" s="19"/>
      <c r="POX50" s="19"/>
      <c r="POY50" s="19"/>
      <c r="POZ50" s="19"/>
      <c r="PPA50" s="19"/>
      <c r="PPB50" s="19"/>
      <c r="PPC50" s="19"/>
      <c r="PPD50" s="19"/>
      <c r="PPE50" s="19"/>
      <c r="PPF50" s="19"/>
      <c r="PPG50" s="19"/>
      <c r="PPH50" s="19"/>
      <c r="PPI50" s="19"/>
      <c r="PPJ50" s="19"/>
      <c r="PPK50" s="19"/>
      <c r="PPL50" s="19"/>
      <c r="PPM50" s="19"/>
      <c r="PPN50" s="19"/>
      <c r="PPO50" s="19"/>
      <c r="PPP50" s="19"/>
      <c r="PPQ50" s="19"/>
      <c r="PPR50" s="19"/>
      <c r="PPS50" s="19"/>
      <c r="PPT50" s="19"/>
      <c r="PPU50" s="19"/>
      <c r="PPV50" s="19"/>
      <c r="PPW50" s="19"/>
      <c r="PPX50" s="19"/>
      <c r="PPY50" s="19"/>
      <c r="PPZ50" s="19"/>
      <c r="PQA50" s="19"/>
      <c r="PQB50" s="19"/>
      <c r="PQC50" s="19"/>
      <c r="PQD50" s="19"/>
      <c r="PQE50" s="19"/>
      <c r="PQF50" s="19"/>
      <c r="PQG50" s="19"/>
      <c r="PQH50" s="19"/>
      <c r="PQI50" s="19"/>
      <c r="PQJ50" s="19"/>
      <c r="PQK50" s="19"/>
      <c r="PQL50" s="19"/>
      <c r="PQM50" s="19"/>
      <c r="PQN50" s="19"/>
      <c r="PQO50" s="19"/>
      <c r="PQP50" s="19"/>
      <c r="PQQ50" s="19"/>
      <c r="PQR50" s="19"/>
      <c r="PQS50" s="19"/>
      <c r="PQT50" s="19"/>
      <c r="PQU50" s="19"/>
      <c r="PQV50" s="19"/>
      <c r="PQW50" s="19"/>
      <c r="PQX50" s="19"/>
      <c r="PQY50" s="19"/>
      <c r="PQZ50" s="19"/>
      <c r="PRA50" s="19"/>
      <c r="PRB50" s="19"/>
      <c r="PRC50" s="19"/>
      <c r="PRD50" s="19"/>
      <c r="PRE50" s="19"/>
      <c r="PRF50" s="19"/>
      <c r="PRG50" s="19"/>
      <c r="PRH50" s="19"/>
      <c r="PRI50" s="19"/>
      <c r="PRJ50" s="19"/>
      <c r="PRK50" s="19"/>
      <c r="PRL50" s="19"/>
      <c r="PRM50" s="19"/>
      <c r="PRN50" s="19"/>
      <c r="PRO50" s="19"/>
      <c r="PRP50" s="19"/>
      <c r="PRQ50" s="19"/>
      <c r="PRR50" s="19"/>
      <c r="PRS50" s="19"/>
      <c r="PRT50" s="19"/>
      <c r="PRU50" s="19"/>
      <c r="PRV50" s="19"/>
      <c r="PRW50" s="19"/>
      <c r="PRX50" s="19"/>
      <c r="PRY50" s="19"/>
      <c r="PRZ50" s="19"/>
      <c r="PSA50" s="19"/>
      <c r="PSB50" s="19"/>
      <c r="PSC50" s="19"/>
      <c r="PSD50" s="19"/>
      <c r="PSE50" s="19"/>
      <c r="PSF50" s="19"/>
      <c r="PSG50" s="19"/>
      <c r="PSH50" s="19"/>
      <c r="PSI50" s="19"/>
      <c r="PSJ50" s="19"/>
      <c r="PSK50" s="19"/>
      <c r="PSL50" s="19"/>
      <c r="PSM50" s="19"/>
      <c r="PSN50" s="19"/>
      <c r="PSO50" s="19"/>
      <c r="PSP50" s="19"/>
      <c r="PSQ50" s="19"/>
      <c r="PSR50" s="19"/>
      <c r="PSS50" s="19"/>
      <c r="PST50" s="19"/>
      <c r="PSU50" s="19"/>
      <c r="PSV50" s="19"/>
      <c r="PSW50" s="19"/>
      <c r="PSX50" s="19"/>
      <c r="PSY50" s="19"/>
      <c r="PSZ50" s="19"/>
      <c r="PTA50" s="19"/>
      <c r="PTB50" s="19"/>
      <c r="PTC50" s="19"/>
      <c r="PTD50" s="19"/>
      <c r="PTE50" s="19"/>
      <c r="PTF50" s="19"/>
      <c r="PTG50" s="19"/>
      <c r="PTH50" s="19"/>
      <c r="PTI50" s="19"/>
      <c r="PTJ50" s="19"/>
      <c r="PTK50" s="19"/>
      <c r="PTL50" s="19"/>
      <c r="PTM50" s="19"/>
      <c r="PTN50" s="19"/>
      <c r="PTO50" s="19"/>
      <c r="PTP50" s="19"/>
      <c r="PTQ50" s="19"/>
      <c r="PTR50" s="19"/>
      <c r="PTS50" s="19"/>
      <c r="PTT50" s="19"/>
      <c r="PTU50" s="19"/>
      <c r="PTV50" s="19"/>
      <c r="PTW50" s="19"/>
      <c r="PTX50" s="19"/>
      <c r="PTY50" s="19"/>
      <c r="PTZ50" s="19"/>
      <c r="PUA50" s="19"/>
      <c r="PUB50" s="19"/>
      <c r="PUC50" s="19"/>
      <c r="PUD50" s="19"/>
      <c r="PUE50" s="19"/>
      <c r="PUF50" s="19"/>
      <c r="PUG50" s="19"/>
      <c r="PUH50" s="19"/>
      <c r="PUI50" s="19"/>
      <c r="PUJ50" s="19"/>
      <c r="PUK50" s="19"/>
      <c r="PUL50" s="19"/>
      <c r="PUM50" s="19"/>
      <c r="PUN50" s="19"/>
      <c r="PUO50" s="19"/>
      <c r="PUP50" s="19"/>
      <c r="PUQ50" s="19"/>
      <c r="PUR50" s="19"/>
      <c r="PUS50" s="19"/>
      <c r="PUT50" s="19"/>
      <c r="PUU50" s="19"/>
      <c r="PUV50" s="19"/>
      <c r="PUW50" s="19"/>
      <c r="PUX50" s="19"/>
      <c r="PUY50" s="19"/>
      <c r="PUZ50" s="19"/>
      <c r="PVA50" s="19"/>
      <c r="PVB50" s="19"/>
      <c r="PVC50" s="19"/>
      <c r="PVD50" s="19"/>
      <c r="PVE50" s="19"/>
      <c r="PVF50" s="19"/>
      <c r="PVG50" s="19"/>
      <c r="PVH50" s="19"/>
      <c r="PVI50" s="19"/>
      <c r="PVJ50" s="19"/>
      <c r="PVK50" s="19"/>
      <c r="PVL50" s="19"/>
      <c r="PVM50" s="19"/>
      <c r="PVN50" s="19"/>
      <c r="PVO50" s="19"/>
      <c r="PVP50" s="19"/>
      <c r="PVQ50" s="19"/>
      <c r="PVR50" s="19"/>
      <c r="PVS50" s="19"/>
      <c r="PVT50" s="19"/>
      <c r="PVU50" s="19"/>
      <c r="PVV50" s="19"/>
      <c r="PVW50" s="19"/>
      <c r="PVX50" s="19"/>
      <c r="PVY50" s="19"/>
      <c r="PVZ50" s="19"/>
      <c r="PWA50" s="19"/>
      <c r="PWB50" s="19"/>
      <c r="PWC50" s="19"/>
      <c r="PWD50" s="19"/>
      <c r="PWE50" s="19"/>
      <c r="PWF50" s="19"/>
      <c r="PWG50" s="19"/>
      <c r="PWH50" s="19"/>
      <c r="PWI50" s="19"/>
      <c r="PWJ50" s="19"/>
      <c r="PWK50" s="19"/>
      <c r="PWL50" s="19"/>
      <c r="PWM50" s="19"/>
      <c r="PWN50" s="19"/>
      <c r="PWO50" s="19"/>
      <c r="PWP50" s="19"/>
      <c r="PWQ50" s="19"/>
      <c r="PWR50" s="19"/>
      <c r="PWS50" s="19"/>
      <c r="PWT50" s="19"/>
      <c r="PWU50" s="19"/>
      <c r="PWV50" s="19"/>
      <c r="PWW50" s="19"/>
      <c r="PWX50" s="19"/>
      <c r="PWY50" s="19"/>
      <c r="PWZ50" s="19"/>
      <c r="PXA50" s="19"/>
      <c r="PXB50" s="19"/>
      <c r="PXC50" s="19"/>
      <c r="PXD50" s="19"/>
      <c r="PXE50" s="19"/>
      <c r="PXF50" s="19"/>
      <c r="PXG50" s="19"/>
      <c r="PXH50" s="19"/>
      <c r="PXI50" s="19"/>
      <c r="PXJ50" s="19"/>
      <c r="PXK50" s="19"/>
      <c r="PXL50" s="19"/>
      <c r="PXM50" s="19"/>
      <c r="PXN50" s="19"/>
      <c r="PXO50" s="19"/>
      <c r="PXP50" s="19"/>
      <c r="PXQ50" s="19"/>
      <c r="PXR50" s="19"/>
      <c r="PXS50" s="19"/>
      <c r="PXT50" s="19"/>
      <c r="PXU50" s="19"/>
      <c r="PXV50" s="19"/>
      <c r="PXW50" s="19"/>
      <c r="PXX50" s="19"/>
      <c r="PXY50" s="19"/>
      <c r="PXZ50" s="19"/>
      <c r="PYA50" s="19"/>
      <c r="PYB50" s="19"/>
      <c r="PYC50" s="19"/>
      <c r="PYD50" s="19"/>
      <c r="PYE50" s="19"/>
      <c r="PYF50" s="19"/>
      <c r="PYG50" s="19"/>
      <c r="PYH50" s="19"/>
      <c r="PYI50" s="19"/>
      <c r="PYJ50" s="19"/>
      <c r="PYK50" s="19"/>
      <c r="PYL50" s="19"/>
      <c r="PYM50" s="19"/>
      <c r="PYN50" s="19"/>
      <c r="PYO50" s="19"/>
      <c r="PYP50" s="19"/>
      <c r="PYQ50" s="19"/>
      <c r="PYR50" s="19"/>
      <c r="PYS50" s="19"/>
      <c r="PYT50" s="19"/>
      <c r="PYU50" s="19"/>
      <c r="PYV50" s="19"/>
      <c r="PYW50" s="19"/>
      <c r="PYX50" s="19"/>
      <c r="PYY50" s="19"/>
      <c r="PYZ50" s="19"/>
      <c r="PZA50" s="19"/>
      <c r="PZB50" s="19"/>
      <c r="PZC50" s="19"/>
      <c r="PZD50" s="19"/>
      <c r="PZE50" s="19"/>
      <c r="PZF50" s="19"/>
      <c r="PZG50" s="19"/>
      <c r="PZH50" s="19"/>
      <c r="PZI50" s="19"/>
      <c r="PZJ50" s="19"/>
      <c r="PZK50" s="19"/>
      <c r="PZL50" s="19"/>
      <c r="PZM50" s="19"/>
      <c r="PZN50" s="19"/>
      <c r="PZO50" s="19"/>
      <c r="PZP50" s="19"/>
      <c r="PZQ50" s="19"/>
      <c r="PZR50" s="19"/>
      <c r="PZS50" s="19"/>
      <c r="PZT50" s="19"/>
      <c r="PZU50" s="19"/>
      <c r="PZV50" s="19"/>
      <c r="PZW50" s="19"/>
      <c r="PZX50" s="19"/>
      <c r="PZY50" s="19"/>
      <c r="PZZ50" s="19"/>
      <c r="QAA50" s="19"/>
      <c r="QAB50" s="19"/>
      <c r="QAC50" s="19"/>
      <c r="QAD50" s="19"/>
      <c r="QAE50" s="19"/>
      <c r="QAF50" s="19"/>
      <c r="QAG50" s="19"/>
      <c r="QAH50" s="19"/>
      <c r="QAI50" s="19"/>
      <c r="QAJ50" s="19"/>
      <c r="QAK50" s="19"/>
      <c r="QAL50" s="19"/>
      <c r="QAM50" s="19"/>
      <c r="QAN50" s="19"/>
      <c r="QAO50" s="19"/>
      <c r="QAP50" s="19"/>
      <c r="QAQ50" s="19"/>
      <c r="QAR50" s="19"/>
      <c r="QAS50" s="19"/>
      <c r="QAT50" s="19"/>
      <c r="QAU50" s="19"/>
      <c r="QAV50" s="19"/>
      <c r="QAW50" s="19"/>
      <c r="QAX50" s="19"/>
      <c r="QAY50" s="19"/>
      <c r="QAZ50" s="19"/>
      <c r="QBA50" s="19"/>
      <c r="QBB50" s="19"/>
      <c r="QBC50" s="19"/>
      <c r="QBD50" s="19"/>
      <c r="QBE50" s="19"/>
      <c r="QBF50" s="19"/>
      <c r="QBG50" s="19"/>
      <c r="QBH50" s="19"/>
      <c r="QBI50" s="19"/>
      <c r="QBJ50" s="19"/>
      <c r="QBK50" s="19"/>
      <c r="QBL50" s="19"/>
      <c r="QBM50" s="19"/>
      <c r="QBN50" s="19"/>
      <c r="QBO50" s="19"/>
      <c r="QBP50" s="19"/>
      <c r="QBQ50" s="19"/>
      <c r="QBR50" s="19"/>
      <c r="QBS50" s="19"/>
      <c r="QBT50" s="19"/>
      <c r="QBU50" s="19"/>
      <c r="QBV50" s="19"/>
      <c r="QBW50" s="19"/>
      <c r="QBX50" s="19"/>
      <c r="QBY50" s="19"/>
      <c r="QBZ50" s="19"/>
      <c r="QCA50" s="19"/>
      <c r="QCB50" s="19"/>
      <c r="QCC50" s="19"/>
      <c r="QCD50" s="19"/>
      <c r="QCE50" s="19"/>
      <c r="QCF50" s="19"/>
      <c r="QCG50" s="19"/>
      <c r="QCH50" s="19"/>
      <c r="QCI50" s="19"/>
      <c r="QCJ50" s="19"/>
      <c r="QCK50" s="19"/>
      <c r="QCL50" s="19"/>
      <c r="QCM50" s="19"/>
      <c r="QCN50" s="19"/>
      <c r="QCO50" s="19"/>
      <c r="QCP50" s="19"/>
      <c r="QCQ50" s="19"/>
      <c r="QCR50" s="19"/>
      <c r="QCS50" s="19"/>
      <c r="QCT50" s="19"/>
      <c r="QCU50" s="19"/>
      <c r="QCV50" s="19"/>
      <c r="QCW50" s="19"/>
      <c r="QCX50" s="19"/>
      <c r="QCY50" s="19"/>
      <c r="QCZ50" s="19"/>
      <c r="QDA50" s="19"/>
      <c r="QDB50" s="19"/>
      <c r="QDC50" s="19"/>
      <c r="QDD50" s="19"/>
      <c r="QDE50" s="19"/>
      <c r="QDF50" s="19"/>
      <c r="QDG50" s="19"/>
      <c r="QDH50" s="19"/>
      <c r="QDI50" s="19"/>
      <c r="QDJ50" s="19"/>
      <c r="QDK50" s="19"/>
      <c r="QDL50" s="19"/>
      <c r="QDM50" s="19"/>
      <c r="QDN50" s="19"/>
      <c r="QDO50" s="19"/>
      <c r="QDP50" s="19"/>
      <c r="QDQ50" s="19"/>
      <c r="QDR50" s="19"/>
      <c r="QDS50" s="19"/>
      <c r="QDT50" s="19"/>
      <c r="QDU50" s="19"/>
      <c r="QDV50" s="19"/>
      <c r="QDW50" s="19"/>
      <c r="QDX50" s="19"/>
      <c r="QDY50" s="19"/>
      <c r="QDZ50" s="19"/>
      <c r="QEA50" s="19"/>
      <c r="QEB50" s="19"/>
      <c r="QEC50" s="19"/>
      <c r="QED50" s="19"/>
      <c r="QEE50" s="19"/>
      <c r="QEF50" s="19"/>
      <c r="QEG50" s="19"/>
      <c r="QEH50" s="19"/>
      <c r="QEI50" s="19"/>
      <c r="QEJ50" s="19"/>
      <c r="QEK50" s="19"/>
      <c r="QEL50" s="19"/>
      <c r="QEM50" s="19"/>
      <c r="QEN50" s="19"/>
      <c r="QEO50" s="19"/>
      <c r="QEP50" s="19"/>
      <c r="QEQ50" s="19"/>
      <c r="QER50" s="19"/>
      <c r="QES50" s="19"/>
      <c r="QET50" s="19"/>
      <c r="QEU50" s="19"/>
      <c r="QEV50" s="19"/>
      <c r="QEW50" s="19"/>
      <c r="QEX50" s="19"/>
      <c r="QEY50" s="19"/>
      <c r="QEZ50" s="19"/>
      <c r="QFA50" s="19"/>
      <c r="QFB50" s="19"/>
      <c r="QFC50" s="19"/>
      <c r="QFD50" s="19"/>
      <c r="QFE50" s="19"/>
      <c r="QFF50" s="19"/>
      <c r="QFG50" s="19"/>
      <c r="QFH50" s="19"/>
      <c r="QFI50" s="19"/>
      <c r="QFJ50" s="19"/>
      <c r="QFK50" s="19"/>
      <c r="QFL50" s="19"/>
      <c r="QFM50" s="19"/>
      <c r="QFN50" s="19"/>
      <c r="QFO50" s="19"/>
      <c r="QFP50" s="19"/>
      <c r="QFQ50" s="19"/>
      <c r="QFR50" s="19"/>
      <c r="QFS50" s="19"/>
      <c r="QFT50" s="19"/>
      <c r="QFU50" s="19"/>
      <c r="QFV50" s="19"/>
      <c r="QFW50" s="19"/>
      <c r="QFX50" s="19"/>
      <c r="QFY50" s="19"/>
      <c r="QFZ50" s="19"/>
      <c r="QGA50" s="19"/>
      <c r="QGB50" s="19"/>
      <c r="QGC50" s="19"/>
      <c r="QGD50" s="19"/>
      <c r="QGE50" s="19"/>
      <c r="QGF50" s="19"/>
      <c r="QGG50" s="19"/>
      <c r="QGH50" s="19"/>
      <c r="QGI50" s="19"/>
      <c r="QGJ50" s="19"/>
      <c r="QGK50" s="19"/>
      <c r="QGL50" s="19"/>
      <c r="QGM50" s="19"/>
      <c r="QGN50" s="19"/>
      <c r="QGO50" s="19"/>
      <c r="QGP50" s="19"/>
      <c r="QGQ50" s="19"/>
      <c r="QGR50" s="19"/>
      <c r="QGS50" s="19"/>
      <c r="QGT50" s="19"/>
      <c r="QGU50" s="19"/>
      <c r="QGV50" s="19"/>
      <c r="QGW50" s="19"/>
      <c r="QGX50" s="19"/>
      <c r="QGY50" s="19"/>
      <c r="QGZ50" s="19"/>
      <c r="QHA50" s="19"/>
      <c r="QHB50" s="19"/>
      <c r="QHC50" s="19"/>
      <c r="QHD50" s="19"/>
      <c r="QHE50" s="19"/>
      <c r="QHF50" s="19"/>
      <c r="QHG50" s="19"/>
      <c r="QHH50" s="19"/>
      <c r="QHI50" s="19"/>
      <c r="QHJ50" s="19"/>
      <c r="QHK50" s="19"/>
      <c r="QHL50" s="19"/>
      <c r="QHM50" s="19"/>
      <c r="QHN50" s="19"/>
      <c r="QHO50" s="19"/>
      <c r="QHP50" s="19"/>
      <c r="QHQ50" s="19"/>
      <c r="QHR50" s="19"/>
      <c r="QHS50" s="19"/>
      <c r="QHT50" s="19"/>
      <c r="QHU50" s="19"/>
      <c r="QHV50" s="19"/>
      <c r="QHW50" s="19"/>
      <c r="QHX50" s="19"/>
      <c r="QHY50" s="19"/>
      <c r="QHZ50" s="19"/>
      <c r="QIA50" s="19"/>
      <c r="QIB50" s="19"/>
      <c r="QIC50" s="19"/>
      <c r="QID50" s="19"/>
      <c r="QIE50" s="19"/>
      <c r="QIF50" s="19"/>
      <c r="QIG50" s="19"/>
      <c r="QIH50" s="19"/>
      <c r="QII50" s="19"/>
      <c r="QIJ50" s="19"/>
      <c r="QIK50" s="19"/>
      <c r="QIL50" s="19"/>
      <c r="QIM50" s="19"/>
      <c r="QIN50" s="19"/>
      <c r="QIO50" s="19"/>
      <c r="QIP50" s="19"/>
      <c r="QIQ50" s="19"/>
      <c r="QIR50" s="19"/>
      <c r="QIS50" s="19"/>
      <c r="QIT50" s="19"/>
      <c r="QIU50" s="19"/>
      <c r="QIV50" s="19"/>
      <c r="QIW50" s="19"/>
      <c r="QIX50" s="19"/>
      <c r="QIY50" s="19"/>
      <c r="QIZ50" s="19"/>
      <c r="QJA50" s="19"/>
      <c r="QJB50" s="19"/>
      <c r="QJC50" s="19"/>
      <c r="QJD50" s="19"/>
      <c r="QJE50" s="19"/>
      <c r="QJF50" s="19"/>
      <c r="QJG50" s="19"/>
      <c r="QJH50" s="19"/>
      <c r="QJI50" s="19"/>
      <c r="QJJ50" s="19"/>
      <c r="QJK50" s="19"/>
      <c r="QJL50" s="19"/>
      <c r="QJM50" s="19"/>
      <c r="QJN50" s="19"/>
      <c r="QJO50" s="19"/>
      <c r="QJP50" s="19"/>
      <c r="QJQ50" s="19"/>
      <c r="QJR50" s="19"/>
      <c r="QJS50" s="19"/>
      <c r="QJT50" s="19"/>
      <c r="QJU50" s="19"/>
      <c r="QJV50" s="19"/>
      <c r="QJW50" s="19"/>
      <c r="QJX50" s="19"/>
      <c r="QJY50" s="19"/>
      <c r="QJZ50" s="19"/>
      <c r="QKA50" s="19"/>
      <c r="QKB50" s="19"/>
      <c r="QKC50" s="19"/>
      <c r="QKD50" s="19"/>
      <c r="QKE50" s="19"/>
      <c r="QKF50" s="19"/>
      <c r="QKG50" s="19"/>
      <c r="QKH50" s="19"/>
      <c r="QKI50" s="19"/>
      <c r="QKJ50" s="19"/>
      <c r="QKK50" s="19"/>
      <c r="QKL50" s="19"/>
      <c r="QKM50" s="19"/>
      <c r="QKN50" s="19"/>
      <c r="QKO50" s="19"/>
      <c r="QKP50" s="19"/>
      <c r="QKQ50" s="19"/>
      <c r="QKR50" s="19"/>
      <c r="QKS50" s="19"/>
      <c r="QKT50" s="19"/>
      <c r="QKU50" s="19"/>
      <c r="QKV50" s="19"/>
      <c r="QKW50" s="19"/>
      <c r="QKX50" s="19"/>
      <c r="QKY50" s="19"/>
      <c r="QKZ50" s="19"/>
      <c r="QLA50" s="19"/>
      <c r="QLB50" s="19"/>
      <c r="QLC50" s="19"/>
      <c r="QLD50" s="19"/>
      <c r="QLE50" s="19"/>
      <c r="QLF50" s="19"/>
      <c r="QLG50" s="19"/>
      <c r="QLH50" s="19"/>
      <c r="QLI50" s="19"/>
      <c r="QLJ50" s="19"/>
      <c r="QLK50" s="19"/>
      <c r="QLL50" s="19"/>
      <c r="QLM50" s="19"/>
      <c r="QLN50" s="19"/>
      <c r="QLO50" s="19"/>
      <c r="QLP50" s="19"/>
      <c r="QLQ50" s="19"/>
      <c r="QLR50" s="19"/>
      <c r="QLS50" s="19"/>
      <c r="QLT50" s="19"/>
      <c r="QLU50" s="19"/>
      <c r="QLV50" s="19"/>
      <c r="QLW50" s="19"/>
      <c r="QLX50" s="19"/>
      <c r="QLY50" s="19"/>
      <c r="QLZ50" s="19"/>
      <c r="QMA50" s="19"/>
      <c r="QMB50" s="19"/>
      <c r="QMC50" s="19"/>
      <c r="QMD50" s="19"/>
      <c r="QME50" s="19"/>
      <c r="QMF50" s="19"/>
      <c r="QMG50" s="19"/>
      <c r="QMH50" s="19"/>
      <c r="QMI50" s="19"/>
      <c r="QMJ50" s="19"/>
      <c r="QMK50" s="19"/>
      <c r="QML50" s="19"/>
      <c r="QMM50" s="19"/>
      <c r="QMN50" s="19"/>
      <c r="QMO50" s="19"/>
      <c r="QMP50" s="19"/>
      <c r="QMQ50" s="19"/>
      <c r="QMR50" s="19"/>
      <c r="QMS50" s="19"/>
      <c r="QMT50" s="19"/>
      <c r="QMU50" s="19"/>
      <c r="QMV50" s="19"/>
      <c r="QMW50" s="19"/>
      <c r="QMX50" s="19"/>
      <c r="QMY50" s="19"/>
      <c r="QMZ50" s="19"/>
      <c r="QNA50" s="19"/>
      <c r="QNB50" s="19"/>
      <c r="QNC50" s="19"/>
      <c r="QND50" s="19"/>
      <c r="QNE50" s="19"/>
      <c r="QNF50" s="19"/>
      <c r="QNG50" s="19"/>
      <c r="QNH50" s="19"/>
      <c r="QNI50" s="19"/>
      <c r="QNJ50" s="19"/>
      <c r="QNK50" s="19"/>
      <c r="QNL50" s="19"/>
      <c r="QNM50" s="19"/>
      <c r="QNN50" s="19"/>
      <c r="QNO50" s="19"/>
      <c r="QNP50" s="19"/>
      <c r="QNQ50" s="19"/>
      <c r="QNR50" s="19"/>
      <c r="QNS50" s="19"/>
      <c r="QNT50" s="19"/>
      <c r="QNU50" s="19"/>
      <c r="QNV50" s="19"/>
      <c r="QNW50" s="19"/>
      <c r="QNX50" s="19"/>
      <c r="QNY50" s="19"/>
      <c r="QNZ50" s="19"/>
      <c r="QOA50" s="19"/>
      <c r="QOB50" s="19"/>
      <c r="QOC50" s="19"/>
      <c r="QOD50" s="19"/>
      <c r="QOE50" s="19"/>
      <c r="QOF50" s="19"/>
      <c r="QOG50" s="19"/>
      <c r="QOH50" s="19"/>
      <c r="QOI50" s="19"/>
      <c r="QOJ50" s="19"/>
      <c r="QOK50" s="19"/>
      <c r="QOL50" s="19"/>
      <c r="QOM50" s="19"/>
      <c r="QON50" s="19"/>
      <c r="QOO50" s="19"/>
      <c r="QOP50" s="19"/>
      <c r="QOQ50" s="19"/>
      <c r="QOR50" s="19"/>
      <c r="QOS50" s="19"/>
      <c r="QOT50" s="19"/>
      <c r="QOU50" s="19"/>
      <c r="QOV50" s="19"/>
      <c r="QOW50" s="19"/>
      <c r="QOX50" s="19"/>
      <c r="QOY50" s="19"/>
      <c r="QOZ50" s="19"/>
      <c r="QPA50" s="19"/>
      <c r="QPB50" s="19"/>
      <c r="QPC50" s="19"/>
      <c r="QPD50" s="19"/>
      <c r="QPE50" s="19"/>
      <c r="QPF50" s="19"/>
      <c r="QPG50" s="19"/>
      <c r="QPH50" s="19"/>
      <c r="QPI50" s="19"/>
      <c r="QPJ50" s="19"/>
      <c r="QPK50" s="19"/>
      <c r="QPL50" s="19"/>
      <c r="QPM50" s="19"/>
      <c r="QPN50" s="19"/>
      <c r="QPO50" s="19"/>
      <c r="QPP50" s="19"/>
      <c r="QPQ50" s="19"/>
      <c r="QPR50" s="19"/>
      <c r="QPS50" s="19"/>
      <c r="QPT50" s="19"/>
      <c r="QPU50" s="19"/>
      <c r="QPV50" s="19"/>
      <c r="QPW50" s="19"/>
      <c r="QPX50" s="19"/>
      <c r="QPY50" s="19"/>
      <c r="QPZ50" s="19"/>
      <c r="QQA50" s="19"/>
      <c r="QQB50" s="19"/>
      <c r="QQC50" s="19"/>
      <c r="QQD50" s="19"/>
      <c r="QQE50" s="19"/>
      <c r="QQF50" s="19"/>
      <c r="QQG50" s="19"/>
      <c r="QQH50" s="19"/>
      <c r="QQI50" s="19"/>
      <c r="QQJ50" s="19"/>
      <c r="QQK50" s="19"/>
      <c r="QQL50" s="19"/>
      <c r="QQM50" s="19"/>
      <c r="QQN50" s="19"/>
      <c r="QQO50" s="19"/>
      <c r="QQP50" s="19"/>
      <c r="QQQ50" s="19"/>
      <c r="QQR50" s="19"/>
      <c r="QQS50" s="19"/>
      <c r="QQT50" s="19"/>
      <c r="QQU50" s="19"/>
      <c r="QQV50" s="19"/>
      <c r="QQW50" s="19"/>
      <c r="QQX50" s="19"/>
      <c r="QQY50" s="19"/>
      <c r="QQZ50" s="19"/>
      <c r="QRA50" s="19"/>
      <c r="QRB50" s="19"/>
      <c r="QRC50" s="19"/>
      <c r="QRD50" s="19"/>
      <c r="QRE50" s="19"/>
      <c r="QRF50" s="19"/>
      <c r="QRG50" s="19"/>
      <c r="QRH50" s="19"/>
      <c r="QRI50" s="19"/>
      <c r="QRJ50" s="19"/>
      <c r="QRK50" s="19"/>
      <c r="QRL50" s="19"/>
      <c r="QRM50" s="19"/>
      <c r="QRN50" s="19"/>
      <c r="QRO50" s="19"/>
      <c r="QRP50" s="19"/>
      <c r="QRQ50" s="19"/>
      <c r="QRR50" s="19"/>
      <c r="QRS50" s="19"/>
      <c r="QRT50" s="19"/>
      <c r="QRU50" s="19"/>
      <c r="QRV50" s="19"/>
      <c r="QRW50" s="19"/>
      <c r="QRX50" s="19"/>
      <c r="QRY50" s="19"/>
      <c r="QRZ50" s="19"/>
      <c r="QSA50" s="19"/>
      <c r="QSB50" s="19"/>
      <c r="QSC50" s="19"/>
      <c r="QSD50" s="19"/>
      <c r="QSE50" s="19"/>
      <c r="QSF50" s="19"/>
      <c r="QSG50" s="19"/>
      <c r="QSH50" s="19"/>
      <c r="QSI50" s="19"/>
      <c r="QSJ50" s="19"/>
      <c r="QSK50" s="19"/>
      <c r="QSL50" s="19"/>
      <c r="QSM50" s="19"/>
      <c r="QSN50" s="19"/>
      <c r="QSO50" s="19"/>
      <c r="QSP50" s="19"/>
      <c r="QSQ50" s="19"/>
      <c r="QSR50" s="19"/>
      <c r="QSS50" s="19"/>
      <c r="QST50" s="19"/>
      <c r="QSU50" s="19"/>
      <c r="QSV50" s="19"/>
      <c r="QSW50" s="19"/>
      <c r="QSX50" s="19"/>
      <c r="QSY50" s="19"/>
      <c r="QSZ50" s="19"/>
      <c r="QTA50" s="19"/>
      <c r="QTB50" s="19"/>
      <c r="QTC50" s="19"/>
      <c r="QTD50" s="19"/>
      <c r="QTE50" s="19"/>
      <c r="QTF50" s="19"/>
      <c r="QTG50" s="19"/>
      <c r="QTH50" s="19"/>
      <c r="QTI50" s="19"/>
      <c r="QTJ50" s="19"/>
      <c r="QTK50" s="19"/>
      <c r="QTL50" s="19"/>
      <c r="QTM50" s="19"/>
      <c r="QTN50" s="19"/>
      <c r="QTO50" s="19"/>
      <c r="QTP50" s="19"/>
      <c r="QTQ50" s="19"/>
      <c r="QTR50" s="19"/>
      <c r="QTS50" s="19"/>
      <c r="QTT50" s="19"/>
      <c r="QTU50" s="19"/>
      <c r="QTV50" s="19"/>
      <c r="QTW50" s="19"/>
      <c r="QTX50" s="19"/>
      <c r="QTY50" s="19"/>
      <c r="QTZ50" s="19"/>
      <c r="QUA50" s="19"/>
      <c r="QUB50" s="19"/>
      <c r="QUC50" s="19"/>
      <c r="QUD50" s="19"/>
      <c r="QUE50" s="19"/>
      <c r="QUF50" s="19"/>
      <c r="QUG50" s="19"/>
      <c r="QUH50" s="19"/>
      <c r="QUI50" s="19"/>
      <c r="QUJ50" s="19"/>
      <c r="QUK50" s="19"/>
      <c r="QUL50" s="19"/>
      <c r="QUM50" s="19"/>
      <c r="QUN50" s="19"/>
      <c r="QUO50" s="19"/>
      <c r="QUP50" s="19"/>
      <c r="QUQ50" s="19"/>
      <c r="QUR50" s="19"/>
      <c r="QUS50" s="19"/>
      <c r="QUT50" s="19"/>
      <c r="QUU50" s="19"/>
      <c r="QUV50" s="19"/>
      <c r="QUW50" s="19"/>
      <c r="QUX50" s="19"/>
      <c r="QUY50" s="19"/>
      <c r="QUZ50" s="19"/>
      <c r="QVA50" s="19"/>
      <c r="QVB50" s="19"/>
      <c r="QVC50" s="19"/>
      <c r="QVD50" s="19"/>
      <c r="QVE50" s="19"/>
      <c r="QVF50" s="19"/>
      <c r="QVG50" s="19"/>
      <c r="QVH50" s="19"/>
      <c r="QVI50" s="19"/>
      <c r="QVJ50" s="19"/>
      <c r="QVK50" s="19"/>
      <c r="QVL50" s="19"/>
      <c r="QVM50" s="19"/>
      <c r="QVN50" s="19"/>
      <c r="QVO50" s="19"/>
      <c r="QVP50" s="19"/>
      <c r="QVQ50" s="19"/>
      <c r="QVR50" s="19"/>
      <c r="QVS50" s="19"/>
      <c r="QVT50" s="19"/>
      <c r="QVU50" s="19"/>
      <c r="QVV50" s="19"/>
      <c r="QVW50" s="19"/>
      <c r="QVX50" s="19"/>
      <c r="QVY50" s="19"/>
      <c r="QVZ50" s="19"/>
      <c r="QWA50" s="19"/>
      <c r="QWB50" s="19"/>
      <c r="QWC50" s="19"/>
      <c r="QWD50" s="19"/>
      <c r="QWE50" s="19"/>
      <c r="QWF50" s="19"/>
      <c r="QWG50" s="19"/>
      <c r="QWH50" s="19"/>
      <c r="QWI50" s="19"/>
      <c r="QWJ50" s="19"/>
      <c r="QWK50" s="19"/>
      <c r="QWL50" s="19"/>
      <c r="QWM50" s="19"/>
      <c r="QWN50" s="19"/>
      <c r="QWO50" s="19"/>
      <c r="QWP50" s="19"/>
      <c r="QWQ50" s="19"/>
      <c r="QWR50" s="19"/>
      <c r="QWS50" s="19"/>
      <c r="QWT50" s="19"/>
      <c r="QWU50" s="19"/>
      <c r="QWV50" s="19"/>
      <c r="QWW50" s="19"/>
      <c r="QWX50" s="19"/>
      <c r="QWY50" s="19"/>
      <c r="QWZ50" s="19"/>
      <c r="QXA50" s="19"/>
      <c r="QXB50" s="19"/>
      <c r="QXC50" s="19"/>
      <c r="QXD50" s="19"/>
      <c r="QXE50" s="19"/>
      <c r="QXF50" s="19"/>
      <c r="QXG50" s="19"/>
      <c r="QXH50" s="19"/>
      <c r="QXI50" s="19"/>
      <c r="QXJ50" s="19"/>
      <c r="QXK50" s="19"/>
      <c r="QXL50" s="19"/>
      <c r="QXM50" s="19"/>
      <c r="QXN50" s="19"/>
      <c r="QXO50" s="19"/>
      <c r="QXP50" s="19"/>
      <c r="QXQ50" s="19"/>
      <c r="QXR50" s="19"/>
      <c r="QXS50" s="19"/>
      <c r="QXT50" s="19"/>
      <c r="QXU50" s="19"/>
      <c r="QXV50" s="19"/>
      <c r="QXW50" s="19"/>
      <c r="QXX50" s="19"/>
      <c r="QXY50" s="19"/>
      <c r="QXZ50" s="19"/>
      <c r="QYA50" s="19"/>
      <c r="QYB50" s="19"/>
      <c r="QYC50" s="19"/>
      <c r="QYD50" s="19"/>
      <c r="QYE50" s="19"/>
      <c r="QYF50" s="19"/>
      <c r="QYG50" s="19"/>
      <c r="QYH50" s="19"/>
      <c r="QYI50" s="19"/>
      <c r="QYJ50" s="19"/>
      <c r="QYK50" s="19"/>
      <c r="QYL50" s="19"/>
      <c r="QYM50" s="19"/>
      <c r="QYN50" s="19"/>
      <c r="QYO50" s="19"/>
      <c r="QYP50" s="19"/>
      <c r="QYQ50" s="19"/>
      <c r="QYR50" s="19"/>
      <c r="QYS50" s="19"/>
      <c r="QYT50" s="19"/>
      <c r="QYU50" s="19"/>
      <c r="QYV50" s="19"/>
      <c r="QYW50" s="19"/>
      <c r="QYX50" s="19"/>
      <c r="QYY50" s="19"/>
      <c r="QYZ50" s="19"/>
      <c r="QZA50" s="19"/>
      <c r="QZB50" s="19"/>
      <c r="QZC50" s="19"/>
      <c r="QZD50" s="19"/>
      <c r="QZE50" s="19"/>
      <c r="QZF50" s="19"/>
      <c r="QZG50" s="19"/>
      <c r="QZH50" s="19"/>
      <c r="QZI50" s="19"/>
      <c r="QZJ50" s="19"/>
      <c r="QZK50" s="19"/>
      <c r="QZL50" s="19"/>
      <c r="QZM50" s="19"/>
      <c r="QZN50" s="19"/>
      <c r="QZO50" s="19"/>
      <c r="QZP50" s="19"/>
      <c r="QZQ50" s="19"/>
      <c r="QZR50" s="19"/>
      <c r="QZS50" s="19"/>
      <c r="QZT50" s="19"/>
      <c r="QZU50" s="19"/>
      <c r="QZV50" s="19"/>
      <c r="QZW50" s="19"/>
      <c r="QZX50" s="19"/>
      <c r="QZY50" s="19"/>
      <c r="QZZ50" s="19"/>
      <c r="RAA50" s="19"/>
      <c r="RAB50" s="19"/>
      <c r="RAC50" s="19"/>
      <c r="RAD50" s="19"/>
      <c r="RAE50" s="19"/>
      <c r="RAF50" s="19"/>
      <c r="RAG50" s="19"/>
      <c r="RAH50" s="19"/>
      <c r="RAI50" s="19"/>
      <c r="RAJ50" s="19"/>
      <c r="RAK50" s="19"/>
      <c r="RAL50" s="19"/>
      <c r="RAM50" s="19"/>
      <c r="RAN50" s="19"/>
      <c r="RAO50" s="19"/>
      <c r="RAP50" s="19"/>
      <c r="RAQ50" s="19"/>
      <c r="RAR50" s="19"/>
      <c r="RAS50" s="19"/>
      <c r="RAT50" s="19"/>
      <c r="RAU50" s="19"/>
      <c r="RAV50" s="19"/>
      <c r="RAW50" s="19"/>
      <c r="RAX50" s="19"/>
      <c r="RAY50" s="19"/>
      <c r="RAZ50" s="19"/>
      <c r="RBA50" s="19"/>
      <c r="RBB50" s="19"/>
      <c r="RBC50" s="19"/>
      <c r="RBD50" s="19"/>
      <c r="RBE50" s="19"/>
      <c r="RBF50" s="19"/>
      <c r="RBG50" s="19"/>
      <c r="RBH50" s="19"/>
      <c r="RBI50" s="19"/>
      <c r="RBJ50" s="19"/>
      <c r="RBK50" s="19"/>
      <c r="RBL50" s="19"/>
      <c r="RBM50" s="19"/>
      <c r="RBN50" s="19"/>
      <c r="RBO50" s="19"/>
      <c r="RBP50" s="19"/>
      <c r="RBQ50" s="19"/>
      <c r="RBR50" s="19"/>
      <c r="RBS50" s="19"/>
      <c r="RBT50" s="19"/>
      <c r="RBU50" s="19"/>
      <c r="RBV50" s="19"/>
      <c r="RBW50" s="19"/>
      <c r="RBX50" s="19"/>
      <c r="RBY50" s="19"/>
      <c r="RBZ50" s="19"/>
      <c r="RCA50" s="19"/>
      <c r="RCB50" s="19"/>
      <c r="RCC50" s="19"/>
      <c r="RCD50" s="19"/>
      <c r="RCE50" s="19"/>
      <c r="RCF50" s="19"/>
      <c r="RCG50" s="19"/>
      <c r="RCH50" s="19"/>
      <c r="RCI50" s="19"/>
      <c r="RCJ50" s="19"/>
      <c r="RCK50" s="19"/>
      <c r="RCL50" s="19"/>
      <c r="RCM50" s="19"/>
      <c r="RCN50" s="19"/>
      <c r="RCO50" s="19"/>
      <c r="RCP50" s="19"/>
      <c r="RCQ50" s="19"/>
      <c r="RCR50" s="19"/>
      <c r="RCS50" s="19"/>
      <c r="RCT50" s="19"/>
      <c r="RCU50" s="19"/>
      <c r="RCV50" s="19"/>
      <c r="RCW50" s="19"/>
      <c r="RCX50" s="19"/>
      <c r="RCY50" s="19"/>
      <c r="RCZ50" s="19"/>
      <c r="RDA50" s="19"/>
      <c r="RDB50" s="19"/>
      <c r="RDC50" s="19"/>
      <c r="RDD50" s="19"/>
      <c r="RDE50" s="19"/>
      <c r="RDF50" s="19"/>
      <c r="RDG50" s="19"/>
      <c r="RDH50" s="19"/>
      <c r="RDI50" s="19"/>
      <c r="RDJ50" s="19"/>
      <c r="RDK50" s="19"/>
      <c r="RDL50" s="19"/>
      <c r="RDM50" s="19"/>
      <c r="RDN50" s="19"/>
      <c r="RDO50" s="19"/>
      <c r="RDP50" s="19"/>
      <c r="RDQ50" s="19"/>
      <c r="RDR50" s="19"/>
      <c r="RDS50" s="19"/>
      <c r="RDT50" s="19"/>
      <c r="RDU50" s="19"/>
      <c r="RDV50" s="19"/>
      <c r="RDW50" s="19"/>
      <c r="RDX50" s="19"/>
      <c r="RDY50" s="19"/>
      <c r="RDZ50" s="19"/>
      <c r="REA50" s="19"/>
      <c r="REB50" s="19"/>
      <c r="REC50" s="19"/>
      <c r="RED50" s="19"/>
      <c r="REE50" s="19"/>
      <c r="REF50" s="19"/>
      <c r="REG50" s="19"/>
      <c r="REH50" s="19"/>
      <c r="REI50" s="19"/>
      <c r="REJ50" s="19"/>
      <c r="REK50" s="19"/>
      <c r="REL50" s="19"/>
      <c r="REM50" s="19"/>
      <c r="REN50" s="19"/>
      <c r="REO50" s="19"/>
      <c r="REP50" s="19"/>
      <c r="REQ50" s="19"/>
      <c r="RER50" s="19"/>
      <c r="RES50" s="19"/>
      <c r="RET50" s="19"/>
      <c r="REU50" s="19"/>
      <c r="REV50" s="19"/>
      <c r="REW50" s="19"/>
      <c r="REX50" s="19"/>
      <c r="REY50" s="19"/>
      <c r="REZ50" s="19"/>
      <c r="RFA50" s="19"/>
      <c r="RFB50" s="19"/>
      <c r="RFC50" s="19"/>
      <c r="RFD50" s="19"/>
      <c r="RFE50" s="19"/>
      <c r="RFF50" s="19"/>
      <c r="RFG50" s="19"/>
      <c r="RFH50" s="19"/>
      <c r="RFI50" s="19"/>
      <c r="RFJ50" s="19"/>
      <c r="RFK50" s="19"/>
      <c r="RFL50" s="19"/>
      <c r="RFM50" s="19"/>
      <c r="RFN50" s="19"/>
      <c r="RFO50" s="19"/>
      <c r="RFP50" s="19"/>
      <c r="RFQ50" s="19"/>
      <c r="RFR50" s="19"/>
      <c r="RFS50" s="19"/>
      <c r="RFT50" s="19"/>
      <c r="RFU50" s="19"/>
      <c r="RFV50" s="19"/>
      <c r="RFW50" s="19"/>
      <c r="RFX50" s="19"/>
      <c r="RFY50" s="19"/>
      <c r="RFZ50" s="19"/>
      <c r="RGA50" s="19"/>
      <c r="RGB50" s="19"/>
      <c r="RGC50" s="19"/>
      <c r="RGD50" s="19"/>
      <c r="RGE50" s="19"/>
      <c r="RGF50" s="19"/>
      <c r="RGG50" s="19"/>
      <c r="RGH50" s="19"/>
      <c r="RGI50" s="19"/>
      <c r="RGJ50" s="19"/>
      <c r="RGK50" s="19"/>
      <c r="RGL50" s="19"/>
      <c r="RGM50" s="19"/>
      <c r="RGN50" s="19"/>
      <c r="RGO50" s="19"/>
      <c r="RGP50" s="19"/>
      <c r="RGQ50" s="19"/>
      <c r="RGR50" s="19"/>
      <c r="RGS50" s="19"/>
      <c r="RGT50" s="19"/>
      <c r="RGU50" s="19"/>
      <c r="RGV50" s="19"/>
      <c r="RGW50" s="19"/>
      <c r="RGX50" s="19"/>
      <c r="RGY50" s="19"/>
      <c r="RGZ50" s="19"/>
      <c r="RHA50" s="19"/>
      <c r="RHB50" s="19"/>
      <c r="RHC50" s="19"/>
      <c r="RHD50" s="19"/>
      <c r="RHE50" s="19"/>
      <c r="RHF50" s="19"/>
      <c r="RHG50" s="19"/>
      <c r="RHH50" s="19"/>
      <c r="RHI50" s="19"/>
      <c r="RHJ50" s="19"/>
      <c r="RHK50" s="19"/>
      <c r="RHL50" s="19"/>
      <c r="RHM50" s="19"/>
      <c r="RHN50" s="19"/>
      <c r="RHO50" s="19"/>
      <c r="RHP50" s="19"/>
      <c r="RHQ50" s="19"/>
      <c r="RHR50" s="19"/>
      <c r="RHS50" s="19"/>
      <c r="RHT50" s="19"/>
      <c r="RHU50" s="19"/>
      <c r="RHV50" s="19"/>
      <c r="RHW50" s="19"/>
      <c r="RHX50" s="19"/>
      <c r="RHY50" s="19"/>
      <c r="RHZ50" s="19"/>
      <c r="RIA50" s="19"/>
      <c r="RIB50" s="19"/>
      <c r="RIC50" s="19"/>
      <c r="RID50" s="19"/>
      <c r="RIE50" s="19"/>
      <c r="RIF50" s="19"/>
      <c r="RIG50" s="19"/>
      <c r="RIH50" s="19"/>
      <c r="RII50" s="19"/>
      <c r="RIJ50" s="19"/>
      <c r="RIK50" s="19"/>
      <c r="RIL50" s="19"/>
      <c r="RIM50" s="19"/>
      <c r="RIN50" s="19"/>
      <c r="RIO50" s="19"/>
      <c r="RIP50" s="19"/>
      <c r="RIQ50" s="19"/>
      <c r="RIR50" s="19"/>
      <c r="RIS50" s="19"/>
      <c r="RIT50" s="19"/>
      <c r="RIU50" s="19"/>
      <c r="RIV50" s="19"/>
      <c r="RIW50" s="19"/>
      <c r="RIX50" s="19"/>
      <c r="RIY50" s="19"/>
      <c r="RIZ50" s="19"/>
      <c r="RJA50" s="19"/>
      <c r="RJB50" s="19"/>
      <c r="RJC50" s="19"/>
      <c r="RJD50" s="19"/>
      <c r="RJE50" s="19"/>
      <c r="RJF50" s="19"/>
      <c r="RJG50" s="19"/>
      <c r="RJH50" s="19"/>
      <c r="RJI50" s="19"/>
      <c r="RJJ50" s="19"/>
      <c r="RJK50" s="19"/>
      <c r="RJL50" s="19"/>
      <c r="RJM50" s="19"/>
      <c r="RJN50" s="19"/>
      <c r="RJO50" s="19"/>
      <c r="RJP50" s="19"/>
      <c r="RJQ50" s="19"/>
      <c r="RJR50" s="19"/>
      <c r="RJS50" s="19"/>
      <c r="RJT50" s="19"/>
      <c r="RJU50" s="19"/>
      <c r="RJV50" s="19"/>
      <c r="RJW50" s="19"/>
      <c r="RJX50" s="19"/>
      <c r="RJY50" s="19"/>
      <c r="RJZ50" s="19"/>
      <c r="RKA50" s="19"/>
      <c r="RKB50" s="19"/>
      <c r="RKC50" s="19"/>
      <c r="RKD50" s="19"/>
      <c r="RKE50" s="19"/>
      <c r="RKF50" s="19"/>
      <c r="RKG50" s="19"/>
      <c r="RKH50" s="19"/>
      <c r="RKI50" s="19"/>
      <c r="RKJ50" s="19"/>
      <c r="RKK50" s="19"/>
      <c r="RKL50" s="19"/>
      <c r="RKM50" s="19"/>
      <c r="RKN50" s="19"/>
      <c r="RKO50" s="19"/>
      <c r="RKP50" s="19"/>
      <c r="RKQ50" s="19"/>
      <c r="RKR50" s="19"/>
      <c r="RKS50" s="19"/>
      <c r="RKT50" s="19"/>
      <c r="RKU50" s="19"/>
      <c r="RKV50" s="19"/>
      <c r="RKW50" s="19"/>
      <c r="RKX50" s="19"/>
      <c r="RKY50" s="19"/>
      <c r="RKZ50" s="19"/>
      <c r="RLA50" s="19"/>
      <c r="RLB50" s="19"/>
      <c r="RLC50" s="19"/>
      <c r="RLD50" s="19"/>
      <c r="RLE50" s="19"/>
      <c r="RLF50" s="19"/>
      <c r="RLG50" s="19"/>
      <c r="RLH50" s="19"/>
      <c r="RLI50" s="19"/>
      <c r="RLJ50" s="19"/>
      <c r="RLK50" s="19"/>
      <c r="RLL50" s="19"/>
      <c r="RLM50" s="19"/>
      <c r="RLN50" s="19"/>
      <c r="RLO50" s="19"/>
      <c r="RLP50" s="19"/>
      <c r="RLQ50" s="19"/>
      <c r="RLR50" s="19"/>
      <c r="RLS50" s="19"/>
      <c r="RLT50" s="19"/>
      <c r="RLU50" s="19"/>
      <c r="RLV50" s="19"/>
      <c r="RLW50" s="19"/>
      <c r="RLX50" s="19"/>
      <c r="RLY50" s="19"/>
      <c r="RLZ50" s="19"/>
      <c r="RMA50" s="19"/>
      <c r="RMB50" s="19"/>
      <c r="RMC50" s="19"/>
      <c r="RMD50" s="19"/>
      <c r="RME50" s="19"/>
      <c r="RMF50" s="19"/>
      <c r="RMG50" s="19"/>
      <c r="RMH50" s="19"/>
      <c r="RMI50" s="19"/>
      <c r="RMJ50" s="19"/>
      <c r="RMK50" s="19"/>
      <c r="RML50" s="19"/>
      <c r="RMM50" s="19"/>
      <c r="RMN50" s="19"/>
      <c r="RMO50" s="19"/>
      <c r="RMP50" s="19"/>
      <c r="RMQ50" s="19"/>
      <c r="RMR50" s="19"/>
      <c r="RMS50" s="19"/>
      <c r="RMT50" s="19"/>
      <c r="RMU50" s="19"/>
      <c r="RMV50" s="19"/>
      <c r="RMW50" s="19"/>
      <c r="RMX50" s="19"/>
      <c r="RMY50" s="19"/>
      <c r="RMZ50" s="19"/>
      <c r="RNA50" s="19"/>
      <c r="RNB50" s="19"/>
      <c r="RNC50" s="19"/>
      <c r="RND50" s="19"/>
      <c r="RNE50" s="19"/>
      <c r="RNF50" s="19"/>
      <c r="RNG50" s="19"/>
      <c r="RNH50" s="19"/>
      <c r="RNI50" s="19"/>
      <c r="RNJ50" s="19"/>
      <c r="RNK50" s="19"/>
      <c r="RNL50" s="19"/>
      <c r="RNM50" s="19"/>
      <c r="RNN50" s="19"/>
      <c r="RNO50" s="19"/>
      <c r="RNP50" s="19"/>
      <c r="RNQ50" s="19"/>
      <c r="RNR50" s="19"/>
      <c r="RNS50" s="19"/>
      <c r="RNT50" s="19"/>
      <c r="RNU50" s="19"/>
      <c r="RNV50" s="19"/>
      <c r="RNW50" s="19"/>
      <c r="RNX50" s="19"/>
      <c r="RNY50" s="19"/>
      <c r="RNZ50" s="19"/>
      <c r="ROA50" s="19"/>
      <c r="ROB50" s="19"/>
      <c r="ROC50" s="19"/>
      <c r="ROD50" s="19"/>
      <c r="ROE50" s="19"/>
      <c r="ROF50" s="19"/>
      <c r="ROG50" s="19"/>
      <c r="ROH50" s="19"/>
      <c r="ROI50" s="19"/>
      <c r="ROJ50" s="19"/>
      <c r="ROK50" s="19"/>
      <c r="ROL50" s="19"/>
      <c r="ROM50" s="19"/>
      <c r="RON50" s="19"/>
      <c r="ROO50" s="19"/>
      <c r="ROP50" s="19"/>
      <c r="ROQ50" s="19"/>
      <c r="ROR50" s="19"/>
      <c r="ROS50" s="19"/>
      <c r="ROT50" s="19"/>
      <c r="ROU50" s="19"/>
      <c r="ROV50" s="19"/>
      <c r="ROW50" s="19"/>
      <c r="ROX50" s="19"/>
      <c r="ROY50" s="19"/>
      <c r="ROZ50" s="19"/>
      <c r="RPA50" s="19"/>
      <c r="RPB50" s="19"/>
      <c r="RPC50" s="19"/>
      <c r="RPD50" s="19"/>
      <c r="RPE50" s="19"/>
      <c r="RPF50" s="19"/>
      <c r="RPG50" s="19"/>
      <c r="RPH50" s="19"/>
      <c r="RPI50" s="19"/>
      <c r="RPJ50" s="19"/>
      <c r="RPK50" s="19"/>
      <c r="RPL50" s="19"/>
      <c r="RPM50" s="19"/>
      <c r="RPN50" s="19"/>
      <c r="RPO50" s="19"/>
      <c r="RPP50" s="19"/>
      <c r="RPQ50" s="19"/>
      <c r="RPR50" s="19"/>
      <c r="RPS50" s="19"/>
      <c r="RPT50" s="19"/>
      <c r="RPU50" s="19"/>
      <c r="RPV50" s="19"/>
      <c r="RPW50" s="19"/>
      <c r="RPX50" s="19"/>
      <c r="RPY50" s="19"/>
      <c r="RPZ50" s="19"/>
      <c r="RQA50" s="19"/>
      <c r="RQB50" s="19"/>
      <c r="RQC50" s="19"/>
      <c r="RQD50" s="19"/>
      <c r="RQE50" s="19"/>
      <c r="RQF50" s="19"/>
      <c r="RQG50" s="19"/>
      <c r="RQH50" s="19"/>
      <c r="RQI50" s="19"/>
      <c r="RQJ50" s="19"/>
      <c r="RQK50" s="19"/>
      <c r="RQL50" s="19"/>
      <c r="RQM50" s="19"/>
      <c r="RQN50" s="19"/>
      <c r="RQO50" s="19"/>
      <c r="RQP50" s="19"/>
      <c r="RQQ50" s="19"/>
      <c r="RQR50" s="19"/>
      <c r="RQS50" s="19"/>
      <c r="RQT50" s="19"/>
      <c r="RQU50" s="19"/>
      <c r="RQV50" s="19"/>
      <c r="RQW50" s="19"/>
      <c r="RQX50" s="19"/>
      <c r="RQY50" s="19"/>
      <c r="RQZ50" s="19"/>
      <c r="RRA50" s="19"/>
      <c r="RRB50" s="19"/>
      <c r="RRC50" s="19"/>
      <c r="RRD50" s="19"/>
      <c r="RRE50" s="19"/>
      <c r="RRF50" s="19"/>
      <c r="RRG50" s="19"/>
      <c r="RRH50" s="19"/>
      <c r="RRI50" s="19"/>
      <c r="RRJ50" s="19"/>
      <c r="RRK50" s="19"/>
      <c r="RRL50" s="19"/>
      <c r="RRM50" s="19"/>
      <c r="RRN50" s="19"/>
      <c r="RRO50" s="19"/>
      <c r="RRP50" s="19"/>
      <c r="RRQ50" s="19"/>
      <c r="RRR50" s="19"/>
      <c r="RRS50" s="19"/>
      <c r="RRT50" s="19"/>
      <c r="RRU50" s="19"/>
      <c r="RRV50" s="19"/>
      <c r="RRW50" s="19"/>
      <c r="RRX50" s="19"/>
      <c r="RRY50" s="19"/>
      <c r="RRZ50" s="19"/>
      <c r="RSA50" s="19"/>
      <c r="RSB50" s="19"/>
      <c r="RSC50" s="19"/>
      <c r="RSD50" s="19"/>
      <c r="RSE50" s="19"/>
      <c r="RSF50" s="19"/>
      <c r="RSG50" s="19"/>
      <c r="RSH50" s="19"/>
      <c r="RSI50" s="19"/>
      <c r="RSJ50" s="19"/>
      <c r="RSK50" s="19"/>
      <c r="RSL50" s="19"/>
      <c r="RSM50" s="19"/>
      <c r="RSN50" s="19"/>
      <c r="RSO50" s="19"/>
      <c r="RSP50" s="19"/>
      <c r="RSQ50" s="19"/>
      <c r="RSR50" s="19"/>
      <c r="RSS50" s="19"/>
      <c r="RST50" s="19"/>
      <c r="RSU50" s="19"/>
      <c r="RSV50" s="19"/>
      <c r="RSW50" s="19"/>
      <c r="RSX50" s="19"/>
      <c r="RSY50" s="19"/>
      <c r="RSZ50" s="19"/>
      <c r="RTA50" s="19"/>
      <c r="RTB50" s="19"/>
      <c r="RTC50" s="19"/>
      <c r="RTD50" s="19"/>
      <c r="RTE50" s="19"/>
      <c r="RTF50" s="19"/>
      <c r="RTG50" s="19"/>
      <c r="RTH50" s="19"/>
      <c r="RTI50" s="19"/>
      <c r="RTJ50" s="19"/>
      <c r="RTK50" s="19"/>
      <c r="RTL50" s="19"/>
      <c r="RTM50" s="19"/>
      <c r="RTN50" s="19"/>
      <c r="RTO50" s="19"/>
      <c r="RTP50" s="19"/>
      <c r="RTQ50" s="19"/>
      <c r="RTR50" s="19"/>
      <c r="RTS50" s="19"/>
      <c r="RTT50" s="19"/>
      <c r="RTU50" s="19"/>
      <c r="RTV50" s="19"/>
      <c r="RTW50" s="19"/>
      <c r="RTX50" s="19"/>
      <c r="RTY50" s="19"/>
      <c r="RTZ50" s="19"/>
      <c r="RUA50" s="19"/>
      <c r="RUB50" s="19"/>
      <c r="RUC50" s="19"/>
      <c r="RUD50" s="19"/>
      <c r="RUE50" s="19"/>
      <c r="RUF50" s="19"/>
      <c r="RUG50" s="19"/>
      <c r="RUH50" s="19"/>
      <c r="RUI50" s="19"/>
      <c r="RUJ50" s="19"/>
      <c r="RUK50" s="19"/>
      <c r="RUL50" s="19"/>
      <c r="RUM50" s="19"/>
      <c r="RUN50" s="19"/>
      <c r="RUO50" s="19"/>
      <c r="RUP50" s="19"/>
      <c r="RUQ50" s="19"/>
      <c r="RUR50" s="19"/>
      <c r="RUS50" s="19"/>
      <c r="RUT50" s="19"/>
      <c r="RUU50" s="19"/>
      <c r="RUV50" s="19"/>
      <c r="RUW50" s="19"/>
      <c r="RUX50" s="19"/>
      <c r="RUY50" s="19"/>
      <c r="RUZ50" s="19"/>
      <c r="RVA50" s="19"/>
      <c r="RVB50" s="19"/>
      <c r="RVC50" s="19"/>
      <c r="RVD50" s="19"/>
      <c r="RVE50" s="19"/>
      <c r="RVF50" s="19"/>
      <c r="RVG50" s="19"/>
      <c r="RVH50" s="19"/>
      <c r="RVI50" s="19"/>
      <c r="RVJ50" s="19"/>
      <c r="RVK50" s="19"/>
      <c r="RVL50" s="19"/>
      <c r="RVM50" s="19"/>
      <c r="RVN50" s="19"/>
      <c r="RVO50" s="19"/>
      <c r="RVP50" s="19"/>
      <c r="RVQ50" s="19"/>
      <c r="RVR50" s="19"/>
      <c r="RVS50" s="19"/>
      <c r="RVT50" s="19"/>
      <c r="RVU50" s="19"/>
      <c r="RVV50" s="19"/>
      <c r="RVW50" s="19"/>
      <c r="RVX50" s="19"/>
      <c r="RVY50" s="19"/>
      <c r="RVZ50" s="19"/>
      <c r="RWA50" s="19"/>
      <c r="RWB50" s="19"/>
      <c r="RWC50" s="19"/>
      <c r="RWD50" s="19"/>
      <c r="RWE50" s="19"/>
      <c r="RWF50" s="19"/>
      <c r="RWG50" s="19"/>
      <c r="RWH50" s="19"/>
      <c r="RWI50" s="19"/>
      <c r="RWJ50" s="19"/>
      <c r="RWK50" s="19"/>
      <c r="RWL50" s="19"/>
      <c r="RWM50" s="19"/>
      <c r="RWN50" s="19"/>
      <c r="RWO50" s="19"/>
      <c r="RWP50" s="19"/>
      <c r="RWQ50" s="19"/>
      <c r="RWR50" s="19"/>
      <c r="RWS50" s="19"/>
      <c r="RWT50" s="19"/>
      <c r="RWU50" s="19"/>
      <c r="RWV50" s="19"/>
      <c r="RWW50" s="19"/>
      <c r="RWX50" s="19"/>
      <c r="RWY50" s="19"/>
      <c r="RWZ50" s="19"/>
      <c r="RXA50" s="19"/>
      <c r="RXB50" s="19"/>
      <c r="RXC50" s="19"/>
      <c r="RXD50" s="19"/>
      <c r="RXE50" s="19"/>
      <c r="RXF50" s="19"/>
      <c r="RXG50" s="19"/>
      <c r="RXH50" s="19"/>
      <c r="RXI50" s="19"/>
      <c r="RXJ50" s="19"/>
      <c r="RXK50" s="19"/>
      <c r="RXL50" s="19"/>
      <c r="RXM50" s="19"/>
      <c r="RXN50" s="19"/>
      <c r="RXO50" s="19"/>
      <c r="RXP50" s="19"/>
      <c r="RXQ50" s="19"/>
      <c r="RXR50" s="19"/>
      <c r="RXS50" s="19"/>
      <c r="RXT50" s="19"/>
      <c r="RXU50" s="19"/>
      <c r="RXV50" s="19"/>
      <c r="RXW50" s="19"/>
      <c r="RXX50" s="19"/>
      <c r="RXY50" s="19"/>
      <c r="RXZ50" s="19"/>
      <c r="RYA50" s="19"/>
      <c r="RYB50" s="19"/>
      <c r="RYC50" s="19"/>
      <c r="RYD50" s="19"/>
      <c r="RYE50" s="19"/>
      <c r="RYF50" s="19"/>
      <c r="RYG50" s="19"/>
      <c r="RYH50" s="19"/>
      <c r="RYI50" s="19"/>
      <c r="RYJ50" s="19"/>
      <c r="RYK50" s="19"/>
      <c r="RYL50" s="19"/>
      <c r="RYM50" s="19"/>
      <c r="RYN50" s="19"/>
      <c r="RYO50" s="19"/>
      <c r="RYP50" s="19"/>
      <c r="RYQ50" s="19"/>
      <c r="RYR50" s="19"/>
      <c r="RYS50" s="19"/>
      <c r="RYT50" s="19"/>
      <c r="RYU50" s="19"/>
      <c r="RYV50" s="19"/>
      <c r="RYW50" s="19"/>
      <c r="RYX50" s="19"/>
      <c r="RYY50" s="19"/>
      <c r="RYZ50" s="19"/>
      <c r="RZA50" s="19"/>
      <c r="RZB50" s="19"/>
      <c r="RZC50" s="19"/>
      <c r="RZD50" s="19"/>
      <c r="RZE50" s="19"/>
      <c r="RZF50" s="19"/>
      <c r="RZG50" s="19"/>
      <c r="RZH50" s="19"/>
      <c r="RZI50" s="19"/>
      <c r="RZJ50" s="19"/>
      <c r="RZK50" s="19"/>
      <c r="RZL50" s="19"/>
      <c r="RZM50" s="19"/>
      <c r="RZN50" s="19"/>
      <c r="RZO50" s="19"/>
      <c r="RZP50" s="19"/>
      <c r="RZQ50" s="19"/>
      <c r="RZR50" s="19"/>
      <c r="RZS50" s="19"/>
      <c r="RZT50" s="19"/>
      <c r="RZU50" s="19"/>
      <c r="RZV50" s="19"/>
      <c r="RZW50" s="19"/>
      <c r="RZX50" s="19"/>
      <c r="RZY50" s="19"/>
      <c r="RZZ50" s="19"/>
      <c r="SAA50" s="19"/>
      <c r="SAB50" s="19"/>
      <c r="SAC50" s="19"/>
      <c r="SAD50" s="19"/>
      <c r="SAE50" s="19"/>
      <c r="SAF50" s="19"/>
      <c r="SAG50" s="19"/>
      <c r="SAH50" s="19"/>
      <c r="SAI50" s="19"/>
      <c r="SAJ50" s="19"/>
      <c r="SAK50" s="19"/>
      <c r="SAL50" s="19"/>
      <c r="SAM50" s="19"/>
      <c r="SAN50" s="19"/>
      <c r="SAO50" s="19"/>
      <c r="SAP50" s="19"/>
      <c r="SAQ50" s="19"/>
      <c r="SAR50" s="19"/>
      <c r="SAS50" s="19"/>
      <c r="SAT50" s="19"/>
      <c r="SAU50" s="19"/>
      <c r="SAV50" s="19"/>
      <c r="SAW50" s="19"/>
      <c r="SAX50" s="19"/>
      <c r="SAY50" s="19"/>
      <c r="SAZ50" s="19"/>
      <c r="SBA50" s="19"/>
      <c r="SBB50" s="19"/>
      <c r="SBC50" s="19"/>
      <c r="SBD50" s="19"/>
      <c r="SBE50" s="19"/>
      <c r="SBF50" s="19"/>
      <c r="SBG50" s="19"/>
      <c r="SBH50" s="19"/>
      <c r="SBI50" s="19"/>
      <c r="SBJ50" s="19"/>
      <c r="SBK50" s="19"/>
      <c r="SBL50" s="19"/>
      <c r="SBM50" s="19"/>
      <c r="SBN50" s="19"/>
      <c r="SBO50" s="19"/>
      <c r="SBP50" s="19"/>
      <c r="SBQ50" s="19"/>
      <c r="SBR50" s="19"/>
      <c r="SBS50" s="19"/>
      <c r="SBT50" s="19"/>
      <c r="SBU50" s="19"/>
      <c r="SBV50" s="19"/>
      <c r="SBW50" s="19"/>
      <c r="SBX50" s="19"/>
      <c r="SBY50" s="19"/>
      <c r="SBZ50" s="19"/>
      <c r="SCA50" s="19"/>
      <c r="SCB50" s="19"/>
      <c r="SCC50" s="19"/>
      <c r="SCD50" s="19"/>
      <c r="SCE50" s="19"/>
      <c r="SCF50" s="19"/>
      <c r="SCG50" s="19"/>
      <c r="SCH50" s="19"/>
      <c r="SCI50" s="19"/>
      <c r="SCJ50" s="19"/>
      <c r="SCK50" s="19"/>
      <c r="SCL50" s="19"/>
      <c r="SCM50" s="19"/>
      <c r="SCN50" s="19"/>
      <c r="SCO50" s="19"/>
      <c r="SCP50" s="19"/>
      <c r="SCQ50" s="19"/>
      <c r="SCR50" s="19"/>
      <c r="SCS50" s="19"/>
      <c r="SCT50" s="19"/>
      <c r="SCU50" s="19"/>
      <c r="SCV50" s="19"/>
      <c r="SCW50" s="19"/>
      <c r="SCX50" s="19"/>
      <c r="SCY50" s="19"/>
      <c r="SCZ50" s="19"/>
      <c r="SDA50" s="19"/>
      <c r="SDB50" s="19"/>
      <c r="SDC50" s="19"/>
      <c r="SDD50" s="19"/>
      <c r="SDE50" s="19"/>
      <c r="SDF50" s="19"/>
      <c r="SDG50" s="19"/>
      <c r="SDH50" s="19"/>
      <c r="SDI50" s="19"/>
      <c r="SDJ50" s="19"/>
      <c r="SDK50" s="19"/>
      <c r="SDL50" s="19"/>
      <c r="SDM50" s="19"/>
      <c r="SDN50" s="19"/>
      <c r="SDO50" s="19"/>
      <c r="SDP50" s="19"/>
      <c r="SDQ50" s="19"/>
      <c r="SDR50" s="19"/>
      <c r="SDS50" s="19"/>
      <c r="SDT50" s="19"/>
      <c r="SDU50" s="19"/>
      <c r="SDV50" s="19"/>
      <c r="SDW50" s="19"/>
      <c r="SDX50" s="19"/>
      <c r="SDY50" s="19"/>
      <c r="SDZ50" s="19"/>
      <c r="SEA50" s="19"/>
      <c r="SEB50" s="19"/>
      <c r="SEC50" s="19"/>
      <c r="SED50" s="19"/>
      <c r="SEE50" s="19"/>
      <c r="SEF50" s="19"/>
      <c r="SEG50" s="19"/>
      <c r="SEH50" s="19"/>
      <c r="SEI50" s="19"/>
      <c r="SEJ50" s="19"/>
      <c r="SEK50" s="19"/>
      <c r="SEL50" s="19"/>
      <c r="SEM50" s="19"/>
      <c r="SEN50" s="19"/>
      <c r="SEO50" s="19"/>
      <c r="SEP50" s="19"/>
      <c r="SEQ50" s="19"/>
      <c r="SER50" s="19"/>
      <c r="SES50" s="19"/>
      <c r="SET50" s="19"/>
      <c r="SEU50" s="19"/>
      <c r="SEV50" s="19"/>
      <c r="SEW50" s="19"/>
      <c r="SEX50" s="19"/>
      <c r="SEY50" s="19"/>
      <c r="SEZ50" s="19"/>
      <c r="SFA50" s="19"/>
      <c r="SFB50" s="19"/>
      <c r="SFC50" s="19"/>
      <c r="SFD50" s="19"/>
      <c r="SFE50" s="19"/>
      <c r="SFF50" s="19"/>
      <c r="SFG50" s="19"/>
      <c r="SFH50" s="19"/>
      <c r="SFI50" s="19"/>
      <c r="SFJ50" s="19"/>
      <c r="SFK50" s="19"/>
      <c r="SFL50" s="19"/>
      <c r="SFM50" s="19"/>
      <c r="SFN50" s="19"/>
      <c r="SFO50" s="19"/>
      <c r="SFP50" s="19"/>
      <c r="SFQ50" s="19"/>
      <c r="SFR50" s="19"/>
      <c r="SFS50" s="19"/>
      <c r="SFT50" s="19"/>
      <c r="SFU50" s="19"/>
      <c r="SFV50" s="19"/>
      <c r="SFW50" s="19"/>
      <c r="SFX50" s="19"/>
      <c r="SFY50" s="19"/>
      <c r="SFZ50" s="19"/>
      <c r="SGA50" s="19"/>
      <c r="SGB50" s="19"/>
      <c r="SGC50" s="19"/>
      <c r="SGD50" s="19"/>
      <c r="SGE50" s="19"/>
      <c r="SGF50" s="19"/>
      <c r="SGG50" s="19"/>
      <c r="SGH50" s="19"/>
      <c r="SGI50" s="19"/>
      <c r="SGJ50" s="19"/>
      <c r="SGK50" s="19"/>
      <c r="SGL50" s="19"/>
      <c r="SGM50" s="19"/>
      <c r="SGN50" s="19"/>
      <c r="SGO50" s="19"/>
      <c r="SGP50" s="19"/>
      <c r="SGQ50" s="19"/>
      <c r="SGR50" s="19"/>
      <c r="SGS50" s="19"/>
      <c r="SGT50" s="19"/>
      <c r="SGU50" s="19"/>
      <c r="SGV50" s="19"/>
      <c r="SGW50" s="19"/>
      <c r="SGX50" s="19"/>
      <c r="SGY50" s="19"/>
      <c r="SGZ50" s="19"/>
      <c r="SHA50" s="19"/>
      <c r="SHB50" s="19"/>
      <c r="SHC50" s="19"/>
      <c r="SHD50" s="19"/>
      <c r="SHE50" s="19"/>
      <c r="SHF50" s="19"/>
      <c r="SHG50" s="19"/>
      <c r="SHH50" s="19"/>
      <c r="SHI50" s="19"/>
      <c r="SHJ50" s="19"/>
      <c r="SHK50" s="19"/>
      <c r="SHL50" s="19"/>
      <c r="SHM50" s="19"/>
      <c r="SHN50" s="19"/>
      <c r="SHO50" s="19"/>
      <c r="SHP50" s="19"/>
      <c r="SHQ50" s="19"/>
      <c r="SHR50" s="19"/>
      <c r="SHS50" s="19"/>
      <c r="SHT50" s="19"/>
      <c r="SHU50" s="19"/>
      <c r="SHV50" s="19"/>
      <c r="SHW50" s="19"/>
      <c r="SHX50" s="19"/>
      <c r="SHY50" s="19"/>
      <c r="SHZ50" s="19"/>
      <c r="SIA50" s="19"/>
      <c r="SIB50" s="19"/>
      <c r="SIC50" s="19"/>
      <c r="SID50" s="19"/>
      <c r="SIE50" s="19"/>
      <c r="SIF50" s="19"/>
      <c r="SIG50" s="19"/>
      <c r="SIH50" s="19"/>
      <c r="SII50" s="19"/>
      <c r="SIJ50" s="19"/>
      <c r="SIK50" s="19"/>
      <c r="SIL50" s="19"/>
      <c r="SIM50" s="19"/>
      <c r="SIN50" s="19"/>
      <c r="SIO50" s="19"/>
      <c r="SIP50" s="19"/>
      <c r="SIQ50" s="19"/>
      <c r="SIR50" s="19"/>
      <c r="SIS50" s="19"/>
      <c r="SIT50" s="19"/>
      <c r="SIU50" s="19"/>
      <c r="SIV50" s="19"/>
      <c r="SIW50" s="19"/>
      <c r="SIX50" s="19"/>
      <c r="SIY50" s="19"/>
      <c r="SIZ50" s="19"/>
      <c r="SJA50" s="19"/>
      <c r="SJB50" s="19"/>
      <c r="SJC50" s="19"/>
      <c r="SJD50" s="19"/>
      <c r="SJE50" s="19"/>
      <c r="SJF50" s="19"/>
      <c r="SJG50" s="19"/>
      <c r="SJH50" s="19"/>
      <c r="SJI50" s="19"/>
      <c r="SJJ50" s="19"/>
      <c r="SJK50" s="19"/>
      <c r="SJL50" s="19"/>
      <c r="SJM50" s="19"/>
      <c r="SJN50" s="19"/>
      <c r="SJO50" s="19"/>
      <c r="SJP50" s="19"/>
      <c r="SJQ50" s="19"/>
      <c r="SJR50" s="19"/>
      <c r="SJS50" s="19"/>
      <c r="SJT50" s="19"/>
      <c r="SJU50" s="19"/>
      <c r="SJV50" s="19"/>
      <c r="SJW50" s="19"/>
      <c r="SJX50" s="19"/>
      <c r="SJY50" s="19"/>
      <c r="SJZ50" s="19"/>
      <c r="SKA50" s="19"/>
      <c r="SKB50" s="19"/>
      <c r="SKC50" s="19"/>
      <c r="SKD50" s="19"/>
      <c r="SKE50" s="19"/>
      <c r="SKF50" s="19"/>
      <c r="SKG50" s="19"/>
      <c r="SKH50" s="19"/>
      <c r="SKI50" s="19"/>
      <c r="SKJ50" s="19"/>
      <c r="SKK50" s="19"/>
      <c r="SKL50" s="19"/>
      <c r="SKM50" s="19"/>
      <c r="SKN50" s="19"/>
      <c r="SKO50" s="19"/>
      <c r="SKP50" s="19"/>
      <c r="SKQ50" s="19"/>
      <c r="SKR50" s="19"/>
      <c r="SKS50" s="19"/>
      <c r="SKT50" s="19"/>
      <c r="SKU50" s="19"/>
      <c r="SKV50" s="19"/>
      <c r="SKW50" s="19"/>
      <c r="SKX50" s="19"/>
      <c r="SKY50" s="19"/>
      <c r="SKZ50" s="19"/>
      <c r="SLA50" s="19"/>
      <c r="SLB50" s="19"/>
      <c r="SLC50" s="19"/>
      <c r="SLD50" s="19"/>
      <c r="SLE50" s="19"/>
      <c r="SLF50" s="19"/>
      <c r="SLG50" s="19"/>
      <c r="SLH50" s="19"/>
      <c r="SLI50" s="19"/>
      <c r="SLJ50" s="19"/>
      <c r="SLK50" s="19"/>
      <c r="SLL50" s="19"/>
      <c r="SLM50" s="19"/>
      <c r="SLN50" s="19"/>
      <c r="SLO50" s="19"/>
      <c r="SLP50" s="19"/>
      <c r="SLQ50" s="19"/>
      <c r="SLR50" s="19"/>
      <c r="SLS50" s="19"/>
      <c r="SLT50" s="19"/>
      <c r="SLU50" s="19"/>
      <c r="SLV50" s="19"/>
      <c r="SLW50" s="19"/>
      <c r="SLX50" s="19"/>
      <c r="SLY50" s="19"/>
      <c r="SLZ50" s="19"/>
      <c r="SMA50" s="19"/>
      <c r="SMB50" s="19"/>
      <c r="SMC50" s="19"/>
      <c r="SMD50" s="19"/>
      <c r="SME50" s="19"/>
      <c r="SMF50" s="19"/>
      <c r="SMG50" s="19"/>
      <c r="SMH50" s="19"/>
      <c r="SMI50" s="19"/>
      <c r="SMJ50" s="19"/>
      <c r="SMK50" s="19"/>
      <c r="SML50" s="19"/>
      <c r="SMM50" s="19"/>
      <c r="SMN50" s="19"/>
      <c r="SMO50" s="19"/>
      <c r="SMP50" s="19"/>
      <c r="SMQ50" s="19"/>
      <c r="SMR50" s="19"/>
      <c r="SMS50" s="19"/>
      <c r="SMT50" s="19"/>
      <c r="SMU50" s="19"/>
      <c r="SMV50" s="19"/>
      <c r="SMW50" s="19"/>
      <c r="SMX50" s="19"/>
      <c r="SMY50" s="19"/>
      <c r="SMZ50" s="19"/>
      <c r="SNA50" s="19"/>
      <c r="SNB50" s="19"/>
      <c r="SNC50" s="19"/>
      <c r="SND50" s="19"/>
      <c r="SNE50" s="19"/>
      <c r="SNF50" s="19"/>
      <c r="SNG50" s="19"/>
      <c r="SNH50" s="19"/>
      <c r="SNI50" s="19"/>
      <c r="SNJ50" s="19"/>
      <c r="SNK50" s="19"/>
      <c r="SNL50" s="19"/>
      <c r="SNM50" s="19"/>
      <c r="SNN50" s="19"/>
      <c r="SNO50" s="19"/>
      <c r="SNP50" s="19"/>
      <c r="SNQ50" s="19"/>
      <c r="SNR50" s="19"/>
      <c r="SNS50" s="19"/>
      <c r="SNT50" s="19"/>
      <c r="SNU50" s="19"/>
      <c r="SNV50" s="19"/>
      <c r="SNW50" s="19"/>
      <c r="SNX50" s="19"/>
      <c r="SNY50" s="19"/>
      <c r="SNZ50" s="19"/>
      <c r="SOA50" s="19"/>
      <c r="SOB50" s="19"/>
      <c r="SOC50" s="19"/>
      <c r="SOD50" s="19"/>
      <c r="SOE50" s="19"/>
      <c r="SOF50" s="19"/>
      <c r="SOG50" s="19"/>
      <c r="SOH50" s="19"/>
      <c r="SOI50" s="19"/>
      <c r="SOJ50" s="19"/>
      <c r="SOK50" s="19"/>
      <c r="SOL50" s="19"/>
      <c r="SOM50" s="19"/>
      <c r="SON50" s="19"/>
      <c r="SOO50" s="19"/>
      <c r="SOP50" s="19"/>
      <c r="SOQ50" s="19"/>
      <c r="SOR50" s="19"/>
      <c r="SOS50" s="19"/>
      <c r="SOT50" s="19"/>
      <c r="SOU50" s="19"/>
      <c r="SOV50" s="19"/>
      <c r="SOW50" s="19"/>
      <c r="SOX50" s="19"/>
      <c r="SOY50" s="19"/>
      <c r="SOZ50" s="19"/>
      <c r="SPA50" s="19"/>
      <c r="SPB50" s="19"/>
      <c r="SPC50" s="19"/>
      <c r="SPD50" s="19"/>
      <c r="SPE50" s="19"/>
      <c r="SPF50" s="19"/>
      <c r="SPG50" s="19"/>
      <c r="SPH50" s="19"/>
      <c r="SPI50" s="19"/>
      <c r="SPJ50" s="19"/>
      <c r="SPK50" s="19"/>
      <c r="SPL50" s="19"/>
      <c r="SPM50" s="19"/>
      <c r="SPN50" s="19"/>
      <c r="SPO50" s="19"/>
      <c r="SPP50" s="19"/>
      <c r="SPQ50" s="19"/>
      <c r="SPR50" s="19"/>
      <c r="SPS50" s="19"/>
      <c r="SPT50" s="19"/>
      <c r="SPU50" s="19"/>
      <c r="SPV50" s="19"/>
      <c r="SPW50" s="19"/>
      <c r="SPX50" s="19"/>
      <c r="SPY50" s="19"/>
      <c r="SPZ50" s="19"/>
      <c r="SQA50" s="19"/>
      <c r="SQB50" s="19"/>
      <c r="SQC50" s="19"/>
      <c r="SQD50" s="19"/>
      <c r="SQE50" s="19"/>
      <c r="SQF50" s="19"/>
      <c r="SQG50" s="19"/>
      <c r="SQH50" s="19"/>
      <c r="SQI50" s="19"/>
      <c r="SQJ50" s="19"/>
      <c r="SQK50" s="19"/>
      <c r="SQL50" s="19"/>
      <c r="SQM50" s="19"/>
      <c r="SQN50" s="19"/>
      <c r="SQO50" s="19"/>
      <c r="SQP50" s="19"/>
      <c r="SQQ50" s="19"/>
      <c r="SQR50" s="19"/>
      <c r="SQS50" s="19"/>
      <c r="SQT50" s="19"/>
      <c r="SQU50" s="19"/>
      <c r="SQV50" s="19"/>
      <c r="SQW50" s="19"/>
      <c r="SQX50" s="19"/>
      <c r="SQY50" s="19"/>
      <c r="SQZ50" s="19"/>
      <c r="SRA50" s="19"/>
      <c r="SRB50" s="19"/>
      <c r="SRC50" s="19"/>
      <c r="SRD50" s="19"/>
      <c r="SRE50" s="19"/>
      <c r="SRF50" s="19"/>
      <c r="SRG50" s="19"/>
      <c r="SRH50" s="19"/>
      <c r="SRI50" s="19"/>
      <c r="SRJ50" s="19"/>
      <c r="SRK50" s="19"/>
      <c r="SRL50" s="19"/>
      <c r="SRM50" s="19"/>
      <c r="SRN50" s="19"/>
      <c r="SRO50" s="19"/>
      <c r="SRP50" s="19"/>
      <c r="SRQ50" s="19"/>
      <c r="SRR50" s="19"/>
      <c r="SRS50" s="19"/>
      <c r="SRT50" s="19"/>
      <c r="SRU50" s="19"/>
      <c r="SRV50" s="19"/>
      <c r="SRW50" s="19"/>
      <c r="SRX50" s="19"/>
      <c r="SRY50" s="19"/>
      <c r="SRZ50" s="19"/>
      <c r="SSA50" s="19"/>
      <c r="SSB50" s="19"/>
      <c r="SSC50" s="19"/>
      <c r="SSD50" s="19"/>
      <c r="SSE50" s="19"/>
      <c r="SSF50" s="19"/>
      <c r="SSG50" s="19"/>
      <c r="SSH50" s="19"/>
      <c r="SSI50" s="19"/>
      <c r="SSJ50" s="19"/>
      <c r="SSK50" s="19"/>
      <c r="SSL50" s="19"/>
      <c r="SSM50" s="19"/>
      <c r="SSN50" s="19"/>
      <c r="SSO50" s="19"/>
      <c r="SSP50" s="19"/>
      <c r="SSQ50" s="19"/>
      <c r="SSR50" s="19"/>
      <c r="SSS50" s="19"/>
      <c r="SST50" s="19"/>
      <c r="SSU50" s="19"/>
      <c r="SSV50" s="19"/>
      <c r="SSW50" s="19"/>
      <c r="SSX50" s="19"/>
      <c r="SSY50" s="19"/>
      <c r="SSZ50" s="19"/>
      <c r="STA50" s="19"/>
      <c r="STB50" s="19"/>
      <c r="STC50" s="19"/>
      <c r="STD50" s="19"/>
      <c r="STE50" s="19"/>
      <c r="STF50" s="19"/>
      <c r="STG50" s="19"/>
      <c r="STH50" s="19"/>
      <c r="STI50" s="19"/>
      <c r="STJ50" s="19"/>
      <c r="STK50" s="19"/>
      <c r="STL50" s="19"/>
      <c r="STM50" s="19"/>
      <c r="STN50" s="19"/>
      <c r="STO50" s="19"/>
      <c r="STP50" s="19"/>
      <c r="STQ50" s="19"/>
      <c r="STR50" s="19"/>
      <c r="STS50" s="19"/>
      <c r="STT50" s="19"/>
      <c r="STU50" s="19"/>
      <c r="STV50" s="19"/>
      <c r="STW50" s="19"/>
      <c r="STX50" s="19"/>
      <c r="STY50" s="19"/>
      <c r="STZ50" s="19"/>
      <c r="SUA50" s="19"/>
      <c r="SUB50" s="19"/>
      <c r="SUC50" s="19"/>
      <c r="SUD50" s="19"/>
      <c r="SUE50" s="19"/>
      <c r="SUF50" s="19"/>
      <c r="SUG50" s="19"/>
      <c r="SUH50" s="19"/>
      <c r="SUI50" s="19"/>
      <c r="SUJ50" s="19"/>
      <c r="SUK50" s="19"/>
      <c r="SUL50" s="19"/>
      <c r="SUM50" s="19"/>
      <c r="SUN50" s="19"/>
      <c r="SUO50" s="19"/>
      <c r="SUP50" s="19"/>
      <c r="SUQ50" s="19"/>
      <c r="SUR50" s="19"/>
      <c r="SUS50" s="19"/>
      <c r="SUT50" s="19"/>
      <c r="SUU50" s="19"/>
      <c r="SUV50" s="19"/>
      <c r="SUW50" s="19"/>
      <c r="SUX50" s="19"/>
      <c r="SUY50" s="19"/>
      <c r="SUZ50" s="19"/>
      <c r="SVA50" s="19"/>
      <c r="SVB50" s="19"/>
      <c r="SVC50" s="19"/>
      <c r="SVD50" s="19"/>
      <c r="SVE50" s="19"/>
      <c r="SVF50" s="19"/>
      <c r="SVG50" s="19"/>
      <c r="SVH50" s="19"/>
      <c r="SVI50" s="19"/>
      <c r="SVJ50" s="19"/>
      <c r="SVK50" s="19"/>
      <c r="SVL50" s="19"/>
      <c r="SVM50" s="19"/>
      <c r="SVN50" s="19"/>
      <c r="SVO50" s="19"/>
      <c r="SVP50" s="19"/>
      <c r="SVQ50" s="19"/>
      <c r="SVR50" s="19"/>
      <c r="SVS50" s="19"/>
      <c r="SVT50" s="19"/>
      <c r="SVU50" s="19"/>
      <c r="SVV50" s="19"/>
      <c r="SVW50" s="19"/>
      <c r="SVX50" s="19"/>
      <c r="SVY50" s="19"/>
      <c r="SVZ50" s="19"/>
      <c r="SWA50" s="19"/>
      <c r="SWB50" s="19"/>
      <c r="SWC50" s="19"/>
      <c r="SWD50" s="19"/>
      <c r="SWE50" s="19"/>
      <c r="SWF50" s="19"/>
      <c r="SWG50" s="19"/>
      <c r="SWH50" s="19"/>
      <c r="SWI50" s="19"/>
      <c r="SWJ50" s="19"/>
      <c r="SWK50" s="19"/>
      <c r="SWL50" s="19"/>
      <c r="SWM50" s="19"/>
      <c r="SWN50" s="19"/>
      <c r="SWO50" s="19"/>
      <c r="SWP50" s="19"/>
      <c r="SWQ50" s="19"/>
      <c r="SWR50" s="19"/>
      <c r="SWS50" s="19"/>
      <c r="SWT50" s="19"/>
      <c r="SWU50" s="19"/>
      <c r="SWV50" s="19"/>
      <c r="SWW50" s="19"/>
      <c r="SWX50" s="19"/>
      <c r="SWY50" s="19"/>
      <c r="SWZ50" s="19"/>
      <c r="SXA50" s="19"/>
      <c r="SXB50" s="19"/>
      <c r="SXC50" s="19"/>
      <c r="SXD50" s="19"/>
      <c r="SXE50" s="19"/>
      <c r="SXF50" s="19"/>
      <c r="SXG50" s="19"/>
      <c r="SXH50" s="19"/>
      <c r="SXI50" s="19"/>
      <c r="SXJ50" s="19"/>
      <c r="SXK50" s="19"/>
      <c r="SXL50" s="19"/>
      <c r="SXM50" s="19"/>
      <c r="SXN50" s="19"/>
      <c r="SXO50" s="19"/>
      <c r="SXP50" s="19"/>
      <c r="SXQ50" s="19"/>
      <c r="SXR50" s="19"/>
      <c r="SXS50" s="19"/>
      <c r="SXT50" s="19"/>
      <c r="SXU50" s="19"/>
      <c r="SXV50" s="19"/>
      <c r="SXW50" s="19"/>
      <c r="SXX50" s="19"/>
      <c r="SXY50" s="19"/>
      <c r="SXZ50" s="19"/>
      <c r="SYA50" s="19"/>
      <c r="SYB50" s="19"/>
      <c r="SYC50" s="19"/>
      <c r="SYD50" s="19"/>
      <c r="SYE50" s="19"/>
      <c r="SYF50" s="19"/>
      <c r="SYG50" s="19"/>
      <c r="SYH50" s="19"/>
      <c r="SYI50" s="19"/>
      <c r="SYJ50" s="19"/>
      <c r="SYK50" s="19"/>
      <c r="SYL50" s="19"/>
      <c r="SYM50" s="19"/>
      <c r="SYN50" s="19"/>
      <c r="SYO50" s="19"/>
      <c r="SYP50" s="19"/>
      <c r="SYQ50" s="19"/>
      <c r="SYR50" s="19"/>
      <c r="SYS50" s="19"/>
      <c r="SYT50" s="19"/>
      <c r="SYU50" s="19"/>
      <c r="SYV50" s="19"/>
      <c r="SYW50" s="19"/>
      <c r="SYX50" s="19"/>
      <c r="SYY50" s="19"/>
      <c r="SYZ50" s="19"/>
      <c r="SZA50" s="19"/>
      <c r="SZB50" s="19"/>
      <c r="SZC50" s="19"/>
      <c r="SZD50" s="19"/>
      <c r="SZE50" s="19"/>
      <c r="SZF50" s="19"/>
      <c r="SZG50" s="19"/>
      <c r="SZH50" s="19"/>
      <c r="SZI50" s="19"/>
      <c r="SZJ50" s="19"/>
      <c r="SZK50" s="19"/>
      <c r="SZL50" s="19"/>
      <c r="SZM50" s="19"/>
      <c r="SZN50" s="19"/>
      <c r="SZO50" s="19"/>
      <c r="SZP50" s="19"/>
      <c r="SZQ50" s="19"/>
      <c r="SZR50" s="19"/>
      <c r="SZS50" s="19"/>
      <c r="SZT50" s="19"/>
      <c r="SZU50" s="19"/>
      <c r="SZV50" s="19"/>
      <c r="SZW50" s="19"/>
      <c r="SZX50" s="19"/>
      <c r="SZY50" s="19"/>
      <c r="SZZ50" s="19"/>
      <c r="TAA50" s="19"/>
      <c r="TAB50" s="19"/>
      <c r="TAC50" s="19"/>
      <c r="TAD50" s="19"/>
      <c r="TAE50" s="19"/>
      <c r="TAF50" s="19"/>
      <c r="TAG50" s="19"/>
      <c r="TAH50" s="19"/>
      <c r="TAI50" s="19"/>
      <c r="TAJ50" s="19"/>
      <c r="TAK50" s="19"/>
      <c r="TAL50" s="19"/>
      <c r="TAM50" s="19"/>
      <c r="TAN50" s="19"/>
      <c r="TAO50" s="19"/>
      <c r="TAP50" s="19"/>
      <c r="TAQ50" s="19"/>
      <c r="TAR50" s="19"/>
      <c r="TAS50" s="19"/>
      <c r="TAT50" s="19"/>
      <c r="TAU50" s="19"/>
      <c r="TAV50" s="19"/>
      <c r="TAW50" s="19"/>
      <c r="TAX50" s="19"/>
      <c r="TAY50" s="19"/>
      <c r="TAZ50" s="19"/>
      <c r="TBA50" s="19"/>
      <c r="TBB50" s="19"/>
      <c r="TBC50" s="19"/>
      <c r="TBD50" s="19"/>
      <c r="TBE50" s="19"/>
      <c r="TBF50" s="19"/>
      <c r="TBG50" s="19"/>
      <c r="TBH50" s="19"/>
      <c r="TBI50" s="19"/>
      <c r="TBJ50" s="19"/>
      <c r="TBK50" s="19"/>
      <c r="TBL50" s="19"/>
      <c r="TBM50" s="19"/>
      <c r="TBN50" s="19"/>
      <c r="TBO50" s="19"/>
      <c r="TBP50" s="19"/>
      <c r="TBQ50" s="19"/>
      <c r="TBR50" s="19"/>
      <c r="TBS50" s="19"/>
      <c r="TBT50" s="19"/>
      <c r="TBU50" s="19"/>
      <c r="TBV50" s="19"/>
      <c r="TBW50" s="19"/>
      <c r="TBX50" s="19"/>
      <c r="TBY50" s="19"/>
      <c r="TBZ50" s="19"/>
      <c r="TCA50" s="19"/>
      <c r="TCB50" s="19"/>
      <c r="TCC50" s="19"/>
      <c r="TCD50" s="19"/>
      <c r="TCE50" s="19"/>
      <c r="TCF50" s="19"/>
      <c r="TCG50" s="19"/>
      <c r="TCH50" s="19"/>
      <c r="TCI50" s="19"/>
      <c r="TCJ50" s="19"/>
      <c r="TCK50" s="19"/>
      <c r="TCL50" s="19"/>
      <c r="TCM50" s="19"/>
      <c r="TCN50" s="19"/>
      <c r="TCO50" s="19"/>
      <c r="TCP50" s="19"/>
      <c r="TCQ50" s="19"/>
      <c r="TCR50" s="19"/>
      <c r="TCS50" s="19"/>
      <c r="TCT50" s="19"/>
      <c r="TCU50" s="19"/>
      <c r="TCV50" s="19"/>
      <c r="TCW50" s="19"/>
      <c r="TCX50" s="19"/>
      <c r="TCY50" s="19"/>
      <c r="TCZ50" s="19"/>
      <c r="TDA50" s="19"/>
      <c r="TDB50" s="19"/>
      <c r="TDC50" s="19"/>
      <c r="TDD50" s="19"/>
      <c r="TDE50" s="19"/>
      <c r="TDF50" s="19"/>
      <c r="TDG50" s="19"/>
      <c r="TDH50" s="19"/>
      <c r="TDI50" s="19"/>
      <c r="TDJ50" s="19"/>
      <c r="TDK50" s="19"/>
      <c r="TDL50" s="19"/>
      <c r="TDM50" s="19"/>
      <c r="TDN50" s="19"/>
      <c r="TDO50" s="19"/>
      <c r="TDP50" s="19"/>
      <c r="TDQ50" s="19"/>
      <c r="TDR50" s="19"/>
      <c r="TDS50" s="19"/>
      <c r="TDT50" s="19"/>
      <c r="TDU50" s="19"/>
      <c r="TDV50" s="19"/>
      <c r="TDW50" s="19"/>
      <c r="TDX50" s="19"/>
      <c r="TDY50" s="19"/>
      <c r="TDZ50" s="19"/>
      <c r="TEA50" s="19"/>
      <c r="TEB50" s="19"/>
      <c r="TEC50" s="19"/>
      <c r="TED50" s="19"/>
      <c r="TEE50" s="19"/>
      <c r="TEF50" s="19"/>
      <c r="TEG50" s="19"/>
      <c r="TEH50" s="19"/>
      <c r="TEI50" s="19"/>
      <c r="TEJ50" s="19"/>
      <c r="TEK50" s="19"/>
      <c r="TEL50" s="19"/>
      <c r="TEM50" s="19"/>
      <c r="TEN50" s="19"/>
      <c r="TEO50" s="19"/>
      <c r="TEP50" s="19"/>
      <c r="TEQ50" s="19"/>
      <c r="TER50" s="19"/>
      <c r="TES50" s="19"/>
      <c r="TET50" s="19"/>
      <c r="TEU50" s="19"/>
      <c r="TEV50" s="19"/>
      <c r="TEW50" s="19"/>
      <c r="TEX50" s="19"/>
      <c r="TEY50" s="19"/>
      <c r="TEZ50" s="19"/>
      <c r="TFA50" s="19"/>
      <c r="TFB50" s="19"/>
      <c r="TFC50" s="19"/>
      <c r="TFD50" s="19"/>
      <c r="TFE50" s="19"/>
      <c r="TFF50" s="19"/>
      <c r="TFG50" s="19"/>
      <c r="TFH50" s="19"/>
      <c r="TFI50" s="19"/>
      <c r="TFJ50" s="19"/>
      <c r="TFK50" s="19"/>
      <c r="TFL50" s="19"/>
      <c r="TFM50" s="19"/>
      <c r="TFN50" s="19"/>
      <c r="TFO50" s="19"/>
      <c r="TFP50" s="19"/>
      <c r="TFQ50" s="19"/>
      <c r="TFR50" s="19"/>
      <c r="TFS50" s="19"/>
      <c r="TFT50" s="19"/>
      <c r="TFU50" s="19"/>
      <c r="TFV50" s="19"/>
      <c r="TFW50" s="19"/>
      <c r="TFX50" s="19"/>
      <c r="TFY50" s="19"/>
      <c r="TFZ50" s="19"/>
      <c r="TGA50" s="19"/>
      <c r="TGB50" s="19"/>
      <c r="TGC50" s="19"/>
      <c r="TGD50" s="19"/>
      <c r="TGE50" s="19"/>
      <c r="TGF50" s="19"/>
      <c r="TGG50" s="19"/>
      <c r="TGH50" s="19"/>
      <c r="TGI50" s="19"/>
      <c r="TGJ50" s="19"/>
      <c r="TGK50" s="19"/>
      <c r="TGL50" s="19"/>
      <c r="TGM50" s="19"/>
      <c r="TGN50" s="19"/>
      <c r="TGO50" s="19"/>
      <c r="TGP50" s="19"/>
      <c r="TGQ50" s="19"/>
      <c r="TGR50" s="19"/>
      <c r="TGS50" s="19"/>
      <c r="TGT50" s="19"/>
      <c r="TGU50" s="19"/>
      <c r="TGV50" s="19"/>
      <c r="TGW50" s="19"/>
      <c r="TGX50" s="19"/>
      <c r="TGY50" s="19"/>
      <c r="TGZ50" s="19"/>
      <c r="THA50" s="19"/>
      <c r="THB50" s="19"/>
      <c r="THC50" s="19"/>
      <c r="THD50" s="19"/>
      <c r="THE50" s="19"/>
      <c r="THF50" s="19"/>
      <c r="THG50" s="19"/>
      <c r="THH50" s="19"/>
      <c r="THI50" s="19"/>
      <c r="THJ50" s="19"/>
      <c r="THK50" s="19"/>
      <c r="THL50" s="19"/>
      <c r="THM50" s="19"/>
      <c r="THN50" s="19"/>
      <c r="THO50" s="19"/>
      <c r="THP50" s="19"/>
      <c r="THQ50" s="19"/>
      <c r="THR50" s="19"/>
      <c r="THS50" s="19"/>
      <c r="THT50" s="19"/>
      <c r="THU50" s="19"/>
      <c r="THV50" s="19"/>
      <c r="THW50" s="19"/>
      <c r="THX50" s="19"/>
      <c r="THY50" s="19"/>
      <c r="THZ50" s="19"/>
      <c r="TIA50" s="19"/>
      <c r="TIB50" s="19"/>
      <c r="TIC50" s="19"/>
      <c r="TID50" s="19"/>
      <c r="TIE50" s="19"/>
      <c r="TIF50" s="19"/>
      <c r="TIG50" s="19"/>
      <c r="TIH50" s="19"/>
      <c r="TII50" s="19"/>
      <c r="TIJ50" s="19"/>
      <c r="TIK50" s="19"/>
      <c r="TIL50" s="19"/>
      <c r="TIM50" s="19"/>
      <c r="TIN50" s="19"/>
      <c r="TIO50" s="19"/>
      <c r="TIP50" s="19"/>
      <c r="TIQ50" s="19"/>
      <c r="TIR50" s="19"/>
      <c r="TIS50" s="19"/>
      <c r="TIT50" s="19"/>
      <c r="TIU50" s="19"/>
      <c r="TIV50" s="19"/>
      <c r="TIW50" s="19"/>
      <c r="TIX50" s="19"/>
      <c r="TIY50" s="19"/>
      <c r="TIZ50" s="19"/>
      <c r="TJA50" s="19"/>
      <c r="TJB50" s="19"/>
      <c r="TJC50" s="19"/>
      <c r="TJD50" s="19"/>
      <c r="TJE50" s="19"/>
      <c r="TJF50" s="19"/>
      <c r="TJG50" s="19"/>
      <c r="TJH50" s="19"/>
      <c r="TJI50" s="19"/>
      <c r="TJJ50" s="19"/>
      <c r="TJK50" s="19"/>
      <c r="TJL50" s="19"/>
      <c r="TJM50" s="19"/>
      <c r="TJN50" s="19"/>
      <c r="TJO50" s="19"/>
      <c r="TJP50" s="19"/>
      <c r="TJQ50" s="19"/>
      <c r="TJR50" s="19"/>
      <c r="TJS50" s="19"/>
      <c r="TJT50" s="19"/>
      <c r="TJU50" s="19"/>
      <c r="TJV50" s="19"/>
      <c r="TJW50" s="19"/>
      <c r="TJX50" s="19"/>
      <c r="TJY50" s="19"/>
      <c r="TJZ50" s="19"/>
      <c r="TKA50" s="19"/>
      <c r="TKB50" s="19"/>
      <c r="TKC50" s="19"/>
      <c r="TKD50" s="19"/>
      <c r="TKE50" s="19"/>
      <c r="TKF50" s="19"/>
      <c r="TKG50" s="19"/>
      <c r="TKH50" s="19"/>
      <c r="TKI50" s="19"/>
      <c r="TKJ50" s="19"/>
      <c r="TKK50" s="19"/>
      <c r="TKL50" s="19"/>
      <c r="TKM50" s="19"/>
      <c r="TKN50" s="19"/>
      <c r="TKO50" s="19"/>
      <c r="TKP50" s="19"/>
      <c r="TKQ50" s="19"/>
      <c r="TKR50" s="19"/>
      <c r="TKS50" s="19"/>
      <c r="TKT50" s="19"/>
      <c r="TKU50" s="19"/>
      <c r="TKV50" s="19"/>
      <c r="TKW50" s="19"/>
      <c r="TKX50" s="19"/>
      <c r="TKY50" s="19"/>
      <c r="TKZ50" s="19"/>
      <c r="TLA50" s="19"/>
      <c r="TLB50" s="19"/>
      <c r="TLC50" s="19"/>
      <c r="TLD50" s="19"/>
      <c r="TLE50" s="19"/>
      <c r="TLF50" s="19"/>
      <c r="TLG50" s="19"/>
      <c r="TLH50" s="19"/>
      <c r="TLI50" s="19"/>
      <c r="TLJ50" s="19"/>
      <c r="TLK50" s="19"/>
      <c r="TLL50" s="19"/>
      <c r="TLM50" s="19"/>
      <c r="TLN50" s="19"/>
      <c r="TLO50" s="19"/>
      <c r="TLP50" s="19"/>
      <c r="TLQ50" s="19"/>
      <c r="TLR50" s="19"/>
      <c r="TLS50" s="19"/>
      <c r="TLT50" s="19"/>
      <c r="TLU50" s="19"/>
      <c r="TLV50" s="19"/>
      <c r="TLW50" s="19"/>
      <c r="TLX50" s="19"/>
      <c r="TLY50" s="19"/>
      <c r="TLZ50" s="19"/>
      <c r="TMA50" s="19"/>
      <c r="TMB50" s="19"/>
      <c r="TMC50" s="19"/>
      <c r="TMD50" s="19"/>
      <c r="TME50" s="19"/>
      <c r="TMF50" s="19"/>
      <c r="TMG50" s="19"/>
      <c r="TMH50" s="19"/>
      <c r="TMI50" s="19"/>
      <c r="TMJ50" s="19"/>
      <c r="TMK50" s="19"/>
      <c r="TML50" s="19"/>
      <c r="TMM50" s="19"/>
      <c r="TMN50" s="19"/>
      <c r="TMO50" s="19"/>
      <c r="TMP50" s="19"/>
      <c r="TMQ50" s="19"/>
      <c r="TMR50" s="19"/>
      <c r="TMS50" s="19"/>
      <c r="TMT50" s="19"/>
      <c r="TMU50" s="19"/>
      <c r="TMV50" s="19"/>
      <c r="TMW50" s="19"/>
      <c r="TMX50" s="19"/>
      <c r="TMY50" s="19"/>
      <c r="TMZ50" s="19"/>
      <c r="TNA50" s="19"/>
      <c r="TNB50" s="19"/>
      <c r="TNC50" s="19"/>
      <c r="TND50" s="19"/>
      <c r="TNE50" s="19"/>
      <c r="TNF50" s="19"/>
      <c r="TNG50" s="19"/>
      <c r="TNH50" s="19"/>
      <c r="TNI50" s="19"/>
      <c r="TNJ50" s="19"/>
      <c r="TNK50" s="19"/>
      <c r="TNL50" s="19"/>
      <c r="TNM50" s="19"/>
      <c r="TNN50" s="19"/>
      <c r="TNO50" s="19"/>
      <c r="TNP50" s="19"/>
      <c r="TNQ50" s="19"/>
      <c r="TNR50" s="19"/>
      <c r="TNS50" s="19"/>
      <c r="TNT50" s="19"/>
      <c r="TNU50" s="19"/>
      <c r="TNV50" s="19"/>
      <c r="TNW50" s="19"/>
      <c r="TNX50" s="19"/>
      <c r="TNY50" s="19"/>
      <c r="TNZ50" s="19"/>
      <c r="TOA50" s="19"/>
      <c r="TOB50" s="19"/>
      <c r="TOC50" s="19"/>
      <c r="TOD50" s="19"/>
      <c r="TOE50" s="19"/>
      <c r="TOF50" s="19"/>
      <c r="TOG50" s="19"/>
      <c r="TOH50" s="19"/>
      <c r="TOI50" s="19"/>
      <c r="TOJ50" s="19"/>
      <c r="TOK50" s="19"/>
      <c r="TOL50" s="19"/>
      <c r="TOM50" s="19"/>
      <c r="TON50" s="19"/>
      <c r="TOO50" s="19"/>
      <c r="TOP50" s="19"/>
      <c r="TOQ50" s="19"/>
      <c r="TOR50" s="19"/>
      <c r="TOS50" s="19"/>
      <c r="TOT50" s="19"/>
      <c r="TOU50" s="19"/>
      <c r="TOV50" s="19"/>
      <c r="TOW50" s="19"/>
      <c r="TOX50" s="19"/>
      <c r="TOY50" s="19"/>
      <c r="TOZ50" s="19"/>
      <c r="TPA50" s="19"/>
      <c r="TPB50" s="19"/>
      <c r="TPC50" s="19"/>
      <c r="TPD50" s="19"/>
      <c r="TPE50" s="19"/>
      <c r="TPF50" s="19"/>
      <c r="TPG50" s="19"/>
      <c r="TPH50" s="19"/>
      <c r="TPI50" s="19"/>
      <c r="TPJ50" s="19"/>
      <c r="TPK50" s="19"/>
      <c r="TPL50" s="19"/>
      <c r="TPM50" s="19"/>
      <c r="TPN50" s="19"/>
      <c r="TPO50" s="19"/>
      <c r="TPP50" s="19"/>
      <c r="TPQ50" s="19"/>
      <c r="TPR50" s="19"/>
      <c r="TPS50" s="19"/>
      <c r="TPT50" s="19"/>
      <c r="TPU50" s="19"/>
      <c r="TPV50" s="19"/>
      <c r="TPW50" s="19"/>
      <c r="TPX50" s="19"/>
      <c r="TPY50" s="19"/>
      <c r="TPZ50" s="19"/>
      <c r="TQA50" s="19"/>
      <c r="TQB50" s="19"/>
      <c r="TQC50" s="19"/>
      <c r="TQD50" s="19"/>
      <c r="TQE50" s="19"/>
      <c r="TQF50" s="19"/>
      <c r="TQG50" s="19"/>
      <c r="TQH50" s="19"/>
      <c r="TQI50" s="19"/>
      <c r="TQJ50" s="19"/>
      <c r="TQK50" s="19"/>
      <c r="TQL50" s="19"/>
      <c r="TQM50" s="19"/>
      <c r="TQN50" s="19"/>
      <c r="TQO50" s="19"/>
      <c r="TQP50" s="19"/>
      <c r="TQQ50" s="19"/>
      <c r="TQR50" s="19"/>
      <c r="TQS50" s="19"/>
      <c r="TQT50" s="19"/>
      <c r="TQU50" s="19"/>
      <c r="TQV50" s="19"/>
      <c r="TQW50" s="19"/>
      <c r="TQX50" s="19"/>
      <c r="TQY50" s="19"/>
      <c r="TQZ50" s="19"/>
      <c r="TRA50" s="19"/>
      <c r="TRB50" s="19"/>
      <c r="TRC50" s="19"/>
      <c r="TRD50" s="19"/>
      <c r="TRE50" s="19"/>
      <c r="TRF50" s="19"/>
      <c r="TRG50" s="19"/>
      <c r="TRH50" s="19"/>
      <c r="TRI50" s="19"/>
      <c r="TRJ50" s="19"/>
      <c r="TRK50" s="19"/>
      <c r="TRL50" s="19"/>
      <c r="TRM50" s="19"/>
      <c r="TRN50" s="19"/>
      <c r="TRO50" s="19"/>
      <c r="TRP50" s="19"/>
      <c r="TRQ50" s="19"/>
      <c r="TRR50" s="19"/>
      <c r="TRS50" s="19"/>
      <c r="TRT50" s="19"/>
      <c r="TRU50" s="19"/>
      <c r="TRV50" s="19"/>
      <c r="TRW50" s="19"/>
      <c r="TRX50" s="19"/>
      <c r="TRY50" s="19"/>
      <c r="TRZ50" s="19"/>
      <c r="TSA50" s="19"/>
      <c r="TSB50" s="19"/>
      <c r="TSC50" s="19"/>
      <c r="TSD50" s="19"/>
      <c r="TSE50" s="19"/>
      <c r="TSF50" s="19"/>
      <c r="TSG50" s="19"/>
      <c r="TSH50" s="19"/>
      <c r="TSI50" s="19"/>
      <c r="TSJ50" s="19"/>
      <c r="TSK50" s="19"/>
      <c r="TSL50" s="19"/>
      <c r="TSM50" s="19"/>
      <c r="TSN50" s="19"/>
      <c r="TSO50" s="19"/>
      <c r="TSP50" s="19"/>
      <c r="TSQ50" s="19"/>
      <c r="TSR50" s="19"/>
      <c r="TSS50" s="19"/>
      <c r="TST50" s="19"/>
      <c r="TSU50" s="19"/>
      <c r="TSV50" s="19"/>
      <c r="TSW50" s="19"/>
      <c r="TSX50" s="19"/>
      <c r="TSY50" s="19"/>
      <c r="TSZ50" s="19"/>
      <c r="TTA50" s="19"/>
      <c r="TTB50" s="19"/>
      <c r="TTC50" s="19"/>
      <c r="TTD50" s="19"/>
      <c r="TTE50" s="19"/>
      <c r="TTF50" s="19"/>
      <c r="TTG50" s="19"/>
      <c r="TTH50" s="19"/>
      <c r="TTI50" s="19"/>
      <c r="TTJ50" s="19"/>
      <c r="TTK50" s="19"/>
      <c r="TTL50" s="19"/>
      <c r="TTM50" s="19"/>
      <c r="TTN50" s="19"/>
      <c r="TTO50" s="19"/>
      <c r="TTP50" s="19"/>
      <c r="TTQ50" s="19"/>
      <c r="TTR50" s="19"/>
      <c r="TTS50" s="19"/>
      <c r="TTT50" s="19"/>
      <c r="TTU50" s="19"/>
      <c r="TTV50" s="19"/>
      <c r="TTW50" s="19"/>
      <c r="TTX50" s="19"/>
      <c r="TTY50" s="19"/>
      <c r="TTZ50" s="19"/>
      <c r="TUA50" s="19"/>
      <c r="TUB50" s="19"/>
      <c r="TUC50" s="19"/>
      <c r="TUD50" s="19"/>
      <c r="TUE50" s="19"/>
      <c r="TUF50" s="19"/>
      <c r="TUG50" s="19"/>
      <c r="TUH50" s="19"/>
      <c r="TUI50" s="19"/>
      <c r="TUJ50" s="19"/>
      <c r="TUK50" s="19"/>
      <c r="TUL50" s="19"/>
      <c r="TUM50" s="19"/>
      <c r="TUN50" s="19"/>
      <c r="TUO50" s="19"/>
      <c r="TUP50" s="19"/>
      <c r="TUQ50" s="19"/>
      <c r="TUR50" s="19"/>
      <c r="TUS50" s="19"/>
      <c r="TUT50" s="19"/>
      <c r="TUU50" s="19"/>
      <c r="TUV50" s="19"/>
      <c r="TUW50" s="19"/>
      <c r="TUX50" s="19"/>
      <c r="TUY50" s="19"/>
      <c r="TUZ50" s="19"/>
      <c r="TVA50" s="19"/>
      <c r="TVB50" s="19"/>
      <c r="TVC50" s="19"/>
      <c r="TVD50" s="19"/>
      <c r="TVE50" s="19"/>
      <c r="TVF50" s="19"/>
      <c r="TVG50" s="19"/>
      <c r="TVH50" s="19"/>
      <c r="TVI50" s="19"/>
      <c r="TVJ50" s="19"/>
      <c r="TVK50" s="19"/>
      <c r="TVL50" s="19"/>
      <c r="TVM50" s="19"/>
      <c r="TVN50" s="19"/>
      <c r="TVO50" s="19"/>
      <c r="TVP50" s="19"/>
      <c r="TVQ50" s="19"/>
      <c r="TVR50" s="19"/>
      <c r="TVS50" s="19"/>
      <c r="TVT50" s="19"/>
      <c r="TVU50" s="19"/>
      <c r="TVV50" s="19"/>
      <c r="TVW50" s="19"/>
      <c r="TVX50" s="19"/>
      <c r="TVY50" s="19"/>
      <c r="TVZ50" s="19"/>
      <c r="TWA50" s="19"/>
      <c r="TWB50" s="19"/>
      <c r="TWC50" s="19"/>
      <c r="TWD50" s="19"/>
      <c r="TWE50" s="19"/>
      <c r="TWF50" s="19"/>
      <c r="TWG50" s="19"/>
      <c r="TWH50" s="19"/>
      <c r="TWI50" s="19"/>
      <c r="TWJ50" s="19"/>
      <c r="TWK50" s="19"/>
      <c r="TWL50" s="19"/>
      <c r="TWM50" s="19"/>
      <c r="TWN50" s="19"/>
      <c r="TWO50" s="19"/>
      <c r="TWP50" s="19"/>
      <c r="TWQ50" s="19"/>
      <c r="TWR50" s="19"/>
      <c r="TWS50" s="19"/>
      <c r="TWT50" s="19"/>
      <c r="TWU50" s="19"/>
      <c r="TWV50" s="19"/>
      <c r="TWW50" s="19"/>
      <c r="TWX50" s="19"/>
      <c r="TWY50" s="19"/>
      <c r="TWZ50" s="19"/>
      <c r="TXA50" s="19"/>
      <c r="TXB50" s="19"/>
      <c r="TXC50" s="19"/>
      <c r="TXD50" s="19"/>
      <c r="TXE50" s="19"/>
      <c r="TXF50" s="19"/>
      <c r="TXG50" s="19"/>
      <c r="TXH50" s="19"/>
      <c r="TXI50" s="19"/>
      <c r="TXJ50" s="19"/>
      <c r="TXK50" s="19"/>
      <c r="TXL50" s="19"/>
      <c r="TXM50" s="19"/>
      <c r="TXN50" s="19"/>
      <c r="TXO50" s="19"/>
      <c r="TXP50" s="19"/>
      <c r="TXQ50" s="19"/>
      <c r="TXR50" s="19"/>
      <c r="TXS50" s="19"/>
      <c r="TXT50" s="19"/>
      <c r="TXU50" s="19"/>
      <c r="TXV50" s="19"/>
      <c r="TXW50" s="19"/>
      <c r="TXX50" s="19"/>
      <c r="TXY50" s="19"/>
      <c r="TXZ50" s="19"/>
      <c r="TYA50" s="19"/>
      <c r="TYB50" s="19"/>
      <c r="TYC50" s="19"/>
      <c r="TYD50" s="19"/>
      <c r="TYE50" s="19"/>
      <c r="TYF50" s="19"/>
      <c r="TYG50" s="19"/>
      <c r="TYH50" s="19"/>
      <c r="TYI50" s="19"/>
      <c r="TYJ50" s="19"/>
      <c r="TYK50" s="19"/>
      <c r="TYL50" s="19"/>
      <c r="TYM50" s="19"/>
      <c r="TYN50" s="19"/>
      <c r="TYO50" s="19"/>
      <c r="TYP50" s="19"/>
      <c r="TYQ50" s="19"/>
      <c r="TYR50" s="19"/>
      <c r="TYS50" s="19"/>
      <c r="TYT50" s="19"/>
      <c r="TYU50" s="19"/>
      <c r="TYV50" s="19"/>
      <c r="TYW50" s="19"/>
      <c r="TYX50" s="19"/>
      <c r="TYY50" s="19"/>
      <c r="TYZ50" s="19"/>
      <c r="TZA50" s="19"/>
      <c r="TZB50" s="19"/>
      <c r="TZC50" s="19"/>
      <c r="TZD50" s="19"/>
      <c r="TZE50" s="19"/>
      <c r="TZF50" s="19"/>
      <c r="TZG50" s="19"/>
      <c r="TZH50" s="19"/>
      <c r="TZI50" s="19"/>
      <c r="TZJ50" s="19"/>
      <c r="TZK50" s="19"/>
      <c r="TZL50" s="19"/>
      <c r="TZM50" s="19"/>
      <c r="TZN50" s="19"/>
      <c r="TZO50" s="19"/>
      <c r="TZP50" s="19"/>
      <c r="TZQ50" s="19"/>
      <c r="TZR50" s="19"/>
      <c r="TZS50" s="19"/>
      <c r="TZT50" s="19"/>
      <c r="TZU50" s="19"/>
      <c r="TZV50" s="19"/>
      <c r="TZW50" s="19"/>
      <c r="TZX50" s="19"/>
      <c r="TZY50" s="19"/>
      <c r="TZZ50" s="19"/>
      <c r="UAA50" s="19"/>
      <c r="UAB50" s="19"/>
      <c r="UAC50" s="19"/>
      <c r="UAD50" s="19"/>
      <c r="UAE50" s="19"/>
      <c r="UAF50" s="19"/>
      <c r="UAG50" s="19"/>
      <c r="UAH50" s="19"/>
      <c r="UAI50" s="19"/>
      <c r="UAJ50" s="19"/>
      <c r="UAK50" s="19"/>
      <c r="UAL50" s="19"/>
      <c r="UAM50" s="19"/>
      <c r="UAN50" s="19"/>
      <c r="UAO50" s="19"/>
      <c r="UAP50" s="19"/>
      <c r="UAQ50" s="19"/>
      <c r="UAR50" s="19"/>
      <c r="UAS50" s="19"/>
      <c r="UAT50" s="19"/>
      <c r="UAU50" s="19"/>
      <c r="UAV50" s="19"/>
      <c r="UAW50" s="19"/>
      <c r="UAX50" s="19"/>
      <c r="UAY50" s="19"/>
      <c r="UAZ50" s="19"/>
      <c r="UBA50" s="19"/>
      <c r="UBB50" s="19"/>
      <c r="UBC50" s="19"/>
      <c r="UBD50" s="19"/>
      <c r="UBE50" s="19"/>
      <c r="UBF50" s="19"/>
      <c r="UBG50" s="19"/>
      <c r="UBH50" s="19"/>
      <c r="UBI50" s="19"/>
      <c r="UBJ50" s="19"/>
      <c r="UBK50" s="19"/>
      <c r="UBL50" s="19"/>
      <c r="UBM50" s="19"/>
      <c r="UBN50" s="19"/>
      <c r="UBO50" s="19"/>
      <c r="UBP50" s="19"/>
      <c r="UBQ50" s="19"/>
      <c r="UBR50" s="19"/>
      <c r="UBS50" s="19"/>
      <c r="UBT50" s="19"/>
      <c r="UBU50" s="19"/>
      <c r="UBV50" s="19"/>
      <c r="UBW50" s="19"/>
      <c r="UBX50" s="19"/>
      <c r="UBY50" s="19"/>
      <c r="UBZ50" s="19"/>
      <c r="UCA50" s="19"/>
      <c r="UCB50" s="19"/>
      <c r="UCC50" s="19"/>
      <c r="UCD50" s="19"/>
      <c r="UCE50" s="19"/>
      <c r="UCF50" s="19"/>
      <c r="UCG50" s="19"/>
      <c r="UCH50" s="19"/>
      <c r="UCI50" s="19"/>
      <c r="UCJ50" s="19"/>
      <c r="UCK50" s="19"/>
      <c r="UCL50" s="19"/>
      <c r="UCM50" s="19"/>
      <c r="UCN50" s="19"/>
      <c r="UCO50" s="19"/>
      <c r="UCP50" s="19"/>
      <c r="UCQ50" s="19"/>
      <c r="UCR50" s="19"/>
      <c r="UCS50" s="19"/>
      <c r="UCT50" s="19"/>
      <c r="UCU50" s="19"/>
      <c r="UCV50" s="19"/>
      <c r="UCW50" s="19"/>
      <c r="UCX50" s="19"/>
      <c r="UCY50" s="19"/>
      <c r="UCZ50" s="19"/>
      <c r="UDA50" s="19"/>
      <c r="UDB50" s="19"/>
      <c r="UDC50" s="19"/>
      <c r="UDD50" s="19"/>
      <c r="UDE50" s="19"/>
      <c r="UDF50" s="19"/>
      <c r="UDG50" s="19"/>
      <c r="UDH50" s="19"/>
      <c r="UDI50" s="19"/>
      <c r="UDJ50" s="19"/>
      <c r="UDK50" s="19"/>
      <c r="UDL50" s="19"/>
      <c r="UDM50" s="19"/>
      <c r="UDN50" s="19"/>
      <c r="UDO50" s="19"/>
      <c r="UDP50" s="19"/>
      <c r="UDQ50" s="19"/>
      <c r="UDR50" s="19"/>
      <c r="UDS50" s="19"/>
      <c r="UDT50" s="19"/>
      <c r="UDU50" s="19"/>
      <c r="UDV50" s="19"/>
      <c r="UDW50" s="19"/>
      <c r="UDX50" s="19"/>
      <c r="UDY50" s="19"/>
      <c r="UDZ50" s="19"/>
      <c r="UEA50" s="19"/>
      <c r="UEB50" s="19"/>
      <c r="UEC50" s="19"/>
      <c r="UED50" s="19"/>
      <c r="UEE50" s="19"/>
      <c r="UEF50" s="19"/>
      <c r="UEG50" s="19"/>
      <c r="UEH50" s="19"/>
      <c r="UEI50" s="19"/>
      <c r="UEJ50" s="19"/>
      <c r="UEK50" s="19"/>
      <c r="UEL50" s="19"/>
      <c r="UEM50" s="19"/>
      <c r="UEN50" s="19"/>
      <c r="UEO50" s="19"/>
      <c r="UEP50" s="19"/>
      <c r="UEQ50" s="19"/>
      <c r="UER50" s="19"/>
      <c r="UES50" s="19"/>
      <c r="UET50" s="19"/>
      <c r="UEU50" s="19"/>
      <c r="UEV50" s="19"/>
      <c r="UEW50" s="19"/>
      <c r="UEX50" s="19"/>
      <c r="UEY50" s="19"/>
      <c r="UEZ50" s="19"/>
      <c r="UFA50" s="19"/>
      <c r="UFB50" s="19"/>
      <c r="UFC50" s="19"/>
      <c r="UFD50" s="19"/>
      <c r="UFE50" s="19"/>
      <c r="UFF50" s="19"/>
      <c r="UFG50" s="19"/>
      <c r="UFH50" s="19"/>
      <c r="UFI50" s="19"/>
      <c r="UFJ50" s="19"/>
      <c r="UFK50" s="19"/>
      <c r="UFL50" s="19"/>
      <c r="UFM50" s="19"/>
      <c r="UFN50" s="19"/>
      <c r="UFO50" s="19"/>
      <c r="UFP50" s="19"/>
      <c r="UFQ50" s="19"/>
      <c r="UFR50" s="19"/>
      <c r="UFS50" s="19"/>
      <c r="UFT50" s="19"/>
      <c r="UFU50" s="19"/>
      <c r="UFV50" s="19"/>
      <c r="UFW50" s="19"/>
      <c r="UFX50" s="19"/>
      <c r="UFY50" s="19"/>
      <c r="UFZ50" s="19"/>
      <c r="UGA50" s="19"/>
      <c r="UGB50" s="19"/>
      <c r="UGC50" s="19"/>
      <c r="UGD50" s="19"/>
      <c r="UGE50" s="19"/>
      <c r="UGF50" s="19"/>
      <c r="UGG50" s="19"/>
      <c r="UGH50" s="19"/>
      <c r="UGI50" s="19"/>
      <c r="UGJ50" s="19"/>
      <c r="UGK50" s="19"/>
      <c r="UGL50" s="19"/>
      <c r="UGM50" s="19"/>
      <c r="UGN50" s="19"/>
      <c r="UGO50" s="19"/>
      <c r="UGP50" s="19"/>
      <c r="UGQ50" s="19"/>
      <c r="UGR50" s="19"/>
      <c r="UGS50" s="19"/>
      <c r="UGT50" s="19"/>
      <c r="UGU50" s="19"/>
      <c r="UGV50" s="19"/>
      <c r="UGW50" s="19"/>
      <c r="UGX50" s="19"/>
      <c r="UGY50" s="19"/>
      <c r="UGZ50" s="19"/>
      <c r="UHA50" s="19"/>
      <c r="UHB50" s="19"/>
      <c r="UHC50" s="19"/>
      <c r="UHD50" s="19"/>
      <c r="UHE50" s="19"/>
      <c r="UHF50" s="19"/>
      <c r="UHG50" s="19"/>
      <c r="UHH50" s="19"/>
      <c r="UHI50" s="19"/>
      <c r="UHJ50" s="19"/>
      <c r="UHK50" s="19"/>
      <c r="UHL50" s="19"/>
      <c r="UHM50" s="19"/>
      <c r="UHN50" s="19"/>
      <c r="UHO50" s="19"/>
      <c r="UHP50" s="19"/>
      <c r="UHQ50" s="19"/>
      <c r="UHR50" s="19"/>
      <c r="UHS50" s="19"/>
      <c r="UHT50" s="19"/>
      <c r="UHU50" s="19"/>
      <c r="UHV50" s="19"/>
      <c r="UHW50" s="19"/>
      <c r="UHX50" s="19"/>
      <c r="UHY50" s="19"/>
      <c r="UHZ50" s="19"/>
      <c r="UIA50" s="19"/>
      <c r="UIB50" s="19"/>
      <c r="UIC50" s="19"/>
      <c r="UID50" s="19"/>
      <c r="UIE50" s="19"/>
      <c r="UIF50" s="19"/>
      <c r="UIG50" s="19"/>
      <c r="UIH50" s="19"/>
      <c r="UII50" s="19"/>
      <c r="UIJ50" s="19"/>
      <c r="UIK50" s="19"/>
      <c r="UIL50" s="19"/>
      <c r="UIM50" s="19"/>
      <c r="UIN50" s="19"/>
      <c r="UIO50" s="19"/>
      <c r="UIP50" s="19"/>
      <c r="UIQ50" s="19"/>
      <c r="UIR50" s="19"/>
      <c r="UIS50" s="19"/>
      <c r="UIT50" s="19"/>
      <c r="UIU50" s="19"/>
      <c r="UIV50" s="19"/>
      <c r="UIW50" s="19"/>
      <c r="UIX50" s="19"/>
      <c r="UIY50" s="19"/>
      <c r="UIZ50" s="19"/>
      <c r="UJA50" s="19"/>
      <c r="UJB50" s="19"/>
      <c r="UJC50" s="19"/>
      <c r="UJD50" s="19"/>
      <c r="UJE50" s="19"/>
      <c r="UJF50" s="19"/>
      <c r="UJG50" s="19"/>
      <c r="UJH50" s="19"/>
      <c r="UJI50" s="19"/>
      <c r="UJJ50" s="19"/>
      <c r="UJK50" s="19"/>
      <c r="UJL50" s="19"/>
      <c r="UJM50" s="19"/>
      <c r="UJN50" s="19"/>
      <c r="UJO50" s="19"/>
      <c r="UJP50" s="19"/>
      <c r="UJQ50" s="19"/>
      <c r="UJR50" s="19"/>
      <c r="UJS50" s="19"/>
      <c r="UJT50" s="19"/>
      <c r="UJU50" s="19"/>
      <c r="UJV50" s="19"/>
      <c r="UJW50" s="19"/>
      <c r="UJX50" s="19"/>
      <c r="UJY50" s="19"/>
      <c r="UJZ50" s="19"/>
      <c r="UKA50" s="19"/>
      <c r="UKB50" s="19"/>
      <c r="UKC50" s="19"/>
      <c r="UKD50" s="19"/>
      <c r="UKE50" s="19"/>
      <c r="UKF50" s="19"/>
      <c r="UKG50" s="19"/>
      <c r="UKH50" s="19"/>
      <c r="UKI50" s="19"/>
      <c r="UKJ50" s="19"/>
      <c r="UKK50" s="19"/>
      <c r="UKL50" s="19"/>
      <c r="UKM50" s="19"/>
      <c r="UKN50" s="19"/>
      <c r="UKO50" s="19"/>
      <c r="UKP50" s="19"/>
      <c r="UKQ50" s="19"/>
      <c r="UKR50" s="19"/>
      <c r="UKS50" s="19"/>
      <c r="UKT50" s="19"/>
      <c r="UKU50" s="19"/>
      <c r="UKV50" s="19"/>
      <c r="UKW50" s="19"/>
      <c r="UKX50" s="19"/>
      <c r="UKY50" s="19"/>
      <c r="UKZ50" s="19"/>
      <c r="ULA50" s="19"/>
      <c r="ULB50" s="19"/>
      <c r="ULC50" s="19"/>
      <c r="ULD50" s="19"/>
      <c r="ULE50" s="19"/>
      <c r="ULF50" s="19"/>
      <c r="ULG50" s="19"/>
      <c r="ULH50" s="19"/>
      <c r="ULI50" s="19"/>
      <c r="ULJ50" s="19"/>
      <c r="ULK50" s="19"/>
      <c r="ULL50" s="19"/>
      <c r="ULM50" s="19"/>
      <c r="ULN50" s="19"/>
      <c r="ULO50" s="19"/>
      <c r="ULP50" s="19"/>
      <c r="ULQ50" s="19"/>
      <c r="ULR50" s="19"/>
      <c r="ULS50" s="19"/>
      <c r="ULT50" s="19"/>
      <c r="ULU50" s="19"/>
      <c r="ULV50" s="19"/>
      <c r="ULW50" s="19"/>
      <c r="ULX50" s="19"/>
      <c r="ULY50" s="19"/>
      <c r="ULZ50" s="19"/>
      <c r="UMA50" s="19"/>
      <c r="UMB50" s="19"/>
      <c r="UMC50" s="19"/>
      <c r="UMD50" s="19"/>
      <c r="UME50" s="19"/>
      <c r="UMF50" s="19"/>
      <c r="UMG50" s="19"/>
      <c r="UMH50" s="19"/>
      <c r="UMI50" s="19"/>
      <c r="UMJ50" s="19"/>
      <c r="UMK50" s="19"/>
      <c r="UML50" s="19"/>
      <c r="UMM50" s="19"/>
      <c r="UMN50" s="19"/>
      <c r="UMO50" s="19"/>
      <c r="UMP50" s="19"/>
      <c r="UMQ50" s="19"/>
      <c r="UMR50" s="19"/>
      <c r="UMS50" s="19"/>
      <c r="UMT50" s="19"/>
      <c r="UMU50" s="19"/>
      <c r="UMV50" s="19"/>
      <c r="UMW50" s="19"/>
      <c r="UMX50" s="19"/>
      <c r="UMY50" s="19"/>
      <c r="UMZ50" s="19"/>
      <c r="UNA50" s="19"/>
      <c r="UNB50" s="19"/>
      <c r="UNC50" s="19"/>
      <c r="UND50" s="19"/>
      <c r="UNE50" s="19"/>
      <c r="UNF50" s="19"/>
      <c r="UNG50" s="19"/>
      <c r="UNH50" s="19"/>
      <c r="UNI50" s="19"/>
      <c r="UNJ50" s="19"/>
      <c r="UNK50" s="19"/>
      <c r="UNL50" s="19"/>
      <c r="UNM50" s="19"/>
      <c r="UNN50" s="19"/>
      <c r="UNO50" s="19"/>
      <c r="UNP50" s="19"/>
      <c r="UNQ50" s="19"/>
      <c r="UNR50" s="19"/>
      <c r="UNS50" s="19"/>
      <c r="UNT50" s="19"/>
      <c r="UNU50" s="19"/>
      <c r="UNV50" s="19"/>
      <c r="UNW50" s="19"/>
      <c r="UNX50" s="19"/>
      <c r="UNY50" s="19"/>
      <c r="UNZ50" s="19"/>
      <c r="UOA50" s="19"/>
      <c r="UOB50" s="19"/>
      <c r="UOC50" s="19"/>
      <c r="UOD50" s="19"/>
      <c r="UOE50" s="19"/>
      <c r="UOF50" s="19"/>
      <c r="UOG50" s="19"/>
      <c r="UOH50" s="19"/>
      <c r="UOI50" s="19"/>
      <c r="UOJ50" s="19"/>
      <c r="UOK50" s="19"/>
      <c r="UOL50" s="19"/>
      <c r="UOM50" s="19"/>
      <c r="UON50" s="19"/>
      <c r="UOO50" s="19"/>
      <c r="UOP50" s="19"/>
      <c r="UOQ50" s="19"/>
      <c r="UOR50" s="19"/>
      <c r="UOS50" s="19"/>
      <c r="UOT50" s="19"/>
      <c r="UOU50" s="19"/>
      <c r="UOV50" s="19"/>
      <c r="UOW50" s="19"/>
      <c r="UOX50" s="19"/>
      <c r="UOY50" s="19"/>
      <c r="UOZ50" s="19"/>
      <c r="UPA50" s="19"/>
      <c r="UPB50" s="19"/>
      <c r="UPC50" s="19"/>
      <c r="UPD50" s="19"/>
      <c r="UPE50" s="19"/>
      <c r="UPF50" s="19"/>
      <c r="UPG50" s="19"/>
      <c r="UPH50" s="19"/>
      <c r="UPI50" s="19"/>
      <c r="UPJ50" s="19"/>
      <c r="UPK50" s="19"/>
      <c r="UPL50" s="19"/>
      <c r="UPM50" s="19"/>
      <c r="UPN50" s="19"/>
      <c r="UPO50" s="19"/>
      <c r="UPP50" s="19"/>
      <c r="UPQ50" s="19"/>
      <c r="UPR50" s="19"/>
      <c r="UPS50" s="19"/>
      <c r="UPT50" s="19"/>
      <c r="UPU50" s="19"/>
      <c r="UPV50" s="19"/>
      <c r="UPW50" s="19"/>
      <c r="UPX50" s="19"/>
      <c r="UPY50" s="19"/>
      <c r="UPZ50" s="19"/>
      <c r="UQA50" s="19"/>
      <c r="UQB50" s="19"/>
      <c r="UQC50" s="19"/>
      <c r="UQD50" s="19"/>
      <c r="UQE50" s="19"/>
      <c r="UQF50" s="19"/>
      <c r="UQG50" s="19"/>
      <c r="UQH50" s="19"/>
      <c r="UQI50" s="19"/>
      <c r="UQJ50" s="19"/>
      <c r="UQK50" s="19"/>
      <c r="UQL50" s="19"/>
      <c r="UQM50" s="19"/>
      <c r="UQN50" s="19"/>
      <c r="UQO50" s="19"/>
      <c r="UQP50" s="19"/>
      <c r="UQQ50" s="19"/>
      <c r="UQR50" s="19"/>
      <c r="UQS50" s="19"/>
      <c r="UQT50" s="19"/>
      <c r="UQU50" s="19"/>
      <c r="UQV50" s="19"/>
      <c r="UQW50" s="19"/>
      <c r="UQX50" s="19"/>
      <c r="UQY50" s="19"/>
      <c r="UQZ50" s="19"/>
      <c r="URA50" s="19"/>
      <c r="URB50" s="19"/>
      <c r="URC50" s="19"/>
      <c r="URD50" s="19"/>
      <c r="URE50" s="19"/>
      <c r="URF50" s="19"/>
      <c r="URG50" s="19"/>
      <c r="URH50" s="19"/>
      <c r="URI50" s="19"/>
      <c r="URJ50" s="19"/>
      <c r="URK50" s="19"/>
      <c r="URL50" s="19"/>
      <c r="URM50" s="19"/>
      <c r="URN50" s="19"/>
      <c r="URO50" s="19"/>
      <c r="URP50" s="19"/>
      <c r="URQ50" s="19"/>
      <c r="URR50" s="19"/>
      <c r="URS50" s="19"/>
      <c r="URT50" s="19"/>
      <c r="URU50" s="19"/>
      <c r="URV50" s="19"/>
      <c r="URW50" s="19"/>
      <c r="URX50" s="19"/>
      <c r="URY50" s="19"/>
      <c r="URZ50" s="19"/>
      <c r="USA50" s="19"/>
      <c r="USB50" s="19"/>
      <c r="USC50" s="19"/>
      <c r="USD50" s="19"/>
      <c r="USE50" s="19"/>
      <c r="USF50" s="19"/>
      <c r="USG50" s="19"/>
      <c r="USH50" s="19"/>
      <c r="USI50" s="19"/>
      <c r="USJ50" s="19"/>
      <c r="USK50" s="19"/>
      <c r="USL50" s="19"/>
      <c r="USM50" s="19"/>
      <c r="USN50" s="19"/>
      <c r="USO50" s="19"/>
      <c r="USP50" s="19"/>
      <c r="USQ50" s="19"/>
      <c r="USR50" s="19"/>
      <c r="USS50" s="19"/>
      <c r="UST50" s="19"/>
      <c r="USU50" s="19"/>
      <c r="USV50" s="19"/>
      <c r="USW50" s="19"/>
      <c r="USX50" s="19"/>
      <c r="USY50" s="19"/>
      <c r="USZ50" s="19"/>
      <c r="UTA50" s="19"/>
      <c r="UTB50" s="19"/>
      <c r="UTC50" s="19"/>
      <c r="UTD50" s="19"/>
      <c r="UTE50" s="19"/>
      <c r="UTF50" s="19"/>
      <c r="UTG50" s="19"/>
      <c r="UTH50" s="19"/>
      <c r="UTI50" s="19"/>
      <c r="UTJ50" s="19"/>
      <c r="UTK50" s="19"/>
      <c r="UTL50" s="19"/>
      <c r="UTM50" s="19"/>
      <c r="UTN50" s="19"/>
      <c r="UTO50" s="19"/>
      <c r="UTP50" s="19"/>
      <c r="UTQ50" s="19"/>
      <c r="UTR50" s="19"/>
      <c r="UTS50" s="19"/>
      <c r="UTT50" s="19"/>
      <c r="UTU50" s="19"/>
      <c r="UTV50" s="19"/>
      <c r="UTW50" s="19"/>
      <c r="UTX50" s="19"/>
      <c r="UTY50" s="19"/>
      <c r="UTZ50" s="19"/>
      <c r="UUA50" s="19"/>
      <c r="UUB50" s="19"/>
      <c r="UUC50" s="19"/>
      <c r="UUD50" s="19"/>
      <c r="UUE50" s="19"/>
      <c r="UUF50" s="19"/>
      <c r="UUG50" s="19"/>
      <c r="UUH50" s="19"/>
      <c r="UUI50" s="19"/>
      <c r="UUJ50" s="19"/>
      <c r="UUK50" s="19"/>
      <c r="UUL50" s="19"/>
      <c r="UUM50" s="19"/>
      <c r="UUN50" s="19"/>
      <c r="UUO50" s="19"/>
      <c r="UUP50" s="19"/>
      <c r="UUQ50" s="19"/>
      <c r="UUR50" s="19"/>
      <c r="UUS50" s="19"/>
      <c r="UUT50" s="19"/>
      <c r="UUU50" s="19"/>
      <c r="UUV50" s="19"/>
      <c r="UUW50" s="19"/>
      <c r="UUX50" s="19"/>
      <c r="UUY50" s="19"/>
      <c r="UUZ50" s="19"/>
      <c r="UVA50" s="19"/>
      <c r="UVB50" s="19"/>
      <c r="UVC50" s="19"/>
      <c r="UVD50" s="19"/>
      <c r="UVE50" s="19"/>
      <c r="UVF50" s="19"/>
      <c r="UVG50" s="19"/>
      <c r="UVH50" s="19"/>
      <c r="UVI50" s="19"/>
      <c r="UVJ50" s="19"/>
      <c r="UVK50" s="19"/>
      <c r="UVL50" s="19"/>
      <c r="UVM50" s="19"/>
      <c r="UVN50" s="19"/>
      <c r="UVO50" s="19"/>
      <c r="UVP50" s="19"/>
      <c r="UVQ50" s="19"/>
      <c r="UVR50" s="19"/>
      <c r="UVS50" s="19"/>
      <c r="UVT50" s="19"/>
      <c r="UVU50" s="19"/>
      <c r="UVV50" s="19"/>
      <c r="UVW50" s="19"/>
      <c r="UVX50" s="19"/>
      <c r="UVY50" s="19"/>
      <c r="UVZ50" s="19"/>
      <c r="UWA50" s="19"/>
      <c r="UWB50" s="19"/>
      <c r="UWC50" s="19"/>
      <c r="UWD50" s="19"/>
      <c r="UWE50" s="19"/>
      <c r="UWF50" s="19"/>
      <c r="UWG50" s="19"/>
      <c r="UWH50" s="19"/>
      <c r="UWI50" s="19"/>
      <c r="UWJ50" s="19"/>
      <c r="UWK50" s="19"/>
      <c r="UWL50" s="19"/>
      <c r="UWM50" s="19"/>
      <c r="UWN50" s="19"/>
      <c r="UWO50" s="19"/>
      <c r="UWP50" s="19"/>
      <c r="UWQ50" s="19"/>
      <c r="UWR50" s="19"/>
      <c r="UWS50" s="19"/>
      <c r="UWT50" s="19"/>
      <c r="UWU50" s="19"/>
      <c r="UWV50" s="19"/>
      <c r="UWW50" s="19"/>
      <c r="UWX50" s="19"/>
      <c r="UWY50" s="19"/>
      <c r="UWZ50" s="19"/>
      <c r="UXA50" s="19"/>
      <c r="UXB50" s="19"/>
      <c r="UXC50" s="19"/>
      <c r="UXD50" s="19"/>
      <c r="UXE50" s="19"/>
      <c r="UXF50" s="19"/>
      <c r="UXG50" s="19"/>
      <c r="UXH50" s="19"/>
      <c r="UXI50" s="19"/>
      <c r="UXJ50" s="19"/>
      <c r="UXK50" s="19"/>
      <c r="UXL50" s="19"/>
      <c r="UXM50" s="19"/>
      <c r="UXN50" s="19"/>
      <c r="UXO50" s="19"/>
      <c r="UXP50" s="19"/>
      <c r="UXQ50" s="19"/>
      <c r="UXR50" s="19"/>
      <c r="UXS50" s="19"/>
      <c r="UXT50" s="19"/>
      <c r="UXU50" s="19"/>
      <c r="UXV50" s="19"/>
      <c r="UXW50" s="19"/>
      <c r="UXX50" s="19"/>
      <c r="UXY50" s="19"/>
      <c r="UXZ50" s="19"/>
      <c r="UYA50" s="19"/>
      <c r="UYB50" s="19"/>
      <c r="UYC50" s="19"/>
      <c r="UYD50" s="19"/>
      <c r="UYE50" s="19"/>
      <c r="UYF50" s="19"/>
      <c r="UYG50" s="19"/>
      <c r="UYH50" s="19"/>
      <c r="UYI50" s="19"/>
      <c r="UYJ50" s="19"/>
      <c r="UYK50" s="19"/>
      <c r="UYL50" s="19"/>
      <c r="UYM50" s="19"/>
      <c r="UYN50" s="19"/>
      <c r="UYO50" s="19"/>
      <c r="UYP50" s="19"/>
      <c r="UYQ50" s="19"/>
      <c r="UYR50" s="19"/>
      <c r="UYS50" s="19"/>
      <c r="UYT50" s="19"/>
      <c r="UYU50" s="19"/>
      <c r="UYV50" s="19"/>
      <c r="UYW50" s="19"/>
      <c r="UYX50" s="19"/>
      <c r="UYY50" s="19"/>
      <c r="UYZ50" s="19"/>
      <c r="UZA50" s="19"/>
      <c r="UZB50" s="19"/>
      <c r="UZC50" s="19"/>
      <c r="UZD50" s="19"/>
      <c r="UZE50" s="19"/>
      <c r="UZF50" s="19"/>
      <c r="UZG50" s="19"/>
      <c r="UZH50" s="19"/>
      <c r="UZI50" s="19"/>
      <c r="UZJ50" s="19"/>
      <c r="UZK50" s="19"/>
      <c r="UZL50" s="19"/>
      <c r="UZM50" s="19"/>
      <c r="UZN50" s="19"/>
      <c r="UZO50" s="19"/>
      <c r="UZP50" s="19"/>
      <c r="UZQ50" s="19"/>
      <c r="UZR50" s="19"/>
      <c r="UZS50" s="19"/>
      <c r="UZT50" s="19"/>
      <c r="UZU50" s="19"/>
      <c r="UZV50" s="19"/>
      <c r="UZW50" s="19"/>
      <c r="UZX50" s="19"/>
      <c r="UZY50" s="19"/>
      <c r="UZZ50" s="19"/>
      <c r="VAA50" s="19"/>
      <c r="VAB50" s="19"/>
      <c r="VAC50" s="19"/>
      <c r="VAD50" s="19"/>
      <c r="VAE50" s="19"/>
      <c r="VAF50" s="19"/>
      <c r="VAG50" s="19"/>
      <c r="VAH50" s="19"/>
      <c r="VAI50" s="19"/>
      <c r="VAJ50" s="19"/>
      <c r="VAK50" s="19"/>
      <c r="VAL50" s="19"/>
      <c r="VAM50" s="19"/>
      <c r="VAN50" s="19"/>
      <c r="VAO50" s="19"/>
      <c r="VAP50" s="19"/>
      <c r="VAQ50" s="19"/>
      <c r="VAR50" s="19"/>
      <c r="VAS50" s="19"/>
      <c r="VAT50" s="19"/>
      <c r="VAU50" s="19"/>
      <c r="VAV50" s="19"/>
      <c r="VAW50" s="19"/>
      <c r="VAX50" s="19"/>
      <c r="VAY50" s="19"/>
      <c r="VAZ50" s="19"/>
      <c r="VBA50" s="19"/>
      <c r="VBB50" s="19"/>
      <c r="VBC50" s="19"/>
      <c r="VBD50" s="19"/>
      <c r="VBE50" s="19"/>
      <c r="VBF50" s="19"/>
      <c r="VBG50" s="19"/>
      <c r="VBH50" s="19"/>
      <c r="VBI50" s="19"/>
      <c r="VBJ50" s="19"/>
      <c r="VBK50" s="19"/>
      <c r="VBL50" s="19"/>
      <c r="VBM50" s="19"/>
      <c r="VBN50" s="19"/>
      <c r="VBO50" s="19"/>
      <c r="VBP50" s="19"/>
      <c r="VBQ50" s="19"/>
      <c r="VBR50" s="19"/>
      <c r="VBS50" s="19"/>
      <c r="VBT50" s="19"/>
      <c r="VBU50" s="19"/>
      <c r="VBV50" s="19"/>
      <c r="VBW50" s="19"/>
      <c r="VBX50" s="19"/>
      <c r="VBY50" s="19"/>
      <c r="VBZ50" s="19"/>
      <c r="VCA50" s="19"/>
      <c r="VCB50" s="19"/>
      <c r="VCC50" s="19"/>
      <c r="VCD50" s="19"/>
      <c r="VCE50" s="19"/>
      <c r="VCF50" s="19"/>
      <c r="VCG50" s="19"/>
      <c r="VCH50" s="19"/>
      <c r="VCI50" s="19"/>
      <c r="VCJ50" s="19"/>
      <c r="VCK50" s="19"/>
      <c r="VCL50" s="19"/>
      <c r="VCM50" s="19"/>
      <c r="VCN50" s="19"/>
      <c r="VCO50" s="19"/>
      <c r="VCP50" s="19"/>
      <c r="VCQ50" s="19"/>
      <c r="VCR50" s="19"/>
      <c r="VCS50" s="19"/>
      <c r="VCT50" s="19"/>
      <c r="VCU50" s="19"/>
      <c r="VCV50" s="19"/>
      <c r="VCW50" s="19"/>
      <c r="VCX50" s="19"/>
      <c r="VCY50" s="19"/>
      <c r="VCZ50" s="19"/>
      <c r="VDA50" s="19"/>
      <c r="VDB50" s="19"/>
      <c r="VDC50" s="19"/>
      <c r="VDD50" s="19"/>
      <c r="VDE50" s="19"/>
      <c r="VDF50" s="19"/>
      <c r="VDG50" s="19"/>
      <c r="VDH50" s="19"/>
      <c r="VDI50" s="19"/>
      <c r="VDJ50" s="19"/>
      <c r="VDK50" s="19"/>
      <c r="VDL50" s="19"/>
      <c r="VDM50" s="19"/>
      <c r="VDN50" s="19"/>
      <c r="VDO50" s="19"/>
      <c r="VDP50" s="19"/>
      <c r="VDQ50" s="19"/>
      <c r="VDR50" s="19"/>
      <c r="VDS50" s="19"/>
      <c r="VDT50" s="19"/>
      <c r="VDU50" s="19"/>
      <c r="VDV50" s="19"/>
      <c r="VDW50" s="19"/>
      <c r="VDX50" s="19"/>
      <c r="VDY50" s="19"/>
      <c r="VDZ50" s="19"/>
      <c r="VEA50" s="19"/>
      <c r="VEB50" s="19"/>
      <c r="VEC50" s="19"/>
      <c r="VED50" s="19"/>
      <c r="VEE50" s="19"/>
      <c r="VEF50" s="19"/>
      <c r="VEG50" s="19"/>
      <c r="VEH50" s="19"/>
      <c r="VEI50" s="19"/>
      <c r="VEJ50" s="19"/>
      <c r="VEK50" s="19"/>
      <c r="VEL50" s="19"/>
      <c r="VEM50" s="19"/>
      <c r="VEN50" s="19"/>
      <c r="VEO50" s="19"/>
      <c r="VEP50" s="19"/>
      <c r="VEQ50" s="19"/>
      <c r="VER50" s="19"/>
      <c r="VES50" s="19"/>
      <c r="VET50" s="19"/>
      <c r="VEU50" s="19"/>
      <c r="VEV50" s="19"/>
      <c r="VEW50" s="19"/>
      <c r="VEX50" s="19"/>
      <c r="VEY50" s="19"/>
      <c r="VEZ50" s="19"/>
      <c r="VFA50" s="19"/>
      <c r="VFB50" s="19"/>
      <c r="VFC50" s="19"/>
      <c r="VFD50" s="19"/>
      <c r="VFE50" s="19"/>
      <c r="VFF50" s="19"/>
      <c r="VFG50" s="19"/>
      <c r="VFH50" s="19"/>
      <c r="VFI50" s="19"/>
      <c r="VFJ50" s="19"/>
      <c r="VFK50" s="19"/>
      <c r="VFL50" s="19"/>
      <c r="VFM50" s="19"/>
      <c r="VFN50" s="19"/>
      <c r="VFO50" s="19"/>
      <c r="VFP50" s="19"/>
      <c r="VFQ50" s="19"/>
      <c r="VFR50" s="19"/>
      <c r="VFS50" s="19"/>
      <c r="VFT50" s="19"/>
      <c r="VFU50" s="19"/>
      <c r="VFV50" s="19"/>
      <c r="VFW50" s="19"/>
      <c r="VFX50" s="19"/>
      <c r="VFY50" s="19"/>
      <c r="VFZ50" s="19"/>
      <c r="VGA50" s="19"/>
      <c r="VGB50" s="19"/>
      <c r="VGC50" s="19"/>
      <c r="VGD50" s="19"/>
      <c r="VGE50" s="19"/>
      <c r="VGF50" s="19"/>
      <c r="VGG50" s="19"/>
      <c r="VGH50" s="19"/>
      <c r="VGI50" s="19"/>
      <c r="VGJ50" s="19"/>
      <c r="VGK50" s="19"/>
      <c r="VGL50" s="19"/>
      <c r="VGM50" s="19"/>
      <c r="VGN50" s="19"/>
      <c r="VGO50" s="19"/>
      <c r="VGP50" s="19"/>
      <c r="VGQ50" s="19"/>
      <c r="VGR50" s="19"/>
      <c r="VGS50" s="19"/>
      <c r="VGT50" s="19"/>
      <c r="VGU50" s="19"/>
      <c r="VGV50" s="19"/>
      <c r="VGW50" s="19"/>
      <c r="VGX50" s="19"/>
      <c r="VGY50" s="19"/>
      <c r="VGZ50" s="19"/>
      <c r="VHA50" s="19"/>
      <c r="VHB50" s="19"/>
      <c r="VHC50" s="19"/>
      <c r="VHD50" s="19"/>
      <c r="VHE50" s="19"/>
      <c r="VHF50" s="19"/>
      <c r="VHG50" s="19"/>
      <c r="VHH50" s="19"/>
      <c r="VHI50" s="19"/>
      <c r="VHJ50" s="19"/>
      <c r="VHK50" s="19"/>
      <c r="VHL50" s="19"/>
      <c r="VHM50" s="19"/>
      <c r="VHN50" s="19"/>
      <c r="VHO50" s="19"/>
      <c r="VHP50" s="19"/>
      <c r="VHQ50" s="19"/>
      <c r="VHR50" s="19"/>
      <c r="VHS50" s="19"/>
      <c r="VHT50" s="19"/>
      <c r="VHU50" s="19"/>
      <c r="VHV50" s="19"/>
      <c r="VHW50" s="19"/>
      <c r="VHX50" s="19"/>
      <c r="VHY50" s="19"/>
      <c r="VHZ50" s="19"/>
      <c r="VIA50" s="19"/>
      <c r="VIB50" s="19"/>
      <c r="VIC50" s="19"/>
      <c r="VID50" s="19"/>
      <c r="VIE50" s="19"/>
      <c r="VIF50" s="19"/>
      <c r="VIG50" s="19"/>
      <c r="VIH50" s="19"/>
      <c r="VII50" s="19"/>
      <c r="VIJ50" s="19"/>
      <c r="VIK50" s="19"/>
      <c r="VIL50" s="19"/>
      <c r="VIM50" s="19"/>
      <c r="VIN50" s="19"/>
      <c r="VIO50" s="19"/>
      <c r="VIP50" s="19"/>
      <c r="VIQ50" s="19"/>
      <c r="VIR50" s="19"/>
      <c r="VIS50" s="19"/>
      <c r="VIT50" s="19"/>
      <c r="VIU50" s="19"/>
      <c r="VIV50" s="19"/>
      <c r="VIW50" s="19"/>
      <c r="VIX50" s="19"/>
      <c r="VIY50" s="19"/>
      <c r="VIZ50" s="19"/>
      <c r="VJA50" s="19"/>
      <c r="VJB50" s="19"/>
      <c r="VJC50" s="19"/>
      <c r="VJD50" s="19"/>
      <c r="VJE50" s="19"/>
      <c r="VJF50" s="19"/>
      <c r="VJG50" s="19"/>
      <c r="VJH50" s="19"/>
      <c r="VJI50" s="19"/>
      <c r="VJJ50" s="19"/>
      <c r="VJK50" s="19"/>
      <c r="VJL50" s="19"/>
      <c r="VJM50" s="19"/>
      <c r="VJN50" s="19"/>
      <c r="VJO50" s="19"/>
      <c r="VJP50" s="19"/>
      <c r="VJQ50" s="19"/>
      <c r="VJR50" s="19"/>
      <c r="VJS50" s="19"/>
      <c r="VJT50" s="19"/>
      <c r="VJU50" s="19"/>
      <c r="VJV50" s="19"/>
      <c r="VJW50" s="19"/>
      <c r="VJX50" s="19"/>
      <c r="VJY50" s="19"/>
      <c r="VJZ50" s="19"/>
      <c r="VKA50" s="19"/>
      <c r="VKB50" s="19"/>
      <c r="VKC50" s="19"/>
      <c r="VKD50" s="19"/>
      <c r="VKE50" s="19"/>
      <c r="VKF50" s="19"/>
      <c r="VKG50" s="19"/>
      <c r="VKH50" s="19"/>
      <c r="VKI50" s="19"/>
      <c r="VKJ50" s="19"/>
      <c r="VKK50" s="19"/>
      <c r="VKL50" s="19"/>
      <c r="VKM50" s="19"/>
      <c r="VKN50" s="19"/>
      <c r="VKO50" s="19"/>
      <c r="VKP50" s="19"/>
      <c r="VKQ50" s="19"/>
      <c r="VKR50" s="19"/>
      <c r="VKS50" s="19"/>
      <c r="VKT50" s="19"/>
      <c r="VKU50" s="19"/>
      <c r="VKV50" s="19"/>
      <c r="VKW50" s="19"/>
      <c r="VKX50" s="19"/>
      <c r="VKY50" s="19"/>
      <c r="VKZ50" s="19"/>
      <c r="VLA50" s="19"/>
      <c r="VLB50" s="19"/>
      <c r="VLC50" s="19"/>
      <c r="VLD50" s="19"/>
      <c r="VLE50" s="19"/>
      <c r="VLF50" s="19"/>
      <c r="VLG50" s="19"/>
      <c r="VLH50" s="19"/>
      <c r="VLI50" s="19"/>
      <c r="VLJ50" s="19"/>
      <c r="VLK50" s="19"/>
      <c r="VLL50" s="19"/>
      <c r="VLM50" s="19"/>
      <c r="VLN50" s="19"/>
      <c r="VLO50" s="19"/>
      <c r="VLP50" s="19"/>
      <c r="VLQ50" s="19"/>
      <c r="VLR50" s="19"/>
      <c r="VLS50" s="19"/>
      <c r="VLT50" s="19"/>
      <c r="VLU50" s="19"/>
      <c r="VLV50" s="19"/>
      <c r="VLW50" s="19"/>
      <c r="VLX50" s="19"/>
      <c r="VLY50" s="19"/>
      <c r="VLZ50" s="19"/>
      <c r="VMA50" s="19"/>
      <c r="VMB50" s="19"/>
      <c r="VMC50" s="19"/>
      <c r="VMD50" s="19"/>
      <c r="VME50" s="19"/>
      <c r="VMF50" s="19"/>
      <c r="VMG50" s="19"/>
      <c r="VMH50" s="19"/>
      <c r="VMI50" s="19"/>
      <c r="VMJ50" s="19"/>
      <c r="VMK50" s="19"/>
      <c r="VML50" s="19"/>
      <c r="VMM50" s="19"/>
      <c r="VMN50" s="19"/>
      <c r="VMO50" s="19"/>
      <c r="VMP50" s="19"/>
      <c r="VMQ50" s="19"/>
      <c r="VMR50" s="19"/>
      <c r="VMS50" s="19"/>
      <c r="VMT50" s="19"/>
      <c r="VMU50" s="19"/>
      <c r="VMV50" s="19"/>
      <c r="VMW50" s="19"/>
      <c r="VMX50" s="19"/>
      <c r="VMY50" s="19"/>
      <c r="VMZ50" s="19"/>
      <c r="VNA50" s="19"/>
      <c r="VNB50" s="19"/>
      <c r="VNC50" s="19"/>
      <c r="VND50" s="19"/>
      <c r="VNE50" s="19"/>
      <c r="VNF50" s="19"/>
      <c r="VNG50" s="19"/>
      <c r="VNH50" s="19"/>
      <c r="VNI50" s="19"/>
      <c r="VNJ50" s="19"/>
      <c r="VNK50" s="19"/>
      <c r="VNL50" s="19"/>
      <c r="VNM50" s="19"/>
      <c r="VNN50" s="19"/>
      <c r="VNO50" s="19"/>
      <c r="VNP50" s="19"/>
      <c r="VNQ50" s="19"/>
      <c r="VNR50" s="19"/>
      <c r="VNS50" s="19"/>
      <c r="VNT50" s="19"/>
      <c r="VNU50" s="19"/>
      <c r="VNV50" s="19"/>
      <c r="VNW50" s="19"/>
      <c r="VNX50" s="19"/>
      <c r="VNY50" s="19"/>
      <c r="VNZ50" s="19"/>
      <c r="VOA50" s="19"/>
      <c r="VOB50" s="19"/>
      <c r="VOC50" s="19"/>
      <c r="VOD50" s="19"/>
      <c r="VOE50" s="19"/>
      <c r="VOF50" s="19"/>
      <c r="VOG50" s="19"/>
      <c r="VOH50" s="19"/>
      <c r="VOI50" s="19"/>
      <c r="VOJ50" s="19"/>
      <c r="VOK50" s="19"/>
      <c r="VOL50" s="19"/>
      <c r="VOM50" s="19"/>
      <c r="VON50" s="19"/>
      <c r="VOO50" s="19"/>
      <c r="VOP50" s="19"/>
      <c r="VOQ50" s="19"/>
      <c r="VOR50" s="19"/>
      <c r="VOS50" s="19"/>
      <c r="VOT50" s="19"/>
      <c r="VOU50" s="19"/>
      <c r="VOV50" s="19"/>
      <c r="VOW50" s="19"/>
      <c r="VOX50" s="19"/>
      <c r="VOY50" s="19"/>
      <c r="VOZ50" s="19"/>
      <c r="VPA50" s="19"/>
      <c r="VPB50" s="19"/>
      <c r="VPC50" s="19"/>
      <c r="VPD50" s="19"/>
      <c r="VPE50" s="19"/>
      <c r="VPF50" s="19"/>
      <c r="VPG50" s="19"/>
      <c r="VPH50" s="19"/>
      <c r="VPI50" s="19"/>
      <c r="VPJ50" s="19"/>
      <c r="VPK50" s="19"/>
      <c r="VPL50" s="19"/>
      <c r="VPM50" s="19"/>
      <c r="VPN50" s="19"/>
      <c r="VPO50" s="19"/>
      <c r="VPP50" s="19"/>
      <c r="VPQ50" s="19"/>
      <c r="VPR50" s="19"/>
      <c r="VPS50" s="19"/>
      <c r="VPT50" s="19"/>
      <c r="VPU50" s="19"/>
      <c r="VPV50" s="19"/>
      <c r="VPW50" s="19"/>
      <c r="VPX50" s="19"/>
      <c r="VPY50" s="19"/>
      <c r="VPZ50" s="19"/>
      <c r="VQA50" s="19"/>
      <c r="VQB50" s="19"/>
      <c r="VQC50" s="19"/>
      <c r="VQD50" s="19"/>
      <c r="VQE50" s="19"/>
      <c r="VQF50" s="19"/>
      <c r="VQG50" s="19"/>
      <c r="VQH50" s="19"/>
      <c r="VQI50" s="19"/>
      <c r="VQJ50" s="19"/>
      <c r="VQK50" s="19"/>
      <c r="VQL50" s="19"/>
      <c r="VQM50" s="19"/>
      <c r="VQN50" s="19"/>
      <c r="VQO50" s="19"/>
      <c r="VQP50" s="19"/>
      <c r="VQQ50" s="19"/>
      <c r="VQR50" s="19"/>
      <c r="VQS50" s="19"/>
      <c r="VQT50" s="19"/>
      <c r="VQU50" s="19"/>
      <c r="VQV50" s="19"/>
      <c r="VQW50" s="19"/>
      <c r="VQX50" s="19"/>
      <c r="VQY50" s="19"/>
      <c r="VQZ50" s="19"/>
      <c r="VRA50" s="19"/>
      <c r="VRB50" s="19"/>
      <c r="VRC50" s="19"/>
      <c r="VRD50" s="19"/>
      <c r="VRE50" s="19"/>
      <c r="VRF50" s="19"/>
      <c r="VRG50" s="19"/>
      <c r="VRH50" s="19"/>
      <c r="VRI50" s="19"/>
      <c r="VRJ50" s="19"/>
      <c r="VRK50" s="19"/>
      <c r="VRL50" s="19"/>
      <c r="VRM50" s="19"/>
      <c r="VRN50" s="19"/>
      <c r="VRO50" s="19"/>
      <c r="VRP50" s="19"/>
      <c r="VRQ50" s="19"/>
      <c r="VRR50" s="19"/>
      <c r="VRS50" s="19"/>
      <c r="VRT50" s="19"/>
      <c r="VRU50" s="19"/>
      <c r="VRV50" s="19"/>
      <c r="VRW50" s="19"/>
      <c r="VRX50" s="19"/>
      <c r="VRY50" s="19"/>
      <c r="VRZ50" s="19"/>
      <c r="VSA50" s="19"/>
      <c r="VSB50" s="19"/>
      <c r="VSC50" s="19"/>
      <c r="VSD50" s="19"/>
      <c r="VSE50" s="19"/>
      <c r="VSF50" s="19"/>
      <c r="VSG50" s="19"/>
      <c r="VSH50" s="19"/>
      <c r="VSI50" s="19"/>
      <c r="VSJ50" s="19"/>
      <c r="VSK50" s="19"/>
      <c r="VSL50" s="19"/>
      <c r="VSM50" s="19"/>
      <c r="VSN50" s="19"/>
      <c r="VSO50" s="19"/>
      <c r="VSP50" s="19"/>
      <c r="VSQ50" s="19"/>
      <c r="VSR50" s="19"/>
      <c r="VSS50" s="19"/>
      <c r="VST50" s="19"/>
      <c r="VSU50" s="19"/>
      <c r="VSV50" s="19"/>
      <c r="VSW50" s="19"/>
      <c r="VSX50" s="19"/>
      <c r="VSY50" s="19"/>
      <c r="VSZ50" s="19"/>
      <c r="VTA50" s="19"/>
      <c r="VTB50" s="19"/>
      <c r="VTC50" s="19"/>
      <c r="VTD50" s="19"/>
      <c r="VTE50" s="19"/>
      <c r="VTF50" s="19"/>
      <c r="VTG50" s="19"/>
      <c r="VTH50" s="19"/>
      <c r="VTI50" s="19"/>
      <c r="VTJ50" s="19"/>
      <c r="VTK50" s="19"/>
      <c r="VTL50" s="19"/>
      <c r="VTM50" s="19"/>
      <c r="VTN50" s="19"/>
      <c r="VTO50" s="19"/>
      <c r="VTP50" s="19"/>
      <c r="VTQ50" s="19"/>
      <c r="VTR50" s="19"/>
      <c r="VTS50" s="19"/>
      <c r="VTT50" s="19"/>
      <c r="VTU50" s="19"/>
      <c r="VTV50" s="19"/>
      <c r="VTW50" s="19"/>
      <c r="VTX50" s="19"/>
      <c r="VTY50" s="19"/>
      <c r="VTZ50" s="19"/>
      <c r="VUA50" s="19"/>
      <c r="VUB50" s="19"/>
      <c r="VUC50" s="19"/>
      <c r="VUD50" s="19"/>
      <c r="VUE50" s="19"/>
      <c r="VUF50" s="19"/>
      <c r="VUG50" s="19"/>
      <c r="VUH50" s="19"/>
      <c r="VUI50" s="19"/>
      <c r="VUJ50" s="19"/>
      <c r="VUK50" s="19"/>
      <c r="VUL50" s="19"/>
      <c r="VUM50" s="19"/>
      <c r="VUN50" s="19"/>
      <c r="VUO50" s="19"/>
      <c r="VUP50" s="19"/>
      <c r="VUQ50" s="19"/>
      <c r="VUR50" s="19"/>
      <c r="VUS50" s="19"/>
      <c r="VUT50" s="19"/>
      <c r="VUU50" s="19"/>
      <c r="VUV50" s="19"/>
      <c r="VUW50" s="19"/>
      <c r="VUX50" s="19"/>
      <c r="VUY50" s="19"/>
      <c r="VUZ50" s="19"/>
      <c r="VVA50" s="19"/>
      <c r="VVB50" s="19"/>
      <c r="VVC50" s="19"/>
      <c r="VVD50" s="19"/>
      <c r="VVE50" s="19"/>
      <c r="VVF50" s="19"/>
      <c r="VVG50" s="19"/>
      <c r="VVH50" s="19"/>
      <c r="VVI50" s="19"/>
      <c r="VVJ50" s="19"/>
      <c r="VVK50" s="19"/>
      <c r="VVL50" s="19"/>
      <c r="VVM50" s="19"/>
      <c r="VVN50" s="19"/>
      <c r="VVO50" s="19"/>
      <c r="VVP50" s="19"/>
      <c r="VVQ50" s="19"/>
      <c r="VVR50" s="19"/>
      <c r="VVS50" s="19"/>
      <c r="VVT50" s="19"/>
      <c r="VVU50" s="19"/>
      <c r="VVV50" s="19"/>
      <c r="VVW50" s="19"/>
      <c r="VVX50" s="19"/>
      <c r="VVY50" s="19"/>
      <c r="VVZ50" s="19"/>
      <c r="VWA50" s="19"/>
      <c r="VWB50" s="19"/>
      <c r="VWC50" s="19"/>
      <c r="VWD50" s="19"/>
      <c r="VWE50" s="19"/>
      <c r="VWF50" s="19"/>
      <c r="VWG50" s="19"/>
      <c r="VWH50" s="19"/>
      <c r="VWI50" s="19"/>
      <c r="VWJ50" s="19"/>
      <c r="VWK50" s="19"/>
      <c r="VWL50" s="19"/>
      <c r="VWM50" s="19"/>
      <c r="VWN50" s="19"/>
      <c r="VWO50" s="19"/>
      <c r="VWP50" s="19"/>
      <c r="VWQ50" s="19"/>
      <c r="VWR50" s="19"/>
      <c r="VWS50" s="19"/>
      <c r="VWT50" s="19"/>
      <c r="VWU50" s="19"/>
      <c r="VWV50" s="19"/>
      <c r="VWW50" s="19"/>
      <c r="VWX50" s="19"/>
      <c r="VWY50" s="19"/>
      <c r="VWZ50" s="19"/>
      <c r="VXA50" s="19"/>
      <c r="VXB50" s="19"/>
      <c r="VXC50" s="19"/>
      <c r="VXD50" s="19"/>
      <c r="VXE50" s="19"/>
      <c r="VXF50" s="19"/>
      <c r="VXG50" s="19"/>
      <c r="VXH50" s="19"/>
      <c r="VXI50" s="19"/>
      <c r="VXJ50" s="19"/>
      <c r="VXK50" s="19"/>
      <c r="VXL50" s="19"/>
      <c r="VXM50" s="19"/>
      <c r="VXN50" s="19"/>
      <c r="VXO50" s="19"/>
      <c r="VXP50" s="19"/>
      <c r="VXQ50" s="19"/>
      <c r="VXR50" s="19"/>
      <c r="VXS50" s="19"/>
      <c r="VXT50" s="19"/>
      <c r="VXU50" s="19"/>
      <c r="VXV50" s="19"/>
      <c r="VXW50" s="19"/>
      <c r="VXX50" s="19"/>
      <c r="VXY50" s="19"/>
      <c r="VXZ50" s="19"/>
      <c r="VYA50" s="19"/>
      <c r="VYB50" s="19"/>
      <c r="VYC50" s="19"/>
      <c r="VYD50" s="19"/>
      <c r="VYE50" s="19"/>
      <c r="VYF50" s="19"/>
      <c r="VYG50" s="19"/>
      <c r="VYH50" s="19"/>
      <c r="VYI50" s="19"/>
      <c r="VYJ50" s="19"/>
      <c r="VYK50" s="19"/>
      <c r="VYL50" s="19"/>
      <c r="VYM50" s="19"/>
      <c r="VYN50" s="19"/>
      <c r="VYO50" s="19"/>
      <c r="VYP50" s="19"/>
      <c r="VYQ50" s="19"/>
      <c r="VYR50" s="19"/>
      <c r="VYS50" s="19"/>
      <c r="VYT50" s="19"/>
      <c r="VYU50" s="19"/>
      <c r="VYV50" s="19"/>
      <c r="VYW50" s="19"/>
      <c r="VYX50" s="19"/>
      <c r="VYY50" s="19"/>
      <c r="VYZ50" s="19"/>
      <c r="VZA50" s="19"/>
      <c r="VZB50" s="19"/>
      <c r="VZC50" s="19"/>
      <c r="VZD50" s="19"/>
      <c r="VZE50" s="19"/>
      <c r="VZF50" s="19"/>
      <c r="VZG50" s="19"/>
      <c r="VZH50" s="19"/>
      <c r="VZI50" s="19"/>
      <c r="VZJ50" s="19"/>
      <c r="VZK50" s="19"/>
      <c r="VZL50" s="19"/>
      <c r="VZM50" s="19"/>
      <c r="VZN50" s="19"/>
      <c r="VZO50" s="19"/>
      <c r="VZP50" s="19"/>
      <c r="VZQ50" s="19"/>
      <c r="VZR50" s="19"/>
      <c r="VZS50" s="19"/>
      <c r="VZT50" s="19"/>
      <c r="VZU50" s="19"/>
      <c r="VZV50" s="19"/>
      <c r="VZW50" s="19"/>
      <c r="VZX50" s="19"/>
      <c r="VZY50" s="19"/>
      <c r="VZZ50" s="19"/>
      <c r="WAA50" s="19"/>
      <c r="WAB50" s="19"/>
      <c r="WAC50" s="19"/>
      <c r="WAD50" s="19"/>
      <c r="WAE50" s="19"/>
      <c r="WAF50" s="19"/>
      <c r="WAG50" s="19"/>
      <c r="WAH50" s="19"/>
      <c r="WAI50" s="19"/>
      <c r="WAJ50" s="19"/>
      <c r="WAK50" s="19"/>
      <c r="WAL50" s="19"/>
      <c r="WAM50" s="19"/>
      <c r="WAN50" s="19"/>
      <c r="WAO50" s="19"/>
      <c r="WAP50" s="19"/>
      <c r="WAQ50" s="19"/>
      <c r="WAR50" s="19"/>
      <c r="WAS50" s="19"/>
      <c r="WAT50" s="19"/>
      <c r="WAU50" s="19"/>
      <c r="WAV50" s="19"/>
      <c r="WAW50" s="19"/>
      <c r="WAX50" s="19"/>
      <c r="WAY50" s="19"/>
      <c r="WAZ50" s="19"/>
      <c r="WBA50" s="19"/>
      <c r="WBB50" s="19"/>
      <c r="WBC50" s="19"/>
      <c r="WBD50" s="19"/>
      <c r="WBE50" s="19"/>
      <c r="WBF50" s="19"/>
      <c r="WBG50" s="19"/>
      <c r="WBH50" s="19"/>
      <c r="WBI50" s="19"/>
      <c r="WBJ50" s="19"/>
      <c r="WBK50" s="19"/>
      <c r="WBL50" s="19"/>
      <c r="WBM50" s="19"/>
      <c r="WBN50" s="19"/>
      <c r="WBO50" s="19"/>
      <c r="WBP50" s="19"/>
      <c r="WBQ50" s="19"/>
      <c r="WBR50" s="19"/>
      <c r="WBS50" s="19"/>
      <c r="WBT50" s="19"/>
      <c r="WBU50" s="19"/>
      <c r="WBV50" s="19"/>
      <c r="WBW50" s="19"/>
      <c r="WBX50" s="19"/>
      <c r="WBY50" s="19"/>
      <c r="WBZ50" s="19"/>
      <c r="WCA50" s="19"/>
      <c r="WCB50" s="19"/>
      <c r="WCC50" s="19"/>
      <c r="WCD50" s="19"/>
      <c r="WCE50" s="19"/>
      <c r="WCF50" s="19"/>
      <c r="WCG50" s="19"/>
      <c r="WCH50" s="19"/>
      <c r="WCI50" s="19"/>
      <c r="WCJ50" s="19"/>
      <c r="WCK50" s="19"/>
      <c r="WCL50" s="19"/>
      <c r="WCM50" s="19"/>
      <c r="WCN50" s="19"/>
      <c r="WCO50" s="19"/>
      <c r="WCP50" s="19"/>
      <c r="WCQ50" s="19"/>
      <c r="WCR50" s="19"/>
      <c r="WCS50" s="19"/>
      <c r="WCT50" s="19"/>
      <c r="WCU50" s="19"/>
      <c r="WCV50" s="19"/>
      <c r="WCW50" s="19"/>
      <c r="WCX50" s="19"/>
      <c r="WCY50" s="19"/>
      <c r="WCZ50" s="19"/>
      <c r="WDA50" s="19"/>
      <c r="WDB50" s="19"/>
      <c r="WDC50" s="19"/>
      <c r="WDD50" s="19"/>
      <c r="WDE50" s="19"/>
      <c r="WDF50" s="19"/>
      <c r="WDG50" s="19"/>
      <c r="WDH50" s="19"/>
      <c r="WDI50" s="19"/>
      <c r="WDJ50" s="19"/>
      <c r="WDK50" s="19"/>
      <c r="WDL50" s="19"/>
      <c r="WDM50" s="19"/>
      <c r="WDN50" s="19"/>
      <c r="WDO50" s="19"/>
      <c r="WDP50" s="19"/>
      <c r="WDQ50" s="19"/>
      <c r="WDR50" s="19"/>
      <c r="WDS50" s="19"/>
      <c r="WDT50" s="19"/>
      <c r="WDU50" s="19"/>
      <c r="WDV50" s="19"/>
      <c r="WDW50" s="19"/>
      <c r="WDX50" s="19"/>
      <c r="WDY50" s="19"/>
      <c r="WDZ50" s="19"/>
      <c r="WEA50" s="19"/>
      <c r="WEB50" s="19"/>
      <c r="WEC50" s="19"/>
      <c r="WED50" s="19"/>
      <c r="WEE50" s="19"/>
      <c r="WEF50" s="19"/>
      <c r="WEG50" s="19"/>
      <c r="WEH50" s="19"/>
      <c r="WEI50" s="19"/>
      <c r="WEJ50" s="19"/>
      <c r="WEK50" s="19"/>
      <c r="WEL50" s="19"/>
      <c r="WEM50" s="19"/>
      <c r="WEN50" s="19"/>
      <c r="WEO50" s="19"/>
      <c r="WEP50" s="19"/>
      <c r="WEQ50" s="19"/>
      <c r="WER50" s="19"/>
      <c r="WES50" s="19"/>
      <c r="WET50" s="19"/>
      <c r="WEU50" s="19"/>
      <c r="WEV50" s="19"/>
      <c r="WEW50" s="19"/>
      <c r="WEX50" s="19"/>
      <c r="WEY50" s="19"/>
      <c r="WEZ50" s="19"/>
      <c r="WFA50" s="19"/>
      <c r="WFB50" s="19"/>
      <c r="WFC50" s="19"/>
      <c r="WFD50" s="19"/>
      <c r="WFE50" s="19"/>
      <c r="WFF50" s="19"/>
      <c r="WFG50" s="19"/>
      <c r="WFH50" s="19"/>
      <c r="WFI50" s="19"/>
      <c r="WFJ50" s="19"/>
      <c r="WFK50" s="19"/>
      <c r="WFL50" s="19"/>
      <c r="WFM50" s="19"/>
      <c r="WFN50" s="19"/>
      <c r="WFO50" s="19"/>
      <c r="WFP50" s="19"/>
      <c r="WFQ50" s="19"/>
      <c r="WFR50" s="19"/>
      <c r="WFS50" s="19"/>
      <c r="WFT50" s="19"/>
      <c r="WFU50" s="19"/>
      <c r="WFV50" s="19"/>
      <c r="WFW50" s="19"/>
      <c r="WFX50" s="19"/>
      <c r="WFY50" s="19"/>
      <c r="WFZ50" s="19"/>
      <c r="WGA50" s="19"/>
      <c r="WGB50" s="19"/>
      <c r="WGC50" s="19"/>
      <c r="WGD50" s="19"/>
      <c r="WGE50" s="19"/>
      <c r="WGF50" s="19"/>
      <c r="WGG50" s="19"/>
      <c r="WGH50" s="19"/>
      <c r="WGI50" s="19"/>
      <c r="WGJ50" s="19"/>
      <c r="WGK50" s="19"/>
      <c r="WGL50" s="19"/>
      <c r="WGM50" s="19"/>
      <c r="WGN50" s="19"/>
      <c r="WGO50" s="19"/>
      <c r="WGP50" s="19"/>
      <c r="WGQ50" s="19"/>
      <c r="WGR50" s="19"/>
      <c r="WGS50" s="19"/>
      <c r="WGT50" s="19"/>
      <c r="WGU50" s="19"/>
      <c r="WGV50" s="19"/>
      <c r="WGW50" s="19"/>
      <c r="WGX50" s="19"/>
      <c r="WGY50" s="19"/>
      <c r="WGZ50" s="19"/>
      <c r="WHA50" s="19"/>
      <c r="WHB50" s="19"/>
      <c r="WHC50" s="19"/>
      <c r="WHD50" s="19"/>
      <c r="WHE50" s="19"/>
      <c r="WHF50" s="19"/>
      <c r="WHG50" s="19"/>
      <c r="WHH50" s="19"/>
      <c r="WHI50" s="19"/>
      <c r="WHJ50" s="19"/>
      <c r="WHK50" s="19"/>
      <c r="WHL50" s="19"/>
      <c r="WHM50" s="19"/>
      <c r="WHN50" s="19"/>
      <c r="WHO50" s="19"/>
      <c r="WHP50" s="19"/>
      <c r="WHQ50" s="19"/>
      <c r="WHR50" s="19"/>
      <c r="WHS50" s="19"/>
      <c r="WHT50" s="19"/>
      <c r="WHU50" s="19"/>
      <c r="WHV50" s="19"/>
      <c r="WHW50" s="19"/>
      <c r="WHX50" s="19"/>
      <c r="WHY50" s="19"/>
      <c r="WHZ50" s="19"/>
      <c r="WIA50" s="19"/>
      <c r="WIB50" s="19"/>
      <c r="WIC50" s="19"/>
      <c r="WID50" s="19"/>
      <c r="WIE50" s="19"/>
      <c r="WIF50" s="19"/>
      <c r="WIG50" s="19"/>
      <c r="WIH50" s="19"/>
      <c r="WII50" s="19"/>
      <c r="WIJ50" s="19"/>
      <c r="WIK50" s="19"/>
      <c r="WIL50" s="19"/>
      <c r="WIM50" s="19"/>
      <c r="WIN50" s="19"/>
      <c r="WIO50" s="19"/>
      <c r="WIP50" s="19"/>
      <c r="WIQ50" s="19"/>
      <c r="WIR50" s="19"/>
      <c r="WIS50" s="19"/>
      <c r="WIT50" s="19"/>
      <c r="WIU50" s="19"/>
      <c r="WIV50" s="19"/>
      <c r="WIW50" s="19"/>
      <c r="WIX50" s="19"/>
      <c r="WIY50" s="19"/>
      <c r="WIZ50" s="19"/>
      <c r="WJA50" s="19"/>
      <c r="WJB50" s="19"/>
      <c r="WJC50" s="19"/>
      <c r="WJD50" s="19"/>
      <c r="WJE50" s="19"/>
      <c r="WJF50" s="19"/>
      <c r="WJG50" s="19"/>
      <c r="WJH50" s="19"/>
      <c r="WJI50" s="19"/>
      <c r="WJJ50" s="19"/>
      <c r="WJK50" s="19"/>
      <c r="WJL50" s="19"/>
      <c r="WJM50" s="19"/>
      <c r="WJN50" s="19"/>
      <c r="WJO50" s="19"/>
      <c r="WJP50" s="19"/>
      <c r="WJQ50" s="19"/>
      <c r="WJR50" s="19"/>
      <c r="WJS50" s="19"/>
      <c r="WJT50" s="19"/>
      <c r="WJU50" s="19"/>
      <c r="WJV50" s="19"/>
      <c r="WJW50" s="19"/>
      <c r="WJX50" s="19"/>
      <c r="WJY50" s="19"/>
      <c r="WJZ50" s="19"/>
      <c r="WKA50" s="19"/>
      <c r="WKB50" s="19"/>
      <c r="WKC50" s="19"/>
      <c r="WKD50" s="19"/>
      <c r="WKE50" s="19"/>
      <c r="WKF50" s="19"/>
      <c r="WKG50" s="19"/>
      <c r="WKH50" s="19"/>
      <c r="WKI50" s="19"/>
      <c r="WKJ50" s="19"/>
      <c r="WKK50" s="19"/>
      <c r="WKL50" s="19"/>
      <c r="WKM50" s="19"/>
      <c r="WKN50" s="19"/>
      <c r="WKO50" s="19"/>
      <c r="WKP50" s="19"/>
      <c r="WKQ50" s="19"/>
      <c r="WKR50" s="19"/>
      <c r="WKS50" s="19"/>
      <c r="WKT50" s="19"/>
      <c r="WKU50" s="19"/>
      <c r="WKV50" s="19"/>
      <c r="WKW50" s="19"/>
      <c r="WKX50" s="19"/>
      <c r="WKY50" s="19"/>
      <c r="WKZ50" s="19"/>
      <c r="WLA50" s="19"/>
      <c r="WLB50" s="19"/>
      <c r="WLC50" s="19"/>
      <c r="WLD50" s="19"/>
      <c r="WLE50" s="19"/>
      <c r="WLF50" s="19"/>
      <c r="WLG50" s="19"/>
      <c r="WLH50" s="19"/>
      <c r="WLI50" s="19"/>
      <c r="WLJ50" s="19"/>
      <c r="WLK50" s="19"/>
      <c r="WLL50" s="19"/>
      <c r="WLM50" s="19"/>
      <c r="WLN50" s="19"/>
      <c r="WLO50" s="19"/>
      <c r="WLP50" s="19"/>
      <c r="WLQ50" s="19"/>
      <c r="WLR50" s="19"/>
      <c r="WLS50" s="19"/>
      <c r="WLT50" s="19"/>
      <c r="WLU50" s="19"/>
      <c r="WLV50" s="19"/>
      <c r="WLW50" s="19"/>
      <c r="WLX50" s="19"/>
      <c r="WLY50" s="19"/>
      <c r="WLZ50" s="19"/>
      <c r="WMA50" s="19"/>
      <c r="WMB50" s="19"/>
      <c r="WMC50" s="19"/>
      <c r="WMD50" s="19"/>
      <c r="WME50" s="19"/>
      <c r="WMF50" s="19"/>
      <c r="WMG50" s="19"/>
      <c r="WMH50" s="19"/>
      <c r="WMI50" s="19"/>
      <c r="WMJ50" s="19"/>
      <c r="WMK50" s="19"/>
      <c r="WML50" s="19"/>
      <c r="WMM50" s="19"/>
      <c r="WMN50" s="19"/>
      <c r="WMO50" s="19"/>
      <c r="WMP50" s="19"/>
      <c r="WMQ50" s="19"/>
      <c r="WMR50" s="19"/>
      <c r="WMS50" s="19"/>
      <c r="WMT50" s="19"/>
      <c r="WMU50" s="19"/>
      <c r="WMV50" s="19"/>
      <c r="WMW50" s="19"/>
      <c r="WMX50" s="19"/>
      <c r="WMY50" s="19"/>
      <c r="WMZ50" s="19"/>
      <c r="WNA50" s="19"/>
      <c r="WNB50" s="19"/>
      <c r="WNC50" s="19"/>
      <c r="WND50" s="19"/>
      <c r="WNE50" s="19"/>
      <c r="WNF50" s="19"/>
      <c r="WNG50" s="19"/>
      <c r="WNH50" s="19"/>
      <c r="WNI50" s="19"/>
      <c r="WNJ50" s="19"/>
      <c r="WNK50" s="19"/>
      <c r="WNL50" s="19"/>
      <c r="WNM50" s="19"/>
      <c r="WNN50" s="19"/>
      <c r="WNO50" s="19"/>
      <c r="WNP50" s="19"/>
      <c r="WNQ50" s="19"/>
      <c r="WNR50" s="19"/>
      <c r="WNS50" s="19"/>
      <c r="WNT50" s="19"/>
      <c r="WNU50" s="19"/>
      <c r="WNV50" s="19"/>
      <c r="WNW50" s="19"/>
      <c r="WNX50" s="19"/>
      <c r="WNY50" s="19"/>
      <c r="WNZ50" s="19"/>
      <c r="WOA50" s="19"/>
      <c r="WOB50" s="19"/>
      <c r="WOC50" s="19"/>
      <c r="WOD50" s="19"/>
      <c r="WOE50" s="19"/>
      <c r="WOF50" s="19"/>
      <c r="WOG50" s="19"/>
      <c r="WOH50" s="19"/>
      <c r="WOI50" s="19"/>
      <c r="WOJ50" s="19"/>
      <c r="WOK50" s="19"/>
      <c r="WOL50" s="19"/>
      <c r="WOM50" s="19"/>
      <c r="WON50" s="19"/>
      <c r="WOO50" s="19"/>
      <c r="WOP50" s="19"/>
      <c r="WOQ50" s="19"/>
      <c r="WOR50" s="19"/>
      <c r="WOS50" s="19"/>
      <c r="WOT50" s="19"/>
      <c r="WOU50" s="19"/>
      <c r="WOV50" s="19"/>
      <c r="WOW50" s="19"/>
      <c r="WOX50" s="19"/>
      <c r="WOY50" s="19"/>
      <c r="WOZ50" s="19"/>
      <c r="WPA50" s="19"/>
      <c r="WPB50" s="19"/>
      <c r="WPC50" s="19"/>
      <c r="WPD50" s="19"/>
      <c r="WPE50" s="19"/>
      <c r="WPF50" s="19"/>
      <c r="WPG50" s="19"/>
      <c r="WPH50" s="19"/>
      <c r="WPI50" s="19"/>
      <c r="WPJ50" s="19"/>
      <c r="WPK50" s="19"/>
      <c r="WPL50" s="19"/>
      <c r="WPM50" s="19"/>
      <c r="WPN50" s="19"/>
      <c r="WPO50" s="19"/>
      <c r="WPP50" s="19"/>
      <c r="WPQ50" s="19"/>
      <c r="WPR50" s="19"/>
      <c r="WPS50" s="19"/>
      <c r="WPT50" s="19"/>
      <c r="WPU50" s="19"/>
      <c r="WPV50" s="19"/>
      <c r="WPW50" s="19"/>
      <c r="WPX50" s="19"/>
      <c r="WPY50" s="19"/>
      <c r="WPZ50" s="19"/>
      <c r="WQA50" s="19"/>
      <c r="WQB50" s="19"/>
      <c r="WQC50" s="19"/>
      <c r="WQD50" s="19"/>
      <c r="WQE50" s="19"/>
      <c r="WQF50" s="19"/>
      <c r="WQG50" s="19"/>
      <c r="WQH50" s="19"/>
      <c r="WQI50" s="19"/>
      <c r="WQJ50" s="19"/>
      <c r="WQK50" s="19"/>
      <c r="WQL50" s="19"/>
      <c r="WQM50" s="19"/>
      <c r="WQN50" s="19"/>
      <c r="WQO50" s="19"/>
      <c r="WQP50" s="19"/>
      <c r="WQQ50" s="19"/>
      <c r="WQR50" s="19"/>
      <c r="WQS50" s="19"/>
      <c r="WQT50" s="19"/>
      <c r="WQU50" s="19"/>
      <c r="WQV50" s="19"/>
      <c r="WQW50" s="19"/>
      <c r="WQX50" s="19"/>
      <c r="WQY50" s="19"/>
      <c r="WQZ50" s="19"/>
      <c r="WRA50" s="19"/>
      <c r="WRB50" s="19"/>
      <c r="WRC50" s="19"/>
      <c r="WRD50" s="19"/>
      <c r="WRE50" s="19"/>
      <c r="WRF50" s="19"/>
      <c r="WRG50" s="19"/>
      <c r="WRH50" s="19"/>
      <c r="WRI50" s="19"/>
      <c r="WRJ50" s="19"/>
      <c r="WRK50" s="19"/>
      <c r="WRL50" s="19"/>
      <c r="WRM50" s="19"/>
      <c r="WRN50" s="19"/>
      <c r="WRO50" s="19"/>
      <c r="WRP50" s="19"/>
      <c r="WRQ50" s="19"/>
      <c r="WRR50" s="19"/>
      <c r="WRS50" s="19"/>
      <c r="WRT50" s="19"/>
      <c r="WRU50" s="19"/>
      <c r="WRV50" s="19"/>
      <c r="WRW50" s="19"/>
      <c r="WRX50" s="19"/>
      <c r="WRY50" s="19"/>
      <c r="WRZ50" s="19"/>
      <c r="WSA50" s="19"/>
      <c r="WSB50" s="19"/>
      <c r="WSC50" s="19"/>
      <c r="WSD50" s="19"/>
      <c r="WSE50" s="19"/>
      <c r="WSF50" s="19"/>
      <c r="WSG50" s="19"/>
      <c r="WSH50" s="19"/>
      <c r="WSI50" s="19"/>
      <c r="WSJ50" s="19"/>
      <c r="WSK50" s="19"/>
      <c r="WSL50" s="19"/>
      <c r="WSM50" s="19"/>
      <c r="WSN50" s="19"/>
      <c r="WSO50" s="19"/>
      <c r="WSP50" s="19"/>
      <c r="WSQ50" s="19"/>
      <c r="WSR50" s="19"/>
      <c r="WSS50" s="19"/>
      <c r="WST50" s="19"/>
      <c r="WSU50" s="19"/>
      <c r="WSV50" s="19"/>
      <c r="WSW50" s="19"/>
      <c r="WSX50" s="19"/>
      <c r="WSY50" s="19"/>
      <c r="WSZ50" s="19"/>
      <c r="WTA50" s="19"/>
      <c r="WTB50" s="19"/>
      <c r="WTC50" s="19"/>
      <c r="WTD50" s="19"/>
      <c r="WTE50" s="19"/>
      <c r="WTF50" s="19"/>
      <c r="WTG50" s="19"/>
      <c r="WTH50" s="19"/>
      <c r="WTI50" s="19"/>
      <c r="WTJ50" s="19"/>
      <c r="WTK50" s="19"/>
      <c r="WTL50" s="19"/>
      <c r="WTM50" s="19"/>
      <c r="WTN50" s="19"/>
      <c r="WTO50" s="19"/>
      <c r="WTP50" s="19"/>
      <c r="WTQ50" s="19"/>
      <c r="WTR50" s="19"/>
      <c r="WTS50" s="19"/>
      <c r="WTT50" s="19"/>
      <c r="WTU50" s="19"/>
      <c r="WTV50" s="19"/>
      <c r="WTW50" s="19"/>
      <c r="WTX50" s="19"/>
      <c r="WTY50" s="19"/>
      <c r="WTZ50" s="19"/>
      <c r="WUA50" s="19"/>
      <c r="WUB50" s="19"/>
      <c r="WUC50" s="19"/>
      <c r="WUD50" s="19"/>
      <c r="WUE50" s="19"/>
      <c r="WUF50" s="19"/>
      <c r="WUG50" s="19"/>
      <c r="WUH50" s="19"/>
      <c r="WUI50" s="19"/>
      <c r="WUJ50" s="19"/>
      <c r="WUK50" s="19"/>
      <c r="WUL50" s="19"/>
      <c r="WUM50" s="19"/>
      <c r="WUN50" s="19"/>
      <c r="WUO50" s="19"/>
      <c r="WUP50" s="19"/>
      <c r="WUQ50" s="19"/>
      <c r="WUR50" s="19"/>
      <c r="WUS50" s="19"/>
      <c r="WUT50" s="19"/>
      <c r="WUU50" s="19"/>
      <c r="WUV50" s="19"/>
      <c r="WUW50" s="19"/>
      <c r="WUX50" s="19"/>
      <c r="WUY50" s="19"/>
      <c r="WUZ50" s="19"/>
      <c r="WVA50" s="19"/>
      <c r="WVB50" s="19"/>
      <c r="WVC50" s="19"/>
      <c r="WVD50" s="19"/>
      <c r="WVE50" s="19"/>
      <c r="WVF50" s="19"/>
      <c r="WVG50" s="19"/>
      <c r="WVH50" s="19"/>
      <c r="WVI50" s="19"/>
      <c r="WVJ50" s="19"/>
      <c r="WVK50" s="19"/>
      <c r="WVL50" s="19"/>
      <c r="WVM50" s="19"/>
      <c r="WVN50" s="19"/>
      <c r="WVO50" s="19"/>
      <c r="WVP50" s="19"/>
      <c r="WVQ50" s="19"/>
      <c r="WVR50" s="19"/>
      <c r="WVS50" s="19"/>
      <c r="WVT50" s="19"/>
      <c r="WVU50" s="19"/>
      <c r="WVV50" s="19"/>
      <c r="WVW50" s="19"/>
      <c r="WVX50" s="19"/>
      <c r="WVY50" s="19"/>
      <c r="WVZ50" s="19"/>
      <c r="WWA50" s="19"/>
      <c r="WWB50" s="19"/>
      <c r="WWC50" s="19"/>
      <c r="WWD50" s="19"/>
      <c r="WWE50" s="19"/>
      <c r="WWF50" s="19"/>
      <c r="WWG50" s="19"/>
      <c r="WWH50" s="19"/>
      <c r="WWI50" s="19"/>
      <c r="WWJ50" s="19"/>
      <c r="WWK50" s="19"/>
      <c r="WWL50" s="19"/>
      <c r="WWM50" s="19"/>
      <c r="WWN50" s="19"/>
      <c r="WWO50" s="19"/>
      <c r="WWP50" s="19"/>
      <c r="WWQ50" s="19"/>
      <c r="WWR50" s="19"/>
      <c r="WWS50" s="19"/>
      <c r="WWT50" s="19"/>
      <c r="WWU50" s="19"/>
      <c r="WWV50" s="19"/>
      <c r="WWW50" s="19"/>
      <c r="WWX50" s="19"/>
      <c r="WWY50" s="19"/>
      <c r="WWZ50" s="19"/>
      <c r="WXA50" s="19"/>
      <c r="WXB50" s="19"/>
      <c r="WXC50" s="19"/>
      <c r="WXD50" s="19"/>
      <c r="WXE50" s="19"/>
      <c r="WXF50" s="19"/>
      <c r="WXG50" s="19"/>
      <c r="WXH50" s="19"/>
      <c r="WXI50" s="19"/>
      <c r="WXJ50" s="19"/>
      <c r="WXK50" s="19"/>
      <c r="WXL50" s="19"/>
      <c r="WXM50" s="19"/>
      <c r="WXN50" s="19"/>
      <c r="WXO50" s="19"/>
      <c r="WXP50" s="19"/>
      <c r="WXQ50" s="19"/>
      <c r="WXR50" s="19"/>
      <c r="WXS50" s="19"/>
      <c r="WXT50" s="19"/>
      <c r="WXU50" s="19"/>
      <c r="WXV50" s="19"/>
      <c r="WXW50" s="19"/>
      <c r="WXX50" s="19"/>
      <c r="WXY50" s="19"/>
      <c r="WXZ50" s="19"/>
      <c r="WYA50" s="19"/>
      <c r="WYB50" s="19"/>
      <c r="WYC50" s="19"/>
      <c r="WYD50" s="19"/>
      <c r="WYE50" s="19"/>
      <c r="WYF50" s="19"/>
      <c r="WYG50" s="19"/>
      <c r="WYH50" s="19"/>
      <c r="WYI50" s="19"/>
      <c r="WYJ50" s="19"/>
      <c r="WYK50" s="19"/>
      <c r="WYL50" s="19"/>
      <c r="WYM50" s="19"/>
      <c r="WYN50" s="19"/>
      <c r="WYO50" s="19"/>
      <c r="WYP50" s="19"/>
      <c r="WYQ50" s="19"/>
      <c r="WYR50" s="19"/>
      <c r="WYS50" s="19"/>
      <c r="WYT50" s="19"/>
      <c r="WYU50" s="19"/>
      <c r="WYV50" s="19"/>
      <c r="WYW50" s="19"/>
      <c r="WYX50" s="19"/>
      <c r="WYY50" s="19"/>
      <c r="WYZ50" s="19"/>
      <c r="WZA50" s="19"/>
      <c r="WZB50" s="19"/>
      <c r="WZC50" s="19"/>
      <c r="WZD50" s="19"/>
      <c r="WZE50" s="19"/>
      <c r="WZF50" s="19"/>
      <c r="WZG50" s="19"/>
      <c r="WZH50" s="19"/>
      <c r="WZI50" s="19"/>
      <c r="WZJ50" s="19"/>
      <c r="WZK50" s="19"/>
      <c r="WZL50" s="19"/>
      <c r="WZM50" s="19"/>
      <c r="WZN50" s="19"/>
      <c r="WZO50" s="19"/>
      <c r="WZP50" s="19"/>
      <c r="WZQ50" s="19"/>
      <c r="WZR50" s="19"/>
      <c r="WZS50" s="19"/>
      <c r="WZT50" s="19"/>
      <c r="WZU50" s="19"/>
      <c r="WZV50" s="19"/>
      <c r="WZW50" s="19"/>
      <c r="WZX50" s="19"/>
      <c r="WZY50" s="19"/>
      <c r="WZZ50" s="19"/>
      <c r="XAA50" s="19"/>
      <c r="XAB50" s="19"/>
      <c r="XAC50" s="19"/>
      <c r="XAD50" s="19"/>
      <c r="XAE50" s="19"/>
      <c r="XAF50" s="19"/>
      <c r="XAG50" s="19"/>
      <c r="XAH50" s="19"/>
      <c r="XAI50" s="19"/>
      <c r="XAJ50" s="19"/>
      <c r="XAK50" s="19"/>
      <c r="XAL50" s="19"/>
      <c r="XAM50" s="19"/>
      <c r="XAN50" s="19"/>
      <c r="XAO50" s="19"/>
      <c r="XAP50" s="19"/>
      <c r="XAQ50" s="19"/>
      <c r="XAR50" s="19"/>
      <c r="XAS50" s="19"/>
      <c r="XAT50" s="19"/>
      <c r="XAU50" s="19"/>
      <c r="XAV50" s="19"/>
      <c r="XAW50" s="19"/>
      <c r="XAX50" s="19"/>
      <c r="XAY50" s="19"/>
      <c r="XAZ50" s="19"/>
      <c r="XBA50" s="19"/>
      <c r="XBB50" s="19"/>
      <c r="XBC50" s="19"/>
      <c r="XBD50" s="19"/>
      <c r="XBE50" s="19"/>
      <c r="XBF50" s="19"/>
      <c r="XBG50" s="19"/>
      <c r="XBH50" s="19"/>
      <c r="XBI50" s="19"/>
      <c r="XBJ50" s="19"/>
      <c r="XBK50" s="19"/>
      <c r="XBL50" s="19"/>
      <c r="XBM50" s="19"/>
      <c r="XBN50" s="19"/>
      <c r="XBO50" s="19"/>
      <c r="XBP50" s="19"/>
      <c r="XBQ50" s="19"/>
      <c r="XBR50" s="19"/>
      <c r="XBS50" s="19"/>
      <c r="XBT50" s="19"/>
      <c r="XBU50" s="19"/>
      <c r="XBV50" s="19"/>
      <c r="XBW50" s="19"/>
      <c r="XBX50" s="19"/>
      <c r="XBY50" s="19"/>
      <c r="XBZ50" s="19"/>
      <c r="XCA50" s="19"/>
      <c r="XCB50" s="19"/>
      <c r="XCC50" s="19"/>
      <c r="XCD50" s="19"/>
      <c r="XCE50" s="19"/>
      <c r="XCF50" s="19"/>
      <c r="XCG50" s="19"/>
      <c r="XCH50" s="19"/>
      <c r="XCI50" s="19"/>
      <c r="XCJ50" s="19"/>
      <c r="XCK50" s="19"/>
      <c r="XCL50" s="19"/>
      <c r="XCM50" s="19"/>
      <c r="XCN50" s="19"/>
      <c r="XCO50" s="19"/>
      <c r="XCP50" s="19"/>
      <c r="XCQ50" s="19"/>
      <c r="XCR50" s="19"/>
      <c r="XCS50" s="19"/>
      <c r="XCT50" s="19"/>
      <c r="XCU50" s="19"/>
      <c r="XCV50" s="19"/>
      <c r="XCW50" s="19"/>
      <c r="XCX50" s="19"/>
      <c r="XCY50" s="19"/>
      <c r="XCZ50" s="19"/>
      <c r="XDA50" s="19"/>
      <c r="XDB50" s="19"/>
      <c r="XDC50" s="19"/>
      <c r="XDD50" s="19"/>
      <c r="XDE50" s="19"/>
      <c r="XDF50" s="19"/>
      <c r="XDG50" s="19"/>
      <c r="XDH50" s="19"/>
      <c r="XDI50" s="19"/>
      <c r="XDJ50" s="19"/>
      <c r="XDK50" s="19"/>
      <c r="XDL50" s="19"/>
      <c r="XDM50" s="19"/>
      <c r="XDN50" s="19"/>
      <c r="XDO50" s="19"/>
      <c r="XDP50" s="19"/>
      <c r="XDQ50" s="19"/>
      <c r="XDR50" s="19"/>
      <c r="XDS50" s="19"/>
      <c r="XDT50" s="19"/>
      <c r="XDU50" s="19"/>
      <c r="XDV50" s="19"/>
      <c r="XDW50" s="19"/>
      <c r="XDX50" s="19"/>
      <c r="XDY50" s="19"/>
      <c r="XDZ50" s="19"/>
      <c r="XEA50" s="19"/>
      <c r="XEB50" s="19"/>
      <c r="XEC50" s="19"/>
      <c r="XED50" s="19"/>
      <c r="XEE50" s="19"/>
      <c r="XEF50" s="19"/>
      <c r="XEG50" s="19"/>
      <c r="XEH50" s="19"/>
      <c r="XEI50" s="19"/>
      <c r="XEJ50" s="19"/>
      <c r="XEK50" s="19"/>
      <c r="XEL50" s="19"/>
      <c r="XEM50" s="19"/>
      <c r="XEN50" s="19"/>
      <c r="XEO50" s="19"/>
      <c r="XEP50" s="19"/>
      <c r="XEQ50" s="19"/>
      <c r="XER50" s="19"/>
      <c r="XES50" s="19"/>
      <c r="XET50" s="19"/>
      <c r="XEU50" s="19"/>
      <c r="XEV50" s="19"/>
      <c r="XEW50" s="19"/>
      <c r="XEX50" s="19"/>
      <c r="XEY50" s="19"/>
      <c r="XEZ50" s="19"/>
      <c r="XFA50" s="19"/>
      <c r="XFB50" s="19"/>
    </row>
    <row r="51" spans="2:16382" s="18" customFormat="1" ht="15" customHeight="1" x14ac:dyDescent="0.25"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9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  <c r="LR51" s="19"/>
      <c r="LS51" s="19"/>
      <c r="LT51" s="19"/>
      <c r="LU51" s="19"/>
      <c r="LV51" s="19"/>
      <c r="LW51" s="19"/>
      <c r="LX51" s="19"/>
      <c r="LY51" s="19"/>
      <c r="LZ51" s="19"/>
      <c r="MA51" s="19"/>
      <c r="MB51" s="19"/>
      <c r="MC51" s="19"/>
      <c r="MD51" s="19"/>
      <c r="ME51" s="19"/>
      <c r="MF51" s="19"/>
      <c r="MG51" s="19"/>
      <c r="MH51" s="19"/>
      <c r="MI51" s="19"/>
      <c r="MJ51" s="19"/>
      <c r="MK51" s="19"/>
      <c r="ML51" s="19"/>
      <c r="MM51" s="19"/>
      <c r="MN51" s="19"/>
      <c r="MO51" s="19"/>
      <c r="MP51" s="19"/>
      <c r="MQ51" s="19"/>
      <c r="MR51" s="19"/>
      <c r="MS51" s="19"/>
      <c r="MT51" s="19"/>
      <c r="MU51" s="19"/>
      <c r="MV51" s="19"/>
      <c r="MW51" s="19"/>
      <c r="MX51" s="19"/>
      <c r="MY51" s="19"/>
      <c r="MZ51" s="19"/>
      <c r="NA51" s="19"/>
      <c r="NB51" s="19"/>
      <c r="NC51" s="19"/>
      <c r="ND51" s="19"/>
      <c r="NE51" s="19"/>
      <c r="NF51" s="19"/>
      <c r="NG51" s="19"/>
      <c r="NH51" s="19"/>
      <c r="NI51" s="19"/>
      <c r="NJ51" s="19"/>
      <c r="NK51" s="19"/>
      <c r="NL51" s="19"/>
      <c r="NM51" s="19"/>
      <c r="NN51" s="19"/>
      <c r="NO51" s="19"/>
      <c r="NP51" s="19"/>
      <c r="NQ51" s="19"/>
      <c r="NR51" s="19"/>
      <c r="NS51" s="19"/>
      <c r="NT51" s="19"/>
      <c r="NU51" s="19"/>
      <c r="NV51" s="19"/>
      <c r="NW51" s="19"/>
      <c r="NX51" s="19"/>
      <c r="NY51" s="19"/>
      <c r="NZ51" s="19"/>
      <c r="OA51" s="19"/>
      <c r="OB51" s="19"/>
      <c r="OC51" s="19"/>
      <c r="OD51" s="19"/>
      <c r="OE51" s="19"/>
      <c r="OF51" s="19"/>
      <c r="OG51" s="19"/>
      <c r="OH51" s="19"/>
      <c r="OI51" s="19"/>
      <c r="OJ51" s="19"/>
      <c r="OK51" s="19"/>
      <c r="OL51" s="19"/>
      <c r="OM51" s="19"/>
      <c r="ON51" s="19"/>
      <c r="OO51" s="19"/>
      <c r="OP51" s="19"/>
      <c r="OQ51" s="19"/>
      <c r="OR51" s="19"/>
      <c r="OS51" s="19"/>
      <c r="OT51" s="19"/>
      <c r="OU51" s="19"/>
      <c r="OV51" s="19"/>
      <c r="OW51" s="19"/>
      <c r="OX51" s="19"/>
      <c r="OY51" s="19"/>
      <c r="OZ51" s="19"/>
      <c r="PA51" s="19"/>
      <c r="PB51" s="19"/>
      <c r="PC51" s="19"/>
      <c r="PD51" s="19"/>
      <c r="PE51" s="19"/>
      <c r="PF51" s="19"/>
      <c r="PG51" s="19"/>
      <c r="PH51" s="19"/>
      <c r="PI51" s="19"/>
      <c r="PJ51" s="19"/>
      <c r="PK51" s="19"/>
      <c r="PL51" s="19"/>
      <c r="PM51" s="19"/>
      <c r="PN51" s="19"/>
      <c r="PO51" s="19"/>
      <c r="PP51" s="19"/>
      <c r="PQ51" s="19"/>
      <c r="PR51" s="19"/>
      <c r="PS51" s="19"/>
      <c r="PT51" s="19"/>
      <c r="PU51" s="19"/>
      <c r="PV51" s="19"/>
      <c r="PW51" s="19"/>
      <c r="PX51" s="19"/>
      <c r="PY51" s="19"/>
      <c r="PZ51" s="19"/>
      <c r="QA51" s="19"/>
      <c r="QB51" s="19"/>
      <c r="QC51" s="19"/>
      <c r="QD51" s="19"/>
      <c r="QE51" s="19"/>
      <c r="QF51" s="19"/>
      <c r="QG51" s="19"/>
      <c r="QH51" s="19"/>
      <c r="QI51" s="19"/>
      <c r="QJ51" s="19"/>
      <c r="QK51" s="19"/>
      <c r="QL51" s="19"/>
      <c r="QM51" s="19"/>
      <c r="QN51" s="19"/>
      <c r="QO51" s="19"/>
      <c r="QP51" s="19"/>
      <c r="QQ51" s="19"/>
      <c r="QR51" s="19"/>
      <c r="QS51" s="19"/>
      <c r="QT51" s="19"/>
      <c r="QU51" s="19"/>
      <c r="QV51" s="19"/>
      <c r="QW51" s="19"/>
      <c r="QX51" s="19"/>
      <c r="QY51" s="19"/>
      <c r="QZ51" s="19"/>
      <c r="RA51" s="19"/>
      <c r="RB51" s="19"/>
      <c r="RC51" s="19"/>
      <c r="RD51" s="19"/>
      <c r="RE51" s="19"/>
      <c r="RF51" s="19"/>
      <c r="RG51" s="19"/>
      <c r="RH51" s="19"/>
      <c r="RI51" s="19"/>
      <c r="RJ51" s="19"/>
      <c r="RK51" s="19"/>
      <c r="RL51" s="19"/>
      <c r="RM51" s="19"/>
      <c r="RN51" s="19"/>
      <c r="RO51" s="19"/>
      <c r="RP51" s="19"/>
      <c r="RQ51" s="19"/>
      <c r="RR51" s="19"/>
      <c r="RS51" s="19"/>
      <c r="RT51" s="19"/>
      <c r="RU51" s="19"/>
      <c r="RV51" s="19"/>
      <c r="RW51" s="19"/>
      <c r="RX51" s="19"/>
      <c r="RY51" s="19"/>
      <c r="RZ51" s="19"/>
      <c r="SA51" s="19"/>
      <c r="SB51" s="19"/>
      <c r="SC51" s="19"/>
      <c r="SD51" s="19"/>
      <c r="SE51" s="19"/>
      <c r="SF51" s="19"/>
      <c r="SG51" s="19"/>
      <c r="SH51" s="19"/>
      <c r="SI51" s="19"/>
      <c r="SJ51" s="19"/>
      <c r="SK51" s="19"/>
      <c r="SL51" s="19"/>
      <c r="SM51" s="19"/>
      <c r="SN51" s="19"/>
      <c r="SO51" s="19"/>
      <c r="SP51" s="19"/>
      <c r="SQ51" s="19"/>
      <c r="SR51" s="19"/>
      <c r="SS51" s="19"/>
      <c r="ST51" s="19"/>
      <c r="SU51" s="19"/>
      <c r="SV51" s="19"/>
      <c r="SW51" s="19"/>
      <c r="SX51" s="19"/>
      <c r="SY51" s="19"/>
      <c r="SZ51" s="19"/>
      <c r="TA51" s="19"/>
      <c r="TB51" s="19"/>
      <c r="TC51" s="19"/>
      <c r="TD51" s="19"/>
      <c r="TE51" s="19"/>
      <c r="TF51" s="19"/>
      <c r="TG51" s="19"/>
      <c r="TH51" s="19"/>
      <c r="TI51" s="19"/>
      <c r="TJ51" s="19"/>
      <c r="TK51" s="19"/>
      <c r="TL51" s="19"/>
      <c r="TM51" s="19"/>
      <c r="TN51" s="19"/>
      <c r="TO51" s="19"/>
      <c r="TP51" s="19"/>
      <c r="TQ51" s="19"/>
      <c r="TR51" s="19"/>
      <c r="TS51" s="19"/>
      <c r="TT51" s="19"/>
      <c r="TU51" s="19"/>
      <c r="TV51" s="19"/>
      <c r="TW51" s="19"/>
      <c r="TX51" s="19"/>
      <c r="TY51" s="19"/>
      <c r="TZ51" s="19"/>
      <c r="UA51" s="19"/>
      <c r="UB51" s="19"/>
      <c r="UC51" s="19"/>
      <c r="UD51" s="19"/>
      <c r="UE51" s="19"/>
      <c r="UF51" s="19"/>
      <c r="UG51" s="19"/>
      <c r="UH51" s="19"/>
      <c r="UI51" s="19"/>
      <c r="UJ51" s="19"/>
      <c r="UK51" s="19"/>
      <c r="UL51" s="19"/>
      <c r="UM51" s="19"/>
      <c r="UN51" s="19"/>
      <c r="UO51" s="19"/>
      <c r="UP51" s="19"/>
      <c r="UQ51" s="19"/>
      <c r="UR51" s="19"/>
      <c r="US51" s="19"/>
      <c r="UT51" s="19"/>
      <c r="UU51" s="19"/>
      <c r="UV51" s="19"/>
      <c r="UW51" s="19"/>
      <c r="UX51" s="19"/>
      <c r="UY51" s="19"/>
      <c r="UZ51" s="19"/>
      <c r="VA51" s="19"/>
      <c r="VB51" s="19"/>
      <c r="VC51" s="19"/>
      <c r="VD51" s="19"/>
      <c r="VE51" s="19"/>
      <c r="VF51" s="19"/>
      <c r="VG51" s="19"/>
      <c r="VH51" s="19"/>
      <c r="VI51" s="19"/>
      <c r="VJ51" s="19"/>
      <c r="VK51" s="19"/>
      <c r="VL51" s="19"/>
      <c r="VM51" s="19"/>
      <c r="VN51" s="19"/>
      <c r="VO51" s="19"/>
      <c r="VP51" s="19"/>
      <c r="VQ51" s="19"/>
      <c r="VR51" s="19"/>
      <c r="VS51" s="19"/>
      <c r="VT51" s="19"/>
      <c r="VU51" s="19"/>
      <c r="VV51" s="19"/>
      <c r="VW51" s="19"/>
      <c r="VX51" s="19"/>
      <c r="VY51" s="19"/>
      <c r="VZ51" s="19"/>
      <c r="WA51" s="19"/>
      <c r="WB51" s="19"/>
      <c r="WC51" s="19"/>
      <c r="WD51" s="19"/>
      <c r="WE51" s="19"/>
      <c r="WF51" s="19"/>
      <c r="WG51" s="19"/>
      <c r="WH51" s="19"/>
      <c r="WI51" s="19"/>
      <c r="WJ51" s="19"/>
      <c r="WK51" s="19"/>
      <c r="WL51" s="19"/>
      <c r="WM51" s="19"/>
      <c r="WN51" s="19"/>
      <c r="WO51" s="19"/>
      <c r="WP51" s="19"/>
      <c r="WQ51" s="19"/>
      <c r="WR51" s="19"/>
      <c r="WS51" s="19"/>
      <c r="WT51" s="19"/>
      <c r="WU51" s="19"/>
      <c r="WV51" s="19"/>
      <c r="WW51" s="19"/>
      <c r="WX51" s="19"/>
      <c r="WY51" s="19"/>
      <c r="WZ51" s="19"/>
      <c r="XA51" s="19"/>
      <c r="XB51" s="19"/>
      <c r="XC51" s="19"/>
      <c r="XD51" s="19"/>
      <c r="XE51" s="19"/>
      <c r="XF51" s="19"/>
      <c r="XG51" s="19"/>
      <c r="XH51" s="19"/>
      <c r="XI51" s="19"/>
      <c r="XJ51" s="19"/>
      <c r="XK51" s="19"/>
      <c r="XL51" s="19"/>
      <c r="XM51" s="19"/>
      <c r="XN51" s="19"/>
      <c r="XO51" s="19"/>
      <c r="XP51" s="19"/>
      <c r="XQ51" s="19"/>
      <c r="XR51" s="19"/>
      <c r="XS51" s="19"/>
      <c r="XT51" s="19"/>
      <c r="XU51" s="19"/>
      <c r="XV51" s="19"/>
      <c r="XW51" s="19"/>
      <c r="XX51" s="19"/>
      <c r="XY51" s="19"/>
      <c r="XZ51" s="19"/>
      <c r="YA51" s="19"/>
      <c r="YB51" s="19"/>
      <c r="YC51" s="19"/>
      <c r="YD51" s="19"/>
      <c r="YE51" s="19"/>
      <c r="YF51" s="19"/>
      <c r="YG51" s="19"/>
      <c r="YH51" s="19"/>
      <c r="YI51" s="19"/>
      <c r="YJ51" s="19"/>
      <c r="YK51" s="19"/>
      <c r="YL51" s="19"/>
      <c r="YM51" s="19"/>
      <c r="YN51" s="19"/>
      <c r="YO51" s="19"/>
      <c r="YP51" s="19"/>
      <c r="YQ51" s="19"/>
      <c r="YR51" s="19"/>
      <c r="YS51" s="19"/>
      <c r="YT51" s="19"/>
      <c r="YU51" s="19"/>
      <c r="YV51" s="19"/>
      <c r="YW51" s="19"/>
      <c r="YX51" s="19"/>
      <c r="YY51" s="19"/>
      <c r="YZ51" s="19"/>
      <c r="ZA51" s="19"/>
      <c r="ZB51" s="19"/>
      <c r="ZC51" s="19"/>
      <c r="ZD51" s="19"/>
      <c r="ZE51" s="19"/>
      <c r="ZF51" s="19"/>
      <c r="ZG51" s="19"/>
      <c r="ZH51" s="19"/>
      <c r="ZI51" s="19"/>
      <c r="ZJ51" s="19"/>
      <c r="ZK51" s="19"/>
      <c r="ZL51" s="19"/>
      <c r="ZM51" s="19"/>
      <c r="ZN51" s="19"/>
      <c r="ZO51" s="19"/>
      <c r="ZP51" s="19"/>
      <c r="ZQ51" s="19"/>
      <c r="ZR51" s="19"/>
      <c r="ZS51" s="19"/>
      <c r="ZT51" s="19"/>
      <c r="ZU51" s="19"/>
      <c r="ZV51" s="19"/>
      <c r="ZW51" s="19"/>
      <c r="ZX51" s="19"/>
      <c r="ZY51" s="19"/>
      <c r="ZZ51" s="19"/>
      <c r="AAA51" s="19"/>
      <c r="AAB51" s="19"/>
      <c r="AAC51" s="19"/>
      <c r="AAD51" s="19"/>
      <c r="AAE51" s="19"/>
      <c r="AAF51" s="19"/>
      <c r="AAG51" s="19"/>
      <c r="AAH51" s="19"/>
      <c r="AAI51" s="19"/>
      <c r="AAJ51" s="19"/>
      <c r="AAK51" s="19"/>
      <c r="AAL51" s="19"/>
      <c r="AAM51" s="19"/>
      <c r="AAN51" s="19"/>
      <c r="AAO51" s="19"/>
      <c r="AAP51" s="19"/>
      <c r="AAQ51" s="19"/>
      <c r="AAR51" s="19"/>
      <c r="AAS51" s="19"/>
      <c r="AAT51" s="19"/>
      <c r="AAU51" s="19"/>
      <c r="AAV51" s="19"/>
      <c r="AAW51" s="19"/>
      <c r="AAX51" s="19"/>
      <c r="AAY51" s="19"/>
      <c r="AAZ51" s="19"/>
      <c r="ABA51" s="19"/>
      <c r="ABB51" s="19"/>
      <c r="ABC51" s="19"/>
      <c r="ABD51" s="19"/>
      <c r="ABE51" s="19"/>
      <c r="ABF51" s="19"/>
      <c r="ABG51" s="19"/>
      <c r="ABH51" s="19"/>
      <c r="ABI51" s="19"/>
      <c r="ABJ51" s="19"/>
      <c r="ABK51" s="19"/>
      <c r="ABL51" s="19"/>
      <c r="ABM51" s="19"/>
      <c r="ABN51" s="19"/>
      <c r="ABO51" s="19"/>
      <c r="ABP51" s="19"/>
      <c r="ABQ51" s="19"/>
      <c r="ABR51" s="19"/>
      <c r="ABS51" s="19"/>
      <c r="ABT51" s="19"/>
      <c r="ABU51" s="19"/>
      <c r="ABV51" s="19"/>
      <c r="ABW51" s="19"/>
      <c r="ABX51" s="19"/>
      <c r="ABY51" s="19"/>
      <c r="ABZ51" s="19"/>
      <c r="ACA51" s="19"/>
      <c r="ACB51" s="19"/>
      <c r="ACC51" s="19"/>
      <c r="ACD51" s="19"/>
      <c r="ACE51" s="19"/>
      <c r="ACF51" s="19"/>
      <c r="ACG51" s="19"/>
      <c r="ACH51" s="19"/>
      <c r="ACI51" s="19"/>
      <c r="ACJ51" s="19"/>
      <c r="ACK51" s="19"/>
      <c r="ACL51" s="19"/>
      <c r="ACM51" s="19"/>
      <c r="ACN51" s="19"/>
      <c r="ACO51" s="19"/>
      <c r="ACP51" s="19"/>
      <c r="ACQ51" s="19"/>
      <c r="ACR51" s="19"/>
      <c r="ACS51" s="19"/>
      <c r="ACT51" s="19"/>
      <c r="ACU51" s="19"/>
      <c r="ACV51" s="19"/>
      <c r="ACW51" s="19"/>
      <c r="ACX51" s="19"/>
      <c r="ACY51" s="19"/>
      <c r="ACZ51" s="19"/>
      <c r="ADA51" s="19"/>
      <c r="ADB51" s="19"/>
      <c r="ADC51" s="19"/>
      <c r="ADD51" s="19"/>
      <c r="ADE51" s="19"/>
      <c r="ADF51" s="19"/>
      <c r="ADG51" s="19"/>
      <c r="ADH51" s="19"/>
      <c r="ADI51" s="19"/>
      <c r="ADJ51" s="19"/>
      <c r="ADK51" s="19"/>
      <c r="ADL51" s="19"/>
      <c r="ADM51" s="19"/>
      <c r="ADN51" s="19"/>
      <c r="ADO51" s="19"/>
      <c r="ADP51" s="19"/>
      <c r="ADQ51" s="19"/>
      <c r="ADR51" s="19"/>
      <c r="ADS51" s="19"/>
      <c r="ADT51" s="19"/>
      <c r="ADU51" s="19"/>
      <c r="ADV51" s="19"/>
      <c r="ADW51" s="19"/>
      <c r="ADX51" s="19"/>
      <c r="ADY51" s="19"/>
      <c r="ADZ51" s="19"/>
      <c r="AEA51" s="19"/>
      <c r="AEB51" s="19"/>
      <c r="AEC51" s="19"/>
      <c r="AED51" s="19"/>
      <c r="AEE51" s="19"/>
      <c r="AEF51" s="19"/>
      <c r="AEG51" s="19"/>
      <c r="AEH51" s="19"/>
      <c r="AEI51" s="19"/>
      <c r="AEJ51" s="19"/>
      <c r="AEK51" s="19"/>
      <c r="AEL51" s="19"/>
      <c r="AEM51" s="19"/>
      <c r="AEN51" s="19"/>
      <c r="AEO51" s="19"/>
      <c r="AEP51" s="19"/>
      <c r="AEQ51" s="19"/>
      <c r="AER51" s="19"/>
      <c r="AES51" s="19"/>
      <c r="AET51" s="19"/>
      <c r="AEU51" s="19"/>
      <c r="AEV51" s="19"/>
      <c r="AEW51" s="19"/>
      <c r="AEX51" s="19"/>
      <c r="AEY51" s="19"/>
      <c r="AEZ51" s="19"/>
      <c r="AFA51" s="19"/>
      <c r="AFB51" s="19"/>
      <c r="AFC51" s="19"/>
      <c r="AFD51" s="19"/>
      <c r="AFE51" s="19"/>
      <c r="AFF51" s="19"/>
      <c r="AFG51" s="19"/>
      <c r="AFH51" s="19"/>
      <c r="AFI51" s="19"/>
      <c r="AFJ51" s="19"/>
      <c r="AFK51" s="19"/>
      <c r="AFL51" s="19"/>
      <c r="AFM51" s="19"/>
      <c r="AFN51" s="19"/>
      <c r="AFO51" s="19"/>
      <c r="AFP51" s="19"/>
      <c r="AFQ51" s="19"/>
      <c r="AFR51" s="19"/>
      <c r="AFS51" s="19"/>
      <c r="AFT51" s="19"/>
      <c r="AFU51" s="19"/>
      <c r="AFV51" s="19"/>
      <c r="AFW51" s="19"/>
      <c r="AFX51" s="19"/>
      <c r="AFY51" s="19"/>
      <c r="AFZ51" s="19"/>
      <c r="AGA51" s="19"/>
      <c r="AGB51" s="19"/>
      <c r="AGC51" s="19"/>
      <c r="AGD51" s="19"/>
      <c r="AGE51" s="19"/>
      <c r="AGF51" s="19"/>
      <c r="AGG51" s="19"/>
      <c r="AGH51" s="19"/>
      <c r="AGI51" s="19"/>
      <c r="AGJ51" s="19"/>
      <c r="AGK51" s="19"/>
      <c r="AGL51" s="19"/>
      <c r="AGM51" s="19"/>
      <c r="AGN51" s="19"/>
      <c r="AGO51" s="19"/>
      <c r="AGP51" s="19"/>
      <c r="AGQ51" s="19"/>
      <c r="AGR51" s="19"/>
      <c r="AGS51" s="19"/>
      <c r="AGT51" s="19"/>
      <c r="AGU51" s="19"/>
      <c r="AGV51" s="19"/>
      <c r="AGW51" s="19"/>
      <c r="AGX51" s="19"/>
      <c r="AGY51" s="19"/>
      <c r="AGZ51" s="19"/>
      <c r="AHA51" s="19"/>
      <c r="AHB51" s="19"/>
      <c r="AHC51" s="19"/>
      <c r="AHD51" s="19"/>
      <c r="AHE51" s="19"/>
      <c r="AHF51" s="19"/>
      <c r="AHG51" s="19"/>
      <c r="AHH51" s="19"/>
      <c r="AHI51" s="19"/>
      <c r="AHJ51" s="19"/>
      <c r="AHK51" s="19"/>
      <c r="AHL51" s="19"/>
      <c r="AHM51" s="19"/>
      <c r="AHN51" s="19"/>
      <c r="AHO51" s="19"/>
      <c r="AHP51" s="19"/>
      <c r="AHQ51" s="19"/>
      <c r="AHR51" s="19"/>
      <c r="AHS51" s="19"/>
      <c r="AHT51" s="19"/>
      <c r="AHU51" s="19"/>
      <c r="AHV51" s="19"/>
      <c r="AHW51" s="19"/>
      <c r="AHX51" s="19"/>
      <c r="AHY51" s="19"/>
      <c r="AHZ51" s="19"/>
      <c r="AIA51" s="19"/>
      <c r="AIB51" s="19"/>
      <c r="AIC51" s="19"/>
      <c r="AID51" s="19"/>
      <c r="AIE51" s="19"/>
      <c r="AIF51" s="19"/>
      <c r="AIG51" s="19"/>
      <c r="AIH51" s="19"/>
      <c r="AII51" s="19"/>
      <c r="AIJ51" s="19"/>
      <c r="AIK51" s="19"/>
      <c r="AIL51" s="19"/>
      <c r="AIM51" s="19"/>
      <c r="AIN51" s="19"/>
      <c r="AIO51" s="19"/>
      <c r="AIP51" s="19"/>
      <c r="AIQ51" s="19"/>
      <c r="AIR51" s="19"/>
      <c r="AIS51" s="19"/>
      <c r="AIT51" s="19"/>
      <c r="AIU51" s="19"/>
      <c r="AIV51" s="19"/>
      <c r="AIW51" s="19"/>
      <c r="AIX51" s="19"/>
      <c r="AIY51" s="19"/>
      <c r="AIZ51" s="19"/>
      <c r="AJA51" s="19"/>
      <c r="AJB51" s="19"/>
      <c r="AJC51" s="19"/>
      <c r="AJD51" s="19"/>
      <c r="AJE51" s="19"/>
      <c r="AJF51" s="19"/>
      <c r="AJG51" s="19"/>
      <c r="AJH51" s="19"/>
      <c r="AJI51" s="19"/>
      <c r="AJJ51" s="19"/>
      <c r="AJK51" s="19"/>
      <c r="AJL51" s="19"/>
      <c r="AJM51" s="19"/>
      <c r="AJN51" s="19"/>
      <c r="AJO51" s="19"/>
      <c r="AJP51" s="19"/>
      <c r="AJQ51" s="19"/>
      <c r="AJR51" s="19"/>
      <c r="AJS51" s="19"/>
      <c r="AJT51" s="19"/>
      <c r="AJU51" s="19"/>
      <c r="AJV51" s="19"/>
      <c r="AJW51" s="19"/>
      <c r="AJX51" s="19"/>
      <c r="AJY51" s="19"/>
      <c r="AJZ51" s="19"/>
      <c r="AKA51" s="19"/>
      <c r="AKB51" s="19"/>
      <c r="AKC51" s="19"/>
      <c r="AKD51" s="19"/>
      <c r="AKE51" s="19"/>
      <c r="AKF51" s="19"/>
      <c r="AKG51" s="19"/>
      <c r="AKH51" s="19"/>
      <c r="AKI51" s="19"/>
      <c r="AKJ51" s="19"/>
      <c r="AKK51" s="19"/>
      <c r="AKL51" s="19"/>
      <c r="AKM51" s="19"/>
      <c r="AKN51" s="19"/>
      <c r="AKO51" s="19"/>
      <c r="AKP51" s="19"/>
      <c r="AKQ51" s="19"/>
      <c r="AKR51" s="19"/>
      <c r="AKS51" s="19"/>
      <c r="AKT51" s="19"/>
      <c r="AKU51" s="19"/>
      <c r="AKV51" s="19"/>
      <c r="AKW51" s="19"/>
      <c r="AKX51" s="19"/>
      <c r="AKY51" s="19"/>
      <c r="AKZ51" s="19"/>
      <c r="ALA51" s="19"/>
      <c r="ALB51" s="19"/>
      <c r="ALC51" s="19"/>
      <c r="ALD51" s="19"/>
      <c r="ALE51" s="19"/>
      <c r="ALF51" s="19"/>
      <c r="ALG51" s="19"/>
      <c r="ALH51" s="19"/>
      <c r="ALI51" s="19"/>
      <c r="ALJ51" s="19"/>
      <c r="ALK51" s="19"/>
      <c r="ALL51" s="19"/>
      <c r="ALM51" s="19"/>
      <c r="ALN51" s="19"/>
      <c r="ALO51" s="19"/>
      <c r="ALP51" s="19"/>
      <c r="ALQ51" s="19"/>
      <c r="ALR51" s="19"/>
      <c r="ALS51" s="19"/>
      <c r="ALT51" s="19"/>
      <c r="ALU51" s="19"/>
      <c r="ALV51" s="19"/>
      <c r="ALW51" s="19"/>
      <c r="ALX51" s="19"/>
      <c r="ALY51" s="19"/>
      <c r="ALZ51" s="19"/>
      <c r="AMA51" s="19"/>
      <c r="AMB51" s="19"/>
      <c r="AMC51" s="19"/>
      <c r="AMD51" s="19"/>
      <c r="AME51" s="19"/>
      <c r="AMF51" s="19"/>
      <c r="AMG51" s="19"/>
      <c r="AMH51" s="19"/>
      <c r="AMI51" s="19"/>
      <c r="AMJ51" s="19"/>
      <c r="AMK51" s="19"/>
      <c r="AML51" s="19"/>
      <c r="AMM51" s="19"/>
      <c r="AMN51" s="19"/>
      <c r="AMO51" s="19"/>
      <c r="AMP51" s="19"/>
      <c r="AMQ51" s="19"/>
      <c r="AMR51" s="19"/>
      <c r="AMS51" s="19"/>
      <c r="AMT51" s="19"/>
      <c r="AMU51" s="19"/>
      <c r="AMV51" s="19"/>
      <c r="AMW51" s="19"/>
      <c r="AMX51" s="19"/>
      <c r="AMY51" s="19"/>
      <c r="AMZ51" s="19"/>
      <c r="ANA51" s="19"/>
      <c r="ANB51" s="19"/>
      <c r="ANC51" s="19"/>
      <c r="AND51" s="19"/>
      <c r="ANE51" s="19"/>
      <c r="ANF51" s="19"/>
      <c r="ANG51" s="19"/>
      <c r="ANH51" s="19"/>
      <c r="ANI51" s="19"/>
      <c r="ANJ51" s="19"/>
      <c r="ANK51" s="19"/>
      <c r="ANL51" s="19"/>
      <c r="ANM51" s="19"/>
      <c r="ANN51" s="19"/>
      <c r="ANO51" s="19"/>
      <c r="ANP51" s="19"/>
      <c r="ANQ51" s="19"/>
      <c r="ANR51" s="19"/>
      <c r="ANS51" s="19"/>
      <c r="ANT51" s="19"/>
      <c r="ANU51" s="19"/>
      <c r="ANV51" s="19"/>
      <c r="ANW51" s="19"/>
      <c r="ANX51" s="19"/>
      <c r="ANY51" s="19"/>
      <c r="ANZ51" s="19"/>
      <c r="AOA51" s="19"/>
      <c r="AOB51" s="19"/>
      <c r="AOC51" s="19"/>
      <c r="AOD51" s="19"/>
      <c r="AOE51" s="19"/>
      <c r="AOF51" s="19"/>
      <c r="AOG51" s="19"/>
      <c r="AOH51" s="19"/>
      <c r="AOI51" s="19"/>
      <c r="AOJ51" s="19"/>
      <c r="AOK51" s="19"/>
      <c r="AOL51" s="19"/>
      <c r="AOM51" s="19"/>
      <c r="AON51" s="19"/>
      <c r="AOO51" s="19"/>
      <c r="AOP51" s="19"/>
      <c r="AOQ51" s="19"/>
      <c r="AOR51" s="19"/>
      <c r="AOS51" s="19"/>
      <c r="AOT51" s="19"/>
      <c r="AOU51" s="19"/>
      <c r="AOV51" s="19"/>
      <c r="AOW51" s="19"/>
      <c r="AOX51" s="19"/>
      <c r="AOY51" s="19"/>
      <c r="AOZ51" s="19"/>
      <c r="APA51" s="19"/>
      <c r="APB51" s="19"/>
      <c r="APC51" s="19"/>
      <c r="APD51" s="19"/>
      <c r="APE51" s="19"/>
      <c r="APF51" s="19"/>
      <c r="APG51" s="19"/>
      <c r="APH51" s="19"/>
      <c r="API51" s="19"/>
      <c r="APJ51" s="19"/>
      <c r="APK51" s="19"/>
      <c r="APL51" s="19"/>
      <c r="APM51" s="19"/>
      <c r="APN51" s="19"/>
      <c r="APO51" s="19"/>
      <c r="APP51" s="19"/>
      <c r="APQ51" s="19"/>
      <c r="APR51" s="19"/>
      <c r="APS51" s="19"/>
      <c r="APT51" s="19"/>
      <c r="APU51" s="19"/>
      <c r="APV51" s="19"/>
      <c r="APW51" s="19"/>
      <c r="APX51" s="19"/>
      <c r="APY51" s="19"/>
      <c r="APZ51" s="19"/>
      <c r="AQA51" s="19"/>
      <c r="AQB51" s="19"/>
      <c r="AQC51" s="19"/>
      <c r="AQD51" s="19"/>
      <c r="AQE51" s="19"/>
      <c r="AQF51" s="19"/>
      <c r="AQG51" s="19"/>
      <c r="AQH51" s="19"/>
      <c r="AQI51" s="19"/>
      <c r="AQJ51" s="19"/>
      <c r="AQK51" s="19"/>
      <c r="AQL51" s="19"/>
      <c r="AQM51" s="19"/>
      <c r="AQN51" s="19"/>
      <c r="AQO51" s="19"/>
      <c r="AQP51" s="19"/>
      <c r="AQQ51" s="19"/>
      <c r="AQR51" s="19"/>
      <c r="AQS51" s="19"/>
      <c r="AQT51" s="19"/>
      <c r="AQU51" s="19"/>
      <c r="AQV51" s="19"/>
      <c r="AQW51" s="19"/>
      <c r="AQX51" s="19"/>
      <c r="AQY51" s="19"/>
      <c r="AQZ51" s="19"/>
      <c r="ARA51" s="19"/>
      <c r="ARB51" s="19"/>
      <c r="ARC51" s="19"/>
      <c r="ARD51" s="19"/>
      <c r="ARE51" s="19"/>
      <c r="ARF51" s="19"/>
      <c r="ARG51" s="19"/>
      <c r="ARH51" s="19"/>
      <c r="ARI51" s="19"/>
      <c r="ARJ51" s="19"/>
      <c r="ARK51" s="19"/>
      <c r="ARL51" s="19"/>
      <c r="ARM51" s="19"/>
      <c r="ARN51" s="19"/>
      <c r="ARO51" s="19"/>
      <c r="ARP51" s="19"/>
      <c r="ARQ51" s="19"/>
      <c r="ARR51" s="19"/>
      <c r="ARS51" s="19"/>
      <c r="ART51" s="19"/>
      <c r="ARU51" s="19"/>
      <c r="ARV51" s="19"/>
      <c r="ARW51" s="19"/>
      <c r="ARX51" s="19"/>
      <c r="ARY51" s="19"/>
      <c r="ARZ51" s="19"/>
      <c r="ASA51" s="19"/>
      <c r="ASB51" s="19"/>
      <c r="ASC51" s="19"/>
      <c r="ASD51" s="19"/>
      <c r="ASE51" s="19"/>
      <c r="ASF51" s="19"/>
      <c r="ASG51" s="19"/>
      <c r="ASH51" s="19"/>
      <c r="ASI51" s="19"/>
      <c r="ASJ51" s="19"/>
      <c r="ASK51" s="19"/>
      <c r="ASL51" s="19"/>
      <c r="ASM51" s="19"/>
      <c r="ASN51" s="19"/>
      <c r="ASO51" s="19"/>
      <c r="ASP51" s="19"/>
      <c r="ASQ51" s="19"/>
      <c r="ASR51" s="19"/>
      <c r="ASS51" s="19"/>
      <c r="AST51" s="19"/>
      <c r="ASU51" s="19"/>
      <c r="ASV51" s="19"/>
      <c r="ASW51" s="19"/>
      <c r="ASX51" s="19"/>
      <c r="ASY51" s="19"/>
      <c r="ASZ51" s="19"/>
      <c r="ATA51" s="19"/>
      <c r="ATB51" s="19"/>
      <c r="ATC51" s="19"/>
      <c r="ATD51" s="19"/>
      <c r="ATE51" s="19"/>
      <c r="ATF51" s="19"/>
      <c r="ATG51" s="19"/>
      <c r="ATH51" s="19"/>
      <c r="ATI51" s="19"/>
      <c r="ATJ51" s="19"/>
      <c r="ATK51" s="19"/>
      <c r="ATL51" s="19"/>
      <c r="ATM51" s="19"/>
      <c r="ATN51" s="19"/>
      <c r="ATO51" s="19"/>
      <c r="ATP51" s="19"/>
      <c r="ATQ51" s="19"/>
      <c r="ATR51" s="19"/>
      <c r="ATS51" s="19"/>
      <c r="ATT51" s="19"/>
      <c r="ATU51" s="19"/>
      <c r="ATV51" s="19"/>
      <c r="ATW51" s="19"/>
      <c r="ATX51" s="19"/>
      <c r="ATY51" s="19"/>
      <c r="ATZ51" s="19"/>
      <c r="AUA51" s="19"/>
      <c r="AUB51" s="19"/>
      <c r="AUC51" s="19"/>
      <c r="AUD51" s="19"/>
      <c r="AUE51" s="19"/>
      <c r="AUF51" s="19"/>
      <c r="AUG51" s="19"/>
      <c r="AUH51" s="19"/>
      <c r="AUI51" s="19"/>
      <c r="AUJ51" s="19"/>
      <c r="AUK51" s="19"/>
      <c r="AUL51" s="19"/>
      <c r="AUM51" s="19"/>
      <c r="AUN51" s="19"/>
      <c r="AUO51" s="19"/>
      <c r="AUP51" s="19"/>
      <c r="AUQ51" s="19"/>
      <c r="AUR51" s="19"/>
      <c r="AUS51" s="19"/>
      <c r="AUT51" s="19"/>
      <c r="AUU51" s="19"/>
      <c r="AUV51" s="19"/>
      <c r="AUW51" s="19"/>
      <c r="AUX51" s="19"/>
      <c r="AUY51" s="19"/>
      <c r="AUZ51" s="19"/>
      <c r="AVA51" s="19"/>
      <c r="AVB51" s="19"/>
      <c r="AVC51" s="19"/>
      <c r="AVD51" s="19"/>
      <c r="AVE51" s="19"/>
      <c r="AVF51" s="19"/>
      <c r="AVG51" s="19"/>
      <c r="AVH51" s="19"/>
      <c r="AVI51" s="19"/>
      <c r="AVJ51" s="19"/>
      <c r="AVK51" s="19"/>
      <c r="AVL51" s="19"/>
      <c r="AVM51" s="19"/>
      <c r="AVN51" s="19"/>
      <c r="AVO51" s="19"/>
      <c r="AVP51" s="19"/>
      <c r="AVQ51" s="19"/>
      <c r="AVR51" s="19"/>
      <c r="AVS51" s="19"/>
      <c r="AVT51" s="19"/>
      <c r="AVU51" s="19"/>
      <c r="AVV51" s="19"/>
      <c r="AVW51" s="19"/>
      <c r="AVX51" s="19"/>
      <c r="AVY51" s="19"/>
      <c r="AVZ51" s="19"/>
      <c r="AWA51" s="19"/>
      <c r="AWB51" s="19"/>
      <c r="AWC51" s="19"/>
      <c r="AWD51" s="19"/>
      <c r="AWE51" s="19"/>
      <c r="AWF51" s="19"/>
      <c r="AWG51" s="19"/>
      <c r="AWH51" s="19"/>
      <c r="AWI51" s="19"/>
      <c r="AWJ51" s="19"/>
      <c r="AWK51" s="19"/>
      <c r="AWL51" s="19"/>
      <c r="AWM51" s="19"/>
      <c r="AWN51" s="19"/>
      <c r="AWO51" s="19"/>
      <c r="AWP51" s="19"/>
      <c r="AWQ51" s="19"/>
      <c r="AWR51" s="19"/>
      <c r="AWS51" s="19"/>
      <c r="AWT51" s="19"/>
      <c r="AWU51" s="19"/>
      <c r="AWV51" s="19"/>
      <c r="AWW51" s="19"/>
      <c r="AWX51" s="19"/>
      <c r="AWY51" s="19"/>
      <c r="AWZ51" s="19"/>
      <c r="AXA51" s="19"/>
      <c r="AXB51" s="19"/>
      <c r="AXC51" s="19"/>
      <c r="AXD51" s="19"/>
      <c r="AXE51" s="19"/>
      <c r="AXF51" s="19"/>
      <c r="AXG51" s="19"/>
      <c r="AXH51" s="19"/>
      <c r="AXI51" s="19"/>
      <c r="AXJ51" s="19"/>
      <c r="AXK51" s="19"/>
      <c r="AXL51" s="19"/>
      <c r="AXM51" s="19"/>
      <c r="AXN51" s="19"/>
      <c r="AXO51" s="19"/>
      <c r="AXP51" s="19"/>
      <c r="AXQ51" s="19"/>
      <c r="AXR51" s="19"/>
      <c r="AXS51" s="19"/>
      <c r="AXT51" s="19"/>
      <c r="AXU51" s="19"/>
      <c r="AXV51" s="19"/>
      <c r="AXW51" s="19"/>
      <c r="AXX51" s="19"/>
      <c r="AXY51" s="19"/>
      <c r="AXZ51" s="19"/>
      <c r="AYA51" s="19"/>
      <c r="AYB51" s="19"/>
      <c r="AYC51" s="19"/>
      <c r="AYD51" s="19"/>
      <c r="AYE51" s="19"/>
      <c r="AYF51" s="19"/>
      <c r="AYG51" s="19"/>
      <c r="AYH51" s="19"/>
      <c r="AYI51" s="19"/>
      <c r="AYJ51" s="19"/>
      <c r="AYK51" s="19"/>
      <c r="AYL51" s="19"/>
      <c r="AYM51" s="19"/>
      <c r="AYN51" s="19"/>
      <c r="AYO51" s="19"/>
      <c r="AYP51" s="19"/>
      <c r="AYQ51" s="19"/>
      <c r="AYR51" s="19"/>
      <c r="AYS51" s="19"/>
      <c r="AYT51" s="19"/>
      <c r="AYU51" s="19"/>
      <c r="AYV51" s="19"/>
      <c r="AYW51" s="19"/>
      <c r="AYX51" s="19"/>
      <c r="AYY51" s="19"/>
      <c r="AYZ51" s="19"/>
      <c r="AZA51" s="19"/>
      <c r="AZB51" s="19"/>
      <c r="AZC51" s="19"/>
      <c r="AZD51" s="19"/>
      <c r="AZE51" s="19"/>
      <c r="AZF51" s="19"/>
      <c r="AZG51" s="19"/>
      <c r="AZH51" s="19"/>
      <c r="AZI51" s="19"/>
      <c r="AZJ51" s="19"/>
      <c r="AZK51" s="19"/>
      <c r="AZL51" s="19"/>
      <c r="AZM51" s="19"/>
      <c r="AZN51" s="19"/>
      <c r="AZO51" s="19"/>
      <c r="AZP51" s="19"/>
      <c r="AZQ51" s="19"/>
      <c r="AZR51" s="19"/>
      <c r="AZS51" s="19"/>
      <c r="AZT51" s="19"/>
      <c r="AZU51" s="19"/>
      <c r="AZV51" s="19"/>
      <c r="AZW51" s="19"/>
      <c r="AZX51" s="19"/>
      <c r="AZY51" s="19"/>
      <c r="AZZ51" s="19"/>
      <c r="BAA51" s="19"/>
      <c r="BAB51" s="19"/>
      <c r="BAC51" s="19"/>
      <c r="BAD51" s="19"/>
      <c r="BAE51" s="19"/>
      <c r="BAF51" s="19"/>
      <c r="BAG51" s="19"/>
      <c r="BAH51" s="19"/>
      <c r="BAI51" s="19"/>
      <c r="BAJ51" s="19"/>
      <c r="BAK51" s="19"/>
      <c r="BAL51" s="19"/>
      <c r="BAM51" s="19"/>
      <c r="BAN51" s="19"/>
      <c r="BAO51" s="19"/>
      <c r="BAP51" s="19"/>
      <c r="BAQ51" s="19"/>
      <c r="BAR51" s="19"/>
      <c r="BAS51" s="19"/>
      <c r="BAT51" s="19"/>
      <c r="BAU51" s="19"/>
      <c r="BAV51" s="19"/>
      <c r="BAW51" s="19"/>
      <c r="BAX51" s="19"/>
      <c r="BAY51" s="19"/>
      <c r="BAZ51" s="19"/>
      <c r="BBA51" s="19"/>
      <c r="BBB51" s="19"/>
      <c r="BBC51" s="19"/>
      <c r="BBD51" s="19"/>
      <c r="BBE51" s="19"/>
      <c r="BBF51" s="19"/>
      <c r="BBG51" s="19"/>
      <c r="BBH51" s="19"/>
      <c r="BBI51" s="19"/>
      <c r="BBJ51" s="19"/>
      <c r="BBK51" s="19"/>
      <c r="BBL51" s="19"/>
      <c r="BBM51" s="19"/>
      <c r="BBN51" s="19"/>
      <c r="BBO51" s="19"/>
      <c r="BBP51" s="19"/>
      <c r="BBQ51" s="19"/>
      <c r="BBR51" s="19"/>
      <c r="BBS51" s="19"/>
      <c r="BBT51" s="19"/>
      <c r="BBU51" s="19"/>
      <c r="BBV51" s="19"/>
      <c r="BBW51" s="19"/>
      <c r="BBX51" s="19"/>
      <c r="BBY51" s="19"/>
      <c r="BBZ51" s="19"/>
      <c r="BCA51" s="19"/>
      <c r="BCB51" s="19"/>
      <c r="BCC51" s="19"/>
      <c r="BCD51" s="19"/>
      <c r="BCE51" s="19"/>
      <c r="BCF51" s="19"/>
      <c r="BCG51" s="19"/>
      <c r="BCH51" s="19"/>
      <c r="BCI51" s="19"/>
      <c r="BCJ51" s="19"/>
      <c r="BCK51" s="19"/>
      <c r="BCL51" s="19"/>
      <c r="BCM51" s="19"/>
      <c r="BCN51" s="19"/>
      <c r="BCO51" s="19"/>
      <c r="BCP51" s="19"/>
      <c r="BCQ51" s="19"/>
      <c r="BCR51" s="19"/>
      <c r="BCS51" s="19"/>
      <c r="BCT51" s="19"/>
      <c r="BCU51" s="19"/>
      <c r="BCV51" s="19"/>
      <c r="BCW51" s="19"/>
      <c r="BCX51" s="19"/>
      <c r="BCY51" s="19"/>
      <c r="BCZ51" s="19"/>
      <c r="BDA51" s="19"/>
      <c r="BDB51" s="19"/>
      <c r="BDC51" s="19"/>
      <c r="BDD51" s="19"/>
      <c r="BDE51" s="19"/>
      <c r="BDF51" s="19"/>
      <c r="BDG51" s="19"/>
      <c r="BDH51" s="19"/>
      <c r="BDI51" s="19"/>
      <c r="BDJ51" s="19"/>
      <c r="BDK51" s="19"/>
      <c r="BDL51" s="19"/>
      <c r="BDM51" s="19"/>
      <c r="BDN51" s="19"/>
      <c r="BDO51" s="19"/>
      <c r="BDP51" s="19"/>
      <c r="BDQ51" s="19"/>
      <c r="BDR51" s="19"/>
      <c r="BDS51" s="19"/>
      <c r="BDT51" s="19"/>
      <c r="BDU51" s="19"/>
      <c r="BDV51" s="19"/>
      <c r="BDW51" s="19"/>
      <c r="BDX51" s="19"/>
      <c r="BDY51" s="19"/>
      <c r="BDZ51" s="19"/>
      <c r="BEA51" s="19"/>
      <c r="BEB51" s="19"/>
      <c r="BEC51" s="19"/>
      <c r="BED51" s="19"/>
      <c r="BEE51" s="19"/>
      <c r="BEF51" s="19"/>
      <c r="BEG51" s="19"/>
      <c r="BEH51" s="19"/>
      <c r="BEI51" s="19"/>
      <c r="BEJ51" s="19"/>
      <c r="BEK51" s="19"/>
      <c r="BEL51" s="19"/>
      <c r="BEM51" s="19"/>
      <c r="BEN51" s="19"/>
      <c r="BEO51" s="19"/>
      <c r="BEP51" s="19"/>
      <c r="BEQ51" s="19"/>
      <c r="BER51" s="19"/>
      <c r="BES51" s="19"/>
      <c r="BET51" s="19"/>
      <c r="BEU51" s="19"/>
      <c r="BEV51" s="19"/>
      <c r="BEW51" s="19"/>
      <c r="BEX51" s="19"/>
      <c r="BEY51" s="19"/>
      <c r="BEZ51" s="19"/>
      <c r="BFA51" s="19"/>
      <c r="BFB51" s="19"/>
      <c r="BFC51" s="19"/>
      <c r="BFD51" s="19"/>
      <c r="BFE51" s="19"/>
      <c r="BFF51" s="19"/>
      <c r="BFG51" s="19"/>
      <c r="BFH51" s="19"/>
      <c r="BFI51" s="19"/>
      <c r="BFJ51" s="19"/>
      <c r="BFK51" s="19"/>
      <c r="BFL51" s="19"/>
      <c r="BFM51" s="19"/>
      <c r="BFN51" s="19"/>
      <c r="BFO51" s="19"/>
      <c r="BFP51" s="19"/>
      <c r="BFQ51" s="19"/>
      <c r="BFR51" s="19"/>
      <c r="BFS51" s="19"/>
      <c r="BFT51" s="19"/>
      <c r="BFU51" s="19"/>
      <c r="BFV51" s="19"/>
      <c r="BFW51" s="19"/>
      <c r="BFX51" s="19"/>
      <c r="BFY51" s="19"/>
      <c r="BFZ51" s="19"/>
      <c r="BGA51" s="19"/>
      <c r="BGB51" s="19"/>
      <c r="BGC51" s="19"/>
      <c r="BGD51" s="19"/>
      <c r="BGE51" s="19"/>
      <c r="BGF51" s="19"/>
      <c r="BGG51" s="19"/>
      <c r="BGH51" s="19"/>
      <c r="BGI51" s="19"/>
      <c r="BGJ51" s="19"/>
      <c r="BGK51" s="19"/>
      <c r="BGL51" s="19"/>
      <c r="BGM51" s="19"/>
      <c r="BGN51" s="19"/>
      <c r="BGO51" s="19"/>
      <c r="BGP51" s="19"/>
      <c r="BGQ51" s="19"/>
      <c r="BGR51" s="19"/>
      <c r="BGS51" s="19"/>
      <c r="BGT51" s="19"/>
      <c r="BGU51" s="19"/>
      <c r="BGV51" s="19"/>
      <c r="BGW51" s="19"/>
      <c r="BGX51" s="19"/>
      <c r="BGY51" s="19"/>
      <c r="BGZ51" s="19"/>
      <c r="BHA51" s="19"/>
      <c r="BHB51" s="19"/>
      <c r="BHC51" s="19"/>
      <c r="BHD51" s="19"/>
      <c r="BHE51" s="19"/>
      <c r="BHF51" s="19"/>
      <c r="BHG51" s="19"/>
      <c r="BHH51" s="19"/>
      <c r="BHI51" s="19"/>
      <c r="BHJ51" s="19"/>
      <c r="BHK51" s="19"/>
      <c r="BHL51" s="19"/>
      <c r="BHM51" s="19"/>
      <c r="BHN51" s="19"/>
      <c r="BHO51" s="19"/>
      <c r="BHP51" s="19"/>
      <c r="BHQ51" s="19"/>
      <c r="BHR51" s="19"/>
      <c r="BHS51" s="19"/>
      <c r="BHT51" s="19"/>
      <c r="BHU51" s="19"/>
      <c r="BHV51" s="19"/>
      <c r="BHW51" s="19"/>
      <c r="BHX51" s="19"/>
      <c r="BHY51" s="19"/>
      <c r="BHZ51" s="19"/>
      <c r="BIA51" s="19"/>
      <c r="BIB51" s="19"/>
      <c r="BIC51" s="19"/>
      <c r="BID51" s="19"/>
      <c r="BIE51" s="19"/>
      <c r="BIF51" s="19"/>
      <c r="BIG51" s="19"/>
      <c r="BIH51" s="19"/>
      <c r="BII51" s="19"/>
      <c r="BIJ51" s="19"/>
      <c r="BIK51" s="19"/>
      <c r="BIL51" s="19"/>
      <c r="BIM51" s="19"/>
      <c r="BIN51" s="19"/>
      <c r="BIO51" s="19"/>
      <c r="BIP51" s="19"/>
      <c r="BIQ51" s="19"/>
      <c r="BIR51" s="19"/>
      <c r="BIS51" s="19"/>
      <c r="BIT51" s="19"/>
      <c r="BIU51" s="19"/>
      <c r="BIV51" s="19"/>
      <c r="BIW51" s="19"/>
      <c r="BIX51" s="19"/>
      <c r="BIY51" s="19"/>
      <c r="BIZ51" s="19"/>
      <c r="BJA51" s="19"/>
      <c r="BJB51" s="19"/>
      <c r="BJC51" s="19"/>
      <c r="BJD51" s="19"/>
      <c r="BJE51" s="19"/>
      <c r="BJF51" s="19"/>
      <c r="BJG51" s="19"/>
      <c r="BJH51" s="19"/>
      <c r="BJI51" s="19"/>
      <c r="BJJ51" s="19"/>
      <c r="BJK51" s="19"/>
      <c r="BJL51" s="19"/>
      <c r="BJM51" s="19"/>
      <c r="BJN51" s="19"/>
      <c r="BJO51" s="19"/>
      <c r="BJP51" s="19"/>
      <c r="BJQ51" s="19"/>
      <c r="BJR51" s="19"/>
      <c r="BJS51" s="19"/>
      <c r="BJT51" s="19"/>
      <c r="BJU51" s="19"/>
      <c r="BJV51" s="19"/>
      <c r="BJW51" s="19"/>
      <c r="BJX51" s="19"/>
      <c r="BJY51" s="19"/>
      <c r="BJZ51" s="19"/>
      <c r="BKA51" s="19"/>
      <c r="BKB51" s="19"/>
      <c r="BKC51" s="19"/>
      <c r="BKD51" s="19"/>
      <c r="BKE51" s="19"/>
      <c r="BKF51" s="19"/>
      <c r="BKG51" s="19"/>
      <c r="BKH51" s="19"/>
      <c r="BKI51" s="19"/>
      <c r="BKJ51" s="19"/>
      <c r="BKK51" s="19"/>
      <c r="BKL51" s="19"/>
      <c r="BKM51" s="19"/>
      <c r="BKN51" s="19"/>
      <c r="BKO51" s="19"/>
      <c r="BKP51" s="19"/>
      <c r="BKQ51" s="19"/>
      <c r="BKR51" s="19"/>
      <c r="BKS51" s="19"/>
      <c r="BKT51" s="19"/>
      <c r="BKU51" s="19"/>
      <c r="BKV51" s="19"/>
      <c r="BKW51" s="19"/>
      <c r="BKX51" s="19"/>
      <c r="BKY51" s="19"/>
      <c r="BKZ51" s="19"/>
      <c r="BLA51" s="19"/>
      <c r="BLB51" s="19"/>
      <c r="BLC51" s="19"/>
      <c r="BLD51" s="19"/>
      <c r="BLE51" s="19"/>
      <c r="BLF51" s="19"/>
      <c r="BLG51" s="19"/>
      <c r="BLH51" s="19"/>
      <c r="BLI51" s="19"/>
      <c r="BLJ51" s="19"/>
      <c r="BLK51" s="19"/>
      <c r="BLL51" s="19"/>
      <c r="BLM51" s="19"/>
      <c r="BLN51" s="19"/>
      <c r="BLO51" s="19"/>
      <c r="BLP51" s="19"/>
      <c r="BLQ51" s="19"/>
      <c r="BLR51" s="19"/>
      <c r="BLS51" s="19"/>
      <c r="BLT51" s="19"/>
      <c r="BLU51" s="19"/>
      <c r="BLV51" s="19"/>
      <c r="BLW51" s="19"/>
      <c r="BLX51" s="19"/>
      <c r="BLY51" s="19"/>
      <c r="BLZ51" s="19"/>
      <c r="BMA51" s="19"/>
      <c r="BMB51" s="19"/>
      <c r="BMC51" s="19"/>
      <c r="BMD51" s="19"/>
      <c r="BME51" s="19"/>
      <c r="BMF51" s="19"/>
      <c r="BMG51" s="19"/>
      <c r="BMH51" s="19"/>
      <c r="BMI51" s="19"/>
      <c r="BMJ51" s="19"/>
      <c r="BMK51" s="19"/>
      <c r="BML51" s="19"/>
      <c r="BMM51" s="19"/>
      <c r="BMN51" s="19"/>
      <c r="BMO51" s="19"/>
      <c r="BMP51" s="19"/>
      <c r="BMQ51" s="19"/>
      <c r="BMR51" s="19"/>
      <c r="BMS51" s="19"/>
      <c r="BMT51" s="19"/>
      <c r="BMU51" s="19"/>
      <c r="BMV51" s="19"/>
      <c r="BMW51" s="19"/>
      <c r="BMX51" s="19"/>
      <c r="BMY51" s="19"/>
      <c r="BMZ51" s="19"/>
      <c r="BNA51" s="19"/>
      <c r="BNB51" s="19"/>
      <c r="BNC51" s="19"/>
      <c r="BND51" s="19"/>
      <c r="BNE51" s="19"/>
      <c r="BNF51" s="19"/>
      <c r="BNG51" s="19"/>
      <c r="BNH51" s="19"/>
      <c r="BNI51" s="19"/>
      <c r="BNJ51" s="19"/>
      <c r="BNK51" s="19"/>
      <c r="BNL51" s="19"/>
      <c r="BNM51" s="19"/>
      <c r="BNN51" s="19"/>
      <c r="BNO51" s="19"/>
      <c r="BNP51" s="19"/>
      <c r="BNQ51" s="19"/>
      <c r="BNR51" s="19"/>
      <c r="BNS51" s="19"/>
      <c r="BNT51" s="19"/>
      <c r="BNU51" s="19"/>
      <c r="BNV51" s="19"/>
      <c r="BNW51" s="19"/>
      <c r="BNX51" s="19"/>
      <c r="BNY51" s="19"/>
      <c r="BNZ51" s="19"/>
      <c r="BOA51" s="19"/>
      <c r="BOB51" s="19"/>
      <c r="BOC51" s="19"/>
      <c r="BOD51" s="19"/>
      <c r="BOE51" s="19"/>
      <c r="BOF51" s="19"/>
      <c r="BOG51" s="19"/>
      <c r="BOH51" s="19"/>
      <c r="BOI51" s="19"/>
      <c r="BOJ51" s="19"/>
      <c r="BOK51" s="19"/>
      <c r="BOL51" s="19"/>
      <c r="BOM51" s="19"/>
      <c r="BON51" s="19"/>
      <c r="BOO51" s="19"/>
      <c r="BOP51" s="19"/>
      <c r="BOQ51" s="19"/>
      <c r="BOR51" s="19"/>
      <c r="BOS51" s="19"/>
      <c r="BOT51" s="19"/>
      <c r="BOU51" s="19"/>
      <c r="BOV51" s="19"/>
      <c r="BOW51" s="19"/>
      <c r="BOX51" s="19"/>
      <c r="BOY51" s="19"/>
      <c r="BOZ51" s="19"/>
      <c r="BPA51" s="19"/>
      <c r="BPB51" s="19"/>
      <c r="BPC51" s="19"/>
      <c r="BPD51" s="19"/>
      <c r="BPE51" s="19"/>
      <c r="BPF51" s="19"/>
      <c r="BPG51" s="19"/>
      <c r="BPH51" s="19"/>
      <c r="BPI51" s="19"/>
      <c r="BPJ51" s="19"/>
      <c r="BPK51" s="19"/>
      <c r="BPL51" s="19"/>
      <c r="BPM51" s="19"/>
      <c r="BPN51" s="19"/>
      <c r="BPO51" s="19"/>
      <c r="BPP51" s="19"/>
      <c r="BPQ51" s="19"/>
      <c r="BPR51" s="19"/>
      <c r="BPS51" s="19"/>
      <c r="BPT51" s="19"/>
      <c r="BPU51" s="19"/>
      <c r="BPV51" s="19"/>
      <c r="BPW51" s="19"/>
      <c r="BPX51" s="19"/>
      <c r="BPY51" s="19"/>
      <c r="BPZ51" s="19"/>
      <c r="BQA51" s="19"/>
      <c r="BQB51" s="19"/>
      <c r="BQC51" s="19"/>
      <c r="BQD51" s="19"/>
      <c r="BQE51" s="19"/>
      <c r="BQF51" s="19"/>
      <c r="BQG51" s="19"/>
      <c r="BQH51" s="19"/>
      <c r="BQI51" s="19"/>
      <c r="BQJ51" s="19"/>
      <c r="BQK51" s="19"/>
      <c r="BQL51" s="19"/>
      <c r="BQM51" s="19"/>
      <c r="BQN51" s="19"/>
      <c r="BQO51" s="19"/>
      <c r="BQP51" s="19"/>
      <c r="BQQ51" s="19"/>
      <c r="BQR51" s="19"/>
      <c r="BQS51" s="19"/>
      <c r="BQT51" s="19"/>
      <c r="BQU51" s="19"/>
      <c r="BQV51" s="19"/>
      <c r="BQW51" s="19"/>
      <c r="BQX51" s="19"/>
      <c r="BQY51" s="19"/>
      <c r="BQZ51" s="19"/>
      <c r="BRA51" s="19"/>
      <c r="BRB51" s="19"/>
      <c r="BRC51" s="19"/>
      <c r="BRD51" s="19"/>
      <c r="BRE51" s="19"/>
      <c r="BRF51" s="19"/>
      <c r="BRG51" s="19"/>
      <c r="BRH51" s="19"/>
      <c r="BRI51" s="19"/>
      <c r="BRJ51" s="19"/>
      <c r="BRK51" s="19"/>
      <c r="BRL51" s="19"/>
      <c r="BRM51" s="19"/>
      <c r="BRN51" s="19"/>
      <c r="BRO51" s="19"/>
      <c r="BRP51" s="19"/>
      <c r="BRQ51" s="19"/>
      <c r="BRR51" s="19"/>
      <c r="BRS51" s="19"/>
      <c r="BRT51" s="19"/>
      <c r="BRU51" s="19"/>
      <c r="BRV51" s="19"/>
      <c r="BRW51" s="19"/>
      <c r="BRX51" s="19"/>
      <c r="BRY51" s="19"/>
      <c r="BRZ51" s="19"/>
      <c r="BSA51" s="19"/>
      <c r="BSB51" s="19"/>
      <c r="BSC51" s="19"/>
      <c r="BSD51" s="19"/>
      <c r="BSE51" s="19"/>
      <c r="BSF51" s="19"/>
      <c r="BSG51" s="19"/>
      <c r="BSH51" s="19"/>
      <c r="BSI51" s="19"/>
      <c r="BSJ51" s="19"/>
      <c r="BSK51" s="19"/>
      <c r="BSL51" s="19"/>
      <c r="BSM51" s="19"/>
      <c r="BSN51" s="19"/>
      <c r="BSO51" s="19"/>
      <c r="BSP51" s="19"/>
      <c r="BSQ51" s="19"/>
      <c r="BSR51" s="19"/>
      <c r="BSS51" s="19"/>
      <c r="BST51" s="19"/>
      <c r="BSU51" s="19"/>
      <c r="BSV51" s="19"/>
      <c r="BSW51" s="19"/>
      <c r="BSX51" s="19"/>
      <c r="BSY51" s="19"/>
      <c r="BSZ51" s="19"/>
      <c r="BTA51" s="19"/>
      <c r="BTB51" s="19"/>
      <c r="BTC51" s="19"/>
      <c r="BTD51" s="19"/>
      <c r="BTE51" s="19"/>
      <c r="BTF51" s="19"/>
      <c r="BTG51" s="19"/>
      <c r="BTH51" s="19"/>
      <c r="BTI51" s="19"/>
      <c r="BTJ51" s="19"/>
      <c r="BTK51" s="19"/>
      <c r="BTL51" s="19"/>
      <c r="BTM51" s="19"/>
      <c r="BTN51" s="19"/>
      <c r="BTO51" s="19"/>
      <c r="BTP51" s="19"/>
      <c r="BTQ51" s="19"/>
      <c r="BTR51" s="19"/>
      <c r="BTS51" s="19"/>
      <c r="BTT51" s="19"/>
      <c r="BTU51" s="19"/>
      <c r="BTV51" s="19"/>
      <c r="BTW51" s="19"/>
      <c r="BTX51" s="19"/>
      <c r="BTY51" s="19"/>
      <c r="BTZ51" s="19"/>
      <c r="BUA51" s="19"/>
      <c r="BUB51" s="19"/>
      <c r="BUC51" s="19"/>
      <c r="BUD51" s="19"/>
      <c r="BUE51" s="19"/>
      <c r="BUF51" s="19"/>
      <c r="BUG51" s="19"/>
      <c r="BUH51" s="19"/>
      <c r="BUI51" s="19"/>
      <c r="BUJ51" s="19"/>
      <c r="BUK51" s="19"/>
      <c r="BUL51" s="19"/>
      <c r="BUM51" s="19"/>
      <c r="BUN51" s="19"/>
      <c r="BUO51" s="19"/>
      <c r="BUP51" s="19"/>
      <c r="BUQ51" s="19"/>
      <c r="BUR51" s="19"/>
      <c r="BUS51" s="19"/>
      <c r="BUT51" s="19"/>
      <c r="BUU51" s="19"/>
      <c r="BUV51" s="19"/>
      <c r="BUW51" s="19"/>
      <c r="BUX51" s="19"/>
      <c r="BUY51" s="19"/>
      <c r="BUZ51" s="19"/>
      <c r="BVA51" s="19"/>
      <c r="BVB51" s="19"/>
      <c r="BVC51" s="19"/>
      <c r="BVD51" s="19"/>
      <c r="BVE51" s="19"/>
      <c r="BVF51" s="19"/>
      <c r="BVG51" s="19"/>
      <c r="BVH51" s="19"/>
      <c r="BVI51" s="19"/>
      <c r="BVJ51" s="19"/>
      <c r="BVK51" s="19"/>
      <c r="BVL51" s="19"/>
      <c r="BVM51" s="19"/>
      <c r="BVN51" s="19"/>
      <c r="BVO51" s="19"/>
      <c r="BVP51" s="19"/>
      <c r="BVQ51" s="19"/>
      <c r="BVR51" s="19"/>
      <c r="BVS51" s="19"/>
      <c r="BVT51" s="19"/>
      <c r="BVU51" s="19"/>
      <c r="BVV51" s="19"/>
      <c r="BVW51" s="19"/>
      <c r="BVX51" s="19"/>
      <c r="BVY51" s="19"/>
      <c r="BVZ51" s="19"/>
      <c r="BWA51" s="19"/>
      <c r="BWB51" s="19"/>
      <c r="BWC51" s="19"/>
      <c r="BWD51" s="19"/>
      <c r="BWE51" s="19"/>
      <c r="BWF51" s="19"/>
      <c r="BWG51" s="19"/>
      <c r="BWH51" s="19"/>
      <c r="BWI51" s="19"/>
      <c r="BWJ51" s="19"/>
      <c r="BWK51" s="19"/>
      <c r="BWL51" s="19"/>
      <c r="BWM51" s="19"/>
      <c r="BWN51" s="19"/>
      <c r="BWO51" s="19"/>
      <c r="BWP51" s="19"/>
      <c r="BWQ51" s="19"/>
      <c r="BWR51" s="19"/>
      <c r="BWS51" s="19"/>
      <c r="BWT51" s="19"/>
      <c r="BWU51" s="19"/>
      <c r="BWV51" s="19"/>
      <c r="BWW51" s="19"/>
      <c r="BWX51" s="19"/>
      <c r="BWY51" s="19"/>
      <c r="BWZ51" s="19"/>
      <c r="BXA51" s="19"/>
      <c r="BXB51" s="19"/>
      <c r="BXC51" s="19"/>
      <c r="BXD51" s="19"/>
      <c r="BXE51" s="19"/>
      <c r="BXF51" s="19"/>
      <c r="BXG51" s="19"/>
      <c r="BXH51" s="19"/>
      <c r="BXI51" s="19"/>
      <c r="BXJ51" s="19"/>
      <c r="BXK51" s="19"/>
      <c r="BXL51" s="19"/>
      <c r="BXM51" s="19"/>
      <c r="BXN51" s="19"/>
      <c r="BXO51" s="19"/>
      <c r="BXP51" s="19"/>
      <c r="BXQ51" s="19"/>
      <c r="BXR51" s="19"/>
      <c r="BXS51" s="19"/>
      <c r="BXT51" s="19"/>
      <c r="BXU51" s="19"/>
      <c r="BXV51" s="19"/>
      <c r="BXW51" s="19"/>
      <c r="BXX51" s="19"/>
      <c r="BXY51" s="19"/>
      <c r="BXZ51" s="19"/>
      <c r="BYA51" s="19"/>
      <c r="BYB51" s="19"/>
      <c r="BYC51" s="19"/>
      <c r="BYD51" s="19"/>
      <c r="BYE51" s="19"/>
      <c r="BYF51" s="19"/>
      <c r="BYG51" s="19"/>
      <c r="BYH51" s="19"/>
      <c r="BYI51" s="19"/>
      <c r="BYJ51" s="19"/>
      <c r="BYK51" s="19"/>
      <c r="BYL51" s="19"/>
      <c r="BYM51" s="19"/>
      <c r="BYN51" s="19"/>
      <c r="BYO51" s="19"/>
      <c r="BYP51" s="19"/>
      <c r="BYQ51" s="19"/>
      <c r="BYR51" s="19"/>
      <c r="BYS51" s="19"/>
      <c r="BYT51" s="19"/>
      <c r="BYU51" s="19"/>
      <c r="BYV51" s="19"/>
      <c r="BYW51" s="19"/>
      <c r="BYX51" s="19"/>
      <c r="BYY51" s="19"/>
      <c r="BYZ51" s="19"/>
      <c r="BZA51" s="19"/>
      <c r="BZB51" s="19"/>
      <c r="BZC51" s="19"/>
      <c r="BZD51" s="19"/>
      <c r="BZE51" s="19"/>
      <c r="BZF51" s="19"/>
      <c r="BZG51" s="19"/>
      <c r="BZH51" s="19"/>
      <c r="BZI51" s="19"/>
      <c r="BZJ51" s="19"/>
      <c r="BZK51" s="19"/>
      <c r="BZL51" s="19"/>
      <c r="BZM51" s="19"/>
      <c r="BZN51" s="19"/>
      <c r="BZO51" s="19"/>
      <c r="BZP51" s="19"/>
      <c r="BZQ51" s="19"/>
      <c r="BZR51" s="19"/>
      <c r="BZS51" s="19"/>
      <c r="BZT51" s="19"/>
      <c r="BZU51" s="19"/>
      <c r="BZV51" s="19"/>
      <c r="BZW51" s="19"/>
      <c r="BZX51" s="19"/>
      <c r="BZY51" s="19"/>
      <c r="BZZ51" s="19"/>
      <c r="CAA51" s="19"/>
      <c r="CAB51" s="19"/>
      <c r="CAC51" s="19"/>
      <c r="CAD51" s="19"/>
      <c r="CAE51" s="19"/>
      <c r="CAF51" s="19"/>
      <c r="CAG51" s="19"/>
      <c r="CAH51" s="19"/>
      <c r="CAI51" s="19"/>
      <c r="CAJ51" s="19"/>
      <c r="CAK51" s="19"/>
      <c r="CAL51" s="19"/>
      <c r="CAM51" s="19"/>
      <c r="CAN51" s="19"/>
      <c r="CAO51" s="19"/>
      <c r="CAP51" s="19"/>
      <c r="CAQ51" s="19"/>
      <c r="CAR51" s="19"/>
      <c r="CAS51" s="19"/>
      <c r="CAT51" s="19"/>
      <c r="CAU51" s="19"/>
      <c r="CAV51" s="19"/>
      <c r="CAW51" s="19"/>
      <c r="CAX51" s="19"/>
      <c r="CAY51" s="19"/>
      <c r="CAZ51" s="19"/>
      <c r="CBA51" s="19"/>
      <c r="CBB51" s="19"/>
      <c r="CBC51" s="19"/>
      <c r="CBD51" s="19"/>
      <c r="CBE51" s="19"/>
      <c r="CBF51" s="19"/>
      <c r="CBG51" s="19"/>
      <c r="CBH51" s="19"/>
      <c r="CBI51" s="19"/>
      <c r="CBJ51" s="19"/>
      <c r="CBK51" s="19"/>
      <c r="CBL51" s="19"/>
      <c r="CBM51" s="19"/>
      <c r="CBN51" s="19"/>
      <c r="CBO51" s="19"/>
      <c r="CBP51" s="19"/>
      <c r="CBQ51" s="19"/>
      <c r="CBR51" s="19"/>
      <c r="CBS51" s="19"/>
      <c r="CBT51" s="19"/>
      <c r="CBU51" s="19"/>
      <c r="CBV51" s="19"/>
      <c r="CBW51" s="19"/>
      <c r="CBX51" s="19"/>
      <c r="CBY51" s="19"/>
      <c r="CBZ51" s="19"/>
      <c r="CCA51" s="19"/>
      <c r="CCB51" s="19"/>
      <c r="CCC51" s="19"/>
      <c r="CCD51" s="19"/>
      <c r="CCE51" s="19"/>
      <c r="CCF51" s="19"/>
      <c r="CCG51" s="19"/>
      <c r="CCH51" s="19"/>
      <c r="CCI51" s="19"/>
      <c r="CCJ51" s="19"/>
      <c r="CCK51" s="19"/>
      <c r="CCL51" s="19"/>
      <c r="CCM51" s="19"/>
      <c r="CCN51" s="19"/>
      <c r="CCO51" s="19"/>
      <c r="CCP51" s="19"/>
      <c r="CCQ51" s="19"/>
      <c r="CCR51" s="19"/>
      <c r="CCS51" s="19"/>
      <c r="CCT51" s="19"/>
      <c r="CCU51" s="19"/>
      <c r="CCV51" s="19"/>
      <c r="CCW51" s="19"/>
      <c r="CCX51" s="19"/>
      <c r="CCY51" s="19"/>
      <c r="CCZ51" s="19"/>
      <c r="CDA51" s="19"/>
      <c r="CDB51" s="19"/>
      <c r="CDC51" s="19"/>
      <c r="CDD51" s="19"/>
      <c r="CDE51" s="19"/>
      <c r="CDF51" s="19"/>
      <c r="CDG51" s="19"/>
      <c r="CDH51" s="19"/>
      <c r="CDI51" s="19"/>
      <c r="CDJ51" s="19"/>
      <c r="CDK51" s="19"/>
      <c r="CDL51" s="19"/>
      <c r="CDM51" s="19"/>
      <c r="CDN51" s="19"/>
      <c r="CDO51" s="19"/>
      <c r="CDP51" s="19"/>
      <c r="CDQ51" s="19"/>
      <c r="CDR51" s="19"/>
      <c r="CDS51" s="19"/>
      <c r="CDT51" s="19"/>
      <c r="CDU51" s="19"/>
      <c r="CDV51" s="19"/>
      <c r="CDW51" s="19"/>
      <c r="CDX51" s="19"/>
      <c r="CDY51" s="19"/>
      <c r="CDZ51" s="19"/>
      <c r="CEA51" s="19"/>
      <c r="CEB51" s="19"/>
      <c r="CEC51" s="19"/>
      <c r="CED51" s="19"/>
      <c r="CEE51" s="19"/>
      <c r="CEF51" s="19"/>
      <c r="CEG51" s="19"/>
      <c r="CEH51" s="19"/>
      <c r="CEI51" s="19"/>
      <c r="CEJ51" s="19"/>
      <c r="CEK51" s="19"/>
      <c r="CEL51" s="19"/>
      <c r="CEM51" s="19"/>
      <c r="CEN51" s="19"/>
      <c r="CEO51" s="19"/>
      <c r="CEP51" s="19"/>
      <c r="CEQ51" s="19"/>
      <c r="CER51" s="19"/>
      <c r="CES51" s="19"/>
      <c r="CET51" s="19"/>
      <c r="CEU51" s="19"/>
      <c r="CEV51" s="19"/>
      <c r="CEW51" s="19"/>
      <c r="CEX51" s="19"/>
      <c r="CEY51" s="19"/>
      <c r="CEZ51" s="19"/>
      <c r="CFA51" s="19"/>
      <c r="CFB51" s="19"/>
      <c r="CFC51" s="19"/>
      <c r="CFD51" s="19"/>
      <c r="CFE51" s="19"/>
      <c r="CFF51" s="19"/>
      <c r="CFG51" s="19"/>
      <c r="CFH51" s="19"/>
      <c r="CFI51" s="19"/>
      <c r="CFJ51" s="19"/>
      <c r="CFK51" s="19"/>
      <c r="CFL51" s="19"/>
      <c r="CFM51" s="19"/>
      <c r="CFN51" s="19"/>
      <c r="CFO51" s="19"/>
      <c r="CFP51" s="19"/>
      <c r="CFQ51" s="19"/>
      <c r="CFR51" s="19"/>
      <c r="CFS51" s="19"/>
      <c r="CFT51" s="19"/>
      <c r="CFU51" s="19"/>
      <c r="CFV51" s="19"/>
      <c r="CFW51" s="19"/>
      <c r="CFX51" s="19"/>
      <c r="CFY51" s="19"/>
      <c r="CFZ51" s="19"/>
      <c r="CGA51" s="19"/>
      <c r="CGB51" s="19"/>
      <c r="CGC51" s="19"/>
      <c r="CGD51" s="19"/>
      <c r="CGE51" s="19"/>
      <c r="CGF51" s="19"/>
      <c r="CGG51" s="19"/>
      <c r="CGH51" s="19"/>
      <c r="CGI51" s="19"/>
      <c r="CGJ51" s="19"/>
      <c r="CGK51" s="19"/>
      <c r="CGL51" s="19"/>
      <c r="CGM51" s="19"/>
      <c r="CGN51" s="19"/>
      <c r="CGO51" s="19"/>
      <c r="CGP51" s="19"/>
      <c r="CGQ51" s="19"/>
      <c r="CGR51" s="19"/>
      <c r="CGS51" s="19"/>
      <c r="CGT51" s="19"/>
      <c r="CGU51" s="19"/>
      <c r="CGV51" s="19"/>
      <c r="CGW51" s="19"/>
      <c r="CGX51" s="19"/>
      <c r="CGY51" s="19"/>
      <c r="CGZ51" s="19"/>
      <c r="CHA51" s="19"/>
      <c r="CHB51" s="19"/>
      <c r="CHC51" s="19"/>
      <c r="CHD51" s="19"/>
      <c r="CHE51" s="19"/>
      <c r="CHF51" s="19"/>
      <c r="CHG51" s="19"/>
      <c r="CHH51" s="19"/>
      <c r="CHI51" s="19"/>
      <c r="CHJ51" s="19"/>
      <c r="CHK51" s="19"/>
      <c r="CHL51" s="19"/>
      <c r="CHM51" s="19"/>
      <c r="CHN51" s="19"/>
      <c r="CHO51" s="19"/>
      <c r="CHP51" s="19"/>
      <c r="CHQ51" s="19"/>
      <c r="CHR51" s="19"/>
      <c r="CHS51" s="19"/>
      <c r="CHT51" s="19"/>
      <c r="CHU51" s="19"/>
      <c r="CHV51" s="19"/>
      <c r="CHW51" s="19"/>
      <c r="CHX51" s="19"/>
      <c r="CHY51" s="19"/>
      <c r="CHZ51" s="19"/>
      <c r="CIA51" s="19"/>
      <c r="CIB51" s="19"/>
      <c r="CIC51" s="19"/>
      <c r="CID51" s="19"/>
      <c r="CIE51" s="19"/>
      <c r="CIF51" s="19"/>
      <c r="CIG51" s="19"/>
      <c r="CIH51" s="19"/>
      <c r="CII51" s="19"/>
      <c r="CIJ51" s="19"/>
      <c r="CIK51" s="19"/>
      <c r="CIL51" s="19"/>
      <c r="CIM51" s="19"/>
      <c r="CIN51" s="19"/>
      <c r="CIO51" s="19"/>
      <c r="CIP51" s="19"/>
      <c r="CIQ51" s="19"/>
      <c r="CIR51" s="19"/>
      <c r="CIS51" s="19"/>
      <c r="CIT51" s="19"/>
      <c r="CIU51" s="19"/>
      <c r="CIV51" s="19"/>
      <c r="CIW51" s="19"/>
      <c r="CIX51" s="19"/>
      <c r="CIY51" s="19"/>
      <c r="CIZ51" s="19"/>
      <c r="CJA51" s="19"/>
      <c r="CJB51" s="19"/>
      <c r="CJC51" s="19"/>
      <c r="CJD51" s="19"/>
      <c r="CJE51" s="19"/>
      <c r="CJF51" s="19"/>
      <c r="CJG51" s="19"/>
      <c r="CJH51" s="19"/>
      <c r="CJI51" s="19"/>
      <c r="CJJ51" s="19"/>
      <c r="CJK51" s="19"/>
      <c r="CJL51" s="19"/>
      <c r="CJM51" s="19"/>
      <c r="CJN51" s="19"/>
      <c r="CJO51" s="19"/>
      <c r="CJP51" s="19"/>
      <c r="CJQ51" s="19"/>
      <c r="CJR51" s="19"/>
      <c r="CJS51" s="19"/>
      <c r="CJT51" s="19"/>
      <c r="CJU51" s="19"/>
      <c r="CJV51" s="19"/>
      <c r="CJW51" s="19"/>
      <c r="CJX51" s="19"/>
      <c r="CJY51" s="19"/>
      <c r="CJZ51" s="19"/>
      <c r="CKA51" s="19"/>
      <c r="CKB51" s="19"/>
      <c r="CKC51" s="19"/>
      <c r="CKD51" s="19"/>
      <c r="CKE51" s="19"/>
      <c r="CKF51" s="19"/>
      <c r="CKG51" s="19"/>
      <c r="CKH51" s="19"/>
      <c r="CKI51" s="19"/>
      <c r="CKJ51" s="19"/>
      <c r="CKK51" s="19"/>
      <c r="CKL51" s="19"/>
      <c r="CKM51" s="19"/>
      <c r="CKN51" s="19"/>
      <c r="CKO51" s="19"/>
      <c r="CKP51" s="19"/>
      <c r="CKQ51" s="19"/>
      <c r="CKR51" s="19"/>
      <c r="CKS51" s="19"/>
      <c r="CKT51" s="19"/>
      <c r="CKU51" s="19"/>
      <c r="CKV51" s="19"/>
      <c r="CKW51" s="19"/>
      <c r="CKX51" s="19"/>
      <c r="CKY51" s="19"/>
      <c r="CKZ51" s="19"/>
      <c r="CLA51" s="19"/>
      <c r="CLB51" s="19"/>
      <c r="CLC51" s="19"/>
      <c r="CLD51" s="19"/>
      <c r="CLE51" s="19"/>
      <c r="CLF51" s="19"/>
      <c r="CLG51" s="19"/>
      <c r="CLH51" s="19"/>
      <c r="CLI51" s="19"/>
      <c r="CLJ51" s="19"/>
      <c r="CLK51" s="19"/>
      <c r="CLL51" s="19"/>
      <c r="CLM51" s="19"/>
      <c r="CLN51" s="19"/>
      <c r="CLO51" s="19"/>
      <c r="CLP51" s="19"/>
      <c r="CLQ51" s="19"/>
      <c r="CLR51" s="19"/>
      <c r="CLS51" s="19"/>
      <c r="CLT51" s="19"/>
      <c r="CLU51" s="19"/>
      <c r="CLV51" s="19"/>
      <c r="CLW51" s="19"/>
      <c r="CLX51" s="19"/>
      <c r="CLY51" s="19"/>
      <c r="CLZ51" s="19"/>
      <c r="CMA51" s="19"/>
      <c r="CMB51" s="19"/>
      <c r="CMC51" s="19"/>
      <c r="CMD51" s="19"/>
      <c r="CME51" s="19"/>
      <c r="CMF51" s="19"/>
      <c r="CMG51" s="19"/>
      <c r="CMH51" s="19"/>
      <c r="CMI51" s="19"/>
      <c r="CMJ51" s="19"/>
      <c r="CMK51" s="19"/>
      <c r="CML51" s="19"/>
      <c r="CMM51" s="19"/>
      <c r="CMN51" s="19"/>
      <c r="CMO51" s="19"/>
      <c r="CMP51" s="19"/>
      <c r="CMQ51" s="19"/>
      <c r="CMR51" s="19"/>
      <c r="CMS51" s="19"/>
      <c r="CMT51" s="19"/>
      <c r="CMU51" s="19"/>
      <c r="CMV51" s="19"/>
      <c r="CMW51" s="19"/>
      <c r="CMX51" s="19"/>
      <c r="CMY51" s="19"/>
      <c r="CMZ51" s="19"/>
      <c r="CNA51" s="19"/>
      <c r="CNB51" s="19"/>
      <c r="CNC51" s="19"/>
      <c r="CND51" s="19"/>
      <c r="CNE51" s="19"/>
      <c r="CNF51" s="19"/>
      <c r="CNG51" s="19"/>
      <c r="CNH51" s="19"/>
      <c r="CNI51" s="19"/>
      <c r="CNJ51" s="19"/>
      <c r="CNK51" s="19"/>
      <c r="CNL51" s="19"/>
      <c r="CNM51" s="19"/>
      <c r="CNN51" s="19"/>
      <c r="CNO51" s="19"/>
      <c r="CNP51" s="19"/>
      <c r="CNQ51" s="19"/>
      <c r="CNR51" s="19"/>
      <c r="CNS51" s="19"/>
      <c r="CNT51" s="19"/>
      <c r="CNU51" s="19"/>
      <c r="CNV51" s="19"/>
      <c r="CNW51" s="19"/>
      <c r="CNX51" s="19"/>
      <c r="CNY51" s="19"/>
      <c r="CNZ51" s="19"/>
      <c r="COA51" s="19"/>
      <c r="COB51" s="19"/>
      <c r="COC51" s="19"/>
      <c r="COD51" s="19"/>
      <c r="COE51" s="19"/>
      <c r="COF51" s="19"/>
      <c r="COG51" s="19"/>
      <c r="COH51" s="19"/>
      <c r="COI51" s="19"/>
      <c r="COJ51" s="19"/>
      <c r="COK51" s="19"/>
      <c r="COL51" s="19"/>
      <c r="COM51" s="19"/>
      <c r="CON51" s="19"/>
      <c r="COO51" s="19"/>
      <c r="COP51" s="19"/>
      <c r="COQ51" s="19"/>
      <c r="COR51" s="19"/>
      <c r="COS51" s="19"/>
      <c r="COT51" s="19"/>
      <c r="COU51" s="19"/>
      <c r="COV51" s="19"/>
      <c r="COW51" s="19"/>
      <c r="COX51" s="19"/>
      <c r="COY51" s="19"/>
      <c r="COZ51" s="19"/>
      <c r="CPA51" s="19"/>
      <c r="CPB51" s="19"/>
      <c r="CPC51" s="19"/>
      <c r="CPD51" s="19"/>
      <c r="CPE51" s="19"/>
      <c r="CPF51" s="19"/>
      <c r="CPG51" s="19"/>
      <c r="CPH51" s="19"/>
      <c r="CPI51" s="19"/>
      <c r="CPJ51" s="19"/>
      <c r="CPK51" s="19"/>
      <c r="CPL51" s="19"/>
      <c r="CPM51" s="19"/>
      <c r="CPN51" s="19"/>
      <c r="CPO51" s="19"/>
      <c r="CPP51" s="19"/>
      <c r="CPQ51" s="19"/>
      <c r="CPR51" s="19"/>
      <c r="CPS51" s="19"/>
      <c r="CPT51" s="19"/>
      <c r="CPU51" s="19"/>
      <c r="CPV51" s="19"/>
      <c r="CPW51" s="19"/>
      <c r="CPX51" s="19"/>
      <c r="CPY51" s="19"/>
      <c r="CPZ51" s="19"/>
      <c r="CQA51" s="19"/>
      <c r="CQB51" s="19"/>
      <c r="CQC51" s="19"/>
      <c r="CQD51" s="19"/>
      <c r="CQE51" s="19"/>
      <c r="CQF51" s="19"/>
      <c r="CQG51" s="19"/>
      <c r="CQH51" s="19"/>
      <c r="CQI51" s="19"/>
      <c r="CQJ51" s="19"/>
      <c r="CQK51" s="19"/>
      <c r="CQL51" s="19"/>
      <c r="CQM51" s="19"/>
      <c r="CQN51" s="19"/>
      <c r="CQO51" s="19"/>
      <c r="CQP51" s="19"/>
      <c r="CQQ51" s="19"/>
      <c r="CQR51" s="19"/>
      <c r="CQS51" s="19"/>
      <c r="CQT51" s="19"/>
      <c r="CQU51" s="19"/>
      <c r="CQV51" s="19"/>
      <c r="CQW51" s="19"/>
      <c r="CQX51" s="19"/>
      <c r="CQY51" s="19"/>
      <c r="CQZ51" s="19"/>
      <c r="CRA51" s="19"/>
      <c r="CRB51" s="19"/>
      <c r="CRC51" s="19"/>
      <c r="CRD51" s="19"/>
      <c r="CRE51" s="19"/>
      <c r="CRF51" s="19"/>
      <c r="CRG51" s="19"/>
      <c r="CRH51" s="19"/>
      <c r="CRI51" s="19"/>
      <c r="CRJ51" s="19"/>
      <c r="CRK51" s="19"/>
      <c r="CRL51" s="19"/>
      <c r="CRM51" s="19"/>
      <c r="CRN51" s="19"/>
      <c r="CRO51" s="19"/>
      <c r="CRP51" s="19"/>
      <c r="CRQ51" s="19"/>
      <c r="CRR51" s="19"/>
      <c r="CRS51" s="19"/>
      <c r="CRT51" s="19"/>
      <c r="CRU51" s="19"/>
      <c r="CRV51" s="19"/>
      <c r="CRW51" s="19"/>
      <c r="CRX51" s="19"/>
      <c r="CRY51" s="19"/>
      <c r="CRZ51" s="19"/>
      <c r="CSA51" s="19"/>
      <c r="CSB51" s="19"/>
      <c r="CSC51" s="19"/>
      <c r="CSD51" s="19"/>
      <c r="CSE51" s="19"/>
      <c r="CSF51" s="19"/>
      <c r="CSG51" s="19"/>
      <c r="CSH51" s="19"/>
      <c r="CSI51" s="19"/>
      <c r="CSJ51" s="19"/>
      <c r="CSK51" s="19"/>
      <c r="CSL51" s="19"/>
      <c r="CSM51" s="19"/>
      <c r="CSN51" s="19"/>
      <c r="CSO51" s="19"/>
      <c r="CSP51" s="19"/>
      <c r="CSQ51" s="19"/>
      <c r="CSR51" s="19"/>
      <c r="CSS51" s="19"/>
      <c r="CST51" s="19"/>
      <c r="CSU51" s="19"/>
      <c r="CSV51" s="19"/>
      <c r="CSW51" s="19"/>
      <c r="CSX51" s="19"/>
      <c r="CSY51" s="19"/>
      <c r="CSZ51" s="19"/>
      <c r="CTA51" s="19"/>
      <c r="CTB51" s="19"/>
      <c r="CTC51" s="19"/>
      <c r="CTD51" s="19"/>
      <c r="CTE51" s="19"/>
      <c r="CTF51" s="19"/>
      <c r="CTG51" s="19"/>
      <c r="CTH51" s="19"/>
      <c r="CTI51" s="19"/>
      <c r="CTJ51" s="19"/>
      <c r="CTK51" s="19"/>
      <c r="CTL51" s="19"/>
      <c r="CTM51" s="19"/>
      <c r="CTN51" s="19"/>
      <c r="CTO51" s="19"/>
      <c r="CTP51" s="19"/>
      <c r="CTQ51" s="19"/>
      <c r="CTR51" s="19"/>
      <c r="CTS51" s="19"/>
      <c r="CTT51" s="19"/>
      <c r="CTU51" s="19"/>
      <c r="CTV51" s="19"/>
      <c r="CTW51" s="19"/>
      <c r="CTX51" s="19"/>
      <c r="CTY51" s="19"/>
      <c r="CTZ51" s="19"/>
      <c r="CUA51" s="19"/>
      <c r="CUB51" s="19"/>
      <c r="CUC51" s="19"/>
      <c r="CUD51" s="19"/>
      <c r="CUE51" s="19"/>
      <c r="CUF51" s="19"/>
      <c r="CUG51" s="19"/>
      <c r="CUH51" s="19"/>
      <c r="CUI51" s="19"/>
      <c r="CUJ51" s="19"/>
      <c r="CUK51" s="19"/>
      <c r="CUL51" s="19"/>
      <c r="CUM51" s="19"/>
      <c r="CUN51" s="19"/>
      <c r="CUO51" s="19"/>
      <c r="CUP51" s="19"/>
      <c r="CUQ51" s="19"/>
      <c r="CUR51" s="19"/>
      <c r="CUS51" s="19"/>
      <c r="CUT51" s="19"/>
      <c r="CUU51" s="19"/>
      <c r="CUV51" s="19"/>
      <c r="CUW51" s="19"/>
      <c r="CUX51" s="19"/>
      <c r="CUY51" s="19"/>
      <c r="CUZ51" s="19"/>
      <c r="CVA51" s="19"/>
      <c r="CVB51" s="19"/>
      <c r="CVC51" s="19"/>
      <c r="CVD51" s="19"/>
      <c r="CVE51" s="19"/>
      <c r="CVF51" s="19"/>
      <c r="CVG51" s="19"/>
      <c r="CVH51" s="19"/>
      <c r="CVI51" s="19"/>
      <c r="CVJ51" s="19"/>
      <c r="CVK51" s="19"/>
      <c r="CVL51" s="19"/>
      <c r="CVM51" s="19"/>
      <c r="CVN51" s="19"/>
      <c r="CVO51" s="19"/>
      <c r="CVP51" s="19"/>
      <c r="CVQ51" s="19"/>
      <c r="CVR51" s="19"/>
      <c r="CVS51" s="19"/>
      <c r="CVT51" s="19"/>
      <c r="CVU51" s="19"/>
      <c r="CVV51" s="19"/>
      <c r="CVW51" s="19"/>
      <c r="CVX51" s="19"/>
      <c r="CVY51" s="19"/>
      <c r="CVZ51" s="19"/>
      <c r="CWA51" s="19"/>
      <c r="CWB51" s="19"/>
      <c r="CWC51" s="19"/>
      <c r="CWD51" s="19"/>
      <c r="CWE51" s="19"/>
      <c r="CWF51" s="19"/>
      <c r="CWG51" s="19"/>
      <c r="CWH51" s="19"/>
      <c r="CWI51" s="19"/>
      <c r="CWJ51" s="19"/>
      <c r="CWK51" s="19"/>
      <c r="CWL51" s="19"/>
      <c r="CWM51" s="19"/>
      <c r="CWN51" s="19"/>
      <c r="CWO51" s="19"/>
      <c r="CWP51" s="19"/>
      <c r="CWQ51" s="19"/>
      <c r="CWR51" s="19"/>
      <c r="CWS51" s="19"/>
      <c r="CWT51" s="19"/>
      <c r="CWU51" s="19"/>
      <c r="CWV51" s="19"/>
      <c r="CWW51" s="19"/>
      <c r="CWX51" s="19"/>
      <c r="CWY51" s="19"/>
      <c r="CWZ51" s="19"/>
      <c r="CXA51" s="19"/>
      <c r="CXB51" s="19"/>
      <c r="CXC51" s="19"/>
      <c r="CXD51" s="19"/>
      <c r="CXE51" s="19"/>
      <c r="CXF51" s="19"/>
      <c r="CXG51" s="19"/>
      <c r="CXH51" s="19"/>
      <c r="CXI51" s="19"/>
      <c r="CXJ51" s="19"/>
      <c r="CXK51" s="19"/>
      <c r="CXL51" s="19"/>
      <c r="CXM51" s="19"/>
      <c r="CXN51" s="19"/>
      <c r="CXO51" s="19"/>
      <c r="CXP51" s="19"/>
      <c r="CXQ51" s="19"/>
      <c r="CXR51" s="19"/>
      <c r="CXS51" s="19"/>
      <c r="CXT51" s="19"/>
      <c r="CXU51" s="19"/>
      <c r="CXV51" s="19"/>
      <c r="CXW51" s="19"/>
      <c r="CXX51" s="19"/>
      <c r="CXY51" s="19"/>
      <c r="CXZ51" s="19"/>
      <c r="CYA51" s="19"/>
      <c r="CYB51" s="19"/>
      <c r="CYC51" s="19"/>
      <c r="CYD51" s="19"/>
      <c r="CYE51" s="19"/>
      <c r="CYF51" s="19"/>
      <c r="CYG51" s="19"/>
      <c r="CYH51" s="19"/>
      <c r="CYI51" s="19"/>
      <c r="CYJ51" s="19"/>
      <c r="CYK51" s="19"/>
      <c r="CYL51" s="19"/>
      <c r="CYM51" s="19"/>
      <c r="CYN51" s="19"/>
      <c r="CYO51" s="19"/>
      <c r="CYP51" s="19"/>
      <c r="CYQ51" s="19"/>
      <c r="CYR51" s="19"/>
      <c r="CYS51" s="19"/>
      <c r="CYT51" s="19"/>
      <c r="CYU51" s="19"/>
      <c r="CYV51" s="19"/>
      <c r="CYW51" s="19"/>
      <c r="CYX51" s="19"/>
      <c r="CYY51" s="19"/>
      <c r="CYZ51" s="19"/>
      <c r="CZA51" s="19"/>
      <c r="CZB51" s="19"/>
      <c r="CZC51" s="19"/>
      <c r="CZD51" s="19"/>
      <c r="CZE51" s="19"/>
      <c r="CZF51" s="19"/>
      <c r="CZG51" s="19"/>
      <c r="CZH51" s="19"/>
      <c r="CZI51" s="19"/>
      <c r="CZJ51" s="19"/>
      <c r="CZK51" s="19"/>
      <c r="CZL51" s="19"/>
      <c r="CZM51" s="19"/>
      <c r="CZN51" s="19"/>
      <c r="CZO51" s="19"/>
      <c r="CZP51" s="19"/>
      <c r="CZQ51" s="19"/>
      <c r="CZR51" s="19"/>
      <c r="CZS51" s="19"/>
      <c r="CZT51" s="19"/>
      <c r="CZU51" s="19"/>
      <c r="CZV51" s="19"/>
      <c r="CZW51" s="19"/>
      <c r="CZX51" s="19"/>
      <c r="CZY51" s="19"/>
      <c r="CZZ51" s="19"/>
      <c r="DAA51" s="19"/>
      <c r="DAB51" s="19"/>
      <c r="DAC51" s="19"/>
      <c r="DAD51" s="19"/>
      <c r="DAE51" s="19"/>
      <c r="DAF51" s="19"/>
      <c r="DAG51" s="19"/>
      <c r="DAH51" s="19"/>
      <c r="DAI51" s="19"/>
      <c r="DAJ51" s="19"/>
      <c r="DAK51" s="19"/>
      <c r="DAL51" s="19"/>
      <c r="DAM51" s="19"/>
      <c r="DAN51" s="19"/>
      <c r="DAO51" s="19"/>
      <c r="DAP51" s="19"/>
      <c r="DAQ51" s="19"/>
      <c r="DAR51" s="19"/>
      <c r="DAS51" s="19"/>
      <c r="DAT51" s="19"/>
      <c r="DAU51" s="19"/>
      <c r="DAV51" s="19"/>
      <c r="DAW51" s="19"/>
      <c r="DAX51" s="19"/>
      <c r="DAY51" s="19"/>
      <c r="DAZ51" s="19"/>
      <c r="DBA51" s="19"/>
      <c r="DBB51" s="19"/>
      <c r="DBC51" s="19"/>
      <c r="DBD51" s="19"/>
      <c r="DBE51" s="19"/>
      <c r="DBF51" s="19"/>
      <c r="DBG51" s="19"/>
      <c r="DBH51" s="19"/>
      <c r="DBI51" s="19"/>
      <c r="DBJ51" s="19"/>
      <c r="DBK51" s="19"/>
      <c r="DBL51" s="19"/>
      <c r="DBM51" s="19"/>
      <c r="DBN51" s="19"/>
      <c r="DBO51" s="19"/>
      <c r="DBP51" s="19"/>
      <c r="DBQ51" s="19"/>
      <c r="DBR51" s="19"/>
      <c r="DBS51" s="19"/>
      <c r="DBT51" s="19"/>
      <c r="DBU51" s="19"/>
      <c r="DBV51" s="19"/>
      <c r="DBW51" s="19"/>
      <c r="DBX51" s="19"/>
      <c r="DBY51" s="19"/>
      <c r="DBZ51" s="19"/>
      <c r="DCA51" s="19"/>
      <c r="DCB51" s="19"/>
      <c r="DCC51" s="19"/>
      <c r="DCD51" s="19"/>
      <c r="DCE51" s="19"/>
      <c r="DCF51" s="19"/>
      <c r="DCG51" s="19"/>
      <c r="DCH51" s="19"/>
      <c r="DCI51" s="19"/>
      <c r="DCJ51" s="19"/>
      <c r="DCK51" s="19"/>
      <c r="DCL51" s="19"/>
      <c r="DCM51" s="19"/>
      <c r="DCN51" s="19"/>
      <c r="DCO51" s="19"/>
      <c r="DCP51" s="19"/>
      <c r="DCQ51" s="19"/>
      <c r="DCR51" s="19"/>
      <c r="DCS51" s="19"/>
      <c r="DCT51" s="19"/>
      <c r="DCU51" s="19"/>
      <c r="DCV51" s="19"/>
      <c r="DCW51" s="19"/>
      <c r="DCX51" s="19"/>
      <c r="DCY51" s="19"/>
      <c r="DCZ51" s="19"/>
      <c r="DDA51" s="19"/>
      <c r="DDB51" s="19"/>
      <c r="DDC51" s="19"/>
      <c r="DDD51" s="19"/>
      <c r="DDE51" s="19"/>
      <c r="DDF51" s="19"/>
      <c r="DDG51" s="19"/>
      <c r="DDH51" s="19"/>
      <c r="DDI51" s="19"/>
      <c r="DDJ51" s="19"/>
      <c r="DDK51" s="19"/>
      <c r="DDL51" s="19"/>
      <c r="DDM51" s="19"/>
      <c r="DDN51" s="19"/>
      <c r="DDO51" s="19"/>
      <c r="DDP51" s="19"/>
      <c r="DDQ51" s="19"/>
      <c r="DDR51" s="19"/>
      <c r="DDS51" s="19"/>
      <c r="DDT51" s="19"/>
      <c r="DDU51" s="19"/>
      <c r="DDV51" s="19"/>
      <c r="DDW51" s="19"/>
      <c r="DDX51" s="19"/>
      <c r="DDY51" s="19"/>
      <c r="DDZ51" s="19"/>
      <c r="DEA51" s="19"/>
      <c r="DEB51" s="19"/>
      <c r="DEC51" s="19"/>
      <c r="DED51" s="19"/>
      <c r="DEE51" s="19"/>
      <c r="DEF51" s="19"/>
      <c r="DEG51" s="19"/>
      <c r="DEH51" s="19"/>
      <c r="DEI51" s="19"/>
      <c r="DEJ51" s="19"/>
      <c r="DEK51" s="19"/>
      <c r="DEL51" s="19"/>
      <c r="DEM51" s="19"/>
      <c r="DEN51" s="19"/>
      <c r="DEO51" s="19"/>
      <c r="DEP51" s="19"/>
      <c r="DEQ51" s="19"/>
      <c r="DER51" s="19"/>
      <c r="DES51" s="19"/>
      <c r="DET51" s="19"/>
      <c r="DEU51" s="19"/>
      <c r="DEV51" s="19"/>
      <c r="DEW51" s="19"/>
      <c r="DEX51" s="19"/>
      <c r="DEY51" s="19"/>
      <c r="DEZ51" s="19"/>
      <c r="DFA51" s="19"/>
      <c r="DFB51" s="19"/>
      <c r="DFC51" s="19"/>
      <c r="DFD51" s="19"/>
      <c r="DFE51" s="19"/>
      <c r="DFF51" s="19"/>
      <c r="DFG51" s="19"/>
      <c r="DFH51" s="19"/>
      <c r="DFI51" s="19"/>
      <c r="DFJ51" s="19"/>
      <c r="DFK51" s="19"/>
      <c r="DFL51" s="19"/>
      <c r="DFM51" s="19"/>
      <c r="DFN51" s="19"/>
      <c r="DFO51" s="19"/>
      <c r="DFP51" s="19"/>
      <c r="DFQ51" s="19"/>
      <c r="DFR51" s="19"/>
      <c r="DFS51" s="19"/>
      <c r="DFT51" s="19"/>
      <c r="DFU51" s="19"/>
      <c r="DFV51" s="19"/>
      <c r="DFW51" s="19"/>
      <c r="DFX51" s="19"/>
      <c r="DFY51" s="19"/>
      <c r="DFZ51" s="19"/>
      <c r="DGA51" s="19"/>
      <c r="DGB51" s="19"/>
      <c r="DGC51" s="19"/>
      <c r="DGD51" s="19"/>
      <c r="DGE51" s="19"/>
      <c r="DGF51" s="19"/>
      <c r="DGG51" s="19"/>
      <c r="DGH51" s="19"/>
      <c r="DGI51" s="19"/>
      <c r="DGJ51" s="19"/>
      <c r="DGK51" s="19"/>
      <c r="DGL51" s="19"/>
      <c r="DGM51" s="19"/>
      <c r="DGN51" s="19"/>
      <c r="DGO51" s="19"/>
      <c r="DGP51" s="19"/>
      <c r="DGQ51" s="19"/>
      <c r="DGR51" s="19"/>
      <c r="DGS51" s="19"/>
      <c r="DGT51" s="19"/>
      <c r="DGU51" s="19"/>
      <c r="DGV51" s="19"/>
      <c r="DGW51" s="19"/>
      <c r="DGX51" s="19"/>
      <c r="DGY51" s="19"/>
      <c r="DGZ51" s="19"/>
      <c r="DHA51" s="19"/>
      <c r="DHB51" s="19"/>
      <c r="DHC51" s="19"/>
      <c r="DHD51" s="19"/>
      <c r="DHE51" s="19"/>
      <c r="DHF51" s="19"/>
      <c r="DHG51" s="19"/>
      <c r="DHH51" s="19"/>
      <c r="DHI51" s="19"/>
      <c r="DHJ51" s="19"/>
      <c r="DHK51" s="19"/>
      <c r="DHL51" s="19"/>
      <c r="DHM51" s="19"/>
      <c r="DHN51" s="19"/>
      <c r="DHO51" s="19"/>
      <c r="DHP51" s="19"/>
      <c r="DHQ51" s="19"/>
      <c r="DHR51" s="19"/>
      <c r="DHS51" s="19"/>
      <c r="DHT51" s="19"/>
      <c r="DHU51" s="19"/>
      <c r="DHV51" s="19"/>
      <c r="DHW51" s="19"/>
      <c r="DHX51" s="19"/>
      <c r="DHY51" s="19"/>
      <c r="DHZ51" s="19"/>
      <c r="DIA51" s="19"/>
      <c r="DIB51" s="19"/>
      <c r="DIC51" s="19"/>
      <c r="DID51" s="19"/>
      <c r="DIE51" s="19"/>
      <c r="DIF51" s="19"/>
      <c r="DIG51" s="19"/>
      <c r="DIH51" s="19"/>
      <c r="DII51" s="19"/>
      <c r="DIJ51" s="19"/>
      <c r="DIK51" s="19"/>
      <c r="DIL51" s="19"/>
      <c r="DIM51" s="19"/>
      <c r="DIN51" s="19"/>
      <c r="DIO51" s="19"/>
      <c r="DIP51" s="19"/>
      <c r="DIQ51" s="19"/>
      <c r="DIR51" s="19"/>
      <c r="DIS51" s="19"/>
      <c r="DIT51" s="19"/>
      <c r="DIU51" s="19"/>
      <c r="DIV51" s="19"/>
      <c r="DIW51" s="19"/>
      <c r="DIX51" s="19"/>
      <c r="DIY51" s="19"/>
      <c r="DIZ51" s="19"/>
      <c r="DJA51" s="19"/>
      <c r="DJB51" s="19"/>
      <c r="DJC51" s="19"/>
      <c r="DJD51" s="19"/>
      <c r="DJE51" s="19"/>
      <c r="DJF51" s="19"/>
      <c r="DJG51" s="19"/>
      <c r="DJH51" s="19"/>
      <c r="DJI51" s="19"/>
      <c r="DJJ51" s="19"/>
      <c r="DJK51" s="19"/>
      <c r="DJL51" s="19"/>
      <c r="DJM51" s="19"/>
      <c r="DJN51" s="19"/>
      <c r="DJO51" s="19"/>
      <c r="DJP51" s="19"/>
      <c r="DJQ51" s="19"/>
      <c r="DJR51" s="19"/>
      <c r="DJS51" s="19"/>
      <c r="DJT51" s="19"/>
      <c r="DJU51" s="19"/>
      <c r="DJV51" s="19"/>
      <c r="DJW51" s="19"/>
      <c r="DJX51" s="19"/>
      <c r="DJY51" s="19"/>
      <c r="DJZ51" s="19"/>
      <c r="DKA51" s="19"/>
      <c r="DKB51" s="19"/>
      <c r="DKC51" s="19"/>
      <c r="DKD51" s="19"/>
      <c r="DKE51" s="19"/>
      <c r="DKF51" s="19"/>
      <c r="DKG51" s="19"/>
      <c r="DKH51" s="19"/>
      <c r="DKI51" s="19"/>
      <c r="DKJ51" s="19"/>
      <c r="DKK51" s="19"/>
      <c r="DKL51" s="19"/>
      <c r="DKM51" s="19"/>
      <c r="DKN51" s="19"/>
      <c r="DKO51" s="19"/>
      <c r="DKP51" s="19"/>
      <c r="DKQ51" s="19"/>
      <c r="DKR51" s="19"/>
      <c r="DKS51" s="19"/>
      <c r="DKT51" s="19"/>
      <c r="DKU51" s="19"/>
      <c r="DKV51" s="19"/>
      <c r="DKW51" s="19"/>
      <c r="DKX51" s="19"/>
      <c r="DKY51" s="19"/>
      <c r="DKZ51" s="19"/>
      <c r="DLA51" s="19"/>
      <c r="DLB51" s="19"/>
      <c r="DLC51" s="19"/>
      <c r="DLD51" s="19"/>
      <c r="DLE51" s="19"/>
      <c r="DLF51" s="19"/>
      <c r="DLG51" s="19"/>
      <c r="DLH51" s="19"/>
      <c r="DLI51" s="19"/>
      <c r="DLJ51" s="19"/>
      <c r="DLK51" s="19"/>
      <c r="DLL51" s="19"/>
      <c r="DLM51" s="19"/>
      <c r="DLN51" s="19"/>
      <c r="DLO51" s="19"/>
      <c r="DLP51" s="19"/>
      <c r="DLQ51" s="19"/>
      <c r="DLR51" s="19"/>
      <c r="DLS51" s="19"/>
      <c r="DLT51" s="19"/>
      <c r="DLU51" s="19"/>
      <c r="DLV51" s="19"/>
      <c r="DLW51" s="19"/>
      <c r="DLX51" s="19"/>
      <c r="DLY51" s="19"/>
      <c r="DLZ51" s="19"/>
      <c r="DMA51" s="19"/>
      <c r="DMB51" s="19"/>
      <c r="DMC51" s="19"/>
      <c r="DMD51" s="19"/>
      <c r="DME51" s="19"/>
      <c r="DMF51" s="19"/>
      <c r="DMG51" s="19"/>
      <c r="DMH51" s="19"/>
      <c r="DMI51" s="19"/>
      <c r="DMJ51" s="19"/>
      <c r="DMK51" s="19"/>
      <c r="DML51" s="19"/>
      <c r="DMM51" s="19"/>
      <c r="DMN51" s="19"/>
      <c r="DMO51" s="19"/>
      <c r="DMP51" s="19"/>
      <c r="DMQ51" s="19"/>
      <c r="DMR51" s="19"/>
      <c r="DMS51" s="19"/>
      <c r="DMT51" s="19"/>
      <c r="DMU51" s="19"/>
      <c r="DMV51" s="19"/>
      <c r="DMW51" s="19"/>
      <c r="DMX51" s="19"/>
      <c r="DMY51" s="19"/>
      <c r="DMZ51" s="19"/>
      <c r="DNA51" s="19"/>
      <c r="DNB51" s="19"/>
      <c r="DNC51" s="19"/>
      <c r="DND51" s="19"/>
      <c r="DNE51" s="19"/>
      <c r="DNF51" s="19"/>
      <c r="DNG51" s="19"/>
      <c r="DNH51" s="19"/>
      <c r="DNI51" s="19"/>
      <c r="DNJ51" s="19"/>
      <c r="DNK51" s="19"/>
      <c r="DNL51" s="19"/>
      <c r="DNM51" s="19"/>
      <c r="DNN51" s="19"/>
      <c r="DNO51" s="19"/>
      <c r="DNP51" s="19"/>
      <c r="DNQ51" s="19"/>
      <c r="DNR51" s="19"/>
      <c r="DNS51" s="19"/>
      <c r="DNT51" s="19"/>
      <c r="DNU51" s="19"/>
      <c r="DNV51" s="19"/>
      <c r="DNW51" s="19"/>
      <c r="DNX51" s="19"/>
      <c r="DNY51" s="19"/>
      <c r="DNZ51" s="19"/>
      <c r="DOA51" s="19"/>
      <c r="DOB51" s="19"/>
      <c r="DOC51" s="19"/>
      <c r="DOD51" s="19"/>
      <c r="DOE51" s="19"/>
      <c r="DOF51" s="19"/>
      <c r="DOG51" s="19"/>
      <c r="DOH51" s="19"/>
      <c r="DOI51" s="19"/>
      <c r="DOJ51" s="19"/>
      <c r="DOK51" s="19"/>
      <c r="DOL51" s="19"/>
      <c r="DOM51" s="19"/>
      <c r="DON51" s="19"/>
      <c r="DOO51" s="19"/>
      <c r="DOP51" s="19"/>
      <c r="DOQ51" s="19"/>
      <c r="DOR51" s="19"/>
      <c r="DOS51" s="19"/>
      <c r="DOT51" s="19"/>
      <c r="DOU51" s="19"/>
      <c r="DOV51" s="19"/>
      <c r="DOW51" s="19"/>
      <c r="DOX51" s="19"/>
      <c r="DOY51" s="19"/>
      <c r="DOZ51" s="19"/>
      <c r="DPA51" s="19"/>
      <c r="DPB51" s="19"/>
      <c r="DPC51" s="19"/>
      <c r="DPD51" s="19"/>
      <c r="DPE51" s="19"/>
      <c r="DPF51" s="19"/>
      <c r="DPG51" s="19"/>
      <c r="DPH51" s="19"/>
      <c r="DPI51" s="19"/>
      <c r="DPJ51" s="19"/>
      <c r="DPK51" s="19"/>
      <c r="DPL51" s="19"/>
      <c r="DPM51" s="19"/>
      <c r="DPN51" s="19"/>
      <c r="DPO51" s="19"/>
      <c r="DPP51" s="19"/>
      <c r="DPQ51" s="19"/>
      <c r="DPR51" s="19"/>
      <c r="DPS51" s="19"/>
      <c r="DPT51" s="19"/>
      <c r="DPU51" s="19"/>
      <c r="DPV51" s="19"/>
      <c r="DPW51" s="19"/>
      <c r="DPX51" s="19"/>
      <c r="DPY51" s="19"/>
      <c r="DPZ51" s="19"/>
      <c r="DQA51" s="19"/>
      <c r="DQB51" s="19"/>
      <c r="DQC51" s="19"/>
      <c r="DQD51" s="19"/>
      <c r="DQE51" s="19"/>
      <c r="DQF51" s="19"/>
      <c r="DQG51" s="19"/>
      <c r="DQH51" s="19"/>
      <c r="DQI51" s="19"/>
      <c r="DQJ51" s="19"/>
      <c r="DQK51" s="19"/>
      <c r="DQL51" s="19"/>
      <c r="DQM51" s="19"/>
      <c r="DQN51" s="19"/>
      <c r="DQO51" s="19"/>
      <c r="DQP51" s="19"/>
      <c r="DQQ51" s="19"/>
      <c r="DQR51" s="19"/>
      <c r="DQS51" s="19"/>
      <c r="DQT51" s="19"/>
      <c r="DQU51" s="19"/>
      <c r="DQV51" s="19"/>
      <c r="DQW51" s="19"/>
      <c r="DQX51" s="19"/>
      <c r="DQY51" s="19"/>
      <c r="DQZ51" s="19"/>
      <c r="DRA51" s="19"/>
      <c r="DRB51" s="19"/>
      <c r="DRC51" s="19"/>
      <c r="DRD51" s="19"/>
      <c r="DRE51" s="19"/>
      <c r="DRF51" s="19"/>
      <c r="DRG51" s="19"/>
      <c r="DRH51" s="19"/>
      <c r="DRI51" s="19"/>
      <c r="DRJ51" s="19"/>
      <c r="DRK51" s="19"/>
      <c r="DRL51" s="19"/>
      <c r="DRM51" s="19"/>
      <c r="DRN51" s="19"/>
      <c r="DRO51" s="19"/>
      <c r="DRP51" s="19"/>
      <c r="DRQ51" s="19"/>
      <c r="DRR51" s="19"/>
      <c r="DRS51" s="19"/>
      <c r="DRT51" s="19"/>
      <c r="DRU51" s="19"/>
      <c r="DRV51" s="19"/>
      <c r="DRW51" s="19"/>
      <c r="DRX51" s="19"/>
      <c r="DRY51" s="19"/>
      <c r="DRZ51" s="19"/>
      <c r="DSA51" s="19"/>
      <c r="DSB51" s="19"/>
      <c r="DSC51" s="19"/>
      <c r="DSD51" s="19"/>
      <c r="DSE51" s="19"/>
      <c r="DSF51" s="19"/>
      <c r="DSG51" s="19"/>
      <c r="DSH51" s="19"/>
      <c r="DSI51" s="19"/>
      <c r="DSJ51" s="19"/>
      <c r="DSK51" s="19"/>
      <c r="DSL51" s="19"/>
      <c r="DSM51" s="19"/>
      <c r="DSN51" s="19"/>
      <c r="DSO51" s="19"/>
      <c r="DSP51" s="19"/>
      <c r="DSQ51" s="19"/>
      <c r="DSR51" s="19"/>
      <c r="DSS51" s="19"/>
      <c r="DST51" s="19"/>
      <c r="DSU51" s="19"/>
      <c r="DSV51" s="19"/>
      <c r="DSW51" s="19"/>
      <c r="DSX51" s="19"/>
      <c r="DSY51" s="19"/>
      <c r="DSZ51" s="19"/>
      <c r="DTA51" s="19"/>
      <c r="DTB51" s="19"/>
      <c r="DTC51" s="19"/>
      <c r="DTD51" s="19"/>
      <c r="DTE51" s="19"/>
      <c r="DTF51" s="19"/>
      <c r="DTG51" s="19"/>
      <c r="DTH51" s="19"/>
      <c r="DTI51" s="19"/>
      <c r="DTJ51" s="19"/>
      <c r="DTK51" s="19"/>
      <c r="DTL51" s="19"/>
      <c r="DTM51" s="19"/>
      <c r="DTN51" s="19"/>
      <c r="DTO51" s="19"/>
      <c r="DTP51" s="19"/>
      <c r="DTQ51" s="19"/>
      <c r="DTR51" s="19"/>
      <c r="DTS51" s="19"/>
      <c r="DTT51" s="19"/>
      <c r="DTU51" s="19"/>
      <c r="DTV51" s="19"/>
      <c r="DTW51" s="19"/>
      <c r="DTX51" s="19"/>
      <c r="DTY51" s="19"/>
      <c r="DTZ51" s="19"/>
      <c r="DUA51" s="19"/>
      <c r="DUB51" s="19"/>
      <c r="DUC51" s="19"/>
      <c r="DUD51" s="19"/>
      <c r="DUE51" s="19"/>
      <c r="DUF51" s="19"/>
      <c r="DUG51" s="19"/>
      <c r="DUH51" s="19"/>
      <c r="DUI51" s="19"/>
      <c r="DUJ51" s="19"/>
      <c r="DUK51" s="19"/>
      <c r="DUL51" s="19"/>
      <c r="DUM51" s="19"/>
      <c r="DUN51" s="19"/>
      <c r="DUO51" s="19"/>
      <c r="DUP51" s="19"/>
      <c r="DUQ51" s="19"/>
      <c r="DUR51" s="19"/>
      <c r="DUS51" s="19"/>
      <c r="DUT51" s="19"/>
      <c r="DUU51" s="19"/>
      <c r="DUV51" s="19"/>
      <c r="DUW51" s="19"/>
      <c r="DUX51" s="19"/>
      <c r="DUY51" s="19"/>
      <c r="DUZ51" s="19"/>
      <c r="DVA51" s="19"/>
      <c r="DVB51" s="19"/>
      <c r="DVC51" s="19"/>
      <c r="DVD51" s="19"/>
      <c r="DVE51" s="19"/>
      <c r="DVF51" s="19"/>
      <c r="DVG51" s="19"/>
      <c r="DVH51" s="19"/>
      <c r="DVI51" s="19"/>
      <c r="DVJ51" s="19"/>
      <c r="DVK51" s="19"/>
      <c r="DVL51" s="19"/>
      <c r="DVM51" s="19"/>
      <c r="DVN51" s="19"/>
      <c r="DVO51" s="19"/>
      <c r="DVP51" s="19"/>
      <c r="DVQ51" s="19"/>
      <c r="DVR51" s="19"/>
      <c r="DVS51" s="19"/>
      <c r="DVT51" s="19"/>
      <c r="DVU51" s="19"/>
      <c r="DVV51" s="19"/>
      <c r="DVW51" s="19"/>
      <c r="DVX51" s="19"/>
      <c r="DVY51" s="19"/>
      <c r="DVZ51" s="19"/>
      <c r="DWA51" s="19"/>
      <c r="DWB51" s="19"/>
      <c r="DWC51" s="19"/>
      <c r="DWD51" s="19"/>
      <c r="DWE51" s="19"/>
      <c r="DWF51" s="19"/>
      <c r="DWG51" s="19"/>
      <c r="DWH51" s="19"/>
      <c r="DWI51" s="19"/>
      <c r="DWJ51" s="19"/>
      <c r="DWK51" s="19"/>
      <c r="DWL51" s="19"/>
      <c r="DWM51" s="19"/>
      <c r="DWN51" s="19"/>
      <c r="DWO51" s="19"/>
      <c r="DWP51" s="19"/>
      <c r="DWQ51" s="19"/>
      <c r="DWR51" s="19"/>
      <c r="DWS51" s="19"/>
      <c r="DWT51" s="19"/>
      <c r="DWU51" s="19"/>
      <c r="DWV51" s="19"/>
      <c r="DWW51" s="19"/>
      <c r="DWX51" s="19"/>
      <c r="DWY51" s="19"/>
      <c r="DWZ51" s="19"/>
      <c r="DXA51" s="19"/>
      <c r="DXB51" s="19"/>
      <c r="DXC51" s="19"/>
      <c r="DXD51" s="19"/>
      <c r="DXE51" s="19"/>
      <c r="DXF51" s="19"/>
      <c r="DXG51" s="19"/>
      <c r="DXH51" s="19"/>
      <c r="DXI51" s="19"/>
      <c r="DXJ51" s="19"/>
      <c r="DXK51" s="19"/>
      <c r="DXL51" s="19"/>
      <c r="DXM51" s="19"/>
      <c r="DXN51" s="19"/>
      <c r="DXO51" s="19"/>
      <c r="DXP51" s="19"/>
      <c r="DXQ51" s="19"/>
      <c r="DXR51" s="19"/>
      <c r="DXS51" s="19"/>
      <c r="DXT51" s="19"/>
      <c r="DXU51" s="19"/>
      <c r="DXV51" s="19"/>
      <c r="DXW51" s="19"/>
      <c r="DXX51" s="19"/>
      <c r="DXY51" s="19"/>
      <c r="DXZ51" s="19"/>
      <c r="DYA51" s="19"/>
      <c r="DYB51" s="19"/>
      <c r="DYC51" s="19"/>
      <c r="DYD51" s="19"/>
      <c r="DYE51" s="19"/>
      <c r="DYF51" s="19"/>
      <c r="DYG51" s="19"/>
      <c r="DYH51" s="19"/>
      <c r="DYI51" s="19"/>
      <c r="DYJ51" s="19"/>
      <c r="DYK51" s="19"/>
      <c r="DYL51" s="19"/>
      <c r="DYM51" s="19"/>
      <c r="DYN51" s="19"/>
      <c r="DYO51" s="19"/>
      <c r="DYP51" s="19"/>
      <c r="DYQ51" s="19"/>
      <c r="DYR51" s="19"/>
      <c r="DYS51" s="19"/>
      <c r="DYT51" s="19"/>
      <c r="DYU51" s="19"/>
      <c r="DYV51" s="19"/>
      <c r="DYW51" s="19"/>
      <c r="DYX51" s="19"/>
      <c r="DYY51" s="19"/>
      <c r="DYZ51" s="19"/>
      <c r="DZA51" s="19"/>
      <c r="DZB51" s="19"/>
      <c r="DZC51" s="19"/>
      <c r="DZD51" s="19"/>
      <c r="DZE51" s="19"/>
      <c r="DZF51" s="19"/>
      <c r="DZG51" s="19"/>
      <c r="DZH51" s="19"/>
      <c r="DZI51" s="19"/>
      <c r="DZJ51" s="19"/>
      <c r="DZK51" s="19"/>
      <c r="DZL51" s="19"/>
      <c r="DZM51" s="19"/>
      <c r="DZN51" s="19"/>
      <c r="DZO51" s="19"/>
      <c r="DZP51" s="19"/>
      <c r="DZQ51" s="19"/>
      <c r="DZR51" s="19"/>
      <c r="DZS51" s="19"/>
      <c r="DZT51" s="19"/>
      <c r="DZU51" s="19"/>
      <c r="DZV51" s="19"/>
      <c r="DZW51" s="19"/>
      <c r="DZX51" s="19"/>
      <c r="DZY51" s="19"/>
      <c r="DZZ51" s="19"/>
      <c r="EAA51" s="19"/>
      <c r="EAB51" s="19"/>
      <c r="EAC51" s="19"/>
      <c r="EAD51" s="19"/>
      <c r="EAE51" s="19"/>
      <c r="EAF51" s="19"/>
      <c r="EAG51" s="19"/>
      <c r="EAH51" s="19"/>
      <c r="EAI51" s="19"/>
      <c r="EAJ51" s="19"/>
      <c r="EAK51" s="19"/>
      <c r="EAL51" s="19"/>
      <c r="EAM51" s="19"/>
      <c r="EAN51" s="19"/>
      <c r="EAO51" s="19"/>
      <c r="EAP51" s="19"/>
      <c r="EAQ51" s="19"/>
      <c r="EAR51" s="19"/>
      <c r="EAS51" s="19"/>
      <c r="EAT51" s="19"/>
      <c r="EAU51" s="19"/>
      <c r="EAV51" s="19"/>
      <c r="EAW51" s="19"/>
      <c r="EAX51" s="19"/>
      <c r="EAY51" s="19"/>
      <c r="EAZ51" s="19"/>
      <c r="EBA51" s="19"/>
      <c r="EBB51" s="19"/>
      <c r="EBC51" s="19"/>
      <c r="EBD51" s="19"/>
      <c r="EBE51" s="19"/>
      <c r="EBF51" s="19"/>
      <c r="EBG51" s="19"/>
      <c r="EBH51" s="19"/>
      <c r="EBI51" s="19"/>
      <c r="EBJ51" s="19"/>
      <c r="EBK51" s="19"/>
      <c r="EBL51" s="19"/>
      <c r="EBM51" s="19"/>
      <c r="EBN51" s="19"/>
      <c r="EBO51" s="19"/>
      <c r="EBP51" s="19"/>
      <c r="EBQ51" s="19"/>
      <c r="EBR51" s="19"/>
      <c r="EBS51" s="19"/>
      <c r="EBT51" s="19"/>
      <c r="EBU51" s="19"/>
      <c r="EBV51" s="19"/>
      <c r="EBW51" s="19"/>
      <c r="EBX51" s="19"/>
      <c r="EBY51" s="19"/>
      <c r="EBZ51" s="19"/>
      <c r="ECA51" s="19"/>
      <c r="ECB51" s="19"/>
      <c r="ECC51" s="19"/>
      <c r="ECD51" s="19"/>
      <c r="ECE51" s="19"/>
      <c r="ECF51" s="19"/>
      <c r="ECG51" s="19"/>
      <c r="ECH51" s="19"/>
      <c r="ECI51" s="19"/>
      <c r="ECJ51" s="19"/>
      <c r="ECK51" s="19"/>
      <c r="ECL51" s="19"/>
      <c r="ECM51" s="19"/>
      <c r="ECN51" s="19"/>
      <c r="ECO51" s="19"/>
      <c r="ECP51" s="19"/>
      <c r="ECQ51" s="19"/>
      <c r="ECR51" s="19"/>
      <c r="ECS51" s="19"/>
      <c r="ECT51" s="19"/>
      <c r="ECU51" s="19"/>
      <c r="ECV51" s="19"/>
      <c r="ECW51" s="19"/>
      <c r="ECX51" s="19"/>
      <c r="ECY51" s="19"/>
      <c r="ECZ51" s="19"/>
      <c r="EDA51" s="19"/>
      <c r="EDB51" s="19"/>
      <c r="EDC51" s="19"/>
      <c r="EDD51" s="19"/>
      <c r="EDE51" s="19"/>
      <c r="EDF51" s="19"/>
      <c r="EDG51" s="19"/>
      <c r="EDH51" s="19"/>
      <c r="EDI51" s="19"/>
      <c r="EDJ51" s="19"/>
      <c r="EDK51" s="19"/>
      <c r="EDL51" s="19"/>
      <c r="EDM51" s="19"/>
      <c r="EDN51" s="19"/>
      <c r="EDO51" s="19"/>
      <c r="EDP51" s="19"/>
      <c r="EDQ51" s="19"/>
      <c r="EDR51" s="19"/>
      <c r="EDS51" s="19"/>
      <c r="EDT51" s="19"/>
      <c r="EDU51" s="19"/>
      <c r="EDV51" s="19"/>
      <c r="EDW51" s="19"/>
      <c r="EDX51" s="19"/>
      <c r="EDY51" s="19"/>
      <c r="EDZ51" s="19"/>
      <c r="EEA51" s="19"/>
      <c r="EEB51" s="19"/>
      <c r="EEC51" s="19"/>
      <c r="EED51" s="19"/>
      <c r="EEE51" s="19"/>
      <c r="EEF51" s="19"/>
      <c r="EEG51" s="19"/>
      <c r="EEH51" s="19"/>
      <c r="EEI51" s="19"/>
      <c r="EEJ51" s="19"/>
      <c r="EEK51" s="19"/>
      <c r="EEL51" s="19"/>
      <c r="EEM51" s="19"/>
      <c r="EEN51" s="19"/>
      <c r="EEO51" s="19"/>
      <c r="EEP51" s="19"/>
      <c r="EEQ51" s="19"/>
      <c r="EER51" s="19"/>
      <c r="EES51" s="19"/>
      <c r="EET51" s="19"/>
      <c r="EEU51" s="19"/>
      <c r="EEV51" s="19"/>
      <c r="EEW51" s="19"/>
      <c r="EEX51" s="19"/>
      <c r="EEY51" s="19"/>
      <c r="EEZ51" s="19"/>
      <c r="EFA51" s="19"/>
      <c r="EFB51" s="19"/>
      <c r="EFC51" s="19"/>
      <c r="EFD51" s="19"/>
      <c r="EFE51" s="19"/>
      <c r="EFF51" s="19"/>
      <c r="EFG51" s="19"/>
      <c r="EFH51" s="19"/>
      <c r="EFI51" s="19"/>
      <c r="EFJ51" s="19"/>
      <c r="EFK51" s="19"/>
      <c r="EFL51" s="19"/>
      <c r="EFM51" s="19"/>
      <c r="EFN51" s="19"/>
      <c r="EFO51" s="19"/>
      <c r="EFP51" s="19"/>
      <c r="EFQ51" s="19"/>
      <c r="EFR51" s="19"/>
      <c r="EFS51" s="19"/>
      <c r="EFT51" s="19"/>
      <c r="EFU51" s="19"/>
      <c r="EFV51" s="19"/>
      <c r="EFW51" s="19"/>
      <c r="EFX51" s="19"/>
      <c r="EFY51" s="19"/>
      <c r="EFZ51" s="19"/>
      <c r="EGA51" s="19"/>
      <c r="EGB51" s="19"/>
      <c r="EGC51" s="19"/>
      <c r="EGD51" s="19"/>
      <c r="EGE51" s="19"/>
      <c r="EGF51" s="19"/>
      <c r="EGG51" s="19"/>
      <c r="EGH51" s="19"/>
      <c r="EGI51" s="19"/>
      <c r="EGJ51" s="19"/>
      <c r="EGK51" s="19"/>
      <c r="EGL51" s="19"/>
      <c r="EGM51" s="19"/>
      <c r="EGN51" s="19"/>
      <c r="EGO51" s="19"/>
      <c r="EGP51" s="19"/>
      <c r="EGQ51" s="19"/>
      <c r="EGR51" s="19"/>
      <c r="EGS51" s="19"/>
      <c r="EGT51" s="19"/>
      <c r="EGU51" s="19"/>
      <c r="EGV51" s="19"/>
      <c r="EGW51" s="19"/>
      <c r="EGX51" s="19"/>
      <c r="EGY51" s="19"/>
      <c r="EGZ51" s="19"/>
      <c r="EHA51" s="19"/>
      <c r="EHB51" s="19"/>
      <c r="EHC51" s="19"/>
      <c r="EHD51" s="19"/>
      <c r="EHE51" s="19"/>
      <c r="EHF51" s="19"/>
      <c r="EHG51" s="19"/>
      <c r="EHH51" s="19"/>
      <c r="EHI51" s="19"/>
      <c r="EHJ51" s="19"/>
      <c r="EHK51" s="19"/>
      <c r="EHL51" s="19"/>
      <c r="EHM51" s="19"/>
      <c r="EHN51" s="19"/>
      <c r="EHO51" s="19"/>
      <c r="EHP51" s="19"/>
      <c r="EHQ51" s="19"/>
      <c r="EHR51" s="19"/>
      <c r="EHS51" s="19"/>
      <c r="EHT51" s="19"/>
      <c r="EHU51" s="19"/>
      <c r="EHV51" s="19"/>
      <c r="EHW51" s="19"/>
      <c r="EHX51" s="19"/>
      <c r="EHY51" s="19"/>
      <c r="EHZ51" s="19"/>
      <c r="EIA51" s="19"/>
      <c r="EIB51" s="19"/>
      <c r="EIC51" s="19"/>
      <c r="EID51" s="19"/>
      <c r="EIE51" s="19"/>
      <c r="EIF51" s="19"/>
      <c r="EIG51" s="19"/>
      <c r="EIH51" s="19"/>
      <c r="EII51" s="19"/>
      <c r="EIJ51" s="19"/>
      <c r="EIK51" s="19"/>
      <c r="EIL51" s="19"/>
      <c r="EIM51" s="19"/>
      <c r="EIN51" s="19"/>
      <c r="EIO51" s="19"/>
      <c r="EIP51" s="19"/>
      <c r="EIQ51" s="19"/>
      <c r="EIR51" s="19"/>
      <c r="EIS51" s="19"/>
      <c r="EIT51" s="19"/>
      <c r="EIU51" s="19"/>
      <c r="EIV51" s="19"/>
      <c r="EIW51" s="19"/>
      <c r="EIX51" s="19"/>
      <c r="EIY51" s="19"/>
      <c r="EIZ51" s="19"/>
      <c r="EJA51" s="19"/>
      <c r="EJB51" s="19"/>
      <c r="EJC51" s="19"/>
      <c r="EJD51" s="19"/>
      <c r="EJE51" s="19"/>
      <c r="EJF51" s="19"/>
      <c r="EJG51" s="19"/>
      <c r="EJH51" s="19"/>
      <c r="EJI51" s="19"/>
      <c r="EJJ51" s="19"/>
      <c r="EJK51" s="19"/>
      <c r="EJL51" s="19"/>
      <c r="EJM51" s="19"/>
      <c r="EJN51" s="19"/>
      <c r="EJO51" s="19"/>
      <c r="EJP51" s="19"/>
      <c r="EJQ51" s="19"/>
      <c r="EJR51" s="19"/>
      <c r="EJS51" s="19"/>
      <c r="EJT51" s="19"/>
      <c r="EJU51" s="19"/>
      <c r="EJV51" s="19"/>
      <c r="EJW51" s="19"/>
      <c r="EJX51" s="19"/>
      <c r="EJY51" s="19"/>
      <c r="EJZ51" s="19"/>
      <c r="EKA51" s="19"/>
      <c r="EKB51" s="19"/>
      <c r="EKC51" s="19"/>
      <c r="EKD51" s="19"/>
      <c r="EKE51" s="19"/>
      <c r="EKF51" s="19"/>
      <c r="EKG51" s="19"/>
      <c r="EKH51" s="19"/>
      <c r="EKI51" s="19"/>
      <c r="EKJ51" s="19"/>
      <c r="EKK51" s="19"/>
      <c r="EKL51" s="19"/>
      <c r="EKM51" s="19"/>
      <c r="EKN51" s="19"/>
      <c r="EKO51" s="19"/>
      <c r="EKP51" s="19"/>
      <c r="EKQ51" s="19"/>
      <c r="EKR51" s="19"/>
      <c r="EKS51" s="19"/>
      <c r="EKT51" s="19"/>
      <c r="EKU51" s="19"/>
      <c r="EKV51" s="19"/>
      <c r="EKW51" s="19"/>
      <c r="EKX51" s="19"/>
      <c r="EKY51" s="19"/>
      <c r="EKZ51" s="19"/>
      <c r="ELA51" s="19"/>
      <c r="ELB51" s="19"/>
      <c r="ELC51" s="19"/>
      <c r="ELD51" s="19"/>
      <c r="ELE51" s="19"/>
      <c r="ELF51" s="19"/>
      <c r="ELG51" s="19"/>
      <c r="ELH51" s="19"/>
      <c r="ELI51" s="19"/>
      <c r="ELJ51" s="19"/>
      <c r="ELK51" s="19"/>
      <c r="ELL51" s="19"/>
      <c r="ELM51" s="19"/>
      <c r="ELN51" s="19"/>
      <c r="ELO51" s="19"/>
      <c r="ELP51" s="19"/>
      <c r="ELQ51" s="19"/>
      <c r="ELR51" s="19"/>
      <c r="ELS51" s="19"/>
      <c r="ELT51" s="19"/>
      <c r="ELU51" s="19"/>
      <c r="ELV51" s="19"/>
      <c r="ELW51" s="19"/>
      <c r="ELX51" s="19"/>
      <c r="ELY51" s="19"/>
      <c r="ELZ51" s="19"/>
      <c r="EMA51" s="19"/>
      <c r="EMB51" s="19"/>
      <c r="EMC51" s="19"/>
      <c r="EMD51" s="19"/>
      <c r="EME51" s="19"/>
      <c r="EMF51" s="19"/>
      <c r="EMG51" s="19"/>
      <c r="EMH51" s="19"/>
      <c r="EMI51" s="19"/>
      <c r="EMJ51" s="19"/>
      <c r="EMK51" s="19"/>
      <c r="EML51" s="19"/>
      <c r="EMM51" s="19"/>
      <c r="EMN51" s="19"/>
      <c r="EMO51" s="19"/>
      <c r="EMP51" s="19"/>
      <c r="EMQ51" s="19"/>
      <c r="EMR51" s="19"/>
      <c r="EMS51" s="19"/>
      <c r="EMT51" s="19"/>
      <c r="EMU51" s="19"/>
      <c r="EMV51" s="19"/>
      <c r="EMW51" s="19"/>
      <c r="EMX51" s="19"/>
      <c r="EMY51" s="19"/>
      <c r="EMZ51" s="19"/>
      <c r="ENA51" s="19"/>
      <c r="ENB51" s="19"/>
      <c r="ENC51" s="19"/>
      <c r="END51" s="19"/>
      <c r="ENE51" s="19"/>
      <c r="ENF51" s="19"/>
      <c r="ENG51" s="19"/>
      <c r="ENH51" s="19"/>
      <c r="ENI51" s="19"/>
      <c r="ENJ51" s="19"/>
      <c r="ENK51" s="19"/>
      <c r="ENL51" s="19"/>
      <c r="ENM51" s="19"/>
      <c r="ENN51" s="19"/>
      <c r="ENO51" s="19"/>
      <c r="ENP51" s="19"/>
      <c r="ENQ51" s="19"/>
      <c r="ENR51" s="19"/>
      <c r="ENS51" s="19"/>
      <c r="ENT51" s="19"/>
      <c r="ENU51" s="19"/>
      <c r="ENV51" s="19"/>
      <c r="ENW51" s="19"/>
      <c r="ENX51" s="19"/>
      <c r="ENY51" s="19"/>
      <c r="ENZ51" s="19"/>
      <c r="EOA51" s="19"/>
      <c r="EOB51" s="19"/>
      <c r="EOC51" s="19"/>
      <c r="EOD51" s="19"/>
      <c r="EOE51" s="19"/>
      <c r="EOF51" s="19"/>
      <c r="EOG51" s="19"/>
      <c r="EOH51" s="19"/>
      <c r="EOI51" s="19"/>
      <c r="EOJ51" s="19"/>
      <c r="EOK51" s="19"/>
      <c r="EOL51" s="19"/>
      <c r="EOM51" s="19"/>
      <c r="EON51" s="19"/>
      <c r="EOO51" s="19"/>
      <c r="EOP51" s="19"/>
      <c r="EOQ51" s="19"/>
      <c r="EOR51" s="19"/>
      <c r="EOS51" s="19"/>
      <c r="EOT51" s="19"/>
      <c r="EOU51" s="19"/>
      <c r="EOV51" s="19"/>
      <c r="EOW51" s="19"/>
      <c r="EOX51" s="19"/>
      <c r="EOY51" s="19"/>
      <c r="EOZ51" s="19"/>
      <c r="EPA51" s="19"/>
      <c r="EPB51" s="19"/>
      <c r="EPC51" s="19"/>
      <c r="EPD51" s="19"/>
      <c r="EPE51" s="19"/>
      <c r="EPF51" s="19"/>
      <c r="EPG51" s="19"/>
      <c r="EPH51" s="19"/>
      <c r="EPI51" s="19"/>
      <c r="EPJ51" s="19"/>
      <c r="EPK51" s="19"/>
      <c r="EPL51" s="19"/>
      <c r="EPM51" s="19"/>
      <c r="EPN51" s="19"/>
      <c r="EPO51" s="19"/>
      <c r="EPP51" s="19"/>
      <c r="EPQ51" s="19"/>
      <c r="EPR51" s="19"/>
      <c r="EPS51" s="19"/>
      <c r="EPT51" s="19"/>
      <c r="EPU51" s="19"/>
      <c r="EPV51" s="19"/>
      <c r="EPW51" s="19"/>
      <c r="EPX51" s="19"/>
      <c r="EPY51" s="19"/>
      <c r="EPZ51" s="19"/>
      <c r="EQA51" s="19"/>
      <c r="EQB51" s="19"/>
      <c r="EQC51" s="19"/>
      <c r="EQD51" s="19"/>
      <c r="EQE51" s="19"/>
      <c r="EQF51" s="19"/>
      <c r="EQG51" s="19"/>
      <c r="EQH51" s="19"/>
      <c r="EQI51" s="19"/>
      <c r="EQJ51" s="19"/>
      <c r="EQK51" s="19"/>
      <c r="EQL51" s="19"/>
      <c r="EQM51" s="19"/>
      <c r="EQN51" s="19"/>
      <c r="EQO51" s="19"/>
      <c r="EQP51" s="19"/>
      <c r="EQQ51" s="19"/>
      <c r="EQR51" s="19"/>
      <c r="EQS51" s="19"/>
      <c r="EQT51" s="19"/>
      <c r="EQU51" s="19"/>
      <c r="EQV51" s="19"/>
      <c r="EQW51" s="19"/>
      <c r="EQX51" s="19"/>
      <c r="EQY51" s="19"/>
      <c r="EQZ51" s="19"/>
      <c r="ERA51" s="19"/>
      <c r="ERB51" s="19"/>
      <c r="ERC51" s="19"/>
      <c r="ERD51" s="19"/>
      <c r="ERE51" s="19"/>
      <c r="ERF51" s="19"/>
      <c r="ERG51" s="19"/>
      <c r="ERH51" s="19"/>
      <c r="ERI51" s="19"/>
      <c r="ERJ51" s="19"/>
      <c r="ERK51" s="19"/>
      <c r="ERL51" s="19"/>
      <c r="ERM51" s="19"/>
      <c r="ERN51" s="19"/>
      <c r="ERO51" s="19"/>
      <c r="ERP51" s="19"/>
      <c r="ERQ51" s="19"/>
      <c r="ERR51" s="19"/>
      <c r="ERS51" s="19"/>
      <c r="ERT51" s="19"/>
      <c r="ERU51" s="19"/>
      <c r="ERV51" s="19"/>
      <c r="ERW51" s="19"/>
      <c r="ERX51" s="19"/>
      <c r="ERY51" s="19"/>
      <c r="ERZ51" s="19"/>
      <c r="ESA51" s="19"/>
      <c r="ESB51" s="19"/>
      <c r="ESC51" s="19"/>
      <c r="ESD51" s="19"/>
      <c r="ESE51" s="19"/>
      <c r="ESF51" s="19"/>
      <c r="ESG51" s="19"/>
      <c r="ESH51" s="19"/>
      <c r="ESI51" s="19"/>
      <c r="ESJ51" s="19"/>
      <c r="ESK51" s="19"/>
      <c r="ESL51" s="19"/>
      <c r="ESM51" s="19"/>
      <c r="ESN51" s="19"/>
      <c r="ESO51" s="19"/>
      <c r="ESP51" s="19"/>
      <c r="ESQ51" s="19"/>
      <c r="ESR51" s="19"/>
      <c r="ESS51" s="19"/>
      <c r="EST51" s="19"/>
      <c r="ESU51" s="19"/>
      <c r="ESV51" s="19"/>
      <c r="ESW51" s="19"/>
      <c r="ESX51" s="19"/>
      <c r="ESY51" s="19"/>
      <c r="ESZ51" s="19"/>
      <c r="ETA51" s="19"/>
      <c r="ETB51" s="19"/>
      <c r="ETC51" s="19"/>
      <c r="ETD51" s="19"/>
      <c r="ETE51" s="19"/>
      <c r="ETF51" s="19"/>
      <c r="ETG51" s="19"/>
      <c r="ETH51" s="19"/>
      <c r="ETI51" s="19"/>
      <c r="ETJ51" s="19"/>
      <c r="ETK51" s="19"/>
      <c r="ETL51" s="19"/>
      <c r="ETM51" s="19"/>
      <c r="ETN51" s="19"/>
      <c r="ETO51" s="19"/>
      <c r="ETP51" s="19"/>
      <c r="ETQ51" s="19"/>
      <c r="ETR51" s="19"/>
      <c r="ETS51" s="19"/>
      <c r="ETT51" s="19"/>
      <c r="ETU51" s="19"/>
      <c r="ETV51" s="19"/>
      <c r="ETW51" s="19"/>
      <c r="ETX51" s="19"/>
      <c r="ETY51" s="19"/>
      <c r="ETZ51" s="19"/>
      <c r="EUA51" s="19"/>
      <c r="EUB51" s="19"/>
      <c r="EUC51" s="19"/>
      <c r="EUD51" s="19"/>
      <c r="EUE51" s="19"/>
      <c r="EUF51" s="19"/>
      <c r="EUG51" s="19"/>
      <c r="EUH51" s="19"/>
      <c r="EUI51" s="19"/>
      <c r="EUJ51" s="19"/>
      <c r="EUK51" s="19"/>
      <c r="EUL51" s="19"/>
      <c r="EUM51" s="19"/>
      <c r="EUN51" s="19"/>
      <c r="EUO51" s="19"/>
      <c r="EUP51" s="19"/>
      <c r="EUQ51" s="19"/>
      <c r="EUR51" s="19"/>
      <c r="EUS51" s="19"/>
      <c r="EUT51" s="19"/>
      <c r="EUU51" s="19"/>
      <c r="EUV51" s="19"/>
      <c r="EUW51" s="19"/>
      <c r="EUX51" s="19"/>
      <c r="EUY51" s="19"/>
      <c r="EUZ51" s="19"/>
      <c r="EVA51" s="19"/>
      <c r="EVB51" s="19"/>
      <c r="EVC51" s="19"/>
      <c r="EVD51" s="19"/>
      <c r="EVE51" s="19"/>
      <c r="EVF51" s="19"/>
      <c r="EVG51" s="19"/>
      <c r="EVH51" s="19"/>
      <c r="EVI51" s="19"/>
      <c r="EVJ51" s="19"/>
      <c r="EVK51" s="19"/>
      <c r="EVL51" s="19"/>
      <c r="EVM51" s="19"/>
      <c r="EVN51" s="19"/>
      <c r="EVO51" s="19"/>
      <c r="EVP51" s="19"/>
      <c r="EVQ51" s="19"/>
      <c r="EVR51" s="19"/>
      <c r="EVS51" s="19"/>
      <c r="EVT51" s="19"/>
      <c r="EVU51" s="19"/>
      <c r="EVV51" s="19"/>
      <c r="EVW51" s="19"/>
      <c r="EVX51" s="19"/>
      <c r="EVY51" s="19"/>
      <c r="EVZ51" s="19"/>
      <c r="EWA51" s="19"/>
      <c r="EWB51" s="19"/>
      <c r="EWC51" s="19"/>
      <c r="EWD51" s="19"/>
      <c r="EWE51" s="19"/>
      <c r="EWF51" s="19"/>
      <c r="EWG51" s="19"/>
      <c r="EWH51" s="19"/>
      <c r="EWI51" s="19"/>
      <c r="EWJ51" s="19"/>
      <c r="EWK51" s="19"/>
      <c r="EWL51" s="19"/>
      <c r="EWM51" s="19"/>
      <c r="EWN51" s="19"/>
      <c r="EWO51" s="19"/>
      <c r="EWP51" s="19"/>
      <c r="EWQ51" s="19"/>
      <c r="EWR51" s="19"/>
      <c r="EWS51" s="19"/>
      <c r="EWT51" s="19"/>
      <c r="EWU51" s="19"/>
      <c r="EWV51" s="19"/>
      <c r="EWW51" s="19"/>
      <c r="EWX51" s="19"/>
      <c r="EWY51" s="19"/>
      <c r="EWZ51" s="19"/>
      <c r="EXA51" s="19"/>
      <c r="EXB51" s="19"/>
      <c r="EXC51" s="19"/>
      <c r="EXD51" s="19"/>
      <c r="EXE51" s="19"/>
      <c r="EXF51" s="19"/>
      <c r="EXG51" s="19"/>
      <c r="EXH51" s="19"/>
      <c r="EXI51" s="19"/>
      <c r="EXJ51" s="19"/>
      <c r="EXK51" s="19"/>
      <c r="EXL51" s="19"/>
      <c r="EXM51" s="19"/>
      <c r="EXN51" s="19"/>
      <c r="EXO51" s="19"/>
      <c r="EXP51" s="19"/>
      <c r="EXQ51" s="19"/>
      <c r="EXR51" s="19"/>
      <c r="EXS51" s="19"/>
      <c r="EXT51" s="19"/>
      <c r="EXU51" s="19"/>
      <c r="EXV51" s="19"/>
      <c r="EXW51" s="19"/>
      <c r="EXX51" s="19"/>
      <c r="EXY51" s="19"/>
      <c r="EXZ51" s="19"/>
      <c r="EYA51" s="19"/>
      <c r="EYB51" s="19"/>
      <c r="EYC51" s="19"/>
      <c r="EYD51" s="19"/>
      <c r="EYE51" s="19"/>
      <c r="EYF51" s="19"/>
      <c r="EYG51" s="19"/>
      <c r="EYH51" s="19"/>
      <c r="EYI51" s="19"/>
      <c r="EYJ51" s="19"/>
      <c r="EYK51" s="19"/>
      <c r="EYL51" s="19"/>
      <c r="EYM51" s="19"/>
      <c r="EYN51" s="19"/>
      <c r="EYO51" s="19"/>
      <c r="EYP51" s="19"/>
      <c r="EYQ51" s="19"/>
      <c r="EYR51" s="19"/>
      <c r="EYS51" s="19"/>
      <c r="EYT51" s="19"/>
      <c r="EYU51" s="19"/>
      <c r="EYV51" s="19"/>
      <c r="EYW51" s="19"/>
      <c r="EYX51" s="19"/>
      <c r="EYY51" s="19"/>
      <c r="EYZ51" s="19"/>
      <c r="EZA51" s="19"/>
      <c r="EZB51" s="19"/>
      <c r="EZC51" s="19"/>
      <c r="EZD51" s="19"/>
      <c r="EZE51" s="19"/>
      <c r="EZF51" s="19"/>
      <c r="EZG51" s="19"/>
      <c r="EZH51" s="19"/>
      <c r="EZI51" s="19"/>
      <c r="EZJ51" s="19"/>
      <c r="EZK51" s="19"/>
      <c r="EZL51" s="19"/>
      <c r="EZM51" s="19"/>
      <c r="EZN51" s="19"/>
      <c r="EZO51" s="19"/>
      <c r="EZP51" s="19"/>
      <c r="EZQ51" s="19"/>
      <c r="EZR51" s="19"/>
      <c r="EZS51" s="19"/>
      <c r="EZT51" s="19"/>
      <c r="EZU51" s="19"/>
      <c r="EZV51" s="19"/>
      <c r="EZW51" s="19"/>
      <c r="EZX51" s="19"/>
      <c r="EZY51" s="19"/>
      <c r="EZZ51" s="19"/>
      <c r="FAA51" s="19"/>
      <c r="FAB51" s="19"/>
      <c r="FAC51" s="19"/>
      <c r="FAD51" s="19"/>
      <c r="FAE51" s="19"/>
      <c r="FAF51" s="19"/>
      <c r="FAG51" s="19"/>
      <c r="FAH51" s="19"/>
      <c r="FAI51" s="19"/>
      <c r="FAJ51" s="19"/>
      <c r="FAK51" s="19"/>
      <c r="FAL51" s="19"/>
      <c r="FAM51" s="19"/>
      <c r="FAN51" s="19"/>
      <c r="FAO51" s="19"/>
      <c r="FAP51" s="19"/>
      <c r="FAQ51" s="19"/>
      <c r="FAR51" s="19"/>
      <c r="FAS51" s="19"/>
      <c r="FAT51" s="19"/>
      <c r="FAU51" s="19"/>
      <c r="FAV51" s="19"/>
      <c r="FAW51" s="19"/>
      <c r="FAX51" s="19"/>
      <c r="FAY51" s="19"/>
      <c r="FAZ51" s="19"/>
      <c r="FBA51" s="19"/>
      <c r="FBB51" s="19"/>
      <c r="FBC51" s="19"/>
      <c r="FBD51" s="19"/>
      <c r="FBE51" s="19"/>
      <c r="FBF51" s="19"/>
      <c r="FBG51" s="19"/>
      <c r="FBH51" s="19"/>
      <c r="FBI51" s="19"/>
      <c r="FBJ51" s="19"/>
      <c r="FBK51" s="19"/>
      <c r="FBL51" s="19"/>
      <c r="FBM51" s="19"/>
      <c r="FBN51" s="19"/>
      <c r="FBO51" s="19"/>
      <c r="FBP51" s="19"/>
      <c r="FBQ51" s="19"/>
      <c r="FBR51" s="19"/>
      <c r="FBS51" s="19"/>
      <c r="FBT51" s="19"/>
      <c r="FBU51" s="19"/>
      <c r="FBV51" s="19"/>
      <c r="FBW51" s="19"/>
      <c r="FBX51" s="19"/>
      <c r="FBY51" s="19"/>
      <c r="FBZ51" s="19"/>
      <c r="FCA51" s="19"/>
      <c r="FCB51" s="19"/>
      <c r="FCC51" s="19"/>
      <c r="FCD51" s="19"/>
      <c r="FCE51" s="19"/>
      <c r="FCF51" s="19"/>
      <c r="FCG51" s="19"/>
      <c r="FCH51" s="19"/>
      <c r="FCI51" s="19"/>
      <c r="FCJ51" s="19"/>
      <c r="FCK51" s="19"/>
      <c r="FCL51" s="19"/>
      <c r="FCM51" s="19"/>
      <c r="FCN51" s="19"/>
      <c r="FCO51" s="19"/>
      <c r="FCP51" s="19"/>
      <c r="FCQ51" s="19"/>
      <c r="FCR51" s="19"/>
      <c r="FCS51" s="19"/>
      <c r="FCT51" s="19"/>
      <c r="FCU51" s="19"/>
      <c r="FCV51" s="19"/>
      <c r="FCW51" s="19"/>
      <c r="FCX51" s="19"/>
      <c r="FCY51" s="19"/>
      <c r="FCZ51" s="19"/>
      <c r="FDA51" s="19"/>
      <c r="FDB51" s="19"/>
      <c r="FDC51" s="19"/>
      <c r="FDD51" s="19"/>
      <c r="FDE51" s="19"/>
      <c r="FDF51" s="19"/>
      <c r="FDG51" s="19"/>
      <c r="FDH51" s="19"/>
      <c r="FDI51" s="19"/>
      <c r="FDJ51" s="19"/>
      <c r="FDK51" s="19"/>
      <c r="FDL51" s="19"/>
      <c r="FDM51" s="19"/>
      <c r="FDN51" s="19"/>
      <c r="FDO51" s="19"/>
      <c r="FDP51" s="19"/>
      <c r="FDQ51" s="19"/>
      <c r="FDR51" s="19"/>
      <c r="FDS51" s="19"/>
      <c r="FDT51" s="19"/>
      <c r="FDU51" s="19"/>
      <c r="FDV51" s="19"/>
      <c r="FDW51" s="19"/>
      <c r="FDX51" s="19"/>
      <c r="FDY51" s="19"/>
      <c r="FDZ51" s="19"/>
      <c r="FEA51" s="19"/>
      <c r="FEB51" s="19"/>
      <c r="FEC51" s="19"/>
      <c r="FED51" s="19"/>
      <c r="FEE51" s="19"/>
      <c r="FEF51" s="19"/>
      <c r="FEG51" s="19"/>
      <c r="FEH51" s="19"/>
      <c r="FEI51" s="19"/>
      <c r="FEJ51" s="19"/>
      <c r="FEK51" s="19"/>
      <c r="FEL51" s="19"/>
      <c r="FEM51" s="19"/>
      <c r="FEN51" s="19"/>
      <c r="FEO51" s="19"/>
      <c r="FEP51" s="19"/>
      <c r="FEQ51" s="19"/>
      <c r="FER51" s="19"/>
      <c r="FES51" s="19"/>
      <c r="FET51" s="19"/>
      <c r="FEU51" s="19"/>
      <c r="FEV51" s="19"/>
      <c r="FEW51" s="19"/>
      <c r="FEX51" s="19"/>
      <c r="FEY51" s="19"/>
      <c r="FEZ51" s="19"/>
      <c r="FFA51" s="19"/>
      <c r="FFB51" s="19"/>
      <c r="FFC51" s="19"/>
      <c r="FFD51" s="19"/>
      <c r="FFE51" s="19"/>
      <c r="FFF51" s="19"/>
      <c r="FFG51" s="19"/>
      <c r="FFH51" s="19"/>
      <c r="FFI51" s="19"/>
      <c r="FFJ51" s="19"/>
      <c r="FFK51" s="19"/>
      <c r="FFL51" s="19"/>
      <c r="FFM51" s="19"/>
      <c r="FFN51" s="19"/>
      <c r="FFO51" s="19"/>
      <c r="FFP51" s="19"/>
      <c r="FFQ51" s="19"/>
      <c r="FFR51" s="19"/>
      <c r="FFS51" s="19"/>
      <c r="FFT51" s="19"/>
      <c r="FFU51" s="19"/>
      <c r="FFV51" s="19"/>
      <c r="FFW51" s="19"/>
      <c r="FFX51" s="19"/>
      <c r="FFY51" s="19"/>
      <c r="FFZ51" s="19"/>
      <c r="FGA51" s="19"/>
      <c r="FGB51" s="19"/>
      <c r="FGC51" s="19"/>
      <c r="FGD51" s="19"/>
      <c r="FGE51" s="19"/>
      <c r="FGF51" s="19"/>
      <c r="FGG51" s="19"/>
      <c r="FGH51" s="19"/>
      <c r="FGI51" s="19"/>
      <c r="FGJ51" s="19"/>
      <c r="FGK51" s="19"/>
      <c r="FGL51" s="19"/>
      <c r="FGM51" s="19"/>
      <c r="FGN51" s="19"/>
      <c r="FGO51" s="19"/>
      <c r="FGP51" s="19"/>
      <c r="FGQ51" s="19"/>
      <c r="FGR51" s="19"/>
      <c r="FGS51" s="19"/>
      <c r="FGT51" s="19"/>
      <c r="FGU51" s="19"/>
      <c r="FGV51" s="19"/>
      <c r="FGW51" s="19"/>
      <c r="FGX51" s="19"/>
      <c r="FGY51" s="19"/>
      <c r="FGZ51" s="19"/>
      <c r="FHA51" s="19"/>
      <c r="FHB51" s="19"/>
      <c r="FHC51" s="19"/>
      <c r="FHD51" s="19"/>
      <c r="FHE51" s="19"/>
      <c r="FHF51" s="19"/>
      <c r="FHG51" s="19"/>
      <c r="FHH51" s="19"/>
      <c r="FHI51" s="19"/>
      <c r="FHJ51" s="19"/>
      <c r="FHK51" s="19"/>
      <c r="FHL51" s="19"/>
      <c r="FHM51" s="19"/>
      <c r="FHN51" s="19"/>
      <c r="FHO51" s="19"/>
      <c r="FHP51" s="19"/>
      <c r="FHQ51" s="19"/>
      <c r="FHR51" s="19"/>
      <c r="FHS51" s="19"/>
      <c r="FHT51" s="19"/>
      <c r="FHU51" s="19"/>
      <c r="FHV51" s="19"/>
      <c r="FHW51" s="19"/>
      <c r="FHX51" s="19"/>
      <c r="FHY51" s="19"/>
      <c r="FHZ51" s="19"/>
      <c r="FIA51" s="19"/>
      <c r="FIB51" s="19"/>
      <c r="FIC51" s="19"/>
      <c r="FID51" s="19"/>
      <c r="FIE51" s="19"/>
      <c r="FIF51" s="19"/>
      <c r="FIG51" s="19"/>
      <c r="FIH51" s="19"/>
      <c r="FII51" s="19"/>
      <c r="FIJ51" s="19"/>
      <c r="FIK51" s="19"/>
      <c r="FIL51" s="19"/>
      <c r="FIM51" s="19"/>
      <c r="FIN51" s="19"/>
      <c r="FIO51" s="19"/>
      <c r="FIP51" s="19"/>
      <c r="FIQ51" s="19"/>
      <c r="FIR51" s="19"/>
      <c r="FIS51" s="19"/>
      <c r="FIT51" s="19"/>
      <c r="FIU51" s="19"/>
      <c r="FIV51" s="19"/>
      <c r="FIW51" s="19"/>
      <c r="FIX51" s="19"/>
      <c r="FIY51" s="19"/>
      <c r="FIZ51" s="19"/>
      <c r="FJA51" s="19"/>
      <c r="FJB51" s="19"/>
      <c r="FJC51" s="19"/>
      <c r="FJD51" s="19"/>
      <c r="FJE51" s="19"/>
      <c r="FJF51" s="19"/>
      <c r="FJG51" s="19"/>
      <c r="FJH51" s="19"/>
      <c r="FJI51" s="19"/>
      <c r="FJJ51" s="19"/>
      <c r="FJK51" s="19"/>
      <c r="FJL51" s="19"/>
      <c r="FJM51" s="19"/>
      <c r="FJN51" s="19"/>
      <c r="FJO51" s="19"/>
      <c r="FJP51" s="19"/>
      <c r="FJQ51" s="19"/>
      <c r="FJR51" s="19"/>
      <c r="FJS51" s="19"/>
      <c r="FJT51" s="19"/>
      <c r="FJU51" s="19"/>
      <c r="FJV51" s="19"/>
      <c r="FJW51" s="19"/>
      <c r="FJX51" s="19"/>
      <c r="FJY51" s="19"/>
      <c r="FJZ51" s="19"/>
      <c r="FKA51" s="19"/>
      <c r="FKB51" s="19"/>
      <c r="FKC51" s="19"/>
      <c r="FKD51" s="19"/>
      <c r="FKE51" s="19"/>
      <c r="FKF51" s="19"/>
      <c r="FKG51" s="19"/>
      <c r="FKH51" s="19"/>
      <c r="FKI51" s="19"/>
      <c r="FKJ51" s="19"/>
      <c r="FKK51" s="19"/>
      <c r="FKL51" s="19"/>
      <c r="FKM51" s="19"/>
      <c r="FKN51" s="19"/>
      <c r="FKO51" s="19"/>
      <c r="FKP51" s="19"/>
      <c r="FKQ51" s="19"/>
      <c r="FKR51" s="19"/>
      <c r="FKS51" s="19"/>
      <c r="FKT51" s="19"/>
      <c r="FKU51" s="19"/>
      <c r="FKV51" s="19"/>
      <c r="FKW51" s="19"/>
      <c r="FKX51" s="19"/>
      <c r="FKY51" s="19"/>
      <c r="FKZ51" s="19"/>
      <c r="FLA51" s="19"/>
      <c r="FLB51" s="19"/>
      <c r="FLC51" s="19"/>
      <c r="FLD51" s="19"/>
      <c r="FLE51" s="19"/>
      <c r="FLF51" s="19"/>
      <c r="FLG51" s="19"/>
      <c r="FLH51" s="19"/>
      <c r="FLI51" s="19"/>
      <c r="FLJ51" s="19"/>
      <c r="FLK51" s="19"/>
      <c r="FLL51" s="19"/>
      <c r="FLM51" s="19"/>
      <c r="FLN51" s="19"/>
      <c r="FLO51" s="19"/>
      <c r="FLP51" s="19"/>
      <c r="FLQ51" s="19"/>
      <c r="FLR51" s="19"/>
      <c r="FLS51" s="19"/>
      <c r="FLT51" s="19"/>
      <c r="FLU51" s="19"/>
      <c r="FLV51" s="19"/>
      <c r="FLW51" s="19"/>
      <c r="FLX51" s="19"/>
      <c r="FLY51" s="19"/>
      <c r="FLZ51" s="19"/>
      <c r="FMA51" s="19"/>
      <c r="FMB51" s="19"/>
      <c r="FMC51" s="19"/>
      <c r="FMD51" s="19"/>
      <c r="FME51" s="19"/>
      <c r="FMF51" s="19"/>
      <c r="FMG51" s="19"/>
      <c r="FMH51" s="19"/>
      <c r="FMI51" s="19"/>
      <c r="FMJ51" s="19"/>
      <c r="FMK51" s="19"/>
      <c r="FML51" s="19"/>
      <c r="FMM51" s="19"/>
      <c r="FMN51" s="19"/>
      <c r="FMO51" s="19"/>
      <c r="FMP51" s="19"/>
      <c r="FMQ51" s="19"/>
      <c r="FMR51" s="19"/>
      <c r="FMS51" s="19"/>
      <c r="FMT51" s="19"/>
      <c r="FMU51" s="19"/>
      <c r="FMV51" s="19"/>
      <c r="FMW51" s="19"/>
      <c r="FMX51" s="19"/>
      <c r="FMY51" s="19"/>
      <c r="FMZ51" s="19"/>
      <c r="FNA51" s="19"/>
      <c r="FNB51" s="19"/>
      <c r="FNC51" s="19"/>
      <c r="FND51" s="19"/>
      <c r="FNE51" s="19"/>
      <c r="FNF51" s="19"/>
      <c r="FNG51" s="19"/>
      <c r="FNH51" s="19"/>
      <c r="FNI51" s="19"/>
      <c r="FNJ51" s="19"/>
      <c r="FNK51" s="19"/>
      <c r="FNL51" s="19"/>
      <c r="FNM51" s="19"/>
      <c r="FNN51" s="19"/>
      <c r="FNO51" s="19"/>
      <c r="FNP51" s="19"/>
      <c r="FNQ51" s="19"/>
      <c r="FNR51" s="19"/>
      <c r="FNS51" s="19"/>
      <c r="FNT51" s="19"/>
      <c r="FNU51" s="19"/>
      <c r="FNV51" s="19"/>
      <c r="FNW51" s="19"/>
      <c r="FNX51" s="19"/>
      <c r="FNY51" s="19"/>
      <c r="FNZ51" s="19"/>
      <c r="FOA51" s="19"/>
      <c r="FOB51" s="19"/>
      <c r="FOC51" s="19"/>
      <c r="FOD51" s="19"/>
      <c r="FOE51" s="19"/>
      <c r="FOF51" s="19"/>
      <c r="FOG51" s="19"/>
      <c r="FOH51" s="19"/>
      <c r="FOI51" s="19"/>
      <c r="FOJ51" s="19"/>
      <c r="FOK51" s="19"/>
      <c r="FOL51" s="19"/>
      <c r="FOM51" s="19"/>
      <c r="FON51" s="19"/>
      <c r="FOO51" s="19"/>
      <c r="FOP51" s="19"/>
      <c r="FOQ51" s="19"/>
      <c r="FOR51" s="19"/>
      <c r="FOS51" s="19"/>
      <c r="FOT51" s="19"/>
      <c r="FOU51" s="19"/>
      <c r="FOV51" s="19"/>
      <c r="FOW51" s="19"/>
      <c r="FOX51" s="19"/>
      <c r="FOY51" s="19"/>
      <c r="FOZ51" s="19"/>
      <c r="FPA51" s="19"/>
      <c r="FPB51" s="19"/>
      <c r="FPC51" s="19"/>
      <c r="FPD51" s="19"/>
      <c r="FPE51" s="19"/>
      <c r="FPF51" s="19"/>
      <c r="FPG51" s="19"/>
      <c r="FPH51" s="19"/>
      <c r="FPI51" s="19"/>
      <c r="FPJ51" s="19"/>
      <c r="FPK51" s="19"/>
      <c r="FPL51" s="19"/>
      <c r="FPM51" s="19"/>
      <c r="FPN51" s="19"/>
      <c r="FPO51" s="19"/>
      <c r="FPP51" s="19"/>
      <c r="FPQ51" s="19"/>
      <c r="FPR51" s="19"/>
      <c r="FPS51" s="19"/>
      <c r="FPT51" s="19"/>
      <c r="FPU51" s="19"/>
      <c r="FPV51" s="19"/>
      <c r="FPW51" s="19"/>
      <c r="FPX51" s="19"/>
      <c r="FPY51" s="19"/>
      <c r="FPZ51" s="19"/>
      <c r="FQA51" s="19"/>
      <c r="FQB51" s="19"/>
      <c r="FQC51" s="19"/>
      <c r="FQD51" s="19"/>
      <c r="FQE51" s="19"/>
      <c r="FQF51" s="19"/>
      <c r="FQG51" s="19"/>
      <c r="FQH51" s="19"/>
      <c r="FQI51" s="19"/>
      <c r="FQJ51" s="19"/>
      <c r="FQK51" s="19"/>
      <c r="FQL51" s="19"/>
      <c r="FQM51" s="19"/>
      <c r="FQN51" s="19"/>
      <c r="FQO51" s="19"/>
      <c r="FQP51" s="19"/>
      <c r="FQQ51" s="19"/>
      <c r="FQR51" s="19"/>
      <c r="FQS51" s="19"/>
      <c r="FQT51" s="19"/>
      <c r="FQU51" s="19"/>
      <c r="FQV51" s="19"/>
      <c r="FQW51" s="19"/>
      <c r="FQX51" s="19"/>
      <c r="FQY51" s="19"/>
      <c r="FQZ51" s="19"/>
      <c r="FRA51" s="19"/>
      <c r="FRB51" s="19"/>
      <c r="FRC51" s="19"/>
      <c r="FRD51" s="19"/>
      <c r="FRE51" s="19"/>
      <c r="FRF51" s="19"/>
      <c r="FRG51" s="19"/>
      <c r="FRH51" s="19"/>
      <c r="FRI51" s="19"/>
      <c r="FRJ51" s="19"/>
      <c r="FRK51" s="19"/>
      <c r="FRL51" s="19"/>
      <c r="FRM51" s="19"/>
      <c r="FRN51" s="19"/>
      <c r="FRO51" s="19"/>
      <c r="FRP51" s="19"/>
      <c r="FRQ51" s="19"/>
      <c r="FRR51" s="19"/>
      <c r="FRS51" s="19"/>
      <c r="FRT51" s="19"/>
      <c r="FRU51" s="19"/>
      <c r="FRV51" s="19"/>
      <c r="FRW51" s="19"/>
      <c r="FRX51" s="19"/>
      <c r="FRY51" s="19"/>
      <c r="FRZ51" s="19"/>
      <c r="FSA51" s="19"/>
      <c r="FSB51" s="19"/>
      <c r="FSC51" s="19"/>
      <c r="FSD51" s="19"/>
      <c r="FSE51" s="19"/>
      <c r="FSF51" s="19"/>
      <c r="FSG51" s="19"/>
      <c r="FSH51" s="19"/>
      <c r="FSI51" s="19"/>
      <c r="FSJ51" s="19"/>
      <c r="FSK51" s="19"/>
      <c r="FSL51" s="19"/>
      <c r="FSM51" s="19"/>
      <c r="FSN51" s="19"/>
      <c r="FSO51" s="19"/>
      <c r="FSP51" s="19"/>
      <c r="FSQ51" s="19"/>
      <c r="FSR51" s="19"/>
      <c r="FSS51" s="19"/>
      <c r="FST51" s="19"/>
      <c r="FSU51" s="19"/>
      <c r="FSV51" s="19"/>
      <c r="FSW51" s="19"/>
      <c r="FSX51" s="19"/>
      <c r="FSY51" s="19"/>
      <c r="FSZ51" s="19"/>
      <c r="FTA51" s="19"/>
      <c r="FTB51" s="19"/>
      <c r="FTC51" s="19"/>
      <c r="FTD51" s="19"/>
      <c r="FTE51" s="19"/>
      <c r="FTF51" s="19"/>
      <c r="FTG51" s="19"/>
      <c r="FTH51" s="19"/>
      <c r="FTI51" s="19"/>
      <c r="FTJ51" s="19"/>
      <c r="FTK51" s="19"/>
      <c r="FTL51" s="19"/>
      <c r="FTM51" s="19"/>
      <c r="FTN51" s="19"/>
      <c r="FTO51" s="19"/>
      <c r="FTP51" s="19"/>
      <c r="FTQ51" s="19"/>
      <c r="FTR51" s="19"/>
      <c r="FTS51" s="19"/>
      <c r="FTT51" s="19"/>
      <c r="FTU51" s="19"/>
      <c r="FTV51" s="19"/>
      <c r="FTW51" s="19"/>
      <c r="FTX51" s="19"/>
      <c r="FTY51" s="19"/>
      <c r="FTZ51" s="19"/>
      <c r="FUA51" s="19"/>
      <c r="FUB51" s="19"/>
      <c r="FUC51" s="19"/>
      <c r="FUD51" s="19"/>
      <c r="FUE51" s="19"/>
      <c r="FUF51" s="19"/>
      <c r="FUG51" s="19"/>
      <c r="FUH51" s="19"/>
      <c r="FUI51" s="19"/>
      <c r="FUJ51" s="19"/>
      <c r="FUK51" s="19"/>
      <c r="FUL51" s="19"/>
      <c r="FUM51" s="19"/>
      <c r="FUN51" s="19"/>
      <c r="FUO51" s="19"/>
      <c r="FUP51" s="19"/>
      <c r="FUQ51" s="19"/>
      <c r="FUR51" s="19"/>
      <c r="FUS51" s="19"/>
      <c r="FUT51" s="19"/>
      <c r="FUU51" s="19"/>
      <c r="FUV51" s="19"/>
      <c r="FUW51" s="19"/>
      <c r="FUX51" s="19"/>
      <c r="FUY51" s="19"/>
      <c r="FUZ51" s="19"/>
      <c r="FVA51" s="19"/>
      <c r="FVB51" s="19"/>
      <c r="FVC51" s="19"/>
      <c r="FVD51" s="19"/>
      <c r="FVE51" s="19"/>
      <c r="FVF51" s="19"/>
      <c r="FVG51" s="19"/>
      <c r="FVH51" s="19"/>
      <c r="FVI51" s="19"/>
      <c r="FVJ51" s="19"/>
      <c r="FVK51" s="19"/>
      <c r="FVL51" s="19"/>
      <c r="FVM51" s="19"/>
      <c r="FVN51" s="19"/>
      <c r="FVO51" s="19"/>
      <c r="FVP51" s="19"/>
      <c r="FVQ51" s="19"/>
      <c r="FVR51" s="19"/>
      <c r="FVS51" s="19"/>
      <c r="FVT51" s="19"/>
      <c r="FVU51" s="19"/>
      <c r="FVV51" s="19"/>
      <c r="FVW51" s="19"/>
      <c r="FVX51" s="19"/>
      <c r="FVY51" s="19"/>
      <c r="FVZ51" s="19"/>
      <c r="FWA51" s="19"/>
      <c r="FWB51" s="19"/>
      <c r="FWC51" s="19"/>
      <c r="FWD51" s="19"/>
      <c r="FWE51" s="19"/>
      <c r="FWF51" s="19"/>
      <c r="FWG51" s="19"/>
      <c r="FWH51" s="19"/>
      <c r="FWI51" s="19"/>
      <c r="FWJ51" s="19"/>
      <c r="FWK51" s="19"/>
      <c r="FWL51" s="19"/>
      <c r="FWM51" s="19"/>
      <c r="FWN51" s="19"/>
      <c r="FWO51" s="19"/>
      <c r="FWP51" s="19"/>
      <c r="FWQ51" s="19"/>
      <c r="FWR51" s="19"/>
      <c r="FWS51" s="19"/>
      <c r="FWT51" s="19"/>
      <c r="FWU51" s="19"/>
      <c r="FWV51" s="19"/>
      <c r="FWW51" s="19"/>
      <c r="FWX51" s="19"/>
      <c r="FWY51" s="19"/>
      <c r="FWZ51" s="19"/>
      <c r="FXA51" s="19"/>
      <c r="FXB51" s="19"/>
      <c r="FXC51" s="19"/>
      <c r="FXD51" s="19"/>
      <c r="FXE51" s="19"/>
      <c r="FXF51" s="19"/>
      <c r="FXG51" s="19"/>
      <c r="FXH51" s="19"/>
      <c r="FXI51" s="19"/>
      <c r="FXJ51" s="19"/>
      <c r="FXK51" s="19"/>
      <c r="FXL51" s="19"/>
      <c r="FXM51" s="19"/>
      <c r="FXN51" s="19"/>
      <c r="FXO51" s="19"/>
      <c r="FXP51" s="19"/>
      <c r="FXQ51" s="19"/>
      <c r="FXR51" s="19"/>
      <c r="FXS51" s="19"/>
      <c r="FXT51" s="19"/>
      <c r="FXU51" s="19"/>
      <c r="FXV51" s="19"/>
      <c r="FXW51" s="19"/>
      <c r="FXX51" s="19"/>
      <c r="FXY51" s="19"/>
      <c r="FXZ51" s="19"/>
      <c r="FYA51" s="19"/>
      <c r="FYB51" s="19"/>
      <c r="FYC51" s="19"/>
      <c r="FYD51" s="19"/>
      <c r="FYE51" s="19"/>
      <c r="FYF51" s="19"/>
      <c r="FYG51" s="19"/>
      <c r="FYH51" s="19"/>
      <c r="FYI51" s="19"/>
      <c r="FYJ51" s="19"/>
      <c r="FYK51" s="19"/>
      <c r="FYL51" s="19"/>
      <c r="FYM51" s="19"/>
      <c r="FYN51" s="19"/>
      <c r="FYO51" s="19"/>
      <c r="FYP51" s="19"/>
      <c r="FYQ51" s="19"/>
      <c r="FYR51" s="19"/>
      <c r="FYS51" s="19"/>
      <c r="FYT51" s="19"/>
      <c r="FYU51" s="19"/>
      <c r="FYV51" s="19"/>
      <c r="FYW51" s="19"/>
      <c r="FYX51" s="19"/>
      <c r="FYY51" s="19"/>
      <c r="FYZ51" s="19"/>
      <c r="FZA51" s="19"/>
      <c r="FZB51" s="19"/>
      <c r="FZC51" s="19"/>
      <c r="FZD51" s="19"/>
      <c r="FZE51" s="19"/>
      <c r="FZF51" s="19"/>
      <c r="FZG51" s="19"/>
      <c r="FZH51" s="19"/>
      <c r="FZI51" s="19"/>
      <c r="FZJ51" s="19"/>
      <c r="FZK51" s="19"/>
      <c r="FZL51" s="19"/>
      <c r="FZM51" s="19"/>
      <c r="FZN51" s="19"/>
      <c r="FZO51" s="19"/>
      <c r="FZP51" s="19"/>
      <c r="FZQ51" s="19"/>
      <c r="FZR51" s="19"/>
      <c r="FZS51" s="19"/>
      <c r="FZT51" s="19"/>
      <c r="FZU51" s="19"/>
      <c r="FZV51" s="19"/>
      <c r="FZW51" s="19"/>
      <c r="FZX51" s="19"/>
      <c r="FZY51" s="19"/>
      <c r="FZZ51" s="19"/>
      <c r="GAA51" s="19"/>
      <c r="GAB51" s="19"/>
      <c r="GAC51" s="19"/>
      <c r="GAD51" s="19"/>
      <c r="GAE51" s="19"/>
      <c r="GAF51" s="19"/>
      <c r="GAG51" s="19"/>
      <c r="GAH51" s="19"/>
      <c r="GAI51" s="19"/>
      <c r="GAJ51" s="19"/>
      <c r="GAK51" s="19"/>
      <c r="GAL51" s="19"/>
      <c r="GAM51" s="19"/>
      <c r="GAN51" s="19"/>
      <c r="GAO51" s="19"/>
      <c r="GAP51" s="19"/>
      <c r="GAQ51" s="19"/>
      <c r="GAR51" s="19"/>
      <c r="GAS51" s="19"/>
      <c r="GAT51" s="19"/>
      <c r="GAU51" s="19"/>
      <c r="GAV51" s="19"/>
      <c r="GAW51" s="19"/>
      <c r="GAX51" s="19"/>
      <c r="GAY51" s="19"/>
      <c r="GAZ51" s="19"/>
      <c r="GBA51" s="19"/>
      <c r="GBB51" s="19"/>
      <c r="GBC51" s="19"/>
      <c r="GBD51" s="19"/>
      <c r="GBE51" s="19"/>
      <c r="GBF51" s="19"/>
      <c r="GBG51" s="19"/>
      <c r="GBH51" s="19"/>
      <c r="GBI51" s="19"/>
      <c r="GBJ51" s="19"/>
      <c r="GBK51" s="19"/>
      <c r="GBL51" s="19"/>
      <c r="GBM51" s="19"/>
      <c r="GBN51" s="19"/>
      <c r="GBO51" s="19"/>
      <c r="GBP51" s="19"/>
      <c r="GBQ51" s="19"/>
      <c r="GBR51" s="19"/>
      <c r="GBS51" s="19"/>
      <c r="GBT51" s="19"/>
      <c r="GBU51" s="19"/>
      <c r="GBV51" s="19"/>
      <c r="GBW51" s="19"/>
      <c r="GBX51" s="19"/>
      <c r="GBY51" s="19"/>
      <c r="GBZ51" s="19"/>
      <c r="GCA51" s="19"/>
      <c r="GCB51" s="19"/>
      <c r="GCC51" s="19"/>
      <c r="GCD51" s="19"/>
      <c r="GCE51" s="19"/>
      <c r="GCF51" s="19"/>
      <c r="GCG51" s="19"/>
      <c r="GCH51" s="19"/>
      <c r="GCI51" s="19"/>
      <c r="GCJ51" s="19"/>
      <c r="GCK51" s="19"/>
      <c r="GCL51" s="19"/>
      <c r="GCM51" s="19"/>
      <c r="GCN51" s="19"/>
      <c r="GCO51" s="19"/>
      <c r="GCP51" s="19"/>
      <c r="GCQ51" s="19"/>
      <c r="GCR51" s="19"/>
      <c r="GCS51" s="19"/>
      <c r="GCT51" s="19"/>
      <c r="GCU51" s="19"/>
      <c r="GCV51" s="19"/>
      <c r="GCW51" s="19"/>
      <c r="GCX51" s="19"/>
      <c r="GCY51" s="19"/>
      <c r="GCZ51" s="19"/>
      <c r="GDA51" s="19"/>
      <c r="GDB51" s="19"/>
      <c r="GDC51" s="19"/>
      <c r="GDD51" s="19"/>
      <c r="GDE51" s="19"/>
      <c r="GDF51" s="19"/>
      <c r="GDG51" s="19"/>
      <c r="GDH51" s="19"/>
      <c r="GDI51" s="19"/>
      <c r="GDJ51" s="19"/>
      <c r="GDK51" s="19"/>
      <c r="GDL51" s="19"/>
      <c r="GDM51" s="19"/>
      <c r="GDN51" s="19"/>
      <c r="GDO51" s="19"/>
      <c r="GDP51" s="19"/>
      <c r="GDQ51" s="19"/>
      <c r="GDR51" s="19"/>
      <c r="GDS51" s="19"/>
      <c r="GDT51" s="19"/>
      <c r="GDU51" s="19"/>
      <c r="GDV51" s="19"/>
      <c r="GDW51" s="19"/>
      <c r="GDX51" s="19"/>
      <c r="GDY51" s="19"/>
      <c r="GDZ51" s="19"/>
      <c r="GEA51" s="19"/>
      <c r="GEB51" s="19"/>
      <c r="GEC51" s="19"/>
      <c r="GED51" s="19"/>
      <c r="GEE51" s="19"/>
      <c r="GEF51" s="19"/>
      <c r="GEG51" s="19"/>
      <c r="GEH51" s="19"/>
      <c r="GEI51" s="19"/>
      <c r="GEJ51" s="19"/>
      <c r="GEK51" s="19"/>
      <c r="GEL51" s="19"/>
      <c r="GEM51" s="19"/>
      <c r="GEN51" s="19"/>
      <c r="GEO51" s="19"/>
      <c r="GEP51" s="19"/>
      <c r="GEQ51" s="19"/>
      <c r="GER51" s="19"/>
      <c r="GES51" s="19"/>
      <c r="GET51" s="19"/>
      <c r="GEU51" s="19"/>
      <c r="GEV51" s="19"/>
      <c r="GEW51" s="19"/>
      <c r="GEX51" s="19"/>
      <c r="GEY51" s="19"/>
      <c r="GEZ51" s="19"/>
      <c r="GFA51" s="19"/>
      <c r="GFB51" s="19"/>
      <c r="GFC51" s="19"/>
      <c r="GFD51" s="19"/>
      <c r="GFE51" s="19"/>
      <c r="GFF51" s="19"/>
      <c r="GFG51" s="19"/>
      <c r="GFH51" s="19"/>
      <c r="GFI51" s="19"/>
      <c r="GFJ51" s="19"/>
      <c r="GFK51" s="19"/>
      <c r="GFL51" s="19"/>
      <c r="GFM51" s="19"/>
      <c r="GFN51" s="19"/>
      <c r="GFO51" s="19"/>
      <c r="GFP51" s="19"/>
      <c r="GFQ51" s="19"/>
      <c r="GFR51" s="19"/>
      <c r="GFS51" s="19"/>
      <c r="GFT51" s="19"/>
      <c r="GFU51" s="19"/>
      <c r="GFV51" s="19"/>
      <c r="GFW51" s="19"/>
      <c r="GFX51" s="19"/>
      <c r="GFY51" s="19"/>
      <c r="GFZ51" s="19"/>
      <c r="GGA51" s="19"/>
      <c r="GGB51" s="19"/>
      <c r="GGC51" s="19"/>
      <c r="GGD51" s="19"/>
      <c r="GGE51" s="19"/>
      <c r="GGF51" s="19"/>
      <c r="GGG51" s="19"/>
      <c r="GGH51" s="19"/>
      <c r="GGI51" s="19"/>
      <c r="GGJ51" s="19"/>
      <c r="GGK51" s="19"/>
      <c r="GGL51" s="19"/>
      <c r="GGM51" s="19"/>
      <c r="GGN51" s="19"/>
      <c r="GGO51" s="19"/>
      <c r="GGP51" s="19"/>
      <c r="GGQ51" s="19"/>
      <c r="GGR51" s="19"/>
      <c r="GGS51" s="19"/>
      <c r="GGT51" s="19"/>
      <c r="GGU51" s="19"/>
      <c r="GGV51" s="19"/>
      <c r="GGW51" s="19"/>
      <c r="GGX51" s="19"/>
      <c r="GGY51" s="19"/>
      <c r="GGZ51" s="19"/>
      <c r="GHA51" s="19"/>
      <c r="GHB51" s="19"/>
      <c r="GHC51" s="19"/>
      <c r="GHD51" s="19"/>
      <c r="GHE51" s="19"/>
      <c r="GHF51" s="19"/>
      <c r="GHG51" s="19"/>
      <c r="GHH51" s="19"/>
      <c r="GHI51" s="19"/>
      <c r="GHJ51" s="19"/>
      <c r="GHK51" s="19"/>
      <c r="GHL51" s="19"/>
      <c r="GHM51" s="19"/>
      <c r="GHN51" s="19"/>
      <c r="GHO51" s="19"/>
      <c r="GHP51" s="19"/>
      <c r="GHQ51" s="19"/>
      <c r="GHR51" s="19"/>
      <c r="GHS51" s="19"/>
      <c r="GHT51" s="19"/>
      <c r="GHU51" s="19"/>
      <c r="GHV51" s="19"/>
      <c r="GHW51" s="19"/>
      <c r="GHX51" s="19"/>
      <c r="GHY51" s="19"/>
      <c r="GHZ51" s="19"/>
      <c r="GIA51" s="19"/>
      <c r="GIB51" s="19"/>
      <c r="GIC51" s="19"/>
      <c r="GID51" s="19"/>
      <c r="GIE51" s="19"/>
      <c r="GIF51" s="19"/>
      <c r="GIG51" s="19"/>
      <c r="GIH51" s="19"/>
      <c r="GII51" s="19"/>
      <c r="GIJ51" s="19"/>
      <c r="GIK51" s="19"/>
      <c r="GIL51" s="19"/>
      <c r="GIM51" s="19"/>
      <c r="GIN51" s="19"/>
      <c r="GIO51" s="19"/>
      <c r="GIP51" s="19"/>
      <c r="GIQ51" s="19"/>
      <c r="GIR51" s="19"/>
      <c r="GIS51" s="19"/>
      <c r="GIT51" s="19"/>
      <c r="GIU51" s="19"/>
      <c r="GIV51" s="19"/>
      <c r="GIW51" s="19"/>
      <c r="GIX51" s="19"/>
      <c r="GIY51" s="19"/>
      <c r="GIZ51" s="19"/>
      <c r="GJA51" s="19"/>
      <c r="GJB51" s="19"/>
      <c r="GJC51" s="19"/>
      <c r="GJD51" s="19"/>
      <c r="GJE51" s="19"/>
      <c r="GJF51" s="19"/>
      <c r="GJG51" s="19"/>
      <c r="GJH51" s="19"/>
      <c r="GJI51" s="19"/>
      <c r="GJJ51" s="19"/>
      <c r="GJK51" s="19"/>
      <c r="GJL51" s="19"/>
      <c r="GJM51" s="19"/>
      <c r="GJN51" s="19"/>
      <c r="GJO51" s="19"/>
      <c r="GJP51" s="19"/>
      <c r="GJQ51" s="19"/>
      <c r="GJR51" s="19"/>
      <c r="GJS51" s="19"/>
      <c r="GJT51" s="19"/>
      <c r="GJU51" s="19"/>
      <c r="GJV51" s="19"/>
      <c r="GJW51" s="19"/>
      <c r="GJX51" s="19"/>
      <c r="GJY51" s="19"/>
      <c r="GJZ51" s="19"/>
      <c r="GKA51" s="19"/>
      <c r="GKB51" s="19"/>
      <c r="GKC51" s="19"/>
      <c r="GKD51" s="19"/>
      <c r="GKE51" s="19"/>
      <c r="GKF51" s="19"/>
      <c r="GKG51" s="19"/>
      <c r="GKH51" s="19"/>
      <c r="GKI51" s="19"/>
      <c r="GKJ51" s="19"/>
      <c r="GKK51" s="19"/>
      <c r="GKL51" s="19"/>
      <c r="GKM51" s="19"/>
      <c r="GKN51" s="19"/>
      <c r="GKO51" s="19"/>
      <c r="GKP51" s="19"/>
      <c r="GKQ51" s="19"/>
      <c r="GKR51" s="19"/>
      <c r="GKS51" s="19"/>
      <c r="GKT51" s="19"/>
      <c r="GKU51" s="19"/>
      <c r="GKV51" s="19"/>
      <c r="GKW51" s="19"/>
      <c r="GKX51" s="19"/>
      <c r="GKY51" s="19"/>
      <c r="GKZ51" s="19"/>
      <c r="GLA51" s="19"/>
      <c r="GLB51" s="19"/>
      <c r="GLC51" s="19"/>
      <c r="GLD51" s="19"/>
      <c r="GLE51" s="19"/>
      <c r="GLF51" s="19"/>
      <c r="GLG51" s="19"/>
      <c r="GLH51" s="19"/>
      <c r="GLI51" s="19"/>
      <c r="GLJ51" s="19"/>
      <c r="GLK51" s="19"/>
      <c r="GLL51" s="19"/>
      <c r="GLM51" s="19"/>
      <c r="GLN51" s="19"/>
      <c r="GLO51" s="19"/>
      <c r="GLP51" s="19"/>
      <c r="GLQ51" s="19"/>
      <c r="GLR51" s="19"/>
      <c r="GLS51" s="19"/>
      <c r="GLT51" s="19"/>
      <c r="GLU51" s="19"/>
      <c r="GLV51" s="19"/>
      <c r="GLW51" s="19"/>
      <c r="GLX51" s="19"/>
      <c r="GLY51" s="19"/>
      <c r="GLZ51" s="19"/>
      <c r="GMA51" s="19"/>
      <c r="GMB51" s="19"/>
      <c r="GMC51" s="19"/>
      <c r="GMD51" s="19"/>
      <c r="GME51" s="19"/>
      <c r="GMF51" s="19"/>
      <c r="GMG51" s="19"/>
      <c r="GMH51" s="19"/>
      <c r="GMI51" s="19"/>
      <c r="GMJ51" s="19"/>
      <c r="GMK51" s="19"/>
      <c r="GML51" s="19"/>
      <c r="GMM51" s="19"/>
      <c r="GMN51" s="19"/>
      <c r="GMO51" s="19"/>
      <c r="GMP51" s="19"/>
      <c r="GMQ51" s="19"/>
      <c r="GMR51" s="19"/>
      <c r="GMS51" s="19"/>
      <c r="GMT51" s="19"/>
      <c r="GMU51" s="19"/>
      <c r="GMV51" s="19"/>
      <c r="GMW51" s="19"/>
      <c r="GMX51" s="19"/>
      <c r="GMY51" s="19"/>
      <c r="GMZ51" s="19"/>
      <c r="GNA51" s="19"/>
      <c r="GNB51" s="19"/>
      <c r="GNC51" s="19"/>
      <c r="GND51" s="19"/>
      <c r="GNE51" s="19"/>
      <c r="GNF51" s="19"/>
      <c r="GNG51" s="19"/>
      <c r="GNH51" s="19"/>
      <c r="GNI51" s="19"/>
      <c r="GNJ51" s="19"/>
      <c r="GNK51" s="19"/>
      <c r="GNL51" s="19"/>
      <c r="GNM51" s="19"/>
      <c r="GNN51" s="19"/>
      <c r="GNO51" s="19"/>
      <c r="GNP51" s="19"/>
      <c r="GNQ51" s="19"/>
      <c r="GNR51" s="19"/>
      <c r="GNS51" s="19"/>
      <c r="GNT51" s="19"/>
      <c r="GNU51" s="19"/>
      <c r="GNV51" s="19"/>
      <c r="GNW51" s="19"/>
      <c r="GNX51" s="19"/>
      <c r="GNY51" s="19"/>
      <c r="GNZ51" s="19"/>
      <c r="GOA51" s="19"/>
      <c r="GOB51" s="19"/>
      <c r="GOC51" s="19"/>
      <c r="GOD51" s="19"/>
      <c r="GOE51" s="19"/>
      <c r="GOF51" s="19"/>
      <c r="GOG51" s="19"/>
      <c r="GOH51" s="19"/>
      <c r="GOI51" s="19"/>
      <c r="GOJ51" s="19"/>
      <c r="GOK51" s="19"/>
      <c r="GOL51" s="19"/>
      <c r="GOM51" s="19"/>
      <c r="GON51" s="19"/>
      <c r="GOO51" s="19"/>
      <c r="GOP51" s="19"/>
      <c r="GOQ51" s="19"/>
      <c r="GOR51" s="19"/>
      <c r="GOS51" s="19"/>
      <c r="GOT51" s="19"/>
      <c r="GOU51" s="19"/>
      <c r="GOV51" s="19"/>
      <c r="GOW51" s="19"/>
      <c r="GOX51" s="19"/>
      <c r="GOY51" s="19"/>
      <c r="GOZ51" s="19"/>
      <c r="GPA51" s="19"/>
      <c r="GPB51" s="19"/>
      <c r="GPC51" s="19"/>
      <c r="GPD51" s="19"/>
      <c r="GPE51" s="19"/>
      <c r="GPF51" s="19"/>
      <c r="GPG51" s="19"/>
      <c r="GPH51" s="19"/>
      <c r="GPI51" s="19"/>
      <c r="GPJ51" s="19"/>
      <c r="GPK51" s="19"/>
      <c r="GPL51" s="19"/>
      <c r="GPM51" s="19"/>
      <c r="GPN51" s="19"/>
      <c r="GPO51" s="19"/>
      <c r="GPP51" s="19"/>
      <c r="GPQ51" s="19"/>
      <c r="GPR51" s="19"/>
      <c r="GPS51" s="19"/>
      <c r="GPT51" s="19"/>
      <c r="GPU51" s="19"/>
      <c r="GPV51" s="19"/>
      <c r="GPW51" s="19"/>
      <c r="GPX51" s="19"/>
      <c r="GPY51" s="19"/>
      <c r="GPZ51" s="19"/>
      <c r="GQA51" s="19"/>
      <c r="GQB51" s="19"/>
      <c r="GQC51" s="19"/>
      <c r="GQD51" s="19"/>
      <c r="GQE51" s="19"/>
      <c r="GQF51" s="19"/>
      <c r="GQG51" s="19"/>
      <c r="GQH51" s="19"/>
      <c r="GQI51" s="19"/>
      <c r="GQJ51" s="19"/>
      <c r="GQK51" s="19"/>
      <c r="GQL51" s="19"/>
      <c r="GQM51" s="19"/>
      <c r="GQN51" s="19"/>
      <c r="GQO51" s="19"/>
      <c r="GQP51" s="19"/>
      <c r="GQQ51" s="19"/>
      <c r="GQR51" s="19"/>
      <c r="GQS51" s="19"/>
      <c r="GQT51" s="19"/>
      <c r="GQU51" s="19"/>
      <c r="GQV51" s="19"/>
      <c r="GQW51" s="19"/>
      <c r="GQX51" s="19"/>
      <c r="GQY51" s="19"/>
      <c r="GQZ51" s="19"/>
      <c r="GRA51" s="19"/>
      <c r="GRB51" s="19"/>
      <c r="GRC51" s="19"/>
      <c r="GRD51" s="19"/>
      <c r="GRE51" s="19"/>
      <c r="GRF51" s="19"/>
      <c r="GRG51" s="19"/>
      <c r="GRH51" s="19"/>
      <c r="GRI51" s="19"/>
      <c r="GRJ51" s="19"/>
      <c r="GRK51" s="19"/>
      <c r="GRL51" s="19"/>
      <c r="GRM51" s="19"/>
      <c r="GRN51" s="19"/>
      <c r="GRO51" s="19"/>
      <c r="GRP51" s="19"/>
      <c r="GRQ51" s="19"/>
      <c r="GRR51" s="19"/>
      <c r="GRS51" s="19"/>
      <c r="GRT51" s="19"/>
      <c r="GRU51" s="19"/>
      <c r="GRV51" s="19"/>
      <c r="GRW51" s="19"/>
      <c r="GRX51" s="19"/>
      <c r="GRY51" s="19"/>
      <c r="GRZ51" s="19"/>
      <c r="GSA51" s="19"/>
      <c r="GSB51" s="19"/>
      <c r="GSC51" s="19"/>
      <c r="GSD51" s="19"/>
      <c r="GSE51" s="19"/>
      <c r="GSF51" s="19"/>
      <c r="GSG51" s="19"/>
      <c r="GSH51" s="19"/>
      <c r="GSI51" s="19"/>
      <c r="GSJ51" s="19"/>
      <c r="GSK51" s="19"/>
      <c r="GSL51" s="19"/>
      <c r="GSM51" s="19"/>
      <c r="GSN51" s="19"/>
      <c r="GSO51" s="19"/>
      <c r="GSP51" s="19"/>
      <c r="GSQ51" s="19"/>
      <c r="GSR51" s="19"/>
      <c r="GSS51" s="19"/>
      <c r="GST51" s="19"/>
      <c r="GSU51" s="19"/>
      <c r="GSV51" s="19"/>
      <c r="GSW51" s="19"/>
      <c r="GSX51" s="19"/>
      <c r="GSY51" s="19"/>
      <c r="GSZ51" s="19"/>
      <c r="GTA51" s="19"/>
      <c r="GTB51" s="19"/>
      <c r="GTC51" s="19"/>
      <c r="GTD51" s="19"/>
      <c r="GTE51" s="19"/>
      <c r="GTF51" s="19"/>
      <c r="GTG51" s="19"/>
      <c r="GTH51" s="19"/>
      <c r="GTI51" s="19"/>
      <c r="GTJ51" s="19"/>
      <c r="GTK51" s="19"/>
      <c r="GTL51" s="19"/>
      <c r="GTM51" s="19"/>
      <c r="GTN51" s="19"/>
      <c r="GTO51" s="19"/>
      <c r="GTP51" s="19"/>
      <c r="GTQ51" s="19"/>
      <c r="GTR51" s="19"/>
      <c r="GTS51" s="19"/>
      <c r="GTT51" s="19"/>
      <c r="GTU51" s="19"/>
      <c r="GTV51" s="19"/>
      <c r="GTW51" s="19"/>
      <c r="GTX51" s="19"/>
      <c r="GTY51" s="19"/>
      <c r="GTZ51" s="19"/>
      <c r="GUA51" s="19"/>
      <c r="GUB51" s="19"/>
      <c r="GUC51" s="19"/>
      <c r="GUD51" s="19"/>
      <c r="GUE51" s="19"/>
      <c r="GUF51" s="19"/>
      <c r="GUG51" s="19"/>
      <c r="GUH51" s="19"/>
      <c r="GUI51" s="19"/>
      <c r="GUJ51" s="19"/>
      <c r="GUK51" s="19"/>
      <c r="GUL51" s="19"/>
      <c r="GUM51" s="19"/>
      <c r="GUN51" s="19"/>
      <c r="GUO51" s="19"/>
      <c r="GUP51" s="19"/>
      <c r="GUQ51" s="19"/>
      <c r="GUR51" s="19"/>
      <c r="GUS51" s="19"/>
      <c r="GUT51" s="19"/>
      <c r="GUU51" s="19"/>
      <c r="GUV51" s="19"/>
      <c r="GUW51" s="19"/>
      <c r="GUX51" s="19"/>
      <c r="GUY51" s="19"/>
      <c r="GUZ51" s="19"/>
      <c r="GVA51" s="19"/>
      <c r="GVB51" s="19"/>
      <c r="GVC51" s="19"/>
      <c r="GVD51" s="19"/>
      <c r="GVE51" s="19"/>
      <c r="GVF51" s="19"/>
      <c r="GVG51" s="19"/>
      <c r="GVH51" s="19"/>
      <c r="GVI51" s="19"/>
      <c r="GVJ51" s="19"/>
      <c r="GVK51" s="19"/>
      <c r="GVL51" s="19"/>
      <c r="GVM51" s="19"/>
      <c r="GVN51" s="19"/>
      <c r="GVO51" s="19"/>
      <c r="GVP51" s="19"/>
      <c r="GVQ51" s="19"/>
      <c r="GVR51" s="19"/>
      <c r="GVS51" s="19"/>
      <c r="GVT51" s="19"/>
      <c r="GVU51" s="19"/>
      <c r="GVV51" s="19"/>
      <c r="GVW51" s="19"/>
      <c r="GVX51" s="19"/>
      <c r="GVY51" s="19"/>
      <c r="GVZ51" s="19"/>
      <c r="GWA51" s="19"/>
      <c r="GWB51" s="19"/>
      <c r="GWC51" s="19"/>
      <c r="GWD51" s="19"/>
      <c r="GWE51" s="19"/>
      <c r="GWF51" s="19"/>
      <c r="GWG51" s="19"/>
      <c r="GWH51" s="19"/>
      <c r="GWI51" s="19"/>
      <c r="GWJ51" s="19"/>
      <c r="GWK51" s="19"/>
      <c r="GWL51" s="19"/>
      <c r="GWM51" s="19"/>
      <c r="GWN51" s="19"/>
      <c r="GWO51" s="19"/>
      <c r="GWP51" s="19"/>
      <c r="GWQ51" s="19"/>
      <c r="GWR51" s="19"/>
      <c r="GWS51" s="19"/>
      <c r="GWT51" s="19"/>
      <c r="GWU51" s="19"/>
      <c r="GWV51" s="19"/>
      <c r="GWW51" s="19"/>
      <c r="GWX51" s="19"/>
      <c r="GWY51" s="19"/>
      <c r="GWZ51" s="19"/>
      <c r="GXA51" s="19"/>
      <c r="GXB51" s="19"/>
      <c r="GXC51" s="19"/>
      <c r="GXD51" s="19"/>
      <c r="GXE51" s="19"/>
      <c r="GXF51" s="19"/>
      <c r="GXG51" s="19"/>
      <c r="GXH51" s="19"/>
      <c r="GXI51" s="19"/>
      <c r="GXJ51" s="19"/>
      <c r="GXK51" s="19"/>
      <c r="GXL51" s="19"/>
      <c r="GXM51" s="19"/>
      <c r="GXN51" s="19"/>
      <c r="GXO51" s="19"/>
      <c r="GXP51" s="19"/>
      <c r="GXQ51" s="19"/>
      <c r="GXR51" s="19"/>
      <c r="GXS51" s="19"/>
      <c r="GXT51" s="19"/>
      <c r="GXU51" s="19"/>
      <c r="GXV51" s="19"/>
      <c r="GXW51" s="19"/>
      <c r="GXX51" s="19"/>
      <c r="GXY51" s="19"/>
      <c r="GXZ51" s="19"/>
      <c r="GYA51" s="19"/>
      <c r="GYB51" s="19"/>
      <c r="GYC51" s="19"/>
      <c r="GYD51" s="19"/>
      <c r="GYE51" s="19"/>
      <c r="GYF51" s="19"/>
      <c r="GYG51" s="19"/>
      <c r="GYH51" s="19"/>
      <c r="GYI51" s="19"/>
      <c r="GYJ51" s="19"/>
      <c r="GYK51" s="19"/>
      <c r="GYL51" s="19"/>
      <c r="GYM51" s="19"/>
      <c r="GYN51" s="19"/>
      <c r="GYO51" s="19"/>
      <c r="GYP51" s="19"/>
      <c r="GYQ51" s="19"/>
      <c r="GYR51" s="19"/>
      <c r="GYS51" s="19"/>
      <c r="GYT51" s="19"/>
      <c r="GYU51" s="19"/>
      <c r="GYV51" s="19"/>
      <c r="GYW51" s="19"/>
      <c r="GYX51" s="19"/>
      <c r="GYY51" s="19"/>
      <c r="GYZ51" s="19"/>
      <c r="GZA51" s="19"/>
      <c r="GZB51" s="19"/>
      <c r="GZC51" s="19"/>
      <c r="GZD51" s="19"/>
      <c r="GZE51" s="19"/>
      <c r="GZF51" s="19"/>
      <c r="GZG51" s="19"/>
      <c r="GZH51" s="19"/>
      <c r="GZI51" s="19"/>
      <c r="GZJ51" s="19"/>
      <c r="GZK51" s="19"/>
      <c r="GZL51" s="19"/>
      <c r="GZM51" s="19"/>
      <c r="GZN51" s="19"/>
      <c r="GZO51" s="19"/>
      <c r="GZP51" s="19"/>
      <c r="GZQ51" s="19"/>
      <c r="GZR51" s="19"/>
      <c r="GZS51" s="19"/>
      <c r="GZT51" s="19"/>
      <c r="GZU51" s="19"/>
      <c r="GZV51" s="19"/>
      <c r="GZW51" s="19"/>
      <c r="GZX51" s="19"/>
      <c r="GZY51" s="19"/>
      <c r="GZZ51" s="19"/>
      <c r="HAA51" s="19"/>
      <c r="HAB51" s="19"/>
      <c r="HAC51" s="19"/>
      <c r="HAD51" s="19"/>
      <c r="HAE51" s="19"/>
      <c r="HAF51" s="19"/>
      <c r="HAG51" s="19"/>
      <c r="HAH51" s="19"/>
      <c r="HAI51" s="19"/>
      <c r="HAJ51" s="19"/>
      <c r="HAK51" s="19"/>
      <c r="HAL51" s="19"/>
      <c r="HAM51" s="19"/>
      <c r="HAN51" s="19"/>
      <c r="HAO51" s="19"/>
      <c r="HAP51" s="19"/>
      <c r="HAQ51" s="19"/>
      <c r="HAR51" s="19"/>
      <c r="HAS51" s="19"/>
      <c r="HAT51" s="19"/>
      <c r="HAU51" s="19"/>
      <c r="HAV51" s="19"/>
      <c r="HAW51" s="19"/>
      <c r="HAX51" s="19"/>
      <c r="HAY51" s="19"/>
      <c r="HAZ51" s="19"/>
      <c r="HBA51" s="19"/>
      <c r="HBB51" s="19"/>
      <c r="HBC51" s="19"/>
      <c r="HBD51" s="19"/>
      <c r="HBE51" s="19"/>
      <c r="HBF51" s="19"/>
      <c r="HBG51" s="19"/>
      <c r="HBH51" s="19"/>
      <c r="HBI51" s="19"/>
      <c r="HBJ51" s="19"/>
      <c r="HBK51" s="19"/>
      <c r="HBL51" s="19"/>
      <c r="HBM51" s="19"/>
      <c r="HBN51" s="19"/>
      <c r="HBO51" s="19"/>
      <c r="HBP51" s="19"/>
      <c r="HBQ51" s="19"/>
      <c r="HBR51" s="19"/>
      <c r="HBS51" s="19"/>
      <c r="HBT51" s="19"/>
      <c r="HBU51" s="19"/>
      <c r="HBV51" s="19"/>
      <c r="HBW51" s="19"/>
      <c r="HBX51" s="19"/>
      <c r="HBY51" s="19"/>
      <c r="HBZ51" s="19"/>
      <c r="HCA51" s="19"/>
      <c r="HCB51" s="19"/>
      <c r="HCC51" s="19"/>
      <c r="HCD51" s="19"/>
      <c r="HCE51" s="19"/>
      <c r="HCF51" s="19"/>
      <c r="HCG51" s="19"/>
      <c r="HCH51" s="19"/>
      <c r="HCI51" s="19"/>
      <c r="HCJ51" s="19"/>
      <c r="HCK51" s="19"/>
      <c r="HCL51" s="19"/>
      <c r="HCM51" s="19"/>
      <c r="HCN51" s="19"/>
      <c r="HCO51" s="19"/>
      <c r="HCP51" s="19"/>
      <c r="HCQ51" s="19"/>
      <c r="HCR51" s="19"/>
      <c r="HCS51" s="19"/>
      <c r="HCT51" s="19"/>
      <c r="HCU51" s="19"/>
      <c r="HCV51" s="19"/>
      <c r="HCW51" s="19"/>
      <c r="HCX51" s="19"/>
      <c r="HCY51" s="19"/>
      <c r="HCZ51" s="19"/>
      <c r="HDA51" s="19"/>
      <c r="HDB51" s="19"/>
      <c r="HDC51" s="19"/>
      <c r="HDD51" s="19"/>
      <c r="HDE51" s="19"/>
      <c r="HDF51" s="19"/>
      <c r="HDG51" s="19"/>
      <c r="HDH51" s="19"/>
      <c r="HDI51" s="19"/>
      <c r="HDJ51" s="19"/>
      <c r="HDK51" s="19"/>
      <c r="HDL51" s="19"/>
      <c r="HDM51" s="19"/>
      <c r="HDN51" s="19"/>
      <c r="HDO51" s="19"/>
      <c r="HDP51" s="19"/>
      <c r="HDQ51" s="19"/>
      <c r="HDR51" s="19"/>
      <c r="HDS51" s="19"/>
      <c r="HDT51" s="19"/>
      <c r="HDU51" s="19"/>
      <c r="HDV51" s="19"/>
      <c r="HDW51" s="19"/>
      <c r="HDX51" s="19"/>
      <c r="HDY51" s="19"/>
      <c r="HDZ51" s="19"/>
      <c r="HEA51" s="19"/>
      <c r="HEB51" s="19"/>
      <c r="HEC51" s="19"/>
      <c r="HED51" s="19"/>
      <c r="HEE51" s="19"/>
      <c r="HEF51" s="19"/>
      <c r="HEG51" s="19"/>
      <c r="HEH51" s="19"/>
      <c r="HEI51" s="19"/>
      <c r="HEJ51" s="19"/>
      <c r="HEK51" s="19"/>
      <c r="HEL51" s="19"/>
      <c r="HEM51" s="19"/>
      <c r="HEN51" s="19"/>
      <c r="HEO51" s="19"/>
      <c r="HEP51" s="19"/>
      <c r="HEQ51" s="19"/>
      <c r="HER51" s="19"/>
      <c r="HES51" s="19"/>
      <c r="HET51" s="19"/>
      <c r="HEU51" s="19"/>
      <c r="HEV51" s="19"/>
      <c r="HEW51" s="19"/>
      <c r="HEX51" s="19"/>
      <c r="HEY51" s="19"/>
      <c r="HEZ51" s="19"/>
      <c r="HFA51" s="19"/>
      <c r="HFB51" s="19"/>
      <c r="HFC51" s="19"/>
      <c r="HFD51" s="19"/>
      <c r="HFE51" s="19"/>
      <c r="HFF51" s="19"/>
      <c r="HFG51" s="19"/>
      <c r="HFH51" s="19"/>
      <c r="HFI51" s="19"/>
      <c r="HFJ51" s="19"/>
      <c r="HFK51" s="19"/>
      <c r="HFL51" s="19"/>
      <c r="HFM51" s="19"/>
      <c r="HFN51" s="19"/>
      <c r="HFO51" s="19"/>
      <c r="HFP51" s="19"/>
      <c r="HFQ51" s="19"/>
      <c r="HFR51" s="19"/>
      <c r="HFS51" s="19"/>
      <c r="HFT51" s="19"/>
      <c r="HFU51" s="19"/>
      <c r="HFV51" s="19"/>
      <c r="HFW51" s="19"/>
      <c r="HFX51" s="19"/>
      <c r="HFY51" s="19"/>
      <c r="HFZ51" s="19"/>
      <c r="HGA51" s="19"/>
      <c r="HGB51" s="19"/>
      <c r="HGC51" s="19"/>
      <c r="HGD51" s="19"/>
      <c r="HGE51" s="19"/>
      <c r="HGF51" s="19"/>
      <c r="HGG51" s="19"/>
      <c r="HGH51" s="19"/>
      <c r="HGI51" s="19"/>
      <c r="HGJ51" s="19"/>
      <c r="HGK51" s="19"/>
      <c r="HGL51" s="19"/>
      <c r="HGM51" s="19"/>
      <c r="HGN51" s="19"/>
      <c r="HGO51" s="19"/>
      <c r="HGP51" s="19"/>
      <c r="HGQ51" s="19"/>
      <c r="HGR51" s="19"/>
      <c r="HGS51" s="19"/>
      <c r="HGT51" s="19"/>
      <c r="HGU51" s="19"/>
      <c r="HGV51" s="19"/>
      <c r="HGW51" s="19"/>
      <c r="HGX51" s="19"/>
      <c r="HGY51" s="19"/>
      <c r="HGZ51" s="19"/>
      <c r="HHA51" s="19"/>
      <c r="HHB51" s="19"/>
      <c r="HHC51" s="19"/>
      <c r="HHD51" s="19"/>
      <c r="HHE51" s="19"/>
      <c r="HHF51" s="19"/>
      <c r="HHG51" s="19"/>
      <c r="HHH51" s="19"/>
      <c r="HHI51" s="19"/>
      <c r="HHJ51" s="19"/>
      <c r="HHK51" s="19"/>
      <c r="HHL51" s="19"/>
      <c r="HHM51" s="19"/>
      <c r="HHN51" s="19"/>
      <c r="HHO51" s="19"/>
      <c r="HHP51" s="19"/>
      <c r="HHQ51" s="19"/>
      <c r="HHR51" s="19"/>
      <c r="HHS51" s="19"/>
      <c r="HHT51" s="19"/>
      <c r="HHU51" s="19"/>
      <c r="HHV51" s="19"/>
      <c r="HHW51" s="19"/>
      <c r="HHX51" s="19"/>
      <c r="HHY51" s="19"/>
      <c r="HHZ51" s="19"/>
      <c r="HIA51" s="19"/>
      <c r="HIB51" s="19"/>
      <c r="HIC51" s="19"/>
      <c r="HID51" s="19"/>
      <c r="HIE51" s="19"/>
      <c r="HIF51" s="19"/>
      <c r="HIG51" s="19"/>
      <c r="HIH51" s="19"/>
      <c r="HII51" s="19"/>
      <c r="HIJ51" s="19"/>
      <c r="HIK51" s="19"/>
      <c r="HIL51" s="19"/>
      <c r="HIM51" s="19"/>
      <c r="HIN51" s="19"/>
      <c r="HIO51" s="19"/>
      <c r="HIP51" s="19"/>
      <c r="HIQ51" s="19"/>
      <c r="HIR51" s="19"/>
      <c r="HIS51" s="19"/>
      <c r="HIT51" s="19"/>
      <c r="HIU51" s="19"/>
      <c r="HIV51" s="19"/>
      <c r="HIW51" s="19"/>
      <c r="HIX51" s="19"/>
      <c r="HIY51" s="19"/>
      <c r="HIZ51" s="19"/>
      <c r="HJA51" s="19"/>
      <c r="HJB51" s="19"/>
      <c r="HJC51" s="19"/>
      <c r="HJD51" s="19"/>
      <c r="HJE51" s="19"/>
      <c r="HJF51" s="19"/>
      <c r="HJG51" s="19"/>
      <c r="HJH51" s="19"/>
      <c r="HJI51" s="19"/>
      <c r="HJJ51" s="19"/>
      <c r="HJK51" s="19"/>
      <c r="HJL51" s="19"/>
      <c r="HJM51" s="19"/>
      <c r="HJN51" s="19"/>
      <c r="HJO51" s="19"/>
      <c r="HJP51" s="19"/>
      <c r="HJQ51" s="19"/>
      <c r="HJR51" s="19"/>
      <c r="HJS51" s="19"/>
      <c r="HJT51" s="19"/>
      <c r="HJU51" s="19"/>
      <c r="HJV51" s="19"/>
      <c r="HJW51" s="19"/>
      <c r="HJX51" s="19"/>
      <c r="HJY51" s="19"/>
      <c r="HJZ51" s="19"/>
      <c r="HKA51" s="19"/>
      <c r="HKB51" s="19"/>
      <c r="HKC51" s="19"/>
      <c r="HKD51" s="19"/>
      <c r="HKE51" s="19"/>
      <c r="HKF51" s="19"/>
      <c r="HKG51" s="19"/>
      <c r="HKH51" s="19"/>
      <c r="HKI51" s="19"/>
      <c r="HKJ51" s="19"/>
      <c r="HKK51" s="19"/>
      <c r="HKL51" s="19"/>
      <c r="HKM51" s="19"/>
      <c r="HKN51" s="19"/>
      <c r="HKO51" s="19"/>
      <c r="HKP51" s="19"/>
      <c r="HKQ51" s="19"/>
      <c r="HKR51" s="19"/>
      <c r="HKS51" s="19"/>
      <c r="HKT51" s="19"/>
      <c r="HKU51" s="19"/>
      <c r="HKV51" s="19"/>
      <c r="HKW51" s="19"/>
      <c r="HKX51" s="19"/>
      <c r="HKY51" s="19"/>
      <c r="HKZ51" s="19"/>
      <c r="HLA51" s="19"/>
      <c r="HLB51" s="19"/>
      <c r="HLC51" s="19"/>
      <c r="HLD51" s="19"/>
      <c r="HLE51" s="19"/>
      <c r="HLF51" s="19"/>
      <c r="HLG51" s="19"/>
      <c r="HLH51" s="19"/>
      <c r="HLI51" s="19"/>
      <c r="HLJ51" s="19"/>
      <c r="HLK51" s="19"/>
      <c r="HLL51" s="19"/>
      <c r="HLM51" s="19"/>
      <c r="HLN51" s="19"/>
      <c r="HLO51" s="19"/>
      <c r="HLP51" s="19"/>
      <c r="HLQ51" s="19"/>
      <c r="HLR51" s="19"/>
      <c r="HLS51" s="19"/>
      <c r="HLT51" s="19"/>
      <c r="HLU51" s="19"/>
      <c r="HLV51" s="19"/>
      <c r="HLW51" s="19"/>
      <c r="HLX51" s="19"/>
      <c r="HLY51" s="19"/>
      <c r="HLZ51" s="19"/>
      <c r="HMA51" s="19"/>
      <c r="HMB51" s="19"/>
      <c r="HMC51" s="19"/>
      <c r="HMD51" s="19"/>
      <c r="HME51" s="19"/>
      <c r="HMF51" s="19"/>
      <c r="HMG51" s="19"/>
      <c r="HMH51" s="19"/>
      <c r="HMI51" s="19"/>
      <c r="HMJ51" s="19"/>
      <c r="HMK51" s="19"/>
      <c r="HML51" s="19"/>
      <c r="HMM51" s="19"/>
      <c r="HMN51" s="19"/>
      <c r="HMO51" s="19"/>
      <c r="HMP51" s="19"/>
      <c r="HMQ51" s="19"/>
      <c r="HMR51" s="19"/>
      <c r="HMS51" s="19"/>
      <c r="HMT51" s="19"/>
      <c r="HMU51" s="19"/>
      <c r="HMV51" s="19"/>
      <c r="HMW51" s="19"/>
      <c r="HMX51" s="19"/>
      <c r="HMY51" s="19"/>
      <c r="HMZ51" s="19"/>
      <c r="HNA51" s="19"/>
      <c r="HNB51" s="19"/>
      <c r="HNC51" s="19"/>
      <c r="HND51" s="19"/>
      <c r="HNE51" s="19"/>
      <c r="HNF51" s="19"/>
      <c r="HNG51" s="19"/>
      <c r="HNH51" s="19"/>
      <c r="HNI51" s="19"/>
      <c r="HNJ51" s="19"/>
      <c r="HNK51" s="19"/>
      <c r="HNL51" s="19"/>
      <c r="HNM51" s="19"/>
      <c r="HNN51" s="19"/>
      <c r="HNO51" s="19"/>
      <c r="HNP51" s="19"/>
      <c r="HNQ51" s="19"/>
      <c r="HNR51" s="19"/>
      <c r="HNS51" s="19"/>
      <c r="HNT51" s="19"/>
      <c r="HNU51" s="19"/>
      <c r="HNV51" s="19"/>
      <c r="HNW51" s="19"/>
      <c r="HNX51" s="19"/>
      <c r="HNY51" s="19"/>
      <c r="HNZ51" s="19"/>
      <c r="HOA51" s="19"/>
      <c r="HOB51" s="19"/>
      <c r="HOC51" s="19"/>
      <c r="HOD51" s="19"/>
      <c r="HOE51" s="19"/>
      <c r="HOF51" s="19"/>
      <c r="HOG51" s="19"/>
      <c r="HOH51" s="19"/>
      <c r="HOI51" s="19"/>
      <c r="HOJ51" s="19"/>
      <c r="HOK51" s="19"/>
      <c r="HOL51" s="19"/>
      <c r="HOM51" s="19"/>
      <c r="HON51" s="19"/>
      <c r="HOO51" s="19"/>
      <c r="HOP51" s="19"/>
      <c r="HOQ51" s="19"/>
      <c r="HOR51" s="19"/>
      <c r="HOS51" s="19"/>
      <c r="HOT51" s="19"/>
      <c r="HOU51" s="19"/>
      <c r="HOV51" s="19"/>
      <c r="HOW51" s="19"/>
      <c r="HOX51" s="19"/>
      <c r="HOY51" s="19"/>
      <c r="HOZ51" s="19"/>
      <c r="HPA51" s="19"/>
      <c r="HPB51" s="19"/>
      <c r="HPC51" s="19"/>
      <c r="HPD51" s="19"/>
      <c r="HPE51" s="19"/>
      <c r="HPF51" s="19"/>
      <c r="HPG51" s="19"/>
      <c r="HPH51" s="19"/>
      <c r="HPI51" s="19"/>
      <c r="HPJ51" s="19"/>
      <c r="HPK51" s="19"/>
      <c r="HPL51" s="19"/>
      <c r="HPM51" s="19"/>
      <c r="HPN51" s="19"/>
      <c r="HPO51" s="19"/>
      <c r="HPP51" s="19"/>
      <c r="HPQ51" s="19"/>
      <c r="HPR51" s="19"/>
      <c r="HPS51" s="19"/>
      <c r="HPT51" s="19"/>
      <c r="HPU51" s="19"/>
      <c r="HPV51" s="19"/>
      <c r="HPW51" s="19"/>
      <c r="HPX51" s="19"/>
      <c r="HPY51" s="19"/>
      <c r="HPZ51" s="19"/>
      <c r="HQA51" s="19"/>
      <c r="HQB51" s="19"/>
      <c r="HQC51" s="19"/>
      <c r="HQD51" s="19"/>
      <c r="HQE51" s="19"/>
      <c r="HQF51" s="19"/>
      <c r="HQG51" s="19"/>
      <c r="HQH51" s="19"/>
      <c r="HQI51" s="19"/>
      <c r="HQJ51" s="19"/>
      <c r="HQK51" s="19"/>
      <c r="HQL51" s="19"/>
      <c r="HQM51" s="19"/>
      <c r="HQN51" s="19"/>
      <c r="HQO51" s="19"/>
      <c r="HQP51" s="19"/>
      <c r="HQQ51" s="19"/>
      <c r="HQR51" s="19"/>
      <c r="HQS51" s="19"/>
      <c r="HQT51" s="19"/>
      <c r="HQU51" s="19"/>
      <c r="HQV51" s="19"/>
      <c r="HQW51" s="19"/>
      <c r="HQX51" s="19"/>
      <c r="HQY51" s="19"/>
      <c r="HQZ51" s="19"/>
      <c r="HRA51" s="19"/>
      <c r="HRB51" s="19"/>
      <c r="HRC51" s="19"/>
      <c r="HRD51" s="19"/>
      <c r="HRE51" s="19"/>
      <c r="HRF51" s="19"/>
      <c r="HRG51" s="19"/>
      <c r="HRH51" s="19"/>
      <c r="HRI51" s="19"/>
      <c r="HRJ51" s="19"/>
      <c r="HRK51" s="19"/>
      <c r="HRL51" s="19"/>
      <c r="HRM51" s="19"/>
      <c r="HRN51" s="19"/>
      <c r="HRO51" s="19"/>
      <c r="HRP51" s="19"/>
      <c r="HRQ51" s="19"/>
      <c r="HRR51" s="19"/>
      <c r="HRS51" s="19"/>
      <c r="HRT51" s="19"/>
      <c r="HRU51" s="19"/>
      <c r="HRV51" s="19"/>
      <c r="HRW51" s="19"/>
      <c r="HRX51" s="19"/>
      <c r="HRY51" s="19"/>
      <c r="HRZ51" s="19"/>
      <c r="HSA51" s="19"/>
      <c r="HSB51" s="19"/>
      <c r="HSC51" s="19"/>
      <c r="HSD51" s="19"/>
      <c r="HSE51" s="19"/>
      <c r="HSF51" s="19"/>
      <c r="HSG51" s="19"/>
      <c r="HSH51" s="19"/>
      <c r="HSI51" s="19"/>
      <c r="HSJ51" s="19"/>
      <c r="HSK51" s="19"/>
      <c r="HSL51" s="19"/>
      <c r="HSM51" s="19"/>
      <c r="HSN51" s="19"/>
      <c r="HSO51" s="19"/>
      <c r="HSP51" s="19"/>
      <c r="HSQ51" s="19"/>
      <c r="HSR51" s="19"/>
      <c r="HSS51" s="19"/>
      <c r="HST51" s="19"/>
      <c r="HSU51" s="19"/>
      <c r="HSV51" s="19"/>
      <c r="HSW51" s="19"/>
      <c r="HSX51" s="19"/>
      <c r="HSY51" s="19"/>
      <c r="HSZ51" s="19"/>
      <c r="HTA51" s="19"/>
      <c r="HTB51" s="19"/>
      <c r="HTC51" s="19"/>
      <c r="HTD51" s="19"/>
      <c r="HTE51" s="19"/>
      <c r="HTF51" s="19"/>
      <c r="HTG51" s="19"/>
      <c r="HTH51" s="19"/>
      <c r="HTI51" s="19"/>
      <c r="HTJ51" s="19"/>
      <c r="HTK51" s="19"/>
      <c r="HTL51" s="19"/>
      <c r="HTM51" s="19"/>
      <c r="HTN51" s="19"/>
      <c r="HTO51" s="19"/>
      <c r="HTP51" s="19"/>
      <c r="HTQ51" s="19"/>
      <c r="HTR51" s="19"/>
      <c r="HTS51" s="19"/>
      <c r="HTT51" s="19"/>
      <c r="HTU51" s="19"/>
      <c r="HTV51" s="19"/>
      <c r="HTW51" s="19"/>
      <c r="HTX51" s="19"/>
      <c r="HTY51" s="19"/>
      <c r="HTZ51" s="19"/>
      <c r="HUA51" s="19"/>
      <c r="HUB51" s="19"/>
      <c r="HUC51" s="19"/>
      <c r="HUD51" s="19"/>
      <c r="HUE51" s="19"/>
      <c r="HUF51" s="19"/>
      <c r="HUG51" s="19"/>
      <c r="HUH51" s="19"/>
      <c r="HUI51" s="19"/>
      <c r="HUJ51" s="19"/>
      <c r="HUK51" s="19"/>
      <c r="HUL51" s="19"/>
      <c r="HUM51" s="19"/>
      <c r="HUN51" s="19"/>
      <c r="HUO51" s="19"/>
      <c r="HUP51" s="19"/>
      <c r="HUQ51" s="19"/>
      <c r="HUR51" s="19"/>
      <c r="HUS51" s="19"/>
      <c r="HUT51" s="19"/>
      <c r="HUU51" s="19"/>
      <c r="HUV51" s="19"/>
      <c r="HUW51" s="19"/>
      <c r="HUX51" s="19"/>
      <c r="HUY51" s="19"/>
      <c r="HUZ51" s="19"/>
      <c r="HVA51" s="19"/>
      <c r="HVB51" s="19"/>
      <c r="HVC51" s="19"/>
      <c r="HVD51" s="19"/>
      <c r="HVE51" s="19"/>
      <c r="HVF51" s="19"/>
      <c r="HVG51" s="19"/>
      <c r="HVH51" s="19"/>
      <c r="HVI51" s="19"/>
      <c r="HVJ51" s="19"/>
      <c r="HVK51" s="19"/>
      <c r="HVL51" s="19"/>
      <c r="HVM51" s="19"/>
      <c r="HVN51" s="19"/>
      <c r="HVO51" s="19"/>
      <c r="HVP51" s="19"/>
      <c r="HVQ51" s="19"/>
      <c r="HVR51" s="19"/>
      <c r="HVS51" s="19"/>
      <c r="HVT51" s="19"/>
      <c r="HVU51" s="19"/>
      <c r="HVV51" s="19"/>
      <c r="HVW51" s="19"/>
      <c r="HVX51" s="19"/>
      <c r="HVY51" s="19"/>
      <c r="HVZ51" s="19"/>
      <c r="HWA51" s="19"/>
      <c r="HWB51" s="19"/>
      <c r="HWC51" s="19"/>
      <c r="HWD51" s="19"/>
      <c r="HWE51" s="19"/>
      <c r="HWF51" s="19"/>
      <c r="HWG51" s="19"/>
      <c r="HWH51" s="19"/>
      <c r="HWI51" s="19"/>
      <c r="HWJ51" s="19"/>
      <c r="HWK51" s="19"/>
      <c r="HWL51" s="19"/>
      <c r="HWM51" s="19"/>
      <c r="HWN51" s="19"/>
      <c r="HWO51" s="19"/>
      <c r="HWP51" s="19"/>
      <c r="HWQ51" s="19"/>
      <c r="HWR51" s="19"/>
      <c r="HWS51" s="19"/>
      <c r="HWT51" s="19"/>
      <c r="HWU51" s="19"/>
      <c r="HWV51" s="19"/>
      <c r="HWW51" s="19"/>
      <c r="HWX51" s="19"/>
      <c r="HWY51" s="19"/>
      <c r="HWZ51" s="19"/>
      <c r="HXA51" s="19"/>
      <c r="HXB51" s="19"/>
      <c r="HXC51" s="19"/>
      <c r="HXD51" s="19"/>
      <c r="HXE51" s="19"/>
      <c r="HXF51" s="19"/>
      <c r="HXG51" s="19"/>
      <c r="HXH51" s="19"/>
      <c r="HXI51" s="19"/>
      <c r="HXJ51" s="19"/>
      <c r="HXK51" s="19"/>
      <c r="HXL51" s="19"/>
      <c r="HXM51" s="19"/>
      <c r="HXN51" s="19"/>
      <c r="HXO51" s="19"/>
      <c r="HXP51" s="19"/>
      <c r="HXQ51" s="19"/>
      <c r="HXR51" s="19"/>
      <c r="HXS51" s="19"/>
      <c r="HXT51" s="19"/>
      <c r="HXU51" s="19"/>
      <c r="HXV51" s="19"/>
      <c r="HXW51" s="19"/>
      <c r="HXX51" s="19"/>
      <c r="HXY51" s="19"/>
      <c r="HXZ51" s="19"/>
      <c r="HYA51" s="19"/>
      <c r="HYB51" s="19"/>
      <c r="HYC51" s="19"/>
      <c r="HYD51" s="19"/>
      <c r="HYE51" s="19"/>
      <c r="HYF51" s="19"/>
      <c r="HYG51" s="19"/>
      <c r="HYH51" s="19"/>
      <c r="HYI51" s="19"/>
      <c r="HYJ51" s="19"/>
      <c r="HYK51" s="19"/>
      <c r="HYL51" s="19"/>
      <c r="HYM51" s="19"/>
      <c r="HYN51" s="19"/>
      <c r="HYO51" s="19"/>
      <c r="HYP51" s="19"/>
      <c r="HYQ51" s="19"/>
      <c r="HYR51" s="19"/>
      <c r="HYS51" s="19"/>
      <c r="HYT51" s="19"/>
      <c r="HYU51" s="19"/>
      <c r="HYV51" s="19"/>
      <c r="HYW51" s="19"/>
      <c r="HYX51" s="19"/>
      <c r="HYY51" s="19"/>
      <c r="HYZ51" s="19"/>
      <c r="HZA51" s="19"/>
      <c r="HZB51" s="19"/>
      <c r="HZC51" s="19"/>
      <c r="HZD51" s="19"/>
      <c r="HZE51" s="19"/>
      <c r="HZF51" s="19"/>
      <c r="HZG51" s="19"/>
      <c r="HZH51" s="19"/>
      <c r="HZI51" s="19"/>
      <c r="HZJ51" s="19"/>
      <c r="HZK51" s="19"/>
      <c r="HZL51" s="19"/>
      <c r="HZM51" s="19"/>
      <c r="HZN51" s="19"/>
      <c r="HZO51" s="19"/>
      <c r="HZP51" s="19"/>
      <c r="HZQ51" s="19"/>
      <c r="HZR51" s="19"/>
      <c r="HZS51" s="19"/>
      <c r="HZT51" s="19"/>
      <c r="HZU51" s="19"/>
      <c r="HZV51" s="19"/>
      <c r="HZW51" s="19"/>
      <c r="HZX51" s="19"/>
      <c r="HZY51" s="19"/>
      <c r="HZZ51" s="19"/>
      <c r="IAA51" s="19"/>
      <c r="IAB51" s="19"/>
      <c r="IAC51" s="19"/>
      <c r="IAD51" s="19"/>
      <c r="IAE51" s="19"/>
      <c r="IAF51" s="19"/>
      <c r="IAG51" s="19"/>
      <c r="IAH51" s="19"/>
      <c r="IAI51" s="19"/>
      <c r="IAJ51" s="19"/>
      <c r="IAK51" s="19"/>
      <c r="IAL51" s="19"/>
      <c r="IAM51" s="19"/>
      <c r="IAN51" s="19"/>
      <c r="IAO51" s="19"/>
      <c r="IAP51" s="19"/>
      <c r="IAQ51" s="19"/>
      <c r="IAR51" s="19"/>
      <c r="IAS51" s="19"/>
      <c r="IAT51" s="19"/>
      <c r="IAU51" s="19"/>
      <c r="IAV51" s="19"/>
      <c r="IAW51" s="19"/>
      <c r="IAX51" s="19"/>
      <c r="IAY51" s="19"/>
      <c r="IAZ51" s="19"/>
      <c r="IBA51" s="19"/>
      <c r="IBB51" s="19"/>
      <c r="IBC51" s="19"/>
      <c r="IBD51" s="19"/>
      <c r="IBE51" s="19"/>
      <c r="IBF51" s="19"/>
      <c r="IBG51" s="19"/>
      <c r="IBH51" s="19"/>
      <c r="IBI51" s="19"/>
      <c r="IBJ51" s="19"/>
      <c r="IBK51" s="19"/>
      <c r="IBL51" s="19"/>
      <c r="IBM51" s="19"/>
      <c r="IBN51" s="19"/>
      <c r="IBO51" s="19"/>
      <c r="IBP51" s="19"/>
      <c r="IBQ51" s="19"/>
      <c r="IBR51" s="19"/>
      <c r="IBS51" s="19"/>
      <c r="IBT51" s="19"/>
      <c r="IBU51" s="19"/>
      <c r="IBV51" s="19"/>
      <c r="IBW51" s="19"/>
      <c r="IBX51" s="19"/>
      <c r="IBY51" s="19"/>
      <c r="IBZ51" s="19"/>
      <c r="ICA51" s="19"/>
      <c r="ICB51" s="19"/>
      <c r="ICC51" s="19"/>
      <c r="ICD51" s="19"/>
      <c r="ICE51" s="19"/>
      <c r="ICF51" s="19"/>
      <c r="ICG51" s="19"/>
      <c r="ICH51" s="19"/>
      <c r="ICI51" s="19"/>
      <c r="ICJ51" s="19"/>
      <c r="ICK51" s="19"/>
      <c r="ICL51" s="19"/>
      <c r="ICM51" s="19"/>
      <c r="ICN51" s="19"/>
      <c r="ICO51" s="19"/>
      <c r="ICP51" s="19"/>
      <c r="ICQ51" s="19"/>
      <c r="ICR51" s="19"/>
      <c r="ICS51" s="19"/>
      <c r="ICT51" s="19"/>
      <c r="ICU51" s="19"/>
      <c r="ICV51" s="19"/>
      <c r="ICW51" s="19"/>
      <c r="ICX51" s="19"/>
      <c r="ICY51" s="19"/>
      <c r="ICZ51" s="19"/>
      <c r="IDA51" s="19"/>
      <c r="IDB51" s="19"/>
      <c r="IDC51" s="19"/>
      <c r="IDD51" s="19"/>
      <c r="IDE51" s="19"/>
      <c r="IDF51" s="19"/>
      <c r="IDG51" s="19"/>
      <c r="IDH51" s="19"/>
      <c r="IDI51" s="19"/>
      <c r="IDJ51" s="19"/>
      <c r="IDK51" s="19"/>
      <c r="IDL51" s="19"/>
      <c r="IDM51" s="19"/>
      <c r="IDN51" s="19"/>
      <c r="IDO51" s="19"/>
      <c r="IDP51" s="19"/>
      <c r="IDQ51" s="19"/>
      <c r="IDR51" s="19"/>
      <c r="IDS51" s="19"/>
      <c r="IDT51" s="19"/>
      <c r="IDU51" s="19"/>
      <c r="IDV51" s="19"/>
      <c r="IDW51" s="19"/>
      <c r="IDX51" s="19"/>
      <c r="IDY51" s="19"/>
      <c r="IDZ51" s="19"/>
      <c r="IEA51" s="19"/>
      <c r="IEB51" s="19"/>
      <c r="IEC51" s="19"/>
      <c r="IED51" s="19"/>
      <c r="IEE51" s="19"/>
      <c r="IEF51" s="19"/>
      <c r="IEG51" s="19"/>
      <c r="IEH51" s="19"/>
      <c r="IEI51" s="19"/>
      <c r="IEJ51" s="19"/>
      <c r="IEK51" s="19"/>
      <c r="IEL51" s="19"/>
      <c r="IEM51" s="19"/>
      <c r="IEN51" s="19"/>
      <c r="IEO51" s="19"/>
      <c r="IEP51" s="19"/>
      <c r="IEQ51" s="19"/>
      <c r="IER51" s="19"/>
      <c r="IES51" s="19"/>
      <c r="IET51" s="19"/>
      <c r="IEU51" s="19"/>
      <c r="IEV51" s="19"/>
      <c r="IEW51" s="19"/>
      <c r="IEX51" s="19"/>
      <c r="IEY51" s="19"/>
      <c r="IEZ51" s="19"/>
      <c r="IFA51" s="19"/>
      <c r="IFB51" s="19"/>
      <c r="IFC51" s="19"/>
      <c r="IFD51" s="19"/>
      <c r="IFE51" s="19"/>
      <c r="IFF51" s="19"/>
      <c r="IFG51" s="19"/>
      <c r="IFH51" s="19"/>
      <c r="IFI51" s="19"/>
      <c r="IFJ51" s="19"/>
      <c r="IFK51" s="19"/>
      <c r="IFL51" s="19"/>
      <c r="IFM51" s="19"/>
      <c r="IFN51" s="19"/>
      <c r="IFO51" s="19"/>
      <c r="IFP51" s="19"/>
      <c r="IFQ51" s="19"/>
      <c r="IFR51" s="19"/>
      <c r="IFS51" s="19"/>
      <c r="IFT51" s="19"/>
      <c r="IFU51" s="19"/>
      <c r="IFV51" s="19"/>
      <c r="IFW51" s="19"/>
      <c r="IFX51" s="19"/>
      <c r="IFY51" s="19"/>
      <c r="IFZ51" s="19"/>
      <c r="IGA51" s="19"/>
      <c r="IGB51" s="19"/>
      <c r="IGC51" s="19"/>
      <c r="IGD51" s="19"/>
      <c r="IGE51" s="19"/>
      <c r="IGF51" s="19"/>
      <c r="IGG51" s="19"/>
      <c r="IGH51" s="19"/>
      <c r="IGI51" s="19"/>
      <c r="IGJ51" s="19"/>
      <c r="IGK51" s="19"/>
      <c r="IGL51" s="19"/>
      <c r="IGM51" s="19"/>
      <c r="IGN51" s="19"/>
      <c r="IGO51" s="19"/>
      <c r="IGP51" s="19"/>
      <c r="IGQ51" s="19"/>
      <c r="IGR51" s="19"/>
      <c r="IGS51" s="19"/>
      <c r="IGT51" s="19"/>
      <c r="IGU51" s="19"/>
      <c r="IGV51" s="19"/>
      <c r="IGW51" s="19"/>
      <c r="IGX51" s="19"/>
      <c r="IGY51" s="19"/>
      <c r="IGZ51" s="19"/>
      <c r="IHA51" s="19"/>
      <c r="IHB51" s="19"/>
      <c r="IHC51" s="19"/>
      <c r="IHD51" s="19"/>
      <c r="IHE51" s="19"/>
      <c r="IHF51" s="19"/>
      <c r="IHG51" s="19"/>
      <c r="IHH51" s="19"/>
      <c r="IHI51" s="19"/>
      <c r="IHJ51" s="19"/>
      <c r="IHK51" s="19"/>
      <c r="IHL51" s="19"/>
      <c r="IHM51" s="19"/>
      <c r="IHN51" s="19"/>
      <c r="IHO51" s="19"/>
      <c r="IHP51" s="19"/>
      <c r="IHQ51" s="19"/>
      <c r="IHR51" s="19"/>
      <c r="IHS51" s="19"/>
      <c r="IHT51" s="19"/>
      <c r="IHU51" s="19"/>
      <c r="IHV51" s="19"/>
      <c r="IHW51" s="19"/>
      <c r="IHX51" s="19"/>
      <c r="IHY51" s="19"/>
      <c r="IHZ51" s="19"/>
      <c r="IIA51" s="19"/>
      <c r="IIB51" s="19"/>
      <c r="IIC51" s="19"/>
      <c r="IID51" s="19"/>
      <c r="IIE51" s="19"/>
      <c r="IIF51" s="19"/>
      <c r="IIG51" s="19"/>
      <c r="IIH51" s="19"/>
      <c r="III51" s="19"/>
      <c r="IIJ51" s="19"/>
      <c r="IIK51" s="19"/>
      <c r="IIL51" s="19"/>
      <c r="IIM51" s="19"/>
      <c r="IIN51" s="19"/>
      <c r="IIO51" s="19"/>
      <c r="IIP51" s="19"/>
      <c r="IIQ51" s="19"/>
      <c r="IIR51" s="19"/>
      <c r="IIS51" s="19"/>
      <c r="IIT51" s="19"/>
      <c r="IIU51" s="19"/>
      <c r="IIV51" s="19"/>
      <c r="IIW51" s="19"/>
      <c r="IIX51" s="19"/>
      <c r="IIY51" s="19"/>
      <c r="IIZ51" s="19"/>
      <c r="IJA51" s="19"/>
      <c r="IJB51" s="19"/>
      <c r="IJC51" s="19"/>
      <c r="IJD51" s="19"/>
      <c r="IJE51" s="19"/>
      <c r="IJF51" s="19"/>
      <c r="IJG51" s="19"/>
      <c r="IJH51" s="19"/>
      <c r="IJI51" s="19"/>
      <c r="IJJ51" s="19"/>
      <c r="IJK51" s="19"/>
      <c r="IJL51" s="19"/>
      <c r="IJM51" s="19"/>
      <c r="IJN51" s="19"/>
      <c r="IJO51" s="19"/>
      <c r="IJP51" s="19"/>
      <c r="IJQ51" s="19"/>
      <c r="IJR51" s="19"/>
      <c r="IJS51" s="19"/>
      <c r="IJT51" s="19"/>
      <c r="IJU51" s="19"/>
      <c r="IJV51" s="19"/>
      <c r="IJW51" s="19"/>
      <c r="IJX51" s="19"/>
      <c r="IJY51" s="19"/>
      <c r="IJZ51" s="19"/>
      <c r="IKA51" s="19"/>
      <c r="IKB51" s="19"/>
      <c r="IKC51" s="19"/>
      <c r="IKD51" s="19"/>
      <c r="IKE51" s="19"/>
      <c r="IKF51" s="19"/>
      <c r="IKG51" s="19"/>
      <c r="IKH51" s="19"/>
      <c r="IKI51" s="19"/>
      <c r="IKJ51" s="19"/>
      <c r="IKK51" s="19"/>
      <c r="IKL51" s="19"/>
      <c r="IKM51" s="19"/>
      <c r="IKN51" s="19"/>
      <c r="IKO51" s="19"/>
      <c r="IKP51" s="19"/>
      <c r="IKQ51" s="19"/>
      <c r="IKR51" s="19"/>
      <c r="IKS51" s="19"/>
      <c r="IKT51" s="19"/>
      <c r="IKU51" s="19"/>
      <c r="IKV51" s="19"/>
      <c r="IKW51" s="19"/>
      <c r="IKX51" s="19"/>
      <c r="IKY51" s="19"/>
      <c r="IKZ51" s="19"/>
      <c r="ILA51" s="19"/>
      <c r="ILB51" s="19"/>
      <c r="ILC51" s="19"/>
      <c r="ILD51" s="19"/>
      <c r="ILE51" s="19"/>
      <c r="ILF51" s="19"/>
      <c r="ILG51" s="19"/>
      <c r="ILH51" s="19"/>
      <c r="ILI51" s="19"/>
      <c r="ILJ51" s="19"/>
      <c r="ILK51" s="19"/>
      <c r="ILL51" s="19"/>
      <c r="ILM51" s="19"/>
      <c r="ILN51" s="19"/>
      <c r="ILO51" s="19"/>
      <c r="ILP51" s="19"/>
      <c r="ILQ51" s="19"/>
      <c r="ILR51" s="19"/>
      <c r="ILS51" s="19"/>
      <c r="ILT51" s="19"/>
      <c r="ILU51" s="19"/>
      <c r="ILV51" s="19"/>
      <c r="ILW51" s="19"/>
      <c r="ILX51" s="19"/>
      <c r="ILY51" s="19"/>
      <c r="ILZ51" s="19"/>
      <c r="IMA51" s="19"/>
      <c r="IMB51" s="19"/>
      <c r="IMC51" s="19"/>
      <c r="IMD51" s="19"/>
      <c r="IME51" s="19"/>
      <c r="IMF51" s="19"/>
      <c r="IMG51" s="19"/>
      <c r="IMH51" s="19"/>
      <c r="IMI51" s="19"/>
      <c r="IMJ51" s="19"/>
      <c r="IMK51" s="19"/>
      <c r="IML51" s="19"/>
      <c r="IMM51" s="19"/>
      <c r="IMN51" s="19"/>
      <c r="IMO51" s="19"/>
      <c r="IMP51" s="19"/>
      <c r="IMQ51" s="19"/>
      <c r="IMR51" s="19"/>
      <c r="IMS51" s="19"/>
      <c r="IMT51" s="19"/>
      <c r="IMU51" s="19"/>
      <c r="IMV51" s="19"/>
      <c r="IMW51" s="19"/>
      <c r="IMX51" s="19"/>
      <c r="IMY51" s="19"/>
      <c r="IMZ51" s="19"/>
      <c r="INA51" s="19"/>
      <c r="INB51" s="19"/>
      <c r="INC51" s="19"/>
      <c r="IND51" s="19"/>
      <c r="INE51" s="19"/>
      <c r="INF51" s="19"/>
      <c r="ING51" s="19"/>
      <c r="INH51" s="19"/>
      <c r="INI51" s="19"/>
      <c r="INJ51" s="19"/>
      <c r="INK51" s="19"/>
      <c r="INL51" s="19"/>
      <c r="INM51" s="19"/>
      <c r="INN51" s="19"/>
      <c r="INO51" s="19"/>
      <c r="INP51" s="19"/>
      <c r="INQ51" s="19"/>
      <c r="INR51" s="19"/>
      <c r="INS51" s="19"/>
      <c r="INT51" s="19"/>
      <c r="INU51" s="19"/>
      <c r="INV51" s="19"/>
      <c r="INW51" s="19"/>
      <c r="INX51" s="19"/>
      <c r="INY51" s="19"/>
      <c r="INZ51" s="19"/>
      <c r="IOA51" s="19"/>
      <c r="IOB51" s="19"/>
      <c r="IOC51" s="19"/>
      <c r="IOD51" s="19"/>
      <c r="IOE51" s="19"/>
      <c r="IOF51" s="19"/>
      <c r="IOG51" s="19"/>
      <c r="IOH51" s="19"/>
      <c r="IOI51" s="19"/>
      <c r="IOJ51" s="19"/>
      <c r="IOK51" s="19"/>
      <c r="IOL51" s="19"/>
      <c r="IOM51" s="19"/>
      <c r="ION51" s="19"/>
      <c r="IOO51" s="19"/>
      <c r="IOP51" s="19"/>
      <c r="IOQ51" s="19"/>
      <c r="IOR51" s="19"/>
      <c r="IOS51" s="19"/>
      <c r="IOT51" s="19"/>
      <c r="IOU51" s="19"/>
      <c r="IOV51" s="19"/>
      <c r="IOW51" s="19"/>
      <c r="IOX51" s="19"/>
      <c r="IOY51" s="19"/>
      <c r="IOZ51" s="19"/>
      <c r="IPA51" s="19"/>
      <c r="IPB51" s="19"/>
      <c r="IPC51" s="19"/>
      <c r="IPD51" s="19"/>
      <c r="IPE51" s="19"/>
      <c r="IPF51" s="19"/>
      <c r="IPG51" s="19"/>
      <c r="IPH51" s="19"/>
      <c r="IPI51" s="19"/>
      <c r="IPJ51" s="19"/>
      <c r="IPK51" s="19"/>
      <c r="IPL51" s="19"/>
      <c r="IPM51" s="19"/>
      <c r="IPN51" s="19"/>
      <c r="IPO51" s="19"/>
      <c r="IPP51" s="19"/>
      <c r="IPQ51" s="19"/>
      <c r="IPR51" s="19"/>
      <c r="IPS51" s="19"/>
      <c r="IPT51" s="19"/>
      <c r="IPU51" s="19"/>
      <c r="IPV51" s="19"/>
      <c r="IPW51" s="19"/>
      <c r="IPX51" s="19"/>
      <c r="IPY51" s="19"/>
      <c r="IPZ51" s="19"/>
      <c r="IQA51" s="19"/>
      <c r="IQB51" s="19"/>
      <c r="IQC51" s="19"/>
      <c r="IQD51" s="19"/>
      <c r="IQE51" s="19"/>
      <c r="IQF51" s="19"/>
      <c r="IQG51" s="19"/>
      <c r="IQH51" s="19"/>
      <c r="IQI51" s="19"/>
      <c r="IQJ51" s="19"/>
      <c r="IQK51" s="19"/>
      <c r="IQL51" s="19"/>
      <c r="IQM51" s="19"/>
      <c r="IQN51" s="19"/>
      <c r="IQO51" s="19"/>
      <c r="IQP51" s="19"/>
      <c r="IQQ51" s="19"/>
      <c r="IQR51" s="19"/>
      <c r="IQS51" s="19"/>
      <c r="IQT51" s="19"/>
      <c r="IQU51" s="19"/>
      <c r="IQV51" s="19"/>
      <c r="IQW51" s="19"/>
      <c r="IQX51" s="19"/>
      <c r="IQY51" s="19"/>
      <c r="IQZ51" s="19"/>
      <c r="IRA51" s="19"/>
      <c r="IRB51" s="19"/>
      <c r="IRC51" s="19"/>
      <c r="IRD51" s="19"/>
      <c r="IRE51" s="19"/>
      <c r="IRF51" s="19"/>
      <c r="IRG51" s="19"/>
      <c r="IRH51" s="19"/>
      <c r="IRI51" s="19"/>
      <c r="IRJ51" s="19"/>
      <c r="IRK51" s="19"/>
      <c r="IRL51" s="19"/>
      <c r="IRM51" s="19"/>
      <c r="IRN51" s="19"/>
      <c r="IRO51" s="19"/>
      <c r="IRP51" s="19"/>
      <c r="IRQ51" s="19"/>
      <c r="IRR51" s="19"/>
      <c r="IRS51" s="19"/>
      <c r="IRT51" s="19"/>
      <c r="IRU51" s="19"/>
      <c r="IRV51" s="19"/>
      <c r="IRW51" s="19"/>
      <c r="IRX51" s="19"/>
      <c r="IRY51" s="19"/>
      <c r="IRZ51" s="19"/>
      <c r="ISA51" s="19"/>
      <c r="ISB51" s="19"/>
      <c r="ISC51" s="19"/>
      <c r="ISD51" s="19"/>
      <c r="ISE51" s="19"/>
      <c r="ISF51" s="19"/>
      <c r="ISG51" s="19"/>
      <c r="ISH51" s="19"/>
      <c r="ISI51" s="19"/>
      <c r="ISJ51" s="19"/>
      <c r="ISK51" s="19"/>
      <c r="ISL51" s="19"/>
      <c r="ISM51" s="19"/>
      <c r="ISN51" s="19"/>
      <c r="ISO51" s="19"/>
      <c r="ISP51" s="19"/>
      <c r="ISQ51" s="19"/>
      <c r="ISR51" s="19"/>
      <c r="ISS51" s="19"/>
      <c r="IST51" s="19"/>
      <c r="ISU51" s="19"/>
      <c r="ISV51" s="19"/>
      <c r="ISW51" s="19"/>
      <c r="ISX51" s="19"/>
      <c r="ISY51" s="19"/>
      <c r="ISZ51" s="19"/>
      <c r="ITA51" s="19"/>
      <c r="ITB51" s="19"/>
      <c r="ITC51" s="19"/>
      <c r="ITD51" s="19"/>
      <c r="ITE51" s="19"/>
      <c r="ITF51" s="19"/>
      <c r="ITG51" s="19"/>
      <c r="ITH51" s="19"/>
      <c r="ITI51" s="19"/>
      <c r="ITJ51" s="19"/>
      <c r="ITK51" s="19"/>
      <c r="ITL51" s="19"/>
      <c r="ITM51" s="19"/>
      <c r="ITN51" s="19"/>
      <c r="ITO51" s="19"/>
      <c r="ITP51" s="19"/>
      <c r="ITQ51" s="19"/>
      <c r="ITR51" s="19"/>
      <c r="ITS51" s="19"/>
      <c r="ITT51" s="19"/>
      <c r="ITU51" s="19"/>
      <c r="ITV51" s="19"/>
      <c r="ITW51" s="19"/>
      <c r="ITX51" s="19"/>
      <c r="ITY51" s="19"/>
      <c r="ITZ51" s="19"/>
      <c r="IUA51" s="19"/>
      <c r="IUB51" s="19"/>
      <c r="IUC51" s="19"/>
      <c r="IUD51" s="19"/>
      <c r="IUE51" s="19"/>
      <c r="IUF51" s="19"/>
      <c r="IUG51" s="19"/>
      <c r="IUH51" s="19"/>
      <c r="IUI51" s="19"/>
      <c r="IUJ51" s="19"/>
      <c r="IUK51" s="19"/>
      <c r="IUL51" s="19"/>
      <c r="IUM51" s="19"/>
      <c r="IUN51" s="19"/>
      <c r="IUO51" s="19"/>
      <c r="IUP51" s="19"/>
      <c r="IUQ51" s="19"/>
      <c r="IUR51" s="19"/>
      <c r="IUS51" s="19"/>
      <c r="IUT51" s="19"/>
      <c r="IUU51" s="19"/>
      <c r="IUV51" s="19"/>
      <c r="IUW51" s="19"/>
      <c r="IUX51" s="19"/>
      <c r="IUY51" s="19"/>
      <c r="IUZ51" s="19"/>
      <c r="IVA51" s="19"/>
      <c r="IVB51" s="19"/>
      <c r="IVC51" s="19"/>
      <c r="IVD51" s="19"/>
      <c r="IVE51" s="19"/>
      <c r="IVF51" s="19"/>
      <c r="IVG51" s="19"/>
      <c r="IVH51" s="19"/>
      <c r="IVI51" s="19"/>
      <c r="IVJ51" s="19"/>
      <c r="IVK51" s="19"/>
      <c r="IVL51" s="19"/>
      <c r="IVM51" s="19"/>
      <c r="IVN51" s="19"/>
      <c r="IVO51" s="19"/>
      <c r="IVP51" s="19"/>
      <c r="IVQ51" s="19"/>
      <c r="IVR51" s="19"/>
      <c r="IVS51" s="19"/>
      <c r="IVT51" s="19"/>
      <c r="IVU51" s="19"/>
      <c r="IVV51" s="19"/>
      <c r="IVW51" s="19"/>
      <c r="IVX51" s="19"/>
      <c r="IVY51" s="19"/>
      <c r="IVZ51" s="19"/>
      <c r="IWA51" s="19"/>
      <c r="IWB51" s="19"/>
      <c r="IWC51" s="19"/>
      <c r="IWD51" s="19"/>
      <c r="IWE51" s="19"/>
      <c r="IWF51" s="19"/>
      <c r="IWG51" s="19"/>
      <c r="IWH51" s="19"/>
      <c r="IWI51" s="19"/>
      <c r="IWJ51" s="19"/>
      <c r="IWK51" s="19"/>
      <c r="IWL51" s="19"/>
      <c r="IWM51" s="19"/>
      <c r="IWN51" s="19"/>
      <c r="IWO51" s="19"/>
      <c r="IWP51" s="19"/>
      <c r="IWQ51" s="19"/>
      <c r="IWR51" s="19"/>
      <c r="IWS51" s="19"/>
      <c r="IWT51" s="19"/>
      <c r="IWU51" s="19"/>
      <c r="IWV51" s="19"/>
      <c r="IWW51" s="19"/>
      <c r="IWX51" s="19"/>
      <c r="IWY51" s="19"/>
      <c r="IWZ51" s="19"/>
      <c r="IXA51" s="19"/>
      <c r="IXB51" s="19"/>
      <c r="IXC51" s="19"/>
      <c r="IXD51" s="19"/>
      <c r="IXE51" s="19"/>
      <c r="IXF51" s="19"/>
      <c r="IXG51" s="19"/>
      <c r="IXH51" s="19"/>
      <c r="IXI51" s="19"/>
      <c r="IXJ51" s="19"/>
      <c r="IXK51" s="19"/>
      <c r="IXL51" s="19"/>
      <c r="IXM51" s="19"/>
      <c r="IXN51" s="19"/>
      <c r="IXO51" s="19"/>
      <c r="IXP51" s="19"/>
      <c r="IXQ51" s="19"/>
      <c r="IXR51" s="19"/>
      <c r="IXS51" s="19"/>
      <c r="IXT51" s="19"/>
      <c r="IXU51" s="19"/>
      <c r="IXV51" s="19"/>
      <c r="IXW51" s="19"/>
      <c r="IXX51" s="19"/>
      <c r="IXY51" s="19"/>
      <c r="IXZ51" s="19"/>
      <c r="IYA51" s="19"/>
      <c r="IYB51" s="19"/>
      <c r="IYC51" s="19"/>
      <c r="IYD51" s="19"/>
      <c r="IYE51" s="19"/>
      <c r="IYF51" s="19"/>
      <c r="IYG51" s="19"/>
      <c r="IYH51" s="19"/>
      <c r="IYI51" s="19"/>
      <c r="IYJ51" s="19"/>
      <c r="IYK51" s="19"/>
      <c r="IYL51" s="19"/>
      <c r="IYM51" s="19"/>
      <c r="IYN51" s="19"/>
      <c r="IYO51" s="19"/>
      <c r="IYP51" s="19"/>
      <c r="IYQ51" s="19"/>
      <c r="IYR51" s="19"/>
      <c r="IYS51" s="19"/>
      <c r="IYT51" s="19"/>
      <c r="IYU51" s="19"/>
      <c r="IYV51" s="19"/>
      <c r="IYW51" s="19"/>
      <c r="IYX51" s="19"/>
      <c r="IYY51" s="19"/>
      <c r="IYZ51" s="19"/>
      <c r="IZA51" s="19"/>
      <c r="IZB51" s="19"/>
      <c r="IZC51" s="19"/>
      <c r="IZD51" s="19"/>
      <c r="IZE51" s="19"/>
      <c r="IZF51" s="19"/>
      <c r="IZG51" s="19"/>
      <c r="IZH51" s="19"/>
      <c r="IZI51" s="19"/>
      <c r="IZJ51" s="19"/>
      <c r="IZK51" s="19"/>
      <c r="IZL51" s="19"/>
      <c r="IZM51" s="19"/>
      <c r="IZN51" s="19"/>
      <c r="IZO51" s="19"/>
      <c r="IZP51" s="19"/>
      <c r="IZQ51" s="19"/>
      <c r="IZR51" s="19"/>
      <c r="IZS51" s="19"/>
      <c r="IZT51" s="19"/>
      <c r="IZU51" s="19"/>
      <c r="IZV51" s="19"/>
      <c r="IZW51" s="19"/>
      <c r="IZX51" s="19"/>
      <c r="IZY51" s="19"/>
      <c r="IZZ51" s="19"/>
      <c r="JAA51" s="19"/>
      <c r="JAB51" s="19"/>
      <c r="JAC51" s="19"/>
      <c r="JAD51" s="19"/>
      <c r="JAE51" s="19"/>
      <c r="JAF51" s="19"/>
      <c r="JAG51" s="19"/>
      <c r="JAH51" s="19"/>
      <c r="JAI51" s="19"/>
      <c r="JAJ51" s="19"/>
      <c r="JAK51" s="19"/>
      <c r="JAL51" s="19"/>
      <c r="JAM51" s="19"/>
      <c r="JAN51" s="19"/>
      <c r="JAO51" s="19"/>
      <c r="JAP51" s="19"/>
      <c r="JAQ51" s="19"/>
      <c r="JAR51" s="19"/>
      <c r="JAS51" s="19"/>
      <c r="JAT51" s="19"/>
      <c r="JAU51" s="19"/>
      <c r="JAV51" s="19"/>
      <c r="JAW51" s="19"/>
      <c r="JAX51" s="19"/>
      <c r="JAY51" s="19"/>
      <c r="JAZ51" s="19"/>
      <c r="JBA51" s="19"/>
      <c r="JBB51" s="19"/>
      <c r="JBC51" s="19"/>
      <c r="JBD51" s="19"/>
      <c r="JBE51" s="19"/>
      <c r="JBF51" s="19"/>
      <c r="JBG51" s="19"/>
      <c r="JBH51" s="19"/>
      <c r="JBI51" s="19"/>
      <c r="JBJ51" s="19"/>
      <c r="JBK51" s="19"/>
      <c r="JBL51" s="19"/>
      <c r="JBM51" s="19"/>
      <c r="JBN51" s="19"/>
      <c r="JBO51" s="19"/>
      <c r="JBP51" s="19"/>
      <c r="JBQ51" s="19"/>
      <c r="JBR51" s="19"/>
      <c r="JBS51" s="19"/>
      <c r="JBT51" s="19"/>
      <c r="JBU51" s="19"/>
      <c r="JBV51" s="19"/>
      <c r="JBW51" s="19"/>
      <c r="JBX51" s="19"/>
      <c r="JBY51" s="19"/>
      <c r="JBZ51" s="19"/>
      <c r="JCA51" s="19"/>
      <c r="JCB51" s="19"/>
      <c r="JCC51" s="19"/>
      <c r="JCD51" s="19"/>
      <c r="JCE51" s="19"/>
      <c r="JCF51" s="19"/>
      <c r="JCG51" s="19"/>
      <c r="JCH51" s="19"/>
      <c r="JCI51" s="19"/>
      <c r="JCJ51" s="19"/>
      <c r="JCK51" s="19"/>
      <c r="JCL51" s="19"/>
      <c r="JCM51" s="19"/>
      <c r="JCN51" s="19"/>
      <c r="JCO51" s="19"/>
      <c r="JCP51" s="19"/>
      <c r="JCQ51" s="19"/>
      <c r="JCR51" s="19"/>
      <c r="JCS51" s="19"/>
      <c r="JCT51" s="19"/>
      <c r="JCU51" s="19"/>
      <c r="JCV51" s="19"/>
      <c r="JCW51" s="19"/>
      <c r="JCX51" s="19"/>
      <c r="JCY51" s="19"/>
      <c r="JCZ51" s="19"/>
      <c r="JDA51" s="19"/>
      <c r="JDB51" s="19"/>
      <c r="JDC51" s="19"/>
      <c r="JDD51" s="19"/>
      <c r="JDE51" s="19"/>
      <c r="JDF51" s="19"/>
      <c r="JDG51" s="19"/>
      <c r="JDH51" s="19"/>
      <c r="JDI51" s="19"/>
      <c r="JDJ51" s="19"/>
      <c r="JDK51" s="19"/>
      <c r="JDL51" s="19"/>
      <c r="JDM51" s="19"/>
      <c r="JDN51" s="19"/>
      <c r="JDO51" s="19"/>
      <c r="JDP51" s="19"/>
      <c r="JDQ51" s="19"/>
      <c r="JDR51" s="19"/>
      <c r="JDS51" s="19"/>
      <c r="JDT51" s="19"/>
      <c r="JDU51" s="19"/>
      <c r="JDV51" s="19"/>
      <c r="JDW51" s="19"/>
      <c r="JDX51" s="19"/>
      <c r="JDY51" s="19"/>
      <c r="JDZ51" s="19"/>
      <c r="JEA51" s="19"/>
      <c r="JEB51" s="19"/>
      <c r="JEC51" s="19"/>
      <c r="JED51" s="19"/>
      <c r="JEE51" s="19"/>
      <c r="JEF51" s="19"/>
      <c r="JEG51" s="19"/>
      <c r="JEH51" s="19"/>
      <c r="JEI51" s="19"/>
      <c r="JEJ51" s="19"/>
      <c r="JEK51" s="19"/>
      <c r="JEL51" s="19"/>
      <c r="JEM51" s="19"/>
      <c r="JEN51" s="19"/>
      <c r="JEO51" s="19"/>
      <c r="JEP51" s="19"/>
      <c r="JEQ51" s="19"/>
      <c r="JER51" s="19"/>
      <c r="JES51" s="19"/>
      <c r="JET51" s="19"/>
      <c r="JEU51" s="19"/>
      <c r="JEV51" s="19"/>
      <c r="JEW51" s="19"/>
      <c r="JEX51" s="19"/>
      <c r="JEY51" s="19"/>
      <c r="JEZ51" s="19"/>
      <c r="JFA51" s="19"/>
      <c r="JFB51" s="19"/>
      <c r="JFC51" s="19"/>
      <c r="JFD51" s="19"/>
      <c r="JFE51" s="19"/>
      <c r="JFF51" s="19"/>
      <c r="JFG51" s="19"/>
      <c r="JFH51" s="19"/>
      <c r="JFI51" s="19"/>
      <c r="JFJ51" s="19"/>
      <c r="JFK51" s="19"/>
      <c r="JFL51" s="19"/>
      <c r="JFM51" s="19"/>
      <c r="JFN51" s="19"/>
      <c r="JFO51" s="19"/>
      <c r="JFP51" s="19"/>
      <c r="JFQ51" s="19"/>
      <c r="JFR51" s="19"/>
      <c r="JFS51" s="19"/>
      <c r="JFT51" s="19"/>
      <c r="JFU51" s="19"/>
      <c r="JFV51" s="19"/>
      <c r="JFW51" s="19"/>
      <c r="JFX51" s="19"/>
      <c r="JFY51" s="19"/>
      <c r="JFZ51" s="19"/>
      <c r="JGA51" s="19"/>
      <c r="JGB51" s="19"/>
      <c r="JGC51" s="19"/>
      <c r="JGD51" s="19"/>
      <c r="JGE51" s="19"/>
      <c r="JGF51" s="19"/>
      <c r="JGG51" s="19"/>
      <c r="JGH51" s="19"/>
      <c r="JGI51" s="19"/>
      <c r="JGJ51" s="19"/>
      <c r="JGK51" s="19"/>
      <c r="JGL51" s="19"/>
      <c r="JGM51" s="19"/>
      <c r="JGN51" s="19"/>
      <c r="JGO51" s="19"/>
      <c r="JGP51" s="19"/>
      <c r="JGQ51" s="19"/>
      <c r="JGR51" s="19"/>
      <c r="JGS51" s="19"/>
      <c r="JGT51" s="19"/>
      <c r="JGU51" s="19"/>
      <c r="JGV51" s="19"/>
      <c r="JGW51" s="19"/>
      <c r="JGX51" s="19"/>
      <c r="JGY51" s="19"/>
      <c r="JGZ51" s="19"/>
      <c r="JHA51" s="19"/>
      <c r="JHB51" s="19"/>
      <c r="JHC51" s="19"/>
      <c r="JHD51" s="19"/>
      <c r="JHE51" s="19"/>
      <c r="JHF51" s="19"/>
      <c r="JHG51" s="19"/>
      <c r="JHH51" s="19"/>
      <c r="JHI51" s="19"/>
      <c r="JHJ51" s="19"/>
      <c r="JHK51" s="19"/>
      <c r="JHL51" s="19"/>
      <c r="JHM51" s="19"/>
      <c r="JHN51" s="19"/>
      <c r="JHO51" s="19"/>
      <c r="JHP51" s="19"/>
      <c r="JHQ51" s="19"/>
      <c r="JHR51" s="19"/>
      <c r="JHS51" s="19"/>
      <c r="JHT51" s="19"/>
      <c r="JHU51" s="19"/>
      <c r="JHV51" s="19"/>
      <c r="JHW51" s="19"/>
      <c r="JHX51" s="19"/>
      <c r="JHY51" s="19"/>
      <c r="JHZ51" s="19"/>
      <c r="JIA51" s="19"/>
      <c r="JIB51" s="19"/>
      <c r="JIC51" s="19"/>
      <c r="JID51" s="19"/>
      <c r="JIE51" s="19"/>
      <c r="JIF51" s="19"/>
      <c r="JIG51" s="19"/>
      <c r="JIH51" s="19"/>
      <c r="JII51" s="19"/>
      <c r="JIJ51" s="19"/>
      <c r="JIK51" s="19"/>
      <c r="JIL51" s="19"/>
      <c r="JIM51" s="19"/>
      <c r="JIN51" s="19"/>
      <c r="JIO51" s="19"/>
      <c r="JIP51" s="19"/>
      <c r="JIQ51" s="19"/>
      <c r="JIR51" s="19"/>
      <c r="JIS51" s="19"/>
      <c r="JIT51" s="19"/>
      <c r="JIU51" s="19"/>
      <c r="JIV51" s="19"/>
      <c r="JIW51" s="19"/>
      <c r="JIX51" s="19"/>
      <c r="JIY51" s="19"/>
      <c r="JIZ51" s="19"/>
      <c r="JJA51" s="19"/>
      <c r="JJB51" s="19"/>
      <c r="JJC51" s="19"/>
      <c r="JJD51" s="19"/>
      <c r="JJE51" s="19"/>
      <c r="JJF51" s="19"/>
      <c r="JJG51" s="19"/>
      <c r="JJH51" s="19"/>
      <c r="JJI51" s="19"/>
      <c r="JJJ51" s="19"/>
      <c r="JJK51" s="19"/>
      <c r="JJL51" s="19"/>
      <c r="JJM51" s="19"/>
      <c r="JJN51" s="19"/>
      <c r="JJO51" s="19"/>
      <c r="JJP51" s="19"/>
      <c r="JJQ51" s="19"/>
      <c r="JJR51" s="19"/>
      <c r="JJS51" s="19"/>
      <c r="JJT51" s="19"/>
      <c r="JJU51" s="19"/>
      <c r="JJV51" s="19"/>
      <c r="JJW51" s="19"/>
      <c r="JJX51" s="19"/>
      <c r="JJY51" s="19"/>
      <c r="JJZ51" s="19"/>
      <c r="JKA51" s="19"/>
      <c r="JKB51" s="19"/>
      <c r="JKC51" s="19"/>
      <c r="JKD51" s="19"/>
      <c r="JKE51" s="19"/>
      <c r="JKF51" s="19"/>
      <c r="JKG51" s="19"/>
      <c r="JKH51" s="19"/>
      <c r="JKI51" s="19"/>
      <c r="JKJ51" s="19"/>
      <c r="JKK51" s="19"/>
      <c r="JKL51" s="19"/>
      <c r="JKM51" s="19"/>
      <c r="JKN51" s="19"/>
      <c r="JKO51" s="19"/>
      <c r="JKP51" s="19"/>
      <c r="JKQ51" s="19"/>
      <c r="JKR51" s="19"/>
      <c r="JKS51" s="19"/>
      <c r="JKT51" s="19"/>
      <c r="JKU51" s="19"/>
      <c r="JKV51" s="19"/>
      <c r="JKW51" s="19"/>
      <c r="JKX51" s="19"/>
      <c r="JKY51" s="19"/>
      <c r="JKZ51" s="19"/>
      <c r="JLA51" s="19"/>
      <c r="JLB51" s="19"/>
      <c r="JLC51" s="19"/>
      <c r="JLD51" s="19"/>
      <c r="JLE51" s="19"/>
      <c r="JLF51" s="19"/>
      <c r="JLG51" s="19"/>
      <c r="JLH51" s="19"/>
      <c r="JLI51" s="19"/>
      <c r="JLJ51" s="19"/>
      <c r="JLK51" s="19"/>
      <c r="JLL51" s="19"/>
      <c r="JLM51" s="19"/>
      <c r="JLN51" s="19"/>
      <c r="JLO51" s="19"/>
      <c r="JLP51" s="19"/>
      <c r="JLQ51" s="19"/>
      <c r="JLR51" s="19"/>
      <c r="JLS51" s="19"/>
      <c r="JLT51" s="19"/>
      <c r="JLU51" s="19"/>
      <c r="JLV51" s="19"/>
      <c r="JLW51" s="19"/>
      <c r="JLX51" s="19"/>
      <c r="JLY51" s="19"/>
      <c r="JLZ51" s="19"/>
      <c r="JMA51" s="19"/>
      <c r="JMB51" s="19"/>
      <c r="JMC51" s="19"/>
      <c r="JMD51" s="19"/>
      <c r="JME51" s="19"/>
      <c r="JMF51" s="19"/>
      <c r="JMG51" s="19"/>
      <c r="JMH51" s="19"/>
      <c r="JMI51" s="19"/>
      <c r="JMJ51" s="19"/>
      <c r="JMK51" s="19"/>
      <c r="JML51" s="19"/>
      <c r="JMM51" s="19"/>
      <c r="JMN51" s="19"/>
      <c r="JMO51" s="19"/>
      <c r="JMP51" s="19"/>
      <c r="JMQ51" s="19"/>
      <c r="JMR51" s="19"/>
      <c r="JMS51" s="19"/>
      <c r="JMT51" s="19"/>
      <c r="JMU51" s="19"/>
      <c r="JMV51" s="19"/>
      <c r="JMW51" s="19"/>
      <c r="JMX51" s="19"/>
      <c r="JMY51" s="19"/>
      <c r="JMZ51" s="19"/>
      <c r="JNA51" s="19"/>
      <c r="JNB51" s="19"/>
      <c r="JNC51" s="19"/>
      <c r="JND51" s="19"/>
      <c r="JNE51" s="19"/>
      <c r="JNF51" s="19"/>
      <c r="JNG51" s="19"/>
      <c r="JNH51" s="19"/>
      <c r="JNI51" s="19"/>
      <c r="JNJ51" s="19"/>
      <c r="JNK51" s="19"/>
      <c r="JNL51" s="19"/>
      <c r="JNM51" s="19"/>
      <c r="JNN51" s="19"/>
      <c r="JNO51" s="19"/>
      <c r="JNP51" s="19"/>
      <c r="JNQ51" s="19"/>
      <c r="JNR51" s="19"/>
      <c r="JNS51" s="19"/>
      <c r="JNT51" s="19"/>
      <c r="JNU51" s="19"/>
      <c r="JNV51" s="19"/>
      <c r="JNW51" s="19"/>
      <c r="JNX51" s="19"/>
      <c r="JNY51" s="19"/>
      <c r="JNZ51" s="19"/>
      <c r="JOA51" s="19"/>
      <c r="JOB51" s="19"/>
      <c r="JOC51" s="19"/>
      <c r="JOD51" s="19"/>
      <c r="JOE51" s="19"/>
      <c r="JOF51" s="19"/>
      <c r="JOG51" s="19"/>
      <c r="JOH51" s="19"/>
      <c r="JOI51" s="19"/>
      <c r="JOJ51" s="19"/>
      <c r="JOK51" s="19"/>
      <c r="JOL51" s="19"/>
      <c r="JOM51" s="19"/>
      <c r="JON51" s="19"/>
      <c r="JOO51" s="19"/>
      <c r="JOP51" s="19"/>
      <c r="JOQ51" s="19"/>
      <c r="JOR51" s="19"/>
      <c r="JOS51" s="19"/>
      <c r="JOT51" s="19"/>
      <c r="JOU51" s="19"/>
      <c r="JOV51" s="19"/>
      <c r="JOW51" s="19"/>
      <c r="JOX51" s="19"/>
      <c r="JOY51" s="19"/>
      <c r="JOZ51" s="19"/>
      <c r="JPA51" s="19"/>
      <c r="JPB51" s="19"/>
      <c r="JPC51" s="19"/>
      <c r="JPD51" s="19"/>
      <c r="JPE51" s="19"/>
      <c r="JPF51" s="19"/>
      <c r="JPG51" s="19"/>
      <c r="JPH51" s="19"/>
      <c r="JPI51" s="19"/>
      <c r="JPJ51" s="19"/>
      <c r="JPK51" s="19"/>
      <c r="JPL51" s="19"/>
      <c r="JPM51" s="19"/>
      <c r="JPN51" s="19"/>
      <c r="JPO51" s="19"/>
      <c r="JPP51" s="19"/>
      <c r="JPQ51" s="19"/>
      <c r="JPR51" s="19"/>
      <c r="JPS51" s="19"/>
      <c r="JPT51" s="19"/>
      <c r="JPU51" s="19"/>
      <c r="JPV51" s="19"/>
      <c r="JPW51" s="19"/>
      <c r="JPX51" s="19"/>
      <c r="JPY51" s="19"/>
      <c r="JPZ51" s="19"/>
      <c r="JQA51" s="19"/>
      <c r="JQB51" s="19"/>
      <c r="JQC51" s="19"/>
      <c r="JQD51" s="19"/>
      <c r="JQE51" s="19"/>
      <c r="JQF51" s="19"/>
      <c r="JQG51" s="19"/>
      <c r="JQH51" s="19"/>
      <c r="JQI51" s="19"/>
      <c r="JQJ51" s="19"/>
      <c r="JQK51" s="19"/>
      <c r="JQL51" s="19"/>
      <c r="JQM51" s="19"/>
      <c r="JQN51" s="19"/>
      <c r="JQO51" s="19"/>
      <c r="JQP51" s="19"/>
      <c r="JQQ51" s="19"/>
      <c r="JQR51" s="19"/>
      <c r="JQS51" s="19"/>
      <c r="JQT51" s="19"/>
      <c r="JQU51" s="19"/>
      <c r="JQV51" s="19"/>
      <c r="JQW51" s="19"/>
      <c r="JQX51" s="19"/>
      <c r="JQY51" s="19"/>
      <c r="JQZ51" s="19"/>
      <c r="JRA51" s="19"/>
      <c r="JRB51" s="19"/>
      <c r="JRC51" s="19"/>
      <c r="JRD51" s="19"/>
      <c r="JRE51" s="19"/>
      <c r="JRF51" s="19"/>
      <c r="JRG51" s="19"/>
      <c r="JRH51" s="19"/>
      <c r="JRI51" s="19"/>
      <c r="JRJ51" s="19"/>
      <c r="JRK51" s="19"/>
      <c r="JRL51" s="19"/>
      <c r="JRM51" s="19"/>
      <c r="JRN51" s="19"/>
      <c r="JRO51" s="19"/>
      <c r="JRP51" s="19"/>
      <c r="JRQ51" s="19"/>
      <c r="JRR51" s="19"/>
      <c r="JRS51" s="19"/>
      <c r="JRT51" s="19"/>
      <c r="JRU51" s="19"/>
      <c r="JRV51" s="19"/>
      <c r="JRW51" s="19"/>
      <c r="JRX51" s="19"/>
      <c r="JRY51" s="19"/>
      <c r="JRZ51" s="19"/>
      <c r="JSA51" s="19"/>
      <c r="JSB51" s="19"/>
      <c r="JSC51" s="19"/>
      <c r="JSD51" s="19"/>
      <c r="JSE51" s="19"/>
      <c r="JSF51" s="19"/>
      <c r="JSG51" s="19"/>
      <c r="JSH51" s="19"/>
      <c r="JSI51" s="19"/>
      <c r="JSJ51" s="19"/>
      <c r="JSK51" s="19"/>
      <c r="JSL51" s="19"/>
      <c r="JSM51" s="19"/>
      <c r="JSN51" s="19"/>
      <c r="JSO51" s="19"/>
      <c r="JSP51" s="19"/>
      <c r="JSQ51" s="19"/>
      <c r="JSR51" s="19"/>
      <c r="JSS51" s="19"/>
      <c r="JST51" s="19"/>
      <c r="JSU51" s="19"/>
      <c r="JSV51" s="19"/>
      <c r="JSW51" s="19"/>
      <c r="JSX51" s="19"/>
      <c r="JSY51" s="19"/>
      <c r="JSZ51" s="19"/>
      <c r="JTA51" s="19"/>
      <c r="JTB51" s="19"/>
      <c r="JTC51" s="19"/>
      <c r="JTD51" s="19"/>
      <c r="JTE51" s="19"/>
      <c r="JTF51" s="19"/>
      <c r="JTG51" s="19"/>
      <c r="JTH51" s="19"/>
      <c r="JTI51" s="19"/>
      <c r="JTJ51" s="19"/>
      <c r="JTK51" s="19"/>
      <c r="JTL51" s="19"/>
      <c r="JTM51" s="19"/>
      <c r="JTN51" s="19"/>
      <c r="JTO51" s="19"/>
      <c r="JTP51" s="19"/>
      <c r="JTQ51" s="19"/>
      <c r="JTR51" s="19"/>
      <c r="JTS51" s="19"/>
      <c r="JTT51" s="19"/>
      <c r="JTU51" s="19"/>
      <c r="JTV51" s="19"/>
      <c r="JTW51" s="19"/>
      <c r="JTX51" s="19"/>
      <c r="JTY51" s="19"/>
      <c r="JTZ51" s="19"/>
      <c r="JUA51" s="19"/>
      <c r="JUB51" s="19"/>
      <c r="JUC51" s="19"/>
      <c r="JUD51" s="19"/>
      <c r="JUE51" s="19"/>
      <c r="JUF51" s="19"/>
      <c r="JUG51" s="19"/>
      <c r="JUH51" s="19"/>
      <c r="JUI51" s="19"/>
      <c r="JUJ51" s="19"/>
      <c r="JUK51" s="19"/>
      <c r="JUL51" s="19"/>
      <c r="JUM51" s="19"/>
      <c r="JUN51" s="19"/>
      <c r="JUO51" s="19"/>
      <c r="JUP51" s="19"/>
      <c r="JUQ51" s="19"/>
      <c r="JUR51" s="19"/>
      <c r="JUS51" s="19"/>
      <c r="JUT51" s="19"/>
      <c r="JUU51" s="19"/>
      <c r="JUV51" s="19"/>
      <c r="JUW51" s="19"/>
      <c r="JUX51" s="19"/>
      <c r="JUY51" s="19"/>
      <c r="JUZ51" s="19"/>
      <c r="JVA51" s="19"/>
      <c r="JVB51" s="19"/>
      <c r="JVC51" s="19"/>
      <c r="JVD51" s="19"/>
      <c r="JVE51" s="19"/>
      <c r="JVF51" s="19"/>
      <c r="JVG51" s="19"/>
      <c r="JVH51" s="19"/>
      <c r="JVI51" s="19"/>
      <c r="JVJ51" s="19"/>
      <c r="JVK51" s="19"/>
      <c r="JVL51" s="19"/>
      <c r="JVM51" s="19"/>
      <c r="JVN51" s="19"/>
      <c r="JVO51" s="19"/>
      <c r="JVP51" s="19"/>
      <c r="JVQ51" s="19"/>
      <c r="JVR51" s="19"/>
      <c r="JVS51" s="19"/>
      <c r="JVT51" s="19"/>
      <c r="JVU51" s="19"/>
      <c r="JVV51" s="19"/>
      <c r="JVW51" s="19"/>
      <c r="JVX51" s="19"/>
      <c r="JVY51" s="19"/>
      <c r="JVZ51" s="19"/>
      <c r="JWA51" s="19"/>
      <c r="JWB51" s="19"/>
      <c r="JWC51" s="19"/>
      <c r="JWD51" s="19"/>
      <c r="JWE51" s="19"/>
      <c r="JWF51" s="19"/>
      <c r="JWG51" s="19"/>
      <c r="JWH51" s="19"/>
      <c r="JWI51" s="19"/>
      <c r="JWJ51" s="19"/>
      <c r="JWK51" s="19"/>
      <c r="JWL51" s="19"/>
      <c r="JWM51" s="19"/>
      <c r="JWN51" s="19"/>
      <c r="JWO51" s="19"/>
      <c r="JWP51" s="19"/>
      <c r="JWQ51" s="19"/>
      <c r="JWR51" s="19"/>
      <c r="JWS51" s="19"/>
      <c r="JWT51" s="19"/>
      <c r="JWU51" s="19"/>
      <c r="JWV51" s="19"/>
      <c r="JWW51" s="19"/>
      <c r="JWX51" s="19"/>
      <c r="JWY51" s="19"/>
      <c r="JWZ51" s="19"/>
      <c r="JXA51" s="19"/>
      <c r="JXB51" s="19"/>
      <c r="JXC51" s="19"/>
      <c r="JXD51" s="19"/>
      <c r="JXE51" s="19"/>
      <c r="JXF51" s="19"/>
      <c r="JXG51" s="19"/>
      <c r="JXH51" s="19"/>
      <c r="JXI51" s="19"/>
      <c r="JXJ51" s="19"/>
      <c r="JXK51" s="19"/>
      <c r="JXL51" s="19"/>
      <c r="JXM51" s="19"/>
      <c r="JXN51" s="19"/>
      <c r="JXO51" s="19"/>
      <c r="JXP51" s="19"/>
      <c r="JXQ51" s="19"/>
      <c r="JXR51" s="19"/>
      <c r="JXS51" s="19"/>
      <c r="JXT51" s="19"/>
      <c r="JXU51" s="19"/>
      <c r="JXV51" s="19"/>
      <c r="JXW51" s="19"/>
      <c r="JXX51" s="19"/>
      <c r="JXY51" s="19"/>
      <c r="JXZ51" s="19"/>
      <c r="JYA51" s="19"/>
      <c r="JYB51" s="19"/>
      <c r="JYC51" s="19"/>
      <c r="JYD51" s="19"/>
      <c r="JYE51" s="19"/>
      <c r="JYF51" s="19"/>
      <c r="JYG51" s="19"/>
      <c r="JYH51" s="19"/>
      <c r="JYI51" s="19"/>
      <c r="JYJ51" s="19"/>
      <c r="JYK51" s="19"/>
      <c r="JYL51" s="19"/>
      <c r="JYM51" s="19"/>
      <c r="JYN51" s="19"/>
      <c r="JYO51" s="19"/>
      <c r="JYP51" s="19"/>
      <c r="JYQ51" s="19"/>
      <c r="JYR51" s="19"/>
      <c r="JYS51" s="19"/>
      <c r="JYT51" s="19"/>
      <c r="JYU51" s="19"/>
      <c r="JYV51" s="19"/>
      <c r="JYW51" s="19"/>
      <c r="JYX51" s="19"/>
      <c r="JYY51" s="19"/>
      <c r="JYZ51" s="19"/>
      <c r="JZA51" s="19"/>
      <c r="JZB51" s="19"/>
      <c r="JZC51" s="19"/>
      <c r="JZD51" s="19"/>
      <c r="JZE51" s="19"/>
      <c r="JZF51" s="19"/>
      <c r="JZG51" s="19"/>
      <c r="JZH51" s="19"/>
      <c r="JZI51" s="19"/>
      <c r="JZJ51" s="19"/>
      <c r="JZK51" s="19"/>
      <c r="JZL51" s="19"/>
      <c r="JZM51" s="19"/>
      <c r="JZN51" s="19"/>
      <c r="JZO51" s="19"/>
      <c r="JZP51" s="19"/>
      <c r="JZQ51" s="19"/>
      <c r="JZR51" s="19"/>
      <c r="JZS51" s="19"/>
      <c r="JZT51" s="19"/>
      <c r="JZU51" s="19"/>
      <c r="JZV51" s="19"/>
      <c r="JZW51" s="19"/>
      <c r="JZX51" s="19"/>
      <c r="JZY51" s="19"/>
      <c r="JZZ51" s="19"/>
      <c r="KAA51" s="19"/>
      <c r="KAB51" s="19"/>
      <c r="KAC51" s="19"/>
      <c r="KAD51" s="19"/>
      <c r="KAE51" s="19"/>
      <c r="KAF51" s="19"/>
      <c r="KAG51" s="19"/>
      <c r="KAH51" s="19"/>
      <c r="KAI51" s="19"/>
      <c r="KAJ51" s="19"/>
      <c r="KAK51" s="19"/>
      <c r="KAL51" s="19"/>
      <c r="KAM51" s="19"/>
      <c r="KAN51" s="19"/>
      <c r="KAO51" s="19"/>
      <c r="KAP51" s="19"/>
      <c r="KAQ51" s="19"/>
      <c r="KAR51" s="19"/>
      <c r="KAS51" s="19"/>
      <c r="KAT51" s="19"/>
      <c r="KAU51" s="19"/>
      <c r="KAV51" s="19"/>
      <c r="KAW51" s="19"/>
      <c r="KAX51" s="19"/>
      <c r="KAY51" s="19"/>
      <c r="KAZ51" s="19"/>
      <c r="KBA51" s="19"/>
      <c r="KBB51" s="19"/>
      <c r="KBC51" s="19"/>
      <c r="KBD51" s="19"/>
      <c r="KBE51" s="19"/>
      <c r="KBF51" s="19"/>
      <c r="KBG51" s="19"/>
      <c r="KBH51" s="19"/>
      <c r="KBI51" s="19"/>
      <c r="KBJ51" s="19"/>
      <c r="KBK51" s="19"/>
      <c r="KBL51" s="19"/>
      <c r="KBM51" s="19"/>
      <c r="KBN51" s="19"/>
      <c r="KBO51" s="19"/>
      <c r="KBP51" s="19"/>
      <c r="KBQ51" s="19"/>
      <c r="KBR51" s="19"/>
      <c r="KBS51" s="19"/>
      <c r="KBT51" s="19"/>
      <c r="KBU51" s="19"/>
      <c r="KBV51" s="19"/>
      <c r="KBW51" s="19"/>
      <c r="KBX51" s="19"/>
      <c r="KBY51" s="19"/>
      <c r="KBZ51" s="19"/>
      <c r="KCA51" s="19"/>
      <c r="KCB51" s="19"/>
      <c r="KCC51" s="19"/>
      <c r="KCD51" s="19"/>
      <c r="KCE51" s="19"/>
      <c r="KCF51" s="19"/>
      <c r="KCG51" s="19"/>
      <c r="KCH51" s="19"/>
      <c r="KCI51" s="19"/>
      <c r="KCJ51" s="19"/>
      <c r="KCK51" s="19"/>
      <c r="KCL51" s="19"/>
      <c r="KCM51" s="19"/>
      <c r="KCN51" s="19"/>
      <c r="KCO51" s="19"/>
      <c r="KCP51" s="19"/>
      <c r="KCQ51" s="19"/>
      <c r="KCR51" s="19"/>
      <c r="KCS51" s="19"/>
      <c r="KCT51" s="19"/>
      <c r="KCU51" s="19"/>
      <c r="KCV51" s="19"/>
      <c r="KCW51" s="19"/>
      <c r="KCX51" s="19"/>
      <c r="KCY51" s="19"/>
      <c r="KCZ51" s="19"/>
      <c r="KDA51" s="19"/>
      <c r="KDB51" s="19"/>
      <c r="KDC51" s="19"/>
      <c r="KDD51" s="19"/>
      <c r="KDE51" s="19"/>
      <c r="KDF51" s="19"/>
      <c r="KDG51" s="19"/>
      <c r="KDH51" s="19"/>
      <c r="KDI51" s="19"/>
      <c r="KDJ51" s="19"/>
      <c r="KDK51" s="19"/>
      <c r="KDL51" s="19"/>
      <c r="KDM51" s="19"/>
      <c r="KDN51" s="19"/>
      <c r="KDO51" s="19"/>
      <c r="KDP51" s="19"/>
      <c r="KDQ51" s="19"/>
      <c r="KDR51" s="19"/>
      <c r="KDS51" s="19"/>
      <c r="KDT51" s="19"/>
      <c r="KDU51" s="19"/>
      <c r="KDV51" s="19"/>
      <c r="KDW51" s="19"/>
      <c r="KDX51" s="19"/>
      <c r="KDY51" s="19"/>
      <c r="KDZ51" s="19"/>
      <c r="KEA51" s="19"/>
      <c r="KEB51" s="19"/>
      <c r="KEC51" s="19"/>
      <c r="KED51" s="19"/>
      <c r="KEE51" s="19"/>
      <c r="KEF51" s="19"/>
      <c r="KEG51" s="19"/>
      <c r="KEH51" s="19"/>
      <c r="KEI51" s="19"/>
      <c r="KEJ51" s="19"/>
      <c r="KEK51" s="19"/>
      <c r="KEL51" s="19"/>
      <c r="KEM51" s="19"/>
      <c r="KEN51" s="19"/>
      <c r="KEO51" s="19"/>
      <c r="KEP51" s="19"/>
      <c r="KEQ51" s="19"/>
      <c r="KER51" s="19"/>
      <c r="KES51" s="19"/>
      <c r="KET51" s="19"/>
      <c r="KEU51" s="19"/>
      <c r="KEV51" s="19"/>
      <c r="KEW51" s="19"/>
      <c r="KEX51" s="19"/>
      <c r="KEY51" s="19"/>
      <c r="KEZ51" s="19"/>
      <c r="KFA51" s="19"/>
      <c r="KFB51" s="19"/>
      <c r="KFC51" s="19"/>
      <c r="KFD51" s="19"/>
      <c r="KFE51" s="19"/>
      <c r="KFF51" s="19"/>
      <c r="KFG51" s="19"/>
      <c r="KFH51" s="19"/>
      <c r="KFI51" s="19"/>
      <c r="KFJ51" s="19"/>
      <c r="KFK51" s="19"/>
      <c r="KFL51" s="19"/>
      <c r="KFM51" s="19"/>
      <c r="KFN51" s="19"/>
      <c r="KFO51" s="19"/>
      <c r="KFP51" s="19"/>
      <c r="KFQ51" s="19"/>
      <c r="KFR51" s="19"/>
      <c r="KFS51" s="19"/>
      <c r="KFT51" s="19"/>
      <c r="KFU51" s="19"/>
      <c r="KFV51" s="19"/>
      <c r="KFW51" s="19"/>
      <c r="KFX51" s="19"/>
      <c r="KFY51" s="19"/>
      <c r="KFZ51" s="19"/>
      <c r="KGA51" s="19"/>
      <c r="KGB51" s="19"/>
      <c r="KGC51" s="19"/>
      <c r="KGD51" s="19"/>
      <c r="KGE51" s="19"/>
      <c r="KGF51" s="19"/>
      <c r="KGG51" s="19"/>
      <c r="KGH51" s="19"/>
      <c r="KGI51" s="19"/>
      <c r="KGJ51" s="19"/>
      <c r="KGK51" s="19"/>
      <c r="KGL51" s="19"/>
      <c r="KGM51" s="19"/>
      <c r="KGN51" s="19"/>
      <c r="KGO51" s="19"/>
      <c r="KGP51" s="19"/>
      <c r="KGQ51" s="19"/>
      <c r="KGR51" s="19"/>
      <c r="KGS51" s="19"/>
      <c r="KGT51" s="19"/>
      <c r="KGU51" s="19"/>
      <c r="KGV51" s="19"/>
      <c r="KGW51" s="19"/>
      <c r="KGX51" s="19"/>
      <c r="KGY51" s="19"/>
      <c r="KGZ51" s="19"/>
      <c r="KHA51" s="19"/>
      <c r="KHB51" s="19"/>
      <c r="KHC51" s="19"/>
      <c r="KHD51" s="19"/>
      <c r="KHE51" s="19"/>
      <c r="KHF51" s="19"/>
      <c r="KHG51" s="19"/>
      <c r="KHH51" s="19"/>
      <c r="KHI51" s="19"/>
      <c r="KHJ51" s="19"/>
      <c r="KHK51" s="19"/>
      <c r="KHL51" s="19"/>
      <c r="KHM51" s="19"/>
      <c r="KHN51" s="19"/>
      <c r="KHO51" s="19"/>
      <c r="KHP51" s="19"/>
      <c r="KHQ51" s="19"/>
      <c r="KHR51" s="19"/>
      <c r="KHS51" s="19"/>
      <c r="KHT51" s="19"/>
      <c r="KHU51" s="19"/>
      <c r="KHV51" s="19"/>
      <c r="KHW51" s="19"/>
      <c r="KHX51" s="19"/>
      <c r="KHY51" s="19"/>
      <c r="KHZ51" s="19"/>
      <c r="KIA51" s="19"/>
      <c r="KIB51" s="19"/>
      <c r="KIC51" s="19"/>
      <c r="KID51" s="19"/>
      <c r="KIE51" s="19"/>
      <c r="KIF51" s="19"/>
      <c r="KIG51" s="19"/>
      <c r="KIH51" s="19"/>
      <c r="KII51" s="19"/>
      <c r="KIJ51" s="19"/>
      <c r="KIK51" s="19"/>
      <c r="KIL51" s="19"/>
      <c r="KIM51" s="19"/>
      <c r="KIN51" s="19"/>
      <c r="KIO51" s="19"/>
      <c r="KIP51" s="19"/>
      <c r="KIQ51" s="19"/>
      <c r="KIR51" s="19"/>
      <c r="KIS51" s="19"/>
      <c r="KIT51" s="19"/>
      <c r="KIU51" s="19"/>
      <c r="KIV51" s="19"/>
      <c r="KIW51" s="19"/>
      <c r="KIX51" s="19"/>
      <c r="KIY51" s="19"/>
      <c r="KIZ51" s="19"/>
      <c r="KJA51" s="19"/>
      <c r="KJB51" s="19"/>
      <c r="KJC51" s="19"/>
      <c r="KJD51" s="19"/>
      <c r="KJE51" s="19"/>
      <c r="KJF51" s="19"/>
      <c r="KJG51" s="19"/>
      <c r="KJH51" s="19"/>
      <c r="KJI51" s="19"/>
      <c r="KJJ51" s="19"/>
      <c r="KJK51" s="19"/>
      <c r="KJL51" s="19"/>
      <c r="KJM51" s="19"/>
      <c r="KJN51" s="19"/>
      <c r="KJO51" s="19"/>
      <c r="KJP51" s="19"/>
      <c r="KJQ51" s="19"/>
      <c r="KJR51" s="19"/>
      <c r="KJS51" s="19"/>
      <c r="KJT51" s="19"/>
      <c r="KJU51" s="19"/>
      <c r="KJV51" s="19"/>
      <c r="KJW51" s="19"/>
      <c r="KJX51" s="19"/>
      <c r="KJY51" s="19"/>
      <c r="KJZ51" s="19"/>
      <c r="KKA51" s="19"/>
      <c r="KKB51" s="19"/>
      <c r="KKC51" s="19"/>
      <c r="KKD51" s="19"/>
      <c r="KKE51" s="19"/>
      <c r="KKF51" s="19"/>
      <c r="KKG51" s="19"/>
      <c r="KKH51" s="19"/>
      <c r="KKI51" s="19"/>
      <c r="KKJ51" s="19"/>
      <c r="KKK51" s="19"/>
      <c r="KKL51" s="19"/>
      <c r="KKM51" s="19"/>
      <c r="KKN51" s="19"/>
      <c r="KKO51" s="19"/>
      <c r="KKP51" s="19"/>
      <c r="KKQ51" s="19"/>
      <c r="KKR51" s="19"/>
      <c r="KKS51" s="19"/>
      <c r="KKT51" s="19"/>
      <c r="KKU51" s="19"/>
      <c r="KKV51" s="19"/>
      <c r="KKW51" s="19"/>
      <c r="KKX51" s="19"/>
      <c r="KKY51" s="19"/>
      <c r="KKZ51" s="19"/>
      <c r="KLA51" s="19"/>
      <c r="KLB51" s="19"/>
      <c r="KLC51" s="19"/>
      <c r="KLD51" s="19"/>
      <c r="KLE51" s="19"/>
      <c r="KLF51" s="19"/>
      <c r="KLG51" s="19"/>
      <c r="KLH51" s="19"/>
      <c r="KLI51" s="19"/>
      <c r="KLJ51" s="19"/>
      <c r="KLK51" s="19"/>
      <c r="KLL51" s="19"/>
      <c r="KLM51" s="19"/>
      <c r="KLN51" s="19"/>
      <c r="KLO51" s="19"/>
      <c r="KLP51" s="19"/>
      <c r="KLQ51" s="19"/>
      <c r="KLR51" s="19"/>
      <c r="KLS51" s="19"/>
      <c r="KLT51" s="19"/>
      <c r="KLU51" s="19"/>
      <c r="KLV51" s="19"/>
      <c r="KLW51" s="19"/>
      <c r="KLX51" s="19"/>
      <c r="KLY51" s="19"/>
      <c r="KLZ51" s="19"/>
      <c r="KMA51" s="19"/>
      <c r="KMB51" s="19"/>
      <c r="KMC51" s="19"/>
      <c r="KMD51" s="19"/>
      <c r="KME51" s="19"/>
      <c r="KMF51" s="19"/>
      <c r="KMG51" s="19"/>
      <c r="KMH51" s="19"/>
      <c r="KMI51" s="19"/>
      <c r="KMJ51" s="19"/>
      <c r="KMK51" s="19"/>
      <c r="KML51" s="19"/>
      <c r="KMM51" s="19"/>
      <c r="KMN51" s="19"/>
      <c r="KMO51" s="19"/>
      <c r="KMP51" s="19"/>
      <c r="KMQ51" s="19"/>
      <c r="KMR51" s="19"/>
      <c r="KMS51" s="19"/>
      <c r="KMT51" s="19"/>
      <c r="KMU51" s="19"/>
      <c r="KMV51" s="19"/>
      <c r="KMW51" s="19"/>
      <c r="KMX51" s="19"/>
      <c r="KMY51" s="19"/>
      <c r="KMZ51" s="19"/>
      <c r="KNA51" s="19"/>
      <c r="KNB51" s="19"/>
      <c r="KNC51" s="19"/>
      <c r="KND51" s="19"/>
      <c r="KNE51" s="19"/>
      <c r="KNF51" s="19"/>
      <c r="KNG51" s="19"/>
      <c r="KNH51" s="19"/>
      <c r="KNI51" s="19"/>
      <c r="KNJ51" s="19"/>
      <c r="KNK51" s="19"/>
      <c r="KNL51" s="19"/>
      <c r="KNM51" s="19"/>
      <c r="KNN51" s="19"/>
      <c r="KNO51" s="19"/>
      <c r="KNP51" s="19"/>
      <c r="KNQ51" s="19"/>
      <c r="KNR51" s="19"/>
      <c r="KNS51" s="19"/>
      <c r="KNT51" s="19"/>
      <c r="KNU51" s="19"/>
      <c r="KNV51" s="19"/>
      <c r="KNW51" s="19"/>
      <c r="KNX51" s="19"/>
      <c r="KNY51" s="19"/>
      <c r="KNZ51" s="19"/>
      <c r="KOA51" s="19"/>
      <c r="KOB51" s="19"/>
      <c r="KOC51" s="19"/>
      <c r="KOD51" s="19"/>
      <c r="KOE51" s="19"/>
      <c r="KOF51" s="19"/>
      <c r="KOG51" s="19"/>
      <c r="KOH51" s="19"/>
      <c r="KOI51" s="19"/>
      <c r="KOJ51" s="19"/>
      <c r="KOK51" s="19"/>
      <c r="KOL51" s="19"/>
      <c r="KOM51" s="19"/>
      <c r="KON51" s="19"/>
      <c r="KOO51" s="19"/>
      <c r="KOP51" s="19"/>
      <c r="KOQ51" s="19"/>
      <c r="KOR51" s="19"/>
      <c r="KOS51" s="19"/>
      <c r="KOT51" s="19"/>
      <c r="KOU51" s="19"/>
      <c r="KOV51" s="19"/>
      <c r="KOW51" s="19"/>
      <c r="KOX51" s="19"/>
      <c r="KOY51" s="19"/>
      <c r="KOZ51" s="19"/>
      <c r="KPA51" s="19"/>
      <c r="KPB51" s="19"/>
      <c r="KPC51" s="19"/>
      <c r="KPD51" s="19"/>
      <c r="KPE51" s="19"/>
      <c r="KPF51" s="19"/>
      <c r="KPG51" s="19"/>
      <c r="KPH51" s="19"/>
      <c r="KPI51" s="19"/>
      <c r="KPJ51" s="19"/>
      <c r="KPK51" s="19"/>
      <c r="KPL51" s="19"/>
      <c r="KPM51" s="19"/>
      <c r="KPN51" s="19"/>
      <c r="KPO51" s="19"/>
      <c r="KPP51" s="19"/>
      <c r="KPQ51" s="19"/>
      <c r="KPR51" s="19"/>
      <c r="KPS51" s="19"/>
      <c r="KPT51" s="19"/>
      <c r="KPU51" s="19"/>
      <c r="KPV51" s="19"/>
      <c r="KPW51" s="19"/>
      <c r="KPX51" s="19"/>
      <c r="KPY51" s="19"/>
      <c r="KPZ51" s="19"/>
      <c r="KQA51" s="19"/>
      <c r="KQB51" s="19"/>
      <c r="KQC51" s="19"/>
      <c r="KQD51" s="19"/>
      <c r="KQE51" s="19"/>
      <c r="KQF51" s="19"/>
      <c r="KQG51" s="19"/>
      <c r="KQH51" s="19"/>
      <c r="KQI51" s="19"/>
      <c r="KQJ51" s="19"/>
      <c r="KQK51" s="19"/>
      <c r="KQL51" s="19"/>
      <c r="KQM51" s="19"/>
      <c r="KQN51" s="19"/>
      <c r="KQO51" s="19"/>
      <c r="KQP51" s="19"/>
      <c r="KQQ51" s="19"/>
      <c r="KQR51" s="19"/>
      <c r="KQS51" s="19"/>
      <c r="KQT51" s="19"/>
      <c r="KQU51" s="19"/>
      <c r="KQV51" s="19"/>
      <c r="KQW51" s="19"/>
      <c r="KQX51" s="19"/>
      <c r="KQY51" s="19"/>
      <c r="KQZ51" s="19"/>
      <c r="KRA51" s="19"/>
      <c r="KRB51" s="19"/>
      <c r="KRC51" s="19"/>
      <c r="KRD51" s="19"/>
      <c r="KRE51" s="19"/>
      <c r="KRF51" s="19"/>
      <c r="KRG51" s="19"/>
      <c r="KRH51" s="19"/>
      <c r="KRI51" s="19"/>
      <c r="KRJ51" s="19"/>
      <c r="KRK51" s="19"/>
      <c r="KRL51" s="19"/>
      <c r="KRM51" s="19"/>
      <c r="KRN51" s="19"/>
      <c r="KRO51" s="19"/>
      <c r="KRP51" s="19"/>
      <c r="KRQ51" s="19"/>
      <c r="KRR51" s="19"/>
      <c r="KRS51" s="19"/>
      <c r="KRT51" s="19"/>
      <c r="KRU51" s="19"/>
      <c r="KRV51" s="19"/>
      <c r="KRW51" s="19"/>
      <c r="KRX51" s="19"/>
      <c r="KRY51" s="19"/>
      <c r="KRZ51" s="19"/>
      <c r="KSA51" s="19"/>
      <c r="KSB51" s="19"/>
      <c r="KSC51" s="19"/>
      <c r="KSD51" s="19"/>
      <c r="KSE51" s="19"/>
      <c r="KSF51" s="19"/>
      <c r="KSG51" s="19"/>
      <c r="KSH51" s="19"/>
      <c r="KSI51" s="19"/>
      <c r="KSJ51" s="19"/>
      <c r="KSK51" s="19"/>
      <c r="KSL51" s="19"/>
      <c r="KSM51" s="19"/>
      <c r="KSN51" s="19"/>
      <c r="KSO51" s="19"/>
      <c r="KSP51" s="19"/>
      <c r="KSQ51" s="19"/>
      <c r="KSR51" s="19"/>
      <c r="KSS51" s="19"/>
      <c r="KST51" s="19"/>
      <c r="KSU51" s="19"/>
      <c r="KSV51" s="19"/>
      <c r="KSW51" s="19"/>
      <c r="KSX51" s="19"/>
      <c r="KSY51" s="19"/>
      <c r="KSZ51" s="19"/>
      <c r="KTA51" s="19"/>
      <c r="KTB51" s="19"/>
      <c r="KTC51" s="19"/>
      <c r="KTD51" s="19"/>
      <c r="KTE51" s="19"/>
      <c r="KTF51" s="19"/>
      <c r="KTG51" s="19"/>
      <c r="KTH51" s="19"/>
      <c r="KTI51" s="19"/>
      <c r="KTJ51" s="19"/>
      <c r="KTK51" s="19"/>
      <c r="KTL51" s="19"/>
      <c r="KTM51" s="19"/>
      <c r="KTN51" s="19"/>
      <c r="KTO51" s="19"/>
      <c r="KTP51" s="19"/>
      <c r="KTQ51" s="19"/>
      <c r="KTR51" s="19"/>
      <c r="KTS51" s="19"/>
      <c r="KTT51" s="19"/>
      <c r="KTU51" s="19"/>
      <c r="KTV51" s="19"/>
      <c r="KTW51" s="19"/>
      <c r="KTX51" s="19"/>
      <c r="KTY51" s="19"/>
      <c r="KTZ51" s="19"/>
      <c r="KUA51" s="19"/>
      <c r="KUB51" s="19"/>
      <c r="KUC51" s="19"/>
      <c r="KUD51" s="19"/>
      <c r="KUE51" s="19"/>
      <c r="KUF51" s="19"/>
      <c r="KUG51" s="19"/>
      <c r="KUH51" s="19"/>
      <c r="KUI51" s="19"/>
      <c r="KUJ51" s="19"/>
      <c r="KUK51" s="19"/>
      <c r="KUL51" s="19"/>
      <c r="KUM51" s="19"/>
      <c r="KUN51" s="19"/>
      <c r="KUO51" s="19"/>
      <c r="KUP51" s="19"/>
      <c r="KUQ51" s="19"/>
      <c r="KUR51" s="19"/>
      <c r="KUS51" s="19"/>
      <c r="KUT51" s="19"/>
      <c r="KUU51" s="19"/>
      <c r="KUV51" s="19"/>
      <c r="KUW51" s="19"/>
      <c r="KUX51" s="19"/>
      <c r="KUY51" s="19"/>
      <c r="KUZ51" s="19"/>
      <c r="KVA51" s="19"/>
      <c r="KVB51" s="19"/>
      <c r="KVC51" s="19"/>
      <c r="KVD51" s="19"/>
      <c r="KVE51" s="19"/>
      <c r="KVF51" s="19"/>
      <c r="KVG51" s="19"/>
      <c r="KVH51" s="19"/>
      <c r="KVI51" s="19"/>
      <c r="KVJ51" s="19"/>
      <c r="KVK51" s="19"/>
      <c r="KVL51" s="19"/>
      <c r="KVM51" s="19"/>
      <c r="KVN51" s="19"/>
      <c r="KVO51" s="19"/>
      <c r="KVP51" s="19"/>
      <c r="KVQ51" s="19"/>
      <c r="KVR51" s="19"/>
      <c r="KVS51" s="19"/>
      <c r="KVT51" s="19"/>
      <c r="KVU51" s="19"/>
      <c r="KVV51" s="19"/>
      <c r="KVW51" s="19"/>
      <c r="KVX51" s="19"/>
      <c r="KVY51" s="19"/>
      <c r="KVZ51" s="19"/>
      <c r="KWA51" s="19"/>
      <c r="KWB51" s="19"/>
      <c r="KWC51" s="19"/>
      <c r="KWD51" s="19"/>
      <c r="KWE51" s="19"/>
      <c r="KWF51" s="19"/>
      <c r="KWG51" s="19"/>
      <c r="KWH51" s="19"/>
      <c r="KWI51" s="19"/>
      <c r="KWJ51" s="19"/>
      <c r="KWK51" s="19"/>
      <c r="KWL51" s="19"/>
      <c r="KWM51" s="19"/>
      <c r="KWN51" s="19"/>
      <c r="KWO51" s="19"/>
      <c r="KWP51" s="19"/>
      <c r="KWQ51" s="19"/>
      <c r="KWR51" s="19"/>
      <c r="KWS51" s="19"/>
      <c r="KWT51" s="19"/>
      <c r="KWU51" s="19"/>
      <c r="KWV51" s="19"/>
      <c r="KWW51" s="19"/>
      <c r="KWX51" s="19"/>
      <c r="KWY51" s="19"/>
      <c r="KWZ51" s="19"/>
      <c r="KXA51" s="19"/>
      <c r="KXB51" s="19"/>
      <c r="KXC51" s="19"/>
      <c r="KXD51" s="19"/>
      <c r="KXE51" s="19"/>
      <c r="KXF51" s="19"/>
      <c r="KXG51" s="19"/>
      <c r="KXH51" s="19"/>
      <c r="KXI51" s="19"/>
      <c r="KXJ51" s="19"/>
      <c r="KXK51" s="19"/>
      <c r="KXL51" s="19"/>
      <c r="KXM51" s="19"/>
      <c r="KXN51" s="19"/>
      <c r="KXO51" s="19"/>
      <c r="KXP51" s="19"/>
      <c r="KXQ51" s="19"/>
      <c r="KXR51" s="19"/>
      <c r="KXS51" s="19"/>
      <c r="KXT51" s="19"/>
      <c r="KXU51" s="19"/>
      <c r="KXV51" s="19"/>
      <c r="KXW51" s="19"/>
      <c r="KXX51" s="19"/>
      <c r="KXY51" s="19"/>
      <c r="KXZ51" s="19"/>
      <c r="KYA51" s="19"/>
      <c r="KYB51" s="19"/>
      <c r="KYC51" s="19"/>
      <c r="KYD51" s="19"/>
      <c r="KYE51" s="19"/>
      <c r="KYF51" s="19"/>
      <c r="KYG51" s="19"/>
      <c r="KYH51" s="19"/>
      <c r="KYI51" s="19"/>
      <c r="KYJ51" s="19"/>
      <c r="KYK51" s="19"/>
      <c r="KYL51" s="19"/>
      <c r="KYM51" s="19"/>
      <c r="KYN51" s="19"/>
      <c r="KYO51" s="19"/>
      <c r="KYP51" s="19"/>
      <c r="KYQ51" s="19"/>
      <c r="KYR51" s="19"/>
      <c r="KYS51" s="19"/>
      <c r="KYT51" s="19"/>
      <c r="KYU51" s="19"/>
      <c r="KYV51" s="19"/>
      <c r="KYW51" s="19"/>
      <c r="KYX51" s="19"/>
      <c r="KYY51" s="19"/>
      <c r="KYZ51" s="19"/>
      <c r="KZA51" s="19"/>
      <c r="KZB51" s="19"/>
      <c r="KZC51" s="19"/>
      <c r="KZD51" s="19"/>
      <c r="KZE51" s="19"/>
      <c r="KZF51" s="19"/>
      <c r="KZG51" s="19"/>
      <c r="KZH51" s="19"/>
      <c r="KZI51" s="19"/>
      <c r="KZJ51" s="19"/>
      <c r="KZK51" s="19"/>
      <c r="KZL51" s="19"/>
      <c r="KZM51" s="19"/>
      <c r="KZN51" s="19"/>
      <c r="KZO51" s="19"/>
      <c r="KZP51" s="19"/>
      <c r="KZQ51" s="19"/>
      <c r="KZR51" s="19"/>
      <c r="KZS51" s="19"/>
      <c r="KZT51" s="19"/>
      <c r="KZU51" s="19"/>
      <c r="KZV51" s="19"/>
      <c r="KZW51" s="19"/>
      <c r="KZX51" s="19"/>
      <c r="KZY51" s="19"/>
      <c r="KZZ51" s="19"/>
      <c r="LAA51" s="19"/>
      <c r="LAB51" s="19"/>
      <c r="LAC51" s="19"/>
      <c r="LAD51" s="19"/>
      <c r="LAE51" s="19"/>
      <c r="LAF51" s="19"/>
      <c r="LAG51" s="19"/>
      <c r="LAH51" s="19"/>
      <c r="LAI51" s="19"/>
      <c r="LAJ51" s="19"/>
      <c r="LAK51" s="19"/>
      <c r="LAL51" s="19"/>
      <c r="LAM51" s="19"/>
      <c r="LAN51" s="19"/>
      <c r="LAO51" s="19"/>
      <c r="LAP51" s="19"/>
      <c r="LAQ51" s="19"/>
      <c r="LAR51" s="19"/>
      <c r="LAS51" s="19"/>
      <c r="LAT51" s="19"/>
      <c r="LAU51" s="19"/>
      <c r="LAV51" s="19"/>
      <c r="LAW51" s="19"/>
      <c r="LAX51" s="19"/>
      <c r="LAY51" s="19"/>
      <c r="LAZ51" s="19"/>
      <c r="LBA51" s="19"/>
      <c r="LBB51" s="19"/>
      <c r="LBC51" s="19"/>
      <c r="LBD51" s="19"/>
      <c r="LBE51" s="19"/>
      <c r="LBF51" s="19"/>
      <c r="LBG51" s="19"/>
      <c r="LBH51" s="19"/>
      <c r="LBI51" s="19"/>
      <c r="LBJ51" s="19"/>
      <c r="LBK51" s="19"/>
      <c r="LBL51" s="19"/>
      <c r="LBM51" s="19"/>
      <c r="LBN51" s="19"/>
      <c r="LBO51" s="19"/>
      <c r="LBP51" s="19"/>
      <c r="LBQ51" s="19"/>
      <c r="LBR51" s="19"/>
      <c r="LBS51" s="19"/>
      <c r="LBT51" s="19"/>
      <c r="LBU51" s="19"/>
      <c r="LBV51" s="19"/>
      <c r="LBW51" s="19"/>
      <c r="LBX51" s="19"/>
      <c r="LBY51" s="19"/>
      <c r="LBZ51" s="19"/>
      <c r="LCA51" s="19"/>
      <c r="LCB51" s="19"/>
      <c r="LCC51" s="19"/>
      <c r="LCD51" s="19"/>
      <c r="LCE51" s="19"/>
      <c r="LCF51" s="19"/>
      <c r="LCG51" s="19"/>
      <c r="LCH51" s="19"/>
      <c r="LCI51" s="19"/>
      <c r="LCJ51" s="19"/>
      <c r="LCK51" s="19"/>
      <c r="LCL51" s="19"/>
      <c r="LCM51" s="19"/>
      <c r="LCN51" s="19"/>
      <c r="LCO51" s="19"/>
      <c r="LCP51" s="19"/>
      <c r="LCQ51" s="19"/>
      <c r="LCR51" s="19"/>
      <c r="LCS51" s="19"/>
      <c r="LCT51" s="19"/>
      <c r="LCU51" s="19"/>
      <c r="LCV51" s="19"/>
      <c r="LCW51" s="19"/>
      <c r="LCX51" s="19"/>
      <c r="LCY51" s="19"/>
      <c r="LCZ51" s="19"/>
      <c r="LDA51" s="19"/>
      <c r="LDB51" s="19"/>
      <c r="LDC51" s="19"/>
      <c r="LDD51" s="19"/>
      <c r="LDE51" s="19"/>
      <c r="LDF51" s="19"/>
      <c r="LDG51" s="19"/>
      <c r="LDH51" s="19"/>
      <c r="LDI51" s="19"/>
      <c r="LDJ51" s="19"/>
      <c r="LDK51" s="19"/>
      <c r="LDL51" s="19"/>
      <c r="LDM51" s="19"/>
      <c r="LDN51" s="19"/>
      <c r="LDO51" s="19"/>
      <c r="LDP51" s="19"/>
      <c r="LDQ51" s="19"/>
      <c r="LDR51" s="19"/>
      <c r="LDS51" s="19"/>
      <c r="LDT51" s="19"/>
      <c r="LDU51" s="19"/>
      <c r="LDV51" s="19"/>
      <c r="LDW51" s="19"/>
      <c r="LDX51" s="19"/>
      <c r="LDY51" s="19"/>
      <c r="LDZ51" s="19"/>
      <c r="LEA51" s="19"/>
      <c r="LEB51" s="19"/>
      <c r="LEC51" s="19"/>
      <c r="LED51" s="19"/>
      <c r="LEE51" s="19"/>
      <c r="LEF51" s="19"/>
      <c r="LEG51" s="19"/>
      <c r="LEH51" s="19"/>
      <c r="LEI51" s="19"/>
      <c r="LEJ51" s="19"/>
      <c r="LEK51" s="19"/>
      <c r="LEL51" s="19"/>
      <c r="LEM51" s="19"/>
      <c r="LEN51" s="19"/>
      <c r="LEO51" s="19"/>
      <c r="LEP51" s="19"/>
      <c r="LEQ51" s="19"/>
      <c r="LER51" s="19"/>
      <c r="LES51" s="19"/>
      <c r="LET51" s="19"/>
      <c r="LEU51" s="19"/>
      <c r="LEV51" s="19"/>
      <c r="LEW51" s="19"/>
      <c r="LEX51" s="19"/>
      <c r="LEY51" s="19"/>
      <c r="LEZ51" s="19"/>
      <c r="LFA51" s="19"/>
      <c r="LFB51" s="19"/>
      <c r="LFC51" s="19"/>
      <c r="LFD51" s="19"/>
      <c r="LFE51" s="19"/>
      <c r="LFF51" s="19"/>
      <c r="LFG51" s="19"/>
      <c r="LFH51" s="19"/>
      <c r="LFI51" s="19"/>
      <c r="LFJ51" s="19"/>
      <c r="LFK51" s="19"/>
      <c r="LFL51" s="19"/>
      <c r="LFM51" s="19"/>
      <c r="LFN51" s="19"/>
      <c r="LFO51" s="19"/>
      <c r="LFP51" s="19"/>
      <c r="LFQ51" s="19"/>
      <c r="LFR51" s="19"/>
      <c r="LFS51" s="19"/>
      <c r="LFT51" s="19"/>
      <c r="LFU51" s="19"/>
      <c r="LFV51" s="19"/>
      <c r="LFW51" s="19"/>
      <c r="LFX51" s="19"/>
      <c r="LFY51" s="19"/>
      <c r="LFZ51" s="19"/>
      <c r="LGA51" s="19"/>
      <c r="LGB51" s="19"/>
      <c r="LGC51" s="19"/>
      <c r="LGD51" s="19"/>
      <c r="LGE51" s="19"/>
      <c r="LGF51" s="19"/>
      <c r="LGG51" s="19"/>
      <c r="LGH51" s="19"/>
      <c r="LGI51" s="19"/>
      <c r="LGJ51" s="19"/>
      <c r="LGK51" s="19"/>
      <c r="LGL51" s="19"/>
      <c r="LGM51" s="19"/>
      <c r="LGN51" s="19"/>
      <c r="LGO51" s="19"/>
      <c r="LGP51" s="19"/>
      <c r="LGQ51" s="19"/>
      <c r="LGR51" s="19"/>
      <c r="LGS51" s="19"/>
      <c r="LGT51" s="19"/>
      <c r="LGU51" s="19"/>
      <c r="LGV51" s="19"/>
      <c r="LGW51" s="19"/>
      <c r="LGX51" s="19"/>
      <c r="LGY51" s="19"/>
      <c r="LGZ51" s="19"/>
      <c r="LHA51" s="19"/>
      <c r="LHB51" s="19"/>
      <c r="LHC51" s="19"/>
      <c r="LHD51" s="19"/>
      <c r="LHE51" s="19"/>
      <c r="LHF51" s="19"/>
      <c r="LHG51" s="19"/>
      <c r="LHH51" s="19"/>
      <c r="LHI51" s="19"/>
      <c r="LHJ51" s="19"/>
      <c r="LHK51" s="19"/>
      <c r="LHL51" s="19"/>
      <c r="LHM51" s="19"/>
      <c r="LHN51" s="19"/>
      <c r="LHO51" s="19"/>
      <c r="LHP51" s="19"/>
      <c r="LHQ51" s="19"/>
      <c r="LHR51" s="19"/>
      <c r="LHS51" s="19"/>
      <c r="LHT51" s="19"/>
      <c r="LHU51" s="19"/>
      <c r="LHV51" s="19"/>
      <c r="LHW51" s="19"/>
      <c r="LHX51" s="19"/>
      <c r="LHY51" s="19"/>
      <c r="LHZ51" s="19"/>
      <c r="LIA51" s="19"/>
      <c r="LIB51" s="19"/>
      <c r="LIC51" s="19"/>
      <c r="LID51" s="19"/>
      <c r="LIE51" s="19"/>
      <c r="LIF51" s="19"/>
      <c r="LIG51" s="19"/>
      <c r="LIH51" s="19"/>
      <c r="LII51" s="19"/>
      <c r="LIJ51" s="19"/>
      <c r="LIK51" s="19"/>
      <c r="LIL51" s="19"/>
      <c r="LIM51" s="19"/>
      <c r="LIN51" s="19"/>
      <c r="LIO51" s="19"/>
      <c r="LIP51" s="19"/>
      <c r="LIQ51" s="19"/>
      <c r="LIR51" s="19"/>
      <c r="LIS51" s="19"/>
      <c r="LIT51" s="19"/>
      <c r="LIU51" s="19"/>
      <c r="LIV51" s="19"/>
      <c r="LIW51" s="19"/>
      <c r="LIX51" s="19"/>
      <c r="LIY51" s="19"/>
      <c r="LIZ51" s="19"/>
      <c r="LJA51" s="19"/>
      <c r="LJB51" s="19"/>
      <c r="LJC51" s="19"/>
      <c r="LJD51" s="19"/>
      <c r="LJE51" s="19"/>
      <c r="LJF51" s="19"/>
      <c r="LJG51" s="19"/>
      <c r="LJH51" s="19"/>
      <c r="LJI51" s="19"/>
      <c r="LJJ51" s="19"/>
      <c r="LJK51" s="19"/>
      <c r="LJL51" s="19"/>
      <c r="LJM51" s="19"/>
      <c r="LJN51" s="19"/>
      <c r="LJO51" s="19"/>
      <c r="LJP51" s="19"/>
      <c r="LJQ51" s="19"/>
      <c r="LJR51" s="19"/>
      <c r="LJS51" s="19"/>
      <c r="LJT51" s="19"/>
      <c r="LJU51" s="19"/>
      <c r="LJV51" s="19"/>
      <c r="LJW51" s="19"/>
      <c r="LJX51" s="19"/>
      <c r="LJY51" s="19"/>
      <c r="LJZ51" s="19"/>
      <c r="LKA51" s="19"/>
      <c r="LKB51" s="19"/>
      <c r="LKC51" s="19"/>
      <c r="LKD51" s="19"/>
      <c r="LKE51" s="19"/>
      <c r="LKF51" s="19"/>
      <c r="LKG51" s="19"/>
      <c r="LKH51" s="19"/>
      <c r="LKI51" s="19"/>
      <c r="LKJ51" s="19"/>
      <c r="LKK51" s="19"/>
      <c r="LKL51" s="19"/>
      <c r="LKM51" s="19"/>
      <c r="LKN51" s="19"/>
      <c r="LKO51" s="19"/>
      <c r="LKP51" s="19"/>
      <c r="LKQ51" s="19"/>
      <c r="LKR51" s="19"/>
      <c r="LKS51" s="19"/>
      <c r="LKT51" s="19"/>
      <c r="LKU51" s="19"/>
      <c r="LKV51" s="19"/>
      <c r="LKW51" s="19"/>
      <c r="LKX51" s="19"/>
      <c r="LKY51" s="19"/>
      <c r="LKZ51" s="19"/>
      <c r="LLA51" s="19"/>
      <c r="LLB51" s="19"/>
      <c r="LLC51" s="19"/>
      <c r="LLD51" s="19"/>
      <c r="LLE51" s="19"/>
      <c r="LLF51" s="19"/>
      <c r="LLG51" s="19"/>
      <c r="LLH51" s="19"/>
      <c r="LLI51" s="19"/>
      <c r="LLJ51" s="19"/>
      <c r="LLK51" s="19"/>
      <c r="LLL51" s="19"/>
      <c r="LLM51" s="19"/>
      <c r="LLN51" s="19"/>
      <c r="LLO51" s="19"/>
      <c r="LLP51" s="19"/>
      <c r="LLQ51" s="19"/>
      <c r="LLR51" s="19"/>
      <c r="LLS51" s="19"/>
      <c r="LLT51" s="19"/>
      <c r="LLU51" s="19"/>
      <c r="LLV51" s="19"/>
      <c r="LLW51" s="19"/>
      <c r="LLX51" s="19"/>
      <c r="LLY51" s="19"/>
      <c r="LLZ51" s="19"/>
      <c r="LMA51" s="19"/>
      <c r="LMB51" s="19"/>
      <c r="LMC51" s="19"/>
      <c r="LMD51" s="19"/>
      <c r="LME51" s="19"/>
      <c r="LMF51" s="19"/>
      <c r="LMG51" s="19"/>
      <c r="LMH51" s="19"/>
      <c r="LMI51" s="19"/>
      <c r="LMJ51" s="19"/>
      <c r="LMK51" s="19"/>
      <c r="LML51" s="19"/>
      <c r="LMM51" s="19"/>
      <c r="LMN51" s="19"/>
      <c r="LMO51" s="19"/>
      <c r="LMP51" s="19"/>
      <c r="LMQ51" s="19"/>
      <c r="LMR51" s="19"/>
      <c r="LMS51" s="19"/>
      <c r="LMT51" s="19"/>
      <c r="LMU51" s="19"/>
      <c r="LMV51" s="19"/>
      <c r="LMW51" s="19"/>
      <c r="LMX51" s="19"/>
      <c r="LMY51" s="19"/>
      <c r="LMZ51" s="19"/>
      <c r="LNA51" s="19"/>
      <c r="LNB51" s="19"/>
      <c r="LNC51" s="19"/>
      <c r="LND51" s="19"/>
      <c r="LNE51" s="19"/>
      <c r="LNF51" s="19"/>
      <c r="LNG51" s="19"/>
      <c r="LNH51" s="19"/>
      <c r="LNI51" s="19"/>
      <c r="LNJ51" s="19"/>
      <c r="LNK51" s="19"/>
      <c r="LNL51" s="19"/>
      <c r="LNM51" s="19"/>
      <c r="LNN51" s="19"/>
      <c r="LNO51" s="19"/>
      <c r="LNP51" s="19"/>
      <c r="LNQ51" s="19"/>
      <c r="LNR51" s="19"/>
      <c r="LNS51" s="19"/>
      <c r="LNT51" s="19"/>
      <c r="LNU51" s="19"/>
      <c r="LNV51" s="19"/>
      <c r="LNW51" s="19"/>
      <c r="LNX51" s="19"/>
      <c r="LNY51" s="19"/>
      <c r="LNZ51" s="19"/>
      <c r="LOA51" s="19"/>
      <c r="LOB51" s="19"/>
      <c r="LOC51" s="19"/>
      <c r="LOD51" s="19"/>
      <c r="LOE51" s="19"/>
      <c r="LOF51" s="19"/>
      <c r="LOG51" s="19"/>
      <c r="LOH51" s="19"/>
      <c r="LOI51" s="19"/>
      <c r="LOJ51" s="19"/>
      <c r="LOK51" s="19"/>
      <c r="LOL51" s="19"/>
      <c r="LOM51" s="19"/>
      <c r="LON51" s="19"/>
      <c r="LOO51" s="19"/>
      <c r="LOP51" s="19"/>
      <c r="LOQ51" s="19"/>
      <c r="LOR51" s="19"/>
      <c r="LOS51" s="19"/>
      <c r="LOT51" s="19"/>
      <c r="LOU51" s="19"/>
      <c r="LOV51" s="19"/>
      <c r="LOW51" s="19"/>
      <c r="LOX51" s="19"/>
      <c r="LOY51" s="19"/>
      <c r="LOZ51" s="19"/>
      <c r="LPA51" s="19"/>
      <c r="LPB51" s="19"/>
      <c r="LPC51" s="19"/>
      <c r="LPD51" s="19"/>
      <c r="LPE51" s="19"/>
      <c r="LPF51" s="19"/>
      <c r="LPG51" s="19"/>
      <c r="LPH51" s="19"/>
      <c r="LPI51" s="19"/>
      <c r="LPJ51" s="19"/>
      <c r="LPK51" s="19"/>
      <c r="LPL51" s="19"/>
      <c r="LPM51" s="19"/>
      <c r="LPN51" s="19"/>
      <c r="LPO51" s="19"/>
      <c r="LPP51" s="19"/>
      <c r="LPQ51" s="19"/>
      <c r="LPR51" s="19"/>
      <c r="LPS51" s="19"/>
      <c r="LPT51" s="19"/>
      <c r="LPU51" s="19"/>
      <c r="LPV51" s="19"/>
      <c r="LPW51" s="19"/>
      <c r="LPX51" s="19"/>
      <c r="LPY51" s="19"/>
      <c r="LPZ51" s="19"/>
      <c r="LQA51" s="19"/>
      <c r="LQB51" s="19"/>
      <c r="LQC51" s="19"/>
      <c r="LQD51" s="19"/>
      <c r="LQE51" s="19"/>
      <c r="LQF51" s="19"/>
      <c r="LQG51" s="19"/>
      <c r="LQH51" s="19"/>
      <c r="LQI51" s="19"/>
      <c r="LQJ51" s="19"/>
      <c r="LQK51" s="19"/>
      <c r="LQL51" s="19"/>
      <c r="LQM51" s="19"/>
      <c r="LQN51" s="19"/>
      <c r="LQO51" s="19"/>
      <c r="LQP51" s="19"/>
      <c r="LQQ51" s="19"/>
      <c r="LQR51" s="19"/>
      <c r="LQS51" s="19"/>
      <c r="LQT51" s="19"/>
      <c r="LQU51" s="19"/>
      <c r="LQV51" s="19"/>
      <c r="LQW51" s="19"/>
      <c r="LQX51" s="19"/>
      <c r="LQY51" s="19"/>
      <c r="LQZ51" s="19"/>
      <c r="LRA51" s="19"/>
      <c r="LRB51" s="19"/>
      <c r="LRC51" s="19"/>
      <c r="LRD51" s="19"/>
      <c r="LRE51" s="19"/>
      <c r="LRF51" s="19"/>
      <c r="LRG51" s="19"/>
      <c r="LRH51" s="19"/>
      <c r="LRI51" s="19"/>
      <c r="LRJ51" s="19"/>
      <c r="LRK51" s="19"/>
      <c r="LRL51" s="19"/>
      <c r="LRM51" s="19"/>
      <c r="LRN51" s="19"/>
      <c r="LRO51" s="19"/>
      <c r="LRP51" s="19"/>
      <c r="LRQ51" s="19"/>
      <c r="LRR51" s="19"/>
      <c r="LRS51" s="19"/>
      <c r="LRT51" s="19"/>
      <c r="LRU51" s="19"/>
      <c r="LRV51" s="19"/>
      <c r="LRW51" s="19"/>
      <c r="LRX51" s="19"/>
      <c r="LRY51" s="19"/>
      <c r="LRZ51" s="19"/>
      <c r="LSA51" s="19"/>
      <c r="LSB51" s="19"/>
      <c r="LSC51" s="19"/>
      <c r="LSD51" s="19"/>
      <c r="LSE51" s="19"/>
      <c r="LSF51" s="19"/>
      <c r="LSG51" s="19"/>
      <c r="LSH51" s="19"/>
      <c r="LSI51" s="19"/>
      <c r="LSJ51" s="19"/>
      <c r="LSK51" s="19"/>
      <c r="LSL51" s="19"/>
      <c r="LSM51" s="19"/>
      <c r="LSN51" s="19"/>
      <c r="LSO51" s="19"/>
      <c r="LSP51" s="19"/>
      <c r="LSQ51" s="19"/>
      <c r="LSR51" s="19"/>
      <c r="LSS51" s="19"/>
      <c r="LST51" s="19"/>
      <c r="LSU51" s="19"/>
      <c r="LSV51" s="19"/>
      <c r="LSW51" s="19"/>
      <c r="LSX51" s="19"/>
      <c r="LSY51" s="19"/>
      <c r="LSZ51" s="19"/>
      <c r="LTA51" s="19"/>
      <c r="LTB51" s="19"/>
      <c r="LTC51" s="19"/>
      <c r="LTD51" s="19"/>
      <c r="LTE51" s="19"/>
      <c r="LTF51" s="19"/>
      <c r="LTG51" s="19"/>
      <c r="LTH51" s="19"/>
      <c r="LTI51" s="19"/>
      <c r="LTJ51" s="19"/>
      <c r="LTK51" s="19"/>
      <c r="LTL51" s="19"/>
      <c r="LTM51" s="19"/>
      <c r="LTN51" s="19"/>
      <c r="LTO51" s="19"/>
      <c r="LTP51" s="19"/>
      <c r="LTQ51" s="19"/>
      <c r="LTR51" s="19"/>
      <c r="LTS51" s="19"/>
      <c r="LTT51" s="19"/>
      <c r="LTU51" s="19"/>
      <c r="LTV51" s="19"/>
      <c r="LTW51" s="19"/>
      <c r="LTX51" s="19"/>
      <c r="LTY51" s="19"/>
      <c r="LTZ51" s="19"/>
      <c r="LUA51" s="19"/>
      <c r="LUB51" s="19"/>
      <c r="LUC51" s="19"/>
      <c r="LUD51" s="19"/>
      <c r="LUE51" s="19"/>
      <c r="LUF51" s="19"/>
      <c r="LUG51" s="19"/>
      <c r="LUH51" s="19"/>
      <c r="LUI51" s="19"/>
      <c r="LUJ51" s="19"/>
      <c r="LUK51" s="19"/>
      <c r="LUL51" s="19"/>
      <c r="LUM51" s="19"/>
      <c r="LUN51" s="19"/>
      <c r="LUO51" s="19"/>
      <c r="LUP51" s="19"/>
      <c r="LUQ51" s="19"/>
      <c r="LUR51" s="19"/>
      <c r="LUS51" s="19"/>
      <c r="LUT51" s="19"/>
      <c r="LUU51" s="19"/>
      <c r="LUV51" s="19"/>
      <c r="LUW51" s="19"/>
      <c r="LUX51" s="19"/>
      <c r="LUY51" s="19"/>
      <c r="LUZ51" s="19"/>
      <c r="LVA51" s="19"/>
      <c r="LVB51" s="19"/>
      <c r="LVC51" s="19"/>
      <c r="LVD51" s="19"/>
      <c r="LVE51" s="19"/>
      <c r="LVF51" s="19"/>
      <c r="LVG51" s="19"/>
      <c r="LVH51" s="19"/>
      <c r="LVI51" s="19"/>
      <c r="LVJ51" s="19"/>
      <c r="LVK51" s="19"/>
      <c r="LVL51" s="19"/>
      <c r="LVM51" s="19"/>
      <c r="LVN51" s="19"/>
      <c r="LVO51" s="19"/>
      <c r="LVP51" s="19"/>
      <c r="LVQ51" s="19"/>
      <c r="LVR51" s="19"/>
      <c r="LVS51" s="19"/>
      <c r="LVT51" s="19"/>
      <c r="LVU51" s="19"/>
      <c r="LVV51" s="19"/>
      <c r="LVW51" s="19"/>
      <c r="LVX51" s="19"/>
      <c r="LVY51" s="19"/>
      <c r="LVZ51" s="19"/>
      <c r="LWA51" s="19"/>
      <c r="LWB51" s="19"/>
      <c r="LWC51" s="19"/>
      <c r="LWD51" s="19"/>
      <c r="LWE51" s="19"/>
      <c r="LWF51" s="19"/>
      <c r="LWG51" s="19"/>
      <c r="LWH51" s="19"/>
      <c r="LWI51" s="19"/>
      <c r="LWJ51" s="19"/>
      <c r="LWK51" s="19"/>
      <c r="LWL51" s="19"/>
      <c r="LWM51" s="19"/>
      <c r="LWN51" s="19"/>
      <c r="LWO51" s="19"/>
      <c r="LWP51" s="19"/>
      <c r="LWQ51" s="19"/>
      <c r="LWR51" s="19"/>
      <c r="LWS51" s="19"/>
      <c r="LWT51" s="19"/>
      <c r="LWU51" s="19"/>
      <c r="LWV51" s="19"/>
      <c r="LWW51" s="19"/>
      <c r="LWX51" s="19"/>
      <c r="LWY51" s="19"/>
      <c r="LWZ51" s="19"/>
      <c r="LXA51" s="19"/>
      <c r="LXB51" s="19"/>
      <c r="LXC51" s="19"/>
      <c r="LXD51" s="19"/>
      <c r="LXE51" s="19"/>
      <c r="LXF51" s="19"/>
      <c r="LXG51" s="19"/>
      <c r="LXH51" s="19"/>
      <c r="LXI51" s="19"/>
      <c r="LXJ51" s="19"/>
      <c r="LXK51" s="19"/>
      <c r="LXL51" s="19"/>
      <c r="LXM51" s="19"/>
      <c r="LXN51" s="19"/>
      <c r="LXO51" s="19"/>
      <c r="LXP51" s="19"/>
      <c r="LXQ51" s="19"/>
      <c r="LXR51" s="19"/>
      <c r="LXS51" s="19"/>
      <c r="LXT51" s="19"/>
      <c r="LXU51" s="19"/>
      <c r="LXV51" s="19"/>
      <c r="LXW51" s="19"/>
      <c r="LXX51" s="19"/>
      <c r="LXY51" s="19"/>
      <c r="LXZ51" s="19"/>
      <c r="LYA51" s="19"/>
      <c r="LYB51" s="19"/>
      <c r="LYC51" s="19"/>
      <c r="LYD51" s="19"/>
      <c r="LYE51" s="19"/>
      <c r="LYF51" s="19"/>
      <c r="LYG51" s="19"/>
      <c r="LYH51" s="19"/>
      <c r="LYI51" s="19"/>
      <c r="LYJ51" s="19"/>
      <c r="LYK51" s="19"/>
      <c r="LYL51" s="19"/>
      <c r="LYM51" s="19"/>
      <c r="LYN51" s="19"/>
      <c r="LYO51" s="19"/>
      <c r="LYP51" s="19"/>
      <c r="LYQ51" s="19"/>
      <c r="LYR51" s="19"/>
      <c r="LYS51" s="19"/>
      <c r="LYT51" s="19"/>
      <c r="LYU51" s="19"/>
      <c r="LYV51" s="19"/>
      <c r="LYW51" s="19"/>
      <c r="LYX51" s="19"/>
      <c r="LYY51" s="19"/>
      <c r="LYZ51" s="19"/>
      <c r="LZA51" s="19"/>
      <c r="LZB51" s="19"/>
      <c r="LZC51" s="19"/>
      <c r="LZD51" s="19"/>
      <c r="LZE51" s="19"/>
      <c r="LZF51" s="19"/>
      <c r="LZG51" s="19"/>
      <c r="LZH51" s="19"/>
      <c r="LZI51" s="19"/>
      <c r="LZJ51" s="19"/>
      <c r="LZK51" s="19"/>
      <c r="LZL51" s="19"/>
      <c r="LZM51" s="19"/>
      <c r="LZN51" s="19"/>
      <c r="LZO51" s="19"/>
      <c r="LZP51" s="19"/>
      <c r="LZQ51" s="19"/>
      <c r="LZR51" s="19"/>
      <c r="LZS51" s="19"/>
      <c r="LZT51" s="19"/>
      <c r="LZU51" s="19"/>
      <c r="LZV51" s="19"/>
      <c r="LZW51" s="19"/>
      <c r="LZX51" s="19"/>
      <c r="LZY51" s="19"/>
      <c r="LZZ51" s="19"/>
      <c r="MAA51" s="19"/>
      <c r="MAB51" s="19"/>
      <c r="MAC51" s="19"/>
      <c r="MAD51" s="19"/>
      <c r="MAE51" s="19"/>
      <c r="MAF51" s="19"/>
      <c r="MAG51" s="19"/>
      <c r="MAH51" s="19"/>
      <c r="MAI51" s="19"/>
      <c r="MAJ51" s="19"/>
      <c r="MAK51" s="19"/>
      <c r="MAL51" s="19"/>
      <c r="MAM51" s="19"/>
      <c r="MAN51" s="19"/>
      <c r="MAO51" s="19"/>
      <c r="MAP51" s="19"/>
      <c r="MAQ51" s="19"/>
      <c r="MAR51" s="19"/>
      <c r="MAS51" s="19"/>
      <c r="MAT51" s="19"/>
      <c r="MAU51" s="19"/>
      <c r="MAV51" s="19"/>
      <c r="MAW51" s="19"/>
      <c r="MAX51" s="19"/>
      <c r="MAY51" s="19"/>
      <c r="MAZ51" s="19"/>
      <c r="MBA51" s="19"/>
      <c r="MBB51" s="19"/>
      <c r="MBC51" s="19"/>
      <c r="MBD51" s="19"/>
      <c r="MBE51" s="19"/>
      <c r="MBF51" s="19"/>
      <c r="MBG51" s="19"/>
      <c r="MBH51" s="19"/>
      <c r="MBI51" s="19"/>
      <c r="MBJ51" s="19"/>
      <c r="MBK51" s="19"/>
      <c r="MBL51" s="19"/>
      <c r="MBM51" s="19"/>
      <c r="MBN51" s="19"/>
      <c r="MBO51" s="19"/>
      <c r="MBP51" s="19"/>
      <c r="MBQ51" s="19"/>
      <c r="MBR51" s="19"/>
      <c r="MBS51" s="19"/>
      <c r="MBT51" s="19"/>
      <c r="MBU51" s="19"/>
      <c r="MBV51" s="19"/>
      <c r="MBW51" s="19"/>
      <c r="MBX51" s="19"/>
      <c r="MBY51" s="19"/>
      <c r="MBZ51" s="19"/>
      <c r="MCA51" s="19"/>
      <c r="MCB51" s="19"/>
      <c r="MCC51" s="19"/>
      <c r="MCD51" s="19"/>
      <c r="MCE51" s="19"/>
      <c r="MCF51" s="19"/>
      <c r="MCG51" s="19"/>
      <c r="MCH51" s="19"/>
      <c r="MCI51" s="19"/>
      <c r="MCJ51" s="19"/>
      <c r="MCK51" s="19"/>
      <c r="MCL51" s="19"/>
      <c r="MCM51" s="19"/>
      <c r="MCN51" s="19"/>
      <c r="MCO51" s="19"/>
      <c r="MCP51" s="19"/>
      <c r="MCQ51" s="19"/>
      <c r="MCR51" s="19"/>
      <c r="MCS51" s="19"/>
      <c r="MCT51" s="19"/>
      <c r="MCU51" s="19"/>
      <c r="MCV51" s="19"/>
      <c r="MCW51" s="19"/>
      <c r="MCX51" s="19"/>
      <c r="MCY51" s="19"/>
      <c r="MCZ51" s="19"/>
      <c r="MDA51" s="19"/>
      <c r="MDB51" s="19"/>
      <c r="MDC51" s="19"/>
      <c r="MDD51" s="19"/>
      <c r="MDE51" s="19"/>
      <c r="MDF51" s="19"/>
      <c r="MDG51" s="19"/>
      <c r="MDH51" s="19"/>
      <c r="MDI51" s="19"/>
      <c r="MDJ51" s="19"/>
      <c r="MDK51" s="19"/>
      <c r="MDL51" s="19"/>
      <c r="MDM51" s="19"/>
      <c r="MDN51" s="19"/>
      <c r="MDO51" s="19"/>
      <c r="MDP51" s="19"/>
      <c r="MDQ51" s="19"/>
      <c r="MDR51" s="19"/>
      <c r="MDS51" s="19"/>
      <c r="MDT51" s="19"/>
      <c r="MDU51" s="19"/>
      <c r="MDV51" s="19"/>
      <c r="MDW51" s="19"/>
      <c r="MDX51" s="19"/>
      <c r="MDY51" s="19"/>
      <c r="MDZ51" s="19"/>
      <c r="MEA51" s="19"/>
      <c r="MEB51" s="19"/>
      <c r="MEC51" s="19"/>
      <c r="MED51" s="19"/>
      <c r="MEE51" s="19"/>
      <c r="MEF51" s="19"/>
      <c r="MEG51" s="19"/>
      <c r="MEH51" s="19"/>
      <c r="MEI51" s="19"/>
      <c r="MEJ51" s="19"/>
      <c r="MEK51" s="19"/>
      <c r="MEL51" s="19"/>
      <c r="MEM51" s="19"/>
      <c r="MEN51" s="19"/>
      <c r="MEO51" s="19"/>
      <c r="MEP51" s="19"/>
      <c r="MEQ51" s="19"/>
      <c r="MER51" s="19"/>
      <c r="MES51" s="19"/>
      <c r="MET51" s="19"/>
      <c r="MEU51" s="19"/>
      <c r="MEV51" s="19"/>
      <c r="MEW51" s="19"/>
      <c r="MEX51" s="19"/>
      <c r="MEY51" s="19"/>
      <c r="MEZ51" s="19"/>
      <c r="MFA51" s="19"/>
      <c r="MFB51" s="19"/>
      <c r="MFC51" s="19"/>
      <c r="MFD51" s="19"/>
      <c r="MFE51" s="19"/>
      <c r="MFF51" s="19"/>
      <c r="MFG51" s="19"/>
      <c r="MFH51" s="19"/>
      <c r="MFI51" s="19"/>
      <c r="MFJ51" s="19"/>
      <c r="MFK51" s="19"/>
      <c r="MFL51" s="19"/>
      <c r="MFM51" s="19"/>
      <c r="MFN51" s="19"/>
      <c r="MFO51" s="19"/>
      <c r="MFP51" s="19"/>
      <c r="MFQ51" s="19"/>
      <c r="MFR51" s="19"/>
      <c r="MFS51" s="19"/>
      <c r="MFT51" s="19"/>
      <c r="MFU51" s="19"/>
      <c r="MFV51" s="19"/>
      <c r="MFW51" s="19"/>
      <c r="MFX51" s="19"/>
      <c r="MFY51" s="19"/>
      <c r="MFZ51" s="19"/>
      <c r="MGA51" s="19"/>
      <c r="MGB51" s="19"/>
      <c r="MGC51" s="19"/>
      <c r="MGD51" s="19"/>
      <c r="MGE51" s="19"/>
      <c r="MGF51" s="19"/>
      <c r="MGG51" s="19"/>
      <c r="MGH51" s="19"/>
      <c r="MGI51" s="19"/>
      <c r="MGJ51" s="19"/>
      <c r="MGK51" s="19"/>
      <c r="MGL51" s="19"/>
      <c r="MGM51" s="19"/>
      <c r="MGN51" s="19"/>
      <c r="MGO51" s="19"/>
      <c r="MGP51" s="19"/>
      <c r="MGQ51" s="19"/>
      <c r="MGR51" s="19"/>
      <c r="MGS51" s="19"/>
      <c r="MGT51" s="19"/>
      <c r="MGU51" s="19"/>
      <c r="MGV51" s="19"/>
      <c r="MGW51" s="19"/>
      <c r="MGX51" s="19"/>
      <c r="MGY51" s="19"/>
      <c r="MGZ51" s="19"/>
      <c r="MHA51" s="19"/>
      <c r="MHB51" s="19"/>
      <c r="MHC51" s="19"/>
      <c r="MHD51" s="19"/>
      <c r="MHE51" s="19"/>
      <c r="MHF51" s="19"/>
      <c r="MHG51" s="19"/>
      <c r="MHH51" s="19"/>
      <c r="MHI51" s="19"/>
      <c r="MHJ51" s="19"/>
      <c r="MHK51" s="19"/>
      <c r="MHL51" s="19"/>
      <c r="MHM51" s="19"/>
      <c r="MHN51" s="19"/>
      <c r="MHO51" s="19"/>
      <c r="MHP51" s="19"/>
      <c r="MHQ51" s="19"/>
      <c r="MHR51" s="19"/>
      <c r="MHS51" s="19"/>
      <c r="MHT51" s="19"/>
      <c r="MHU51" s="19"/>
      <c r="MHV51" s="19"/>
      <c r="MHW51" s="19"/>
      <c r="MHX51" s="19"/>
      <c r="MHY51" s="19"/>
      <c r="MHZ51" s="19"/>
      <c r="MIA51" s="19"/>
      <c r="MIB51" s="19"/>
      <c r="MIC51" s="19"/>
      <c r="MID51" s="19"/>
      <c r="MIE51" s="19"/>
      <c r="MIF51" s="19"/>
      <c r="MIG51" s="19"/>
      <c r="MIH51" s="19"/>
      <c r="MII51" s="19"/>
      <c r="MIJ51" s="19"/>
      <c r="MIK51" s="19"/>
      <c r="MIL51" s="19"/>
      <c r="MIM51" s="19"/>
      <c r="MIN51" s="19"/>
      <c r="MIO51" s="19"/>
      <c r="MIP51" s="19"/>
      <c r="MIQ51" s="19"/>
      <c r="MIR51" s="19"/>
      <c r="MIS51" s="19"/>
      <c r="MIT51" s="19"/>
      <c r="MIU51" s="19"/>
      <c r="MIV51" s="19"/>
      <c r="MIW51" s="19"/>
      <c r="MIX51" s="19"/>
      <c r="MIY51" s="19"/>
      <c r="MIZ51" s="19"/>
      <c r="MJA51" s="19"/>
      <c r="MJB51" s="19"/>
      <c r="MJC51" s="19"/>
      <c r="MJD51" s="19"/>
      <c r="MJE51" s="19"/>
      <c r="MJF51" s="19"/>
      <c r="MJG51" s="19"/>
      <c r="MJH51" s="19"/>
      <c r="MJI51" s="19"/>
      <c r="MJJ51" s="19"/>
      <c r="MJK51" s="19"/>
      <c r="MJL51" s="19"/>
      <c r="MJM51" s="19"/>
      <c r="MJN51" s="19"/>
      <c r="MJO51" s="19"/>
      <c r="MJP51" s="19"/>
      <c r="MJQ51" s="19"/>
      <c r="MJR51" s="19"/>
      <c r="MJS51" s="19"/>
      <c r="MJT51" s="19"/>
      <c r="MJU51" s="19"/>
      <c r="MJV51" s="19"/>
      <c r="MJW51" s="19"/>
      <c r="MJX51" s="19"/>
      <c r="MJY51" s="19"/>
      <c r="MJZ51" s="19"/>
      <c r="MKA51" s="19"/>
      <c r="MKB51" s="19"/>
      <c r="MKC51" s="19"/>
      <c r="MKD51" s="19"/>
      <c r="MKE51" s="19"/>
      <c r="MKF51" s="19"/>
      <c r="MKG51" s="19"/>
      <c r="MKH51" s="19"/>
      <c r="MKI51" s="19"/>
      <c r="MKJ51" s="19"/>
      <c r="MKK51" s="19"/>
      <c r="MKL51" s="19"/>
      <c r="MKM51" s="19"/>
      <c r="MKN51" s="19"/>
      <c r="MKO51" s="19"/>
      <c r="MKP51" s="19"/>
      <c r="MKQ51" s="19"/>
      <c r="MKR51" s="19"/>
      <c r="MKS51" s="19"/>
      <c r="MKT51" s="19"/>
      <c r="MKU51" s="19"/>
      <c r="MKV51" s="19"/>
      <c r="MKW51" s="19"/>
      <c r="MKX51" s="19"/>
      <c r="MKY51" s="19"/>
      <c r="MKZ51" s="19"/>
      <c r="MLA51" s="19"/>
      <c r="MLB51" s="19"/>
      <c r="MLC51" s="19"/>
      <c r="MLD51" s="19"/>
      <c r="MLE51" s="19"/>
      <c r="MLF51" s="19"/>
      <c r="MLG51" s="19"/>
      <c r="MLH51" s="19"/>
      <c r="MLI51" s="19"/>
      <c r="MLJ51" s="19"/>
      <c r="MLK51" s="19"/>
      <c r="MLL51" s="19"/>
      <c r="MLM51" s="19"/>
      <c r="MLN51" s="19"/>
      <c r="MLO51" s="19"/>
      <c r="MLP51" s="19"/>
      <c r="MLQ51" s="19"/>
      <c r="MLR51" s="19"/>
      <c r="MLS51" s="19"/>
      <c r="MLT51" s="19"/>
      <c r="MLU51" s="19"/>
      <c r="MLV51" s="19"/>
      <c r="MLW51" s="19"/>
      <c r="MLX51" s="19"/>
      <c r="MLY51" s="19"/>
      <c r="MLZ51" s="19"/>
      <c r="MMA51" s="19"/>
      <c r="MMB51" s="19"/>
      <c r="MMC51" s="19"/>
      <c r="MMD51" s="19"/>
      <c r="MME51" s="19"/>
      <c r="MMF51" s="19"/>
      <c r="MMG51" s="19"/>
      <c r="MMH51" s="19"/>
      <c r="MMI51" s="19"/>
      <c r="MMJ51" s="19"/>
      <c r="MMK51" s="19"/>
      <c r="MML51" s="19"/>
      <c r="MMM51" s="19"/>
      <c r="MMN51" s="19"/>
      <c r="MMO51" s="19"/>
      <c r="MMP51" s="19"/>
      <c r="MMQ51" s="19"/>
      <c r="MMR51" s="19"/>
      <c r="MMS51" s="19"/>
      <c r="MMT51" s="19"/>
      <c r="MMU51" s="19"/>
      <c r="MMV51" s="19"/>
      <c r="MMW51" s="19"/>
      <c r="MMX51" s="19"/>
      <c r="MMY51" s="19"/>
      <c r="MMZ51" s="19"/>
      <c r="MNA51" s="19"/>
      <c r="MNB51" s="19"/>
      <c r="MNC51" s="19"/>
      <c r="MND51" s="19"/>
      <c r="MNE51" s="19"/>
      <c r="MNF51" s="19"/>
      <c r="MNG51" s="19"/>
      <c r="MNH51" s="19"/>
      <c r="MNI51" s="19"/>
      <c r="MNJ51" s="19"/>
      <c r="MNK51" s="19"/>
      <c r="MNL51" s="19"/>
      <c r="MNM51" s="19"/>
      <c r="MNN51" s="19"/>
      <c r="MNO51" s="19"/>
      <c r="MNP51" s="19"/>
      <c r="MNQ51" s="19"/>
      <c r="MNR51" s="19"/>
      <c r="MNS51" s="19"/>
      <c r="MNT51" s="19"/>
      <c r="MNU51" s="19"/>
      <c r="MNV51" s="19"/>
      <c r="MNW51" s="19"/>
      <c r="MNX51" s="19"/>
      <c r="MNY51" s="19"/>
      <c r="MNZ51" s="19"/>
      <c r="MOA51" s="19"/>
      <c r="MOB51" s="19"/>
      <c r="MOC51" s="19"/>
      <c r="MOD51" s="19"/>
      <c r="MOE51" s="19"/>
      <c r="MOF51" s="19"/>
      <c r="MOG51" s="19"/>
      <c r="MOH51" s="19"/>
      <c r="MOI51" s="19"/>
      <c r="MOJ51" s="19"/>
      <c r="MOK51" s="19"/>
      <c r="MOL51" s="19"/>
      <c r="MOM51" s="19"/>
      <c r="MON51" s="19"/>
      <c r="MOO51" s="19"/>
      <c r="MOP51" s="19"/>
      <c r="MOQ51" s="19"/>
      <c r="MOR51" s="19"/>
      <c r="MOS51" s="19"/>
      <c r="MOT51" s="19"/>
      <c r="MOU51" s="19"/>
      <c r="MOV51" s="19"/>
      <c r="MOW51" s="19"/>
      <c r="MOX51" s="19"/>
      <c r="MOY51" s="19"/>
      <c r="MOZ51" s="19"/>
      <c r="MPA51" s="19"/>
      <c r="MPB51" s="19"/>
      <c r="MPC51" s="19"/>
      <c r="MPD51" s="19"/>
      <c r="MPE51" s="19"/>
      <c r="MPF51" s="19"/>
      <c r="MPG51" s="19"/>
      <c r="MPH51" s="19"/>
      <c r="MPI51" s="19"/>
      <c r="MPJ51" s="19"/>
      <c r="MPK51" s="19"/>
      <c r="MPL51" s="19"/>
      <c r="MPM51" s="19"/>
      <c r="MPN51" s="19"/>
      <c r="MPO51" s="19"/>
      <c r="MPP51" s="19"/>
      <c r="MPQ51" s="19"/>
      <c r="MPR51" s="19"/>
      <c r="MPS51" s="19"/>
      <c r="MPT51" s="19"/>
      <c r="MPU51" s="19"/>
      <c r="MPV51" s="19"/>
      <c r="MPW51" s="19"/>
      <c r="MPX51" s="19"/>
      <c r="MPY51" s="19"/>
      <c r="MPZ51" s="19"/>
      <c r="MQA51" s="19"/>
      <c r="MQB51" s="19"/>
      <c r="MQC51" s="19"/>
      <c r="MQD51" s="19"/>
      <c r="MQE51" s="19"/>
      <c r="MQF51" s="19"/>
      <c r="MQG51" s="19"/>
      <c r="MQH51" s="19"/>
      <c r="MQI51" s="19"/>
      <c r="MQJ51" s="19"/>
      <c r="MQK51" s="19"/>
      <c r="MQL51" s="19"/>
      <c r="MQM51" s="19"/>
      <c r="MQN51" s="19"/>
      <c r="MQO51" s="19"/>
      <c r="MQP51" s="19"/>
      <c r="MQQ51" s="19"/>
      <c r="MQR51" s="19"/>
      <c r="MQS51" s="19"/>
      <c r="MQT51" s="19"/>
      <c r="MQU51" s="19"/>
      <c r="MQV51" s="19"/>
      <c r="MQW51" s="19"/>
      <c r="MQX51" s="19"/>
      <c r="MQY51" s="19"/>
      <c r="MQZ51" s="19"/>
      <c r="MRA51" s="19"/>
      <c r="MRB51" s="19"/>
      <c r="MRC51" s="19"/>
      <c r="MRD51" s="19"/>
      <c r="MRE51" s="19"/>
      <c r="MRF51" s="19"/>
      <c r="MRG51" s="19"/>
      <c r="MRH51" s="19"/>
      <c r="MRI51" s="19"/>
      <c r="MRJ51" s="19"/>
      <c r="MRK51" s="19"/>
      <c r="MRL51" s="19"/>
      <c r="MRM51" s="19"/>
      <c r="MRN51" s="19"/>
      <c r="MRO51" s="19"/>
      <c r="MRP51" s="19"/>
      <c r="MRQ51" s="19"/>
      <c r="MRR51" s="19"/>
      <c r="MRS51" s="19"/>
      <c r="MRT51" s="19"/>
      <c r="MRU51" s="19"/>
      <c r="MRV51" s="19"/>
      <c r="MRW51" s="19"/>
      <c r="MRX51" s="19"/>
      <c r="MRY51" s="19"/>
      <c r="MRZ51" s="19"/>
      <c r="MSA51" s="19"/>
      <c r="MSB51" s="19"/>
      <c r="MSC51" s="19"/>
      <c r="MSD51" s="19"/>
      <c r="MSE51" s="19"/>
      <c r="MSF51" s="19"/>
      <c r="MSG51" s="19"/>
      <c r="MSH51" s="19"/>
      <c r="MSI51" s="19"/>
      <c r="MSJ51" s="19"/>
      <c r="MSK51" s="19"/>
      <c r="MSL51" s="19"/>
      <c r="MSM51" s="19"/>
      <c r="MSN51" s="19"/>
      <c r="MSO51" s="19"/>
      <c r="MSP51" s="19"/>
      <c r="MSQ51" s="19"/>
      <c r="MSR51" s="19"/>
      <c r="MSS51" s="19"/>
      <c r="MST51" s="19"/>
      <c r="MSU51" s="19"/>
      <c r="MSV51" s="19"/>
      <c r="MSW51" s="19"/>
      <c r="MSX51" s="19"/>
      <c r="MSY51" s="19"/>
      <c r="MSZ51" s="19"/>
      <c r="MTA51" s="19"/>
      <c r="MTB51" s="19"/>
      <c r="MTC51" s="19"/>
      <c r="MTD51" s="19"/>
      <c r="MTE51" s="19"/>
      <c r="MTF51" s="19"/>
      <c r="MTG51" s="19"/>
      <c r="MTH51" s="19"/>
      <c r="MTI51" s="19"/>
      <c r="MTJ51" s="19"/>
      <c r="MTK51" s="19"/>
      <c r="MTL51" s="19"/>
      <c r="MTM51" s="19"/>
      <c r="MTN51" s="19"/>
      <c r="MTO51" s="19"/>
      <c r="MTP51" s="19"/>
      <c r="MTQ51" s="19"/>
      <c r="MTR51" s="19"/>
      <c r="MTS51" s="19"/>
      <c r="MTT51" s="19"/>
      <c r="MTU51" s="19"/>
      <c r="MTV51" s="19"/>
      <c r="MTW51" s="19"/>
      <c r="MTX51" s="19"/>
      <c r="MTY51" s="19"/>
      <c r="MTZ51" s="19"/>
      <c r="MUA51" s="19"/>
      <c r="MUB51" s="19"/>
      <c r="MUC51" s="19"/>
      <c r="MUD51" s="19"/>
      <c r="MUE51" s="19"/>
      <c r="MUF51" s="19"/>
      <c r="MUG51" s="19"/>
      <c r="MUH51" s="19"/>
      <c r="MUI51" s="19"/>
      <c r="MUJ51" s="19"/>
      <c r="MUK51" s="19"/>
      <c r="MUL51" s="19"/>
      <c r="MUM51" s="19"/>
      <c r="MUN51" s="19"/>
      <c r="MUO51" s="19"/>
      <c r="MUP51" s="19"/>
      <c r="MUQ51" s="19"/>
      <c r="MUR51" s="19"/>
      <c r="MUS51" s="19"/>
      <c r="MUT51" s="19"/>
      <c r="MUU51" s="19"/>
      <c r="MUV51" s="19"/>
      <c r="MUW51" s="19"/>
      <c r="MUX51" s="19"/>
      <c r="MUY51" s="19"/>
      <c r="MUZ51" s="19"/>
      <c r="MVA51" s="19"/>
      <c r="MVB51" s="19"/>
      <c r="MVC51" s="19"/>
      <c r="MVD51" s="19"/>
      <c r="MVE51" s="19"/>
      <c r="MVF51" s="19"/>
      <c r="MVG51" s="19"/>
      <c r="MVH51" s="19"/>
      <c r="MVI51" s="19"/>
      <c r="MVJ51" s="19"/>
      <c r="MVK51" s="19"/>
      <c r="MVL51" s="19"/>
      <c r="MVM51" s="19"/>
      <c r="MVN51" s="19"/>
      <c r="MVO51" s="19"/>
      <c r="MVP51" s="19"/>
      <c r="MVQ51" s="19"/>
      <c r="MVR51" s="19"/>
      <c r="MVS51" s="19"/>
      <c r="MVT51" s="19"/>
      <c r="MVU51" s="19"/>
      <c r="MVV51" s="19"/>
      <c r="MVW51" s="19"/>
      <c r="MVX51" s="19"/>
      <c r="MVY51" s="19"/>
      <c r="MVZ51" s="19"/>
      <c r="MWA51" s="19"/>
      <c r="MWB51" s="19"/>
      <c r="MWC51" s="19"/>
      <c r="MWD51" s="19"/>
      <c r="MWE51" s="19"/>
      <c r="MWF51" s="19"/>
      <c r="MWG51" s="19"/>
      <c r="MWH51" s="19"/>
      <c r="MWI51" s="19"/>
      <c r="MWJ51" s="19"/>
      <c r="MWK51" s="19"/>
      <c r="MWL51" s="19"/>
      <c r="MWM51" s="19"/>
      <c r="MWN51" s="19"/>
      <c r="MWO51" s="19"/>
      <c r="MWP51" s="19"/>
      <c r="MWQ51" s="19"/>
      <c r="MWR51" s="19"/>
      <c r="MWS51" s="19"/>
      <c r="MWT51" s="19"/>
      <c r="MWU51" s="19"/>
      <c r="MWV51" s="19"/>
      <c r="MWW51" s="19"/>
      <c r="MWX51" s="19"/>
      <c r="MWY51" s="19"/>
      <c r="MWZ51" s="19"/>
      <c r="MXA51" s="19"/>
      <c r="MXB51" s="19"/>
      <c r="MXC51" s="19"/>
      <c r="MXD51" s="19"/>
      <c r="MXE51" s="19"/>
      <c r="MXF51" s="19"/>
      <c r="MXG51" s="19"/>
      <c r="MXH51" s="19"/>
      <c r="MXI51" s="19"/>
      <c r="MXJ51" s="19"/>
      <c r="MXK51" s="19"/>
      <c r="MXL51" s="19"/>
      <c r="MXM51" s="19"/>
      <c r="MXN51" s="19"/>
      <c r="MXO51" s="19"/>
      <c r="MXP51" s="19"/>
      <c r="MXQ51" s="19"/>
      <c r="MXR51" s="19"/>
      <c r="MXS51" s="19"/>
      <c r="MXT51" s="19"/>
      <c r="MXU51" s="19"/>
      <c r="MXV51" s="19"/>
      <c r="MXW51" s="19"/>
      <c r="MXX51" s="19"/>
      <c r="MXY51" s="19"/>
      <c r="MXZ51" s="19"/>
      <c r="MYA51" s="19"/>
      <c r="MYB51" s="19"/>
      <c r="MYC51" s="19"/>
      <c r="MYD51" s="19"/>
      <c r="MYE51" s="19"/>
      <c r="MYF51" s="19"/>
      <c r="MYG51" s="19"/>
      <c r="MYH51" s="19"/>
      <c r="MYI51" s="19"/>
      <c r="MYJ51" s="19"/>
      <c r="MYK51" s="19"/>
      <c r="MYL51" s="19"/>
      <c r="MYM51" s="19"/>
      <c r="MYN51" s="19"/>
      <c r="MYO51" s="19"/>
      <c r="MYP51" s="19"/>
      <c r="MYQ51" s="19"/>
      <c r="MYR51" s="19"/>
      <c r="MYS51" s="19"/>
      <c r="MYT51" s="19"/>
      <c r="MYU51" s="19"/>
      <c r="MYV51" s="19"/>
      <c r="MYW51" s="19"/>
      <c r="MYX51" s="19"/>
      <c r="MYY51" s="19"/>
      <c r="MYZ51" s="19"/>
      <c r="MZA51" s="19"/>
      <c r="MZB51" s="19"/>
      <c r="MZC51" s="19"/>
      <c r="MZD51" s="19"/>
      <c r="MZE51" s="19"/>
      <c r="MZF51" s="19"/>
      <c r="MZG51" s="19"/>
      <c r="MZH51" s="19"/>
      <c r="MZI51" s="19"/>
      <c r="MZJ51" s="19"/>
      <c r="MZK51" s="19"/>
      <c r="MZL51" s="19"/>
      <c r="MZM51" s="19"/>
      <c r="MZN51" s="19"/>
      <c r="MZO51" s="19"/>
      <c r="MZP51" s="19"/>
      <c r="MZQ51" s="19"/>
      <c r="MZR51" s="19"/>
      <c r="MZS51" s="19"/>
      <c r="MZT51" s="19"/>
      <c r="MZU51" s="19"/>
      <c r="MZV51" s="19"/>
      <c r="MZW51" s="19"/>
      <c r="MZX51" s="19"/>
      <c r="MZY51" s="19"/>
      <c r="MZZ51" s="19"/>
      <c r="NAA51" s="19"/>
      <c r="NAB51" s="19"/>
      <c r="NAC51" s="19"/>
      <c r="NAD51" s="19"/>
      <c r="NAE51" s="19"/>
      <c r="NAF51" s="19"/>
      <c r="NAG51" s="19"/>
      <c r="NAH51" s="19"/>
      <c r="NAI51" s="19"/>
      <c r="NAJ51" s="19"/>
      <c r="NAK51" s="19"/>
      <c r="NAL51" s="19"/>
      <c r="NAM51" s="19"/>
      <c r="NAN51" s="19"/>
      <c r="NAO51" s="19"/>
      <c r="NAP51" s="19"/>
      <c r="NAQ51" s="19"/>
      <c r="NAR51" s="19"/>
      <c r="NAS51" s="19"/>
      <c r="NAT51" s="19"/>
      <c r="NAU51" s="19"/>
      <c r="NAV51" s="19"/>
      <c r="NAW51" s="19"/>
      <c r="NAX51" s="19"/>
      <c r="NAY51" s="19"/>
      <c r="NAZ51" s="19"/>
      <c r="NBA51" s="19"/>
      <c r="NBB51" s="19"/>
      <c r="NBC51" s="19"/>
      <c r="NBD51" s="19"/>
      <c r="NBE51" s="19"/>
      <c r="NBF51" s="19"/>
      <c r="NBG51" s="19"/>
      <c r="NBH51" s="19"/>
      <c r="NBI51" s="19"/>
      <c r="NBJ51" s="19"/>
      <c r="NBK51" s="19"/>
      <c r="NBL51" s="19"/>
      <c r="NBM51" s="19"/>
      <c r="NBN51" s="19"/>
      <c r="NBO51" s="19"/>
      <c r="NBP51" s="19"/>
      <c r="NBQ51" s="19"/>
      <c r="NBR51" s="19"/>
      <c r="NBS51" s="19"/>
      <c r="NBT51" s="19"/>
      <c r="NBU51" s="19"/>
      <c r="NBV51" s="19"/>
      <c r="NBW51" s="19"/>
      <c r="NBX51" s="19"/>
      <c r="NBY51" s="19"/>
      <c r="NBZ51" s="19"/>
      <c r="NCA51" s="19"/>
      <c r="NCB51" s="19"/>
      <c r="NCC51" s="19"/>
      <c r="NCD51" s="19"/>
      <c r="NCE51" s="19"/>
      <c r="NCF51" s="19"/>
      <c r="NCG51" s="19"/>
      <c r="NCH51" s="19"/>
      <c r="NCI51" s="19"/>
      <c r="NCJ51" s="19"/>
      <c r="NCK51" s="19"/>
      <c r="NCL51" s="19"/>
      <c r="NCM51" s="19"/>
      <c r="NCN51" s="19"/>
      <c r="NCO51" s="19"/>
      <c r="NCP51" s="19"/>
      <c r="NCQ51" s="19"/>
      <c r="NCR51" s="19"/>
      <c r="NCS51" s="19"/>
      <c r="NCT51" s="19"/>
      <c r="NCU51" s="19"/>
      <c r="NCV51" s="19"/>
      <c r="NCW51" s="19"/>
      <c r="NCX51" s="19"/>
      <c r="NCY51" s="19"/>
      <c r="NCZ51" s="19"/>
      <c r="NDA51" s="19"/>
      <c r="NDB51" s="19"/>
      <c r="NDC51" s="19"/>
      <c r="NDD51" s="19"/>
      <c r="NDE51" s="19"/>
      <c r="NDF51" s="19"/>
      <c r="NDG51" s="19"/>
      <c r="NDH51" s="19"/>
      <c r="NDI51" s="19"/>
      <c r="NDJ51" s="19"/>
      <c r="NDK51" s="19"/>
      <c r="NDL51" s="19"/>
      <c r="NDM51" s="19"/>
      <c r="NDN51" s="19"/>
      <c r="NDO51" s="19"/>
      <c r="NDP51" s="19"/>
      <c r="NDQ51" s="19"/>
      <c r="NDR51" s="19"/>
      <c r="NDS51" s="19"/>
      <c r="NDT51" s="19"/>
      <c r="NDU51" s="19"/>
      <c r="NDV51" s="19"/>
      <c r="NDW51" s="19"/>
      <c r="NDX51" s="19"/>
      <c r="NDY51" s="19"/>
      <c r="NDZ51" s="19"/>
      <c r="NEA51" s="19"/>
      <c r="NEB51" s="19"/>
      <c r="NEC51" s="19"/>
      <c r="NED51" s="19"/>
      <c r="NEE51" s="19"/>
      <c r="NEF51" s="19"/>
      <c r="NEG51" s="19"/>
      <c r="NEH51" s="19"/>
      <c r="NEI51" s="19"/>
      <c r="NEJ51" s="19"/>
      <c r="NEK51" s="19"/>
      <c r="NEL51" s="19"/>
      <c r="NEM51" s="19"/>
      <c r="NEN51" s="19"/>
      <c r="NEO51" s="19"/>
      <c r="NEP51" s="19"/>
      <c r="NEQ51" s="19"/>
      <c r="NER51" s="19"/>
      <c r="NES51" s="19"/>
      <c r="NET51" s="19"/>
      <c r="NEU51" s="19"/>
      <c r="NEV51" s="19"/>
      <c r="NEW51" s="19"/>
      <c r="NEX51" s="19"/>
      <c r="NEY51" s="19"/>
      <c r="NEZ51" s="19"/>
      <c r="NFA51" s="19"/>
      <c r="NFB51" s="19"/>
      <c r="NFC51" s="19"/>
      <c r="NFD51" s="19"/>
      <c r="NFE51" s="19"/>
      <c r="NFF51" s="19"/>
      <c r="NFG51" s="19"/>
      <c r="NFH51" s="19"/>
      <c r="NFI51" s="19"/>
      <c r="NFJ51" s="19"/>
      <c r="NFK51" s="19"/>
      <c r="NFL51" s="19"/>
      <c r="NFM51" s="19"/>
      <c r="NFN51" s="19"/>
      <c r="NFO51" s="19"/>
      <c r="NFP51" s="19"/>
      <c r="NFQ51" s="19"/>
      <c r="NFR51" s="19"/>
      <c r="NFS51" s="19"/>
      <c r="NFT51" s="19"/>
      <c r="NFU51" s="19"/>
      <c r="NFV51" s="19"/>
      <c r="NFW51" s="19"/>
      <c r="NFX51" s="19"/>
      <c r="NFY51" s="19"/>
      <c r="NFZ51" s="19"/>
      <c r="NGA51" s="19"/>
      <c r="NGB51" s="19"/>
      <c r="NGC51" s="19"/>
      <c r="NGD51" s="19"/>
      <c r="NGE51" s="19"/>
      <c r="NGF51" s="19"/>
      <c r="NGG51" s="19"/>
      <c r="NGH51" s="19"/>
      <c r="NGI51" s="19"/>
      <c r="NGJ51" s="19"/>
      <c r="NGK51" s="19"/>
      <c r="NGL51" s="19"/>
      <c r="NGM51" s="19"/>
      <c r="NGN51" s="19"/>
      <c r="NGO51" s="19"/>
      <c r="NGP51" s="19"/>
      <c r="NGQ51" s="19"/>
      <c r="NGR51" s="19"/>
      <c r="NGS51" s="19"/>
      <c r="NGT51" s="19"/>
      <c r="NGU51" s="19"/>
      <c r="NGV51" s="19"/>
      <c r="NGW51" s="19"/>
      <c r="NGX51" s="19"/>
      <c r="NGY51" s="19"/>
      <c r="NGZ51" s="19"/>
      <c r="NHA51" s="19"/>
      <c r="NHB51" s="19"/>
      <c r="NHC51" s="19"/>
      <c r="NHD51" s="19"/>
      <c r="NHE51" s="19"/>
      <c r="NHF51" s="19"/>
      <c r="NHG51" s="19"/>
      <c r="NHH51" s="19"/>
      <c r="NHI51" s="19"/>
      <c r="NHJ51" s="19"/>
      <c r="NHK51" s="19"/>
      <c r="NHL51" s="19"/>
      <c r="NHM51" s="19"/>
      <c r="NHN51" s="19"/>
      <c r="NHO51" s="19"/>
      <c r="NHP51" s="19"/>
      <c r="NHQ51" s="19"/>
      <c r="NHR51" s="19"/>
      <c r="NHS51" s="19"/>
      <c r="NHT51" s="19"/>
      <c r="NHU51" s="19"/>
      <c r="NHV51" s="19"/>
      <c r="NHW51" s="19"/>
      <c r="NHX51" s="19"/>
      <c r="NHY51" s="19"/>
      <c r="NHZ51" s="19"/>
      <c r="NIA51" s="19"/>
      <c r="NIB51" s="19"/>
      <c r="NIC51" s="19"/>
      <c r="NID51" s="19"/>
      <c r="NIE51" s="19"/>
      <c r="NIF51" s="19"/>
      <c r="NIG51" s="19"/>
      <c r="NIH51" s="19"/>
      <c r="NII51" s="19"/>
      <c r="NIJ51" s="19"/>
      <c r="NIK51" s="19"/>
      <c r="NIL51" s="19"/>
      <c r="NIM51" s="19"/>
      <c r="NIN51" s="19"/>
      <c r="NIO51" s="19"/>
      <c r="NIP51" s="19"/>
      <c r="NIQ51" s="19"/>
      <c r="NIR51" s="19"/>
      <c r="NIS51" s="19"/>
      <c r="NIT51" s="19"/>
      <c r="NIU51" s="19"/>
      <c r="NIV51" s="19"/>
      <c r="NIW51" s="19"/>
      <c r="NIX51" s="19"/>
      <c r="NIY51" s="19"/>
      <c r="NIZ51" s="19"/>
      <c r="NJA51" s="19"/>
      <c r="NJB51" s="19"/>
      <c r="NJC51" s="19"/>
      <c r="NJD51" s="19"/>
      <c r="NJE51" s="19"/>
      <c r="NJF51" s="19"/>
      <c r="NJG51" s="19"/>
      <c r="NJH51" s="19"/>
      <c r="NJI51" s="19"/>
      <c r="NJJ51" s="19"/>
      <c r="NJK51" s="19"/>
      <c r="NJL51" s="19"/>
      <c r="NJM51" s="19"/>
      <c r="NJN51" s="19"/>
      <c r="NJO51" s="19"/>
      <c r="NJP51" s="19"/>
      <c r="NJQ51" s="19"/>
      <c r="NJR51" s="19"/>
      <c r="NJS51" s="19"/>
      <c r="NJT51" s="19"/>
      <c r="NJU51" s="19"/>
      <c r="NJV51" s="19"/>
      <c r="NJW51" s="19"/>
      <c r="NJX51" s="19"/>
      <c r="NJY51" s="19"/>
      <c r="NJZ51" s="19"/>
      <c r="NKA51" s="19"/>
      <c r="NKB51" s="19"/>
      <c r="NKC51" s="19"/>
      <c r="NKD51" s="19"/>
      <c r="NKE51" s="19"/>
      <c r="NKF51" s="19"/>
      <c r="NKG51" s="19"/>
      <c r="NKH51" s="19"/>
      <c r="NKI51" s="19"/>
      <c r="NKJ51" s="19"/>
      <c r="NKK51" s="19"/>
      <c r="NKL51" s="19"/>
      <c r="NKM51" s="19"/>
      <c r="NKN51" s="19"/>
      <c r="NKO51" s="19"/>
      <c r="NKP51" s="19"/>
      <c r="NKQ51" s="19"/>
      <c r="NKR51" s="19"/>
      <c r="NKS51" s="19"/>
      <c r="NKT51" s="19"/>
      <c r="NKU51" s="19"/>
      <c r="NKV51" s="19"/>
      <c r="NKW51" s="19"/>
      <c r="NKX51" s="19"/>
      <c r="NKY51" s="19"/>
      <c r="NKZ51" s="19"/>
      <c r="NLA51" s="19"/>
      <c r="NLB51" s="19"/>
      <c r="NLC51" s="19"/>
      <c r="NLD51" s="19"/>
      <c r="NLE51" s="19"/>
      <c r="NLF51" s="19"/>
      <c r="NLG51" s="19"/>
      <c r="NLH51" s="19"/>
      <c r="NLI51" s="19"/>
      <c r="NLJ51" s="19"/>
      <c r="NLK51" s="19"/>
      <c r="NLL51" s="19"/>
      <c r="NLM51" s="19"/>
      <c r="NLN51" s="19"/>
      <c r="NLO51" s="19"/>
      <c r="NLP51" s="19"/>
      <c r="NLQ51" s="19"/>
      <c r="NLR51" s="19"/>
      <c r="NLS51" s="19"/>
      <c r="NLT51" s="19"/>
      <c r="NLU51" s="19"/>
      <c r="NLV51" s="19"/>
      <c r="NLW51" s="19"/>
      <c r="NLX51" s="19"/>
      <c r="NLY51" s="19"/>
      <c r="NLZ51" s="19"/>
      <c r="NMA51" s="19"/>
      <c r="NMB51" s="19"/>
      <c r="NMC51" s="19"/>
      <c r="NMD51" s="19"/>
      <c r="NME51" s="19"/>
      <c r="NMF51" s="19"/>
      <c r="NMG51" s="19"/>
      <c r="NMH51" s="19"/>
      <c r="NMI51" s="19"/>
      <c r="NMJ51" s="19"/>
      <c r="NMK51" s="19"/>
      <c r="NML51" s="19"/>
      <c r="NMM51" s="19"/>
      <c r="NMN51" s="19"/>
      <c r="NMO51" s="19"/>
      <c r="NMP51" s="19"/>
      <c r="NMQ51" s="19"/>
      <c r="NMR51" s="19"/>
      <c r="NMS51" s="19"/>
      <c r="NMT51" s="19"/>
      <c r="NMU51" s="19"/>
      <c r="NMV51" s="19"/>
      <c r="NMW51" s="19"/>
      <c r="NMX51" s="19"/>
      <c r="NMY51" s="19"/>
      <c r="NMZ51" s="19"/>
      <c r="NNA51" s="19"/>
      <c r="NNB51" s="19"/>
      <c r="NNC51" s="19"/>
      <c r="NND51" s="19"/>
      <c r="NNE51" s="19"/>
      <c r="NNF51" s="19"/>
      <c r="NNG51" s="19"/>
      <c r="NNH51" s="19"/>
      <c r="NNI51" s="19"/>
      <c r="NNJ51" s="19"/>
      <c r="NNK51" s="19"/>
      <c r="NNL51" s="19"/>
      <c r="NNM51" s="19"/>
      <c r="NNN51" s="19"/>
      <c r="NNO51" s="19"/>
      <c r="NNP51" s="19"/>
      <c r="NNQ51" s="19"/>
      <c r="NNR51" s="19"/>
      <c r="NNS51" s="19"/>
      <c r="NNT51" s="19"/>
      <c r="NNU51" s="19"/>
      <c r="NNV51" s="19"/>
      <c r="NNW51" s="19"/>
      <c r="NNX51" s="19"/>
      <c r="NNY51" s="19"/>
      <c r="NNZ51" s="19"/>
      <c r="NOA51" s="19"/>
      <c r="NOB51" s="19"/>
      <c r="NOC51" s="19"/>
      <c r="NOD51" s="19"/>
      <c r="NOE51" s="19"/>
      <c r="NOF51" s="19"/>
      <c r="NOG51" s="19"/>
      <c r="NOH51" s="19"/>
      <c r="NOI51" s="19"/>
      <c r="NOJ51" s="19"/>
      <c r="NOK51" s="19"/>
      <c r="NOL51" s="19"/>
      <c r="NOM51" s="19"/>
      <c r="NON51" s="19"/>
      <c r="NOO51" s="19"/>
      <c r="NOP51" s="19"/>
      <c r="NOQ51" s="19"/>
      <c r="NOR51" s="19"/>
      <c r="NOS51" s="19"/>
      <c r="NOT51" s="19"/>
      <c r="NOU51" s="19"/>
      <c r="NOV51" s="19"/>
      <c r="NOW51" s="19"/>
      <c r="NOX51" s="19"/>
      <c r="NOY51" s="19"/>
      <c r="NOZ51" s="19"/>
      <c r="NPA51" s="19"/>
      <c r="NPB51" s="19"/>
      <c r="NPC51" s="19"/>
      <c r="NPD51" s="19"/>
      <c r="NPE51" s="19"/>
      <c r="NPF51" s="19"/>
      <c r="NPG51" s="19"/>
      <c r="NPH51" s="19"/>
      <c r="NPI51" s="19"/>
      <c r="NPJ51" s="19"/>
      <c r="NPK51" s="19"/>
      <c r="NPL51" s="19"/>
      <c r="NPM51" s="19"/>
      <c r="NPN51" s="19"/>
      <c r="NPO51" s="19"/>
      <c r="NPP51" s="19"/>
      <c r="NPQ51" s="19"/>
      <c r="NPR51" s="19"/>
      <c r="NPS51" s="19"/>
      <c r="NPT51" s="19"/>
      <c r="NPU51" s="19"/>
      <c r="NPV51" s="19"/>
      <c r="NPW51" s="19"/>
      <c r="NPX51" s="19"/>
      <c r="NPY51" s="19"/>
      <c r="NPZ51" s="19"/>
      <c r="NQA51" s="19"/>
      <c r="NQB51" s="19"/>
      <c r="NQC51" s="19"/>
      <c r="NQD51" s="19"/>
      <c r="NQE51" s="19"/>
      <c r="NQF51" s="19"/>
      <c r="NQG51" s="19"/>
      <c r="NQH51" s="19"/>
      <c r="NQI51" s="19"/>
      <c r="NQJ51" s="19"/>
      <c r="NQK51" s="19"/>
      <c r="NQL51" s="19"/>
      <c r="NQM51" s="19"/>
      <c r="NQN51" s="19"/>
      <c r="NQO51" s="19"/>
      <c r="NQP51" s="19"/>
      <c r="NQQ51" s="19"/>
      <c r="NQR51" s="19"/>
      <c r="NQS51" s="19"/>
      <c r="NQT51" s="19"/>
      <c r="NQU51" s="19"/>
      <c r="NQV51" s="19"/>
      <c r="NQW51" s="19"/>
      <c r="NQX51" s="19"/>
      <c r="NQY51" s="19"/>
      <c r="NQZ51" s="19"/>
      <c r="NRA51" s="19"/>
      <c r="NRB51" s="19"/>
      <c r="NRC51" s="19"/>
      <c r="NRD51" s="19"/>
      <c r="NRE51" s="19"/>
      <c r="NRF51" s="19"/>
      <c r="NRG51" s="19"/>
      <c r="NRH51" s="19"/>
      <c r="NRI51" s="19"/>
      <c r="NRJ51" s="19"/>
      <c r="NRK51" s="19"/>
      <c r="NRL51" s="19"/>
      <c r="NRM51" s="19"/>
      <c r="NRN51" s="19"/>
      <c r="NRO51" s="19"/>
      <c r="NRP51" s="19"/>
      <c r="NRQ51" s="19"/>
      <c r="NRR51" s="19"/>
      <c r="NRS51" s="19"/>
      <c r="NRT51" s="19"/>
      <c r="NRU51" s="19"/>
      <c r="NRV51" s="19"/>
      <c r="NRW51" s="19"/>
      <c r="NRX51" s="19"/>
      <c r="NRY51" s="19"/>
      <c r="NRZ51" s="19"/>
      <c r="NSA51" s="19"/>
      <c r="NSB51" s="19"/>
      <c r="NSC51" s="19"/>
      <c r="NSD51" s="19"/>
      <c r="NSE51" s="19"/>
      <c r="NSF51" s="19"/>
      <c r="NSG51" s="19"/>
      <c r="NSH51" s="19"/>
      <c r="NSI51" s="19"/>
      <c r="NSJ51" s="19"/>
      <c r="NSK51" s="19"/>
      <c r="NSL51" s="19"/>
      <c r="NSM51" s="19"/>
      <c r="NSN51" s="19"/>
      <c r="NSO51" s="19"/>
      <c r="NSP51" s="19"/>
      <c r="NSQ51" s="19"/>
      <c r="NSR51" s="19"/>
      <c r="NSS51" s="19"/>
      <c r="NST51" s="19"/>
      <c r="NSU51" s="19"/>
      <c r="NSV51" s="19"/>
      <c r="NSW51" s="19"/>
      <c r="NSX51" s="19"/>
      <c r="NSY51" s="19"/>
      <c r="NSZ51" s="19"/>
      <c r="NTA51" s="19"/>
      <c r="NTB51" s="19"/>
      <c r="NTC51" s="19"/>
      <c r="NTD51" s="19"/>
      <c r="NTE51" s="19"/>
      <c r="NTF51" s="19"/>
      <c r="NTG51" s="19"/>
      <c r="NTH51" s="19"/>
      <c r="NTI51" s="19"/>
      <c r="NTJ51" s="19"/>
      <c r="NTK51" s="19"/>
      <c r="NTL51" s="19"/>
      <c r="NTM51" s="19"/>
      <c r="NTN51" s="19"/>
      <c r="NTO51" s="19"/>
      <c r="NTP51" s="19"/>
      <c r="NTQ51" s="19"/>
      <c r="NTR51" s="19"/>
      <c r="NTS51" s="19"/>
      <c r="NTT51" s="19"/>
      <c r="NTU51" s="19"/>
      <c r="NTV51" s="19"/>
      <c r="NTW51" s="19"/>
      <c r="NTX51" s="19"/>
      <c r="NTY51" s="19"/>
      <c r="NTZ51" s="19"/>
      <c r="NUA51" s="19"/>
      <c r="NUB51" s="19"/>
      <c r="NUC51" s="19"/>
      <c r="NUD51" s="19"/>
      <c r="NUE51" s="19"/>
      <c r="NUF51" s="19"/>
      <c r="NUG51" s="19"/>
      <c r="NUH51" s="19"/>
      <c r="NUI51" s="19"/>
      <c r="NUJ51" s="19"/>
      <c r="NUK51" s="19"/>
      <c r="NUL51" s="19"/>
      <c r="NUM51" s="19"/>
      <c r="NUN51" s="19"/>
      <c r="NUO51" s="19"/>
      <c r="NUP51" s="19"/>
      <c r="NUQ51" s="19"/>
      <c r="NUR51" s="19"/>
      <c r="NUS51" s="19"/>
      <c r="NUT51" s="19"/>
      <c r="NUU51" s="19"/>
      <c r="NUV51" s="19"/>
      <c r="NUW51" s="19"/>
      <c r="NUX51" s="19"/>
      <c r="NUY51" s="19"/>
      <c r="NUZ51" s="19"/>
      <c r="NVA51" s="19"/>
      <c r="NVB51" s="19"/>
      <c r="NVC51" s="19"/>
      <c r="NVD51" s="19"/>
      <c r="NVE51" s="19"/>
      <c r="NVF51" s="19"/>
      <c r="NVG51" s="19"/>
      <c r="NVH51" s="19"/>
      <c r="NVI51" s="19"/>
      <c r="NVJ51" s="19"/>
      <c r="NVK51" s="19"/>
      <c r="NVL51" s="19"/>
      <c r="NVM51" s="19"/>
      <c r="NVN51" s="19"/>
      <c r="NVO51" s="19"/>
      <c r="NVP51" s="19"/>
      <c r="NVQ51" s="19"/>
      <c r="NVR51" s="19"/>
      <c r="NVS51" s="19"/>
      <c r="NVT51" s="19"/>
      <c r="NVU51" s="19"/>
      <c r="NVV51" s="19"/>
      <c r="NVW51" s="19"/>
      <c r="NVX51" s="19"/>
      <c r="NVY51" s="19"/>
      <c r="NVZ51" s="19"/>
      <c r="NWA51" s="19"/>
      <c r="NWB51" s="19"/>
      <c r="NWC51" s="19"/>
      <c r="NWD51" s="19"/>
      <c r="NWE51" s="19"/>
      <c r="NWF51" s="19"/>
      <c r="NWG51" s="19"/>
      <c r="NWH51" s="19"/>
      <c r="NWI51" s="19"/>
      <c r="NWJ51" s="19"/>
      <c r="NWK51" s="19"/>
      <c r="NWL51" s="19"/>
      <c r="NWM51" s="19"/>
      <c r="NWN51" s="19"/>
      <c r="NWO51" s="19"/>
      <c r="NWP51" s="19"/>
      <c r="NWQ51" s="19"/>
      <c r="NWR51" s="19"/>
      <c r="NWS51" s="19"/>
      <c r="NWT51" s="19"/>
      <c r="NWU51" s="19"/>
      <c r="NWV51" s="19"/>
      <c r="NWW51" s="19"/>
      <c r="NWX51" s="19"/>
      <c r="NWY51" s="19"/>
      <c r="NWZ51" s="19"/>
      <c r="NXA51" s="19"/>
      <c r="NXB51" s="19"/>
      <c r="NXC51" s="19"/>
      <c r="NXD51" s="19"/>
      <c r="NXE51" s="19"/>
      <c r="NXF51" s="19"/>
      <c r="NXG51" s="19"/>
      <c r="NXH51" s="19"/>
      <c r="NXI51" s="19"/>
      <c r="NXJ51" s="19"/>
      <c r="NXK51" s="19"/>
      <c r="NXL51" s="19"/>
      <c r="NXM51" s="19"/>
      <c r="NXN51" s="19"/>
      <c r="NXO51" s="19"/>
      <c r="NXP51" s="19"/>
      <c r="NXQ51" s="19"/>
      <c r="NXR51" s="19"/>
      <c r="NXS51" s="19"/>
      <c r="NXT51" s="19"/>
      <c r="NXU51" s="19"/>
      <c r="NXV51" s="19"/>
      <c r="NXW51" s="19"/>
      <c r="NXX51" s="19"/>
      <c r="NXY51" s="19"/>
      <c r="NXZ51" s="19"/>
      <c r="NYA51" s="19"/>
      <c r="NYB51" s="19"/>
      <c r="NYC51" s="19"/>
      <c r="NYD51" s="19"/>
      <c r="NYE51" s="19"/>
      <c r="NYF51" s="19"/>
      <c r="NYG51" s="19"/>
      <c r="NYH51" s="19"/>
      <c r="NYI51" s="19"/>
      <c r="NYJ51" s="19"/>
      <c r="NYK51" s="19"/>
      <c r="NYL51" s="19"/>
      <c r="NYM51" s="19"/>
      <c r="NYN51" s="19"/>
      <c r="NYO51" s="19"/>
      <c r="NYP51" s="19"/>
      <c r="NYQ51" s="19"/>
      <c r="NYR51" s="19"/>
      <c r="NYS51" s="19"/>
      <c r="NYT51" s="19"/>
      <c r="NYU51" s="19"/>
      <c r="NYV51" s="19"/>
      <c r="NYW51" s="19"/>
      <c r="NYX51" s="19"/>
      <c r="NYY51" s="19"/>
      <c r="NYZ51" s="19"/>
      <c r="NZA51" s="19"/>
      <c r="NZB51" s="19"/>
      <c r="NZC51" s="19"/>
      <c r="NZD51" s="19"/>
      <c r="NZE51" s="19"/>
      <c r="NZF51" s="19"/>
      <c r="NZG51" s="19"/>
      <c r="NZH51" s="19"/>
      <c r="NZI51" s="19"/>
      <c r="NZJ51" s="19"/>
      <c r="NZK51" s="19"/>
      <c r="NZL51" s="19"/>
      <c r="NZM51" s="19"/>
      <c r="NZN51" s="19"/>
      <c r="NZO51" s="19"/>
      <c r="NZP51" s="19"/>
      <c r="NZQ51" s="19"/>
      <c r="NZR51" s="19"/>
      <c r="NZS51" s="19"/>
      <c r="NZT51" s="19"/>
      <c r="NZU51" s="19"/>
      <c r="NZV51" s="19"/>
      <c r="NZW51" s="19"/>
      <c r="NZX51" s="19"/>
      <c r="NZY51" s="19"/>
      <c r="NZZ51" s="19"/>
      <c r="OAA51" s="19"/>
      <c r="OAB51" s="19"/>
      <c r="OAC51" s="19"/>
      <c r="OAD51" s="19"/>
      <c r="OAE51" s="19"/>
      <c r="OAF51" s="19"/>
      <c r="OAG51" s="19"/>
      <c r="OAH51" s="19"/>
      <c r="OAI51" s="19"/>
      <c r="OAJ51" s="19"/>
      <c r="OAK51" s="19"/>
      <c r="OAL51" s="19"/>
      <c r="OAM51" s="19"/>
      <c r="OAN51" s="19"/>
      <c r="OAO51" s="19"/>
      <c r="OAP51" s="19"/>
      <c r="OAQ51" s="19"/>
      <c r="OAR51" s="19"/>
      <c r="OAS51" s="19"/>
      <c r="OAT51" s="19"/>
      <c r="OAU51" s="19"/>
      <c r="OAV51" s="19"/>
      <c r="OAW51" s="19"/>
      <c r="OAX51" s="19"/>
      <c r="OAY51" s="19"/>
      <c r="OAZ51" s="19"/>
      <c r="OBA51" s="19"/>
      <c r="OBB51" s="19"/>
      <c r="OBC51" s="19"/>
      <c r="OBD51" s="19"/>
      <c r="OBE51" s="19"/>
      <c r="OBF51" s="19"/>
      <c r="OBG51" s="19"/>
      <c r="OBH51" s="19"/>
      <c r="OBI51" s="19"/>
      <c r="OBJ51" s="19"/>
      <c r="OBK51" s="19"/>
      <c r="OBL51" s="19"/>
      <c r="OBM51" s="19"/>
      <c r="OBN51" s="19"/>
      <c r="OBO51" s="19"/>
      <c r="OBP51" s="19"/>
      <c r="OBQ51" s="19"/>
      <c r="OBR51" s="19"/>
      <c r="OBS51" s="19"/>
      <c r="OBT51" s="19"/>
      <c r="OBU51" s="19"/>
      <c r="OBV51" s="19"/>
      <c r="OBW51" s="19"/>
      <c r="OBX51" s="19"/>
      <c r="OBY51" s="19"/>
      <c r="OBZ51" s="19"/>
      <c r="OCA51" s="19"/>
      <c r="OCB51" s="19"/>
      <c r="OCC51" s="19"/>
      <c r="OCD51" s="19"/>
      <c r="OCE51" s="19"/>
      <c r="OCF51" s="19"/>
      <c r="OCG51" s="19"/>
      <c r="OCH51" s="19"/>
      <c r="OCI51" s="19"/>
      <c r="OCJ51" s="19"/>
      <c r="OCK51" s="19"/>
      <c r="OCL51" s="19"/>
      <c r="OCM51" s="19"/>
      <c r="OCN51" s="19"/>
      <c r="OCO51" s="19"/>
      <c r="OCP51" s="19"/>
      <c r="OCQ51" s="19"/>
      <c r="OCR51" s="19"/>
      <c r="OCS51" s="19"/>
      <c r="OCT51" s="19"/>
      <c r="OCU51" s="19"/>
      <c r="OCV51" s="19"/>
      <c r="OCW51" s="19"/>
      <c r="OCX51" s="19"/>
      <c r="OCY51" s="19"/>
      <c r="OCZ51" s="19"/>
      <c r="ODA51" s="19"/>
      <c r="ODB51" s="19"/>
      <c r="ODC51" s="19"/>
      <c r="ODD51" s="19"/>
      <c r="ODE51" s="19"/>
      <c r="ODF51" s="19"/>
      <c r="ODG51" s="19"/>
      <c r="ODH51" s="19"/>
      <c r="ODI51" s="19"/>
      <c r="ODJ51" s="19"/>
      <c r="ODK51" s="19"/>
      <c r="ODL51" s="19"/>
      <c r="ODM51" s="19"/>
      <c r="ODN51" s="19"/>
      <c r="ODO51" s="19"/>
      <c r="ODP51" s="19"/>
      <c r="ODQ51" s="19"/>
      <c r="ODR51" s="19"/>
      <c r="ODS51" s="19"/>
      <c r="ODT51" s="19"/>
      <c r="ODU51" s="19"/>
      <c r="ODV51" s="19"/>
      <c r="ODW51" s="19"/>
      <c r="ODX51" s="19"/>
      <c r="ODY51" s="19"/>
      <c r="ODZ51" s="19"/>
      <c r="OEA51" s="19"/>
      <c r="OEB51" s="19"/>
      <c r="OEC51" s="19"/>
      <c r="OED51" s="19"/>
      <c r="OEE51" s="19"/>
      <c r="OEF51" s="19"/>
      <c r="OEG51" s="19"/>
      <c r="OEH51" s="19"/>
      <c r="OEI51" s="19"/>
      <c r="OEJ51" s="19"/>
      <c r="OEK51" s="19"/>
      <c r="OEL51" s="19"/>
      <c r="OEM51" s="19"/>
      <c r="OEN51" s="19"/>
      <c r="OEO51" s="19"/>
      <c r="OEP51" s="19"/>
      <c r="OEQ51" s="19"/>
      <c r="OER51" s="19"/>
      <c r="OES51" s="19"/>
      <c r="OET51" s="19"/>
      <c r="OEU51" s="19"/>
      <c r="OEV51" s="19"/>
      <c r="OEW51" s="19"/>
      <c r="OEX51" s="19"/>
      <c r="OEY51" s="19"/>
      <c r="OEZ51" s="19"/>
      <c r="OFA51" s="19"/>
      <c r="OFB51" s="19"/>
      <c r="OFC51" s="19"/>
      <c r="OFD51" s="19"/>
      <c r="OFE51" s="19"/>
      <c r="OFF51" s="19"/>
      <c r="OFG51" s="19"/>
      <c r="OFH51" s="19"/>
      <c r="OFI51" s="19"/>
      <c r="OFJ51" s="19"/>
      <c r="OFK51" s="19"/>
      <c r="OFL51" s="19"/>
      <c r="OFM51" s="19"/>
      <c r="OFN51" s="19"/>
      <c r="OFO51" s="19"/>
      <c r="OFP51" s="19"/>
      <c r="OFQ51" s="19"/>
      <c r="OFR51" s="19"/>
      <c r="OFS51" s="19"/>
      <c r="OFT51" s="19"/>
      <c r="OFU51" s="19"/>
      <c r="OFV51" s="19"/>
      <c r="OFW51" s="19"/>
      <c r="OFX51" s="19"/>
      <c r="OFY51" s="19"/>
      <c r="OFZ51" s="19"/>
      <c r="OGA51" s="19"/>
      <c r="OGB51" s="19"/>
      <c r="OGC51" s="19"/>
      <c r="OGD51" s="19"/>
      <c r="OGE51" s="19"/>
      <c r="OGF51" s="19"/>
      <c r="OGG51" s="19"/>
      <c r="OGH51" s="19"/>
      <c r="OGI51" s="19"/>
      <c r="OGJ51" s="19"/>
      <c r="OGK51" s="19"/>
      <c r="OGL51" s="19"/>
      <c r="OGM51" s="19"/>
      <c r="OGN51" s="19"/>
      <c r="OGO51" s="19"/>
      <c r="OGP51" s="19"/>
      <c r="OGQ51" s="19"/>
      <c r="OGR51" s="19"/>
      <c r="OGS51" s="19"/>
      <c r="OGT51" s="19"/>
      <c r="OGU51" s="19"/>
      <c r="OGV51" s="19"/>
      <c r="OGW51" s="19"/>
      <c r="OGX51" s="19"/>
      <c r="OGY51" s="19"/>
      <c r="OGZ51" s="19"/>
      <c r="OHA51" s="19"/>
      <c r="OHB51" s="19"/>
      <c r="OHC51" s="19"/>
      <c r="OHD51" s="19"/>
      <c r="OHE51" s="19"/>
      <c r="OHF51" s="19"/>
      <c r="OHG51" s="19"/>
      <c r="OHH51" s="19"/>
      <c r="OHI51" s="19"/>
      <c r="OHJ51" s="19"/>
      <c r="OHK51" s="19"/>
      <c r="OHL51" s="19"/>
      <c r="OHM51" s="19"/>
      <c r="OHN51" s="19"/>
      <c r="OHO51" s="19"/>
      <c r="OHP51" s="19"/>
      <c r="OHQ51" s="19"/>
      <c r="OHR51" s="19"/>
      <c r="OHS51" s="19"/>
      <c r="OHT51" s="19"/>
      <c r="OHU51" s="19"/>
      <c r="OHV51" s="19"/>
      <c r="OHW51" s="19"/>
      <c r="OHX51" s="19"/>
      <c r="OHY51" s="19"/>
      <c r="OHZ51" s="19"/>
      <c r="OIA51" s="19"/>
      <c r="OIB51" s="19"/>
      <c r="OIC51" s="19"/>
      <c r="OID51" s="19"/>
      <c r="OIE51" s="19"/>
      <c r="OIF51" s="19"/>
      <c r="OIG51" s="19"/>
      <c r="OIH51" s="19"/>
      <c r="OII51" s="19"/>
      <c r="OIJ51" s="19"/>
      <c r="OIK51" s="19"/>
      <c r="OIL51" s="19"/>
      <c r="OIM51" s="19"/>
      <c r="OIN51" s="19"/>
      <c r="OIO51" s="19"/>
      <c r="OIP51" s="19"/>
      <c r="OIQ51" s="19"/>
      <c r="OIR51" s="19"/>
      <c r="OIS51" s="19"/>
      <c r="OIT51" s="19"/>
      <c r="OIU51" s="19"/>
      <c r="OIV51" s="19"/>
      <c r="OIW51" s="19"/>
      <c r="OIX51" s="19"/>
      <c r="OIY51" s="19"/>
      <c r="OIZ51" s="19"/>
      <c r="OJA51" s="19"/>
      <c r="OJB51" s="19"/>
      <c r="OJC51" s="19"/>
      <c r="OJD51" s="19"/>
      <c r="OJE51" s="19"/>
      <c r="OJF51" s="19"/>
      <c r="OJG51" s="19"/>
      <c r="OJH51" s="19"/>
      <c r="OJI51" s="19"/>
      <c r="OJJ51" s="19"/>
      <c r="OJK51" s="19"/>
      <c r="OJL51" s="19"/>
      <c r="OJM51" s="19"/>
      <c r="OJN51" s="19"/>
      <c r="OJO51" s="19"/>
      <c r="OJP51" s="19"/>
      <c r="OJQ51" s="19"/>
      <c r="OJR51" s="19"/>
      <c r="OJS51" s="19"/>
      <c r="OJT51" s="19"/>
      <c r="OJU51" s="19"/>
      <c r="OJV51" s="19"/>
      <c r="OJW51" s="19"/>
      <c r="OJX51" s="19"/>
      <c r="OJY51" s="19"/>
      <c r="OJZ51" s="19"/>
      <c r="OKA51" s="19"/>
      <c r="OKB51" s="19"/>
      <c r="OKC51" s="19"/>
      <c r="OKD51" s="19"/>
      <c r="OKE51" s="19"/>
      <c r="OKF51" s="19"/>
      <c r="OKG51" s="19"/>
      <c r="OKH51" s="19"/>
      <c r="OKI51" s="19"/>
      <c r="OKJ51" s="19"/>
      <c r="OKK51" s="19"/>
      <c r="OKL51" s="19"/>
      <c r="OKM51" s="19"/>
      <c r="OKN51" s="19"/>
      <c r="OKO51" s="19"/>
      <c r="OKP51" s="19"/>
      <c r="OKQ51" s="19"/>
      <c r="OKR51" s="19"/>
      <c r="OKS51" s="19"/>
      <c r="OKT51" s="19"/>
      <c r="OKU51" s="19"/>
      <c r="OKV51" s="19"/>
      <c r="OKW51" s="19"/>
      <c r="OKX51" s="19"/>
      <c r="OKY51" s="19"/>
      <c r="OKZ51" s="19"/>
      <c r="OLA51" s="19"/>
      <c r="OLB51" s="19"/>
      <c r="OLC51" s="19"/>
      <c r="OLD51" s="19"/>
      <c r="OLE51" s="19"/>
      <c r="OLF51" s="19"/>
      <c r="OLG51" s="19"/>
      <c r="OLH51" s="19"/>
      <c r="OLI51" s="19"/>
      <c r="OLJ51" s="19"/>
      <c r="OLK51" s="19"/>
      <c r="OLL51" s="19"/>
      <c r="OLM51" s="19"/>
      <c r="OLN51" s="19"/>
      <c r="OLO51" s="19"/>
      <c r="OLP51" s="19"/>
      <c r="OLQ51" s="19"/>
      <c r="OLR51" s="19"/>
      <c r="OLS51" s="19"/>
      <c r="OLT51" s="19"/>
      <c r="OLU51" s="19"/>
      <c r="OLV51" s="19"/>
      <c r="OLW51" s="19"/>
      <c r="OLX51" s="19"/>
      <c r="OLY51" s="19"/>
      <c r="OLZ51" s="19"/>
      <c r="OMA51" s="19"/>
      <c r="OMB51" s="19"/>
      <c r="OMC51" s="19"/>
      <c r="OMD51" s="19"/>
      <c r="OME51" s="19"/>
      <c r="OMF51" s="19"/>
      <c r="OMG51" s="19"/>
      <c r="OMH51" s="19"/>
      <c r="OMI51" s="19"/>
      <c r="OMJ51" s="19"/>
      <c r="OMK51" s="19"/>
      <c r="OML51" s="19"/>
      <c r="OMM51" s="19"/>
      <c r="OMN51" s="19"/>
      <c r="OMO51" s="19"/>
      <c r="OMP51" s="19"/>
      <c r="OMQ51" s="19"/>
      <c r="OMR51" s="19"/>
      <c r="OMS51" s="19"/>
      <c r="OMT51" s="19"/>
      <c r="OMU51" s="19"/>
      <c r="OMV51" s="19"/>
      <c r="OMW51" s="19"/>
      <c r="OMX51" s="19"/>
      <c r="OMY51" s="19"/>
      <c r="OMZ51" s="19"/>
      <c r="ONA51" s="19"/>
      <c r="ONB51" s="19"/>
      <c r="ONC51" s="19"/>
      <c r="OND51" s="19"/>
      <c r="ONE51" s="19"/>
      <c r="ONF51" s="19"/>
      <c r="ONG51" s="19"/>
      <c r="ONH51" s="19"/>
      <c r="ONI51" s="19"/>
      <c r="ONJ51" s="19"/>
      <c r="ONK51" s="19"/>
      <c r="ONL51" s="19"/>
      <c r="ONM51" s="19"/>
      <c r="ONN51" s="19"/>
      <c r="ONO51" s="19"/>
      <c r="ONP51" s="19"/>
      <c r="ONQ51" s="19"/>
      <c r="ONR51" s="19"/>
      <c r="ONS51" s="19"/>
      <c r="ONT51" s="19"/>
      <c r="ONU51" s="19"/>
      <c r="ONV51" s="19"/>
      <c r="ONW51" s="19"/>
      <c r="ONX51" s="19"/>
      <c r="ONY51" s="19"/>
      <c r="ONZ51" s="19"/>
      <c r="OOA51" s="19"/>
      <c r="OOB51" s="19"/>
      <c r="OOC51" s="19"/>
      <c r="OOD51" s="19"/>
      <c r="OOE51" s="19"/>
      <c r="OOF51" s="19"/>
      <c r="OOG51" s="19"/>
      <c r="OOH51" s="19"/>
      <c r="OOI51" s="19"/>
      <c r="OOJ51" s="19"/>
      <c r="OOK51" s="19"/>
      <c r="OOL51" s="19"/>
      <c r="OOM51" s="19"/>
      <c r="OON51" s="19"/>
      <c r="OOO51" s="19"/>
      <c r="OOP51" s="19"/>
      <c r="OOQ51" s="19"/>
      <c r="OOR51" s="19"/>
      <c r="OOS51" s="19"/>
      <c r="OOT51" s="19"/>
      <c r="OOU51" s="19"/>
      <c r="OOV51" s="19"/>
      <c r="OOW51" s="19"/>
      <c r="OOX51" s="19"/>
      <c r="OOY51" s="19"/>
      <c r="OOZ51" s="19"/>
      <c r="OPA51" s="19"/>
      <c r="OPB51" s="19"/>
      <c r="OPC51" s="19"/>
      <c r="OPD51" s="19"/>
      <c r="OPE51" s="19"/>
      <c r="OPF51" s="19"/>
      <c r="OPG51" s="19"/>
      <c r="OPH51" s="19"/>
      <c r="OPI51" s="19"/>
      <c r="OPJ51" s="19"/>
      <c r="OPK51" s="19"/>
      <c r="OPL51" s="19"/>
      <c r="OPM51" s="19"/>
      <c r="OPN51" s="19"/>
      <c r="OPO51" s="19"/>
      <c r="OPP51" s="19"/>
      <c r="OPQ51" s="19"/>
      <c r="OPR51" s="19"/>
      <c r="OPS51" s="19"/>
      <c r="OPT51" s="19"/>
      <c r="OPU51" s="19"/>
      <c r="OPV51" s="19"/>
      <c r="OPW51" s="19"/>
      <c r="OPX51" s="19"/>
      <c r="OPY51" s="19"/>
      <c r="OPZ51" s="19"/>
      <c r="OQA51" s="19"/>
      <c r="OQB51" s="19"/>
      <c r="OQC51" s="19"/>
      <c r="OQD51" s="19"/>
      <c r="OQE51" s="19"/>
      <c r="OQF51" s="19"/>
      <c r="OQG51" s="19"/>
      <c r="OQH51" s="19"/>
      <c r="OQI51" s="19"/>
      <c r="OQJ51" s="19"/>
      <c r="OQK51" s="19"/>
      <c r="OQL51" s="19"/>
      <c r="OQM51" s="19"/>
      <c r="OQN51" s="19"/>
      <c r="OQO51" s="19"/>
      <c r="OQP51" s="19"/>
      <c r="OQQ51" s="19"/>
      <c r="OQR51" s="19"/>
      <c r="OQS51" s="19"/>
      <c r="OQT51" s="19"/>
      <c r="OQU51" s="19"/>
      <c r="OQV51" s="19"/>
      <c r="OQW51" s="19"/>
      <c r="OQX51" s="19"/>
      <c r="OQY51" s="19"/>
      <c r="OQZ51" s="19"/>
      <c r="ORA51" s="19"/>
      <c r="ORB51" s="19"/>
      <c r="ORC51" s="19"/>
      <c r="ORD51" s="19"/>
      <c r="ORE51" s="19"/>
      <c r="ORF51" s="19"/>
      <c r="ORG51" s="19"/>
      <c r="ORH51" s="19"/>
      <c r="ORI51" s="19"/>
      <c r="ORJ51" s="19"/>
      <c r="ORK51" s="19"/>
      <c r="ORL51" s="19"/>
      <c r="ORM51" s="19"/>
      <c r="ORN51" s="19"/>
      <c r="ORO51" s="19"/>
      <c r="ORP51" s="19"/>
      <c r="ORQ51" s="19"/>
      <c r="ORR51" s="19"/>
      <c r="ORS51" s="19"/>
      <c r="ORT51" s="19"/>
      <c r="ORU51" s="19"/>
      <c r="ORV51" s="19"/>
      <c r="ORW51" s="19"/>
      <c r="ORX51" s="19"/>
      <c r="ORY51" s="19"/>
      <c r="ORZ51" s="19"/>
      <c r="OSA51" s="19"/>
      <c r="OSB51" s="19"/>
      <c r="OSC51" s="19"/>
      <c r="OSD51" s="19"/>
      <c r="OSE51" s="19"/>
      <c r="OSF51" s="19"/>
      <c r="OSG51" s="19"/>
      <c r="OSH51" s="19"/>
      <c r="OSI51" s="19"/>
      <c r="OSJ51" s="19"/>
      <c r="OSK51" s="19"/>
      <c r="OSL51" s="19"/>
      <c r="OSM51" s="19"/>
      <c r="OSN51" s="19"/>
      <c r="OSO51" s="19"/>
      <c r="OSP51" s="19"/>
      <c r="OSQ51" s="19"/>
      <c r="OSR51" s="19"/>
      <c r="OSS51" s="19"/>
      <c r="OST51" s="19"/>
      <c r="OSU51" s="19"/>
      <c r="OSV51" s="19"/>
      <c r="OSW51" s="19"/>
      <c r="OSX51" s="19"/>
      <c r="OSY51" s="19"/>
      <c r="OSZ51" s="19"/>
      <c r="OTA51" s="19"/>
      <c r="OTB51" s="19"/>
      <c r="OTC51" s="19"/>
      <c r="OTD51" s="19"/>
      <c r="OTE51" s="19"/>
      <c r="OTF51" s="19"/>
      <c r="OTG51" s="19"/>
      <c r="OTH51" s="19"/>
      <c r="OTI51" s="19"/>
      <c r="OTJ51" s="19"/>
      <c r="OTK51" s="19"/>
      <c r="OTL51" s="19"/>
      <c r="OTM51" s="19"/>
      <c r="OTN51" s="19"/>
      <c r="OTO51" s="19"/>
      <c r="OTP51" s="19"/>
      <c r="OTQ51" s="19"/>
      <c r="OTR51" s="19"/>
      <c r="OTS51" s="19"/>
      <c r="OTT51" s="19"/>
      <c r="OTU51" s="19"/>
      <c r="OTV51" s="19"/>
      <c r="OTW51" s="19"/>
      <c r="OTX51" s="19"/>
      <c r="OTY51" s="19"/>
      <c r="OTZ51" s="19"/>
      <c r="OUA51" s="19"/>
      <c r="OUB51" s="19"/>
      <c r="OUC51" s="19"/>
      <c r="OUD51" s="19"/>
      <c r="OUE51" s="19"/>
      <c r="OUF51" s="19"/>
      <c r="OUG51" s="19"/>
      <c r="OUH51" s="19"/>
      <c r="OUI51" s="19"/>
      <c r="OUJ51" s="19"/>
      <c r="OUK51" s="19"/>
      <c r="OUL51" s="19"/>
      <c r="OUM51" s="19"/>
      <c r="OUN51" s="19"/>
      <c r="OUO51" s="19"/>
      <c r="OUP51" s="19"/>
      <c r="OUQ51" s="19"/>
      <c r="OUR51" s="19"/>
      <c r="OUS51" s="19"/>
      <c r="OUT51" s="19"/>
      <c r="OUU51" s="19"/>
      <c r="OUV51" s="19"/>
      <c r="OUW51" s="19"/>
      <c r="OUX51" s="19"/>
      <c r="OUY51" s="19"/>
      <c r="OUZ51" s="19"/>
      <c r="OVA51" s="19"/>
      <c r="OVB51" s="19"/>
      <c r="OVC51" s="19"/>
      <c r="OVD51" s="19"/>
      <c r="OVE51" s="19"/>
      <c r="OVF51" s="19"/>
      <c r="OVG51" s="19"/>
      <c r="OVH51" s="19"/>
      <c r="OVI51" s="19"/>
      <c r="OVJ51" s="19"/>
      <c r="OVK51" s="19"/>
      <c r="OVL51" s="19"/>
      <c r="OVM51" s="19"/>
      <c r="OVN51" s="19"/>
      <c r="OVO51" s="19"/>
      <c r="OVP51" s="19"/>
      <c r="OVQ51" s="19"/>
      <c r="OVR51" s="19"/>
      <c r="OVS51" s="19"/>
      <c r="OVT51" s="19"/>
      <c r="OVU51" s="19"/>
      <c r="OVV51" s="19"/>
      <c r="OVW51" s="19"/>
      <c r="OVX51" s="19"/>
      <c r="OVY51" s="19"/>
      <c r="OVZ51" s="19"/>
      <c r="OWA51" s="19"/>
      <c r="OWB51" s="19"/>
      <c r="OWC51" s="19"/>
      <c r="OWD51" s="19"/>
      <c r="OWE51" s="19"/>
      <c r="OWF51" s="19"/>
      <c r="OWG51" s="19"/>
      <c r="OWH51" s="19"/>
      <c r="OWI51" s="19"/>
      <c r="OWJ51" s="19"/>
      <c r="OWK51" s="19"/>
      <c r="OWL51" s="19"/>
      <c r="OWM51" s="19"/>
      <c r="OWN51" s="19"/>
      <c r="OWO51" s="19"/>
      <c r="OWP51" s="19"/>
      <c r="OWQ51" s="19"/>
      <c r="OWR51" s="19"/>
      <c r="OWS51" s="19"/>
      <c r="OWT51" s="19"/>
      <c r="OWU51" s="19"/>
      <c r="OWV51" s="19"/>
      <c r="OWW51" s="19"/>
      <c r="OWX51" s="19"/>
      <c r="OWY51" s="19"/>
      <c r="OWZ51" s="19"/>
      <c r="OXA51" s="19"/>
      <c r="OXB51" s="19"/>
      <c r="OXC51" s="19"/>
      <c r="OXD51" s="19"/>
      <c r="OXE51" s="19"/>
      <c r="OXF51" s="19"/>
      <c r="OXG51" s="19"/>
      <c r="OXH51" s="19"/>
      <c r="OXI51" s="19"/>
      <c r="OXJ51" s="19"/>
      <c r="OXK51" s="19"/>
      <c r="OXL51" s="19"/>
      <c r="OXM51" s="19"/>
      <c r="OXN51" s="19"/>
      <c r="OXO51" s="19"/>
      <c r="OXP51" s="19"/>
      <c r="OXQ51" s="19"/>
      <c r="OXR51" s="19"/>
      <c r="OXS51" s="19"/>
      <c r="OXT51" s="19"/>
      <c r="OXU51" s="19"/>
      <c r="OXV51" s="19"/>
      <c r="OXW51" s="19"/>
      <c r="OXX51" s="19"/>
      <c r="OXY51" s="19"/>
      <c r="OXZ51" s="19"/>
      <c r="OYA51" s="19"/>
      <c r="OYB51" s="19"/>
      <c r="OYC51" s="19"/>
      <c r="OYD51" s="19"/>
      <c r="OYE51" s="19"/>
      <c r="OYF51" s="19"/>
      <c r="OYG51" s="19"/>
      <c r="OYH51" s="19"/>
      <c r="OYI51" s="19"/>
      <c r="OYJ51" s="19"/>
      <c r="OYK51" s="19"/>
      <c r="OYL51" s="19"/>
      <c r="OYM51" s="19"/>
      <c r="OYN51" s="19"/>
      <c r="OYO51" s="19"/>
      <c r="OYP51" s="19"/>
      <c r="OYQ51" s="19"/>
      <c r="OYR51" s="19"/>
      <c r="OYS51" s="19"/>
      <c r="OYT51" s="19"/>
      <c r="OYU51" s="19"/>
      <c r="OYV51" s="19"/>
      <c r="OYW51" s="19"/>
      <c r="OYX51" s="19"/>
      <c r="OYY51" s="19"/>
      <c r="OYZ51" s="19"/>
      <c r="OZA51" s="19"/>
      <c r="OZB51" s="19"/>
      <c r="OZC51" s="19"/>
      <c r="OZD51" s="19"/>
      <c r="OZE51" s="19"/>
      <c r="OZF51" s="19"/>
      <c r="OZG51" s="19"/>
      <c r="OZH51" s="19"/>
      <c r="OZI51" s="19"/>
      <c r="OZJ51" s="19"/>
      <c r="OZK51" s="19"/>
      <c r="OZL51" s="19"/>
      <c r="OZM51" s="19"/>
      <c r="OZN51" s="19"/>
      <c r="OZO51" s="19"/>
      <c r="OZP51" s="19"/>
      <c r="OZQ51" s="19"/>
      <c r="OZR51" s="19"/>
      <c r="OZS51" s="19"/>
      <c r="OZT51" s="19"/>
      <c r="OZU51" s="19"/>
      <c r="OZV51" s="19"/>
      <c r="OZW51" s="19"/>
      <c r="OZX51" s="19"/>
      <c r="OZY51" s="19"/>
      <c r="OZZ51" s="19"/>
      <c r="PAA51" s="19"/>
      <c r="PAB51" s="19"/>
      <c r="PAC51" s="19"/>
      <c r="PAD51" s="19"/>
      <c r="PAE51" s="19"/>
      <c r="PAF51" s="19"/>
      <c r="PAG51" s="19"/>
      <c r="PAH51" s="19"/>
      <c r="PAI51" s="19"/>
      <c r="PAJ51" s="19"/>
      <c r="PAK51" s="19"/>
      <c r="PAL51" s="19"/>
      <c r="PAM51" s="19"/>
      <c r="PAN51" s="19"/>
      <c r="PAO51" s="19"/>
      <c r="PAP51" s="19"/>
      <c r="PAQ51" s="19"/>
      <c r="PAR51" s="19"/>
      <c r="PAS51" s="19"/>
      <c r="PAT51" s="19"/>
      <c r="PAU51" s="19"/>
      <c r="PAV51" s="19"/>
      <c r="PAW51" s="19"/>
      <c r="PAX51" s="19"/>
      <c r="PAY51" s="19"/>
      <c r="PAZ51" s="19"/>
      <c r="PBA51" s="19"/>
      <c r="PBB51" s="19"/>
      <c r="PBC51" s="19"/>
      <c r="PBD51" s="19"/>
      <c r="PBE51" s="19"/>
      <c r="PBF51" s="19"/>
      <c r="PBG51" s="19"/>
      <c r="PBH51" s="19"/>
      <c r="PBI51" s="19"/>
      <c r="PBJ51" s="19"/>
      <c r="PBK51" s="19"/>
      <c r="PBL51" s="19"/>
      <c r="PBM51" s="19"/>
      <c r="PBN51" s="19"/>
      <c r="PBO51" s="19"/>
      <c r="PBP51" s="19"/>
      <c r="PBQ51" s="19"/>
      <c r="PBR51" s="19"/>
      <c r="PBS51" s="19"/>
      <c r="PBT51" s="19"/>
      <c r="PBU51" s="19"/>
      <c r="PBV51" s="19"/>
      <c r="PBW51" s="19"/>
      <c r="PBX51" s="19"/>
      <c r="PBY51" s="19"/>
      <c r="PBZ51" s="19"/>
      <c r="PCA51" s="19"/>
      <c r="PCB51" s="19"/>
      <c r="PCC51" s="19"/>
      <c r="PCD51" s="19"/>
      <c r="PCE51" s="19"/>
      <c r="PCF51" s="19"/>
      <c r="PCG51" s="19"/>
      <c r="PCH51" s="19"/>
      <c r="PCI51" s="19"/>
      <c r="PCJ51" s="19"/>
      <c r="PCK51" s="19"/>
      <c r="PCL51" s="19"/>
      <c r="PCM51" s="19"/>
      <c r="PCN51" s="19"/>
      <c r="PCO51" s="19"/>
      <c r="PCP51" s="19"/>
      <c r="PCQ51" s="19"/>
      <c r="PCR51" s="19"/>
      <c r="PCS51" s="19"/>
      <c r="PCT51" s="19"/>
      <c r="PCU51" s="19"/>
      <c r="PCV51" s="19"/>
      <c r="PCW51" s="19"/>
      <c r="PCX51" s="19"/>
      <c r="PCY51" s="19"/>
      <c r="PCZ51" s="19"/>
      <c r="PDA51" s="19"/>
      <c r="PDB51" s="19"/>
      <c r="PDC51" s="19"/>
      <c r="PDD51" s="19"/>
      <c r="PDE51" s="19"/>
      <c r="PDF51" s="19"/>
      <c r="PDG51" s="19"/>
      <c r="PDH51" s="19"/>
      <c r="PDI51" s="19"/>
      <c r="PDJ51" s="19"/>
      <c r="PDK51" s="19"/>
      <c r="PDL51" s="19"/>
      <c r="PDM51" s="19"/>
      <c r="PDN51" s="19"/>
      <c r="PDO51" s="19"/>
      <c r="PDP51" s="19"/>
      <c r="PDQ51" s="19"/>
      <c r="PDR51" s="19"/>
      <c r="PDS51" s="19"/>
      <c r="PDT51" s="19"/>
      <c r="PDU51" s="19"/>
      <c r="PDV51" s="19"/>
      <c r="PDW51" s="19"/>
      <c r="PDX51" s="19"/>
      <c r="PDY51" s="19"/>
      <c r="PDZ51" s="19"/>
      <c r="PEA51" s="19"/>
      <c r="PEB51" s="19"/>
      <c r="PEC51" s="19"/>
      <c r="PED51" s="19"/>
      <c r="PEE51" s="19"/>
      <c r="PEF51" s="19"/>
      <c r="PEG51" s="19"/>
      <c r="PEH51" s="19"/>
      <c r="PEI51" s="19"/>
      <c r="PEJ51" s="19"/>
      <c r="PEK51" s="19"/>
      <c r="PEL51" s="19"/>
      <c r="PEM51" s="19"/>
      <c r="PEN51" s="19"/>
      <c r="PEO51" s="19"/>
      <c r="PEP51" s="19"/>
      <c r="PEQ51" s="19"/>
      <c r="PER51" s="19"/>
      <c r="PES51" s="19"/>
      <c r="PET51" s="19"/>
      <c r="PEU51" s="19"/>
      <c r="PEV51" s="19"/>
      <c r="PEW51" s="19"/>
      <c r="PEX51" s="19"/>
      <c r="PEY51" s="19"/>
      <c r="PEZ51" s="19"/>
      <c r="PFA51" s="19"/>
      <c r="PFB51" s="19"/>
      <c r="PFC51" s="19"/>
      <c r="PFD51" s="19"/>
      <c r="PFE51" s="19"/>
      <c r="PFF51" s="19"/>
      <c r="PFG51" s="19"/>
      <c r="PFH51" s="19"/>
      <c r="PFI51" s="19"/>
      <c r="PFJ51" s="19"/>
      <c r="PFK51" s="19"/>
      <c r="PFL51" s="19"/>
      <c r="PFM51" s="19"/>
      <c r="PFN51" s="19"/>
      <c r="PFO51" s="19"/>
      <c r="PFP51" s="19"/>
      <c r="PFQ51" s="19"/>
      <c r="PFR51" s="19"/>
      <c r="PFS51" s="19"/>
      <c r="PFT51" s="19"/>
      <c r="PFU51" s="19"/>
      <c r="PFV51" s="19"/>
      <c r="PFW51" s="19"/>
      <c r="PFX51" s="19"/>
      <c r="PFY51" s="19"/>
      <c r="PFZ51" s="19"/>
      <c r="PGA51" s="19"/>
      <c r="PGB51" s="19"/>
      <c r="PGC51" s="19"/>
      <c r="PGD51" s="19"/>
      <c r="PGE51" s="19"/>
      <c r="PGF51" s="19"/>
      <c r="PGG51" s="19"/>
      <c r="PGH51" s="19"/>
      <c r="PGI51" s="19"/>
      <c r="PGJ51" s="19"/>
      <c r="PGK51" s="19"/>
      <c r="PGL51" s="19"/>
      <c r="PGM51" s="19"/>
      <c r="PGN51" s="19"/>
      <c r="PGO51" s="19"/>
      <c r="PGP51" s="19"/>
      <c r="PGQ51" s="19"/>
      <c r="PGR51" s="19"/>
      <c r="PGS51" s="19"/>
      <c r="PGT51" s="19"/>
      <c r="PGU51" s="19"/>
      <c r="PGV51" s="19"/>
      <c r="PGW51" s="19"/>
      <c r="PGX51" s="19"/>
      <c r="PGY51" s="19"/>
      <c r="PGZ51" s="19"/>
      <c r="PHA51" s="19"/>
      <c r="PHB51" s="19"/>
      <c r="PHC51" s="19"/>
      <c r="PHD51" s="19"/>
      <c r="PHE51" s="19"/>
      <c r="PHF51" s="19"/>
      <c r="PHG51" s="19"/>
      <c r="PHH51" s="19"/>
      <c r="PHI51" s="19"/>
      <c r="PHJ51" s="19"/>
      <c r="PHK51" s="19"/>
      <c r="PHL51" s="19"/>
      <c r="PHM51" s="19"/>
      <c r="PHN51" s="19"/>
      <c r="PHO51" s="19"/>
      <c r="PHP51" s="19"/>
      <c r="PHQ51" s="19"/>
      <c r="PHR51" s="19"/>
      <c r="PHS51" s="19"/>
      <c r="PHT51" s="19"/>
      <c r="PHU51" s="19"/>
      <c r="PHV51" s="19"/>
      <c r="PHW51" s="19"/>
      <c r="PHX51" s="19"/>
      <c r="PHY51" s="19"/>
      <c r="PHZ51" s="19"/>
      <c r="PIA51" s="19"/>
      <c r="PIB51" s="19"/>
      <c r="PIC51" s="19"/>
      <c r="PID51" s="19"/>
      <c r="PIE51" s="19"/>
      <c r="PIF51" s="19"/>
      <c r="PIG51" s="19"/>
      <c r="PIH51" s="19"/>
      <c r="PII51" s="19"/>
      <c r="PIJ51" s="19"/>
      <c r="PIK51" s="19"/>
      <c r="PIL51" s="19"/>
      <c r="PIM51" s="19"/>
      <c r="PIN51" s="19"/>
      <c r="PIO51" s="19"/>
      <c r="PIP51" s="19"/>
      <c r="PIQ51" s="19"/>
      <c r="PIR51" s="19"/>
      <c r="PIS51" s="19"/>
      <c r="PIT51" s="19"/>
      <c r="PIU51" s="19"/>
      <c r="PIV51" s="19"/>
      <c r="PIW51" s="19"/>
      <c r="PIX51" s="19"/>
      <c r="PIY51" s="19"/>
      <c r="PIZ51" s="19"/>
      <c r="PJA51" s="19"/>
      <c r="PJB51" s="19"/>
      <c r="PJC51" s="19"/>
      <c r="PJD51" s="19"/>
      <c r="PJE51" s="19"/>
      <c r="PJF51" s="19"/>
      <c r="PJG51" s="19"/>
      <c r="PJH51" s="19"/>
      <c r="PJI51" s="19"/>
      <c r="PJJ51" s="19"/>
      <c r="PJK51" s="19"/>
      <c r="PJL51" s="19"/>
      <c r="PJM51" s="19"/>
      <c r="PJN51" s="19"/>
      <c r="PJO51" s="19"/>
      <c r="PJP51" s="19"/>
      <c r="PJQ51" s="19"/>
      <c r="PJR51" s="19"/>
      <c r="PJS51" s="19"/>
      <c r="PJT51" s="19"/>
      <c r="PJU51" s="19"/>
      <c r="PJV51" s="19"/>
      <c r="PJW51" s="19"/>
      <c r="PJX51" s="19"/>
      <c r="PJY51" s="19"/>
      <c r="PJZ51" s="19"/>
      <c r="PKA51" s="19"/>
      <c r="PKB51" s="19"/>
      <c r="PKC51" s="19"/>
      <c r="PKD51" s="19"/>
      <c r="PKE51" s="19"/>
      <c r="PKF51" s="19"/>
      <c r="PKG51" s="19"/>
      <c r="PKH51" s="19"/>
      <c r="PKI51" s="19"/>
      <c r="PKJ51" s="19"/>
      <c r="PKK51" s="19"/>
      <c r="PKL51" s="19"/>
      <c r="PKM51" s="19"/>
      <c r="PKN51" s="19"/>
      <c r="PKO51" s="19"/>
      <c r="PKP51" s="19"/>
      <c r="PKQ51" s="19"/>
      <c r="PKR51" s="19"/>
      <c r="PKS51" s="19"/>
      <c r="PKT51" s="19"/>
      <c r="PKU51" s="19"/>
      <c r="PKV51" s="19"/>
      <c r="PKW51" s="19"/>
      <c r="PKX51" s="19"/>
      <c r="PKY51" s="19"/>
      <c r="PKZ51" s="19"/>
      <c r="PLA51" s="19"/>
      <c r="PLB51" s="19"/>
      <c r="PLC51" s="19"/>
      <c r="PLD51" s="19"/>
      <c r="PLE51" s="19"/>
      <c r="PLF51" s="19"/>
      <c r="PLG51" s="19"/>
      <c r="PLH51" s="19"/>
      <c r="PLI51" s="19"/>
      <c r="PLJ51" s="19"/>
      <c r="PLK51" s="19"/>
      <c r="PLL51" s="19"/>
      <c r="PLM51" s="19"/>
      <c r="PLN51" s="19"/>
      <c r="PLO51" s="19"/>
      <c r="PLP51" s="19"/>
      <c r="PLQ51" s="19"/>
      <c r="PLR51" s="19"/>
      <c r="PLS51" s="19"/>
      <c r="PLT51" s="19"/>
      <c r="PLU51" s="19"/>
      <c r="PLV51" s="19"/>
      <c r="PLW51" s="19"/>
      <c r="PLX51" s="19"/>
      <c r="PLY51" s="19"/>
      <c r="PLZ51" s="19"/>
      <c r="PMA51" s="19"/>
      <c r="PMB51" s="19"/>
      <c r="PMC51" s="19"/>
      <c r="PMD51" s="19"/>
      <c r="PME51" s="19"/>
      <c r="PMF51" s="19"/>
      <c r="PMG51" s="19"/>
      <c r="PMH51" s="19"/>
      <c r="PMI51" s="19"/>
      <c r="PMJ51" s="19"/>
      <c r="PMK51" s="19"/>
      <c r="PML51" s="19"/>
      <c r="PMM51" s="19"/>
      <c r="PMN51" s="19"/>
      <c r="PMO51" s="19"/>
      <c r="PMP51" s="19"/>
      <c r="PMQ51" s="19"/>
      <c r="PMR51" s="19"/>
      <c r="PMS51" s="19"/>
      <c r="PMT51" s="19"/>
      <c r="PMU51" s="19"/>
      <c r="PMV51" s="19"/>
      <c r="PMW51" s="19"/>
      <c r="PMX51" s="19"/>
      <c r="PMY51" s="19"/>
      <c r="PMZ51" s="19"/>
      <c r="PNA51" s="19"/>
      <c r="PNB51" s="19"/>
      <c r="PNC51" s="19"/>
      <c r="PND51" s="19"/>
      <c r="PNE51" s="19"/>
      <c r="PNF51" s="19"/>
      <c r="PNG51" s="19"/>
      <c r="PNH51" s="19"/>
      <c r="PNI51" s="19"/>
      <c r="PNJ51" s="19"/>
      <c r="PNK51" s="19"/>
      <c r="PNL51" s="19"/>
      <c r="PNM51" s="19"/>
      <c r="PNN51" s="19"/>
      <c r="PNO51" s="19"/>
      <c r="PNP51" s="19"/>
      <c r="PNQ51" s="19"/>
      <c r="PNR51" s="19"/>
      <c r="PNS51" s="19"/>
      <c r="PNT51" s="19"/>
      <c r="PNU51" s="19"/>
      <c r="PNV51" s="19"/>
      <c r="PNW51" s="19"/>
      <c r="PNX51" s="19"/>
      <c r="PNY51" s="19"/>
      <c r="PNZ51" s="19"/>
      <c r="POA51" s="19"/>
      <c r="POB51" s="19"/>
      <c r="POC51" s="19"/>
      <c r="POD51" s="19"/>
      <c r="POE51" s="19"/>
      <c r="POF51" s="19"/>
      <c r="POG51" s="19"/>
      <c r="POH51" s="19"/>
      <c r="POI51" s="19"/>
      <c r="POJ51" s="19"/>
      <c r="POK51" s="19"/>
      <c r="POL51" s="19"/>
      <c r="POM51" s="19"/>
      <c r="PON51" s="19"/>
      <c r="POO51" s="19"/>
      <c r="POP51" s="19"/>
      <c r="POQ51" s="19"/>
      <c r="POR51" s="19"/>
      <c r="POS51" s="19"/>
      <c r="POT51" s="19"/>
      <c r="POU51" s="19"/>
      <c r="POV51" s="19"/>
      <c r="POW51" s="19"/>
      <c r="POX51" s="19"/>
      <c r="POY51" s="19"/>
      <c r="POZ51" s="19"/>
      <c r="PPA51" s="19"/>
      <c r="PPB51" s="19"/>
      <c r="PPC51" s="19"/>
      <c r="PPD51" s="19"/>
      <c r="PPE51" s="19"/>
      <c r="PPF51" s="19"/>
      <c r="PPG51" s="19"/>
      <c r="PPH51" s="19"/>
      <c r="PPI51" s="19"/>
      <c r="PPJ51" s="19"/>
      <c r="PPK51" s="19"/>
      <c r="PPL51" s="19"/>
      <c r="PPM51" s="19"/>
      <c r="PPN51" s="19"/>
      <c r="PPO51" s="19"/>
      <c r="PPP51" s="19"/>
      <c r="PPQ51" s="19"/>
      <c r="PPR51" s="19"/>
      <c r="PPS51" s="19"/>
      <c r="PPT51" s="19"/>
      <c r="PPU51" s="19"/>
      <c r="PPV51" s="19"/>
      <c r="PPW51" s="19"/>
      <c r="PPX51" s="19"/>
      <c r="PPY51" s="19"/>
      <c r="PPZ51" s="19"/>
      <c r="PQA51" s="19"/>
      <c r="PQB51" s="19"/>
      <c r="PQC51" s="19"/>
      <c r="PQD51" s="19"/>
      <c r="PQE51" s="19"/>
      <c r="PQF51" s="19"/>
      <c r="PQG51" s="19"/>
      <c r="PQH51" s="19"/>
      <c r="PQI51" s="19"/>
      <c r="PQJ51" s="19"/>
      <c r="PQK51" s="19"/>
      <c r="PQL51" s="19"/>
      <c r="PQM51" s="19"/>
      <c r="PQN51" s="19"/>
      <c r="PQO51" s="19"/>
      <c r="PQP51" s="19"/>
      <c r="PQQ51" s="19"/>
      <c r="PQR51" s="19"/>
      <c r="PQS51" s="19"/>
      <c r="PQT51" s="19"/>
      <c r="PQU51" s="19"/>
      <c r="PQV51" s="19"/>
      <c r="PQW51" s="19"/>
      <c r="PQX51" s="19"/>
      <c r="PQY51" s="19"/>
      <c r="PQZ51" s="19"/>
      <c r="PRA51" s="19"/>
      <c r="PRB51" s="19"/>
      <c r="PRC51" s="19"/>
      <c r="PRD51" s="19"/>
      <c r="PRE51" s="19"/>
      <c r="PRF51" s="19"/>
      <c r="PRG51" s="19"/>
      <c r="PRH51" s="19"/>
      <c r="PRI51" s="19"/>
      <c r="PRJ51" s="19"/>
      <c r="PRK51" s="19"/>
      <c r="PRL51" s="19"/>
      <c r="PRM51" s="19"/>
      <c r="PRN51" s="19"/>
      <c r="PRO51" s="19"/>
      <c r="PRP51" s="19"/>
      <c r="PRQ51" s="19"/>
      <c r="PRR51" s="19"/>
      <c r="PRS51" s="19"/>
      <c r="PRT51" s="19"/>
      <c r="PRU51" s="19"/>
      <c r="PRV51" s="19"/>
      <c r="PRW51" s="19"/>
      <c r="PRX51" s="19"/>
      <c r="PRY51" s="19"/>
      <c r="PRZ51" s="19"/>
      <c r="PSA51" s="19"/>
      <c r="PSB51" s="19"/>
      <c r="PSC51" s="19"/>
      <c r="PSD51" s="19"/>
      <c r="PSE51" s="19"/>
      <c r="PSF51" s="19"/>
      <c r="PSG51" s="19"/>
      <c r="PSH51" s="19"/>
      <c r="PSI51" s="19"/>
      <c r="PSJ51" s="19"/>
      <c r="PSK51" s="19"/>
      <c r="PSL51" s="19"/>
      <c r="PSM51" s="19"/>
      <c r="PSN51" s="19"/>
      <c r="PSO51" s="19"/>
      <c r="PSP51" s="19"/>
      <c r="PSQ51" s="19"/>
      <c r="PSR51" s="19"/>
      <c r="PSS51" s="19"/>
      <c r="PST51" s="19"/>
      <c r="PSU51" s="19"/>
      <c r="PSV51" s="19"/>
      <c r="PSW51" s="19"/>
      <c r="PSX51" s="19"/>
      <c r="PSY51" s="19"/>
      <c r="PSZ51" s="19"/>
      <c r="PTA51" s="19"/>
      <c r="PTB51" s="19"/>
      <c r="PTC51" s="19"/>
      <c r="PTD51" s="19"/>
      <c r="PTE51" s="19"/>
      <c r="PTF51" s="19"/>
      <c r="PTG51" s="19"/>
      <c r="PTH51" s="19"/>
      <c r="PTI51" s="19"/>
      <c r="PTJ51" s="19"/>
      <c r="PTK51" s="19"/>
      <c r="PTL51" s="19"/>
      <c r="PTM51" s="19"/>
      <c r="PTN51" s="19"/>
      <c r="PTO51" s="19"/>
      <c r="PTP51" s="19"/>
      <c r="PTQ51" s="19"/>
      <c r="PTR51" s="19"/>
      <c r="PTS51" s="19"/>
      <c r="PTT51" s="19"/>
      <c r="PTU51" s="19"/>
      <c r="PTV51" s="19"/>
      <c r="PTW51" s="19"/>
      <c r="PTX51" s="19"/>
      <c r="PTY51" s="19"/>
      <c r="PTZ51" s="19"/>
      <c r="PUA51" s="19"/>
      <c r="PUB51" s="19"/>
      <c r="PUC51" s="19"/>
      <c r="PUD51" s="19"/>
      <c r="PUE51" s="19"/>
      <c r="PUF51" s="19"/>
      <c r="PUG51" s="19"/>
      <c r="PUH51" s="19"/>
      <c r="PUI51" s="19"/>
      <c r="PUJ51" s="19"/>
      <c r="PUK51" s="19"/>
      <c r="PUL51" s="19"/>
      <c r="PUM51" s="19"/>
      <c r="PUN51" s="19"/>
      <c r="PUO51" s="19"/>
      <c r="PUP51" s="19"/>
      <c r="PUQ51" s="19"/>
      <c r="PUR51" s="19"/>
      <c r="PUS51" s="19"/>
      <c r="PUT51" s="19"/>
      <c r="PUU51" s="19"/>
      <c r="PUV51" s="19"/>
      <c r="PUW51" s="19"/>
      <c r="PUX51" s="19"/>
      <c r="PUY51" s="19"/>
      <c r="PUZ51" s="19"/>
      <c r="PVA51" s="19"/>
      <c r="PVB51" s="19"/>
      <c r="PVC51" s="19"/>
      <c r="PVD51" s="19"/>
      <c r="PVE51" s="19"/>
      <c r="PVF51" s="19"/>
      <c r="PVG51" s="19"/>
      <c r="PVH51" s="19"/>
      <c r="PVI51" s="19"/>
      <c r="PVJ51" s="19"/>
      <c r="PVK51" s="19"/>
      <c r="PVL51" s="19"/>
      <c r="PVM51" s="19"/>
      <c r="PVN51" s="19"/>
      <c r="PVO51" s="19"/>
      <c r="PVP51" s="19"/>
      <c r="PVQ51" s="19"/>
      <c r="PVR51" s="19"/>
      <c r="PVS51" s="19"/>
      <c r="PVT51" s="19"/>
      <c r="PVU51" s="19"/>
      <c r="PVV51" s="19"/>
      <c r="PVW51" s="19"/>
      <c r="PVX51" s="19"/>
      <c r="PVY51" s="19"/>
      <c r="PVZ51" s="19"/>
      <c r="PWA51" s="19"/>
      <c r="PWB51" s="19"/>
      <c r="PWC51" s="19"/>
      <c r="PWD51" s="19"/>
      <c r="PWE51" s="19"/>
      <c r="PWF51" s="19"/>
      <c r="PWG51" s="19"/>
      <c r="PWH51" s="19"/>
      <c r="PWI51" s="19"/>
      <c r="PWJ51" s="19"/>
      <c r="PWK51" s="19"/>
      <c r="PWL51" s="19"/>
      <c r="PWM51" s="19"/>
      <c r="PWN51" s="19"/>
      <c r="PWO51" s="19"/>
      <c r="PWP51" s="19"/>
      <c r="PWQ51" s="19"/>
      <c r="PWR51" s="19"/>
      <c r="PWS51" s="19"/>
      <c r="PWT51" s="19"/>
      <c r="PWU51" s="19"/>
      <c r="PWV51" s="19"/>
      <c r="PWW51" s="19"/>
      <c r="PWX51" s="19"/>
      <c r="PWY51" s="19"/>
      <c r="PWZ51" s="19"/>
      <c r="PXA51" s="19"/>
      <c r="PXB51" s="19"/>
      <c r="PXC51" s="19"/>
      <c r="PXD51" s="19"/>
      <c r="PXE51" s="19"/>
      <c r="PXF51" s="19"/>
      <c r="PXG51" s="19"/>
      <c r="PXH51" s="19"/>
      <c r="PXI51" s="19"/>
      <c r="PXJ51" s="19"/>
      <c r="PXK51" s="19"/>
      <c r="PXL51" s="19"/>
      <c r="PXM51" s="19"/>
      <c r="PXN51" s="19"/>
      <c r="PXO51" s="19"/>
      <c r="PXP51" s="19"/>
      <c r="PXQ51" s="19"/>
      <c r="PXR51" s="19"/>
      <c r="PXS51" s="19"/>
      <c r="PXT51" s="19"/>
      <c r="PXU51" s="19"/>
      <c r="PXV51" s="19"/>
      <c r="PXW51" s="19"/>
      <c r="PXX51" s="19"/>
      <c r="PXY51" s="19"/>
      <c r="PXZ51" s="19"/>
      <c r="PYA51" s="19"/>
      <c r="PYB51" s="19"/>
      <c r="PYC51" s="19"/>
      <c r="PYD51" s="19"/>
      <c r="PYE51" s="19"/>
      <c r="PYF51" s="19"/>
      <c r="PYG51" s="19"/>
      <c r="PYH51" s="19"/>
      <c r="PYI51" s="19"/>
      <c r="PYJ51" s="19"/>
      <c r="PYK51" s="19"/>
      <c r="PYL51" s="19"/>
      <c r="PYM51" s="19"/>
      <c r="PYN51" s="19"/>
      <c r="PYO51" s="19"/>
      <c r="PYP51" s="19"/>
      <c r="PYQ51" s="19"/>
      <c r="PYR51" s="19"/>
      <c r="PYS51" s="19"/>
      <c r="PYT51" s="19"/>
      <c r="PYU51" s="19"/>
      <c r="PYV51" s="19"/>
      <c r="PYW51" s="19"/>
      <c r="PYX51" s="19"/>
      <c r="PYY51" s="19"/>
      <c r="PYZ51" s="19"/>
      <c r="PZA51" s="19"/>
      <c r="PZB51" s="19"/>
      <c r="PZC51" s="19"/>
      <c r="PZD51" s="19"/>
      <c r="PZE51" s="19"/>
      <c r="PZF51" s="19"/>
      <c r="PZG51" s="19"/>
      <c r="PZH51" s="19"/>
      <c r="PZI51" s="19"/>
      <c r="PZJ51" s="19"/>
      <c r="PZK51" s="19"/>
      <c r="PZL51" s="19"/>
      <c r="PZM51" s="19"/>
      <c r="PZN51" s="19"/>
      <c r="PZO51" s="19"/>
      <c r="PZP51" s="19"/>
      <c r="PZQ51" s="19"/>
      <c r="PZR51" s="19"/>
      <c r="PZS51" s="19"/>
      <c r="PZT51" s="19"/>
      <c r="PZU51" s="19"/>
      <c r="PZV51" s="19"/>
      <c r="PZW51" s="19"/>
      <c r="PZX51" s="19"/>
      <c r="PZY51" s="19"/>
      <c r="PZZ51" s="19"/>
      <c r="QAA51" s="19"/>
      <c r="QAB51" s="19"/>
      <c r="QAC51" s="19"/>
      <c r="QAD51" s="19"/>
      <c r="QAE51" s="19"/>
      <c r="QAF51" s="19"/>
      <c r="QAG51" s="19"/>
      <c r="QAH51" s="19"/>
      <c r="QAI51" s="19"/>
      <c r="QAJ51" s="19"/>
      <c r="QAK51" s="19"/>
      <c r="QAL51" s="19"/>
      <c r="QAM51" s="19"/>
      <c r="QAN51" s="19"/>
      <c r="QAO51" s="19"/>
      <c r="QAP51" s="19"/>
      <c r="QAQ51" s="19"/>
      <c r="QAR51" s="19"/>
      <c r="QAS51" s="19"/>
      <c r="QAT51" s="19"/>
      <c r="QAU51" s="19"/>
      <c r="QAV51" s="19"/>
      <c r="QAW51" s="19"/>
      <c r="QAX51" s="19"/>
      <c r="QAY51" s="19"/>
      <c r="QAZ51" s="19"/>
      <c r="QBA51" s="19"/>
      <c r="QBB51" s="19"/>
      <c r="QBC51" s="19"/>
      <c r="QBD51" s="19"/>
      <c r="QBE51" s="19"/>
      <c r="QBF51" s="19"/>
      <c r="QBG51" s="19"/>
      <c r="QBH51" s="19"/>
      <c r="QBI51" s="19"/>
      <c r="QBJ51" s="19"/>
      <c r="QBK51" s="19"/>
      <c r="QBL51" s="19"/>
      <c r="QBM51" s="19"/>
      <c r="QBN51" s="19"/>
      <c r="QBO51" s="19"/>
      <c r="QBP51" s="19"/>
      <c r="QBQ51" s="19"/>
      <c r="QBR51" s="19"/>
      <c r="QBS51" s="19"/>
      <c r="QBT51" s="19"/>
      <c r="QBU51" s="19"/>
      <c r="QBV51" s="19"/>
      <c r="QBW51" s="19"/>
      <c r="QBX51" s="19"/>
      <c r="QBY51" s="19"/>
      <c r="QBZ51" s="19"/>
      <c r="QCA51" s="19"/>
      <c r="QCB51" s="19"/>
      <c r="QCC51" s="19"/>
      <c r="QCD51" s="19"/>
      <c r="QCE51" s="19"/>
      <c r="QCF51" s="19"/>
      <c r="QCG51" s="19"/>
      <c r="QCH51" s="19"/>
      <c r="QCI51" s="19"/>
      <c r="QCJ51" s="19"/>
      <c r="QCK51" s="19"/>
      <c r="QCL51" s="19"/>
      <c r="QCM51" s="19"/>
      <c r="QCN51" s="19"/>
      <c r="QCO51" s="19"/>
      <c r="QCP51" s="19"/>
      <c r="QCQ51" s="19"/>
      <c r="QCR51" s="19"/>
      <c r="QCS51" s="19"/>
      <c r="QCT51" s="19"/>
      <c r="QCU51" s="19"/>
      <c r="QCV51" s="19"/>
      <c r="QCW51" s="19"/>
      <c r="QCX51" s="19"/>
      <c r="QCY51" s="19"/>
      <c r="QCZ51" s="19"/>
      <c r="QDA51" s="19"/>
      <c r="QDB51" s="19"/>
      <c r="QDC51" s="19"/>
      <c r="QDD51" s="19"/>
      <c r="QDE51" s="19"/>
      <c r="QDF51" s="19"/>
      <c r="QDG51" s="19"/>
      <c r="QDH51" s="19"/>
      <c r="QDI51" s="19"/>
      <c r="QDJ51" s="19"/>
      <c r="QDK51" s="19"/>
      <c r="QDL51" s="19"/>
      <c r="QDM51" s="19"/>
      <c r="QDN51" s="19"/>
      <c r="QDO51" s="19"/>
      <c r="QDP51" s="19"/>
      <c r="QDQ51" s="19"/>
      <c r="QDR51" s="19"/>
      <c r="QDS51" s="19"/>
      <c r="QDT51" s="19"/>
      <c r="QDU51" s="19"/>
      <c r="QDV51" s="19"/>
      <c r="QDW51" s="19"/>
      <c r="QDX51" s="19"/>
      <c r="QDY51" s="19"/>
      <c r="QDZ51" s="19"/>
      <c r="QEA51" s="19"/>
      <c r="QEB51" s="19"/>
      <c r="QEC51" s="19"/>
      <c r="QED51" s="19"/>
      <c r="QEE51" s="19"/>
      <c r="QEF51" s="19"/>
      <c r="QEG51" s="19"/>
      <c r="QEH51" s="19"/>
      <c r="QEI51" s="19"/>
      <c r="QEJ51" s="19"/>
      <c r="QEK51" s="19"/>
      <c r="QEL51" s="19"/>
      <c r="QEM51" s="19"/>
      <c r="QEN51" s="19"/>
      <c r="QEO51" s="19"/>
      <c r="QEP51" s="19"/>
      <c r="QEQ51" s="19"/>
      <c r="QER51" s="19"/>
      <c r="QES51" s="19"/>
      <c r="QET51" s="19"/>
      <c r="QEU51" s="19"/>
      <c r="QEV51" s="19"/>
      <c r="QEW51" s="19"/>
      <c r="QEX51" s="19"/>
      <c r="QEY51" s="19"/>
      <c r="QEZ51" s="19"/>
      <c r="QFA51" s="19"/>
      <c r="QFB51" s="19"/>
      <c r="QFC51" s="19"/>
      <c r="QFD51" s="19"/>
      <c r="QFE51" s="19"/>
      <c r="QFF51" s="19"/>
      <c r="QFG51" s="19"/>
      <c r="QFH51" s="19"/>
      <c r="QFI51" s="19"/>
      <c r="QFJ51" s="19"/>
      <c r="QFK51" s="19"/>
      <c r="QFL51" s="19"/>
      <c r="QFM51" s="19"/>
      <c r="QFN51" s="19"/>
      <c r="QFO51" s="19"/>
      <c r="QFP51" s="19"/>
      <c r="QFQ51" s="19"/>
      <c r="QFR51" s="19"/>
      <c r="QFS51" s="19"/>
      <c r="QFT51" s="19"/>
      <c r="QFU51" s="19"/>
      <c r="QFV51" s="19"/>
      <c r="QFW51" s="19"/>
      <c r="QFX51" s="19"/>
      <c r="QFY51" s="19"/>
      <c r="QFZ51" s="19"/>
      <c r="QGA51" s="19"/>
      <c r="QGB51" s="19"/>
      <c r="QGC51" s="19"/>
      <c r="QGD51" s="19"/>
      <c r="QGE51" s="19"/>
      <c r="QGF51" s="19"/>
      <c r="QGG51" s="19"/>
      <c r="QGH51" s="19"/>
      <c r="QGI51" s="19"/>
      <c r="QGJ51" s="19"/>
      <c r="QGK51" s="19"/>
      <c r="QGL51" s="19"/>
      <c r="QGM51" s="19"/>
      <c r="QGN51" s="19"/>
      <c r="QGO51" s="19"/>
      <c r="QGP51" s="19"/>
      <c r="QGQ51" s="19"/>
      <c r="QGR51" s="19"/>
      <c r="QGS51" s="19"/>
      <c r="QGT51" s="19"/>
      <c r="QGU51" s="19"/>
      <c r="QGV51" s="19"/>
      <c r="QGW51" s="19"/>
      <c r="QGX51" s="19"/>
      <c r="QGY51" s="19"/>
      <c r="QGZ51" s="19"/>
      <c r="QHA51" s="19"/>
      <c r="QHB51" s="19"/>
      <c r="QHC51" s="19"/>
      <c r="QHD51" s="19"/>
      <c r="QHE51" s="19"/>
      <c r="QHF51" s="19"/>
      <c r="QHG51" s="19"/>
      <c r="QHH51" s="19"/>
      <c r="QHI51" s="19"/>
      <c r="QHJ51" s="19"/>
      <c r="QHK51" s="19"/>
      <c r="QHL51" s="19"/>
      <c r="QHM51" s="19"/>
      <c r="QHN51" s="19"/>
      <c r="QHO51" s="19"/>
      <c r="QHP51" s="19"/>
      <c r="QHQ51" s="19"/>
      <c r="QHR51" s="19"/>
      <c r="QHS51" s="19"/>
      <c r="QHT51" s="19"/>
      <c r="QHU51" s="19"/>
      <c r="QHV51" s="19"/>
      <c r="QHW51" s="19"/>
      <c r="QHX51" s="19"/>
      <c r="QHY51" s="19"/>
      <c r="QHZ51" s="19"/>
      <c r="QIA51" s="19"/>
      <c r="QIB51" s="19"/>
      <c r="QIC51" s="19"/>
      <c r="QID51" s="19"/>
      <c r="QIE51" s="19"/>
      <c r="QIF51" s="19"/>
      <c r="QIG51" s="19"/>
      <c r="QIH51" s="19"/>
      <c r="QII51" s="19"/>
      <c r="QIJ51" s="19"/>
      <c r="QIK51" s="19"/>
      <c r="QIL51" s="19"/>
      <c r="QIM51" s="19"/>
      <c r="QIN51" s="19"/>
      <c r="QIO51" s="19"/>
      <c r="QIP51" s="19"/>
      <c r="QIQ51" s="19"/>
      <c r="QIR51" s="19"/>
      <c r="QIS51" s="19"/>
      <c r="QIT51" s="19"/>
      <c r="QIU51" s="19"/>
      <c r="QIV51" s="19"/>
      <c r="QIW51" s="19"/>
      <c r="QIX51" s="19"/>
      <c r="QIY51" s="19"/>
      <c r="QIZ51" s="19"/>
      <c r="QJA51" s="19"/>
      <c r="QJB51" s="19"/>
      <c r="QJC51" s="19"/>
      <c r="QJD51" s="19"/>
      <c r="QJE51" s="19"/>
      <c r="QJF51" s="19"/>
      <c r="QJG51" s="19"/>
      <c r="QJH51" s="19"/>
      <c r="QJI51" s="19"/>
      <c r="QJJ51" s="19"/>
      <c r="QJK51" s="19"/>
      <c r="QJL51" s="19"/>
      <c r="QJM51" s="19"/>
      <c r="QJN51" s="19"/>
      <c r="QJO51" s="19"/>
      <c r="QJP51" s="19"/>
      <c r="QJQ51" s="19"/>
      <c r="QJR51" s="19"/>
      <c r="QJS51" s="19"/>
      <c r="QJT51" s="19"/>
      <c r="QJU51" s="19"/>
      <c r="QJV51" s="19"/>
      <c r="QJW51" s="19"/>
      <c r="QJX51" s="19"/>
      <c r="QJY51" s="19"/>
      <c r="QJZ51" s="19"/>
      <c r="QKA51" s="19"/>
      <c r="QKB51" s="19"/>
      <c r="QKC51" s="19"/>
      <c r="QKD51" s="19"/>
      <c r="QKE51" s="19"/>
      <c r="QKF51" s="19"/>
      <c r="QKG51" s="19"/>
      <c r="QKH51" s="19"/>
      <c r="QKI51" s="19"/>
      <c r="QKJ51" s="19"/>
      <c r="QKK51" s="19"/>
      <c r="QKL51" s="19"/>
      <c r="QKM51" s="19"/>
      <c r="QKN51" s="19"/>
      <c r="QKO51" s="19"/>
      <c r="QKP51" s="19"/>
      <c r="QKQ51" s="19"/>
      <c r="QKR51" s="19"/>
      <c r="QKS51" s="19"/>
      <c r="QKT51" s="19"/>
      <c r="QKU51" s="19"/>
      <c r="QKV51" s="19"/>
      <c r="QKW51" s="19"/>
      <c r="QKX51" s="19"/>
      <c r="QKY51" s="19"/>
      <c r="QKZ51" s="19"/>
      <c r="QLA51" s="19"/>
      <c r="QLB51" s="19"/>
      <c r="QLC51" s="19"/>
      <c r="QLD51" s="19"/>
      <c r="QLE51" s="19"/>
      <c r="QLF51" s="19"/>
      <c r="QLG51" s="19"/>
      <c r="QLH51" s="19"/>
      <c r="QLI51" s="19"/>
      <c r="QLJ51" s="19"/>
      <c r="QLK51" s="19"/>
      <c r="QLL51" s="19"/>
      <c r="QLM51" s="19"/>
      <c r="QLN51" s="19"/>
      <c r="QLO51" s="19"/>
      <c r="QLP51" s="19"/>
      <c r="QLQ51" s="19"/>
      <c r="QLR51" s="19"/>
      <c r="QLS51" s="19"/>
      <c r="QLT51" s="19"/>
      <c r="QLU51" s="19"/>
      <c r="QLV51" s="19"/>
      <c r="QLW51" s="19"/>
      <c r="QLX51" s="19"/>
      <c r="QLY51" s="19"/>
      <c r="QLZ51" s="19"/>
      <c r="QMA51" s="19"/>
      <c r="QMB51" s="19"/>
      <c r="QMC51" s="19"/>
      <c r="QMD51" s="19"/>
      <c r="QME51" s="19"/>
      <c r="QMF51" s="19"/>
      <c r="QMG51" s="19"/>
      <c r="QMH51" s="19"/>
      <c r="QMI51" s="19"/>
      <c r="QMJ51" s="19"/>
      <c r="QMK51" s="19"/>
      <c r="QML51" s="19"/>
      <c r="QMM51" s="19"/>
      <c r="QMN51" s="19"/>
      <c r="QMO51" s="19"/>
      <c r="QMP51" s="19"/>
      <c r="QMQ51" s="19"/>
      <c r="QMR51" s="19"/>
      <c r="QMS51" s="19"/>
      <c r="QMT51" s="19"/>
      <c r="QMU51" s="19"/>
      <c r="QMV51" s="19"/>
      <c r="QMW51" s="19"/>
      <c r="QMX51" s="19"/>
      <c r="QMY51" s="19"/>
      <c r="QMZ51" s="19"/>
      <c r="QNA51" s="19"/>
      <c r="QNB51" s="19"/>
      <c r="QNC51" s="19"/>
      <c r="QND51" s="19"/>
      <c r="QNE51" s="19"/>
      <c r="QNF51" s="19"/>
      <c r="QNG51" s="19"/>
      <c r="QNH51" s="19"/>
      <c r="QNI51" s="19"/>
      <c r="QNJ51" s="19"/>
      <c r="QNK51" s="19"/>
      <c r="QNL51" s="19"/>
      <c r="QNM51" s="19"/>
      <c r="QNN51" s="19"/>
      <c r="QNO51" s="19"/>
      <c r="QNP51" s="19"/>
      <c r="QNQ51" s="19"/>
      <c r="QNR51" s="19"/>
      <c r="QNS51" s="19"/>
      <c r="QNT51" s="19"/>
      <c r="QNU51" s="19"/>
      <c r="QNV51" s="19"/>
      <c r="QNW51" s="19"/>
      <c r="QNX51" s="19"/>
      <c r="QNY51" s="19"/>
      <c r="QNZ51" s="19"/>
      <c r="QOA51" s="19"/>
      <c r="QOB51" s="19"/>
      <c r="QOC51" s="19"/>
      <c r="QOD51" s="19"/>
      <c r="QOE51" s="19"/>
      <c r="QOF51" s="19"/>
      <c r="QOG51" s="19"/>
      <c r="QOH51" s="19"/>
      <c r="QOI51" s="19"/>
      <c r="QOJ51" s="19"/>
      <c r="QOK51" s="19"/>
      <c r="QOL51" s="19"/>
      <c r="QOM51" s="19"/>
      <c r="QON51" s="19"/>
      <c r="QOO51" s="19"/>
      <c r="QOP51" s="19"/>
      <c r="QOQ51" s="19"/>
      <c r="QOR51" s="19"/>
      <c r="QOS51" s="19"/>
      <c r="QOT51" s="19"/>
      <c r="QOU51" s="19"/>
      <c r="QOV51" s="19"/>
      <c r="QOW51" s="19"/>
      <c r="QOX51" s="19"/>
      <c r="QOY51" s="19"/>
      <c r="QOZ51" s="19"/>
      <c r="QPA51" s="19"/>
      <c r="QPB51" s="19"/>
      <c r="QPC51" s="19"/>
      <c r="QPD51" s="19"/>
      <c r="QPE51" s="19"/>
      <c r="QPF51" s="19"/>
      <c r="QPG51" s="19"/>
      <c r="QPH51" s="19"/>
      <c r="QPI51" s="19"/>
      <c r="QPJ51" s="19"/>
      <c r="QPK51" s="19"/>
      <c r="QPL51" s="19"/>
      <c r="QPM51" s="19"/>
      <c r="QPN51" s="19"/>
      <c r="QPO51" s="19"/>
      <c r="QPP51" s="19"/>
      <c r="QPQ51" s="19"/>
      <c r="QPR51" s="19"/>
      <c r="QPS51" s="19"/>
      <c r="QPT51" s="19"/>
      <c r="QPU51" s="19"/>
      <c r="QPV51" s="19"/>
      <c r="QPW51" s="19"/>
      <c r="QPX51" s="19"/>
      <c r="QPY51" s="19"/>
      <c r="QPZ51" s="19"/>
      <c r="QQA51" s="19"/>
      <c r="QQB51" s="19"/>
      <c r="QQC51" s="19"/>
      <c r="QQD51" s="19"/>
      <c r="QQE51" s="19"/>
      <c r="QQF51" s="19"/>
      <c r="QQG51" s="19"/>
      <c r="QQH51" s="19"/>
      <c r="QQI51" s="19"/>
      <c r="QQJ51" s="19"/>
      <c r="QQK51" s="19"/>
      <c r="QQL51" s="19"/>
      <c r="QQM51" s="19"/>
      <c r="QQN51" s="19"/>
      <c r="QQO51" s="19"/>
      <c r="QQP51" s="19"/>
      <c r="QQQ51" s="19"/>
      <c r="QQR51" s="19"/>
      <c r="QQS51" s="19"/>
      <c r="QQT51" s="19"/>
      <c r="QQU51" s="19"/>
      <c r="QQV51" s="19"/>
      <c r="QQW51" s="19"/>
      <c r="QQX51" s="19"/>
      <c r="QQY51" s="19"/>
      <c r="QQZ51" s="19"/>
      <c r="QRA51" s="19"/>
      <c r="QRB51" s="19"/>
      <c r="QRC51" s="19"/>
      <c r="QRD51" s="19"/>
      <c r="QRE51" s="19"/>
      <c r="QRF51" s="19"/>
      <c r="QRG51" s="19"/>
      <c r="QRH51" s="19"/>
      <c r="QRI51" s="19"/>
      <c r="QRJ51" s="19"/>
      <c r="QRK51" s="19"/>
      <c r="QRL51" s="19"/>
      <c r="QRM51" s="19"/>
      <c r="QRN51" s="19"/>
      <c r="QRO51" s="19"/>
      <c r="QRP51" s="19"/>
      <c r="QRQ51" s="19"/>
      <c r="QRR51" s="19"/>
      <c r="QRS51" s="19"/>
      <c r="QRT51" s="19"/>
      <c r="QRU51" s="19"/>
      <c r="QRV51" s="19"/>
      <c r="QRW51" s="19"/>
      <c r="QRX51" s="19"/>
      <c r="QRY51" s="19"/>
      <c r="QRZ51" s="19"/>
      <c r="QSA51" s="19"/>
      <c r="QSB51" s="19"/>
      <c r="QSC51" s="19"/>
      <c r="QSD51" s="19"/>
      <c r="QSE51" s="19"/>
      <c r="QSF51" s="19"/>
      <c r="QSG51" s="19"/>
      <c r="QSH51" s="19"/>
      <c r="QSI51" s="19"/>
      <c r="QSJ51" s="19"/>
      <c r="QSK51" s="19"/>
      <c r="QSL51" s="19"/>
      <c r="QSM51" s="19"/>
      <c r="QSN51" s="19"/>
      <c r="QSO51" s="19"/>
      <c r="QSP51" s="19"/>
      <c r="QSQ51" s="19"/>
      <c r="QSR51" s="19"/>
      <c r="QSS51" s="19"/>
      <c r="QST51" s="19"/>
      <c r="QSU51" s="19"/>
      <c r="QSV51" s="19"/>
      <c r="QSW51" s="19"/>
      <c r="QSX51" s="19"/>
      <c r="QSY51" s="19"/>
      <c r="QSZ51" s="19"/>
      <c r="QTA51" s="19"/>
      <c r="QTB51" s="19"/>
      <c r="QTC51" s="19"/>
      <c r="QTD51" s="19"/>
      <c r="QTE51" s="19"/>
      <c r="QTF51" s="19"/>
      <c r="QTG51" s="19"/>
      <c r="QTH51" s="19"/>
      <c r="QTI51" s="19"/>
      <c r="QTJ51" s="19"/>
      <c r="QTK51" s="19"/>
      <c r="QTL51" s="19"/>
      <c r="QTM51" s="19"/>
      <c r="QTN51" s="19"/>
      <c r="QTO51" s="19"/>
      <c r="QTP51" s="19"/>
      <c r="QTQ51" s="19"/>
      <c r="QTR51" s="19"/>
      <c r="QTS51" s="19"/>
      <c r="QTT51" s="19"/>
      <c r="QTU51" s="19"/>
      <c r="QTV51" s="19"/>
      <c r="QTW51" s="19"/>
      <c r="QTX51" s="19"/>
      <c r="QTY51" s="19"/>
      <c r="QTZ51" s="19"/>
      <c r="QUA51" s="19"/>
      <c r="QUB51" s="19"/>
      <c r="QUC51" s="19"/>
      <c r="QUD51" s="19"/>
      <c r="QUE51" s="19"/>
      <c r="QUF51" s="19"/>
      <c r="QUG51" s="19"/>
      <c r="QUH51" s="19"/>
      <c r="QUI51" s="19"/>
      <c r="QUJ51" s="19"/>
      <c r="QUK51" s="19"/>
      <c r="QUL51" s="19"/>
      <c r="QUM51" s="19"/>
      <c r="QUN51" s="19"/>
      <c r="QUO51" s="19"/>
      <c r="QUP51" s="19"/>
      <c r="QUQ51" s="19"/>
      <c r="QUR51" s="19"/>
      <c r="QUS51" s="19"/>
      <c r="QUT51" s="19"/>
      <c r="QUU51" s="19"/>
      <c r="QUV51" s="19"/>
      <c r="QUW51" s="19"/>
      <c r="QUX51" s="19"/>
      <c r="QUY51" s="19"/>
      <c r="QUZ51" s="19"/>
      <c r="QVA51" s="19"/>
      <c r="QVB51" s="19"/>
      <c r="QVC51" s="19"/>
      <c r="QVD51" s="19"/>
      <c r="QVE51" s="19"/>
      <c r="QVF51" s="19"/>
      <c r="QVG51" s="19"/>
      <c r="QVH51" s="19"/>
      <c r="QVI51" s="19"/>
      <c r="QVJ51" s="19"/>
      <c r="QVK51" s="19"/>
      <c r="QVL51" s="19"/>
      <c r="QVM51" s="19"/>
      <c r="QVN51" s="19"/>
      <c r="QVO51" s="19"/>
      <c r="QVP51" s="19"/>
      <c r="QVQ51" s="19"/>
      <c r="QVR51" s="19"/>
      <c r="QVS51" s="19"/>
      <c r="QVT51" s="19"/>
      <c r="QVU51" s="19"/>
      <c r="QVV51" s="19"/>
      <c r="QVW51" s="19"/>
      <c r="QVX51" s="19"/>
      <c r="QVY51" s="19"/>
      <c r="QVZ51" s="19"/>
      <c r="QWA51" s="19"/>
      <c r="QWB51" s="19"/>
      <c r="QWC51" s="19"/>
      <c r="QWD51" s="19"/>
      <c r="QWE51" s="19"/>
      <c r="QWF51" s="19"/>
      <c r="QWG51" s="19"/>
      <c r="QWH51" s="19"/>
      <c r="QWI51" s="19"/>
      <c r="QWJ51" s="19"/>
      <c r="QWK51" s="19"/>
      <c r="QWL51" s="19"/>
      <c r="QWM51" s="19"/>
      <c r="QWN51" s="19"/>
      <c r="QWO51" s="19"/>
      <c r="QWP51" s="19"/>
      <c r="QWQ51" s="19"/>
      <c r="QWR51" s="19"/>
      <c r="QWS51" s="19"/>
      <c r="QWT51" s="19"/>
      <c r="QWU51" s="19"/>
      <c r="QWV51" s="19"/>
      <c r="QWW51" s="19"/>
      <c r="QWX51" s="19"/>
      <c r="QWY51" s="19"/>
      <c r="QWZ51" s="19"/>
      <c r="QXA51" s="19"/>
      <c r="QXB51" s="19"/>
      <c r="QXC51" s="19"/>
      <c r="QXD51" s="19"/>
      <c r="QXE51" s="19"/>
      <c r="QXF51" s="19"/>
      <c r="QXG51" s="19"/>
      <c r="QXH51" s="19"/>
      <c r="QXI51" s="19"/>
      <c r="QXJ51" s="19"/>
      <c r="QXK51" s="19"/>
      <c r="QXL51" s="19"/>
      <c r="QXM51" s="19"/>
      <c r="QXN51" s="19"/>
      <c r="QXO51" s="19"/>
      <c r="QXP51" s="19"/>
      <c r="QXQ51" s="19"/>
      <c r="QXR51" s="19"/>
      <c r="QXS51" s="19"/>
      <c r="QXT51" s="19"/>
      <c r="QXU51" s="19"/>
      <c r="QXV51" s="19"/>
      <c r="QXW51" s="19"/>
      <c r="QXX51" s="19"/>
      <c r="QXY51" s="19"/>
      <c r="QXZ51" s="19"/>
      <c r="QYA51" s="19"/>
      <c r="QYB51" s="19"/>
      <c r="QYC51" s="19"/>
      <c r="QYD51" s="19"/>
      <c r="QYE51" s="19"/>
      <c r="QYF51" s="19"/>
      <c r="QYG51" s="19"/>
      <c r="QYH51" s="19"/>
      <c r="QYI51" s="19"/>
      <c r="QYJ51" s="19"/>
      <c r="QYK51" s="19"/>
      <c r="QYL51" s="19"/>
      <c r="QYM51" s="19"/>
      <c r="QYN51" s="19"/>
      <c r="QYO51" s="19"/>
      <c r="QYP51" s="19"/>
      <c r="QYQ51" s="19"/>
      <c r="QYR51" s="19"/>
      <c r="QYS51" s="19"/>
      <c r="QYT51" s="19"/>
      <c r="QYU51" s="19"/>
      <c r="QYV51" s="19"/>
      <c r="QYW51" s="19"/>
      <c r="QYX51" s="19"/>
      <c r="QYY51" s="19"/>
      <c r="QYZ51" s="19"/>
      <c r="QZA51" s="19"/>
      <c r="QZB51" s="19"/>
      <c r="QZC51" s="19"/>
      <c r="QZD51" s="19"/>
      <c r="QZE51" s="19"/>
      <c r="QZF51" s="19"/>
      <c r="QZG51" s="19"/>
      <c r="QZH51" s="19"/>
      <c r="QZI51" s="19"/>
      <c r="QZJ51" s="19"/>
      <c r="QZK51" s="19"/>
      <c r="QZL51" s="19"/>
      <c r="QZM51" s="19"/>
      <c r="QZN51" s="19"/>
      <c r="QZO51" s="19"/>
      <c r="QZP51" s="19"/>
      <c r="QZQ51" s="19"/>
      <c r="QZR51" s="19"/>
      <c r="QZS51" s="19"/>
      <c r="QZT51" s="19"/>
      <c r="QZU51" s="19"/>
      <c r="QZV51" s="19"/>
      <c r="QZW51" s="19"/>
      <c r="QZX51" s="19"/>
      <c r="QZY51" s="19"/>
      <c r="QZZ51" s="19"/>
      <c r="RAA51" s="19"/>
      <c r="RAB51" s="19"/>
      <c r="RAC51" s="19"/>
      <c r="RAD51" s="19"/>
      <c r="RAE51" s="19"/>
      <c r="RAF51" s="19"/>
      <c r="RAG51" s="19"/>
      <c r="RAH51" s="19"/>
      <c r="RAI51" s="19"/>
      <c r="RAJ51" s="19"/>
      <c r="RAK51" s="19"/>
      <c r="RAL51" s="19"/>
      <c r="RAM51" s="19"/>
      <c r="RAN51" s="19"/>
      <c r="RAO51" s="19"/>
      <c r="RAP51" s="19"/>
      <c r="RAQ51" s="19"/>
      <c r="RAR51" s="19"/>
      <c r="RAS51" s="19"/>
      <c r="RAT51" s="19"/>
      <c r="RAU51" s="19"/>
      <c r="RAV51" s="19"/>
      <c r="RAW51" s="19"/>
      <c r="RAX51" s="19"/>
      <c r="RAY51" s="19"/>
      <c r="RAZ51" s="19"/>
      <c r="RBA51" s="19"/>
      <c r="RBB51" s="19"/>
      <c r="RBC51" s="19"/>
      <c r="RBD51" s="19"/>
      <c r="RBE51" s="19"/>
      <c r="RBF51" s="19"/>
      <c r="RBG51" s="19"/>
      <c r="RBH51" s="19"/>
      <c r="RBI51" s="19"/>
      <c r="RBJ51" s="19"/>
      <c r="RBK51" s="19"/>
      <c r="RBL51" s="19"/>
      <c r="RBM51" s="19"/>
      <c r="RBN51" s="19"/>
      <c r="RBO51" s="19"/>
      <c r="RBP51" s="19"/>
      <c r="RBQ51" s="19"/>
      <c r="RBR51" s="19"/>
      <c r="RBS51" s="19"/>
      <c r="RBT51" s="19"/>
      <c r="RBU51" s="19"/>
      <c r="RBV51" s="19"/>
      <c r="RBW51" s="19"/>
      <c r="RBX51" s="19"/>
      <c r="RBY51" s="19"/>
      <c r="RBZ51" s="19"/>
      <c r="RCA51" s="19"/>
      <c r="RCB51" s="19"/>
      <c r="RCC51" s="19"/>
      <c r="RCD51" s="19"/>
      <c r="RCE51" s="19"/>
      <c r="RCF51" s="19"/>
      <c r="RCG51" s="19"/>
      <c r="RCH51" s="19"/>
      <c r="RCI51" s="19"/>
      <c r="RCJ51" s="19"/>
      <c r="RCK51" s="19"/>
      <c r="RCL51" s="19"/>
      <c r="RCM51" s="19"/>
      <c r="RCN51" s="19"/>
      <c r="RCO51" s="19"/>
      <c r="RCP51" s="19"/>
      <c r="RCQ51" s="19"/>
      <c r="RCR51" s="19"/>
      <c r="RCS51" s="19"/>
      <c r="RCT51" s="19"/>
      <c r="RCU51" s="19"/>
      <c r="RCV51" s="19"/>
      <c r="RCW51" s="19"/>
      <c r="RCX51" s="19"/>
      <c r="RCY51" s="19"/>
      <c r="RCZ51" s="19"/>
      <c r="RDA51" s="19"/>
      <c r="RDB51" s="19"/>
      <c r="RDC51" s="19"/>
      <c r="RDD51" s="19"/>
      <c r="RDE51" s="19"/>
      <c r="RDF51" s="19"/>
      <c r="RDG51" s="19"/>
      <c r="RDH51" s="19"/>
      <c r="RDI51" s="19"/>
      <c r="RDJ51" s="19"/>
      <c r="RDK51" s="19"/>
      <c r="RDL51" s="19"/>
      <c r="RDM51" s="19"/>
      <c r="RDN51" s="19"/>
      <c r="RDO51" s="19"/>
      <c r="RDP51" s="19"/>
      <c r="RDQ51" s="19"/>
      <c r="RDR51" s="19"/>
      <c r="RDS51" s="19"/>
      <c r="RDT51" s="19"/>
      <c r="RDU51" s="19"/>
      <c r="RDV51" s="19"/>
      <c r="RDW51" s="19"/>
      <c r="RDX51" s="19"/>
      <c r="RDY51" s="19"/>
      <c r="RDZ51" s="19"/>
      <c r="REA51" s="19"/>
      <c r="REB51" s="19"/>
      <c r="REC51" s="19"/>
      <c r="RED51" s="19"/>
      <c r="REE51" s="19"/>
      <c r="REF51" s="19"/>
      <c r="REG51" s="19"/>
      <c r="REH51" s="19"/>
      <c r="REI51" s="19"/>
      <c r="REJ51" s="19"/>
      <c r="REK51" s="19"/>
      <c r="REL51" s="19"/>
      <c r="REM51" s="19"/>
      <c r="REN51" s="19"/>
      <c r="REO51" s="19"/>
      <c r="REP51" s="19"/>
      <c r="REQ51" s="19"/>
      <c r="RER51" s="19"/>
      <c r="RES51" s="19"/>
      <c r="RET51" s="19"/>
      <c r="REU51" s="19"/>
      <c r="REV51" s="19"/>
      <c r="REW51" s="19"/>
      <c r="REX51" s="19"/>
      <c r="REY51" s="19"/>
      <c r="REZ51" s="19"/>
      <c r="RFA51" s="19"/>
      <c r="RFB51" s="19"/>
      <c r="RFC51" s="19"/>
      <c r="RFD51" s="19"/>
      <c r="RFE51" s="19"/>
      <c r="RFF51" s="19"/>
      <c r="RFG51" s="19"/>
      <c r="RFH51" s="19"/>
      <c r="RFI51" s="19"/>
      <c r="RFJ51" s="19"/>
      <c r="RFK51" s="19"/>
      <c r="RFL51" s="19"/>
      <c r="RFM51" s="19"/>
      <c r="RFN51" s="19"/>
      <c r="RFO51" s="19"/>
      <c r="RFP51" s="19"/>
      <c r="RFQ51" s="19"/>
      <c r="RFR51" s="19"/>
      <c r="RFS51" s="19"/>
      <c r="RFT51" s="19"/>
      <c r="RFU51" s="19"/>
      <c r="RFV51" s="19"/>
      <c r="RFW51" s="19"/>
      <c r="RFX51" s="19"/>
      <c r="RFY51" s="19"/>
      <c r="RFZ51" s="19"/>
      <c r="RGA51" s="19"/>
      <c r="RGB51" s="19"/>
      <c r="RGC51" s="19"/>
      <c r="RGD51" s="19"/>
      <c r="RGE51" s="19"/>
      <c r="RGF51" s="19"/>
      <c r="RGG51" s="19"/>
      <c r="RGH51" s="19"/>
      <c r="RGI51" s="19"/>
      <c r="RGJ51" s="19"/>
      <c r="RGK51" s="19"/>
      <c r="RGL51" s="19"/>
      <c r="RGM51" s="19"/>
      <c r="RGN51" s="19"/>
      <c r="RGO51" s="19"/>
      <c r="RGP51" s="19"/>
      <c r="RGQ51" s="19"/>
      <c r="RGR51" s="19"/>
      <c r="RGS51" s="19"/>
      <c r="RGT51" s="19"/>
      <c r="RGU51" s="19"/>
      <c r="RGV51" s="19"/>
      <c r="RGW51" s="19"/>
      <c r="RGX51" s="19"/>
      <c r="RGY51" s="19"/>
      <c r="RGZ51" s="19"/>
      <c r="RHA51" s="19"/>
      <c r="RHB51" s="19"/>
      <c r="RHC51" s="19"/>
      <c r="RHD51" s="19"/>
      <c r="RHE51" s="19"/>
      <c r="RHF51" s="19"/>
      <c r="RHG51" s="19"/>
      <c r="RHH51" s="19"/>
      <c r="RHI51" s="19"/>
      <c r="RHJ51" s="19"/>
      <c r="RHK51" s="19"/>
      <c r="RHL51" s="19"/>
      <c r="RHM51" s="19"/>
      <c r="RHN51" s="19"/>
      <c r="RHO51" s="19"/>
      <c r="RHP51" s="19"/>
      <c r="RHQ51" s="19"/>
      <c r="RHR51" s="19"/>
      <c r="RHS51" s="19"/>
      <c r="RHT51" s="19"/>
      <c r="RHU51" s="19"/>
      <c r="RHV51" s="19"/>
      <c r="RHW51" s="19"/>
      <c r="RHX51" s="19"/>
      <c r="RHY51" s="19"/>
      <c r="RHZ51" s="19"/>
      <c r="RIA51" s="19"/>
      <c r="RIB51" s="19"/>
      <c r="RIC51" s="19"/>
      <c r="RID51" s="19"/>
      <c r="RIE51" s="19"/>
      <c r="RIF51" s="19"/>
      <c r="RIG51" s="19"/>
      <c r="RIH51" s="19"/>
      <c r="RII51" s="19"/>
      <c r="RIJ51" s="19"/>
      <c r="RIK51" s="19"/>
      <c r="RIL51" s="19"/>
      <c r="RIM51" s="19"/>
      <c r="RIN51" s="19"/>
      <c r="RIO51" s="19"/>
      <c r="RIP51" s="19"/>
      <c r="RIQ51" s="19"/>
      <c r="RIR51" s="19"/>
      <c r="RIS51" s="19"/>
      <c r="RIT51" s="19"/>
      <c r="RIU51" s="19"/>
      <c r="RIV51" s="19"/>
      <c r="RIW51" s="19"/>
      <c r="RIX51" s="19"/>
      <c r="RIY51" s="19"/>
      <c r="RIZ51" s="19"/>
      <c r="RJA51" s="19"/>
      <c r="RJB51" s="19"/>
      <c r="RJC51" s="19"/>
      <c r="RJD51" s="19"/>
      <c r="RJE51" s="19"/>
      <c r="RJF51" s="19"/>
      <c r="RJG51" s="19"/>
      <c r="RJH51" s="19"/>
      <c r="RJI51" s="19"/>
      <c r="RJJ51" s="19"/>
      <c r="RJK51" s="19"/>
      <c r="RJL51" s="19"/>
      <c r="RJM51" s="19"/>
      <c r="RJN51" s="19"/>
      <c r="RJO51" s="19"/>
      <c r="RJP51" s="19"/>
      <c r="RJQ51" s="19"/>
      <c r="RJR51" s="19"/>
      <c r="RJS51" s="19"/>
      <c r="RJT51" s="19"/>
      <c r="RJU51" s="19"/>
      <c r="RJV51" s="19"/>
      <c r="RJW51" s="19"/>
      <c r="RJX51" s="19"/>
      <c r="RJY51" s="19"/>
      <c r="RJZ51" s="19"/>
      <c r="RKA51" s="19"/>
      <c r="RKB51" s="19"/>
      <c r="RKC51" s="19"/>
      <c r="RKD51" s="19"/>
      <c r="RKE51" s="19"/>
      <c r="RKF51" s="19"/>
      <c r="RKG51" s="19"/>
      <c r="RKH51" s="19"/>
      <c r="RKI51" s="19"/>
      <c r="RKJ51" s="19"/>
      <c r="RKK51" s="19"/>
      <c r="RKL51" s="19"/>
      <c r="RKM51" s="19"/>
      <c r="RKN51" s="19"/>
      <c r="RKO51" s="19"/>
      <c r="RKP51" s="19"/>
      <c r="RKQ51" s="19"/>
      <c r="RKR51" s="19"/>
      <c r="RKS51" s="19"/>
      <c r="RKT51" s="19"/>
      <c r="RKU51" s="19"/>
      <c r="RKV51" s="19"/>
      <c r="RKW51" s="19"/>
      <c r="RKX51" s="19"/>
      <c r="RKY51" s="19"/>
      <c r="RKZ51" s="19"/>
      <c r="RLA51" s="19"/>
      <c r="RLB51" s="19"/>
      <c r="RLC51" s="19"/>
      <c r="RLD51" s="19"/>
      <c r="RLE51" s="19"/>
      <c r="RLF51" s="19"/>
      <c r="RLG51" s="19"/>
      <c r="RLH51" s="19"/>
      <c r="RLI51" s="19"/>
      <c r="RLJ51" s="19"/>
      <c r="RLK51" s="19"/>
      <c r="RLL51" s="19"/>
      <c r="RLM51" s="19"/>
      <c r="RLN51" s="19"/>
      <c r="RLO51" s="19"/>
      <c r="RLP51" s="19"/>
      <c r="RLQ51" s="19"/>
      <c r="RLR51" s="19"/>
      <c r="RLS51" s="19"/>
      <c r="RLT51" s="19"/>
      <c r="RLU51" s="19"/>
      <c r="RLV51" s="19"/>
      <c r="RLW51" s="19"/>
      <c r="RLX51" s="19"/>
      <c r="RLY51" s="19"/>
      <c r="RLZ51" s="19"/>
      <c r="RMA51" s="19"/>
      <c r="RMB51" s="19"/>
      <c r="RMC51" s="19"/>
      <c r="RMD51" s="19"/>
      <c r="RME51" s="19"/>
      <c r="RMF51" s="19"/>
      <c r="RMG51" s="19"/>
      <c r="RMH51" s="19"/>
      <c r="RMI51" s="19"/>
      <c r="RMJ51" s="19"/>
      <c r="RMK51" s="19"/>
      <c r="RML51" s="19"/>
      <c r="RMM51" s="19"/>
      <c r="RMN51" s="19"/>
      <c r="RMO51" s="19"/>
      <c r="RMP51" s="19"/>
      <c r="RMQ51" s="19"/>
      <c r="RMR51" s="19"/>
      <c r="RMS51" s="19"/>
      <c r="RMT51" s="19"/>
      <c r="RMU51" s="19"/>
      <c r="RMV51" s="19"/>
      <c r="RMW51" s="19"/>
      <c r="RMX51" s="19"/>
      <c r="RMY51" s="19"/>
      <c r="RMZ51" s="19"/>
      <c r="RNA51" s="19"/>
      <c r="RNB51" s="19"/>
      <c r="RNC51" s="19"/>
      <c r="RND51" s="19"/>
      <c r="RNE51" s="19"/>
      <c r="RNF51" s="19"/>
      <c r="RNG51" s="19"/>
      <c r="RNH51" s="19"/>
      <c r="RNI51" s="19"/>
      <c r="RNJ51" s="19"/>
      <c r="RNK51" s="19"/>
      <c r="RNL51" s="19"/>
      <c r="RNM51" s="19"/>
      <c r="RNN51" s="19"/>
      <c r="RNO51" s="19"/>
      <c r="RNP51" s="19"/>
      <c r="RNQ51" s="19"/>
      <c r="RNR51" s="19"/>
      <c r="RNS51" s="19"/>
      <c r="RNT51" s="19"/>
      <c r="RNU51" s="19"/>
      <c r="RNV51" s="19"/>
      <c r="RNW51" s="19"/>
      <c r="RNX51" s="19"/>
      <c r="RNY51" s="19"/>
      <c r="RNZ51" s="19"/>
      <c r="ROA51" s="19"/>
      <c r="ROB51" s="19"/>
      <c r="ROC51" s="19"/>
      <c r="ROD51" s="19"/>
      <c r="ROE51" s="19"/>
      <c r="ROF51" s="19"/>
      <c r="ROG51" s="19"/>
      <c r="ROH51" s="19"/>
      <c r="ROI51" s="19"/>
      <c r="ROJ51" s="19"/>
      <c r="ROK51" s="19"/>
      <c r="ROL51" s="19"/>
      <c r="ROM51" s="19"/>
      <c r="RON51" s="19"/>
      <c r="ROO51" s="19"/>
      <c r="ROP51" s="19"/>
      <c r="ROQ51" s="19"/>
      <c r="ROR51" s="19"/>
      <c r="ROS51" s="19"/>
      <c r="ROT51" s="19"/>
      <c r="ROU51" s="19"/>
      <c r="ROV51" s="19"/>
      <c r="ROW51" s="19"/>
      <c r="ROX51" s="19"/>
      <c r="ROY51" s="19"/>
      <c r="ROZ51" s="19"/>
      <c r="RPA51" s="19"/>
      <c r="RPB51" s="19"/>
      <c r="RPC51" s="19"/>
      <c r="RPD51" s="19"/>
      <c r="RPE51" s="19"/>
      <c r="RPF51" s="19"/>
      <c r="RPG51" s="19"/>
      <c r="RPH51" s="19"/>
      <c r="RPI51" s="19"/>
      <c r="RPJ51" s="19"/>
      <c r="RPK51" s="19"/>
      <c r="RPL51" s="19"/>
      <c r="RPM51" s="19"/>
      <c r="RPN51" s="19"/>
      <c r="RPO51" s="19"/>
      <c r="RPP51" s="19"/>
      <c r="RPQ51" s="19"/>
      <c r="RPR51" s="19"/>
      <c r="RPS51" s="19"/>
      <c r="RPT51" s="19"/>
      <c r="RPU51" s="19"/>
      <c r="RPV51" s="19"/>
      <c r="RPW51" s="19"/>
      <c r="RPX51" s="19"/>
      <c r="RPY51" s="19"/>
      <c r="RPZ51" s="19"/>
      <c r="RQA51" s="19"/>
      <c r="RQB51" s="19"/>
      <c r="RQC51" s="19"/>
      <c r="RQD51" s="19"/>
      <c r="RQE51" s="19"/>
      <c r="RQF51" s="19"/>
      <c r="RQG51" s="19"/>
      <c r="RQH51" s="19"/>
      <c r="RQI51" s="19"/>
      <c r="RQJ51" s="19"/>
      <c r="RQK51" s="19"/>
      <c r="RQL51" s="19"/>
      <c r="RQM51" s="19"/>
      <c r="RQN51" s="19"/>
      <c r="RQO51" s="19"/>
      <c r="RQP51" s="19"/>
      <c r="RQQ51" s="19"/>
      <c r="RQR51" s="19"/>
      <c r="RQS51" s="19"/>
      <c r="RQT51" s="19"/>
      <c r="RQU51" s="19"/>
      <c r="RQV51" s="19"/>
      <c r="RQW51" s="19"/>
      <c r="RQX51" s="19"/>
      <c r="RQY51" s="19"/>
      <c r="RQZ51" s="19"/>
      <c r="RRA51" s="19"/>
      <c r="RRB51" s="19"/>
      <c r="RRC51" s="19"/>
      <c r="RRD51" s="19"/>
      <c r="RRE51" s="19"/>
      <c r="RRF51" s="19"/>
      <c r="RRG51" s="19"/>
      <c r="RRH51" s="19"/>
      <c r="RRI51" s="19"/>
      <c r="RRJ51" s="19"/>
      <c r="RRK51" s="19"/>
      <c r="RRL51" s="19"/>
      <c r="RRM51" s="19"/>
      <c r="RRN51" s="19"/>
      <c r="RRO51" s="19"/>
      <c r="RRP51" s="19"/>
      <c r="RRQ51" s="19"/>
      <c r="RRR51" s="19"/>
      <c r="RRS51" s="19"/>
      <c r="RRT51" s="19"/>
      <c r="RRU51" s="19"/>
      <c r="RRV51" s="19"/>
      <c r="RRW51" s="19"/>
      <c r="RRX51" s="19"/>
      <c r="RRY51" s="19"/>
      <c r="RRZ51" s="19"/>
      <c r="RSA51" s="19"/>
      <c r="RSB51" s="19"/>
      <c r="RSC51" s="19"/>
      <c r="RSD51" s="19"/>
      <c r="RSE51" s="19"/>
      <c r="RSF51" s="19"/>
      <c r="RSG51" s="19"/>
      <c r="RSH51" s="19"/>
      <c r="RSI51" s="19"/>
      <c r="RSJ51" s="19"/>
      <c r="RSK51" s="19"/>
      <c r="RSL51" s="19"/>
      <c r="RSM51" s="19"/>
      <c r="RSN51" s="19"/>
      <c r="RSO51" s="19"/>
      <c r="RSP51" s="19"/>
      <c r="RSQ51" s="19"/>
      <c r="RSR51" s="19"/>
      <c r="RSS51" s="19"/>
      <c r="RST51" s="19"/>
      <c r="RSU51" s="19"/>
      <c r="RSV51" s="19"/>
      <c r="RSW51" s="19"/>
      <c r="RSX51" s="19"/>
      <c r="RSY51" s="19"/>
      <c r="RSZ51" s="19"/>
      <c r="RTA51" s="19"/>
      <c r="RTB51" s="19"/>
      <c r="RTC51" s="19"/>
      <c r="RTD51" s="19"/>
      <c r="RTE51" s="19"/>
      <c r="RTF51" s="19"/>
      <c r="RTG51" s="19"/>
      <c r="RTH51" s="19"/>
      <c r="RTI51" s="19"/>
      <c r="RTJ51" s="19"/>
      <c r="RTK51" s="19"/>
      <c r="RTL51" s="19"/>
      <c r="RTM51" s="19"/>
      <c r="RTN51" s="19"/>
      <c r="RTO51" s="19"/>
      <c r="RTP51" s="19"/>
      <c r="RTQ51" s="19"/>
      <c r="RTR51" s="19"/>
      <c r="RTS51" s="19"/>
      <c r="RTT51" s="19"/>
      <c r="RTU51" s="19"/>
      <c r="RTV51" s="19"/>
      <c r="RTW51" s="19"/>
      <c r="RTX51" s="19"/>
      <c r="RTY51" s="19"/>
      <c r="RTZ51" s="19"/>
      <c r="RUA51" s="19"/>
      <c r="RUB51" s="19"/>
      <c r="RUC51" s="19"/>
      <c r="RUD51" s="19"/>
      <c r="RUE51" s="19"/>
      <c r="RUF51" s="19"/>
      <c r="RUG51" s="19"/>
      <c r="RUH51" s="19"/>
      <c r="RUI51" s="19"/>
      <c r="RUJ51" s="19"/>
      <c r="RUK51" s="19"/>
      <c r="RUL51" s="19"/>
      <c r="RUM51" s="19"/>
      <c r="RUN51" s="19"/>
      <c r="RUO51" s="19"/>
      <c r="RUP51" s="19"/>
      <c r="RUQ51" s="19"/>
      <c r="RUR51" s="19"/>
      <c r="RUS51" s="19"/>
      <c r="RUT51" s="19"/>
      <c r="RUU51" s="19"/>
      <c r="RUV51" s="19"/>
      <c r="RUW51" s="19"/>
      <c r="RUX51" s="19"/>
      <c r="RUY51" s="19"/>
      <c r="RUZ51" s="19"/>
      <c r="RVA51" s="19"/>
      <c r="RVB51" s="19"/>
      <c r="RVC51" s="19"/>
      <c r="RVD51" s="19"/>
      <c r="RVE51" s="19"/>
      <c r="RVF51" s="19"/>
      <c r="RVG51" s="19"/>
      <c r="RVH51" s="19"/>
      <c r="RVI51" s="19"/>
      <c r="RVJ51" s="19"/>
      <c r="RVK51" s="19"/>
      <c r="RVL51" s="19"/>
      <c r="RVM51" s="19"/>
      <c r="RVN51" s="19"/>
      <c r="RVO51" s="19"/>
      <c r="RVP51" s="19"/>
      <c r="RVQ51" s="19"/>
      <c r="RVR51" s="19"/>
      <c r="RVS51" s="19"/>
      <c r="RVT51" s="19"/>
      <c r="RVU51" s="19"/>
      <c r="RVV51" s="19"/>
      <c r="RVW51" s="19"/>
      <c r="RVX51" s="19"/>
      <c r="RVY51" s="19"/>
      <c r="RVZ51" s="19"/>
      <c r="RWA51" s="19"/>
      <c r="RWB51" s="19"/>
      <c r="RWC51" s="19"/>
      <c r="RWD51" s="19"/>
      <c r="RWE51" s="19"/>
      <c r="RWF51" s="19"/>
      <c r="RWG51" s="19"/>
      <c r="RWH51" s="19"/>
      <c r="RWI51" s="19"/>
      <c r="RWJ51" s="19"/>
      <c r="RWK51" s="19"/>
      <c r="RWL51" s="19"/>
      <c r="RWM51" s="19"/>
      <c r="RWN51" s="19"/>
      <c r="RWO51" s="19"/>
      <c r="RWP51" s="19"/>
      <c r="RWQ51" s="19"/>
      <c r="RWR51" s="19"/>
      <c r="RWS51" s="19"/>
      <c r="RWT51" s="19"/>
      <c r="RWU51" s="19"/>
      <c r="RWV51" s="19"/>
      <c r="RWW51" s="19"/>
      <c r="RWX51" s="19"/>
      <c r="RWY51" s="19"/>
      <c r="RWZ51" s="19"/>
      <c r="RXA51" s="19"/>
      <c r="RXB51" s="19"/>
      <c r="RXC51" s="19"/>
      <c r="RXD51" s="19"/>
      <c r="RXE51" s="19"/>
      <c r="RXF51" s="19"/>
      <c r="RXG51" s="19"/>
      <c r="RXH51" s="19"/>
      <c r="RXI51" s="19"/>
      <c r="RXJ51" s="19"/>
      <c r="RXK51" s="19"/>
      <c r="RXL51" s="19"/>
      <c r="RXM51" s="19"/>
      <c r="RXN51" s="19"/>
      <c r="RXO51" s="19"/>
      <c r="RXP51" s="19"/>
      <c r="RXQ51" s="19"/>
      <c r="RXR51" s="19"/>
      <c r="RXS51" s="19"/>
      <c r="RXT51" s="19"/>
      <c r="RXU51" s="19"/>
      <c r="RXV51" s="19"/>
      <c r="RXW51" s="19"/>
      <c r="RXX51" s="19"/>
      <c r="RXY51" s="19"/>
      <c r="RXZ51" s="19"/>
      <c r="RYA51" s="19"/>
      <c r="RYB51" s="19"/>
      <c r="RYC51" s="19"/>
      <c r="RYD51" s="19"/>
      <c r="RYE51" s="19"/>
      <c r="RYF51" s="19"/>
      <c r="RYG51" s="19"/>
      <c r="RYH51" s="19"/>
      <c r="RYI51" s="19"/>
      <c r="RYJ51" s="19"/>
      <c r="RYK51" s="19"/>
      <c r="RYL51" s="19"/>
      <c r="RYM51" s="19"/>
      <c r="RYN51" s="19"/>
      <c r="RYO51" s="19"/>
      <c r="RYP51" s="19"/>
      <c r="RYQ51" s="19"/>
      <c r="RYR51" s="19"/>
      <c r="RYS51" s="19"/>
      <c r="RYT51" s="19"/>
      <c r="RYU51" s="19"/>
      <c r="RYV51" s="19"/>
      <c r="RYW51" s="19"/>
      <c r="RYX51" s="19"/>
      <c r="RYY51" s="19"/>
      <c r="RYZ51" s="19"/>
      <c r="RZA51" s="19"/>
      <c r="RZB51" s="19"/>
      <c r="RZC51" s="19"/>
      <c r="RZD51" s="19"/>
      <c r="RZE51" s="19"/>
      <c r="RZF51" s="19"/>
      <c r="RZG51" s="19"/>
      <c r="RZH51" s="19"/>
      <c r="RZI51" s="19"/>
      <c r="RZJ51" s="19"/>
      <c r="RZK51" s="19"/>
      <c r="RZL51" s="19"/>
      <c r="RZM51" s="19"/>
      <c r="RZN51" s="19"/>
      <c r="RZO51" s="19"/>
      <c r="RZP51" s="19"/>
      <c r="RZQ51" s="19"/>
      <c r="RZR51" s="19"/>
      <c r="RZS51" s="19"/>
      <c r="RZT51" s="19"/>
      <c r="RZU51" s="19"/>
      <c r="RZV51" s="19"/>
      <c r="RZW51" s="19"/>
      <c r="RZX51" s="19"/>
      <c r="RZY51" s="19"/>
      <c r="RZZ51" s="19"/>
      <c r="SAA51" s="19"/>
      <c r="SAB51" s="19"/>
      <c r="SAC51" s="19"/>
      <c r="SAD51" s="19"/>
      <c r="SAE51" s="19"/>
      <c r="SAF51" s="19"/>
      <c r="SAG51" s="19"/>
      <c r="SAH51" s="19"/>
      <c r="SAI51" s="19"/>
      <c r="SAJ51" s="19"/>
      <c r="SAK51" s="19"/>
      <c r="SAL51" s="19"/>
      <c r="SAM51" s="19"/>
      <c r="SAN51" s="19"/>
      <c r="SAO51" s="19"/>
      <c r="SAP51" s="19"/>
      <c r="SAQ51" s="19"/>
      <c r="SAR51" s="19"/>
      <c r="SAS51" s="19"/>
      <c r="SAT51" s="19"/>
      <c r="SAU51" s="19"/>
      <c r="SAV51" s="19"/>
      <c r="SAW51" s="19"/>
      <c r="SAX51" s="19"/>
      <c r="SAY51" s="19"/>
      <c r="SAZ51" s="19"/>
      <c r="SBA51" s="19"/>
      <c r="SBB51" s="19"/>
      <c r="SBC51" s="19"/>
      <c r="SBD51" s="19"/>
      <c r="SBE51" s="19"/>
      <c r="SBF51" s="19"/>
      <c r="SBG51" s="19"/>
      <c r="SBH51" s="19"/>
      <c r="SBI51" s="19"/>
      <c r="SBJ51" s="19"/>
      <c r="SBK51" s="19"/>
      <c r="SBL51" s="19"/>
      <c r="SBM51" s="19"/>
      <c r="SBN51" s="19"/>
      <c r="SBO51" s="19"/>
      <c r="SBP51" s="19"/>
      <c r="SBQ51" s="19"/>
      <c r="SBR51" s="19"/>
      <c r="SBS51" s="19"/>
      <c r="SBT51" s="19"/>
      <c r="SBU51" s="19"/>
      <c r="SBV51" s="19"/>
      <c r="SBW51" s="19"/>
      <c r="SBX51" s="19"/>
      <c r="SBY51" s="19"/>
      <c r="SBZ51" s="19"/>
      <c r="SCA51" s="19"/>
      <c r="SCB51" s="19"/>
      <c r="SCC51" s="19"/>
      <c r="SCD51" s="19"/>
      <c r="SCE51" s="19"/>
      <c r="SCF51" s="19"/>
      <c r="SCG51" s="19"/>
      <c r="SCH51" s="19"/>
      <c r="SCI51" s="19"/>
      <c r="SCJ51" s="19"/>
      <c r="SCK51" s="19"/>
      <c r="SCL51" s="19"/>
      <c r="SCM51" s="19"/>
      <c r="SCN51" s="19"/>
      <c r="SCO51" s="19"/>
      <c r="SCP51" s="19"/>
      <c r="SCQ51" s="19"/>
      <c r="SCR51" s="19"/>
      <c r="SCS51" s="19"/>
      <c r="SCT51" s="19"/>
      <c r="SCU51" s="19"/>
      <c r="SCV51" s="19"/>
      <c r="SCW51" s="19"/>
      <c r="SCX51" s="19"/>
      <c r="SCY51" s="19"/>
      <c r="SCZ51" s="19"/>
      <c r="SDA51" s="19"/>
      <c r="SDB51" s="19"/>
      <c r="SDC51" s="19"/>
      <c r="SDD51" s="19"/>
      <c r="SDE51" s="19"/>
      <c r="SDF51" s="19"/>
      <c r="SDG51" s="19"/>
      <c r="SDH51" s="19"/>
      <c r="SDI51" s="19"/>
      <c r="SDJ51" s="19"/>
      <c r="SDK51" s="19"/>
      <c r="SDL51" s="19"/>
      <c r="SDM51" s="19"/>
      <c r="SDN51" s="19"/>
      <c r="SDO51" s="19"/>
      <c r="SDP51" s="19"/>
      <c r="SDQ51" s="19"/>
      <c r="SDR51" s="19"/>
      <c r="SDS51" s="19"/>
      <c r="SDT51" s="19"/>
      <c r="SDU51" s="19"/>
      <c r="SDV51" s="19"/>
      <c r="SDW51" s="19"/>
      <c r="SDX51" s="19"/>
      <c r="SDY51" s="19"/>
      <c r="SDZ51" s="19"/>
      <c r="SEA51" s="19"/>
      <c r="SEB51" s="19"/>
      <c r="SEC51" s="19"/>
      <c r="SED51" s="19"/>
      <c r="SEE51" s="19"/>
      <c r="SEF51" s="19"/>
      <c r="SEG51" s="19"/>
      <c r="SEH51" s="19"/>
      <c r="SEI51" s="19"/>
      <c r="SEJ51" s="19"/>
      <c r="SEK51" s="19"/>
      <c r="SEL51" s="19"/>
      <c r="SEM51" s="19"/>
      <c r="SEN51" s="19"/>
      <c r="SEO51" s="19"/>
      <c r="SEP51" s="19"/>
      <c r="SEQ51" s="19"/>
      <c r="SER51" s="19"/>
      <c r="SES51" s="19"/>
      <c r="SET51" s="19"/>
      <c r="SEU51" s="19"/>
      <c r="SEV51" s="19"/>
      <c r="SEW51" s="19"/>
      <c r="SEX51" s="19"/>
      <c r="SEY51" s="19"/>
      <c r="SEZ51" s="19"/>
      <c r="SFA51" s="19"/>
      <c r="SFB51" s="19"/>
      <c r="SFC51" s="19"/>
      <c r="SFD51" s="19"/>
      <c r="SFE51" s="19"/>
      <c r="SFF51" s="19"/>
      <c r="SFG51" s="19"/>
      <c r="SFH51" s="19"/>
      <c r="SFI51" s="19"/>
      <c r="SFJ51" s="19"/>
      <c r="SFK51" s="19"/>
      <c r="SFL51" s="19"/>
      <c r="SFM51" s="19"/>
      <c r="SFN51" s="19"/>
      <c r="SFO51" s="19"/>
      <c r="SFP51" s="19"/>
      <c r="SFQ51" s="19"/>
      <c r="SFR51" s="19"/>
      <c r="SFS51" s="19"/>
      <c r="SFT51" s="19"/>
      <c r="SFU51" s="19"/>
      <c r="SFV51" s="19"/>
      <c r="SFW51" s="19"/>
      <c r="SFX51" s="19"/>
      <c r="SFY51" s="19"/>
      <c r="SFZ51" s="19"/>
      <c r="SGA51" s="19"/>
      <c r="SGB51" s="19"/>
      <c r="SGC51" s="19"/>
      <c r="SGD51" s="19"/>
      <c r="SGE51" s="19"/>
      <c r="SGF51" s="19"/>
      <c r="SGG51" s="19"/>
      <c r="SGH51" s="19"/>
      <c r="SGI51" s="19"/>
      <c r="SGJ51" s="19"/>
      <c r="SGK51" s="19"/>
      <c r="SGL51" s="19"/>
      <c r="SGM51" s="19"/>
      <c r="SGN51" s="19"/>
      <c r="SGO51" s="19"/>
      <c r="SGP51" s="19"/>
      <c r="SGQ51" s="19"/>
      <c r="SGR51" s="19"/>
      <c r="SGS51" s="19"/>
      <c r="SGT51" s="19"/>
      <c r="SGU51" s="19"/>
      <c r="SGV51" s="19"/>
      <c r="SGW51" s="19"/>
      <c r="SGX51" s="19"/>
      <c r="SGY51" s="19"/>
      <c r="SGZ51" s="19"/>
      <c r="SHA51" s="19"/>
      <c r="SHB51" s="19"/>
      <c r="SHC51" s="19"/>
      <c r="SHD51" s="19"/>
      <c r="SHE51" s="19"/>
      <c r="SHF51" s="19"/>
      <c r="SHG51" s="19"/>
      <c r="SHH51" s="19"/>
      <c r="SHI51" s="19"/>
      <c r="SHJ51" s="19"/>
      <c r="SHK51" s="19"/>
      <c r="SHL51" s="19"/>
      <c r="SHM51" s="19"/>
      <c r="SHN51" s="19"/>
      <c r="SHO51" s="19"/>
      <c r="SHP51" s="19"/>
      <c r="SHQ51" s="19"/>
      <c r="SHR51" s="19"/>
      <c r="SHS51" s="19"/>
      <c r="SHT51" s="19"/>
      <c r="SHU51" s="19"/>
      <c r="SHV51" s="19"/>
      <c r="SHW51" s="19"/>
      <c r="SHX51" s="19"/>
      <c r="SHY51" s="19"/>
      <c r="SHZ51" s="19"/>
      <c r="SIA51" s="19"/>
      <c r="SIB51" s="19"/>
      <c r="SIC51" s="19"/>
      <c r="SID51" s="19"/>
      <c r="SIE51" s="19"/>
      <c r="SIF51" s="19"/>
      <c r="SIG51" s="19"/>
      <c r="SIH51" s="19"/>
      <c r="SII51" s="19"/>
      <c r="SIJ51" s="19"/>
      <c r="SIK51" s="19"/>
      <c r="SIL51" s="19"/>
      <c r="SIM51" s="19"/>
      <c r="SIN51" s="19"/>
      <c r="SIO51" s="19"/>
      <c r="SIP51" s="19"/>
      <c r="SIQ51" s="19"/>
      <c r="SIR51" s="19"/>
      <c r="SIS51" s="19"/>
      <c r="SIT51" s="19"/>
      <c r="SIU51" s="19"/>
      <c r="SIV51" s="19"/>
      <c r="SIW51" s="19"/>
      <c r="SIX51" s="19"/>
      <c r="SIY51" s="19"/>
      <c r="SIZ51" s="19"/>
      <c r="SJA51" s="19"/>
      <c r="SJB51" s="19"/>
      <c r="SJC51" s="19"/>
      <c r="SJD51" s="19"/>
      <c r="SJE51" s="19"/>
      <c r="SJF51" s="19"/>
      <c r="SJG51" s="19"/>
      <c r="SJH51" s="19"/>
      <c r="SJI51" s="19"/>
      <c r="SJJ51" s="19"/>
      <c r="SJK51" s="19"/>
      <c r="SJL51" s="19"/>
      <c r="SJM51" s="19"/>
      <c r="SJN51" s="19"/>
      <c r="SJO51" s="19"/>
      <c r="SJP51" s="19"/>
      <c r="SJQ51" s="19"/>
      <c r="SJR51" s="19"/>
      <c r="SJS51" s="19"/>
      <c r="SJT51" s="19"/>
      <c r="SJU51" s="19"/>
      <c r="SJV51" s="19"/>
      <c r="SJW51" s="19"/>
      <c r="SJX51" s="19"/>
      <c r="SJY51" s="19"/>
      <c r="SJZ51" s="19"/>
      <c r="SKA51" s="19"/>
      <c r="SKB51" s="19"/>
      <c r="SKC51" s="19"/>
      <c r="SKD51" s="19"/>
      <c r="SKE51" s="19"/>
      <c r="SKF51" s="19"/>
      <c r="SKG51" s="19"/>
      <c r="SKH51" s="19"/>
      <c r="SKI51" s="19"/>
      <c r="SKJ51" s="19"/>
      <c r="SKK51" s="19"/>
      <c r="SKL51" s="19"/>
      <c r="SKM51" s="19"/>
      <c r="SKN51" s="19"/>
      <c r="SKO51" s="19"/>
      <c r="SKP51" s="19"/>
      <c r="SKQ51" s="19"/>
      <c r="SKR51" s="19"/>
      <c r="SKS51" s="19"/>
      <c r="SKT51" s="19"/>
      <c r="SKU51" s="19"/>
      <c r="SKV51" s="19"/>
      <c r="SKW51" s="19"/>
      <c r="SKX51" s="19"/>
      <c r="SKY51" s="19"/>
      <c r="SKZ51" s="19"/>
      <c r="SLA51" s="19"/>
      <c r="SLB51" s="19"/>
      <c r="SLC51" s="19"/>
      <c r="SLD51" s="19"/>
      <c r="SLE51" s="19"/>
      <c r="SLF51" s="19"/>
      <c r="SLG51" s="19"/>
      <c r="SLH51" s="19"/>
      <c r="SLI51" s="19"/>
      <c r="SLJ51" s="19"/>
      <c r="SLK51" s="19"/>
      <c r="SLL51" s="19"/>
      <c r="SLM51" s="19"/>
      <c r="SLN51" s="19"/>
      <c r="SLO51" s="19"/>
      <c r="SLP51" s="19"/>
      <c r="SLQ51" s="19"/>
      <c r="SLR51" s="19"/>
      <c r="SLS51" s="19"/>
      <c r="SLT51" s="19"/>
      <c r="SLU51" s="19"/>
      <c r="SLV51" s="19"/>
      <c r="SLW51" s="19"/>
      <c r="SLX51" s="19"/>
      <c r="SLY51" s="19"/>
      <c r="SLZ51" s="19"/>
      <c r="SMA51" s="19"/>
      <c r="SMB51" s="19"/>
      <c r="SMC51" s="19"/>
      <c r="SMD51" s="19"/>
      <c r="SME51" s="19"/>
      <c r="SMF51" s="19"/>
      <c r="SMG51" s="19"/>
      <c r="SMH51" s="19"/>
      <c r="SMI51" s="19"/>
      <c r="SMJ51" s="19"/>
      <c r="SMK51" s="19"/>
      <c r="SML51" s="19"/>
      <c r="SMM51" s="19"/>
      <c r="SMN51" s="19"/>
      <c r="SMO51" s="19"/>
      <c r="SMP51" s="19"/>
      <c r="SMQ51" s="19"/>
      <c r="SMR51" s="19"/>
      <c r="SMS51" s="19"/>
      <c r="SMT51" s="19"/>
      <c r="SMU51" s="19"/>
      <c r="SMV51" s="19"/>
      <c r="SMW51" s="19"/>
      <c r="SMX51" s="19"/>
      <c r="SMY51" s="19"/>
      <c r="SMZ51" s="19"/>
      <c r="SNA51" s="19"/>
      <c r="SNB51" s="19"/>
      <c r="SNC51" s="19"/>
      <c r="SND51" s="19"/>
      <c r="SNE51" s="19"/>
      <c r="SNF51" s="19"/>
      <c r="SNG51" s="19"/>
      <c r="SNH51" s="19"/>
      <c r="SNI51" s="19"/>
      <c r="SNJ51" s="19"/>
      <c r="SNK51" s="19"/>
      <c r="SNL51" s="19"/>
      <c r="SNM51" s="19"/>
      <c r="SNN51" s="19"/>
      <c r="SNO51" s="19"/>
      <c r="SNP51" s="19"/>
      <c r="SNQ51" s="19"/>
      <c r="SNR51" s="19"/>
      <c r="SNS51" s="19"/>
      <c r="SNT51" s="19"/>
      <c r="SNU51" s="19"/>
      <c r="SNV51" s="19"/>
      <c r="SNW51" s="19"/>
      <c r="SNX51" s="19"/>
      <c r="SNY51" s="19"/>
      <c r="SNZ51" s="19"/>
      <c r="SOA51" s="19"/>
      <c r="SOB51" s="19"/>
      <c r="SOC51" s="19"/>
      <c r="SOD51" s="19"/>
      <c r="SOE51" s="19"/>
      <c r="SOF51" s="19"/>
      <c r="SOG51" s="19"/>
      <c r="SOH51" s="19"/>
      <c r="SOI51" s="19"/>
      <c r="SOJ51" s="19"/>
      <c r="SOK51" s="19"/>
      <c r="SOL51" s="19"/>
      <c r="SOM51" s="19"/>
      <c r="SON51" s="19"/>
      <c r="SOO51" s="19"/>
      <c r="SOP51" s="19"/>
      <c r="SOQ51" s="19"/>
      <c r="SOR51" s="19"/>
      <c r="SOS51" s="19"/>
      <c r="SOT51" s="19"/>
      <c r="SOU51" s="19"/>
      <c r="SOV51" s="19"/>
      <c r="SOW51" s="19"/>
      <c r="SOX51" s="19"/>
      <c r="SOY51" s="19"/>
      <c r="SOZ51" s="19"/>
      <c r="SPA51" s="19"/>
      <c r="SPB51" s="19"/>
      <c r="SPC51" s="19"/>
      <c r="SPD51" s="19"/>
      <c r="SPE51" s="19"/>
      <c r="SPF51" s="19"/>
      <c r="SPG51" s="19"/>
      <c r="SPH51" s="19"/>
      <c r="SPI51" s="19"/>
      <c r="SPJ51" s="19"/>
      <c r="SPK51" s="19"/>
      <c r="SPL51" s="19"/>
      <c r="SPM51" s="19"/>
      <c r="SPN51" s="19"/>
      <c r="SPO51" s="19"/>
      <c r="SPP51" s="19"/>
      <c r="SPQ51" s="19"/>
      <c r="SPR51" s="19"/>
      <c r="SPS51" s="19"/>
      <c r="SPT51" s="19"/>
      <c r="SPU51" s="19"/>
      <c r="SPV51" s="19"/>
      <c r="SPW51" s="19"/>
      <c r="SPX51" s="19"/>
      <c r="SPY51" s="19"/>
      <c r="SPZ51" s="19"/>
      <c r="SQA51" s="19"/>
      <c r="SQB51" s="19"/>
      <c r="SQC51" s="19"/>
      <c r="SQD51" s="19"/>
      <c r="SQE51" s="19"/>
      <c r="SQF51" s="19"/>
      <c r="SQG51" s="19"/>
      <c r="SQH51" s="19"/>
      <c r="SQI51" s="19"/>
      <c r="SQJ51" s="19"/>
      <c r="SQK51" s="19"/>
      <c r="SQL51" s="19"/>
      <c r="SQM51" s="19"/>
      <c r="SQN51" s="19"/>
      <c r="SQO51" s="19"/>
      <c r="SQP51" s="19"/>
      <c r="SQQ51" s="19"/>
      <c r="SQR51" s="19"/>
      <c r="SQS51" s="19"/>
      <c r="SQT51" s="19"/>
      <c r="SQU51" s="19"/>
      <c r="SQV51" s="19"/>
      <c r="SQW51" s="19"/>
      <c r="SQX51" s="19"/>
      <c r="SQY51" s="19"/>
      <c r="SQZ51" s="19"/>
      <c r="SRA51" s="19"/>
      <c r="SRB51" s="19"/>
      <c r="SRC51" s="19"/>
      <c r="SRD51" s="19"/>
      <c r="SRE51" s="19"/>
      <c r="SRF51" s="19"/>
      <c r="SRG51" s="19"/>
      <c r="SRH51" s="19"/>
      <c r="SRI51" s="19"/>
      <c r="SRJ51" s="19"/>
      <c r="SRK51" s="19"/>
      <c r="SRL51" s="19"/>
      <c r="SRM51" s="19"/>
      <c r="SRN51" s="19"/>
      <c r="SRO51" s="19"/>
      <c r="SRP51" s="19"/>
      <c r="SRQ51" s="19"/>
      <c r="SRR51" s="19"/>
      <c r="SRS51" s="19"/>
      <c r="SRT51" s="19"/>
      <c r="SRU51" s="19"/>
      <c r="SRV51" s="19"/>
      <c r="SRW51" s="19"/>
      <c r="SRX51" s="19"/>
      <c r="SRY51" s="19"/>
      <c r="SRZ51" s="19"/>
      <c r="SSA51" s="19"/>
      <c r="SSB51" s="19"/>
      <c r="SSC51" s="19"/>
      <c r="SSD51" s="19"/>
      <c r="SSE51" s="19"/>
      <c r="SSF51" s="19"/>
      <c r="SSG51" s="19"/>
      <c r="SSH51" s="19"/>
      <c r="SSI51" s="19"/>
      <c r="SSJ51" s="19"/>
      <c r="SSK51" s="19"/>
      <c r="SSL51" s="19"/>
      <c r="SSM51" s="19"/>
      <c r="SSN51" s="19"/>
      <c r="SSO51" s="19"/>
      <c r="SSP51" s="19"/>
      <c r="SSQ51" s="19"/>
      <c r="SSR51" s="19"/>
      <c r="SSS51" s="19"/>
      <c r="SST51" s="19"/>
      <c r="SSU51" s="19"/>
      <c r="SSV51" s="19"/>
      <c r="SSW51" s="19"/>
      <c r="SSX51" s="19"/>
      <c r="SSY51" s="19"/>
      <c r="SSZ51" s="19"/>
      <c r="STA51" s="19"/>
      <c r="STB51" s="19"/>
      <c r="STC51" s="19"/>
      <c r="STD51" s="19"/>
      <c r="STE51" s="19"/>
      <c r="STF51" s="19"/>
      <c r="STG51" s="19"/>
      <c r="STH51" s="19"/>
      <c r="STI51" s="19"/>
      <c r="STJ51" s="19"/>
      <c r="STK51" s="19"/>
      <c r="STL51" s="19"/>
      <c r="STM51" s="19"/>
      <c r="STN51" s="19"/>
      <c r="STO51" s="19"/>
      <c r="STP51" s="19"/>
      <c r="STQ51" s="19"/>
      <c r="STR51" s="19"/>
      <c r="STS51" s="19"/>
      <c r="STT51" s="19"/>
      <c r="STU51" s="19"/>
      <c r="STV51" s="19"/>
      <c r="STW51" s="19"/>
      <c r="STX51" s="19"/>
      <c r="STY51" s="19"/>
      <c r="STZ51" s="19"/>
      <c r="SUA51" s="19"/>
      <c r="SUB51" s="19"/>
      <c r="SUC51" s="19"/>
      <c r="SUD51" s="19"/>
      <c r="SUE51" s="19"/>
      <c r="SUF51" s="19"/>
      <c r="SUG51" s="19"/>
      <c r="SUH51" s="19"/>
      <c r="SUI51" s="19"/>
      <c r="SUJ51" s="19"/>
      <c r="SUK51" s="19"/>
      <c r="SUL51" s="19"/>
      <c r="SUM51" s="19"/>
      <c r="SUN51" s="19"/>
      <c r="SUO51" s="19"/>
      <c r="SUP51" s="19"/>
      <c r="SUQ51" s="19"/>
      <c r="SUR51" s="19"/>
      <c r="SUS51" s="19"/>
      <c r="SUT51" s="19"/>
      <c r="SUU51" s="19"/>
      <c r="SUV51" s="19"/>
      <c r="SUW51" s="19"/>
      <c r="SUX51" s="19"/>
      <c r="SUY51" s="19"/>
      <c r="SUZ51" s="19"/>
      <c r="SVA51" s="19"/>
      <c r="SVB51" s="19"/>
      <c r="SVC51" s="19"/>
      <c r="SVD51" s="19"/>
      <c r="SVE51" s="19"/>
      <c r="SVF51" s="19"/>
      <c r="SVG51" s="19"/>
      <c r="SVH51" s="19"/>
      <c r="SVI51" s="19"/>
      <c r="SVJ51" s="19"/>
      <c r="SVK51" s="19"/>
      <c r="SVL51" s="19"/>
      <c r="SVM51" s="19"/>
      <c r="SVN51" s="19"/>
      <c r="SVO51" s="19"/>
      <c r="SVP51" s="19"/>
      <c r="SVQ51" s="19"/>
      <c r="SVR51" s="19"/>
      <c r="SVS51" s="19"/>
      <c r="SVT51" s="19"/>
      <c r="SVU51" s="19"/>
      <c r="SVV51" s="19"/>
      <c r="SVW51" s="19"/>
      <c r="SVX51" s="19"/>
      <c r="SVY51" s="19"/>
      <c r="SVZ51" s="19"/>
      <c r="SWA51" s="19"/>
      <c r="SWB51" s="19"/>
      <c r="SWC51" s="19"/>
      <c r="SWD51" s="19"/>
      <c r="SWE51" s="19"/>
      <c r="SWF51" s="19"/>
      <c r="SWG51" s="19"/>
      <c r="SWH51" s="19"/>
      <c r="SWI51" s="19"/>
      <c r="SWJ51" s="19"/>
      <c r="SWK51" s="19"/>
      <c r="SWL51" s="19"/>
      <c r="SWM51" s="19"/>
      <c r="SWN51" s="19"/>
      <c r="SWO51" s="19"/>
      <c r="SWP51" s="19"/>
      <c r="SWQ51" s="19"/>
      <c r="SWR51" s="19"/>
      <c r="SWS51" s="19"/>
      <c r="SWT51" s="19"/>
      <c r="SWU51" s="19"/>
      <c r="SWV51" s="19"/>
      <c r="SWW51" s="19"/>
      <c r="SWX51" s="19"/>
      <c r="SWY51" s="19"/>
      <c r="SWZ51" s="19"/>
      <c r="SXA51" s="19"/>
      <c r="SXB51" s="19"/>
      <c r="SXC51" s="19"/>
      <c r="SXD51" s="19"/>
      <c r="SXE51" s="19"/>
      <c r="SXF51" s="19"/>
      <c r="SXG51" s="19"/>
      <c r="SXH51" s="19"/>
      <c r="SXI51" s="19"/>
      <c r="SXJ51" s="19"/>
      <c r="SXK51" s="19"/>
      <c r="SXL51" s="19"/>
      <c r="SXM51" s="19"/>
      <c r="SXN51" s="19"/>
      <c r="SXO51" s="19"/>
      <c r="SXP51" s="19"/>
      <c r="SXQ51" s="19"/>
      <c r="SXR51" s="19"/>
      <c r="SXS51" s="19"/>
      <c r="SXT51" s="19"/>
      <c r="SXU51" s="19"/>
      <c r="SXV51" s="19"/>
      <c r="SXW51" s="19"/>
      <c r="SXX51" s="19"/>
      <c r="SXY51" s="19"/>
      <c r="SXZ51" s="19"/>
      <c r="SYA51" s="19"/>
      <c r="SYB51" s="19"/>
      <c r="SYC51" s="19"/>
      <c r="SYD51" s="19"/>
      <c r="SYE51" s="19"/>
      <c r="SYF51" s="19"/>
      <c r="SYG51" s="19"/>
      <c r="SYH51" s="19"/>
      <c r="SYI51" s="19"/>
      <c r="SYJ51" s="19"/>
      <c r="SYK51" s="19"/>
      <c r="SYL51" s="19"/>
      <c r="SYM51" s="19"/>
      <c r="SYN51" s="19"/>
      <c r="SYO51" s="19"/>
      <c r="SYP51" s="19"/>
      <c r="SYQ51" s="19"/>
      <c r="SYR51" s="19"/>
      <c r="SYS51" s="19"/>
      <c r="SYT51" s="19"/>
      <c r="SYU51" s="19"/>
      <c r="SYV51" s="19"/>
      <c r="SYW51" s="19"/>
      <c r="SYX51" s="19"/>
      <c r="SYY51" s="19"/>
      <c r="SYZ51" s="19"/>
      <c r="SZA51" s="19"/>
      <c r="SZB51" s="19"/>
      <c r="SZC51" s="19"/>
      <c r="SZD51" s="19"/>
      <c r="SZE51" s="19"/>
      <c r="SZF51" s="19"/>
      <c r="SZG51" s="19"/>
      <c r="SZH51" s="19"/>
      <c r="SZI51" s="19"/>
      <c r="SZJ51" s="19"/>
      <c r="SZK51" s="19"/>
      <c r="SZL51" s="19"/>
      <c r="SZM51" s="19"/>
      <c r="SZN51" s="19"/>
      <c r="SZO51" s="19"/>
      <c r="SZP51" s="19"/>
      <c r="SZQ51" s="19"/>
      <c r="SZR51" s="19"/>
      <c r="SZS51" s="19"/>
      <c r="SZT51" s="19"/>
      <c r="SZU51" s="19"/>
      <c r="SZV51" s="19"/>
      <c r="SZW51" s="19"/>
      <c r="SZX51" s="19"/>
      <c r="SZY51" s="19"/>
      <c r="SZZ51" s="19"/>
      <c r="TAA51" s="19"/>
      <c r="TAB51" s="19"/>
      <c r="TAC51" s="19"/>
      <c r="TAD51" s="19"/>
      <c r="TAE51" s="19"/>
      <c r="TAF51" s="19"/>
      <c r="TAG51" s="19"/>
      <c r="TAH51" s="19"/>
      <c r="TAI51" s="19"/>
      <c r="TAJ51" s="19"/>
      <c r="TAK51" s="19"/>
      <c r="TAL51" s="19"/>
      <c r="TAM51" s="19"/>
      <c r="TAN51" s="19"/>
      <c r="TAO51" s="19"/>
      <c r="TAP51" s="19"/>
      <c r="TAQ51" s="19"/>
      <c r="TAR51" s="19"/>
      <c r="TAS51" s="19"/>
      <c r="TAT51" s="19"/>
      <c r="TAU51" s="19"/>
      <c r="TAV51" s="19"/>
      <c r="TAW51" s="19"/>
      <c r="TAX51" s="19"/>
      <c r="TAY51" s="19"/>
      <c r="TAZ51" s="19"/>
      <c r="TBA51" s="19"/>
      <c r="TBB51" s="19"/>
      <c r="TBC51" s="19"/>
      <c r="TBD51" s="19"/>
      <c r="TBE51" s="19"/>
      <c r="TBF51" s="19"/>
      <c r="TBG51" s="19"/>
      <c r="TBH51" s="19"/>
      <c r="TBI51" s="19"/>
      <c r="TBJ51" s="19"/>
      <c r="TBK51" s="19"/>
      <c r="TBL51" s="19"/>
      <c r="TBM51" s="19"/>
      <c r="TBN51" s="19"/>
      <c r="TBO51" s="19"/>
      <c r="TBP51" s="19"/>
      <c r="TBQ51" s="19"/>
      <c r="TBR51" s="19"/>
      <c r="TBS51" s="19"/>
      <c r="TBT51" s="19"/>
      <c r="TBU51" s="19"/>
      <c r="TBV51" s="19"/>
      <c r="TBW51" s="19"/>
      <c r="TBX51" s="19"/>
      <c r="TBY51" s="19"/>
      <c r="TBZ51" s="19"/>
      <c r="TCA51" s="19"/>
      <c r="TCB51" s="19"/>
      <c r="TCC51" s="19"/>
      <c r="TCD51" s="19"/>
      <c r="TCE51" s="19"/>
      <c r="TCF51" s="19"/>
      <c r="TCG51" s="19"/>
      <c r="TCH51" s="19"/>
      <c r="TCI51" s="19"/>
      <c r="TCJ51" s="19"/>
      <c r="TCK51" s="19"/>
      <c r="TCL51" s="19"/>
      <c r="TCM51" s="19"/>
      <c r="TCN51" s="19"/>
      <c r="TCO51" s="19"/>
      <c r="TCP51" s="19"/>
      <c r="TCQ51" s="19"/>
      <c r="TCR51" s="19"/>
      <c r="TCS51" s="19"/>
      <c r="TCT51" s="19"/>
      <c r="TCU51" s="19"/>
      <c r="TCV51" s="19"/>
      <c r="TCW51" s="19"/>
      <c r="TCX51" s="19"/>
      <c r="TCY51" s="19"/>
      <c r="TCZ51" s="19"/>
      <c r="TDA51" s="19"/>
      <c r="TDB51" s="19"/>
      <c r="TDC51" s="19"/>
      <c r="TDD51" s="19"/>
      <c r="TDE51" s="19"/>
      <c r="TDF51" s="19"/>
      <c r="TDG51" s="19"/>
      <c r="TDH51" s="19"/>
      <c r="TDI51" s="19"/>
      <c r="TDJ51" s="19"/>
      <c r="TDK51" s="19"/>
      <c r="TDL51" s="19"/>
      <c r="TDM51" s="19"/>
      <c r="TDN51" s="19"/>
      <c r="TDO51" s="19"/>
      <c r="TDP51" s="19"/>
      <c r="TDQ51" s="19"/>
      <c r="TDR51" s="19"/>
      <c r="TDS51" s="19"/>
      <c r="TDT51" s="19"/>
      <c r="TDU51" s="19"/>
      <c r="TDV51" s="19"/>
      <c r="TDW51" s="19"/>
      <c r="TDX51" s="19"/>
      <c r="TDY51" s="19"/>
      <c r="TDZ51" s="19"/>
      <c r="TEA51" s="19"/>
      <c r="TEB51" s="19"/>
      <c r="TEC51" s="19"/>
      <c r="TED51" s="19"/>
      <c r="TEE51" s="19"/>
      <c r="TEF51" s="19"/>
      <c r="TEG51" s="19"/>
      <c r="TEH51" s="19"/>
      <c r="TEI51" s="19"/>
      <c r="TEJ51" s="19"/>
      <c r="TEK51" s="19"/>
      <c r="TEL51" s="19"/>
      <c r="TEM51" s="19"/>
      <c r="TEN51" s="19"/>
      <c r="TEO51" s="19"/>
      <c r="TEP51" s="19"/>
      <c r="TEQ51" s="19"/>
      <c r="TER51" s="19"/>
      <c r="TES51" s="19"/>
      <c r="TET51" s="19"/>
      <c r="TEU51" s="19"/>
      <c r="TEV51" s="19"/>
      <c r="TEW51" s="19"/>
      <c r="TEX51" s="19"/>
      <c r="TEY51" s="19"/>
      <c r="TEZ51" s="19"/>
      <c r="TFA51" s="19"/>
      <c r="TFB51" s="19"/>
      <c r="TFC51" s="19"/>
      <c r="TFD51" s="19"/>
      <c r="TFE51" s="19"/>
      <c r="TFF51" s="19"/>
      <c r="TFG51" s="19"/>
      <c r="TFH51" s="19"/>
      <c r="TFI51" s="19"/>
      <c r="TFJ51" s="19"/>
      <c r="TFK51" s="19"/>
      <c r="TFL51" s="19"/>
      <c r="TFM51" s="19"/>
      <c r="TFN51" s="19"/>
      <c r="TFO51" s="19"/>
      <c r="TFP51" s="19"/>
      <c r="TFQ51" s="19"/>
      <c r="TFR51" s="19"/>
      <c r="TFS51" s="19"/>
      <c r="TFT51" s="19"/>
      <c r="TFU51" s="19"/>
      <c r="TFV51" s="19"/>
      <c r="TFW51" s="19"/>
      <c r="TFX51" s="19"/>
      <c r="TFY51" s="19"/>
      <c r="TFZ51" s="19"/>
      <c r="TGA51" s="19"/>
      <c r="TGB51" s="19"/>
      <c r="TGC51" s="19"/>
      <c r="TGD51" s="19"/>
      <c r="TGE51" s="19"/>
      <c r="TGF51" s="19"/>
      <c r="TGG51" s="19"/>
      <c r="TGH51" s="19"/>
      <c r="TGI51" s="19"/>
      <c r="TGJ51" s="19"/>
      <c r="TGK51" s="19"/>
      <c r="TGL51" s="19"/>
      <c r="TGM51" s="19"/>
      <c r="TGN51" s="19"/>
      <c r="TGO51" s="19"/>
      <c r="TGP51" s="19"/>
      <c r="TGQ51" s="19"/>
      <c r="TGR51" s="19"/>
      <c r="TGS51" s="19"/>
      <c r="TGT51" s="19"/>
      <c r="TGU51" s="19"/>
      <c r="TGV51" s="19"/>
      <c r="TGW51" s="19"/>
      <c r="TGX51" s="19"/>
      <c r="TGY51" s="19"/>
      <c r="TGZ51" s="19"/>
      <c r="THA51" s="19"/>
      <c r="THB51" s="19"/>
      <c r="THC51" s="19"/>
      <c r="THD51" s="19"/>
      <c r="THE51" s="19"/>
      <c r="THF51" s="19"/>
      <c r="THG51" s="19"/>
      <c r="THH51" s="19"/>
      <c r="THI51" s="19"/>
      <c r="THJ51" s="19"/>
      <c r="THK51" s="19"/>
      <c r="THL51" s="19"/>
      <c r="THM51" s="19"/>
      <c r="THN51" s="19"/>
      <c r="THO51" s="19"/>
      <c r="THP51" s="19"/>
      <c r="THQ51" s="19"/>
      <c r="THR51" s="19"/>
      <c r="THS51" s="19"/>
      <c r="THT51" s="19"/>
      <c r="THU51" s="19"/>
      <c r="THV51" s="19"/>
      <c r="THW51" s="19"/>
      <c r="THX51" s="19"/>
      <c r="THY51" s="19"/>
      <c r="THZ51" s="19"/>
      <c r="TIA51" s="19"/>
      <c r="TIB51" s="19"/>
      <c r="TIC51" s="19"/>
      <c r="TID51" s="19"/>
      <c r="TIE51" s="19"/>
      <c r="TIF51" s="19"/>
      <c r="TIG51" s="19"/>
      <c r="TIH51" s="19"/>
      <c r="TII51" s="19"/>
      <c r="TIJ51" s="19"/>
      <c r="TIK51" s="19"/>
      <c r="TIL51" s="19"/>
      <c r="TIM51" s="19"/>
      <c r="TIN51" s="19"/>
      <c r="TIO51" s="19"/>
      <c r="TIP51" s="19"/>
      <c r="TIQ51" s="19"/>
      <c r="TIR51" s="19"/>
      <c r="TIS51" s="19"/>
      <c r="TIT51" s="19"/>
      <c r="TIU51" s="19"/>
      <c r="TIV51" s="19"/>
      <c r="TIW51" s="19"/>
      <c r="TIX51" s="19"/>
      <c r="TIY51" s="19"/>
      <c r="TIZ51" s="19"/>
      <c r="TJA51" s="19"/>
      <c r="TJB51" s="19"/>
      <c r="TJC51" s="19"/>
      <c r="TJD51" s="19"/>
      <c r="TJE51" s="19"/>
      <c r="TJF51" s="19"/>
      <c r="TJG51" s="19"/>
      <c r="TJH51" s="19"/>
      <c r="TJI51" s="19"/>
      <c r="TJJ51" s="19"/>
      <c r="TJK51" s="19"/>
      <c r="TJL51" s="19"/>
      <c r="TJM51" s="19"/>
      <c r="TJN51" s="19"/>
      <c r="TJO51" s="19"/>
      <c r="TJP51" s="19"/>
      <c r="TJQ51" s="19"/>
      <c r="TJR51" s="19"/>
      <c r="TJS51" s="19"/>
      <c r="TJT51" s="19"/>
      <c r="TJU51" s="19"/>
      <c r="TJV51" s="19"/>
      <c r="TJW51" s="19"/>
      <c r="TJX51" s="19"/>
      <c r="TJY51" s="19"/>
      <c r="TJZ51" s="19"/>
      <c r="TKA51" s="19"/>
      <c r="TKB51" s="19"/>
      <c r="TKC51" s="19"/>
      <c r="TKD51" s="19"/>
      <c r="TKE51" s="19"/>
      <c r="TKF51" s="19"/>
      <c r="TKG51" s="19"/>
      <c r="TKH51" s="19"/>
      <c r="TKI51" s="19"/>
      <c r="TKJ51" s="19"/>
      <c r="TKK51" s="19"/>
      <c r="TKL51" s="19"/>
      <c r="TKM51" s="19"/>
      <c r="TKN51" s="19"/>
      <c r="TKO51" s="19"/>
      <c r="TKP51" s="19"/>
      <c r="TKQ51" s="19"/>
      <c r="TKR51" s="19"/>
      <c r="TKS51" s="19"/>
      <c r="TKT51" s="19"/>
      <c r="TKU51" s="19"/>
      <c r="TKV51" s="19"/>
      <c r="TKW51" s="19"/>
      <c r="TKX51" s="19"/>
      <c r="TKY51" s="19"/>
      <c r="TKZ51" s="19"/>
      <c r="TLA51" s="19"/>
      <c r="TLB51" s="19"/>
      <c r="TLC51" s="19"/>
      <c r="TLD51" s="19"/>
      <c r="TLE51" s="19"/>
      <c r="TLF51" s="19"/>
      <c r="TLG51" s="19"/>
      <c r="TLH51" s="19"/>
      <c r="TLI51" s="19"/>
      <c r="TLJ51" s="19"/>
      <c r="TLK51" s="19"/>
      <c r="TLL51" s="19"/>
      <c r="TLM51" s="19"/>
      <c r="TLN51" s="19"/>
      <c r="TLO51" s="19"/>
      <c r="TLP51" s="19"/>
      <c r="TLQ51" s="19"/>
      <c r="TLR51" s="19"/>
      <c r="TLS51" s="19"/>
      <c r="TLT51" s="19"/>
      <c r="TLU51" s="19"/>
      <c r="TLV51" s="19"/>
      <c r="TLW51" s="19"/>
      <c r="TLX51" s="19"/>
      <c r="TLY51" s="19"/>
      <c r="TLZ51" s="19"/>
      <c r="TMA51" s="19"/>
      <c r="TMB51" s="19"/>
      <c r="TMC51" s="19"/>
      <c r="TMD51" s="19"/>
      <c r="TME51" s="19"/>
      <c r="TMF51" s="19"/>
      <c r="TMG51" s="19"/>
      <c r="TMH51" s="19"/>
      <c r="TMI51" s="19"/>
      <c r="TMJ51" s="19"/>
      <c r="TMK51" s="19"/>
      <c r="TML51" s="19"/>
      <c r="TMM51" s="19"/>
      <c r="TMN51" s="19"/>
      <c r="TMO51" s="19"/>
      <c r="TMP51" s="19"/>
      <c r="TMQ51" s="19"/>
      <c r="TMR51" s="19"/>
      <c r="TMS51" s="19"/>
      <c r="TMT51" s="19"/>
      <c r="TMU51" s="19"/>
      <c r="TMV51" s="19"/>
      <c r="TMW51" s="19"/>
      <c r="TMX51" s="19"/>
      <c r="TMY51" s="19"/>
      <c r="TMZ51" s="19"/>
      <c r="TNA51" s="19"/>
      <c r="TNB51" s="19"/>
      <c r="TNC51" s="19"/>
      <c r="TND51" s="19"/>
      <c r="TNE51" s="19"/>
      <c r="TNF51" s="19"/>
      <c r="TNG51" s="19"/>
      <c r="TNH51" s="19"/>
      <c r="TNI51" s="19"/>
      <c r="TNJ51" s="19"/>
      <c r="TNK51" s="19"/>
      <c r="TNL51" s="19"/>
      <c r="TNM51" s="19"/>
      <c r="TNN51" s="19"/>
      <c r="TNO51" s="19"/>
      <c r="TNP51" s="19"/>
      <c r="TNQ51" s="19"/>
      <c r="TNR51" s="19"/>
      <c r="TNS51" s="19"/>
      <c r="TNT51" s="19"/>
      <c r="TNU51" s="19"/>
      <c r="TNV51" s="19"/>
      <c r="TNW51" s="19"/>
      <c r="TNX51" s="19"/>
      <c r="TNY51" s="19"/>
      <c r="TNZ51" s="19"/>
      <c r="TOA51" s="19"/>
      <c r="TOB51" s="19"/>
      <c r="TOC51" s="19"/>
      <c r="TOD51" s="19"/>
      <c r="TOE51" s="19"/>
      <c r="TOF51" s="19"/>
      <c r="TOG51" s="19"/>
      <c r="TOH51" s="19"/>
      <c r="TOI51" s="19"/>
      <c r="TOJ51" s="19"/>
      <c r="TOK51" s="19"/>
      <c r="TOL51" s="19"/>
      <c r="TOM51" s="19"/>
      <c r="TON51" s="19"/>
      <c r="TOO51" s="19"/>
      <c r="TOP51" s="19"/>
      <c r="TOQ51" s="19"/>
      <c r="TOR51" s="19"/>
      <c r="TOS51" s="19"/>
      <c r="TOT51" s="19"/>
      <c r="TOU51" s="19"/>
      <c r="TOV51" s="19"/>
      <c r="TOW51" s="19"/>
      <c r="TOX51" s="19"/>
      <c r="TOY51" s="19"/>
      <c r="TOZ51" s="19"/>
      <c r="TPA51" s="19"/>
      <c r="TPB51" s="19"/>
      <c r="TPC51" s="19"/>
      <c r="TPD51" s="19"/>
      <c r="TPE51" s="19"/>
      <c r="TPF51" s="19"/>
      <c r="TPG51" s="19"/>
      <c r="TPH51" s="19"/>
      <c r="TPI51" s="19"/>
      <c r="TPJ51" s="19"/>
      <c r="TPK51" s="19"/>
      <c r="TPL51" s="19"/>
      <c r="TPM51" s="19"/>
      <c r="TPN51" s="19"/>
      <c r="TPO51" s="19"/>
      <c r="TPP51" s="19"/>
      <c r="TPQ51" s="19"/>
      <c r="TPR51" s="19"/>
      <c r="TPS51" s="19"/>
      <c r="TPT51" s="19"/>
      <c r="TPU51" s="19"/>
      <c r="TPV51" s="19"/>
      <c r="TPW51" s="19"/>
      <c r="TPX51" s="19"/>
      <c r="TPY51" s="19"/>
      <c r="TPZ51" s="19"/>
      <c r="TQA51" s="19"/>
      <c r="TQB51" s="19"/>
      <c r="TQC51" s="19"/>
      <c r="TQD51" s="19"/>
      <c r="TQE51" s="19"/>
      <c r="TQF51" s="19"/>
      <c r="TQG51" s="19"/>
      <c r="TQH51" s="19"/>
      <c r="TQI51" s="19"/>
      <c r="TQJ51" s="19"/>
      <c r="TQK51" s="19"/>
      <c r="TQL51" s="19"/>
      <c r="TQM51" s="19"/>
      <c r="TQN51" s="19"/>
      <c r="TQO51" s="19"/>
      <c r="TQP51" s="19"/>
      <c r="TQQ51" s="19"/>
      <c r="TQR51" s="19"/>
      <c r="TQS51" s="19"/>
      <c r="TQT51" s="19"/>
      <c r="TQU51" s="19"/>
      <c r="TQV51" s="19"/>
      <c r="TQW51" s="19"/>
      <c r="TQX51" s="19"/>
      <c r="TQY51" s="19"/>
      <c r="TQZ51" s="19"/>
      <c r="TRA51" s="19"/>
      <c r="TRB51" s="19"/>
      <c r="TRC51" s="19"/>
      <c r="TRD51" s="19"/>
      <c r="TRE51" s="19"/>
      <c r="TRF51" s="19"/>
      <c r="TRG51" s="19"/>
      <c r="TRH51" s="19"/>
      <c r="TRI51" s="19"/>
      <c r="TRJ51" s="19"/>
      <c r="TRK51" s="19"/>
      <c r="TRL51" s="19"/>
      <c r="TRM51" s="19"/>
      <c r="TRN51" s="19"/>
      <c r="TRO51" s="19"/>
      <c r="TRP51" s="19"/>
      <c r="TRQ51" s="19"/>
      <c r="TRR51" s="19"/>
      <c r="TRS51" s="19"/>
      <c r="TRT51" s="19"/>
      <c r="TRU51" s="19"/>
      <c r="TRV51" s="19"/>
      <c r="TRW51" s="19"/>
      <c r="TRX51" s="19"/>
      <c r="TRY51" s="19"/>
      <c r="TRZ51" s="19"/>
      <c r="TSA51" s="19"/>
      <c r="TSB51" s="19"/>
      <c r="TSC51" s="19"/>
      <c r="TSD51" s="19"/>
      <c r="TSE51" s="19"/>
      <c r="TSF51" s="19"/>
      <c r="TSG51" s="19"/>
      <c r="TSH51" s="19"/>
      <c r="TSI51" s="19"/>
      <c r="TSJ51" s="19"/>
      <c r="TSK51" s="19"/>
      <c r="TSL51" s="19"/>
      <c r="TSM51" s="19"/>
      <c r="TSN51" s="19"/>
      <c r="TSO51" s="19"/>
      <c r="TSP51" s="19"/>
      <c r="TSQ51" s="19"/>
      <c r="TSR51" s="19"/>
      <c r="TSS51" s="19"/>
      <c r="TST51" s="19"/>
      <c r="TSU51" s="19"/>
      <c r="TSV51" s="19"/>
      <c r="TSW51" s="19"/>
      <c r="TSX51" s="19"/>
      <c r="TSY51" s="19"/>
      <c r="TSZ51" s="19"/>
      <c r="TTA51" s="19"/>
      <c r="TTB51" s="19"/>
      <c r="TTC51" s="19"/>
      <c r="TTD51" s="19"/>
      <c r="TTE51" s="19"/>
      <c r="TTF51" s="19"/>
      <c r="TTG51" s="19"/>
      <c r="TTH51" s="19"/>
      <c r="TTI51" s="19"/>
      <c r="TTJ51" s="19"/>
      <c r="TTK51" s="19"/>
      <c r="TTL51" s="19"/>
      <c r="TTM51" s="19"/>
      <c r="TTN51" s="19"/>
      <c r="TTO51" s="19"/>
      <c r="TTP51" s="19"/>
      <c r="TTQ51" s="19"/>
      <c r="TTR51" s="19"/>
      <c r="TTS51" s="19"/>
      <c r="TTT51" s="19"/>
      <c r="TTU51" s="19"/>
      <c r="TTV51" s="19"/>
      <c r="TTW51" s="19"/>
      <c r="TTX51" s="19"/>
      <c r="TTY51" s="19"/>
      <c r="TTZ51" s="19"/>
      <c r="TUA51" s="19"/>
      <c r="TUB51" s="19"/>
      <c r="TUC51" s="19"/>
      <c r="TUD51" s="19"/>
      <c r="TUE51" s="19"/>
      <c r="TUF51" s="19"/>
      <c r="TUG51" s="19"/>
      <c r="TUH51" s="19"/>
      <c r="TUI51" s="19"/>
      <c r="TUJ51" s="19"/>
      <c r="TUK51" s="19"/>
      <c r="TUL51" s="19"/>
      <c r="TUM51" s="19"/>
      <c r="TUN51" s="19"/>
      <c r="TUO51" s="19"/>
      <c r="TUP51" s="19"/>
      <c r="TUQ51" s="19"/>
      <c r="TUR51" s="19"/>
      <c r="TUS51" s="19"/>
      <c r="TUT51" s="19"/>
      <c r="TUU51" s="19"/>
      <c r="TUV51" s="19"/>
      <c r="TUW51" s="19"/>
      <c r="TUX51" s="19"/>
      <c r="TUY51" s="19"/>
      <c r="TUZ51" s="19"/>
      <c r="TVA51" s="19"/>
      <c r="TVB51" s="19"/>
      <c r="TVC51" s="19"/>
      <c r="TVD51" s="19"/>
      <c r="TVE51" s="19"/>
      <c r="TVF51" s="19"/>
      <c r="TVG51" s="19"/>
      <c r="TVH51" s="19"/>
      <c r="TVI51" s="19"/>
      <c r="TVJ51" s="19"/>
      <c r="TVK51" s="19"/>
      <c r="TVL51" s="19"/>
      <c r="TVM51" s="19"/>
      <c r="TVN51" s="19"/>
      <c r="TVO51" s="19"/>
      <c r="TVP51" s="19"/>
      <c r="TVQ51" s="19"/>
      <c r="TVR51" s="19"/>
      <c r="TVS51" s="19"/>
      <c r="TVT51" s="19"/>
      <c r="TVU51" s="19"/>
      <c r="TVV51" s="19"/>
      <c r="TVW51" s="19"/>
      <c r="TVX51" s="19"/>
      <c r="TVY51" s="19"/>
      <c r="TVZ51" s="19"/>
      <c r="TWA51" s="19"/>
      <c r="TWB51" s="19"/>
      <c r="TWC51" s="19"/>
      <c r="TWD51" s="19"/>
      <c r="TWE51" s="19"/>
      <c r="TWF51" s="19"/>
      <c r="TWG51" s="19"/>
      <c r="TWH51" s="19"/>
      <c r="TWI51" s="19"/>
      <c r="TWJ51" s="19"/>
      <c r="TWK51" s="19"/>
      <c r="TWL51" s="19"/>
      <c r="TWM51" s="19"/>
      <c r="TWN51" s="19"/>
      <c r="TWO51" s="19"/>
      <c r="TWP51" s="19"/>
      <c r="TWQ51" s="19"/>
      <c r="TWR51" s="19"/>
      <c r="TWS51" s="19"/>
      <c r="TWT51" s="19"/>
      <c r="TWU51" s="19"/>
      <c r="TWV51" s="19"/>
      <c r="TWW51" s="19"/>
      <c r="TWX51" s="19"/>
      <c r="TWY51" s="19"/>
      <c r="TWZ51" s="19"/>
      <c r="TXA51" s="19"/>
      <c r="TXB51" s="19"/>
      <c r="TXC51" s="19"/>
      <c r="TXD51" s="19"/>
      <c r="TXE51" s="19"/>
      <c r="TXF51" s="19"/>
      <c r="TXG51" s="19"/>
      <c r="TXH51" s="19"/>
      <c r="TXI51" s="19"/>
      <c r="TXJ51" s="19"/>
      <c r="TXK51" s="19"/>
      <c r="TXL51" s="19"/>
      <c r="TXM51" s="19"/>
      <c r="TXN51" s="19"/>
      <c r="TXO51" s="19"/>
      <c r="TXP51" s="19"/>
      <c r="TXQ51" s="19"/>
      <c r="TXR51" s="19"/>
      <c r="TXS51" s="19"/>
      <c r="TXT51" s="19"/>
      <c r="TXU51" s="19"/>
      <c r="TXV51" s="19"/>
      <c r="TXW51" s="19"/>
      <c r="TXX51" s="19"/>
      <c r="TXY51" s="19"/>
      <c r="TXZ51" s="19"/>
      <c r="TYA51" s="19"/>
      <c r="TYB51" s="19"/>
      <c r="TYC51" s="19"/>
      <c r="TYD51" s="19"/>
      <c r="TYE51" s="19"/>
      <c r="TYF51" s="19"/>
      <c r="TYG51" s="19"/>
      <c r="TYH51" s="19"/>
      <c r="TYI51" s="19"/>
      <c r="TYJ51" s="19"/>
      <c r="TYK51" s="19"/>
      <c r="TYL51" s="19"/>
      <c r="TYM51" s="19"/>
      <c r="TYN51" s="19"/>
      <c r="TYO51" s="19"/>
      <c r="TYP51" s="19"/>
      <c r="TYQ51" s="19"/>
      <c r="TYR51" s="19"/>
      <c r="TYS51" s="19"/>
      <c r="TYT51" s="19"/>
      <c r="TYU51" s="19"/>
      <c r="TYV51" s="19"/>
      <c r="TYW51" s="19"/>
      <c r="TYX51" s="19"/>
      <c r="TYY51" s="19"/>
      <c r="TYZ51" s="19"/>
      <c r="TZA51" s="19"/>
      <c r="TZB51" s="19"/>
      <c r="TZC51" s="19"/>
      <c r="TZD51" s="19"/>
      <c r="TZE51" s="19"/>
      <c r="TZF51" s="19"/>
      <c r="TZG51" s="19"/>
      <c r="TZH51" s="19"/>
      <c r="TZI51" s="19"/>
      <c r="TZJ51" s="19"/>
      <c r="TZK51" s="19"/>
      <c r="TZL51" s="19"/>
      <c r="TZM51" s="19"/>
      <c r="TZN51" s="19"/>
      <c r="TZO51" s="19"/>
      <c r="TZP51" s="19"/>
      <c r="TZQ51" s="19"/>
      <c r="TZR51" s="19"/>
      <c r="TZS51" s="19"/>
      <c r="TZT51" s="19"/>
      <c r="TZU51" s="19"/>
      <c r="TZV51" s="19"/>
      <c r="TZW51" s="19"/>
      <c r="TZX51" s="19"/>
      <c r="TZY51" s="19"/>
      <c r="TZZ51" s="19"/>
      <c r="UAA51" s="19"/>
      <c r="UAB51" s="19"/>
      <c r="UAC51" s="19"/>
      <c r="UAD51" s="19"/>
      <c r="UAE51" s="19"/>
      <c r="UAF51" s="19"/>
      <c r="UAG51" s="19"/>
      <c r="UAH51" s="19"/>
      <c r="UAI51" s="19"/>
      <c r="UAJ51" s="19"/>
      <c r="UAK51" s="19"/>
      <c r="UAL51" s="19"/>
      <c r="UAM51" s="19"/>
      <c r="UAN51" s="19"/>
      <c r="UAO51" s="19"/>
      <c r="UAP51" s="19"/>
      <c r="UAQ51" s="19"/>
      <c r="UAR51" s="19"/>
      <c r="UAS51" s="19"/>
      <c r="UAT51" s="19"/>
      <c r="UAU51" s="19"/>
      <c r="UAV51" s="19"/>
      <c r="UAW51" s="19"/>
      <c r="UAX51" s="19"/>
      <c r="UAY51" s="19"/>
      <c r="UAZ51" s="19"/>
      <c r="UBA51" s="19"/>
      <c r="UBB51" s="19"/>
      <c r="UBC51" s="19"/>
      <c r="UBD51" s="19"/>
      <c r="UBE51" s="19"/>
      <c r="UBF51" s="19"/>
      <c r="UBG51" s="19"/>
      <c r="UBH51" s="19"/>
      <c r="UBI51" s="19"/>
      <c r="UBJ51" s="19"/>
      <c r="UBK51" s="19"/>
      <c r="UBL51" s="19"/>
      <c r="UBM51" s="19"/>
      <c r="UBN51" s="19"/>
      <c r="UBO51" s="19"/>
      <c r="UBP51" s="19"/>
      <c r="UBQ51" s="19"/>
      <c r="UBR51" s="19"/>
      <c r="UBS51" s="19"/>
      <c r="UBT51" s="19"/>
      <c r="UBU51" s="19"/>
      <c r="UBV51" s="19"/>
      <c r="UBW51" s="19"/>
      <c r="UBX51" s="19"/>
      <c r="UBY51" s="19"/>
      <c r="UBZ51" s="19"/>
      <c r="UCA51" s="19"/>
      <c r="UCB51" s="19"/>
      <c r="UCC51" s="19"/>
      <c r="UCD51" s="19"/>
      <c r="UCE51" s="19"/>
      <c r="UCF51" s="19"/>
      <c r="UCG51" s="19"/>
      <c r="UCH51" s="19"/>
      <c r="UCI51" s="19"/>
      <c r="UCJ51" s="19"/>
      <c r="UCK51" s="19"/>
      <c r="UCL51" s="19"/>
      <c r="UCM51" s="19"/>
      <c r="UCN51" s="19"/>
      <c r="UCO51" s="19"/>
      <c r="UCP51" s="19"/>
      <c r="UCQ51" s="19"/>
      <c r="UCR51" s="19"/>
      <c r="UCS51" s="19"/>
      <c r="UCT51" s="19"/>
      <c r="UCU51" s="19"/>
      <c r="UCV51" s="19"/>
      <c r="UCW51" s="19"/>
      <c r="UCX51" s="19"/>
      <c r="UCY51" s="19"/>
      <c r="UCZ51" s="19"/>
      <c r="UDA51" s="19"/>
      <c r="UDB51" s="19"/>
      <c r="UDC51" s="19"/>
      <c r="UDD51" s="19"/>
      <c r="UDE51" s="19"/>
      <c r="UDF51" s="19"/>
      <c r="UDG51" s="19"/>
      <c r="UDH51" s="19"/>
      <c r="UDI51" s="19"/>
      <c r="UDJ51" s="19"/>
      <c r="UDK51" s="19"/>
      <c r="UDL51" s="19"/>
      <c r="UDM51" s="19"/>
      <c r="UDN51" s="19"/>
      <c r="UDO51" s="19"/>
      <c r="UDP51" s="19"/>
      <c r="UDQ51" s="19"/>
      <c r="UDR51" s="19"/>
      <c r="UDS51" s="19"/>
      <c r="UDT51" s="19"/>
      <c r="UDU51" s="19"/>
      <c r="UDV51" s="19"/>
      <c r="UDW51" s="19"/>
      <c r="UDX51" s="19"/>
      <c r="UDY51" s="19"/>
      <c r="UDZ51" s="19"/>
      <c r="UEA51" s="19"/>
      <c r="UEB51" s="19"/>
      <c r="UEC51" s="19"/>
      <c r="UED51" s="19"/>
      <c r="UEE51" s="19"/>
      <c r="UEF51" s="19"/>
      <c r="UEG51" s="19"/>
      <c r="UEH51" s="19"/>
      <c r="UEI51" s="19"/>
      <c r="UEJ51" s="19"/>
      <c r="UEK51" s="19"/>
      <c r="UEL51" s="19"/>
      <c r="UEM51" s="19"/>
      <c r="UEN51" s="19"/>
      <c r="UEO51" s="19"/>
      <c r="UEP51" s="19"/>
      <c r="UEQ51" s="19"/>
      <c r="UER51" s="19"/>
      <c r="UES51" s="19"/>
      <c r="UET51" s="19"/>
      <c r="UEU51" s="19"/>
      <c r="UEV51" s="19"/>
      <c r="UEW51" s="19"/>
      <c r="UEX51" s="19"/>
      <c r="UEY51" s="19"/>
      <c r="UEZ51" s="19"/>
      <c r="UFA51" s="19"/>
      <c r="UFB51" s="19"/>
      <c r="UFC51" s="19"/>
      <c r="UFD51" s="19"/>
      <c r="UFE51" s="19"/>
      <c r="UFF51" s="19"/>
      <c r="UFG51" s="19"/>
      <c r="UFH51" s="19"/>
      <c r="UFI51" s="19"/>
      <c r="UFJ51" s="19"/>
      <c r="UFK51" s="19"/>
      <c r="UFL51" s="19"/>
      <c r="UFM51" s="19"/>
      <c r="UFN51" s="19"/>
      <c r="UFO51" s="19"/>
      <c r="UFP51" s="19"/>
      <c r="UFQ51" s="19"/>
      <c r="UFR51" s="19"/>
      <c r="UFS51" s="19"/>
      <c r="UFT51" s="19"/>
      <c r="UFU51" s="19"/>
      <c r="UFV51" s="19"/>
      <c r="UFW51" s="19"/>
      <c r="UFX51" s="19"/>
      <c r="UFY51" s="19"/>
      <c r="UFZ51" s="19"/>
      <c r="UGA51" s="19"/>
      <c r="UGB51" s="19"/>
      <c r="UGC51" s="19"/>
      <c r="UGD51" s="19"/>
      <c r="UGE51" s="19"/>
      <c r="UGF51" s="19"/>
      <c r="UGG51" s="19"/>
      <c r="UGH51" s="19"/>
      <c r="UGI51" s="19"/>
      <c r="UGJ51" s="19"/>
      <c r="UGK51" s="19"/>
      <c r="UGL51" s="19"/>
      <c r="UGM51" s="19"/>
      <c r="UGN51" s="19"/>
      <c r="UGO51" s="19"/>
      <c r="UGP51" s="19"/>
      <c r="UGQ51" s="19"/>
      <c r="UGR51" s="19"/>
      <c r="UGS51" s="19"/>
      <c r="UGT51" s="19"/>
      <c r="UGU51" s="19"/>
      <c r="UGV51" s="19"/>
      <c r="UGW51" s="19"/>
      <c r="UGX51" s="19"/>
      <c r="UGY51" s="19"/>
      <c r="UGZ51" s="19"/>
      <c r="UHA51" s="19"/>
      <c r="UHB51" s="19"/>
      <c r="UHC51" s="19"/>
      <c r="UHD51" s="19"/>
      <c r="UHE51" s="19"/>
      <c r="UHF51" s="19"/>
      <c r="UHG51" s="19"/>
      <c r="UHH51" s="19"/>
      <c r="UHI51" s="19"/>
      <c r="UHJ51" s="19"/>
      <c r="UHK51" s="19"/>
      <c r="UHL51" s="19"/>
      <c r="UHM51" s="19"/>
      <c r="UHN51" s="19"/>
      <c r="UHO51" s="19"/>
      <c r="UHP51" s="19"/>
      <c r="UHQ51" s="19"/>
      <c r="UHR51" s="19"/>
      <c r="UHS51" s="19"/>
      <c r="UHT51" s="19"/>
      <c r="UHU51" s="19"/>
      <c r="UHV51" s="19"/>
      <c r="UHW51" s="19"/>
      <c r="UHX51" s="19"/>
      <c r="UHY51" s="19"/>
      <c r="UHZ51" s="19"/>
      <c r="UIA51" s="19"/>
      <c r="UIB51" s="19"/>
      <c r="UIC51" s="19"/>
      <c r="UID51" s="19"/>
      <c r="UIE51" s="19"/>
      <c r="UIF51" s="19"/>
      <c r="UIG51" s="19"/>
      <c r="UIH51" s="19"/>
      <c r="UII51" s="19"/>
      <c r="UIJ51" s="19"/>
      <c r="UIK51" s="19"/>
      <c r="UIL51" s="19"/>
      <c r="UIM51" s="19"/>
      <c r="UIN51" s="19"/>
      <c r="UIO51" s="19"/>
      <c r="UIP51" s="19"/>
      <c r="UIQ51" s="19"/>
      <c r="UIR51" s="19"/>
      <c r="UIS51" s="19"/>
      <c r="UIT51" s="19"/>
      <c r="UIU51" s="19"/>
      <c r="UIV51" s="19"/>
      <c r="UIW51" s="19"/>
      <c r="UIX51" s="19"/>
      <c r="UIY51" s="19"/>
      <c r="UIZ51" s="19"/>
      <c r="UJA51" s="19"/>
      <c r="UJB51" s="19"/>
      <c r="UJC51" s="19"/>
      <c r="UJD51" s="19"/>
      <c r="UJE51" s="19"/>
      <c r="UJF51" s="19"/>
      <c r="UJG51" s="19"/>
      <c r="UJH51" s="19"/>
      <c r="UJI51" s="19"/>
      <c r="UJJ51" s="19"/>
      <c r="UJK51" s="19"/>
      <c r="UJL51" s="19"/>
      <c r="UJM51" s="19"/>
      <c r="UJN51" s="19"/>
      <c r="UJO51" s="19"/>
      <c r="UJP51" s="19"/>
      <c r="UJQ51" s="19"/>
      <c r="UJR51" s="19"/>
      <c r="UJS51" s="19"/>
      <c r="UJT51" s="19"/>
      <c r="UJU51" s="19"/>
      <c r="UJV51" s="19"/>
      <c r="UJW51" s="19"/>
      <c r="UJX51" s="19"/>
      <c r="UJY51" s="19"/>
      <c r="UJZ51" s="19"/>
      <c r="UKA51" s="19"/>
      <c r="UKB51" s="19"/>
      <c r="UKC51" s="19"/>
      <c r="UKD51" s="19"/>
      <c r="UKE51" s="19"/>
      <c r="UKF51" s="19"/>
      <c r="UKG51" s="19"/>
      <c r="UKH51" s="19"/>
      <c r="UKI51" s="19"/>
      <c r="UKJ51" s="19"/>
      <c r="UKK51" s="19"/>
      <c r="UKL51" s="19"/>
      <c r="UKM51" s="19"/>
      <c r="UKN51" s="19"/>
      <c r="UKO51" s="19"/>
      <c r="UKP51" s="19"/>
      <c r="UKQ51" s="19"/>
      <c r="UKR51" s="19"/>
      <c r="UKS51" s="19"/>
      <c r="UKT51" s="19"/>
      <c r="UKU51" s="19"/>
      <c r="UKV51" s="19"/>
      <c r="UKW51" s="19"/>
      <c r="UKX51" s="19"/>
      <c r="UKY51" s="19"/>
      <c r="UKZ51" s="19"/>
      <c r="ULA51" s="19"/>
      <c r="ULB51" s="19"/>
      <c r="ULC51" s="19"/>
      <c r="ULD51" s="19"/>
      <c r="ULE51" s="19"/>
      <c r="ULF51" s="19"/>
      <c r="ULG51" s="19"/>
      <c r="ULH51" s="19"/>
      <c r="ULI51" s="19"/>
      <c r="ULJ51" s="19"/>
      <c r="ULK51" s="19"/>
      <c r="ULL51" s="19"/>
      <c r="ULM51" s="19"/>
      <c r="ULN51" s="19"/>
      <c r="ULO51" s="19"/>
      <c r="ULP51" s="19"/>
      <c r="ULQ51" s="19"/>
      <c r="ULR51" s="19"/>
      <c r="ULS51" s="19"/>
      <c r="ULT51" s="19"/>
      <c r="ULU51" s="19"/>
      <c r="ULV51" s="19"/>
      <c r="ULW51" s="19"/>
      <c r="ULX51" s="19"/>
      <c r="ULY51" s="19"/>
      <c r="ULZ51" s="19"/>
      <c r="UMA51" s="19"/>
      <c r="UMB51" s="19"/>
      <c r="UMC51" s="19"/>
      <c r="UMD51" s="19"/>
      <c r="UME51" s="19"/>
      <c r="UMF51" s="19"/>
      <c r="UMG51" s="19"/>
      <c r="UMH51" s="19"/>
      <c r="UMI51" s="19"/>
      <c r="UMJ51" s="19"/>
      <c r="UMK51" s="19"/>
      <c r="UML51" s="19"/>
      <c r="UMM51" s="19"/>
      <c r="UMN51" s="19"/>
      <c r="UMO51" s="19"/>
      <c r="UMP51" s="19"/>
      <c r="UMQ51" s="19"/>
      <c r="UMR51" s="19"/>
      <c r="UMS51" s="19"/>
      <c r="UMT51" s="19"/>
      <c r="UMU51" s="19"/>
      <c r="UMV51" s="19"/>
      <c r="UMW51" s="19"/>
      <c r="UMX51" s="19"/>
      <c r="UMY51" s="19"/>
      <c r="UMZ51" s="19"/>
      <c r="UNA51" s="19"/>
      <c r="UNB51" s="19"/>
      <c r="UNC51" s="19"/>
      <c r="UND51" s="19"/>
      <c r="UNE51" s="19"/>
      <c r="UNF51" s="19"/>
      <c r="UNG51" s="19"/>
      <c r="UNH51" s="19"/>
      <c r="UNI51" s="19"/>
      <c r="UNJ51" s="19"/>
      <c r="UNK51" s="19"/>
      <c r="UNL51" s="19"/>
      <c r="UNM51" s="19"/>
      <c r="UNN51" s="19"/>
      <c r="UNO51" s="19"/>
      <c r="UNP51" s="19"/>
      <c r="UNQ51" s="19"/>
      <c r="UNR51" s="19"/>
      <c r="UNS51" s="19"/>
      <c r="UNT51" s="19"/>
      <c r="UNU51" s="19"/>
      <c r="UNV51" s="19"/>
      <c r="UNW51" s="19"/>
      <c r="UNX51" s="19"/>
      <c r="UNY51" s="19"/>
      <c r="UNZ51" s="19"/>
      <c r="UOA51" s="19"/>
      <c r="UOB51" s="19"/>
      <c r="UOC51" s="19"/>
      <c r="UOD51" s="19"/>
      <c r="UOE51" s="19"/>
      <c r="UOF51" s="19"/>
      <c r="UOG51" s="19"/>
      <c r="UOH51" s="19"/>
      <c r="UOI51" s="19"/>
      <c r="UOJ51" s="19"/>
      <c r="UOK51" s="19"/>
      <c r="UOL51" s="19"/>
      <c r="UOM51" s="19"/>
      <c r="UON51" s="19"/>
      <c r="UOO51" s="19"/>
      <c r="UOP51" s="19"/>
      <c r="UOQ51" s="19"/>
      <c r="UOR51" s="19"/>
      <c r="UOS51" s="19"/>
      <c r="UOT51" s="19"/>
      <c r="UOU51" s="19"/>
      <c r="UOV51" s="19"/>
      <c r="UOW51" s="19"/>
      <c r="UOX51" s="19"/>
      <c r="UOY51" s="19"/>
      <c r="UOZ51" s="19"/>
      <c r="UPA51" s="19"/>
      <c r="UPB51" s="19"/>
      <c r="UPC51" s="19"/>
      <c r="UPD51" s="19"/>
      <c r="UPE51" s="19"/>
      <c r="UPF51" s="19"/>
      <c r="UPG51" s="19"/>
      <c r="UPH51" s="19"/>
      <c r="UPI51" s="19"/>
      <c r="UPJ51" s="19"/>
      <c r="UPK51" s="19"/>
      <c r="UPL51" s="19"/>
      <c r="UPM51" s="19"/>
      <c r="UPN51" s="19"/>
      <c r="UPO51" s="19"/>
      <c r="UPP51" s="19"/>
      <c r="UPQ51" s="19"/>
      <c r="UPR51" s="19"/>
      <c r="UPS51" s="19"/>
      <c r="UPT51" s="19"/>
      <c r="UPU51" s="19"/>
      <c r="UPV51" s="19"/>
      <c r="UPW51" s="19"/>
      <c r="UPX51" s="19"/>
      <c r="UPY51" s="19"/>
      <c r="UPZ51" s="19"/>
      <c r="UQA51" s="19"/>
      <c r="UQB51" s="19"/>
      <c r="UQC51" s="19"/>
      <c r="UQD51" s="19"/>
      <c r="UQE51" s="19"/>
      <c r="UQF51" s="19"/>
      <c r="UQG51" s="19"/>
      <c r="UQH51" s="19"/>
      <c r="UQI51" s="19"/>
      <c r="UQJ51" s="19"/>
      <c r="UQK51" s="19"/>
      <c r="UQL51" s="19"/>
      <c r="UQM51" s="19"/>
      <c r="UQN51" s="19"/>
      <c r="UQO51" s="19"/>
      <c r="UQP51" s="19"/>
      <c r="UQQ51" s="19"/>
      <c r="UQR51" s="19"/>
      <c r="UQS51" s="19"/>
      <c r="UQT51" s="19"/>
      <c r="UQU51" s="19"/>
      <c r="UQV51" s="19"/>
      <c r="UQW51" s="19"/>
      <c r="UQX51" s="19"/>
      <c r="UQY51" s="19"/>
      <c r="UQZ51" s="19"/>
      <c r="URA51" s="19"/>
      <c r="URB51" s="19"/>
      <c r="URC51" s="19"/>
      <c r="URD51" s="19"/>
      <c r="URE51" s="19"/>
      <c r="URF51" s="19"/>
      <c r="URG51" s="19"/>
      <c r="URH51" s="19"/>
      <c r="URI51" s="19"/>
      <c r="URJ51" s="19"/>
      <c r="URK51" s="19"/>
      <c r="URL51" s="19"/>
      <c r="URM51" s="19"/>
      <c r="URN51" s="19"/>
      <c r="URO51" s="19"/>
      <c r="URP51" s="19"/>
      <c r="URQ51" s="19"/>
      <c r="URR51" s="19"/>
      <c r="URS51" s="19"/>
      <c r="URT51" s="19"/>
      <c r="URU51" s="19"/>
      <c r="URV51" s="19"/>
      <c r="URW51" s="19"/>
      <c r="URX51" s="19"/>
      <c r="URY51" s="19"/>
      <c r="URZ51" s="19"/>
      <c r="USA51" s="19"/>
      <c r="USB51" s="19"/>
      <c r="USC51" s="19"/>
      <c r="USD51" s="19"/>
      <c r="USE51" s="19"/>
      <c r="USF51" s="19"/>
      <c r="USG51" s="19"/>
      <c r="USH51" s="19"/>
      <c r="USI51" s="19"/>
      <c r="USJ51" s="19"/>
      <c r="USK51" s="19"/>
      <c r="USL51" s="19"/>
      <c r="USM51" s="19"/>
      <c r="USN51" s="19"/>
      <c r="USO51" s="19"/>
      <c r="USP51" s="19"/>
      <c r="USQ51" s="19"/>
      <c r="USR51" s="19"/>
      <c r="USS51" s="19"/>
      <c r="UST51" s="19"/>
      <c r="USU51" s="19"/>
      <c r="USV51" s="19"/>
      <c r="USW51" s="19"/>
      <c r="USX51" s="19"/>
      <c r="USY51" s="19"/>
      <c r="USZ51" s="19"/>
      <c r="UTA51" s="19"/>
      <c r="UTB51" s="19"/>
      <c r="UTC51" s="19"/>
      <c r="UTD51" s="19"/>
      <c r="UTE51" s="19"/>
      <c r="UTF51" s="19"/>
      <c r="UTG51" s="19"/>
      <c r="UTH51" s="19"/>
      <c r="UTI51" s="19"/>
      <c r="UTJ51" s="19"/>
      <c r="UTK51" s="19"/>
      <c r="UTL51" s="19"/>
      <c r="UTM51" s="19"/>
      <c r="UTN51" s="19"/>
      <c r="UTO51" s="19"/>
      <c r="UTP51" s="19"/>
      <c r="UTQ51" s="19"/>
      <c r="UTR51" s="19"/>
      <c r="UTS51" s="19"/>
      <c r="UTT51" s="19"/>
      <c r="UTU51" s="19"/>
      <c r="UTV51" s="19"/>
      <c r="UTW51" s="19"/>
      <c r="UTX51" s="19"/>
      <c r="UTY51" s="19"/>
      <c r="UTZ51" s="19"/>
      <c r="UUA51" s="19"/>
      <c r="UUB51" s="19"/>
      <c r="UUC51" s="19"/>
      <c r="UUD51" s="19"/>
      <c r="UUE51" s="19"/>
      <c r="UUF51" s="19"/>
      <c r="UUG51" s="19"/>
      <c r="UUH51" s="19"/>
      <c r="UUI51" s="19"/>
      <c r="UUJ51" s="19"/>
      <c r="UUK51" s="19"/>
      <c r="UUL51" s="19"/>
      <c r="UUM51" s="19"/>
      <c r="UUN51" s="19"/>
      <c r="UUO51" s="19"/>
      <c r="UUP51" s="19"/>
      <c r="UUQ51" s="19"/>
      <c r="UUR51" s="19"/>
      <c r="UUS51" s="19"/>
      <c r="UUT51" s="19"/>
      <c r="UUU51" s="19"/>
      <c r="UUV51" s="19"/>
      <c r="UUW51" s="19"/>
      <c r="UUX51" s="19"/>
      <c r="UUY51" s="19"/>
      <c r="UUZ51" s="19"/>
      <c r="UVA51" s="19"/>
      <c r="UVB51" s="19"/>
      <c r="UVC51" s="19"/>
      <c r="UVD51" s="19"/>
      <c r="UVE51" s="19"/>
      <c r="UVF51" s="19"/>
      <c r="UVG51" s="19"/>
      <c r="UVH51" s="19"/>
      <c r="UVI51" s="19"/>
      <c r="UVJ51" s="19"/>
      <c r="UVK51" s="19"/>
      <c r="UVL51" s="19"/>
      <c r="UVM51" s="19"/>
      <c r="UVN51" s="19"/>
      <c r="UVO51" s="19"/>
      <c r="UVP51" s="19"/>
      <c r="UVQ51" s="19"/>
      <c r="UVR51" s="19"/>
      <c r="UVS51" s="19"/>
      <c r="UVT51" s="19"/>
      <c r="UVU51" s="19"/>
      <c r="UVV51" s="19"/>
      <c r="UVW51" s="19"/>
      <c r="UVX51" s="19"/>
      <c r="UVY51" s="19"/>
      <c r="UVZ51" s="19"/>
      <c r="UWA51" s="19"/>
      <c r="UWB51" s="19"/>
      <c r="UWC51" s="19"/>
      <c r="UWD51" s="19"/>
      <c r="UWE51" s="19"/>
      <c r="UWF51" s="19"/>
      <c r="UWG51" s="19"/>
      <c r="UWH51" s="19"/>
      <c r="UWI51" s="19"/>
      <c r="UWJ51" s="19"/>
      <c r="UWK51" s="19"/>
      <c r="UWL51" s="19"/>
      <c r="UWM51" s="19"/>
      <c r="UWN51" s="19"/>
      <c r="UWO51" s="19"/>
      <c r="UWP51" s="19"/>
      <c r="UWQ51" s="19"/>
      <c r="UWR51" s="19"/>
      <c r="UWS51" s="19"/>
      <c r="UWT51" s="19"/>
      <c r="UWU51" s="19"/>
      <c r="UWV51" s="19"/>
      <c r="UWW51" s="19"/>
      <c r="UWX51" s="19"/>
      <c r="UWY51" s="19"/>
      <c r="UWZ51" s="19"/>
      <c r="UXA51" s="19"/>
      <c r="UXB51" s="19"/>
      <c r="UXC51" s="19"/>
      <c r="UXD51" s="19"/>
      <c r="UXE51" s="19"/>
      <c r="UXF51" s="19"/>
      <c r="UXG51" s="19"/>
      <c r="UXH51" s="19"/>
      <c r="UXI51" s="19"/>
      <c r="UXJ51" s="19"/>
      <c r="UXK51" s="19"/>
      <c r="UXL51" s="19"/>
      <c r="UXM51" s="19"/>
      <c r="UXN51" s="19"/>
      <c r="UXO51" s="19"/>
      <c r="UXP51" s="19"/>
      <c r="UXQ51" s="19"/>
      <c r="UXR51" s="19"/>
      <c r="UXS51" s="19"/>
      <c r="UXT51" s="19"/>
      <c r="UXU51" s="19"/>
      <c r="UXV51" s="19"/>
      <c r="UXW51" s="19"/>
      <c r="UXX51" s="19"/>
      <c r="UXY51" s="19"/>
      <c r="UXZ51" s="19"/>
      <c r="UYA51" s="19"/>
      <c r="UYB51" s="19"/>
      <c r="UYC51" s="19"/>
      <c r="UYD51" s="19"/>
      <c r="UYE51" s="19"/>
      <c r="UYF51" s="19"/>
      <c r="UYG51" s="19"/>
      <c r="UYH51" s="19"/>
      <c r="UYI51" s="19"/>
      <c r="UYJ51" s="19"/>
      <c r="UYK51" s="19"/>
      <c r="UYL51" s="19"/>
      <c r="UYM51" s="19"/>
      <c r="UYN51" s="19"/>
      <c r="UYO51" s="19"/>
      <c r="UYP51" s="19"/>
      <c r="UYQ51" s="19"/>
      <c r="UYR51" s="19"/>
      <c r="UYS51" s="19"/>
      <c r="UYT51" s="19"/>
      <c r="UYU51" s="19"/>
      <c r="UYV51" s="19"/>
      <c r="UYW51" s="19"/>
      <c r="UYX51" s="19"/>
      <c r="UYY51" s="19"/>
      <c r="UYZ51" s="19"/>
      <c r="UZA51" s="19"/>
      <c r="UZB51" s="19"/>
      <c r="UZC51" s="19"/>
      <c r="UZD51" s="19"/>
      <c r="UZE51" s="19"/>
      <c r="UZF51" s="19"/>
      <c r="UZG51" s="19"/>
      <c r="UZH51" s="19"/>
      <c r="UZI51" s="19"/>
      <c r="UZJ51" s="19"/>
      <c r="UZK51" s="19"/>
      <c r="UZL51" s="19"/>
      <c r="UZM51" s="19"/>
      <c r="UZN51" s="19"/>
      <c r="UZO51" s="19"/>
      <c r="UZP51" s="19"/>
      <c r="UZQ51" s="19"/>
      <c r="UZR51" s="19"/>
      <c r="UZS51" s="19"/>
      <c r="UZT51" s="19"/>
      <c r="UZU51" s="19"/>
      <c r="UZV51" s="19"/>
      <c r="UZW51" s="19"/>
      <c r="UZX51" s="19"/>
      <c r="UZY51" s="19"/>
      <c r="UZZ51" s="19"/>
      <c r="VAA51" s="19"/>
      <c r="VAB51" s="19"/>
      <c r="VAC51" s="19"/>
      <c r="VAD51" s="19"/>
      <c r="VAE51" s="19"/>
      <c r="VAF51" s="19"/>
      <c r="VAG51" s="19"/>
      <c r="VAH51" s="19"/>
      <c r="VAI51" s="19"/>
      <c r="VAJ51" s="19"/>
      <c r="VAK51" s="19"/>
      <c r="VAL51" s="19"/>
      <c r="VAM51" s="19"/>
      <c r="VAN51" s="19"/>
      <c r="VAO51" s="19"/>
      <c r="VAP51" s="19"/>
      <c r="VAQ51" s="19"/>
      <c r="VAR51" s="19"/>
      <c r="VAS51" s="19"/>
      <c r="VAT51" s="19"/>
      <c r="VAU51" s="19"/>
      <c r="VAV51" s="19"/>
      <c r="VAW51" s="19"/>
      <c r="VAX51" s="19"/>
      <c r="VAY51" s="19"/>
      <c r="VAZ51" s="19"/>
      <c r="VBA51" s="19"/>
      <c r="VBB51" s="19"/>
      <c r="VBC51" s="19"/>
      <c r="VBD51" s="19"/>
      <c r="VBE51" s="19"/>
      <c r="VBF51" s="19"/>
      <c r="VBG51" s="19"/>
      <c r="VBH51" s="19"/>
      <c r="VBI51" s="19"/>
      <c r="VBJ51" s="19"/>
      <c r="VBK51" s="19"/>
      <c r="VBL51" s="19"/>
      <c r="VBM51" s="19"/>
      <c r="VBN51" s="19"/>
      <c r="VBO51" s="19"/>
      <c r="VBP51" s="19"/>
      <c r="VBQ51" s="19"/>
      <c r="VBR51" s="19"/>
      <c r="VBS51" s="19"/>
      <c r="VBT51" s="19"/>
      <c r="VBU51" s="19"/>
      <c r="VBV51" s="19"/>
      <c r="VBW51" s="19"/>
      <c r="VBX51" s="19"/>
      <c r="VBY51" s="19"/>
      <c r="VBZ51" s="19"/>
      <c r="VCA51" s="19"/>
      <c r="VCB51" s="19"/>
      <c r="VCC51" s="19"/>
      <c r="VCD51" s="19"/>
      <c r="VCE51" s="19"/>
      <c r="VCF51" s="19"/>
      <c r="VCG51" s="19"/>
      <c r="VCH51" s="19"/>
      <c r="VCI51" s="19"/>
      <c r="VCJ51" s="19"/>
      <c r="VCK51" s="19"/>
      <c r="VCL51" s="19"/>
      <c r="VCM51" s="19"/>
      <c r="VCN51" s="19"/>
      <c r="VCO51" s="19"/>
      <c r="VCP51" s="19"/>
      <c r="VCQ51" s="19"/>
      <c r="VCR51" s="19"/>
      <c r="VCS51" s="19"/>
      <c r="VCT51" s="19"/>
      <c r="VCU51" s="19"/>
      <c r="VCV51" s="19"/>
      <c r="VCW51" s="19"/>
      <c r="VCX51" s="19"/>
      <c r="VCY51" s="19"/>
      <c r="VCZ51" s="19"/>
      <c r="VDA51" s="19"/>
      <c r="VDB51" s="19"/>
      <c r="VDC51" s="19"/>
      <c r="VDD51" s="19"/>
      <c r="VDE51" s="19"/>
      <c r="VDF51" s="19"/>
      <c r="VDG51" s="19"/>
      <c r="VDH51" s="19"/>
      <c r="VDI51" s="19"/>
      <c r="VDJ51" s="19"/>
      <c r="VDK51" s="19"/>
      <c r="VDL51" s="19"/>
      <c r="VDM51" s="19"/>
      <c r="VDN51" s="19"/>
      <c r="VDO51" s="19"/>
      <c r="VDP51" s="19"/>
      <c r="VDQ51" s="19"/>
      <c r="VDR51" s="19"/>
      <c r="VDS51" s="19"/>
      <c r="VDT51" s="19"/>
      <c r="VDU51" s="19"/>
      <c r="VDV51" s="19"/>
      <c r="VDW51" s="19"/>
      <c r="VDX51" s="19"/>
      <c r="VDY51" s="19"/>
      <c r="VDZ51" s="19"/>
      <c r="VEA51" s="19"/>
      <c r="VEB51" s="19"/>
      <c r="VEC51" s="19"/>
      <c r="VED51" s="19"/>
      <c r="VEE51" s="19"/>
      <c r="VEF51" s="19"/>
      <c r="VEG51" s="19"/>
      <c r="VEH51" s="19"/>
      <c r="VEI51" s="19"/>
      <c r="VEJ51" s="19"/>
      <c r="VEK51" s="19"/>
      <c r="VEL51" s="19"/>
      <c r="VEM51" s="19"/>
      <c r="VEN51" s="19"/>
      <c r="VEO51" s="19"/>
      <c r="VEP51" s="19"/>
      <c r="VEQ51" s="19"/>
      <c r="VER51" s="19"/>
      <c r="VES51" s="19"/>
      <c r="VET51" s="19"/>
      <c r="VEU51" s="19"/>
      <c r="VEV51" s="19"/>
      <c r="VEW51" s="19"/>
      <c r="VEX51" s="19"/>
      <c r="VEY51" s="19"/>
      <c r="VEZ51" s="19"/>
      <c r="VFA51" s="19"/>
      <c r="VFB51" s="19"/>
      <c r="VFC51" s="19"/>
      <c r="VFD51" s="19"/>
      <c r="VFE51" s="19"/>
      <c r="VFF51" s="19"/>
      <c r="VFG51" s="19"/>
      <c r="VFH51" s="19"/>
      <c r="VFI51" s="19"/>
      <c r="VFJ51" s="19"/>
      <c r="VFK51" s="19"/>
      <c r="VFL51" s="19"/>
      <c r="VFM51" s="19"/>
      <c r="VFN51" s="19"/>
      <c r="VFO51" s="19"/>
      <c r="VFP51" s="19"/>
      <c r="VFQ51" s="19"/>
      <c r="VFR51" s="19"/>
      <c r="VFS51" s="19"/>
      <c r="VFT51" s="19"/>
      <c r="VFU51" s="19"/>
      <c r="VFV51" s="19"/>
      <c r="VFW51" s="19"/>
      <c r="VFX51" s="19"/>
      <c r="VFY51" s="19"/>
      <c r="VFZ51" s="19"/>
      <c r="VGA51" s="19"/>
      <c r="VGB51" s="19"/>
      <c r="VGC51" s="19"/>
      <c r="VGD51" s="19"/>
      <c r="VGE51" s="19"/>
      <c r="VGF51" s="19"/>
      <c r="VGG51" s="19"/>
      <c r="VGH51" s="19"/>
      <c r="VGI51" s="19"/>
      <c r="VGJ51" s="19"/>
      <c r="VGK51" s="19"/>
      <c r="VGL51" s="19"/>
      <c r="VGM51" s="19"/>
      <c r="VGN51" s="19"/>
      <c r="VGO51" s="19"/>
      <c r="VGP51" s="19"/>
      <c r="VGQ51" s="19"/>
      <c r="VGR51" s="19"/>
      <c r="VGS51" s="19"/>
      <c r="VGT51" s="19"/>
      <c r="VGU51" s="19"/>
      <c r="VGV51" s="19"/>
      <c r="VGW51" s="19"/>
      <c r="VGX51" s="19"/>
      <c r="VGY51" s="19"/>
      <c r="VGZ51" s="19"/>
      <c r="VHA51" s="19"/>
      <c r="VHB51" s="19"/>
      <c r="VHC51" s="19"/>
      <c r="VHD51" s="19"/>
      <c r="VHE51" s="19"/>
      <c r="VHF51" s="19"/>
      <c r="VHG51" s="19"/>
      <c r="VHH51" s="19"/>
      <c r="VHI51" s="19"/>
      <c r="VHJ51" s="19"/>
      <c r="VHK51" s="19"/>
      <c r="VHL51" s="19"/>
      <c r="VHM51" s="19"/>
      <c r="VHN51" s="19"/>
      <c r="VHO51" s="19"/>
      <c r="VHP51" s="19"/>
      <c r="VHQ51" s="19"/>
      <c r="VHR51" s="19"/>
      <c r="VHS51" s="19"/>
      <c r="VHT51" s="19"/>
      <c r="VHU51" s="19"/>
      <c r="VHV51" s="19"/>
      <c r="VHW51" s="19"/>
      <c r="VHX51" s="19"/>
      <c r="VHY51" s="19"/>
      <c r="VHZ51" s="19"/>
      <c r="VIA51" s="19"/>
      <c r="VIB51" s="19"/>
      <c r="VIC51" s="19"/>
      <c r="VID51" s="19"/>
      <c r="VIE51" s="19"/>
      <c r="VIF51" s="19"/>
      <c r="VIG51" s="19"/>
      <c r="VIH51" s="19"/>
      <c r="VII51" s="19"/>
      <c r="VIJ51" s="19"/>
      <c r="VIK51" s="19"/>
      <c r="VIL51" s="19"/>
      <c r="VIM51" s="19"/>
      <c r="VIN51" s="19"/>
      <c r="VIO51" s="19"/>
      <c r="VIP51" s="19"/>
      <c r="VIQ51" s="19"/>
      <c r="VIR51" s="19"/>
      <c r="VIS51" s="19"/>
      <c r="VIT51" s="19"/>
      <c r="VIU51" s="19"/>
      <c r="VIV51" s="19"/>
      <c r="VIW51" s="19"/>
      <c r="VIX51" s="19"/>
      <c r="VIY51" s="19"/>
      <c r="VIZ51" s="19"/>
      <c r="VJA51" s="19"/>
      <c r="VJB51" s="19"/>
      <c r="VJC51" s="19"/>
      <c r="VJD51" s="19"/>
      <c r="VJE51" s="19"/>
      <c r="VJF51" s="19"/>
      <c r="VJG51" s="19"/>
      <c r="VJH51" s="19"/>
      <c r="VJI51" s="19"/>
      <c r="VJJ51" s="19"/>
      <c r="VJK51" s="19"/>
      <c r="VJL51" s="19"/>
      <c r="VJM51" s="19"/>
      <c r="VJN51" s="19"/>
      <c r="VJO51" s="19"/>
      <c r="VJP51" s="19"/>
      <c r="VJQ51" s="19"/>
      <c r="VJR51" s="19"/>
      <c r="VJS51" s="19"/>
      <c r="VJT51" s="19"/>
      <c r="VJU51" s="19"/>
      <c r="VJV51" s="19"/>
      <c r="VJW51" s="19"/>
      <c r="VJX51" s="19"/>
      <c r="VJY51" s="19"/>
      <c r="VJZ51" s="19"/>
      <c r="VKA51" s="19"/>
      <c r="VKB51" s="19"/>
      <c r="VKC51" s="19"/>
      <c r="VKD51" s="19"/>
      <c r="VKE51" s="19"/>
      <c r="VKF51" s="19"/>
      <c r="VKG51" s="19"/>
      <c r="VKH51" s="19"/>
      <c r="VKI51" s="19"/>
      <c r="VKJ51" s="19"/>
      <c r="VKK51" s="19"/>
      <c r="VKL51" s="19"/>
      <c r="VKM51" s="19"/>
      <c r="VKN51" s="19"/>
      <c r="VKO51" s="19"/>
      <c r="VKP51" s="19"/>
      <c r="VKQ51" s="19"/>
      <c r="VKR51" s="19"/>
      <c r="VKS51" s="19"/>
      <c r="VKT51" s="19"/>
      <c r="VKU51" s="19"/>
      <c r="VKV51" s="19"/>
      <c r="VKW51" s="19"/>
      <c r="VKX51" s="19"/>
      <c r="VKY51" s="19"/>
      <c r="VKZ51" s="19"/>
      <c r="VLA51" s="19"/>
      <c r="VLB51" s="19"/>
      <c r="VLC51" s="19"/>
      <c r="VLD51" s="19"/>
      <c r="VLE51" s="19"/>
      <c r="VLF51" s="19"/>
      <c r="VLG51" s="19"/>
      <c r="VLH51" s="19"/>
      <c r="VLI51" s="19"/>
      <c r="VLJ51" s="19"/>
      <c r="VLK51" s="19"/>
      <c r="VLL51" s="19"/>
      <c r="VLM51" s="19"/>
      <c r="VLN51" s="19"/>
      <c r="VLO51" s="19"/>
      <c r="VLP51" s="19"/>
      <c r="VLQ51" s="19"/>
      <c r="VLR51" s="19"/>
      <c r="VLS51" s="19"/>
      <c r="VLT51" s="19"/>
      <c r="VLU51" s="19"/>
      <c r="VLV51" s="19"/>
      <c r="VLW51" s="19"/>
      <c r="VLX51" s="19"/>
      <c r="VLY51" s="19"/>
      <c r="VLZ51" s="19"/>
      <c r="VMA51" s="19"/>
      <c r="VMB51" s="19"/>
      <c r="VMC51" s="19"/>
      <c r="VMD51" s="19"/>
      <c r="VME51" s="19"/>
      <c r="VMF51" s="19"/>
      <c r="VMG51" s="19"/>
      <c r="VMH51" s="19"/>
      <c r="VMI51" s="19"/>
      <c r="VMJ51" s="19"/>
      <c r="VMK51" s="19"/>
      <c r="VML51" s="19"/>
      <c r="VMM51" s="19"/>
      <c r="VMN51" s="19"/>
      <c r="VMO51" s="19"/>
      <c r="VMP51" s="19"/>
      <c r="VMQ51" s="19"/>
      <c r="VMR51" s="19"/>
      <c r="VMS51" s="19"/>
      <c r="VMT51" s="19"/>
      <c r="VMU51" s="19"/>
      <c r="VMV51" s="19"/>
      <c r="VMW51" s="19"/>
      <c r="VMX51" s="19"/>
      <c r="VMY51" s="19"/>
      <c r="VMZ51" s="19"/>
      <c r="VNA51" s="19"/>
      <c r="VNB51" s="19"/>
      <c r="VNC51" s="19"/>
      <c r="VND51" s="19"/>
      <c r="VNE51" s="19"/>
      <c r="VNF51" s="19"/>
      <c r="VNG51" s="19"/>
      <c r="VNH51" s="19"/>
      <c r="VNI51" s="19"/>
      <c r="VNJ51" s="19"/>
      <c r="VNK51" s="19"/>
      <c r="VNL51" s="19"/>
      <c r="VNM51" s="19"/>
      <c r="VNN51" s="19"/>
      <c r="VNO51" s="19"/>
      <c r="VNP51" s="19"/>
      <c r="VNQ51" s="19"/>
      <c r="VNR51" s="19"/>
      <c r="VNS51" s="19"/>
      <c r="VNT51" s="19"/>
      <c r="VNU51" s="19"/>
      <c r="VNV51" s="19"/>
      <c r="VNW51" s="19"/>
      <c r="VNX51" s="19"/>
      <c r="VNY51" s="19"/>
      <c r="VNZ51" s="19"/>
      <c r="VOA51" s="19"/>
      <c r="VOB51" s="19"/>
      <c r="VOC51" s="19"/>
      <c r="VOD51" s="19"/>
      <c r="VOE51" s="19"/>
      <c r="VOF51" s="19"/>
      <c r="VOG51" s="19"/>
      <c r="VOH51" s="19"/>
      <c r="VOI51" s="19"/>
      <c r="VOJ51" s="19"/>
      <c r="VOK51" s="19"/>
      <c r="VOL51" s="19"/>
      <c r="VOM51" s="19"/>
      <c r="VON51" s="19"/>
      <c r="VOO51" s="19"/>
      <c r="VOP51" s="19"/>
      <c r="VOQ51" s="19"/>
      <c r="VOR51" s="19"/>
      <c r="VOS51" s="19"/>
      <c r="VOT51" s="19"/>
      <c r="VOU51" s="19"/>
      <c r="VOV51" s="19"/>
      <c r="VOW51" s="19"/>
      <c r="VOX51" s="19"/>
      <c r="VOY51" s="19"/>
      <c r="VOZ51" s="19"/>
      <c r="VPA51" s="19"/>
      <c r="VPB51" s="19"/>
      <c r="VPC51" s="19"/>
      <c r="VPD51" s="19"/>
      <c r="VPE51" s="19"/>
      <c r="VPF51" s="19"/>
      <c r="VPG51" s="19"/>
      <c r="VPH51" s="19"/>
      <c r="VPI51" s="19"/>
      <c r="VPJ51" s="19"/>
      <c r="VPK51" s="19"/>
      <c r="VPL51" s="19"/>
      <c r="VPM51" s="19"/>
      <c r="VPN51" s="19"/>
      <c r="VPO51" s="19"/>
      <c r="VPP51" s="19"/>
      <c r="VPQ51" s="19"/>
      <c r="VPR51" s="19"/>
      <c r="VPS51" s="19"/>
      <c r="VPT51" s="19"/>
      <c r="VPU51" s="19"/>
      <c r="VPV51" s="19"/>
      <c r="VPW51" s="19"/>
      <c r="VPX51" s="19"/>
      <c r="VPY51" s="19"/>
      <c r="VPZ51" s="19"/>
      <c r="VQA51" s="19"/>
      <c r="VQB51" s="19"/>
      <c r="VQC51" s="19"/>
      <c r="VQD51" s="19"/>
      <c r="VQE51" s="19"/>
      <c r="VQF51" s="19"/>
      <c r="VQG51" s="19"/>
      <c r="VQH51" s="19"/>
      <c r="VQI51" s="19"/>
      <c r="VQJ51" s="19"/>
      <c r="VQK51" s="19"/>
      <c r="VQL51" s="19"/>
      <c r="VQM51" s="19"/>
      <c r="VQN51" s="19"/>
      <c r="VQO51" s="19"/>
      <c r="VQP51" s="19"/>
      <c r="VQQ51" s="19"/>
      <c r="VQR51" s="19"/>
      <c r="VQS51" s="19"/>
      <c r="VQT51" s="19"/>
      <c r="VQU51" s="19"/>
      <c r="VQV51" s="19"/>
      <c r="VQW51" s="19"/>
      <c r="VQX51" s="19"/>
      <c r="VQY51" s="19"/>
      <c r="VQZ51" s="19"/>
      <c r="VRA51" s="19"/>
      <c r="VRB51" s="19"/>
      <c r="VRC51" s="19"/>
      <c r="VRD51" s="19"/>
      <c r="VRE51" s="19"/>
      <c r="VRF51" s="19"/>
      <c r="VRG51" s="19"/>
      <c r="VRH51" s="19"/>
      <c r="VRI51" s="19"/>
      <c r="VRJ51" s="19"/>
      <c r="VRK51" s="19"/>
      <c r="VRL51" s="19"/>
      <c r="VRM51" s="19"/>
      <c r="VRN51" s="19"/>
      <c r="VRO51" s="19"/>
      <c r="VRP51" s="19"/>
      <c r="VRQ51" s="19"/>
      <c r="VRR51" s="19"/>
      <c r="VRS51" s="19"/>
      <c r="VRT51" s="19"/>
      <c r="VRU51" s="19"/>
      <c r="VRV51" s="19"/>
      <c r="VRW51" s="19"/>
      <c r="VRX51" s="19"/>
      <c r="VRY51" s="19"/>
      <c r="VRZ51" s="19"/>
      <c r="VSA51" s="19"/>
      <c r="VSB51" s="19"/>
      <c r="VSC51" s="19"/>
      <c r="VSD51" s="19"/>
      <c r="VSE51" s="19"/>
      <c r="VSF51" s="19"/>
      <c r="VSG51" s="19"/>
      <c r="VSH51" s="19"/>
      <c r="VSI51" s="19"/>
      <c r="VSJ51" s="19"/>
      <c r="VSK51" s="19"/>
      <c r="VSL51" s="19"/>
      <c r="VSM51" s="19"/>
      <c r="VSN51" s="19"/>
      <c r="VSO51" s="19"/>
      <c r="VSP51" s="19"/>
      <c r="VSQ51" s="19"/>
      <c r="VSR51" s="19"/>
      <c r="VSS51" s="19"/>
      <c r="VST51" s="19"/>
      <c r="VSU51" s="19"/>
      <c r="VSV51" s="19"/>
      <c r="VSW51" s="19"/>
      <c r="VSX51" s="19"/>
      <c r="VSY51" s="19"/>
      <c r="VSZ51" s="19"/>
      <c r="VTA51" s="19"/>
      <c r="VTB51" s="19"/>
      <c r="VTC51" s="19"/>
      <c r="VTD51" s="19"/>
      <c r="VTE51" s="19"/>
      <c r="VTF51" s="19"/>
      <c r="VTG51" s="19"/>
      <c r="VTH51" s="19"/>
      <c r="VTI51" s="19"/>
      <c r="VTJ51" s="19"/>
      <c r="VTK51" s="19"/>
      <c r="VTL51" s="19"/>
      <c r="VTM51" s="19"/>
      <c r="VTN51" s="19"/>
      <c r="VTO51" s="19"/>
      <c r="VTP51" s="19"/>
      <c r="VTQ51" s="19"/>
      <c r="VTR51" s="19"/>
      <c r="VTS51" s="19"/>
      <c r="VTT51" s="19"/>
      <c r="VTU51" s="19"/>
      <c r="VTV51" s="19"/>
      <c r="VTW51" s="19"/>
      <c r="VTX51" s="19"/>
      <c r="VTY51" s="19"/>
      <c r="VTZ51" s="19"/>
      <c r="VUA51" s="19"/>
      <c r="VUB51" s="19"/>
      <c r="VUC51" s="19"/>
      <c r="VUD51" s="19"/>
      <c r="VUE51" s="19"/>
      <c r="VUF51" s="19"/>
      <c r="VUG51" s="19"/>
      <c r="VUH51" s="19"/>
      <c r="VUI51" s="19"/>
      <c r="VUJ51" s="19"/>
      <c r="VUK51" s="19"/>
      <c r="VUL51" s="19"/>
      <c r="VUM51" s="19"/>
      <c r="VUN51" s="19"/>
      <c r="VUO51" s="19"/>
      <c r="VUP51" s="19"/>
      <c r="VUQ51" s="19"/>
      <c r="VUR51" s="19"/>
      <c r="VUS51" s="19"/>
      <c r="VUT51" s="19"/>
      <c r="VUU51" s="19"/>
      <c r="VUV51" s="19"/>
      <c r="VUW51" s="19"/>
      <c r="VUX51" s="19"/>
      <c r="VUY51" s="19"/>
      <c r="VUZ51" s="19"/>
      <c r="VVA51" s="19"/>
      <c r="VVB51" s="19"/>
      <c r="VVC51" s="19"/>
      <c r="VVD51" s="19"/>
      <c r="VVE51" s="19"/>
      <c r="VVF51" s="19"/>
      <c r="VVG51" s="19"/>
      <c r="VVH51" s="19"/>
      <c r="VVI51" s="19"/>
      <c r="VVJ51" s="19"/>
      <c r="VVK51" s="19"/>
      <c r="VVL51" s="19"/>
      <c r="VVM51" s="19"/>
      <c r="VVN51" s="19"/>
      <c r="VVO51" s="19"/>
      <c r="VVP51" s="19"/>
      <c r="VVQ51" s="19"/>
      <c r="VVR51" s="19"/>
      <c r="VVS51" s="19"/>
      <c r="VVT51" s="19"/>
      <c r="VVU51" s="19"/>
      <c r="VVV51" s="19"/>
      <c r="VVW51" s="19"/>
      <c r="VVX51" s="19"/>
      <c r="VVY51" s="19"/>
      <c r="VVZ51" s="19"/>
      <c r="VWA51" s="19"/>
      <c r="VWB51" s="19"/>
      <c r="VWC51" s="19"/>
      <c r="VWD51" s="19"/>
      <c r="VWE51" s="19"/>
      <c r="VWF51" s="19"/>
      <c r="VWG51" s="19"/>
      <c r="VWH51" s="19"/>
      <c r="VWI51" s="19"/>
      <c r="VWJ51" s="19"/>
      <c r="VWK51" s="19"/>
      <c r="VWL51" s="19"/>
      <c r="VWM51" s="19"/>
      <c r="VWN51" s="19"/>
      <c r="VWO51" s="19"/>
      <c r="VWP51" s="19"/>
      <c r="VWQ51" s="19"/>
      <c r="VWR51" s="19"/>
      <c r="VWS51" s="19"/>
      <c r="VWT51" s="19"/>
      <c r="VWU51" s="19"/>
      <c r="VWV51" s="19"/>
      <c r="VWW51" s="19"/>
      <c r="VWX51" s="19"/>
      <c r="VWY51" s="19"/>
      <c r="VWZ51" s="19"/>
      <c r="VXA51" s="19"/>
      <c r="VXB51" s="19"/>
      <c r="VXC51" s="19"/>
      <c r="VXD51" s="19"/>
      <c r="VXE51" s="19"/>
      <c r="VXF51" s="19"/>
      <c r="VXG51" s="19"/>
      <c r="VXH51" s="19"/>
      <c r="VXI51" s="19"/>
      <c r="VXJ51" s="19"/>
      <c r="VXK51" s="19"/>
      <c r="VXL51" s="19"/>
      <c r="VXM51" s="19"/>
      <c r="VXN51" s="19"/>
      <c r="VXO51" s="19"/>
      <c r="VXP51" s="19"/>
      <c r="VXQ51" s="19"/>
      <c r="VXR51" s="19"/>
      <c r="VXS51" s="19"/>
      <c r="VXT51" s="19"/>
      <c r="VXU51" s="19"/>
      <c r="VXV51" s="19"/>
      <c r="VXW51" s="19"/>
      <c r="VXX51" s="19"/>
      <c r="VXY51" s="19"/>
      <c r="VXZ51" s="19"/>
      <c r="VYA51" s="19"/>
      <c r="VYB51" s="19"/>
      <c r="VYC51" s="19"/>
      <c r="VYD51" s="19"/>
      <c r="VYE51" s="19"/>
      <c r="VYF51" s="19"/>
      <c r="VYG51" s="19"/>
      <c r="VYH51" s="19"/>
      <c r="VYI51" s="19"/>
      <c r="VYJ51" s="19"/>
      <c r="VYK51" s="19"/>
      <c r="VYL51" s="19"/>
      <c r="VYM51" s="19"/>
      <c r="VYN51" s="19"/>
      <c r="VYO51" s="19"/>
      <c r="VYP51" s="19"/>
      <c r="VYQ51" s="19"/>
      <c r="VYR51" s="19"/>
      <c r="VYS51" s="19"/>
      <c r="VYT51" s="19"/>
      <c r="VYU51" s="19"/>
      <c r="VYV51" s="19"/>
      <c r="VYW51" s="19"/>
      <c r="VYX51" s="19"/>
      <c r="VYY51" s="19"/>
      <c r="VYZ51" s="19"/>
      <c r="VZA51" s="19"/>
      <c r="VZB51" s="19"/>
      <c r="VZC51" s="19"/>
      <c r="VZD51" s="19"/>
      <c r="VZE51" s="19"/>
      <c r="VZF51" s="19"/>
      <c r="VZG51" s="19"/>
      <c r="VZH51" s="19"/>
      <c r="VZI51" s="19"/>
      <c r="VZJ51" s="19"/>
      <c r="VZK51" s="19"/>
      <c r="VZL51" s="19"/>
      <c r="VZM51" s="19"/>
      <c r="VZN51" s="19"/>
      <c r="VZO51" s="19"/>
      <c r="VZP51" s="19"/>
      <c r="VZQ51" s="19"/>
      <c r="VZR51" s="19"/>
      <c r="VZS51" s="19"/>
      <c r="VZT51" s="19"/>
      <c r="VZU51" s="19"/>
      <c r="VZV51" s="19"/>
      <c r="VZW51" s="19"/>
      <c r="VZX51" s="19"/>
      <c r="VZY51" s="19"/>
      <c r="VZZ51" s="19"/>
      <c r="WAA51" s="19"/>
      <c r="WAB51" s="19"/>
      <c r="WAC51" s="19"/>
      <c r="WAD51" s="19"/>
      <c r="WAE51" s="19"/>
      <c r="WAF51" s="19"/>
      <c r="WAG51" s="19"/>
      <c r="WAH51" s="19"/>
      <c r="WAI51" s="19"/>
      <c r="WAJ51" s="19"/>
      <c r="WAK51" s="19"/>
      <c r="WAL51" s="19"/>
      <c r="WAM51" s="19"/>
      <c r="WAN51" s="19"/>
      <c r="WAO51" s="19"/>
      <c r="WAP51" s="19"/>
      <c r="WAQ51" s="19"/>
      <c r="WAR51" s="19"/>
      <c r="WAS51" s="19"/>
      <c r="WAT51" s="19"/>
      <c r="WAU51" s="19"/>
      <c r="WAV51" s="19"/>
      <c r="WAW51" s="19"/>
      <c r="WAX51" s="19"/>
      <c r="WAY51" s="19"/>
      <c r="WAZ51" s="19"/>
      <c r="WBA51" s="19"/>
      <c r="WBB51" s="19"/>
      <c r="WBC51" s="19"/>
      <c r="WBD51" s="19"/>
      <c r="WBE51" s="19"/>
      <c r="WBF51" s="19"/>
      <c r="WBG51" s="19"/>
      <c r="WBH51" s="19"/>
      <c r="WBI51" s="19"/>
      <c r="WBJ51" s="19"/>
      <c r="WBK51" s="19"/>
      <c r="WBL51" s="19"/>
      <c r="WBM51" s="19"/>
      <c r="WBN51" s="19"/>
      <c r="WBO51" s="19"/>
      <c r="WBP51" s="19"/>
      <c r="WBQ51" s="19"/>
      <c r="WBR51" s="19"/>
      <c r="WBS51" s="19"/>
      <c r="WBT51" s="19"/>
      <c r="WBU51" s="19"/>
      <c r="WBV51" s="19"/>
      <c r="WBW51" s="19"/>
      <c r="WBX51" s="19"/>
      <c r="WBY51" s="19"/>
      <c r="WBZ51" s="19"/>
      <c r="WCA51" s="19"/>
      <c r="WCB51" s="19"/>
      <c r="WCC51" s="19"/>
      <c r="WCD51" s="19"/>
      <c r="WCE51" s="19"/>
      <c r="WCF51" s="19"/>
      <c r="WCG51" s="19"/>
      <c r="WCH51" s="19"/>
      <c r="WCI51" s="19"/>
      <c r="WCJ51" s="19"/>
      <c r="WCK51" s="19"/>
      <c r="WCL51" s="19"/>
      <c r="WCM51" s="19"/>
      <c r="WCN51" s="19"/>
      <c r="WCO51" s="19"/>
      <c r="WCP51" s="19"/>
      <c r="WCQ51" s="19"/>
      <c r="WCR51" s="19"/>
      <c r="WCS51" s="19"/>
      <c r="WCT51" s="19"/>
      <c r="WCU51" s="19"/>
      <c r="WCV51" s="19"/>
      <c r="WCW51" s="19"/>
      <c r="WCX51" s="19"/>
      <c r="WCY51" s="19"/>
      <c r="WCZ51" s="19"/>
      <c r="WDA51" s="19"/>
      <c r="WDB51" s="19"/>
      <c r="WDC51" s="19"/>
      <c r="WDD51" s="19"/>
      <c r="WDE51" s="19"/>
      <c r="WDF51" s="19"/>
      <c r="WDG51" s="19"/>
      <c r="WDH51" s="19"/>
      <c r="WDI51" s="19"/>
      <c r="WDJ51" s="19"/>
      <c r="WDK51" s="19"/>
      <c r="WDL51" s="19"/>
      <c r="WDM51" s="19"/>
      <c r="WDN51" s="19"/>
      <c r="WDO51" s="19"/>
      <c r="WDP51" s="19"/>
      <c r="WDQ51" s="19"/>
      <c r="WDR51" s="19"/>
      <c r="WDS51" s="19"/>
      <c r="WDT51" s="19"/>
      <c r="WDU51" s="19"/>
      <c r="WDV51" s="19"/>
      <c r="WDW51" s="19"/>
      <c r="WDX51" s="19"/>
      <c r="WDY51" s="19"/>
      <c r="WDZ51" s="19"/>
      <c r="WEA51" s="19"/>
      <c r="WEB51" s="19"/>
      <c r="WEC51" s="19"/>
      <c r="WED51" s="19"/>
      <c r="WEE51" s="19"/>
      <c r="WEF51" s="19"/>
      <c r="WEG51" s="19"/>
      <c r="WEH51" s="19"/>
      <c r="WEI51" s="19"/>
      <c r="WEJ51" s="19"/>
      <c r="WEK51" s="19"/>
      <c r="WEL51" s="19"/>
      <c r="WEM51" s="19"/>
      <c r="WEN51" s="19"/>
      <c r="WEO51" s="19"/>
      <c r="WEP51" s="19"/>
      <c r="WEQ51" s="19"/>
      <c r="WER51" s="19"/>
      <c r="WES51" s="19"/>
      <c r="WET51" s="19"/>
      <c r="WEU51" s="19"/>
      <c r="WEV51" s="19"/>
      <c r="WEW51" s="19"/>
      <c r="WEX51" s="19"/>
      <c r="WEY51" s="19"/>
      <c r="WEZ51" s="19"/>
      <c r="WFA51" s="19"/>
      <c r="WFB51" s="19"/>
      <c r="WFC51" s="19"/>
      <c r="WFD51" s="19"/>
      <c r="WFE51" s="19"/>
      <c r="WFF51" s="19"/>
      <c r="WFG51" s="19"/>
      <c r="WFH51" s="19"/>
      <c r="WFI51" s="19"/>
      <c r="WFJ51" s="19"/>
      <c r="WFK51" s="19"/>
      <c r="WFL51" s="19"/>
      <c r="WFM51" s="19"/>
      <c r="WFN51" s="19"/>
      <c r="WFO51" s="19"/>
      <c r="WFP51" s="19"/>
      <c r="WFQ51" s="19"/>
      <c r="WFR51" s="19"/>
      <c r="WFS51" s="19"/>
      <c r="WFT51" s="19"/>
      <c r="WFU51" s="19"/>
      <c r="WFV51" s="19"/>
      <c r="WFW51" s="19"/>
      <c r="WFX51" s="19"/>
      <c r="WFY51" s="19"/>
      <c r="WFZ51" s="19"/>
      <c r="WGA51" s="19"/>
      <c r="WGB51" s="19"/>
      <c r="WGC51" s="19"/>
      <c r="WGD51" s="19"/>
      <c r="WGE51" s="19"/>
      <c r="WGF51" s="19"/>
      <c r="WGG51" s="19"/>
      <c r="WGH51" s="19"/>
      <c r="WGI51" s="19"/>
      <c r="WGJ51" s="19"/>
      <c r="WGK51" s="19"/>
      <c r="WGL51" s="19"/>
      <c r="WGM51" s="19"/>
      <c r="WGN51" s="19"/>
      <c r="WGO51" s="19"/>
      <c r="WGP51" s="19"/>
      <c r="WGQ51" s="19"/>
      <c r="WGR51" s="19"/>
      <c r="WGS51" s="19"/>
      <c r="WGT51" s="19"/>
      <c r="WGU51" s="19"/>
      <c r="WGV51" s="19"/>
      <c r="WGW51" s="19"/>
      <c r="WGX51" s="19"/>
      <c r="WGY51" s="19"/>
      <c r="WGZ51" s="19"/>
      <c r="WHA51" s="19"/>
      <c r="WHB51" s="19"/>
      <c r="WHC51" s="19"/>
      <c r="WHD51" s="19"/>
      <c r="WHE51" s="19"/>
      <c r="WHF51" s="19"/>
      <c r="WHG51" s="19"/>
      <c r="WHH51" s="19"/>
      <c r="WHI51" s="19"/>
      <c r="WHJ51" s="19"/>
      <c r="WHK51" s="19"/>
      <c r="WHL51" s="19"/>
      <c r="WHM51" s="19"/>
      <c r="WHN51" s="19"/>
      <c r="WHO51" s="19"/>
      <c r="WHP51" s="19"/>
      <c r="WHQ51" s="19"/>
      <c r="WHR51" s="19"/>
      <c r="WHS51" s="19"/>
      <c r="WHT51" s="19"/>
      <c r="WHU51" s="19"/>
      <c r="WHV51" s="19"/>
      <c r="WHW51" s="19"/>
      <c r="WHX51" s="19"/>
      <c r="WHY51" s="19"/>
      <c r="WHZ51" s="19"/>
      <c r="WIA51" s="19"/>
      <c r="WIB51" s="19"/>
      <c r="WIC51" s="19"/>
      <c r="WID51" s="19"/>
      <c r="WIE51" s="19"/>
      <c r="WIF51" s="19"/>
      <c r="WIG51" s="19"/>
      <c r="WIH51" s="19"/>
      <c r="WII51" s="19"/>
      <c r="WIJ51" s="19"/>
      <c r="WIK51" s="19"/>
      <c r="WIL51" s="19"/>
      <c r="WIM51" s="19"/>
      <c r="WIN51" s="19"/>
      <c r="WIO51" s="19"/>
      <c r="WIP51" s="19"/>
      <c r="WIQ51" s="19"/>
      <c r="WIR51" s="19"/>
      <c r="WIS51" s="19"/>
      <c r="WIT51" s="19"/>
      <c r="WIU51" s="19"/>
      <c r="WIV51" s="19"/>
      <c r="WIW51" s="19"/>
      <c r="WIX51" s="19"/>
      <c r="WIY51" s="19"/>
      <c r="WIZ51" s="19"/>
      <c r="WJA51" s="19"/>
      <c r="WJB51" s="19"/>
      <c r="WJC51" s="19"/>
      <c r="WJD51" s="19"/>
      <c r="WJE51" s="19"/>
      <c r="WJF51" s="19"/>
      <c r="WJG51" s="19"/>
      <c r="WJH51" s="19"/>
      <c r="WJI51" s="19"/>
      <c r="WJJ51" s="19"/>
      <c r="WJK51" s="19"/>
      <c r="WJL51" s="19"/>
      <c r="WJM51" s="19"/>
      <c r="WJN51" s="19"/>
      <c r="WJO51" s="19"/>
      <c r="WJP51" s="19"/>
      <c r="WJQ51" s="19"/>
      <c r="WJR51" s="19"/>
      <c r="WJS51" s="19"/>
      <c r="WJT51" s="19"/>
      <c r="WJU51" s="19"/>
      <c r="WJV51" s="19"/>
      <c r="WJW51" s="19"/>
      <c r="WJX51" s="19"/>
      <c r="WJY51" s="19"/>
      <c r="WJZ51" s="19"/>
      <c r="WKA51" s="19"/>
      <c r="WKB51" s="19"/>
      <c r="WKC51" s="19"/>
      <c r="WKD51" s="19"/>
      <c r="WKE51" s="19"/>
      <c r="WKF51" s="19"/>
      <c r="WKG51" s="19"/>
      <c r="WKH51" s="19"/>
      <c r="WKI51" s="19"/>
      <c r="WKJ51" s="19"/>
      <c r="WKK51" s="19"/>
      <c r="WKL51" s="19"/>
      <c r="WKM51" s="19"/>
      <c r="WKN51" s="19"/>
      <c r="WKO51" s="19"/>
      <c r="WKP51" s="19"/>
      <c r="WKQ51" s="19"/>
      <c r="WKR51" s="19"/>
      <c r="WKS51" s="19"/>
      <c r="WKT51" s="19"/>
      <c r="WKU51" s="19"/>
      <c r="WKV51" s="19"/>
      <c r="WKW51" s="19"/>
      <c r="WKX51" s="19"/>
      <c r="WKY51" s="19"/>
      <c r="WKZ51" s="19"/>
      <c r="WLA51" s="19"/>
      <c r="WLB51" s="19"/>
      <c r="WLC51" s="19"/>
      <c r="WLD51" s="19"/>
      <c r="WLE51" s="19"/>
      <c r="WLF51" s="19"/>
      <c r="WLG51" s="19"/>
      <c r="WLH51" s="19"/>
      <c r="WLI51" s="19"/>
      <c r="WLJ51" s="19"/>
      <c r="WLK51" s="19"/>
      <c r="WLL51" s="19"/>
      <c r="WLM51" s="19"/>
      <c r="WLN51" s="19"/>
      <c r="WLO51" s="19"/>
      <c r="WLP51" s="19"/>
      <c r="WLQ51" s="19"/>
      <c r="WLR51" s="19"/>
      <c r="WLS51" s="19"/>
      <c r="WLT51" s="19"/>
      <c r="WLU51" s="19"/>
      <c r="WLV51" s="19"/>
      <c r="WLW51" s="19"/>
      <c r="WLX51" s="19"/>
      <c r="WLY51" s="19"/>
      <c r="WLZ51" s="19"/>
      <c r="WMA51" s="19"/>
      <c r="WMB51" s="19"/>
      <c r="WMC51" s="19"/>
      <c r="WMD51" s="19"/>
      <c r="WME51" s="19"/>
      <c r="WMF51" s="19"/>
      <c r="WMG51" s="19"/>
      <c r="WMH51" s="19"/>
      <c r="WMI51" s="19"/>
      <c r="WMJ51" s="19"/>
      <c r="WMK51" s="19"/>
      <c r="WML51" s="19"/>
      <c r="WMM51" s="19"/>
      <c r="WMN51" s="19"/>
      <c r="WMO51" s="19"/>
      <c r="WMP51" s="19"/>
      <c r="WMQ51" s="19"/>
      <c r="WMR51" s="19"/>
      <c r="WMS51" s="19"/>
      <c r="WMT51" s="19"/>
      <c r="WMU51" s="19"/>
      <c r="WMV51" s="19"/>
      <c r="WMW51" s="19"/>
      <c r="WMX51" s="19"/>
      <c r="WMY51" s="19"/>
      <c r="WMZ51" s="19"/>
      <c r="WNA51" s="19"/>
      <c r="WNB51" s="19"/>
      <c r="WNC51" s="19"/>
      <c r="WND51" s="19"/>
      <c r="WNE51" s="19"/>
      <c r="WNF51" s="19"/>
      <c r="WNG51" s="19"/>
      <c r="WNH51" s="19"/>
      <c r="WNI51" s="19"/>
      <c r="WNJ51" s="19"/>
      <c r="WNK51" s="19"/>
      <c r="WNL51" s="19"/>
      <c r="WNM51" s="19"/>
      <c r="WNN51" s="19"/>
      <c r="WNO51" s="19"/>
      <c r="WNP51" s="19"/>
      <c r="WNQ51" s="19"/>
      <c r="WNR51" s="19"/>
      <c r="WNS51" s="19"/>
      <c r="WNT51" s="19"/>
      <c r="WNU51" s="19"/>
      <c r="WNV51" s="19"/>
      <c r="WNW51" s="19"/>
      <c r="WNX51" s="19"/>
      <c r="WNY51" s="19"/>
      <c r="WNZ51" s="19"/>
      <c r="WOA51" s="19"/>
      <c r="WOB51" s="19"/>
      <c r="WOC51" s="19"/>
      <c r="WOD51" s="19"/>
      <c r="WOE51" s="19"/>
      <c r="WOF51" s="19"/>
      <c r="WOG51" s="19"/>
      <c r="WOH51" s="19"/>
      <c r="WOI51" s="19"/>
      <c r="WOJ51" s="19"/>
      <c r="WOK51" s="19"/>
      <c r="WOL51" s="19"/>
      <c r="WOM51" s="19"/>
      <c r="WON51" s="19"/>
      <c r="WOO51" s="19"/>
      <c r="WOP51" s="19"/>
      <c r="WOQ51" s="19"/>
      <c r="WOR51" s="19"/>
      <c r="WOS51" s="19"/>
      <c r="WOT51" s="19"/>
      <c r="WOU51" s="19"/>
      <c r="WOV51" s="19"/>
      <c r="WOW51" s="19"/>
      <c r="WOX51" s="19"/>
      <c r="WOY51" s="19"/>
      <c r="WOZ51" s="19"/>
      <c r="WPA51" s="19"/>
      <c r="WPB51" s="19"/>
      <c r="WPC51" s="19"/>
      <c r="WPD51" s="19"/>
      <c r="WPE51" s="19"/>
      <c r="WPF51" s="19"/>
      <c r="WPG51" s="19"/>
      <c r="WPH51" s="19"/>
      <c r="WPI51" s="19"/>
      <c r="WPJ51" s="19"/>
      <c r="WPK51" s="19"/>
      <c r="WPL51" s="19"/>
      <c r="WPM51" s="19"/>
      <c r="WPN51" s="19"/>
      <c r="WPO51" s="19"/>
      <c r="WPP51" s="19"/>
      <c r="WPQ51" s="19"/>
      <c r="WPR51" s="19"/>
      <c r="WPS51" s="19"/>
      <c r="WPT51" s="19"/>
      <c r="WPU51" s="19"/>
      <c r="WPV51" s="19"/>
      <c r="WPW51" s="19"/>
      <c r="WPX51" s="19"/>
      <c r="WPY51" s="19"/>
      <c r="WPZ51" s="19"/>
      <c r="WQA51" s="19"/>
      <c r="WQB51" s="19"/>
      <c r="WQC51" s="19"/>
      <c r="WQD51" s="19"/>
      <c r="WQE51" s="19"/>
      <c r="WQF51" s="19"/>
      <c r="WQG51" s="19"/>
      <c r="WQH51" s="19"/>
      <c r="WQI51" s="19"/>
      <c r="WQJ51" s="19"/>
      <c r="WQK51" s="19"/>
      <c r="WQL51" s="19"/>
      <c r="WQM51" s="19"/>
      <c r="WQN51" s="19"/>
      <c r="WQO51" s="19"/>
      <c r="WQP51" s="19"/>
      <c r="WQQ51" s="19"/>
      <c r="WQR51" s="19"/>
      <c r="WQS51" s="19"/>
      <c r="WQT51" s="19"/>
      <c r="WQU51" s="19"/>
      <c r="WQV51" s="19"/>
      <c r="WQW51" s="19"/>
      <c r="WQX51" s="19"/>
      <c r="WQY51" s="19"/>
      <c r="WQZ51" s="19"/>
      <c r="WRA51" s="19"/>
      <c r="WRB51" s="19"/>
      <c r="WRC51" s="19"/>
      <c r="WRD51" s="19"/>
      <c r="WRE51" s="19"/>
      <c r="WRF51" s="19"/>
      <c r="WRG51" s="19"/>
      <c r="WRH51" s="19"/>
      <c r="WRI51" s="19"/>
      <c r="WRJ51" s="19"/>
      <c r="WRK51" s="19"/>
      <c r="WRL51" s="19"/>
      <c r="WRM51" s="19"/>
      <c r="WRN51" s="19"/>
      <c r="WRO51" s="19"/>
      <c r="WRP51" s="19"/>
      <c r="WRQ51" s="19"/>
      <c r="WRR51" s="19"/>
      <c r="WRS51" s="19"/>
      <c r="WRT51" s="19"/>
      <c r="WRU51" s="19"/>
      <c r="WRV51" s="19"/>
      <c r="WRW51" s="19"/>
      <c r="WRX51" s="19"/>
      <c r="WRY51" s="19"/>
      <c r="WRZ51" s="19"/>
      <c r="WSA51" s="19"/>
      <c r="WSB51" s="19"/>
      <c r="WSC51" s="19"/>
      <c r="WSD51" s="19"/>
      <c r="WSE51" s="19"/>
      <c r="WSF51" s="19"/>
      <c r="WSG51" s="19"/>
      <c r="WSH51" s="19"/>
      <c r="WSI51" s="19"/>
      <c r="WSJ51" s="19"/>
      <c r="WSK51" s="19"/>
      <c r="WSL51" s="19"/>
      <c r="WSM51" s="19"/>
      <c r="WSN51" s="19"/>
      <c r="WSO51" s="19"/>
      <c r="WSP51" s="19"/>
      <c r="WSQ51" s="19"/>
      <c r="WSR51" s="19"/>
      <c r="WSS51" s="19"/>
      <c r="WST51" s="19"/>
      <c r="WSU51" s="19"/>
      <c r="WSV51" s="19"/>
      <c r="WSW51" s="19"/>
      <c r="WSX51" s="19"/>
      <c r="WSY51" s="19"/>
      <c r="WSZ51" s="19"/>
      <c r="WTA51" s="19"/>
      <c r="WTB51" s="19"/>
      <c r="WTC51" s="19"/>
      <c r="WTD51" s="19"/>
      <c r="WTE51" s="19"/>
      <c r="WTF51" s="19"/>
      <c r="WTG51" s="19"/>
      <c r="WTH51" s="19"/>
      <c r="WTI51" s="19"/>
      <c r="WTJ51" s="19"/>
      <c r="WTK51" s="19"/>
      <c r="WTL51" s="19"/>
      <c r="WTM51" s="19"/>
      <c r="WTN51" s="19"/>
      <c r="WTO51" s="19"/>
      <c r="WTP51" s="19"/>
      <c r="WTQ51" s="19"/>
      <c r="WTR51" s="19"/>
      <c r="WTS51" s="19"/>
      <c r="WTT51" s="19"/>
      <c r="WTU51" s="19"/>
      <c r="WTV51" s="19"/>
      <c r="WTW51" s="19"/>
      <c r="WTX51" s="19"/>
      <c r="WTY51" s="19"/>
      <c r="WTZ51" s="19"/>
      <c r="WUA51" s="19"/>
      <c r="WUB51" s="19"/>
      <c r="WUC51" s="19"/>
      <c r="WUD51" s="19"/>
      <c r="WUE51" s="19"/>
      <c r="WUF51" s="19"/>
      <c r="WUG51" s="19"/>
      <c r="WUH51" s="19"/>
      <c r="WUI51" s="19"/>
      <c r="WUJ51" s="19"/>
      <c r="WUK51" s="19"/>
      <c r="WUL51" s="19"/>
      <c r="WUM51" s="19"/>
      <c r="WUN51" s="19"/>
      <c r="WUO51" s="19"/>
      <c r="WUP51" s="19"/>
      <c r="WUQ51" s="19"/>
      <c r="WUR51" s="19"/>
      <c r="WUS51" s="19"/>
      <c r="WUT51" s="19"/>
      <c r="WUU51" s="19"/>
      <c r="WUV51" s="19"/>
      <c r="WUW51" s="19"/>
      <c r="WUX51" s="19"/>
      <c r="WUY51" s="19"/>
      <c r="WUZ51" s="19"/>
      <c r="WVA51" s="19"/>
      <c r="WVB51" s="19"/>
      <c r="WVC51" s="19"/>
      <c r="WVD51" s="19"/>
      <c r="WVE51" s="19"/>
      <c r="WVF51" s="19"/>
      <c r="WVG51" s="19"/>
      <c r="WVH51" s="19"/>
      <c r="WVI51" s="19"/>
      <c r="WVJ51" s="19"/>
      <c r="WVK51" s="19"/>
      <c r="WVL51" s="19"/>
      <c r="WVM51" s="19"/>
      <c r="WVN51" s="19"/>
      <c r="WVO51" s="19"/>
      <c r="WVP51" s="19"/>
      <c r="WVQ51" s="19"/>
      <c r="WVR51" s="19"/>
      <c r="WVS51" s="19"/>
      <c r="WVT51" s="19"/>
      <c r="WVU51" s="19"/>
      <c r="WVV51" s="19"/>
      <c r="WVW51" s="19"/>
      <c r="WVX51" s="19"/>
      <c r="WVY51" s="19"/>
      <c r="WVZ51" s="19"/>
      <c r="WWA51" s="19"/>
      <c r="WWB51" s="19"/>
      <c r="WWC51" s="19"/>
      <c r="WWD51" s="19"/>
      <c r="WWE51" s="19"/>
      <c r="WWF51" s="19"/>
      <c r="WWG51" s="19"/>
      <c r="WWH51" s="19"/>
      <c r="WWI51" s="19"/>
      <c r="WWJ51" s="19"/>
      <c r="WWK51" s="19"/>
      <c r="WWL51" s="19"/>
      <c r="WWM51" s="19"/>
      <c r="WWN51" s="19"/>
      <c r="WWO51" s="19"/>
      <c r="WWP51" s="19"/>
      <c r="WWQ51" s="19"/>
      <c r="WWR51" s="19"/>
      <c r="WWS51" s="19"/>
      <c r="WWT51" s="19"/>
      <c r="WWU51" s="19"/>
      <c r="WWV51" s="19"/>
      <c r="WWW51" s="19"/>
      <c r="WWX51" s="19"/>
      <c r="WWY51" s="19"/>
      <c r="WWZ51" s="19"/>
      <c r="WXA51" s="19"/>
      <c r="WXB51" s="19"/>
      <c r="WXC51" s="19"/>
      <c r="WXD51" s="19"/>
      <c r="WXE51" s="19"/>
      <c r="WXF51" s="19"/>
      <c r="WXG51" s="19"/>
      <c r="WXH51" s="19"/>
      <c r="WXI51" s="19"/>
      <c r="WXJ51" s="19"/>
      <c r="WXK51" s="19"/>
      <c r="WXL51" s="19"/>
      <c r="WXM51" s="19"/>
      <c r="WXN51" s="19"/>
      <c r="WXO51" s="19"/>
      <c r="WXP51" s="19"/>
      <c r="WXQ51" s="19"/>
      <c r="WXR51" s="19"/>
      <c r="WXS51" s="19"/>
      <c r="WXT51" s="19"/>
      <c r="WXU51" s="19"/>
      <c r="WXV51" s="19"/>
      <c r="WXW51" s="19"/>
      <c r="WXX51" s="19"/>
      <c r="WXY51" s="19"/>
      <c r="WXZ51" s="19"/>
      <c r="WYA51" s="19"/>
      <c r="WYB51" s="19"/>
      <c r="WYC51" s="19"/>
      <c r="WYD51" s="19"/>
      <c r="WYE51" s="19"/>
      <c r="WYF51" s="19"/>
      <c r="WYG51" s="19"/>
      <c r="WYH51" s="19"/>
      <c r="WYI51" s="19"/>
      <c r="WYJ51" s="19"/>
      <c r="WYK51" s="19"/>
      <c r="WYL51" s="19"/>
      <c r="WYM51" s="19"/>
      <c r="WYN51" s="19"/>
      <c r="WYO51" s="19"/>
      <c r="WYP51" s="19"/>
      <c r="WYQ51" s="19"/>
      <c r="WYR51" s="19"/>
      <c r="WYS51" s="19"/>
      <c r="WYT51" s="19"/>
      <c r="WYU51" s="19"/>
      <c r="WYV51" s="19"/>
      <c r="WYW51" s="19"/>
      <c r="WYX51" s="19"/>
      <c r="WYY51" s="19"/>
      <c r="WYZ51" s="19"/>
      <c r="WZA51" s="19"/>
      <c r="WZB51" s="19"/>
      <c r="WZC51" s="19"/>
      <c r="WZD51" s="19"/>
      <c r="WZE51" s="19"/>
      <c r="WZF51" s="19"/>
      <c r="WZG51" s="19"/>
      <c r="WZH51" s="19"/>
      <c r="WZI51" s="19"/>
      <c r="WZJ51" s="19"/>
      <c r="WZK51" s="19"/>
      <c r="WZL51" s="19"/>
      <c r="WZM51" s="19"/>
      <c r="WZN51" s="19"/>
      <c r="WZO51" s="19"/>
      <c r="WZP51" s="19"/>
      <c r="WZQ51" s="19"/>
      <c r="WZR51" s="19"/>
      <c r="WZS51" s="19"/>
      <c r="WZT51" s="19"/>
      <c r="WZU51" s="19"/>
      <c r="WZV51" s="19"/>
      <c r="WZW51" s="19"/>
      <c r="WZX51" s="19"/>
      <c r="WZY51" s="19"/>
      <c r="WZZ51" s="19"/>
      <c r="XAA51" s="19"/>
      <c r="XAB51" s="19"/>
      <c r="XAC51" s="19"/>
      <c r="XAD51" s="19"/>
      <c r="XAE51" s="19"/>
      <c r="XAF51" s="19"/>
      <c r="XAG51" s="19"/>
      <c r="XAH51" s="19"/>
      <c r="XAI51" s="19"/>
      <c r="XAJ51" s="19"/>
      <c r="XAK51" s="19"/>
      <c r="XAL51" s="19"/>
      <c r="XAM51" s="19"/>
      <c r="XAN51" s="19"/>
      <c r="XAO51" s="19"/>
      <c r="XAP51" s="19"/>
      <c r="XAQ51" s="19"/>
      <c r="XAR51" s="19"/>
      <c r="XAS51" s="19"/>
      <c r="XAT51" s="19"/>
      <c r="XAU51" s="19"/>
      <c r="XAV51" s="19"/>
      <c r="XAW51" s="19"/>
      <c r="XAX51" s="19"/>
      <c r="XAY51" s="19"/>
      <c r="XAZ51" s="19"/>
      <c r="XBA51" s="19"/>
      <c r="XBB51" s="19"/>
      <c r="XBC51" s="19"/>
      <c r="XBD51" s="19"/>
      <c r="XBE51" s="19"/>
      <c r="XBF51" s="19"/>
      <c r="XBG51" s="19"/>
      <c r="XBH51" s="19"/>
      <c r="XBI51" s="19"/>
      <c r="XBJ51" s="19"/>
      <c r="XBK51" s="19"/>
      <c r="XBL51" s="19"/>
      <c r="XBM51" s="19"/>
      <c r="XBN51" s="19"/>
      <c r="XBO51" s="19"/>
      <c r="XBP51" s="19"/>
      <c r="XBQ51" s="19"/>
      <c r="XBR51" s="19"/>
      <c r="XBS51" s="19"/>
      <c r="XBT51" s="19"/>
      <c r="XBU51" s="19"/>
      <c r="XBV51" s="19"/>
      <c r="XBW51" s="19"/>
      <c r="XBX51" s="19"/>
      <c r="XBY51" s="19"/>
      <c r="XBZ51" s="19"/>
      <c r="XCA51" s="19"/>
      <c r="XCB51" s="19"/>
      <c r="XCC51" s="19"/>
      <c r="XCD51" s="19"/>
      <c r="XCE51" s="19"/>
      <c r="XCF51" s="19"/>
      <c r="XCG51" s="19"/>
      <c r="XCH51" s="19"/>
      <c r="XCI51" s="19"/>
      <c r="XCJ51" s="19"/>
      <c r="XCK51" s="19"/>
      <c r="XCL51" s="19"/>
      <c r="XCM51" s="19"/>
      <c r="XCN51" s="19"/>
      <c r="XCO51" s="19"/>
      <c r="XCP51" s="19"/>
      <c r="XCQ51" s="19"/>
      <c r="XCR51" s="19"/>
      <c r="XCS51" s="19"/>
      <c r="XCT51" s="19"/>
      <c r="XCU51" s="19"/>
      <c r="XCV51" s="19"/>
      <c r="XCW51" s="19"/>
      <c r="XCX51" s="19"/>
      <c r="XCY51" s="19"/>
      <c r="XCZ51" s="19"/>
      <c r="XDA51" s="19"/>
      <c r="XDB51" s="19"/>
      <c r="XDC51" s="19"/>
      <c r="XDD51" s="19"/>
      <c r="XDE51" s="19"/>
      <c r="XDF51" s="19"/>
      <c r="XDG51" s="19"/>
      <c r="XDH51" s="19"/>
      <c r="XDI51" s="19"/>
      <c r="XDJ51" s="19"/>
      <c r="XDK51" s="19"/>
      <c r="XDL51" s="19"/>
      <c r="XDM51" s="19"/>
      <c r="XDN51" s="19"/>
      <c r="XDO51" s="19"/>
      <c r="XDP51" s="19"/>
      <c r="XDQ51" s="19"/>
      <c r="XDR51" s="19"/>
      <c r="XDS51" s="19"/>
      <c r="XDT51" s="19"/>
      <c r="XDU51" s="19"/>
      <c r="XDV51" s="19"/>
      <c r="XDW51" s="19"/>
      <c r="XDX51" s="19"/>
      <c r="XDY51" s="19"/>
      <c r="XDZ51" s="19"/>
      <c r="XEA51" s="19"/>
      <c r="XEB51" s="19"/>
      <c r="XEC51" s="19"/>
      <c r="XED51" s="19"/>
      <c r="XEE51" s="19"/>
      <c r="XEF51" s="19"/>
      <c r="XEG51" s="19"/>
      <c r="XEH51" s="19"/>
      <c r="XEI51" s="19"/>
      <c r="XEJ51" s="19"/>
      <c r="XEK51" s="19"/>
      <c r="XEL51" s="19"/>
      <c r="XEM51" s="19"/>
      <c r="XEN51" s="19"/>
      <c r="XEO51" s="19"/>
      <c r="XEP51" s="19"/>
      <c r="XEQ51" s="19"/>
      <c r="XER51" s="19"/>
      <c r="XES51" s="19"/>
      <c r="XET51" s="19"/>
      <c r="XEU51" s="19"/>
      <c r="XEV51" s="19"/>
      <c r="XEW51" s="19"/>
      <c r="XEX51" s="19"/>
      <c r="XEY51" s="19"/>
      <c r="XEZ51" s="19"/>
      <c r="XFA51" s="19"/>
      <c r="XFB51" s="19"/>
    </row>
  </sheetData>
  <sheetProtection selectLockedCells="1"/>
  <mergeCells count="7">
    <mergeCell ref="B38:B42"/>
    <mergeCell ref="B27:B32"/>
    <mergeCell ref="B35:B37"/>
    <mergeCell ref="B44:B46"/>
    <mergeCell ref="B1:B3"/>
    <mergeCell ref="B4:B6"/>
    <mergeCell ref="B24:B26"/>
  </mergeCells>
  <pageMargins left="0.511811024" right="0.511811024" top="0.78740157499999996" bottom="0.78740157499999996" header="0.31496062000000002" footer="0.31496062000000002"/>
  <pageSetup orientation="portrait" r:id="rId1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1:T46"/>
  <sheetViews>
    <sheetView showGridLines="0" tabSelected="1" topLeftCell="A11" zoomScale="80" zoomScaleNormal="80" workbookViewId="0">
      <selection activeCell="A28" sqref="A28"/>
    </sheetView>
  </sheetViews>
  <sheetFormatPr defaultColWidth="8.85546875" defaultRowHeight="15" x14ac:dyDescent="0.25"/>
  <cols>
    <col min="1" max="1" width="1.7109375" customWidth="1"/>
    <col min="2" max="2" width="13.140625" bestFit="1" customWidth="1"/>
    <col min="3" max="4" width="17" bestFit="1" customWidth="1"/>
    <col min="5" max="5" width="14.42578125" bestFit="1" customWidth="1"/>
    <col min="6" max="6" width="14.140625" bestFit="1" customWidth="1"/>
    <col min="7" max="7" width="12.85546875" customWidth="1"/>
    <col min="8" max="8" width="13.42578125" customWidth="1"/>
    <col min="9" max="9" width="12.140625" customWidth="1"/>
    <col min="10" max="10" width="14.85546875" customWidth="1"/>
    <col min="11" max="11" width="12.7109375" customWidth="1"/>
    <col min="12" max="12" width="12" customWidth="1"/>
    <col min="13" max="13" width="13.7109375" customWidth="1"/>
    <col min="14" max="14" width="11.7109375" customWidth="1"/>
  </cols>
  <sheetData>
    <row r="1" spans="2:20" ht="20.100000000000001" customHeight="1" x14ac:dyDescent="0.3">
      <c r="D1" s="245" t="s">
        <v>1367</v>
      </c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</row>
    <row r="2" spans="2:20" ht="15.95" x14ac:dyDescent="0.2">
      <c r="B2" s="35" t="s">
        <v>13</v>
      </c>
      <c r="C2" s="35" t="s">
        <v>40</v>
      </c>
    </row>
    <row r="3" spans="2:20" ht="15.95" x14ac:dyDescent="0.2">
      <c r="B3" s="36" t="s">
        <v>41</v>
      </c>
      <c r="C3" s="32">
        <v>0</v>
      </c>
    </row>
    <row r="4" spans="2:20" ht="15.95" x14ac:dyDescent="0.2">
      <c r="B4" s="36" t="s">
        <v>47</v>
      </c>
      <c r="C4" s="32">
        <v>9917.9461200000005</v>
      </c>
    </row>
    <row r="5" spans="2:20" ht="15.95" x14ac:dyDescent="0.2">
      <c r="B5" s="36" t="s">
        <v>44</v>
      </c>
      <c r="C5" s="32">
        <v>62252.132407399986</v>
      </c>
    </row>
    <row r="6" spans="2:20" ht="15.75" x14ac:dyDescent="0.25">
      <c r="B6" s="36" t="s">
        <v>872</v>
      </c>
      <c r="C6" s="32">
        <v>5398.16</v>
      </c>
    </row>
    <row r="7" spans="2:20" ht="15.75" x14ac:dyDescent="0.25">
      <c r="B7" s="36" t="s">
        <v>873</v>
      </c>
      <c r="C7" s="32">
        <v>2635.98</v>
      </c>
    </row>
    <row r="8" spans="2:20" ht="15.95" x14ac:dyDescent="0.2">
      <c r="B8" s="36" t="s">
        <v>45</v>
      </c>
      <c r="C8" s="32">
        <v>20761.378315941332</v>
      </c>
    </row>
    <row r="9" spans="2:20" ht="15.75" x14ac:dyDescent="0.25">
      <c r="B9" s="36" t="s">
        <v>1079</v>
      </c>
      <c r="C9" s="32">
        <v>7759.9893999999967</v>
      </c>
    </row>
    <row r="10" spans="2:20" ht="15.95" x14ac:dyDescent="0.2">
      <c r="B10" s="36" t="s">
        <v>46</v>
      </c>
      <c r="C10" s="32">
        <v>8455.8520000000008</v>
      </c>
    </row>
    <row r="11" spans="2:20" ht="15.95" x14ac:dyDescent="0.2">
      <c r="B11" s="36" t="s">
        <v>42</v>
      </c>
      <c r="C11" s="32">
        <v>27059.619135685731</v>
      </c>
    </row>
    <row r="12" spans="2:20" ht="15.95" x14ac:dyDescent="0.2">
      <c r="B12" s="36" t="s">
        <v>43</v>
      </c>
      <c r="C12" s="32">
        <v>3595.3799999999987</v>
      </c>
    </row>
    <row r="13" spans="2:20" ht="15.95" x14ac:dyDescent="0.2">
      <c r="B13" s="36" t="s">
        <v>60</v>
      </c>
      <c r="C13" s="32">
        <v>12002.437793058672</v>
      </c>
    </row>
    <row r="14" spans="2:20" ht="15.95" x14ac:dyDescent="0.2">
      <c r="B14" s="36" t="s">
        <v>871</v>
      </c>
      <c r="C14" s="32">
        <v>1223.4618107142858</v>
      </c>
    </row>
    <row r="15" spans="2:20" ht="15.95" x14ac:dyDescent="0.2">
      <c r="B15" s="33" t="s">
        <v>41</v>
      </c>
      <c r="C15" s="34">
        <v>161062.33698279996</v>
      </c>
    </row>
    <row r="25" spans="2:20" x14ac:dyDescent="0.2">
      <c r="E25" s="167">
        <f>GETPIVOTDATA("VALOR TOTAL
GÊNEROS",B2,"GRUPO","Bebidas")/GETPIVOTDATA("VALOR TOTAL
GÊNEROS",$B$2)</f>
        <v>6.1578307541006003E-2</v>
      </c>
      <c r="F25" s="166">
        <f>GETPIVOTDATA("VALOR TOTAL
GÊNEROS",$B$2,"GRUPO","Carnes")/GETPIVOTDATA("VALOR TOTAL
GÊNEROS",$B$2)</f>
        <v>0.38650955632195977</v>
      </c>
      <c r="G25" s="167">
        <f>GETPIVOTDATA("VALOR TOTAL
GÊNEROS",$B$2,"GRUPO","Descartável")/GETPIVOTDATA("VALOR TOTAL
GÊNEROS",$B$2)</f>
        <v>3.3515967178450144E-2</v>
      </c>
      <c r="H25" s="158">
        <f>GETPIVOTDATA("VALOR TOTAL
GÊNEROS",$B$2,"GRUPO","Escritório")/GETPIVOTDATA("VALOR TOTAL
GÊNEROS",$B$2)</f>
        <v>1.6366209812797509E-2</v>
      </c>
      <c r="I25" s="158">
        <f>GETPIVOTDATA("VALOR TOTAL
GÊNEROS",$B$2,"GRUPO","Hortifruti")/GETPIVOTDATA("VALOR TOTAL
GÊNEROS",$B$2)</f>
        <v>0.12890275097745829</v>
      </c>
      <c r="J25" s="158">
        <f>GETPIVOTDATA("VALOR TOTAL
GÊNEROS",$B$2,"GRUPO","Laticínios")/GETPIVOTDATA("VALOR TOTAL
GÊNEROS",$B$2)</f>
        <v>4.818003727853952E-2</v>
      </c>
      <c r="K25" s="168">
        <f>GETPIVOTDATA("VALOR TOTAL
GÊNEROS",$B$2,"GRUPO","Limpeza")/GETPIVOTDATA("VALOR TOTAL
GÊNEROS",$B$2)</f>
        <v>5.2500492408122774E-2</v>
      </c>
      <c r="L25" s="168">
        <f>GETPIVOTDATA("VALOR TOTAL
GÊNEROS",$B$2,"GRUPO","Mercado")/GETPIVOTDATA("VALOR TOTAL
GÊNEROS",$B$2)</f>
        <v>0.16800711850204594</v>
      </c>
      <c r="M25" s="168">
        <f>GETPIVOTDATA("VALOR TOTAL
GÊNEROS",$B$2,"GRUPO","Sobremesa")/GETPIVOTDATA("VALOR TOTAL
GÊNEROS",$B$2)</f>
        <v>2.232290967182448E-2</v>
      </c>
      <c r="N25" s="168">
        <f>GETPIVOTDATA("VALOR TOTAL
GÊNEROS",$B$2,"GRUPO","Sushi")/GETPIVOTDATA("VALOR TOTAL
GÊNEROS",$B$2)</f>
        <v>7.4520449770578132E-2</v>
      </c>
      <c r="O25" s="158">
        <f>GETPIVOTDATA("VALOR TOTAL
GÊNEROS",$B$2,"GRUPO","Vendas Caixa")/GETPIVOTDATA("VALOR TOTAL
GÊNEROS",$B$2)</f>
        <v>7.5962005372177156E-3</v>
      </c>
    </row>
    <row r="30" spans="2:20" ht="18.95" x14ac:dyDescent="0.25">
      <c r="B30" s="165" t="s">
        <v>1366</v>
      </c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</row>
    <row r="32" spans="2:20" ht="15.95" x14ac:dyDescent="0.2">
      <c r="B32" s="220" t="s">
        <v>1389</v>
      </c>
      <c r="C32" s="246" t="s">
        <v>20</v>
      </c>
      <c r="D32" s="247"/>
      <c r="E32" s="248"/>
      <c r="R32" s="221" t="s">
        <v>20</v>
      </c>
    </row>
    <row r="33" spans="2:18" ht="15.75" x14ac:dyDescent="0.25">
      <c r="B33" s="163" t="s">
        <v>1368</v>
      </c>
      <c r="C33" s="162" t="s">
        <v>49</v>
      </c>
      <c r="D33" s="159" t="s">
        <v>48</v>
      </c>
      <c r="E33" s="35" t="s">
        <v>1369</v>
      </c>
      <c r="R33" s="221" t="s">
        <v>21</v>
      </c>
    </row>
    <row r="34" spans="2:18" ht="15.95" x14ac:dyDescent="0.2">
      <c r="B34" s="170" t="s">
        <v>47</v>
      </c>
      <c r="C34" s="164">
        <v>10000</v>
      </c>
      <c r="D34" s="169">
        <v>9917.9461200000005</v>
      </c>
      <c r="E34" s="160">
        <f>D34-C34</f>
        <v>-82.053879999999481</v>
      </c>
      <c r="R34" s="221" t="s">
        <v>22</v>
      </c>
    </row>
    <row r="35" spans="2:18" ht="15.95" x14ac:dyDescent="0.2">
      <c r="B35" s="170" t="s">
        <v>44</v>
      </c>
      <c r="C35" s="164">
        <v>60000</v>
      </c>
      <c r="D35" s="169">
        <v>62252.132407399986</v>
      </c>
      <c r="E35" s="160">
        <f t="shared" ref="E35:E44" si="0">D35-C35</f>
        <v>2252.1324073999858</v>
      </c>
      <c r="R35" s="221" t="s">
        <v>23</v>
      </c>
    </row>
    <row r="36" spans="2:18" ht="15.75" x14ac:dyDescent="0.25">
      <c r="B36" s="170" t="s">
        <v>872</v>
      </c>
      <c r="C36" s="164">
        <v>5300</v>
      </c>
      <c r="D36" s="169">
        <v>5398.16</v>
      </c>
      <c r="E36" s="160">
        <f t="shared" si="0"/>
        <v>98.159999999999854</v>
      </c>
      <c r="R36" s="221" t="s">
        <v>24</v>
      </c>
    </row>
    <row r="37" spans="2:18" ht="15.75" x14ac:dyDescent="0.25">
      <c r="B37" s="170" t="s">
        <v>873</v>
      </c>
      <c r="C37" s="164">
        <v>2700</v>
      </c>
      <c r="D37" s="169">
        <v>2635.98</v>
      </c>
      <c r="E37" s="160">
        <f t="shared" si="0"/>
        <v>-64.019999999999982</v>
      </c>
    </row>
    <row r="38" spans="2:18" ht="15.95" x14ac:dyDescent="0.2">
      <c r="B38" s="170" t="s">
        <v>45</v>
      </c>
      <c r="C38" s="164">
        <v>23000</v>
      </c>
      <c r="D38" s="169">
        <v>20761.378315941332</v>
      </c>
      <c r="E38" s="160">
        <f t="shared" si="0"/>
        <v>-2238.6216840586676</v>
      </c>
    </row>
    <row r="39" spans="2:18" ht="15.75" x14ac:dyDescent="0.25">
      <c r="B39" s="170" t="s">
        <v>1079</v>
      </c>
      <c r="C39" s="164">
        <v>7000</v>
      </c>
      <c r="D39" s="169">
        <v>7759.9893999999967</v>
      </c>
      <c r="E39" s="160">
        <f t="shared" si="0"/>
        <v>759.98939999999675</v>
      </c>
    </row>
    <row r="40" spans="2:18" ht="15.75" x14ac:dyDescent="0.25">
      <c r="B40" s="170" t="s">
        <v>46</v>
      </c>
      <c r="C40" s="164">
        <v>9000</v>
      </c>
      <c r="D40" s="169">
        <v>8455.8520000000008</v>
      </c>
      <c r="E40" s="160">
        <f t="shared" si="0"/>
        <v>-544.14799999999923</v>
      </c>
    </row>
    <row r="41" spans="2:18" ht="15.75" x14ac:dyDescent="0.25">
      <c r="B41" s="170" t="s">
        <v>42</v>
      </c>
      <c r="C41" s="164">
        <v>27000</v>
      </c>
      <c r="D41" s="169">
        <v>27059.619135685731</v>
      </c>
      <c r="E41" s="160">
        <f t="shared" si="0"/>
        <v>59.619135685730726</v>
      </c>
    </row>
    <row r="42" spans="2:18" ht="15.75" x14ac:dyDescent="0.25">
      <c r="B42" s="170" t="s">
        <v>43</v>
      </c>
      <c r="C42" s="164">
        <v>3500</v>
      </c>
      <c r="D42" s="169">
        <v>3595.3799999999987</v>
      </c>
      <c r="E42" s="160">
        <f t="shared" si="0"/>
        <v>95.379999999998745</v>
      </c>
    </row>
    <row r="43" spans="2:18" ht="15.75" x14ac:dyDescent="0.25">
      <c r="B43" s="170" t="s">
        <v>60</v>
      </c>
      <c r="C43" s="164">
        <v>11000</v>
      </c>
      <c r="D43" s="169">
        <v>12002.437793058672</v>
      </c>
      <c r="E43" s="160">
        <f t="shared" si="0"/>
        <v>1002.4377930586725</v>
      </c>
    </row>
    <row r="44" spans="2:18" ht="15.75" x14ac:dyDescent="0.25">
      <c r="B44" s="170" t="s">
        <v>871</v>
      </c>
      <c r="C44" s="164">
        <v>1200</v>
      </c>
      <c r="D44" s="169">
        <v>1223.4618107142858</v>
      </c>
      <c r="E44" s="160">
        <f t="shared" si="0"/>
        <v>23.461810714285775</v>
      </c>
    </row>
    <row r="45" spans="2:18" ht="15.75" x14ac:dyDescent="0.25">
      <c r="B45" s="170"/>
      <c r="C45" s="164"/>
      <c r="D45" s="169"/>
      <c r="E45" s="160"/>
    </row>
    <row r="46" spans="2:18" ht="15.75" x14ac:dyDescent="0.25">
      <c r="B46" s="171" t="s">
        <v>40</v>
      </c>
      <c r="C46" s="172">
        <f>SUM(C34:C45)</f>
        <v>159700</v>
      </c>
      <c r="D46" s="173">
        <f>SUM(D34:D44)</f>
        <v>161062.33698279996</v>
      </c>
      <c r="E46" s="161">
        <f>D46-C46</f>
        <v>1362.3369827999559</v>
      </c>
    </row>
  </sheetData>
  <sheetProtection selectLockedCells="1"/>
  <mergeCells count="2">
    <mergeCell ref="D1:T1"/>
    <mergeCell ref="C32:E32"/>
  </mergeCells>
  <dataValidations count="1">
    <dataValidation type="list" allowBlank="1" showInputMessage="1" showErrorMessage="1" sqref="C32:E32">
      <formula1>$R$32:$R$36</formula1>
    </dataValidation>
  </dataValidations>
  <pageMargins left="0.511811024" right="0.511811024" top="0.78740157499999996" bottom="0.78740157499999996" header="0.31496062000000002" footer="0.31496062000000002"/>
  <drawing r:id="rId2"/>
  <picture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2"/>
  <sheetViews>
    <sheetView showGridLines="0" zoomScale="150" zoomScaleNormal="150" workbookViewId="0">
      <selection activeCell="B12" sqref="B12"/>
    </sheetView>
  </sheetViews>
  <sheetFormatPr defaultColWidth="11.42578125" defaultRowHeight="15" x14ac:dyDescent="0.25"/>
  <cols>
    <col min="1" max="1" width="37.7109375" bestFit="1" customWidth="1"/>
    <col min="2" max="2" width="12.7109375" bestFit="1" customWidth="1"/>
    <col min="3" max="3" width="13.7109375" bestFit="1" customWidth="1"/>
    <col min="4" max="6" width="12.7109375" bestFit="1" customWidth="1"/>
    <col min="7" max="7" width="13.7109375" bestFit="1" customWidth="1"/>
    <col min="8" max="8" width="13.140625" bestFit="1" customWidth="1"/>
    <col min="10" max="10" width="13.7109375" bestFit="1" customWidth="1"/>
    <col min="13" max="13" width="13.7109375" bestFit="1" customWidth="1"/>
  </cols>
  <sheetData>
    <row r="1" spans="1:7" ht="15.95" x14ac:dyDescent="0.2">
      <c r="A1" s="183" t="s">
        <v>1375</v>
      </c>
      <c r="B1" s="208"/>
      <c r="C1" s="203" t="s">
        <v>32</v>
      </c>
    </row>
    <row r="2" spans="1:7" ht="15.95" x14ac:dyDescent="0.2">
      <c r="A2" s="186" t="s">
        <v>1383</v>
      </c>
      <c r="B2" s="209"/>
      <c r="C2" s="187">
        <v>250000</v>
      </c>
    </row>
    <row r="3" spans="1:7" ht="15.95" x14ac:dyDescent="0.2">
      <c r="A3" s="213" t="s">
        <v>1384</v>
      </c>
      <c r="B3" s="211">
        <v>0.27</v>
      </c>
      <c r="C3" s="210">
        <f>C2*B3</f>
        <v>67500</v>
      </c>
    </row>
    <row r="4" spans="1:7" x14ac:dyDescent="0.2">
      <c r="A4" s="189" t="s">
        <v>44</v>
      </c>
      <c r="B4" s="212">
        <v>0.4</v>
      </c>
      <c r="C4" s="190">
        <f>B4*$C$3</f>
        <v>27000</v>
      </c>
    </row>
    <row r="5" spans="1:7" x14ac:dyDescent="0.2">
      <c r="A5" s="189" t="s">
        <v>42</v>
      </c>
      <c r="B5" s="212">
        <v>0.3</v>
      </c>
      <c r="C5" s="190">
        <f t="shared" ref="C5:C7" si="0">B5*$C$3</f>
        <v>20250</v>
      </c>
    </row>
    <row r="6" spans="1:7" x14ac:dyDescent="0.2">
      <c r="A6" s="189" t="s">
        <v>45</v>
      </c>
      <c r="B6" s="212">
        <v>0.2</v>
      </c>
      <c r="C6" s="190">
        <f t="shared" si="0"/>
        <v>13500</v>
      </c>
    </row>
    <row r="7" spans="1:7" x14ac:dyDescent="0.2">
      <c r="A7" s="189" t="s">
        <v>47</v>
      </c>
      <c r="B7" s="212">
        <v>0.1</v>
      </c>
      <c r="C7" s="190">
        <f t="shared" si="0"/>
        <v>6750</v>
      </c>
    </row>
    <row r="10" spans="1:7" ht="15.95" x14ac:dyDescent="0.2">
      <c r="A10" s="192"/>
      <c r="B10" s="192"/>
    </row>
    <row r="11" spans="1:7" ht="15.95" x14ac:dyDescent="0.2">
      <c r="A11" s="193" t="s">
        <v>1386</v>
      </c>
      <c r="B11" s="194" t="s">
        <v>20</v>
      </c>
      <c r="C11" s="194" t="s">
        <v>21</v>
      </c>
      <c r="D11" s="194" t="s">
        <v>22</v>
      </c>
      <c r="E11" s="194" t="s">
        <v>23</v>
      </c>
      <c r="F11" s="204" t="s">
        <v>24</v>
      </c>
      <c r="G11" s="195" t="s">
        <v>1380</v>
      </c>
    </row>
    <row r="12" spans="1:7" ht="15.75" x14ac:dyDescent="0.25">
      <c r="A12" s="196" t="s">
        <v>1387</v>
      </c>
      <c r="B12" s="214">
        <v>56000</v>
      </c>
      <c r="C12" s="214">
        <v>50000</v>
      </c>
      <c r="D12" s="214">
        <v>44000</v>
      </c>
      <c r="E12" s="214">
        <v>40000</v>
      </c>
      <c r="F12" s="214">
        <v>10000</v>
      </c>
      <c r="G12" s="215">
        <f>C2</f>
        <v>250000</v>
      </c>
    </row>
    <row r="13" spans="1:7" x14ac:dyDescent="0.2">
      <c r="A13" s="196" t="s">
        <v>1388</v>
      </c>
      <c r="B13" s="197">
        <v>56000</v>
      </c>
      <c r="C13" s="197">
        <v>50000</v>
      </c>
      <c r="D13" s="197">
        <v>45000</v>
      </c>
      <c r="E13" s="197">
        <v>38000</v>
      </c>
      <c r="F13" s="205">
        <v>12000</v>
      </c>
      <c r="G13" s="198">
        <f>SUM(B13:F13)</f>
        <v>201000</v>
      </c>
    </row>
    <row r="14" spans="1:7" x14ac:dyDescent="0.25">
      <c r="A14" s="196" t="s">
        <v>1381</v>
      </c>
      <c r="B14" s="216">
        <f>B13-B12</f>
        <v>0</v>
      </c>
      <c r="C14" s="217">
        <f t="shared" ref="C14:F14" si="1">C13-C12</f>
        <v>0</v>
      </c>
      <c r="D14" s="217">
        <f t="shared" si="1"/>
        <v>1000</v>
      </c>
      <c r="E14" s="217">
        <f t="shared" si="1"/>
        <v>-2000</v>
      </c>
      <c r="F14" s="217">
        <f t="shared" si="1"/>
        <v>2000</v>
      </c>
      <c r="G14" s="198">
        <f>G13-($C$2)</f>
        <v>-49000</v>
      </c>
    </row>
    <row r="15" spans="1:7" x14ac:dyDescent="0.2">
      <c r="A15" s="199" t="s">
        <v>1382</v>
      </c>
      <c r="B15" s="200">
        <f>(B13/B12)-1</f>
        <v>0</v>
      </c>
      <c r="C15" s="200">
        <f t="shared" ref="C15:F15" si="2">(C13/C12)-1</f>
        <v>0</v>
      </c>
      <c r="D15" s="219">
        <f t="shared" si="2"/>
        <v>2.2727272727272707E-2</v>
      </c>
      <c r="E15" s="218">
        <f t="shared" si="2"/>
        <v>-5.0000000000000044E-2</v>
      </c>
      <c r="F15" s="200">
        <f t="shared" si="2"/>
        <v>0.19999999999999996</v>
      </c>
      <c r="G15" s="200">
        <f>G13/($C$2)-1</f>
        <v>-0.19599999999999995</v>
      </c>
    </row>
    <row r="16" spans="1:7" ht="15.95" x14ac:dyDescent="0.2">
      <c r="A16" s="192"/>
      <c r="B16" s="192"/>
    </row>
    <row r="17" spans="1:7" ht="15.95" x14ac:dyDescent="0.2">
      <c r="A17" s="192"/>
      <c r="B17" s="192"/>
    </row>
    <row r="18" spans="1:7" ht="15.95" x14ac:dyDescent="0.2">
      <c r="A18" s="201" t="s">
        <v>1385</v>
      </c>
      <c r="B18" s="184" t="s">
        <v>20</v>
      </c>
      <c r="C18" s="184" t="s">
        <v>21</v>
      </c>
      <c r="D18" s="184" t="s">
        <v>22</v>
      </c>
      <c r="E18" s="184" t="s">
        <v>23</v>
      </c>
      <c r="F18" s="206" t="s">
        <v>24</v>
      </c>
      <c r="G18" s="185" t="s">
        <v>1380</v>
      </c>
    </row>
    <row r="19" spans="1:7" ht="15.95" x14ac:dyDescent="0.2">
      <c r="A19" s="191" t="s">
        <v>1376</v>
      </c>
      <c r="B19" s="202"/>
      <c r="C19" s="202"/>
      <c r="D19" s="202"/>
      <c r="E19" s="202"/>
      <c r="F19" s="207"/>
      <c r="G19" s="188">
        <f>C4-SUM(B19:F19)</f>
        <v>27000</v>
      </c>
    </row>
    <row r="20" spans="1:7" ht="15.95" x14ac:dyDescent="0.2">
      <c r="A20" s="191" t="s">
        <v>1377</v>
      </c>
      <c r="B20" s="202"/>
      <c r="C20" s="202"/>
      <c r="D20" s="202"/>
      <c r="E20" s="202"/>
      <c r="F20" s="207"/>
      <c r="G20" s="188">
        <f>C5-SUM(B20:F20)</f>
        <v>20250</v>
      </c>
    </row>
    <row r="21" spans="1:7" ht="15.95" x14ac:dyDescent="0.2">
      <c r="A21" s="191" t="s">
        <v>1378</v>
      </c>
      <c r="B21" s="202"/>
      <c r="C21" s="202"/>
      <c r="D21" s="202"/>
      <c r="E21" s="202"/>
      <c r="F21" s="207"/>
      <c r="G21" s="188">
        <f>C6-SUM(B21:F21)</f>
        <v>13500</v>
      </c>
    </row>
    <row r="22" spans="1:7" ht="15.95" x14ac:dyDescent="0.2">
      <c r="A22" s="191" t="s">
        <v>1379</v>
      </c>
      <c r="B22" s="202"/>
      <c r="C22" s="202"/>
      <c r="D22" s="202"/>
      <c r="E22" s="202"/>
      <c r="F22" s="207"/>
      <c r="G22" s="188">
        <f>C7-SUM(B22:F22)</f>
        <v>6750</v>
      </c>
    </row>
  </sheetData>
  <conditionalFormatting sqref="G14 B15:C15 E15:G15">
    <cfRule type="cellIs" dxfId="4" priority="1" operator="greaterThan">
      <formula>0</formula>
    </cfRule>
  </conditionalFormatting>
  <conditionalFormatting sqref="B19:F19">
    <cfRule type="cellIs" dxfId="3" priority="344" operator="greaterThan">
      <formula>#REF!</formula>
    </cfRule>
  </conditionalFormatting>
  <conditionalFormatting sqref="B20:F20">
    <cfRule type="cellIs" dxfId="2" priority="345" operator="greaterThan">
      <formula>#REF!</formula>
    </cfRule>
  </conditionalFormatting>
  <conditionalFormatting sqref="B21:F21">
    <cfRule type="cellIs" dxfId="1" priority="346" operator="greaterThan">
      <formula>#REF!</formula>
    </cfRule>
  </conditionalFormatting>
  <conditionalFormatting sqref="B22:F22">
    <cfRule type="cellIs" dxfId="0" priority="347" operator="greaterThan">
      <formula>#REF!</formula>
    </cfRule>
  </conditionalFormatting>
  <pageMargins left="0.27559055119999998" right="0.27559055119999998" top="0.29527559060000003" bottom="0.29527559060000003" header="0.1181102362" footer="0.118110236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NF</vt:lpstr>
      <vt:lpstr>Mês atual</vt:lpstr>
      <vt:lpstr>CMV</vt:lpstr>
      <vt:lpstr>Compras_Grupo</vt:lpstr>
      <vt:lpstr>Estrategia Compras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kiyoshi sakuragui 4004491</dc:creator>
  <cp:lastModifiedBy>Gerente Flor</cp:lastModifiedBy>
  <cp:lastPrinted>2014-07-07T13:06:09Z</cp:lastPrinted>
  <dcterms:created xsi:type="dcterms:W3CDTF">2014-06-22T22:51:44Z</dcterms:created>
  <dcterms:modified xsi:type="dcterms:W3CDTF">2018-09-21T14:14:02Z</dcterms:modified>
</cp:coreProperties>
</file>